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/>
  <mc:AlternateContent xmlns:mc="http://schemas.openxmlformats.org/markup-compatibility/2006">
    <mc:Choice Requires="x15">
      <x15ac:absPath xmlns:x15ac="http://schemas.microsoft.com/office/spreadsheetml/2010/11/ac" url="C:\Users\BBamJoong\Desktop\연구실\Headed Bar\공유폴더\01. 데이터\"/>
    </mc:Choice>
  </mc:AlternateContent>
  <xr:revisionPtr revIDLastSave="0" documentId="13_ncr:1_{909D276B-7CE8-4E63-B3EE-48D66E33CD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eaded (2)" sheetId="20" r:id="rId1"/>
    <sheet name="headed" sheetId="5" r:id="rId2"/>
    <sheet name="headed_backup" sheetId="2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04" i="20" l="1"/>
  <c r="DY135" i="20"/>
  <c r="P105" i="20"/>
  <c r="DY115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BP117" i="20"/>
  <c r="P148" i="20"/>
  <c r="P149" i="20"/>
  <c r="P150" i="20"/>
  <c r="P151" i="20"/>
  <c r="P152" i="20"/>
  <c r="BK165" i="20"/>
  <c r="BL165" i="20" s="1"/>
  <c r="BN165" i="20" s="1"/>
  <c r="BM165" i="20"/>
  <c r="BO165" i="20" s="1"/>
  <c r="BK166" i="20"/>
  <c r="BM166" i="20" s="1"/>
  <c r="BO166" i="20" s="1"/>
  <c r="BL166" i="20"/>
  <c r="BN166" i="20"/>
  <c r="BK167" i="20"/>
  <c r="BL167" i="20" s="1"/>
  <c r="BN167" i="20" s="1"/>
  <c r="BM167" i="20"/>
  <c r="BK168" i="20"/>
  <c r="BM168" i="20" s="1"/>
  <c r="BL168" i="20"/>
  <c r="BN168" i="20" s="1"/>
  <c r="BO168" i="20"/>
  <c r="BK169" i="20"/>
  <c r="BL169" i="20" s="1"/>
  <c r="BN169" i="20" s="1"/>
  <c r="BM169" i="20"/>
  <c r="BO169" i="20" s="1"/>
  <c r="BK170" i="20"/>
  <c r="BM170" i="20" s="1"/>
  <c r="BO170" i="20" s="1"/>
  <c r="BL170" i="20"/>
  <c r="BN170" i="20"/>
  <c r="BK171" i="20"/>
  <c r="BL171" i="20" s="1"/>
  <c r="BN171" i="20" s="1"/>
  <c r="BM171" i="20"/>
  <c r="BK172" i="20"/>
  <c r="BM172" i="20" s="1"/>
  <c r="BL172" i="20"/>
  <c r="BN172" i="20" s="1"/>
  <c r="BK173" i="20"/>
  <c r="BL173" i="20" s="1"/>
  <c r="BN173" i="20" s="1"/>
  <c r="BM173" i="20"/>
  <c r="BO173" i="20" s="1"/>
  <c r="BK174" i="20"/>
  <c r="BM174" i="20" s="1"/>
  <c r="BO174" i="20" s="1"/>
  <c r="BL174" i="20"/>
  <c r="BN174" i="20"/>
  <c r="BK175" i="20"/>
  <c r="BL175" i="20" s="1"/>
  <c r="BN175" i="20" s="1"/>
  <c r="BM175" i="20"/>
  <c r="BK176" i="20"/>
  <c r="BM176" i="20" s="1"/>
  <c r="BO176" i="20" s="1"/>
  <c r="BL176" i="20"/>
  <c r="BN176" i="20" s="1"/>
  <c r="BK177" i="20"/>
  <c r="BL177" i="20" s="1"/>
  <c r="BN177" i="20" s="1"/>
  <c r="BM177" i="20"/>
  <c r="BO177" i="20" s="1"/>
  <c r="BK178" i="20"/>
  <c r="BM178" i="20" s="1"/>
  <c r="BO178" i="20" s="1"/>
  <c r="BL178" i="20"/>
  <c r="BN178" i="20"/>
  <c r="BK179" i="20"/>
  <c r="BL179" i="20" s="1"/>
  <c r="BN179" i="20" s="1"/>
  <c r="BM179" i="20"/>
  <c r="BK180" i="20"/>
  <c r="BM180" i="20" s="1"/>
  <c r="BL180" i="20"/>
  <c r="BN180" i="20" s="1"/>
  <c r="BO180" i="20"/>
  <c r="BK181" i="20"/>
  <c r="BL181" i="20" s="1"/>
  <c r="BN181" i="20" s="1"/>
  <c r="BM181" i="20"/>
  <c r="BO181" i="20" s="1"/>
  <c r="BK182" i="20"/>
  <c r="BM182" i="20" s="1"/>
  <c r="BO182" i="20" s="1"/>
  <c r="BL182" i="20"/>
  <c r="BN182" i="20"/>
  <c r="BK183" i="20"/>
  <c r="BL183" i="20" s="1"/>
  <c r="BN183" i="20" s="1"/>
  <c r="BM183" i="20"/>
  <c r="BK184" i="20"/>
  <c r="BM184" i="20" s="1"/>
  <c r="BO184" i="20" s="1"/>
  <c r="BL184" i="20"/>
  <c r="BN184" i="20" s="1"/>
  <c r="BK185" i="20"/>
  <c r="BL185" i="20" s="1"/>
  <c r="BN185" i="20" s="1"/>
  <c r="BM185" i="20"/>
  <c r="BO185" i="20" s="1"/>
  <c r="BK186" i="20"/>
  <c r="BM186" i="20" s="1"/>
  <c r="BO186" i="20" s="1"/>
  <c r="BL186" i="20"/>
  <c r="BN186" i="20"/>
  <c r="BK187" i="20"/>
  <c r="BL187" i="20" s="1"/>
  <c r="BN187" i="20" s="1"/>
  <c r="BM187" i="20"/>
  <c r="BK188" i="20"/>
  <c r="BM188" i="20" s="1"/>
  <c r="BL188" i="20"/>
  <c r="BN188" i="20" s="1"/>
  <c r="BO188" i="20"/>
  <c r="BK189" i="20"/>
  <c r="BL189" i="20" s="1"/>
  <c r="BN189" i="20" s="1"/>
  <c r="BP189" i="20" s="1"/>
  <c r="BM189" i="20"/>
  <c r="BO189" i="20" s="1"/>
  <c r="BK190" i="20"/>
  <c r="BM190" i="20" s="1"/>
  <c r="BO190" i="20" s="1"/>
  <c r="BL190" i="20"/>
  <c r="BN190" i="20"/>
  <c r="BK191" i="20"/>
  <c r="BL191" i="20" s="1"/>
  <c r="BN191" i="20" s="1"/>
  <c r="BM191" i="20"/>
  <c r="BK192" i="20"/>
  <c r="BM192" i="20" s="1"/>
  <c r="BL192" i="20"/>
  <c r="BN192" i="20" s="1"/>
  <c r="BO192" i="20"/>
  <c r="BK193" i="20"/>
  <c r="BL193" i="20" s="1"/>
  <c r="BN193" i="20" s="1"/>
  <c r="BM193" i="20"/>
  <c r="BO193" i="20" s="1"/>
  <c r="BK194" i="20"/>
  <c r="BM194" i="20" s="1"/>
  <c r="BO194" i="20" s="1"/>
  <c r="BL194" i="20"/>
  <c r="BN194" i="20"/>
  <c r="BK195" i="20"/>
  <c r="BL195" i="20" s="1"/>
  <c r="BN195" i="20" s="1"/>
  <c r="BM195" i="20"/>
  <c r="BK196" i="20"/>
  <c r="BM196" i="20" s="1"/>
  <c r="BL196" i="20"/>
  <c r="BN196" i="20" s="1"/>
  <c r="BK197" i="20"/>
  <c r="BL197" i="20" s="1"/>
  <c r="BN197" i="20" s="1"/>
  <c r="BM197" i="20"/>
  <c r="BO197" i="20" s="1"/>
  <c r="BK198" i="20"/>
  <c r="BM198" i="20" s="1"/>
  <c r="BO198" i="20" s="1"/>
  <c r="BL198" i="20"/>
  <c r="BN198" i="20"/>
  <c r="BK199" i="20"/>
  <c r="BL199" i="20" s="1"/>
  <c r="BN199" i="20" s="1"/>
  <c r="BM199" i="20"/>
  <c r="BK200" i="20"/>
  <c r="BM200" i="20" s="1"/>
  <c r="BO200" i="20" s="1"/>
  <c r="BL200" i="20"/>
  <c r="BN200" i="20" s="1"/>
  <c r="BK201" i="20"/>
  <c r="BL201" i="20" s="1"/>
  <c r="BN201" i="20" s="1"/>
  <c r="BM201" i="20"/>
  <c r="BK202" i="20"/>
  <c r="BM202" i="20" s="1"/>
  <c r="BO202" i="20" s="1"/>
  <c r="BL202" i="20"/>
  <c r="BN202" i="20"/>
  <c r="BK203" i="20"/>
  <c r="BL203" i="20" s="1"/>
  <c r="BN203" i="20" s="1"/>
  <c r="BM203" i="20"/>
  <c r="BK204" i="20"/>
  <c r="BM204" i="20" s="1"/>
  <c r="BL204" i="20"/>
  <c r="BN204" i="20" s="1"/>
  <c r="BO204" i="20"/>
  <c r="BK205" i="20"/>
  <c r="BL205" i="20" s="1"/>
  <c r="BN205" i="20" s="1"/>
  <c r="BM205" i="20"/>
  <c r="BK206" i="20"/>
  <c r="BM206" i="20" s="1"/>
  <c r="BO206" i="20" s="1"/>
  <c r="BL206" i="20"/>
  <c r="BN206" i="20"/>
  <c r="BK207" i="20"/>
  <c r="BL207" i="20" s="1"/>
  <c r="BN207" i="20" s="1"/>
  <c r="BM207" i="20"/>
  <c r="BK208" i="20"/>
  <c r="BK209" i="20"/>
  <c r="BL209" i="20" s="1"/>
  <c r="BN209" i="20" s="1"/>
  <c r="BM209" i="20"/>
  <c r="BO209" i="20" s="1"/>
  <c r="BK210" i="20"/>
  <c r="BK211" i="20"/>
  <c r="BK212" i="20"/>
  <c r="BM212" i="20" s="1"/>
  <c r="BK213" i="20"/>
  <c r="BL213" i="20" s="1"/>
  <c r="BN213" i="20" s="1"/>
  <c r="BK214" i="20"/>
  <c r="BK215" i="20"/>
  <c r="BK216" i="20"/>
  <c r="BM216" i="20" s="1"/>
  <c r="BL216" i="20"/>
  <c r="BN216" i="20" s="1"/>
  <c r="BO216" i="20"/>
  <c r="BK217" i="20"/>
  <c r="BL217" i="20" s="1"/>
  <c r="BN217" i="20" s="1"/>
  <c r="BK218" i="20"/>
  <c r="BK219" i="20"/>
  <c r="BK220" i="20"/>
  <c r="BM220" i="20" s="1"/>
  <c r="BL220" i="20"/>
  <c r="BN220" i="20" s="1"/>
  <c r="BK221" i="20"/>
  <c r="BK222" i="20"/>
  <c r="BK223" i="20"/>
  <c r="BK224" i="20"/>
  <c r="BM224" i="20" s="1"/>
  <c r="BK225" i="20"/>
  <c r="BL225" i="20" s="1"/>
  <c r="BN225" i="20" s="1"/>
  <c r="BK226" i="20"/>
  <c r="BK227" i="20"/>
  <c r="BK228" i="20"/>
  <c r="BM228" i="20" s="1"/>
  <c r="BL228" i="20"/>
  <c r="BN228" i="20" s="1"/>
  <c r="BK229" i="20"/>
  <c r="BL229" i="20" s="1"/>
  <c r="BN229" i="20" s="1"/>
  <c r="BM229" i="20"/>
  <c r="BO229" i="20" s="1"/>
  <c r="BK230" i="20"/>
  <c r="BK231" i="20"/>
  <c r="BK232" i="20"/>
  <c r="BM232" i="20" s="1"/>
  <c r="BL232" i="20"/>
  <c r="BN232" i="20" s="1"/>
  <c r="BK233" i="20"/>
  <c r="BL233" i="20" s="1"/>
  <c r="BN233" i="20" s="1"/>
  <c r="BM233" i="20"/>
  <c r="BO233" i="20" s="1"/>
  <c r="BK234" i="20"/>
  <c r="BK235" i="20"/>
  <c r="BK236" i="20"/>
  <c r="BM236" i="20" s="1"/>
  <c r="BK237" i="20"/>
  <c r="BL237" i="20" s="1"/>
  <c r="BN237" i="20" s="1"/>
  <c r="BK238" i="20"/>
  <c r="BK239" i="20"/>
  <c r="BL239" i="20" s="1"/>
  <c r="BN239" i="20" s="1"/>
  <c r="BM239" i="20"/>
  <c r="BO239" i="20" s="1"/>
  <c r="BK240" i="20"/>
  <c r="BL240" i="20" s="1"/>
  <c r="BM240" i="20"/>
  <c r="BO240" i="20" s="1"/>
  <c r="BN240" i="20"/>
  <c r="BP240" i="20" s="1"/>
  <c r="BK241" i="20"/>
  <c r="BK242" i="20"/>
  <c r="BL242" i="20" s="1"/>
  <c r="BN242" i="20" s="1"/>
  <c r="BM242" i="20"/>
  <c r="BO242" i="20" s="1"/>
  <c r="BK243" i="20"/>
  <c r="BK244" i="20"/>
  <c r="BL244" i="20" s="1"/>
  <c r="BN244" i="20"/>
  <c r="BK245" i="20"/>
  <c r="BL245" i="20" s="1"/>
  <c r="BN245" i="20" s="1"/>
  <c r="BK246" i="20"/>
  <c r="BK247" i="20"/>
  <c r="BL247" i="20" s="1"/>
  <c r="BN247" i="20" s="1"/>
  <c r="BM247" i="20"/>
  <c r="BO247" i="20" s="1"/>
  <c r="BK248" i="20"/>
  <c r="BM248" i="20" s="1"/>
  <c r="BK249" i="20"/>
  <c r="BK250" i="20"/>
  <c r="BM250" i="20" s="1"/>
  <c r="BL250" i="20"/>
  <c r="BN250" i="20"/>
  <c r="BP250" i="20" s="1"/>
  <c r="BO250" i="20"/>
  <c r="BK251" i="20"/>
  <c r="BK252" i="20"/>
  <c r="BL252" i="20" s="1"/>
  <c r="BN252" i="20" s="1"/>
  <c r="BM252" i="20"/>
  <c r="BO252" i="20"/>
  <c r="BK253" i="20"/>
  <c r="BL253" i="20" s="1"/>
  <c r="BN253" i="20" s="1"/>
  <c r="BK254" i="20"/>
  <c r="BL254" i="20" s="1"/>
  <c r="BN254" i="20" s="1"/>
  <c r="BK255" i="20"/>
  <c r="BL255" i="20"/>
  <c r="BN255" i="20" s="1"/>
  <c r="BM255" i="20"/>
  <c r="BK256" i="20"/>
  <c r="BM256" i="20" s="1"/>
  <c r="BK257" i="20"/>
  <c r="BM257" i="20" s="1"/>
  <c r="BK258" i="20"/>
  <c r="BL258" i="20" s="1"/>
  <c r="BN258" i="20" s="1"/>
  <c r="BM258" i="20"/>
  <c r="BK259" i="20"/>
  <c r="BL259" i="20" s="1"/>
  <c r="BN259" i="20" s="1"/>
  <c r="BM259" i="20"/>
  <c r="BO259" i="20" s="1"/>
  <c r="BK260" i="20"/>
  <c r="BK261" i="20"/>
  <c r="BL261" i="20"/>
  <c r="BN261" i="20" s="1"/>
  <c r="BM261" i="20"/>
  <c r="BK262" i="20"/>
  <c r="BM262" i="20" s="1"/>
  <c r="BL262" i="20"/>
  <c r="BN262" i="20" s="1"/>
  <c r="BK263" i="20"/>
  <c r="BM263" i="20" s="1"/>
  <c r="BL263" i="20"/>
  <c r="BN263" i="20" s="1"/>
  <c r="BK264" i="20"/>
  <c r="BL264" i="20" s="1"/>
  <c r="BN264" i="20" s="1"/>
  <c r="BM264" i="20"/>
  <c r="BO264" i="20" s="1"/>
  <c r="BK265" i="20"/>
  <c r="BL265" i="20" s="1"/>
  <c r="BN265" i="20" s="1"/>
  <c r="BM265" i="20"/>
  <c r="BO265" i="20" s="1"/>
  <c r="BK266" i="20"/>
  <c r="BL266" i="20" s="1"/>
  <c r="BN266" i="20" s="1"/>
  <c r="BM266" i="20"/>
  <c r="BK267" i="20"/>
  <c r="BL267" i="20"/>
  <c r="BN267" i="20" s="1"/>
  <c r="BM267" i="20"/>
  <c r="BK268" i="20"/>
  <c r="BM268" i="20" s="1"/>
  <c r="BK269" i="20"/>
  <c r="BM269" i="20" s="1"/>
  <c r="BL269" i="20"/>
  <c r="BN269" i="20" s="1"/>
  <c r="BK270" i="20"/>
  <c r="BL270" i="20" s="1"/>
  <c r="BN270" i="20" s="1"/>
  <c r="BM270" i="20"/>
  <c r="BO270" i="20"/>
  <c r="BK271" i="20"/>
  <c r="BL271" i="20" s="1"/>
  <c r="BN271" i="20" s="1"/>
  <c r="BM271" i="20"/>
  <c r="BO271" i="20" s="1"/>
  <c r="BK272" i="20"/>
  <c r="BL272" i="20" s="1"/>
  <c r="BN272" i="20" s="1"/>
  <c r="BM272" i="20"/>
  <c r="BK273" i="20"/>
  <c r="BL273" i="20"/>
  <c r="BN273" i="20" s="1"/>
  <c r="BM273" i="20"/>
  <c r="BK274" i="20"/>
  <c r="BM274" i="20" s="1"/>
  <c r="BK275" i="20"/>
  <c r="BM275" i="20" s="1"/>
  <c r="BL275" i="20"/>
  <c r="BN275" i="20" s="1"/>
  <c r="BK276" i="20"/>
  <c r="BL276" i="20" s="1"/>
  <c r="BN276" i="20" s="1"/>
  <c r="BM276" i="20"/>
  <c r="BO276" i="20" s="1"/>
  <c r="BK277" i="20"/>
  <c r="BL277" i="20" s="1"/>
  <c r="BN277" i="20" s="1"/>
  <c r="BK278" i="20"/>
  <c r="BL278" i="20"/>
  <c r="BN278" i="20" s="1"/>
  <c r="BM278" i="20"/>
  <c r="BK279" i="20"/>
  <c r="BL279" i="20"/>
  <c r="BN279" i="20" s="1"/>
  <c r="BM279" i="20"/>
  <c r="BK280" i="20"/>
  <c r="BM280" i="20" s="1"/>
  <c r="BL280" i="20"/>
  <c r="BN280" i="20"/>
  <c r="BO280" i="20"/>
  <c r="BK281" i="20"/>
  <c r="BM281" i="20" s="1"/>
  <c r="BK282" i="20"/>
  <c r="BL282" i="20" s="1"/>
  <c r="BN282" i="20" s="1"/>
  <c r="BM282" i="20"/>
  <c r="BO282" i="20" s="1"/>
  <c r="BK283" i="20"/>
  <c r="BL283" i="20" s="1"/>
  <c r="BN283" i="20" s="1"/>
  <c r="BM283" i="20"/>
  <c r="BO283" i="20" s="1"/>
  <c r="BK284" i="20"/>
  <c r="BL284" i="20"/>
  <c r="BN284" i="20" s="1"/>
  <c r="BM284" i="20"/>
  <c r="BO284" i="20" s="1"/>
  <c r="BK285" i="20"/>
  <c r="BL285" i="20"/>
  <c r="BN285" i="20" s="1"/>
  <c r="BM285" i="20"/>
  <c r="BK286" i="20"/>
  <c r="BM286" i="20" s="1"/>
  <c r="BL286" i="20"/>
  <c r="BO286" i="20" s="1"/>
  <c r="BN286" i="20"/>
  <c r="BK287" i="20"/>
  <c r="BM287" i="20" s="1"/>
  <c r="BL287" i="20"/>
  <c r="BN287" i="20" s="1"/>
  <c r="BK288" i="20"/>
  <c r="BL288" i="20" s="1"/>
  <c r="BN288" i="20" s="1"/>
  <c r="BM288" i="20"/>
  <c r="BO288" i="20"/>
  <c r="BK289" i="20"/>
  <c r="BL289" i="20" s="1"/>
  <c r="BN289" i="20" s="1"/>
  <c r="BK290" i="20"/>
  <c r="BK291" i="20"/>
  <c r="BL291" i="20"/>
  <c r="BN291" i="20" s="1"/>
  <c r="BM291" i="20"/>
  <c r="BK292" i="20"/>
  <c r="BM292" i="20" s="1"/>
  <c r="BK293" i="20"/>
  <c r="BM293" i="20" s="1"/>
  <c r="BK294" i="20"/>
  <c r="BL294" i="20" s="1"/>
  <c r="BM294" i="20"/>
  <c r="BK295" i="20"/>
  <c r="BL295" i="20" s="1"/>
  <c r="BN295" i="20" s="1"/>
  <c r="BK296" i="20"/>
  <c r="BL296" i="20"/>
  <c r="BN296" i="20" s="1"/>
  <c r="BM296" i="20"/>
  <c r="BK297" i="20"/>
  <c r="BL297" i="20"/>
  <c r="BN297" i="20" s="1"/>
  <c r="BM297" i="20"/>
  <c r="BK298" i="20"/>
  <c r="BM298" i="20" s="1"/>
  <c r="BL298" i="20"/>
  <c r="BN298" i="20" s="1"/>
  <c r="BK299" i="20"/>
  <c r="BK300" i="20"/>
  <c r="BL300" i="20" s="1"/>
  <c r="BN300" i="20" s="1"/>
  <c r="BM300" i="20"/>
  <c r="BO300" i="20" s="1"/>
  <c r="BK301" i="20"/>
  <c r="BL301" i="20" s="1"/>
  <c r="BN301" i="20" s="1"/>
  <c r="BM301" i="20"/>
  <c r="BO301" i="20" s="1"/>
  <c r="BK302" i="20"/>
  <c r="BL302" i="20"/>
  <c r="BN302" i="20" s="1"/>
  <c r="BM302" i="20"/>
  <c r="BO302" i="20" s="1"/>
  <c r="BK303" i="20"/>
  <c r="BL303" i="20"/>
  <c r="BN303" i="20" s="1"/>
  <c r="BM303" i="20"/>
  <c r="BK304" i="20"/>
  <c r="BM304" i="20" s="1"/>
  <c r="BK305" i="20"/>
  <c r="BM305" i="20" s="1"/>
  <c r="BL305" i="20"/>
  <c r="BN305" i="20" s="1"/>
  <c r="BK306" i="20"/>
  <c r="BL306" i="20" s="1"/>
  <c r="BN306" i="20" s="1"/>
  <c r="BM306" i="20"/>
  <c r="BO306" i="20" s="1"/>
  <c r="BK307" i="20"/>
  <c r="BL307" i="20" s="1"/>
  <c r="BN307" i="20" s="1"/>
  <c r="BM307" i="20"/>
  <c r="BO307" i="20" s="1"/>
  <c r="BK308" i="20"/>
  <c r="BK309" i="20"/>
  <c r="BL309" i="20"/>
  <c r="BN309" i="20" s="1"/>
  <c r="BM309" i="20"/>
  <c r="BK310" i="20"/>
  <c r="BM310" i="20" s="1"/>
  <c r="BK311" i="20"/>
  <c r="BM311" i="20" s="1"/>
  <c r="BL311" i="20"/>
  <c r="BN311" i="20" s="1"/>
  <c r="BK312" i="20"/>
  <c r="BL312" i="20" s="1"/>
  <c r="BN312" i="20" s="1"/>
  <c r="BM312" i="20"/>
  <c r="BO312" i="20" s="1"/>
  <c r="BK313" i="20"/>
  <c r="BL313" i="20" s="1"/>
  <c r="BN313" i="20" s="1"/>
  <c r="BK314" i="20"/>
  <c r="BL314" i="20"/>
  <c r="BN314" i="20" s="1"/>
  <c r="BM314" i="20"/>
  <c r="BO314" i="20" s="1"/>
  <c r="BK315" i="20"/>
  <c r="BL315" i="20" s="1"/>
  <c r="BN315" i="20" s="1"/>
  <c r="BK316" i="20"/>
  <c r="BL316" i="20" s="1"/>
  <c r="BM316" i="20"/>
  <c r="BO316" i="20" s="1"/>
  <c r="BN316" i="20"/>
  <c r="BK317" i="20"/>
  <c r="BL317" i="20"/>
  <c r="BN317" i="20" s="1"/>
  <c r="BM317" i="20"/>
  <c r="BK318" i="20"/>
  <c r="BL318" i="20" s="1"/>
  <c r="BN318" i="20" s="1"/>
  <c r="BK319" i="20"/>
  <c r="BL319" i="20"/>
  <c r="BN319" i="20" s="1"/>
  <c r="BM319" i="20"/>
  <c r="BO319" i="20" s="1"/>
  <c r="BK320" i="20"/>
  <c r="BL320" i="20"/>
  <c r="BM320" i="20"/>
  <c r="BN320" i="20"/>
  <c r="BO320" i="20"/>
  <c r="BP320" i="20"/>
  <c r="BK321" i="20"/>
  <c r="BL321" i="20" s="1"/>
  <c r="BN321" i="20" s="1"/>
  <c r="BK322" i="20"/>
  <c r="BK323" i="20"/>
  <c r="BK324" i="20"/>
  <c r="BL324" i="20" s="1"/>
  <c r="BM324" i="20"/>
  <c r="BO324" i="20" s="1"/>
  <c r="BN324" i="20"/>
  <c r="BP324" i="20"/>
  <c r="BK325" i="20"/>
  <c r="BL325" i="20"/>
  <c r="BN325" i="20" s="1"/>
  <c r="BM325" i="20"/>
  <c r="BK326" i="20"/>
  <c r="BL326" i="20" s="1"/>
  <c r="BM326" i="20"/>
  <c r="BO326" i="20" s="1"/>
  <c r="BN326" i="20"/>
  <c r="BP326" i="20" s="1"/>
  <c r="BK327" i="20"/>
  <c r="BL327" i="20"/>
  <c r="BN327" i="20" s="1"/>
  <c r="BM327" i="20"/>
  <c r="BK328" i="20"/>
  <c r="BL328" i="20"/>
  <c r="BM328" i="20"/>
  <c r="BN328" i="20"/>
  <c r="BP328" i="20" s="1"/>
  <c r="BO328" i="20"/>
  <c r="BK329" i="20"/>
  <c r="BL329" i="20" s="1"/>
  <c r="BN329" i="20" s="1"/>
  <c r="BM329" i="20"/>
  <c r="BO329" i="20" s="1"/>
  <c r="BK330" i="20"/>
  <c r="BL330" i="20" s="1"/>
  <c r="BN330" i="20" s="1"/>
  <c r="BM330" i="20"/>
  <c r="BK331" i="20"/>
  <c r="BL331" i="20" s="1"/>
  <c r="BN331" i="20" s="1"/>
  <c r="BM331" i="20"/>
  <c r="BO331" i="20" s="1"/>
  <c r="BK332" i="20"/>
  <c r="BL332" i="20" s="1"/>
  <c r="BN332" i="20"/>
  <c r="BK333" i="20"/>
  <c r="BL333" i="20"/>
  <c r="BN333" i="20" s="1"/>
  <c r="BM333" i="20"/>
  <c r="BK334" i="20"/>
  <c r="BL334" i="20" s="1"/>
  <c r="BM334" i="20"/>
  <c r="BO334" i="20" s="1"/>
  <c r="BP334" i="20" s="1"/>
  <c r="BN334" i="20"/>
  <c r="BK335" i="20"/>
  <c r="BL335" i="20"/>
  <c r="BN335" i="20" s="1"/>
  <c r="BM335" i="20"/>
  <c r="BK336" i="20"/>
  <c r="BK337" i="20"/>
  <c r="BL337" i="20" s="1"/>
  <c r="BN337" i="20" s="1"/>
  <c r="BM337" i="20"/>
  <c r="BK338" i="20"/>
  <c r="BL338" i="20" s="1"/>
  <c r="BM338" i="20"/>
  <c r="BO338" i="20" s="1"/>
  <c r="BN338" i="20"/>
  <c r="BP338" i="20" s="1"/>
  <c r="BK339" i="20"/>
  <c r="BM339" i="20" s="1"/>
  <c r="BK340" i="20"/>
  <c r="BL340" i="20" s="1"/>
  <c r="BN340" i="20" s="1"/>
  <c r="BP340" i="20" s="1"/>
  <c r="BM340" i="20"/>
  <c r="BO340" i="20" s="1"/>
  <c r="BK341" i="20"/>
  <c r="BL341" i="20" s="1"/>
  <c r="BN341" i="20" s="1"/>
  <c r="BK342" i="20"/>
  <c r="BL342" i="20" s="1"/>
  <c r="BN342" i="20" s="1"/>
  <c r="BP342" i="20" s="1"/>
  <c r="BM342" i="20"/>
  <c r="BO342" i="20" s="1"/>
  <c r="BK343" i="20"/>
  <c r="BL343" i="20"/>
  <c r="BN343" i="20" s="1"/>
  <c r="BM343" i="20"/>
  <c r="BO343" i="20" s="1"/>
  <c r="BK344" i="20"/>
  <c r="BL344" i="20" s="1"/>
  <c r="BN344" i="20"/>
  <c r="BK345" i="20"/>
  <c r="BL345" i="20"/>
  <c r="BN345" i="20" s="1"/>
  <c r="BM345" i="20"/>
  <c r="BK346" i="20"/>
  <c r="BL346" i="20" s="1"/>
  <c r="BN346" i="20" s="1"/>
  <c r="BM346" i="20"/>
  <c r="BO346" i="20" s="1"/>
  <c r="BK347" i="20"/>
  <c r="BK348" i="20"/>
  <c r="BL348" i="20" s="1"/>
  <c r="BN348" i="20" s="1"/>
  <c r="BK349" i="20"/>
  <c r="BL349" i="20" s="1"/>
  <c r="BN349" i="20" s="1"/>
  <c r="BK350" i="20"/>
  <c r="BL350" i="20"/>
  <c r="BM350" i="20"/>
  <c r="BO350" i="20" s="1"/>
  <c r="BN350" i="20"/>
  <c r="BK351" i="20"/>
  <c r="BL351" i="20" s="1"/>
  <c r="BN351" i="20" s="1"/>
  <c r="BK352" i="20"/>
  <c r="BL352" i="20" s="1"/>
  <c r="BN352" i="20" s="1"/>
  <c r="BM352" i="20"/>
  <c r="BK353" i="20"/>
  <c r="BL353" i="20"/>
  <c r="BN353" i="20" s="1"/>
  <c r="BM353" i="20"/>
  <c r="BK354" i="20"/>
  <c r="BL354" i="20"/>
  <c r="BN354" i="20" s="1"/>
  <c r="BM354" i="20"/>
  <c r="BK355" i="20"/>
  <c r="BL355" i="20"/>
  <c r="BN355" i="20" s="1"/>
  <c r="BM355" i="20"/>
  <c r="BO355" i="20" s="1"/>
  <c r="BK356" i="20"/>
  <c r="BL356" i="20"/>
  <c r="BM356" i="20"/>
  <c r="BO356" i="20" s="1"/>
  <c r="BN356" i="20"/>
  <c r="BK357" i="20"/>
  <c r="BL357" i="20" s="1"/>
  <c r="BN357" i="20" s="1"/>
  <c r="BK358" i="20"/>
  <c r="BL358" i="20"/>
  <c r="BN358" i="20" s="1"/>
  <c r="BM358" i="20"/>
  <c r="BK359" i="20"/>
  <c r="BL359" i="20"/>
  <c r="BN359" i="20" s="1"/>
  <c r="BM359" i="20"/>
  <c r="BK360" i="20"/>
  <c r="BL360" i="20"/>
  <c r="BN360" i="20" s="1"/>
  <c r="BM360" i="20"/>
  <c r="BK361" i="20"/>
  <c r="BL361" i="20" s="1"/>
  <c r="BN361" i="20" s="1"/>
  <c r="BM361" i="20"/>
  <c r="BK362" i="20"/>
  <c r="BL362" i="20"/>
  <c r="BM362" i="20"/>
  <c r="BO362" i="20" s="1"/>
  <c r="BN362" i="20"/>
  <c r="BP362" i="20" s="1"/>
  <c r="BK363" i="20"/>
  <c r="BL363" i="20" s="1"/>
  <c r="BN363" i="20" s="1"/>
  <c r="BK364" i="20"/>
  <c r="BL364" i="20"/>
  <c r="BN364" i="20" s="1"/>
  <c r="BP364" i="20" s="1"/>
  <c r="BM364" i="20"/>
  <c r="BO364" i="20" s="1"/>
  <c r="BK365" i="20"/>
  <c r="BL365" i="20"/>
  <c r="BN365" i="20" s="1"/>
  <c r="BM365" i="20"/>
  <c r="BK366" i="20"/>
  <c r="BL366" i="20"/>
  <c r="BN366" i="20" s="1"/>
  <c r="BM366" i="20"/>
  <c r="BK367" i="20"/>
  <c r="BL367" i="20"/>
  <c r="BN367" i="20" s="1"/>
  <c r="BM367" i="20"/>
  <c r="BO367" i="20" s="1"/>
  <c r="BK368" i="20"/>
  <c r="BL368" i="20"/>
  <c r="BM368" i="20"/>
  <c r="BO368" i="20" s="1"/>
  <c r="BN368" i="20"/>
  <c r="BK369" i="20"/>
  <c r="BL369" i="20" s="1"/>
  <c r="BN369" i="20" s="1"/>
  <c r="BK370" i="20"/>
  <c r="BL370" i="20" s="1"/>
  <c r="BN370" i="20" s="1"/>
  <c r="BM370" i="20"/>
  <c r="BK371" i="20"/>
  <c r="BL371" i="20"/>
  <c r="BN371" i="20" s="1"/>
  <c r="BM371" i="20"/>
  <c r="BO371" i="20" s="1"/>
  <c r="BK372" i="20"/>
  <c r="BL372" i="20" s="1"/>
  <c r="BN372" i="20" s="1"/>
  <c r="BK373" i="20"/>
  <c r="BM373" i="20" s="1"/>
  <c r="BL373" i="20"/>
  <c r="BN373" i="20" s="1"/>
  <c r="BK374" i="20"/>
  <c r="BK375" i="20"/>
  <c r="BL375" i="20"/>
  <c r="BN375" i="20" s="1"/>
  <c r="BM375" i="20"/>
  <c r="BO375" i="20" s="1"/>
  <c r="BK376" i="20"/>
  <c r="BK377" i="20"/>
  <c r="BL377" i="20"/>
  <c r="BN377" i="20" s="1"/>
  <c r="BP377" i="20" s="1"/>
  <c r="BM377" i="20"/>
  <c r="BO377" i="20"/>
  <c r="BK378" i="20"/>
  <c r="BL378" i="20" s="1"/>
  <c r="BN378" i="20" s="1"/>
  <c r="BK379" i="20"/>
  <c r="BK380" i="20"/>
  <c r="BL380" i="20"/>
  <c r="BM380" i="20"/>
  <c r="BO380" i="20" s="1"/>
  <c r="BN380" i="20"/>
  <c r="BP380" i="20"/>
  <c r="BK381" i="20"/>
  <c r="BL381" i="20"/>
  <c r="BM381" i="20"/>
  <c r="BO381" i="20" s="1"/>
  <c r="BN381" i="20"/>
  <c r="BK382" i="20"/>
  <c r="BL382" i="20" s="1"/>
  <c r="BN382" i="20" s="1"/>
  <c r="BK383" i="20"/>
  <c r="BM383" i="20" s="1"/>
  <c r="BK384" i="20"/>
  <c r="BL384" i="20" s="1"/>
  <c r="BN384" i="20" s="1"/>
  <c r="BM384" i="20"/>
  <c r="BK385" i="20"/>
  <c r="BL385" i="20" s="1"/>
  <c r="BN385" i="20" s="1"/>
  <c r="BK386" i="20"/>
  <c r="BL386" i="20"/>
  <c r="BN386" i="20" s="1"/>
  <c r="BM386" i="20"/>
  <c r="BK387" i="20"/>
  <c r="BL387" i="20"/>
  <c r="BM387" i="20"/>
  <c r="BN387" i="20"/>
  <c r="BO387" i="20"/>
  <c r="BK388" i="20"/>
  <c r="BK389" i="20"/>
  <c r="BL389" i="20"/>
  <c r="BN389" i="20" s="1"/>
  <c r="BP389" i="20" s="1"/>
  <c r="BM389" i="20"/>
  <c r="BO389" i="20"/>
  <c r="BK390" i="20"/>
  <c r="BM390" i="20" s="1"/>
  <c r="BK391" i="20"/>
  <c r="BL391" i="20" s="1"/>
  <c r="BN391" i="20" s="1"/>
  <c r="BP391" i="20" s="1"/>
  <c r="BM391" i="20"/>
  <c r="BO391" i="20" s="1"/>
  <c r="BK392" i="20"/>
  <c r="BL392" i="20"/>
  <c r="BN392" i="20" s="1"/>
  <c r="BM392" i="20"/>
  <c r="BO392" i="20" s="1"/>
  <c r="BK393" i="20"/>
  <c r="BK394" i="20"/>
  <c r="BL394" i="20"/>
  <c r="BM394" i="20"/>
  <c r="BO394" i="20" s="1"/>
  <c r="BN394" i="20"/>
  <c r="BK395" i="20"/>
  <c r="BL395" i="20"/>
  <c r="BM395" i="20"/>
  <c r="BK396" i="20"/>
  <c r="BL396" i="20"/>
  <c r="BM396" i="20"/>
  <c r="BO396" i="20" s="1"/>
  <c r="BN396" i="20"/>
  <c r="BP396" i="20" s="1"/>
  <c r="BK397" i="20"/>
  <c r="BL397" i="20"/>
  <c r="BM397" i="20"/>
  <c r="BO397" i="20" s="1"/>
  <c r="BP397" i="20" s="1"/>
  <c r="BN397" i="20"/>
  <c r="BK398" i="20"/>
  <c r="BL398" i="20"/>
  <c r="BM398" i="20"/>
  <c r="BO398" i="20" s="1"/>
  <c r="BN398" i="20"/>
  <c r="BP398" i="20" s="1"/>
  <c r="BK399" i="20"/>
  <c r="BK400" i="20"/>
  <c r="BL400" i="20" s="1"/>
  <c r="BN400" i="20" s="1"/>
  <c r="BK401" i="20"/>
  <c r="BM401" i="20" s="1"/>
  <c r="BK402" i="20"/>
  <c r="BL402" i="20"/>
  <c r="BN402" i="20" s="1"/>
  <c r="BM402" i="20"/>
  <c r="BK403" i="20"/>
  <c r="BM403" i="20" s="1"/>
  <c r="BO403" i="20" s="1"/>
  <c r="BL403" i="20"/>
  <c r="BN403" i="20" s="1"/>
  <c r="BP403" i="20" s="1"/>
  <c r="BK404" i="20"/>
  <c r="BL404" i="20" s="1"/>
  <c r="BN404" i="20" s="1"/>
  <c r="BM404" i="20"/>
  <c r="BO404" i="20" s="1"/>
  <c r="BP404" i="20" s="1"/>
  <c r="BK405" i="20"/>
  <c r="BL405" i="20"/>
  <c r="BN405" i="20" s="1"/>
  <c r="BP405" i="20" s="1"/>
  <c r="BM405" i="20"/>
  <c r="BO405" i="20" s="1"/>
  <c r="BK406" i="20"/>
  <c r="BL406" i="20" s="1"/>
  <c r="BN406" i="20" s="1"/>
  <c r="BM406" i="20"/>
  <c r="BO406" i="20" s="1"/>
  <c r="BP406" i="20"/>
  <c r="BK407" i="20"/>
  <c r="BL407" i="20" s="1"/>
  <c r="BN407" i="20" s="1"/>
  <c r="BM407" i="20"/>
  <c r="BK408" i="20"/>
  <c r="BL408" i="20" s="1"/>
  <c r="BN408" i="20" s="1"/>
  <c r="BM408" i="20"/>
  <c r="BO408" i="20" s="1"/>
  <c r="BP408" i="20"/>
  <c r="BK409" i="20"/>
  <c r="BL409" i="20" s="1"/>
  <c r="BN409" i="20" s="1"/>
  <c r="BK410" i="20"/>
  <c r="BL410" i="20" s="1"/>
  <c r="BN410" i="20" s="1"/>
  <c r="BK411" i="20"/>
  <c r="BL411" i="20"/>
  <c r="BN411" i="20" s="1"/>
  <c r="BM411" i="20"/>
  <c r="BK412" i="20"/>
  <c r="BL412" i="20" s="1"/>
  <c r="BN412" i="20" s="1"/>
  <c r="BP412" i="20" s="1"/>
  <c r="BM412" i="20"/>
  <c r="BO412" i="20" s="1"/>
  <c r="BK413" i="20"/>
  <c r="BL413" i="20"/>
  <c r="BN413" i="20" s="1"/>
  <c r="BP413" i="20" s="1"/>
  <c r="BM413" i="20"/>
  <c r="BO413" i="20" s="1"/>
  <c r="BK414" i="20"/>
  <c r="BL414" i="20" s="1"/>
  <c r="BN414" i="20" s="1"/>
  <c r="BM414" i="20"/>
  <c r="BO414" i="20" s="1"/>
  <c r="BP414" i="20"/>
  <c r="BK415" i="20"/>
  <c r="BL415" i="20"/>
  <c r="BN415" i="20" s="1"/>
  <c r="BM415" i="20"/>
  <c r="BO415" i="20" s="1"/>
  <c r="BP415" i="20"/>
  <c r="BK416" i="20"/>
  <c r="BL416" i="20" s="1"/>
  <c r="BN416" i="20" s="1"/>
  <c r="BK417" i="20"/>
  <c r="BL417" i="20" s="1"/>
  <c r="BN417" i="20" s="1"/>
  <c r="BK418" i="20"/>
  <c r="BL418" i="20" s="1"/>
  <c r="BN418" i="20" s="1"/>
  <c r="BK419" i="20"/>
  <c r="BM419" i="20" s="1"/>
  <c r="BO419" i="20" s="1"/>
  <c r="BL419" i="20"/>
  <c r="BN419" i="20" s="1"/>
  <c r="BK420" i="20"/>
  <c r="BL420" i="20" s="1"/>
  <c r="BN420" i="20" s="1"/>
  <c r="BP420" i="20" s="1"/>
  <c r="BM420" i="20"/>
  <c r="BO420" i="20" s="1"/>
  <c r="BK421" i="20"/>
  <c r="BL421" i="20"/>
  <c r="BN421" i="20" s="1"/>
  <c r="BM421" i="20"/>
  <c r="BO421" i="20" s="1"/>
  <c r="BP421" i="20" s="1"/>
  <c r="BK422" i="20"/>
  <c r="BL422" i="20" s="1"/>
  <c r="BN422" i="20" s="1"/>
  <c r="BM422" i="20"/>
  <c r="BO422" i="20" s="1"/>
  <c r="BP422" i="20"/>
  <c r="BK423" i="20"/>
  <c r="BL423" i="20" s="1"/>
  <c r="BN423" i="20" s="1"/>
  <c r="BK424" i="20"/>
  <c r="BL424" i="20" s="1"/>
  <c r="BN424" i="20" s="1"/>
  <c r="BK425" i="20"/>
  <c r="BL425" i="20" s="1"/>
  <c r="BN425" i="20" s="1"/>
  <c r="BM425" i="20"/>
  <c r="BK426" i="20"/>
  <c r="BL426" i="20" s="1"/>
  <c r="BN426" i="20" s="1"/>
  <c r="BK427" i="20"/>
  <c r="BM427" i="20" s="1"/>
  <c r="BO427" i="20" s="1"/>
  <c r="BL427" i="20"/>
  <c r="BN427" i="20" s="1"/>
  <c r="BK428" i="20"/>
  <c r="BL428" i="20" s="1"/>
  <c r="BN428" i="20" s="1"/>
  <c r="BM428" i="20"/>
  <c r="BO428" i="20" s="1"/>
  <c r="BP428" i="20" s="1"/>
  <c r="BK429" i="20"/>
  <c r="BL429" i="20"/>
  <c r="BN429" i="20" s="1"/>
  <c r="BP429" i="20" s="1"/>
  <c r="BM429" i="20"/>
  <c r="BO429" i="20" s="1"/>
  <c r="BK430" i="20"/>
  <c r="BL430" i="20" s="1"/>
  <c r="BN430" i="20" s="1"/>
  <c r="BM430" i="20"/>
  <c r="BO430" i="20" s="1"/>
  <c r="BP430" i="20"/>
  <c r="BK431" i="20"/>
  <c r="BL431" i="20" s="1"/>
  <c r="BN431" i="20" s="1"/>
  <c r="BM431" i="20"/>
  <c r="BK432" i="20"/>
  <c r="BL432" i="20" s="1"/>
  <c r="BN432" i="20" s="1"/>
  <c r="BM432" i="20"/>
  <c r="BO432" i="20" s="1"/>
  <c r="BP432" i="20"/>
  <c r="BK433" i="20"/>
  <c r="BL433" i="20" s="1"/>
  <c r="BN433" i="20" s="1"/>
  <c r="BK434" i="20"/>
  <c r="BL434" i="20" s="1"/>
  <c r="BN434" i="20" s="1"/>
  <c r="BK435" i="20"/>
  <c r="BL435" i="20"/>
  <c r="BN435" i="20" s="1"/>
  <c r="BM435" i="20"/>
  <c r="BO435" i="20"/>
  <c r="BP435" i="20"/>
  <c r="BK436" i="20"/>
  <c r="BL436" i="20" s="1"/>
  <c r="BN436" i="20" s="1"/>
  <c r="BK437" i="20"/>
  <c r="BM437" i="20" s="1"/>
  <c r="BO437" i="20" s="1"/>
  <c r="BL437" i="20"/>
  <c r="BN437" i="20" s="1"/>
  <c r="BK438" i="20"/>
  <c r="BL438" i="20" s="1"/>
  <c r="BN438" i="20" s="1"/>
  <c r="BK439" i="20"/>
  <c r="BM439" i="20" s="1"/>
  <c r="BO439" i="20" s="1"/>
  <c r="BL439" i="20"/>
  <c r="BN439" i="20" s="1"/>
  <c r="BP439" i="20" s="1"/>
  <c r="BK440" i="20"/>
  <c r="BL440" i="20" s="1"/>
  <c r="BN440" i="20" s="1"/>
  <c r="BK441" i="20"/>
  <c r="BL441" i="20"/>
  <c r="BN441" i="20" s="1"/>
  <c r="BM441" i="20"/>
  <c r="BO441" i="20"/>
  <c r="BP441" i="20"/>
  <c r="BK442" i="20"/>
  <c r="BL442" i="20" s="1"/>
  <c r="BN442" i="20" s="1"/>
  <c r="BK443" i="20"/>
  <c r="BM443" i="20" s="1"/>
  <c r="BO443" i="20" s="1"/>
  <c r="BL443" i="20"/>
  <c r="BN443" i="20" s="1"/>
  <c r="BK444" i="20"/>
  <c r="BL444" i="20" s="1"/>
  <c r="BN444" i="20" s="1"/>
  <c r="BK445" i="20"/>
  <c r="BM445" i="20" s="1"/>
  <c r="BO445" i="20" s="1"/>
  <c r="BL445" i="20"/>
  <c r="BN445" i="20" s="1"/>
  <c r="BP445" i="20" s="1"/>
  <c r="BK446" i="20"/>
  <c r="BL446" i="20" s="1"/>
  <c r="BN446" i="20" s="1"/>
  <c r="BK447" i="20"/>
  <c r="BL447" i="20"/>
  <c r="BN447" i="20" s="1"/>
  <c r="BM447" i="20"/>
  <c r="BO447" i="20"/>
  <c r="BP447" i="20"/>
  <c r="BK448" i="20"/>
  <c r="BL448" i="20" s="1"/>
  <c r="BN448" i="20" s="1"/>
  <c r="BK449" i="20"/>
  <c r="BM449" i="20" s="1"/>
  <c r="BO449" i="20" s="1"/>
  <c r="BL449" i="20"/>
  <c r="BN449" i="20" s="1"/>
  <c r="BK465" i="20"/>
  <c r="BM465" i="20" s="1"/>
  <c r="BO465" i="20" s="1"/>
  <c r="BL465" i="20"/>
  <c r="BN465" i="20" s="1"/>
  <c r="BP465" i="20" s="1"/>
  <c r="BK466" i="20"/>
  <c r="BL466" i="20" s="1"/>
  <c r="BN466" i="20" s="1"/>
  <c r="BM466" i="20"/>
  <c r="BK467" i="20"/>
  <c r="BL467" i="20" s="1"/>
  <c r="BN467" i="20" s="1"/>
  <c r="BK468" i="20"/>
  <c r="BL468" i="20" s="1"/>
  <c r="BN468" i="20" s="1"/>
  <c r="BM468" i="20"/>
  <c r="BK469" i="20"/>
  <c r="BL469" i="20"/>
  <c r="BN469" i="20" s="1"/>
  <c r="BP469" i="20" s="1"/>
  <c r="BM469" i="20"/>
  <c r="BO469" i="20"/>
  <c r="BK470" i="20"/>
  <c r="BL470" i="20"/>
  <c r="BN470" i="20" s="1"/>
  <c r="BP470" i="20" s="1"/>
  <c r="BM470" i="20"/>
  <c r="BO470" i="20" s="1"/>
  <c r="BK471" i="20"/>
  <c r="BL471" i="20"/>
  <c r="BN471" i="20" s="1"/>
  <c r="BM471" i="20"/>
  <c r="BO471" i="20" s="1"/>
  <c r="BP471" i="20" s="1"/>
  <c r="BK472" i="20"/>
  <c r="BM472" i="20" s="1"/>
  <c r="BO472" i="20" s="1"/>
  <c r="BL472" i="20"/>
  <c r="BN472" i="20" s="1"/>
  <c r="BK473" i="20"/>
  <c r="BM473" i="20" s="1"/>
  <c r="BO473" i="20" s="1"/>
  <c r="BL473" i="20"/>
  <c r="BN473" i="20" s="1"/>
  <c r="BP473" i="20" s="1"/>
  <c r="BK474" i="20"/>
  <c r="BL474" i="20" s="1"/>
  <c r="BN474" i="20" s="1"/>
  <c r="BM474" i="20"/>
  <c r="BK475" i="20"/>
  <c r="BL475" i="20" s="1"/>
  <c r="BN475" i="20" s="1"/>
  <c r="BK476" i="20"/>
  <c r="BL476" i="20" s="1"/>
  <c r="BN476" i="20" s="1"/>
  <c r="BM476" i="20"/>
  <c r="BK477" i="20"/>
  <c r="BL477" i="20"/>
  <c r="BN477" i="20" s="1"/>
  <c r="BP477" i="20" s="1"/>
  <c r="BM477" i="20"/>
  <c r="BO477" i="20"/>
  <c r="BK478" i="20"/>
  <c r="BL478" i="20"/>
  <c r="BN478" i="20" s="1"/>
  <c r="BP478" i="20" s="1"/>
  <c r="BM478" i="20"/>
  <c r="BO478" i="20" s="1"/>
  <c r="BK479" i="20"/>
  <c r="BL479" i="20"/>
  <c r="BN479" i="20" s="1"/>
  <c r="BM479" i="20"/>
  <c r="BO479" i="20" s="1"/>
  <c r="BP479" i="20" s="1"/>
  <c r="BK480" i="20"/>
  <c r="BM480" i="20" s="1"/>
  <c r="BO480" i="20" s="1"/>
  <c r="BL480" i="20"/>
  <c r="BN480" i="20" s="1"/>
  <c r="BP480" i="20" s="1"/>
  <c r="BK481" i="20"/>
  <c r="BM481" i="20" s="1"/>
  <c r="BO481" i="20" s="1"/>
  <c r="BL481" i="20"/>
  <c r="BN481" i="20" s="1"/>
  <c r="BK482" i="20"/>
  <c r="BL482" i="20" s="1"/>
  <c r="BM482" i="20"/>
  <c r="BK483" i="20"/>
  <c r="BL483" i="20"/>
  <c r="BN483" i="20" s="1"/>
  <c r="BM483" i="20"/>
  <c r="BO483" i="20" s="1"/>
  <c r="BK484" i="20"/>
  <c r="BL484" i="20"/>
  <c r="BM484" i="20"/>
  <c r="BN484" i="20"/>
  <c r="BO484" i="20"/>
  <c r="BP484" i="20"/>
  <c r="BK485" i="20"/>
  <c r="BL485" i="20" s="1"/>
  <c r="BN485" i="20" s="1"/>
  <c r="BK486" i="20"/>
  <c r="BL486" i="20"/>
  <c r="BM486" i="20"/>
  <c r="BN486" i="20"/>
  <c r="BO486" i="20"/>
  <c r="BP486" i="20"/>
  <c r="BK487" i="20"/>
  <c r="BL487" i="20" s="1"/>
  <c r="BN487" i="20" s="1"/>
  <c r="BK488" i="20"/>
  <c r="BL488" i="20" s="1"/>
  <c r="BM488" i="20"/>
  <c r="BK489" i="20"/>
  <c r="BM489" i="20" s="1"/>
  <c r="BO489" i="20" s="1"/>
  <c r="BL489" i="20"/>
  <c r="BN489" i="20" s="1"/>
  <c r="BP489" i="20" s="1"/>
  <c r="BK490" i="20"/>
  <c r="BL490" i="20" s="1"/>
  <c r="BN490" i="20" s="1"/>
  <c r="BK491" i="20"/>
  <c r="BL491" i="20"/>
  <c r="BN491" i="20" s="1"/>
  <c r="BM491" i="20"/>
  <c r="BO491" i="20" s="1"/>
  <c r="BK492" i="20"/>
  <c r="BM492" i="20" s="1"/>
  <c r="BO492" i="20" s="1"/>
  <c r="BL492" i="20"/>
  <c r="BN492" i="20" s="1"/>
  <c r="BP492" i="20" s="1"/>
  <c r="BK493" i="20"/>
  <c r="BL493" i="20"/>
  <c r="BM493" i="20"/>
  <c r="BO493" i="20" s="1"/>
  <c r="BN493" i="20"/>
  <c r="BK494" i="20"/>
  <c r="BM494" i="20" s="1"/>
  <c r="BO494" i="20" s="1"/>
  <c r="BL494" i="20"/>
  <c r="BN494" i="20" s="1"/>
  <c r="BP494" i="20" s="1"/>
  <c r="BK495" i="20"/>
  <c r="BL495" i="20"/>
  <c r="BM495" i="20"/>
  <c r="BO495" i="20" s="1"/>
  <c r="BN495" i="20"/>
  <c r="BP495" i="20" s="1"/>
  <c r="BK496" i="20"/>
  <c r="BM496" i="20" s="1"/>
  <c r="BO496" i="20" s="1"/>
  <c r="BL496" i="20"/>
  <c r="BN496" i="20" s="1"/>
  <c r="BP496" i="20" s="1"/>
  <c r="BK153" i="20"/>
  <c r="BL153" i="20" s="1"/>
  <c r="BN153" i="20" s="1"/>
  <c r="BK154" i="20"/>
  <c r="BL154" i="20" s="1"/>
  <c r="BN154" i="20" s="1"/>
  <c r="BK155" i="20"/>
  <c r="BL155" i="20" s="1"/>
  <c r="BN155" i="20" s="1"/>
  <c r="BK156" i="20"/>
  <c r="BL156" i="20" s="1"/>
  <c r="BN156" i="20" s="1"/>
  <c r="BK157" i="20"/>
  <c r="BL157" i="20" s="1"/>
  <c r="BN157" i="20" s="1"/>
  <c r="BK158" i="20"/>
  <c r="BL158" i="20" s="1"/>
  <c r="BN158" i="20" s="1"/>
  <c r="BK159" i="20"/>
  <c r="BL159" i="20" s="1"/>
  <c r="BN159" i="20" s="1"/>
  <c r="BK160" i="20"/>
  <c r="BL160" i="20" s="1"/>
  <c r="BN160" i="20" s="1"/>
  <c r="BK161" i="20"/>
  <c r="BL161" i="20" s="1"/>
  <c r="BN161" i="20" s="1"/>
  <c r="BK162" i="20"/>
  <c r="BL162" i="20" s="1"/>
  <c r="BN162" i="20" s="1"/>
  <c r="BK163" i="20"/>
  <c r="BL163" i="20" s="1"/>
  <c r="BN163" i="20" s="1"/>
  <c r="BK164" i="20"/>
  <c r="BL164" i="20" s="1"/>
  <c r="BN164" i="20" s="1"/>
  <c r="EE153" i="20"/>
  <c r="EE154" i="20"/>
  <c r="EE155" i="20"/>
  <c r="EE156" i="20"/>
  <c r="EE157" i="20"/>
  <c r="EE158" i="20"/>
  <c r="EE159" i="20"/>
  <c r="EE160" i="20"/>
  <c r="EE161" i="20"/>
  <c r="EE162" i="20"/>
  <c r="EE163" i="20"/>
  <c r="EE164" i="20"/>
  <c r="DX19" i="20"/>
  <c r="I19" i="20"/>
  <c r="P147" i="20"/>
  <c r="AG447" i="20"/>
  <c r="AG446" i="20"/>
  <c r="AG443" i="20"/>
  <c r="AG442" i="20"/>
  <c r="AG439" i="20"/>
  <c r="AG438" i="20"/>
  <c r="AG435" i="20"/>
  <c r="AG434" i="20"/>
  <c r="AG432" i="20"/>
  <c r="AG430" i="20"/>
  <c r="AG428" i="20"/>
  <c r="AG426" i="20"/>
  <c r="AG423" i="20"/>
  <c r="AG422" i="20"/>
  <c r="AG419" i="20"/>
  <c r="AG416" i="20"/>
  <c r="AG411" i="20"/>
  <c r="AG410" i="20"/>
  <c r="AG408" i="20"/>
  <c r="AG407" i="20"/>
  <c r="AG406" i="20"/>
  <c r="AG405" i="20"/>
  <c r="AG402" i="20"/>
  <c r="AG399" i="20"/>
  <c r="AG396" i="20"/>
  <c r="AG393" i="20"/>
  <c r="AG392" i="20"/>
  <c r="AG391" i="20"/>
  <c r="AG386" i="20"/>
  <c r="AG385" i="20"/>
  <c r="AG381" i="20"/>
  <c r="AG380" i="20"/>
  <c r="AG375" i="20"/>
  <c r="AG374" i="20"/>
  <c r="AG372" i="20"/>
  <c r="AG370" i="20"/>
  <c r="AG368" i="20"/>
  <c r="AG366" i="20"/>
  <c r="AG364" i="20"/>
  <c r="AG362" i="20"/>
  <c r="AG360" i="20"/>
  <c r="AG358" i="20"/>
  <c r="AG356" i="20"/>
  <c r="AG354" i="20"/>
  <c r="AG348" i="20"/>
  <c r="AG349" i="20"/>
  <c r="AG350" i="20"/>
  <c r="AG351" i="20"/>
  <c r="AG352" i="20"/>
  <c r="AG347" i="20"/>
  <c r="AG344" i="20"/>
  <c r="AG345" i="20"/>
  <c r="AG343" i="20"/>
  <c r="AG340" i="20"/>
  <c r="AG339" i="20"/>
  <c r="AG336" i="20"/>
  <c r="AG335" i="20"/>
  <c r="AG333" i="20"/>
  <c r="AG331" i="20"/>
  <c r="AG329" i="20"/>
  <c r="AG328" i="20"/>
  <c r="AG326" i="20"/>
  <c r="AG324" i="20"/>
  <c r="AG322" i="20"/>
  <c r="AG320" i="20"/>
  <c r="AG313" i="20"/>
  <c r="AG312" i="20"/>
  <c r="AG311" i="20"/>
  <c r="AG308" i="20"/>
  <c r="AG307" i="20"/>
  <c r="AG304" i="20"/>
  <c r="AG303" i="20"/>
  <c r="AG300" i="20"/>
  <c r="AG299" i="20"/>
  <c r="AG288" i="20"/>
  <c r="AG289" i="20"/>
  <c r="AG290" i="20"/>
  <c r="AG287" i="20"/>
  <c r="AG285" i="20"/>
  <c r="AG283" i="20"/>
  <c r="AG281" i="20"/>
  <c r="AG279" i="20"/>
  <c r="AG275" i="20"/>
  <c r="AG272" i="20"/>
  <c r="AG268" i="20"/>
  <c r="AG266" i="20"/>
  <c r="AG261" i="20"/>
  <c r="AG260" i="20"/>
  <c r="AG255" i="20"/>
  <c r="AG254" i="20"/>
  <c r="AG249" i="20"/>
  <c r="AG248" i="20"/>
  <c r="AG238" i="20"/>
  <c r="AG239" i="20"/>
  <c r="AG240" i="20"/>
  <c r="AG241" i="20"/>
  <c r="AG242" i="20"/>
  <c r="AG243" i="20"/>
  <c r="AG237" i="20"/>
  <c r="AG227" i="20"/>
  <c r="AG228" i="20"/>
  <c r="AG229" i="20"/>
  <c r="AG230" i="20"/>
  <c r="AG231" i="20"/>
  <c r="AG232" i="20"/>
  <c r="AG233" i="20"/>
  <c r="AG234" i="20"/>
  <c r="AG235" i="20"/>
  <c r="AG226" i="20"/>
  <c r="AG224" i="20"/>
  <c r="AG223" i="20"/>
  <c r="AG221" i="20"/>
  <c r="AG220" i="20"/>
  <c r="AG211" i="20"/>
  <c r="AG212" i="20"/>
  <c r="AG213" i="20"/>
  <c r="AG214" i="20"/>
  <c r="AG215" i="20"/>
  <c r="AG216" i="20"/>
  <c r="AG210" i="20"/>
  <c r="AG203" i="20"/>
  <c r="AG204" i="20"/>
  <c r="AG205" i="20"/>
  <c r="AG206" i="20"/>
  <c r="AG207" i="20"/>
  <c r="AG202" i="20"/>
  <c r="AG190" i="20"/>
  <c r="AG191" i="20"/>
  <c r="AG192" i="20"/>
  <c r="AG193" i="20"/>
  <c r="AG194" i="20"/>
  <c r="AG195" i="20"/>
  <c r="AG196" i="20"/>
  <c r="AG197" i="20"/>
  <c r="CD197" i="20" s="1"/>
  <c r="CE197" i="20" s="1"/>
  <c r="AG198" i="20"/>
  <c r="AG199" i="20"/>
  <c r="CD199" i="20" s="1"/>
  <c r="CE199" i="20" s="1"/>
  <c r="AG189" i="20"/>
  <c r="AG185" i="20"/>
  <c r="AG184" i="20"/>
  <c r="AG182" i="20"/>
  <c r="AG181" i="20"/>
  <c r="AG179" i="20"/>
  <c r="AG176" i="20"/>
  <c r="AG175" i="20"/>
  <c r="AG171" i="20"/>
  <c r="AG172" i="20"/>
  <c r="AG170" i="20"/>
  <c r="AG168" i="20"/>
  <c r="AG167" i="20"/>
  <c r="AG148" i="20"/>
  <c r="AG149" i="20"/>
  <c r="AG150" i="20"/>
  <c r="AG151" i="20"/>
  <c r="AG152" i="20"/>
  <c r="AG153" i="20"/>
  <c r="AG154" i="20"/>
  <c r="AG155" i="20"/>
  <c r="AG156" i="20"/>
  <c r="AG157" i="20"/>
  <c r="CD157" i="20" s="1"/>
  <c r="CE157" i="20" s="1"/>
  <c r="AG158" i="20"/>
  <c r="FY158" i="20" s="1"/>
  <c r="AG159" i="20"/>
  <c r="FY159" i="20" s="1"/>
  <c r="AG160" i="20"/>
  <c r="FY160" i="20" s="1"/>
  <c r="AG161" i="20"/>
  <c r="AG162" i="20"/>
  <c r="CD162" i="20" s="1"/>
  <c r="CE162" i="20" s="1"/>
  <c r="AG163" i="20"/>
  <c r="FY163" i="20" s="1"/>
  <c r="AG164" i="20"/>
  <c r="FY164" i="20" s="1"/>
  <c r="AG165" i="20"/>
  <c r="AG147" i="20"/>
  <c r="AG124" i="20"/>
  <c r="AG125" i="20"/>
  <c r="AG126" i="20"/>
  <c r="AG127" i="20"/>
  <c r="AG128" i="20"/>
  <c r="AG129" i="20"/>
  <c r="AG130" i="20"/>
  <c r="AG131" i="20"/>
  <c r="AG132" i="20"/>
  <c r="CD132" i="20" s="1"/>
  <c r="CE132" i="20" s="1"/>
  <c r="AG133" i="20"/>
  <c r="AG134" i="20"/>
  <c r="AG135" i="20"/>
  <c r="CD135" i="20" s="1"/>
  <c r="CE135" i="20" s="1"/>
  <c r="AG136" i="20"/>
  <c r="AG137" i="20"/>
  <c r="CD137" i="20" s="1"/>
  <c r="CE137" i="20" s="1"/>
  <c r="AG138" i="20"/>
  <c r="CD138" i="20" s="1"/>
  <c r="CE138" i="20" s="1"/>
  <c r="AG123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CD104" i="20" s="1"/>
  <c r="CE104" i="20" s="1"/>
  <c r="AG105" i="20"/>
  <c r="CD105" i="20" s="1"/>
  <c r="CE105" i="20" s="1"/>
  <c r="AG106" i="20"/>
  <c r="AG107" i="20"/>
  <c r="CD107" i="20" s="1"/>
  <c r="CE107" i="20" s="1"/>
  <c r="AG108" i="20"/>
  <c r="AG109" i="20"/>
  <c r="CD109" i="20" s="1"/>
  <c r="CE109" i="20" s="1"/>
  <c r="AG110" i="20"/>
  <c r="AG111" i="20"/>
  <c r="CD111" i="20" s="1"/>
  <c r="CE111" i="20" s="1"/>
  <c r="AG112" i="20"/>
  <c r="CD112" i="20" s="1"/>
  <c r="CE112" i="20" s="1"/>
  <c r="AG113" i="20"/>
  <c r="CD113" i="20" s="1"/>
  <c r="CE113" i="20" s="1"/>
  <c r="AG114" i="20"/>
  <c r="CD114" i="20" s="1"/>
  <c r="CE114" i="20" s="1"/>
  <c r="AG115" i="20"/>
  <c r="CD115" i="20" s="1"/>
  <c r="CE115" i="20" s="1"/>
  <c r="AG116" i="20"/>
  <c r="CD116" i="20" s="1"/>
  <c r="CE116" i="20" s="1"/>
  <c r="AG117" i="20"/>
  <c r="AG92" i="20"/>
  <c r="AG53" i="20"/>
  <c r="AG54" i="20"/>
  <c r="AG55" i="20"/>
  <c r="AG56" i="20"/>
  <c r="AG57" i="20"/>
  <c r="AG58" i="20"/>
  <c r="AG59" i="20"/>
  <c r="AG60" i="20"/>
  <c r="AG61" i="20"/>
  <c r="FY61" i="20" s="1"/>
  <c r="AG62" i="20"/>
  <c r="AG63" i="20"/>
  <c r="FY63" i="20" s="1"/>
  <c r="AG64" i="20"/>
  <c r="AG65" i="20"/>
  <c r="CD65" i="20" s="1"/>
  <c r="CE65" i="20" s="1"/>
  <c r="AG66" i="20"/>
  <c r="FY66" i="20" s="1"/>
  <c r="AG67" i="20"/>
  <c r="CD67" i="20" s="1"/>
  <c r="CE67" i="20" s="1"/>
  <c r="AG68" i="20"/>
  <c r="CD68" i="20" s="1"/>
  <c r="CE68" i="20" s="1"/>
  <c r="AG69" i="20"/>
  <c r="AG70" i="20"/>
  <c r="CD70" i="20" s="1"/>
  <c r="CE70" i="20" s="1"/>
  <c r="AG71" i="20"/>
  <c r="FY71" i="20" s="1"/>
  <c r="AG72" i="20"/>
  <c r="FY72" i="20" s="1"/>
  <c r="AG73" i="20"/>
  <c r="CD73" i="20" s="1"/>
  <c r="CE73" i="20" s="1"/>
  <c r="AG74" i="20"/>
  <c r="FY74" i="20" s="1"/>
  <c r="AG75" i="20"/>
  <c r="CD75" i="20" s="1"/>
  <c r="CE75" i="20" s="1"/>
  <c r="AG76" i="20"/>
  <c r="CD76" i="20" s="1"/>
  <c r="CE76" i="20" s="1"/>
  <c r="AG77" i="20"/>
  <c r="AG78" i="20"/>
  <c r="AG79" i="20"/>
  <c r="AG80" i="20"/>
  <c r="AG81" i="20"/>
  <c r="AG82" i="20"/>
  <c r="AG83" i="20"/>
  <c r="AG84" i="20"/>
  <c r="AG85" i="20"/>
  <c r="FY85" i="20" s="1"/>
  <c r="AG86" i="20"/>
  <c r="AG87" i="20"/>
  <c r="CD87" i="20" s="1"/>
  <c r="CE87" i="20" s="1"/>
  <c r="AG88" i="20"/>
  <c r="FY88" i="20" s="1"/>
  <c r="AG89" i="20"/>
  <c r="CD89" i="20" s="1"/>
  <c r="CE89" i="20" s="1"/>
  <c r="AG52" i="20"/>
  <c r="AG35" i="20"/>
  <c r="AG36" i="20"/>
  <c r="AG34" i="20"/>
  <c r="AG26" i="20"/>
  <c r="AG27" i="20"/>
  <c r="AG25" i="20"/>
  <c r="AG20" i="20"/>
  <c r="AG21" i="20"/>
  <c r="AE314" i="20"/>
  <c r="FX496" i="21"/>
  <c r="DZ496" i="21"/>
  <c r="DY496" i="21"/>
  <c r="DL496" i="21"/>
  <c r="DI496" i="21"/>
  <c r="CG496" i="21"/>
  <c r="CF496" i="21"/>
  <c r="CH496" i="21" s="1"/>
  <c r="CD496" i="21"/>
  <c r="CC496" i="21"/>
  <c r="CE496" i="21" s="1"/>
  <c r="CB496" i="21"/>
  <c r="CI496" i="21" s="1"/>
  <c r="CK496" i="21" s="1"/>
  <c r="CA496" i="21"/>
  <c r="BZ496" i="21"/>
  <c r="BR496" i="21"/>
  <c r="AX496" i="21"/>
  <c r="AS496" i="21"/>
  <c r="AN496" i="21"/>
  <c r="AM496" i="21"/>
  <c r="AL496" i="21"/>
  <c r="AQ496" i="21" s="1"/>
  <c r="AR496" i="21" s="1"/>
  <c r="AK496" i="21"/>
  <c r="AE496" i="21"/>
  <c r="AD496" i="21"/>
  <c r="W496" i="21"/>
  <c r="U496" i="21"/>
  <c r="T496" i="21"/>
  <c r="L496" i="21"/>
  <c r="I496" i="21"/>
  <c r="M496" i="21" s="1"/>
  <c r="G496" i="21"/>
  <c r="FZ495" i="21"/>
  <c r="FX495" i="21"/>
  <c r="DY495" i="21"/>
  <c r="DL495" i="21"/>
  <c r="DI495" i="21"/>
  <c r="CG495" i="21"/>
  <c r="CH495" i="21" s="1"/>
  <c r="CF495" i="21"/>
  <c r="CD495" i="21"/>
  <c r="CE495" i="21" s="1"/>
  <c r="CC495" i="21"/>
  <c r="CB495" i="21"/>
  <c r="CA495" i="21"/>
  <c r="BZ495" i="21"/>
  <c r="BR495" i="21"/>
  <c r="DZ495" i="21" s="1"/>
  <c r="AX495" i="21"/>
  <c r="AS495" i="21"/>
  <c r="AN495" i="21"/>
  <c r="AM495" i="21"/>
  <c r="AL495" i="21"/>
  <c r="AQ495" i="21" s="1"/>
  <c r="AR495" i="21" s="1"/>
  <c r="AK495" i="21"/>
  <c r="AE495" i="21"/>
  <c r="X495" i="21"/>
  <c r="EL495" i="21" s="1"/>
  <c r="EK495" i="21" s="1"/>
  <c r="W495" i="21"/>
  <c r="U495" i="21"/>
  <c r="AY495" i="21" s="1"/>
  <c r="T495" i="21"/>
  <c r="BH495" i="21" s="1"/>
  <c r="M495" i="21"/>
  <c r="L495" i="21"/>
  <c r="I495" i="21"/>
  <c r="G495" i="21"/>
  <c r="FY495" i="21" s="1"/>
  <c r="GA495" i="21" s="1"/>
  <c r="FX494" i="21"/>
  <c r="DY494" i="21"/>
  <c r="DL494" i="21"/>
  <c r="CG494" i="21"/>
  <c r="CF494" i="21"/>
  <c r="CH494" i="21" s="1"/>
  <c r="CC494" i="21"/>
  <c r="CA494" i="21"/>
  <c r="CB494" i="21" s="1"/>
  <c r="BZ494" i="21"/>
  <c r="BR494" i="21"/>
  <c r="DZ494" i="21" s="1"/>
  <c r="AX494" i="21"/>
  <c r="AS494" i="21"/>
  <c r="AN494" i="21"/>
  <c r="AM494" i="21"/>
  <c r="AL494" i="21"/>
  <c r="AQ494" i="21" s="1"/>
  <c r="AR494" i="21" s="1"/>
  <c r="AK494" i="21"/>
  <c r="AE494" i="21"/>
  <c r="W494" i="21"/>
  <c r="U494" i="21"/>
  <c r="T494" i="21"/>
  <c r="L494" i="21"/>
  <c r="I494" i="21"/>
  <c r="M494" i="21" s="1"/>
  <c r="G494" i="21"/>
  <c r="FX493" i="21"/>
  <c r="EA493" i="21"/>
  <c r="DY493" i="21"/>
  <c r="DL493" i="21"/>
  <c r="DI493" i="21"/>
  <c r="CG493" i="21"/>
  <c r="CF493" i="21"/>
  <c r="CH493" i="21" s="1"/>
  <c r="CC493" i="21"/>
  <c r="CA493" i="21"/>
  <c r="BZ493" i="21"/>
  <c r="CB493" i="21" s="1"/>
  <c r="BR493" i="21"/>
  <c r="DZ493" i="21" s="1"/>
  <c r="BA493" i="21"/>
  <c r="BB493" i="21" s="1"/>
  <c r="AS493" i="21"/>
  <c r="AN493" i="21"/>
  <c r="AM493" i="21"/>
  <c r="AL493" i="21"/>
  <c r="AQ493" i="21" s="1"/>
  <c r="AR493" i="21" s="1"/>
  <c r="AK493" i="21"/>
  <c r="AE493" i="21"/>
  <c r="X493" i="21"/>
  <c r="EL493" i="21" s="1"/>
  <c r="EK493" i="21" s="1"/>
  <c r="W493" i="21"/>
  <c r="U493" i="21"/>
  <c r="T493" i="21"/>
  <c r="L493" i="21"/>
  <c r="I493" i="21"/>
  <c r="G493" i="21"/>
  <c r="FX492" i="21"/>
  <c r="DY492" i="21"/>
  <c r="DL492" i="21"/>
  <c r="DI492" i="21"/>
  <c r="CG492" i="21"/>
  <c r="CF492" i="21"/>
  <c r="CH492" i="21" s="1"/>
  <c r="CC492" i="21"/>
  <c r="CA492" i="21"/>
  <c r="BZ492" i="21"/>
  <c r="BR492" i="21"/>
  <c r="DZ492" i="21" s="1"/>
  <c r="AX492" i="21"/>
  <c r="AS492" i="21"/>
  <c r="AN492" i="21"/>
  <c r="AM492" i="21"/>
  <c r="AL492" i="21"/>
  <c r="AQ492" i="21" s="1"/>
  <c r="AR492" i="21" s="1"/>
  <c r="DU492" i="21" s="1"/>
  <c r="AK492" i="21"/>
  <c r="AE492" i="21"/>
  <c r="W492" i="21"/>
  <c r="U492" i="21"/>
  <c r="AY492" i="21" s="1"/>
  <c r="AZ492" i="21" s="1"/>
  <c r="T492" i="21"/>
  <c r="M492" i="21"/>
  <c r="L492" i="21"/>
  <c r="I492" i="21"/>
  <c r="G492" i="21"/>
  <c r="FX491" i="21"/>
  <c r="DY491" i="21"/>
  <c r="DL491" i="21"/>
  <c r="DI491" i="21"/>
  <c r="CG491" i="21"/>
  <c r="CF491" i="21"/>
  <c r="CH491" i="21" s="1"/>
  <c r="CD491" i="21"/>
  <c r="CE491" i="21" s="1"/>
  <c r="CC491" i="21"/>
  <c r="CA491" i="21"/>
  <c r="CB491" i="21" s="1"/>
  <c r="BZ491" i="21"/>
  <c r="BR491" i="21"/>
  <c r="DZ491" i="21" s="1"/>
  <c r="BA491" i="21"/>
  <c r="BB491" i="21" s="1"/>
  <c r="AY491" i="21"/>
  <c r="AX491" i="21"/>
  <c r="AS491" i="21"/>
  <c r="AQ491" i="21"/>
  <c r="AR491" i="21" s="1"/>
  <c r="AN491" i="21"/>
  <c r="AM491" i="21"/>
  <c r="AL491" i="21"/>
  <c r="AK491" i="21"/>
  <c r="AE491" i="21"/>
  <c r="W491" i="21"/>
  <c r="X491" i="21" s="1"/>
  <c r="U491" i="21"/>
  <c r="T491" i="21"/>
  <c r="M491" i="21"/>
  <c r="L491" i="21"/>
  <c r="I491" i="21"/>
  <c r="G491" i="21"/>
  <c r="FZ490" i="21"/>
  <c r="FY490" i="21"/>
  <c r="GA490" i="21" s="1"/>
  <c r="GB490" i="21" s="1"/>
  <c r="FX490" i="21"/>
  <c r="EA490" i="21"/>
  <c r="DY490" i="21"/>
  <c r="DM490" i="21"/>
  <c r="DL490" i="21"/>
  <c r="DI490" i="21"/>
  <c r="CG490" i="21"/>
  <c r="CH490" i="21" s="1"/>
  <c r="CI490" i="21" s="1"/>
  <c r="CK490" i="21" s="1"/>
  <c r="CF490" i="21"/>
  <c r="CD490" i="21"/>
  <c r="CC490" i="21"/>
  <c r="CE490" i="21" s="1"/>
  <c r="CA490" i="21"/>
  <c r="BZ490" i="21"/>
  <c r="CB490" i="21" s="1"/>
  <c r="BR490" i="21"/>
  <c r="DZ490" i="21" s="1"/>
  <c r="EB490" i="21" s="1"/>
  <c r="EH490" i="21" s="1"/>
  <c r="BF490" i="21"/>
  <c r="BE490" i="21"/>
  <c r="BA490" i="21"/>
  <c r="BB490" i="21" s="1"/>
  <c r="AX490" i="21"/>
  <c r="AS490" i="21"/>
  <c r="AN490" i="21"/>
  <c r="AM490" i="21"/>
  <c r="AL490" i="21"/>
  <c r="AK490" i="21"/>
  <c r="X490" i="21"/>
  <c r="EL490" i="21" s="1"/>
  <c r="EK490" i="21" s="1"/>
  <c r="W490" i="21"/>
  <c r="U490" i="21"/>
  <c r="T490" i="21"/>
  <c r="M490" i="21"/>
  <c r="L490" i="21"/>
  <c r="I490" i="21"/>
  <c r="G490" i="21"/>
  <c r="FZ489" i="21"/>
  <c r="FY489" i="21"/>
  <c r="GA489" i="21" s="1"/>
  <c r="FX489" i="21"/>
  <c r="EA489" i="21"/>
  <c r="DY489" i="21"/>
  <c r="DL489" i="21"/>
  <c r="DI489" i="21"/>
  <c r="CG489" i="21"/>
  <c r="CF489" i="21"/>
  <c r="CH489" i="21" s="1"/>
  <c r="CD489" i="21"/>
  <c r="CC489" i="21"/>
  <c r="CA489" i="21"/>
  <c r="BZ489" i="21"/>
  <c r="CB489" i="21" s="1"/>
  <c r="BR489" i="21"/>
  <c r="DZ489" i="21" s="1"/>
  <c r="BF489" i="21"/>
  <c r="BE489" i="21"/>
  <c r="BA489" i="21"/>
  <c r="BB489" i="21" s="1"/>
  <c r="AY489" i="21"/>
  <c r="AZ489" i="21" s="1"/>
  <c r="BC489" i="21" s="1"/>
  <c r="AX489" i="21"/>
  <c r="AS489" i="21"/>
  <c r="AN489" i="21"/>
  <c r="AM489" i="21"/>
  <c r="AL489" i="21"/>
  <c r="AQ489" i="21" s="1"/>
  <c r="AR489" i="21" s="1"/>
  <c r="DU489" i="21" s="1"/>
  <c r="AK489" i="21"/>
  <c r="X489" i="21"/>
  <c r="W489" i="21"/>
  <c r="U489" i="21"/>
  <c r="T489" i="21"/>
  <c r="M489" i="21"/>
  <c r="L489" i="21"/>
  <c r="I489" i="21"/>
  <c r="G489" i="21"/>
  <c r="FZ488" i="21"/>
  <c r="FY488" i="21"/>
  <c r="GA488" i="21" s="1"/>
  <c r="FX488" i="21"/>
  <c r="EA488" i="21"/>
  <c r="DY488" i="21"/>
  <c r="DL488" i="21"/>
  <c r="DI488" i="21"/>
  <c r="CG488" i="21"/>
  <c r="CF488" i="21"/>
  <c r="CH488" i="21" s="1"/>
  <c r="CD488" i="21"/>
  <c r="CC488" i="21"/>
  <c r="CA488" i="21"/>
  <c r="BZ488" i="21"/>
  <c r="CB488" i="21" s="1"/>
  <c r="BR488" i="21"/>
  <c r="DZ488" i="21" s="1"/>
  <c r="EB488" i="21" s="1"/>
  <c r="EH488" i="21" s="1"/>
  <c r="BF488" i="21"/>
  <c r="BE488" i="21"/>
  <c r="BA488" i="21"/>
  <c r="BB488" i="21" s="1"/>
  <c r="AX488" i="21"/>
  <c r="AS488" i="21"/>
  <c r="AN488" i="21"/>
  <c r="AM488" i="21"/>
  <c r="AL488" i="21"/>
  <c r="AQ488" i="21" s="1"/>
  <c r="AR488" i="21" s="1"/>
  <c r="AK488" i="21"/>
  <c r="X488" i="21"/>
  <c r="W488" i="21"/>
  <c r="U488" i="21"/>
  <c r="T488" i="21"/>
  <c r="M488" i="21"/>
  <c r="L488" i="21"/>
  <c r="I488" i="21"/>
  <c r="G488" i="21"/>
  <c r="FZ487" i="21"/>
  <c r="FY487" i="21"/>
  <c r="GA487" i="21" s="1"/>
  <c r="FX487" i="21"/>
  <c r="EA487" i="21"/>
  <c r="DY487" i="21"/>
  <c r="DL487" i="21"/>
  <c r="DI487" i="21"/>
  <c r="CG487" i="21"/>
  <c r="CH487" i="21" s="1"/>
  <c r="CF487" i="21"/>
  <c r="CD487" i="21"/>
  <c r="CC487" i="21"/>
  <c r="CA487" i="21"/>
  <c r="BZ487" i="21"/>
  <c r="CB487" i="21" s="1"/>
  <c r="BR487" i="21"/>
  <c r="DZ487" i="21" s="1"/>
  <c r="BF487" i="21"/>
  <c r="BE487" i="21"/>
  <c r="BA487" i="21"/>
  <c r="BB487" i="21" s="1"/>
  <c r="AX487" i="21"/>
  <c r="AS487" i="21"/>
  <c r="AN487" i="21"/>
  <c r="AM487" i="21"/>
  <c r="AQ487" i="21" s="1"/>
  <c r="AR487" i="21" s="1"/>
  <c r="AL487" i="21"/>
  <c r="AK487" i="21"/>
  <c r="Y487" i="21"/>
  <c r="X487" i="21"/>
  <c r="EL487" i="21" s="1"/>
  <c r="EK487" i="21" s="1"/>
  <c r="W487" i="21"/>
  <c r="U487" i="21"/>
  <c r="T487" i="21"/>
  <c r="M487" i="21"/>
  <c r="L487" i="21"/>
  <c r="I487" i="21"/>
  <c r="G487" i="21"/>
  <c r="FZ486" i="21"/>
  <c r="FY486" i="21"/>
  <c r="GA486" i="21" s="1"/>
  <c r="FX486" i="21"/>
  <c r="EV486" i="21"/>
  <c r="EK486" i="21"/>
  <c r="ET486" i="21" s="1"/>
  <c r="EA486" i="21"/>
  <c r="DY486" i="21"/>
  <c r="DL486" i="21"/>
  <c r="DI486" i="21"/>
  <c r="EU486" i="21" s="1"/>
  <c r="CG486" i="21"/>
  <c r="CF486" i="21"/>
  <c r="CH486" i="21" s="1"/>
  <c r="CD486" i="21"/>
  <c r="CC486" i="21"/>
  <c r="CA486" i="21"/>
  <c r="BZ486" i="21"/>
  <c r="CB486" i="21" s="1"/>
  <c r="BR486" i="21"/>
  <c r="DZ486" i="21" s="1"/>
  <c r="EB486" i="21" s="1"/>
  <c r="EH486" i="21" s="1"/>
  <c r="BF486" i="21"/>
  <c r="BE486" i="21"/>
  <c r="BA486" i="21"/>
  <c r="BB486" i="21" s="1"/>
  <c r="AZ486" i="21"/>
  <c r="BC486" i="21" s="1"/>
  <c r="AY486" i="21"/>
  <c r="AX486" i="21"/>
  <c r="AS486" i="21"/>
  <c r="AQ486" i="21"/>
  <c r="AR486" i="21" s="1"/>
  <c r="AN486" i="21"/>
  <c r="AM486" i="21"/>
  <c r="AL486" i="21"/>
  <c r="AK486" i="21"/>
  <c r="X486" i="21"/>
  <c r="EL486" i="21" s="1"/>
  <c r="W486" i="21"/>
  <c r="U486" i="21"/>
  <c r="T486" i="21"/>
  <c r="M486" i="21"/>
  <c r="L486" i="21"/>
  <c r="I486" i="21"/>
  <c r="G486" i="21"/>
  <c r="FZ485" i="21"/>
  <c r="FY485" i="21"/>
  <c r="GA485" i="21" s="1"/>
  <c r="FX485" i="21"/>
  <c r="EA485" i="21"/>
  <c r="DY485" i="21"/>
  <c r="DL485" i="21"/>
  <c r="DI485" i="21"/>
  <c r="CG485" i="21"/>
  <c r="CF485" i="21"/>
  <c r="CH485" i="21" s="1"/>
  <c r="CD485" i="21"/>
  <c r="CC485" i="21"/>
  <c r="CE485" i="21" s="1"/>
  <c r="CA485" i="21"/>
  <c r="BZ485" i="21"/>
  <c r="CB485" i="21" s="1"/>
  <c r="BR485" i="21"/>
  <c r="DZ485" i="21" s="1"/>
  <c r="BE485" i="21"/>
  <c r="BF485" i="21" s="1"/>
  <c r="BA485" i="21"/>
  <c r="BB485" i="21" s="1"/>
  <c r="AX485" i="21"/>
  <c r="AS485" i="21"/>
  <c r="AN485" i="21"/>
  <c r="AM485" i="21"/>
  <c r="AL485" i="21"/>
  <c r="AK485" i="21"/>
  <c r="X485" i="21"/>
  <c r="EL485" i="21" s="1"/>
  <c r="EK485" i="21" s="1"/>
  <c r="W485" i="21"/>
  <c r="U485" i="21"/>
  <c r="T485" i="21"/>
  <c r="M485" i="21"/>
  <c r="L485" i="21"/>
  <c r="I485" i="21"/>
  <c r="G485" i="21"/>
  <c r="FZ484" i="21"/>
  <c r="FY484" i="21"/>
  <c r="GA484" i="21" s="1"/>
  <c r="FX484" i="21"/>
  <c r="EK484" i="21"/>
  <c r="ET484" i="21" s="1"/>
  <c r="EA484" i="21"/>
  <c r="DY484" i="21"/>
  <c r="DL484" i="21"/>
  <c r="DI484" i="21"/>
  <c r="CG484" i="21"/>
  <c r="CF484" i="21"/>
  <c r="CH484" i="21" s="1"/>
  <c r="CD484" i="21"/>
  <c r="CC484" i="21"/>
  <c r="CE484" i="21" s="1"/>
  <c r="CA484" i="21"/>
  <c r="BZ484" i="21"/>
  <c r="CB484" i="21" s="1"/>
  <c r="CI484" i="21" s="1"/>
  <c r="CK484" i="21" s="1"/>
  <c r="BR484" i="21"/>
  <c r="DZ484" i="21" s="1"/>
  <c r="BF484" i="21"/>
  <c r="BE484" i="21"/>
  <c r="BA484" i="21"/>
  <c r="BB484" i="21" s="1"/>
  <c r="AY484" i="21"/>
  <c r="AZ484" i="21" s="1"/>
  <c r="BC484" i="21" s="1"/>
  <c r="AX484" i="21"/>
  <c r="AS484" i="21"/>
  <c r="AN484" i="21"/>
  <c r="AQ484" i="21" s="1"/>
  <c r="AR484" i="21" s="1"/>
  <c r="DU484" i="21" s="1"/>
  <c r="EM484" i="21" s="1"/>
  <c r="EP484" i="21" s="1"/>
  <c r="EQ484" i="21" s="1"/>
  <c r="DN484" i="21" s="1"/>
  <c r="AM484" i="21"/>
  <c r="AL484" i="21"/>
  <c r="AK484" i="21"/>
  <c r="Y484" i="21"/>
  <c r="X484" i="21"/>
  <c r="EL484" i="21" s="1"/>
  <c r="W484" i="21"/>
  <c r="U484" i="21"/>
  <c r="T484" i="21"/>
  <c r="M484" i="21"/>
  <c r="L484" i="21"/>
  <c r="I484" i="21"/>
  <c r="G484" i="21"/>
  <c r="FZ483" i="21"/>
  <c r="FY483" i="21"/>
  <c r="GA483" i="21" s="1"/>
  <c r="FX483" i="21"/>
  <c r="ET483" i="21"/>
  <c r="EU483" i="21" s="1"/>
  <c r="EV483" i="21" s="1"/>
  <c r="EA483" i="21"/>
  <c r="DY483" i="21"/>
  <c r="DL483" i="21"/>
  <c r="DI483" i="21"/>
  <c r="CH483" i="21"/>
  <c r="CG483" i="21"/>
  <c r="CF483" i="21"/>
  <c r="CD483" i="21"/>
  <c r="CC483" i="21"/>
  <c r="CA483" i="21"/>
  <c r="BZ483" i="21"/>
  <c r="CB483" i="21" s="1"/>
  <c r="BR483" i="21"/>
  <c r="DZ483" i="21" s="1"/>
  <c r="EB483" i="21" s="1"/>
  <c r="EH483" i="21" s="1"/>
  <c r="BF483" i="21"/>
  <c r="BE483" i="21"/>
  <c r="BA483" i="21"/>
  <c r="BB483" i="21" s="1"/>
  <c r="AX483" i="21"/>
  <c r="AS483" i="21"/>
  <c r="AN483" i="21"/>
  <c r="AM483" i="21"/>
  <c r="AL483" i="21"/>
  <c r="AK483" i="21"/>
  <c r="Y483" i="21"/>
  <c r="X483" i="21"/>
  <c r="EL483" i="21" s="1"/>
  <c r="EK483" i="21" s="1"/>
  <c r="W483" i="21"/>
  <c r="U483" i="21"/>
  <c r="T483" i="21"/>
  <c r="M483" i="21"/>
  <c r="L483" i="21"/>
  <c r="I483" i="21"/>
  <c r="G483" i="21"/>
  <c r="GA482" i="21"/>
  <c r="FZ482" i="21"/>
  <c r="FY482" i="21"/>
  <c r="FX482" i="21"/>
  <c r="EK482" i="21"/>
  <c r="EA482" i="21"/>
  <c r="DY482" i="21"/>
  <c r="DL482" i="21"/>
  <c r="DI482" i="21"/>
  <c r="CH482" i="21"/>
  <c r="CG482" i="21"/>
  <c r="CF482" i="21"/>
  <c r="CD482" i="21"/>
  <c r="CC482" i="21"/>
  <c r="CA482" i="21"/>
  <c r="BZ482" i="21"/>
  <c r="CB482" i="21" s="1"/>
  <c r="BR482" i="21"/>
  <c r="DZ482" i="21" s="1"/>
  <c r="BE482" i="21"/>
  <c r="BF482" i="21" s="1"/>
  <c r="BA482" i="21"/>
  <c r="BB482" i="21" s="1"/>
  <c r="AZ482" i="21"/>
  <c r="AY482" i="21"/>
  <c r="AX482" i="21"/>
  <c r="AS482" i="21"/>
  <c r="AR482" i="21"/>
  <c r="DU482" i="21" s="1"/>
  <c r="AQ482" i="21"/>
  <c r="AN482" i="21"/>
  <c r="AM482" i="21"/>
  <c r="AL482" i="21"/>
  <c r="AK482" i="21"/>
  <c r="X482" i="21"/>
  <c r="EL482" i="21" s="1"/>
  <c r="W482" i="21"/>
  <c r="U482" i="21"/>
  <c r="T482" i="21"/>
  <c r="M482" i="21"/>
  <c r="L482" i="21"/>
  <c r="I482" i="21"/>
  <c r="G482" i="21"/>
  <c r="GA481" i="21"/>
  <c r="FZ481" i="21"/>
  <c r="FY481" i="21"/>
  <c r="FX481" i="21"/>
  <c r="EA481" i="21"/>
  <c r="DY481" i="21"/>
  <c r="DL481" i="21"/>
  <c r="DI481" i="21"/>
  <c r="CG481" i="21"/>
  <c r="CH481" i="21" s="1"/>
  <c r="CF481" i="21"/>
  <c r="CD481" i="21"/>
  <c r="CC481" i="21"/>
  <c r="CE481" i="21" s="1"/>
  <c r="CA481" i="21"/>
  <c r="BZ481" i="21"/>
  <c r="CB481" i="21" s="1"/>
  <c r="CI481" i="21" s="1"/>
  <c r="CK481" i="21" s="1"/>
  <c r="BR481" i="21"/>
  <c r="DZ481" i="21" s="1"/>
  <c r="EB481" i="21" s="1"/>
  <c r="EH481" i="21" s="1"/>
  <c r="DM481" i="21" s="1"/>
  <c r="BF481" i="21"/>
  <c r="BE481" i="21"/>
  <c r="BA481" i="21"/>
  <c r="BB481" i="21" s="1"/>
  <c r="AX481" i="21"/>
  <c r="AS481" i="21"/>
  <c r="AN481" i="21"/>
  <c r="AM481" i="21"/>
  <c r="AL481" i="21"/>
  <c r="AQ481" i="21" s="1"/>
  <c r="AR481" i="21" s="1"/>
  <c r="AK481" i="21"/>
  <c r="X481" i="21"/>
  <c r="W481" i="21"/>
  <c r="U481" i="21"/>
  <c r="T481" i="21"/>
  <c r="M481" i="21"/>
  <c r="L481" i="21"/>
  <c r="I481" i="21"/>
  <c r="G481" i="21"/>
  <c r="FZ480" i="21"/>
  <c r="FY480" i="21"/>
  <c r="GA480" i="21" s="1"/>
  <c r="FX480" i="21"/>
  <c r="EK480" i="21"/>
  <c r="EA480" i="21"/>
  <c r="DY480" i="21"/>
  <c r="DN480" i="21"/>
  <c r="DL480" i="21"/>
  <c r="DI480" i="21"/>
  <c r="CG480" i="21"/>
  <c r="CF480" i="21"/>
  <c r="CH480" i="21" s="1"/>
  <c r="CD480" i="21"/>
  <c r="CC480" i="21"/>
  <c r="CE480" i="21" s="1"/>
  <c r="CI480" i="21" s="1"/>
  <c r="CK480" i="21" s="1"/>
  <c r="CA480" i="21"/>
  <c r="BZ480" i="21"/>
  <c r="CB480" i="21" s="1"/>
  <c r="BR480" i="21"/>
  <c r="DZ480" i="21" s="1"/>
  <c r="BF480" i="21"/>
  <c r="BE480" i="21"/>
  <c r="BA480" i="21"/>
  <c r="BB480" i="21" s="1"/>
  <c r="AY480" i="21"/>
  <c r="AZ480" i="21" s="1"/>
  <c r="BC480" i="21" s="1"/>
  <c r="AX480" i="21"/>
  <c r="AS480" i="21"/>
  <c r="AN480" i="21"/>
  <c r="AQ480" i="21" s="1"/>
  <c r="AR480" i="21" s="1"/>
  <c r="DU480" i="21" s="1"/>
  <c r="EM480" i="21" s="1"/>
  <c r="EP480" i="21" s="1"/>
  <c r="EQ480" i="21" s="1"/>
  <c r="AM480" i="21"/>
  <c r="AL480" i="21"/>
  <c r="AK480" i="21"/>
  <c r="Y480" i="21"/>
  <c r="X480" i="21"/>
  <c r="EL480" i="21" s="1"/>
  <c r="W480" i="21"/>
  <c r="U480" i="21"/>
  <c r="T480" i="21"/>
  <c r="M480" i="21"/>
  <c r="L480" i="21"/>
  <c r="I480" i="21"/>
  <c r="G480" i="21"/>
  <c r="GA479" i="21"/>
  <c r="FZ479" i="21"/>
  <c r="FY479" i="21"/>
  <c r="FX479" i="21"/>
  <c r="EA479" i="21"/>
  <c r="DY479" i="21"/>
  <c r="DL479" i="21"/>
  <c r="DI479" i="21"/>
  <c r="CF479" i="21"/>
  <c r="CE479" i="21"/>
  <c r="CD479" i="21"/>
  <c r="CC479" i="21"/>
  <c r="CA479" i="21"/>
  <c r="BZ479" i="21"/>
  <c r="CB479" i="21" s="1"/>
  <c r="BR479" i="21"/>
  <c r="DZ479" i="21" s="1"/>
  <c r="EB479" i="21" s="1"/>
  <c r="EH479" i="21" s="1"/>
  <c r="DM479" i="21" s="1"/>
  <c r="BF479" i="21"/>
  <c r="BE479" i="21"/>
  <c r="BA479" i="21"/>
  <c r="AX479" i="21"/>
  <c r="AS479" i="21"/>
  <c r="AN479" i="21"/>
  <c r="AM479" i="21"/>
  <c r="AL479" i="21"/>
  <c r="AQ479" i="21" s="1"/>
  <c r="AR479" i="21" s="1"/>
  <c r="AK479" i="21"/>
  <c r="X479" i="21"/>
  <c r="W479" i="21"/>
  <c r="U479" i="21"/>
  <c r="T479" i="21"/>
  <c r="M479" i="21"/>
  <c r="L479" i="21"/>
  <c r="I479" i="21"/>
  <c r="G479" i="21"/>
  <c r="CG479" i="21" s="1"/>
  <c r="GA478" i="21"/>
  <c r="FZ478" i="21"/>
  <c r="FY478" i="21"/>
  <c r="FX478" i="21"/>
  <c r="EL478" i="21"/>
  <c r="EK478" i="21"/>
  <c r="EA478" i="21"/>
  <c r="EB478" i="21" s="1"/>
  <c r="EH478" i="21" s="1"/>
  <c r="DY478" i="21"/>
  <c r="DT478" i="21"/>
  <c r="DM478" i="21"/>
  <c r="DL478" i="21"/>
  <c r="DI478" i="21"/>
  <c r="CF478" i="21"/>
  <c r="CD478" i="21"/>
  <c r="CC478" i="21"/>
  <c r="CE478" i="21" s="1"/>
  <c r="CA478" i="21"/>
  <c r="BZ478" i="21"/>
  <c r="CB478" i="21" s="1"/>
  <c r="BR478" i="21"/>
  <c r="DZ478" i="21" s="1"/>
  <c r="BF478" i="21"/>
  <c r="BE478" i="21"/>
  <c r="BA478" i="21"/>
  <c r="BB478" i="21" s="1"/>
  <c r="AY478" i="21"/>
  <c r="AZ478" i="21" s="1"/>
  <c r="BC478" i="21" s="1"/>
  <c r="AX478" i="21"/>
  <c r="AS478" i="21"/>
  <c r="AN478" i="21"/>
  <c r="AM478" i="21"/>
  <c r="AL478" i="21"/>
  <c r="AQ478" i="21" s="1"/>
  <c r="AR478" i="21" s="1"/>
  <c r="AK478" i="21"/>
  <c r="Y478" i="21"/>
  <c r="BI478" i="21" s="1"/>
  <c r="X478" i="21"/>
  <c r="W478" i="21"/>
  <c r="U478" i="21"/>
  <c r="T478" i="21"/>
  <c r="M478" i="21"/>
  <c r="L478" i="21"/>
  <c r="I478" i="21"/>
  <c r="G478" i="21"/>
  <c r="CG478" i="21" s="1"/>
  <c r="FZ477" i="21"/>
  <c r="FY477" i="21"/>
  <c r="GA477" i="21" s="1"/>
  <c r="FX477" i="21"/>
  <c r="ET477" i="21"/>
  <c r="EU477" i="21" s="1"/>
  <c r="EV477" i="21" s="1"/>
  <c r="EA477" i="21"/>
  <c r="EB477" i="21" s="1"/>
  <c r="EH477" i="21" s="1"/>
  <c r="DY477" i="21"/>
  <c r="DL477" i="21"/>
  <c r="DI477" i="21"/>
  <c r="CG477" i="21"/>
  <c r="CH477" i="21" s="1"/>
  <c r="CF477" i="21"/>
  <c r="CD477" i="21"/>
  <c r="CE477" i="21" s="1"/>
  <c r="CC477" i="21"/>
  <c r="CA477" i="21"/>
  <c r="BZ477" i="21"/>
  <c r="CB477" i="21" s="1"/>
  <c r="CI477" i="21" s="1"/>
  <c r="CK477" i="21" s="1"/>
  <c r="BR477" i="21"/>
  <c r="DZ477" i="21" s="1"/>
  <c r="BF477" i="21"/>
  <c r="BE477" i="21"/>
  <c r="BA477" i="21"/>
  <c r="BB477" i="21" s="1"/>
  <c r="AZ477" i="21"/>
  <c r="BC477" i="21" s="1"/>
  <c r="AY477" i="21"/>
  <c r="BH477" i="21" s="1"/>
  <c r="AX477" i="21"/>
  <c r="AS477" i="21"/>
  <c r="AR477" i="21"/>
  <c r="AQ477" i="21"/>
  <c r="AN477" i="21"/>
  <c r="AM477" i="21"/>
  <c r="AL477" i="21"/>
  <c r="AK477" i="21"/>
  <c r="Y477" i="21"/>
  <c r="W477" i="21"/>
  <c r="X477" i="21" s="1"/>
  <c r="EL477" i="21" s="1"/>
  <c r="EK477" i="21" s="1"/>
  <c r="U477" i="21"/>
  <c r="T477" i="21"/>
  <c r="M477" i="21"/>
  <c r="L477" i="21"/>
  <c r="I477" i="21"/>
  <c r="G477" i="21"/>
  <c r="GA476" i="21"/>
  <c r="FZ476" i="21"/>
  <c r="FY476" i="21"/>
  <c r="FX476" i="21"/>
  <c r="ET476" i="21"/>
  <c r="EU476" i="21" s="1"/>
  <c r="EV476" i="21" s="1"/>
  <c r="EB476" i="21"/>
  <c r="EH476" i="21" s="1"/>
  <c r="DM476" i="21" s="1"/>
  <c r="EA476" i="21"/>
  <c r="DY476" i="21"/>
  <c r="DL476" i="21"/>
  <c r="DI476" i="21"/>
  <c r="CG476" i="21"/>
  <c r="CF476" i="21"/>
  <c r="CH476" i="21" s="1"/>
  <c r="CD476" i="21"/>
  <c r="CC476" i="21"/>
  <c r="CE476" i="21" s="1"/>
  <c r="CA476" i="21"/>
  <c r="CB476" i="21" s="1"/>
  <c r="CI476" i="21" s="1"/>
  <c r="CK476" i="21" s="1"/>
  <c r="BZ476" i="21"/>
  <c r="BR476" i="21"/>
  <c r="DZ476" i="21" s="1"/>
  <c r="BF476" i="21"/>
  <c r="BE476" i="21"/>
  <c r="AX476" i="21"/>
  <c r="AS476" i="21"/>
  <c r="AN476" i="21"/>
  <c r="AM476" i="21"/>
  <c r="AL476" i="21"/>
  <c r="AQ476" i="21" s="1"/>
  <c r="AR476" i="21" s="1"/>
  <c r="AK476" i="21"/>
  <c r="X476" i="21"/>
  <c r="EL476" i="21" s="1"/>
  <c r="EK476" i="21" s="1"/>
  <c r="W476" i="21"/>
  <c r="BA476" i="21" s="1"/>
  <c r="BB476" i="21" s="1"/>
  <c r="U476" i="21"/>
  <c r="T476" i="21"/>
  <c r="M476" i="21"/>
  <c r="L476" i="21"/>
  <c r="I476" i="21"/>
  <c r="G476" i="21"/>
  <c r="GA475" i="21"/>
  <c r="FZ475" i="21"/>
  <c r="FY475" i="21"/>
  <c r="FX475" i="21"/>
  <c r="EL475" i="21"/>
  <c r="EK475" i="21" s="1"/>
  <c r="EA475" i="21"/>
  <c r="DY475" i="21"/>
  <c r="DT475" i="21"/>
  <c r="DL475" i="21"/>
  <c r="DI475" i="21"/>
  <c r="CF475" i="21"/>
  <c r="CD475" i="21"/>
  <c r="CC475" i="21"/>
  <c r="CB475" i="21"/>
  <c r="CA475" i="21"/>
  <c r="BZ475" i="21"/>
  <c r="BR475" i="21"/>
  <c r="DZ475" i="21" s="1"/>
  <c r="EB475" i="21" s="1"/>
  <c r="EH475" i="21" s="1"/>
  <c r="BH475" i="21"/>
  <c r="BF475" i="21"/>
  <c r="BE475" i="21"/>
  <c r="AX475" i="21"/>
  <c r="AS475" i="21"/>
  <c r="AN475" i="21"/>
  <c r="AM475" i="21"/>
  <c r="AL475" i="21"/>
  <c r="AQ475" i="21" s="1"/>
  <c r="AR475" i="21" s="1"/>
  <c r="AK475" i="21"/>
  <c r="X475" i="21"/>
  <c r="Y475" i="21" s="1"/>
  <c r="W475" i="21"/>
  <c r="BA475" i="21" s="1"/>
  <c r="U475" i="21"/>
  <c r="AY475" i="21" s="1"/>
  <c r="T475" i="21"/>
  <c r="M475" i="21"/>
  <c r="L475" i="21"/>
  <c r="I475" i="21"/>
  <c r="G475" i="21"/>
  <c r="CG475" i="21" s="1"/>
  <c r="FZ474" i="21"/>
  <c r="FY474" i="21"/>
  <c r="GA474" i="21" s="1"/>
  <c r="FX474" i="21"/>
  <c r="EA474" i="21"/>
  <c r="DY474" i="21"/>
  <c r="DT474" i="21"/>
  <c r="DL474" i="21"/>
  <c r="DI474" i="21"/>
  <c r="ET474" i="21" s="1"/>
  <c r="CF474" i="21"/>
  <c r="CD474" i="21"/>
  <c r="CC474" i="21"/>
  <c r="CE474" i="21" s="1"/>
  <c r="CA474" i="21"/>
  <c r="BZ474" i="21"/>
  <c r="CB474" i="21" s="1"/>
  <c r="BR474" i="21"/>
  <c r="DZ474" i="21" s="1"/>
  <c r="EB474" i="21" s="1"/>
  <c r="EH474" i="21" s="1"/>
  <c r="BH474" i="21"/>
  <c r="BF474" i="21"/>
  <c r="BE474" i="21"/>
  <c r="BA474" i="21"/>
  <c r="BB474" i="21" s="1"/>
  <c r="AY474" i="21"/>
  <c r="AZ474" i="21" s="1"/>
  <c r="BC474" i="21" s="1"/>
  <c r="AX474" i="21"/>
  <c r="AS474" i="21"/>
  <c r="AR474" i="21"/>
  <c r="AN474" i="21"/>
  <c r="AM474" i="21"/>
  <c r="AL474" i="21"/>
  <c r="AQ474" i="21" s="1"/>
  <c r="AK474" i="21"/>
  <c r="Y474" i="21"/>
  <c r="BI474" i="21" s="1"/>
  <c r="X474" i="21"/>
  <c r="EL474" i="21" s="1"/>
  <c r="EK474" i="21" s="1"/>
  <c r="W474" i="21"/>
  <c r="U474" i="21"/>
  <c r="T474" i="21"/>
  <c r="M474" i="21"/>
  <c r="L474" i="21"/>
  <c r="I474" i="21"/>
  <c r="G474" i="21"/>
  <c r="CG474" i="21" s="1"/>
  <c r="CH474" i="21" s="1"/>
  <c r="FZ473" i="21"/>
  <c r="FY473" i="21"/>
  <c r="GA473" i="21" s="1"/>
  <c r="FX473" i="21"/>
  <c r="EB473" i="21"/>
  <c r="EH473" i="21" s="1"/>
  <c r="EA473" i="21"/>
  <c r="DY473" i="21"/>
  <c r="DL473" i="21"/>
  <c r="DI473" i="21"/>
  <c r="CG473" i="21"/>
  <c r="CH473" i="21" s="1"/>
  <c r="CF473" i="21"/>
  <c r="CD473" i="21"/>
  <c r="CC473" i="21"/>
  <c r="CA473" i="21"/>
  <c r="BZ473" i="21"/>
  <c r="CB473" i="21" s="1"/>
  <c r="BR473" i="21"/>
  <c r="DZ473" i="21" s="1"/>
  <c r="BH473" i="21"/>
  <c r="BF473" i="21"/>
  <c r="BE473" i="21"/>
  <c r="BA473" i="21"/>
  <c r="BB473" i="21" s="1"/>
  <c r="AX473" i="21"/>
  <c r="AS473" i="21"/>
  <c r="AN473" i="21"/>
  <c r="AM473" i="21"/>
  <c r="AL473" i="21"/>
  <c r="AQ473" i="21" s="1"/>
  <c r="AR473" i="21" s="1"/>
  <c r="AK473" i="21"/>
  <c r="W473" i="21"/>
  <c r="X473" i="21" s="1"/>
  <c r="EL473" i="21" s="1"/>
  <c r="EK473" i="21" s="1"/>
  <c r="U473" i="21"/>
  <c r="AY473" i="21" s="1"/>
  <c r="AZ473" i="21" s="1"/>
  <c r="BC473" i="21" s="1"/>
  <c r="T473" i="21"/>
  <c r="M473" i="21"/>
  <c r="L473" i="21"/>
  <c r="I473" i="21"/>
  <c r="G473" i="21"/>
  <c r="GA472" i="21"/>
  <c r="FZ472" i="21"/>
  <c r="FY472" i="21"/>
  <c r="FX472" i="21"/>
  <c r="EK472" i="21"/>
  <c r="EB472" i="21"/>
  <c r="EH472" i="21" s="1"/>
  <c r="DM472" i="21" s="1"/>
  <c r="EA472" i="21"/>
  <c r="DY472" i="21"/>
  <c r="DL472" i="21"/>
  <c r="DI472" i="21"/>
  <c r="CG472" i="21"/>
  <c r="CF472" i="21"/>
  <c r="CH472" i="21" s="1"/>
  <c r="CE472" i="21"/>
  <c r="CD472" i="21"/>
  <c r="CC472" i="21"/>
  <c r="CA472" i="21"/>
  <c r="CB472" i="21" s="1"/>
  <c r="CI472" i="21" s="1"/>
  <c r="CK472" i="21" s="1"/>
  <c r="BZ472" i="21"/>
  <c r="BR472" i="21"/>
  <c r="DZ472" i="21" s="1"/>
  <c r="BE472" i="21"/>
  <c r="AX472" i="21"/>
  <c r="AS472" i="21"/>
  <c r="AN472" i="21"/>
  <c r="AM472" i="21"/>
  <c r="AL472" i="21"/>
  <c r="AQ472" i="21" s="1"/>
  <c r="AR472" i="21" s="1"/>
  <c r="AK472" i="21"/>
  <c r="Y472" i="21"/>
  <c r="X472" i="21"/>
  <c r="EL472" i="21" s="1"/>
  <c r="W472" i="21"/>
  <c r="U472" i="21"/>
  <c r="T472" i="21"/>
  <c r="M472" i="21"/>
  <c r="BF472" i="21" s="1"/>
  <c r="L472" i="21"/>
  <c r="I472" i="21"/>
  <c r="G472" i="21"/>
  <c r="GA471" i="21"/>
  <c r="FZ471" i="21"/>
  <c r="FY471" i="21"/>
  <c r="FX471" i="21"/>
  <c r="EA471" i="21"/>
  <c r="EB471" i="21" s="1"/>
  <c r="EH471" i="21" s="1"/>
  <c r="DZ471" i="21"/>
  <c r="DY471" i="21"/>
  <c r="DL471" i="21"/>
  <c r="DI471" i="21"/>
  <c r="CF471" i="21"/>
  <c r="CE471" i="21"/>
  <c r="CD471" i="21"/>
  <c r="CC471" i="21"/>
  <c r="CA471" i="21"/>
  <c r="BZ471" i="21"/>
  <c r="CB471" i="21" s="1"/>
  <c r="BR471" i="21"/>
  <c r="BE471" i="21"/>
  <c r="AX471" i="21"/>
  <c r="AS471" i="21"/>
  <c r="AN471" i="21"/>
  <c r="AM471" i="21"/>
  <c r="AL471" i="21"/>
  <c r="AK471" i="21"/>
  <c r="X471" i="21"/>
  <c r="EL471" i="21" s="1"/>
  <c r="EK471" i="21" s="1"/>
  <c r="W471" i="21"/>
  <c r="U471" i="21"/>
  <c r="AY471" i="21" s="1"/>
  <c r="AZ471" i="21" s="1"/>
  <c r="T471" i="21"/>
  <c r="M471" i="21"/>
  <c r="BF471" i="21" s="1"/>
  <c r="L471" i="21"/>
  <c r="I471" i="21"/>
  <c r="G471" i="21"/>
  <c r="CG471" i="21" s="1"/>
  <c r="FZ470" i="21"/>
  <c r="FY470" i="21"/>
  <c r="GA470" i="21" s="1"/>
  <c r="FX470" i="21"/>
  <c r="EK470" i="21"/>
  <c r="ET470" i="21" s="1"/>
  <c r="EA470" i="21"/>
  <c r="DZ470" i="21"/>
  <c r="DY470" i="21"/>
  <c r="DL470" i="21"/>
  <c r="DI470" i="21"/>
  <c r="CF470" i="21"/>
  <c r="CE470" i="21"/>
  <c r="CD470" i="21"/>
  <c r="CC470" i="21"/>
  <c r="CB470" i="21"/>
  <c r="CA470" i="21"/>
  <c r="BZ470" i="21"/>
  <c r="BR470" i="21"/>
  <c r="BE470" i="21"/>
  <c r="BF470" i="21" s="1"/>
  <c r="BA470" i="21"/>
  <c r="BB470" i="21" s="1"/>
  <c r="AX470" i="21"/>
  <c r="AS470" i="21"/>
  <c r="AN470" i="21"/>
  <c r="AM470" i="21"/>
  <c r="AQ470" i="21" s="1"/>
  <c r="AR470" i="21" s="1"/>
  <c r="AL470" i="21"/>
  <c r="AK470" i="21"/>
  <c r="X470" i="21"/>
  <c r="EL470" i="21" s="1"/>
  <c r="W470" i="21"/>
  <c r="U470" i="21"/>
  <c r="T470" i="21"/>
  <c r="M470" i="21"/>
  <c r="L470" i="21"/>
  <c r="I470" i="21"/>
  <c r="G470" i="21"/>
  <c r="CG470" i="21" s="1"/>
  <c r="FZ469" i="21"/>
  <c r="FY469" i="21"/>
  <c r="GA469" i="21" s="1"/>
  <c r="FX469" i="21"/>
  <c r="EA469" i="21"/>
  <c r="DZ469" i="21"/>
  <c r="DY469" i="21"/>
  <c r="DL469" i="21"/>
  <c r="DI469" i="21"/>
  <c r="CH469" i="21"/>
  <c r="CG469" i="21"/>
  <c r="CF469" i="21"/>
  <c r="CE469" i="21"/>
  <c r="CD469" i="21"/>
  <c r="CC469" i="21"/>
  <c r="CA469" i="21"/>
  <c r="CB469" i="21" s="1"/>
  <c r="BZ469" i="21"/>
  <c r="BR469" i="21"/>
  <c r="BE469" i="21"/>
  <c r="BA469" i="21"/>
  <c r="BB469" i="21" s="1"/>
  <c r="AX469" i="21"/>
  <c r="AS469" i="21"/>
  <c r="AN469" i="21"/>
  <c r="AM469" i="21"/>
  <c r="AL469" i="21"/>
  <c r="AQ469" i="21" s="1"/>
  <c r="AR469" i="21" s="1"/>
  <c r="AK469" i="21"/>
  <c r="X469" i="21"/>
  <c r="EL469" i="21" s="1"/>
  <c r="EK469" i="21" s="1"/>
  <c r="W469" i="21"/>
  <c r="U469" i="21"/>
  <c r="T469" i="21"/>
  <c r="M469" i="21"/>
  <c r="BF469" i="21" s="1"/>
  <c r="L469" i="21"/>
  <c r="I469" i="21"/>
  <c r="G469" i="21"/>
  <c r="FZ468" i="21"/>
  <c r="FY468" i="21"/>
  <c r="GA468" i="21" s="1"/>
  <c r="FX468" i="21"/>
  <c r="EL468" i="21"/>
  <c r="EK468" i="21" s="1"/>
  <c r="EA468" i="21"/>
  <c r="DZ468" i="21"/>
  <c r="DY468" i="21"/>
  <c r="DL468" i="21"/>
  <c r="DI468" i="21"/>
  <c r="CF468" i="21"/>
  <c r="CE468" i="21"/>
  <c r="CD468" i="21"/>
  <c r="CC468" i="21"/>
  <c r="CB468" i="21"/>
  <c r="CA468" i="21"/>
  <c r="BZ468" i="21"/>
  <c r="BR468" i="21"/>
  <c r="BE468" i="21"/>
  <c r="BA468" i="21"/>
  <c r="AX468" i="21"/>
  <c r="AS468" i="21"/>
  <c r="AQ468" i="21"/>
  <c r="AR468" i="21" s="1"/>
  <c r="AN468" i="21"/>
  <c r="AM468" i="21"/>
  <c r="AL468" i="21"/>
  <c r="AK468" i="21"/>
  <c r="X468" i="21"/>
  <c r="Y468" i="21" s="1"/>
  <c r="W468" i="21"/>
  <c r="U468" i="21"/>
  <c r="AY468" i="21" s="1"/>
  <c r="T468" i="21"/>
  <c r="M468" i="21"/>
  <c r="BF468" i="21" s="1"/>
  <c r="L468" i="21"/>
  <c r="I468" i="21"/>
  <c r="G468" i="21"/>
  <c r="CG468" i="21" s="1"/>
  <c r="CH468" i="21" s="1"/>
  <c r="GA467" i="21"/>
  <c r="FZ467" i="21"/>
  <c r="FY467" i="21"/>
  <c r="FX467" i="21"/>
  <c r="EA467" i="21"/>
  <c r="DY467" i="21"/>
  <c r="DL467" i="21"/>
  <c r="DI467" i="21"/>
  <c r="CG467" i="21"/>
  <c r="CF467" i="21"/>
  <c r="CH467" i="21" s="1"/>
  <c r="CE467" i="21"/>
  <c r="CD467" i="21"/>
  <c r="CC467" i="21"/>
  <c r="CA467" i="21"/>
  <c r="BZ467" i="21"/>
  <c r="BR467" i="21"/>
  <c r="DZ467" i="21" s="1"/>
  <c r="BF467" i="21"/>
  <c r="BE467" i="21"/>
  <c r="AX467" i="21"/>
  <c r="AS467" i="21"/>
  <c r="AN467" i="21"/>
  <c r="AQ467" i="21" s="1"/>
  <c r="AR467" i="21" s="1"/>
  <c r="DU467" i="21" s="1"/>
  <c r="AM467" i="21"/>
  <c r="AL467" i="21"/>
  <c r="AK467" i="21"/>
  <c r="X467" i="21"/>
  <c r="EL467" i="21" s="1"/>
  <c r="EK467" i="21" s="1"/>
  <c r="W467" i="21"/>
  <c r="U467" i="21"/>
  <c r="AY467" i="21" s="1"/>
  <c r="AZ467" i="21" s="1"/>
  <c r="T467" i="21"/>
  <c r="M467" i="21"/>
  <c r="L467" i="21"/>
  <c r="I467" i="21"/>
  <c r="G467" i="21"/>
  <c r="FZ466" i="21"/>
  <c r="FY466" i="21"/>
  <c r="GA466" i="21" s="1"/>
  <c r="FX466" i="21"/>
  <c r="EA466" i="21"/>
  <c r="DZ466" i="21"/>
  <c r="EB466" i="21" s="1"/>
  <c r="DY466" i="21"/>
  <c r="DL466" i="21"/>
  <c r="DI466" i="21"/>
  <c r="CG466" i="21"/>
  <c r="CF466" i="21"/>
  <c r="CE466" i="21"/>
  <c r="CD466" i="21"/>
  <c r="CC466" i="21"/>
  <c r="CB466" i="21"/>
  <c r="CA466" i="21"/>
  <c r="BZ466" i="21"/>
  <c r="BR466" i="21"/>
  <c r="BE466" i="21"/>
  <c r="AX466" i="21"/>
  <c r="AS466" i="21"/>
  <c r="AN466" i="21"/>
  <c r="AM466" i="21"/>
  <c r="AL466" i="21"/>
  <c r="AK466" i="21"/>
  <c r="W466" i="21"/>
  <c r="U466" i="21"/>
  <c r="AY466" i="21" s="1"/>
  <c r="T466" i="21"/>
  <c r="M466" i="21"/>
  <c r="BF466" i="21" s="1"/>
  <c r="L466" i="21"/>
  <c r="I466" i="21"/>
  <c r="G466" i="21"/>
  <c r="FZ465" i="21"/>
  <c r="FY465" i="21" s="1"/>
  <c r="GA465" i="21" s="1"/>
  <c r="FX465" i="21"/>
  <c r="EA465" i="21"/>
  <c r="DY465" i="21"/>
  <c r="DL465" i="21"/>
  <c r="CG465" i="21"/>
  <c r="CF465" i="21"/>
  <c r="CH465" i="21" s="1"/>
  <c r="CC465" i="21"/>
  <c r="CB465" i="21"/>
  <c r="CI465" i="21" s="1"/>
  <c r="CA465" i="21"/>
  <c r="BZ465" i="21"/>
  <c r="BR465" i="21"/>
  <c r="DZ465" i="21" s="1"/>
  <c r="EB465" i="21" s="1"/>
  <c r="EH465" i="21" s="1"/>
  <c r="BE465" i="21"/>
  <c r="BA465" i="21"/>
  <c r="BB465" i="21" s="1"/>
  <c r="AS465" i="21"/>
  <c r="AR465" i="21"/>
  <c r="AN465" i="21"/>
  <c r="AM465" i="21"/>
  <c r="AQ465" i="21" s="1"/>
  <c r="AL465" i="21"/>
  <c r="AK465" i="21"/>
  <c r="AG465" i="21"/>
  <c r="AE465" i="21"/>
  <c r="CD465" i="21" s="1"/>
  <c r="CE465" i="21" s="1"/>
  <c r="X465" i="21"/>
  <c r="Y465" i="21" s="1"/>
  <c r="W465" i="21"/>
  <c r="U465" i="21"/>
  <c r="AY465" i="21" s="1"/>
  <c r="AZ465" i="21" s="1"/>
  <c r="BC465" i="21" s="1"/>
  <c r="T465" i="21"/>
  <c r="BH465" i="21" s="1"/>
  <c r="L465" i="21"/>
  <c r="I465" i="21"/>
  <c r="G465" i="21"/>
  <c r="DL449" i="21"/>
  <c r="CT449" i="21"/>
  <c r="AK449" i="21"/>
  <c r="AI449" i="21"/>
  <c r="AG449" i="21"/>
  <c r="AE449" i="21"/>
  <c r="AB449" i="21"/>
  <c r="W449" i="21"/>
  <c r="S449" i="21"/>
  <c r="P449" i="21"/>
  <c r="O449" i="21"/>
  <c r="FX449" i="21" s="1"/>
  <c r="N449" i="21"/>
  <c r="K449" i="21"/>
  <c r="J449" i="21"/>
  <c r="H449" i="21"/>
  <c r="G449" i="21"/>
  <c r="CG449" i="21" s="1"/>
  <c r="FX448" i="21"/>
  <c r="FA448" i="21"/>
  <c r="EL448" i="21"/>
  <c r="CT448" i="21"/>
  <c r="CG448" i="21"/>
  <c r="AN448" i="21"/>
  <c r="AM448" i="21"/>
  <c r="AI448" i="21"/>
  <c r="EA448" i="21" s="1"/>
  <c r="AG448" i="21"/>
  <c r="CC448" i="21" s="1"/>
  <c r="AE448" i="21"/>
  <c r="AB448" i="21"/>
  <c r="X448" i="21"/>
  <c r="W448" i="21"/>
  <c r="BA448" i="21" s="1"/>
  <c r="S448" i="21"/>
  <c r="P448" i="21"/>
  <c r="O448" i="21"/>
  <c r="N448" i="21"/>
  <c r="K448" i="21"/>
  <c r="J448" i="21"/>
  <c r="AS448" i="21" s="1"/>
  <c r="I448" i="21"/>
  <c r="DI448" i="21" s="1"/>
  <c r="H448" i="21"/>
  <c r="G448" i="21"/>
  <c r="FX447" i="21"/>
  <c r="EL447" i="21"/>
  <c r="CT447" i="21"/>
  <c r="CG447" i="21"/>
  <c r="CC447" i="21"/>
  <c r="BA447" i="21"/>
  <c r="AS447" i="21"/>
  <c r="AB447" i="21"/>
  <c r="X447" i="21"/>
  <c r="W447" i="21"/>
  <c r="S447" i="21"/>
  <c r="P447" i="21"/>
  <c r="O447" i="21"/>
  <c r="N447" i="21"/>
  <c r="K447" i="21"/>
  <c r="J447" i="21"/>
  <c r="H447" i="21"/>
  <c r="G447" i="21"/>
  <c r="FX446" i="21"/>
  <c r="FA446" i="21"/>
  <c r="EA446" i="21"/>
  <c r="CT446" i="21"/>
  <c r="CH446" i="21"/>
  <c r="CF446" i="21"/>
  <c r="CC446" i="21"/>
  <c r="BE446" i="21"/>
  <c r="BA446" i="21"/>
  <c r="AS446" i="21"/>
  <c r="AB446" i="21"/>
  <c r="X446" i="21"/>
  <c r="EL446" i="21" s="1"/>
  <c r="EK446" i="21" s="1"/>
  <c r="W446" i="21"/>
  <c r="U446" i="21"/>
  <c r="T446" i="21"/>
  <c r="S446" i="21"/>
  <c r="Q446" i="21"/>
  <c r="P446" i="21"/>
  <c r="DY446" i="21" s="1"/>
  <c r="O446" i="21"/>
  <c r="N446" i="21"/>
  <c r="EE446" i="21" s="1"/>
  <c r="K446" i="21"/>
  <c r="J446" i="21"/>
  <c r="H446" i="21"/>
  <c r="G446" i="21"/>
  <c r="CG446" i="21" s="1"/>
  <c r="EL445" i="21"/>
  <c r="EK445" i="21" s="1"/>
  <c r="CT445" i="21"/>
  <c r="CC445" i="21"/>
  <c r="BA445" i="21"/>
  <c r="AX445" i="21"/>
  <c r="AS445" i="21"/>
  <c r="AN445" i="21"/>
  <c r="AM445" i="21"/>
  <c r="AI445" i="21"/>
  <c r="AG445" i="21"/>
  <c r="AE445" i="21"/>
  <c r="AB445" i="21"/>
  <c r="X445" i="21"/>
  <c r="W445" i="21"/>
  <c r="S445" i="21"/>
  <c r="P445" i="21"/>
  <c r="O445" i="21"/>
  <c r="FX445" i="21" s="1"/>
  <c r="N445" i="21"/>
  <c r="K445" i="21"/>
  <c r="J445" i="21"/>
  <c r="I445" i="21"/>
  <c r="H445" i="21"/>
  <c r="G445" i="21"/>
  <c r="CG445" i="21" s="1"/>
  <c r="FX444" i="21"/>
  <c r="FA444" i="21"/>
  <c r="EL444" i="21"/>
  <c r="EK444" i="21" s="1"/>
  <c r="EE444" i="21"/>
  <c r="DY444" i="21"/>
  <c r="CT444" i="21"/>
  <c r="CF444" i="21"/>
  <c r="CH444" i="21" s="1"/>
  <c r="BA444" i="21"/>
  <c r="AM444" i="21"/>
  <c r="AI444" i="21"/>
  <c r="AG444" i="21"/>
  <c r="AE444" i="21"/>
  <c r="AB444" i="21"/>
  <c r="X444" i="21"/>
  <c r="W444" i="21"/>
  <c r="U444" i="21"/>
  <c r="S444" i="21"/>
  <c r="Q444" i="21"/>
  <c r="P444" i="21"/>
  <c r="O444" i="21"/>
  <c r="N444" i="21"/>
  <c r="K444" i="21"/>
  <c r="J444" i="21"/>
  <c r="H444" i="21"/>
  <c r="AK444" i="21" s="1"/>
  <c r="G444" i="21"/>
  <c r="CG444" i="21" s="1"/>
  <c r="FX443" i="21"/>
  <c r="EA443" i="21"/>
  <c r="DY443" i="21"/>
  <c r="CT443" i="21"/>
  <c r="CG443" i="21"/>
  <c r="CF443" i="21"/>
  <c r="CD443" i="21"/>
  <c r="CC443" i="21"/>
  <c r="CE443" i="21" s="1"/>
  <c r="BE443" i="21"/>
  <c r="BA443" i="21"/>
  <c r="BB443" i="21" s="1"/>
  <c r="AB443" i="21"/>
  <c r="W443" i="21"/>
  <c r="X443" i="21" s="1"/>
  <c r="EL443" i="21" s="1"/>
  <c r="EK443" i="21" s="1"/>
  <c r="U443" i="21"/>
  <c r="S443" i="21"/>
  <c r="P443" i="21"/>
  <c r="O443" i="21"/>
  <c r="N443" i="21"/>
  <c r="K443" i="21"/>
  <c r="FZ443" i="21" s="1"/>
  <c r="J443" i="21"/>
  <c r="I443" i="21"/>
  <c r="H443" i="21"/>
  <c r="G443" i="21"/>
  <c r="FZ442" i="21"/>
  <c r="FX442" i="21"/>
  <c r="FA442" i="21"/>
  <c r="EA442" i="21"/>
  <c r="CT442" i="21"/>
  <c r="CF442" i="21"/>
  <c r="CD442" i="21"/>
  <c r="CC442" i="21"/>
  <c r="CE442" i="21" s="1"/>
  <c r="AS442" i="21"/>
  <c r="AB442" i="21"/>
  <c r="X442" i="21"/>
  <c r="W442" i="21"/>
  <c r="BA442" i="21" s="1"/>
  <c r="S442" i="21"/>
  <c r="P442" i="21"/>
  <c r="DY442" i="21" s="1"/>
  <c r="O442" i="21"/>
  <c r="U442" i="21" s="1"/>
  <c r="N442" i="21"/>
  <c r="K442" i="21"/>
  <c r="J442" i="21"/>
  <c r="H442" i="21"/>
  <c r="G442" i="21"/>
  <c r="FX441" i="21"/>
  <c r="CT441" i="21"/>
  <c r="CD441" i="21"/>
  <c r="CC441" i="21"/>
  <c r="CE441" i="21" s="1"/>
  <c r="AS441" i="21"/>
  <c r="AK441" i="21"/>
  <c r="AI441" i="21"/>
  <c r="EA441" i="21" s="1"/>
  <c r="AG441" i="21"/>
  <c r="AE441" i="21"/>
  <c r="AB441" i="21"/>
  <c r="W441" i="21"/>
  <c r="S441" i="21"/>
  <c r="P441" i="21"/>
  <c r="O441" i="21"/>
  <c r="N441" i="21"/>
  <c r="EE441" i="21" s="1"/>
  <c r="M441" i="21"/>
  <c r="L441" i="21"/>
  <c r="K441" i="21"/>
  <c r="J441" i="21"/>
  <c r="I441" i="21"/>
  <c r="H441" i="21"/>
  <c r="G441" i="21"/>
  <c r="CG441" i="21" s="1"/>
  <c r="FZ440" i="21"/>
  <c r="FA440" i="21"/>
  <c r="EE440" i="21"/>
  <c r="CT440" i="21"/>
  <c r="CF440" i="21"/>
  <c r="CH440" i="21" s="1"/>
  <c r="BA440" i="21"/>
  <c r="AN440" i="21"/>
  <c r="AM440" i="21"/>
  <c r="AK440" i="21"/>
  <c r="AI440" i="21"/>
  <c r="AG440" i="21"/>
  <c r="AE440" i="21"/>
  <c r="AB440" i="21"/>
  <c r="Y440" i="21"/>
  <c r="W440" i="21"/>
  <c r="X440" i="21" s="1"/>
  <c r="EL440" i="21" s="1"/>
  <c r="EK440" i="21" s="1"/>
  <c r="S440" i="21"/>
  <c r="P440" i="21"/>
  <c r="DY440" i="21" s="1"/>
  <c r="O440" i="21"/>
  <c r="FX440" i="21" s="1"/>
  <c r="N440" i="21"/>
  <c r="L440" i="21"/>
  <c r="K440" i="21"/>
  <c r="J440" i="21"/>
  <c r="H440" i="21"/>
  <c r="G440" i="21"/>
  <c r="CG440" i="21" s="1"/>
  <c r="FZ439" i="21"/>
  <c r="FX439" i="21"/>
  <c r="DY439" i="21"/>
  <c r="DL439" i="21"/>
  <c r="DI439" i="21"/>
  <c r="CT439" i="21"/>
  <c r="CD439" i="21"/>
  <c r="CC439" i="21"/>
  <c r="CE439" i="21" s="1"/>
  <c r="BE439" i="21"/>
  <c r="BF439" i="21" s="1"/>
  <c r="AM439" i="21"/>
  <c r="AB439" i="21"/>
  <c r="W439" i="21"/>
  <c r="U439" i="21"/>
  <c r="S439" i="21"/>
  <c r="AN439" i="21" s="1"/>
  <c r="Q439" i="21"/>
  <c r="P439" i="21"/>
  <c r="O439" i="21"/>
  <c r="N439" i="21"/>
  <c r="EE439" i="21" s="1"/>
  <c r="M439" i="21"/>
  <c r="K439" i="21"/>
  <c r="EA439" i="21" s="1"/>
  <c r="J439" i="21"/>
  <c r="AS439" i="21" s="1"/>
  <c r="H439" i="21"/>
  <c r="I439" i="21" s="1"/>
  <c r="AX439" i="21" s="1"/>
  <c r="G439" i="21"/>
  <c r="CG439" i="21" s="1"/>
  <c r="FA438" i="21"/>
  <c r="EL438" i="21"/>
  <c r="EK438" i="21" s="1"/>
  <c r="CT438" i="21"/>
  <c r="CC438" i="21"/>
  <c r="BE438" i="21"/>
  <c r="BA438" i="21"/>
  <c r="AB438" i="21"/>
  <c r="X438" i="21"/>
  <c r="W438" i="21"/>
  <c r="S438" i="21"/>
  <c r="P438" i="21"/>
  <c r="DY438" i="21" s="1"/>
  <c r="O438" i="21"/>
  <c r="N438" i="21"/>
  <c r="K438" i="21"/>
  <c r="J438" i="21"/>
  <c r="H438" i="21"/>
  <c r="G438" i="21"/>
  <c r="FX437" i="21"/>
  <c r="EL437" i="21"/>
  <c r="EK437" i="21"/>
  <c r="CT437" i="21"/>
  <c r="CG437" i="21"/>
  <c r="CC437" i="21"/>
  <c r="BA437" i="21"/>
  <c r="AI437" i="21"/>
  <c r="AG437" i="21"/>
  <c r="AE437" i="21"/>
  <c r="AB437" i="21"/>
  <c r="W437" i="21"/>
  <c r="X437" i="21" s="1"/>
  <c r="S437" i="21"/>
  <c r="P437" i="21"/>
  <c r="O437" i="21"/>
  <c r="N437" i="21"/>
  <c r="K437" i="21"/>
  <c r="J437" i="21"/>
  <c r="H437" i="21"/>
  <c r="G437" i="21"/>
  <c r="FZ436" i="21"/>
  <c r="FY436" i="21"/>
  <c r="FA436" i="21"/>
  <c r="EL436" i="21"/>
  <c r="EK436" i="21" s="1"/>
  <c r="EE436" i="21"/>
  <c r="DY436" i="21"/>
  <c r="DT436" i="21"/>
  <c r="CT436" i="21"/>
  <c r="CD436" i="21"/>
  <c r="CE436" i="21" s="1"/>
  <c r="CC436" i="21"/>
  <c r="BA436" i="21"/>
  <c r="AN436" i="21"/>
  <c r="AM436" i="21"/>
  <c r="AL436" i="21"/>
  <c r="AK436" i="21"/>
  <c r="AI436" i="21"/>
  <c r="EA436" i="21" s="1"/>
  <c r="AG436" i="21"/>
  <c r="AE436" i="21"/>
  <c r="AB436" i="21"/>
  <c r="X436" i="21"/>
  <c r="Y436" i="21" s="1"/>
  <c r="W436" i="21"/>
  <c r="S436" i="21"/>
  <c r="P436" i="21"/>
  <c r="O436" i="21"/>
  <c r="N436" i="21"/>
  <c r="Q436" i="21" s="1"/>
  <c r="K436" i="21"/>
  <c r="CF436" i="21" s="1"/>
  <c r="J436" i="21"/>
  <c r="AS436" i="21" s="1"/>
  <c r="H436" i="21"/>
  <c r="G436" i="21"/>
  <c r="CT435" i="21"/>
  <c r="CC435" i="21"/>
  <c r="BA435" i="21"/>
  <c r="AB435" i="21"/>
  <c r="X435" i="21"/>
  <c r="EL435" i="21" s="1"/>
  <c r="W435" i="21"/>
  <c r="S435" i="21"/>
  <c r="P435" i="21"/>
  <c r="O435" i="21"/>
  <c r="N435" i="21"/>
  <c r="K435" i="21"/>
  <c r="EK435" i="21" s="1"/>
  <c r="J435" i="21"/>
  <c r="H435" i="21"/>
  <c r="G435" i="21"/>
  <c r="CG435" i="21" s="1"/>
  <c r="FA434" i="21"/>
  <c r="EL434" i="21"/>
  <c r="EE434" i="21"/>
  <c r="DY434" i="21"/>
  <c r="CT434" i="21"/>
  <c r="CC434" i="21"/>
  <c r="BE434" i="21"/>
  <c r="BA434" i="21"/>
  <c r="BB434" i="21" s="1"/>
  <c r="AX434" i="21"/>
  <c r="CM434" i="21" s="1"/>
  <c r="AS434" i="21"/>
  <c r="AN434" i="21"/>
  <c r="AK434" i="21"/>
  <c r="AB434" i="21"/>
  <c r="X434" i="21"/>
  <c r="W434" i="21"/>
  <c r="S434" i="21"/>
  <c r="P434" i="21"/>
  <c r="O434" i="21"/>
  <c r="U434" i="21" s="1"/>
  <c r="N434" i="21"/>
  <c r="Q434" i="21" s="1"/>
  <c r="M434" i="21"/>
  <c r="K434" i="21"/>
  <c r="EK434" i="21" s="1"/>
  <c r="J434" i="21"/>
  <c r="I434" i="21"/>
  <c r="DI434" i="21" s="1"/>
  <c r="H434" i="21"/>
  <c r="G434" i="21"/>
  <c r="CG434" i="21" s="1"/>
  <c r="FZ433" i="21"/>
  <c r="EL433" i="21"/>
  <c r="EK433" i="21" s="1"/>
  <c r="CT433" i="21"/>
  <c r="CG433" i="21"/>
  <c r="BE433" i="21"/>
  <c r="BA433" i="21"/>
  <c r="AI433" i="21"/>
  <c r="AG433" i="21"/>
  <c r="CC433" i="21" s="1"/>
  <c r="AE433" i="21"/>
  <c r="AB433" i="21"/>
  <c r="X433" i="21"/>
  <c r="W433" i="21"/>
  <c r="S433" i="21"/>
  <c r="Q433" i="21"/>
  <c r="P433" i="21"/>
  <c r="O433" i="21"/>
  <c r="N433" i="21"/>
  <c r="EE433" i="21" s="1"/>
  <c r="K433" i="21"/>
  <c r="J433" i="21"/>
  <c r="H433" i="21"/>
  <c r="G433" i="21"/>
  <c r="FZ432" i="21"/>
  <c r="EL432" i="21"/>
  <c r="EK432" i="21"/>
  <c r="EE432" i="21"/>
  <c r="EA432" i="21"/>
  <c r="DL432" i="21"/>
  <c r="CT432" i="21"/>
  <c r="CG432" i="21"/>
  <c r="CF432" i="21"/>
  <c r="CH432" i="21" s="1"/>
  <c r="CD432" i="21"/>
  <c r="CC432" i="21"/>
  <c r="CE432" i="21" s="1"/>
  <c r="BI432" i="21"/>
  <c r="BE432" i="21"/>
  <c r="BA432" i="21"/>
  <c r="AS432" i="21"/>
  <c r="AK432" i="21"/>
  <c r="AB432" i="21"/>
  <c r="X432" i="21"/>
  <c r="Y432" i="21" s="1"/>
  <c r="W432" i="21"/>
  <c r="U432" i="21"/>
  <c r="S432" i="21"/>
  <c r="Q432" i="21"/>
  <c r="P432" i="21"/>
  <c r="DY432" i="21" s="1"/>
  <c r="O432" i="21"/>
  <c r="N432" i="21"/>
  <c r="L432" i="21"/>
  <c r="K432" i="21"/>
  <c r="J432" i="21"/>
  <c r="H432" i="21"/>
  <c r="G432" i="21"/>
  <c r="DL431" i="21"/>
  <c r="CT431" i="21"/>
  <c r="CG431" i="21"/>
  <c r="CF431" i="21"/>
  <c r="CH431" i="21" s="1"/>
  <c r="CC431" i="21"/>
  <c r="AS431" i="21"/>
  <c r="AN431" i="21"/>
  <c r="AK431" i="21"/>
  <c r="AI431" i="21"/>
  <c r="AG431" i="21"/>
  <c r="AE431" i="21"/>
  <c r="AB431" i="21"/>
  <c r="X431" i="21"/>
  <c r="W431" i="21"/>
  <c r="BA431" i="21" s="1"/>
  <c r="U431" i="21"/>
  <c r="S431" i="21"/>
  <c r="P431" i="21"/>
  <c r="DY431" i="21" s="1"/>
  <c r="O431" i="21"/>
  <c r="FX431" i="21" s="1"/>
  <c r="N431" i="21"/>
  <c r="K431" i="21"/>
  <c r="J431" i="21"/>
  <c r="H431" i="21"/>
  <c r="G431" i="21"/>
  <c r="FZ430" i="21"/>
  <c r="EE430" i="21"/>
  <c r="DY430" i="21"/>
  <c r="CT430" i="21"/>
  <c r="CG430" i="21"/>
  <c r="CF430" i="21"/>
  <c r="CH430" i="21" s="1"/>
  <c r="CD430" i="21"/>
  <c r="CE430" i="21" s="1"/>
  <c r="CC430" i="21"/>
  <c r="CA430" i="21"/>
  <c r="BZ430" i="21"/>
  <c r="BR430" i="21"/>
  <c r="DZ430" i="21" s="1"/>
  <c r="BA430" i="21"/>
  <c r="AS430" i="21"/>
  <c r="AN430" i="21"/>
  <c r="AB430" i="21"/>
  <c r="X430" i="21"/>
  <c r="W430" i="21"/>
  <c r="U430" i="21"/>
  <c r="AY430" i="21" s="1"/>
  <c r="T430" i="21"/>
  <c r="BH430" i="21" s="1"/>
  <c r="S430" i="21"/>
  <c r="Q430" i="21"/>
  <c r="FY430" i="21" s="1"/>
  <c r="P430" i="21"/>
  <c r="O430" i="21"/>
  <c r="FX430" i="21" s="1"/>
  <c r="N430" i="21"/>
  <c r="L430" i="21"/>
  <c r="K430" i="21"/>
  <c r="EA430" i="21" s="1"/>
  <c r="J430" i="21"/>
  <c r="H430" i="21"/>
  <c r="AL430" i="21" s="1"/>
  <c r="G430" i="21"/>
  <c r="CT429" i="21"/>
  <c r="CG429" i="21"/>
  <c r="CC429" i="21"/>
  <c r="BA429" i="21"/>
  <c r="AK429" i="21"/>
  <c r="AI429" i="21"/>
  <c r="AG429" i="21"/>
  <c r="AE429" i="21"/>
  <c r="AB429" i="21"/>
  <c r="X429" i="21"/>
  <c r="EL429" i="21" s="1"/>
  <c r="W429" i="21"/>
  <c r="S429" i="21"/>
  <c r="P429" i="21"/>
  <c r="O429" i="21"/>
  <c r="N429" i="21"/>
  <c r="K429" i="21"/>
  <c r="J429" i="21"/>
  <c r="H429" i="21"/>
  <c r="I429" i="21" s="1"/>
  <c r="G429" i="21"/>
  <c r="FZ428" i="21"/>
  <c r="EL428" i="21"/>
  <c r="EK428" i="21" s="1"/>
  <c r="EA428" i="21"/>
  <c r="DY428" i="21"/>
  <c r="DL428" i="21"/>
  <c r="CT428" i="21"/>
  <c r="CF428" i="21"/>
  <c r="CD428" i="21"/>
  <c r="CC428" i="21"/>
  <c r="CE428" i="21" s="1"/>
  <c r="BI428" i="21"/>
  <c r="AN428" i="21"/>
  <c r="AK428" i="21"/>
  <c r="AB428" i="21"/>
  <c r="X428" i="21"/>
  <c r="Y428" i="21" s="1"/>
  <c r="W428" i="21"/>
  <c r="BA428" i="21" s="1"/>
  <c r="U428" i="21"/>
  <c r="S428" i="21"/>
  <c r="P428" i="21"/>
  <c r="O428" i="21"/>
  <c r="BE428" i="21" s="1"/>
  <c r="N428" i="21"/>
  <c r="L428" i="21"/>
  <c r="K428" i="21"/>
  <c r="J428" i="21"/>
  <c r="H428" i="21"/>
  <c r="I428" i="21" s="1"/>
  <c r="G428" i="21"/>
  <c r="CG428" i="21" s="1"/>
  <c r="EE427" i="21"/>
  <c r="EA427" i="21"/>
  <c r="DI427" i="21"/>
  <c r="CT427" i="21"/>
  <c r="CG427" i="21"/>
  <c r="CF427" i="21"/>
  <c r="CH427" i="21" s="1"/>
  <c r="CC427" i="21"/>
  <c r="BZ427" i="21"/>
  <c r="BA427" i="21"/>
  <c r="BB427" i="21" s="1"/>
  <c r="AS427" i="21"/>
  <c r="AK427" i="21"/>
  <c r="AI427" i="21"/>
  <c r="AG427" i="21"/>
  <c r="AE427" i="21"/>
  <c r="AB427" i="21"/>
  <c r="W427" i="21"/>
  <c r="X427" i="21" s="1"/>
  <c r="EL427" i="21" s="1"/>
  <c r="S427" i="21"/>
  <c r="P427" i="21"/>
  <c r="O427" i="21"/>
  <c r="N427" i="21"/>
  <c r="Q427" i="21" s="1"/>
  <c r="M427" i="21"/>
  <c r="L427" i="21"/>
  <c r="K427" i="21"/>
  <c r="J427" i="21"/>
  <c r="H427" i="21"/>
  <c r="I427" i="21" s="1"/>
  <c r="G427" i="21"/>
  <c r="ET426" i="21"/>
  <c r="EL426" i="21"/>
  <c r="EK426" i="21" s="1"/>
  <c r="EA426" i="21"/>
  <c r="DI426" i="21"/>
  <c r="CT426" i="21"/>
  <c r="CF426" i="21"/>
  <c r="CD426" i="21"/>
  <c r="CC426" i="21"/>
  <c r="CE426" i="21" s="1"/>
  <c r="BA426" i="21"/>
  <c r="AN426" i="21"/>
  <c r="AK426" i="21"/>
  <c r="AB426" i="21"/>
  <c r="Y426" i="21"/>
  <c r="X426" i="21"/>
  <c r="W426" i="21"/>
  <c r="S426" i="21"/>
  <c r="P426" i="21"/>
  <c r="DY426" i="21" s="1"/>
  <c r="O426" i="21"/>
  <c r="N426" i="21"/>
  <c r="K426" i="21"/>
  <c r="J426" i="21"/>
  <c r="H426" i="21"/>
  <c r="I426" i="21" s="1"/>
  <c r="AX426" i="21" s="1"/>
  <c r="G426" i="21"/>
  <c r="CG426" i="21" s="1"/>
  <c r="FZ425" i="21"/>
  <c r="FX425" i="21"/>
  <c r="DY425" i="21"/>
  <c r="DI425" i="21"/>
  <c r="CT425" i="21"/>
  <c r="CG425" i="21"/>
  <c r="BA425" i="21"/>
  <c r="BB425" i="21" s="1"/>
  <c r="AS425" i="21"/>
  <c r="AM425" i="21"/>
  <c r="AK425" i="21"/>
  <c r="AI425" i="21"/>
  <c r="AG425" i="21"/>
  <c r="CC425" i="21" s="1"/>
  <c r="AE425" i="21"/>
  <c r="AB425" i="21"/>
  <c r="Y425" i="21"/>
  <c r="W425" i="21"/>
  <c r="X425" i="21" s="1"/>
  <c r="EL425" i="21" s="1"/>
  <c r="EK425" i="21" s="1"/>
  <c r="U425" i="21"/>
  <c r="T425" i="21"/>
  <c r="S425" i="21"/>
  <c r="Q425" i="21"/>
  <c r="P425" i="21"/>
  <c r="O425" i="21"/>
  <c r="N425" i="21"/>
  <c r="L425" i="21"/>
  <c r="K425" i="21"/>
  <c r="CF425" i="21" s="1"/>
  <c r="J425" i="21"/>
  <c r="DL425" i="21" s="1"/>
  <c r="I425" i="21"/>
  <c r="AX425" i="21" s="1"/>
  <c r="H425" i="21"/>
  <c r="G425" i="21"/>
  <c r="FX424" i="21"/>
  <c r="FA424" i="21"/>
  <c r="DY424" i="21"/>
  <c r="DL424" i="21"/>
  <c r="CT424" i="21"/>
  <c r="CH424" i="21"/>
  <c r="CF424" i="21"/>
  <c r="AK424" i="21"/>
  <c r="AI424" i="21"/>
  <c r="AG424" i="21"/>
  <c r="CC424" i="21" s="1"/>
  <c r="AE424" i="21"/>
  <c r="AB424" i="21"/>
  <c r="W424" i="21"/>
  <c r="U424" i="21"/>
  <c r="T424" i="21"/>
  <c r="S424" i="21"/>
  <c r="AN424" i="21" s="1"/>
  <c r="Q424" i="21"/>
  <c r="P424" i="21"/>
  <c r="O424" i="21"/>
  <c r="N424" i="21"/>
  <c r="K424" i="21"/>
  <c r="J424" i="21"/>
  <c r="AM424" i="21" s="1"/>
  <c r="H424" i="21"/>
  <c r="G424" i="21"/>
  <c r="CG424" i="21" s="1"/>
  <c r="DL423" i="21"/>
  <c r="CT423" i="21"/>
  <c r="CG423" i="21"/>
  <c r="CF423" i="21"/>
  <c r="CH423" i="21" s="1"/>
  <c r="CC423" i="21"/>
  <c r="AB423" i="21"/>
  <c r="W423" i="21"/>
  <c r="S423" i="21"/>
  <c r="P423" i="21"/>
  <c r="O423" i="21"/>
  <c r="N423" i="21"/>
  <c r="K423" i="21"/>
  <c r="J423" i="21"/>
  <c r="AS423" i="21" s="1"/>
  <c r="H423" i="21"/>
  <c r="G423" i="21"/>
  <c r="FX422" i="21"/>
  <c r="FA422" i="21"/>
  <c r="CT422" i="21"/>
  <c r="CG422" i="21"/>
  <c r="CD422" i="21"/>
  <c r="CC422" i="21"/>
  <c r="BA422" i="21"/>
  <c r="AS422" i="21"/>
  <c r="AN422" i="21"/>
  <c r="AB422" i="21"/>
  <c r="X422" i="21"/>
  <c r="EL422" i="21" s="1"/>
  <c r="EK422" i="21" s="1"/>
  <c r="W422" i="21"/>
  <c r="S422" i="21"/>
  <c r="P422" i="21"/>
  <c r="DY422" i="21" s="1"/>
  <c r="O422" i="21"/>
  <c r="N422" i="21"/>
  <c r="K422" i="21"/>
  <c r="J422" i="21"/>
  <c r="H422" i="21"/>
  <c r="G422" i="21"/>
  <c r="FZ421" i="21"/>
  <c r="FX421" i="21"/>
  <c r="CT421" i="21"/>
  <c r="CF421" i="21"/>
  <c r="BA421" i="21"/>
  <c r="AN421" i="21"/>
  <c r="AK421" i="21"/>
  <c r="AI421" i="21"/>
  <c r="EA421" i="21" s="1"/>
  <c r="AG421" i="21"/>
  <c r="CC421" i="21" s="1"/>
  <c r="AE421" i="21"/>
  <c r="AB421" i="21"/>
  <c r="X421" i="21"/>
  <c r="EL421" i="21" s="1"/>
  <c r="EK421" i="21" s="1"/>
  <c r="W421" i="21"/>
  <c r="U421" i="21"/>
  <c r="S421" i="21"/>
  <c r="P421" i="21"/>
  <c r="O421" i="21"/>
  <c r="N421" i="21"/>
  <c r="K421" i="21"/>
  <c r="J421" i="21"/>
  <c r="H421" i="21"/>
  <c r="G421" i="21"/>
  <c r="CG421" i="21" s="1"/>
  <c r="FZ420" i="21"/>
  <c r="FX420" i="21"/>
  <c r="CT420" i="21"/>
  <c r="CG420" i="21"/>
  <c r="AI420" i="21"/>
  <c r="AG420" i="21"/>
  <c r="CC420" i="21" s="1"/>
  <c r="AE420" i="21"/>
  <c r="AB420" i="21"/>
  <c r="X420" i="21"/>
  <c r="EL420" i="21" s="1"/>
  <c r="EK420" i="21" s="1"/>
  <c r="W420" i="21"/>
  <c r="BA420" i="21" s="1"/>
  <c r="S420" i="21"/>
  <c r="P420" i="21"/>
  <c r="O420" i="21"/>
  <c r="N420" i="21"/>
  <c r="K420" i="21"/>
  <c r="J420" i="21"/>
  <c r="I420" i="21"/>
  <c r="H420" i="21"/>
  <c r="G420" i="21"/>
  <c r="EL419" i="21"/>
  <c r="CT419" i="21"/>
  <c r="CG419" i="21"/>
  <c r="CC419" i="21"/>
  <c r="BA419" i="21"/>
  <c r="AK419" i="21"/>
  <c r="AB419" i="21"/>
  <c r="X419" i="21"/>
  <c r="W419" i="21"/>
  <c r="S419" i="21"/>
  <c r="P419" i="21"/>
  <c r="O419" i="21"/>
  <c r="N419" i="21"/>
  <c r="L419" i="21"/>
  <c r="K419" i="21"/>
  <c r="J419" i="21"/>
  <c r="I419" i="21"/>
  <c r="H419" i="21"/>
  <c r="G419" i="21"/>
  <c r="DY418" i="21"/>
  <c r="CT418" i="21"/>
  <c r="CG418" i="21"/>
  <c r="CF418" i="21"/>
  <c r="CH418" i="21" s="1"/>
  <c r="CC418" i="21"/>
  <c r="BA418" i="21"/>
  <c r="AS418" i="21"/>
  <c r="AN418" i="21"/>
  <c r="AI418" i="21"/>
  <c r="AG418" i="21"/>
  <c r="AE418" i="21"/>
  <c r="AB418" i="21"/>
  <c r="X418" i="21"/>
  <c r="EL418" i="21" s="1"/>
  <c r="EK418" i="21" s="1"/>
  <c r="W418" i="21"/>
  <c r="S418" i="21"/>
  <c r="P418" i="21"/>
  <c r="O418" i="21"/>
  <c r="U418" i="21" s="1"/>
  <c r="N418" i="21"/>
  <c r="K418" i="21"/>
  <c r="J418" i="21"/>
  <c r="H418" i="21"/>
  <c r="G418" i="21"/>
  <c r="FZ417" i="21"/>
  <c r="CT417" i="21"/>
  <c r="CG417" i="21"/>
  <c r="CF417" i="21"/>
  <c r="BF417" i="21"/>
  <c r="BE417" i="21"/>
  <c r="BA417" i="21"/>
  <c r="BB417" i="21" s="1"/>
  <c r="AK417" i="21"/>
  <c r="AI417" i="21"/>
  <c r="EA417" i="21" s="1"/>
  <c r="AG417" i="21"/>
  <c r="AE417" i="21"/>
  <c r="AB417" i="21"/>
  <c r="W417" i="21"/>
  <c r="X417" i="21" s="1"/>
  <c r="S417" i="21"/>
  <c r="P417" i="21"/>
  <c r="DY417" i="21" s="1"/>
  <c r="O417" i="21"/>
  <c r="N417" i="21"/>
  <c r="M417" i="21"/>
  <c r="L417" i="21"/>
  <c r="K417" i="21"/>
  <c r="J417" i="21"/>
  <c r="AS417" i="21" s="1"/>
  <c r="I417" i="21"/>
  <c r="H417" i="21"/>
  <c r="G417" i="21"/>
  <c r="EL416" i="21"/>
  <c r="EK416" i="21" s="1"/>
  <c r="CT416" i="21"/>
  <c r="CG416" i="21"/>
  <c r="CC416" i="21"/>
  <c r="BA416" i="21"/>
  <c r="AS416" i="21"/>
  <c r="AB416" i="21"/>
  <c r="X416" i="21"/>
  <c r="W416" i="21"/>
  <c r="S416" i="21"/>
  <c r="P416" i="21"/>
  <c r="DY416" i="21" s="1"/>
  <c r="O416" i="21"/>
  <c r="N416" i="21"/>
  <c r="L416" i="21"/>
  <c r="K416" i="21"/>
  <c r="J416" i="21"/>
  <c r="H416" i="21"/>
  <c r="G416" i="21"/>
  <c r="FZ415" i="21"/>
  <c r="FX415" i="21"/>
  <c r="DY415" i="21"/>
  <c r="DL415" i="21"/>
  <c r="CT415" i="21"/>
  <c r="CG415" i="21"/>
  <c r="CF415" i="21"/>
  <c r="CH415" i="21" s="1"/>
  <c r="CC415" i="21"/>
  <c r="AK415" i="21"/>
  <c r="AI415" i="21"/>
  <c r="EA415" i="21" s="1"/>
  <c r="AG415" i="21"/>
  <c r="BE415" i="21" s="1"/>
  <c r="AE415" i="21"/>
  <c r="AB415" i="21"/>
  <c r="X415" i="21"/>
  <c r="W415" i="21"/>
  <c r="U415" i="21"/>
  <c r="S415" i="21"/>
  <c r="AN415" i="21" s="1"/>
  <c r="P415" i="21"/>
  <c r="O415" i="21"/>
  <c r="N415" i="21"/>
  <c r="L415" i="21"/>
  <c r="K415" i="21"/>
  <c r="J415" i="21"/>
  <c r="H415" i="21"/>
  <c r="I415" i="21" s="1"/>
  <c r="G415" i="21"/>
  <c r="CT414" i="21"/>
  <c r="CG414" i="21"/>
  <c r="BI414" i="21"/>
  <c r="BA414" i="21"/>
  <c r="BB414" i="21" s="1"/>
  <c r="AK414" i="21"/>
  <c r="AI414" i="21"/>
  <c r="AG414" i="21"/>
  <c r="CC414" i="21" s="1"/>
  <c r="AE414" i="21"/>
  <c r="AB414" i="21"/>
  <c r="Y414" i="21"/>
  <c r="DT414" i="21" s="1"/>
  <c r="W414" i="21"/>
  <c r="X414" i="21" s="1"/>
  <c r="EL414" i="21" s="1"/>
  <c r="EK414" i="21" s="1"/>
  <c r="S414" i="21"/>
  <c r="P414" i="21"/>
  <c r="O414" i="21"/>
  <c r="N414" i="21"/>
  <c r="K414" i="21"/>
  <c r="J414" i="21"/>
  <c r="I414" i="21"/>
  <c r="H414" i="21"/>
  <c r="G414" i="21"/>
  <c r="FX413" i="21"/>
  <c r="EL413" i="21"/>
  <c r="EK413" i="21"/>
  <c r="EE413" i="21"/>
  <c r="CT413" i="21"/>
  <c r="AS413" i="21"/>
  <c r="AK413" i="21"/>
  <c r="AG413" i="21"/>
  <c r="CC413" i="21" s="1"/>
  <c r="AE413" i="21"/>
  <c r="AB413" i="21"/>
  <c r="W413" i="21"/>
  <c r="X413" i="21" s="1"/>
  <c r="S413" i="21"/>
  <c r="P413" i="21"/>
  <c r="O413" i="21"/>
  <c r="N413" i="21"/>
  <c r="L413" i="21"/>
  <c r="K413" i="21"/>
  <c r="J413" i="21"/>
  <c r="H413" i="21"/>
  <c r="G413" i="21"/>
  <c r="CG413" i="21" s="1"/>
  <c r="FZ412" i="21"/>
  <c r="FY412" i="21"/>
  <c r="GA412" i="21" s="1"/>
  <c r="FX412" i="21"/>
  <c r="EA412" i="21"/>
  <c r="DZ412" i="21"/>
  <c r="EB412" i="21" s="1"/>
  <c r="DY412" i="21"/>
  <c r="CT412" i="21"/>
  <c r="CG412" i="21"/>
  <c r="CH412" i="21" s="1"/>
  <c r="CF412" i="21"/>
  <c r="CD412" i="21"/>
  <c r="CE412" i="21" s="1"/>
  <c r="CI412" i="21" s="1"/>
  <c r="CC412" i="21"/>
  <c r="BZ412" i="21"/>
  <c r="CB412" i="21" s="1"/>
  <c r="BR412" i="21"/>
  <c r="BE412" i="21"/>
  <c r="AS412" i="21"/>
  <c r="AN412" i="21"/>
  <c r="AM412" i="21"/>
  <c r="AL412" i="21"/>
  <c r="AK412" i="21"/>
  <c r="AG412" i="21"/>
  <c r="AE412" i="21"/>
  <c r="AB412" i="21"/>
  <c r="W412" i="21"/>
  <c r="BA412" i="21" s="1"/>
  <c r="BB412" i="21" s="1"/>
  <c r="U412" i="21"/>
  <c r="S412" i="21"/>
  <c r="Q412" i="21"/>
  <c r="CA412" i="21" s="1"/>
  <c r="P412" i="21"/>
  <c r="O412" i="21"/>
  <c r="N412" i="21"/>
  <c r="K412" i="21"/>
  <c r="J412" i="21"/>
  <c r="I412" i="21"/>
  <c r="H412" i="21"/>
  <c r="G412" i="21"/>
  <c r="FZ411" i="21"/>
  <c r="FX411" i="21"/>
  <c r="EA411" i="21"/>
  <c r="DI411" i="21"/>
  <c r="CT411" i="21"/>
  <c r="CD411" i="21"/>
  <c r="CE411" i="21" s="1"/>
  <c r="CC411" i="21"/>
  <c r="BE411" i="21"/>
  <c r="BA411" i="21"/>
  <c r="BB411" i="21" s="1"/>
  <c r="AK411" i="21"/>
  <c r="AB411" i="21"/>
  <c r="W411" i="21"/>
  <c r="X411" i="21" s="1"/>
  <c r="EL411" i="21" s="1"/>
  <c r="EK411" i="21" s="1"/>
  <c r="U411" i="21"/>
  <c r="S411" i="21"/>
  <c r="P411" i="21"/>
  <c r="DY411" i="21" s="1"/>
  <c r="O411" i="21"/>
  <c r="N411" i="21"/>
  <c r="EE411" i="21" s="1"/>
  <c r="M411" i="21"/>
  <c r="BF411" i="21" s="1"/>
  <c r="L411" i="21"/>
  <c r="K411" i="21"/>
  <c r="J411" i="21"/>
  <c r="AM411" i="21" s="1"/>
  <c r="I411" i="21"/>
  <c r="H411" i="21"/>
  <c r="G411" i="21"/>
  <c r="CG411" i="21" s="1"/>
  <c r="EL410" i="21"/>
  <c r="CT410" i="21"/>
  <c r="CG410" i="21"/>
  <c r="CC410" i="21"/>
  <c r="BE410" i="21"/>
  <c r="BA410" i="21"/>
  <c r="BB410" i="21" s="1"/>
  <c r="AB410" i="21"/>
  <c r="W410" i="21"/>
  <c r="X410" i="21" s="1"/>
  <c r="S410" i="21"/>
  <c r="P410" i="21"/>
  <c r="DY410" i="21" s="1"/>
  <c r="O410" i="21"/>
  <c r="N410" i="21"/>
  <c r="K410" i="21"/>
  <c r="J410" i="21"/>
  <c r="I410" i="21"/>
  <c r="H410" i="21"/>
  <c r="G410" i="21"/>
  <c r="FX409" i="21"/>
  <c r="EL409" i="21"/>
  <c r="EK409" i="21"/>
  <c r="DY409" i="21"/>
  <c r="DT409" i="21"/>
  <c r="CT409" i="21"/>
  <c r="BA409" i="21"/>
  <c r="AN409" i="21"/>
  <c r="AK409" i="21"/>
  <c r="AG409" i="21"/>
  <c r="CC409" i="21" s="1"/>
  <c r="AE409" i="21"/>
  <c r="AB409" i="21"/>
  <c r="Y409" i="21"/>
  <c r="BI409" i="21" s="1"/>
  <c r="X409" i="21"/>
  <c r="W409" i="21"/>
  <c r="S409" i="21"/>
  <c r="P409" i="21"/>
  <c r="O409" i="21"/>
  <c r="U409" i="21" s="1"/>
  <c r="N409" i="21"/>
  <c r="K409" i="21"/>
  <c r="J409" i="21"/>
  <c r="AM409" i="21" s="1"/>
  <c r="H409" i="21"/>
  <c r="G409" i="21"/>
  <c r="CG409" i="21" s="1"/>
  <c r="FZ408" i="21"/>
  <c r="EL408" i="21"/>
  <c r="EK408" i="21" s="1"/>
  <c r="EA408" i="21"/>
  <c r="DY408" i="21"/>
  <c r="DT408" i="21"/>
  <c r="CT408" i="21"/>
  <c r="CF408" i="21"/>
  <c r="CH408" i="21" s="1"/>
  <c r="CD408" i="21"/>
  <c r="CC408" i="21"/>
  <c r="CE408" i="21" s="1"/>
  <c r="BA408" i="21"/>
  <c r="AK408" i="21"/>
  <c r="AB408" i="21"/>
  <c r="Y408" i="21"/>
  <c r="X408" i="21"/>
  <c r="W408" i="21"/>
  <c r="S408" i="21"/>
  <c r="P408" i="21"/>
  <c r="O408" i="21"/>
  <c r="N408" i="21"/>
  <c r="M408" i="21"/>
  <c r="L408" i="21"/>
  <c r="K408" i="21"/>
  <c r="J408" i="21"/>
  <c r="I408" i="21"/>
  <c r="DI408" i="21" s="1"/>
  <c r="H408" i="21"/>
  <c r="G408" i="21"/>
  <c r="CG408" i="21" s="1"/>
  <c r="FZ407" i="21"/>
  <c r="EA407" i="21"/>
  <c r="DY407" i="21"/>
  <c r="CT407" i="21"/>
  <c r="CF407" i="21"/>
  <c r="CD407" i="21"/>
  <c r="CC407" i="21"/>
  <c r="CE407" i="21" s="1"/>
  <c r="CA407" i="21"/>
  <c r="BZ407" i="21"/>
  <c r="CB407" i="21" s="1"/>
  <c r="AK407" i="21"/>
  <c r="AB407" i="21"/>
  <c r="W407" i="21"/>
  <c r="BA407" i="21" s="1"/>
  <c r="U407" i="21"/>
  <c r="S407" i="21"/>
  <c r="Q407" i="21"/>
  <c r="P407" i="21"/>
  <c r="O407" i="21"/>
  <c r="N407" i="21"/>
  <c r="M407" i="21"/>
  <c r="K407" i="21"/>
  <c r="J407" i="21"/>
  <c r="I407" i="21"/>
  <c r="DI407" i="21" s="1"/>
  <c r="H407" i="21"/>
  <c r="G407" i="21"/>
  <c r="CG407" i="21" s="1"/>
  <c r="FZ406" i="21"/>
  <c r="EA406" i="21"/>
  <c r="DY406" i="21"/>
  <c r="CT406" i="21"/>
  <c r="CG406" i="21"/>
  <c r="CF406" i="21"/>
  <c r="CE406" i="21"/>
  <c r="CD406" i="21"/>
  <c r="AK406" i="21"/>
  <c r="AG406" i="21"/>
  <c r="CC406" i="21" s="1"/>
  <c r="AE406" i="21"/>
  <c r="AB406" i="21"/>
  <c r="W406" i="21"/>
  <c r="S406" i="21"/>
  <c r="P406" i="21"/>
  <c r="O406" i="21"/>
  <c r="N406" i="21"/>
  <c r="EE406" i="21" s="1"/>
  <c r="K406" i="21"/>
  <c r="J406" i="21"/>
  <c r="H406" i="21"/>
  <c r="I406" i="21" s="1"/>
  <c r="G406" i="21"/>
  <c r="FX405" i="21"/>
  <c r="EA405" i="21"/>
  <c r="DY405" i="21"/>
  <c r="CT405" i="21"/>
  <c r="CG405" i="21"/>
  <c r="CF405" i="21"/>
  <c r="CH405" i="21" s="1"/>
  <c r="CC405" i="21"/>
  <c r="AK405" i="21"/>
  <c r="AB405" i="21"/>
  <c r="X405" i="21"/>
  <c r="EL405" i="21" s="1"/>
  <c r="EK405" i="21" s="1"/>
  <c r="W405" i="21"/>
  <c r="BA405" i="21" s="1"/>
  <c r="BB405" i="21" s="1"/>
  <c r="U405" i="21"/>
  <c r="S405" i="21"/>
  <c r="P405" i="21"/>
  <c r="O405" i="21"/>
  <c r="N405" i="21"/>
  <c r="EE405" i="21" s="1"/>
  <c r="L405" i="21"/>
  <c r="K405" i="21"/>
  <c r="J405" i="21"/>
  <c r="DL405" i="21" s="1"/>
  <c r="I405" i="21"/>
  <c r="DI405" i="21" s="1"/>
  <c r="H405" i="21"/>
  <c r="G405" i="21"/>
  <c r="FZ404" i="21"/>
  <c r="FX404" i="21"/>
  <c r="EL404" i="21"/>
  <c r="EK404" i="21" s="1"/>
  <c r="EA404" i="21"/>
  <c r="DY404" i="21"/>
  <c r="CT404" i="21"/>
  <c r="CF404" i="21"/>
  <c r="BA404" i="21"/>
  <c r="BB404" i="21" s="1"/>
  <c r="AG404" i="21"/>
  <c r="CC404" i="21" s="1"/>
  <c r="CE404" i="21" s="1"/>
  <c r="AE404" i="21"/>
  <c r="CD404" i="21" s="1"/>
  <c r="AB404" i="21"/>
  <c r="W404" i="21"/>
  <c r="X404" i="21" s="1"/>
  <c r="U404" i="21"/>
  <c r="S404" i="21"/>
  <c r="P404" i="21"/>
  <c r="O404" i="21"/>
  <c r="N404" i="21"/>
  <c r="K404" i="21"/>
  <c r="J404" i="21"/>
  <c r="I404" i="21"/>
  <c r="H404" i="21"/>
  <c r="G404" i="21"/>
  <c r="CG404" i="21" s="1"/>
  <c r="DI403" i="21"/>
  <c r="CT403" i="21"/>
  <c r="AS403" i="21"/>
  <c r="AM403" i="21"/>
  <c r="AK403" i="21"/>
  <c r="AI403" i="21"/>
  <c r="AG403" i="21"/>
  <c r="AE403" i="21"/>
  <c r="AB403" i="21"/>
  <c r="W403" i="21"/>
  <c r="X403" i="21" s="1"/>
  <c r="EL403" i="21" s="1"/>
  <c r="EK403" i="21" s="1"/>
  <c r="S403" i="21"/>
  <c r="P403" i="21"/>
  <c r="O403" i="21"/>
  <c r="N403" i="21"/>
  <c r="K403" i="21"/>
  <c r="EE403" i="21" s="1"/>
  <c r="J403" i="21"/>
  <c r="I403" i="21"/>
  <c r="H403" i="21"/>
  <c r="G403" i="21"/>
  <c r="CG403" i="21" s="1"/>
  <c r="EA402" i="21"/>
  <c r="DY402" i="21"/>
  <c r="DL402" i="21"/>
  <c r="CT402" i="21"/>
  <c r="CF402" i="21"/>
  <c r="CH402" i="21" s="1"/>
  <c r="CD402" i="21"/>
  <c r="CC402" i="21"/>
  <c r="CE402" i="21" s="1"/>
  <c r="BZ402" i="21"/>
  <c r="CB402" i="21" s="1"/>
  <c r="BR402" i="21"/>
  <c r="DZ402" i="21" s="1"/>
  <c r="EB402" i="21" s="1"/>
  <c r="EG402" i="21" s="1"/>
  <c r="BE402" i="21"/>
  <c r="AN402" i="21"/>
  <c r="AM402" i="21"/>
  <c r="AB402" i="21"/>
  <c r="W402" i="21"/>
  <c r="U402" i="21"/>
  <c r="S402" i="21"/>
  <c r="Q402" i="21"/>
  <c r="CA402" i="21" s="1"/>
  <c r="P402" i="21"/>
  <c r="O402" i="21"/>
  <c r="FX402" i="21" s="1"/>
  <c r="N402" i="21"/>
  <c r="L402" i="21"/>
  <c r="K402" i="21"/>
  <c r="J402" i="21"/>
  <c r="H402" i="21"/>
  <c r="EE402" i="21" s="1"/>
  <c r="G402" i="21"/>
  <c r="CG402" i="21" s="1"/>
  <c r="DL401" i="21"/>
  <c r="DI401" i="21"/>
  <c r="CT401" i="21"/>
  <c r="AG401" i="21"/>
  <c r="CC401" i="21" s="1"/>
  <c r="AE401" i="21"/>
  <c r="AB401" i="21"/>
  <c r="W401" i="21"/>
  <c r="T401" i="21"/>
  <c r="S401" i="21"/>
  <c r="Q401" i="21"/>
  <c r="P401" i="21"/>
  <c r="DY401" i="21" s="1"/>
  <c r="O401" i="21"/>
  <c r="N401" i="21"/>
  <c r="EE401" i="21" s="1"/>
  <c r="M401" i="21"/>
  <c r="K401" i="21"/>
  <c r="J401" i="21"/>
  <c r="AS401" i="21" s="1"/>
  <c r="H401" i="21"/>
  <c r="I401" i="21" s="1"/>
  <c r="AX401" i="21" s="1"/>
  <c r="G401" i="21"/>
  <c r="CG401" i="21" s="1"/>
  <c r="DL400" i="21"/>
  <c r="DI400" i="21"/>
  <c r="CT400" i="21"/>
  <c r="CG400" i="21"/>
  <c r="BA400" i="21"/>
  <c r="BB400" i="21" s="1"/>
  <c r="AX400" i="21"/>
  <c r="AK400" i="21"/>
  <c r="AI400" i="21"/>
  <c r="AG400" i="21"/>
  <c r="CC400" i="21" s="1"/>
  <c r="AE400" i="21"/>
  <c r="AB400" i="21"/>
  <c r="W400" i="21"/>
  <c r="X400" i="21" s="1"/>
  <c r="EL400" i="21" s="1"/>
  <c r="EK400" i="21" s="1"/>
  <c r="U400" i="21"/>
  <c r="S400" i="21"/>
  <c r="Q400" i="21"/>
  <c r="CA400" i="21" s="1"/>
  <c r="P400" i="21"/>
  <c r="DY400" i="21" s="1"/>
  <c r="O400" i="21"/>
  <c r="N400" i="21"/>
  <c r="M400" i="21"/>
  <c r="K400" i="21"/>
  <c r="AN400" i="21" s="1"/>
  <c r="J400" i="21"/>
  <c r="AS400" i="21" s="1"/>
  <c r="H400" i="21"/>
  <c r="I400" i="21" s="1"/>
  <c r="G400" i="21"/>
  <c r="DI399" i="21"/>
  <c r="CT399" i="21"/>
  <c r="CG399" i="21"/>
  <c r="CC399" i="21"/>
  <c r="AK399" i="21"/>
  <c r="AB399" i="21"/>
  <c r="W399" i="21"/>
  <c r="S399" i="21"/>
  <c r="P399" i="21"/>
  <c r="O399" i="21"/>
  <c r="N399" i="21"/>
  <c r="EE399" i="21" s="1"/>
  <c r="K399" i="21"/>
  <c r="J399" i="21"/>
  <c r="I399" i="21"/>
  <c r="H399" i="21"/>
  <c r="G399" i="21"/>
  <c r="DL398" i="21"/>
  <c r="DI398" i="21"/>
  <c r="CT398" i="21"/>
  <c r="CG398" i="21"/>
  <c r="BB398" i="21"/>
  <c r="BA398" i="21"/>
  <c r="AX398" i="21"/>
  <c r="AK398" i="21"/>
  <c r="AI398" i="21"/>
  <c r="AG398" i="21"/>
  <c r="CC398" i="21" s="1"/>
  <c r="AE398" i="21"/>
  <c r="AB398" i="21"/>
  <c r="Y398" i="21"/>
  <c r="W398" i="21"/>
  <c r="X398" i="21" s="1"/>
  <c r="EL398" i="21" s="1"/>
  <c r="EK398" i="21" s="1"/>
  <c r="U398" i="21"/>
  <c r="S398" i="21"/>
  <c r="P398" i="21"/>
  <c r="DY398" i="21" s="1"/>
  <c r="O398" i="21"/>
  <c r="N398" i="21"/>
  <c r="EE398" i="21" s="1"/>
  <c r="M398" i="21"/>
  <c r="K398" i="21"/>
  <c r="J398" i="21"/>
  <c r="AS398" i="21" s="1"/>
  <c r="I398" i="21"/>
  <c r="H398" i="21"/>
  <c r="G398" i="21"/>
  <c r="DY397" i="21"/>
  <c r="DL397" i="21"/>
  <c r="CT397" i="21"/>
  <c r="CF397" i="21"/>
  <c r="CC397" i="21"/>
  <c r="CA397" i="21"/>
  <c r="CB397" i="21" s="1"/>
  <c r="BZ397" i="21"/>
  <c r="BA397" i="21"/>
  <c r="AS397" i="21"/>
  <c r="AM397" i="21"/>
  <c r="AI397" i="21"/>
  <c r="AG397" i="21"/>
  <c r="AE397" i="21"/>
  <c r="AB397" i="21"/>
  <c r="X397" i="21"/>
  <c r="W397" i="21"/>
  <c r="S397" i="21"/>
  <c r="Q397" i="21"/>
  <c r="BR397" i="21" s="1"/>
  <c r="DZ397" i="21" s="1"/>
  <c r="P397" i="21"/>
  <c r="O397" i="21"/>
  <c r="N397" i="21"/>
  <c r="K397" i="21"/>
  <c r="J397" i="21"/>
  <c r="H397" i="21"/>
  <c r="L397" i="21" s="1"/>
  <c r="G397" i="21"/>
  <c r="CG397" i="21" s="1"/>
  <c r="CH397" i="21" s="1"/>
  <c r="FX396" i="21"/>
  <c r="ET396" i="21"/>
  <c r="DY396" i="21"/>
  <c r="DL396" i="21"/>
  <c r="DI396" i="21"/>
  <c r="EU396" i="21" s="1"/>
  <c r="EV396" i="21" s="1"/>
  <c r="CT396" i="21"/>
  <c r="CE396" i="21"/>
  <c r="CD396" i="21"/>
  <c r="CC396" i="21"/>
  <c r="BE396" i="21"/>
  <c r="BA396" i="21"/>
  <c r="BB396" i="21" s="1"/>
  <c r="AS396" i="21"/>
  <c r="AM396" i="21"/>
  <c r="AK396" i="21"/>
  <c r="AB396" i="21"/>
  <c r="X396" i="21"/>
  <c r="EL396" i="21" s="1"/>
  <c r="EK396" i="21" s="1"/>
  <c r="W396" i="21"/>
  <c r="S396" i="21"/>
  <c r="Q396" i="21"/>
  <c r="P396" i="21"/>
  <c r="O396" i="21"/>
  <c r="N396" i="21"/>
  <c r="EE396" i="21" s="1"/>
  <c r="K396" i="21"/>
  <c r="J396" i="21"/>
  <c r="I396" i="21"/>
  <c r="M396" i="21" s="1"/>
  <c r="BF396" i="21" s="1"/>
  <c r="H396" i="21"/>
  <c r="G396" i="21"/>
  <c r="CG396" i="21" s="1"/>
  <c r="CT395" i="21"/>
  <c r="CC395" i="21"/>
  <c r="BA395" i="21"/>
  <c r="AS395" i="21"/>
  <c r="AM395" i="21"/>
  <c r="AI395" i="21"/>
  <c r="AG395" i="21"/>
  <c r="AE395" i="21"/>
  <c r="CD395" i="21" s="1"/>
  <c r="AB395" i="21"/>
  <c r="X395" i="21"/>
  <c r="EL395" i="21" s="1"/>
  <c r="W395" i="21"/>
  <c r="S395" i="21"/>
  <c r="P395" i="21"/>
  <c r="O395" i="21"/>
  <c r="N395" i="21"/>
  <c r="L395" i="21"/>
  <c r="K395" i="21"/>
  <c r="J395" i="21"/>
  <c r="H395" i="21"/>
  <c r="G395" i="21"/>
  <c r="EL394" i="21"/>
  <c r="CT394" i="21"/>
  <c r="CG394" i="21"/>
  <c r="CD394" i="21"/>
  <c r="CC394" i="21"/>
  <c r="CE394" i="21" s="1"/>
  <c r="BA394" i="21"/>
  <c r="AI394" i="21"/>
  <c r="AG394" i="21"/>
  <c r="AE394" i="21"/>
  <c r="AB394" i="21"/>
  <c r="X394" i="21"/>
  <c r="W394" i="21"/>
  <c r="S394" i="21"/>
  <c r="P394" i="21"/>
  <c r="DY394" i="21" s="1"/>
  <c r="O394" i="21"/>
  <c r="N394" i="21"/>
  <c r="L394" i="21"/>
  <c r="K394" i="21"/>
  <c r="J394" i="21"/>
  <c r="I394" i="21"/>
  <c r="H394" i="21"/>
  <c r="G394" i="21"/>
  <c r="CT393" i="21"/>
  <c r="CG393" i="21"/>
  <c r="CD393" i="21"/>
  <c r="CC393" i="21"/>
  <c r="BA393" i="21"/>
  <c r="AB393" i="21"/>
  <c r="X393" i="21"/>
  <c r="EL393" i="21" s="1"/>
  <c r="EK393" i="21" s="1"/>
  <c r="W393" i="21"/>
  <c r="S393" i="21"/>
  <c r="P393" i="21"/>
  <c r="O393" i="21"/>
  <c r="N393" i="21"/>
  <c r="K393" i="21"/>
  <c r="J393" i="21"/>
  <c r="H393" i="21"/>
  <c r="G393" i="21"/>
  <c r="FZ392" i="21"/>
  <c r="EL392" i="21"/>
  <c r="EK392" i="21" s="1"/>
  <c r="EA392" i="21"/>
  <c r="DT392" i="21"/>
  <c r="CT392" i="21"/>
  <c r="CG392" i="21"/>
  <c r="CF392" i="21"/>
  <c r="CE392" i="21"/>
  <c r="CD392" i="21"/>
  <c r="CC392" i="21"/>
  <c r="BE392" i="21"/>
  <c r="BA392" i="21"/>
  <c r="AS392" i="21"/>
  <c r="AN392" i="21"/>
  <c r="AM392" i="21"/>
  <c r="AK392" i="21"/>
  <c r="AB392" i="21"/>
  <c r="Y392" i="21"/>
  <c r="X392" i="21"/>
  <c r="W392" i="21"/>
  <c r="S392" i="21"/>
  <c r="P392" i="21"/>
  <c r="DY392" i="21" s="1"/>
  <c r="O392" i="21"/>
  <c r="FX392" i="21" s="1"/>
  <c r="N392" i="21"/>
  <c r="L392" i="21"/>
  <c r="K392" i="21"/>
  <c r="J392" i="21"/>
  <c r="I392" i="21"/>
  <c r="H392" i="21"/>
  <c r="G392" i="21"/>
  <c r="FZ391" i="21"/>
  <c r="FX391" i="21"/>
  <c r="EE391" i="21"/>
  <c r="EA391" i="21"/>
  <c r="DY391" i="21"/>
  <c r="DI391" i="21"/>
  <c r="CT391" i="21"/>
  <c r="CH391" i="21"/>
  <c r="CF391" i="21"/>
  <c r="CD391" i="21"/>
  <c r="CC391" i="21"/>
  <c r="CE391" i="21" s="1"/>
  <c r="AX391" i="21"/>
  <c r="AK391" i="21"/>
  <c r="AB391" i="21"/>
  <c r="X391" i="21"/>
  <c r="EL391" i="21" s="1"/>
  <c r="EK391" i="21" s="1"/>
  <c r="W391" i="21"/>
  <c r="BA391" i="21" s="1"/>
  <c r="U391" i="21"/>
  <c r="S391" i="21"/>
  <c r="P391" i="21"/>
  <c r="O391" i="21"/>
  <c r="N391" i="21"/>
  <c r="M391" i="21"/>
  <c r="L391" i="21"/>
  <c r="K391" i="21"/>
  <c r="J391" i="21"/>
  <c r="AS391" i="21" s="1"/>
  <c r="I391" i="21"/>
  <c r="H391" i="21"/>
  <c r="G391" i="21"/>
  <c r="CG391" i="21" s="1"/>
  <c r="FZ390" i="21"/>
  <c r="DL390" i="21"/>
  <c r="CT390" i="21"/>
  <c r="CF390" i="21"/>
  <c r="CH390" i="21" s="1"/>
  <c r="CI390" i="21" s="1"/>
  <c r="CD390" i="21"/>
  <c r="CC390" i="21"/>
  <c r="CE390" i="21" s="1"/>
  <c r="CB390" i="21"/>
  <c r="CA390" i="21"/>
  <c r="BZ390" i="21"/>
  <c r="AL390" i="21"/>
  <c r="AK390" i="21"/>
  <c r="AI390" i="21"/>
  <c r="AG390" i="21"/>
  <c r="AE390" i="21"/>
  <c r="AB390" i="21"/>
  <c r="W390" i="21"/>
  <c r="U390" i="21"/>
  <c r="T390" i="21"/>
  <c r="S390" i="21"/>
  <c r="Q390" i="21"/>
  <c r="BR390" i="21" s="1"/>
  <c r="DZ390" i="21" s="1"/>
  <c r="P390" i="21"/>
  <c r="O390" i="21"/>
  <c r="FX390" i="21" s="1"/>
  <c r="N390" i="21"/>
  <c r="K390" i="21"/>
  <c r="J390" i="21"/>
  <c r="H390" i="21"/>
  <c r="EE390" i="21" s="1"/>
  <c r="G390" i="21"/>
  <c r="CG390" i="21" s="1"/>
  <c r="FX389" i="21"/>
  <c r="ET389" i="21"/>
  <c r="EU389" i="21" s="1"/>
  <c r="EV389" i="21" s="1"/>
  <c r="EL389" i="21"/>
  <c r="EK389" i="21"/>
  <c r="DT389" i="21"/>
  <c r="DL389" i="21"/>
  <c r="DI389" i="21"/>
  <c r="CT389" i="21"/>
  <c r="CC389" i="21"/>
  <c r="CA389" i="21"/>
  <c r="BI389" i="21"/>
  <c r="BE389" i="21"/>
  <c r="BA389" i="21"/>
  <c r="BB389" i="21" s="1"/>
  <c r="AM389" i="21"/>
  <c r="AI389" i="21"/>
  <c r="EA389" i="21" s="1"/>
  <c r="AG389" i="21"/>
  <c r="AE389" i="21"/>
  <c r="FZ389" i="21" s="1"/>
  <c r="AB389" i="21"/>
  <c r="X389" i="21"/>
  <c r="Y389" i="21" s="1"/>
  <c r="W389" i="21"/>
  <c r="U389" i="21"/>
  <c r="S389" i="21"/>
  <c r="AN389" i="21" s="1"/>
  <c r="Q389" i="21"/>
  <c r="P389" i="21"/>
  <c r="DY389" i="21" s="1"/>
  <c r="O389" i="21"/>
  <c r="N389" i="21"/>
  <c r="EE389" i="21" s="1"/>
  <c r="K389" i="21"/>
  <c r="CF389" i="21" s="1"/>
  <c r="CH389" i="21" s="1"/>
  <c r="J389" i="21"/>
  <c r="AS389" i="21" s="1"/>
  <c r="H389" i="21"/>
  <c r="I389" i="21" s="1"/>
  <c r="M389" i="21" s="1"/>
  <c r="BF389" i="21" s="1"/>
  <c r="G389" i="21"/>
  <c r="CG389" i="21" s="1"/>
  <c r="FZ388" i="21"/>
  <c r="DL388" i="21"/>
  <c r="DI388" i="21"/>
  <c r="CT388" i="21"/>
  <c r="CD388" i="21"/>
  <c r="AX388" i="21"/>
  <c r="AK388" i="21"/>
  <c r="AI388" i="21"/>
  <c r="AG388" i="21"/>
  <c r="AE388" i="21"/>
  <c r="AB388" i="21"/>
  <c r="X388" i="21"/>
  <c r="EL388" i="21" s="1"/>
  <c r="EK388" i="21" s="1"/>
  <c r="W388" i="21"/>
  <c r="BA388" i="21" s="1"/>
  <c r="BB388" i="21" s="1"/>
  <c r="S388" i="21"/>
  <c r="P388" i="21"/>
  <c r="DY388" i="21" s="1"/>
  <c r="O388" i="21"/>
  <c r="N388" i="21"/>
  <c r="M388" i="21"/>
  <c r="K388" i="21"/>
  <c r="EA388" i="21" s="1"/>
  <c r="J388" i="21"/>
  <c r="H388" i="21"/>
  <c r="I388" i="21" s="1"/>
  <c r="G388" i="21"/>
  <c r="CG388" i="21" s="1"/>
  <c r="EL387" i="21"/>
  <c r="EK387" i="21" s="1"/>
  <c r="DI387" i="21"/>
  <c r="CT387" i="21"/>
  <c r="CG387" i="21"/>
  <c r="CC387" i="21"/>
  <c r="BA387" i="21"/>
  <c r="BB387" i="21" s="1"/>
  <c r="AX387" i="21"/>
  <c r="CM387" i="21" s="1"/>
  <c r="AI387" i="21"/>
  <c r="AG387" i="21"/>
  <c r="AE387" i="21"/>
  <c r="AB387" i="21"/>
  <c r="X387" i="21"/>
  <c r="W387" i="21"/>
  <c r="U387" i="21"/>
  <c r="S387" i="21"/>
  <c r="P387" i="21"/>
  <c r="DY387" i="21" s="1"/>
  <c r="O387" i="21"/>
  <c r="FX387" i="21" s="1"/>
  <c r="N387" i="21"/>
  <c r="M387" i="21"/>
  <c r="K387" i="21"/>
  <c r="J387" i="21"/>
  <c r="I387" i="21"/>
  <c r="H387" i="21"/>
  <c r="AK387" i="21" s="1"/>
  <c r="G387" i="21"/>
  <c r="FZ386" i="21"/>
  <c r="EA386" i="21"/>
  <c r="CT386" i="21"/>
  <c r="CG386" i="21"/>
  <c r="CF386" i="21"/>
  <c r="CH386" i="21" s="1"/>
  <c r="CD386" i="21"/>
  <c r="CC386" i="21"/>
  <c r="CE386" i="21" s="1"/>
  <c r="BA386" i="21"/>
  <c r="AS386" i="21"/>
  <c r="AB386" i="21"/>
  <c r="X386" i="21"/>
  <c r="W386" i="21"/>
  <c r="S386" i="21"/>
  <c r="Q386" i="21"/>
  <c r="P386" i="21"/>
  <c r="DY386" i="21" s="1"/>
  <c r="O386" i="21"/>
  <c r="N386" i="21"/>
  <c r="EE386" i="21" s="1"/>
  <c r="L386" i="21"/>
  <c r="K386" i="21"/>
  <c r="J386" i="21"/>
  <c r="AM386" i="21" s="1"/>
  <c r="I386" i="21"/>
  <c r="M386" i="21" s="1"/>
  <c r="H386" i="21"/>
  <c r="G386" i="21"/>
  <c r="FZ385" i="21"/>
  <c r="EL385" i="21"/>
  <c r="EK385" i="21" s="1"/>
  <c r="EA385" i="21"/>
  <c r="CT385" i="21"/>
  <c r="CF385" i="21"/>
  <c r="CD385" i="21"/>
  <c r="CC385" i="21"/>
  <c r="BA385" i="21"/>
  <c r="AS385" i="21"/>
  <c r="AB385" i="21"/>
  <c r="X385" i="21"/>
  <c r="Y385" i="21" s="1"/>
  <c r="W385" i="21"/>
  <c r="S385" i="21"/>
  <c r="Q385" i="21"/>
  <c r="P385" i="21"/>
  <c r="DY385" i="21" s="1"/>
  <c r="O385" i="21"/>
  <c r="N385" i="21"/>
  <c r="L385" i="21"/>
  <c r="K385" i="21"/>
  <c r="J385" i="21"/>
  <c r="H385" i="21"/>
  <c r="G385" i="21"/>
  <c r="CG385" i="21" s="1"/>
  <c r="CT384" i="21"/>
  <c r="CF384" i="21"/>
  <c r="CD384" i="21"/>
  <c r="BE384" i="21"/>
  <c r="BA384" i="21"/>
  <c r="AI384" i="21"/>
  <c r="AG384" i="21"/>
  <c r="AE384" i="21"/>
  <c r="AB384" i="21"/>
  <c r="W384" i="21"/>
  <c r="X384" i="21" s="1"/>
  <c r="S384" i="21"/>
  <c r="P384" i="21"/>
  <c r="DY384" i="21" s="1"/>
  <c r="O384" i="21"/>
  <c r="N384" i="21"/>
  <c r="K384" i="21"/>
  <c r="J384" i="21"/>
  <c r="H384" i="21"/>
  <c r="G384" i="21"/>
  <c r="CG384" i="21" s="1"/>
  <c r="DL383" i="21"/>
  <c r="DI383" i="21"/>
  <c r="CT383" i="21"/>
  <c r="CG383" i="21"/>
  <c r="CD383" i="21"/>
  <c r="CC383" i="21"/>
  <c r="AS383" i="21"/>
  <c r="AI383" i="21"/>
  <c r="AG383" i="21"/>
  <c r="AE383" i="21"/>
  <c r="EA383" i="21" s="1"/>
  <c r="AB383" i="21"/>
  <c r="W383" i="21"/>
  <c r="U383" i="21"/>
  <c r="S383" i="21"/>
  <c r="P383" i="21"/>
  <c r="DY383" i="21" s="1"/>
  <c r="O383" i="21"/>
  <c r="N383" i="21"/>
  <c r="L383" i="21"/>
  <c r="K383" i="21"/>
  <c r="CF383" i="21" s="1"/>
  <c r="CH383" i="21" s="1"/>
  <c r="J383" i="21"/>
  <c r="I383" i="21"/>
  <c r="H383" i="21"/>
  <c r="AK383" i="21" s="1"/>
  <c r="G383" i="21"/>
  <c r="DY382" i="21"/>
  <c r="CT382" i="21"/>
  <c r="CF382" i="21"/>
  <c r="CH382" i="21" s="1"/>
  <c r="AS382" i="21"/>
  <c r="AI382" i="21"/>
  <c r="AG382" i="21"/>
  <c r="AE382" i="21"/>
  <c r="AB382" i="21"/>
  <c r="W382" i="21"/>
  <c r="S382" i="21"/>
  <c r="P382" i="21"/>
  <c r="O382" i="21"/>
  <c r="N382" i="21"/>
  <c r="K382" i="21"/>
  <c r="J382" i="21"/>
  <c r="H382" i="21"/>
  <c r="G382" i="21"/>
  <c r="CG382" i="21" s="1"/>
  <c r="DL381" i="21"/>
  <c r="CT381" i="21"/>
  <c r="CC381" i="21"/>
  <c r="BA381" i="21"/>
  <c r="AS381" i="21"/>
  <c r="AK381" i="21"/>
  <c r="AB381" i="21"/>
  <c r="X381" i="21"/>
  <c r="EL381" i="21" s="1"/>
  <c r="EK381" i="21" s="1"/>
  <c r="W381" i="21"/>
  <c r="S381" i="21"/>
  <c r="Q381" i="21"/>
  <c r="P381" i="21"/>
  <c r="O381" i="21"/>
  <c r="N381" i="21"/>
  <c r="EE381" i="21" s="1"/>
  <c r="K381" i="21"/>
  <c r="J381" i="21"/>
  <c r="H381" i="21"/>
  <c r="G381" i="21"/>
  <c r="CG381" i="21" s="1"/>
  <c r="FZ380" i="21"/>
  <c r="EA380" i="21"/>
  <c r="CT380" i="21"/>
  <c r="CH380" i="21"/>
  <c r="CG380" i="21"/>
  <c r="CF380" i="21"/>
  <c r="CD380" i="21"/>
  <c r="CE380" i="21" s="1"/>
  <c r="CC380" i="21"/>
  <c r="AS380" i="21"/>
  <c r="AN380" i="21"/>
  <c r="AM380" i="21"/>
  <c r="AK380" i="21"/>
  <c r="AB380" i="21"/>
  <c r="W380" i="21"/>
  <c r="U380" i="21"/>
  <c r="S380" i="21"/>
  <c r="P380" i="21"/>
  <c r="DY380" i="21" s="1"/>
  <c r="O380" i="21"/>
  <c r="BE380" i="21" s="1"/>
  <c r="N380" i="21"/>
  <c r="K380" i="21"/>
  <c r="J380" i="21"/>
  <c r="H380" i="21"/>
  <c r="G380" i="21"/>
  <c r="FX379" i="21"/>
  <c r="CT379" i="21"/>
  <c r="CG379" i="21"/>
  <c r="BE379" i="21"/>
  <c r="BA379" i="21"/>
  <c r="BB379" i="21" s="1"/>
  <c r="AS379" i="21"/>
  <c r="AK379" i="21"/>
  <c r="AI379" i="21"/>
  <c r="AG379" i="21"/>
  <c r="CC379" i="21" s="1"/>
  <c r="AE379" i="21"/>
  <c r="AB379" i="21"/>
  <c r="W379" i="21"/>
  <c r="S379" i="21"/>
  <c r="P379" i="21"/>
  <c r="O379" i="21"/>
  <c r="N379" i="21"/>
  <c r="K379" i="21"/>
  <c r="J379" i="21"/>
  <c r="I379" i="21"/>
  <c r="H379" i="21"/>
  <c r="EE379" i="21" s="1"/>
  <c r="G379" i="21"/>
  <c r="FZ378" i="21"/>
  <c r="DL378" i="21"/>
  <c r="CT378" i="21"/>
  <c r="CF378" i="21"/>
  <c r="CD378" i="21"/>
  <c r="CC378" i="21"/>
  <c r="CE378" i="21" s="1"/>
  <c r="BE378" i="21"/>
  <c r="AS378" i="21"/>
  <c r="AI378" i="21"/>
  <c r="EA378" i="21" s="1"/>
  <c r="AG378" i="21"/>
  <c r="AE378" i="21"/>
  <c r="AB378" i="21"/>
  <c r="X378" i="21"/>
  <c r="EL378" i="21" s="1"/>
  <c r="EK378" i="21" s="1"/>
  <c r="W378" i="21"/>
  <c r="S378" i="21"/>
  <c r="Q378" i="21"/>
  <c r="P378" i="21"/>
  <c r="DY378" i="21" s="1"/>
  <c r="O378" i="21"/>
  <c r="FX378" i="21" s="1"/>
  <c r="N378" i="21"/>
  <c r="EE378" i="21" s="1"/>
  <c r="L378" i="21"/>
  <c r="K378" i="21"/>
  <c r="J378" i="21"/>
  <c r="H378" i="21"/>
  <c r="G378" i="21"/>
  <c r="CG378" i="21" s="1"/>
  <c r="CH378" i="21" s="1"/>
  <c r="DL377" i="21"/>
  <c r="DI377" i="21"/>
  <c r="CT377" i="21"/>
  <c r="CD377" i="21"/>
  <c r="CE377" i="21" s="1"/>
  <c r="CC377" i="21"/>
  <c r="BE377" i="21"/>
  <c r="AK377" i="21"/>
  <c r="AI377" i="21"/>
  <c r="AG377" i="21"/>
  <c r="AE377" i="21"/>
  <c r="AB377" i="21"/>
  <c r="W377" i="21"/>
  <c r="U377" i="21"/>
  <c r="S377" i="21"/>
  <c r="P377" i="21"/>
  <c r="O377" i="21"/>
  <c r="N377" i="21"/>
  <c r="L377" i="21"/>
  <c r="K377" i="21"/>
  <c r="J377" i="21"/>
  <c r="AM377" i="21" s="1"/>
  <c r="I377" i="21"/>
  <c r="H377" i="21"/>
  <c r="G377" i="21"/>
  <c r="CG377" i="21" s="1"/>
  <c r="DI376" i="21"/>
  <c r="CT376" i="21"/>
  <c r="CG376" i="21"/>
  <c r="CF376" i="21"/>
  <c r="CH376" i="21" s="1"/>
  <c r="CC376" i="21"/>
  <c r="BB376" i="21"/>
  <c r="AM376" i="21"/>
  <c r="AI376" i="21"/>
  <c r="AG376" i="21"/>
  <c r="AE376" i="21"/>
  <c r="AB376" i="21"/>
  <c r="W376" i="21"/>
  <c r="BA376" i="21" s="1"/>
  <c r="S376" i="21"/>
  <c r="AN376" i="21" s="1"/>
  <c r="P376" i="21"/>
  <c r="DY376" i="21" s="1"/>
  <c r="O376" i="21"/>
  <c r="N376" i="21"/>
  <c r="EE376" i="21" s="1"/>
  <c r="L376" i="21"/>
  <c r="K376" i="21"/>
  <c r="J376" i="21"/>
  <c r="AS376" i="21" s="1"/>
  <c r="I376" i="21"/>
  <c r="AX376" i="21" s="1"/>
  <c r="H376" i="21"/>
  <c r="G376" i="21"/>
  <c r="FX375" i="21"/>
  <c r="EA375" i="21"/>
  <c r="CT375" i="21"/>
  <c r="CF375" i="21"/>
  <c r="CH375" i="21" s="1"/>
  <c r="CE375" i="21"/>
  <c r="CD375" i="21"/>
  <c r="CC375" i="21"/>
  <c r="BE375" i="21"/>
  <c r="AS375" i="21"/>
  <c r="AB375" i="21"/>
  <c r="W375" i="21"/>
  <c r="U375" i="21"/>
  <c r="S375" i="21"/>
  <c r="Q375" i="21"/>
  <c r="P375" i="21"/>
  <c r="DY375" i="21" s="1"/>
  <c r="O375" i="21"/>
  <c r="N375" i="21"/>
  <c r="K375" i="21"/>
  <c r="J375" i="21"/>
  <c r="H375" i="21"/>
  <c r="DL375" i="21" s="1"/>
  <c r="G375" i="21"/>
  <c r="CG375" i="21" s="1"/>
  <c r="EL374" i="21"/>
  <c r="CT374" i="21"/>
  <c r="CC374" i="21"/>
  <c r="BA374" i="21"/>
  <c r="AB374" i="21"/>
  <c r="X374" i="21"/>
  <c r="W374" i="21"/>
  <c r="S374" i="21"/>
  <c r="P374" i="21"/>
  <c r="DY374" i="21" s="1"/>
  <c r="O374" i="21"/>
  <c r="N374" i="21"/>
  <c r="K374" i="21"/>
  <c r="J374" i="21"/>
  <c r="H374" i="21"/>
  <c r="G374" i="21"/>
  <c r="CG374" i="21" s="1"/>
  <c r="FZ373" i="21"/>
  <c r="FX373" i="21"/>
  <c r="CT373" i="21"/>
  <c r="BE373" i="21"/>
  <c r="BA373" i="21"/>
  <c r="AS373" i="21"/>
  <c r="AK373" i="21"/>
  <c r="AI373" i="21"/>
  <c r="AG373" i="21"/>
  <c r="AE373" i="21"/>
  <c r="AB373" i="21"/>
  <c r="X373" i="21"/>
  <c r="EL373" i="21" s="1"/>
  <c r="W373" i="21"/>
  <c r="S373" i="21"/>
  <c r="P373" i="21"/>
  <c r="O373" i="21"/>
  <c r="N373" i="21"/>
  <c r="K373" i="21"/>
  <c r="J373" i="21"/>
  <c r="H373" i="21"/>
  <c r="EE373" i="21" s="1"/>
  <c r="G373" i="21"/>
  <c r="CG373" i="21" s="1"/>
  <c r="FX372" i="21"/>
  <c r="DT372" i="21"/>
  <c r="CT372" i="21"/>
  <c r="CG372" i="21"/>
  <c r="CF372" i="21"/>
  <c r="CC372" i="21"/>
  <c r="CA372" i="21"/>
  <c r="BI372" i="21"/>
  <c r="BJ372" i="21" s="1"/>
  <c r="BH372" i="21"/>
  <c r="BE372" i="21"/>
  <c r="BA372" i="21"/>
  <c r="AB372" i="21"/>
  <c r="X372" i="21"/>
  <c r="Y372" i="21" s="1"/>
  <c r="W372" i="21"/>
  <c r="U372" i="21"/>
  <c r="AY372" i="21" s="1"/>
  <c r="T372" i="21"/>
  <c r="S372" i="21"/>
  <c r="Q372" i="21"/>
  <c r="FY372" i="21" s="1"/>
  <c r="P372" i="21"/>
  <c r="DY372" i="21" s="1"/>
  <c r="O372" i="21"/>
  <c r="N372" i="21"/>
  <c r="K372" i="21"/>
  <c r="FZ372" i="21" s="1"/>
  <c r="J372" i="21"/>
  <c r="I372" i="21"/>
  <c r="H372" i="21"/>
  <c r="AL372" i="21" s="1"/>
  <c r="G372" i="21"/>
  <c r="CT371" i="21"/>
  <c r="CD371" i="21"/>
  <c r="BA371" i="21"/>
  <c r="AK371" i="21"/>
  <c r="AI371" i="21"/>
  <c r="AG371" i="21"/>
  <c r="AE371" i="21"/>
  <c r="EA371" i="21" s="1"/>
  <c r="AB371" i="21"/>
  <c r="W371" i="21"/>
  <c r="X371" i="21" s="1"/>
  <c r="EL371" i="21" s="1"/>
  <c r="S371" i="21"/>
  <c r="P371" i="21"/>
  <c r="O371" i="21"/>
  <c r="FX371" i="21" s="1"/>
  <c r="N371" i="21"/>
  <c r="M371" i="21"/>
  <c r="L371" i="21"/>
  <c r="K371" i="21"/>
  <c r="J371" i="21"/>
  <c r="I371" i="21"/>
  <c r="H371" i="21"/>
  <c r="G371" i="21"/>
  <c r="CG371" i="21" s="1"/>
  <c r="FZ370" i="21"/>
  <c r="EE370" i="21"/>
  <c r="EA370" i="21"/>
  <c r="DY370" i="21"/>
  <c r="DL370" i="21"/>
  <c r="CT370" i="21"/>
  <c r="CG370" i="21"/>
  <c r="CH370" i="21" s="1"/>
  <c r="CF370" i="21"/>
  <c r="CD370" i="21"/>
  <c r="CE370" i="21" s="1"/>
  <c r="CC370" i="21"/>
  <c r="AN370" i="21"/>
  <c r="AM370" i="21"/>
  <c r="AK370" i="21"/>
  <c r="AB370" i="21"/>
  <c r="W370" i="21"/>
  <c r="S370" i="21"/>
  <c r="P370" i="21"/>
  <c r="O370" i="21"/>
  <c r="BE370" i="21" s="1"/>
  <c r="N370" i="21"/>
  <c r="Q370" i="21" s="1"/>
  <c r="K370" i="21"/>
  <c r="J370" i="21"/>
  <c r="I370" i="21"/>
  <c r="H370" i="21"/>
  <c r="L370" i="21" s="1"/>
  <c r="G370" i="21"/>
  <c r="FX369" i="21"/>
  <c r="DY369" i="21"/>
  <c r="CT369" i="21"/>
  <c r="BH369" i="21"/>
  <c r="BA369" i="21"/>
  <c r="AM369" i="21"/>
  <c r="AI369" i="21"/>
  <c r="AG369" i="21"/>
  <c r="AE369" i="21"/>
  <c r="AB369" i="21"/>
  <c r="Y369" i="21"/>
  <c r="W369" i="21"/>
  <c r="X369" i="21" s="1"/>
  <c r="EL369" i="21" s="1"/>
  <c r="EK369" i="21" s="1"/>
  <c r="U369" i="21"/>
  <c r="AY369" i="21" s="1"/>
  <c r="T369" i="21"/>
  <c r="S369" i="21"/>
  <c r="Q369" i="21"/>
  <c r="CA369" i="21" s="1"/>
  <c r="P369" i="21"/>
  <c r="O369" i="21"/>
  <c r="N369" i="21"/>
  <c r="K369" i="21"/>
  <c r="AN369" i="21" s="1"/>
  <c r="J369" i="21"/>
  <c r="H369" i="21"/>
  <c r="DL369" i="21" s="1"/>
  <c r="G369" i="21"/>
  <c r="CG369" i="21" s="1"/>
  <c r="FX368" i="21"/>
  <c r="DI368" i="21"/>
  <c r="CT368" i="21"/>
  <c r="CH368" i="21"/>
  <c r="CG368" i="21"/>
  <c r="CF368" i="21"/>
  <c r="CD368" i="21"/>
  <c r="CE368" i="21" s="1"/>
  <c r="CC368" i="21"/>
  <c r="AK368" i="21"/>
  <c r="AB368" i="21"/>
  <c r="X368" i="21"/>
  <c r="EL368" i="21" s="1"/>
  <c r="EK368" i="21" s="1"/>
  <c r="W368" i="21"/>
  <c r="U368" i="21"/>
  <c r="S368" i="21"/>
  <c r="P368" i="21"/>
  <c r="DY368" i="21" s="1"/>
  <c r="O368" i="21"/>
  <c r="N368" i="21"/>
  <c r="Q368" i="21" s="1"/>
  <c r="K368" i="21"/>
  <c r="AN368" i="21" s="1"/>
  <c r="J368" i="21"/>
  <c r="AS368" i="21" s="1"/>
  <c r="I368" i="21"/>
  <c r="H368" i="21"/>
  <c r="G368" i="21"/>
  <c r="FX367" i="21"/>
  <c r="EL367" i="21"/>
  <c r="EK367" i="21"/>
  <c r="DY367" i="21"/>
  <c r="CT367" i="21"/>
  <c r="CF367" i="21"/>
  <c r="CD367" i="21"/>
  <c r="BA367" i="21"/>
  <c r="AK367" i="21"/>
  <c r="AI367" i="21"/>
  <c r="AG367" i="21"/>
  <c r="AE367" i="21"/>
  <c r="AB367" i="21"/>
  <c r="W367" i="21"/>
  <c r="X367" i="21" s="1"/>
  <c r="S367" i="21"/>
  <c r="P367" i="21"/>
  <c r="O367" i="21"/>
  <c r="U367" i="21" s="1"/>
  <c r="N367" i="21"/>
  <c r="K367" i="21"/>
  <c r="J367" i="21"/>
  <c r="I367" i="21"/>
  <c r="H367" i="21"/>
  <c r="G367" i="21"/>
  <c r="CG367" i="21" s="1"/>
  <c r="FZ366" i="21"/>
  <c r="EA366" i="21"/>
  <c r="DY366" i="21"/>
  <c r="CT366" i="21"/>
  <c r="CH366" i="21"/>
  <c r="CG366" i="21"/>
  <c r="CF366" i="21"/>
  <c r="CD366" i="21"/>
  <c r="CE366" i="21" s="1"/>
  <c r="CC366" i="21"/>
  <c r="AS366" i="21"/>
  <c r="AN366" i="21"/>
  <c r="AM366" i="21"/>
  <c r="AK366" i="21"/>
  <c r="AB366" i="21"/>
  <c r="W366" i="21"/>
  <c r="X366" i="21" s="1"/>
  <c r="Y366" i="21" s="1"/>
  <c r="S366" i="21"/>
  <c r="P366" i="21"/>
  <c r="O366" i="21"/>
  <c r="N366" i="21"/>
  <c r="K366" i="21"/>
  <c r="J366" i="21"/>
  <c r="H366" i="21"/>
  <c r="EE366" i="21" s="1"/>
  <c r="G366" i="21"/>
  <c r="FX365" i="21"/>
  <c r="CT365" i="21"/>
  <c r="CG365" i="21"/>
  <c r="CF365" i="21"/>
  <c r="CH365" i="21" s="1"/>
  <c r="AI365" i="21"/>
  <c r="AG365" i="21"/>
  <c r="CC365" i="21" s="1"/>
  <c r="AE365" i="21"/>
  <c r="AB365" i="21"/>
  <c r="X365" i="21"/>
  <c r="EL365" i="21" s="1"/>
  <c r="W365" i="21"/>
  <c r="BA365" i="21" s="1"/>
  <c r="S365" i="21"/>
  <c r="P365" i="21"/>
  <c r="O365" i="21"/>
  <c r="N365" i="21"/>
  <c r="K365" i="21"/>
  <c r="J365" i="21"/>
  <c r="I365" i="21"/>
  <c r="H365" i="21"/>
  <c r="G365" i="21"/>
  <c r="EL364" i="21"/>
  <c r="EK364" i="21" s="1"/>
  <c r="EA364" i="21"/>
  <c r="DL364" i="21"/>
  <c r="CT364" i="21"/>
  <c r="CG364" i="21"/>
  <c r="CC364" i="21"/>
  <c r="BA364" i="21"/>
  <c r="BB364" i="21" s="1"/>
  <c r="AX364" i="21"/>
  <c r="CM364" i="21" s="1"/>
  <c r="AB364" i="21"/>
  <c r="W364" i="21"/>
  <c r="X364" i="21" s="1"/>
  <c r="Y364" i="21" s="1"/>
  <c r="U364" i="21"/>
  <c r="S364" i="21"/>
  <c r="P364" i="21"/>
  <c r="DY364" i="21" s="1"/>
  <c r="O364" i="21"/>
  <c r="BE364" i="21" s="1"/>
  <c r="N364" i="21"/>
  <c r="EE364" i="21" s="1"/>
  <c r="L364" i="21"/>
  <c r="K364" i="21"/>
  <c r="J364" i="21"/>
  <c r="I364" i="21"/>
  <c r="H364" i="21"/>
  <c r="G364" i="21"/>
  <c r="EL363" i="21"/>
  <c r="EK363" i="21" s="1"/>
  <c r="CT363" i="21"/>
  <c r="BA363" i="21"/>
  <c r="AM363" i="21"/>
  <c r="AK363" i="21"/>
  <c r="AI363" i="21"/>
  <c r="EA363" i="21" s="1"/>
  <c r="AG363" i="21"/>
  <c r="AE363" i="21"/>
  <c r="FZ363" i="21" s="1"/>
  <c r="AB363" i="21"/>
  <c r="Y363" i="21"/>
  <c r="W363" i="21"/>
  <c r="X363" i="21" s="1"/>
  <c r="S363" i="21"/>
  <c r="Q363" i="21"/>
  <c r="P363" i="21"/>
  <c r="DY363" i="21" s="1"/>
  <c r="O363" i="21"/>
  <c r="N363" i="21"/>
  <c r="K363" i="21"/>
  <c r="J363" i="21"/>
  <c r="AS363" i="21" s="1"/>
  <c r="H363" i="21"/>
  <c r="L363" i="21" s="1"/>
  <c r="G363" i="21"/>
  <c r="CG363" i="21" s="1"/>
  <c r="FZ362" i="21"/>
  <c r="EL362" i="21"/>
  <c r="EK362" i="21" s="1"/>
  <c r="EA362" i="21"/>
  <c r="DY362" i="21"/>
  <c r="DL362" i="21"/>
  <c r="CT362" i="21"/>
  <c r="CF362" i="21"/>
  <c r="CD362" i="21"/>
  <c r="CC362" i="21"/>
  <c r="CE362" i="21" s="1"/>
  <c r="BI362" i="21"/>
  <c r="BE362" i="21"/>
  <c r="BA362" i="21"/>
  <c r="AS362" i="21"/>
  <c r="AB362" i="21"/>
  <c r="X362" i="21"/>
  <c r="Y362" i="21" s="1"/>
  <c r="W362" i="21"/>
  <c r="U362" i="21"/>
  <c r="S362" i="21"/>
  <c r="AN362" i="21" s="1"/>
  <c r="Q362" i="21"/>
  <c r="P362" i="21"/>
  <c r="O362" i="21"/>
  <c r="FX362" i="21" s="1"/>
  <c r="N362" i="21"/>
  <c r="EE362" i="21" s="1"/>
  <c r="K362" i="21"/>
  <c r="J362" i="21"/>
  <c r="AM362" i="21" s="1"/>
  <c r="H362" i="21"/>
  <c r="G362" i="21"/>
  <c r="FX361" i="21"/>
  <c r="CT361" i="21"/>
  <c r="CC361" i="21"/>
  <c r="BA361" i="21"/>
  <c r="AI361" i="21"/>
  <c r="AG361" i="21"/>
  <c r="AE361" i="21"/>
  <c r="AB361" i="21"/>
  <c r="X361" i="21"/>
  <c r="EL361" i="21" s="1"/>
  <c r="EK361" i="21" s="1"/>
  <c r="W361" i="21"/>
  <c r="S361" i="21"/>
  <c r="Q361" i="21"/>
  <c r="P361" i="21"/>
  <c r="DY361" i="21" s="1"/>
  <c r="O361" i="21"/>
  <c r="N361" i="21"/>
  <c r="K361" i="21"/>
  <c r="J361" i="21"/>
  <c r="DL361" i="21" s="1"/>
  <c r="H361" i="21"/>
  <c r="G361" i="21"/>
  <c r="CG361" i="21" s="1"/>
  <c r="EA360" i="21"/>
  <c r="CT360" i="21"/>
  <c r="CD360" i="21"/>
  <c r="CC360" i="21"/>
  <c r="CE360" i="21" s="1"/>
  <c r="AK360" i="21"/>
  <c r="AB360" i="21"/>
  <c r="W360" i="21"/>
  <c r="BA360" i="21" s="1"/>
  <c r="BB360" i="21" s="1"/>
  <c r="U360" i="21"/>
  <c r="S360" i="21"/>
  <c r="AN360" i="21" s="1"/>
  <c r="Q360" i="21"/>
  <c r="P360" i="21"/>
  <c r="O360" i="21"/>
  <c r="FX360" i="21" s="1"/>
  <c r="N360" i="21"/>
  <c r="EE360" i="21" s="1"/>
  <c r="K360" i="21"/>
  <c r="J360" i="21"/>
  <c r="AS360" i="21" s="1"/>
  <c r="H360" i="21"/>
  <c r="I360" i="21" s="1"/>
  <c r="M360" i="21" s="1"/>
  <c r="G360" i="21"/>
  <c r="CG360" i="21" s="1"/>
  <c r="DL359" i="21"/>
  <c r="DI359" i="21"/>
  <c r="CT359" i="21"/>
  <c r="CO359" i="21"/>
  <c r="CF359" i="21"/>
  <c r="BE359" i="21"/>
  <c r="BA359" i="21"/>
  <c r="BB359" i="21" s="1"/>
  <c r="AX359" i="21"/>
  <c r="AI359" i="21"/>
  <c r="AG359" i="21"/>
  <c r="AE359" i="21"/>
  <c r="AB359" i="21"/>
  <c r="W359" i="21"/>
  <c r="X359" i="21" s="1"/>
  <c r="EL359" i="21" s="1"/>
  <c r="EK359" i="21" s="1"/>
  <c r="U359" i="21"/>
  <c r="T359" i="21"/>
  <c r="S359" i="21"/>
  <c r="Q359" i="21"/>
  <c r="P359" i="21"/>
  <c r="DY359" i="21" s="1"/>
  <c r="O359" i="21"/>
  <c r="FX359" i="21" s="1"/>
  <c r="N359" i="21"/>
  <c r="K359" i="21"/>
  <c r="J359" i="21"/>
  <c r="I359" i="21"/>
  <c r="M359" i="21" s="1"/>
  <c r="BF359" i="21" s="1"/>
  <c r="H359" i="21"/>
  <c r="G359" i="21"/>
  <c r="CG359" i="21" s="1"/>
  <c r="EL358" i="21"/>
  <c r="EK358" i="21"/>
  <c r="DI358" i="21"/>
  <c r="CT358" i="21"/>
  <c r="CC358" i="21"/>
  <c r="BA358" i="21"/>
  <c r="BB358" i="21" s="1"/>
  <c r="AX358" i="21"/>
  <c r="CM358" i="21" s="1"/>
  <c r="AB358" i="21"/>
  <c r="W358" i="21"/>
  <c r="X358" i="21" s="1"/>
  <c r="S358" i="21"/>
  <c r="P358" i="21"/>
  <c r="O358" i="21"/>
  <c r="N358" i="21"/>
  <c r="Q358" i="21" s="1"/>
  <c r="K358" i="21"/>
  <c r="J358" i="21"/>
  <c r="I358" i="21"/>
  <c r="H358" i="21"/>
  <c r="AK358" i="21" s="1"/>
  <c r="G358" i="21"/>
  <c r="CG358" i="21" s="1"/>
  <c r="EL357" i="21"/>
  <c r="EK357" i="21"/>
  <c r="CT357" i="21"/>
  <c r="BA357" i="21"/>
  <c r="AS357" i="21"/>
  <c r="AI357" i="21"/>
  <c r="AG357" i="21"/>
  <c r="AE357" i="21"/>
  <c r="AB357" i="21"/>
  <c r="X357" i="21"/>
  <c r="W357" i="21"/>
  <c r="U357" i="21"/>
  <c r="S357" i="21"/>
  <c r="Q357" i="21"/>
  <c r="P357" i="21"/>
  <c r="DY357" i="21" s="1"/>
  <c r="O357" i="21"/>
  <c r="N357" i="21"/>
  <c r="EE357" i="21" s="1"/>
  <c r="L357" i="21"/>
  <c r="K357" i="21"/>
  <c r="J357" i="21"/>
  <c r="H357" i="21"/>
  <c r="G357" i="21"/>
  <c r="CG357" i="21" s="1"/>
  <c r="CT356" i="21"/>
  <c r="CC356" i="21"/>
  <c r="AB356" i="21"/>
  <c r="W356" i="21"/>
  <c r="S356" i="21"/>
  <c r="P356" i="21"/>
  <c r="DY356" i="21" s="1"/>
  <c r="O356" i="21"/>
  <c r="N356" i="21"/>
  <c r="K356" i="21"/>
  <c r="J356" i="21"/>
  <c r="H356" i="21"/>
  <c r="G356" i="21"/>
  <c r="CG356" i="21" s="1"/>
  <c r="FX355" i="21"/>
  <c r="DY355" i="21"/>
  <c r="CT355" i="21"/>
  <c r="BA355" i="21"/>
  <c r="AS355" i="21"/>
  <c r="AL355" i="21"/>
  <c r="AK355" i="21"/>
  <c r="AI355" i="21"/>
  <c r="AG355" i="21"/>
  <c r="CC355" i="21" s="1"/>
  <c r="AE355" i="21"/>
  <c r="AB355" i="21"/>
  <c r="W355" i="21"/>
  <c r="X355" i="21" s="1"/>
  <c r="EL355" i="21" s="1"/>
  <c r="S355" i="21"/>
  <c r="P355" i="21"/>
  <c r="O355" i="21"/>
  <c r="BE355" i="21" s="1"/>
  <c r="N355" i="21"/>
  <c r="Q355" i="21" s="1"/>
  <c r="K355" i="21"/>
  <c r="EA355" i="21" s="1"/>
  <c r="J355" i="21"/>
  <c r="H355" i="21"/>
  <c r="I355" i="21" s="1"/>
  <c r="G355" i="21"/>
  <c r="CG355" i="21" s="1"/>
  <c r="CT354" i="21"/>
  <c r="CC354" i="21"/>
  <c r="BE354" i="21"/>
  <c r="BA354" i="21"/>
  <c r="AB354" i="21"/>
  <c r="W354" i="21"/>
  <c r="X354" i="21" s="1"/>
  <c r="EL354" i="21" s="1"/>
  <c r="S354" i="21"/>
  <c r="P354" i="21"/>
  <c r="O354" i="21"/>
  <c r="N354" i="21"/>
  <c r="K354" i="21"/>
  <c r="J354" i="21"/>
  <c r="H354" i="21"/>
  <c r="G354" i="21"/>
  <c r="CG354" i="21" s="1"/>
  <c r="FX353" i="21"/>
  <c r="EE353" i="21"/>
  <c r="EA353" i="21"/>
  <c r="DL353" i="21"/>
  <c r="CT353" i="21"/>
  <c r="CC353" i="21"/>
  <c r="BA353" i="21"/>
  <c r="BB353" i="21" s="1"/>
  <c r="AS353" i="21"/>
  <c r="AK353" i="21"/>
  <c r="AI353" i="21"/>
  <c r="AG353" i="21"/>
  <c r="AE353" i="21"/>
  <c r="AB353" i="21"/>
  <c r="W353" i="21"/>
  <c r="X353" i="21" s="1"/>
  <c r="EL353" i="21" s="1"/>
  <c r="EK353" i="21" s="1"/>
  <c r="S353" i="21"/>
  <c r="P353" i="21"/>
  <c r="O353" i="21"/>
  <c r="N353" i="21"/>
  <c r="K353" i="21"/>
  <c r="BE353" i="21" s="1"/>
  <c r="J353" i="21"/>
  <c r="I353" i="21"/>
  <c r="DI353" i="21" s="1"/>
  <c r="H353" i="21"/>
  <c r="G353" i="21"/>
  <c r="CG353" i="21" s="1"/>
  <c r="DL352" i="21"/>
  <c r="CT352" i="21"/>
  <c r="CF352" i="21"/>
  <c r="CH352" i="21" s="1"/>
  <c r="CC352" i="21"/>
  <c r="BA352" i="21"/>
  <c r="AS352" i="21"/>
  <c r="AM352" i="21"/>
  <c r="AB352" i="21"/>
  <c r="W352" i="21"/>
  <c r="S352" i="21"/>
  <c r="P352" i="21"/>
  <c r="O352" i="21"/>
  <c r="N352" i="21"/>
  <c r="K352" i="21"/>
  <c r="FZ352" i="21" s="1"/>
  <c r="J352" i="21"/>
  <c r="H352" i="21"/>
  <c r="L352" i="21" s="1"/>
  <c r="G352" i="21"/>
  <c r="CG352" i="21" s="1"/>
  <c r="FA351" i="21"/>
  <c r="DY351" i="21"/>
  <c r="DL351" i="21"/>
  <c r="CT351" i="21"/>
  <c r="CG351" i="21"/>
  <c r="CF351" i="21"/>
  <c r="CH351" i="21" s="1"/>
  <c r="CD351" i="21"/>
  <c r="CC351" i="21"/>
  <c r="CE351" i="21" s="1"/>
  <c r="CA351" i="21"/>
  <c r="BZ351" i="21"/>
  <c r="BR351" i="21"/>
  <c r="DZ351" i="21" s="1"/>
  <c r="BI351" i="21"/>
  <c r="BA351" i="21"/>
  <c r="AS351" i="21"/>
  <c r="AN351" i="21"/>
  <c r="AM351" i="21"/>
  <c r="AK351" i="21"/>
  <c r="AB351" i="21"/>
  <c r="Y351" i="21"/>
  <c r="DT351" i="21" s="1"/>
  <c r="X351" i="21"/>
  <c r="EL351" i="21" s="1"/>
  <c r="EK351" i="21" s="1"/>
  <c r="W351" i="21"/>
  <c r="S351" i="21"/>
  <c r="Q351" i="21"/>
  <c r="P351" i="21"/>
  <c r="O351" i="21"/>
  <c r="FX351" i="21" s="1"/>
  <c r="N351" i="21"/>
  <c r="EE351" i="21" s="1"/>
  <c r="K351" i="21"/>
  <c r="EA351" i="21" s="1"/>
  <c r="J351" i="21"/>
  <c r="H351" i="21"/>
  <c r="G351" i="21"/>
  <c r="FZ350" i="21"/>
  <c r="FX350" i="21"/>
  <c r="FA350" i="21"/>
  <c r="EA350" i="21"/>
  <c r="DY350" i="21"/>
  <c r="CT350" i="21"/>
  <c r="CG350" i="21"/>
  <c r="CF350" i="21"/>
  <c r="CH350" i="21" s="1"/>
  <c r="CE350" i="21"/>
  <c r="CD350" i="21"/>
  <c r="CC350" i="21"/>
  <c r="BA350" i="21"/>
  <c r="AN350" i="21"/>
  <c r="AK350" i="21"/>
  <c r="AB350" i="21"/>
  <c r="W350" i="21"/>
  <c r="X350" i="21" s="1"/>
  <c r="Y350" i="21" s="1"/>
  <c r="U350" i="21"/>
  <c r="S350" i="21"/>
  <c r="P350" i="21"/>
  <c r="O350" i="21"/>
  <c r="N350" i="21"/>
  <c r="K350" i="21"/>
  <c r="J350" i="21"/>
  <c r="DL350" i="21" s="1"/>
  <c r="I350" i="21"/>
  <c r="DI350" i="21" s="1"/>
  <c r="H350" i="21"/>
  <c r="L350" i="21" s="1"/>
  <c r="G350" i="21"/>
  <c r="FZ349" i="21"/>
  <c r="FA349" i="21"/>
  <c r="EK349" i="21"/>
  <c r="EA349" i="21"/>
  <c r="DY349" i="21"/>
  <c r="DL349" i="21"/>
  <c r="CT349" i="21"/>
  <c r="CG349" i="21"/>
  <c r="CF349" i="21"/>
  <c r="CH349" i="21" s="1"/>
  <c r="CD349" i="21"/>
  <c r="CC349" i="21"/>
  <c r="CE349" i="21" s="1"/>
  <c r="BA349" i="21"/>
  <c r="AS349" i="21"/>
  <c r="AM349" i="21"/>
  <c r="AB349" i="21"/>
  <c r="Y349" i="21"/>
  <c r="X349" i="21"/>
  <c r="EL349" i="21" s="1"/>
  <c r="W349" i="21"/>
  <c r="U349" i="21"/>
  <c r="T349" i="21"/>
  <c r="S349" i="21"/>
  <c r="P349" i="21"/>
  <c r="O349" i="21"/>
  <c r="Q349" i="21" s="1"/>
  <c r="N349" i="21"/>
  <c r="K349" i="21"/>
  <c r="J349" i="21"/>
  <c r="H349" i="21"/>
  <c r="G349" i="21"/>
  <c r="FZ348" i="21"/>
  <c r="FY348" i="21"/>
  <c r="FA348" i="21"/>
  <c r="EL348" i="21"/>
  <c r="EK348" i="21" s="1"/>
  <c r="EA348" i="21"/>
  <c r="DZ348" i="21"/>
  <c r="CT348" i="21"/>
  <c r="CF348" i="21"/>
  <c r="CE348" i="21"/>
  <c r="CD348" i="21"/>
  <c r="CC348" i="21"/>
  <c r="CA348" i="21"/>
  <c r="BR348" i="21"/>
  <c r="BF348" i="21"/>
  <c r="CO348" i="21" s="1"/>
  <c r="BE348" i="21"/>
  <c r="AZ348" i="21"/>
  <c r="AY348" i="21"/>
  <c r="AB348" i="21"/>
  <c r="X348" i="21"/>
  <c r="W348" i="21"/>
  <c r="BA348" i="21" s="1"/>
  <c r="U348" i="21"/>
  <c r="T348" i="21"/>
  <c r="S348" i="21"/>
  <c r="P348" i="21"/>
  <c r="DY348" i="21" s="1"/>
  <c r="O348" i="21"/>
  <c r="FX348" i="21" s="1"/>
  <c r="N348" i="21"/>
  <c r="Q348" i="21" s="1"/>
  <c r="M348" i="21"/>
  <c r="K348" i="21"/>
  <c r="J348" i="21"/>
  <c r="I348" i="21"/>
  <c r="H348" i="21"/>
  <c r="G348" i="21"/>
  <c r="CG348" i="21" s="1"/>
  <c r="FZ347" i="21"/>
  <c r="FA347" i="21"/>
  <c r="EA347" i="21"/>
  <c r="CT347" i="21"/>
  <c r="CM347" i="21"/>
  <c r="CD347" i="21"/>
  <c r="CC347" i="21"/>
  <c r="CE347" i="21" s="1"/>
  <c r="AX347" i="21"/>
  <c r="AM347" i="21"/>
  <c r="AK347" i="21"/>
  <c r="AB347" i="21"/>
  <c r="X347" i="21"/>
  <c r="W347" i="21"/>
  <c r="BA347" i="21" s="1"/>
  <c r="BB347" i="21" s="1"/>
  <c r="S347" i="21"/>
  <c r="P347" i="21"/>
  <c r="DY347" i="21" s="1"/>
  <c r="O347" i="21"/>
  <c r="N347" i="21"/>
  <c r="K347" i="21"/>
  <c r="J347" i="21"/>
  <c r="H347" i="21"/>
  <c r="I347" i="21" s="1"/>
  <c r="M347" i="21" s="1"/>
  <c r="G347" i="21"/>
  <c r="CG347" i="21" s="1"/>
  <c r="DL346" i="21"/>
  <c r="CT346" i="21"/>
  <c r="CC346" i="21"/>
  <c r="AI346" i="21"/>
  <c r="AG346" i="21"/>
  <c r="AE346" i="21"/>
  <c r="AB346" i="21"/>
  <c r="W346" i="21"/>
  <c r="BA346" i="21" s="1"/>
  <c r="S346" i="21"/>
  <c r="P346" i="21"/>
  <c r="O346" i="21"/>
  <c r="BE346" i="21" s="1"/>
  <c r="N346" i="21"/>
  <c r="K346" i="21"/>
  <c r="J346" i="21"/>
  <c r="H346" i="21"/>
  <c r="G346" i="21"/>
  <c r="CG346" i="21" s="1"/>
  <c r="EL345" i="21"/>
  <c r="EK345" i="21"/>
  <c r="DY345" i="21"/>
  <c r="CT345" i="21"/>
  <c r="CG345" i="21"/>
  <c r="CF345" i="21"/>
  <c r="CD345" i="21"/>
  <c r="BA345" i="21"/>
  <c r="AN345" i="21"/>
  <c r="AI345" i="21"/>
  <c r="AG345" i="21"/>
  <c r="AE345" i="21"/>
  <c r="AB345" i="21"/>
  <c r="W345" i="21"/>
  <c r="X345" i="21" s="1"/>
  <c r="U345" i="21"/>
  <c r="S345" i="21"/>
  <c r="P345" i="21"/>
  <c r="O345" i="21"/>
  <c r="N345" i="21"/>
  <c r="M345" i="21"/>
  <c r="K345" i="21"/>
  <c r="J345" i="21"/>
  <c r="I345" i="21"/>
  <c r="H345" i="21"/>
  <c r="AK345" i="21" s="1"/>
  <c r="G345" i="21"/>
  <c r="FY344" i="21"/>
  <c r="FX344" i="21"/>
  <c r="GA344" i="21" s="1"/>
  <c r="EA344" i="21"/>
  <c r="DL344" i="21"/>
  <c r="DI344" i="21"/>
  <c r="CT344" i="21"/>
  <c r="CD344" i="21"/>
  <c r="CC344" i="21"/>
  <c r="CE344" i="21" s="1"/>
  <c r="BR344" i="21"/>
  <c r="DZ344" i="21" s="1"/>
  <c r="EB344" i="21" s="1"/>
  <c r="AX344" i="21"/>
  <c r="CM344" i="21" s="1"/>
  <c r="AK344" i="21"/>
  <c r="AB344" i="21"/>
  <c r="W344" i="21"/>
  <c r="U344" i="21"/>
  <c r="S344" i="21"/>
  <c r="Q344" i="21"/>
  <c r="P344" i="21"/>
  <c r="DY344" i="21" s="1"/>
  <c r="O344" i="21"/>
  <c r="N344" i="21"/>
  <c r="K344" i="21"/>
  <c r="EH344" i="21" s="1"/>
  <c r="J344" i="21"/>
  <c r="AS344" i="21" s="1"/>
  <c r="H344" i="21"/>
  <c r="I344" i="21" s="1"/>
  <c r="G344" i="21"/>
  <c r="CG344" i="21" s="1"/>
  <c r="FX343" i="21"/>
  <c r="DL343" i="21"/>
  <c r="CT343" i="21"/>
  <c r="CC343" i="21"/>
  <c r="BA343" i="21"/>
  <c r="AB343" i="21"/>
  <c r="W343" i="21"/>
  <c r="X343" i="21" s="1"/>
  <c r="EL343" i="21" s="1"/>
  <c r="EK343" i="21" s="1"/>
  <c r="U343" i="21"/>
  <c r="T343" i="21"/>
  <c r="S343" i="21"/>
  <c r="Q343" i="21"/>
  <c r="P343" i="21"/>
  <c r="DY343" i="21" s="1"/>
  <c r="O343" i="21"/>
  <c r="N343" i="21"/>
  <c r="K343" i="21"/>
  <c r="BE343" i="21" s="1"/>
  <c r="J343" i="21"/>
  <c r="H343" i="21"/>
  <c r="G343" i="21"/>
  <c r="CG343" i="21" s="1"/>
  <c r="CT342" i="21"/>
  <c r="BA342" i="21"/>
  <c r="BB342" i="21" s="1"/>
  <c r="AK342" i="21"/>
  <c r="AI342" i="21"/>
  <c r="AG342" i="21"/>
  <c r="AE342" i="21"/>
  <c r="AB342" i="21"/>
  <c r="X342" i="21"/>
  <c r="EL342" i="21" s="1"/>
  <c r="W342" i="21"/>
  <c r="S342" i="21"/>
  <c r="P342" i="21"/>
  <c r="O342" i="21"/>
  <c r="FX342" i="21" s="1"/>
  <c r="N342" i="21"/>
  <c r="L342" i="21"/>
  <c r="K342" i="21"/>
  <c r="J342" i="21"/>
  <c r="H342" i="21"/>
  <c r="I342" i="21" s="1"/>
  <c r="G342" i="21"/>
  <c r="CG342" i="21" s="1"/>
  <c r="CT341" i="21"/>
  <c r="CG341" i="21"/>
  <c r="BZ341" i="21"/>
  <c r="AK341" i="21"/>
  <c r="AI341" i="21"/>
  <c r="AG341" i="21"/>
  <c r="AE341" i="21"/>
  <c r="AB341" i="21"/>
  <c r="X341" i="21"/>
  <c r="EL341" i="21" s="1"/>
  <c r="EK341" i="21" s="1"/>
  <c r="W341" i="21"/>
  <c r="BA341" i="21" s="1"/>
  <c r="U341" i="21"/>
  <c r="S341" i="21"/>
  <c r="Q341" i="21"/>
  <c r="P341" i="21"/>
  <c r="O341" i="21"/>
  <c r="N341" i="21"/>
  <c r="EE341" i="21" s="1"/>
  <c r="L341" i="21"/>
  <c r="K341" i="21"/>
  <c r="J341" i="21"/>
  <c r="H341" i="21"/>
  <c r="DL341" i="21" s="1"/>
  <c r="G341" i="21"/>
  <c r="FX340" i="21"/>
  <c r="EL340" i="21"/>
  <c r="EK340" i="21" s="1"/>
  <c r="CT340" i="21"/>
  <c r="CF340" i="21"/>
  <c r="CC340" i="21"/>
  <c r="AB340" i="21"/>
  <c r="X340" i="21"/>
  <c r="W340" i="21"/>
  <c r="BA340" i="21" s="1"/>
  <c r="S340" i="21"/>
  <c r="P340" i="21"/>
  <c r="O340" i="21"/>
  <c r="N340" i="21"/>
  <c r="K340" i="21"/>
  <c r="J340" i="21"/>
  <c r="H340" i="21"/>
  <c r="G340" i="21"/>
  <c r="FZ339" i="21"/>
  <c r="EA339" i="21"/>
  <c r="CT339" i="21"/>
  <c r="CF339" i="21"/>
  <c r="CH339" i="21" s="1"/>
  <c r="CE339" i="21"/>
  <c r="CD339" i="21"/>
  <c r="CC339" i="21"/>
  <c r="AS339" i="21"/>
  <c r="AM339" i="21"/>
  <c r="AB339" i="21"/>
  <c r="W339" i="21"/>
  <c r="S339" i="21"/>
  <c r="P339" i="21"/>
  <c r="DY339" i="21" s="1"/>
  <c r="O339" i="21"/>
  <c r="N339" i="21"/>
  <c r="L339" i="21"/>
  <c r="K339" i="21"/>
  <c r="J339" i="21"/>
  <c r="I339" i="21"/>
  <c r="DI339" i="21" s="1"/>
  <c r="H339" i="21"/>
  <c r="G339" i="21"/>
  <c r="CG339" i="21" s="1"/>
  <c r="FZ338" i="21"/>
  <c r="EL338" i="21"/>
  <c r="CT338" i="21"/>
  <c r="CG338" i="21"/>
  <c r="BA338" i="21"/>
  <c r="AS338" i="21"/>
  <c r="AI338" i="21"/>
  <c r="AG338" i="21"/>
  <c r="AE338" i="21"/>
  <c r="AB338" i="21"/>
  <c r="W338" i="21"/>
  <c r="X338" i="21" s="1"/>
  <c r="S338" i="21"/>
  <c r="Q338" i="21"/>
  <c r="P338" i="21"/>
  <c r="O338" i="21"/>
  <c r="N338" i="21"/>
  <c r="K338" i="21"/>
  <c r="CF338" i="21" s="1"/>
  <c r="CH338" i="21" s="1"/>
  <c r="J338" i="21"/>
  <c r="H338" i="21"/>
  <c r="G338" i="21"/>
  <c r="FX337" i="21"/>
  <c r="EE337" i="21"/>
  <c r="DL337" i="21"/>
  <c r="CT337" i="21"/>
  <c r="CF337" i="21"/>
  <c r="CH337" i="21" s="1"/>
  <c r="CD337" i="21"/>
  <c r="CC337" i="21"/>
  <c r="CE337" i="21" s="1"/>
  <c r="CA337" i="21"/>
  <c r="BE337" i="21"/>
  <c r="AS337" i="21"/>
  <c r="AM337" i="21"/>
  <c r="AL337" i="21"/>
  <c r="AI337" i="21"/>
  <c r="AG337" i="21"/>
  <c r="FY337" i="21" s="1"/>
  <c r="GA337" i="21" s="1"/>
  <c r="AE337" i="21"/>
  <c r="FZ337" i="21" s="1"/>
  <c r="AB337" i="21"/>
  <c r="CS337" i="21" s="1"/>
  <c r="W337" i="21"/>
  <c r="U337" i="21"/>
  <c r="T337" i="21"/>
  <c r="S337" i="21"/>
  <c r="Q337" i="21"/>
  <c r="P337" i="21"/>
  <c r="O337" i="21"/>
  <c r="N337" i="21"/>
  <c r="L337" i="21"/>
  <c r="K337" i="21"/>
  <c r="J337" i="21"/>
  <c r="H337" i="21"/>
  <c r="AK337" i="21" s="1"/>
  <c r="G337" i="21"/>
  <c r="CG337" i="21" s="1"/>
  <c r="EA336" i="21"/>
  <c r="DL336" i="21"/>
  <c r="CT336" i="21"/>
  <c r="CF336" i="21"/>
  <c r="CH336" i="21" s="1"/>
  <c r="CD336" i="21"/>
  <c r="CE336" i="21" s="1"/>
  <c r="CC336" i="21"/>
  <c r="BA336" i="21"/>
  <c r="AS336" i="21"/>
  <c r="AB336" i="21"/>
  <c r="W336" i="21"/>
  <c r="U336" i="21"/>
  <c r="S336" i="21"/>
  <c r="P336" i="21"/>
  <c r="DY336" i="21" s="1"/>
  <c r="O336" i="21"/>
  <c r="N336" i="21"/>
  <c r="L336" i="21"/>
  <c r="K336" i="21"/>
  <c r="J336" i="21"/>
  <c r="H336" i="21"/>
  <c r="G336" i="21"/>
  <c r="CG336" i="21" s="1"/>
  <c r="EA335" i="21"/>
  <c r="DY335" i="21"/>
  <c r="CT335" i="21"/>
  <c r="CO335" i="21"/>
  <c r="CC335" i="21"/>
  <c r="BE335" i="21"/>
  <c r="AM335" i="21"/>
  <c r="AK335" i="21"/>
  <c r="AB335" i="21"/>
  <c r="Y335" i="21"/>
  <c r="X335" i="21"/>
  <c r="EL335" i="21" s="1"/>
  <c r="EK335" i="21" s="1"/>
  <c r="W335" i="21"/>
  <c r="BA335" i="21" s="1"/>
  <c r="BB335" i="21" s="1"/>
  <c r="U335" i="21"/>
  <c r="S335" i="21"/>
  <c r="AN335" i="21" s="1"/>
  <c r="P335" i="21"/>
  <c r="O335" i="21"/>
  <c r="N335" i="21"/>
  <c r="M335" i="21"/>
  <c r="BF335" i="21" s="1"/>
  <c r="K335" i="21"/>
  <c r="J335" i="21"/>
  <c r="AS335" i="21" s="1"/>
  <c r="H335" i="21"/>
  <c r="I335" i="21" s="1"/>
  <c r="G335" i="21"/>
  <c r="CG335" i="21" s="1"/>
  <c r="ET334" i="21"/>
  <c r="EU334" i="21" s="1"/>
  <c r="EV334" i="21" s="1"/>
  <c r="DL334" i="21"/>
  <c r="DI334" i="21"/>
  <c r="CT334" i="21"/>
  <c r="CF334" i="21"/>
  <c r="CH334" i="21" s="1"/>
  <c r="CC334" i="21"/>
  <c r="BE334" i="21"/>
  <c r="BF334" i="21" s="1"/>
  <c r="BA334" i="21"/>
  <c r="BB334" i="21" s="1"/>
  <c r="AM334" i="21"/>
  <c r="AK334" i="21"/>
  <c r="AG334" i="21"/>
  <c r="AE334" i="21"/>
  <c r="AB334" i="21"/>
  <c r="Y334" i="21"/>
  <c r="X334" i="21"/>
  <c r="EL334" i="21" s="1"/>
  <c r="EK334" i="21" s="1"/>
  <c r="W334" i="21"/>
  <c r="S334" i="21"/>
  <c r="P334" i="21"/>
  <c r="DY334" i="21" s="1"/>
  <c r="O334" i="21"/>
  <c r="N334" i="21"/>
  <c r="L334" i="21"/>
  <c r="K334" i="21"/>
  <c r="J334" i="21"/>
  <c r="I334" i="21"/>
  <c r="M334" i="21" s="1"/>
  <c r="H334" i="21"/>
  <c r="G334" i="21"/>
  <c r="CG334" i="21" s="1"/>
  <c r="FY333" i="21"/>
  <c r="FX333" i="21"/>
  <c r="DL333" i="21"/>
  <c r="CT333" i="21"/>
  <c r="CC333" i="21"/>
  <c r="AK333" i="21"/>
  <c r="AB333" i="21"/>
  <c r="W333" i="21"/>
  <c r="BA333" i="21" s="1"/>
  <c r="U333" i="21"/>
  <c r="AY333" i="21" s="1"/>
  <c r="T333" i="21"/>
  <c r="S333" i="21"/>
  <c r="Q333" i="21"/>
  <c r="P333" i="21"/>
  <c r="DY333" i="21" s="1"/>
  <c r="O333" i="21"/>
  <c r="N333" i="21"/>
  <c r="K333" i="21"/>
  <c r="BE333" i="21" s="1"/>
  <c r="J333" i="21"/>
  <c r="H333" i="21"/>
  <c r="G333" i="21"/>
  <c r="CG333" i="21" s="1"/>
  <c r="EL332" i="21"/>
  <c r="EK332" i="21"/>
  <c r="EE332" i="21"/>
  <c r="DI332" i="21"/>
  <c r="CT332" i="21"/>
  <c r="CG332" i="21"/>
  <c r="BA332" i="21"/>
  <c r="AS332" i="21"/>
  <c r="AG332" i="21"/>
  <c r="CC332" i="21" s="1"/>
  <c r="AE332" i="21"/>
  <c r="CD332" i="21" s="1"/>
  <c r="AB332" i="21"/>
  <c r="Y332" i="21"/>
  <c r="DT332" i="21" s="1"/>
  <c r="W332" i="21"/>
  <c r="X332" i="21" s="1"/>
  <c r="S332" i="21"/>
  <c r="P332" i="21"/>
  <c r="DY332" i="21" s="1"/>
  <c r="O332" i="21"/>
  <c r="BE332" i="21" s="1"/>
  <c r="N332" i="21"/>
  <c r="L332" i="21"/>
  <c r="K332" i="21"/>
  <c r="J332" i="21"/>
  <c r="I332" i="21"/>
  <c r="H332" i="21"/>
  <c r="G332" i="21"/>
  <c r="EL331" i="21"/>
  <c r="EK331" i="21" s="1"/>
  <c r="CT331" i="21"/>
  <c r="CG331" i="21"/>
  <c r="CC331" i="21"/>
  <c r="BA331" i="21"/>
  <c r="AB331" i="21"/>
  <c r="X331" i="21"/>
  <c r="W331" i="21"/>
  <c r="S331" i="21"/>
  <c r="P331" i="21"/>
  <c r="O331" i="21"/>
  <c r="N331" i="21"/>
  <c r="K331" i="21"/>
  <c r="J331" i="21"/>
  <c r="H331" i="21"/>
  <c r="G331" i="21"/>
  <c r="EL330" i="21"/>
  <c r="EK330" i="21" s="1"/>
  <c r="DY330" i="21"/>
  <c r="CT330" i="21"/>
  <c r="CH330" i="21"/>
  <c r="CG330" i="21"/>
  <c r="CF330" i="21"/>
  <c r="BA330" i="21"/>
  <c r="AS330" i="21"/>
  <c r="AM330" i="21"/>
  <c r="AK330" i="21"/>
  <c r="AG330" i="21"/>
  <c r="AE330" i="21"/>
  <c r="AB330" i="21"/>
  <c r="W330" i="21"/>
  <c r="X330" i="21" s="1"/>
  <c r="S330" i="21"/>
  <c r="P330" i="21"/>
  <c r="O330" i="21"/>
  <c r="FX330" i="21" s="1"/>
  <c r="N330" i="21"/>
  <c r="K330" i="21"/>
  <c r="J330" i="21"/>
  <c r="H330" i="21"/>
  <c r="AN330" i="21" s="1"/>
  <c r="G330" i="21"/>
  <c r="FZ329" i="21"/>
  <c r="FX329" i="21"/>
  <c r="EE329" i="21"/>
  <c r="EA329" i="21"/>
  <c r="DY329" i="21"/>
  <c r="DT329" i="21"/>
  <c r="CT329" i="21"/>
  <c r="CF329" i="21"/>
  <c r="CC329" i="21"/>
  <c r="BA329" i="21"/>
  <c r="AS329" i="21"/>
  <c r="AM329" i="21"/>
  <c r="AK329" i="21"/>
  <c r="AB329" i="21"/>
  <c r="Y329" i="21"/>
  <c r="BI329" i="21" s="1"/>
  <c r="X329" i="21"/>
  <c r="EL329" i="21" s="1"/>
  <c r="EK329" i="21" s="1"/>
  <c r="W329" i="21"/>
  <c r="S329" i="21"/>
  <c r="P329" i="21"/>
  <c r="O329" i="21"/>
  <c r="N329" i="21"/>
  <c r="K329" i="21"/>
  <c r="J329" i="21"/>
  <c r="H329" i="21"/>
  <c r="I329" i="21" s="1"/>
  <c r="G329" i="21"/>
  <c r="FZ328" i="21"/>
  <c r="FX328" i="21"/>
  <c r="EA328" i="21"/>
  <c r="DZ328" i="21"/>
  <c r="EB328" i="21" s="1"/>
  <c r="DY328" i="21"/>
  <c r="DL328" i="21"/>
  <c r="CT328" i="21"/>
  <c r="CG328" i="21"/>
  <c r="CF328" i="21"/>
  <c r="CH328" i="21" s="1"/>
  <c r="CC328" i="21"/>
  <c r="BZ328" i="21"/>
  <c r="BR328" i="21"/>
  <c r="BE328" i="21"/>
  <c r="AS328" i="21"/>
  <c r="AK328" i="21"/>
  <c r="AB328" i="21"/>
  <c r="W328" i="21"/>
  <c r="U328" i="21"/>
  <c r="AY328" i="21" s="1"/>
  <c r="T328" i="21"/>
  <c r="S328" i="21"/>
  <c r="Q328" i="21"/>
  <c r="P328" i="21"/>
  <c r="O328" i="21"/>
  <c r="N328" i="21"/>
  <c r="K328" i="21"/>
  <c r="J328" i="21"/>
  <c r="AM328" i="21" s="1"/>
  <c r="I328" i="21"/>
  <c r="H328" i="21"/>
  <c r="G328" i="21"/>
  <c r="FZ327" i="21"/>
  <c r="EE327" i="21"/>
  <c r="DT327" i="21"/>
  <c r="DL327" i="21"/>
  <c r="CT327" i="21"/>
  <c r="CG327" i="21"/>
  <c r="CF327" i="21"/>
  <c r="CH327" i="21" s="1"/>
  <c r="CE327" i="21"/>
  <c r="CD327" i="21"/>
  <c r="CC327" i="21"/>
  <c r="CA327" i="21"/>
  <c r="BZ327" i="21"/>
  <c r="CB327" i="21" s="1"/>
  <c r="CI327" i="21" s="1"/>
  <c r="BI327" i="21"/>
  <c r="AN327" i="21"/>
  <c r="AM327" i="21"/>
  <c r="AL327" i="21"/>
  <c r="AK327" i="21"/>
  <c r="AG327" i="21"/>
  <c r="AE327" i="21"/>
  <c r="AB327" i="21"/>
  <c r="Y327" i="21"/>
  <c r="X327" i="21"/>
  <c r="EL327" i="21" s="1"/>
  <c r="EK327" i="21" s="1"/>
  <c r="W327" i="21"/>
  <c r="U327" i="21"/>
  <c r="S327" i="21"/>
  <c r="Q327" i="21"/>
  <c r="BR327" i="21" s="1"/>
  <c r="DZ327" i="21" s="1"/>
  <c r="EB327" i="21" s="1"/>
  <c r="P327" i="21"/>
  <c r="DY327" i="21" s="1"/>
  <c r="EG327" i="21" s="1"/>
  <c r="O327" i="21"/>
  <c r="N327" i="21"/>
  <c r="K327" i="21"/>
  <c r="EA327" i="21" s="1"/>
  <c r="J327" i="21"/>
  <c r="I327" i="21"/>
  <c r="H327" i="21"/>
  <c r="G327" i="21"/>
  <c r="FZ326" i="21"/>
  <c r="FY326" i="21"/>
  <c r="FX326" i="21"/>
  <c r="GA326" i="21" s="1"/>
  <c r="EE326" i="21"/>
  <c r="EA326" i="21"/>
  <c r="DL326" i="21"/>
  <c r="CT326" i="21"/>
  <c r="CF326" i="21"/>
  <c r="CH326" i="21" s="1"/>
  <c r="CD326" i="21"/>
  <c r="CC326" i="21"/>
  <c r="CE326" i="21" s="1"/>
  <c r="CA326" i="21"/>
  <c r="AN326" i="21"/>
  <c r="AM326" i="21"/>
  <c r="AL326" i="21"/>
  <c r="AB326" i="21"/>
  <c r="W326" i="21"/>
  <c r="U326" i="21"/>
  <c r="T326" i="21"/>
  <c r="S326" i="21"/>
  <c r="P326" i="21"/>
  <c r="DY326" i="21" s="1"/>
  <c r="O326" i="21"/>
  <c r="BE326" i="21" s="1"/>
  <c r="N326" i="21"/>
  <c r="Q326" i="21" s="1"/>
  <c r="K326" i="21"/>
  <c r="J326" i="21"/>
  <c r="AS326" i="21" s="1"/>
  <c r="H326" i="21"/>
  <c r="G326" i="21"/>
  <c r="CG326" i="21" s="1"/>
  <c r="FX325" i="21"/>
  <c r="EU325" i="21"/>
  <c r="EV325" i="21" s="1"/>
  <c r="ET325" i="21"/>
  <c r="DI325" i="21"/>
  <c r="CT325" i="21"/>
  <c r="CF325" i="21"/>
  <c r="CD325" i="21"/>
  <c r="CC325" i="21"/>
  <c r="CE325" i="21" s="1"/>
  <c r="AN325" i="21"/>
  <c r="AG325" i="21"/>
  <c r="AE325" i="21"/>
  <c r="AB325" i="21"/>
  <c r="X325" i="21"/>
  <c r="EL325" i="21" s="1"/>
  <c r="EK325" i="21" s="1"/>
  <c r="W325" i="21"/>
  <c r="BA325" i="21" s="1"/>
  <c r="S325" i="21"/>
  <c r="P325" i="21"/>
  <c r="DY325" i="21" s="1"/>
  <c r="O325" i="21"/>
  <c r="U325" i="21" s="1"/>
  <c r="N325" i="21"/>
  <c r="K325" i="21"/>
  <c r="AX325" i="21" s="1"/>
  <c r="J325" i="21"/>
  <c r="I325" i="21"/>
  <c r="H325" i="21"/>
  <c r="AK325" i="21" s="1"/>
  <c r="G325" i="21"/>
  <c r="CG325" i="21" s="1"/>
  <c r="CH325" i="21" s="1"/>
  <c r="FZ324" i="21"/>
  <c r="FX324" i="21"/>
  <c r="GA324" i="21" s="1"/>
  <c r="EA324" i="21"/>
  <c r="DY324" i="21"/>
  <c r="DL324" i="21"/>
  <c r="CT324" i="21"/>
  <c r="CI324" i="21"/>
  <c r="CG324" i="21"/>
  <c r="CH324" i="21" s="1"/>
  <c r="CD324" i="21"/>
  <c r="CC324" i="21"/>
  <c r="CE324" i="21" s="1"/>
  <c r="CB324" i="21"/>
  <c r="CA324" i="21"/>
  <c r="BZ324" i="21"/>
  <c r="BR324" i="21"/>
  <c r="DZ324" i="21" s="1"/>
  <c r="EB324" i="21" s="1"/>
  <c r="BE324" i="21"/>
  <c r="BA324" i="21"/>
  <c r="AS324" i="21"/>
  <c r="AN324" i="21"/>
  <c r="AM324" i="21"/>
  <c r="AL324" i="21"/>
  <c r="AK324" i="21"/>
  <c r="AB324" i="21"/>
  <c r="X324" i="21"/>
  <c r="EL324" i="21" s="1"/>
  <c r="EK324" i="21" s="1"/>
  <c r="W324" i="21"/>
  <c r="U324" i="21"/>
  <c r="S324" i="21"/>
  <c r="Q324" i="21"/>
  <c r="FY324" i="21" s="1"/>
  <c r="P324" i="21"/>
  <c r="O324" i="21"/>
  <c r="N324" i="21"/>
  <c r="EE324" i="21" s="1"/>
  <c r="L324" i="21"/>
  <c r="K324" i="21"/>
  <c r="CF324" i="21" s="1"/>
  <c r="J324" i="21"/>
  <c r="I324" i="21"/>
  <c r="H324" i="21"/>
  <c r="G324" i="21"/>
  <c r="FZ323" i="21"/>
  <c r="FY323" i="21"/>
  <c r="FX323" i="21"/>
  <c r="GA323" i="21" s="1"/>
  <c r="CS323" i="21" s="1"/>
  <c r="CT323" i="21"/>
  <c r="CG323" i="21"/>
  <c r="CE323" i="21"/>
  <c r="CD323" i="21"/>
  <c r="CC323" i="21"/>
  <c r="BA323" i="21"/>
  <c r="AS323" i="21"/>
  <c r="AM323" i="21"/>
  <c r="AK323" i="21"/>
  <c r="AG323" i="21"/>
  <c r="AE323" i="21"/>
  <c r="AB323" i="21"/>
  <c r="X323" i="21"/>
  <c r="EL323" i="21" s="1"/>
  <c r="EK323" i="21" s="1"/>
  <c r="W323" i="21"/>
  <c r="S323" i="21"/>
  <c r="Q323" i="21"/>
  <c r="P323" i="21"/>
  <c r="O323" i="21"/>
  <c r="N323" i="21"/>
  <c r="EE323" i="21" s="1"/>
  <c r="K323" i="21"/>
  <c r="DY323" i="21" s="1"/>
  <c r="J323" i="21"/>
  <c r="I323" i="21"/>
  <c r="M323" i="21" s="1"/>
  <c r="H323" i="21"/>
  <c r="G323" i="21"/>
  <c r="FZ322" i="21"/>
  <c r="CT322" i="21"/>
  <c r="CC322" i="21"/>
  <c r="BA322" i="21"/>
  <c r="BB322" i="21" s="1"/>
  <c r="AB322" i="21"/>
  <c r="W322" i="21"/>
  <c r="X322" i="21" s="1"/>
  <c r="EL322" i="21" s="1"/>
  <c r="EK322" i="21" s="1"/>
  <c r="S322" i="21"/>
  <c r="P322" i="21"/>
  <c r="O322" i="21"/>
  <c r="N322" i="21"/>
  <c r="K322" i="21"/>
  <c r="EA322" i="21" s="1"/>
  <c r="J322" i="21"/>
  <c r="I322" i="21"/>
  <c r="H322" i="21"/>
  <c r="G322" i="21"/>
  <c r="CG322" i="21" s="1"/>
  <c r="EL321" i="21"/>
  <c r="EK321" i="21" s="1"/>
  <c r="EA321" i="21"/>
  <c r="CT321" i="21"/>
  <c r="BA321" i="21"/>
  <c r="BB321" i="21" s="1"/>
  <c r="AK321" i="21"/>
  <c r="AG321" i="21"/>
  <c r="AE321" i="21"/>
  <c r="AB321" i="21"/>
  <c r="X321" i="21"/>
  <c r="W321" i="21"/>
  <c r="S321" i="21"/>
  <c r="P321" i="21"/>
  <c r="DY321" i="21" s="1"/>
  <c r="O321" i="21"/>
  <c r="FX321" i="21" s="1"/>
  <c r="N321" i="21"/>
  <c r="EE321" i="21" s="1"/>
  <c r="M321" i="21"/>
  <c r="K321" i="21"/>
  <c r="J321" i="21"/>
  <c r="AS321" i="21" s="1"/>
  <c r="I321" i="21"/>
  <c r="H321" i="21"/>
  <c r="G321" i="21"/>
  <c r="CG321" i="21" s="1"/>
  <c r="DL320" i="21"/>
  <c r="CT320" i="21"/>
  <c r="CC320" i="21"/>
  <c r="BA320" i="21"/>
  <c r="AK320" i="21"/>
  <c r="AB320" i="21"/>
  <c r="Y320" i="21"/>
  <c r="W320" i="21"/>
  <c r="X320" i="21" s="1"/>
  <c r="EL320" i="21" s="1"/>
  <c r="EK320" i="21" s="1"/>
  <c r="S320" i="21"/>
  <c r="P320" i="21"/>
  <c r="O320" i="21"/>
  <c r="N320" i="21"/>
  <c r="K320" i="21"/>
  <c r="J320" i="21"/>
  <c r="H320" i="21"/>
  <c r="G320" i="21"/>
  <c r="CG320" i="21" s="1"/>
  <c r="CT319" i="21"/>
  <c r="CA319" i="21"/>
  <c r="BZ319" i="21"/>
  <c r="CB319" i="21" s="1"/>
  <c r="BR319" i="21"/>
  <c r="DZ319" i="21" s="1"/>
  <c r="AY319" i="21"/>
  <c r="AZ319" i="21" s="1"/>
  <c r="AM319" i="21"/>
  <c r="AI319" i="21"/>
  <c r="AG319" i="21"/>
  <c r="AE319" i="21"/>
  <c r="AB319" i="21"/>
  <c r="W319" i="21"/>
  <c r="X319" i="21" s="1"/>
  <c r="EL319" i="21" s="1"/>
  <c r="EK319" i="21" s="1"/>
  <c r="U319" i="21"/>
  <c r="T319" i="21"/>
  <c r="BH319" i="21" s="1"/>
  <c r="S319" i="21"/>
  <c r="Q319" i="21"/>
  <c r="P319" i="21"/>
  <c r="DY319" i="21" s="1"/>
  <c r="O319" i="21"/>
  <c r="N319" i="21"/>
  <c r="EE319" i="21" s="1"/>
  <c r="K319" i="21"/>
  <c r="J319" i="21"/>
  <c r="AS319" i="21" s="1"/>
  <c r="H319" i="21"/>
  <c r="AL319" i="21" s="1"/>
  <c r="G319" i="21"/>
  <c r="CG319" i="21" s="1"/>
  <c r="FX318" i="21"/>
  <c r="DY318" i="21"/>
  <c r="DL318" i="21"/>
  <c r="CT318" i="21"/>
  <c r="BA318" i="21"/>
  <c r="AS318" i="21"/>
  <c r="AN318" i="21"/>
  <c r="AI318" i="21"/>
  <c r="AG318" i="21"/>
  <c r="CC318" i="21" s="1"/>
  <c r="AE318" i="21"/>
  <c r="CD318" i="21" s="1"/>
  <c r="AB318" i="21"/>
  <c r="X318" i="21"/>
  <c r="EL318" i="21" s="1"/>
  <c r="EK318" i="21" s="1"/>
  <c r="W318" i="21"/>
  <c r="S318" i="21"/>
  <c r="P318" i="21"/>
  <c r="O318" i="21"/>
  <c r="N318" i="21"/>
  <c r="K318" i="21"/>
  <c r="BE318" i="21" s="1"/>
  <c r="J318" i="21"/>
  <c r="H318" i="21"/>
  <c r="G318" i="21"/>
  <c r="CG318" i="21" s="1"/>
  <c r="ET317" i="21"/>
  <c r="EE317" i="21"/>
  <c r="EA317" i="21"/>
  <c r="DY317" i="21"/>
  <c r="DI317" i="21"/>
  <c r="CT317" i="21"/>
  <c r="CC317" i="21"/>
  <c r="BA317" i="21"/>
  <c r="AX317" i="21"/>
  <c r="CM317" i="21" s="1"/>
  <c r="AN317" i="21"/>
  <c r="AM317" i="21"/>
  <c r="AK317" i="21"/>
  <c r="AI317" i="21"/>
  <c r="AG317" i="21"/>
  <c r="AE317" i="21"/>
  <c r="CD317" i="21" s="1"/>
  <c r="CE317" i="21" s="1"/>
  <c r="AB317" i="21"/>
  <c r="W317" i="21"/>
  <c r="X317" i="21" s="1"/>
  <c r="EL317" i="21" s="1"/>
  <c r="EK317" i="21" s="1"/>
  <c r="U317" i="21"/>
  <c r="S317" i="21"/>
  <c r="P317" i="21"/>
  <c r="O317" i="21"/>
  <c r="N317" i="21"/>
  <c r="M317" i="21"/>
  <c r="K317" i="21"/>
  <c r="J317" i="21"/>
  <c r="AS317" i="21" s="1"/>
  <c r="H317" i="21"/>
  <c r="I317" i="21" s="1"/>
  <c r="G317" i="21"/>
  <c r="FZ316" i="21"/>
  <c r="FX316" i="21"/>
  <c r="EA316" i="21"/>
  <c r="DY316" i="21"/>
  <c r="DL316" i="21"/>
  <c r="CT316" i="21"/>
  <c r="CF316" i="21"/>
  <c r="CH316" i="21" s="1"/>
  <c r="CD316" i="21"/>
  <c r="CC316" i="21"/>
  <c r="CE316" i="21" s="1"/>
  <c r="AG316" i="21"/>
  <c r="AE316" i="21"/>
  <c r="AB316" i="21"/>
  <c r="W316" i="21"/>
  <c r="S316" i="21"/>
  <c r="P316" i="21"/>
  <c r="O316" i="21"/>
  <c r="U316" i="21" s="1"/>
  <c r="N316" i="21"/>
  <c r="K316" i="21"/>
  <c r="J316" i="21"/>
  <c r="AS316" i="21" s="1"/>
  <c r="H316" i="21"/>
  <c r="G316" i="21"/>
  <c r="CG316" i="21" s="1"/>
  <c r="FX315" i="21"/>
  <c r="DL315" i="21"/>
  <c r="DI315" i="21"/>
  <c r="CT315" i="21"/>
  <c r="CF315" i="21"/>
  <c r="BZ315" i="21"/>
  <c r="BA315" i="21"/>
  <c r="BB315" i="21" s="1"/>
  <c r="AS315" i="21"/>
  <c r="AL315" i="21"/>
  <c r="AK315" i="21"/>
  <c r="AG315" i="21"/>
  <c r="AE315" i="21"/>
  <c r="AB315" i="21"/>
  <c r="W315" i="21"/>
  <c r="U315" i="21"/>
  <c r="S315" i="21"/>
  <c r="Q315" i="21"/>
  <c r="BR315" i="21" s="1"/>
  <c r="DZ315" i="21" s="1"/>
  <c r="P315" i="21"/>
  <c r="DY315" i="21" s="1"/>
  <c r="O315" i="21"/>
  <c r="N315" i="21"/>
  <c r="L315" i="21"/>
  <c r="K315" i="21"/>
  <c r="J315" i="21"/>
  <c r="H315" i="21"/>
  <c r="I315" i="21" s="1"/>
  <c r="G315" i="21"/>
  <c r="CG315" i="21" s="1"/>
  <c r="FX314" i="21"/>
  <c r="DL314" i="21"/>
  <c r="DI314" i="21"/>
  <c r="CT314" i="21"/>
  <c r="CF314" i="21"/>
  <c r="CH314" i="21" s="1"/>
  <c r="CC314" i="21"/>
  <c r="CA314" i="21"/>
  <c r="AN314" i="21"/>
  <c r="AM314" i="21"/>
  <c r="AL314" i="21"/>
  <c r="AK314" i="21"/>
  <c r="AG314" i="21"/>
  <c r="AE314" i="21"/>
  <c r="AB314" i="21"/>
  <c r="W314" i="21"/>
  <c r="U314" i="21"/>
  <c r="T314" i="21"/>
  <c r="S314" i="21"/>
  <c r="P314" i="21"/>
  <c r="DY314" i="21" s="1"/>
  <c r="O314" i="21"/>
  <c r="N314" i="21"/>
  <c r="K314" i="21"/>
  <c r="Q314" i="21" s="1"/>
  <c r="J314" i="21"/>
  <c r="EE314" i="21" s="1"/>
  <c r="I314" i="21"/>
  <c r="H314" i="21"/>
  <c r="G314" i="21"/>
  <c r="CG314" i="21" s="1"/>
  <c r="FZ313" i="21"/>
  <c r="FX313" i="21"/>
  <c r="EA313" i="21"/>
  <c r="DY313" i="21"/>
  <c r="CT313" i="21"/>
  <c r="CF313" i="21"/>
  <c r="CE313" i="21"/>
  <c r="CD313" i="21"/>
  <c r="CC313" i="21"/>
  <c r="BR313" i="21"/>
  <c r="DZ313" i="21" s="1"/>
  <c r="BE313" i="21"/>
  <c r="BA313" i="21"/>
  <c r="AS313" i="21"/>
  <c r="AB313" i="21"/>
  <c r="X313" i="21"/>
  <c r="W313" i="21"/>
  <c r="U313" i="21"/>
  <c r="S313" i="21"/>
  <c r="P313" i="21"/>
  <c r="O313" i="21"/>
  <c r="N313" i="21"/>
  <c r="Q313" i="21" s="1"/>
  <c r="CA313" i="21" s="1"/>
  <c r="K313" i="21"/>
  <c r="J313" i="21"/>
  <c r="H313" i="21"/>
  <c r="G313" i="21"/>
  <c r="CG313" i="21" s="1"/>
  <c r="FX312" i="21"/>
  <c r="DY312" i="21"/>
  <c r="CT312" i="21"/>
  <c r="CG312" i="21"/>
  <c r="CC312" i="21"/>
  <c r="AS312" i="21"/>
  <c r="AM312" i="21"/>
  <c r="AK312" i="21"/>
  <c r="AB312" i="21"/>
  <c r="W312" i="21"/>
  <c r="X312" i="21" s="1"/>
  <c r="EL312" i="21" s="1"/>
  <c r="EK312" i="21" s="1"/>
  <c r="S312" i="21"/>
  <c r="P312" i="21"/>
  <c r="O312" i="21"/>
  <c r="N312" i="21"/>
  <c r="K312" i="21"/>
  <c r="CD312" i="21" s="1"/>
  <c r="CE312" i="21" s="1"/>
  <c r="J312" i="21"/>
  <c r="I312" i="21"/>
  <c r="H312" i="21"/>
  <c r="G312" i="21"/>
  <c r="CT311" i="21"/>
  <c r="CC311" i="21"/>
  <c r="AK311" i="21"/>
  <c r="AB311" i="21"/>
  <c r="X311" i="21"/>
  <c r="EL311" i="21" s="1"/>
  <c r="W311" i="21"/>
  <c r="BA311" i="21" s="1"/>
  <c r="S311" i="21"/>
  <c r="P311" i="21"/>
  <c r="O311" i="21"/>
  <c r="N311" i="21"/>
  <c r="K311" i="21"/>
  <c r="J311" i="21"/>
  <c r="H311" i="21"/>
  <c r="I311" i="21" s="1"/>
  <c r="G311" i="21"/>
  <c r="FZ310" i="21"/>
  <c r="FX310" i="21"/>
  <c r="FA310" i="21"/>
  <c r="EK310" i="21"/>
  <c r="EA310" i="21"/>
  <c r="DY310" i="21"/>
  <c r="CT310" i="21"/>
  <c r="CG310" i="21"/>
  <c r="CC310" i="21"/>
  <c r="BA310" i="21"/>
  <c r="AS310" i="21"/>
  <c r="AI310" i="21"/>
  <c r="AG310" i="21"/>
  <c r="AE310" i="21"/>
  <c r="AB310" i="21"/>
  <c r="X310" i="21"/>
  <c r="EL310" i="21" s="1"/>
  <c r="W310" i="21"/>
  <c r="U310" i="21"/>
  <c r="S310" i="21"/>
  <c r="P310" i="21"/>
  <c r="O310" i="21"/>
  <c r="BE310" i="21" s="1"/>
  <c r="N310" i="21"/>
  <c r="K310" i="21"/>
  <c r="J310" i="21"/>
  <c r="H310" i="21"/>
  <c r="G310" i="21"/>
  <c r="CT309" i="21"/>
  <c r="AS309" i="21"/>
  <c r="AK309" i="21"/>
  <c r="AI309" i="21"/>
  <c r="AG309" i="21"/>
  <c r="AE309" i="21"/>
  <c r="AB309" i="21"/>
  <c r="X309" i="21"/>
  <c r="EL309" i="21" s="1"/>
  <c r="EK309" i="21" s="1"/>
  <c r="W309" i="21"/>
  <c r="BA309" i="21" s="1"/>
  <c r="S309" i="21"/>
  <c r="P309" i="21"/>
  <c r="DY309" i="21" s="1"/>
  <c r="O309" i="21"/>
  <c r="N309" i="21"/>
  <c r="K309" i="21"/>
  <c r="DL309" i="21" s="1"/>
  <c r="J309" i="21"/>
  <c r="H309" i="21"/>
  <c r="AM309" i="21" s="1"/>
  <c r="G309" i="21"/>
  <c r="CG309" i="21" s="1"/>
  <c r="FZ308" i="21"/>
  <c r="FA308" i="21"/>
  <c r="ET308" i="21"/>
  <c r="EE308" i="21"/>
  <c r="EA308" i="21"/>
  <c r="DL308" i="21"/>
  <c r="DI308" i="21"/>
  <c r="CT308" i="21"/>
  <c r="CF308" i="21"/>
  <c r="CH308" i="21" s="1"/>
  <c r="CD308" i="21"/>
  <c r="CC308" i="21"/>
  <c r="CE308" i="21" s="1"/>
  <c r="BA308" i="21"/>
  <c r="BB308" i="21" s="1"/>
  <c r="AX308" i="21"/>
  <c r="AS308" i="21"/>
  <c r="AK308" i="21"/>
  <c r="AB308" i="21"/>
  <c r="Y308" i="21"/>
  <c r="X308" i="21"/>
  <c r="EL308" i="21" s="1"/>
  <c r="EK308" i="21" s="1"/>
  <c r="W308" i="21"/>
  <c r="U308" i="21"/>
  <c r="T308" i="21"/>
  <c r="S308" i="21"/>
  <c r="Q308" i="21"/>
  <c r="P308" i="21"/>
  <c r="DY308" i="21" s="1"/>
  <c r="O308" i="21"/>
  <c r="N308" i="21"/>
  <c r="L308" i="21"/>
  <c r="K308" i="21"/>
  <c r="J308" i="21"/>
  <c r="I308" i="21"/>
  <c r="M308" i="21" s="1"/>
  <c r="H308" i="21"/>
  <c r="AM308" i="21" s="1"/>
  <c r="G308" i="21"/>
  <c r="CG308" i="21" s="1"/>
  <c r="FZ307" i="21"/>
  <c r="EA307" i="21"/>
  <c r="DL307" i="21"/>
  <c r="CT307" i="21"/>
  <c r="CG307" i="21"/>
  <c r="CF307" i="21"/>
  <c r="CH307" i="21" s="1"/>
  <c r="CD307" i="21"/>
  <c r="CE307" i="21" s="1"/>
  <c r="CC307" i="21"/>
  <c r="BE307" i="21"/>
  <c r="AN307" i="21"/>
  <c r="AM307" i="21"/>
  <c r="AK307" i="21"/>
  <c r="AB307" i="21"/>
  <c r="W307" i="21"/>
  <c r="BA307" i="21" s="1"/>
  <c r="U307" i="21"/>
  <c r="S307" i="21"/>
  <c r="P307" i="21"/>
  <c r="DY307" i="21" s="1"/>
  <c r="O307" i="21"/>
  <c r="FX307" i="21" s="1"/>
  <c r="N307" i="21"/>
  <c r="K307" i="21"/>
  <c r="J307" i="21"/>
  <c r="H307" i="21"/>
  <c r="G307" i="21"/>
  <c r="FX306" i="21"/>
  <c r="FA306" i="21"/>
  <c r="EK306" i="21"/>
  <c r="CT306" i="21"/>
  <c r="CF306" i="21"/>
  <c r="BA306" i="21"/>
  <c r="AX306" i="21"/>
  <c r="AS306" i="21"/>
  <c r="AN306" i="21"/>
  <c r="AM306" i="21"/>
  <c r="AG306" i="21"/>
  <c r="AE306" i="21"/>
  <c r="AB306" i="21"/>
  <c r="W306" i="21"/>
  <c r="X306" i="21" s="1"/>
  <c r="EL306" i="21" s="1"/>
  <c r="U306" i="21"/>
  <c r="S306" i="21"/>
  <c r="P306" i="21"/>
  <c r="DY306" i="21" s="1"/>
  <c r="O306" i="21"/>
  <c r="N306" i="21"/>
  <c r="L306" i="21"/>
  <c r="K306" i="21"/>
  <c r="J306" i="21"/>
  <c r="I306" i="21"/>
  <c r="H306" i="21"/>
  <c r="G306" i="21"/>
  <c r="FZ305" i="21"/>
  <c r="FX305" i="21"/>
  <c r="EL305" i="21"/>
  <c r="CT305" i="21"/>
  <c r="CD305" i="21"/>
  <c r="BE305" i="21"/>
  <c r="AS305" i="21"/>
  <c r="AG305" i="21"/>
  <c r="CC305" i="21" s="1"/>
  <c r="AE305" i="21"/>
  <c r="AB305" i="21"/>
  <c r="X305" i="21"/>
  <c r="W305" i="21"/>
  <c r="S305" i="21"/>
  <c r="P305" i="21"/>
  <c r="O305" i="21"/>
  <c r="U305" i="21" s="1"/>
  <c r="N305" i="21"/>
  <c r="L305" i="21"/>
  <c r="K305" i="21"/>
  <c r="J305" i="21"/>
  <c r="H305" i="21"/>
  <c r="G305" i="21"/>
  <c r="CG305" i="21" s="1"/>
  <c r="FZ304" i="21"/>
  <c r="FA304" i="21"/>
  <c r="EE304" i="21"/>
  <c r="EA304" i="21"/>
  <c r="DZ304" i="21"/>
  <c r="EB304" i="21" s="1"/>
  <c r="DY304" i="21"/>
  <c r="DL304" i="21"/>
  <c r="CT304" i="21"/>
  <c r="CH304" i="21"/>
  <c r="CG304" i="21"/>
  <c r="CF304" i="21"/>
  <c r="CD304" i="21"/>
  <c r="CC304" i="21"/>
  <c r="CE304" i="21" s="1"/>
  <c r="CA304" i="21"/>
  <c r="BE304" i="21"/>
  <c r="AS304" i="21"/>
  <c r="AN304" i="21"/>
  <c r="AL304" i="21"/>
  <c r="AK304" i="21"/>
  <c r="AB304" i="21"/>
  <c r="X304" i="21"/>
  <c r="EL304" i="21" s="1"/>
  <c r="EK304" i="21" s="1"/>
  <c r="W304" i="21"/>
  <c r="BA304" i="21" s="1"/>
  <c r="BB304" i="21" s="1"/>
  <c r="U304" i="21"/>
  <c r="AY304" i="21" s="1"/>
  <c r="S304" i="21"/>
  <c r="P304" i="21"/>
  <c r="O304" i="21"/>
  <c r="T304" i="21" s="1"/>
  <c r="N304" i="21"/>
  <c r="Q304" i="21" s="1"/>
  <c r="BR304" i="21" s="1"/>
  <c r="L304" i="21"/>
  <c r="K304" i="21"/>
  <c r="J304" i="21"/>
  <c r="I304" i="21"/>
  <c r="H304" i="21"/>
  <c r="G304" i="21"/>
  <c r="FZ303" i="21"/>
  <c r="EE303" i="21"/>
  <c r="DY303" i="21"/>
  <c r="DL303" i="21"/>
  <c r="CT303" i="21"/>
  <c r="CF303" i="21"/>
  <c r="CH303" i="21" s="1"/>
  <c r="CE303" i="21"/>
  <c r="CD303" i="21"/>
  <c r="CC303" i="21"/>
  <c r="AN303" i="21"/>
  <c r="AK303" i="21"/>
  <c r="AB303" i="21"/>
  <c r="X303" i="21"/>
  <c r="EL303" i="21" s="1"/>
  <c r="EK303" i="21" s="1"/>
  <c r="W303" i="21"/>
  <c r="U303" i="21"/>
  <c r="S303" i="21"/>
  <c r="P303" i="21"/>
  <c r="O303" i="21"/>
  <c r="FX303" i="21" s="1"/>
  <c r="N303" i="21"/>
  <c r="Q303" i="21" s="1"/>
  <c r="K303" i="21"/>
  <c r="EA303" i="21" s="1"/>
  <c r="J303" i="21"/>
  <c r="AS303" i="21" s="1"/>
  <c r="H303" i="21"/>
  <c r="G303" i="21"/>
  <c r="CG303" i="21" s="1"/>
  <c r="FA302" i="21"/>
  <c r="DL302" i="21"/>
  <c r="DI302" i="21"/>
  <c r="CT302" i="21"/>
  <c r="CF302" i="21"/>
  <c r="CH302" i="21" s="1"/>
  <c r="CD302" i="21"/>
  <c r="CC302" i="21"/>
  <c r="CE302" i="21" s="1"/>
  <c r="AM302" i="21"/>
  <c r="AK302" i="21"/>
  <c r="AG302" i="21"/>
  <c r="BE302" i="21" s="1"/>
  <c r="AE302" i="21"/>
  <c r="AB302" i="21"/>
  <c r="X302" i="21"/>
  <c r="EL302" i="21" s="1"/>
  <c r="EK302" i="21" s="1"/>
  <c r="W302" i="21"/>
  <c r="U302" i="21"/>
  <c r="S302" i="21"/>
  <c r="P302" i="21"/>
  <c r="O302" i="21"/>
  <c r="FX302" i="21" s="1"/>
  <c r="N302" i="21"/>
  <c r="Q302" i="21" s="1"/>
  <c r="L302" i="21"/>
  <c r="K302" i="21"/>
  <c r="DY302" i="21" s="1"/>
  <c r="J302" i="21"/>
  <c r="I302" i="21"/>
  <c r="H302" i="21"/>
  <c r="G302" i="21"/>
  <c r="CG302" i="21" s="1"/>
  <c r="FZ301" i="21"/>
  <c r="FX301" i="21"/>
  <c r="EE301" i="21"/>
  <c r="EA301" i="21"/>
  <c r="DY301" i="21"/>
  <c r="CT301" i="21"/>
  <c r="CC301" i="21"/>
  <c r="CE301" i="21" s="1"/>
  <c r="BF301" i="21"/>
  <c r="AX301" i="21"/>
  <c r="AS301" i="21"/>
  <c r="AN301" i="21"/>
  <c r="AM301" i="21"/>
  <c r="AG301" i="21"/>
  <c r="AE301" i="21"/>
  <c r="CD301" i="21" s="1"/>
  <c r="AB301" i="21"/>
  <c r="W301" i="21"/>
  <c r="U301" i="21"/>
  <c r="S301" i="21"/>
  <c r="P301" i="21"/>
  <c r="O301" i="21"/>
  <c r="BE301" i="21" s="1"/>
  <c r="N301" i="21"/>
  <c r="M301" i="21"/>
  <c r="K301" i="21"/>
  <c r="CF301" i="21" s="1"/>
  <c r="J301" i="21"/>
  <c r="I301" i="21"/>
  <c r="DI301" i="21" s="1"/>
  <c r="H301" i="21"/>
  <c r="G301" i="21"/>
  <c r="CG301" i="21" s="1"/>
  <c r="CH301" i="21" s="1"/>
  <c r="FZ300" i="21"/>
  <c r="FA300" i="21"/>
  <c r="EA300" i="21"/>
  <c r="DY300" i="21"/>
  <c r="CT300" i="21"/>
  <c r="CG300" i="21"/>
  <c r="CF300" i="21"/>
  <c r="CH300" i="21" s="1"/>
  <c r="CD300" i="21"/>
  <c r="CC300" i="21"/>
  <c r="CE300" i="21" s="1"/>
  <c r="BZ300" i="21"/>
  <c r="BI300" i="21"/>
  <c r="BE300" i="21"/>
  <c r="AN300" i="21"/>
  <c r="AM300" i="21"/>
  <c r="AL300" i="21"/>
  <c r="AB300" i="21"/>
  <c r="Y300" i="21"/>
  <c r="DT300" i="21" s="1"/>
  <c r="X300" i="21"/>
  <c r="EL300" i="21" s="1"/>
  <c r="EK300" i="21" s="1"/>
  <c r="W300" i="21"/>
  <c r="U300" i="21"/>
  <c r="AY300" i="21" s="1"/>
  <c r="T300" i="21"/>
  <c r="S300" i="21"/>
  <c r="Q300" i="21"/>
  <c r="P300" i="21"/>
  <c r="O300" i="21"/>
  <c r="FX300" i="21" s="1"/>
  <c r="N300" i="21"/>
  <c r="L300" i="21"/>
  <c r="K300" i="21"/>
  <c r="J300" i="21"/>
  <c r="AS300" i="21" s="1"/>
  <c r="I300" i="21"/>
  <c r="H300" i="21"/>
  <c r="EE300" i="21" s="1"/>
  <c r="G300" i="21"/>
  <c r="FZ299" i="21"/>
  <c r="FY299" i="21"/>
  <c r="FX299" i="21"/>
  <c r="EE299" i="21"/>
  <c r="EA299" i="21"/>
  <c r="DY299" i="21"/>
  <c r="CT299" i="21"/>
  <c r="CH299" i="21"/>
  <c r="CG299" i="21"/>
  <c r="CF299" i="21"/>
  <c r="CD299" i="21"/>
  <c r="CC299" i="21"/>
  <c r="CE299" i="21" s="1"/>
  <c r="CA299" i="21"/>
  <c r="BE299" i="21"/>
  <c r="AS299" i="21"/>
  <c r="AB299" i="21"/>
  <c r="W299" i="21"/>
  <c r="U299" i="21"/>
  <c r="T299" i="21"/>
  <c r="S299" i="21"/>
  <c r="P299" i="21"/>
  <c r="O299" i="21"/>
  <c r="N299" i="21"/>
  <c r="Q299" i="21" s="1"/>
  <c r="K299" i="21"/>
  <c r="J299" i="21"/>
  <c r="H299" i="21"/>
  <c r="G299" i="21"/>
  <c r="FZ298" i="21"/>
  <c r="FX298" i="21"/>
  <c r="FA298" i="21"/>
  <c r="EE298" i="21"/>
  <c r="EA298" i="21"/>
  <c r="DL298" i="21"/>
  <c r="DI298" i="21"/>
  <c r="CT298" i="21"/>
  <c r="CG298" i="21"/>
  <c r="CF298" i="21"/>
  <c r="CH298" i="21" s="1"/>
  <c r="AS298" i="21"/>
  <c r="AN298" i="21"/>
  <c r="AM298" i="21"/>
  <c r="AK298" i="21"/>
  <c r="AG298" i="21"/>
  <c r="AE298" i="21"/>
  <c r="CD298" i="21" s="1"/>
  <c r="AB298" i="21"/>
  <c r="W298" i="21"/>
  <c r="U298" i="21"/>
  <c r="S298" i="21"/>
  <c r="P298" i="21"/>
  <c r="DY298" i="21" s="1"/>
  <c r="O298" i="21"/>
  <c r="N298" i="21"/>
  <c r="L298" i="21"/>
  <c r="K298" i="21"/>
  <c r="J298" i="21"/>
  <c r="I298" i="21"/>
  <c r="H298" i="21"/>
  <c r="G298" i="21"/>
  <c r="FX297" i="21"/>
  <c r="FA297" i="21"/>
  <c r="CT297" i="21"/>
  <c r="CG297" i="21"/>
  <c r="CF297" i="21"/>
  <c r="CC297" i="21"/>
  <c r="AN297" i="21"/>
  <c r="AG297" i="21"/>
  <c r="AE297" i="21"/>
  <c r="AB297" i="21"/>
  <c r="W297" i="21"/>
  <c r="BA297" i="21" s="1"/>
  <c r="BB297" i="21" s="1"/>
  <c r="S297" i="21"/>
  <c r="P297" i="21"/>
  <c r="DY297" i="21" s="1"/>
  <c r="O297" i="21"/>
  <c r="U297" i="21" s="1"/>
  <c r="N297" i="21"/>
  <c r="Q297" i="21" s="1"/>
  <c r="K297" i="21"/>
  <c r="AX297" i="21" s="1"/>
  <c r="J297" i="21"/>
  <c r="I297" i="21"/>
  <c r="H297" i="21"/>
  <c r="G297" i="21"/>
  <c r="CT296" i="21"/>
  <c r="CG296" i="21"/>
  <c r="CH296" i="21" s="1"/>
  <c r="CF296" i="21"/>
  <c r="CC296" i="21"/>
  <c r="AS296" i="21"/>
  <c r="AN296" i="21"/>
  <c r="AM296" i="21"/>
  <c r="AK296" i="21"/>
  <c r="AG296" i="21"/>
  <c r="AE296" i="21"/>
  <c r="AB296" i="21"/>
  <c r="X296" i="21"/>
  <c r="EL296" i="21" s="1"/>
  <c r="EK296" i="21" s="1"/>
  <c r="W296" i="21"/>
  <c r="U296" i="21"/>
  <c r="S296" i="21"/>
  <c r="P296" i="21"/>
  <c r="O296" i="21"/>
  <c r="FX296" i="21" s="1"/>
  <c r="N296" i="21"/>
  <c r="K296" i="21"/>
  <c r="BE296" i="21" s="1"/>
  <c r="J296" i="21"/>
  <c r="H296" i="21"/>
  <c r="G296" i="21"/>
  <c r="FZ295" i="21"/>
  <c r="FY295" i="21" s="1"/>
  <c r="FX295" i="21"/>
  <c r="CT295" i="21"/>
  <c r="CH295" i="21"/>
  <c r="CG295" i="21"/>
  <c r="CF295" i="21"/>
  <c r="CD295" i="21"/>
  <c r="CC295" i="21"/>
  <c r="CE295" i="21" s="1"/>
  <c r="AM295" i="21"/>
  <c r="AG295" i="21"/>
  <c r="AE295" i="21"/>
  <c r="AB295" i="21"/>
  <c r="W295" i="21"/>
  <c r="S295" i="21"/>
  <c r="P295" i="21"/>
  <c r="O295" i="21"/>
  <c r="N295" i="21"/>
  <c r="Q295" i="21" s="1"/>
  <c r="K295" i="21"/>
  <c r="J295" i="21"/>
  <c r="AS295" i="21" s="1"/>
  <c r="H295" i="21"/>
  <c r="G295" i="21"/>
  <c r="FX294" i="21"/>
  <c r="FA294" i="21"/>
  <c r="EL294" i="21"/>
  <c r="EA294" i="21"/>
  <c r="DY294" i="21"/>
  <c r="CT294" i="21"/>
  <c r="BA294" i="21"/>
  <c r="AS294" i="21"/>
  <c r="AN294" i="21"/>
  <c r="AM294" i="21"/>
  <c r="AK294" i="21"/>
  <c r="AG294" i="21"/>
  <c r="CC294" i="21" s="1"/>
  <c r="AE294" i="21"/>
  <c r="AB294" i="21"/>
  <c r="W294" i="21"/>
  <c r="X294" i="21" s="1"/>
  <c r="S294" i="21"/>
  <c r="P294" i="21"/>
  <c r="O294" i="21"/>
  <c r="N294" i="21"/>
  <c r="K294" i="21"/>
  <c r="CF294" i="21" s="1"/>
  <c r="CH294" i="21" s="1"/>
  <c r="J294" i="21"/>
  <c r="I294" i="21"/>
  <c r="H294" i="21"/>
  <c r="G294" i="21"/>
  <c r="CG294" i="21" s="1"/>
  <c r="FZ293" i="21"/>
  <c r="FX293" i="21"/>
  <c r="FA293" i="21"/>
  <c r="EA293" i="21"/>
  <c r="CT293" i="21"/>
  <c r="AG293" i="21"/>
  <c r="CC293" i="21" s="1"/>
  <c r="CE293" i="21" s="1"/>
  <c r="AE293" i="21"/>
  <c r="CD293" i="21" s="1"/>
  <c r="AB293" i="21"/>
  <c r="W293" i="21"/>
  <c r="S293" i="21"/>
  <c r="Q293" i="21"/>
  <c r="P293" i="21"/>
  <c r="DY293" i="21" s="1"/>
  <c r="O293" i="21"/>
  <c r="N293" i="21"/>
  <c r="K293" i="21"/>
  <c r="J293" i="21"/>
  <c r="AM293" i="21" s="1"/>
  <c r="H293" i="21"/>
  <c r="EE293" i="21" s="1"/>
  <c r="G293" i="21"/>
  <c r="CG293" i="21" s="1"/>
  <c r="EL292" i="21"/>
  <c r="EK292" i="21" s="1"/>
  <c r="CT292" i="21"/>
  <c r="CG292" i="21"/>
  <c r="BA292" i="21"/>
  <c r="AK292" i="21"/>
  <c r="AG292" i="21"/>
  <c r="CC292" i="21" s="1"/>
  <c r="AE292" i="21"/>
  <c r="AB292" i="21"/>
  <c r="W292" i="21"/>
  <c r="X292" i="21" s="1"/>
  <c r="S292" i="21"/>
  <c r="P292" i="21"/>
  <c r="O292" i="21"/>
  <c r="N292" i="21"/>
  <c r="K292" i="21"/>
  <c r="J292" i="21"/>
  <c r="H292" i="21"/>
  <c r="G292" i="21"/>
  <c r="DL291" i="21"/>
  <c r="CT291" i="21"/>
  <c r="CF291" i="21"/>
  <c r="CH291" i="21" s="1"/>
  <c r="AS291" i="21"/>
  <c r="AM291" i="21"/>
  <c r="AG291" i="21"/>
  <c r="AE291" i="21"/>
  <c r="AB291" i="21"/>
  <c r="W291" i="21"/>
  <c r="U291" i="21"/>
  <c r="S291" i="21"/>
  <c r="P291" i="21"/>
  <c r="DY291" i="21" s="1"/>
  <c r="O291" i="21"/>
  <c r="N291" i="21"/>
  <c r="K291" i="21"/>
  <c r="J291" i="21"/>
  <c r="H291" i="21"/>
  <c r="G291" i="21"/>
  <c r="CG291" i="21" s="1"/>
  <c r="FZ290" i="21"/>
  <c r="FX290" i="21"/>
  <c r="FA290" i="21"/>
  <c r="EA290" i="21"/>
  <c r="DZ290" i="21"/>
  <c r="EB290" i="21" s="1"/>
  <c r="EG290" i="21" s="1"/>
  <c r="CT290" i="21"/>
  <c r="CF290" i="21"/>
  <c r="CD290" i="21"/>
  <c r="CC290" i="21"/>
  <c r="CA290" i="21"/>
  <c r="BZ290" i="21"/>
  <c r="CB290" i="21" s="1"/>
  <c r="BR290" i="21"/>
  <c r="BA290" i="21"/>
  <c r="AS290" i="21"/>
  <c r="AB290" i="21"/>
  <c r="X290" i="21"/>
  <c r="W290" i="21"/>
  <c r="S290" i="21"/>
  <c r="Q290" i="21"/>
  <c r="FY290" i="21" s="1"/>
  <c r="P290" i="21"/>
  <c r="DY290" i="21" s="1"/>
  <c r="EH290" i="21" s="1"/>
  <c r="O290" i="21"/>
  <c r="BE290" i="21" s="1"/>
  <c r="N290" i="21"/>
  <c r="L290" i="21"/>
  <c r="K290" i="21"/>
  <c r="J290" i="21"/>
  <c r="H290" i="21"/>
  <c r="G290" i="21"/>
  <c r="CG290" i="21" s="1"/>
  <c r="CH290" i="21" s="1"/>
  <c r="FX289" i="21"/>
  <c r="FA289" i="21"/>
  <c r="EL289" i="21"/>
  <c r="CT289" i="21"/>
  <c r="CC289" i="21"/>
  <c r="BA289" i="21"/>
  <c r="AK289" i="21"/>
  <c r="AB289" i="21"/>
  <c r="X289" i="21"/>
  <c r="W289" i="21"/>
  <c r="S289" i="21"/>
  <c r="P289" i="21"/>
  <c r="O289" i="21"/>
  <c r="N289" i="21"/>
  <c r="L289" i="21"/>
  <c r="K289" i="21"/>
  <c r="J289" i="21"/>
  <c r="I289" i="21"/>
  <c r="H289" i="21"/>
  <c r="G289" i="21"/>
  <c r="CG289" i="21" s="1"/>
  <c r="EA288" i="21"/>
  <c r="DL288" i="21"/>
  <c r="DI288" i="21"/>
  <c r="CT288" i="21"/>
  <c r="CF288" i="21"/>
  <c r="CD288" i="21"/>
  <c r="CE288" i="21" s="1"/>
  <c r="CC288" i="21"/>
  <c r="AM288" i="21"/>
  <c r="AK288" i="21"/>
  <c r="AB288" i="21"/>
  <c r="W288" i="21"/>
  <c r="U288" i="21"/>
  <c r="S288" i="21"/>
  <c r="P288" i="21"/>
  <c r="DY288" i="21" s="1"/>
  <c r="O288" i="21"/>
  <c r="BE288" i="21" s="1"/>
  <c r="BF288" i="21" s="1"/>
  <c r="N288" i="21"/>
  <c r="EE288" i="21" s="1"/>
  <c r="M288" i="21"/>
  <c r="K288" i="21"/>
  <c r="J288" i="21"/>
  <c r="I288" i="21"/>
  <c r="H288" i="21"/>
  <c r="G288" i="21"/>
  <c r="CG288" i="21" s="1"/>
  <c r="FX287" i="21"/>
  <c r="EL287" i="21"/>
  <c r="EK287" i="21" s="1"/>
  <c r="EA287" i="21"/>
  <c r="CT287" i="21"/>
  <c r="CH287" i="21"/>
  <c r="CG287" i="21"/>
  <c r="CF287" i="21"/>
  <c r="CC287" i="21"/>
  <c r="BA287" i="21"/>
  <c r="AB287" i="21"/>
  <c r="W287" i="21"/>
  <c r="X287" i="21" s="1"/>
  <c r="U287" i="21"/>
  <c r="S287" i="21"/>
  <c r="P287" i="21"/>
  <c r="DY287" i="21" s="1"/>
  <c r="O287" i="21"/>
  <c r="N287" i="21"/>
  <c r="M287" i="21"/>
  <c r="L287" i="21"/>
  <c r="K287" i="21"/>
  <c r="J287" i="21"/>
  <c r="AS287" i="21" s="1"/>
  <c r="I287" i="21"/>
  <c r="DI287" i="21" s="1"/>
  <c r="H287" i="21"/>
  <c r="G287" i="21"/>
  <c r="EL286" i="21"/>
  <c r="EK286" i="21" s="1"/>
  <c r="EE286" i="21"/>
  <c r="DY286" i="21"/>
  <c r="DL286" i="21"/>
  <c r="CT286" i="21"/>
  <c r="CF286" i="21"/>
  <c r="BZ286" i="21"/>
  <c r="BR286" i="21"/>
  <c r="DZ286" i="21" s="1"/>
  <c r="EB286" i="21" s="1"/>
  <c r="BI286" i="21"/>
  <c r="BE286" i="21"/>
  <c r="BA286" i="21"/>
  <c r="BB286" i="21" s="1"/>
  <c r="AK286" i="21"/>
  <c r="AG286" i="21"/>
  <c r="AE286" i="21"/>
  <c r="EA286" i="21" s="1"/>
  <c r="AB286" i="21"/>
  <c r="X286" i="21"/>
  <c r="Y286" i="21" s="1"/>
  <c r="W286" i="21"/>
  <c r="U286" i="21"/>
  <c r="S286" i="21"/>
  <c r="AN286" i="21" s="1"/>
  <c r="Q286" i="21"/>
  <c r="T286" i="21" s="1"/>
  <c r="P286" i="21"/>
  <c r="O286" i="21"/>
  <c r="FX286" i="21" s="1"/>
  <c r="N286" i="21"/>
  <c r="L286" i="21"/>
  <c r="K286" i="21"/>
  <c r="J286" i="21"/>
  <c r="AS286" i="21" s="1"/>
  <c r="H286" i="21"/>
  <c r="I286" i="21" s="1"/>
  <c r="G286" i="21"/>
  <c r="CG286" i="21" s="1"/>
  <c r="CH286" i="21" s="1"/>
  <c r="FY285" i="21"/>
  <c r="FX285" i="21"/>
  <c r="DY285" i="21"/>
  <c r="CT285" i="21"/>
  <c r="CF285" i="21"/>
  <c r="CE285" i="21"/>
  <c r="CD285" i="21"/>
  <c r="CC285" i="21"/>
  <c r="AS285" i="21"/>
  <c r="AN285" i="21"/>
  <c r="AB285" i="21"/>
  <c r="X285" i="21"/>
  <c r="EL285" i="21" s="1"/>
  <c r="EK285" i="21" s="1"/>
  <c r="W285" i="21"/>
  <c r="BA285" i="21" s="1"/>
  <c r="S285" i="21"/>
  <c r="Q285" i="21"/>
  <c r="P285" i="21"/>
  <c r="O285" i="21"/>
  <c r="N285" i="21"/>
  <c r="K285" i="21"/>
  <c r="J285" i="21"/>
  <c r="H285" i="21"/>
  <c r="G285" i="21"/>
  <c r="FZ284" i="21"/>
  <c r="FX284" i="21"/>
  <c r="CT284" i="21"/>
  <c r="CG284" i="21"/>
  <c r="CF284" i="21"/>
  <c r="CH284" i="21" s="1"/>
  <c r="CC284" i="21"/>
  <c r="AX284" i="21"/>
  <c r="AG284" i="21"/>
  <c r="AE284" i="21"/>
  <c r="AB284" i="21"/>
  <c r="X284" i="21"/>
  <c r="EL284" i="21" s="1"/>
  <c r="EK284" i="21" s="1"/>
  <c r="W284" i="21"/>
  <c r="U284" i="21"/>
  <c r="S284" i="21"/>
  <c r="P284" i="21"/>
  <c r="DY284" i="21" s="1"/>
  <c r="O284" i="21"/>
  <c r="N284" i="21"/>
  <c r="EE284" i="21" s="1"/>
  <c r="K284" i="21"/>
  <c r="J284" i="21"/>
  <c r="AS284" i="21" s="1"/>
  <c r="I284" i="21"/>
  <c r="H284" i="21"/>
  <c r="L284" i="21" s="1"/>
  <c r="G284" i="21"/>
  <c r="DL283" i="21"/>
  <c r="CT283" i="21"/>
  <c r="CG283" i="21"/>
  <c r="CF283" i="21"/>
  <c r="CH283" i="21" s="1"/>
  <c r="CD283" i="21"/>
  <c r="CC283" i="21"/>
  <c r="BE283" i="21"/>
  <c r="AM283" i="21"/>
  <c r="AK283" i="21"/>
  <c r="AB283" i="21"/>
  <c r="X283" i="21"/>
  <c r="EL283" i="21" s="1"/>
  <c r="EK283" i="21" s="1"/>
  <c r="W283" i="21"/>
  <c r="BA283" i="21" s="1"/>
  <c r="BB283" i="21" s="1"/>
  <c r="S283" i="21"/>
  <c r="P283" i="21"/>
  <c r="O283" i="21"/>
  <c r="U283" i="21" s="1"/>
  <c r="N283" i="21"/>
  <c r="K283" i="21"/>
  <c r="J283" i="21"/>
  <c r="AS283" i="21" s="1"/>
  <c r="I283" i="21"/>
  <c r="DI283" i="21" s="1"/>
  <c r="H283" i="21"/>
  <c r="AN283" i="21" s="1"/>
  <c r="G283" i="21"/>
  <c r="FZ282" i="21"/>
  <c r="EA282" i="21"/>
  <c r="DI282" i="21"/>
  <c r="CT282" i="21"/>
  <c r="CM282" i="21"/>
  <c r="CF282" i="21"/>
  <c r="CH282" i="21" s="1"/>
  <c r="AX282" i="21"/>
  <c r="AG282" i="21"/>
  <c r="AE282" i="21"/>
  <c r="AB282" i="21"/>
  <c r="X282" i="21"/>
  <c r="EL282" i="21" s="1"/>
  <c r="EK282" i="21" s="1"/>
  <c r="W282" i="21"/>
  <c r="U282" i="21"/>
  <c r="S282" i="21"/>
  <c r="Q282" i="21"/>
  <c r="P282" i="21"/>
  <c r="DY282" i="21" s="1"/>
  <c r="O282" i="21"/>
  <c r="EE282" i="21" s="1"/>
  <c r="N282" i="21"/>
  <c r="M282" i="21"/>
  <c r="L282" i="21"/>
  <c r="K282" i="21"/>
  <c r="J282" i="21"/>
  <c r="AS282" i="21" s="1"/>
  <c r="H282" i="21"/>
  <c r="I282" i="21" s="1"/>
  <c r="G282" i="21"/>
  <c r="CG282" i="21" s="1"/>
  <c r="FZ281" i="21"/>
  <c r="EE281" i="21"/>
  <c r="EA281" i="21"/>
  <c r="CT281" i="21"/>
  <c r="CG281" i="21"/>
  <c r="CF281" i="21"/>
  <c r="CH281" i="21" s="1"/>
  <c r="CE281" i="21"/>
  <c r="CD281" i="21"/>
  <c r="CC281" i="21"/>
  <c r="BA281" i="21"/>
  <c r="AS281" i="21"/>
  <c r="AN281" i="21"/>
  <c r="AK281" i="21"/>
  <c r="AB281" i="21"/>
  <c r="X281" i="21"/>
  <c r="W281" i="21"/>
  <c r="S281" i="21"/>
  <c r="Q281" i="21"/>
  <c r="P281" i="21"/>
  <c r="DY281" i="21" s="1"/>
  <c r="O281" i="21"/>
  <c r="U281" i="21" s="1"/>
  <c r="N281" i="21"/>
  <c r="L281" i="21"/>
  <c r="K281" i="21"/>
  <c r="J281" i="21"/>
  <c r="I281" i="21"/>
  <c r="DI281" i="21" s="1"/>
  <c r="H281" i="21"/>
  <c r="G281" i="21"/>
  <c r="FZ280" i="21"/>
  <c r="EA280" i="21"/>
  <c r="DY280" i="21"/>
  <c r="CT280" i="21"/>
  <c r="CF280" i="21"/>
  <c r="CH280" i="21" s="1"/>
  <c r="CD280" i="21"/>
  <c r="CE280" i="21" s="1"/>
  <c r="CC280" i="21"/>
  <c r="AY280" i="21"/>
  <c r="AK280" i="21"/>
  <c r="AG280" i="21"/>
  <c r="AE280" i="21"/>
  <c r="AB280" i="21"/>
  <c r="X280" i="21"/>
  <c r="Y280" i="21" s="1"/>
  <c r="W280" i="21"/>
  <c r="BA280" i="21" s="1"/>
  <c r="U280" i="21"/>
  <c r="S280" i="21"/>
  <c r="Q280" i="21"/>
  <c r="FY280" i="21" s="1"/>
  <c r="P280" i="21"/>
  <c r="O280" i="21"/>
  <c r="T280" i="21" s="1"/>
  <c r="N280" i="21"/>
  <c r="K280" i="21"/>
  <c r="J280" i="21"/>
  <c r="AS280" i="21" s="1"/>
  <c r="H280" i="21"/>
  <c r="G280" i="21"/>
  <c r="CG280" i="21" s="1"/>
  <c r="CT279" i="21"/>
  <c r="CC279" i="21"/>
  <c r="AB279" i="21"/>
  <c r="X279" i="21"/>
  <c r="EL279" i="21" s="1"/>
  <c r="EK279" i="21" s="1"/>
  <c r="W279" i="21"/>
  <c r="BA279" i="21" s="1"/>
  <c r="S279" i="21"/>
  <c r="P279" i="21"/>
  <c r="O279" i="21"/>
  <c r="N279" i="21"/>
  <c r="K279" i="21"/>
  <c r="J279" i="21"/>
  <c r="H279" i="21"/>
  <c r="G279" i="21"/>
  <c r="CG279" i="21" s="1"/>
  <c r="FZ278" i="21"/>
  <c r="FY278" i="21" s="1"/>
  <c r="EL278" i="21"/>
  <c r="EK278" i="21"/>
  <c r="EE278" i="21"/>
  <c r="DY278" i="21"/>
  <c r="DI278" i="21"/>
  <c r="CT278" i="21"/>
  <c r="CG278" i="21"/>
  <c r="CF278" i="21"/>
  <c r="CC278" i="21"/>
  <c r="CB278" i="21"/>
  <c r="CA278" i="21"/>
  <c r="BZ278" i="21"/>
  <c r="BR278" i="21"/>
  <c r="DZ278" i="21" s="1"/>
  <c r="AS278" i="21"/>
  <c r="AN278" i="21"/>
  <c r="AM278" i="21"/>
  <c r="AL278" i="21"/>
  <c r="AK278" i="21"/>
  <c r="AH278" i="21"/>
  <c r="AG278" i="21"/>
  <c r="AE278" i="21"/>
  <c r="AB278" i="21"/>
  <c r="X278" i="21"/>
  <c r="Y278" i="21" s="1"/>
  <c r="W278" i="21"/>
  <c r="BA278" i="21" s="1"/>
  <c r="S278" i="21"/>
  <c r="Q278" i="21"/>
  <c r="P278" i="21"/>
  <c r="O278" i="21"/>
  <c r="N278" i="21"/>
  <c r="L278" i="21"/>
  <c r="K278" i="21"/>
  <c r="J278" i="21"/>
  <c r="H278" i="21"/>
  <c r="I278" i="21" s="1"/>
  <c r="G278" i="21"/>
  <c r="FZ277" i="21"/>
  <c r="FX277" i="21"/>
  <c r="DZ277" i="21"/>
  <c r="DY277" i="21"/>
  <c r="DL277" i="21"/>
  <c r="CT277" i="21"/>
  <c r="CG277" i="21"/>
  <c r="CF277" i="21"/>
  <c r="CH277" i="21" s="1"/>
  <c r="CB277" i="21"/>
  <c r="BZ277" i="21"/>
  <c r="BR277" i="21"/>
  <c r="AS277" i="21"/>
  <c r="AN277" i="21"/>
  <c r="AM277" i="21"/>
  <c r="AK277" i="21"/>
  <c r="AG277" i="21"/>
  <c r="AE277" i="21"/>
  <c r="AB277" i="21"/>
  <c r="X277" i="21"/>
  <c r="EL277" i="21" s="1"/>
  <c r="EK277" i="21" s="1"/>
  <c r="W277" i="21"/>
  <c r="BA277" i="21" s="1"/>
  <c r="U277" i="21"/>
  <c r="T277" i="21"/>
  <c r="S277" i="21"/>
  <c r="P277" i="21"/>
  <c r="O277" i="21"/>
  <c r="N277" i="21"/>
  <c r="Q277" i="21" s="1"/>
  <c r="CA277" i="21" s="1"/>
  <c r="K277" i="21"/>
  <c r="J277" i="21"/>
  <c r="H277" i="21"/>
  <c r="G277" i="21"/>
  <c r="FX276" i="21"/>
  <c r="DY276" i="21"/>
  <c r="DL276" i="21"/>
  <c r="CT276" i="21"/>
  <c r="CD276" i="21"/>
  <c r="CE276" i="21" s="1"/>
  <c r="CC276" i="21"/>
  <c r="BA276" i="21"/>
  <c r="AG276" i="21"/>
  <c r="AE276" i="21"/>
  <c r="AB276" i="21"/>
  <c r="Y276" i="21"/>
  <c r="X276" i="21"/>
  <c r="EL276" i="21" s="1"/>
  <c r="EK276" i="21" s="1"/>
  <c r="W276" i="21"/>
  <c r="U276" i="21"/>
  <c r="S276" i="21"/>
  <c r="P276" i="21"/>
  <c r="O276" i="21"/>
  <c r="N276" i="21"/>
  <c r="L276" i="21"/>
  <c r="K276" i="21"/>
  <c r="J276" i="21"/>
  <c r="AS276" i="21" s="1"/>
  <c r="H276" i="21"/>
  <c r="AK276" i="21" s="1"/>
  <c r="G276" i="21"/>
  <c r="CG276" i="21" s="1"/>
  <c r="GA275" i="21"/>
  <c r="FX275" i="21"/>
  <c r="DL275" i="21"/>
  <c r="DI275" i="21"/>
  <c r="CT275" i="21"/>
  <c r="CG275" i="21"/>
  <c r="CD275" i="21"/>
  <c r="CC275" i="21"/>
  <c r="BZ275" i="21"/>
  <c r="BE275" i="21"/>
  <c r="BF275" i="21" s="1"/>
  <c r="AX275" i="21"/>
  <c r="AL275" i="21"/>
  <c r="AK275" i="21"/>
  <c r="AB275" i="21"/>
  <c r="W275" i="21"/>
  <c r="BA275" i="21" s="1"/>
  <c r="BB275" i="21" s="1"/>
  <c r="U275" i="21"/>
  <c r="T275" i="21"/>
  <c r="S275" i="21"/>
  <c r="Q275" i="21"/>
  <c r="FY275" i="21" s="1"/>
  <c r="P275" i="21"/>
  <c r="DY275" i="21" s="1"/>
  <c r="O275" i="21"/>
  <c r="N275" i="21"/>
  <c r="EE275" i="21" s="1"/>
  <c r="M275" i="21"/>
  <c r="L275" i="21"/>
  <c r="K275" i="21"/>
  <c r="CF275" i="21" s="1"/>
  <c r="CH275" i="21" s="1"/>
  <c r="J275" i="21"/>
  <c r="I275" i="21"/>
  <c r="H275" i="21"/>
  <c r="G275" i="21"/>
  <c r="FX274" i="21"/>
  <c r="DY274" i="21"/>
  <c r="DL274" i="21"/>
  <c r="CT274" i="21"/>
  <c r="CG274" i="21"/>
  <c r="CH274" i="21" s="1"/>
  <c r="CA274" i="21"/>
  <c r="CB274" i="21" s="1"/>
  <c r="BZ274" i="21"/>
  <c r="BR274" i="21"/>
  <c r="DZ274" i="21" s="1"/>
  <c r="BA274" i="21"/>
  <c r="AN274" i="21"/>
  <c r="AM274" i="21"/>
  <c r="AL274" i="21"/>
  <c r="AK274" i="21"/>
  <c r="AH274" i="21"/>
  <c r="AG274" i="21"/>
  <c r="AE274" i="21"/>
  <c r="AB274" i="21"/>
  <c r="X274" i="21"/>
  <c r="W274" i="21"/>
  <c r="U274" i="21"/>
  <c r="AY274" i="21" s="1"/>
  <c r="T274" i="21"/>
  <c r="S274" i="21"/>
  <c r="Q274" i="21"/>
  <c r="P274" i="21"/>
  <c r="O274" i="21"/>
  <c r="N274" i="21"/>
  <c r="EE274" i="21" s="1"/>
  <c r="L274" i="21"/>
  <c r="K274" i="21"/>
  <c r="CF274" i="21" s="1"/>
  <c r="J274" i="21"/>
  <c r="I274" i="21"/>
  <c r="H274" i="21"/>
  <c r="G274" i="21"/>
  <c r="FX273" i="21"/>
  <c r="EL273" i="21"/>
  <c r="CT273" i="21"/>
  <c r="CH273" i="21"/>
  <c r="CG273" i="21"/>
  <c r="CF273" i="21"/>
  <c r="CD273" i="21"/>
  <c r="CC273" i="21"/>
  <c r="BA273" i="21"/>
  <c r="AG273" i="21"/>
  <c r="AE273" i="21"/>
  <c r="AB273" i="21"/>
  <c r="X273" i="21"/>
  <c r="W273" i="21"/>
  <c r="S273" i="21"/>
  <c r="P273" i="21"/>
  <c r="DY273" i="21" s="1"/>
  <c r="O273" i="21"/>
  <c r="N273" i="21"/>
  <c r="L273" i="21"/>
  <c r="K273" i="21"/>
  <c r="J273" i="21"/>
  <c r="H273" i="21"/>
  <c r="AK273" i="21" s="1"/>
  <c r="G273" i="21"/>
  <c r="EL272" i="21"/>
  <c r="EE272" i="21"/>
  <c r="CT272" i="21"/>
  <c r="CG272" i="21"/>
  <c r="CC272" i="21"/>
  <c r="AS272" i="21"/>
  <c r="AN272" i="21"/>
  <c r="AM272" i="21"/>
  <c r="AB272" i="21"/>
  <c r="X272" i="21"/>
  <c r="W272" i="21"/>
  <c r="BA272" i="21" s="1"/>
  <c r="S272" i="21"/>
  <c r="P272" i="21"/>
  <c r="O272" i="21"/>
  <c r="FX272" i="21" s="1"/>
  <c r="N272" i="21"/>
  <c r="K272" i="21"/>
  <c r="J272" i="21"/>
  <c r="H272" i="21"/>
  <c r="G272" i="21"/>
  <c r="FZ271" i="21"/>
  <c r="FX271" i="21"/>
  <c r="ET271" i="21"/>
  <c r="EA271" i="21"/>
  <c r="CT271" i="21"/>
  <c r="CO271" i="21"/>
  <c r="CC271" i="21"/>
  <c r="BB271" i="21"/>
  <c r="BA271" i="21"/>
  <c r="AS271" i="21"/>
  <c r="AK271" i="21"/>
  <c r="AH271" i="21"/>
  <c r="AG271" i="21"/>
  <c r="AE271" i="21"/>
  <c r="AB271" i="21"/>
  <c r="W271" i="21"/>
  <c r="X271" i="21" s="1"/>
  <c r="EL271" i="21" s="1"/>
  <c r="EK271" i="21" s="1"/>
  <c r="U271" i="21"/>
  <c r="S271" i="21"/>
  <c r="Q271" i="21"/>
  <c r="P271" i="21"/>
  <c r="DY271" i="21" s="1"/>
  <c r="O271" i="21"/>
  <c r="BE271" i="21" s="1"/>
  <c r="N271" i="21"/>
  <c r="EE271" i="21" s="1"/>
  <c r="M271" i="21"/>
  <c r="BF271" i="21" s="1"/>
  <c r="K271" i="21"/>
  <c r="J271" i="21"/>
  <c r="I271" i="21"/>
  <c r="DI271" i="21" s="1"/>
  <c r="H271" i="21"/>
  <c r="G271" i="21"/>
  <c r="CG271" i="21" s="1"/>
  <c r="FX270" i="21"/>
  <c r="DL270" i="21"/>
  <c r="DI270" i="21"/>
  <c r="CT270" i="21"/>
  <c r="CG270" i="21"/>
  <c r="CC270" i="21"/>
  <c r="BE270" i="21"/>
  <c r="BA270" i="21"/>
  <c r="BB270" i="21" s="1"/>
  <c r="AS270" i="21"/>
  <c r="AK270" i="21"/>
  <c r="AG270" i="21"/>
  <c r="AE270" i="21"/>
  <c r="AB270" i="21"/>
  <c r="W270" i="21"/>
  <c r="X270" i="21" s="1"/>
  <c r="Y270" i="21" s="1"/>
  <c r="U270" i="21"/>
  <c r="S270" i="21"/>
  <c r="P270" i="21"/>
  <c r="DY270" i="21" s="1"/>
  <c r="O270" i="21"/>
  <c r="N270" i="21"/>
  <c r="K270" i="21"/>
  <c r="L270" i="21" s="1"/>
  <c r="J270" i="21"/>
  <c r="AM270" i="21" s="1"/>
  <c r="I270" i="21"/>
  <c r="H270" i="21"/>
  <c r="G270" i="21"/>
  <c r="DY269" i="21"/>
  <c r="DL269" i="21"/>
  <c r="DI269" i="21"/>
  <c r="CT269" i="21"/>
  <c r="CG269" i="21"/>
  <c r="CF269" i="21"/>
  <c r="CH269" i="21" s="1"/>
  <c r="AX269" i="21"/>
  <c r="AL269" i="21"/>
  <c r="AK269" i="21"/>
  <c r="AG269" i="21"/>
  <c r="CC269" i="21" s="1"/>
  <c r="AE269" i="21"/>
  <c r="AB269" i="21"/>
  <c r="W269" i="21"/>
  <c r="U269" i="21"/>
  <c r="S269" i="21"/>
  <c r="P269" i="21"/>
  <c r="O269" i="21"/>
  <c r="FX269" i="21" s="1"/>
  <c r="N269" i="21"/>
  <c r="Q269" i="21" s="1"/>
  <c r="T269" i="21" s="1"/>
  <c r="M269" i="21"/>
  <c r="L269" i="21"/>
  <c r="K269" i="21"/>
  <c r="J269" i="21"/>
  <c r="AS269" i="21" s="1"/>
  <c r="I269" i="21"/>
  <c r="H269" i="21"/>
  <c r="G269" i="21"/>
  <c r="FZ268" i="21"/>
  <c r="FY268" i="21"/>
  <c r="FX268" i="21"/>
  <c r="EL268" i="21"/>
  <c r="EK268" i="21" s="1"/>
  <c r="EE268" i="21"/>
  <c r="EA268" i="21"/>
  <c r="DY268" i="21"/>
  <c r="DL268" i="21"/>
  <c r="CT268" i="21"/>
  <c r="CD268" i="21"/>
  <c r="CE268" i="21" s="1"/>
  <c r="CC268" i="21"/>
  <c r="CA268" i="21"/>
  <c r="BZ268" i="21"/>
  <c r="CB268" i="21" s="1"/>
  <c r="BR268" i="21"/>
  <c r="DZ268" i="21" s="1"/>
  <c r="EB268" i="21" s="1"/>
  <c r="BE268" i="21"/>
  <c r="BA268" i="21"/>
  <c r="AS268" i="21"/>
  <c r="AN268" i="21"/>
  <c r="AM268" i="21"/>
  <c r="AL268" i="21"/>
  <c r="AK268" i="21"/>
  <c r="AB268" i="21"/>
  <c r="Y268" i="21"/>
  <c r="X268" i="21"/>
  <c r="W268" i="21"/>
  <c r="U268" i="21"/>
  <c r="AY268" i="21" s="1"/>
  <c r="T268" i="21"/>
  <c r="AZ268" i="21" s="1"/>
  <c r="S268" i="21"/>
  <c r="Q268" i="21"/>
  <c r="P268" i="21"/>
  <c r="O268" i="21"/>
  <c r="N268" i="21"/>
  <c r="L268" i="21"/>
  <c r="K268" i="21"/>
  <c r="J268" i="21"/>
  <c r="I268" i="21"/>
  <c r="H268" i="21"/>
  <c r="G268" i="21"/>
  <c r="FX267" i="21"/>
  <c r="CT267" i="21"/>
  <c r="CG267" i="21"/>
  <c r="BA267" i="21"/>
  <c r="AG267" i="21"/>
  <c r="AE267" i="21"/>
  <c r="AB267" i="21"/>
  <c r="X267" i="21"/>
  <c r="EL267" i="21" s="1"/>
  <c r="EK267" i="21" s="1"/>
  <c r="W267" i="21"/>
  <c r="S267" i="21"/>
  <c r="Q267" i="21"/>
  <c r="P267" i="21"/>
  <c r="O267" i="21"/>
  <c r="N267" i="21"/>
  <c r="K267" i="21"/>
  <c r="J267" i="21"/>
  <c r="I267" i="21"/>
  <c r="H267" i="21"/>
  <c r="G267" i="21"/>
  <c r="EL266" i="21"/>
  <c r="EK266" i="21"/>
  <c r="EE266" i="21"/>
  <c r="EA266" i="21"/>
  <c r="CT266" i="21"/>
  <c r="CG266" i="21"/>
  <c r="CC266" i="21"/>
  <c r="BA266" i="21"/>
  <c r="BB266" i="21" s="1"/>
  <c r="AS266" i="21"/>
  <c r="AB266" i="21"/>
  <c r="X266" i="21"/>
  <c r="W266" i="21"/>
  <c r="S266" i="21"/>
  <c r="P266" i="21"/>
  <c r="O266" i="21"/>
  <c r="FX266" i="21" s="1"/>
  <c r="N266" i="21"/>
  <c r="K266" i="21"/>
  <c r="J266" i="21"/>
  <c r="I266" i="21"/>
  <c r="H266" i="21"/>
  <c r="G266" i="21"/>
  <c r="FZ265" i="21"/>
  <c r="CT265" i="21"/>
  <c r="BE265" i="21"/>
  <c r="AG265" i="21"/>
  <c r="AE265" i="21"/>
  <c r="AB265" i="21"/>
  <c r="X265" i="21"/>
  <c r="EL265" i="21" s="1"/>
  <c r="EK265" i="21" s="1"/>
  <c r="W265" i="21"/>
  <c r="BA265" i="21" s="1"/>
  <c r="S265" i="21"/>
  <c r="P265" i="21"/>
  <c r="DY265" i="21" s="1"/>
  <c r="O265" i="21"/>
  <c r="N265" i="21"/>
  <c r="K265" i="21"/>
  <c r="J265" i="21"/>
  <c r="H265" i="21"/>
  <c r="G265" i="21"/>
  <c r="CG265" i="21" s="1"/>
  <c r="FZ264" i="21"/>
  <c r="EE264" i="21"/>
  <c r="EA264" i="21"/>
  <c r="DL264" i="21"/>
  <c r="CT264" i="21"/>
  <c r="CF264" i="21"/>
  <c r="AX264" i="21"/>
  <c r="AK264" i="21"/>
  <c r="AG264" i="21"/>
  <c r="AE264" i="21"/>
  <c r="CD264" i="21" s="1"/>
  <c r="AB264" i="21"/>
  <c r="CM264" i="21" s="1"/>
  <c r="W264" i="21"/>
  <c r="U264" i="21"/>
  <c r="S264" i="21"/>
  <c r="P264" i="21"/>
  <c r="DY264" i="21" s="1"/>
  <c r="O264" i="21"/>
  <c r="N264" i="21"/>
  <c r="Q264" i="21" s="1"/>
  <c r="M264" i="21"/>
  <c r="K264" i="21"/>
  <c r="J264" i="21"/>
  <c r="I264" i="21"/>
  <c r="DI264" i="21" s="1"/>
  <c r="H264" i="21"/>
  <c r="G264" i="21"/>
  <c r="CG264" i="21" s="1"/>
  <c r="DL263" i="21"/>
  <c r="DI263" i="21"/>
  <c r="CT263" i="21"/>
  <c r="CD263" i="21"/>
  <c r="CE263" i="21" s="1"/>
  <c r="CC263" i="21"/>
  <c r="BA263" i="21"/>
  <c r="BB263" i="21" s="1"/>
  <c r="AX263" i="21"/>
  <c r="AG263" i="21"/>
  <c r="AE263" i="21"/>
  <c r="AB263" i="21"/>
  <c r="X263" i="21"/>
  <c r="W263" i="21"/>
  <c r="S263" i="21"/>
  <c r="P263" i="21"/>
  <c r="DY263" i="21" s="1"/>
  <c r="O263" i="21"/>
  <c r="N263" i="21"/>
  <c r="K263" i="21"/>
  <c r="L263" i="21" s="1"/>
  <c r="J263" i="21"/>
  <c r="AS263" i="21" s="1"/>
  <c r="I263" i="21"/>
  <c r="M263" i="21" s="1"/>
  <c r="H263" i="21"/>
  <c r="AK263" i="21" s="1"/>
  <c r="G263" i="21"/>
  <c r="CG263" i="21" s="1"/>
  <c r="CT262" i="21"/>
  <c r="BE262" i="21"/>
  <c r="AS262" i="21"/>
  <c r="AL262" i="21"/>
  <c r="AK262" i="21"/>
  <c r="AG262" i="21"/>
  <c r="AE262" i="21"/>
  <c r="AB262" i="21"/>
  <c r="W262" i="21"/>
  <c r="BA262" i="21" s="1"/>
  <c r="S262" i="21"/>
  <c r="Q262" i="21"/>
  <c r="CA262" i="21" s="1"/>
  <c r="P262" i="21"/>
  <c r="DY262" i="21" s="1"/>
  <c r="O262" i="21"/>
  <c r="N262" i="21"/>
  <c r="EE262" i="21" s="1"/>
  <c r="L262" i="21"/>
  <c r="K262" i="21"/>
  <c r="J262" i="21"/>
  <c r="H262" i="21"/>
  <c r="G262" i="21"/>
  <c r="CG262" i="21" s="1"/>
  <c r="FZ261" i="21"/>
  <c r="EA261" i="21"/>
  <c r="DL261" i="21"/>
  <c r="CT261" i="21"/>
  <c r="CF261" i="21"/>
  <c r="CH261" i="21" s="1"/>
  <c r="CD261" i="21"/>
  <c r="CE261" i="21" s="1"/>
  <c r="CC261" i="21"/>
  <c r="CB261" i="21"/>
  <c r="CA261" i="21"/>
  <c r="BZ261" i="21"/>
  <c r="AM261" i="21"/>
  <c r="AK261" i="21"/>
  <c r="AB261" i="21"/>
  <c r="W261" i="21"/>
  <c r="S261" i="21"/>
  <c r="AN261" i="21" s="1"/>
  <c r="P261" i="21"/>
  <c r="DY261" i="21" s="1"/>
  <c r="O261" i="21"/>
  <c r="FX261" i="21" s="1"/>
  <c r="N261" i="21"/>
  <c r="Q261" i="21" s="1"/>
  <c r="L261" i="21"/>
  <c r="K261" i="21"/>
  <c r="J261" i="21"/>
  <c r="AS261" i="21" s="1"/>
  <c r="H261" i="21"/>
  <c r="G261" i="21"/>
  <c r="CG261" i="21" s="1"/>
  <c r="FY260" i="21"/>
  <c r="FX260" i="21"/>
  <c r="DZ260" i="21"/>
  <c r="DY260" i="21"/>
  <c r="DL260" i="21"/>
  <c r="CT260" i="21"/>
  <c r="CF260" i="21"/>
  <c r="CD260" i="21"/>
  <c r="CE260" i="21" s="1"/>
  <c r="CC260" i="21"/>
  <c r="CA260" i="21"/>
  <c r="BZ260" i="21"/>
  <c r="CB260" i="21" s="1"/>
  <c r="BR260" i="21"/>
  <c r="AS260" i="21"/>
  <c r="AN260" i="21"/>
  <c r="AM260" i="21"/>
  <c r="AL260" i="21"/>
  <c r="AK260" i="21"/>
  <c r="AB260" i="21"/>
  <c r="X260" i="21"/>
  <c r="EL260" i="21" s="1"/>
  <c r="EK260" i="21" s="1"/>
  <c r="W260" i="21"/>
  <c r="U260" i="21"/>
  <c r="S260" i="21"/>
  <c r="Q260" i="21"/>
  <c r="P260" i="21"/>
  <c r="O260" i="21"/>
  <c r="T260" i="21" s="1"/>
  <c r="N260" i="21"/>
  <c r="EE260" i="21" s="1"/>
  <c r="L260" i="21"/>
  <c r="K260" i="21"/>
  <c r="FZ260" i="21" s="1"/>
  <c r="J260" i="21"/>
  <c r="H260" i="21"/>
  <c r="GA260" i="21" s="1"/>
  <c r="CS260" i="21" s="1"/>
  <c r="G260" i="21"/>
  <c r="CG260" i="21" s="1"/>
  <c r="FX259" i="21"/>
  <c r="DT259" i="21"/>
  <c r="CT259" i="21"/>
  <c r="CD259" i="21"/>
  <c r="BE259" i="21"/>
  <c r="BA259" i="21"/>
  <c r="AS259" i="21"/>
  <c r="AG259" i="21"/>
  <c r="CC259" i="21" s="1"/>
  <c r="CE259" i="21" s="1"/>
  <c r="AE259" i="21"/>
  <c r="AB259" i="21"/>
  <c r="Y259" i="21"/>
  <c r="W259" i="21"/>
  <c r="X259" i="21" s="1"/>
  <c r="EL259" i="21" s="1"/>
  <c r="U259" i="21"/>
  <c r="S259" i="21"/>
  <c r="P259" i="21"/>
  <c r="O259" i="21"/>
  <c r="N259" i="21"/>
  <c r="L259" i="21"/>
  <c r="K259" i="21"/>
  <c r="FZ259" i="21" s="1"/>
  <c r="J259" i="21"/>
  <c r="H259" i="21"/>
  <c r="G259" i="21"/>
  <c r="CG259" i="21" s="1"/>
  <c r="EE258" i="21"/>
  <c r="DY258" i="21"/>
  <c r="DL258" i="21"/>
  <c r="CT258" i="21"/>
  <c r="CG258" i="21"/>
  <c r="CH258" i="21" s="1"/>
  <c r="CF258" i="21"/>
  <c r="AS258" i="21"/>
  <c r="AK258" i="21"/>
  <c r="AG258" i="21"/>
  <c r="AE258" i="21"/>
  <c r="AB258" i="21"/>
  <c r="W258" i="21"/>
  <c r="S258" i="21"/>
  <c r="P258" i="21"/>
  <c r="O258" i="21"/>
  <c r="N258" i="21"/>
  <c r="M258" i="21"/>
  <c r="K258" i="21"/>
  <c r="J258" i="21"/>
  <c r="AM258" i="21" s="1"/>
  <c r="I258" i="21"/>
  <c r="DI258" i="21" s="1"/>
  <c r="H258" i="21"/>
  <c r="G258" i="21"/>
  <c r="EL257" i="21"/>
  <c r="EK257" i="21" s="1"/>
  <c r="CT257" i="21"/>
  <c r="BA257" i="21"/>
  <c r="AS257" i="21"/>
  <c r="AN257" i="21"/>
  <c r="AG257" i="21"/>
  <c r="AE257" i="21"/>
  <c r="AB257" i="21"/>
  <c r="W257" i="21"/>
  <c r="X257" i="21" s="1"/>
  <c r="S257" i="21"/>
  <c r="P257" i="21"/>
  <c r="O257" i="21"/>
  <c r="N257" i="21"/>
  <c r="K257" i="21"/>
  <c r="J257" i="21"/>
  <c r="H257" i="21"/>
  <c r="G257" i="21"/>
  <c r="CG257" i="21" s="1"/>
  <c r="FZ256" i="21"/>
  <c r="FX256" i="21"/>
  <c r="EL256" i="21"/>
  <c r="EK256" i="21" s="1"/>
  <c r="EE256" i="21"/>
  <c r="EA256" i="21"/>
  <c r="DL256" i="21"/>
  <c r="DI256" i="21"/>
  <c r="CT256" i="21"/>
  <c r="CH256" i="21"/>
  <c r="CF256" i="21"/>
  <c r="CD256" i="21"/>
  <c r="CE256" i="21" s="1"/>
  <c r="BE256" i="21"/>
  <c r="BF256" i="21" s="1"/>
  <c r="CO256" i="21" s="1"/>
  <c r="AN256" i="21"/>
  <c r="AG256" i="21"/>
  <c r="CC256" i="21" s="1"/>
  <c r="AE256" i="21"/>
  <c r="AB256" i="21"/>
  <c r="X256" i="21"/>
  <c r="Y256" i="21" s="1"/>
  <c r="W256" i="21"/>
  <c r="BA256" i="21" s="1"/>
  <c r="BB256" i="21" s="1"/>
  <c r="U256" i="21"/>
  <c r="S256" i="21"/>
  <c r="Q256" i="21"/>
  <c r="P256" i="21"/>
  <c r="DY256" i="21" s="1"/>
  <c r="O256" i="21"/>
  <c r="N256" i="21"/>
  <c r="M256" i="21"/>
  <c r="L256" i="21"/>
  <c r="K256" i="21"/>
  <c r="J256" i="21"/>
  <c r="AS256" i="21" s="1"/>
  <c r="I256" i="21"/>
  <c r="H256" i="21"/>
  <c r="AK256" i="21" s="1"/>
  <c r="G256" i="21"/>
  <c r="CG256" i="21" s="1"/>
  <c r="DL255" i="21"/>
  <c r="DI255" i="21"/>
  <c r="CT255" i="21"/>
  <c r="CG255" i="21"/>
  <c r="CC255" i="21"/>
  <c r="BA255" i="21"/>
  <c r="BB255" i="21" s="1"/>
  <c r="AB255" i="21"/>
  <c r="X255" i="21"/>
  <c r="EL255" i="21" s="1"/>
  <c r="EK255" i="21" s="1"/>
  <c r="W255" i="21"/>
  <c r="U255" i="21"/>
  <c r="S255" i="21"/>
  <c r="P255" i="21"/>
  <c r="O255" i="21"/>
  <c r="N255" i="21"/>
  <c r="L255" i="21"/>
  <c r="K255" i="21"/>
  <c r="J255" i="21"/>
  <c r="I255" i="21"/>
  <c r="M255" i="21" s="1"/>
  <c r="H255" i="21"/>
  <c r="G255" i="21"/>
  <c r="FX254" i="21"/>
  <c r="EL254" i="21"/>
  <c r="EK254" i="21" s="1"/>
  <c r="ET254" i="21" s="1"/>
  <c r="DY254" i="21"/>
  <c r="DT254" i="21"/>
  <c r="DI254" i="21"/>
  <c r="CT254" i="21"/>
  <c r="CG254" i="21"/>
  <c r="CF254" i="21"/>
  <c r="CH254" i="21" s="1"/>
  <c r="CC254" i="21"/>
  <c r="BA254" i="21"/>
  <c r="BB254" i="21" s="1"/>
  <c r="AS254" i="21"/>
  <c r="AN254" i="21"/>
  <c r="AM254" i="21"/>
  <c r="AK254" i="21"/>
  <c r="AB254" i="21"/>
  <c r="Y254" i="21"/>
  <c r="BI254" i="21" s="1"/>
  <c r="X254" i="21"/>
  <c r="W254" i="21"/>
  <c r="S254" i="21"/>
  <c r="P254" i="21"/>
  <c r="O254" i="21"/>
  <c r="N254" i="21"/>
  <c r="L254" i="21"/>
  <c r="K254" i="21"/>
  <c r="J254" i="21"/>
  <c r="I254" i="21"/>
  <c r="H254" i="21"/>
  <c r="G254" i="21"/>
  <c r="FZ253" i="21"/>
  <c r="FY253" i="21"/>
  <c r="FX253" i="21"/>
  <c r="DL253" i="21"/>
  <c r="DI253" i="21"/>
  <c r="CT253" i="21"/>
  <c r="CF253" i="21"/>
  <c r="CD253" i="21"/>
  <c r="CC253" i="21"/>
  <c r="AM253" i="21"/>
  <c r="AG253" i="21"/>
  <c r="AE253" i="21"/>
  <c r="EA253" i="21" s="1"/>
  <c r="AB253" i="21"/>
  <c r="W253" i="21"/>
  <c r="T253" i="21"/>
  <c r="S253" i="21"/>
  <c r="Q253" i="21"/>
  <c r="P253" i="21"/>
  <c r="DY253" i="21" s="1"/>
  <c r="O253" i="21"/>
  <c r="N253" i="21"/>
  <c r="EE253" i="21" s="1"/>
  <c r="K253" i="21"/>
  <c r="J253" i="21"/>
  <c r="AS253" i="21" s="1"/>
  <c r="I253" i="21"/>
  <c r="M253" i="21" s="1"/>
  <c r="H253" i="21"/>
  <c r="G253" i="21"/>
  <c r="CG253" i="21" s="1"/>
  <c r="FX252" i="21"/>
  <c r="DL252" i="21"/>
  <c r="DI252" i="21"/>
  <c r="CT252" i="21"/>
  <c r="CC252" i="21"/>
  <c r="BA252" i="21"/>
  <c r="AX252" i="21"/>
  <c r="CM252" i="21" s="1"/>
  <c r="AS252" i="21"/>
  <c r="AG252" i="21"/>
  <c r="AE252" i="21"/>
  <c r="AB252" i="21"/>
  <c r="W252" i="21"/>
  <c r="X252" i="21" s="1"/>
  <c r="EL252" i="21" s="1"/>
  <c r="EK252" i="21" s="1"/>
  <c r="U252" i="21"/>
  <c r="T252" i="21"/>
  <c r="S252" i="21"/>
  <c r="Q252" i="21"/>
  <c r="P252" i="21"/>
  <c r="O252" i="21"/>
  <c r="N252" i="21"/>
  <c r="L252" i="21"/>
  <c r="K252" i="21"/>
  <c r="J252" i="21"/>
  <c r="I252" i="21"/>
  <c r="M252" i="21" s="1"/>
  <c r="H252" i="21"/>
  <c r="AK252" i="21" s="1"/>
  <c r="G252" i="21"/>
  <c r="CG252" i="21" s="1"/>
  <c r="EA251" i="21"/>
  <c r="DI251" i="21"/>
  <c r="CT251" i="21"/>
  <c r="AX251" i="21"/>
  <c r="CM251" i="21" s="1"/>
  <c r="AS251" i="21"/>
  <c r="AL251" i="21"/>
  <c r="AK251" i="21"/>
  <c r="AG251" i="21"/>
  <c r="AE251" i="21"/>
  <c r="AB251" i="21"/>
  <c r="W251" i="21"/>
  <c r="BA251" i="21" s="1"/>
  <c r="S251" i="21"/>
  <c r="P251" i="21"/>
  <c r="O251" i="21"/>
  <c r="N251" i="21"/>
  <c r="Q251" i="21" s="1"/>
  <c r="K251" i="21"/>
  <c r="J251" i="21"/>
  <c r="I251" i="21"/>
  <c r="H251" i="21"/>
  <c r="G251" i="21"/>
  <c r="CG251" i="21" s="1"/>
  <c r="FZ250" i="21"/>
  <c r="FY250" i="21" s="1"/>
  <c r="EL250" i="21"/>
  <c r="EK250" i="21"/>
  <c r="DL250" i="21"/>
  <c r="CT250" i="21"/>
  <c r="CF250" i="21"/>
  <c r="CH250" i="21" s="1"/>
  <c r="CD250" i="21"/>
  <c r="CC250" i="21"/>
  <c r="CE250" i="21" s="1"/>
  <c r="BA250" i="21"/>
  <c r="AM250" i="21"/>
  <c r="AK250" i="21"/>
  <c r="AG250" i="21"/>
  <c r="AE250" i="21"/>
  <c r="EA250" i="21" s="1"/>
  <c r="AB250" i="21"/>
  <c r="W250" i="21"/>
  <c r="X250" i="21" s="1"/>
  <c r="Y250" i="21" s="1"/>
  <c r="U250" i="21"/>
  <c r="S250" i="21"/>
  <c r="Q250" i="21"/>
  <c r="P250" i="21"/>
  <c r="DY250" i="21" s="1"/>
  <c r="O250" i="21"/>
  <c r="N250" i="21"/>
  <c r="EE250" i="21" s="1"/>
  <c r="K250" i="21"/>
  <c r="J250" i="21"/>
  <c r="AS250" i="21" s="1"/>
  <c r="H250" i="21"/>
  <c r="G250" i="21"/>
  <c r="CG250" i="21" s="1"/>
  <c r="FX249" i="21"/>
  <c r="DI249" i="21"/>
  <c r="CT249" i="21"/>
  <c r="CC249" i="21"/>
  <c r="AB249" i="21"/>
  <c r="W249" i="21"/>
  <c r="S249" i="21"/>
  <c r="P249" i="21"/>
  <c r="O249" i="21"/>
  <c r="N249" i="21"/>
  <c r="K249" i="21"/>
  <c r="J249" i="21"/>
  <c r="I249" i="21"/>
  <c r="H249" i="21"/>
  <c r="G249" i="21"/>
  <c r="CG249" i="21" s="1"/>
  <c r="EE248" i="21"/>
  <c r="CT248" i="21"/>
  <c r="CC248" i="21"/>
  <c r="BA248" i="21"/>
  <c r="AS248" i="21"/>
  <c r="AB248" i="21"/>
  <c r="Y248" i="21"/>
  <c r="W248" i="21"/>
  <c r="X248" i="21" s="1"/>
  <c r="EL248" i="21" s="1"/>
  <c r="EK248" i="21" s="1"/>
  <c r="T248" i="21"/>
  <c r="S248" i="21"/>
  <c r="P248" i="21"/>
  <c r="DY248" i="21" s="1"/>
  <c r="O248" i="21"/>
  <c r="N248" i="21"/>
  <c r="Q248" i="21" s="1"/>
  <c r="K248" i="21"/>
  <c r="J248" i="21"/>
  <c r="H248" i="21"/>
  <c r="G248" i="21"/>
  <c r="CG248" i="21" s="1"/>
  <c r="FZ247" i="21"/>
  <c r="DL247" i="21"/>
  <c r="DH247" i="21"/>
  <c r="CG247" i="21"/>
  <c r="CF247" i="21"/>
  <c r="CH247" i="21" s="1"/>
  <c r="CD247" i="21"/>
  <c r="CE247" i="21" s="1"/>
  <c r="CA247" i="21"/>
  <c r="BA247" i="21"/>
  <c r="BB247" i="21" s="1"/>
  <c r="AS247" i="21"/>
  <c r="AM247" i="21"/>
  <c r="AK247" i="21"/>
  <c r="AI247" i="21"/>
  <c r="EA247" i="21" s="1"/>
  <c r="AB247" i="21"/>
  <c r="W247" i="21"/>
  <c r="V247" i="21"/>
  <c r="Q247" i="21"/>
  <c r="P247" i="21"/>
  <c r="DY247" i="21" s="1"/>
  <c r="O247" i="21"/>
  <c r="M247" i="21"/>
  <c r="L247" i="21"/>
  <c r="I247" i="21"/>
  <c r="FZ246" i="21"/>
  <c r="DL246" i="21"/>
  <c r="DH246" i="21"/>
  <c r="CH246" i="21"/>
  <c r="CG246" i="21"/>
  <c r="CF246" i="21"/>
  <c r="CD246" i="21"/>
  <c r="CE246" i="21" s="1"/>
  <c r="BA246" i="21"/>
  <c r="BB246" i="21" s="1"/>
  <c r="AX246" i="21"/>
  <c r="AS246" i="21"/>
  <c r="AM246" i="21"/>
  <c r="AK246" i="21"/>
  <c r="AI246" i="21"/>
  <c r="EA246" i="21" s="1"/>
  <c r="AB246" i="21"/>
  <c r="X246" i="21"/>
  <c r="Y246" i="21" s="1"/>
  <c r="BI246" i="21" s="1"/>
  <c r="W246" i="21"/>
  <c r="V246" i="21"/>
  <c r="Q246" i="21"/>
  <c r="CA246" i="21" s="1"/>
  <c r="P246" i="21"/>
  <c r="DY246" i="21" s="1"/>
  <c r="O246" i="21"/>
  <c r="BE246" i="21" s="1"/>
  <c r="M246" i="21"/>
  <c r="BF246" i="21" s="1"/>
  <c r="CO246" i="21" s="1"/>
  <c r="L246" i="21"/>
  <c r="I246" i="21"/>
  <c r="DI246" i="21" s="1"/>
  <c r="FZ245" i="21"/>
  <c r="EE245" i="21"/>
  <c r="EA245" i="21"/>
  <c r="DL245" i="21"/>
  <c r="DH245" i="21"/>
  <c r="CG245" i="21"/>
  <c r="CF245" i="21"/>
  <c r="CH245" i="21" s="1"/>
  <c r="CD245" i="21"/>
  <c r="CE245" i="21" s="1"/>
  <c r="BF245" i="21"/>
  <c r="CO245" i="21" s="1"/>
  <c r="BE245" i="21"/>
  <c r="BB245" i="21"/>
  <c r="AS245" i="21"/>
  <c r="AM245" i="21"/>
  <c r="AK245" i="21"/>
  <c r="AI245" i="21"/>
  <c r="AB245" i="21"/>
  <c r="X245" i="21"/>
  <c r="Y245" i="21" s="1"/>
  <c r="W245" i="21"/>
  <c r="BA245" i="21" s="1"/>
  <c r="V245" i="21"/>
  <c r="U245" i="21"/>
  <c r="Q245" i="21"/>
  <c r="CA245" i="21" s="1"/>
  <c r="O245" i="21"/>
  <c r="M245" i="21"/>
  <c r="L245" i="21"/>
  <c r="I245" i="21"/>
  <c r="FZ244" i="21"/>
  <c r="FX244" i="21"/>
  <c r="EL244" i="21"/>
  <c r="EK244" i="21" s="1"/>
  <c r="EE244" i="21"/>
  <c r="EA244" i="21"/>
  <c r="DY244" i="21"/>
  <c r="DT244" i="21"/>
  <c r="DL244" i="21"/>
  <c r="DH244" i="21"/>
  <c r="CH244" i="21"/>
  <c r="CG244" i="21"/>
  <c r="CF244" i="21"/>
  <c r="CD244" i="21"/>
  <c r="CE244" i="21" s="1"/>
  <c r="BA244" i="21"/>
  <c r="BB244" i="21" s="1"/>
  <c r="AX244" i="21"/>
  <c r="AS244" i="21"/>
  <c r="AM244" i="21"/>
  <c r="AK244" i="21"/>
  <c r="AI244" i="21"/>
  <c r="AB244" i="21"/>
  <c r="W244" i="21"/>
  <c r="X244" i="21" s="1"/>
  <c r="Y244" i="21" s="1"/>
  <c r="V244" i="21"/>
  <c r="Q244" i="21"/>
  <c r="P244" i="21"/>
  <c r="O244" i="21"/>
  <c r="M244" i="21"/>
  <c r="L244" i="21"/>
  <c r="I244" i="21"/>
  <c r="DI244" i="21" s="1"/>
  <c r="FZ243" i="21"/>
  <c r="FX243" i="21"/>
  <c r="EE243" i="21"/>
  <c r="EA243" i="21"/>
  <c r="DY243" i="21"/>
  <c r="DL243" i="21"/>
  <c r="DH243" i="21"/>
  <c r="CG243" i="21"/>
  <c r="CF243" i="21"/>
  <c r="CH243" i="21" s="1"/>
  <c r="CD243" i="21"/>
  <c r="CE243" i="21" s="1"/>
  <c r="BE243" i="21"/>
  <c r="BA243" i="21"/>
  <c r="BB243" i="21" s="1"/>
  <c r="AS243" i="21"/>
  <c r="AN243" i="21"/>
  <c r="AM243" i="21"/>
  <c r="AK243" i="21"/>
  <c r="AB243" i="21"/>
  <c r="Z243" i="21"/>
  <c r="W243" i="21"/>
  <c r="X243" i="21" s="1"/>
  <c r="Y243" i="21" s="1"/>
  <c r="V243" i="21"/>
  <c r="U243" i="21"/>
  <c r="S243" i="21"/>
  <c r="Q243" i="21"/>
  <c r="M243" i="21"/>
  <c r="BF243" i="21" s="1"/>
  <c r="CO243" i="21" s="1"/>
  <c r="L243" i="21"/>
  <c r="H243" i="21"/>
  <c r="I243" i="21" s="1"/>
  <c r="FZ242" i="21"/>
  <c r="FX242" i="21"/>
  <c r="EE242" i="21"/>
  <c r="EA242" i="21"/>
  <c r="DY242" i="21"/>
  <c r="DL242" i="21"/>
  <c r="DH242" i="21"/>
  <c r="CG242" i="21"/>
  <c r="CF242" i="21"/>
  <c r="CH242" i="21" s="1"/>
  <c r="CD242" i="21"/>
  <c r="CE242" i="21" s="1"/>
  <c r="CA242" i="21"/>
  <c r="BE242" i="21"/>
  <c r="AS242" i="21"/>
  <c r="AM242" i="21"/>
  <c r="AK242" i="21"/>
  <c r="AD242" i="21"/>
  <c r="Z242" i="21"/>
  <c r="W242" i="21"/>
  <c r="V242" i="21"/>
  <c r="U242" i="21"/>
  <c r="S242" i="21"/>
  <c r="AN242" i="21" s="1"/>
  <c r="Q242" i="21"/>
  <c r="M242" i="21"/>
  <c r="BF242" i="21" s="1"/>
  <c r="L242" i="21"/>
  <c r="I242" i="21"/>
  <c r="DI242" i="21" s="1"/>
  <c r="H242" i="21"/>
  <c r="FZ241" i="21"/>
  <c r="FX241" i="21"/>
  <c r="EL241" i="21"/>
  <c r="EK241" i="21" s="1"/>
  <c r="EE241" i="21"/>
  <c r="EA241" i="21"/>
  <c r="DY241" i="21"/>
  <c r="DL241" i="21"/>
  <c r="DH241" i="21"/>
  <c r="CG241" i="21"/>
  <c r="CF241" i="21"/>
  <c r="CE241" i="21"/>
  <c r="CD241" i="21"/>
  <c r="BE241" i="21"/>
  <c r="BB241" i="21"/>
  <c r="BA241" i="21"/>
  <c r="AX241" i="21"/>
  <c r="CM241" i="21" s="1"/>
  <c r="AS241" i="21"/>
  <c r="AM241" i="21"/>
  <c r="AK241" i="21"/>
  <c r="AB241" i="21"/>
  <c r="Z241" i="21"/>
  <c r="W241" i="21"/>
  <c r="X241" i="21" s="1"/>
  <c r="Y241" i="21" s="1"/>
  <c r="V241" i="21"/>
  <c r="U241" i="21"/>
  <c r="S241" i="21"/>
  <c r="AN241" i="21" s="1"/>
  <c r="Q241" i="21"/>
  <c r="L241" i="21"/>
  <c r="I241" i="21"/>
  <c r="DI241" i="21" s="1"/>
  <c r="H241" i="21"/>
  <c r="FZ240" i="21"/>
  <c r="FY240" i="21"/>
  <c r="FX240" i="21"/>
  <c r="EL240" i="21"/>
  <c r="EK240" i="21" s="1"/>
  <c r="EA240" i="21"/>
  <c r="DY240" i="21"/>
  <c r="DT240" i="21"/>
  <c r="DH240" i="21"/>
  <c r="CG240" i="21"/>
  <c r="CF240" i="21"/>
  <c r="CH240" i="21" s="1"/>
  <c r="CD240" i="21"/>
  <c r="CE240" i="21" s="1"/>
  <c r="BE240" i="21"/>
  <c r="BA240" i="21"/>
  <c r="AS240" i="21"/>
  <c r="AB240" i="21"/>
  <c r="Z240" i="21"/>
  <c r="BI240" i="21" s="1"/>
  <c r="Y240" i="21"/>
  <c r="W240" i="21"/>
  <c r="X240" i="21" s="1"/>
  <c r="V240" i="21"/>
  <c r="AZ240" i="21" s="1"/>
  <c r="U240" i="21"/>
  <c r="AY240" i="21" s="1"/>
  <c r="T240" i="21"/>
  <c r="S240" i="21"/>
  <c r="Q240" i="21"/>
  <c r="H240" i="21"/>
  <c r="DL240" i="21" s="1"/>
  <c r="FZ239" i="21"/>
  <c r="FX239" i="21"/>
  <c r="EL239" i="21"/>
  <c r="EK239" i="21" s="1"/>
  <c r="EA239" i="21"/>
  <c r="DY239" i="21"/>
  <c r="DH239" i="21"/>
  <c r="CG239" i="21"/>
  <c r="CF239" i="21"/>
  <c r="CH239" i="21" s="1"/>
  <c r="CD239" i="21"/>
  <c r="CE239" i="21" s="1"/>
  <c r="BE239" i="21"/>
  <c r="BA239" i="21"/>
  <c r="BB239" i="21" s="1"/>
  <c r="AS239" i="21"/>
  <c r="AB239" i="21"/>
  <c r="Z239" i="21"/>
  <c r="BI239" i="21" s="1"/>
  <c r="Y239" i="21"/>
  <c r="X239" i="21"/>
  <c r="W239" i="21"/>
  <c r="V239" i="21"/>
  <c r="U239" i="21"/>
  <c r="S239" i="21"/>
  <c r="Q239" i="21"/>
  <c r="L239" i="21"/>
  <c r="I239" i="21"/>
  <c r="H239" i="21"/>
  <c r="GA238" i="21"/>
  <c r="CS238" i="21" s="1"/>
  <c r="FI238" i="21" s="1"/>
  <c r="FZ238" i="21"/>
  <c r="FY238" i="21"/>
  <c r="FX238" i="21"/>
  <c r="EE238" i="21"/>
  <c r="EA238" i="21"/>
  <c r="DY238" i="21"/>
  <c r="DL238" i="21"/>
  <c r="DH238" i="21"/>
  <c r="CX238" i="21"/>
  <c r="CG238" i="21"/>
  <c r="CF238" i="21"/>
  <c r="CH238" i="21" s="1"/>
  <c r="CE238" i="21"/>
  <c r="CD238" i="21"/>
  <c r="BE238" i="21"/>
  <c r="BB238" i="21"/>
  <c r="BA238" i="21"/>
  <c r="AS238" i="21"/>
  <c r="AB238" i="21"/>
  <c r="Z238" i="21"/>
  <c r="X238" i="21"/>
  <c r="W238" i="21"/>
  <c r="V238" i="21"/>
  <c r="U238" i="21"/>
  <c r="S238" i="21"/>
  <c r="Q238" i="21"/>
  <c r="L238" i="21"/>
  <c r="I238" i="21"/>
  <c r="DI238" i="21" s="1"/>
  <c r="H238" i="21"/>
  <c r="FZ237" i="21"/>
  <c r="FY237" i="21"/>
  <c r="FX237" i="21"/>
  <c r="EL237" i="21"/>
  <c r="EK237" i="21"/>
  <c r="EA237" i="21"/>
  <c r="DY237" i="21"/>
  <c r="DH237" i="21"/>
  <c r="CH237" i="21"/>
  <c r="CG237" i="21"/>
  <c r="CF237" i="21"/>
  <c r="CD237" i="21"/>
  <c r="CE237" i="21" s="1"/>
  <c r="BE237" i="21"/>
  <c r="BA237" i="21"/>
  <c r="AS237" i="21"/>
  <c r="AB237" i="21"/>
  <c r="Z237" i="21"/>
  <c r="BI237" i="21" s="1"/>
  <c r="X237" i="21"/>
  <c r="Y237" i="21" s="1"/>
  <c r="W237" i="21"/>
  <c r="V237" i="21"/>
  <c r="U237" i="21"/>
  <c r="S237" i="21"/>
  <c r="Q237" i="21"/>
  <c r="H237" i="21"/>
  <c r="FZ236" i="21"/>
  <c r="FY236" i="21"/>
  <c r="GA236" i="21" s="1"/>
  <c r="CS236" i="21" s="1"/>
  <c r="FX236" i="21"/>
  <c r="EA236" i="21"/>
  <c r="DY236" i="21"/>
  <c r="DH236" i="21"/>
  <c r="CG236" i="21"/>
  <c r="CF236" i="21"/>
  <c r="CH236" i="21" s="1"/>
  <c r="CD236" i="21"/>
  <c r="CE236" i="21" s="1"/>
  <c r="BR236" i="21"/>
  <c r="DZ236" i="21" s="1"/>
  <c r="BE236" i="21"/>
  <c r="AS236" i="21"/>
  <c r="AN236" i="21"/>
  <c r="AM236" i="21"/>
  <c r="AL236" i="21"/>
  <c r="AK236" i="21"/>
  <c r="AJ236" i="21" s="1"/>
  <c r="AI236" i="21"/>
  <c r="AB236" i="21"/>
  <c r="Z236" i="21"/>
  <c r="W236" i="21"/>
  <c r="V236" i="21"/>
  <c r="U236" i="21"/>
  <c r="S236" i="21"/>
  <c r="Q236" i="21"/>
  <c r="H236" i="21"/>
  <c r="EE236" i="21" s="1"/>
  <c r="FZ235" i="21"/>
  <c r="FY235" i="21"/>
  <c r="FX235" i="21"/>
  <c r="EE235" i="21"/>
  <c r="EB235" i="21"/>
  <c r="EG235" i="21" s="1"/>
  <c r="EA235" i="21"/>
  <c r="DZ235" i="21"/>
  <c r="DY235" i="21"/>
  <c r="DL235" i="21"/>
  <c r="DH235" i="21"/>
  <c r="CG235" i="21"/>
  <c r="CF235" i="21"/>
  <c r="CH235" i="21" s="1"/>
  <c r="CD235" i="21"/>
  <c r="CE235" i="21" s="1"/>
  <c r="CB235" i="21"/>
  <c r="BZ235" i="21"/>
  <c r="BR235" i="21"/>
  <c r="BE235" i="21"/>
  <c r="AS235" i="21"/>
  <c r="AN235" i="21"/>
  <c r="AM235" i="21"/>
  <c r="AL235" i="21"/>
  <c r="AK235" i="21"/>
  <c r="AJ235" i="21" s="1"/>
  <c r="AB235" i="21"/>
  <c r="Z235" i="21"/>
  <c r="X235" i="21"/>
  <c r="W235" i="21"/>
  <c r="BA235" i="21" s="1"/>
  <c r="V235" i="21"/>
  <c r="U235" i="21"/>
  <c r="AY235" i="21" s="1"/>
  <c r="T235" i="21"/>
  <c r="S235" i="21"/>
  <c r="Q235" i="21"/>
  <c r="CA235" i="21" s="1"/>
  <c r="H235" i="21"/>
  <c r="L235" i="21" s="1"/>
  <c r="FZ234" i="21"/>
  <c r="FY234" i="21"/>
  <c r="FX234" i="21"/>
  <c r="EE234" i="21"/>
  <c r="EA234" i="21"/>
  <c r="DY234" i="21"/>
  <c r="DH234" i="21"/>
  <c r="CG234" i="21"/>
  <c r="CF234" i="21"/>
  <c r="CH234" i="21" s="1"/>
  <c r="CD234" i="21"/>
  <c r="CE234" i="21" s="1"/>
  <c r="BE234" i="21"/>
  <c r="BA234" i="21"/>
  <c r="AS234" i="21"/>
  <c r="AN234" i="21"/>
  <c r="AM234" i="21"/>
  <c r="AL234" i="21"/>
  <c r="AB234" i="21"/>
  <c r="Z234" i="21"/>
  <c r="BI234" i="21" s="1"/>
  <c r="Y234" i="21"/>
  <c r="X234" i="21"/>
  <c r="EL234" i="21" s="1"/>
  <c r="EK234" i="21" s="1"/>
  <c r="W234" i="21"/>
  <c r="V234" i="21"/>
  <c r="U234" i="21"/>
  <c r="S234" i="21"/>
  <c r="Q234" i="21"/>
  <c r="L234" i="21"/>
  <c r="H234" i="21"/>
  <c r="FZ233" i="21"/>
  <c r="FX233" i="21"/>
  <c r="EL233" i="21"/>
  <c r="EK233" i="21" s="1"/>
  <c r="EE233" i="21"/>
  <c r="EA233" i="21"/>
  <c r="DY233" i="21"/>
  <c r="DH233" i="21"/>
  <c r="CG233" i="21"/>
  <c r="CH233" i="21" s="1"/>
  <c r="CF233" i="21"/>
  <c r="CE233" i="21"/>
  <c r="CD233" i="21"/>
  <c r="BE233" i="21"/>
  <c r="BA233" i="21"/>
  <c r="AS233" i="21"/>
  <c r="AB233" i="21"/>
  <c r="Z233" i="21"/>
  <c r="BI233" i="21" s="1"/>
  <c r="X233" i="21"/>
  <c r="Y233" i="21" s="1"/>
  <c r="W233" i="21"/>
  <c r="V233" i="21"/>
  <c r="U233" i="21"/>
  <c r="S233" i="21"/>
  <c r="Q233" i="21"/>
  <c r="H233" i="21"/>
  <c r="FZ232" i="21"/>
  <c r="FX232" i="21"/>
  <c r="EE232" i="21"/>
  <c r="EA232" i="21"/>
  <c r="DY232" i="21"/>
  <c r="DH232" i="21"/>
  <c r="CG232" i="21"/>
  <c r="CH232" i="21" s="1"/>
  <c r="CF232" i="21"/>
  <c r="CE232" i="21"/>
  <c r="CD232" i="21"/>
  <c r="BE232" i="21"/>
  <c r="AS232" i="21"/>
  <c r="AB232" i="21"/>
  <c r="Z232" i="21"/>
  <c r="W232" i="21"/>
  <c r="V232" i="21"/>
  <c r="U232" i="21"/>
  <c r="S232" i="21"/>
  <c r="Q232" i="21"/>
  <c r="H232" i="21"/>
  <c r="AN232" i="21" s="1"/>
  <c r="FZ231" i="21"/>
  <c r="FX231" i="21"/>
  <c r="EL231" i="21"/>
  <c r="EK231" i="21" s="1"/>
  <c r="EE231" i="21"/>
  <c r="EA231" i="21"/>
  <c r="DY231" i="21"/>
  <c r="DH231" i="21"/>
  <c r="CG231" i="21"/>
  <c r="CF231" i="21"/>
  <c r="CH231" i="21" s="1"/>
  <c r="CD231" i="21"/>
  <c r="CE231" i="21" s="1"/>
  <c r="BI231" i="21"/>
  <c r="BE231" i="21"/>
  <c r="BA231" i="21"/>
  <c r="AS231" i="21"/>
  <c r="AB231" i="21"/>
  <c r="Z231" i="21"/>
  <c r="Y231" i="21"/>
  <c r="DT231" i="21" s="1"/>
  <c r="X231" i="21"/>
  <c r="W231" i="21"/>
  <c r="V231" i="21"/>
  <c r="U231" i="21"/>
  <c r="S231" i="21"/>
  <c r="Q231" i="21"/>
  <c r="L231" i="21"/>
  <c r="H231" i="21"/>
  <c r="FZ230" i="21"/>
  <c r="FY230" i="21"/>
  <c r="FX230" i="21"/>
  <c r="EA230" i="21"/>
  <c r="DZ230" i="21"/>
  <c r="EB230" i="21" s="1"/>
  <c r="DY230" i="21"/>
  <c r="DL230" i="21"/>
  <c r="DH230" i="21"/>
  <c r="CH230" i="21"/>
  <c r="CG230" i="21"/>
  <c r="CF230" i="21"/>
  <c r="CD230" i="21"/>
  <c r="CE230" i="21" s="1"/>
  <c r="CA230" i="21"/>
  <c r="BZ230" i="21"/>
  <c r="CB230" i="21" s="1"/>
  <c r="CI230" i="21" s="1"/>
  <c r="BR230" i="21"/>
  <c r="BE230" i="21"/>
  <c r="BA230" i="21"/>
  <c r="AS230" i="21"/>
  <c r="AD230" i="21"/>
  <c r="Z230" i="21"/>
  <c r="BI230" i="21" s="1"/>
  <c r="X230" i="21"/>
  <c r="Y230" i="21" s="1"/>
  <c r="DT230" i="21" s="1"/>
  <c r="W230" i="21"/>
  <c r="V230" i="21"/>
  <c r="U230" i="21"/>
  <c r="T230" i="21"/>
  <c r="S230" i="21"/>
  <c r="Q230" i="21"/>
  <c r="H230" i="21"/>
  <c r="FZ229" i="21"/>
  <c r="FY229" i="21"/>
  <c r="FX229" i="21"/>
  <c r="EE229" i="21"/>
  <c r="EA229" i="21"/>
  <c r="DY229" i="21"/>
  <c r="DH229" i="21"/>
  <c r="CH229" i="21"/>
  <c r="CG229" i="21"/>
  <c r="CF229" i="21"/>
  <c r="CE229" i="21"/>
  <c r="CD229" i="21"/>
  <c r="BE229" i="21"/>
  <c r="AS229" i="21"/>
  <c r="AD229" i="21"/>
  <c r="Z229" i="21"/>
  <c r="X229" i="21"/>
  <c r="W229" i="21"/>
  <c r="BA229" i="21" s="1"/>
  <c r="V229" i="21"/>
  <c r="U229" i="21"/>
  <c r="S229" i="21"/>
  <c r="Q229" i="21"/>
  <c r="H229" i="21"/>
  <c r="FZ228" i="21"/>
  <c r="FY228" i="21"/>
  <c r="FX228" i="21"/>
  <c r="GA228" i="21" s="1"/>
  <c r="EA228" i="21"/>
  <c r="DZ228" i="21"/>
  <c r="DY228" i="21"/>
  <c r="DL228" i="21"/>
  <c r="DH228" i="21"/>
  <c r="CH228" i="21"/>
  <c r="CG228" i="21"/>
  <c r="CF228" i="21"/>
  <c r="CE228" i="21"/>
  <c r="CD228" i="21"/>
  <c r="BZ228" i="21"/>
  <c r="BR228" i="21"/>
  <c r="BH228" i="21"/>
  <c r="BE228" i="21"/>
  <c r="AS228" i="21"/>
  <c r="AD228" i="21"/>
  <c r="Z228" i="21"/>
  <c r="W228" i="21"/>
  <c r="V228" i="21"/>
  <c r="U228" i="21"/>
  <c r="AY228" i="21" s="1"/>
  <c r="S228" i="21"/>
  <c r="Q228" i="21"/>
  <c r="T228" i="21" s="1"/>
  <c r="AZ228" i="21" s="1"/>
  <c r="L228" i="21"/>
  <c r="H228" i="21"/>
  <c r="GA227" i="21"/>
  <c r="FZ227" i="21"/>
  <c r="FY227" i="21"/>
  <c r="FX227" i="21"/>
  <c r="EE227" i="21"/>
  <c r="EA227" i="21"/>
  <c r="DY227" i="21"/>
  <c r="DT227" i="21"/>
  <c r="DL227" i="21"/>
  <c r="DH227" i="21"/>
  <c r="CG227" i="21"/>
  <c r="CF227" i="21"/>
  <c r="CH227" i="21" s="1"/>
  <c r="CD227" i="21"/>
  <c r="CE227" i="21" s="1"/>
  <c r="CB227" i="21"/>
  <c r="CI227" i="21" s="1"/>
  <c r="CA227" i="21"/>
  <c r="BE227" i="21"/>
  <c r="BA227" i="21"/>
  <c r="AS227" i="21"/>
  <c r="AN227" i="21"/>
  <c r="AM227" i="21"/>
  <c r="AL227" i="21"/>
  <c r="AJ227" i="21"/>
  <c r="AB227" i="21"/>
  <c r="Z227" i="21"/>
  <c r="BI227" i="21" s="1"/>
  <c r="Y227" i="21"/>
  <c r="X227" i="21"/>
  <c r="EL227" i="21" s="1"/>
  <c r="EK227" i="21" s="1"/>
  <c r="W227" i="21"/>
  <c r="V227" i="21"/>
  <c r="U227" i="21"/>
  <c r="S227" i="21"/>
  <c r="Q227" i="21"/>
  <c r="BZ227" i="21" s="1"/>
  <c r="L227" i="21"/>
  <c r="H227" i="21"/>
  <c r="AK227" i="21" s="1"/>
  <c r="GA226" i="21"/>
  <c r="FZ226" i="21"/>
  <c r="FY226" i="21"/>
  <c r="FX226" i="21"/>
  <c r="EA226" i="21"/>
  <c r="DZ226" i="21"/>
  <c r="EB226" i="21" s="1"/>
  <c r="EH226" i="21" s="1"/>
  <c r="DY226" i="21"/>
  <c r="EG226" i="21" s="1"/>
  <c r="DM226" i="21"/>
  <c r="DL226" i="21"/>
  <c r="DH226" i="21"/>
  <c r="CI226" i="21"/>
  <c r="CH226" i="21"/>
  <c r="CG226" i="21"/>
  <c r="CF226" i="21"/>
  <c r="CD226" i="21"/>
  <c r="CE226" i="21" s="1"/>
  <c r="CB226" i="21"/>
  <c r="CA226" i="21"/>
  <c r="BZ226" i="21"/>
  <c r="BR226" i="21"/>
  <c r="BE226" i="21"/>
  <c r="BA226" i="21"/>
  <c r="AY226" i="21"/>
  <c r="BH226" i="21" s="1"/>
  <c r="AS226" i="21"/>
  <c r="AN226" i="21"/>
  <c r="AM226" i="21"/>
  <c r="AL226" i="21"/>
  <c r="AD226" i="21"/>
  <c r="Z226" i="21"/>
  <c r="X226" i="21"/>
  <c r="EL226" i="21" s="1"/>
  <c r="EK226" i="21" s="1"/>
  <c r="W226" i="21"/>
  <c r="V226" i="21"/>
  <c r="U226" i="21"/>
  <c r="S226" i="21"/>
  <c r="Q226" i="21"/>
  <c r="T226" i="21" s="1"/>
  <c r="H226" i="21"/>
  <c r="GA225" i="21"/>
  <c r="FZ225" i="21"/>
  <c r="FY225" i="21"/>
  <c r="FX225" i="21"/>
  <c r="EL225" i="21"/>
  <c r="EK225" i="21" s="1"/>
  <c r="EE225" i="21"/>
  <c r="EB225" i="21"/>
  <c r="DY225" i="21"/>
  <c r="DT225" i="21"/>
  <c r="DL225" i="21"/>
  <c r="DI225" i="21"/>
  <c r="DH225" i="21"/>
  <c r="CG225" i="21"/>
  <c r="CF225" i="21"/>
  <c r="CH225" i="21" s="1"/>
  <c r="CD225" i="21"/>
  <c r="CE225" i="21" s="1"/>
  <c r="CI225" i="21" s="1"/>
  <c r="CB225" i="21"/>
  <c r="CA225" i="21"/>
  <c r="BZ225" i="21"/>
  <c r="BE225" i="21"/>
  <c r="BB225" i="21"/>
  <c r="BA225" i="21"/>
  <c r="AS225" i="21"/>
  <c r="AN225" i="21"/>
  <c r="AM225" i="21"/>
  <c r="AL225" i="21"/>
  <c r="AK225" i="21"/>
  <c r="AJ225" i="21" s="1"/>
  <c r="AI225" i="21"/>
  <c r="EA225" i="21" s="1"/>
  <c r="AB225" i="21"/>
  <c r="Z225" i="21"/>
  <c r="Y225" i="21"/>
  <c r="BI225" i="21" s="1"/>
  <c r="X225" i="21"/>
  <c r="W225" i="21"/>
  <c r="V225" i="21"/>
  <c r="U225" i="21"/>
  <c r="AY225" i="21" s="1"/>
  <c r="AZ225" i="21" s="1"/>
  <c r="T225" i="21"/>
  <c r="S225" i="21"/>
  <c r="Q225" i="21"/>
  <c r="BR225" i="21" s="1"/>
  <c r="DZ225" i="21" s="1"/>
  <c r="L225" i="21"/>
  <c r="I225" i="21"/>
  <c r="H225" i="21"/>
  <c r="FZ224" i="21"/>
  <c r="FY224" i="21"/>
  <c r="FX224" i="21"/>
  <c r="GA224" i="21" s="1"/>
  <c r="EE224" i="21"/>
  <c r="EA224" i="21"/>
  <c r="DZ224" i="21"/>
  <c r="EB224" i="21" s="1"/>
  <c r="DY224" i="21"/>
  <c r="DL224" i="21"/>
  <c r="DI224" i="21"/>
  <c r="DH224" i="21"/>
  <c r="CH224" i="21"/>
  <c r="CG224" i="21"/>
  <c r="CF224" i="21"/>
  <c r="CE224" i="21"/>
  <c r="CD224" i="21"/>
  <c r="CB224" i="21"/>
  <c r="CA224" i="21"/>
  <c r="BZ224" i="21"/>
  <c r="BR224" i="21"/>
  <c r="BE224" i="21"/>
  <c r="AS224" i="21"/>
  <c r="AN224" i="21"/>
  <c r="AM224" i="21"/>
  <c r="AL224" i="21"/>
  <c r="AK224" i="21"/>
  <c r="AJ224" i="21" s="1"/>
  <c r="AB224" i="21"/>
  <c r="Z224" i="21"/>
  <c r="W224" i="21"/>
  <c r="V224" i="21"/>
  <c r="U224" i="21"/>
  <c r="AY224" i="21" s="1"/>
  <c r="T224" i="21"/>
  <c r="S224" i="21"/>
  <c r="Q224" i="21"/>
  <c r="I224" i="21"/>
  <c r="M224" i="21" s="1"/>
  <c r="BF224" i="21" s="1"/>
  <c r="H224" i="21"/>
  <c r="L224" i="21" s="1"/>
  <c r="GA223" i="21"/>
  <c r="FZ223" i="21"/>
  <c r="FX223" i="21"/>
  <c r="EA223" i="21"/>
  <c r="DY223" i="21"/>
  <c r="DL223" i="21"/>
  <c r="DH223" i="21"/>
  <c r="CH223" i="21"/>
  <c r="CG223" i="21"/>
  <c r="CF223" i="21"/>
  <c r="CD223" i="21"/>
  <c r="CE223" i="21" s="1"/>
  <c r="CB223" i="21"/>
  <c r="CA223" i="21"/>
  <c r="BZ223" i="21"/>
  <c r="BR223" i="21"/>
  <c r="DZ223" i="21" s="1"/>
  <c r="BE223" i="21"/>
  <c r="AS223" i="21"/>
  <c r="AN223" i="21"/>
  <c r="AM223" i="21"/>
  <c r="AL223" i="21"/>
  <c r="AK223" i="21"/>
  <c r="AJ223" i="21"/>
  <c r="AB223" i="21"/>
  <c r="Z223" i="21"/>
  <c r="Y223" i="21"/>
  <c r="X223" i="21"/>
  <c r="EL223" i="21" s="1"/>
  <c r="EK223" i="21" s="1"/>
  <c r="W223" i="21"/>
  <c r="V223" i="21"/>
  <c r="U223" i="21"/>
  <c r="T223" i="21"/>
  <c r="S223" i="21"/>
  <c r="Q223" i="21"/>
  <c r="FY223" i="21" s="1"/>
  <c r="H223" i="21"/>
  <c r="L223" i="21" s="1"/>
  <c r="FZ222" i="21"/>
  <c r="FX222" i="21"/>
  <c r="EL222" i="21"/>
  <c r="EK222" i="21"/>
  <c r="DY222" i="21"/>
  <c r="DT222" i="21"/>
  <c r="DL222" i="21"/>
  <c r="DH222" i="21"/>
  <c r="CG222" i="21"/>
  <c r="CH222" i="21" s="1"/>
  <c r="CF222" i="21"/>
  <c r="CE222" i="21"/>
  <c r="CD222" i="21"/>
  <c r="BE222" i="21"/>
  <c r="BA222" i="21"/>
  <c r="AS222" i="21"/>
  <c r="AN222" i="21"/>
  <c r="AM222" i="21"/>
  <c r="AK222" i="21"/>
  <c r="AI222" i="21"/>
  <c r="EA222" i="21" s="1"/>
  <c r="AD222" i="21"/>
  <c r="Z222" i="21"/>
  <c r="W222" i="21"/>
  <c r="X222" i="21" s="1"/>
  <c r="Y222" i="21" s="1"/>
  <c r="V222" i="21"/>
  <c r="U222" i="21"/>
  <c r="S222" i="21"/>
  <c r="Q222" i="21"/>
  <c r="H222" i="21"/>
  <c r="GA221" i="21"/>
  <c r="CS221" i="21" s="1"/>
  <c r="FZ221" i="21"/>
  <c r="FX221" i="21"/>
  <c r="EE221" i="21"/>
  <c r="EA221" i="21"/>
  <c r="DY221" i="21"/>
  <c r="DT221" i="21"/>
  <c r="DH221" i="21"/>
  <c r="CG221" i="21"/>
  <c r="CH221" i="21" s="1"/>
  <c r="CF221" i="21"/>
  <c r="CD221" i="21"/>
  <c r="CE221" i="21" s="1"/>
  <c r="CA221" i="21"/>
  <c r="CB221" i="21" s="1"/>
  <c r="CI221" i="21" s="1"/>
  <c r="BZ221" i="21"/>
  <c r="BE221" i="21"/>
  <c r="AS221" i="21"/>
  <c r="AN221" i="21"/>
  <c r="AM221" i="21"/>
  <c r="AL221" i="21"/>
  <c r="AK221" i="21"/>
  <c r="AJ221" i="21"/>
  <c r="AB221" i="21"/>
  <c r="Z221" i="21"/>
  <c r="Y221" i="21"/>
  <c r="BI221" i="21" s="1"/>
  <c r="X221" i="21"/>
  <c r="EL221" i="21" s="1"/>
  <c r="EK221" i="21" s="1"/>
  <c r="W221" i="21"/>
  <c r="BA221" i="21" s="1"/>
  <c r="V221" i="21"/>
  <c r="U221" i="21"/>
  <c r="S221" i="21"/>
  <c r="Q221" i="21"/>
  <c r="FY221" i="21" s="1"/>
  <c r="H221" i="21"/>
  <c r="FZ220" i="21"/>
  <c r="FX220" i="21"/>
  <c r="EE220" i="21"/>
  <c r="EA220" i="21"/>
  <c r="DY220" i="21"/>
  <c r="DT220" i="21"/>
  <c r="DH220" i="21"/>
  <c r="CG220" i="21"/>
  <c r="CF220" i="21"/>
  <c r="CH220" i="21" s="1"/>
  <c r="CD220" i="21"/>
  <c r="CE220" i="21" s="1"/>
  <c r="BZ220" i="21"/>
  <c r="BR220" i="21"/>
  <c r="DZ220" i="21" s="1"/>
  <c r="EB220" i="21" s="1"/>
  <c r="BE220" i="21"/>
  <c r="AS220" i="21"/>
  <c r="AN220" i="21"/>
  <c r="AM220" i="21"/>
  <c r="AK220" i="21"/>
  <c r="AJ220" i="21"/>
  <c r="AB220" i="21"/>
  <c r="Z220" i="21"/>
  <c r="BI220" i="21" s="1"/>
  <c r="X220" i="21"/>
  <c r="Y220" i="21" s="1"/>
  <c r="W220" i="21"/>
  <c r="BA220" i="21" s="1"/>
  <c r="V220" i="21"/>
  <c r="U220" i="21"/>
  <c r="S220" i="21"/>
  <c r="Q220" i="21"/>
  <c r="L220" i="21"/>
  <c r="I220" i="21"/>
  <c r="H220" i="21"/>
  <c r="FZ219" i="21"/>
  <c r="FY219" i="21" s="1"/>
  <c r="FX219" i="21"/>
  <c r="DY219" i="21"/>
  <c r="DH219" i="21"/>
  <c r="CG219" i="21"/>
  <c r="CH219" i="21" s="1"/>
  <c r="CF219" i="21"/>
  <c r="CD219" i="21"/>
  <c r="CE219" i="21" s="1"/>
  <c r="BE219" i="21"/>
  <c r="AS219" i="21"/>
  <c r="AI219" i="21"/>
  <c r="EA219" i="21" s="1"/>
  <c r="AD219" i="21"/>
  <c r="Z219" i="21"/>
  <c r="W219" i="21"/>
  <c r="BA219" i="21" s="1"/>
  <c r="V219" i="21"/>
  <c r="U219" i="21"/>
  <c r="S219" i="21"/>
  <c r="Q219" i="21"/>
  <c r="H219" i="21"/>
  <c r="FZ218" i="21"/>
  <c r="FX218" i="21"/>
  <c r="EA218" i="21"/>
  <c r="DY218" i="21"/>
  <c r="DL218" i="21"/>
  <c r="DH218" i="21"/>
  <c r="CG218" i="21"/>
  <c r="CH218" i="21" s="1"/>
  <c r="CF218" i="21"/>
  <c r="CD218" i="21"/>
  <c r="CE218" i="21" s="1"/>
  <c r="CA218" i="21"/>
  <c r="BE218" i="21"/>
  <c r="AS218" i="21"/>
  <c r="AI218" i="21"/>
  <c r="AD218" i="21"/>
  <c r="Z218" i="21"/>
  <c r="W218" i="21"/>
  <c r="V218" i="21"/>
  <c r="U218" i="21"/>
  <c r="T218" i="21"/>
  <c r="S218" i="21"/>
  <c r="Q218" i="21"/>
  <c r="H218" i="21"/>
  <c r="FZ217" i="21"/>
  <c r="FX217" i="21"/>
  <c r="EE217" i="21"/>
  <c r="DY217" i="21"/>
  <c r="DL217" i="21"/>
  <c r="DH217" i="21"/>
  <c r="CG217" i="21"/>
  <c r="CF217" i="21"/>
  <c r="CH217" i="21" s="1"/>
  <c r="CE217" i="21"/>
  <c r="CD217" i="21"/>
  <c r="CA217" i="21"/>
  <c r="BE217" i="21"/>
  <c r="AS217" i="21"/>
  <c r="AM217" i="21"/>
  <c r="AK217" i="21"/>
  <c r="AI217" i="21"/>
  <c r="EA217" i="21" s="1"/>
  <c r="AD217" i="21"/>
  <c r="Z217" i="21"/>
  <c r="W217" i="21"/>
  <c r="V217" i="21"/>
  <c r="U217" i="21"/>
  <c r="T217" i="21"/>
  <c r="S217" i="21"/>
  <c r="AN217" i="21" s="1"/>
  <c r="Q217" i="21"/>
  <c r="BZ217" i="21" s="1"/>
  <c r="M217" i="21"/>
  <c r="BF217" i="21" s="1"/>
  <c r="L217" i="21"/>
  <c r="H217" i="21"/>
  <c r="I217" i="21" s="1"/>
  <c r="AX217" i="21" s="1"/>
  <c r="FZ216" i="21"/>
  <c r="FY216" i="21"/>
  <c r="GA216" i="21" s="1"/>
  <c r="FX216" i="21"/>
  <c r="EE216" i="21"/>
  <c r="EA216" i="21"/>
  <c r="EB216" i="21" s="1"/>
  <c r="DY216" i="21"/>
  <c r="DL216" i="21"/>
  <c r="DH216" i="21"/>
  <c r="CG216" i="21"/>
  <c r="CF216" i="21"/>
  <c r="CH216" i="21" s="1"/>
  <c r="CE216" i="21"/>
  <c r="CD216" i="21"/>
  <c r="CA216" i="21"/>
  <c r="BZ216" i="21"/>
  <c r="CB216" i="21" s="1"/>
  <c r="BF216" i="21"/>
  <c r="BE216" i="21"/>
  <c r="AS216" i="21"/>
  <c r="AN216" i="21"/>
  <c r="AM216" i="21"/>
  <c r="AL216" i="21"/>
  <c r="AK216" i="21"/>
  <c r="AJ216" i="21" s="1"/>
  <c r="AD216" i="21"/>
  <c r="Z216" i="21"/>
  <c r="W216" i="21"/>
  <c r="V216" i="21"/>
  <c r="U216" i="21"/>
  <c r="T216" i="21"/>
  <c r="S216" i="21"/>
  <c r="Q216" i="21"/>
  <c r="BR216" i="21" s="1"/>
  <c r="DZ216" i="21" s="1"/>
  <c r="M216" i="21"/>
  <c r="L216" i="21"/>
  <c r="I216" i="21"/>
  <c r="AX216" i="21" s="1"/>
  <c r="H216" i="21"/>
  <c r="FZ215" i="21"/>
  <c r="FX215" i="21"/>
  <c r="EL215" i="21"/>
  <c r="EK215" i="21"/>
  <c r="EA215" i="21"/>
  <c r="DY215" i="21"/>
  <c r="DH215" i="21"/>
  <c r="CG215" i="21"/>
  <c r="CF215" i="21"/>
  <c r="CH215" i="21" s="1"/>
  <c r="CD215" i="21"/>
  <c r="CE215" i="21" s="1"/>
  <c r="BE215" i="21"/>
  <c r="BA215" i="21"/>
  <c r="BB215" i="21" s="1"/>
  <c r="AT215" i="21"/>
  <c r="DU215" i="21" s="1"/>
  <c r="DN215" i="21" s="1"/>
  <c r="AS215" i="21"/>
  <c r="AR215" i="21"/>
  <c r="AQ215" i="21"/>
  <c r="AP215" i="21"/>
  <c r="AP216" i="21" s="1"/>
  <c r="AN215" i="21"/>
  <c r="AM215" i="21"/>
  <c r="AL215" i="21"/>
  <c r="AK215" i="21"/>
  <c r="AJ215" i="21" s="1"/>
  <c r="AD215" i="21"/>
  <c r="Z215" i="21"/>
  <c r="BI215" i="21" s="1"/>
  <c r="W215" i="21"/>
  <c r="X215" i="21" s="1"/>
  <c r="Y215" i="21" s="1"/>
  <c r="DT215" i="21" s="1"/>
  <c r="V215" i="21"/>
  <c r="U215" i="21"/>
  <c r="S215" i="21"/>
  <c r="Q215" i="21"/>
  <c r="I215" i="21"/>
  <c r="H215" i="21"/>
  <c r="FZ214" i="21"/>
  <c r="FY214" i="21"/>
  <c r="FX214" i="21"/>
  <c r="EA214" i="21"/>
  <c r="DY214" i="21"/>
  <c r="DH214" i="21"/>
  <c r="CH214" i="21"/>
  <c r="CG214" i="21"/>
  <c r="CF214" i="21"/>
  <c r="CE214" i="21"/>
  <c r="CD214" i="21"/>
  <c r="BE214" i="21"/>
  <c r="BB214" i="21"/>
  <c r="BA214" i="21"/>
  <c r="AX214" i="21"/>
  <c r="AS214" i="21"/>
  <c r="AP214" i="21"/>
  <c r="AD214" i="21"/>
  <c r="Z214" i="21"/>
  <c r="W214" i="21"/>
  <c r="V214" i="21"/>
  <c r="U214" i="21"/>
  <c r="S214" i="21"/>
  <c r="Q214" i="21"/>
  <c r="I214" i="21"/>
  <c r="DI214" i="21" s="1"/>
  <c r="H214" i="21"/>
  <c r="FZ213" i="21"/>
  <c r="FY213" i="21"/>
  <c r="FX213" i="21"/>
  <c r="EL213" i="21"/>
  <c r="EK213" i="21" s="1"/>
  <c r="EA213" i="21"/>
  <c r="DY213" i="21"/>
  <c r="DT213" i="21"/>
  <c r="DH213" i="21"/>
  <c r="CG213" i="21"/>
  <c r="CF213" i="21"/>
  <c r="CH213" i="21" s="1"/>
  <c r="CE213" i="21"/>
  <c r="CD213" i="21"/>
  <c r="CA213" i="21"/>
  <c r="BR213" i="21"/>
  <c r="DZ213" i="21" s="1"/>
  <c r="EB213" i="21" s="1"/>
  <c r="BE213" i="21"/>
  <c r="BA213" i="21"/>
  <c r="AS213" i="21"/>
  <c r="AD213" i="21"/>
  <c r="Z213" i="21"/>
  <c r="Y213" i="21"/>
  <c r="X213" i="21"/>
  <c r="W213" i="21"/>
  <c r="V213" i="21"/>
  <c r="U213" i="21"/>
  <c r="T213" i="21"/>
  <c r="S213" i="21"/>
  <c r="Q213" i="21"/>
  <c r="BZ213" i="21" s="1"/>
  <c r="CB213" i="21" s="1"/>
  <c r="CI213" i="21" s="1"/>
  <c r="CK213" i="21" s="1"/>
  <c r="M213" i="21"/>
  <c r="BF213" i="21" s="1"/>
  <c r="L213" i="21"/>
  <c r="I213" i="21"/>
  <c r="AX213" i="21" s="1"/>
  <c r="H213" i="21"/>
  <c r="GA212" i="21"/>
  <c r="FZ212" i="21"/>
  <c r="FY212" i="21"/>
  <c r="FX212" i="21"/>
  <c r="EA212" i="21"/>
  <c r="DY212" i="21"/>
  <c r="DH212" i="21"/>
  <c r="CG212" i="21"/>
  <c r="CF212" i="21"/>
  <c r="CH212" i="21" s="1"/>
  <c r="CE212" i="21"/>
  <c r="CD212" i="21"/>
  <c r="CA212" i="21"/>
  <c r="BZ212" i="21"/>
  <c r="BR212" i="21"/>
  <c r="DZ212" i="21" s="1"/>
  <c r="EB212" i="21" s="1"/>
  <c r="BE212" i="21"/>
  <c r="AS212" i="21"/>
  <c r="AP212" i="21"/>
  <c r="AP213" i="21" s="1"/>
  <c r="AL212" i="21"/>
  <c r="AD212" i="21"/>
  <c r="Z212" i="21"/>
  <c r="W212" i="21"/>
  <c r="V212" i="21"/>
  <c r="U212" i="21"/>
  <c r="AY212" i="21" s="1"/>
  <c r="T212" i="21"/>
  <c r="S212" i="21"/>
  <c r="Q212" i="21"/>
  <c r="L212" i="21"/>
  <c r="H212" i="21"/>
  <c r="DL212" i="21" s="1"/>
  <c r="FZ211" i="21"/>
  <c r="FX211" i="21"/>
  <c r="EL211" i="21"/>
  <c r="EK211" i="21" s="1"/>
  <c r="EE211" i="21"/>
  <c r="EA211" i="21"/>
  <c r="DL211" i="21"/>
  <c r="DI211" i="21"/>
  <c r="DH211" i="21"/>
  <c r="CG211" i="21"/>
  <c r="CF211" i="21"/>
  <c r="CH211" i="21" s="1"/>
  <c r="CD211" i="21"/>
  <c r="CE211" i="21" s="1"/>
  <c r="CA211" i="21"/>
  <c r="BE211" i="21"/>
  <c r="BA211" i="21"/>
  <c r="BB211" i="21" s="1"/>
  <c r="AX211" i="21"/>
  <c r="CM211" i="21" s="1"/>
  <c r="AS211" i="21"/>
  <c r="AM211" i="21"/>
  <c r="AK211" i="21"/>
  <c r="AB211" i="21"/>
  <c r="Z211" i="21"/>
  <c r="W211" i="21"/>
  <c r="X211" i="21" s="1"/>
  <c r="Y211" i="21" s="1"/>
  <c r="V211" i="21"/>
  <c r="U211" i="21"/>
  <c r="T211" i="21"/>
  <c r="S211" i="21"/>
  <c r="AN211" i="21" s="1"/>
  <c r="Q211" i="21"/>
  <c r="O211" i="21"/>
  <c r="M211" i="21"/>
  <c r="BF211" i="21" s="1"/>
  <c r="CO211" i="21" s="1"/>
  <c r="L211" i="21"/>
  <c r="I211" i="21"/>
  <c r="P211" i="21" s="1"/>
  <c r="DY211" i="21" s="1"/>
  <c r="H211" i="21"/>
  <c r="FZ210" i="21"/>
  <c r="EA210" i="21"/>
  <c r="DL210" i="21"/>
  <c r="DH210" i="21"/>
  <c r="CU210" i="21"/>
  <c r="CG210" i="21"/>
  <c r="CF210" i="21"/>
  <c r="CH210" i="21" s="1"/>
  <c r="CD210" i="21"/>
  <c r="CE210" i="21" s="1"/>
  <c r="BE210" i="21"/>
  <c r="AX210" i="21"/>
  <c r="CM210" i="21" s="1"/>
  <c r="FG210" i="21" s="1"/>
  <c r="AS210" i="21"/>
  <c r="AB210" i="21"/>
  <c r="Z210" i="21"/>
  <c r="W210" i="21"/>
  <c r="V210" i="21"/>
  <c r="U210" i="21"/>
  <c r="T210" i="21"/>
  <c r="S210" i="21"/>
  <c r="Q210" i="21"/>
  <c r="P210" i="21"/>
  <c r="DY210" i="21" s="1"/>
  <c r="O210" i="21"/>
  <c r="FX210" i="21" s="1"/>
  <c r="I210" i="21"/>
  <c r="M210" i="21" s="1"/>
  <c r="BF210" i="21" s="1"/>
  <c r="CO210" i="21" s="1"/>
  <c r="H210" i="21"/>
  <c r="EE210" i="21" s="1"/>
  <c r="FZ209" i="21"/>
  <c r="FX209" i="21"/>
  <c r="DH209" i="21"/>
  <c r="CH209" i="21"/>
  <c r="CG209" i="21"/>
  <c r="CF209" i="21"/>
  <c r="CE209" i="21"/>
  <c r="CD209" i="21"/>
  <c r="BR209" i="21"/>
  <c r="DZ209" i="21" s="1"/>
  <c r="EB209" i="21" s="1"/>
  <c r="BE209" i="21"/>
  <c r="BA209" i="21"/>
  <c r="BB209" i="21" s="1"/>
  <c r="AS209" i="21"/>
  <c r="AI209" i="21"/>
  <c r="EA209" i="21" s="1"/>
  <c r="AB209" i="21"/>
  <c r="Z209" i="21"/>
  <c r="W209" i="21"/>
  <c r="X209" i="21" s="1"/>
  <c r="V209" i="21"/>
  <c r="U209" i="21"/>
  <c r="T209" i="21"/>
  <c r="Q209" i="21"/>
  <c r="P209" i="21"/>
  <c r="DY209" i="21" s="1"/>
  <c r="EH209" i="21" s="1"/>
  <c r="O209" i="21"/>
  <c r="I209" i="21"/>
  <c r="H209" i="21"/>
  <c r="FZ208" i="21"/>
  <c r="FG208" i="21"/>
  <c r="DL208" i="21"/>
  <c r="DI208" i="21"/>
  <c r="DH208" i="21"/>
  <c r="DA208" i="21"/>
  <c r="CG208" i="21"/>
  <c r="CF208" i="21"/>
  <c r="CH208" i="21" s="1"/>
  <c r="CE208" i="21"/>
  <c r="CD208" i="21"/>
  <c r="BA208" i="21"/>
  <c r="BB208" i="21" s="1"/>
  <c r="AX208" i="21"/>
  <c r="CM208" i="21" s="1"/>
  <c r="AS208" i="21"/>
  <c r="AM208" i="21"/>
  <c r="AK208" i="21"/>
  <c r="AI208" i="21"/>
  <c r="EA208" i="21" s="1"/>
  <c r="AB208" i="21"/>
  <c r="Z208" i="21"/>
  <c r="W208" i="21"/>
  <c r="V208" i="21"/>
  <c r="U208" i="21"/>
  <c r="S208" i="21"/>
  <c r="P208" i="21"/>
  <c r="DY208" i="21" s="1"/>
  <c r="O208" i="21"/>
  <c r="M208" i="21"/>
  <c r="I208" i="21"/>
  <c r="H208" i="21"/>
  <c r="L208" i="21" s="1"/>
  <c r="FZ207" i="21"/>
  <c r="EA207" i="21"/>
  <c r="DH207" i="21"/>
  <c r="CG207" i="21"/>
  <c r="CF207" i="21"/>
  <c r="CH207" i="21" s="1"/>
  <c r="CE207" i="21"/>
  <c r="CD207" i="21"/>
  <c r="AS207" i="21"/>
  <c r="AB207" i="21"/>
  <c r="Z207" i="21"/>
  <c r="W207" i="21"/>
  <c r="V207" i="21"/>
  <c r="S207" i="21"/>
  <c r="P207" i="21"/>
  <c r="DY207" i="21" s="1"/>
  <c r="O207" i="21"/>
  <c r="I207" i="21"/>
  <c r="H207" i="21"/>
  <c r="FZ206" i="21"/>
  <c r="EE206" i="21"/>
  <c r="EA206" i="21"/>
  <c r="DL206" i="21"/>
  <c r="DH206" i="21"/>
  <c r="CH206" i="21"/>
  <c r="CG206" i="21"/>
  <c r="CF206" i="21"/>
  <c r="CE206" i="21"/>
  <c r="CD206" i="21"/>
  <c r="BA206" i="21"/>
  <c r="AS206" i="21"/>
  <c r="AM206" i="21"/>
  <c r="AK206" i="21"/>
  <c r="AB206" i="21"/>
  <c r="Z206" i="21"/>
  <c r="X206" i="21"/>
  <c r="W206" i="21"/>
  <c r="V206" i="21"/>
  <c r="S206" i="21"/>
  <c r="O206" i="21"/>
  <c r="BE206" i="21" s="1"/>
  <c r="L206" i="21"/>
  <c r="I206" i="21"/>
  <c r="H206" i="21"/>
  <c r="FZ205" i="21"/>
  <c r="EL205" i="21"/>
  <c r="EK205" i="21" s="1"/>
  <c r="EE205" i="21"/>
  <c r="EA205" i="21"/>
  <c r="DZ205" i="21"/>
  <c r="EB205" i="21" s="1"/>
  <c r="DT205" i="21"/>
  <c r="DH205" i="21"/>
  <c r="CG205" i="21"/>
  <c r="CF205" i="21"/>
  <c r="CH205" i="21" s="1"/>
  <c r="CD205" i="21"/>
  <c r="CE205" i="21" s="1"/>
  <c r="BI205" i="21"/>
  <c r="BA205" i="21"/>
  <c r="AS205" i="21"/>
  <c r="AB205" i="21"/>
  <c r="Z205" i="21"/>
  <c r="Y205" i="21"/>
  <c r="X205" i="21"/>
  <c r="W205" i="21"/>
  <c r="V205" i="21"/>
  <c r="U205" i="21"/>
  <c r="T205" i="21"/>
  <c r="S205" i="21"/>
  <c r="Q205" i="21"/>
  <c r="BR205" i="21" s="1"/>
  <c r="O205" i="21"/>
  <c r="FX205" i="21" s="1"/>
  <c r="H205" i="21"/>
  <c r="FZ204" i="21"/>
  <c r="EE204" i="21"/>
  <c r="EA204" i="21"/>
  <c r="DH204" i="21"/>
  <c r="CH204" i="21"/>
  <c r="CG204" i="21"/>
  <c r="CF204" i="21"/>
  <c r="CD204" i="21"/>
  <c r="CE204" i="21" s="1"/>
  <c r="BA204" i="21"/>
  <c r="AS204" i="21"/>
  <c r="AM204" i="21"/>
  <c r="AK204" i="21"/>
  <c r="AB204" i="21"/>
  <c r="Z204" i="21"/>
  <c r="W204" i="21"/>
  <c r="X204" i="21" s="1"/>
  <c r="EL204" i="21" s="1"/>
  <c r="EK204" i="21" s="1"/>
  <c r="V204" i="21"/>
  <c r="O204" i="21"/>
  <c r="H204" i="21"/>
  <c r="FZ203" i="21"/>
  <c r="FX203" i="21"/>
  <c r="EA203" i="21"/>
  <c r="DH203" i="21"/>
  <c r="CG203" i="21"/>
  <c r="CF203" i="21"/>
  <c r="CH203" i="21" s="1"/>
  <c r="CE203" i="21"/>
  <c r="CD203" i="21"/>
  <c r="CA203" i="21"/>
  <c r="BR203" i="21"/>
  <c r="DZ203" i="21" s="1"/>
  <c r="EB203" i="21" s="1"/>
  <c r="BE203" i="21"/>
  <c r="AS203" i="21"/>
  <c r="AB203" i="21"/>
  <c r="Z203" i="21"/>
  <c r="X203" i="21"/>
  <c r="W203" i="21"/>
  <c r="V203" i="21"/>
  <c r="Q203" i="21"/>
  <c r="O203" i="21"/>
  <c r="L203" i="21"/>
  <c r="I203" i="21"/>
  <c r="H203" i="21"/>
  <c r="FZ202" i="21"/>
  <c r="FX202" i="21"/>
  <c r="EL202" i="21"/>
  <c r="EK202" i="21" s="1"/>
  <c r="EE202" i="21"/>
  <c r="EA202" i="21"/>
  <c r="DL202" i="21"/>
  <c r="DH202" i="21"/>
  <c r="CG202" i="21"/>
  <c r="CF202" i="21"/>
  <c r="CD202" i="21"/>
  <c r="CE202" i="21" s="1"/>
  <c r="BA202" i="21"/>
  <c r="BB202" i="21" s="1"/>
  <c r="AS202" i="21"/>
  <c r="AK202" i="21"/>
  <c r="AB202" i="21"/>
  <c r="Z202" i="21"/>
  <c r="X202" i="21"/>
  <c r="Y202" i="21" s="1"/>
  <c r="W202" i="21"/>
  <c r="V202" i="21"/>
  <c r="U202" i="21"/>
  <c r="S202" i="21"/>
  <c r="O202" i="21"/>
  <c r="I202" i="21"/>
  <c r="H202" i="21"/>
  <c r="FZ201" i="21"/>
  <c r="DL201" i="21"/>
  <c r="DH201" i="21"/>
  <c r="CH201" i="21"/>
  <c r="CG201" i="21"/>
  <c r="CF201" i="21"/>
  <c r="CD201" i="21"/>
  <c r="CE201" i="21" s="1"/>
  <c r="BE201" i="21"/>
  <c r="AS201" i="21"/>
  <c r="AN201" i="21"/>
  <c r="AK201" i="21"/>
  <c r="AI201" i="21"/>
  <c r="EA201" i="21" s="1"/>
  <c r="AB201" i="21"/>
  <c r="Z201" i="21"/>
  <c r="W201" i="21"/>
  <c r="V201" i="21"/>
  <c r="U201" i="21"/>
  <c r="S201" i="21"/>
  <c r="O201" i="21"/>
  <c r="H201" i="21"/>
  <c r="AM201" i="21" s="1"/>
  <c r="FZ200" i="21"/>
  <c r="EA200" i="21"/>
  <c r="DH200" i="21"/>
  <c r="CG200" i="21"/>
  <c r="CF200" i="21"/>
  <c r="CH200" i="21" s="1"/>
  <c r="CD200" i="21"/>
  <c r="CE200" i="21" s="1"/>
  <c r="BA200" i="21"/>
  <c r="AS200" i="21"/>
  <c r="AK200" i="21"/>
  <c r="AI200" i="21"/>
  <c r="AB200" i="21"/>
  <c r="Z200" i="21"/>
  <c r="X200" i="21"/>
  <c r="EL200" i="21" s="1"/>
  <c r="EK200" i="21" s="1"/>
  <c r="W200" i="21"/>
  <c r="V200" i="21"/>
  <c r="O200" i="21"/>
  <c r="H200" i="21"/>
  <c r="FZ199" i="21"/>
  <c r="EV199" i="21"/>
  <c r="EU199" i="21"/>
  <c r="ET199" i="21"/>
  <c r="EA199" i="21"/>
  <c r="DL199" i="21"/>
  <c r="DI199" i="21"/>
  <c r="DH199" i="21"/>
  <c r="CU199" i="21"/>
  <c r="CG199" i="21"/>
  <c r="CF199" i="21"/>
  <c r="CH199" i="21" s="1"/>
  <c r="CD199" i="21"/>
  <c r="CE199" i="21" s="1"/>
  <c r="BR199" i="21"/>
  <c r="DZ199" i="21" s="1"/>
  <c r="EB199" i="21" s="1"/>
  <c r="EH199" i="21" s="1"/>
  <c r="AX199" i="21"/>
  <c r="CM199" i="21" s="1"/>
  <c r="FG199" i="21" s="1"/>
  <c r="AS199" i="21"/>
  <c r="AM199" i="21"/>
  <c r="AK199" i="21"/>
  <c r="AJ199" i="21"/>
  <c r="AB199" i="21"/>
  <c r="Z199" i="21"/>
  <c r="X199" i="21"/>
  <c r="EL199" i="21" s="1"/>
  <c r="EK199" i="21" s="1"/>
  <c r="W199" i="21"/>
  <c r="V199" i="21"/>
  <c r="U199" i="21"/>
  <c r="T199" i="21"/>
  <c r="Q199" i="21"/>
  <c r="P199" i="21"/>
  <c r="DY199" i="21" s="1"/>
  <c r="O199" i="21"/>
  <c r="BE199" i="21" s="1"/>
  <c r="BF199" i="21" s="1"/>
  <c r="CO199" i="21" s="1"/>
  <c r="M199" i="21"/>
  <c r="L199" i="21"/>
  <c r="I199" i="21"/>
  <c r="H199" i="21"/>
  <c r="S199" i="21" s="1"/>
  <c r="FZ198" i="21"/>
  <c r="EL198" i="21"/>
  <c r="EK198" i="21" s="1"/>
  <c r="EA198" i="21"/>
  <c r="DH198" i="21"/>
  <c r="CH198" i="21"/>
  <c r="CG198" i="21"/>
  <c r="CF198" i="21"/>
  <c r="CD198" i="21"/>
  <c r="CE198" i="21" s="1"/>
  <c r="BE198" i="21"/>
  <c r="BB198" i="21"/>
  <c r="BA198" i="21"/>
  <c r="AX198" i="21"/>
  <c r="AS198" i="21"/>
  <c r="AB198" i="21"/>
  <c r="Z198" i="21"/>
  <c r="Y198" i="21"/>
  <c r="W198" i="21"/>
  <c r="X198" i="21" s="1"/>
  <c r="V198" i="21"/>
  <c r="U198" i="21"/>
  <c r="P198" i="21"/>
  <c r="DY198" i="21" s="1"/>
  <c r="O198" i="21"/>
  <c r="M198" i="21"/>
  <c r="BF198" i="21" s="1"/>
  <c r="CO198" i="21" s="1"/>
  <c r="L198" i="21"/>
  <c r="I198" i="21"/>
  <c r="DI198" i="21" s="1"/>
  <c r="H198" i="21"/>
  <c r="FZ197" i="21"/>
  <c r="EL197" i="21"/>
  <c r="EK197" i="21"/>
  <c r="EA197" i="21"/>
  <c r="DH197" i="21"/>
  <c r="CG197" i="21"/>
  <c r="CH197" i="21" s="1"/>
  <c r="CF197" i="21"/>
  <c r="CD197" i="21"/>
  <c r="CE197" i="21" s="1"/>
  <c r="BA197" i="21"/>
  <c r="AS197" i="21"/>
  <c r="AB197" i="21"/>
  <c r="Z197" i="21"/>
  <c r="X197" i="21"/>
  <c r="Y197" i="21" s="1"/>
  <c r="W197" i="21"/>
  <c r="V197" i="21"/>
  <c r="U197" i="21"/>
  <c r="Q197" i="21"/>
  <c r="O197" i="21"/>
  <c r="I197" i="21"/>
  <c r="H197" i="21"/>
  <c r="FZ196" i="21"/>
  <c r="FX196" i="21"/>
  <c r="EE196" i="21"/>
  <c r="EA196" i="21"/>
  <c r="DT196" i="21"/>
  <c r="DL196" i="21"/>
  <c r="DH196" i="21"/>
  <c r="CH196" i="21"/>
  <c r="CG196" i="21"/>
  <c r="CF196" i="21"/>
  <c r="CD196" i="21"/>
  <c r="CE196" i="21" s="1"/>
  <c r="AS196" i="21"/>
  <c r="AM196" i="21"/>
  <c r="AK196" i="21"/>
  <c r="AB196" i="21"/>
  <c r="Z196" i="21"/>
  <c r="BI196" i="21" s="1"/>
  <c r="Y196" i="21"/>
  <c r="W196" i="21"/>
  <c r="X196" i="21" s="1"/>
  <c r="EL196" i="21" s="1"/>
  <c r="EK196" i="21" s="1"/>
  <c r="V196" i="21"/>
  <c r="S196" i="21"/>
  <c r="O196" i="21"/>
  <c r="U196" i="21" s="1"/>
  <c r="L196" i="21"/>
  <c r="H196" i="21"/>
  <c r="FZ195" i="21"/>
  <c r="FG195" i="21"/>
  <c r="EA195" i="21"/>
  <c r="DH195" i="21"/>
  <c r="CM195" i="21"/>
  <c r="CU195" i="21" s="1"/>
  <c r="CG195" i="21"/>
  <c r="CF195" i="21"/>
  <c r="CH195" i="21" s="1"/>
  <c r="CD195" i="21"/>
  <c r="CE195" i="21" s="1"/>
  <c r="BI195" i="21"/>
  <c r="BE195" i="21"/>
  <c r="AS195" i="21"/>
  <c r="AM195" i="21"/>
  <c r="AK195" i="21"/>
  <c r="AB195" i="21"/>
  <c r="Z195" i="21"/>
  <c r="Y195" i="21"/>
  <c r="DT195" i="21" s="1"/>
  <c r="X195" i="21"/>
  <c r="EL195" i="21" s="1"/>
  <c r="EK195" i="21" s="1"/>
  <c r="W195" i="21"/>
  <c r="V195" i="21"/>
  <c r="U195" i="21"/>
  <c r="S195" i="21"/>
  <c r="O195" i="21"/>
  <c r="FX195" i="21" s="1"/>
  <c r="I195" i="21"/>
  <c r="AX195" i="21" s="1"/>
  <c r="H195" i="21"/>
  <c r="FZ194" i="21"/>
  <c r="FG194" i="21"/>
  <c r="EA194" i="21"/>
  <c r="DL194" i="21"/>
  <c r="DI194" i="21"/>
  <c r="DH194" i="21"/>
  <c r="CG194" i="21"/>
  <c r="CF194" i="21"/>
  <c r="CH194" i="21" s="1"/>
  <c r="CD194" i="21"/>
  <c r="CE194" i="21" s="1"/>
  <c r="AX194" i="21"/>
  <c r="CM194" i="21" s="1"/>
  <c r="CU194" i="21" s="1"/>
  <c r="AS194" i="21"/>
  <c r="AM194" i="21"/>
  <c r="AK194" i="21"/>
  <c r="AB194" i="21"/>
  <c r="Z194" i="21"/>
  <c r="W194" i="21"/>
  <c r="V194" i="21"/>
  <c r="U194" i="21"/>
  <c r="S194" i="21"/>
  <c r="Q194" i="21"/>
  <c r="P194" i="21"/>
  <c r="DY194" i="21" s="1"/>
  <c r="O194" i="21"/>
  <c r="M194" i="21"/>
  <c r="L194" i="21"/>
  <c r="I194" i="21"/>
  <c r="H194" i="21"/>
  <c r="FZ193" i="21"/>
  <c r="EA193" i="21"/>
  <c r="DL193" i="21"/>
  <c r="DI193" i="21"/>
  <c r="DH193" i="21"/>
  <c r="CG193" i="21"/>
  <c r="CF193" i="21"/>
  <c r="CH193" i="21" s="1"/>
  <c r="CE193" i="21"/>
  <c r="CD193" i="21"/>
  <c r="AX193" i="21"/>
  <c r="CM193" i="21" s="1"/>
  <c r="AS193" i="21"/>
  <c r="AP193" i="21"/>
  <c r="AK193" i="21"/>
  <c r="AB193" i="21"/>
  <c r="Z193" i="21"/>
  <c r="W193" i="21"/>
  <c r="V193" i="21"/>
  <c r="S193" i="21"/>
  <c r="Q193" i="21"/>
  <c r="P193" i="21"/>
  <c r="DY193" i="21" s="1"/>
  <c r="O193" i="21"/>
  <c r="M193" i="21"/>
  <c r="L193" i="21"/>
  <c r="I193" i="21"/>
  <c r="H193" i="21"/>
  <c r="FZ192" i="21"/>
  <c r="EA192" i="21"/>
  <c r="DI192" i="21"/>
  <c r="DH192" i="21"/>
  <c r="CG192" i="21"/>
  <c r="CF192" i="21"/>
  <c r="CH192" i="21" s="1"/>
  <c r="CE192" i="21"/>
  <c r="CD192" i="21"/>
  <c r="BE192" i="21"/>
  <c r="BA192" i="21"/>
  <c r="BB192" i="21" s="1"/>
  <c r="AX192" i="21"/>
  <c r="AS192" i="21"/>
  <c r="AB192" i="21"/>
  <c r="Z192" i="21"/>
  <c r="X192" i="21"/>
  <c r="W192" i="21"/>
  <c r="V192" i="21"/>
  <c r="U192" i="21"/>
  <c r="O192" i="21"/>
  <c r="I192" i="21"/>
  <c r="P192" i="21" s="1"/>
  <c r="DY192" i="21" s="1"/>
  <c r="H192" i="21"/>
  <c r="EE192" i="21" s="1"/>
  <c r="FZ191" i="21"/>
  <c r="FY191" i="21"/>
  <c r="EL191" i="21"/>
  <c r="EK191" i="21" s="1"/>
  <c r="EA191" i="21"/>
  <c r="DL191" i="21"/>
  <c r="DH191" i="21"/>
  <c r="CH191" i="21"/>
  <c r="CG191" i="21"/>
  <c r="CF191" i="21"/>
  <c r="CD191" i="21"/>
  <c r="CE191" i="21" s="1"/>
  <c r="BI191" i="21"/>
  <c r="AS191" i="21"/>
  <c r="AM191" i="21"/>
  <c r="AK191" i="21"/>
  <c r="AJ191" i="21" s="1"/>
  <c r="AB191" i="21"/>
  <c r="Z191" i="21"/>
  <c r="X191" i="21"/>
  <c r="Y191" i="21" s="1"/>
  <c r="W191" i="21"/>
  <c r="BA191" i="21" s="1"/>
  <c r="V191" i="21"/>
  <c r="Q191" i="21"/>
  <c r="P191" i="21"/>
  <c r="DY191" i="21" s="1"/>
  <c r="O191" i="21"/>
  <c r="L191" i="21"/>
  <c r="I191" i="21"/>
  <c r="H191" i="21"/>
  <c r="S191" i="21" s="1"/>
  <c r="FZ190" i="21"/>
  <c r="EH190" i="21"/>
  <c r="EE190" i="21"/>
  <c r="EA190" i="21"/>
  <c r="DH190" i="21"/>
  <c r="CH190" i="21"/>
  <c r="CG190" i="21"/>
  <c r="CF190" i="21"/>
  <c r="CD190" i="21"/>
  <c r="CE190" i="21" s="1"/>
  <c r="BR190" i="21"/>
  <c r="DZ190" i="21" s="1"/>
  <c r="EB190" i="21" s="1"/>
  <c r="BA190" i="21"/>
  <c r="BB190" i="21" s="1"/>
  <c r="AX190" i="21"/>
  <c r="AS190" i="21"/>
  <c r="AM190" i="21"/>
  <c r="AB190" i="21"/>
  <c r="Z190" i="21"/>
  <c r="BI190" i="21" s="1"/>
  <c r="W190" i="21"/>
  <c r="X190" i="21" s="1"/>
  <c r="Y190" i="21" s="1"/>
  <c r="V190" i="21"/>
  <c r="S190" i="21"/>
  <c r="Q190" i="21"/>
  <c r="N190" i="21" s="1"/>
  <c r="P190" i="21"/>
  <c r="DY190" i="21" s="1"/>
  <c r="O190" i="21"/>
  <c r="BE190" i="21" s="1"/>
  <c r="L190" i="21"/>
  <c r="I190" i="21"/>
  <c r="H190" i="21"/>
  <c r="FZ189" i="21"/>
  <c r="FY189" i="21"/>
  <c r="EA189" i="21"/>
  <c r="DL189" i="21"/>
  <c r="DH189" i="21"/>
  <c r="CG189" i="21"/>
  <c r="CF189" i="21"/>
  <c r="CH189" i="21" s="1"/>
  <c r="CE189" i="21"/>
  <c r="CD189" i="21"/>
  <c r="AS189" i="21"/>
  <c r="AM189" i="21"/>
  <c r="AK189" i="21"/>
  <c r="AJ189" i="21" s="1"/>
  <c r="AB189" i="21"/>
  <c r="Z189" i="21"/>
  <c r="W189" i="21"/>
  <c r="V189" i="21"/>
  <c r="U189" i="21"/>
  <c r="Q189" i="21"/>
  <c r="P189" i="21"/>
  <c r="DY189" i="21" s="1"/>
  <c r="O189" i="21"/>
  <c r="N189" i="21" s="1"/>
  <c r="L189" i="21"/>
  <c r="H189" i="21"/>
  <c r="S189" i="21" s="1"/>
  <c r="FZ188" i="21"/>
  <c r="FY188" i="21" s="1"/>
  <c r="EE188" i="21"/>
  <c r="EA188" i="21"/>
  <c r="DH188" i="21"/>
  <c r="CG188" i="21"/>
  <c r="CF188" i="21"/>
  <c r="CH188" i="21" s="1"/>
  <c r="CE188" i="21"/>
  <c r="CD188" i="21"/>
  <c r="AS188" i="21"/>
  <c r="AI188" i="21"/>
  <c r="AB188" i="21"/>
  <c r="Z188" i="21"/>
  <c r="W188" i="21"/>
  <c r="V188" i="21"/>
  <c r="T188" i="21"/>
  <c r="S188" i="21"/>
  <c r="Q188" i="21"/>
  <c r="P188" i="21"/>
  <c r="DY188" i="21" s="1"/>
  <c r="O188" i="21"/>
  <c r="N188" i="21"/>
  <c r="H188" i="21"/>
  <c r="AN188" i="21" s="1"/>
  <c r="FZ187" i="21"/>
  <c r="DL187" i="21"/>
  <c r="DH187" i="21"/>
  <c r="CG187" i="21"/>
  <c r="CF187" i="21"/>
  <c r="CH187" i="21" s="1"/>
  <c r="CE187" i="21"/>
  <c r="CD187" i="21"/>
  <c r="BA187" i="21"/>
  <c r="AS187" i="21"/>
  <c r="AM187" i="21"/>
  <c r="AI187" i="21"/>
  <c r="EA187" i="21" s="1"/>
  <c r="AB187" i="21"/>
  <c r="Z187" i="21"/>
  <c r="BI187" i="21" s="1"/>
  <c r="X187" i="21"/>
  <c r="Y187" i="21" s="1"/>
  <c r="W187" i="21"/>
  <c r="V187" i="21"/>
  <c r="S187" i="21"/>
  <c r="Q187" i="21"/>
  <c r="P187" i="21"/>
  <c r="DY187" i="21" s="1"/>
  <c r="O187" i="21"/>
  <c r="N187" i="21" s="1"/>
  <c r="EE187" i="21" s="1"/>
  <c r="L187" i="21"/>
  <c r="H187" i="21"/>
  <c r="AK187" i="21" s="1"/>
  <c r="FZ186" i="21"/>
  <c r="DH186" i="21"/>
  <c r="CG186" i="21"/>
  <c r="CF186" i="21"/>
  <c r="CH186" i="21" s="1"/>
  <c r="CE186" i="21"/>
  <c r="CD186" i="21"/>
  <c r="CA186" i="21"/>
  <c r="BI186" i="21"/>
  <c r="AS186" i="21"/>
  <c r="AI186" i="21"/>
  <c r="EA186" i="21" s="1"/>
  <c r="AB186" i="21"/>
  <c r="Z186" i="21"/>
  <c r="Y186" i="21"/>
  <c r="X186" i="21"/>
  <c r="EL186" i="21" s="1"/>
  <c r="EK186" i="21" s="1"/>
  <c r="W186" i="21"/>
  <c r="BA186" i="21" s="1"/>
  <c r="V186" i="21"/>
  <c r="U186" i="21"/>
  <c r="S186" i="21"/>
  <c r="Q186" i="21"/>
  <c r="N186" i="21" s="1"/>
  <c r="EE186" i="21" s="1"/>
  <c r="P186" i="21"/>
  <c r="DY186" i="21" s="1"/>
  <c r="O186" i="21"/>
  <c r="H186" i="21"/>
  <c r="AL186" i="21" s="1"/>
  <c r="FZ185" i="21"/>
  <c r="EA185" i="21"/>
  <c r="DL185" i="21"/>
  <c r="DH185" i="21"/>
  <c r="CG185" i="21"/>
  <c r="CF185" i="21"/>
  <c r="CH185" i="21" s="1"/>
  <c r="CD185" i="21"/>
  <c r="CE185" i="21" s="1"/>
  <c r="BE185" i="21"/>
  <c r="AS185" i="21"/>
  <c r="AB185" i="21"/>
  <c r="Z185" i="21"/>
  <c r="W185" i="21"/>
  <c r="BA185" i="21" s="1"/>
  <c r="V185" i="21"/>
  <c r="T185" i="21"/>
  <c r="S185" i="21"/>
  <c r="Q185" i="21"/>
  <c r="P185" i="21"/>
  <c r="DY185" i="21" s="1"/>
  <c r="O185" i="21"/>
  <c r="N185" i="21" s="1"/>
  <c r="EE185" i="21" s="1"/>
  <c r="H185" i="21"/>
  <c r="FZ184" i="21"/>
  <c r="EA184" i="21"/>
  <c r="DL184" i="21"/>
  <c r="DH184" i="21"/>
  <c r="CM184" i="21"/>
  <c r="CG184" i="21"/>
  <c r="CF184" i="21"/>
  <c r="CH184" i="21" s="1"/>
  <c r="CE184" i="21"/>
  <c r="CD184" i="21"/>
  <c r="AX184" i="21"/>
  <c r="AS184" i="21"/>
  <c r="AM184" i="21"/>
  <c r="AK184" i="21"/>
  <c r="AJ184" i="21" s="1"/>
  <c r="AB184" i="21"/>
  <c r="Z184" i="21"/>
  <c r="X184" i="21"/>
  <c r="EL184" i="21" s="1"/>
  <c r="EK184" i="21" s="1"/>
  <c r="W184" i="21"/>
  <c r="V184" i="21"/>
  <c r="S184" i="21"/>
  <c r="Q184" i="21"/>
  <c r="P184" i="21"/>
  <c r="DY184" i="21" s="1"/>
  <c r="O184" i="21"/>
  <c r="I184" i="21"/>
  <c r="M184" i="21" s="1"/>
  <c r="H184" i="21"/>
  <c r="FZ183" i="21"/>
  <c r="FX183" i="21"/>
  <c r="EA183" i="21"/>
  <c r="DL183" i="21"/>
  <c r="DI183" i="21"/>
  <c r="DH183" i="21"/>
  <c r="CG183" i="21"/>
  <c r="CH183" i="21" s="1"/>
  <c r="CF183" i="21"/>
  <c r="CE183" i="21"/>
  <c r="CD183" i="21"/>
  <c r="BF183" i="21"/>
  <c r="BE183" i="21"/>
  <c r="AX183" i="21"/>
  <c r="AS183" i="21"/>
  <c r="AK183" i="21"/>
  <c r="AI183" i="21"/>
  <c r="AB183" i="21"/>
  <c r="Z183" i="21"/>
  <c r="X183" i="21"/>
  <c r="EL183" i="21" s="1"/>
  <c r="EK183" i="21" s="1"/>
  <c r="W183" i="21"/>
  <c r="BA183" i="21" s="1"/>
  <c r="BB183" i="21" s="1"/>
  <c r="V183" i="21"/>
  <c r="U183" i="21"/>
  <c r="S183" i="21"/>
  <c r="AN183" i="21" s="1"/>
  <c r="Q183" i="21"/>
  <c r="P183" i="21"/>
  <c r="DY183" i="21" s="1"/>
  <c r="O183" i="21"/>
  <c r="M183" i="21"/>
  <c r="L183" i="21"/>
  <c r="I183" i="21"/>
  <c r="H183" i="21"/>
  <c r="FZ182" i="21"/>
  <c r="FX182" i="21"/>
  <c r="EK182" i="21"/>
  <c r="EA182" i="21"/>
  <c r="DY182" i="21"/>
  <c r="DL182" i="21"/>
  <c r="DI182" i="21"/>
  <c r="DH182" i="21"/>
  <c r="CH182" i="21"/>
  <c r="CG182" i="21"/>
  <c r="CF182" i="21"/>
  <c r="CD182" i="21"/>
  <c r="CE182" i="21" s="1"/>
  <c r="BZ182" i="21"/>
  <c r="BF182" i="21"/>
  <c r="BE182" i="21"/>
  <c r="AX182" i="21"/>
  <c r="AS182" i="21"/>
  <c r="AN182" i="21"/>
  <c r="AM182" i="21"/>
  <c r="AK182" i="21"/>
  <c r="AJ182" i="21" s="1"/>
  <c r="AB182" i="21"/>
  <c r="Z182" i="21"/>
  <c r="BI182" i="21" s="1"/>
  <c r="Y182" i="21"/>
  <c r="X182" i="21"/>
  <c r="EL182" i="21" s="1"/>
  <c r="W182" i="21"/>
  <c r="V182" i="21"/>
  <c r="S182" i="21"/>
  <c r="Q182" i="21"/>
  <c r="P182" i="21"/>
  <c r="O182" i="21"/>
  <c r="U182" i="21" s="1"/>
  <c r="N182" i="21"/>
  <c r="EE182" i="21" s="1"/>
  <c r="M182" i="21"/>
  <c r="L182" i="21"/>
  <c r="I182" i="21"/>
  <c r="H182" i="21"/>
  <c r="FZ181" i="21"/>
  <c r="FY181" i="21"/>
  <c r="EA181" i="21"/>
  <c r="DL181" i="21"/>
  <c r="DH181" i="21"/>
  <c r="CH181" i="21"/>
  <c r="CG181" i="21"/>
  <c r="CF181" i="21"/>
  <c r="CE181" i="21"/>
  <c r="CD181" i="21"/>
  <c r="BA181" i="21"/>
  <c r="AS181" i="21"/>
  <c r="AK181" i="21"/>
  <c r="AJ181" i="21"/>
  <c r="AB181" i="21"/>
  <c r="Z181" i="21"/>
  <c r="X181" i="21"/>
  <c r="EL181" i="21" s="1"/>
  <c r="EK181" i="21" s="1"/>
  <c r="W181" i="21"/>
  <c r="V181" i="21"/>
  <c r="Q181" i="21"/>
  <c r="P181" i="21"/>
  <c r="DY181" i="21" s="1"/>
  <c r="O181" i="21"/>
  <c r="L181" i="21"/>
  <c r="I181" i="21"/>
  <c r="M181" i="21" s="1"/>
  <c r="H181" i="21"/>
  <c r="AM181" i="21" s="1"/>
  <c r="FZ180" i="21"/>
  <c r="FX180" i="21"/>
  <c r="DL180" i="21"/>
  <c r="DI180" i="21"/>
  <c r="DH180" i="21"/>
  <c r="CG180" i="21"/>
  <c r="CH180" i="21" s="1"/>
  <c r="CF180" i="21"/>
  <c r="CD180" i="21"/>
  <c r="CE180" i="21" s="1"/>
  <c r="BB180" i="21"/>
  <c r="AX180" i="21"/>
  <c r="AS180" i="21"/>
  <c r="AM180" i="21"/>
  <c r="AK180" i="21"/>
  <c r="AI180" i="21"/>
  <c r="EA180" i="21" s="1"/>
  <c r="AB180" i="21"/>
  <c r="Z180" i="21"/>
  <c r="W180" i="21"/>
  <c r="BA180" i="21" s="1"/>
  <c r="V180" i="21"/>
  <c r="T180" i="21"/>
  <c r="S180" i="21"/>
  <c r="AN180" i="21" s="1"/>
  <c r="Q180" i="21"/>
  <c r="BZ180" i="21" s="1"/>
  <c r="P180" i="21"/>
  <c r="DY180" i="21" s="1"/>
  <c r="O180" i="21"/>
  <c r="M180" i="21"/>
  <c r="L180" i="21"/>
  <c r="I180" i="21"/>
  <c r="H180" i="21"/>
  <c r="FZ179" i="21"/>
  <c r="FX179" i="21"/>
  <c r="EL179" i="21"/>
  <c r="EK179" i="21" s="1"/>
  <c r="EA179" i="21"/>
  <c r="DY179" i="21"/>
  <c r="DH179" i="21"/>
  <c r="CG179" i="21"/>
  <c r="CF179" i="21"/>
  <c r="CH179" i="21" s="1"/>
  <c r="CD179" i="21"/>
  <c r="CE179" i="21" s="1"/>
  <c r="BA179" i="21"/>
  <c r="AS179" i="21"/>
  <c r="AB179" i="21"/>
  <c r="Z179" i="21"/>
  <c r="Y179" i="21"/>
  <c r="DT179" i="21" s="1"/>
  <c r="X179" i="21"/>
  <c r="W179" i="21"/>
  <c r="V179" i="21"/>
  <c r="U179" i="21"/>
  <c r="Q179" i="21"/>
  <c r="N179" i="21" s="1"/>
  <c r="P179" i="21"/>
  <c r="O179" i="21"/>
  <c r="BE179" i="21" s="1"/>
  <c r="H179" i="21"/>
  <c r="FZ178" i="21"/>
  <c r="FX178" i="21"/>
  <c r="EA178" i="21"/>
  <c r="DY178" i="21"/>
  <c r="DL178" i="21"/>
  <c r="DH178" i="21"/>
  <c r="CH178" i="21"/>
  <c r="CG178" i="21"/>
  <c r="CF178" i="21"/>
  <c r="CD178" i="21"/>
  <c r="CE178" i="21" s="1"/>
  <c r="BE178" i="21"/>
  <c r="BA178" i="21"/>
  <c r="AS178" i="21"/>
  <c r="AM178" i="21"/>
  <c r="AK178" i="21"/>
  <c r="AJ178" i="21"/>
  <c r="AI178" i="21"/>
  <c r="AB178" i="21"/>
  <c r="Z178" i="21"/>
  <c r="X178" i="21"/>
  <c r="EL178" i="21" s="1"/>
  <c r="EK178" i="21" s="1"/>
  <c r="W178" i="21"/>
  <c r="V178" i="21"/>
  <c r="U178" i="21"/>
  <c r="S178" i="21"/>
  <c r="Q178" i="21"/>
  <c r="BZ178" i="21" s="1"/>
  <c r="P178" i="21"/>
  <c r="O178" i="21"/>
  <c r="H178" i="21"/>
  <c r="FZ177" i="21"/>
  <c r="FY177" i="21" s="1"/>
  <c r="EA177" i="21"/>
  <c r="DY177" i="21"/>
  <c r="DL177" i="21"/>
  <c r="DH177" i="21"/>
  <c r="CH177" i="21"/>
  <c r="CG177" i="21"/>
  <c r="CF177" i="21"/>
  <c r="CD177" i="21"/>
  <c r="CE177" i="21" s="1"/>
  <c r="BA177" i="21"/>
  <c r="AS177" i="21"/>
  <c r="AI177" i="21"/>
  <c r="AB177" i="21"/>
  <c r="Z177" i="21"/>
  <c r="X177" i="21"/>
  <c r="W177" i="21"/>
  <c r="V177" i="21"/>
  <c r="Q177" i="21"/>
  <c r="P177" i="21"/>
  <c r="O177" i="21"/>
  <c r="N177" i="21" s="1"/>
  <c r="EE177" i="21" s="1"/>
  <c r="L177" i="21"/>
  <c r="H177" i="21"/>
  <c r="GA176" i="21"/>
  <c r="FZ176" i="21"/>
  <c r="FY176" i="21"/>
  <c r="FX176" i="21"/>
  <c r="EA176" i="21"/>
  <c r="DY176" i="21"/>
  <c r="DH176" i="21"/>
  <c r="CG176" i="21"/>
  <c r="CF176" i="21"/>
  <c r="CH176" i="21" s="1"/>
  <c r="CE176" i="21"/>
  <c r="CD176" i="21"/>
  <c r="BZ176" i="21"/>
  <c r="BR176" i="21"/>
  <c r="DZ176" i="21" s="1"/>
  <c r="EB176" i="21" s="1"/>
  <c r="AS176" i="21"/>
  <c r="AM176" i="21"/>
  <c r="AK176" i="21"/>
  <c r="AJ176" i="21" s="1"/>
  <c r="AB176" i="21"/>
  <c r="Z176" i="21"/>
  <c r="W176" i="21"/>
  <c r="V176" i="21"/>
  <c r="U176" i="21"/>
  <c r="Q176" i="21"/>
  <c r="P176" i="21"/>
  <c r="O176" i="21"/>
  <c r="BE176" i="21" s="1"/>
  <c r="I176" i="21"/>
  <c r="M176" i="21" s="1"/>
  <c r="BF176" i="21" s="1"/>
  <c r="H176" i="21"/>
  <c r="L176" i="21" s="1"/>
  <c r="FZ175" i="21"/>
  <c r="FY175" i="21"/>
  <c r="EA175" i="21"/>
  <c r="DY175" i="21"/>
  <c r="DL175" i="21"/>
  <c r="DH175" i="21"/>
  <c r="CG175" i="21"/>
  <c r="CF175" i="21"/>
  <c r="CH175" i="21" s="1"/>
  <c r="CD175" i="21"/>
  <c r="CE175" i="21" s="1"/>
  <c r="BA175" i="21"/>
  <c r="AS175" i="21"/>
  <c r="AB175" i="21"/>
  <c r="Z175" i="21"/>
  <c r="W175" i="21"/>
  <c r="V175" i="21"/>
  <c r="U175" i="21"/>
  <c r="AY175" i="21" s="1"/>
  <c r="T175" i="21"/>
  <c r="S175" i="21"/>
  <c r="Q175" i="21"/>
  <c r="P175" i="21"/>
  <c r="O175" i="21"/>
  <c r="BR175" i="21" s="1"/>
  <c r="DZ175" i="21" s="1"/>
  <c r="EB175" i="21" s="1"/>
  <c r="N175" i="21"/>
  <c r="EE175" i="21" s="1"/>
  <c r="L175" i="21"/>
  <c r="H175" i="21"/>
  <c r="FZ174" i="21"/>
  <c r="FY174" i="21"/>
  <c r="EL174" i="21"/>
  <c r="EK174" i="21" s="1"/>
  <c r="EB174" i="21"/>
  <c r="EA174" i="21"/>
  <c r="DZ174" i="21"/>
  <c r="DY174" i="21"/>
  <c r="DL174" i="21"/>
  <c r="DH174" i="21"/>
  <c r="CG174" i="21"/>
  <c r="CF174" i="21"/>
  <c r="CD174" i="21"/>
  <c r="CE174" i="21" s="1"/>
  <c r="BR174" i="21"/>
  <c r="BI174" i="21"/>
  <c r="BA174" i="21"/>
  <c r="AS174" i="21"/>
  <c r="AN174" i="21"/>
  <c r="AM174" i="21"/>
  <c r="AK174" i="21"/>
  <c r="AJ174" i="21" s="1"/>
  <c r="AI174" i="21"/>
  <c r="AB174" i="21"/>
  <c r="Z174" i="21"/>
  <c r="X174" i="21"/>
  <c r="Y174" i="21" s="1"/>
  <c r="W174" i="21"/>
  <c r="V174" i="21"/>
  <c r="Q174" i="21"/>
  <c r="P174" i="21"/>
  <c r="O174" i="21"/>
  <c r="BE174" i="21" s="1"/>
  <c r="L174" i="21"/>
  <c r="H174" i="21"/>
  <c r="S174" i="21" s="1"/>
  <c r="FZ173" i="21"/>
  <c r="EA173" i="21"/>
  <c r="DL173" i="21"/>
  <c r="DH173" i="21"/>
  <c r="CG173" i="21"/>
  <c r="CF173" i="21"/>
  <c r="CD173" i="21"/>
  <c r="CE173" i="21" s="1"/>
  <c r="AS173" i="21"/>
  <c r="AI173" i="21"/>
  <c r="AB173" i="21"/>
  <c r="Z173" i="21"/>
  <c r="W173" i="21"/>
  <c r="V173" i="21"/>
  <c r="Q173" i="21"/>
  <c r="P173" i="21"/>
  <c r="DY173" i="21" s="1"/>
  <c r="O173" i="21"/>
  <c r="N173" i="21"/>
  <c r="EE173" i="21" s="1"/>
  <c r="L173" i="21"/>
  <c r="H173" i="21"/>
  <c r="AM173" i="21" s="1"/>
  <c r="FZ172" i="21"/>
  <c r="FX172" i="21"/>
  <c r="EL172" i="21"/>
  <c r="EK172" i="21" s="1"/>
  <c r="EA172" i="21"/>
  <c r="DI172" i="21"/>
  <c r="DH172" i="21"/>
  <c r="CO172" i="21"/>
  <c r="CG172" i="21"/>
  <c r="CF172" i="21"/>
  <c r="CH172" i="21" s="1"/>
  <c r="CE172" i="21"/>
  <c r="CD172" i="21"/>
  <c r="CA172" i="21"/>
  <c r="BE172" i="21"/>
  <c r="AX172" i="21"/>
  <c r="AS172" i="21"/>
  <c r="AM172" i="21"/>
  <c r="AB172" i="21"/>
  <c r="Z172" i="21"/>
  <c r="Y172" i="21"/>
  <c r="DT172" i="21" s="1"/>
  <c r="X172" i="21"/>
  <c r="W172" i="21"/>
  <c r="V172" i="21"/>
  <c r="U172" i="21"/>
  <c r="Q172" i="21"/>
  <c r="P172" i="21"/>
  <c r="DY172" i="21" s="1"/>
  <c r="O172" i="21"/>
  <c r="L172" i="21"/>
  <c r="I172" i="21"/>
  <c r="M172" i="21" s="1"/>
  <c r="BF172" i="21" s="1"/>
  <c r="H172" i="21"/>
  <c r="GA171" i="21"/>
  <c r="FZ171" i="21"/>
  <c r="FY171" i="21"/>
  <c r="FX171" i="21"/>
  <c r="FG171" i="21"/>
  <c r="EA171" i="21"/>
  <c r="DY171" i="21"/>
  <c r="DL171" i="21"/>
  <c r="DH171" i="21"/>
  <c r="CM171" i="21"/>
  <c r="CU171" i="21" s="1"/>
  <c r="CG171" i="21"/>
  <c r="CF171" i="21"/>
  <c r="CH171" i="21" s="1"/>
  <c r="CE171" i="21"/>
  <c r="CD171" i="21"/>
  <c r="CB171" i="21"/>
  <c r="CI171" i="21" s="1"/>
  <c r="CK171" i="21" s="1"/>
  <c r="CA171" i="21"/>
  <c r="BZ171" i="21"/>
  <c r="BR171" i="21"/>
  <c r="DZ171" i="21" s="1"/>
  <c r="EB171" i="21" s="1"/>
  <c r="BF171" i="21"/>
  <c r="AX171" i="21"/>
  <c r="AS171" i="21"/>
  <c r="AN171" i="21"/>
  <c r="AM171" i="21"/>
  <c r="AK171" i="21"/>
  <c r="AJ171" i="21" s="1"/>
  <c r="AB171" i="21"/>
  <c r="Z171" i="21"/>
  <c r="W171" i="21"/>
  <c r="V171" i="21"/>
  <c r="S171" i="21"/>
  <c r="Q171" i="21"/>
  <c r="T171" i="21" s="1"/>
  <c r="P171" i="21"/>
  <c r="O171" i="21"/>
  <c r="BE171" i="21" s="1"/>
  <c r="L171" i="21"/>
  <c r="I171" i="21"/>
  <c r="M171" i="21" s="1"/>
  <c r="H171" i="21"/>
  <c r="FZ170" i="21"/>
  <c r="FY170" i="21"/>
  <c r="FX170" i="21"/>
  <c r="EA170" i="21"/>
  <c r="DL170" i="21"/>
  <c r="DH170" i="21"/>
  <c r="CG170" i="21"/>
  <c r="CH170" i="21" s="1"/>
  <c r="CF170" i="21"/>
  <c r="CD170" i="21"/>
  <c r="CE170" i="21" s="1"/>
  <c r="CA170" i="21"/>
  <c r="BZ170" i="21"/>
  <c r="CB170" i="21" s="1"/>
  <c r="CI170" i="21" s="1"/>
  <c r="BR170" i="21"/>
  <c r="DZ170" i="21" s="1"/>
  <c r="EB170" i="21" s="1"/>
  <c r="BE170" i="21"/>
  <c r="AS170" i="21"/>
  <c r="AL170" i="21"/>
  <c r="AK170" i="21"/>
  <c r="AJ170" i="21"/>
  <c r="AB170" i="21"/>
  <c r="Z170" i="21"/>
  <c r="W170" i="21"/>
  <c r="V170" i="21"/>
  <c r="U170" i="21"/>
  <c r="AY170" i="21" s="1"/>
  <c r="S170" i="21"/>
  <c r="Q170" i="21"/>
  <c r="P170" i="21"/>
  <c r="DY170" i="21" s="1"/>
  <c r="O170" i="21"/>
  <c r="T170" i="21" s="1"/>
  <c r="N170" i="21"/>
  <c r="EE170" i="21" s="1"/>
  <c r="H170" i="21"/>
  <c r="FZ169" i="21"/>
  <c r="FY169" i="21"/>
  <c r="EA169" i="21"/>
  <c r="DL169" i="21"/>
  <c r="DH169" i="21"/>
  <c r="CG169" i="21"/>
  <c r="CF169" i="21"/>
  <c r="CH169" i="21" s="1"/>
  <c r="CD169" i="21"/>
  <c r="CE169" i="21" s="1"/>
  <c r="CA169" i="21"/>
  <c r="BE169" i="21"/>
  <c r="BA169" i="21"/>
  <c r="BB169" i="21" s="1"/>
  <c r="AS169" i="21"/>
  <c r="AM169" i="21"/>
  <c r="AI169" i="21"/>
  <c r="AB169" i="21"/>
  <c r="Z169" i="21"/>
  <c r="W169" i="21"/>
  <c r="V169" i="21"/>
  <c r="U169" i="21"/>
  <c r="T169" i="21"/>
  <c r="Q169" i="21"/>
  <c r="P169" i="21"/>
  <c r="DY169" i="21" s="1"/>
  <c r="O169" i="21"/>
  <c r="FX169" i="21" s="1"/>
  <c r="I169" i="21"/>
  <c r="H169" i="21"/>
  <c r="AK169" i="21" s="1"/>
  <c r="AJ169" i="21" s="1"/>
  <c r="FZ168" i="21"/>
  <c r="FX168" i="21"/>
  <c r="FG168" i="21"/>
  <c r="EA168" i="21"/>
  <c r="DL168" i="21"/>
  <c r="DI168" i="21"/>
  <c r="DH168" i="21"/>
  <c r="CG168" i="21"/>
  <c r="CF168" i="21"/>
  <c r="CH168" i="21" s="1"/>
  <c r="CE168" i="21"/>
  <c r="CD168" i="21"/>
  <c r="BF168" i="21"/>
  <c r="CO168" i="21" s="1"/>
  <c r="BE168" i="21"/>
  <c r="AX168" i="21"/>
  <c r="CM168" i="21" s="1"/>
  <c r="CU168" i="21" s="1"/>
  <c r="AS168" i="21"/>
  <c r="AM168" i="21"/>
  <c r="AB168" i="21"/>
  <c r="Z168" i="21"/>
  <c r="Y168" i="21"/>
  <c r="X168" i="21"/>
  <c r="EL168" i="21" s="1"/>
  <c r="EK168" i="21" s="1"/>
  <c r="W168" i="21"/>
  <c r="V168" i="21"/>
  <c r="U168" i="21"/>
  <c r="S168" i="21"/>
  <c r="AN168" i="21" s="1"/>
  <c r="Q168" i="21"/>
  <c r="BR168" i="21" s="1"/>
  <c r="DZ168" i="21" s="1"/>
  <c r="EB168" i="21" s="1"/>
  <c r="P168" i="21"/>
  <c r="DY168" i="21" s="1"/>
  <c r="O168" i="21"/>
  <c r="I168" i="21"/>
  <c r="M168" i="21" s="1"/>
  <c r="H168" i="21"/>
  <c r="L168" i="21" s="1"/>
  <c r="FZ167" i="21"/>
  <c r="EA167" i="21"/>
  <c r="DL167" i="21"/>
  <c r="DH167" i="21"/>
  <c r="CH167" i="21"/>
  <c r="CG167" i="21"/>
  <c r="CF167" i="21"/>
  <c r="CD167" i="21"/>
  <c r="CE167" i="21" s="1"/>
  <c r="BF167" i="21"/>
  <c r="CO167" i="21" s="1"/>
  <c r="BE167" i="21"/>
  <c r="AS167" i="21"/>
  <c r="AM167" i="21"/>
  <c r="AK167" i="21"/>
  <c r="AB167" i="21"/>
  <c r="Z167" i="21"/>
  <c r="W167" i="21"/>
  <c r="V167" i="21"/>
  <c r="T167" i="21"/>
  <c r="S167" i="21"/>
  <c r="Q167" i="21"/>
  <c r="P167" i="21"/>
  <c r="DY167" i="21" s="1"/>
  <c r="O167" i="21"/>
  <c r="M167" i="21"/>
  <c r="L167" i="21"/>
  <c r="H167" i="21"/>
  <c r="I167" i="21" s="1"/>
  <c r="FZ166" i="21"/>
  <c r="FY166" i="21"/>
  <c r="DI166" i="21"/>
  <c r="DH166" i="21"/>
  <c r="CG166" i="21"/>
  <c r="CF166" i="21"/>
  <c r="CH166" i="21" s="1"/>
  <c r="CD166" i="21"/>
  <c r="CE166" i="21" s="1"/>
  <c r="BA166" i="21"/>
  <c r="AS166" i="21"/>
  <c r="AP166" i="21"/>
  <c r="AP167" i="21" s="1"/>
  <c r="AI166" i="21"/>
  <c r="EA166" i="21" s="1"/>
  <c r="AB166" i="21"/>
  <c r="Z166" i="21"/>
  <c r="W166" i="21"/>
  <c r="X166" i="21" s="1"/>
  <c r="EL166" i="21" s="1"/>
  <c r="EK166" i="21" s="1"/>
  <c r="V166" i="21"/>
  <c r="U166" i="21"/>
  <c r="AY166" i="21" s="1"/>
  <c r="T166" i="21"/>
  <c r="AZ166" i="21" s="1"/>
  <c r="Q166" i="21"/>
  <c r="BZ166" i="21" s="1"/>
  <c r="P166" i="21"/>
  <c r="DY166" i="21" s="1"/>
  <c r="O166" i="21"/>
  <c r="N166" i="21" s="1"/>
  <c r="EE166" i="21" s="1"/>
  <c r="L166" i="21"/>
  <c r="I166" i="21"/>
  <c r="H166" i="21"/>
  <c r="FZ165" i="21"/>
  <c r="EL165" i="21"/>
  <c r="EK165" i="21"/>
  <c r="EA165" i="21"/>
  <c r="DH165" i="21"/>
  <c r="CH165" i="21"/>
  <c r="CG165" i="21"/>
  <c r="CF165" i="21"/>
  <c r="CD165" i="21"/>
  <c r="CE165" i="21" s="1"/>
  <c r="BA165" i="21"/>
  <c r="AS165" i="21"/>
  <c r="AB165" i="21"/>
  <c r="Z165" i="21"/>
  <c r="X165" i="21"/>
  <c r="Y165" i="21" s="1"/>
  <c r="W165" i="21"/>
  <c r="V165" i="21"/>
  <c r="Q165" i="21"/>
  <c r="P165" i="21"/>
  <c r="DY165" i="21" s="1"/>
  <c r="O165" i="21"/>
  <c r="N165" i="21"/>
  <c r="EE165" i="21" s="1"/>
  <c r="L165" i="21"/>
  <c r="H165" i="21"/>
  <c r="GA164" i="21"/>
  <c r="FZ164" i="21"/>
  <c r="FY164" i="21"/>
  <c r="FX164" i="21"/>
  <c r="EA164" i="21"/>
  <c r="DZ164" i="21"/>
  <c r="EB164" i="21" s="1"/>
  <c r="DL164" i="21"/>
  <c r="DI164" i="21"/>
  <c r="DH164" i="21"/>
  <c r="CH164" i="21"/>
  <c r="CG164" i="21"/>
  <c r="CF164" i="21"/>
  <c r="CD164" i="21"/>
  <c r="CE164" i="21" s="1"/>
  <c r="CA164" i="21"/>
  <c r="BR164" i="21"/>
  <c r="BE164" i="21"/>
  <c r="BB164" i="21"/>
  <c r="AZ164" i="21"/>
  <c r="AV164" i="21" s="1"/>
  <c r="AW164" i="21" s="1"/>
  <c r="AT164" i="21"/>
  <c r="AU164" i="21" s="1"/>
  <c r="AQ164" i="21"/>
  <c r="AN164" i="21"/>
  <c r="AM164" i="21"/>
  <c r="AL164" i="21"/>
  <c r="AK164" i="21"/>
  <c r="AJ164" i="21" s="1"/>
  <c r="AB164" i="21"/>
  <c r="Z164" i="21"/>
  <c r="W164" i="21"/>
  <c r="BA164" i="21" s="1"/>
  <c r="V164" i="21"/>
  <c r="U164" i="21"/>
  <c r="AY164" i="21" s="1"/>
  <c r="BH164" i="21" s="1"/>
  <c r="T164" i="21"/>
  <c r="S164" i="21"/>
  <c r="O164" i="21"/>
  <c r="L164" i="21"/>
  <c r="I164" i="21"/>
  <c r="AX164" i="21" s="1"/>
  <c r="GA163" i="21"/>
  <c r="FZ163" i="21"/>
  <c r="FY163" i="21"/>
  <c r="FX163" i="21"/>
  <c r="EA163" i="21"/>
  <c r="DM163" i="21"/>
  <c r="DL163" i="21"/>
  <c r="DI163" i="21"/>
  <c r="DH163" i="21"/>
  <c r="CG163" i="21"/>
  <c r="CF163" i="21"/>
  <c r="CH163" i="21" s="1"/>
  <c r="CE163" i="21"/>
  <c r="CD163" i="21"/>
  <c r="BR163" i="21"/>
  <c r="DZ163" i="21" s="1"/>
  <c r="EB163" i="21" s="1"/>
  <c r="EH163" i="21" s="1"/>
  <c r="BB163" i="21"/>
  <c r="AX163" i="21"/>
  <c r="AT163" i="21"/>
  <c r="DU163" i="21" s="1"/>
  <c r="AN163" i="21"/>
  <c r="AM163" i="21"/>
  <c r="AL163" i="21"/>
  <c r="AQ163" i="21" s="1"/>
  <c r="AK163" i="21"/>
  <c r="AJ163" i="21" s="1"/>
  <c r="Z163" i="21"/>
  <c r="BI163" i="21" s="1"/>
  <c r="X163" i="21"/>
  <c r="Y163" i="21" s="1"/>
  <c r="DR163" i="21" s="1"/>
  <c r="W163" i="21"/>
  <c r="BA163" i="21" s="1"/>
  <c r="V163" i="21"/>
  <c r="S163" i="21"/>
  <c r="O163" i="21"/>
  <c r="CA163" i="21" s="1"/>
  <c r="M163" i="21"/>
  <c r="L163" i="21"/>
  <c r="I163" i="21"/>
  <c r="P163" i="21" s="1"/>
  <c r="DY163" i="21" s="1"/>
  <c r="FZ162" i="21"/>
  <c r="FY162" i="21"/>
  <c r="FX162" i="21"/>
  <c r="GA162" i="21" s="1"/>
  <c r="EA162" i="21"/>
  <c r="DL162" i="21"/>
  <c r="DH162" i="21"/>
  <c r="CG162" i="21"/>
  <c r="CF162" i="21"/>
  <c r="CD162" i="21"/>
  <c r="CE162" i="21" s="1"/>
  <c r="CA162" i="21"/>
  <c r="BZ162" i="21"/>
  <c r="BR162" i="21"/>
  <c r="DZ162" i="21" s="1"/>
  <c r="EB162" i="21" s="1"/>
  <c r="EH162" i="21" s="1"/>
  <c r="AX162" i="21"/>
  <c r="AN162" i="21"/>
  <c r="AM162" i="21"/>
  <c r="AL162" i="21"/>
  <c r="AQ162" i="21" s="1"/>
  <c r="AK162" i="21"/>
  <c r="Z162" i="21"/>
  <c r="W162" i="21"/>
  <c r="BA162" i="21" s="1"/>
  <c r="BB162" i="21" s="1"/>
  <c r="V162" i="21"/>
  <c r="U162" i="21"/>
  <c r="T162" i="21"/>
  <c r="S162" i="21"/>
  <c r="O162" i="21"/>
  <c r="BE162" i="21" s="1"/>
  <c r="M162" i="21"/>
  <c r="BF162" i="21" s="1"/>
  <c r="L162" i="21"/>
  <c r="I162" i="21"/>
  <c r="P162" i="21" s="1"/>
  <c r="DY162" i="21" s="1"/>
  <c r="FZ161" i="21"/>
  <c r="FY161" i="21"/>
  <c r="EL161" i="21"/>
  <c r="EK161" i="21" s="1"/>
  <c r="EA161" i="21"/>
  <c r="DL161" i="21"/>
  <c r="DH161" i="21"/>
  <c r="CG161" i="21"/>
  <c r="CF161" i="21"/>
  <c r="CD161" i="21"/>
  <c r="CE161" i="21" s="1"/>
  <c r="BI161" i="21"/>
  <c r="BA161" i="21"/>
  <c r="BB161" i="21" s="1"/>
  <c r="AX161" i="21"/>
  <c r="AN161" i="21"/>
  <c r="AM161" i="21"/>
  <c r="AL161" i="21"/>
  <c r="AQ161" i="21" s="1"/>
  <c r="AK161" i="21"/>
  <c r="Z161" i="21"/>
  <c r="X161" i="21"/>
  <c r="Y161" i="21" s="1"/>
  <c r="W161" i="21"/>
  <c r="V161" i="21"/>
  <c r="S161" i="21"/>
  <c r="O161" i="21"/>
  <c r="M161" i="21"/>
  <c r="L161" i="21"/>
  <c r="I161" i="21"/>
  <c r="FZ160" i="21"/>
  <c r="FY160" i="21"/>
  <c r="FX160" i="21"/>
  <c r="GA160" i="21" s="1"/>
  <c r="EA160" i="21"/>
  <c r="DL160" i="21"/>
  <c r="DH160" i="21"/>
  <c r="CG160" i="21"/>
  <c r="CF160" i="21"/>
  <c r="CE160" i="21"/>
  <c r="CD160" i="21"/>
  <c r="BA160" i="21"/>
  <c r="BB160" i="21" s="1"/>
  <c r="AX160" i="21"/>
  <c r="AN160" i="21"/>
  <c r="AM160" i="21"/>
  <c r="AL160" i="21"/>
  <c r="AQ160" i="21" s="1"/>
  <c r="AU160" i="21" s="1"/>
  <c r="AK160" i="21"/>
  <c r="AT160" i="21" s="1"/>
  <c r="DU160" i="21" s="1"/>
  <c r="AB160" i="21"/>
  <c r="Z160" i="21"/>
  <c r="X160" i="21"/>
  <c r="EL160" i="21" s="1"/>
  <c r="EK160" i="21" s="1"/>
  <c r="W160" i="21"/>
  <c r="V160" i="21"/>
  <c r="T160" i="21"/>
  <c r="S160" i="21"/>
  <c r="O160" i="21"/>
  <c r="BE160" i="21" s="1"/>
  <c r="L160" i="21"/>
  <c r="I160" i="21"/>
  <c r="FZ159" i="21"/>
  <c r="FY159" i="21"/>
  <c r="EA159" i="21"/>
  <c r="DL159" i="21"/>
  <c r="DH159" i="21"/>
  <c r="CH159" i="21"/>
  <c r="CG159" i="21"/>
  <c r="CF159" i="21"/>
  <c r="CE159" i="21"/>
  <c r="CD159" i="21"/>
  <c r="AX159" i="21"/>
  <c r="AN159" i="21"/>
  <c r="AM159" i="21"/>
  <c r="AL159" i="21"/>
  <c r="AQ159" i="21" s="1"/>
  <c r="AK159" i="21"/>
  <c r="AT159" i="21" s="1"/>
  <c r="DU159" i="21" s="1"/>
  <c r="Z159" i="21"/>
  <c r="W159" i="21"/>
  <c r="BA159" i="21" s="1"/>
  <c r="BB159" i="21" s="1"/>
  <c r="V159" i="21"/>
  <c r="S159" i="21"/>
  <c r="P159" i="21"/>
  <c r="DY159" i="21" s="1"/>
  <c r="O159" i="21"/>
  <c r="L159" i="21"/>
  <c r="I159" i="21"/>
  <c r="M159" i="21" s="1"/>
  <c r="FZ158" i="21"/>
  <c r="FY158" i="21"/>
  <c r="EA158" i="21"/>
  <c r="DL158" i="21"/>
  <c r="DH158" i="21"/>
  <c r="CG158" i="21"/>
  <c r="CF158" i="21"/>
  <c r="CH158" i="21" s="1"/>
  <c r="CD158" i="21"/>
  <c r="CE158" i="21" s="1"/>
  <c r="BZ158" i="21"/>
  <c r="BR158" i="21"/>
  <c r="DZ158" i="21" s="1"/>
  <c r="EB158" i="21" s="1"/>
  <c r="EH158" i="21" s="1"/>
  <c r="BA158" i="21"/>
  <c r="AY158" i="21"/>
  <c r="AX158" i="21"/>
  <c r="AN158" i="21"/>
  <c r="AM158" i="21"/>
  <c r="AL158" i="21"/>
  <c r="AQ158" i="21" s="1"/>
  <c r="AK158" i="21"/>
  <c r="Z158" i="21"/>
  <c r="X158" i="21"/>
  <c r="W158" i="21"/>
  <c r="V158" i="21"/>
  <c r="U158" i="21"/>
  <c r="T158" i="21"/>
  <c r="S158" i="21"/>
  <c r="P158" i="21"/>
  <c r="DY158" i="21" s="1"/>
  <c r="O158" i="21"/>
  <c r="M158" i="21"/>
  <c r="L158" i="21"/>
  <c r="I158" i="21"/>
  <c r="DI158" i="21" s="1"/>
  <c r="FZ157" i="21"/>
  <c r="FY157" i="21"/>
  <c r="EA157" i="21"/>
  <c r="DL157" i="21"/>
  <c r="DI157" i="21"/>
  <c r="DH157" i="21"/>
  <c r="CG157" i="21"/>
  <c r="CH157" i="21" s="1"/>
  <c r="CF157" i="21"/>
  <c r="CE157" i="21"/>
  <c r="CD157" i="21"/>
  <c r="BA157" i="21"/>
  <c r="AN157" i="21"/>
  <c r="AM157" i="21"/>
  <c r="AL157" i="21"/>
  <c r="AK157" i="21"/>
  <c r="Z157" i="21"/>
  <c r="W157" i="21"/>
  <c r="X157" i="21" s="1"/>
  <c r="V157" i="21"/>
  <c r="S157" i="21"/>
  <c r="O157" i="21"/>
  <c r="L157" i="21"/>
  <c r="I157" i="21"/>
  <c r="GA156" i="21"/>
  <c r="FZ156" i="21"/>
  <c r="FY156" i="21"/>
  <c r="FX156" i="21"/>
  <c r="EU156" i="21"/>
  <c r="EV156" i="21" s="1"/>
  <c r="EA156" i="21"/>
  <c r="DY156" i="21"/>
  <c r="DL156" i="21"/>
  <c r="DI156" i="21"/>
  <c r="ET156" i="21" s="1"/>
  <c r="DH156" i="21"/>
  <c r="CG156" i="21"/>
  <c r="CF156" i="21"/>
  <c r="CE156" i="21"/>
  <c r="CD156" i="21"/>
  <c r="CA156" i="21"/>
  <c r="BZ156" i="21"/>
  <c r="CB156" i="21" s="1"/>
  <c r="BR156" i="21"/>
  <c r="DZ156" i="21" s="1"/>
  <c r="EB156" i="21" s="1"/>
  <c r="EH156" i="21" s="1"/>
  <c r="BE156" i="21"/>
  <c r="AX156" i="21"/>
  <c r="AN156" i="21"/>
  <c r="AQ156" i="21" s="1"/>
  <c r="AU156" i="21" s="1"/>
  <c r="AM156" i="21"/>
  <c r="AL156" i="21"/>
  <c r="AK156" i="21"/>
  <c r="AT156" i="21" s="1"/>
  <c r="DU156" i="21" s="1"/>
  <c r="AB156" i="21"/>
  <c r="Z156" i="21"/>
  <c r="Y156" i="21"/>
  <c r="X156" i="21"/>
  <c r="EL156" i="21" s="1"/>
  <c r="EK156" i="21" s="1"/>
  <c r="W156" i="21"/>
  <c r="V156" i="21"/>
  <c r="U156" i="21"/>
  <c r="AY156" i="21" s="1"/>
  <c r="S156" i="21"/>
  <c r="P156" i="21"/>
  <c r="O156" i="21"/>
  <c r="T156" i="21" s="1"/>
  <c r="M156" i="21"/>
  <c r="BF156" i="21" s="1"/>
  <c r="L156" i="21"/>
  <c r="I156" i="21"/>
  <c r="FZ155" i="21"/>
  <c r="FY155" i="21"/>
  <c r="EA155" i="21"/>
  <c r="DL155" i="21"/>
  <c r="DH155" i="21"/>
  <c r="CG155" i="21"/>
  <c r="CH155" i="21" s="1"/>
  <c r="CF155" i="21"/>
  <c r="CD155" i="21"/>
  <c r="CE155" i="21" s="1"/>
  <c r="CA155" i="21"/>
  <c r="BR155" i="21"/>
  <c r="DZ155" i="21" s="1"/>
  <c r="EB155" i="21" s="1"/>
  <c r="BE155" i="21"/>
  <c r="BA155" i="21"/>
  <c r="AN155" i="21"/>
  <c r="AM155" i="21"/>
  <c r="AL155" i="21"/>
  <c r="AQ155" i="21" s="1"/>
  <c r="AK155" i="21"/>
  <c r="Z155" i="21"/>
  <c r="W155" i="21"/>
  <c r="V155" i="21"/>
  <c r="U155" i="21"/>
  <c r="S155" i="21"/>
  <c r="O155" i="21"/>
  <c r="L155" i="21"/>
  <c r="I155" i="21"/>
  <c r="FZ154" i="21"/>
  <c r="FY154" i="21"/>
  <c r="EM154" i="21"/>
  <c r="EP154" i="21" s="1"/>
  <c r="EQ154" i="21" s="1"/>
  <c r="EA154" i="21"/>
  <c r="DZ154" i="21"/>
  <c r="EB154" i="21" s="1"/>
  <c r="DL154" i="21"/>
  <c r="DH154" i="21"/>
  <c r="CG154" i="21"/>
  <c r="CF154" i="21"/>
  <c r="CH154" i="21" s="1"/>
  <c r="CE154" i="21"/>
  <c r="CD154" i="21"/>
  <c r="CA154" i="21"/>
  <c r="BR154" i="21"/>
  <c r="BE154" i="21"/>
  <c r="BB154" i="21"/>
  <c r="BA154" i="21"/>
  <c r="AX154" i="21"/>
  <c r="AT154" i="21"/>
  <c r="DU154" i="21" s="1"/>
  <c r="AQ154" i="21"/>
  <c r="AN154" i="21"/>
  <c r="AM154" i="21"/>
  <c r="AL154" i="21"/>
  <c r="AK154" i="21"/>
  <c r="Z154" i="21"/>
  <c r="BI154" i="21" s="1"/>
  <c r="Y154" i="21"/>
  <c r="X154" i="21"/>
  <c r="EL154" i="21" s="1"/>
  <c r="EK154" i="21" s="1"/>
  <c r="W154" i="21"/>
  <c r="V154" i="21"/>
  <c r="U154" i="21"/>
  <c r="S154" i="21"/>
  <c r="O154" i="21"/>
  <c r="L154" i="21"/>
  <c r="I154" i="21"/>
  <c r="FZ153" i="21"/>
  <c r="FY153" i="21"/>
  <c r="EA153" i="21"/>
  <c r="DY153" i="21"/>
  <c r="DL153" i="21"/>
  <c r="DI153" i="21"/>
  <c r="DH153" i="21"/>
  <c r="CH153" i="21"/>
  <c r="CG153" i="21"/>
  <c r="CF153" i="21"/>
  <c r="CD153" i="21"/>
  <c r="CE153" i="21" s="1"/>
  <c r="CA153" i="21"/>
  <c r="BZ153" i="21"/>
  <c r="CB153" i="21" s="1"/>
  <c r="CI153" i="21" s="1"/>
  <c r="CK153" i="21" s="1"/>
  <c r="BF153" i="21"/>
  <c r="BE153" i="21"/>
  <c r="AT153" i="21"/>
  <c r="DU153" i="21" s="1"/>
  <c r="AN153" i="21"/>
  <c r="AM153" i="21"/>
  <c r="AL153" i="21"/>
  <c r="AQ153" i="21" s="1"/>
  <c r="AU153" i="21" s="1"/>
  <c r="AK153" i="21"/>
  <c r="Z153" i="21"/>
  <c r="X153" i="21"/>
  <c r="EL153" i="21" s="1"/>
  <c r="EK153" i="21" s="1"/>
  <c r="W153" i="21"/>
  <c r="V153" i="21"/>
  <c r="U153" i="21"/>
  <c r="S153" i="21"/>
  <c r="P153" i="21"/>
  <c r="O153" i="21"/>
  <c r="M153" i="21"/>
  <c r="L153" i="21"/>
  <c r="I153" i="21"/>
  <c r="AX153" i="21" s="1"/>
  <c r="DI152" i="21"/>
  <c r="DH152" i="21"/>
  <c r="CH152" i="21"/>
  <c r="CG152" i="21"/>
  <c r="CF152" i="21"/>
  <c r="CD152" i="21"/>
  <c r="CE152" i="21" s="1"/>
  <c r="AK152" i="21"/>
  <c r="AM152" i="21" s="1"/>
  <c r="AJ152" i="21"/>
  <c r="AB152" i="21"/>
  <c r="W152" i="21"/>
  <c r="S152" i="21"/>
  <c r="Q152" i="21"/>
  <c r="FY152" i="21" s="1"/>
  <c r="P152" i="21"/>
  <c r="DY152" i="21" s="1"/>
  <c r="O152" i="21"/>
  <c r="N152" i="21"/>
  <c r="K152" i="21"/>
  <c r="EA152" i="21" s="1"/>
  <c r="J152" i="21"/>
  <c r="H152" i="21"/>
  <c r="G152" i="21"/>
  <c r="EK151" i="21"/>
  <c r="DH151" i="21"/>
  <c r="CG151" i="21"/>
  <c r="BA151" i="21"/>
  <c r="AB151" i="21"/>
  <c r="X151" i="21"/>
  <c r="EL151" i="21" s="1"/>
  <c r="W151" i="21"/>
  <c r="S151" i="21"/>
  <c r="Q151" i="21"/>
  <c r="P151" i="21"/>
  <c r="O151" i="21"/>
  <c r="N151" i="21"/>
  <c r="K151" i="21"/>
  <c r="J151" i="21"/>
  <c r="H151" i="21"/>
  <c r="G151" i="21"/>
  <c r="FX150" i="21"/>
  <c r="EL150" i="21"/>
  <c r="DH150" i="21"/>
  <c r="BR150" i="21"/>
  <c r="BK150" i="21"/>
  <c r="BA150" i="21"/>
  <c r="AB150" i="21"/>
  <c r="X150" i="21"/>
  <c r="W150" i="21"/>
  <c r="S150" i="21"/>
  <c r="Q150" i="21"/>
  <c r="P150" i="21"/>
  <c r="O150" i="21"/>
  <c r="N150" i="21"/>
  <c r="K150" i="21"/>
  <c r="J150" i="21"/>
  <c r="H150" i="21"/>
  <c r="G150" i="21"/>
  <c r="CG150" i="21" s="1"/>
  <c r="FZ149" i="21"/>
  <c r="FX149" i="21"/>
  <c r="EA149" i="21"/>
  <c r="DL149" i="21"/>
  <c r="DH149" i="21"/>
  <c r="CE149" i="21"/>
  <c r="CD149" i="21"/>
  <c r="BZ149" i="21"/>
  <c r="BR149" i="21"/>
  <c r="DZ149" i="21" s="1"/>
  <c r="EB149" i="21" s="1"/>
  <c r="BA149" i="21"/>
  <c r="AJ149" i="21"/>
  <c r="AB149" i="21"/>
  <c r="X149" i="21"/>
  <c r="W149" i="21"/>
  <c r="S149" i="21"/>
  <c r="Q149" i="21"/>
  <c r="P149" i="21"/>
  <c r="DY149" i="21" s="1"/>
  <c r="O149" i="21"/>
  <c r="N149" i="21"/>
  <c r="L149" i="21"/>
  <c r="K149" i="21"/>
  <c r="CF149" i="21" s="1"/>
  <c r="CH149" i="21" s="1"/>
  <c r="J149" i="21"/>
  <c r="I149" i="21"/>
  <c r="H149" i="21"/>
  <c r="G149" i="21"/>
  <c r="CG149" i="21" s="1"/>
  <c r="FX148" i="21"/>
  <c r="EL148" i="21"/>
  <c r="EK148" i="21" s="1"/>
  <c r="EA148" i="21"/>
  <c r="DH148" i="21"/>
  <c r="CG148" i="21"/>
  <c r="CF148" i="21"/>
  <c r="CH148" i="21" s="1"/>
  <c r="CD148" i="21"/>
  <c r="CE148" i="21" s="1"/>
  <c r="BR148" i="21"/>
  <c r="DZ148" i="21" s="1"/>
  <c r="BK148" i="21"/>
  <c r="BM148" i="21" s="1"/>
  <c r="AK148" i="21"/>
  <c r="AL148" i="21" s="1"/>
  <c r="AJ148" i="21"/>
  <c r="AB148" i="21"/>
  <c r="X148" i="21"/>
  <c r="W148" i="21"/>
  <c r="BA148" i="21" s="1"/>
  <c r="U148" i="21"/>
  <c r="T148" i="21"/>
  <c r="S148" i="21"/>
  <c r="Q148" i="21"/>
  <c r="P148" i="21"/>
  <c r="O148" i="21"/>
  <c r="CA148" i="21" s="1"/>
  <c r="N148" i="21"/>
  <c r="K148" i="21"/>
  <c r="J148" i="21"/>
  <c r="H148" i="21"/>
  <c r="G148" i="21"/>
  <c r="FZ147" i="21"/>
  <c r="FY147" i="21"/>
  <c r="FX147" i="21"/>
  <c r="EA147" i="21"/>
  <c r="DJ147" i="21"/>
  <c r="DI147" i="21"/>
  <c r="DH147" i="21"/>
  <c r="CD147" i="21"/>
  <c r="CE147" i="21" s="1"/>
  <c r="BA147" i="21"/>
  <c r="AB147" i="21"/>
  <c r="W147" i="21"/>
  <c r="X147" i="21" s="1"/>
  <c r="S147" i="21"/>
  <c r="Q147" i="21"/>
  <c r="BR147" i="21" s="1"/>
  <c r="DZ147" i="21" s="1"/>
  <c r="EB147" i="21" s="1"/>
  <c r="P147" i="21"/>
  <c r="DY147" i="21" s="1"/>
  <c r="O147" i="21"/>
  <c r="BE147" i="21" s="1"/>
  <c r="N147" i="21"/>
  <c r="EE147" i="21" s="1"/>
  <c r="L147" i="21"/>
  <c r="K147" i="21"/>
  <c r="J147" i="21"/>
  <c r="I147" i="21"/>
  <c r="H147" i="21"/>
  <c r="G147" i="21"/>
  <c r="GA146" i="21"/>
  <c r="CS146" i="21" s="1"/>
  <c r="FZ146" i="21"/>
  <c r="FY146" i="21"/>
  <c r="EL146" i="21"/>
  <c r="EK146" i="21"/>
  <c r="EA146" i="21"/>
  <c r="DY146" i="21"/>
  <c r="DH146" i="21"/>
  <c r="CG146" i="21"/>
  <c r="CF146" i="21"/>
  <c r="CH146" i="21" s="1"/>
  <c r="CD146" i="21"/>
  <c r="CE146" i="21" s="1"/>
  <c r="BR146" i="21"/>
  <c r="DZ146" i="21" s="1"/>
  <c r="EB146" i="21" s="1"/>
  <c r="BA146" i="21"/>
  <c r="AJ146" i="21"/>
  <c r="Y146" i="21"/>
  <c r="DT146" i="21" s="1"/>
  <c r="V146" i="21"/>
  <c r="W146" i="21" s="1"/>
  <c r="S146" i="21"/>
  <c r="Q146" i="21"/>
  <c r="O146" i="21"/>
  <c r="FX146" i="21" s="1"/>
  <c r="M146" i="21"/>
  <c r="H146" i="21"/>
  <c r="FZ145" i="21"/>
  <c r="FY145" i="21"/>
  <c r="GA145" i="21" s="1"/>
  <c r="CS145" i="21" s="1"/>
  <c r="EL145" i="21"/>
  <c r="EK145" i="21" s="1"/>
  <c r="EA145" i="21"/>
  <c r="DY145" i="21"/>
  <c r="DL145" i="21"/>
  <c r="DI145" i="21"/>
  <c r="DH145" i="21"/>
  <c r="CM145" i="21"/>
  <c r="CG145" i="21"/>
  <c r="CF145" i="21"/>
  <c r="CH145" i="21" s="1"/>
  <c r="CD145" i="21"/>
  <c r="CE145" i="21" s="1"/>
  <c r="BZ145" i="21"/>
  <c r="BR145" i="21"/>
  <c r="DZ145" i="21" s="1"/>
  <c r="EB145" i="21" s="1"/>
  <c r="BA145" i="21"/>
  <c r="BB145" i="21" s="1"/>
  <c r="AM145" i="21"/>
  <c r="AJ145" i="21"/>
  <c r="Y145" i="21"/>
  <c r="W145" i="21"/>
  <c r="V145" i="21"/>
  <c r="U145" i="21"/>
  <c r="S145" i="21"/>
  <c r="Q145" i="21"/>
  <c r="O145" i="21"/>
  <c r="FX145" i="21" s="1"/>
  <c r="M145" i="21"/>
  <c r="I145" i="21"/>
  <c r="AX145" i="21" s="1"/>
  <c r="H145" i="21"/>
  <c r="AK145" i="21" s="1"/>
  <c r="FZ144" i="21"/>
  <c r="FX144" i="21"/>
  <c r="EL144" i="21"/>
  <c r="EK144" i="21" s="1"/>
  <c r="EA144" i="21"/>
  <c r="DY144" i="21"/>
  <c r="DT144" i="21"/>
  <c r="DL144" i="21"/>
  <c r="DJ144" i="21"/>
  <c r="DI144" i="21"/>
  <c r="DH144" i="21"/>
  <c r="CH144" i="21"/>
  <c r="CG144" i="21"/>
  <c r="CF144" i="21"/>
  <c r="CD144" i="21"/>
  <c r="CE144" i="21" s="1"/>
  <c r="BR144" i="21"/>
  <c r="DZ144" i="21" s="1"/>
  <c r="EB144" i="21" s="1"/>
  <c r="BK144" i="21"/>
  <c r="BE144" i="21"/>
  <c r="BF144" i="21" s="1"/>
  <c r="CO144" i="21" s="1"/>
  <c r="BA144" i="21"/>
  <c r="BB144" i="21" s="1"/>
  <c r="AX144" i="21"/>
  <c r="CM144" i="21" s="1"/>
  <c r="AM144" i="21"/>
  <c r="AK144" i="21"/>
  <c r="AJ144" i="21"/>
  <c r="Y144" i="21"/>
  <c r="W144" i="21"/>
  <c r="V144" i="21"/>
  <c r="S144" i="21"/>
  <c r="Q144" i="21"/>
  <c r="O144" i="21"/>
  <c r="M144" i="21"/>
  <c r="I144" i="21"/>
  <c r="H144" i="21"/>
  <c r="AN144" i="21" s="1"/>
  <c r="FZ143" i="21"/>
  <c r="FG143" i="21"/>
  <c r="EY143" i="21"/>
  <c r="EZ143" i="21" s="1"/>
  <c r="EL143" i="21"/>
  <c r="EK143" i="21"/>
  <c r="EA143" i="21"/>
  <c r="DY143" i="21"/>
  <c r="DT143" i="21"/>
  <c r="DL143" i="21"/>
  <c r="DJ143" i="21"/>
  <c r="DI143" i="21"/>
  <c r="DH143" i="21"/>
  <c r="DA143" i="21"/>
  <c r="CG143" i="21"/>
  <c r="CH143" i="21" s="1"/>
  <c r="CI143" i="21" s="1"/>
  <c r="CK143" i="21" s="1"/>
  <c r="CP143" i="21" s="1"/>
  <c r="CF143" i="21"/>
  <c r="CE143" i="21"/>
  <c r="CD143" i="21"/>
  <c r="CB143" i="21"/>
  <c r="CA143" i="21"/>
  <c r="BZ143" i="21"/>
  <c r="BR143" i="21"/>
  <c r="DZ143" i="21" s="1"/>
  <c r="EB143" i="21" s="1"/>
  <c r="BK143" i="21"/>
  <c r="AN143" i="21"/>
  <c r="AM143" i="21"/>
  <c r="AK143" i="21"/>
  <c r="AL143" i="21" s="1"/>
  <c r="AJ143" i="21"/>
  <c r="Y143" i="21"/>
  <c r="W143" i="21"/>
  <c r="BA143" i="21" s="1"/>
  <c r="BB143" i="21" s="1"/>
  <c r="V143" i="21"/>
  <c r="S143" i="21"/>
  <c r="BL143" i="21" s="1"/>
  <c r="BN143" i="21" s="1"/>
  <c r="Q143" i="21"/>
  <c r="O143" i="21"/>
  <c r="M143" i="21"/>
  <c r="H143" i="21"/>
  <c r="I143" i="21" s="1"/>
  <c r="AX143" i="21" s="1"/>
  <c r="CM143" i="21" s="1"/>
  <c r="FZ142" i="21"/>
  <c r="FX142" i="21"/>
  <c r="EL142" i="21"/>
  <c r="EK142" i="21"/>
  <c r="EA142" i="21"/>
  <c r="DY142" i="21"/>
  <c r="DT142" i="21"/>
  <c r="DL142" i="21"/>
  <c r="DJ142" i="21"/>
  <c r="DI142" i="21"/>
  <c r="DH142" i="21"/>
  <c r="CG142" i="21"/>
  <c r="CF142" i="21"/>
  <c r="CH142" i="21" s="1"/>
  <c r="CD142" i="21"/>
  <c r="CE142" i="21" s="1"/>
  <c r="BZ142" i="21"/>
  <c r="BR142" i="21"/>
  <c r="DZ142" i="21" s="1"/>
  <c r="EB142" i="21" s="1"/>
  <c r="AK142" i="21"/>
  <c r="AM142" i="21" s="1"/>
  <c r="AG142" i="21"/>
  <c r="Y142" i="21"/>
  <c r="V142" i="21"/>
  <c r="W142" i="21" s="1"/>
  <c r="S142" i="21"/>
  <c r="Q142" i="21"/>
  <c r="O142" i="21"/>
  <c r="M142" i="21"/>
  <c r="I142" i="21"/>
  <c r="AX142" i="21" s="1"/>
  <c r="CM142" i="21" s="1"/>
  <c r="H142" i="21"/>
  <c r="FZ141" i="21"/>
  <c r="EL141" i="21"/>
  <c r="EK141" i="21" s="1"/>
  <c r="EA141" i="21"/>
  <c r="DY141" i="21"/>
  <c r="DT141" i="21"/>
  <c r="DL141" i="21"/>
  <c r="DJ141" i="21"/>
  <c r="DI141" i="21"/>
  <c r="DH141" i="21"/>
  <c r="CG141" i="21"/>
  <c r="CF141" i="21"/>
  <c r="CH141" i="21" s="1"/>
  <c r="BR141" i="21"/>
  <c r="DZ141" i="21" s="1"/>
  <c r="EB141" i="21" s="1"/>
  <c r="BM141" i="21"/>
  <c r="BK141" i="21"/>
  <c r="BL141" i="21" s="1"/>
  <c r="BN141" i="21" s="1"/>
  <c r="Y141" i="21"/>
  <c r="V141" i="21"/>
  <c r="W141" i="21" s="1"/>
  <c r="S141" i="21"/>
  <c r="Q141" i="21"/>
  <c r="BZ141" i="21" s="1"/>
  <c r="O141" i="21"/>
  <c r="FX141" i="21" s="1"/>
  <c r="M141" i="21"/>
  <c r="I141" i="21"/>
  <c r="AX141" i="21" s="1"/>
  <c r="CM141" i="21" s="1"/>
  <c r="H141" i="21"/>
  <c r="FZ140" i="21"/>
  <c r="FX140" i="21"/>
  <c r="EL140" i="21"/>
  <c r="EK140" i="21" s="1"/>
  <c r="EA140" i="21"/>
  <c r="DY140" i="21"/>
  <c r="DT140" i="21"/>
  <c r="DI140" i="21"/>
  <c r="DH140" i="21"/>
  <c r="CG140" i="21"/>
  <c r="CH140" i="21" s="1"/>
  <c r="CF140" i="21"/>
  <c r="CE140" i="21"/>
  <c r="CD140" i="21"/>
  <c r="AJ140" i="21"/>
  <c r="Y140" i="21"/>
  <c r="V140" i="21"/>
  <c r="W140" i="21" s="1"/>
  <c r="BA140" i="21" s="1"/>
  <c r="S140" i="21"/>
  <c r="Q140" i="21"/>
  <c r="O140" i="21"/>
  <c r="M140" i="21"/>
  <c r="H140" i="21"/>
  <c r="FZ139" i="21"/>
  <c r="EL139" i="21"/>
  <c r="EK139" i="21" s="1"/>
  <c r="EA139" i="21"/>
  <c r="DY139" i="21"/>
  <c r="DT139" i="21"/>
  <c r="DH139" i="21"/>
  <c r="CG139" i="21"/>
  <c r="CF139" i="21"/>
  <c r="CH139" i="21" s="1"/>
  <c r="CE139" i="21"/>
  <c r="CD139" i="21"/>
  <c r="AJ139" i="21"/>
  <c r="Y139" i="21"/>
  <c r="V139" i="21"/>
  <c r="W139" i="21" s="1"/>
  <c r="S139" i="21"/>
  <c r="Q139" i="21"/>
  <c r="O139" i="21"/>
  <c r="M139" i="21"/>
  <c r="I139" i="21"/>
  <c r="H139" i="21"/>
  <c r="FZ138" i="21"/>
  <c r="FY138" i="21"/>
  <c r="EL138" i="21"/>
  <c r="EK138" i="21" s="1"/>
  <c r="EA138" i="21"/>
  <c r="DY138" i="21"/>
  <c r="DL138" i="21"/>
  <c r="DI138" i="21"/>
  <c r="DH138" i="21"/>
  <c r="CG138" i="21"/>
  <c r="CF138" i="21"/>
  <c r="CH138" i="21" s="1"/>
  <c r="CE138" i="21"/>
  <c r="CD138" i="21"/>
  <c r="AM138" i="21"/>
  <c r="AL138" i="21"/>
  <c r="AK138" i="21"/>
  <c r="Y138" i="21"/>
  <c r="DT138" i="21" s="1"/>
  <c r="V138" i="21"/>
  <c r="W138" i="21" s="1"/>
  <c r="S138" i="21"/>
  <c r="T138" i="21" s="1"/>
  <c r="Q138" i="21"/>
  <c r="O138" i="21"/>
  <c r="M138" i="21"/>
  <c r="H138" i="21"/>
  <c r="I138" i="21" s="1"/>
  <c r="GA137" i="21"/>
  <c r="CS137" i="21" s="1"/>
  <c r="FZ137" i="21"/>
  <c r="FY137" i="21"/>
  <c r="FX137" i="21"/>
  <c r="EL137" i="21"/>
  <c r="EK137" i="21"/>
  <c r="EA137" i="21"/>
  <c r="DY137" i="21"/>
  <c r="DI137" i="21"/>
  <c r="DH137" i="21"/>
  <c r="CG137" i="21"/>
  <c r="CF137" i="21"/>
  <c r="CE137" i="21"/>
  <c r="CD137" i="21"/>
  <c r="CA137" i="21"/>
  <c r="BK137" i="21"/>
  <c r="BL137" i="21" s="1"/>
  <c r="BN137" i="21" s="1"/>
  <c r="BA137" i="21"/>
  <c r="Y137" i="21"/>
  <c r="V137" i="21"/>
  <c r="W137" i="21" s="1"/>
  <c r="S137" i="21"/>
  <c r="Q137" i="21"/>
  <c r="O137" i="21"/>
  <c r="M137" i="21"/>
  <c r="H137" i="21"/>
  <c r="FZ136" i="21"/>
  <c r="FY136" i="21"/>
  <c r="FX136" i="21"/>
  <c r="GA136" i="21" s="1"/>
  <c r="CS136" i="21" s="1"/>
  <c r="CX136" i="21" s="1"/>
  <c r="FI136" i="21"/>
  <c r="EL136" i="21"/>
  <c r="EK136" i="21"/>
  <c r="EE136" i="21"/>
  <c r="EB136" i="21"/>
  <c r="EA136" i="21"/>
  <c r="DY136" i="21"/>
  <c r="DT136" i="21"/>
  <c r="DL136" i="21"/>
  <c r="DI136" i="21"/>
  <c r="DH136" i="21"/>
  <c r="CG136" i="21"/>
  <c r="CH136" i="21" s="1"/>
  <c r="CF136" i="21"/>
  <c r="CD136" i="21"/>
  <c r="CE136" i="21" s="1"/>
  <c r="BZ136" i="21"/>
  <c r="BR136" i="21"/>
  <c r="DZ136" i="21" s="1"/>
  <c r="BK136" i="21"/>
  <c r="AK136" i="21"/>
  <c r="Y136" i="21"/>
  <c r="V136" i="21"/>
  <c r="W136" i="21" s="1"/>
  <c r="U136" i="21"/>
  <c r="S136" i="21"/>
  <c r="Q136" i="21"/>
  <c r="O136" i="21"/>
  <c r="M136" i="21"/>
  <c r="H136" i="21"/>
  <c r="I136" i="21" s="1"/>
  <c r="FZ135" i="21"/>
  <c r="FY135" i="21"/>
  <c r="FX135" i="21"/>
  <c r="GA135" i="21" s="1"/>
  <c r="CS135" i="21" s="1"/>
  <c r="EL135" i="21"/>
  <c r="EK135" i="21"/>
  <c r="EE135" i="21"/>
  <c r="EA135" i="21"/>
  <c r="DY135" i="21"/>
  <c r="DT135" i="21"/>
  <c r="DH135" i="21"/>
  <c r="CG135" i="21"/>
  <c r="CF135" i="21"/>
  <c r="CE135" i="21"/>
  <c r="CD135" i="21"/>
  <c r="CA135" i="21"/>
  <c r="BZ135" i="21"/>
  <c r="Y135" i="21"/>
  <c r="W135" i="21"/>
  <c r="V135" i="21"/>
  <c r="S135" i="21"/>
  <c r="U135" i="21" s="1"/>
  <c r="Q135" i="21"/>
  <c r="O135" i="21"/>
  <c r="M135" i="21"/>
  <c r="H135" i="21"/>
  <c r="GA134" i="21"/>
  <c r="CS134" i="21" s="1"/>
  <c r="FZ134" i="21"/>
  <c r="FY134" i="21"/>
  <c r="EL134" i="21"/>
  <c r="EK134" i="21" s="1"/>
  <c r="EE134" i="21"/>
  <c r="EA134" i="21"/>
  <c r="DZ134" i="21"/>
  <c r="EB134" i="21" s="1"/>
  <c r="DY134" i="21"/>
  <c r="DT134" i="21"/>
  <c r="DL134" i="21"/>
  <c r="DJ134" i="21"/>
  <c r="DH134" i="21"/>
  <c r="CG134" i="21"/>
  <c r="CH134" i="21" s="1"/>
  <c r="CF134" i="21"/>
  <c r="CD134" i="21"/>
  <c r="CE134" i="21" s="1"/>
  <c r="CA134" i="21"/>
  <c r="BR134" i="21"/>
  <c r="BK134" i="21"/>
  <c r="BE134" i="21"/>
  <c r="AX134" i="21"/>
  <c r="CM134" i="21" s="1"/>
  <c r="AK134" i="21"/>
  <c r="AM134" i="21" s="1"/>
  <c r="Y134" i="21"/>
  <c r="V134" i="21"/>
  <c r="S134" i="21"/>
  <c r="Q134" i="21"/>
  <c r="O134" i="21"/>
  <c r="FX134" i="21" s="1"/>
  <c r="M134" i="21"/>
  <c r="BF134" i="21" s="1"/>
  <c r="CO134" i="21" s="1"/>
  <c r="I134" i="21"/>
  <c r="H134" i="21"/>
  <c r="DI134" i="21" s="1"/>
  <c r="FZ133" i="21"/>
  <c r="FX133" i="21"/>
  <c r="EL133" i="21"/>
  <c r="EK133" i="21"/>
  <c r="EA133" i="21"/>
  <c r="DY133" i="21"/>
  <c r="DH133" i="21"/>
  <c r="CG133" i="21"/>
  <c r="CF133" i="21"/>
  <c r="CH133" i="21" s="1"/>
  <c r="CE133" i="21"/>
  <c r="CD133" i="21"/>
  <c r="BE133" i="21"/>
  <c r="AN133" i="21"/>
  <c r="AM133" i="21"/>
  <c r="AK133" i="21"/>
  <c r="AL133" i="21" s="1"/>
  <c r="Y133" i="21"/>
  <c r="V133" i="21"/>
  <c r="W133" i="21" s="1"/>
  <c r="U133" i="21"/>
  <c r="S133" i="21"/>
  <c r="Q133" i="21"/>
  <c r="O133" i="21"/>
  <c r="M133" i="21"/>
  <c r="H133" i="21"/>
  <c r="DI133" i="21" s="1"/>
  <c r="FZ132" i="21"/>
  <c r="FY132" i="21"/>
  <c r="ET132" i="21"/>
  <c r="EL132" i="21"/>
  <c r="EK132" i="21"/>
  <c r="EA132" i="21"/>
  <c r="DY132" i="21"/>
  <c r="DT132" i="21"/>
  <c r="DI132" i="21"/>
  <c r="DH132" i="21"/>
  <c r="CH132" i="21"/>
  <c r="CG132" i="21"/>
  <c r="CF132" i="21"/>
  <c r="CD132" i="21"/>
  <c r="CE132" i="21" s="1"/>
  <c r="BR132" i="21"/>
  <c r="DZ132" i="21" s="1"/>
  <c r="EB132" i="21" s="1"/>
  <c r="BM132" i="21"/>
  <c r="BL132" i="21"/>
  <c r="BN132" i="21" s="1"/>
  <c r="BK132" i="21"/>
  <c r="Y132" i="21"/>
  <c r="V132" i="21"/>
  <c r="W132" i="21" s="1"/>
  <c r="S132" i="21"/>
  <c r="Q132" i="21"/>
  <c r="O132" i="21"/>
  <c r="M132" i="21"/>
  <c r="H132" i="21"/>
  <c r="FZ131" i="21"/>
  <c r="FX131" i="21"/>
  <c r="EL131" i="21"/>
  <c r="EK131" i="21" s="1"/>
  <c r="EA131" i="21"/>
  <c r="DY131" i="21"/>
  <c r="DH131" i="21"/>
  <c r="CH131" i="21"/>
  <c r="CG131" i="21"/>
  <c r="CF131" i="21"/>
  <c r="CE131" i="21"/>
  <c r="CD131" i="21"/>
  <c r="CA131" i="21"/>
  <c r="BZ131" i="21"/>
  <c r="CB131" i="21" s="1"/>
  <c r="BR131" i="21"/>
  <c r="DZ131" i="21" s="1"/>
  <c r="EB131" i="21" s="1"/>
  <c r="Y131" i="21"/>
  <c r="V131" i="21"/>
  <c r="W131" i="21" s="1"/>
  <c r="T131" i="21"/>
  <c r="S131" i="21"/>
  <c r="Q131" i="21"/>
  <c r="FY131" i="21" s="1"/>
  <c r="O131" i="21"/>
  <c r="M131" i="21"/>
  <c r="H131" i="21"/>
  <c r="FZ130" i="21"/>
  <c r="FY130" i="21"/>
  <c r="FX130" i="21"/>
  <c r="EL130" i="21"/>
  <c r="EK130" i="21"/>
  <c r="EE130" i="21"/>
  <c r="EA130" i="21"/>
  <c r="DY130" i="21"/>
  <c r="DL130" i="21"/>
  <c r="DH130" i="21"/>
  <c r="CG130" i="21"/>
  <c r="CF130" i="21"/>
  <c r="CH130" i="21" s="1"/>
  <c r="CE130" i="21"/>
  <c r="CD130" i="21"/>
  <c r="BZ130" i="21"/>
  <c r="BR130" i="21"/>
  <c r="DZ130" i="21" s="1"/>
  <c r="EB130" i="21" s="1"/>
  <c r="BK130" i="21"/>
  <c r="BL130" i="21" s="1"/>
  <c r="BN130" i="21" s="1"/>
  <c r="AZ130" i="21"/>
  <c r="AY130" i="21"/>
  <c r="AM130" i="21"/>
  <c r="AK130" i="21"/>
  <c r="AL130" i="21" s="1"/>
  <c r="Y130" i="21"/>
  <c r="DT130" i="21" s="1"/>
  <c r="V130" i="21"/>
  <c r="W130" i="21" s="1"/>
  <c r="U130" i="21"/>
  <c r="T130" i="21"/>
  <c r="S130" i="21"/>
  <c r="Q130" i="21"/>
  <c r="O130" i="21"/>
  <c r="M130" i="21"/>
  <c r="H130" i="21"/>
  <c r="FZ129" i="21"/>
  <c r="FX129" i="21"/>
  <c r="EL129" i="21"/>
  <c r="EK129" i="21"/>
  <c r="EA129" i="21"/>
  <c r="DY129" i="21"/>
  <c r="DI129" i="21"/>
  <c r="DH129" i="21"/>
  <c r="CG129" i="21"/>
  <c r="CF129" i="21"/>
  <c r="CH129" i="21" s="1"/>
  <c r="CE129" i="21"/>
  <c r="CD129" i="21"/>
  <c r="CA129" i="21"/>
  <c r="BZ129" i="21"/>
  <c r="CB129" i="21" s="1"/>
  <c r="CI129" i="21" s="1"/>
  <c r="CK129" i="21" s="1"/>
  <c r="CP129" i="21" s="1"/>
  <c r="BR129" i="21"/>
  <c r="DZ129" i="21" s="1"/>
  <c r="EB129" i="21" s="1"/>
  <c r="BK129" i="21"/>
  <c r="BL129" i="21" s="1"/>
  <c r="BN129" i="21" s="1"/>
  <c r="BF129" i="21"/>
  <c r="CO129" i="21" s="1"/>
  <c r="AK129" i="21"/>
  <c r="AM129" i="21" s="1"/>
  <c r="Y129" i="21"/>
  <c r="DT129" i="21" s="1"/>
  <c r="V129" i="21"/>
  <c r="W129" i="21" s="1"/>
  <c r="U129" i="21"/>
  <c r="S129" i="21"/>
  <c r="Q129" i="21"/>
  <c r="BE129" i="21" s="1"/>
  <c r="O129" i="21"/>
  <c r="M129" i="21"/>
  <c r="I129" i="21"/>
  <c r="H129" i="21"/>
  <c r="FZ128" i="21"/>
  <c r="FY128" i="21"/>
  <c r="EL128" i="21"/>
  <c r="EK128" i="21"/>
  <c r="EA128" i="21"/>
  <c r="DY128" i="21"/>
  <c r="DT128" i="21"/>
  <c r="DH128" i="21"/>
  <c r="CG128" i="21"/>
  <c r="CF128" i="21"/>
  <c r="CH128" i="21" s="1"/>
  <c r="CE128" i="21"/>
  <c r="CD128" i="21"/>
  <c r="Y128" i="21"/>
  <c r="V128" i="21"/>
  <c r="W128" i="21" s="1"/>
  <c r="BA128" i="21" s="1"/>
  <c r="S128" i="21"/>
  <c r="Q128" i="21"/>
  <c r="O128" i="21"/>
  <c r="M128" i="21"/>
  <c r="H128" i="21"/>
  <c r="GD127" i="21"/>
  <c r="GA127" i="21"/>
  <c r="CS127" i="21" s="1"/>
  <c r="FZ127" i="21"/>
  <c r="FY127" i="21"/>
  <c r="EL127" i="21"/>
  <c r="EK127" i="21"/>
  <c r="EE127" i="21"/>
  <c r="EA127" i="21"/>
  <c r="DY127" i="21"/>
  <c r="DT127" i="21"/>
  <c r="DL127" i="21"/>
  <c r="DI127" i="21"/>
  <c r="DH127" i="21"/>
  <c r="CH127" i="21"/>
  <c r="CG127" i="21"/>
  <c r="CF127" i="21"/>
  <c r="CD127" i="21"/>
  <c r="CE127" i="21" s="1"/>
  <c r="BZ127" i="21"/>
  <c r="BB127" i="21"/>
  <c r="BA127" i="21"/>
  <c r="AN127" i="21"/>
  <c r="AK127" i="21"/>
  <c r="AM127" i="21" s="1"/>
  <c r="Y127" i="21"/>
  <c r="W127" i="21"/>
  <c r="V127" i="21"/>
  <c r="U127" i="21"/>
  <c r="S127" i="21"/>
  <c r="Q127" i="21"/>
  <c r="O127" i="21"/>
  <c r="FX127" i="21" s="1"/>
  <c r="M127" i="21"/>
  <c r="I127" i="21"/>
  <c r="H127" i="21"/>
  <c r="FZ126" i="21"/>
  <c r="FX126" i="21"/>
  <c r="EL126" i="21"/>
  <c r="EK126" i="21" s="1"/>
  <c r="EA126" i="21"/>
  <c r="DY126" i="21"/>
  <c r="DH126" i="21"/>
  <c r="CH126" i="21"/>
  <c r="CG126" i="21"/>
  <c r="CF126" i="21"/>
  <c r="CD126" i="21"/>
  <c r="CE126" i="21" s="1"/>
  <c r="AN126" i="21"/>
  <c r="AK126" i="21"/>
  <c r="AM126" i="21" s="1"/>
  <c r="Y126" i="21"/>
  <c r="W126" i="21"/>
  <c r="V126" i="21"/>
  <c r="U126" i="21"/>
  <c r="S126" i="21"/>
  <c r="Q126" i="21"/>
  <c r="O126" i="21"/>
  <c r="M126" i="21"/>
  <c r="H126" i="21"/>
  <c r="FZ125" i="21"/>
  <c r="EL125" i="21"/>
  <c r="EK125" i="21" s="1"/>
  <c r="EA125" i="21"/>
  <c r="DY125" i="21"/>
  <c r="DT125" i="21"/>
  <c r="DH125" i="21"/>
  <c r="CH125" i="21"/>
  <c r="CG125" i="21"/>
  <c r="CF125" i="21"/>
  <c r="CD125" i="21"/>
  <c r="CE125" i="21" s="1"/>
  <c r="CA125" i="21"/>
  <c r="BZ125" i="21"/>
  <c r="CB125" i="21" s="1"/>
  <c r="CI125" i="21" s="1"/>
  <c r="CK125" i="21" s="1"/>
  <c r="CP125" i="21" s="1"/>
  <c r="FJ125" i="21" s="1"/>
  <c r="BR125" i="21"/>
  <c r="DZ125" i="21" s="1"/>
  <c r="EB125" i="21" s="1"/>
  <c r="Y125" i="21"/>
  <c r="V125" i="21"/>
  <c r="W125" i="21" s="1"/>
  <c r="U125" i="21"/>
  <c r="S125" i="21"/>
  <c r="Q125" i="21"/>
  <c r="O125" i="21"/>
  <c r="M125" i="21"/>
  <c r="H125" i="21"/>
  <c r="FZ124" i="21"/>
  <c r="ET124" i="21"/>
  <c r="EL124" i="21"/>
  <c r="EK124" i="21"/>
  <c r="EA124" i="21"/>
  <c r="DY124" i="21"/>
  <c r="DL124" i="21"/>
  <c r="DI124" i="21"/>
  <c r="DH124" i="21"/>
  <c r="CG124" i="21"/>
  <c r="CF124" i="21"/>
  <c r="CH124" i="21" s="1"/>
  <c r="CD124" i="21"/>
  <c r="CE124" i="21" s="1"/>
  <c r="BA124" i="21"/>
  <c r="Y124" i="21"/>
  <c r="DT124" i="21" s="1"/>
  <c r="W124" i="21"/>
  <c r="V124" i="21"/>
  <c r="S124" i="21"/>
  <c r="Q124" i="21"/>
  <c r="O124" i="21"/>
  <c r="M124" i="21"/>
  <c r="I124" i="21"/>
  <c r="H124" i="21"/>
  <c r="FZ123" i="21"/>
  <c r="FY123" i="21"/>
  <c r="FX123" i="21"/>
  <c r="GA123" i="21" s="1"/>
  <c r="CS123" i="21" s="1"/>
  <c r="CX123" i="21" s="1"/>
  <c r="FI123" i="21"/>
  <c r="EL123" i="21"/>
  <c r="EK123" i="21"/>
  <c r="EA123" i="21"/>
  <c r="DY123" i="21"/>
  <c r="DT123" i="21"/>
  <c r="DL123" i="21"/>
  <c r="DI123" i="21"/>
  <c r="DH123" i="21"/>
  <c r="CG123" i="21"/>
  <c r="CF123" i="21"/>
  <c r="CH123" i="21" s="1"/>
  <c r="CD123" i="21"/>
  <c r="CE123" i="21" s="1"/>
  <c r="CA123" i="21"/>
  <c r="BZ123" i="21"/>
  <c r="CB123" i="21" s="1"/>
  <c r="AX123" i="21"/>
  <c r="CM123" i="21" s="1"/>
  <c r="CU123" i="21" s="1"/>
  <c r="AN123" i="21"/>
  <c r="AK123" i="21"/>
  <c r="AM123" i="21" s="1"/>
  <c r="Y123" i="21"/>
  <c r="W123" i="21"/>
  <c r="V123" i="21"/>
  <c r="S123" i="21"/>
  <c r="Q123" i="21"/>
  <c r="BE123" i="21" s="1"/>
  <c r="O123" i="21"/>
  <c r="M123" i="21"/>
  <c r="I123" i="21"/>
  <c r="DJ123" i="21" s="1"/>
  <c r="H123" i="21"/>
  <c r="FZ122" i="21"/>
  <c r="FG122" i="21"/>
  <c r="EA122" i="21"/>
  <c r="DY122" i="21"/>
  <c r="DL122" i="21"/>
  <c r="DJ122" i="21"/>
  <c r="DI122" i="21"/>
  <c r="DH122" i="21"/>
  <c r="DA122" i="21"/>
  <c r="CM122" i="21"/>
  <c r="CG122" i="21"/>
  <c r="CF122" i="21"/>
  <c r="CH122" i="21" s="1"/>
  <c r="BK122" i="21"/>
  <c r="AX122" i="21"/>
  <c r="AN122" i="21"/>
  <c r="AM122" i="21"/>
  <c r="AK122" i="21"/>
  <c r="AG122" i="21"/>
  <c r="W122" i="21"/>
  <c r="T122" i="21"/>
  <c r="S122" i="21"/>
  <c r="Q122" i="21"/>
  <c r="O122" i="21"/>
  <c r="N122" i="21"/>
  <c r="I122" i="21"/>
  <c r="H122" i="21"/>
  <c r="GF121" i="21"/>
  <c r="GC121" i="21"/>
  <c r="FZ121" i="21"/>
  <c r="GE121" i="21" s="1"/>
  <c r="FX121" i="21"/>
  <c r="EY121" i="21"/>
  <c r="ET121" i="21"/>
  <c r="EA121" i="21"/>
  <c r="DY121" i="21"/>
  <c r="DT121" i="21"/>
  <c r="DL121" i="21"/>
  <c r="DJ121" i="21"/>
  <c r="DI121" i="21"/>
  <c r="DH121" i="21"/>
  <c r="CH121" i="21"/>
  <c r="CG121" i="21"/>
  <c r="CF121" i="21"/>
  <c r="CE121" i="21"/>
  <c r="CD121" i="21"/>
  <c r="CA121" i="21"/>
  <c r="BZ121" i="21"/>
  <c r="CB121" i="21" s="1"/>
  <c r="CI121" i="21" s="1"/>
  <c r="CK121" i="21" s="1"/>
  <c r="CP121" i="21" s="1"/>
  <c r="BK121" i="21"/>
  <c r="AK121" i="21"/>
  <c r="AM121" i="21" s="1"/>
  <c r="AG121" i="21"/>
  <c r="Y121" i="21"/>
  <c r="X121" i="21"/>
  <c r="EL121" i="21" s="1"/>
  <c r="EK121" i="21" s="1"/>
  <c r="W121" i="21"/>
  <c r="BA121" i="21" s="1"/>
  <c r="S121" i="21"/>
  <c r="Q121" i="21"/>
  <c r="O121" i="21"/>
  <c r="BR121" i="21" s="1"/>
  <c r="DZ121" i="21" s="1"/>
  <c r="EB121" i="21" s="1"/>
  <c r="N121" i="21"/>
  <c r="I121" i="21"/>
  <c r="AX121" i="21" s="1"/>
  <c r="CM121" i="21" s="1"/>
  <c r="H121" i="21"/>
  <c r="FZ120" i="21"/>
  <c r="FX120" i="21"/>
  <c r="EA120" i="21"/>
  <c r="DY120" i="21"/>
  <c r="DH120" i="21"/>
  <c r="CG120" i="21"/>
  <c r="CF120" i="21"/>
  <c r="CH120" i="21" s="1"/>
  <c r="BZ120" i="21"/>
  <c r="CB120" i="21" s="1"/>
  <c r="BR120" i="21"/>
  <c r="DZ120" i="21" s="1"/>
  <c r="EB120" i="21" s="1"/>
  <c r="BM120" i="21"/>
  <c r="BK120" i="21"/>
  <c r="AK120" i="21"/>
  <c r="AM120" i="21" s="1"/>
  <c r="W120" i="21"/>
  <c r="S120" i="21"/>
  <c r="Q120" i="21"/>
  <c r="CA120" i="21" s="1"/>
  <c r="O120" i="21"/>
  <c r="N120" i="21"/>
  <c r="I120" i="21"/>
  <c r="H120" i="21"/>
  <c r="FZ119" i="21"/>
  <c r="EL119" i="21"/>
  <c r="EK119" i="21" s="1"/>
  <c r="EE119" i="21"/>
  <c r="EA119" i="21"/>
  <c r="DY119" i="21"/>
  <c r="DI119" i="21"/>
  <c r="DH119" i="21"/>
  <c r="CG119" i="21"/>
  <c r="CF119" i="21"/>
  <c r="CH119" i="21" s="1"/>
  <c r="BK119" i="21"/>
  <c r="BM119" i="21" s="1"/>
  <c r="BA119" i="21"/>
  <c r="BB119" i="21" s="1"/>
  <c r="AX119" i="21"/>
  <c r="CM119" i="21" s="1"/>
  <c r="Y119" i="21"/>
  <c r="DT119" i="21" s="1"/>
  <c r="X119" i="21"/>
  <c r="W119" i="21"/>
  <c r="S119" i="21"/>
  <c r="U119" i="21" s="1"/>
  <c r="Q119" i="21"/>
  <c r="O119" i="21"/>
  <c r="N119" i="21"/>
  <c r="I119" i="21"/>
  <c r="H119" i="21"/>
  <c r="GC118" i="21"/>
  <c r="GA118" i="21"/>
  <c r="CS118" i="21" s="1"/>
  <c r="FZ118" i="21"/>
  <c r="FY118" i="21"/>
  <c r="FX118" i="21"/>
  <c r="EL118" i="21"/>
  <c r="EK118" i="21" s="1"/>
  <c r="DY118" i="21"/>
  <c r="DH118" i="21"/>
  <c r="CM118" i="21"/>
  <c r="CH118" i="21"/>
  <c r="CG118" i="21"/>
  <c r="CF118" i="21"/>
  <c r="BZ118" i="21"/>
  <c r="CB118" i="21" s="1"/>
  <c r="BR118" i="21"/>
  <c r="DZ118" i="21" s="1"/>
  <c r="BA118" i="21"/>
  <c r="BB118" i="21" s="1"/>
  <c r="AX118" i="21"/>
  <c r="AN118" i="21"/>
  <c r="AG118" i="21"/>
  <c r="AE118" i="21"/>
  <c r="Y118" i="21"/>
  <c r="DT118" i="21" s="1"/>
  <c r="X118" i="21"/>
  <c r="W118" i="21"/>
  <c r="T118" i="21"/>
  <c r="S118" i="21"/>
  <c r="Q118" i="21"/>
  <c r="CA118" i="21" s="1"/>
  <c r="O118" i="21"/>
  <c r="N118" i="21"/>
  <c r="I118" i="21"/>
  <c r="DJ118" i="21" s="1"/>
  <c r="H118" i="21"/>
  <c r="FZ117" i="21"/>
  <c r="FX117" i="21"/>
  <c r="GA117" i="21" s="1"/>
  <c r="EY117" i="21"/>
  <c r="EA117" i="21"/>
  <c r="DY117" i="21"/>
  <c r="DL117" i="21"/>
  <c r="DJ117" i="21"/>
  <c r="DI117" i="21"/>
  <c r="DH117" i="21"/>
  <c r="CG117" i="21"/>
  <c r="CF117" i="21"/>
  <c r="CH117" i="21" s="1"/>
  <c r="CD117" i="21"/>
  <c r="CE117" i="21" s="1"/>
  <c r="CB117" i="21"/>
  <c r="CI117" i="21" s="1"/>
  <c r="CK117" i="21" s="1"/>
  <c r="CA117" i="21"/>
  <c r="BZ117" i="21"/>
  <c r="BR117" i="21"/>
  <c r="DZ117" i="21" s="1"/>
  <c r="EB117" i="21" s="1"/>
  <c r="BF117" i="21"/>
  <c r="BE117" i="21"/>
  <c r="AY117" i="21"/>
  <c r="AX117" i="21"/>
  <c r="AM117" i="21"/>
  <c r="AL117" i="21"/>
  <c r="AK117" i="21"/>
  <c r="W117" i="21"/>
  <c r="U117" i="21"/>
  <c r="T117" i="21"/>
  <c r="S117" i="21"/>
  <c r="Q117" i="21"/>
  <c r="FY117" i="21" s="1"/>
  <c r="O117" i="21"/>
  <c r="AN117" i="21" s="1"/>
  <c r="N117" i="21"/>
  <c r="EE117" i="21" s="1"/>
  <c r="GC116" i="21"/>
  <c r="GD116" i="21" s="1"/>
  <c r="FZ116" i="21"/>
  <c r="FX116" i="21"/>
  <c r="EA116" i="21"/>
  <c r="DY116" i="21"/>
  <c r="DH116" i="21"/>
  <c r="CH116" i="21"/>
  <c r="CG116" i="21"/>
  <c r="CF116" i="21"/>
  <c r="CE116" i="21"/>
  <c r="CD116" i="21"/>
  <c r="W116" i="21"/>
  <c r="BA116" i="21" s="1"/>
  <c r="S116" i="21"/>
  <c r="Q116" i="21"/>
  <c r="O116" i="21"/>
  <c r="N116" i="21"/>
  <c r="I116" i="21"/>
  <c r="H116" i="21"/>
  <c r="FZ115" i="21"/>
  <c r="FY115" i="21"/>
  <c r="FX115" i="21"/>
  <c r="EA115" i="21"/>
  <c r="DY115" i="21"/>
  <c r="DL115" i="21"/>
  <c r="DJ115" i="21"/>
  <c r="DI115" i="21"/>
  <c r="DH115" i="21"/>
  <c r="CG115" i="21"/>
  <c r="CH115" i="21" s="1"/>
  <c r="CF115" i="21"/>
  <c r="CE115" i="21"/>
  <c r="CD115" i="21"/>
  <c r="CA115" i="21"/>
  <c r="BZ115" i="21"/>
  <c r="BR115" i="21"/>
  <c r="DZ115" i="21" s="1"/>
  <c r="EB115" i="21" s="1"/>
  <c r="BM115" i="21"/>
  <c r="BK115" i="21"/>
  <c r="BF115" i="21"/>
  <c r="CO115" i="21" s="1"/>
  <c r="BE115" i="21"/>
  <c r="AX115" i="21"/>
  <c r="CM115" i="21" s="1"/>
  <c r="AM115" i="21"/>
  <c r="AK115" i="21"/>
  <c r="W115" i="21"/>
  <c r="S115" i="21"/>
  <c r="Q115" i="21"/>
  <c r="O115" i="21"/>
  <c r="N115" i="21"/>
  <c r="EE115" i="21" s="1"/>
  <c r="I115" i="21"/>
  <c r="H115" i="21"/>
  <c r="GA115" i="21" s="1"/>
  <c r="CS115" i="21" s="1"/>
  <c r="FZ114" i="21"/>
  <c r="FX114" i="21"/>
  <c r="FJ114" i="21"/>
  <c r="EA114" i="21"/>
  <c r="DY114" i="21"/>
  <c r="DI114" i="21"/>
  <c r="DH114" i="21"/>
  <c r="CG114" i="21"/>
  <c r="CF114" i="21"/>
  <c r="CH114" i="21" s="1"/>
  <c r="CE114" i="21"/>
  <c r="CD114" i="21"/>
  <c r="BZ114" i="21"/>
  <c r="CB114" i="21" s="1"/>
  <c r="CI114" i="21" s="1"/>
  <c r="CK114" i="21" s="1"/>
  <c r="CP114" i="21" s="1"/>
  <c r="CW114" i="21" s="1"/>
  <c r="BR114" i="21"/>
  <c r="DZ114" i="21" s="1"/>
  <c r="EB114" i="21" s="1"/>
  <c r="AM114" i="21"/>
  <c r="AK114" i="21"/>
  <c r="AL114" i="21" s="1"/>
  <c r="W114" i="21"/>
  <c r="S114" i="21"/>
  <c r="Q114" i="21"/>
  <c r="CA114" i="21" s="1"/>
  <c r="O114" i="21"/>
  <c r="BE114" i="21" s="1"/>
  <c r="BF114" i="21" s="1"/>
  <c r="CO114" i="21" s="1"/>
  <c r="N114" i="21"/>
  <c r="EE114" i="21" s="1"/>
  <c r="I114" i="21"/>
  <c r="AX114" i="21" s="1"/>
  <c r="CM114" i="21" s="1"/>
  <c r="H114" i="21"/>
  <c r="FZ113" i="21"/>
  <c r="FY113" i="21"/>
  <c r="FX113" i="21"/>
  <c r="FG113" i="21"/>
  <c r="EB113" i="21"/>
  <c r="EA113" i="21"/>
  <c r="DY113" i="21"/>
  <c r="DH113" i="21"/>
  <c r="CU113" i="21"/>
  <c r="CM113" i="21"/>
  <c r="CI113" i="21"/>
  <c r="CK113" i="21" s="1"/>
  <c r="CP113" i="21" s="1"/>
  <c r="CH113" i="21"/>
  <c r="CG113" i="21"/>
  <c r="CF113" i="21"/>
  <c r="CD113" i="21"/>
  <c r="CE113" i="21" s="1"/>
  <c r="CB113" i="21"/>
  <c r="CA113" i="21"/>
  <c r="BZ113" i="21"/>
  <c r="BR113" i="21"/>
  <c r="DZ113" i="21" s="1"/>
  <c r="BK113" i="21"/>
  <c r="BE113" i="21"/>
  <c r="BF113" i="21" s="1"/>
  <c r="CO113" i="21" s="1"/>
  <c r="AX113" i="21"/>
  <c r="AN113" i="21"/>
  <c r="X113" i="21"/>
  <c r="Y113" i="21" s="1"/>
  <c r="W113" i="21"/>
  <c r="S113" i="21"/>
  <c r="BM113" i="21" s="1"/>
  <c r="Q113" i="21"/>
  <c r="O113" i="21"/>
  <c r="N113" i="21"/>
  <c r="I113" i="21"/>
  <c r="H113" i="21"/>
  <c r="FZ112" i="21"/>
  <c r="EL112" i="21"/>
  <c r="EK112" i="21" s="1"/>
  <c r="EE112" i="21"/>
  <c r="EA112" i="21"/>
  <c r="DY112" i="21"/>
  <c r="DH112" i="21"/>
  <c r="CH112" i="21"/>
  <c r="CG112" i="21"/>
  <c r="CF112" i="21"/>
  <c r="CD112" i="21"/>
  <c r="CE112" i="21" s="1"/>
  <c r="BA112" i="21"/>
  <c r="X112" i="21"/>
  <c r="Y112" i="21" s="1"/>
  <c r="W112" i="21"/>
  <c r="U112" i="21"/>
  <c r="S112" i="21"/>
  <c r="Q112" i="21"/>
  <c r="O112" i="21"/>
  <c r="N112" i="21"/>
  <c r="I112" i="21"/>
  <c r="H112" i="21"/>
  <c r="FZ111" i="21"/>
  <c r="EA111" i="21"/>
  <c r="DY111" i="21"/>
  <c r="DI111" i="21"/>
  <c r="DH111" i="21"/>
  <c r="CG111" i="21"/>
  <c r="CF111" i="21"/>
  <c r="CH111" i="21" s="1"/>
  <c r="CE111" i="21"/>
  <c r="CD111" i="21"/>
  <c r="AX111" i="21"/>
  <c r="AK111" i="21"/>
  <c r="AM111" i="21" s="1"/>
  <c r="X111" i="21"/>
  <c r="W111" i="21"/>
  <c r="BA111" i="21" s="1"/>
  <c r="U111" i="21"/>
  <c r="S111" i="21"/>
  <c r="O111" i="21"/>
  <c r="N111" i="21"/>
  <c r="I111" i="21"/>
  <c r="DJ111" i="21" s="1"/>
  <c r="H111" i="21"/>
  <c r="DL111" i="21" s="1"/>
  <c r="FZ110" i="21"/>
  <c r="FX110" i="21"/>
  <c r="EE110" i="21"/>
  <c r="EA110" i="21"/>
  <c r="DY110" i="21"/>
  <c r="DH110" i="21"/>
  <c r="CG110" i="21"/>
  <c r="CF110" i="21"/>
  <c r="CH110" i="21" s="1"/>
  <c r="CE110" i="21"/>
  <c r="CD110" i="21"/>
  <c r="BE110" i="21"/>
  <c r="BF110" i="21" s="1"/>
  <c r="BA110" i="21"/>
  <c r="BB110" i="21" s="1"/>
  <c r="AM110" i="21"/>
  <c r="AK110" i="21"/>
  <c r="X110" i="21"/>
  <c r="Y110" i="21" s="1"/>
  <c r="W110" i="21"/>
  <c r="S110" i="21"/>
  <c r="Q110" i="21"/>
  <c r="O110" i="21"/>
  <c r="N110" i="21"/>
  <c r="I110" i="21"/>
  <c r="H110" i="21"/>
  <c r="FZ109" i="21"/>
  <c r="EA109" i="21"/>
  <c r="DY109" i="21"/>
  <c r="DL109" i="21"/>
  <c r="DI109" i="21"/>
  <c r="DH109" i="21"/>
  <c r="CH109" i="21"/>
  <c r="CG109" i="21"/>
  <c r="CF109" i="21"/>
  <c r="CD109" i="21"/>
  <c r="CE109" i="21" s="1"/>
  <c r="AM109" i="21"/>
  <c r="AK109" i="21"/>
  <c r="W109" i="21"/>
  <c r="S109" i="21"/>
  <c r="Q109" i="21"/>
  <c r="FY109" i="21" s="1"/>
  <c r="N109" i="21"/>
  <c r="I109" i="21"/>
  <c r="H109" i="21"/>
  <c r="FZ108" i="21"/>
  <c r="EA108" i="21"/>
  <c r="DY108" i="21"/>
  <c r="DI108" i="21"/>
  <c r="DH108" i="21"/>
  <c r="CG108" i="21"/>
  <c r="CF108" i="21"/>
  <c r="CH108" i="21" s="1"/>
  <c r="CD108" i="21"/>
  <c r="CE108" i="21" s="1"/>
  <c r="AM108" i="21"/>
  <c r="AL108" i="21"/>
  <c r="AK108" i="21"/>
  <c r="W108" i="21"/>
  <c r="U108" i="21"/>
  <c r="S108" i="21"/>
  <c r="Q108" i="21"/>
  <c r="N108" i="21"/>
  <c r="I108" i="21"/>
  <c r="DJ108" i="21" s="1"/>
  <c r="H108" i="21"/>
  <c r="DL108" i="21" s="1"/>
  <c r="FZ107" i="21"/>
  <c r="FX107" i="21"/>
  <c r="EL107" i="21"/>
  <c r="EK107" i="21" s="1"/>
  <c r="EE107" i="21"/>
  <c r="EA107" i="21"/>
  <c r="DY107" i="21"/>
  <c r="DL107" i="21"/>
  <c r="DJ107" i="21"/>
  <c r="DH107" i="21"/>
  <c r="CG107" i="21"/>
  <c r="CF107" i="21"/>
  <c r="CH107" i="21" s="1"/>
  <c r="CD107" i="21"/>
  <c r="CE107" i="21" s="1"/>
  <c r="CA107" i="21"/>
  <c r="BZ107" i="21"/>
  <c r="CB107" i="21" s="1"/>
  <c r="BR107" i="21"/>
  <c r="DZ107" i="21" s="1"/>
  <c r="EB107" i="21" s="1"/>
  <c r="BA107" i="21"/>
  <c r="BB107" i="21" s="1"/>
  <c r="AY107" i="21"/>
  <c r="AP107" i="21"/>
  <c r="AP108" i="21" s="1"/>
  <c r="AN107" i="21"/>
  <c r="AM107" i="21"/>
  <c r="AK107" i="21"/>
  <c r="AL107" i="21" s="1"/>
  <c r="X107" i="21"/>
  <c r="Y107" i="21" s="1"/>
  <c r="W107" i="21"/>
  <c r="T107" i="21"/>
  <c r="S107" i="21"/>
  <c r="U107" i="21" s="1"/>
  <c r="Q107" i="21"/>
  <c r="BK107" i="21" s="1"/>
  <c r="BL107" i="21" s="1"/>
  <c r="BN107" i="21" s="1"/>
  <c r="O107" i="21"/>
  <c r="N107" i="21"/>
  <c r="I107" i="21"/>
  <c r="AX107" i="21" s="1"/>
  <c r="H107" i="21"/>
  <c r="DI107" i="21" s="1"/>
  <c r="FZ106" i="21"/>
  <c r="FX106" i="21"/>
  <c r="EA106" i="21"/>
  <c r="DY106" i="21"/>
  <c r="DL106" i="21"/>
  <c r="DJ106" i="21"/>
  <c r="DI106" i="21"/>
  <c r="DH106" i="21"/>
  <c r="CI106" i="21"/>
  <c r="CK106" i="21" s="1"/>
  <c r="CH106" i="21"/>
  <c r="CG106" i="21"/>
  <c r="CF106" i="21"/>
  <c r="CD106" i="21"/>
  <c r="CE106" i="21" s="1"/>
  <c r="CA106" i="21"/>
  <c r="BZ106" i="21"/>
  <c r="CB106" i="21" s="1"/>
  <c r="BA106" i="21"/>
  <c r="BB106" i="21" s="1"/>
  <c r="AX106" i="21"/>
  <c r="AN106" i="21"/>
  <c r="AK106" i="21"/>
  <c r="AM106" i="21" s="1"/>
  <c r="Y106" i="21"/>
  <c r="Q106" i="21" s="1"/>
  <c r="X106" i="21"/>
  <c r="EL106" i="21" s="1"/>
  <c r="EK106" i="21" s="1"/>
  <c r="W106" i="21"/>
  <c r="U106" i="21"/>
  <c r="S106" i="21"/>
  <c r="EE106" i="21" s="1"/>
  <c r="O106" i="21"/>
  <c r="N106" i="21"/>
  <c r="I106" i="21"/>
  <c r="H106" i="21"/>
  <c r="FZ105" i="21"/>
  <c r="FY105" i="21"/>
  <c r="EA105" i="21"/>
  <c r="DY105" i="21"/>
  <c r="DI105" i="21"/>
  <c r="DH105" i="21"/>
  <c r="CG105" i="21"/>
  <c r="CH105" i="21" s="1"/>
  <c r="CF105" i="21"/>
  <c r="CD105" i="21"/>
  <c r="CE105" i="21" s="1"/>
  <c r="AX105" i="21"/>
  <c r="AP105" i="21"/>
  <c r="AP106" i="21" s="1"/>
  <c r="AT106" i="21" s="1"/>
  <c r="DU106" i="21" s="1"/>
  <c r="AK105" i="21"/>
  <c r="AL105" i="21" s="1"/>
  <c r="X105" i="21"/>
  <c r="EL105" i="21" s="1"/>
  <c r="EK105" i="21" s="1"/>
  <c r="W105" i="21"/>
  <c r="BA105" i="21" s="1"/>
  <c r="BB105" i="21" s="1"/>
  <c r="U105" i="21"/>
  <c r="S105" i="21"/>
  <c r="Q105" i="21"/>
  <c r="N105" i="21"/>
  <c r="I105" i="21"/>
  <c r="H105" i="21"/>
  <c r="DL105" i="21" s="1"/>
  <c r="FZ104" i="21"/>
  <c r="FY104" i="21"/>
  <c r="EL104" i="21"/>
  <c r="EK104" i="21" s="1"/>
  <c r="EA104" i="21"/>
  <c r="DL104" i="21"/>
  <c r="DJ104" i="21"/>
  <c r="DI104" i="21"/>
  <c r="DH104" i="21"/>
  <c r="CH104" i="21"/>
  <c r="CG104" i="21"/>
  <c r="CF104" i="21"/>
  <c r="CD104" i="21"/>
  <c r="CE104" i="21" s="1"/>
  <c r="BA104" i="21"/>
  <c r="BB104" i="21" s="1"/>
  <c r="AX104" i="21"/>
  <c r="AK104" i="21"/>
  <c r="AM104" i="21" s="1"/>
  <c r="AD104" i="21"/>
  <c r="Y104" i="21"/>
  <c r="W104" i="21"/>
  <c r="X104" i="21" s="1"/>
  <c r="S104" i="21"/>
  <c r="Q104" i="21"/>
  <c r="P104" i="21"/>
  <c r="DY104" i="21" s="1"/>
  <c r="N104" i="21"/>
  <c r="P105" i="21" s="1"/>
  <c r="I104" i="21"/>
  <c r="H104" i="21"/>
  <c r="EE103" i="21"/>
  <c r="DJ103" i="21"/>
  <c r="DH103" i="21"/>
  <c r="AK103" i="21"/>
  <c r="W103" i="21"/>
  <c r="S103" i="21"/>
  <c r="P103" i="21"/>
  <c r="O103" i="21"/>
  <c r="FX103" i="21" s="1"/>
  <c r="N103" i="21"/>
  <c r="Q103" i="21" s="1"/>
  <c r="K103" i="21"/>
  <c r="J103" i="21"/>
  <c r="I103" i="21"/>
  <c r="H103" i="21"/>
  <c r="DI103" i="21" s="1"/>
  <c r="G103" i="21"/>
  <c r="CG103" i="21" s="1"/>
  <c r="FZ102" i="21"/>
  <c r="EY102" i="21"/>
  <c r="DJ102" i="21"/>
  <c r="EZ102" i="21" s="1"/>
  <c r="DI102" i="21"/>
  <c r="DH102" i="21"/>
  <c r="CG102" i="21"/>
  <c r="CD102" i="21"/>
  <c r="CE102" i="21" s="1"/>
  <c r="AN102" i="21"/>
  <c r="AK102" i="21"/>
  <c r="AL102" i="21" s="1"/>
  <c r="X102" i="21"/>
  <c r="EL102" i="21" s="1"/>
  <c r="EK102" i="21" s="1"/>
  <c r="W102" i="21"/>
  <c r="BA102" i="21" s="1"/>
  <c r="U102" i="21"/>
  <c r="S102" i="21"/>
  <c r="P102" i="21"/>
  <c r="DY102" i="21" s="1"/>
  <c r="O102" i="21"/>
  <c r="FX102" i="21" s="1"/>
  <c r="N102" i="21"/>
  <c r="Q102" i="21" s="1"/>
  <c r="L102" i="21"/>
  <c r="K102" i="21"/>
  <c r="CF102" i="21" s="1"/>
  <c r="J102" i="21"/>
  <c r="I102" i="21"/>
  <c r="H102" i="21"/>
  <c r="G102" i="21"/>
  <c r="EA101" i="21"/>
  <c r="DH101" i="21"/>
  <c r="CM101" i="21"/>
  <c r="CF101" i="21"/>
  <c r="CH101" i="21" s="1"/>
  <c r="AK101" i="21"/>
  <c r="AD101" i="21"/>
  <c r="AB101" i="21"/>
  <c r="W101" i="21"/>
  <c r="S101" i="21"/>
  <c r="Q101" i="21"/>
  <c r="P101" i="21"/>
  <c r="DY101" i="21" s="1"/>
  <c r="O101" i="21"/>
  <c r="N101" i="21"/>
  <c r="K101" i="21"/>
  <c r="J101" i="21"/>
  <c r="AX101" i="21" s="1"/>
  <c r="I101" i="21"/>
  <c r="DJ101" i="21" s="1"/>
  <c r="H101" i="21"/>
  <c r="DI101" i="21" s="1"/>
  <c r="G101" i="21"/>
  <c r="CG101" i="21" s="1"/>
  <c r="FZ100" i="21"/>
  <c r="DL100" i="21"/>
  <c r="DI100" i="21"/>
  <c r="DH100" i="21"/>
  <c r="CG100" i="21"/>
  <c r="CF100" i="21"/>
  <c r="CH100" i="21" s="1"/>
  <c r="CD100" i="21"/>
  <c r="CE100" i="21" s="1"/>
  <c r="BK100" i="21"/>
  <c r="AM100" i="21"/>
  <c r="AK100" i="21"/>
  <c r="W100" i="21"/>
  <c r="U100" i="21"/>
  <c r="S100" i="21"/>
  <c r="P100" i="21"/>
  <c r="DY100" i="21" s="1"/>
  <c r="O100" i="21"/>
  <c r="FX100" i="21" s="1"/>
  <c r="N100" i="21"/>
  <c r="Q100" i="21" s="1"/>
  <c r="FY100" i="21" s="1"/>
  <c r="K100" i="21"/>
  <c r="J100" i="21"/>
  <c r="H100" i="21"/>
  <c r="G100" i="21"/>
  <c r="FX99" i="21"/>
  <c r="DL99" i="21"/>
  <c r="DH99" i="21"/>
  <c r="CG99" i="21"/>
  <c r="BA99" i="21"/>
  <c r="AK99" i="21"/>
  <c r="AM99" i="21" s="1"/>
  <c r="W99" i="21"/>
  <c r="X99" i="21" s="1"/>
  <c r="EL99" i="21" s="1"/>
  <c r="EK99" i="21" s="1"/>
  <c r="S99" i="21"/>
  <c r="P99" i="21"/>
  <c r="O99" i="21"/>
  <c r="N99" i="21"/>
  <c r="K99" i="21"/>
  <c r="FZ99" i="21" s="1"/>
  <c r="J99" i="21"/>
  <c r="H99" i="21"/>
  <c r="G99" i="21"/>
  <c r="GA98" i="21"/>
  <c r="FZ98" i="21"/>
  <c r="FY98" i="21"/>
  <c r="EA98" i="21"/>
  <c r="DL98" i="21"/>
  <c r="DJ98" i="21"/>
  <c r="DI98" i="21"/>
  <c r="DH98" i="21"/>
  <c r="CX98" i="21"/>
  <c r="CS98" i="21"/>
  <c r="FI98" i="21" s="1"/>
  <c r="BA98" i="21"/>
  <c r="BB98" i="21" s="1"/>
  <c r="AL98" i="21"/>
  <c r="AK98" i="21"/>
  <c r="AM98" i="21" s="1"/>
  <c r="AD98" i="21"/>
  <c r="AD103" i="21" s="1"/>
  <c r="AB98" i="21"/>
  <c r="Y98" i="21"/>
  <c r="DT98" i="21" s="1"/>
  <c r="X98" i="21"/>
  <c r="EL98" i="21" s="1"/>
  <c r="EK98" i="21" s="1"/>
  <c r="W98" i="21"/>
  <c r="S98" i="21"/>
  <c r="Q98" i="21"/>
  <c r="CA98" i="21" s="1"/>
  <c r="P98" i="21"/>
  <c r="O98" i="21"/>
  <c r="FX98" i="21" s="1"/>
  <c r="N98" i="21"/>
  <c r="K98" i="21"/>
  <c r="J98" i="21"/>
  <c r="EE98" i="21" s="1"/>
  <c r="I98" i="21"/>
  <c r="H98" i="21"/>
  <c r="L98" i="21" s="1"/>
  <c r="G98" i="21"/>
  <c r="CG98" i="21" s="1"/>
  <c r="FZ97" i="21"/>
  <c r="EA97" i="21"/>
  <c r="EB97" i="21" s="1"/>
  <c r="DZ97" i="21"/>
  <c r="DI97" i="21"/>
  <c r="DH97" i="21"/>
  <c r="CH97" i="21"/>
  <c r="CF97" i="21"/>
  <c r="BR97" i="21"/>
  <c r="AK97" i="21"/>
  <c r="AM97" i="21" s="1"/>
  <c r="AD97" i="21"/>
  <c r="AB97" i="21"/>
  <c r="W97" i="21"/>
  <c r="S97" i="21"/>
  <c r="Q97" i="21"/>
  <c r="P97" i="21"/>
  <c r="DY97" i="21" s="1"/>
  <c r="O97" i="21"/>
  <c r="U97" i="21" s="1"/>
  <c r="N97" i="21"/>
  <c r="K97" i="21"/>
  <c r="J97" i="21"/>
  <c r="H97" i="21"/>
  <c r="G97" i="21"/>
  <c r="CG97" i="21" s="1"/>
  <c r="FZ96" i="21"/>
  <c r="FX96" i="21"/>
  <c r="EL96" i="21"/>
  <c r="EK96" i="21" s="1"/>
  <c r="EA96" i="21"/>
  <c r="DY96" i="21"/>
  <c r="DH96" i="21"/>
  <c r="CF96" i="21"/>
  <c r="CE96" i="21"/>
  <c r="CD96" i="21"/>
  <c r="BA96" i="21"/>
  <c r="BB96" i="21" s="1"/>
  <c r="Y96" i="21"/>
  <c r="DT96" i="21" s="1"/>
  <c r="X96" i="21"/>
  <c r="W96" i="21"/>
  <c r="U96" i="21"/>
  <c r="S96" i="21"/>
  <c r="P96" i="21"/>
  <c r="O96" i="21"/>
  <c r="N96" i="21"/>
  <c r="EE96" i="21" s="1"/>
  <c r="K96" i="21"/>
  <c r="J96" i="21"/>
  <c r="I96" i="21"/>
  <c r="H96" i="21"/>
  <c r="G96" i="21"/>
  <c r="CG96" i="21" s="1"/>
  <c r="FX95" i="21"/>
  <c r="EE95" i="21"/>
  <c r="EA95" i="21"/>
  <c r="DY95" i="21"/>
  <c r="DI95" i="21"/>
  <c r="DH95" i="21"/>
  <c r="CH95" i="21"/>
  <c r="CG95" i="21"/>
  <c r="CF95" i="21"/>
  <c r="CD95" i="21"/>
  <c r="CE95" i="21" s="1"/>
  <c r="AN95" i="21"/>
  <c r="AM95" i="21"/>
  <c r="AK95" i="21"/>
  <c r="AD95" i="21"/>
  <c r="AB95" i="21"/>
  <c r="W95" i="21"/>
  <c r="U95" i="21"/>
  <c r="S95" i="21"/>
  <c r="P95" i="21"/>
  <c r="O95" i="21"/>
  <c r="N95" i="21"/>
  <c r="Q95" i="21" s="1"/>
  <c r="L95" i="21"/>
  <c r="K95" i="21"/>
  <c r="FZ95" i="21" s="1"/>
  <c r="J95" i="21"/>
  <c r="DL95" i="21" s="1"/>
  <c r="I95" i="21"/>
  <c r="H95" i="21"/>
  <c r="G95" i="21"/>
  <c r="FZ94" i="21"/>
  <c r="FX94" i="21"/>
  <c r="EA94" i="21"/>
  <c r="DY94" i="21"/>
  <c r="DH94" i="21"/>
  <c r="CF94" i="21"/>
  <c r="BA94" i="21"/>
  <c r="AN94" i="21"/>
  <c r="AL94" i="21"/>
  <c r="AK94" i="21"/>
  <c r="AB94" i="21"/>
  <c r="X94" i="21"/>
  <c r="EL94" i="21" s="1"/>
  <c r="EK94" i="21" s="1"/>
  <c r="W94" i="21"/>
  <c r="U94" i="21"/>
  <c r="S94" i="21"/>
  <c r="Q94" i="21"/>
  <c r="P94" i="21"/>
  <c r="O94" i="21"/>
  <c r="N94" i="21"/>
  <c r="EE94" i="21" s="1"/>
  <c r="L94" i="21"/>
  <c r="K94" i="21"/>
  <c r="J94" i="21"/>
  <c r="I94" i="21"/>
  <c r="DJ94" i="21" s="1"/>
  <c r="H94" i="21"/>
  <c r="G94" i="21"/>
  <c r="FZ93" i="21"/>
  <c r="FY93" i="21"/>
  <c r="EE93" i="21"/>
  <c r="EA93" i="21"/>
  <c r="DY93" i="21"/>
  <c r="DL93" i="21"/>
  <c r="DI93" i="21"/>
  <c r="DH93" i="21"/>
  <c r="CG93" i="21"/>
  <c r="CF93" i="21"/>
  <c r="CH93" i="21" s="1"/>
  <c r="CD93" i="21"/>
  <c r="CE93" i="21" s="1"/>
  <c r="CA93" i="21"/>
  <c r="BZ93" i="21"/>
  <c r="CB93" i="21" s="1"/>
  <c r="CI93" i="21" s="1"/>
  <c r="CK93" i="21" s="1"/>
  <c r="CP93" i="21" s="1"/>
  <c r="BR93" i="21"/>
  <c r="DZ93" i="21" s="1"/>
  <c r="EB93" i="21" s="1"/>
  <c r="AN93" i="21"/>
  <c r="AM93" i="21"/>
  <c r="AL93" i="21"/>
  <c r="AK93" i="21"/>
  <c r="W93" i="21"/>
  <c r="T93" i="21"/>
  <c r="S93" i="21"/>
  <c r="P93" i="21"/>
  <c r="O93" i="21"/>
  <c r="FX93" i="21" s="1"/>
  <c r="N93" i="21"/>
  <c r="L93" i="21"/>
  <c r="I93" i="21"/>
  <c r="DJ93" i="21" s="1"/>
  <c r="H93" i="21"/>
  <c r="FZ92" i="21"/>
  <c r="FY92" i="21"/>
  <c r="FG92" i="21"/>
  <c r="EA92" i="21"/>
  <c r="DY92" i="21"/>
  <c r="DL92" i="21"/>
  <c r="DJ92" i="21"/>
  <c r="DI92" i="21"/>
  <c r="DH92" i="21"/>
  <c r="CM92" i="21"/>
  <c r="CU92" i="21" s="1"/>
  <c r="CG92" i="21"/>
  <c r="CF92" i="21"/>
  <c r="CE92" i="21"/>
  <c r="CD92" i="21"/>
  <c r="AK92" i="21"/>
  <c r="AM92" i="21" s="1"/>
  <c r="W92" i="21"/>
  <c r="U92" i="21"/>
  <c r="AY92" i="21" s="1"/>
  <c r="S92" i="21"/>
  <c r="P92" i="21"/>
  <c r="N92" i="21"/>
  <c r="T92" i="21" s="1"/>
  <c r="I92" i="21"/>
  <c r="AX92" i="21" s="1"/>
  <c r="H92" i="21"/>
  <c r="L92" i="21" s="1"/>
  <c r="FZ91" i="21"/>
  <c r="FY91" i="21" s="1"/>
  <c r="FX91" i="21"/>
  <c r="EE91" i="21"/>
  <c r="EB91" i="21"/>
  <c r="EA91" i="21"/>
  <c r="DZ91" i="21"/>
  <c r="DL91" i="21"/>
  <c r="DH91" i="21"/>
  <c r="CG91" i="21"/>
  <c r="CH91" i="21" s="1"/>
  <c r="CF91" i="21"/>
  <c r="CD91" i="21"/>
  <c r="CE91" i="21" s="1"/>
  <c r="CA91" i="21"/>
  <c r="CB91" i="21" s="1"/>
  <c r="BZ91" i="21"/>
  <c r="BB91" i="21"/>
  <c r="AX91" i="21"/>
  <c r="CM91" i="21" s="1"/>
  <c r="AN91" i="21"/>
  <c r="W91" i="21"/>
  <c r="BA91" i="21" s="1"/>
  <c r="S91" i="21"/>
  <c r="P91" i="21"/>
  <c r="DY91" i="21" s="1"/>
  <c r="O91" i="21"/>
  <c r="BR91" i="21" s="1"/>
  <c r="N91" i="21"/>
  <c r="U91" i="21" s="1"/>
  <c r="I91" i="21"/>
  <c r="H91" i="21"/>
  <c r="FZ90" i="21"/>
  <c r="FY90" i="21"/>
  <c r="EA90" i="21"/>
  <c r="DY90" i="21"/>
  <c r="DT90" i="21"/>
  <c r="DH90" i="21"/>
  <c r="CM90" i="21"/>
  <c r="CG90" i="21"/>
  <c r="CF90" i="21"/>
  <c r="CH90" i="21" s="1"/>
  <c r="CE90" i="21"/>
  <c r="CD90" i="21"/>
  <c r="BA90" i="21"/>
  <c r="BB90" i="21" s="1"/>
  <c r="AX90" i="21"/>
  <c r="X90" i="21"/>
  <c r="Y90" i="21" s="1"/>
  <c r="W90" i="21"/>
  <c r="S90" i="21"/>
  <c r="P90" i="21"/>
  <c r="N90" i="21"/>
  <c r="L90" i="21"/>
  <c r="I90" i="21"/>
  <c r="DJ90" i="21" s="1"/>
  <c r="H90" i="21"/>
  <c r="FZ89" i="21"/>
  <c r="FY89" i="21"/>
  <c r="EA89" i="21"/>
  <c r="DY89" i="21"/>
  <c r="DL89" i="21"/>
  <c r="DH89" i="21"/>
  <c r="CG89" i="21"/>
  <c r="CF89" i="21"/>
  <c r="CH89" i="21" s="1"/>
  <c r="CD89" i="21"/>
  <c r="CE89" i="21" s="1"/>
  <c r="AX89" i="21"/>
  <c r="CM89" i="21" s="1"/>
  <c r="W89" i="21"/>
  <c r="S89" i="21"/>
  <c r="P89" i="21"/>
  <c r="N89" i="21"/>
  <c r="L89" i="21"/>
  <c r="I89" i="21"/>
  <c r="H89" i="21"/>
  <c r="FZ88" i="21"/>
  <c r="FY88" i="21"/>
  <c r="GA88" i="21" s="1"/>
  <c r="CS88" i="21" s="1"/>
  <c r="EE88" i="21"/>
  <c r="EA88" i="21"/>
  <c r="DL88" i="21"/>
  <c r="DJ88" i="21"/>
  <c r="DI88" i="21"/>
  <c r="DH88" i="21"/>
  <c r="CH88" i="21"/>
  <c r="CG88" i="21"/>
  <c r="CF88" i="21"/>
  <c r="CE88" i="21"/>
  <c r="CD88" i="21"/>
  <c r="BZ88" i="21"/>
  <c r="BR88" i="21"/>
  <c r="DZ88" i="21" s="1"/>
  <c r="EB88" i="21" s="1"/>
  <c r="EG88" i="21" s="1"/>
  <c r="BK88" i="21"/>
  <c r="BM88" i="21" s="1"/>
  <c r="AX88" i="21"/>
  <c r="CM88" i="21" s="1"/>
  <c r="FG88" i="21" s="1"/>
  <c r="AK88" i="21"/>
  <c r="AM88" i="21" s="1"/>
  <c r="W88" i="21"/>
  <c r="BA88" i="21" s="1"/>
  <c r="BB88" i="21" s="1"/>
  <c r="U88" i="21"/>
  <c r="S88" i="21"/>
  <c r="AL88" i="21" s="1"/>
  <c r="P88" i="21"/>
  <c r="DY88" i="21" s="1"/>
  <c r="O88" i="21"/>
  <c r="FX88" i="21" s="1"/>
  <c r="N88" i="21"/>
  <c r="L88" i="21"/>
  <c r="I88" i="21"/>
  <c r="H88" i="21"/>
  <c r="AN88" i="21" s="1"/>
  <c r="FZ87" i="21"/>
  <c r="FY87" i="21"/>
  <c r="FG87" i="21"/>
  <c r="EA87" i="21"/>
  <c r="DY87" i="21"/>
  <c r="DJ87" i="21"/>
  <c r="DI87" i="21"/>
  <c r="DH87" i="21"/>
  <c r="CM87" i="21"/>
  <c r="CU87" i="21" s="1"/>
  <c r="CH87" i="21"/>
  <c r="CG87" i="21"/>
  <c r="CF87" i="21"/>
  <c r="CE87" i="21"/>
  <c r="CD87" i="21"/>
  <c r="AX87" i="21"/>
  <c r="AN87" i="21"/>
  <c r="AM87" i="21"/>
  <c r="AK87" i="21"/>
  <c r="AL87" i="21" s="1"/>
  <c r="W87" i="21"/>
  <c r="U87" i="21"/>
  <c r="T87" i="21"/>
  <c r="S87" i="21"/>
  <c r="P87" i="21"/>
  <c r="N87" i="21"/>
  <c r="O87" i="21" s="1"/>
  <c r="CA87" i="21" s="1"/>
  <c r="I87" i="21"/>
  <c r="H87" i="21"/>
  <c r="DL87" i="21" s="1"/>
  <c r="FZ86" i="21"/>
  <c r="FY86" i="21"/>
  <c r="EA86" i="21"/>
  <c r="DY86" i="21"/>
  <c r="DH86" i="21"/>
  <c r="CH86" i="21"/>
  <c r="CG86" i="21"/>
  <c r="CF86" i="21"/>
  <c r="CD86" i="21"/>
  <c r="CE86" i="21" s="1"/>
  <c r="BA86" i="21"/>
  <c r="W86" i="21"/>
  <c r="X86" i="21" s="1"/>
  <c r="S86" i="21"/>
  <c r="P86" i="21"/>
  <c r="N86" i="21"/>
  <c r="I86" i="21"/>
  <c r="H86" i="21"/>
  <c r="GA85" i="21"/>
  <c r="CS85" i="21" s="1"/>
  <c r="FI85" i="21" s="1"/>
  <c r="FZ85" i="21"/>
  <c r="FY85" i="21"/>
  <c r="FX85" i="21"/>
  <c r="EL85" i="21"/>
  <c r="EK85" i="21" s="1"/>
  <c r="EA85" i="21"/>
  <c r="DY85" i="21"/>
  <c r="DT85" i="21"/>
  <c r="DH85" i="21"/>
  <c r="CU85" i="21"/>
  <c r="CH85" i="21"/>
  <c r="CG85" i="21"/>
  <c r="CF85" i="21"/>
  <c r="CD85" i="21"/>
  <c r="CE85" i="21" s="1"/>
  <c r="BE85" i="21"/>
  <c r="BF85" i="21" s="1"/>
  <c r="CO85" i="21" s="1"/>
  <c r="BA85" i="21"/>
  <c r="BB85" i="21" s="1"/>
  <c r="AY85" i="21"/>
  <c r="AZ85" i="21" s="1"/>
  <c r="AX85" i="21"/>
  <c r="CM85" i="21" s="1"/>
  <c r="FG85" i="21" s="1"/>
  <c r="Y85" i="21"/>
  <c r="X85" i="21"/>
  <c r="W85" i="21"/>
  <c r="T85" i="21"/>
  <c r="S85" i="21"/>
  <c r="P85" i="21"/>
  <c r="O85" i="21"/>
  <c r="BK85" i="21" s="1"/>
  <c r="N85" i="21"/>
  <c r="U85" i="21" s="1"/>
  <c r="I85" i="21"/>
  <c r="H85" i="21"/>
  <c r="L85" i="21" s="1"/>
  <c r="FZ84" i="21"/>
  <c r="FY84" i="21"/>
  <c r="FX84" i="21"/>
  <c r="EA84" i="21"/>
  <c r="DL84" i="21"/>
  <c r="DI84" i="21"/>
  <c r="DH84" i="21"/>
  <c r="CG84" i="21"/>
  <c r="CF84" i="21"/>
  <c r="CH84" i="21" s="1"/>
  <c r="CD84" i="21"/>
  <c r="CE84" i="21" s="1"/>
  <c r="AK84" i="21"/>
  <c r="AM84" i="21" s="1"/>
  <c r="W84" i="21"/>
  <c r="S84" i="21"/>
  <c r="P84" i="21"/>
  <c r="DY84" i="21" s="1"/>
  <c r="O84" i="21"/>
  <c r="N84" i="21"/>
  <c r="L84" i="21"/>
  <c r="I84" i="21"/>
  <c r="H84" i="21"/>
  <c r="FZ83" i="21"/>
  <c r="FY83" i="21"/>
  <c r="EA83" i="21"/>
  <c r="DL83" i="21"/>
  <c r="DJ83" i="21"/>
  <c r="DI83" i="21"/>
  <c r="DH83" i="21"/>
  <c r="CH83" i="21"/>
  <c r="CG83" i="21"/>
  <c r="CF83" i="21"/>
  <c r="CD83" i="21"/>
  <c r="CE83" i="21" s="1"/>
  <c r="AM83" i="21"/>
  <c r="AL83" i="21"/>
  <c r="AK83" i="21"/>
  <c r="W83" i="21"/>
  <c r="S83" i="21"/>
  <c r="U83" i="21" s="1"/>
  <c r="P83" i="21"/>
  <c r="DY83" i="21" s="1"/>
  <c r="N83" i="21"/>
  <c r="I83" i="21"/>
  <c r="AX83" i="21" s="1"/>
  <c r="CM83" i="21" s="1"/>
  <c r="FG83" i="21" s="1"/>
  <c r="H83" i="21"/>
  <c r="L83" i="21" s="1"/>
  <c r="FZ82" i="21"/>
  <c r="FY82" i="21"/>
  <c r="ET82" i="21"/>
  <c r="EA82" i="21"/>
  <c r="DL82" i="21"/>
  <c r="DJ82" i="21"/>
  <c r="DI82" i="21"/>
  <c r="DH82" i="21"/>
  <c r="CH82" i="21"/>
  <c r="CG82" i="21"/>
  <c r="CF82" i="21"/>
  <c r="CD82" i="21"/>
  <c r="CE82" i="21" s="1"/>
  <c r="BA82" i="21"/>
  <c r="BB82" i="21" s="1"/>
  <c r="AM82" i="21"/>
  <c r="AL82" i="21"/>
  <c r="AK82" i="21"/>
  <c r="Y82" i="21"/>
  <c r="X82" i="21"/>
  <c r="EL82" i="21" s="1"/>
  <c r="EK82" i="21" s="1"/>
  <c r="W82" i="21"/>
  <c r="U82" i="21"/>
  <c r="AY82" i="21" s="1"/>
  <c r="S82" i="21"/>
  <c r="P82" i="21"/>
  <c r="DY82" i="21" s="1"/>
  <c r="N82" i="21"/>
  <c r="T82" i="21" s="1"/>
  <c r="I82" i="21"/>
  <c r="AX82" i="21" s="1"/>
  <c r="CM82" i="21" s="1"/>
  <c r="H82" i="21"/>
  <c r="FZ81" i="21"/>
  <c r="FY81" i="21"/>
  <c r="EK81" i="21"/>
  <c r="EA81" i="21"/>
  <c r="DY81" i="21"/>
  <c r="DH81" i="21"/>
  <c r="CO81" i="21"/>
  <c r="CG81" i="21"/>
  <c r="CF81" i="21"/>
  <c r="CH81" i="21" s="1"/>
  <c r="CD81" i="21"/>
  <c r="CE81" i="21" s="1"/>
  <c r="CA81" i="21"/>
  <c r="CB81" i="21" s="1"/>
  <c r="CI81" i="21" s="1"/>
  <c r="CK81" i="21" s="1"/>
  <c r="CP81" i="21" s="1"/>
  <c r="BK81" i="21"/>
  <c r="BM81" i="21" s="1"/>
  <c r="BO81" i="21" s="1"/>
  <c r="BA81" i="21"/>
  <c r="BB81" i="21" s="1"/>
  <c r="AY81" i="21"/>
  <c r="AZ81" i="21" s="1"/>
  <c r="BC81" i="21" s="1"/>
  <c r="CN81" i="21" s="1"/>
  <c r="AX81" i="21"/>
  <c r="CM81" i="21" s="1"/>
  <c r="X81" i="21"/>
  <c r="EL81" i="21" s="1"/>
  <c r="W81" i="21"/>
  <c r="T81" i="21"/>
  <c r="BE81" i="21" s="1"/>
  <c r="BF81" i="21" s="1"/>
  <c r="S81" i="21"/>
  <c r="BL81" i="21" s="1"/>
  <c r="BN81" i="21" s="1"/>
  <c r="P81" i="21"/>
  <c r="O81" i="21"/>
  <c r="BZ81" i="21" s="1"/>
  <c r="N81" i="21"/>
  <c r="U81" i="21" s="1"/>
  <c r="L81" i="21"/>
  <c r="I81" i="21"/>
  <c r="H81" i="21"/>
  <c r="FZ80" i="21"/>
  <c r="FY80" i="21"/>
  <c r="FX80" i="21"/>
  <c r="GA80" i="21" s="1"/>
  <c r="CS80" i="21" s="1"/>
  <c r="EL80" i="21"/>
  <c r="EK80" i="21" s="1"/>
  <c r="EA80" i="21"/>
  <c r="DY80" i="21"/>
  <c r="DT80" i="21"/>
  <c r="DH80" i="21"/>
  <c r="CH80" i="21"/>
  <c r="CG80" i="21"/>
  <c r="CF80" i="21"/>
  <c r="CE80" i="21"/>
  <c r="CD80" i="21"/>
  <c r="BK80" i="21"/>
  <c r="BM80" i="21" s="1"/>
  <c r="BE80" i="21"/>
  <c r="BF80" i="21" s="1"/>
  <c r="CO80" i="21" s="1"/>
  <c r="BA80" i="21"/>
  <c r="BB80" i="21" s="1"/>
  <c r="AY80" i="21"/>
  <c r="AX80" i="21"/>
  <c r="CM80" i="21" s="1"/>
  <c r="X80" i="21"/>
  <c r="Y80" i="21" s="1"/>
  <c r="W80" i="21"/>
  <c r="T80" i="21"/>
  <c r="S80" i="21"/>
  <c r="P80" i="21"/>
  <c r="O80" i="21"/>
  <c r="EE80" i="21" s="1"/>
  <c r="N80" i="21"/>
  <c r="U80" i="21" s="1"/>
  <c r="L80" i="21"/>
  <c r="I80" i="21"/>
  <c r="H80" i="21"/>
  <c r="FZ79" i="21"/>
  <c r="FY79" i="21"/>
  <c r="EA79" i="21"/>
  <c r="DL79" i="21"/>
  <c r="DH79" i="21"/>
  <c r="CG79" i="21"/>
  <c r="CH79" i="21" s="1"/>
  <c r="CF79" i="21"/>
  <c r="CE79" i="21"/>
  <c r="CD79" i="21"/>
  <c r="BA79" i="21"/>
  <c r="BB79" i="21" s="1"/>
  <c r="AX79" i="21"/>
  <c r="CM79" i="21" s="1"/>
  <c r="AK79" i="21"/>
  <c r="AM79" i="21" s="1"/>
  <c r="X79" i="21"/>
  <c r="W79" i="21"/>
  <c r="S79" i="21"/>
  <c r="P79" i="21"/>
  <c r="DY79" i="21" s="1"/>
  <c r="O79" i="21"/>
  <c r="FX79" i="21" s="1"/>
  <c r="GA79" i="21" s="1"/>
  <c r="CS79" i="21" s="1"/>
  <c r="N79" i="21"/>
  <c r="L79" i="21"/>
  <c r="I79" i="21"/>
  <c r="DJ79" i="21" s="1"/>
  <c r="H79" i="21"/>
  <c r="DI79" i="21" s="1"/>
  <c r="FZ78" i="21"/>
  <c r="FY78" i="21"/>
  <c r="EA78" i="21"/>
  <c r="DL78" i="21"/>
  <c r="DJ78" i="21"/>
  <c r="DI78" i="21"/>
  <c r="DH78" i="21"/>
  <c r="CM78" i="21"/>
  <c r="CU78" i="21" s="1"/>
  <c r="CG78" i="21"/>
  <c r="CF78" i="21"/>
  <c r="CH78" i="21" s="1"/>
  <c r="CD78" i="21"/>
  <c r="CE78" i="21" s="1"/>
  <c r="CA78" i="21"/>
  <c r="AX78" i="21"/>
  <c r="AK78" i="21"/>
  <c r="AM78" i="21" s="1"/>
  <c r="W78" i="21"/>
  <c r="U78" i="21"/>
  <c r="S78" i="21"/>
  <c r="AL78" i="21" s="1"/>
  <c r="P78" i="21"/>
  <c r="O78" i="21"/>
  <c r="N78" i="21"/>
  <c r="I78" i="21"/>
  <c r="H78" i="21"/>
  <c r="EE78" i="21" s="1"/>
  <c r="FZ77" i="21"/>
  <c r="FY77" i="21"/>
  <c r="EA77" i="21"/>
  <c r="DZ77" i="21"/>
  <c r="EB77" i="21" s="1"/>
  <c r="EG77" i="21" s="1"/>
  <c r="DJ77" i="21"/>
  <c r="DI77" i="21"/>
  <c r="DH77" i="21"/>
  <c r="CP77" i="21"/>
  <c r="CK77" i="21"/>
  <c r="CH77" i="21"/>
  <c r="CG77" i="21"/>
  <c r="CF77" i="21"/>
  <c r="CE77" i="21"/>
  <c r="CD77" i="21"/>
  <c r="CA77" i="21"/>
  <c r="BZ77" i="21"/>
  <c r="CB77" i="21" s="1"/>
  <c r="CI77" i="21" s="1"/>
  <c r="BR77" i="21"/>
  <c r="AY77" i="21"/>
  <c r="AZ77" i="21" s="1"/>
  <c r="AN77" i="21"/>
  <c r="AK77" i="21"/>
  <c r="W77" i="21"/>
  <c r="T77" i="21"/>
  <c r="BE77" i="21" s="1"/>
  <c r="BF77" i="21" s="1"/>
  <c r="CO77" i="21" s="1"/>
  <c r="S77" i="21"/>
  <c r="BL77" i="21" s="1"/>
  <c r="BN77" i="21" s="1"/>
  <c r="P77" i="21"/>
  <c r="DY77" i="21" s="1"/>
  <c r="O77" i="21"/>
  <c r="BK77" i="21" s="1"/>
  <c r="BM77" i="21" s="1"/>
  <c r="BO77" i="21" s="1"/>
  <c r="BP77" i="21" s="1"/>
  <c r="EI77" i="21" s="1"/>
  <c r="N77" i="21"/>
  <c r="U77" i="21" s="1"/>
  <c r="I77" i="21"/>
  <c r="AX77" i="21" s="1"/>
  <c r="CM77" i="21" s="1"/>
  <c r="H77" i="21"/>
  <c r="FZ76" i="21"/>
  <c r="FY76" i="21"/>
  <c r="EA76" i="21"/>
  <c r="DY76" i="21"/>
  <c r="DH76" i="21"/>
  <c r="CM76" i="21"/>
  <c r="FG76" i="21" s="1"/>
  <c r="CG76" i="21"/>
  <c r="CF76" i="21"/>
  <c r="CE76" i="21"/>
  <c r="CD76" i="21"/>
  <c r="BA76" i="21"/>
  <c r="BB76" i="21" s="1"/>
  <c r="AX76" i="21"/>
  <c r="W76" i="21"/>
  <c r="X76" i="21" s="1"/>
  <c r="S76" i="21"/>
  <c r="P76" i="21"/>
  <c r="N76" i="21"/>
  <c r="I76" i="21"/>
  <c r="H76" i="21"/>
  <c r="FZ75" i="21"/>
  <c r="FY75" i="21"/>
  <c r="EA75" i="21"/>
  <c r="DH75" i="21"/>
  <c r="CG75" i="21"/>
  <c r="CF75" i="21"/>
  <c r="CH75" i="21" s="1"/>
  <c r="CD75" i="21"/>
  <c r="CE75" i="21" s="1"/>
  <c r="BB75" i="21"/>
  <c r="BA75" i="21"/>
  <c r="AX75" i="21"/>
  <c r="CM75" i="21" s="1"/>
  <c r="W75" i="21"/>
  <c r="T75" i="21"/>
  <c r="S75" i="21"/>
  <c r="P75" i="21"/>
  <c r="DY75" i="21" s="1"/>
  <c r="N75" i="21"/>
  <c r="L75" i="21"/>
  <c r="I75" i="21"/>
  <c r="DJ75" i="21" s="1"/>
  <c r="H75" i="21"/>
  <c r="FZ74" i="21"/>
  <c r="FY74" i="21"/>
  <c r="EA74" i="21"/>
  <c r="DI74" i="21"/>
  <c r="DH74" i="21"/>
  <c r="CG74" i="21"/>
  <c r="CF74" i="21"/>
  <c r="CH74" i="21" s="1"/>
  <c r="CE74" i="21"/>
  <c r="CD74" i="21"/>
  <c r="AM74" i="21"/>
  <c r="AK74" i="21"/>
  <c r="W74" i="21"/>
  <c r="S74" i="21"/>
  <c r="P74" i="21"/>
  <c r="DY74" i="21" s="1"/>
  <c r="O74" i="21"/>
  <c r="N74" i="21"/>
  <c r="L74" i="21"/>
  <c r="I74" i="21"/>
  <c r="H74" i="21"/>
  <c r="GC73" i="21"/>
  <c r="FZ73" i="21"/>
  <c r="FY73" i="21"/>
  <c r="EA73" i="21"/>
  <c r="DL73" i="21"/>
  <c r="DJ73" i="21"/>
  <c r="DI73" i="21"/>
  <c r="DH73" i="21"/>
  <c r="CG73" i="21"/>
  <c r="CF73" i="21"/>
  <c r="CH73" i="21" s="1"/>
  <c r="CD73" i="21"/>
  <c r="CE73" i="21" s="1"/>
  <c r="CA73" i="21"/>
  <c r="BZ73" i="21"/>
  <c r="BR73" i="21"/>
  <c r="DZ73" i="21" s="1"/>
  <c r="EB73" i="21" s="1"/>
  <c r="AX73" i="21"/>
  <c r="CM73" i="21" s="1"/>
  <c r="AN73" i="21"/>
  <c r="AL73" i="21"/>
  <c r="AK73" i="21"/>
  <c r="AM73" i="21" s="1"/>
  <c r="W73" i="21"/>
  <c r="BA73" i="21" s="1"/>
  <c r="BB73" i="21" s="1"/>
  <c r="U73" i="21"/>
  <c r="S73" i="21"/>
  <c r="P73" i="21"/>
  <c r="DY73" i="21" s="1"/>
  <c r="O73" i="21"/>
  <c r="N73" i="21"/>
  <c r="I73" i="21"/>
  <c r="H73" i="21"/>
  <c r="FZ72" i="21"/>
  <c r="FY72" i="21"/>
  <c r="FG72" i="21"/>
  <c r="EL72" i="21"/>
  <c r="EK72" i="21"/>
  <c r="EA72" i="21"/>
  <c r="DY72" i="21"/>
  <c r="DT72" i="21"/>
  <c r="DL72" i="21"/>
  <c r="DJ72" i="21"/>
  <c r="DI72" i="21"/>
  <c r="DH72" i="21"/>
  <c r="CG72" i="21"/>
  <c r="CF72" i="21"/>
  <c r="CH72" i="21" s="1"/>
  <c r="CE72" i="21"/>
  <c r="CD72" i="21"/>
  <c r="BA72" i="21"/>
  <c r="BB72" i="21" s="1"/>
  <c r="AX72" i="21"/>
  <c r="CM72" i="21" s="1"/>
  <c r="CU72" i="21" s="1"/>
  <c r="Y72" i="21"/>
  <c r="W72" i="21"/>
  <c r="X72" i="21" s="1"/>
  <c r="S72" i="21"/>
  <c r="P72" i="21"/>
  <c r="N72" i="21"/>
  <c r="U72" i="21" s="1"/>
  <c r="I72" i="21"/>
  <c r="H72" i="21"/>
  <c r="AK72" i="21" s="1"/>
  <c r="FZ71" i="21"/>
  <c r="FY71" i="21"/>
  <c r="EA71" i="21"/>
  <c r="DH71" i="21"/>
  <c r="CH71" i="21"/>
  <c r="CG71" i="21"/>
  <c r="CF71" i="21"/>
  <c r="CE71" i="21"/>
  <c r="CD71" i="21"/>
  <c r="BA71" i="21"/>
  <c r="X71" i="21"/>
  <c r="Y71" i="21" s="1"/>
  <c r="W71" i="21"/>
  <c r="S71" i="21"/>
  <c r="P71" i="21"/>
  <c r="DY71" i="21" s="1"/>
  <c r="N71" i="21"/>
  <c r="L71" i="21"/>
  <c r="I71" i="21"/>
  <c r="H71" i="21"/>
  <c r="FZ70" i="21"/>
  <c r="FY70" i="21"/>
  <c r="EE70" i="21"/>
  <c r="EA70" i="21"/>
  <c r="DY70" i="21"/>
  <c r="DI70" i="21"/>
  <c r="DH70" i="21"/>
  <c r="CG70" i="21"/>
  <c r="CF70" i="21"/>
  <c r="CH70" i="21" s="1"/>
  <c r="CD70" i="21"/>
  <c r="CE70" i="21" s="1"/>
  <c r="BA70" i="21"/>
  <c r="BB70" i="21" s="1"/>
  <c r="W70" i="21"/>
  <c r="X70" i="21" s="1"/>
  <c r="S70" i="21"/>
  <c r="P70" i="21"/>
  <c r="N70" i="21"/>
  <c r="O70" i="21" s="1"/>
  <c r="I70" i="21"/>
  <c r="H70" i="21"/>
  <c r="GA69" i="21"/>
  <c r="FZ69" i="21"/>
  <c r="FY69" i="21"/>
  <c r="FX69" i="21"/>
  <c r="EA69" i="21"/>
  <c r="DL69" i="21"/>
  <c r="DJ69" i="21"/>
  <c r="DI69" i="21"/>
  <c r="DH69" i="21"/>
  <c r="CU69" i="21"/>
  <c r="CS69" i="21"/>
  <c r="FI69" i="21" s="1"/>
  <c r="CG69" i="21"/>
  <c r="CF69" i="21"/>
  <c r="CH69" i="21" s="1"/>
  <c r="CD69" i="21"/>
  <c r="CE69" i="21" s="1"/>
  <c r="BA69" i="21"/>
  <c r="BB69" i="21" s="1"/>
  <c r="AX69" i="21"/>
  <c r="CM69" i="21" s="1"/>
  <c r="FG69" i="21" s="1"/>
  <c r="AN69" i="21"/>
  <c r="AK69" i="21"/>
  <c r="AM69" i="21" s="1"/>
  <c r="W69" i="21"/>
  <c r="U69" i="21"/>
  <c r="S69" i="21"/>
  <c r="P69" i="21"/>
  <c r="DY69" i="21" s="1"/>
  <c r="O69" i="21"/>
  <c r="N69" i="21"/>
  <c r="L69" i="21"/>
  <c r="I69" i="21"/>
  <c r="H69" i="21"/>
  <c r="FZ68" i="21"/>
  <c r="FY68" i="21"/>
  <c r="EA68" i="21"/>
  <c r="DL68" i="21"/>
  <c r="DJ68" i="21"/>
  <c r="DH68" i="21"/>
  <c r="CG68" i="21"/>
  <c r="CF68" i="21"/>
  <c r="CH68" i="21" s="1"/>
  <c r="CE68" i="21"/>
  <c r="CD68" i="21"/>
  <c r="AX68" i="21"/>
  <c r="CM68" i="21" s="1"/>
  <c r="CU68" i="21" s="1"/>
  <c r="AK68" i="21"/>
  <c r="AM68" i="21" s="1"/>
  <c r="W68" i="21"/>
  <c r="BA68" i="21" s="1"/>
  <c r="BB68" i="21" s="1"/>
  <c r="S68" i="21"/>
  <c r="P68" i="21"/>
  <c r="DY68" i="21" s="1"/>
  <c r="N68" i="21"/>
  <c r="O68" i="21" s="1"/>
  <c r="L68" i="21"/>
  <c r="I68" i="21"/>
  <c r="H68" i="21"/>
  <c r="DI68" i="21" s="1"/>
  <c r="FZ67" i="21"/>
  <c r="FY67" i="21"/>
  <c r="EA67" i="21"/>
  <c r="DY67" i="21"/>
  <c r="DL67" i="21"/>
  <c r="DJ67" i="21"/>
  <c r="DH67" i="21"/>
  <c r="CH67" i="21"/>
  <c r="CG67" i="21"/>
  <c r="CF67" i="21"/>
  <c r="CD67" i="21"/>
  <c r="CE67" i="21" s="1"/>
  <c r="CA67" i="21"/>
  <c r="BZ67" i="21"/>
  <c r="CB67" i="21" s="1"/>
  <c r="BA67" i="21"/>
  <c r="BB67" i="21" s="1"/>
  <c r="AX67" i="21"/>
  <c r="CM67" i="21" s="1"/>
  <c r="AN67" i="21"/>
  <c r="AK67" i="21"/>
  <c r="AM67" i="21" s="1"/>
  <c r="W67" i="21"/>
  <c r="S67" i="21"/>
  <c r="EE67" i="21" s="1"/>
  <c r="P67" i="21"/>
  <c r="O67" i="21"/>
  <c r="BR67" i="21" s="1"/>
  <c r="DZ67" i="21" s="1"/>
  <c r="EB67" i="21" s="1"/>
  <c r="N67" i="21"/>
  <c r="L67" i="21"/>
  <c r="I67" i="21"/>
  <c r="H67" i="21"/>
  <c r="DI67" i="21" s="1"/>
  <c r="FZ66" i="21"/>
  <c r="FY66" i="21"/>
  <c r="EA66" i="21"/>
  <c r="DH66" i="21"/>
  <c r="CG66" i="21"/>
  <c r="CF66" i="21"/>
  <c r="CH66" i="21" s="1"/>
  <c r="CD66" i="21"/>
  <c r="CE66" i="21" s="1"/>
  <c r="W66" i="21"/>
  <c r="BA66" i="21" s="1"/>
  <c r="S66" i="21"/>
  <c r="P66" i="21"/>
  <c r="DY66" i="21" s="1"/>
  <c r="N66" i="21"/>
  <c r="I66" i="21"/>
  <c r="H66" i="21"/>
  <c r="FZ65" i="21"/>
  <c r="FY65" i="21"/>
  <c r="EL65" i="21"/>
  <c r="EK65" i="21"/>
  <c r="EA65" i="21"/>
  <c r="DY65" i="21"/>
  <c r="DH65" i="21"/>
  <c r="CG65" i="21"/>
  <c r="CF65" i="21"/>
  <c r="CH65" i="21" s="1"/>
  <c r="CE65" i="21"/>
  <c r="CD65" i="21"/>
  <c r="BA65" i="21"/>
  <c r="X65" i="21"/>
  <c r="Y65" i="21" s="1"/>
  <c r="W65" i="21"/>
  <c r="S65" i="21"/>
  <c r="P65" i="21"/>
  <c r="O65" i="21"/>
  <c r="EE65" i="21" s="1"/>
  <c r="N65" i="21"/>
  <c r="L65" i="21"/>
  <c r="I65" i="21"/>
  <c r="BB65" i="21" s="1"/>
  <c r="H65" i="21"/>
  <c r="DI65" i="21" s="1"/>
  <c r="FZ64" i="21"/>
  <c r="FY64" i="21"/>
  <c r="FV64" i="21"/>
  <c r="EA64" i="21"/>
  <c r="DL64" i="21"/>
  <c r="DH64" i="21"/>
  <c r="CH64" i="21"/>
  <c r="CG64" i="21"/>
  <c r="CF64" i="21"/>
  <c r="CD64" i="21"/>
  <c r="CE64" i="21" s="1"/>
  <c r="BB64" i="21"/>
  <c r="BA64" i="21"/>
  <c r="AX64" i="21"/>
  <c r="CM64" i="21" s="1"/>
  <c r="X64" i="21"/>
  <c r="EL64" i="21" s="1"/>
  <c r="EK64" i="21" s="1"/>
  <c r="W64" i="21"/>
  <c r="S64" i="21"/>
  <c r="P64" i="21"/>
  <c r="DY64" i="21" s="1"/>
  <c r="N64" i="21"/>
  <c r="U64" i="21" s="1"/>
  <c r="I64" i="21"/>
  <c r="H64" i="21"/>
  <c r="DJ64" i="21" s="1"/>
  <c r="FZ63" i="21"/>
  <c r="FY63" i="21"/>
  <c r="EA63" i="21"/>
  <c r="DL63" i="21"/>
  <c r="DI63" i="21"/>
  <c r="DH63" i="21"/>
  <c r="CG63" i="21"/>
  <c r="CF63" i="21"/>
  <c r="CH63" i="21" s="1"/>
  <c r="CD63" i="21"/>
  <c r="CE63" i="21" s="1"/>
  <c r="AX63" i="21"/>
  <c r="AM63" i="21"/>
  <c r="AL63" i="21"/>
  <c r="AK63" i="21"/>
  <c r="W63" i="21"/>
  <c r="U63" i="21"/>
  <c r="AY63" i="21" s="1"/>
  <c r="T63" i="21"/>
  <c r="S63" i="21"/>
  <c r="P63" i="21"/>
  <c r="DY63" i="21" s="1"/>
  <c r="N63" i="21"/>
  <c r="I63" i="21"/>
  <c r="DJ63" i="21" s="1"/>
  <c r="H63" i="21"/>
  <c r="L63" i="21" s="1"/>
  <c r="FZ62" i="21"/>
  <c r="FY62" i="21"/>
  <c r="EA62" i="21"/>
  <c r="DH62" i="21"/>
  <c r="CG62" i="21"/>
  <c r="CH62" i="21" s="1"/>
  <c r="CF62" i="21"/>
  <c r="CE62" i="21"/>
  <c r="CD62" i="21"/>
  <c r="BA62" i="21"/>
  <c r="BB62" i="21" s="1"/>
  <c r="AX62" i="21"/>
  <c r="X62" i="21"/>
  <c r="W62" i="21"/>
  <c r="S62" i="21"/>
  <c r="P62" i="21"/>
  <c r="DY62" i="21" s="1"/>
  <c r="N62" i="21"/>
  <c r="U62" i="21" s="1"/>
  <c r="I62" i="21"/>
  <c r="H62" i="21"/>
  <c r="FZ61" i="21"/>
  <c r="FY61" i="21"/>
  <c r="FG61" i="21"/>
  <c r="EK61" i="21"/>
  <c r="EA61" i="21"/>
  <c r="DT61" i="21"/>
  <c r="DH61" i="21"/>
  <c r="CG61" i="21"/>
  <c r="CF61" i="21"/>
  <c r="CH61" i="21" s="1"/>
  <c r="CD61" i="21"/>
  <c r="CE61" i="21" s="1"/>
  <c r="BA61" i="21"/>
  <c r="BB61" i="21" s="1"/>
  <c r="Y61" i="21"/>
  <c r="X61" i="21"/>
  <c r="EL61" i="21" s="1"/>
  <c r="W61" i="21"/>
  <c r="S61" i="21"/>
  <c r="P61" i="21"/>
  <c r="DY61" i="21" s="1"/>
  <c r="N61" i="21"/>
  <c r="L61" i="21"/>
  <c r="I61" i="21"/>
  <c r="AX61" i="21" s="1"/>
  <c r="CM61" i="21" s="1"/>
  <c r="CU61" i="21" s="1"/>
  <c r="H61" i="21"/>
  <c r="FZ60" i="21"/>
  <c r="FY60" i="21"/>
  <c r="FX60" i="21"/>
  <c r="GA60" i="21" s="1"/>
  <c r="CS60" i="21" s="1"/>
  <c r="EL60" i="21"/>
  <c r="EK60" i="21" s="1"/>
  <c r="EH60" i="21"/>
  <c r="EG60" i="21"/>
  <c r="EA60" i="21"/>
  <c r="DL60" i="21"/>
  <c r="DJ60" i="21"/>
  <c r="DH60" i="21"/>
  <c r="CM60" i="21"/>
  <c r="CH60" i="21"/>
  <c r="CG60" i="21"/>
  <c r="CF60" i="21"/>
  <c r="CE60" i="21"/>
  <c r="CI60" i="21" s="1"/>
  <c r="CK60" i="21" s="1"/>
  <c r="CP60" i="21" s="1"/>
  <c r="CD60" i="21"/>
  <c r="CB60" i="21"/>
  <c r="CA60" i="21"/>
  <c r="BZ60" i="21"/>
  <c r="BR60" i="21"/>
  <c r="DZ60" i="21" s="1"/>
  <c r="EB60" i="21" s="1"/>
  <c r="BL60" i="21"/>
  <c r="BN60" i="21" s="1"/>
  <c r="AN60" i="21"/>
  <c r="AM60" i="21"/>
  <c r="AK60" i="21"/>
  <c r="AL60" i="21" s="1"/>
  <c r="Y60" i="21"/>
  <c r="X60" i="21"/>
  <c r="W60" i="21"/>
  <c r="BA60" i="21" s="1"/>
  <c r="BB60" i="21" s="1"/>
  <c r="U60" i="21"/>
  <c r="AY60" i="21" s="1"/>
  <c r="S60" i="21"/>
  <c r="T60" i="21" s="1"/>
  <c r="P60" i="21"/>
  <c r="DY60" i="21" s="1"/>
  <c r="O60" i="21"/>
  <c r="BK60" i="21" s="1"/>
  <c r="N60" i="21"/>
  <c r="I60" i="21"/>
  <c r="AX60" i="21" s="1"/>
  <c r="H60" i="21"/>
  <c r="DI60" i="21" s="1"/>
  <c r="FZ59" i="21"/>
  <c r="FY59" i="21"/>
  <c r="EA59" i="21"/>
  <c r="DL59" i="21"/>
  <c r="DI59" i="21"/>
  <c r="DH59" i="21"/>
  <c r="CG59" i="21"/>
  <c r="CF59" i="21"/>
  <c r="CH59" i="21" s="1"/>
  <c r="CD59" i="21"/>
  <c r="CE59" i="21" s="1"/>
  <c r="AM59" i="21"/>
  <c r="AK59" i="21"/>
  <c r="W59" i="21"/>
  <c r="BA59" i="21" s="1"/>
  <c r="S59" i="21"/>
  <c r="P59" i="21"/>
  <c r="DY59" i="21" s="1"/>
  <c r="N59" i="21"/>
  <c r="I59" i="21"/>
  <c r="H59" i="21"/>
  <c r="L59" i="21" s="1"/>
  <c r="FZ58" i="21"/>
  <c r="FY58" i="21"/>
  <c r="EE58" i="21"/>
  <c r="EA58" i="21"/>
  <c r="DY58" i="21"/>
  <c r="DH58" i="21"/>
  <c r="CO58" i="21"/>
  <c r="CM58" i="21"/>
  <c r="FG58" i="21" s="1"/>
  <c r="CG58" i="21"/>
  <c r="CF58" i="21"/>
  <c r="CE58" i="21"/>
  <c r="CD58" i="21"/>
  <c r="AX58" i="21"/>
  <c r="AK58" i="21"/>
  <c r="AM58" i="21" s="1"/>
  <c r="W58" i="21"/>
  <c r="T58" i="21"/>
  <c r="BE58" i="21" s="1"/>
  <c r="BF58" i="21" s="1"/>
  <c r="S58" i="21"/>
  <c r="BM58" i="21" s="1"/>
  <c r="P58" i="21"/>
  <c r="O58" i="21"/>
  <c r="BK58" i="21" s="1"/>
  <c r="N58" i="21"/>
  <c r="I58" i="21"/>
  <c r="H58" i="21"/>
  <c r="FZ57" i="21"/>
  <c r="FY57" i="21"/>
  <c r="FX57" i="21"/>
  <c r="EA57" i="21"/>
  <c r="DJ57" i="21"/>
  <c r="DI57" i="21"/>
  <c r="DH57" i="21"/>
  <c r="CG57" i="21"/>
  <c r="CF57" i="21"/>
  <c r="CH57" i="21" s="1"/>
  <c r="CE57" i="21"/>
  <c r="CD57" i="21"/>
  <c r="W57" i="21"/>
  <c r="S57" i="21"/>
  <c r="P57" i="21"/>
  <c r="DY57" i="21" s="1"/>
  <c r="O57" i="21"/>
  <c r="N57" i="21"/>
  <c r="I57" i="21"/>
  <c r="AX57" i="21" s="1"/>
  <c r="CM57" i="21" s="1"/>
  <c r="H57" i="21"/>
  <c r="FZ56" i="21"/>
  <c r="FY56" i="21"/>
  <c r="GA56" i="21" s="1"/>
  <c r="CS56" i="21" s="1"/>
  <c r="FX56" i="21"/>
  <c r="EU56" i="21"/>
  <c r="EV56" i="21" s="1"/>
  <c r="ET56" i="21"/>
  <c r="EL56" i="21"/>
  <c r="EK56" i="21" s="1"/>
  <c r="EI56" i="21"/>
  <c r="EA56" i="21"/>
  <c r="DY56" i="21"/>
  <c r="DT56" i="21"/>
  <c r="DL56" i="21"/>
  <c r="DI56" i="21"/>
  <c r="EZ56" i="21" s="1"/>
  <c r="DH56" i="21"/>
  <c r="CI56" i="21"/>
  <c r="CK56" i="21" s="1"/>
  <c r="CP56" i="21" s="1"/>
  <c r="FJ56" i="21" s="1"/>
  <c r="CH56" i="21"/>
  <c r="CG56" i="21"/>
  <c r="CF56" i="21"/>
  <c r="CE56" i="21"/>
  <c r="CD56" i="21"/>
  <c r="CA56" i="21"/>
  <c r="CB56" i="21" s="1"/>
  <c r="BZ56" i="21"/>
  <c r="BM56" i="21"/>
  <c r="BO56" i="21" s="1"/>
  <c r="BA56" i="21"/>
  <c r="AX56" i="21"/>
  <c r="CM56" i="21" s="1"/>
  <c r="AN56" i="21"/>
  <c r="AM56" i="21"/>
  <c r="AK56" i="21"/>
  <c r="AL56" i="21" s="1"/>
  <c r="X56" i="21"/>
  <c r="Y56" i="21" s="1"/>
  <c r="W56" i="21"/>
  <c r="S56" i="21"/>
  <c r="BL56" i="21" s="1"/>
  <c r="BN56" i="21" s="1"/>
  <c r="BP56" i="21" s="1"/>
  <c r="P56" i="21"/>
  <c r="O56" i="21"/>
  <c r="BK56" i="21" s="1"/>
  <c r="N56" i="21"/>
  <c r="L56" i="21"/>
  <c r="I56" i="21"/>
  <c r="DJ56" i="21" s="1"/>
  <c r="EY56" i="21" s="1"/>
  <c r="H56" i="21"/>
  <c r="FZ55" i="21"/>
  <c r="FY55" i="21"/>
  <c r="FX55" i="21"/>
  <c r="GA55" i="21" s="1"/>
  <c r="CS55" i="21" s="1"/>
  <c r="FJ55" i="21"/>
  <c r="EE55" i="21"/>
  <c r="EA55" i="21"/>
  <c r="DL55" i="21"/>
  <c r="DJ55" i="21"/>
  <c r="DI55" i="21"/>
  <c r="DH55" i="21"/>
  <c r="CG55" i="21"/>
  <c r="CH55" i="21" s="1"/>
  <c r="CF55" i="21"/>
  <c r="CD55" i="21"/>
  <c r="CE55" i="21" s="1"/>
  <c r="CA55" i="21"/>
  <c r="CB55" i="21" s="1"/>
  <c r="CI55" i="21" s="1"/>
  <c r="CK55" i="21" s="1"/>
  <c r="CP55" i="21" s="1"/>
  <c r="CW55" i="21" s="1"/>
  <c r="BZ55" i="21"/>
  <c r="BR55" i="21"/>
  <c r="DZ55" i="21" s="1"/>
  <c r="EB55" i="21" s="1"/>
  <c r="EG55" i="21" s="1"/>
  <c r="AX55" i="21"/>
  <c r="CM55" i="21" s="1"/>
  <c r="FG55" i="21" s="1"/>
  <c r="AN55" i="21"/>
  <c r="AL55" i="21"/>
  <c r="AK55" i="21"/>
  <c r="AM55" i="21" s="1"/>
  <c r="X55" i="21"/>
  <c r="W55" i="21"/>
  <c r="U55" i="21"/>
  <c r="T55" i="21"/>
  <c r="S55" i="21"/>
  <c r="P55" i="21"/>
  <c r="DY55" i="21" s="1"/>
  <c r="O55" i="21"/>
  <c r="BK55" i="21" s="1"/>
  <c r="N55" i="21"/>
  <c r="I55" i="21"/>
  <c r="H55" i="21"/>
  <c r="L55" i="21" s="1"/>
  <c r="FZ54" i="21"/>
  <c r="FY54" i="21"/>
  <c r="EA54" i="21"/>
  <c r="DY54" i="21"/>
  <c r="DL54" i="21"/>
  <c r="DJ54" i="21"/>
  <c r="DI54" i="21"/>
  <c r="DH54" i="21"/>
  <c r="CG54" i="21"/>
  <c r="CF54" i="21"/>
  <c r="CH54" i="21" s="1"/>
  <c r="CE54" i="21"/>
  <c r="CD54" i="21"/>
  <c r="AX54" i="21"/>
  <c r="CM54" i="21" s="1"/>
  <c r="AK54" i="21"/>
  <c r="AM54" i="21" s="1"/>
  <c r="W54" i="21"/>
  <c r="X54" i="21" s="1"/>
  <c r="S54" i="21"/>
  <c r="P54" i="21"/>
  <c r="N54" i="21"/>
  <c r="I54" i="21"/>
  <c r="H54" i="21"/>
  <c r="L54" i="21" s="1"/>
  <c r="FZ53" i="21"/>
  <c r="FY53" i="21"/>
  <c r="EA53" i="21"/>
  <c r="DI53" i="21"/>
  <c r="DH53" i="21"/>
  <c r="CG53" i="21"/>
  <c r="CF53" i="21"/>
  <c r="CH53" i="21" s="1"/>
  <c r="CE53" i="21"/>
  <c r="CD53" i="21"/>
  <c r="W53" i="21"/>
  <c r="S53" i="21"/>
  <c r="P53" i="21"/>
  <c r="DY53" i="21" s="1"/>
  <c r="O53" i="21"/>
  <c r="N53" i="21"/>
  <c r="L53" i="21"/>
  <c r="I53" i="21"/>
  <c r="H53" i="21"/>
  <c r="FZ52" i="21"/>
  <c r="FY52" i="21"/>
  <c r="EA52" i="21"/>
  <c r="DL52" i="21"/>
  <c r="DJ52" i="21"/>
  <c r="DI52" i="21"/>
  <c r="DH52" i="21"/>
  <c r="CG52" i="21"/>
  <c r="CH52" i="21" s="1"/>
  <c r="CF52" i="21"/>
  <c r="CD52" i="21"/>
  <c r="CE52" i="21" s="1"/>
  <c r="BA52" i="21"/>
  <c r="BB52" i="21" s="1"/>
  <c r="AX52" i="21"/>
  <c r="CM52" i="21" s="1"/>
  <c r="W52" i="21"/>
  <c r="X52" i="21" s="1"/>
  <c r="Y52" i="21" s="1"/>
  <c r="S52" i="21"/>
  <c r="P52" i="21"/>
  <c r="DY52" i="21" s="1"/>
  <c r="O52" i="21"/>
  <c r="N52" i="21"/>
  <c r="L52" i="21"/>
  <c r="I52" i="21"/>
  <c r="H52" i="21"/>
  <c r="FZ51" i="21"/>
  <c r="FY51" i="21" s="1"/>
  <c r="EA51" i="21"/>
  <c r="DY51" i="21"/>
  <c r="DL51" i="21"/>
  <c r="DH51" i="21"/>
  <c r="CG51" i="21"/>
  <c r="CF51" i="21"/>
  <c r="CH51" i="21" s="1"/>
  <c r="CE51" i="21"/>
  <c r="CD51" i="21"/>
  <c r="AB51" i="21"/>
  <c r="V51" i="21"/>
  <c r="W51" i="21" s="1"/>
  <c r="T51" i="21"/>
  <c r="O51" i="21"/>
  <c r="L51" i="21"/>
  <c r="H51" i="21"/>
  <c r="G51" i="21"/>
  <c r="FZ50" i="21"/>
  <c r="FX50" i="21"/>
  <c r="EL50" i="21"/>
  <c r="EK50" i="21" s="1"/>
  <c r="EA50" i="21"/>
  <c r="DZ50" i="21"/>
  <c r="EB50" i="21" s="1"/>
  <c r="EH50" i="21" s="1"/>
  <c r="DM50" i="21" s="1"/>
  <c r="DY50" i="21"/>
  <c r="DL50" i="21"/>
  <c r="DH50" i="21"/>
  <c r="CF50" i="21"/>
  <c r="CD50" i="21"/>
  <c r="CE50" i="21" s="1"/>
  <c r="CA50" i="21"/>
  <c r="CB50" i="21" s="1"/>
  <c r="BZ50" i="21"/>
  <c r="BR50" i="21"/>
  <c r="BL50" i="21"/>
  <c r="BN50" i="21" s="1"/>
  <c r="BK50" i="21"/>
  <c r="BM50" i="21" s="1"/>
  <c r="BO50" i="21" s="1"/>
  <c r="BE50" i="21"/>
  <c r="BA50" i="21"/>
  <c r="AY50" i="21"/>
  <c r="AZ50" i="21" s="1"/>
  <c r="AB50" i="21"/>
  <c r="V50" i="21"/>
  <c r="W50" i="21" s="1"/>
  <c r="X50" i="21" s="1"/>
  <c r="Y50" i="21" s="1"/>
  <c r="U50" i="21"/>
  <c r="T50" i="21"/>
  <c r="O50" i="21"/>
  <c r="L50" i="21"/>
  <c r="H50" i="21"/>
  <c r="G50" i="21"/>
  <c r="FZ49" i="21"/>
  <c r="FY49" i="21" s="1"/>
  <c r="EA49" i="21"/>
  <c r="DY49" i="21"/>
  <c r="DH49" i="21"/>
  <c r="CG49" i="21"/>
  <c r="CH49" i="21" s="1"/>
  <c r="CF49" i="21"/>
  <c r="CD49" i="21"/>
  <c r="CE49" i="21" s="1"/>
  <c r="CA49" i="21"/>
  <c r="BZ49" i="21"/>
  <c r="CB49" i="21" s="1"/>
  <c r="CI49" i="21" s="1"/>
  <c r="BR49" i="21"/>
  <c r="DZ49" i="21" s="1"/>
  <c r="EB49" i="21" s="1"/>
  <c r="AB49" i="21"/>
  <c r="V49" i="21"/>
  <c r="W49" i="21" s="1"/>
  <c r="U49" i="21"/>
  <c r="AY49" i="21" s="1"/>
  <c r="T49" i="21"/>
  <c r="O49" i="21"/>
  <c r="H49" i="21"/>
  <c r="G49" i="21"/>
  <c r="FZ48" i="21"/>
  <c r="FY48" i="21" s="1"/>
  <c r="EA48" i="21"/>
  <c r="DY48" i="21"/>
  <c r="DI48" i="21"/>
  <c r="DH48" i="21"/>
  <c r="CG48" i="21"/>
  <c r="CF48" i="21"/>
  <c r="CH48" i="21" s="1"/>
  <c r="CE48" i="21"/>
  <c r="CD48" i="21"/>
  <c r="CA48" i="21"/>
  <c r="BZ48" i="21"/>
  <c r="CB48" i="21" s="1"/>
  <c r="CI48" i="21" s="1"/>
  <c r="CK48" i="21" s="1"/>
  <c r="AK48" i="21"/>
  <c r="AM48" i="21" s="1"/>
  <c r="AB48" i="21"/>
  <c r="V48" i="21"/>
  <c r="W48" i="21" s="1"/>
  <c r="T48" i="21"/>
  <c r="O48" i="21"/>
  <c r="L48" i="21"/>
  <c r="I48" i="21"/>
  <c r="M48" i="21" s="1"/>
  <c r="H48" i="21"/>
  <c r="DL48" i="21" s="1"/>
  <c r="G48" i="21"/>
  <c r="FZ47" i="21"/>
  <c r="FX47" i="21"/>
  <c r="EE47" i="21"/>
  <c r="EA47" i="21"/>
  <c r="DY47" i="21"/>
  <c r="DL47" i="21"/>
  <c r="DI47" i="21"/>
  <c r="DH47" i="21"/>
  <c r="CG47" i="21"/>
  <c r="CF47" i="21"/>
  <c r="CH47" i="21" s="1"/>
  <c r="CE47" i="21"/>
  <c r="CD47" i="21"/>
  <c r="CB47" i="21"/>
  <c r="CI47" i="21" s="1"/>
  <c r="CA47" i="21"/>
  <c r="BZ47" i="21"/>
  <c r="BR47" i="21"/>
  <c r="DZ47" i="21" s="1"/>
  <c r="EB47" i="21" s="1"/>
  <c r="EH47" i="21" s="1"/>
  <c r="AX47" i="21"/>
  <c r="AN47" i="21"/>
  <c r="AK47" i="21"/>
  <c r="AM47" i="21" s="1"/>
  <c r="AB47" i="21"/>
  <c r="X47" i="21"/>
  <c r="W47" i="21"/>
  <c r="V47" i="21"/>
  <c r="T47" i="21"/>
  <c r="BE47" i="21" s="1"/>
  <c r="O47" i="21"/>
  <c r="BK47" i="21" s="1"/>
  <c r="L47" i="21"/>
  <c r="I47" i="21"/>
  <c r="H47" i="21"/>
  <c r="G47" i="21"/>
  <c r="FY47" i="21" s="1"/>
  <c r="FZ46" i="21"/>
  <c r="EA46" i="21"/>
  <c r="DY46" i="21"/>
  <c r="DM46" i="21"/>
  <c r="DL46" i="21"/>
  <c r="DI46" i="21"/>
  <c r="DH46" i="21"/>
  <c r="CF46" i="21"/>
  <c r="CD46" i="21"/>
  <c r="CE46" i="21" s="1"/>
  <c r="CA46" i="21"/>
  <c r="BZ46" i="21"/>
  <c r="CB46" i="21" s="1"/>
  <c r="BR46" i="21"/>
  <c r="DZ46" i="21" s="1"/>
  <c r="EB46" i="21" s="1"/>
  <c r="EH46" i="21" s="1"/>
  <c r="BK46" i="21"/>
  <c r="BM46" i="21" s="1"/>
  <c r="BA46" i="21"/>
  <c r="AY46" i="21"/>
  <c r="AZ46" i="21" s="1"/>
  <c r="AN46" i="21"/>
  <c r="AB46" i="21"/>
  <c r="V46" i="21"/>
  <c r="W46" i="21" s="1"/>
  <c r="X46" i="21" s="1"/>
  <c r="U46" i="21"/>
  <c r="T46" i="21"/>
  <c r="BE46" i="21" s="1"/>
  <c r="O46" i="21"/>
  <c r="FX46" i="21" s="1"/>
  <c r="L46" i="21"/>
  <c r="H46" i="21"/>
  <c r="AK46" i="21" s="1"/>
  <c r="AM46" i="21" s="1"/>
  <c r="G46" i="21"/>
  <c r="FY46" i="21" s="1"/>
  <c r="FZ45" i="21"/>
  <c r="FY45" i="21"/>
  <c r="EA45" i="21"/>
  <c r="DY45" i="21"/>
  <c r="DL45" i="21"/>
  <c r="DI45" i="21"/>
  <c r="DH45" i="21"/>
  <c r="CF45" i="21"/>
  <c r="CE45" i="21"/>
  <c r="CD45" i="21"/>
  <c r="AB45" i="21"/>
  <c r="V45" i="21"/>
  <c r="W45" i="21" s="1"/>
  <c r="T45" i="21"/>
  <c r="O45" i="21"/>
  <c r="L45" i="21"/>
  <c r="H45" i="21"/>
  <c r="G45" i="21"/>
  <c r="CG45" i="21" s="1"/>
  <c r="CH45" i="21" s="1"/>
  <c r="FZ44" i="21"/>
  <c r="FY44" i="21"/>
  <c r="FX44" i="21"/>
  <c r="GA44" i="21" s="1"/>
  <c r="EE44" i="21"/>
  <c r="EA44" i="21"/>
  <c r="EB44" i="21" s="1"/>
  <c r="EH44" i="21" s="1"/>
  <c r="DY44" i="21"/>
  <c r="DH44" i="21"/>
  <c r="CG44" i="21"/>
  <c r="CF44" i="21"/>
  <c r="CH44" i="21" s="1"/>
  <c r="CD44" i="21"/>
  <c r="CE44" i="21" s="1"/>
  <c r="CB44" i="21"/>
  <c r="CA44" i="21"/>
  <c r="BZ44" i="21"/>
  <c r="BR44" i="21"/>
  <c r="DZ44" i="21" s="1"/>
  <c r="BL44" i="21"/>
  <c r="BN44" i="21" s="1"/>
  <c r="AN44" i="21"/>
  <c r="AL44" i="21"/>
  <c r="AK44" i="21"/>
  <c r="AM44" i="21" s="1"/>
  <c r="AB44" i="21"/>
  <c r="W44" i="21"/>
  <c r="V44" i="21"/>
  <c r="T44" i="21"/>
  <c r="U44" i="21" s="1"/>
  <c r="AY44" i="21" s="1"/>
  <c r="O44" i="21"/>
  <c r="BK44" i="21" s="1"/>
  <c r="BM44" i="21" s="1"/>
  <c r="L44" i="21"/>
  <c r="H44" i="21"/>
  <c r="I44" i="21" s="1"/>
  <c r="G44" i="21"/>
  <c r="FZ43" i="21"/>
  <c r="FY43" i="21"/>
  <c r="FX43" i="21"/>
  <c r="EL43" i="21"/>
  <c r="EK43" i="21" s="1"/>
  <c r="EA43" i="21"/>
  <c r="DY43" i="21"/>
  <c r="DJ43" i="21"/>
  <c r="DH43" i="21"/>
  <c r="CG43" i="21"/>
  <c r="CH43" i="21" s="1"/>
  <c r="CI43" i="21" s="1"/>
  <c r="CK43" i="21" s="1"/>
  <c r="CF43" i="21"/>
  <c r="CE43" i="21"/>
  <c r="CD43" i="21"/>
  <c r="CA43" i="21"/>
  <c r="CB43" i="21" s="1"/>
  <c r="BZ43" i="21"/>
  <c r="BR43" i="21"/>
  <c r="DZ43" i="21" s="1"/>
  <c r="EB43" i="21" s="1"/>
  <c r="EH43" i="21" s="1"/>
  <c r="BL43" i="21"/>
  <c r="BN43" i="21" s="1"/>
  <c r="BE43" i="21"/>
  <c r="AX43" i="21"/>
  <c r="AN43" i="21"/>
  <c r="AB43" i="21"/>
  <c r="V43" i="21"/>
  <c r="W43" i="21" s="1"/>
  <c r="X43" i="21" s="1"/>
  <c r="Y43" i="21" s="1"/>
  <c r="T43" i="21"/>
  <c r="O43" i="21"/>
  <c r="BK43" i="21" s="1"/>
  <c r="BM43" i="21" s="1"/>
  <c r="L43" i="21"/>
  <c r="I43" i="21"/>
  <c r="M43" i="21" s="1"/>
  <c r="H43" i="21"/>
  <c r="G43" i="21"/>
  <c r="FZ42" i="21"/>
  <c r="FY42" i="21"/>
  <c r="FX42" i="21"/>
  <c r="GA42" i="21" s="1"/>
  <c r="EH42" i="21"/>
  <c r="EE42" i="21"/>
  <c r="EA42" i="21"/>
  <c r="DZ42" i="21"/>
  <c r="EB42" i="21" s="1"/>
  <c r="DY42" i="21"/>
  <c r="DL42" i="21"/>
  <c r="DI42" i="21"/>
  <c r="DH42" i="21"/>
  <c r="CF42" i="21"/>
  <c r="CD42" i="21"/>
  <c r="CE42" i="21" s="1"/>
  <c r="CA42" i="21"/>
  <c r="BR42" i="21"/>
  <c r="BM42" i="21"/>
  <c r="BO42" i="21" s="1"/>
  <c r="BL42" i="21"/>
  <c r="BN42" i="21" s="1"/>
  <c r="BP42" i="21" s="1"/>
  <c r="EI42" i="21" s="1"/>
  <c r="BK42" i="21"/>
  <c r="AM42" i="21"/>
  <c r="AL42" i="21"/>
  <c r="AB42" i="21"/>
  <c r="W42" i="21"/>
  <c r="V42" i="21"/>
  <c r="T42" i="21"/>
  <c r="O42" i="21"/>
  <c r="L42" i="21"/>
  <c r="I42" i="21"/>
  <c r="H42" i="21"/>
  <c r="AK42" i="21" s="1"/>
  <c r="G42" i="21"/>
  <c r="CG42" i="21" s="1"/>
  <c r="FZ41" i="21"/>
  <c r="FY41" i="21"/>
  <c r="FX41" i="21"/>
  <c r="EH41" i="21"/>
  <c r="EA41" i="21"/>
  <c r="DY41" i="21"/>
  <c r="DH41" i="21"/>
  <c r="CG41" i="21"/>
  <c r="CH41" i="21" s="1"/>
  <c r="CF41" i="21"/>
  <c r="CD41" i="21"/>
  <c r="CE41" i="21" s="1"/>
  <c r="CA41" i="21"/>
  <c r="BZ41" i="21"/>
  <c r="CB41" i="21" s="1"/>
  <c r="BE41" i="21"/>
  <c r="AY41" i="21"/>
  <c r="AZ41" i="21" s="1"/>
  <c r="AB41" i="21"/>
  <c r="W41" i="21"/>
  <c r="X41" i="21" s="1"/>
  <c r="V41" i="21"/>
  <c r="U41" i="21"/>
  <c r="T41" i="21"/>
  <c r="O41" i="21"/>
  <c r="BR41" i="21" s="1"/>
  <c r="DZ41" i="21" s="1"/>
  <c r="EB41" i="21" s="1"/>
  <c r="H41" i="21"/>
  <c r="G41" i="21"/>
  <c r="FZ40" i="21"/>
  <c r="FY40" i="21"/>
  <c r="FX40" i="21"/>
  <c r="EA40" i="21"/>
  <c r="DY40" i="21"/>
  <c r="DI40" i="21"/>
  <c r="DH40" i="21"/>
  <c r="CF40" i="21"/>
  <c r="CE40" i="21"/>
  <c r="CD40" i="21"/>
  <c r="AB40" i="21"/>
  <c r="V40" i="21"/>
  <c r="W40" i="21" s="1"/>
  <c r="T40" i="21"/>
  <c r="O40" i="21"/>
  <c r="H40" i="21"/>
  <c r="DL40" i="21" s="1"/>
  <c r="G40" i="21"/>
  <c r="CG40" i="21" s="1"/>
  <c r="CH40" i="21" s="1"/>
  <c r="FZ39" i="21"/>
  <c r="FY39" i="21" s="1"/>
  <c r="EE39" i="21"/>
  <c r="EA39" i="21"/>
  <c r="DZ39" i="21"/>
  <c r="EB39" i="21" s="1"/>
  <c r="DY39" i="21"/>
  <c r="EH39" i="21" s="1"/>
  <c r="DH39" i="21"/>
  <c r="CG39" i="21"/>
  <c r="CF39" i="21"/>
  <c r="CD39" i="21"/>
  <c r="CE39" i="21" s="1"/>
  <c r="CB39" i="21"/>
  <c r="CA39" i="21"/>
  <c r="BZ39" i="21"/>
  <c r="BR39" i="21"/>
  <c r="AN39" i="21"/>
  <c r="AK39" i="21"/>
  <c r="AM39" i="21" s="1"/>
  <c r="AB39" i="21"/>
  <c r="V39" i="21"/>
  <c r="U39" i="21"/>
  <c r="AY39" i="21" s="1"/>
  <c r="T39" i="21"/>
  <c r="O39" i="21"/>
  <c r="FX39" i="21" s="1"/>
  <c r="GA39" i="21" s="1"/>
  <c r="L39" i="21"/>
  <c r="H39" i="21"/>
  <c r="I39" i="21" s="1"/>
  <c r="G39" i="21"/>
  <c r="FZ38" i="21"/>
  <c r="FX38" i="21"/>
  <c r="EL38" i="21"/>
  <c r="EK38" i="21" s="1"/>
  <c r="EA38" i="21"/>
  <c r="DY38" i="21"/>
  <c r="DL38" i="21"/>
  <c r="DI38" i="21"/>
  <c r="DH38" i="21"/>
  <c r="CF38" i="21"/>
  <c r="CD38" i="21"/>
  <c r="CE38" i="21" s="1"/>
  <c r="CA38" i="21"/>
  <c r="CB38" i="21" s="1"/>
  <c r="BZ38" i="21"/>
  <c r="BR38" i="21"/>
  <c r="DZ38" i="21" s="1"/>
  <c r="EB38" i="21" s="1"/>
  <c r="EH38" i="21" s="1"/>
  <c r="BE38" i="21"/>
  <c r="BA38" i="21"/>
  <c r="AY38" i="21"/>
  <c r="AZ38" i="21" s="1"/>
  <c r="AN38" i="21"/>
  <c r="AB38" i="21"/>
  <c r="V38" i="21"/>
  <c r="W38" i="21" s="1"/>
  <c r="X38" i="21" s="1"/>
  <c r="Y38" i="21" s="1"/>
  <c r="T38" i="21"/>
  <c r="U38" i="21" s="1"/>
  <c r="O38" i="21"/>
  <c r="BK38" i="21" s="1"/>
  <c r="BM38" i="21" s="1"/>
  <c r="H38" i="21"/>
  <c r="G38" i="21"/>
  <c r="FY38" i="21" s="1"/>
  <c r="FZ37" i="21"/>
  <c r="FY37" i="21"/>
  <c r="EE37" i="21"/>
  <c r="EB37" i="21"/>
  <c r="EA37" i="21"/>
  <c r="DZ37" i="21"/>
  <c r="DY37" i="21"/>
  <c r="DH37" i="21"/>
  <c r="CG37" i="21"/>
  <c r="CH37" i="21" s="1"/>
  <c r="CF37" i="21"/>
  <c r="CD37" i="21"/>
  <c r="CE37" i="21" s="1"/>
  <c r="CA37" i="21"/>
  <c r="BR37" i="21"/>
  <c r="BK37" i="21"/>
  <c r="BM37" i="21" s="1"/>
  <c r="BE37" i="21"/>
  <c r="AM37" i="21"/>
  <c r="AK37" i="21"/>
  <c r="AL37" i="21" s="1"/>
  <c r="AB37" i="21"/>
  <c r="X37" i="21"/>
  <c r="EL37" i="21" s="1"/>
  <c r="EK37" i="21" s="1"/>
  <c r="W37" i="21"/>
  <c r="BA37" i="21" s="1"/>
  <c r="V37" i="21"/>
  <c r="T37" i="21"/>
  <c r="O37" i="21"/>
  <c r="AN37" i="21" s="1"/>
  <c r="H37" i="21"/>
  <c r="L37" i="21" s="1"/>
  <c r="G37" i="21"/>
  <c r="FZ36" i="21"/>
  <c r="FY36" i="21"/>
  <c r="EL36" i="21"/>
  <c r="EK36" i="21"/>
  <c r="EA36" i="21"/>
  <c r="DY36" i="21"/>
  <c r="DH36" i="21"/>
  <c r="CF36" i="21"/>
  <c r="CD36" i="21"/>
  <c r="CE36" i="21" s="1"/>
  <c r="BA36" i="21"/>
  <c r="AB36" i="21"/>
  <c r="X36" i="21"/>
  <c r="Y36" i="21" s="1"/>
  <c r="W36" i="21"/>
  <c r="V36" i="21"/>
  <c r="T36" i="21"/>
  <c r="U36" i="21" s="1"/>
  <c r="AY36" i="21" s="1"/>
  <c r="AZ36" i="21" s="1"/>
  <c r="O36" i="21"/>
  <c r="H36" i="21"/>
  <c r="G36" i="21"/>
  <c r="CG36" i="21" s="1"/>
  <c r="FZ35" i="21"/>
  <c r="FY35" i="21"/>
  <c r="EA35" i="21"/>
  <c r="DY35" i="21"/>
  <c r="DH35" i="21"/>
  <c r="CG35" i="21"/>
  <c r="CF35" i="21"/>
  <c r="CH35" i="21" s="1"/>
  <c r="CD35" i="21"/>
  <c r="CE35" i="21" s="1"/>
  <c r="AM35" i="21"/>
  <c r="AL35" i="21"/>
  <c r="AK35" i="21"/>
  <c r="AB35" i="21"/>
  <c r="V35" i="21"/>
  <c r="W35" i="21" s="1"/>
  <c r="T35" i="21"/>
  <c r="O35" i="21"/>
  <c r="H35" i="21"/>
  <c r="L35" i="21" s="1"/>
  <c r="G35" i="21"/>
  <c r="FZ34" i="21"/>
  <c r="FY34" i="21"/>
  <c r="EA34" i="21"/>
  <c r="DY34" i="21"/>
  <c r="DH34" i="21"/>
  <c r="CG34" i="21"/>
  <c r="CF34" i="21"/>
  <c r="CH34" i="21" s="1"/>
  <c r="CE34" i="21"/>
  <c r="CD34" i="21"/>
  <c r="BE34" i="21"/>
  <c r="AZ34" i="21"/>
  <c r="AY34" i="21"/>
  <c r="AB34" i="21"/>
  <c r="V34" i="21"/>
  <c r="W34" i="21" s="1"/>
  <c r="U34" i="21"/>
  <c r="T34" i="21"/>
  <c r="O34" i="21"/>
  <c r="CA34" i="21" s="1"/>
  <c r="H34" i="21"/>
  <c r="L34" i="21" s="1"/>
  <c r="G34" i="21"/>
  <c r="FZ33" i="21"/>
  <c r="FY33" i="21" s="1"/>
  <c r="GA33" i="21" s="1"/>
  <c r="FX33" i="21"/>
  <c r="EE33" i="21"/>
  <c r="EA33" i="21"/>
  <c r="DZ33" i="21"/>
  <c r="EB33" i="21" s="1"/>
  <c r="DY33" i="21"/>
  <c r="DH33" i="21"/>
  <c r="CH33" i="21"/>
  <c r="CF33" i="21"/>
  <c r="CD33" i="21"/>
  <c r="CE33" i="21" s="1"/>
  <c r="CB33" i="21"/>
  <c r="CA33" i="21"/>
  <c r="BZ33" i="21"/>
  <c r="BR33" i="21"/>
  <c r="BM33" i="21"/>
  <c r="BK33" i="21"/>
  <c r="BL33" i="21" s="1"/>
  <c r="BN33" i="21" s="1"/>
  <c r="AN33" i="21"/>
  <c r="AM33" i="21"/>
  <c r="AL33" i="21"/>
  <c r="AK33" i="21"/>
  <c r="AB33" i="21"/>
  <c r="W33" i="21"/>
  <c r="V33" i="21"/>
  <c r="U33" i="21"/>
  <c r="AY33" i="21" s="1"/>
  <c r="T33" i="21"/>
  <c r="O33" i="21"/>
  <c r="L33" i="21"/>
  <c r="H33" i="21"/>
  <c r="DL33" i="21" s="1"/>
  <c r="G33" i="21"/>
  <c r="CG33" i="21" s="1"/>
  <c r="FZ32" i="21"/>
  <c r="FX32" i="21"/>
  <c r="EL32" i="21"/>
  <c r="EK32" i="21" s="1"/>
  <c r="EA32" i="21"/>
  <c r="DY32" i="21"/>
  <c r="DH32" i="21"/>
  <c r="CG32" i="21"/>
  <c r="CH32" i="21" s="1"/>
  <c r="CF32" i="21"/>
  <c r="CD32" i="21"/>
  <c r="CE32" i="21" s="1"/>
  <c r="BK32" i="21"/>
  <c r="BE32" i="21"/>
  <c r="BA32" i="21"/>
  <c r="AY32" i="21"/>
  <c r="AZ32" i="21" s="1"/>
  <c r="AB32" i="21"/>
  <c r="W32" i="21"/>
  <c r="X32" i="21" s="1"/>
  <c r="Y32" i="21" s="1"/>
  <c r="V32" i="21"/>
  <c r="T32" i="21"/>
  <c r="U32" i="21" s="1"/>
  <c r="O32" i="21"/>
  <c r="H32" i="21"/>
  <c r="G32" i="21"/>
  <c r="FY32" i="21" s="1"/>
  <c r="FZ31" i="21"/>
  <c r="FY31" i="21"/>
  <c r="FX31" i="21"/>
  <c r="GA31" i="21" s="1"/>
  <c r="EE31" i="21"/>
  <c r="EA31" i="21"/>
  <c r="DY31" i="21"/>
  <c r="DI31" i="21"/>
  <c r="DH31" i="21"/>
  <c r="CG31" i="21"/>
  <c r="CF31" i="21"/>
  <c r="CH31" i="21" s="1"/>
  <c r="CD31" i="21"/>
  <c r="CE31" i="21" s="1"/>
  <c r="CA31" i="21"/>
  <c r="BZ31" i="21"/>
  <c r="CB31" i="21" s="1"/>
  <c r="CI31" i="21" s="1"/>
  <c r="CK31" i="21" s="1"/>
  <c r="BR31" i="21"/>
  <c r="DZ31" i="21" s="1"/>
  <c r="EB31" i="21" s="1"/>
  <c r="EH31" i="21" s="1"/>
  <c r="BN31" i="21"/>
  <c r="BP31" i="21" s="1"/>
  <c r="EI31" i="21" s="1"/>
  <c r="BM31" i="21"/>
  <c r="BO31" i="21" s="1"/>
  <c r="AX31" i="21"/>
  <c r="AN31" i="21"/>
  <c r="AM31" i="21"/>
  <c r="AL31" i="21"/>
  <c r="AK31" i="21"/>
  <c r="AB31" i="21"/>
  <c r="V31" i="21"/>
  <c r="W31" i="21" s="1"/>
  <c r="T31" i="21"/>
  <c r="U31" i="21" s="1"/>
  <c r="AY31" i="21" s="1"/>
  <c r="O31" i="21"/>
  <c r="BK31" i="21" s="1"/>
  <c r="BL31" i="21" s="1"/>
  <c r="M31" i="21"/>
  <c r="L31" i="21"/>
  <c r="I31" i="21"/>
  <c r="DJ31" i="21" s="1"/>
  <c r="H31" i="21"/>
  <c r="DL31" i="21" s="1"/>
  <c r="G31" i="21"/>
  <c r="FZ30" i="21"/>
  <c r="EA30" i="21"/>
  <c r="DY30" i="21"/>
  <c r="DH30" i="21"/>
  <c r="CF30" i="21"/>
  <c r="CD30" i="21"/>
  <c r="CE30" i="21" s="1"/>
  <c r="AB30" i="21"/>
  <c r="V30" i="21"/>
  <c r="W30" i="21" s="1"/>
  <c r="T30" i="21"/>
  <c r="U30" i="21" s="1"/>
  <c r="AY30" i="21" s="1"/>
  <c r="O30" i="21"/>
  <c r="H30" i="21"/>
  <c r="G30" i="21"/>
  <c r="FZ29" i="21"/>
  <c r="EE29" i="21"/>
  <c r="EA29" i="21"/>
  <c r="DZ29" i="21"/>
  <c r="EB29" i="21" s="1"/>
  <c r="DY29" i="21"/>
  <c r="DI29" i="21"/>
  <c r="DH29" i="21"/>
  <c r="CG29" i="21"/>
  <c r="CF29" i="21"/>
  <c r="CH29" i="21" s="1"/>
  <c r="CD29" i="21"/>
  <c r="CE29" i="21" s="1"/>
  <c r="CA29" i="21"/>
  <c r="CB29" i="21" s="1"/>
  <c r="CI29" i="21" s="1"/>
  <c r="BZ29" i="21"/>
  <c r="BR29" i="21"/>
  <c r="AN29" i="21"/>
  <c r="AK29" i="21"/>
  <c r="AM29" i="21" s="1"/>
  <c r="AB29" i="21"/>
  <c r="X29" i="21"/>
  <c r="EL29" i="21" s="1"/>
  <c r="EK29" i="21" s="1"/>
  <c r="V29" i="21"/>
  <c r="W29" i="21" s="1"/>
  <c r="BA29" i="21" s="1"/>
  <c r="U29" i="21"/>
  <c r="AY29" i="21" s="1"/>
  <c r="AZ29" i="21" s="1"/>
  <c r="T29" i="21"/>
  <c r="BE29" i="21" s="1"/>
  <c r="O29" i="21"/>
  <c r="FX29" i="21" s="1"/>
  <c r="H29" i="21"/>
  <c r="L29" i="21" s="1"/>
  <c r="G29" i="21"/>
  <c r="FZ28" i="21"/>
  <c r="FX28" i="21"/>
  <c r="EA28" i="21"/>
  <c r="DY28" i="21"/>
  <c r="DL28" i="21"/>
  <c r="DJ28" i="21"/>
  <c r="DH28" i="21"/>
  <c r="CF28" i="21"/>
  <c r="CD28" i="21"/>
  <c r="CE28" i="21" s="1"/>
  <c r="BZ28" i="21"/>
  <c r="BK28" i="21"/>
  <c r="AB28" i="21"/>
  <c r="V28" i="21"/>
  <c r="W28" i="21" s="1"/>
  <c r="U28" i="21"/>
  <c r="AY28" i="21" s="1"/>
  <c r="AZ28" i="21" s="1"/>
  <c r="T28" i="21"/>
  <c r="BE28" i="21" s="1"/>
  <c r="O28" i="21"/>
  <c r="M28" i="21"/>
  <c r="BF28" i="21" s="1"/>
  <c r="L28" i="21"/>
  <c r="I28" i="21"/>
  <c r="AX28" i="21" s="1"/>
  <c r="H28" i="21"/>
  <c r="AK28" i="21" s="1"/>
  <c r="G28" i="21"/>
  <c r="CG28" i="21" s="1"/>
  <c r="CH28" i="21" s="1"/>
  <c r="GA27" i="21"/>
  <c r="FZ27" i="21"/>
  <c r="FY27" i="21"/>
  <c r="FX27" i="21"/>
  <c r="EL27" i="21"/>
  <c r="EK27" i="21"/>
  <c r="EE27" i="21"/>
  <c r="EA27" i="21"/>
  <c r="DY27" i="21"/>
  <c r="DL27" i="21"/>
  <c r="DI27" i="21"/>
  <c r="DH27" i="21"/>
  <c r="CG27" i="21"/>
  <c r="CH27" i="21" s="1"/>
  <c r="CF27" i="21"/>
  <c r="CD27" i="21"/>
  <c r="CE27" i="21" s="1"/>
  <c r="CA27" i="21"/>
  <c r="BZ27" i="21"/>
  <c r="CB27" i="21" s="1"/>
  <c r="CI27" i="21" s="1"/>
  <c r="BR27" i="21"/>
  <c r="DZ27" i="21" s="1"/>
  <c r="EB27" i="21" s="1"/>
  <c r="EH27" i="21" s="1"/>
  <c r="AY27" i="21"/>
  <c r="AZ27" i="21" s="1"/>
  <c r="AX27" i="21"/>
  <c r="AN27" i="21"/>
  <c r="AM27" i="21"/>
  <c r="AK27" i="21"/>
  <c r="AL27" i="21" s="1"/>
  <c r="AB27" i="21"/>
  <c r="W27" i="21"/>
  <c r="X27" i="21" s="1"/>
  <c r="Y27" i="21" s="1"/>
  <c r="V27" i="21"/>
  <c r="U27" i="21"/>
  <c r="T27" i="21"/>
  <c r="BE27" i="21" s="1"/>
  <c r="O27" i="21"/>
  <c r="BK27" i="21" s="1"/>
  <c r="L27" i="21"/>
  <c r="I27" i="21"/>
  <c r="H27" i="21"/>
  <c r="G27" i="21"/>
  <c r="FZ26" i="21"/>
  <c r="FY26" i="21"/>
  <c r="FX26" i="21"/>
  <c r="EA26" i="21"/>
  <c r="DY26" i="21"/>
  <c r="DH26" i="21"/>
  <c r="CH26" i="21"/>
  <c r="CG26" i="21"/>
  <c r="CF26" i="21"/>
  <c r="CD26" i="21"/>
  <c r="CE26" i="21" s="1"/>
  <c r="AB26" i="21"/>
  <c r="V26" i="21"/>
  <c r="W26" i="21" s="1"/>
  <c r="T26" i="21"/>
  <c r="O26" i="21"/>
  <c r="H26" i="21"/>
  <c r="G26" i="21"/>
  <c r="FZ25" i="21"/>
  <c r="FY25" i="21"/>
  <c r="FX25" i="21"/>
  <c r="EE25" i="21"/>
  <c r="EA25" i="21"/>
  <c r="DZ25" i="21"/>
  <c r="EB25" i="21" s="1"/>
  <c r="EH25" i="21" s="1"/>
  <c r="DY25" i="21"/>
  <c r="DI25" i="21"/>
  <c r="DH25" i="21"/>
  <c r="CG25" i="21"/>
  <c r="CH25" i="21" s="1"/>
  <c r="CI25" i="21" s="1"/>
  <c r="CF25" i="21"/>
  <c r="CD25" i="21"/>
  <c r="CE25" i="21" s="1"/>
  <c r="CA25" i="21"/>
  <c r="BR25" i="21"/>
  <c r="BE25" i="21"/>
  <c r="BA25" i="21"/>
  <c r="AY25" i="21"/>
  <c r="AZ25" i="21" s="1"/>
  <c r="AN25" i="21"/>
  <c r="AB25" i="21"/>
  <c r="W25" i="21"/>
  <c r="X25" i="21" s="1"/>
  <c r="V25" i="21"/>
  <c r="T25" i="21"/>
  <c r="U25" i="21" s="1"/>
  <c r="O25" i="21"/>
  <c r="BZ25" i="21" s="1"/>
  <c r="CB25" i="21" s="1"/>
  <c r="H25" i="21"/>
  <c r="G25" i="21"/>
  <c r="FZ24" i="21"/>
  <c r="FY24" i="21"/>
  <c r="FX24" i="21"/>
  <c r="GA24" i="21" s="1"/>
  <c r="EA24" i="21"/>
  <c r="EB24" i="21" s="1"/>
  <c r="DY24" i="21"/>
  <c r="DI24" i="21"/>
  <c r="DH24" i="21"/>
  <c r="CF24" i="21"/>
  <c r="CE24" i="21"/>
  <c r="CD24" i="21"/>
  <c r="BR24" i="21"/>
  <c r="DZ24" i="21" s="1"/>
  <c r="BK24" i="21"/>
  <c r="BM24" i="21" s="1"/>
  <c r="AK24" i="21"/>
  <c r="AM24" i="21" s="1"/>
  <c r="AB24" i="21"/>
  <c r="V24" i="21"/>
  <c r="W24" i="21" s="1"/>
  <c r="U24" i="21"/>
  <c r="AY24" i="21" s="1"/>
  <c r="T24" i="21"/>
  <c r="BE24" i="21" s="1"/>
  <c r="O24" i="21"/>
  <c r="EE24" i="21" s="1"/>
  <c r="L24" i="21"/>
  <c r="H24" i="21"/>
  <c r="DL24" i="21" s="1"/>
  <c r="G24" i="21"/>
  <c r="CG24" i="21" s="1"/>
  <c r="FZ23" i="21"/>
  <c r="FX23" i="21"/>
  <c r="EL23" i="21"/>
  <c r="EK23" i="21"/>
  <c r="EH23" i="21"/>
  <c r="EB23" i="21"/>
  <c r="EA23" i="21"/>
  <c r="DZ23" i="21"/>
  <c r="DY23" i="21"/>
  <c r="DM23" i="21"/>
  <c r="DI23" i="21"/>
  <c r="DH23" i="21"/>
  <c r="CH23" i="21"/>
  <c r="CG23" i="21"/>
  <c r="CF23" i="21"/>
  <c r="CE23" i="21"/>
  <c r="CD23" i="21"/>
  <c r="CA23" i="21"/>
  <c r="BZ23" i="21"/>
  <c r="CB23" i="21" s="1"/>
  <c r="CI23" i="21" s="1"/>
  <c r="BR23" i="21"/>
  <c r="BK23" i="21"/>
  <c r="AB23" i="21"/>
  <c r="V23" i="21"/>
  <c r="W23" i="21" s="1"/>
  <c r="X23" i="21" s="1"/>
  <c r="Y23" i="21" s="1"/>
  <c r="T23" i="21"/>
  <c r="O23" i="21"/>
  <c r="H23" i="21"/>
  <c r="G23" i="21"/>
  <c r="FY23" i="21" s="1"/>
  <c r="FZ22" i="21"/>
  <c r="FY22" i="21" s="1"/>
  <c r="EA22" i="21"/>
  <c r="DY22" i="21"/>
  <c r="DL22" i="21"/>
  <c r="DI22" i="21"/>
  <c r="DH22" i="21"/>
  <c r="CG22" i="21"/>
  <c r="CH22" i="21" s="1"/>
  <c r="CF22" i="21"/>
  <c r="CD22" i="21"/>
  <c r="CE22" i="21" s="1"/>
  <c r="CA22" i="21"/>
  <c r="AN22" i="21"/>
  <c r="AK22" i="21"/>
  <c r="AB22" i="21"/>
  <c r="W22" i="21"/>
  <c r="V22" i="21"/>
  <c r="T22" i="21"/>
  <c r="O22" i="21"/>
  <c r="BZ22" i="21" s="1"/>
  <c r="CB22" i="21" s="1"/>
  <c r="CI22" i="21" s="1"/>
  <c r="CK22" i="21" s="1"/>
  <c r="L22" i="21"/>
  <c r="I22" i="21"/>
  <c r="M22" i="21" s="1"/>
  <c r="H22" i="21"/>
  <c r="G22" i="21"/>
  <c r="FZ21" i="21"/>
  <c r="FY21" i="21"/>
  <c r="EL21" i="21"/>
  <c r="EK21" i="21"/>
  <c r="EA21" i="21"/>
  <c r="DY21" i="21"/>
  <c r="DL21" i="21"/>
  <c r="DJ21" i="21"/>
  <c r="DH21" i="21"/>
  <c r="CG21" i="21"/>
  <c r="CF21" i="21"/>
  <c r="CH21" i="21" s="1"/>
  <c r="CD21" i="21"/>
  <c r="CE21" i="21" s="1"/>
  <c r="BE21" i="21"/>
  <c r="BA21" i="21"/>
  <c r="BB21" i="21" s="1"/>
  <c r="AY21" i="21"/>
  <c r="AZ21" i="21" s="1"/>
  <c r="AX21" i="21"/>
  <c r="AM21" i="21"/>
  <c r="AL21" i="21"/>
  <c r="AB21" i="21"/>
  <c r="V21" i="21"/>
  <c r="W21" i="21" s="1"/>
  <c r="X21" i="21" s="1"/>
  <c r="Y21" i="21" s="1"/>
  <c r="U21" i="21"/>
  <c r="T21" i="21"/>
  <c r="O21" i="21"/>
  <c r="CA21" i="21" s="1"/>
  <c r="L21" i="21"/>
  <c r="I21" i="21"/>
  <c r="M21" i="21" s="1"/>
  <c r="BF21" i="21" s="1"/>
  <c r="H21" i="21"/>
  <c r="G21" i="21"/>
  <c r="FZ20" i="21"/>
  <c r="FY20" i="21"/>
  <c r="FX20" i="21"/>
  <c r="GA20" i="21" s="1"/>
  <c r="EE20" i="21"/>
  <c r="EA20" i="21"/>
  <c r="DY20" i="21"/>
  <c r="DH20" i="21"/>
  <c r="CF20" i="21"/>
  <c r="CD20" i="21"/>
  <c r="CE20" i="21" s="1"/>
  <c r="CA20" i="21"/>
  <c r="BZ20" i="21"/>
  <c r="CB20" i="21" s="1"/>
  <c r="BR20" i="21"/>
  <c r="DZ20" i="21" s="1"/>
  <c r="EB20" i="21" s="1"/>
  <c r="EH20" i="21" s="1"/>
  <c r="BK20" i="21"/>
  <c r="BM20" i="21" s="1"/>
  <c r="AT20" i="21"/>
  <c r="DU20" i="21" s="1"/>
  <c r="AP20" i="21"/>
  <c r="AP21" i="21" s="1"/>
  <c r="AP22" i="21" s="1"/>
  <c r="AN20" i="21"/>
  <c r="AM20" i="21"/>
  <c r="AL20" i="21"/>
  <c r="AB20" i="21"/>
  <c r="V20" i="21"/>
  <c r="W20" i="21" s="1"/>
  <c r="U20" i="21"/>
  <c r="AY20" i="21" s="1"/>
  <c r="T20" i="21"/>
  <c r="O20" i="21"/>
  <c r="L20" i="21"/>
  <c r="I20" i="21"/>
  <c r="M20" i="21" s="1"/>
  <c r="H20" i="21"/>
  <c r="DL20" i="21" s="1"/>
  <c r="G20" i="21"/>
  <c r="CG20" i="21" s="1"/>
  <c r="CH20" i="21" s="1"/>
  <c r="FZ19" i="21"/>
  <c r="FY19" i="21"/>
  <c r="FX19" i="21"/>
  <c r="EA19" i="21"/>
  <c r="DY19" i="21"/>
  <c r="DP19" i="21"/>
  <c r="DO19" i="21"/>
  <c r="DM19" i="21"/>
  <c r="DH19" i="21"/>
  <c r="CG19" i="21"/>
  <c r="CF19" i="21"/>
  <c r="CH19" i="21" s="1"/>
  <c r="CD19" i="21"/>
  <c r="CE19" i="21" s="1"/>
  <c r="CI19" i="21" s="1"/>
  <c r="CB19" i="21"/>
  <c r="CA19" i="21"/>
  <c r="BZ19" i="21"/>
  <c r="BR19" i="21"/>
  <c r="DZ19" i="21" s="1"/>
  <c r="EB19" i="21" s="1"/>
  <c r="EH19" i="21" s="1"/>
  <c r="BM19" i="21"/>
  <c r="BK19" i="21"/>
  <c r="BL19" i="21" s="1"/>
  <c r="BN19" i="21" s="1"/>
  <c r="AT19" i="21"/>
  <c r="DU19" i="21" s="1"/>
  <c r="AM19" i="21"/>
  <c r="AL19" i="21"/>
  <c r="AB19" i="21"/>
  <c r="V19" i="21"/>
  <c r="W19" i="21" s="1"/>
  <c r="T19" i="21"/>
  <c r="O19" i="21"/>
  <c r="H19" i="21"/>
  <c r="L19" i="21" s="1"/>
  <c r="G19" i="21"/>
  <c r="K16" i="21"/>
  <c r="J16" i="21"/>
  <c r="H16" i="21"/>
  <c r="G16" i="21"/>
  <c r="S15" i="21"/>
  <c r="K15" i="21"/>
  <c r="J15" i="21"/>
  <c r="H15" i="21"/>
  <c r="G15" i="21"/>
  <c r="S14" i="21"/>
  <c r="R14" i="21"/>
  <c r="DI11" i="21"/>
  <c r="S11" i="21"/>
  <c r="DI10" i="21"/>
  <c r="S10" i="21"/>
  <c r="R10" i="21"/>
  <c r="EO9" i="21"/>
  <c r="DZ9" i="21"/>
  <c r="DI8" i="21"/>
  <c r="CJ8" i="21"/>
  <c r="DL7" i="21"/>
  <c r="S7" i="21"/>
  <c r="J7" i="21"/>
  <c r="DT6" i="21"/>
  <c r="DS6" i="21"/>
  <c r="DQ6" i="21"/>
  <c r="DP6" i="21"/>
  <c r="DL6" i="21"/>
  <c r="S6" i="21"/>
  <c r="R6" i="21"/>
  <c r="J6" i="21"/>
  <c r="DV5" i="21"/>
  <c r="DT5" i="21"/>
  <c r="DU5" i="21" s="1"/>
  <c r="DS5" i="21"/>
  <c r="DQ5" i="21"/>
  <c r="DR5" i="21" s="1"/>
  <c r="DP5" i="21"/>
  <c r="DL5" i="21"/>
  <c r="M5" i="21"/>
  <c r="J5" i="21"/>
  <c r="FD4" i="21"/>
  <c r="FC4" i="21"/>
  <c r="DI4" i="21" s="1"/>
  <c r="EF4" i="21"/>
  <c r="DT4" i="21"/>
  <c r="DU4" i="21" s="1"/>
  <c r="DS4" i="21"/>
  <c r="DQ4" i="21"/>
  <c r="DR4" i="21" s="1"/>
  <c r="DP4" i="21"/>
  <c r="DL4" i="21"/>
  <c r="DJ4" i="21"/>
  <c r="M4" i="21"/>
  <c r="J4" i="21"/>
  <c r="FD3" i="21"/>
  <c r="FC3" i="21"/>
  <c r="DI3" i="21" s="1"/>
  <c r="EF3" i="21"/>
  <c r="DZ3" i="21"/>
  <c r="DV3" i="21"/>
  <c r="DS3" i="21"/>
  <c r="DP3" i="21"/>
  <c r="DL3" i="21"/>
  <c r="FC2" i="21"/>
  <c r="EA2" i="21"/>
  <c r="DW2" i="21"/>
  <c r="DT2" i="21"/>
  <c r="DU2" i="21" s="1"/>
  <c r="DV2" i="21" s="1"/>
  <c r="DR2" i="21"/>
  <c r="DQ2" i="21"/>
  <c r="DP2" i="21"/>
  <c r="DI2" i="21"/>
  <c r="S2" i="21"/>
  <c r="FD1" i="21"/>
  <c r="FD2" i="21" s="1"/>
  <c r="FC1" i="21"/>
  <c r="EP1" i="21"/>
  <c r="EF1" i="21"/>
  <c r="EF2" i="21" s="1"/>
  <c r="EB1" i="21"/>
  <c r="EA1" i="21"/>
  <c r="DZ1" i="21"/>
  <c r="DZ2" i="21" s="1"/>
  <c r="DW1" i="21"/>
  <c r="DT1" i="21"/>
  <c r="DU1" i="21" s="1"/>
  <c r="DV1" i="21" s="1"/>
  <c r="DR1" i="21"/>
  <c r="DQ1" i="21"/>
  <c r="DP1" i="21"/>
  <c r="DI1" i="21"/>
  <c r="S1" i="21"/>
  <c r="R1" i="21"/>
  <c r="R20" i="5"/>
  <c r="N20" i="5"/>
  <c r="O20" i="5" s="1"/>
  <c r="P20" i="5"/>
  <c r="Q20" i="5"/>
  <c r="N21" i="5"/>
  <c r="O21" i="5"/>
  <c r="P21" i="5"/>
  <c r="Q21" i="5" s="1"/>
  <c r="N22" i="5"/>
  <c r="O22" i="5" s="1"/>
  <c r="P22" i="5"/>
  <c r="Q22" i="5"/>
  <c r="N23" i="5"/>
  <c r="O23" i="5" s="1"/>
  <c r="P23" i="5"/>
  <c r="Q23" i="5" s="1"/>
  <c r="N24" i="5"/>
  <c r="O24" i="5" s="1"/>
  <c r="P24" i="5"/>
  <c r="Q24" i="5"/>
  <c r="N25" i="5"/>
  <c r="O25" i="5" s="1"/>
  <c r="P25" i="5"/>
  <c r="Q25" i="5" s="1"/>
  <c r="N26" i="5"/>
  <c r="O26" i="5" s="1"/>
  <c r="P26" i="5"/>
  <c r="Q26" i="5"/>
  <c r="N27" i="5"/>
  <c r="O27" i="5" s="1"/>
  <c r="P27" i="5"/>
  <c r="Q27" i="5" s="1"/>
  <c r="N28" i="5"/>
  <c r="O28" i="5" s="1"/>
  <c r="P28" i="5"/>
  <c r="Q28" i="5"/>
  <c r="N29" i="5"/>
  <c r="O29" i="5"/>
  <c r="P29" i="5"/>
  <c r="Q29" i="5" s="1"/>
  <c r="N30" i="5"/>
  <c r="O30" i="5" s="1"/>
  <c r="P30" i="5"/>
  <c r="Q30" i="5"/>
  <c r="N31" i="5"/>
  <c r="O31" i="5" s="1"/>
  <c r="P31" i="5"/>
  <c r="Q31" i="5" s="1"/>
  <c r="N32" i="5"/>
  <c r="O32" i="5" s="1"/>
  <c r="P32" i="5"/>
  <c r="Q32" i="5"/>
  <c r="N33" i="5"/>
  <c r="O33" i="5" s="1"/>
  <c r="P33" i="5"/>
  <c r="Q33" i="5" s="1"/>
  <c r="N34" i="5"/>
  <c r="O34" i="5" s="1"/>
  <c r="P34" i="5"/>
  <c r="Q34" i="5"/>
  <c r="N35" i="5"/>
  <c r="O35" i="5" s="1"/>
  <c r="P35" i="5"/>
  <c r="Q35" i="5" s="1"/>
  <c r="N36" i="5"/>
  <c r="O36" i="5" s="1"/>
  <c r="P36" i="5"/>
  <c r="Q36" i="5"/>
  <c r="N37" i="5"/>
  <c r="O37" i="5"/>
  <c r="P37" i="5"/>
  <c r="Q37" i="5" s="1"/>
  <c r="N38" i="5"/>
  <c r="O38" i="5" s="1"/>
  <c r="P38" i="5"/>
  <c r="Q38" i="5"/>
  <c r="N39" i="5"/>
  <c r="O39" i="5" s="1"/>
  <c r="P39" i="5"/>
  <c r="Q39" i="5" s="1"/>
  <c r="N40" i="5"/>
  <c r="O40" i="5" s="1"/>
  <c r="P40" i="5"/>
  <c r="Q40" i="5"/>
  <c r="N41" i="5"/>
  <c r="O41" i="5" s="1"/>
  <c r="P41" i="5"/>
  <c r="Q41" i="5" s="1"/>
  <c r="N42" i="5"/>
  <c r="O42" i="5" s="1"/>
  <c r="P42" i="5"/>
  <c r="Q42" i="5"/>
  <c r="N43" i="5"/>
  <c r="O43" i="5" s="1"/>
  <c r="P43" i="5"/>
  <c r="Q43" i="5" s="1"/>
  <c r="N44" i="5"/>
  <c r="O44" i="5" s="1"/>
  <c r="P44" i="5"/>
  <c r="Q44" i="5"/>
  <c r="N45" i="5"/>
  <c r="O45" i="5"/>
  <c r="P45" i="5"/>
  <c r="Q45" i="5" s="1"/>
  <c r="N46" i="5"/>
  <c r="O46" i="5" s="1"/>
  <c r="P46" i="5"/>
  <c r="Q46" i="5"/>
  <c r="N47" i="5"/>
  <c r="O47" i="5" s="1"/>
  <c r="P47" i="5"/>
  <c r="Q47" i="5" s="1"/>
  <c r="N48" i="5"/>
  <c r="O48" i="5" s="1"/>
  <c r="P48" i="5"/>
  <c r="Q48" i="5"/>
  <c r="N49" i="5"/>
  <c r="O49" i="5" s="1"/>
  <c r="P49" i="5"/>
  <c r="Q49" i="5" s="1"/>
  <c r="N50" i="5"/>
  <c r="O50" i="5" s="1"/>
  <c r="P50" i="5"/>
  <c r="Q50" i="5"/>
  <c r="N51" i="5"/>
  <c r="O51" i="5" s="1"/>
  <c r="P51" i="5"/>
  <c r="Q51" i="5" s="1"/>
  <c r="N52" i="5"/>
  <c r="O52" i="5" s="1"/>
  <c r="P52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P124" i="5"/>
  <c r="Q124" i="5"/>
  <c r="P125" i="5"/>
  <c r="Q125" i="5" s="1"/>
  <c r="P126" i="5"/>
  <c r="Q126" i="5"/>
  <c r="P127" i="5"/>
  <c r="Q127" i="5" s="1"/>
  <c r="P128" i="5"/>
  <c r="Q128" i="5"/>
  <c r="P129" i="5"/>
  <c r="Q129" i="5" s="1"/>
  <c r="P130" i="5"/>
  <c r="Q130" i="5"/>
  <c r="P131" i="5"/>
  <c r="Q131" i="5" s="1"/>
  <c r="P132" i="5"/>
  <c r="Q132" i="5"/>
  <c r="P133" i="5"/>
  <c r="Q133" i="5" s="1"/>
  <c r="P134" i="5"/>
  <c r="Q134" i="5"/>
  <c r="P135" i="5"/>
  <c r="Q135" i="5" s="1"/>
  <c r="P136" i="5"/>
  <c r="Q136" i="5"/>
  <c r="P137" i="5"/>
  <c r="Q137" i="5" s="1"/>
  <c r="P138" i="5"/>
  <c r="Q138" i="5"/>
  <c r="P139" i="5"/>
  <c r="Q139" i="5" s="1"/>
  <c r="P140" i="5"/>
  <c r="Q140" i="5"/>
  <c r="P141" i="5"/>
  <c r="Q141" i="5" s="1"/>
  <c r="P142" i="5"/>
  <c r="Q142" i="5"/>
  <c r="P143" i="5"/>
  <c r="Q143" i="5" s="1"/>
  <c r="P144" i="5"/>
  <c r="Q144" i="5"/>
  <c r="P145" i="5"/>
  <c r="Q145" i="5" s="1"/>
  <c r="P146" i="5"/>
  <c r="Q146" i="5"/>
  <c r="P147" i="5"/>
  <c r="Q147" i="5" s="1"/>
  <c r="Q148" i="5"/>
  <c r="Q149" i="5"/>
  <c r="Q150" i="5"/>
  <c r="Q151" i="5"/>
  <c r="Q152" i="5"/>
  <c r="Q153" i="5"/>
  <c r="P156" i="5"/>
  <c r="Q156" i="5"/>
  <c r="P157" i="5"/>
  <c r="Q157" i="5"/>
  <c r="P158" i="5"/>
  <c r="P15" i="5" s="1"/>
  <c r="Q158" i="5"/>
  <c r="P159" i="5"/>
  <c r="Q159" i="5"/>
  <c r="P160" i="5"/>
  <c r="Q160" i="5"/>
  <c r="P161" i="5"/>
  <c r="Q161" i="5"/>
  <c r="P162" i="5"/>
  <c r="Q162" i="5"/>
  <c r="P163" i="5"/>
  <c r="Q163" i="5"/>
  <c r="P164" i="5"/>
  <c r="Q164" i="5"/>
  <c r="P165" i="5"/>
  <c r="Q165" i="5"/>
  <c r="P166" i="5"/>
  <c r="Q166" i="5"/>
  <c r="P167" i="5"/>
  <c r="Q167" i="5"/>
  <c r="P169" i="5"/>
  <c r="Q169" i="5"/>
  <c r="P170" i="5"/>
  <c r="Q170" i="5"/>
  <c r="P171" i="5"/>
  <c r="Q171" i="5"/>
  <c r="P172" i="5"/>
  <c r="Q172" i="5"/>
  <c r="P173" i="5"/>
  <c r="Q173" i="5"/>
  <c r="P174" i="5"/>
  <c r="Q174" i="5"/>
  <c r="P175" i="5"/>
  <c r="Q175" i="5"/>
  <c r="P176" i="5"/>
  <c r="Q176" i="5"/>
  <c r="P177" i="5"/>
  <c r="Q177" i="5"/>
  <c r="P178" i="5"/>
  <c r="Q178" i="5"/>
  <c r="P179" i="5"/>
  <c r="Q179" i="5"/>
  <c r="P180" i="5"/>
  <c r="Q180" i="5"/>
  <c r="P181" i="5"/>
  <c r="Q181" i="5"/>
  <c r="P182" i="5"/>
  <c r="Q182" i="5"/>
  <c r="P183" i="5"/>
  <c r="Q183" i="5"/>
  <c r="P184" i="5"/>
  <c r="Q184" i="5"/>
  <c r="P185" i="5"/>
  <c r="Q185" i="5"/>
  <c r="P186" i="5"/>
  <c r="Q186" i="5"/>
  <c r="P187" i="5"/>
  <c r="Q187" i="5"/>
  <c r="P188" i="5"/>
  <c r="Q188" i="5"/>
  <c r="P189" i="5"/>
  <c r="Q189" i="5"/>
  <c r="P190" i="5"/>
  <c r="Q190" i="5"/>
  <c r="P191" i="5"/>
  <c r="Q191" i="5"/>
  <c r="P192" i="5"/>
  <c r="Q192" i="5"/>
  <c r="P193" i="5"/>
  <c r="Q193" i="5"/>
  <c r="P194" i="5"/>
  <c r="Q194" i="5"/>
  <c r="P195" i="5"/>
  <c r="Q195" i="5"/>
  <c r="P196" i="5"/>
  <c r="Q196" i="5"/>
  <c r="P197" i="5"/>
  <c r="Q197" i="5"/>
  <c r="P198" i="5"/>
  <c r="Q198" i="5"/>
  <c r="P199" i="5"/>
  <c r="Q199" i="5"/>
  <c r="P200" i="5"/>
  <c r="Q200" i="5"/>
  <c r="P201" i="5"/>
  <c r="Q201" i="5"/>
  <c r="P202" i="5"/>
  <c r="Q202" i="5"/>
  <c r="P203" i="5"/>
  <c r="Q203" i="5"/>
  <c r="P204" i="5"/>
  <c r="Q204" i="5"/>
  <c r="P205" i="5"/>
  <c r="Q205" i="5"/>
  <c r="P206" i="5"/>
  <c r="Q206" i="5"/>
  <c r="P207" i="5"/>
  <c r="Q207" i="5"/>
  <c r="P208" i="5"/>
  <c r="Q208" i="5"/>
  <c r="P209" i="5"/>
  <c r="Q209" i="5"/>
  <c r="P210" i="5"/>
  <c r="Q210" i="5"/>
  <c r="P211" i="5"/>
  <c r="Q211" i="5"/>
  <c r="P212" i="5"/>
  <c r="Q212" i="5"/>
  <c r="P213" i="5"/>
  <c r="Q213" i="5"/>
  <c r="P214" i="5"/>
  <c r="Q214" i="5"/>
  <c r="P215" i="5"/>
  <c r="Q215" i="5"/>
  <c r="O216" i="5"/>
  <c r="P216" i="5"/>
  <c r="Q216" i="5"/>
  <c r="O217" i="5"/>
  <c r="P217" i="5"/>
  <c r="Q217" i="5"/>
  <c r="O218" i="5"/>
  <c r="P218" i="5"/>
  <c r="Q218" i="5"/>
  <c r="O219" i="5"/>
  <c r="P219" i="5"/>
  <c r="Q219" i="5"/>
  <c r="O220" i="5"/>
  <c r="P220" i="5"/>
  <c r="Q220" i="5"/>
  <c r="O221" i="5"/>
  <c r="P221" i="5"/>
  <c r="Q221" i="5"/>
  <c r="O222" i="5"/>
  <c r="P222" i="5"/>
  <c r="Q222" i="5"/>
  <c r="O223" i="5"/>
  <c r="P223" i="5"/>
  <c r="Q223" i="5"/>
  <c r="O224" i="5"/>
  <c r="P224" i="5"/>
  <c r="Q224" i="5"/>
  <c r="O225" i="5"/>
  <c r="P225" i="5"/>
  <c r="Q225" i="5"/>
  <c r="O226" i="5"/>
  <c r="P226" i="5"/>
  <c r="Q226" i="5"/>
  <c r="O227" i="5"/>
  <c r="P227" i="5"/>
  <c r="Q227" i="5"/>
  <c r="O228" i="5"/>
  <c r="P228" i="5"/>
  <c r="Q228" i="5"/>
  <c r="O229" i="5"/>
  <c r="P229" i="5"/>
  <c r="Q229" i="5"/>
  <c r="O230" i="5"/>
  <c r="P230" i="5"/>
  <c r="Q230" i="5"/>
  <c r="O231" i="5"/>
  <c r="P231" i="5"/>
  <c r="Q231" i="5"/>
  <c r="O232" i="5"/>
  <c r="P232" i="5"/>
  <c r="Q232" i="5"/>
  <c r="O233" i="5"/>
  <c r="P233" i="5"/>
  <c r="Q233" i="5"/>
  <c r="O234" i="5"/>
  <c r="P234" i="5"/>
  <c r="Q234" i="5"/>
  <c r="O235" i="5"/>
  <c r="P235" i="5"/>
  <c r="Q235" i="5"/>
  <c r="O236" i="5"/>
  <c r="P236" i="5"/>
  <c r="Q236" i="5"/>
  <c r="O237" i="5"/>
  <c r="P237" i="5"/>
  <c r="Q237" i="5"/>
  <c r="O238" i="5"/>
  <c r="P238" i="5"/>
  <c r="Q238" i="5"/>
  <c r="O239" i="5"/>
  <c r="P239" i="5"/>
  <c r="Q239" i="5"/>
  <c r="O240" i="5"/>
  <c r="P240" i="5"/>
  <c r="Q240" i="5"/>
  <c r="O241" i="5"/>
  <c r="P241" i="5"/>
  <c r="Q241" i="5"/>
  <c r="O242" i="5"/>
  <c r="P242" i="5"/>
  <c r="Q242" i="5"/>
  <c r="O243" i="5"/>
  <c r="P243" i="5"/>
  <c r="Q243" i="5"/>
  <c r="O244" i="5"/>
  <c r="P244" i="5"/>
  <c r="Q244" i="5"/>
  <c r="O245" i="5"/>
  <c r="P245" i="5"/>
  <c r="Q245" i="5"/>
  <c r="O246" i="5"/>
  <c r="P246" i="5"/>
  <c r="Q246" i="5"/>
  <c r="O247" i="5"/>
  <c r="P247" i="5"/>
  <c r="Q247" i="5"/>
  <c r="P248" i="5"/>
  <c r="Q248" i="5"/>
  <c r="P249" i="5"/>
  <c r="Q249" i="5"/>
  <c r="P250" i="5"/>
  <c r="Q250" i="5"/>
  <c r="P251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N469" i="5"/>
  <c r="O469" i="5"/>
  <c r="Q469" i="5"/>
  <c r="N470" i="5"/>
  <c r="O470" i="5"/>
  <c r="Q470" i="5"/>
  <c r="N471" i="5"/>
  <c r="O471" i="5"/>
  <c r="Q471" i="5"/>
  <c r="N472" i="5"/>
  <c r="O472" i="5"/>
  <c r="Q472" i="5"/>
  <c r="N473" i="5"/>
  <c r="O473" i="5"/>
  <c r="Q473" i="5"/>
  <c r="N474" i="5"/>
  <c r="O474" i="5"/>
  <c r="Q474" i="5"/>
  <c r="N475" i="5"/>
  <c r="O475" i="5"/>
  <c r="Q475" i="5"/>
  <c r="N476" i="5"/>
  <c r="O476" i="5"/>
  <c r="Q476" i="5"/>
  <c r="N477" i="5"/>
  <c r="O477" i="5"/>
  <c r="Q477" i="5"/>
  <c r="N478" i="5"/>
  <c r="O478" i="5"/>
  <c r="Q478" i="5"/>
  <c r="N479" i="5"/>
  <c r="O479" i="5"/>
  <c r="Q479" i="5"/>
  <c r="N480" i="5"/>
  <c r="O480" i="5"/>
  <c r="Q480" i="5"/>
  <c r="N481" i="5"/>
  <c r="O481" i="5"/>
  <c r="Q481" i="5"/>
  <c r="N482" i="5"/>
  <c r="O482" i="5"/>
  <c r="Q482" i="5"/>
  <c r="N483" i="5"/>
  <c r="O483" i="5"/>
  <c r="Q483" i="5"/>
  <c r="N484" i="5"/>
  <c r="O484" i="5"/>
  <c r="Q484" i="5"/>
  <c r="N485" i="5"/>
  <c r="O485" i="5"/>
  <c r="Q485" i="5"/>
  <c r="N486" i="5"/>
  <c r="O486" i="5"/>
  <c r="Q486" i="5"/>
  <c r="N487" i="5"/>
  <c r="O487" i="5"/>
  <c r="Q487" i="5"/>
  <c r="N488" i="5"/>
  <c r="O488" i="5"/>
  <c r="Q488" i="5"/>
  <c r="N489" i="5"/>
  <c r="O489" i="5"/>
  <c r="Q489" i="5"/>
  <c r="N490" i="5"/>
  <c r="O490" i="5"/>
  <c r="Q490" i="5"/>
  <c r="N491" i="5"/>
  <c r="O491" i="5"/>
  <c r="Q491" i="5"/>
  <c r="N492" i="5"/>
  <c r="O492" i="5"/>
  <c r="Q492" i="5"/>
  <c r="N493" i="5"/>
  <c r="O493" i="5"/>
  <c r="Q493" i="5"/>
  <c r="N494" i="5"/>
  <c r="O494" i="5"/>
  <c r="Q494" i="5"/>
  <c r="N495" i="5"/>
  <c r="O495" i="5"/>
  <c r="Q495" i="5"/>
  <c r="N496" i="5"/>
  <c r="O496" i="5"/>
  <c r="Q496" i="5"/>
  <c r="N497" i="5"/>
  <c r="O497" i="5"/>
  <c r="Q497" i="5"/>
  <c r="N498" i="5"/>
  <c r="O498" i="5"/>
  <c r="Q498" i="5"/>
  <c r="N499" i="5"/>
  <c r="O499" i="5"/>
  <c r="Q499" i="5"/>
  <c r="N500" i="5"/>
  <c r="O500" i="5"/>
  <c r="Q500" i="5"/>
  <c r="FX496" i="20"/>
  <c r="DY496" i="20"/>
  <c r="DL496" i="20"/>
  <c r="CF496" i="20"/>
  <c r="CC496" i="20"/>
  <c r="CA496" i="20"/>
  <c r="BZ496" i="20"/>
  <c r="BR496" i="20"/>
  <c r="DZ496" i="20" s="1"/>
  <c r="AS496" i="20"/>
  <c r="AN496" i="20"/>
  <c r="AM496" i="20"/>
  <c r="AL496" i="20"/>
  <c r="AK496" i="20"/>
  <c r="AE496" i="20"/>
  <c r="CD496" i="20" s="1"/>
  <c r="CE496" i="20" s="1"/>
  <c r="AD496" i="20"/>
  <c r="W496" i="20"/>
  <c r="X496" i="20" s="1"/>
  <c r="U496" i="20"/>
  <c r="T496" i="20"/>
  <c r="L496" i="20"/>
  <c r="I496" i="20"/>
  <c r="DI496" i="20" s="1"/>
  <c r="G496" i="20"/>
  <c r="CG496" i="20" s="1"/>
  <c r="FX495" i="20"/>
  <c r="DY495" i="20"/>
  <c r="DL495" i="20"/>
  <c r="CF495" i="20"/>
  <c r="CC495" i="20"/>
  <c r="CA495" i="20"/>
  <c r="BZ495" i="20"/>
  <c r="BR495" i="20"/>
  <c r="DZ495" i="20" s="1"/>
  <c r="AS495" i="20"/>
  <c r="AN495" i="20"/>
  <c r="AM495" i="20"/>
  <c r="AL495" i="20"/>
  <c r="AK495" i="20"/>
  <c r="AE495" i="20"/>
  <c r="CD495" i="20" s="1"/>
  <c r="W495" i="20"/>
  <c r="U495" i="20"/>
  <c r="T495" i="20"/>
  <c r="L495" i="20"/>
  <c r="I495" i="20"/>
  <c r="AX495" i="20" s="1"/>
  <c r="G495" i="20"/>
  <c r="CG495" i="20" s="1"/>
  <c r="CH495" i="20" s="1"/>
  <c r="FX494" i="20"/>
  <c r="DY494" i="20"/>
  <c r="DL494" i="20"/>
  <c r="CF494" i="20"/>
  <c r="CC494" i="20"/>
  <c r="CA494" i="20"/>
  <c r="BZ494" i="20"/>
  <c r="BR494" i="20"/>
  <c r="DZ494" i="20" s="1"/>
  <c r="AS494" i="20"/>
  <c r="AN494" i="20"/>
  <c r="AM494" i="20"/>
  <c r="AL494" i="20"/>
  <c r="AK494" i="20"/>
  <c r="AE494" i="20"/>
  <c r="BE494" i="20" s="1"/>
  <c r="W494" i="20"/>
  <c r="U494" i="20"/>
  <c r="T494" i="20"/>
  <c r="L494" i="20"/>
  <c r="I494" i="20"/>
  <c r="M494" i="20" s="1"/>
  <c r="G494" i="20"/>
  <c r="CG494" i="20" s="1"/>
  <c r="CH494" i="20" s="1"/>
  <c r="FX493" i="20"/>
  <c r="DY493" i="20"/>
  <c r="DL493" i="20"/>
  <c r="CF493" i="20"/>
  <c r="CC493" i="20"/>
  <c r="CA493" i="20"/>
  <c r="BZ493" i="20"/>
  <c r="BR493" i="20"/>
  <c r="DZ493" i="20" s="1"/>
  <c r="AS493" i="20"/>
  <c r="AN493" i="20"/>
  <c r="AM493" i="20"/>
  <c r="AL493" i="20"/>
  <c r="AK493" i="20"/>
  <c r="AE493" i="20"/>
  <c r="CD493" i="20" s="1"/>
  <c r="W493" i="20"/>
  <c r="BA493" i="20" s="1"/>
  <c r="U493" i="20"/>
  <c r="T493" i="20"/>
  <c r="L493" i="20"/>
  <c r="I493" i="20"/>
  <c r="AX493" i="20" s="1"/>
  <c r="G493" i="20"/>
  <c r="FX492" i="20"/>
  <c r="DY492" i="20"/>
  <c r="DL492" i="20"/>
  <c r="CF492" i="20"/>
  <c r="CC492" i="20"/>
  <c r="CA492" i="20"/>
  <c r="BZ492" i="20"/>
  <c r="BR492" i="20"/>
  <c r="DZ492" i="20" s="1"/>
  <c r="AS492" i="20"/>
  <c r="AN492" i="20"/>
  <c r="AM492" i="20"/>
  <c r="AL492" i="20"/>
  <c r="AK492" i="20"/>
  <c r="AE492" i="20"/>
  <c r="CD492" i="20" s="1"/>
  <c r="W492" i="20"/>
  <c r="U492" i="20"/>
  <c r="AY492" i="20" s="1"/>
  <c r="T492" i="20"/>
  <c r="L492" i="20"/>
  <c r="I492" i="20"/>
  <c r="M492" i="20" s="1"/>
  <c r="G492" i="20"/>
  <c r="FX491" i="20"/>
  <c r="DY491" i="20"/>
  <c r="DL491" i="20"/>
  <c r="CF491" i="20"/>
  <c r="CC491" i="20"/>
  <c r="CA491" i="20"/>
  <c r="BZ491" i="20"/>
  <c r="CB491" i="20" s="1"/>
  <c r="BR491" i="20"/>
  <c r="DZ491" i="20" s="1"/>
  <c r="AS491" i="20"/>
  <c r="AN491" i="20"/>
  <c r="AM491" i="20"/>
  <c r="AL491" i="20"/>
  <c r="AK491" i="20"/>
  <c r="AE491" i="20"/>
  <c r="EA491" i="20" s="1"/>
  <c r="W491" i="20"/>
  <c r="U491" i="20"/>
  <c r="T491" i="20"/>
  <c r="L491" i="20"/>
  <c r="I491" i="20"/>
  <c r="AX491" i="20" s="1"/>
  <c r="G491" i="20"/>
  <c r="FZ490" i="20"/>
  <c r="FY490" i="20"/>
  <c r="FX490" i="20"/>
  <c r="EA490" i="20"/>
  <c r="DY490" i="20"/>
  <c r="DL490" i="20"/>
  <c r="CF490" i="20"/>
  <c r="CD490" i="20"/>
  <c r="CC490" i="20"/>
  <c r="CA490" i="20"/>
  <c r="BZ490" i="20"/>
  <c r="BR490" i="20"/>
  <c r="DZ490" i="20" s="1"/>
  <c r="EB490" i="20" s="1"/>
  <c r="BE490" i="20"/>
  <c r="AS490" i="20"/>
  <c r="AN490" i="20"/>
  <c r="AM490" i="20"/>
  <c r="AL490" i="20"/>
  <c r="AK490" i="20"/>
  <c r="W490" i="20"/>
  <c r="X490" i="20" s="1"/>
  <c r="EL490" i="20" s="1"/>
  <c r="EK490" i="20" s="1"/>
  <c r="U490" i="20"/>
  <c r="T490" i="20"/>
  <c r="L490" i="20"/>
  <c r="I490" i="20"/>
  <c r="G490" i="20"/>
  <c r="CG490" i="20" s="1"/>
  <c r="FZ489" i="20"/>
  <c r="FY489" i="20"/>
  <c r="FX489" i="20"/>
  <c r="EA489" i="20"/>
  <c r="DY489" i="20"/>
  <c r="DL489" i="20"/>
  <c r="CF489" i="20"/>
  <c r="CD489" i="20"/>
  <c r="CC489" i="20"/>
  <c r="CA489" i="20"/>
  <c r="BZ489" i="20"/>
  <c r="BR489" i="20"/>
  <c r="DZ489" i="20" s="1"/>
  <c r="EB489" i="20" s="1"/>
  <c r="BE489" i="20"/>
  <c r="AS489" i="20"/>
  <c r="AN489" i="20"/>
  <c r="AM489" i="20"/>
  <c r="AL489" i="20"/>
  <c r="AK489" i="20"/>
  <c r="W489" i="20"/>
  <c r="X489" i="20" s="1"/>
  <c r="EL489" i="20" s="1"/>
  <c r="EK489" i="20" s="1"/>
  <c r="U489" i="20"/>
  <c r="T489" i="20"/>
  <c r="L489" i="20"/>
  <c r="I489" i="20"/>
  <c r="DI489" i="20" s="1"/>
  <c r="G489" i="20"/>
  <c r="CG489" i="20" s="1"/>
  <c r="FZ488" i="20"/>
  <c r="FY488" i="20"/>
  <c r="FX488" i="20"/>
  <c r="EA488" i="20"/>
  <c r="DY488" i="20"/>
  <c r="DL488" i="20"/>
  <c r="CF488" i="20"/>
  <c r="CD488" i="20"/>
  <c r="CC488" i="20"/>
  <c r="CA488" i="20"/>
  <c r="BZ488" i="20"/>
  <c r="BR488" i="20"/>
  <c r="DZ488" i="20" s="1"/>
  <c r="BE488" i="20"/>
  <c r="AS488" i="20"/>
  <c r="AN488" i="20"/>
  <c r="AM488" i="20"/>
  <c r="AL488" i="20"/>
  <c r="AK488" i="20"/>
  <c r="W488" i="20"/>
  <c r="U488" i="20"/>
  <c r="T488" i="20"/>
  <c r="L488" i="20"/>
  <c r="I488" i="20"/>
  <c r="DI488" i="20" s="1"/>
  <c r="G488" i="20"/>
  <c r="CG488" i="20" s="1"/>
  <c r="FZ487" i="20"/>
  <c r="FY487" i="20"/>
  <c r="FX487" i="20"/>
  <c r="EA487" i="20"/>
  <c r="DY487" i="20"/>
  <c r="DL487" i="20"/>
  <c r="CF487" i="20"/>
  <c r="CD487" i="20"/>
  <c r="CC487" i="20"/>
  <c r="CA487" i="20"/>
  <c r="BZ487" i="20"/>
  <c r="BR487" i="20"/>
  <c r="DZ487" i="20" s="1"/>
  <c r="BE487" i="20"/>
  <c r="AS487" i="20"/>
  <c r="AN487" i="20"/>
  <c r="AM487" i="20"/>
  <c r="AL487" i="20"/>
  <c r="AK487" i="20"/>
  <c r="W487" i="20"/>
  <c r="X487" i="20" s="1"/>
  <c r="EL487" i="20" s="1"/>
  <c r="EK487" i="20" s="1"/>
  <c r="U487" i="20"/>
  <c r="T487" i="20"/>
  <c r="L487" i="20"/>
  <c r="I487" i="20"/>
  <c r="G487" i="20"/>
  <c r="CG487" i="20" s="1"/>
  <c r="FZ486" i="20"/>
  <c r="FY486" i="20"/>
  <c r="FX486" i="20"/>
  <c r="EA486" i="20"/>
  <c r="DY486" i="20"/>
  <c r="DL486" i="20"/>
  <c r="CF486" i="20"/>
  <c r="CD486" i="20"/>
  <c r="CC486" i="20"/>
  <c r="CA486" i="20"/>
  <c r="BZ486" i="20"/>
  <c r="BR486" i="20"/>
  <c r="DZ486" i="20" s="1"/>
  <c r="BE486" i="20"/>
  <c r="AS486" i="20"/>
  <c r="AN486" i="20"/>
  <c r="AM486" i="20"/>
  <c r="AL486" i="20"/>
  <c r="AK486" i="20"/>
  <c r="W486" i="20"/>
  <c r="U486" i="20"/>
  <c r="T486" i="20"/>
  <c r="L486" i="20"/>
  <c r="I486" i="20"/>
  <c r="DI486" i="20" s="1"/>
  <c r="G486" i="20"/>
  <c r="CG486" i="20" s="1"/>
  <c r="FZ485" i="20"/>
  <c r="FY485" i="20"/>
  <c r="FX485" i="20"/>
  <c r="EA485" i="20"/>
  <c r="DY485" i="20"/>
  <c r="DL485" i="20"/>
  <c r="CF485" i="20"/>
  <c r="CD485" i="20"/>
  <c r="CE485" i="20" s="1"/>
  <c r="CC485" i="20"/>
  <c r="CA485" i="20"/>
  <c r="BZ485" i="20"/>
  <c r="BR485" i="20"/>
  <c r="DZ485" i="20" s="1"/>
  <c r="EB485" i="20" s="1"/>
  <c r="BE485" i="20"/>
  <c r="AS485" i="20"/>
  <c r="AN485" i="20"/>
  <c r="AM485" i="20"/>
  <c r="AL485" i="20"/>
  <c r="AK485" i="20"/>
  <c r="W485" i="20"/>
  <c r="X485" i="20" s="1"/>
  <c r="EL485" i="20" s="1"/>
  <c r="EK485" i="20" s="1"/>
  <c r="U485" i="20"/>
  <c r="T485" i="20"/>
  <c r="L485" i="20"/>
  <c r="I485" i="20"/>
  <c r="G485" i="20"/>
  <c r="CG485" i="20" s="1"/>
  <c r="FZ484" i="20"/>
  <c r="FY484" i="20"/>
  <c r="FX484" i="20"/>
  <c r="EA484" i="20"/>
  <c r="DY484" i="20"/>
  <c r="DL484" i="20"/>
  <c r="CF484" i="20"/>
  <c r="CD484" i="20"/>
  <c r="CC484" i="20"/>
  <c r="CA484" i="20"/>
  <c r="BZ484" i="20"/>
  <c r="BR484" i="20"/>
  <c r="DZ484" i="20" s="1"/>
  <c r="BE484" i="20"/>
  <c r="AS484" i="20"/>
  <c r="AN484" i="20"/>
  <c r="AM484" i="20"/>
  <c r="AL484" i="20"/>
  <c r="AK484" i="20"/>
  <c r="W484" i="20"/>
  <c r="U484" i="20"/>
  <c r="T484" i="20"/>
  <c r="L484" i="20"/>
  <c r="I484" i="20"/>
  <c r="G484" i="20"/>
  <c r="CG484" i="20" s="1"/>
  <c r="FZ483" i="20"/>
  <c r="FY483" i="20"/>
  <c r="FX483" i="20"/>
  <c r="EA483" i="20"/>
  <c r="DY483" i="20"/>
  <c r="DL483" i="20"/>
  <c r="CF483" i="20"/>
  <c r="CD483" i="20"/>
  <c r="CC483" i="20"/>
  <c r="CA483" i="20"/>
  <c r="BZ483" i="20"/>
  <c r="BR483" i="20"/>
  <c r="DZ483" i="20" s="1"/>
  <c r="BE483" i="20"/>
  <c r="AS483" i="20"/>
  <c r="AN483" i="20"/>
  <c r="AM483" i="20"/>
  <c r="AL483" i="20"/>
  <c r="AK483" i="20"/>
  <c r="W483" i="20"/>
  <c r="U483" i="20"/>
  <c r="T483" i="20"/>
  <c r="L483" i="20"/>
  <c r="I483" i="20"/>
  <c r="AX483" i="20" s="1"/>
  <c r="G483" i="20"/>
  <c r="CG483" i="20" s="1"/>
  <c r="FZ482" i="20"/>
  <c r="FY482" i="20"/>
  <c r="FX482" i="20"/>
  <c r="EA482" i="20"/>
  <c r="DY482" i="20"/>
  <c r="DL482" i="20"/>
  <c r="CF482" i="20"/>
  <c r="CD482" i="20"/>
  <c r="CC482" i="20"/>
  <c r="CA482" i="20"/>
  <c r="BZ482" i="20"/>
  <c r="BR482" i="20"/>
  <c r="DZ482" i="20" s="1"/>
  <c r="BE482" i="20"/>
  <c r="AS482" i="20"/>
  <c r="AN482" i="20"/>
  <c r="AM482" i="20"/>
  <c r="AL482" i="20"/>
  <c r="AK482" i="20"/>
  <c r="W482" i="20"/>
  <c r="U482" i="20"/>
  <c r="T482" i="20"/>
  <c r="L482" i="20"/>
  <c r="I482" i="20"/>
  <c r="G482" i="20"/>
  <c r="CG482" i="20" s="1"/>
  <c r="FZ481" i="20"/>
  <c r="FY481" i="20"/>
  <c r="FX481" i="20"/>
  <c r="EA481" i="20"/>
  <c r="DY481" i="20"/>
  <c r="DL481" i="20"/>
  <c r="CF481" i="20"/>
  <c r="CD481" i="20"/>
  <c r="CC481" i="20"/>
  <c r="CA481" i="20"/>
  <c r="BZ481" i="20"/>
  <c r="BR481" i="20"/>
  <c r="DZ481" i="20" s="1"/>
  <c r="BE481" i="20"/>
  <c r="AS481" i="20"/>
  <c r="AN481" i="20"/>
  <c r="AM481" i="20"/>
  <c r="AL481" i="20"/>
  <c r="AK481" i="20"/>
  <c r="W481" i="20"/>
  <c r="U481" i="20"/>
  <c r="T481" i="20"/>
  <c r="L481" i="20"/>
  <c r="I481" i="20"/>
  <c r="AX481" i="20" s="1"/>
  <c r="G481" i="20"/>
  <c r="CG481" i="20" s="1"/>
  <c r="FZ480" i="20"/>
  <c r="FY480" i="20"/>
  <c r="FX480" i="20"/>
  <c r="EA480" i="20"/>
  <c r="DY480" i="20"/>
  <c r="DL480" i="20"/>
  <c r="CF480" i="20"/>
  <c r="CD480" i="20"/>
  <c r="CC480" i="20"/>
  <c r="CA480" i="20"/>
  <c r="BZ480" i="20"/>
  <c r="BR480" i="20"/>
  <c r="DZ480" i="20" s="1"/>
  <c r="EB480" i="20" s="1"/>
  <c r="BE480" i="20"/>
  <c r="AS480" i="20"/>
  <c r="AN480" i="20"/>
  <c r="AM480" i="20"/>
  <c r="AL480" i="20"/>
  <c r="AK480" i="20"/>
  <c r="W480" i="20"/>
  <c r="U480" i="20"/>
  <c r="T480" i="20"/>
  <c r="L480" i="20"/>
  <c r="I480" i="20"/>
  <c r="AX480" i="20" s="1"/>
  <c r="G480" i="20"/>
  <c r="CG480" i="20" s="1"/>
  <c r="FZ479" i="20"/>
  <c r="FY479" i="20"/>
  <c r="FX479" i="20"/>
  <c r="EA479" i="20"/>
  <c r="DY479" i="20"/>
  <c r="DL479" i="20"/>
  <c r="CF479" i="20"/>
  <c r="CD479" i="20"/>
  <c r="CC479" i="20"/>
  <c r="CA479" i="20"/>
  <c r="BZ479" i="20"/>
  <c r="BR479" i="20"/>
  <c r="DZ479" i="20" s="1"/>
  <c r="EB479" i="20" s="1"/>
  <c r="BE479" i="20"/>
  <c r="AS479" i="20"/>
  <c r="AN479" i="20"/>
  <c r="AM479" i="20"/>
  <c r="AL479" i="20"/>
  <c r="AK479" i="20"/>
  <c r="W479" i="20"/>
  <c r="U479" i="20"/>
  <c r="T479" i="20"/>
  <c r="L479" i="20"/>
  <c r="I479" i="20"/>
  <c r="AX479" i="20" s="1"/>
  <c r="G479" i="20"/>
  <c r="CG479" i="20" s="1"/>
  <c r="FZ478" i="20"/>
  <c r="FY478" i="20"/>
  <c r="FX478" i="20"/>
  <c r="EA478" i="20"/>
  <c r="DY478" i="20"/>
  <c r="DL478" i="20"/>
  <c r="CF478" i="20"/>
  <c r="CD478" i="20"/>
  <c r="CC478" i="20"/>
  <c r="CA478" i="20"/>
  <c r="BZ478" i="20"/>
  <c r="BR478" i="20"/>
  <c r="DZ478" i="20" s="1"/>
  <c r="BE478" i="20"/>
  <c r="AS478" i="20"/>
  <c r="AN478" i="20"/>
  <c r="AM478" i="20"/>
  <c r="AL478" i="20"/>
  <c r="AK478" i="20"/>
  <c r="W478" i="20"/>
  <c r="U478" i="20"/>
  <c r="T478" i="20"/>
  <c r="L478" i="20"/>
  <c r="I478" i="20"/>
  <c r="G478" i="20"/>
  <c r="CG478" i="20" s="1"/>
  <c r="FZ477" i="20"/>
  <c r="FY477" i="20"/>
  <c r="FX477" i="20"/>
  <c r="EA477" i="20"/>
  <c r="DY477" i="20"/>
  <c r="DL477" i="20"/>
  <c r="CF477" i="20"/>
  <c r="CD477" i="20"/>
  <c r="CC477" i="20"/>
  <c r="CA477" i="20"/>
  <c r="BZ477" i="20"/>
  <c r="BR477" i="20"/>
  <c r="DZ477" i="20" s="1"/>
  <c r="BE477" i="20"/>
  <c r="AS477" i="20"/>
  <c r="AN477" i="20"/>
  <c r="AM477" i="20"/>
  <c r="AL477" i="20"/>
  <c r="AK477" i="20"/>
  <c r="W477" i="20"/>
  <c r="U477" i="20"/>
  <c r="T477" i="20"/>
  <c r="L477" i="20"/>
  <c r="I477" i="20"/>
  <c r="AX477" i="20" s="1"/>
  <c r="G477" i="20"/>
  <c r="CG477" i="20" s="1"/>
  <c r="FZ476" i="20"/>
  <c r="FY476" i="20"/>
  <c r="FX476" i="20"/>
  <c r="EA476" i="20"/>
  <c r="DY476" i="20"/>
  <c r="DL476" i="20"/>
  <c r="CF476" i="20"/>
  <c r="CD476" i="20"/>
  <c r="CC476" i="20"/>
  <c r="CA476" i="20"/>
  <c r="BZ476" i="20"/>
  <c r="BR476" i="20"/>
  <c r="DZ476" i="20" s="1"/>
  <c r="EB476" i="20" s="1"/>
  <c r="BE476" i="20"/>
  <c r="AS476" i="20"/>
  <c r="AN476" i="20"/>
  <c r="AM476" i="20"/>
  <c r="AL476" i="20"/>
  <c r="AK476" i="20"/>
  <c r="W476" i="20"/>
  <c r="X476" i="20" s="1"/>
  <c r="EL476" i="20" s="1"/>
  <c r="EK476" i="20" s="1"/>
  <c r="U476" i="20"/>
  <c r="T476" i="20"/>
  <c r="L476" i="20"/>
  <c r="I476" i="20"/>
  <c r="DI476" i="20" s="1"/>
  <c r="G476" i="20"/>
  <c r="CG476" i="20" s="1"/>
  <c r="FZ475" i="20"/>
  <c r="FY475" i="20"/>
  <c r="FX475" i="20"/>
  <c r="EA475" i="20"/>
  <c r="DY475" i="20"/>
  <c r="DL475" i="20"/>
  <c r="CF475" i="20"/>
  <c r="CD475" i="20"/>
  <c r="CC475" i="20"/>
  <c r="CA475" i="20"/>
  <c r="BZ475" i="20"/>
  <c r="BR475" i="20"/>
  <c r="DZ475" i="20" s="1"/>
  <c r="BE475" i="20"/>
  <c r="AS475" i="20"/>
  <c r="AN475" i="20"/>
  <c r="AM475" i="20"/>
  <c r="AL475" i="20"/>
  <c r="AK475" i="20"/>
  <c r="W475" i="20"/>
  <c r="BA475" i="20" s="1"/>
  <c r="U475" i="20"/>
  <c r="T475" i="20"/>
  <c r="L475" i="20"/>
  <c r="I475" i="20"/>
  <c r="AX475" i="20" s="1"/>
  <c r="G475" i="20"/>
  <c r="CG475" i="20" s="1"/>
  <c r="FZ474" i="20"/>
  <c r="FY474" i="20"/>
  <c r="FX474" i="20"/>
  <c r="EA474" i="20"/>
  <c r="DY474" i="20"/>
  <c r="DL474" i="20"/>
  <c r="CF474" i="20"/>
  <c r="CD474" i="20"/>
  <c r="CC474" i="20"/>
  <c r="CA474" i="20"/>
  <c r="BZ474" i="20"/>
  <c r="BR474" i="20"/>
  <c r="DZ474" i="20" s="1"/>
  <c r="EB474" i="20" s="1"/>
  <c r="BE474" i="20"/>
  <c r="AS474" i="20"/>
  <c r="AN474" i="20"/>
  <c r="AM474" i="20"/>
  <c r="AL474" i="20"/>
  <c r="AK474" i="20"/>
  <c r="W474" i="20"/>
  <c r="X474" i="20" s="1"/>
  <c r="U474" i="20"/>
  <c r="T474" i="20"/>
  <c r="L474" i="20"/>
  <c r="I474" i="20"/>
  <c r="AX474" i="20" s="1"/>
  <c r="G474" i="20"/>
  <c r="CG474" i="20" s="1"/>
  <c r="FZ473" i="20"/>
  <c r="FY473" i="20"/>
  <c r="FX473" i="20"/>
  <c r="EA473" i="20"/>
  <c r="DY473" i="20"/>
  <c r="DL473" i="20"/>
  <c r="CF473" i="20"/>
  <c r="CD473" i="20"/>
  <c r="CC473" i="20"/>
  <c r="CA473" i="20"/>
  <c r="BZ473" i="20"/>
  <c r="BR473" i="20"/>
  <c r="DZ473" i="20" s="1"/>
  <c r="EB473" i="20" s="1"/>
  <c r="BE473" i="20"/>
  <c r="AS473" i="20"/>
  <c r="AN473" i="20"/>
  <c r="AM473" i="20"/>
  <c r="AL473" i="20"/>
  <c r="AK473" i="20"/>
  <c r="W473" i="20"/>
  <c r="X473" i="20" s="1"/>
  <c r="U473" i="20"/>
  <c r="T473" i="20"/>
  <c r="L473" i="20"/>
  <c r="I473" i="20"/>
  <c r="AX473" i="20" s="1"/>
  <c r="G473" i="20"/>
  <c r="CG473" i="20" s="1"/>
  <c r="FZ472" i="20"/>
  <c r="FY472" i="20"/>
  <c r="FX472" i="20"/>
  <c r="EA472" i="20"/>
  <c r="DY472" i="20"/>
  <c r="DL472" i="20"/>
  <c r="CF472" i="20"/>
  <c r="CD472" i="20"/>
  <c r="CC472" i="20"/>
  <c r="CA472" i="20"/>
  <c r="BZ472" i="20"/>
  <c r="BR472" i="20"/>
  <c r="DZ472" i="20" s="1"/>
  <c r="EB472" i="20" s="1"/>
  <c r="BE472" i="20"/>
  <c r="AS472" i="20"/>
  <c r="AN472" i="20"/>
  <c r="AM472" i="20"/>
  <c r="AL472" i="20"/>
  <c r="AK472" i="20"/>
  <c r="W472" i="20"/>
  <c r="X472" i="20" s="1"/>
  <c r="U472" i="20"/>
  <c r="T472" i="20"/>
  <c r="L472" i="20"/>
  <c r="I472" i="20"/>
  <c r="DI472" i="20" s="1"/>
  <c r="G472" i="20"/>
  <c r="CG472" i="20" s="1"/>
  <c r="FZ471" i="20"/>
  <c r="FY471" i="20"/>
  <c r="FX471" i="20"/>
  <c r="EA471" i="20"/>
  <c r="DY471" i="20"/>
  <c r="DL471" i="20"/>
  <c r="CF471" i="20"/>
  <c r="CD471" i="20"/>
  <c r="CC471" i="20"/>
  <c r="CA471" i="20"/>
  <c r="BZ471" i="20"/>
  <c r="BR471" i="20"/>
  <c r="DZ471" i="20" s="1"/>
  <c r="EB471" i="20" s="1"/>
  <c r="BE471" i="20"/>
  <c r="AS471" i="20"/>
  <c r="AN471" i="20"/>
  <c r="AM471" i="20"/>
  <c r="AL471" i="20"/>
  <c r="AK471" i="20"/>
  <c r="W471" i="20"/>
  <c r="U471" i="20"/>
  <c r="T471" i="20"/>
  <c r="L471" i="20"/>
  <c r="I471" i="20"/>
  <c r="DI471" i="20" s="1"/>
  <c r="G471" i="20"/>
  <c r="CG471" i="20" s="1"/>
  <c r="CH471" i="20" s="1"/>
  <c r="FZ470" i="20"/>
  <c r="FY470" i="20"/>
  <c r="FX470" i="20"/>
  <c r="EA470" i="20"/>
  <c r="DY470" i="20"/>
  <c r="DL470" i="20"/>
  <c r="CF470" i="20"/>
  <c r="CD470" i="20"/>
  <c r="CC470" i="20"/>
  <c r="CA470" i="20"/>
  <c r="BZ470" i="20"/>
  <c r="BR470" i="20"/>
  <c r="DZ470" i="20" s="1"/>
  <c r="EB470" i="20" s="1"/>
  <c r="BE470" i="20"/>
  <c r="AS470" i="20"/>
  <c r="AN470" i="20"/>
  <c r="AM470" i="20"/>
  <c r="AL470" i="20"/>
  <c r="AK470" i="20"/>
  <c r="W470" i="20"/>
  <c r="U470" i="20"/>
  <c r="T470" i="20"/>
  <c r="L470" i="20"/>
  <c r="I470" i="20"/>
  <c r="DI470" i="20" s="1"/>
  <c r="G470" i="20"/>
  <c r="CG470" i="20" s="1"/>
  <c r="FZ469" i="20"/>
  <c r="FY469" i="20"/>
  <c r="FX469" i="20"/>
  <c r="EA469" i="20"/>
  <c r="DY469" i="20"/>
  <c r="DL469" i="20"/>
  <c r="CF469" i="20"/>
  <c r="CD469" i="20"/>
  <c r="CC469" i="20"/>
  <c r="CA469" i="20"/>
  <c r="BZ469" i="20"/>
  <c r="BR469" i="20"/>
  <c r="DZ469" i="20" s="1"/>
  <c r="BE469" i="20"/>
  <c r="AS469" i="20"/>
  <c r="AN469" i="20"/>
  <c r="AM469" i="20"/>
  <c r="AL469" i="20"/>
  <c r="AK469" i="20"/>
  <c r="W469" i="20"/>
  <c r="U469" i="20"/>
  <c r="T469" i="20"/>
  <c r="L469" i="20"/>
  <c r="I469" i="20"/>
  <c r="DI469" i="20" s="1"/>
  <c r="G469" i="20"/>
  <c r="CG469" i="20" s="1"/>
  <c r="FZ468" i="20"/>
  <c r="FY468" i="20"/>
  <c r="FX468" i="20"/>
  <c r="EA468" i="20"/>
  <c r="DY468" i="20"/>
  <c r="DL468" i="20"/>
  <c r="CF468" i="20"/>
  <c r="CD468" i="20"/>
  <c r="CC468" i="20"/>
  <c r="CA468" i="20"/>
  <c r="BZ468" i="20"/>
  <c r="BR468" i="20"/>
  <c r="DZ468" i="20" s="1"/>
  <c r="BE468" i="20"/>
  <c r="AS468" i="20"/>
  <c r="AN468" i="20"/>
  <c r="AM468" i="20"/>
  <c r="AL468" i="20"/>
  <c r="AK468" i="20"/>
  <c r="W468" i="20"/>
  <c r="U468" i="20"/>
  <c r="T468" i="20"/>
  <c r="L468" i="20"/>
  <c r="I468" i="20"/>
  <c r="G468" i="20"/>
  <c r="CG468" i="20" s="1"/>
  <c r="FZ467" i="20"/>
  <c r="FY467" i="20"/>
  <c r="FX467" i="20"/>
  <c r="EA467" i="20"/>
  <c r="DY467" i="20"/>
  <c r="DL467" i="20"/>
  <c r="CF467" i="20"/>
  <c r="CD467" i="20"/>
  <c r="CC467" i="20"/>
  <c r="CA467" i="20"/>
  <c r="BZ467" i="20"/>
  <c r="BR467" i="20"/>
  <c r="DZ467" i="20" s="1"/>
  <c r="BE467" i="20"/>
  <c r="AS467" i="20"/>
  <c r="AN467" i="20"/>
  <c r="AM467" i="20"/>
  <c r="AL467" i="20"/>
  <c r="AK467" i="20"/>
  <c r="W467" i="20"/>
  <c r="U467" i="20"/>
  <c r="T467" i="20"/>
  <c r="L467" i="20"/>
  <c r="I467" i="20"/>
  <c r="DI467" i="20" s="1"/>
  <c r="G467" i="20"/>
  <c r="CG467" i="20" s="1"/>
  <c r="FZ466" i="20"/>
  <c r="FY466" i="20"/>
  <c r="FX466" i="20"/>
  <c r="EA466" i="20"/>
  <c r="DY466" i="20"/>
  <c r="DL466" i="20"/>
  <c r="CF466" i="20"/>
  <c r="CD466" i="20"/>
  <c r="CC466" i="20"/>
  <c r="CA466" i="20"/>
  <c r="BZ466" i="20"/>
  <c r="BR466" i="20"/>
  <c r="DZ466" i="20" s="1"/>
  <c r="EB466" i="20" s="1"/>
  <c r="BE466" i="20"/>
  <c r="AS466" i="20"/>
  <c r="AN466" i="20"/>
  <c r="AM466" i="20"/>
  <c r="AL466" i="20"/>
  <c r="AK466" i="20"/>
  <c r="W466" i="20"/>
  <c r="U466" i="20"/>
  <c r="T466" i="20"/>
  <c r="L466" i="20"/>
  <c r="I466" i="20"/>
  <c r="AX466" i="20" s="1"/>
  <c r="G466" i="20"/>
  <c r="CG466" i="20" s="1"/>
  <c r="FX465" i="20"/>
  <c r="DY465" i="20"/>
  <c r="DL465" i="20"/>
  <c r="CF465" i="20"/>
  <c r="CA465" i="20"/>
  <c r="BZ465" i="20"/>
  <c r="BR465" i="20"/>
  <c r="DZ465" i="20" s="1"/>
  <c r="AS465" i="20"/>
  <c r="AR465" i="20" s="1"/>
  <c r="AN465" i="20"/>
  <c r="AM465" i="20"/>
  <c r="AL465" i="20"/>
  <c r="AK465" i="20"/>
  <c r="AG465" i="20"/>
  <c r="CC465" i="20" s="1"/>
  <c r="AE465" i="20"/>
  <c r="EA465" i="20" s="1"/>
  <c r="W465" i="20"/>
  <c r="U465" i="20"/>
  <c r="T465" i="20"/>
  <c r="L465" i="20"/>
  <c r="I465" i="20"/>
  <c r="DI465" i="20" s="1"/>
  <c r="G465" i="20"/>
  <c r="CG465" i="20" s="1"/>
  <c r="CT449" i="20"/>
  <c r="AI449" i="20"/>
  <c r="AG449" i="20"/>
  <c r="AE449" i="20"/>
  <c r="AB449" i="20"/>
  <c r="W449" i="20"/>
  <c r="S449" i="20"/>
  <c r="P449" i="20"/>
  <c r="O449" i="20"/>
  <c r="N449" i="20"/>
  <c r="K449" i="20"/>
  <c r="CF449" i="20" s="1"/>
  <c r="J449" i="20"/>
  <c r="AS449" i="20" s="1"/>
  <c r="H449" i="20"/>
  <c r="G449" i="20"/>
  <c r="CG449" i="20" s="1"/>
  <c r="FA448" i="20"/>
  <c r="CT448" i="20"/>
  <c r="AI448" i="20"/>
  <c r="AG448" i="20"/>
  <c r="AE448" i="20"/>
  <c r="AB448" i="20"/>
  <c r="W448" i="20"/>
  <c r="S448" i="20"/>
  <c r="P448" i="20"/>
  <c r="O448" i="20"/>
  <c r="N448" i="20"/>
  <c r="K448" i="20"/>
  <c r="CF448" i="20" s="1"/>
  <c r="J448" i="20"/>
  <c r="AS448" i="20" s="1"/>
  <c r="H448" i="20"/>
  <c r="AK448" i="20" s="1"/>
  <c r="G448" i="20"/>
  <c r="CG448" i="20" s="1"/>
  <c r="CT447" i="20"/>
  <c r="CC447" i="20"/>
  <c r="AB447" i="20"/>
  <c r="W447" i="20"/>
  <c r="X447" i="20" s="1"/>
  <c r="EL447" i="20" s="1"/>
  <c r="S447" i="20"/>
  <c r="P447" i="20"/>
  <c r="O447" i="20"/>
  <c r="FX447" i="20" s="1"/>
  <c r="N447" i="20"/>
  <c r="K447" i="20"/>
  <c r="J447" i="20"/>
  <c r="AS447" i="20" s="1"/>
  <c r="H447" i="20"/>
  <c r="I447" i="20" s="1"/>
  <c r="G447" i="20"/>
  <c r="CG447" i="20" s="1"/>
  <c r="FA446" i="20"/>
  <c r="CT446" i="20"/>
  <c r="CC446" i="20"/>
  <c r="AB446" i="20"/>
  <c r="W446" i="20"/>
  <c r="BA446" i="20" s="1"/>
  <c r="S446" i="20"/>
  <c r="P446" i="20"/>
  <c r="O446" i="20"/>
  <c r="N446" i="20"/>
  <c r="K446" i="20"/>
  <c r="J446" i="20"/>
  <c r="H446" i="20"/>
  <c r="AK446" i="20" s="1"/>
  <c r="G446" i="20"/>
  <c r="CG446" i="20" s="1"/>
  <c r="CT445" i="20"/>
  <c r="AI445" i="20"/>
  <c r="AG445" i="20"/>
  <c r="CC445" i="20" s="1"/>
  <c r="AE445" i="20"/>
  <c r="AB445" i="20"/>
  <c r="W445" i="20"/>
  <c r="BA445" i="20" s="1"/>
  <c r="S445" i="20"/>
  <c r="P445" i="20"/>
  <c r="O445" i="20"/>
  <c r="N445" i="20"/>
  <c r="K445" i="20"/>
  <c r="J445" i="20"/>
  <c r="H445" i="20"/>
  <c r="G445" i="20"/>
  <c r="CG445" i="20" s="1"/>
  <c r="FA444" i="20"/>
  <c r="CT444" i="20"/>
  <c r="AI444" i="20"/>
  <c r="AG444" i="20"/>
  <c r="CC444" i="20" s="1"/>
  <c r="AE444" i="20"/>
  <c r="AB444" i="20"/>
  <c r="W444" i="20"/>
  <c r="X444" i="20" s="1"/>
  <c r="S444" i="20"/>
  <c r="P444" i="20"/>
  <c r="O444" i="20"/>
  <c r="FX444" i="20" s="1"/>
  <c r="N444" i="20"/>
  <c r="K444" i="20"/>
  <c r="CF444" i="20" s="1"/>
  <c r="J444" i="20"/>
  <c r="H444" i="20"/>
  <c r="I444" i="20" s="1"/>
  <c r="G444" i="20"/>
  <c r="CG444" i="20" s="1"/>
  <c r="CT443" i="20"/>
  <c r="CC443" i="20"/>
  <c r="AB443" i="20"/>
  <c r="W443" i="20"/>
  <c r="BA443" i="20" s="1"/>
  <c r="S443" i="20"/>
  <c r="P443" i="20"/>
  <c r="O443" i="20"/>
  <c r="FX443" i="20" s="1"/>
  <c r="N443" i="20"/>
  <c r="K443" i="20"/>
  <c r="J443" i="20"/>
  <c r="AS443" i="20" s="1"/>
  <c r="H443" i="20"/>
  <c r="G443" i="20"/>
  <c r="CG443" i="20" s="1"/>
  <c r="FA442" i="20"/>
  <c r="CT442" i="20"/>
  <c r="CC442" i="20"/>
  <c r="AB442" i="20"/>
  <c r="W442" i="20"/>
  <c r="BA442" i="20" s="1"/>
  <c r="S442" i="20"/>
  <c r="P442" i="20"/>
  <c r="O442" i="20"/>
  <c r="N442" i="20"/>
  <c r="K442" i="20"/>
  <c r="J442" i="20"/>
  <c r="AS442" i="20" s="1"/>
  <c r="H442" i="20"/>
  <c r="AK442" i="20" s="1"/>
  <c r="G442" i="20"/>
  <c r="CG442" i="20" s="1"/>
  <c r="CT441" i="20"/>
  <c r="AI441" i="20"/>
  <c r="AG441" i="20"/>
  <c r="CC441" i="20" s="1"/>
  <c r="AE441" i="20"/>
  <c r="AB441" i="20"/>
  <c r="W441" i="20"/>
  <c r="X441" i="20" s="1"/>
  <c r="EL441" i="20" s="1"/>
  <c r="EK441" i="20" s="1"/>
  <c r="S441" i="20"/>
  <c r="P441" i="20"/>
  <c r="O441" i="20"/>
  <c r="FX441" i="20" s="1"/>
  <c r="N441" i="20"/>
  <c r="K441" i="20"/>
  <c r="J441" i="20"/>
  <c r="AS441" i="20" s="1"/>
  <c r="H441" i="20"/>
  <c r="G441" i="20"/>
  <c r="CG441" i="20" s="1"/>
  <c r="FA440" i="20"/>
  <c r="CT440" i="20"/>
  <c r="AI440" i="20"/>
  <c r="AG440" i="20"/>
  <c r="CC440" i="20" s="1"/>
  <c r="AE440" i="20"/>
  <c r="AB440" i="20"/>
  <c r="W440" i="20"/>
  <c r="BA440" i="20" s="1"/>
  <c r="S440" i="20"/>
  <c r="P440" i="20"/>
  <c r="O440" i="20"/>
  <c r="N440" i="20"/>
  <c r="K440" i="20"/>
  <c r="CF440" i="20" s="1"/>
  <c r="J440" i="20"/>
  <c r="AS440" i="20" s="1"/>
  <c r="H440" i="20"/>
  <c r="G440" i="20"/>
  <c r="CG440" i="20" s="1"/>
  <c r="CT439" i="20"/>
  <c r="CC439" i="20"/>
  <c r="AB439" i="20"/>
  <c r="W439" i="20"/>
  <c r="BA439" i="20" s="1"/>
  <c r="S439" i="20"/>
  <c r="P439" i="20"/>
  <c r="O439" i="20"/>
  <c r="FX439" i="20" s="1"/>
  <c r="N439" i="20"/>
  <c r="K439" i="20"/>
  <c r="EA439" i="20" s="1"/>
  <c r="J439" i="20"/>
  <c r="AS439" i="20" s="1"/>
  <c r="H439" i="20"/>
  <c r="G439" i="20"/>
  <c r="CG439" i="20" s="1"/>
  <c r="FA438" i="20"/>
  <c r="CT438" i="20"/>
  <c r="CC438" i="20"/>
  <c r="AB438" i="20"/>
  <c r="W438" i="20"/>
  <c r="X438" i="20" s="1"/>
  <c r="EL438" i="20" s="1"/>
  <c r="S438" i="20"/>
  <c r="P438" i="20"/>
  <c r="O438" i="20"/>
  <c r="N438" i="20"/>
  <c r="K438" i="20"/>
  <c r="J438" i="20"/>
  <c r="AS438" i="20" s="1"/>
  <c r="H438" i="20"/>
  <c r="I438" i="20" s="1"/>
  <c r="DI438" i="20" s="1"/>
  <c r="G438" i="20"/>
  <c r="CG438" i="20" s="1"/>
  <c r="CT437" i="20"/>
  <c r="CC437" i="20"/>
  <c r="AI437" i="20"/>
  <c r="AG437" i="20"/>
  <c r="AE437" i="20"/>
  <c r="AB437" i="20"/>
  <c r="W437" i="20"/>
  <c r="BA437" i="20" s="1"/>
  <c r="S437" i="20"/>
  <c r="P437" i="20"/>
  <c r="DY437" i="20" s="1"/>
  <c r="O437" i="20"/>
  <c r="U437" i="20" s="1"/>
  <c r="N437" i="20"/>
  <c r="K437" i="20"/>
  <c r="J437" i="20"/>
  <c r="H437" i="20"/>
  <c r="G437" i="20"/>
  <c r="CG437" i="20" s="1"/>
  <c r="FA436" i="20"/>
  <c r="CT436" i="20"/>
  <c r="AI436" i="20"/>
  <c r="AG436" i="20"/>
  <c r="CC436" i="20" s="1"/>
  <c r="AE436" i="20"/>
  <c r="AB436" i="20"/>
  <c r="W436" i="20"/>
  <c r="X436" i="20" s="1"/>
  <c r="EL436" i="20" s="1"/>
  <c r="S436" i="20"/>
  <c r="P436" i="20"/>
  <c r="O436" i="20"/>
  <c r="N436" i="20"/>
  <c r="K436" i="20"/>
  <c r="J436" i="20"/>
  <c r="H436" i="20"/>
  <c r="G436" i="20"/>
  <c r="CG436" i="20" s="1"/>
  <c r="CT435" i="20"/>
  <c r="CC435" i="20"/>
  <c r="AB435" i="20"/>
  <c r="W435" i="20"/>
  <c r="X435" i="20" s="1"/>
  <c r="EL435" i="20" s="1"/>
  <c r="S435" i="20"/>
  <c r="P435" i="20"/>
  <c r="O435" i="20"/>
  <c r="N435" i="20"/>
  <c r="K435" i="20"/>
  <c r="J435" i="20"/>
  <c r="H435" i="20"/>
  <c r="G435" i="20"/>
  <c r="CG435" i="20" s="1"/>
  <c r="FA434" i="20"/>
  <c r="CT434" i="20"/>
  <c r="CC434" i="20"/>
  <c r="AB434" i="20"/>
  <c r="W434" i="20"/>
  <c r="S434" i="20"/>
  <c r="P434" i="20"/>
  <c r="DY434" i="20" s="1"/>
  <c r="O434" i="20"/>
  <c r="FX434" i="20" s="1"/>
  <c r="N434" i="20"/>
  <c r="K434" i="20"/>
  <c r="J434" i="20"/>
  <c r="AS434" i="20" s="1"/>
  <c r="H434" i="20"/>
  <c r="G434" i="20"/>
  <c r="CG434" i="20" s="1"/>
  <c r="CT433" i="20"/>
  <c r="AI433" i="20"/>
  <c r="AG433" i="20"/>
  <c r="AE433" i="20"/>
  <c r="AB433" i="20"/>
  <c r="W433" i="20"/>
  <c r="X433" i="20" s="1"/>
  <c r="EL433" i="20" s="1"/>
  <c r="S433" i="20"/>
  <c r="P433" i="20"/>
  <c r="O433" i="20"/>
  <c r="N433" i="20"/>
  <c r="K433" i="20"/>
  <c r="CF433" i="20" s="1"/>
  <c r="J433" i="20"/>
  <c r="H433" i="20"/>
  <c r="AK433" i="20" s="1"/>
  <c r="G433" i="20"/>
  <c r="CG433" i="20" s="1"/>
  <c r="CT432" i="20"/>
  <c r="CC432" i="20"/>
  <c r="AB432" i="20"/>
  <c r="W432" i="20"/>
  <c r="BA432" i="20" s="1"/>
  <c r="S432" i="20"/>
  <c r="P432" i="20"/>
  <c r="O432" i="20"/>
  <c r="N432" i="20"/>
  <c r="K432" i="20"/>
  <c r="FZ432" i="20" s="1"/>
  <c r="J432" i="20"/>
  <c r="AS432" i="20" s="1"/>
  <c r="H432" i="20"/>
  <c r="G432" i="20"/>
  <c r="CG432" i="20" s="1"/>
  <c r="CT431" i="20"/>
  <c r="AI431" i="20"/>
  <c r="AG431" i="20"/>
  <c r="CC431" i="20" s="1"/>
  <c r="AE431" i="20"/>
  <c r="AB431" i="20"/>
  <c r="W431" i="20"/>
  <c r="BA431" i="20" s="1"/>
  <c r="S431" i="20"/>
  <c r="P431" i="20"/>
  <c r="O431" i="20"/>
  <c r="N431" i="20"/>
  <c r="K431" i="20"/>
  <c r="CF431" i="20" s="1"/>
  <c r="J431" i="20"/>
  <c r="AS431" i="20" s="1"/>
  <c r="H431" i="20"/>
  <c r="AK431" i="20" s="1"/>
  <c r="G431" i="20"/>
  <c r="CG431" i="20" s="1"/>
  <c r="CT430" i="20"/>
  <c r="CC430" i="20"/>
  <c r="AB430" i="20"/>
  <c r="W430" i="20"/>
  <c r="X430" i="20" s="1"/>
  <c r="EL430" i="20" s="1"/>
  <c r="S430" i="20"/>
  <c r="P430" i="20"/>
  <c r="O430" i="20"/>
  <c r="FX430" i="20" s="1"/>
  <c r="N430" i="20"/>
  <c r="K430" i="20"/>
  <c r="FZ430" i="20" s="1"/>
  <c r="J430" i="20"/>
  <c r="H430" i="20"/>
  <c r="G430" i="20"/>
  <c r="CG430" i="20" s="1"/>
  <c r="CT429" i="20"/>
  <c r="AI429" i="20"/>
  <c r="AG429" i="20"/>
  <c r="AE429" i="20"/>
  <c r="AB429" i="20"/>
  <c r="W429" i="20"/>
  <c r="X429" i="20" s="1"/>
  <c r="EL429" i="20" s="1"/>
  <c r="S429" i="20"/>
  <c r="P429" i="20"/>
  <c r="O429" i="20"/>
  <c r="N429" i="20"/>
  <c r="K429" i="20"/>
  <c r="J429" i="20"/>
  <c r="H429" i="20"/>
  <c r="AK429" i="20" s="1"/>
  <c r="G429" i="20"/>
  <c r="CG429" i="20" s="1"/>
  <c r="CT428" i="20"/>
  <c r="CC428" i="20"/>
  <c r="AB428" i="20"/>
  <c r="W428" i="20"/>
  <c r="X428" i="20" s="1"/>
  <c r="EL428" i="20" s="1"/>
  <c r="S428" i="20"/>
  <c r="P428" i="20"/>
  <c r="O428" i="20"/>
  <c r="N428" i="20"/>
  <c r="K428" i="20"/>
  <c r="J428" i="20"/>
  <c r="AS428" i="20" s="1"/>
  <c r="H428" i="20"/>
  <c r="I428" i="20" s="1"/>
  <c r="G428" i="20"/>
  <c r="CG428" i="20" s="1"/>
  <c r="CT427" i="20"/>
  <c r="AI427" i="20"/>
  <c r="AG427" i="20"/>
  <c r="CC427" i="20" s="1"/>
  <c r="AE427" i="20"/>
  <c r="AB427" i="20"/>
  <c r="W427" i="20"/>
  <c r="S427" i="20"/>
  <c r="P427" i="20"/>
  <c r="O427" i="20"/>
  <c r="N427" i="20"/>
  <c r="K427" i="20"/>
  <c r="J427" i="20"/>
  <c r="AS427" i="20" s="1"/>
  <c r="H427" i="20"/>
  <c r="G427" i="20"/>
  <c r="CG427" i="20" s="1"/>
  <c r="CT426" i="20"/>
  <c r="CC426" i="20"/>
  <c r="AB426" i="20"/>
  <c r="W426" i="20"/>
  <c r="BA426" i="20" s="1"/>
  <c r="S426" i="20"/>
  <c r="P426" i="20"/>
  <c r="O426" i="20"/>
  <c r="N426" i="20"/>
  <c r="K426" i="20"/>
  <c r="CD426" i="20" s="1"/>
  <c r="J426" i="20"/>
  <c r="H426" i="20"/>
  <c r="G426" i="20"/>
  <c r="CG426" i="20" s="1"/>
  <c r="CT425" i="20"/>
  <c r="AI425" i="20"/>
  <c r="AG425" i="20"/>
  <c r="CC425" i="20" s="1"/>
  <c r="AE425" i="20"/>
  <c r="AB425" i="20"/>
  <c r="W425" i="20"/>
  <c r="S425" i="20"/>
  <c r="P425" i="20"/>
  <c r="O425" i="20"/>
  <c r="N425" i="20"/>
  <c r="K425" i="20"/>
  <c r="J425" i="20"/>
  <c r="AS425" i="20" s="1"/>
  <c r="H425" i="20"/>
  <c r="I425" i="20" s="1"/>
  <c r="G425" i="20"/>
  <c r="CG425" i="20" s="1"/>
  <c r="FA424" i="20"/>
  <c r="CT424" i="20"/>
  <c r="AI424" i="20"/>
  <c r="AG424" i="20"/>
  <c r="CC424" i="20" s="1"/>
  <c r="AE424" i="20"/>
  <c r="AB424" i="20"/>
  <c r="W424" i="20"/>
  <c r="BA424" i="20" s="1"/>
  <c r="S424" i="20"/>
  <c r="P424" i="20"/>
  <c r="O424" i="20"/>
  <c r="FX424" i="20" s="1"/>
  <c r="N424" i="20"/>
  <c r="K424" i="20"/>
  <c r="J424" i="20"/>
  <c r="H424" i="20"/>
  <c r="G424" i="20"/>
  <c r="CT423" i="20"/>
  <c r="CC423" i="20"/>
  <c r="AB423" i="20"/>
  <c r="W423" i="20"/>
  <c r="S423" i="20"/>
  <c r="P423" i="20"/>
  <c r="O423" i="20"/>
  <c r="FX423" i="20" s="1"/>
  <c r="N423" i="20"/>
  <c r="K423" i="20"/>
  <c r="J423" i="20"/>
  <c r="AS423" i="20" s="1"/>
  <c r="H423" i="20"/>
  <c r="AK423" i="20" s="1"/>
  <c r="G423" i="20"/>
  <c r="CG423" i="20" s="1"/>
  <c r="FA422" i="20"/>
  <c r="CT422" i="20"/>
  <c r="CC422" i="20"/>
  <c r="AB422" i="20"/>
  <c r="W422" i="20"/>
  <c r="BA422" i="20" s="1"/>
  <c r="S422" i="20"/>
  <c r="P422" i="20"/>
  <c r="O422" i="20"/>
  <c r="N422" i="20"/>
  <c r="K422" i="20"/>
  <c r="J422" i="20"/>
  <c r="AS422" i="20" s="1"/>
  <c r="H422" i="20"/>
  <c r="AK422" i="20" s="1"/>
  <c r="G422" i="20"/>
  <c r="CG422" i="20" s="1"/>
  <c r="CT421" i="20"/>
  <c r="AI421" i="20"/>
  <c r="AG421" i="20"/>
  <c r="CC421" i="20" s="1"/>
  <c r="AE421" i="20"/>
  <c r="AB421" i="20"/>
  <c r="W421" i="20"/>
  <c r="X421" i="20" s="1"/>
  <c r="EL421" i="20" s="1"/>
  <c r="S421" i="20"/>
  <c r="P421" i="20"/>
  <c r="O421" i="20"/>
  <c r="N421" i="20"/>
  <c r="K421" i="20"/>
  <c r="J421" i="20"/>
  <c r="H421" i="20"/>
  <c r="I421" i="20" s="1"/>
  <c r="G421" i="20"/>
  <c r="CG421" i="20" s="1"/>
  <c r="CT420" i="20"/>
  <c r="AI420" i="20"/>
  <c r="AG420" i="20"/>
  <c r="CC420" i="20" s="1"/>
  <c r="AE420" i="20"/>
  <c r="AB420" i="20"/>
  <c r="W420" i="20"/>
  <c r="S420" i="20"/>
  <c r="P420" i="20"/>
  <c r="O420" i="20"/>
  <c r="FX420" i="20" s="1"/>
  <c r="N420" i="20"/>
  <c r="K420" i="20"/>
  <c r="J420" i="20"/>
  <c r="AS420" i="20" s="1"/>
  <c r="H420" i="20"/>
  <c r="G420" i="20"/>
  <c r="CG420" i="20" s="1"/>
  <c r="CT419" i="20"/>
  <c r="CC419" i="20"/>
  <c r="AB419" i="20"/>
  <c r="W419" i="20"/>
  <c r="BA419" i="20" s="1"/>
  <c r="S419" i="20"/>
  <c r="P419" i="20"/>
  <c r="O419" i="20"/>
  <c r="FX419" i="20" s="1"/>
  <c r="N419" i="20"/>
  <c r="K419" i="20"/>
  <c r="J419" i="20"/>
  <c r="AS419" i="20" s="1"/>
  <c r="H419" i="20"/>
  <c r="AK419" i="20" s="1"/>
  <c r="G419" i="20"/>
  <c r="CG419" i="20" s="1"/>
  <c r="CT418" i="20"/>
  <c r="AI418" i="20"/>
  <c r="AG418" i="20"/>
  <c r="CC418" i="20" s="1"/>
  <c r="AE418" i="20"/>
  <c r="AB418" i="20"/>
  <c r="W418" i="20"/>
  <c r="X418" i="20" s="1"/>
  <c r="S418" i="20"/>
  <c r="P418" i="20"/>
  <c r="O418" i="20"/>
  <c r="FX418" i="20" s="1"/>
  <c r="N418" i="20"/>
  <c r="K418" i="20"/>
  <c r="J418" i="20"/>
  <c r="AS418" i="20" s="1"/>
  <c r="H418" i="20"/>
  <c r="G418" i="20"/>
  <c r="CG418" i="20" s="1"/>
  <c r="CT417" i="20"/>
  <c r="AI417" i="20"/>
  <c r="AG417" i="20"/>
  <c r="CC417" i="20" s="1"/>
  <c r="AE417" i="20"/>
  <c r="AB417" i="20"/>
  <c r="W417" i="20"/>
  <c r="S417" i="20"/>
  <c r="P417" i="20"/>
  <c r="O417" i="20"/>
  <c r="N417" i="20"/>
  <c r="K417" i="20"/>
  <c r="CF417" i="20" s="1"/>
  <c r="J417" i="20"/>
  <c r="H417" i="20"/>
  <c r="G417" i="20"/>
  <c r="CG417" i="20" s="1"/>
  <c r="CT416" i="20"/>
  <c r="CC416" i="20"/>
  <c r="AB416" i="20"/>
  <c r="W416" i="20"/>
  <c r="S416" i="20"/>
  <c r="P416" i="20"/>
  <c r="O416" i="20"/>
  <c r="N416" i="20"/>
  <c r="K416" i="20"/>
  <c r="FZ416" i="20" s="1"/>
  <c r="J416" i="20"/>
  <c r="AS416" i="20" s="1"/>
  <c r="H416" i="20"/>
  <c r="I416" i="20" s="1"/>
  <c r="DI416" i="20" s="1"/>
  <c r="G416" i="20"/>
  <c r="CG416" i="20" s="1"/>
  <c r="CT415" i="20"/>
  <c r="AI415" i="20"/>
  <c r="AG415" i="20"/>
  <c r="CC415" i="20" s="1"/>
  <c r="AE415" i="20"/>
  <c r="AB415" i="20"/>
  <c r="W415" i="20"/>
  <c r="S415" i="20"/>
  <c r="P415" i="20"/>
  <c r="O415" i="20"/>
  <c r="FX415" i="20" s="1"/>
  <c r="N415" i="20"/>
  <c r="K415" i="20"/>
  <c r="J415" i="20"/>
  <c r="H415" i="20"/>
  <c r="G415" i="20"/>
  <c r="CG415" i="20" s="1"/>
  <c r="CT414" i="20"/>
  <c r="AI414" i="20"/>
  <c r="AG414" i="20"/>
  <c r="CC414" i="20" s="1"/>
  <c r="AE414" i="20"/>
  <c r="AB414" i="20"/>
  <c r="W414" i="20"/>
  <c r="X414" i="20" s="1"/>
  <c r="EL414" i="20" s="1"/>
  <c r="S414" i="20"/>
  <c r="P414" i="20"/>
  <c r="O414" i="20"/>
  <c r="FX414" i="20" s="1"/>
  <c r="N414" i="20"/>
  <c r="K414" i="20"/>
  <c r="J414" i="20"/>
  <c r="AS414" i="20" s="1"/>
  <c r="H414" i="20"/>
  <c r="G414" i="20"/>
  <c r="CG414" i="20" s="1"/>
  <c r="CT413" i="20"/>
  <c r="AG413" i="20"/>
  <c r="CC413" i="20" s="1"/>
  <c r="AE413" i="20"/>
  <c r="AB413" i="20"/>
  <c r="W413" i="20"/>
  <c r="BA413" i="20" s="1"/>
  <c r="S413" i="20"/>
  <c r="P413" i="20"/>
  <c r="O413" i="20"/>
  <c r="N413" i="20"/>
  <c r="K413" i="20"/>
  <c r="J413" i="20"/>
  <c r="H413" i="20"/>
  <c r="G413" i="20"/>
  <c r="CG413" i="20" s="1"/>
  <c r="CT412" i="20"/>
  <c r="AG412" i="20"/>
  <c r="AE412" i="20"/>
  <c r="AB412" i="20"/>
  <c r="W412" i="20"/>
  <c r="X412" i="20" s="1"/>
  <c r="EL412" i="20" s="1"/>
  <c r="S412" i="20"/>
  <c r="P412" i="20"/>
  <c r="O412" i="20"/>
  <c r="N412" i="20"/>
  <c r="K412" i="20"/>
  <c r="J412" i="20"/>
  <c r="H412" i="20"/>
  <c r="G412" i="20"/>
  <c r="CG412" i="20" s="1"/>
  <c r="CT411" i="20"/>
  <c r="CC411" i="20"/>
  <c r="AB411" i="20"/>
  <c r="W411" i="20"/>
  <c r="BA411" i="20" s="1"/>
  <c r="S411" i="20"/>
  <c r="P411" i="20"/>
  <c r="O411" i="20"/>
  <c r="N411" i="20"/>
  <c r="K411" i="20"/>
  <c r="FZ411" i="20" s="1"/>
  <c r="J411" i="20"/>
  <c r="AS411" i="20" s="1"/>
  <c r="H411" i="20"/>
  <c r="L411" i="20" s="1"/>
  <c r="G411" i="20"/>
  <c r="CG411" i="20" s="1"/>
  <c r="CT410" i="20"/>
  <c r="CC410" i="20"/>
  <c r="AB410" i="20"/>
  <c r="W410" i="20"/>
  <c r="BA410" i="20" s="1"/>
  <c r="S410" i="20"/>
  <c r="P410" i="20"/>
  <c r="O410" i="20"/>
  <c r="FX410" i="20" s="1"/>
  <c r="N410" i="20"/>
  <c r="K410" i="20"/>
  <c r="J410" i="20"/>
  <c r="H410" i="20"/>
  <c r="G410" i="20"/>
  <c r="CG410" i="20" s="1"/>
  <c r="CT409" i="20"/>
  <c r="AG409" i="20"/>
  <c r="CC409" i="20" s="1"/>
  <c r="AE409" i="20"/>
  <c r="AB409" i="20"/>
  <c r="W409" i="20"/>
  <c r="X409" i="20" s="1"/>
  <c r="EL409" i="20" s="1"/>
  <c r="S409" i="20"/>
  <c r="P409" i="20"/>
  <c r="O409" i="20"/>
  <c r="N409" i="20"/>
  <c r="K409" i="20"/>
  <c r="J409" i="20"/>
  <c r="H409" i="20"/>
  <c r="I409" i="20" s="1"/>
  <c r="G409" i="20"/>
  <c r="CG409" i="20" s="1"/>
  <c r="CT408" i="20"/>
  <c r="CC408" i="20"/>
  <c r="AB408" i="20"/>
  <c r="W408" i="20"/>
  <c r="X408" i="20" s="1"/>
  <c r="EL408" i="20" s="1"/>
  <c r="S408" i="20"/>
  <c r="P408" i="20"/>
  <c r="O408" i="20"/>
  <c r="N408" i="20"/>
  <c r="K408" i="20"/>
  <c r="EA408" i="20" s="1"/>
  <c r="J408" i="20"/>
  <c r="H408" i="20"/>
  <c r="AK408" i="20" s="1"/>
  <c r="G408" i="20"/>
  <c r="CG408" i="20" s="1"/>
  <c r="CT407" i="20"/>
  <c r="CC407" i="20"/>
  <c r="AB407" i="20"/>
  <c r="W407" i="20"/>
  <c r="BA407" i="20" s="1"/>
  <c r="S407" i="20"/>
  <c r="P407" i="20"/>
  <c r="O407" i="20"/>
  <c r="N407" i="20"/>
  <c r="K407" i="20"/>
  <c r="J407" i="20"/>
  <c r="AS407" i="20" s="1"/>
  <c r="H407" i="20"/>
  <c r="G407" i="20"/>
  <c r="CG407" i="20" s="1"/>
  <c r="CT406" i="20"/>
  <c r="AE406" i="20"/>
  <c r="AB406" i="20"/>
  <c r="W406" i="20"/>
  <c r="X406" i="20" s="1"/>
  <c r="S406" i="20"/>
  <c r="P406" i="20"/>
  <c r="O406" i="20"/>
  <c r="N406" i="20"/>
  <c r="K406" i="20"/>
  <c r="J406" i="20"/>
  <c r="H406" i="20"/>
  <c r="G406" i="20"/>
  <c r="CG406" i="20" s="1"/>
  <c r="CT405" i="20"/>
  <c r="CC405" i="20"/>
  <c r="AB405" i="20"/>
  <c r="W405" i="20"/>
  <c r="BA405" i="20" s="1"/>
  <c r="S405" i="20"/>
  <c r="P405" i="20"/>
  <c r="O405" i="20"/>
  <c r="N405" i="20"/>
  <c r="K405" i="20"/>
  <c r="FZ405" i="20" s="1"/>
  <c r="J405" i="20"/>
  <c r="AS405" i="20" s="1"/>
  <c r="H405" i="20"/>
  <c r="I405" i="20" s="1"/>
  <c r="G405" i="20"/>
  <c r="CG405" i="20" s="1"/>
  <c r="CT404" i="20"/>
  <c r="AG404" i="20"/>
  <c r="CC404" i="20" s="1"/>
  <c r="AE404" i="20"/>
  <c r="AB404" i="20"/>
  <c r="W404" i="20"/>
  <c r="S404" i="20"/>
  <c r="P404" i="20"/>
  <c r="O404" i="20"/>
  <c r="FX404" i="20" s="1"/>
  <c r="N404" i="20"/>
  <c r="K404" i="20"/>
  <c r="CF404" i="20" s="1"/>
  <c r="J404" i="20"/>
  <c r="H404" i="20"/>
  <c r="AK404" i="20" s="1"/>
  <c r="G404" i="20"/>
  <c r="CG404" i="20" s="1"/>
  <c r="CT403" i="20"/>
  <c r="AI403" i="20"/>
  <c r="AG403" i="20"/>
  <c r="AE403" i="20"/>
  <c r="AB403" i="20"/>
  <c r="W403" i="20"/>
  <c r="S403" i="20"/>
  <c r="P403" i="20"/>
  <c r="O403" i="20"/>
  <c r="N403" i="20"/>
  <c r="K403" i="20"/>
  <c r="CF403" i="20" s="1"/>
  <c r="J403" i="20"/>
  <c r="H403" i="20"/>
  <c r="G403" i="20"/>
  <c r="CG403" i="20" s="1"/>
  <c r="CT402" i="20"/>
  <c r="CC402" i="20"/>
  <c r="AB402" i="20"/>
  <c r="W402" i="20"/>
  <c r="BA402" i="20" s="1"/>
  <c r="S402" i="20"/>
  <c r="P402" i="20"/>
  <c r="O402" i="20"/>
  <c r="FX402" i="20" s="1"/>
  <c r="N402" i="20"/>
  <c r="K402" i="20"/>
  <c r="EA402" i="20" s="1"/>
  <c r="J402" i="20"/>
  <c r="H402" i="20"/>
  <c r="G402" i="20"/>
  <c r="CG402" i="20" s="1"/>
  <c r="CT401" i="20"/>
  <c r="AG401" i="20"/>
  <c r="CC401" i="20" s="1"/>
  <c r="AE401" i="20"/>
  <c r="AB401" i="20"/>
  <c r="W401" i="20"/>
  <c r="S401" i="20"/>
  <c r="P401" i="20"/>
  <c r="O401" i="20"/>
  <c r="N401" i="20"/>
  <c r="K401" i="20"/>
  <c r="J401" i="20"/>
  <c r="H401" i="20"/>
  <c r="I401" i="20" s="1"/>
  <c r="G401" i="20"/>
  <c r="CG401" i="20" s="1"/>
  <c r="CT400" i="20"/>
  <c r="AI400" i="20"/>
  <c r="AG400" i="20"/>
  <c r="CC400" i="20" s="1"/>
  <c r="AE400" i="20"/>
  <c r="AB400" i="20"/>
  <c r="W400" i="20"/>
  <c r="S400" i="20"/>
  <c r="P400" i="20"/>
  <c r="O400" i="20"/>
  <c r="N400" i="20"/>
  <c r="K400" i="20"/>
  <c r="CF400" i="20" s="1"/>
  <c r="J400" i="20"/>
  <c r="H400" i="20"/>
  <c r="I400" i="20" s="1"/>
  <c r="G400" i="20"/>
  <c r="CG400" i="20" s="1"/>
  <c r="CT399" i="20"/>
  <c r="CC399" i="20"/>
  <c r="AB399" i="20"/>
  <c r="W399" i="20"/>
  <c r="X399" i="20" s="1"/>
  <c r="EL399" i="20" s="1"/>
  <c r="S399" i="20"/>
  <c r="P399" i="20"/>
  <c r="O399" i="20"/>
  <c r="FX399" i="20" s="1"/>
  <c r="N399" i="20"/>
  <c r="K399" i="20"/>
  <c r="J399" i="20"/>
  <c r="AS399" i="20" s="1"/>
  <c r="H399" i="20"/>
  <c r="I399" i="20" s="1"/>
  <c r="DI399" i="20" s="1"/>
  <c r="G399" i="20"/>
  <c r="CG399" i="20" s="1"/>
  <c r="CT398" i="20"/>
  <c r="AI398" i="20"/>
  <c r="AG398" i="20"/>
  <c r="CC398" i="20" s="1"/>
  <c r="AE398" i="20"/>
  <c r="AB398" i="20"/>
  <c r="W398" i="20"/>
  <c r="BA398" i="20" s="1"/>
  <c r="S398" i="20"/>
  <c r="P398" i="20"/>
  <c r="O398" i="20"/>
  <c r="FX398" i="20" s="1"/>
  <c r="N398" i="20"/>
  <c r="K398" i="20"/>
  <c r="J398" i="20"/>
  <c r="H398" i="20"/>
  <c r="AK398" i="20" s="1"/>
  <c r="G398" i="20"/>
  <c r="CG398" i="20" s="1"/>
  <c r="CT397" i="20"/>
  <c r="AI397" i="20"/>
  <c r="AG397" i="20"/>
  <c r="CC397" i="20" s="1"/>
  <c r="AE397" i="20"/>
  <c r="AB397" i="20"/>
  <c r="W397" i="20"/>
  <c r="S397" i="20"/>
  <c r="P397" i="20"/>
  <c r="O397" i="20"/>
  <c r="N397" i="20"/>
  <c r="K397" i="20"/>
  <c r="J397" i="20"/>
  <c r="H397" i="20"/>
  <c r="I397" i="20" s="1"/>
  <c r="G397" i="20"/>
  <c r="CG397" i="20" s="1"/>
  <c r="CT396" i="20"/>
  <c r="CC396" i="20"/>
  <c r="AB396" i="20"/>
  <c r="W396" i="20"/>
  <c r="X396" i="20" s="1"/>
  <c r="EL396" i="20" s="1"/>
  <c r="S396" i="20"/>
  <c r="P396" i="20"/>
  <c r="O396" i="20"/>
  <c r="N396" i="20"/>
  <c r="K396" i="20"/>
  <c r="CF396" i="20" s="1"/>
  <c r="J396" i="20"/>
  <c r="AS396" i="20" s="1"/>
  <c r="H396" i="20"/>
  <c r="I396" i="20" s="1"/>
  <c r="G396" i="20"/>
  <c r="CG396" i="20" s="1"/>
  <c r="CT395" i="20"/>
  <c r="AI395" i="20"/>
  <c r="AG395" i="20"/>
  <c r="CC395" i="20" s="1"/>
  <c r="AE395" i="20"/>
  <c r="AB395" i="20"/>
  <c r="W395" i="20"/>
  <c r="X395" i="20" s="1"/>
  <c r="S395" i="20"/>
  <c r="P395" i="20"/>
  <c r="O395" i="20"/>
  <c r="N395" i="20"/>
  <c r="K395" i="20"/>
  <c r="J395" i="20"/>
  <c r="H395" i="20"/>
  <c r="I395" i="20" s="1"/>
  <c r="G395" i="20"/>
  <c r="CG395" i="20" s="1"/>
  <c r="CT394" i="20"/>
  <c r="AI394" i="20"/>
  <c r="AG394" i="20"/>
  <c r="CC394" i="20" s="1"/>
  <c r="AE394" i="20"/>
  <c r="AB394" i="20"/>
  <c r="W394" i="20"/>
  <c r="S394" i="20"/>
  <c r="P394" i="20"/>
  <c r="O394" i="20"/>
  <c r="N394" i="20"/>
  <c r="K394" i="20"/>
  <c r="CF394" i="20" s="1"/>
  <c r="J394" i="20"/>
  <c r="H394" i="20"/>
  <c r="I394" i="20" s="1"/>
  <c r="G394" i="20"/>
  <c r="CG394" i="20" s="1"/>
  <c r="CT393" i="20"/>
  <c r="CC393" i="20"/>
  <c r="AB393" i="20"/>
  <c r="W393" i="20"/>
  <c r="S393" i="20"/>
  <c r="P393" i="20"/>
  <c r="O393" i="20"/>
  <c r="FX393" i="20" s="1"/>
  <c r="N393" i="20"/>
  <c r="K393" i="20"/>
  <c r="FZ393" i="20" s="1"/>
  <c r="J393" i="20"/>
  <c r="AS393" i="20" s="1"/>
  <c r="H393" i="20"/>
  <c r="G393" i="20"/>
  <c r="CG393" i="20" s="1"/>
  <c r="CT392" i="20"/>
  <c r="CC392" i="20"/>
  <c r="AB392" i="20"/>
  <c r="W392" i="20"/>
  <c r="X392" i="20" s="1"/>
  <c r="EL392" i="20" s="1"/>
  <c r="S392" i="20"/>
  <c r="P392" i="20"/>
  <c r="O392" i="20"/>
  <c r="FX392" i="20" s="1"/>
  <c r="N392" i="20"/>
  <c r="K392" i="20"/>
  <c r="J392" i="20"/>
  <c r="AS392" i="20" s="1"/>
  <c r="H392" i="20"/>
  <c r="G392" i="20"/>
  <c r="CG392" i="20" s="1"/>
  <c r="CT391" i="20"/>
  <c r="CC391" i="20"/>
  <c r="AB391" i="20"/>
  <c r="W391" i="20"/>
  <c r="BA391" i="20" s="1"/>
  <c r="S391" i="20"/>
  <c r="P391" i="20"/>
  <c r="O391" i="20"/>
  <c r="N391" i="20"/>
  <c r="K391" i="20"/>
  <c r="CF391" i="20" s="1"/>
  <c r="J391" i="20"/>
  <c r="AS391" i="20" s="1"/>
  <c r="H391" i="20"/>
  <c r="G391" i="20"/>
  <c r="CG391" i="20" s="1"/>
  <c r="CT390" i="20"/>
  <c r="AI390" i="20"/>
  <c r="AG390" i="20"/>
  <c r="CC390" i="20" s="1"/>
  <c r="AE390" i="20"/>
  <c r="AB390" i="20"/>
  <c r="W390" i="20"/>
  <c r="X390" i="20" s="1"/>
  <c r="EL390" i="20" s="1"/>
  <c r="S390" i="20"/>
  <c r="P390" i="20"/>
  <c r="O390" i="20"/>
  <c r="N390" i="20"/>
  <c r="K390" i="20"/>
  <c r="J390" i="20"/>
  <c r="H390" i="20"/>
  <c r="G390" i="20"/>
  <c r="CG390" i="20" s="1"/>
  <c r="CT389" i="20"/>
  <c r="AI389" i="20"/>
  <c r="AG389" i="20"/>
  <c r="CC389" i="20" s="1"/>
  <c r="AE389" i="20"/>
  <c r="AB389" i="20"/>
  <c r="W389" i="20"/>
  <c r="BA389" i="20" s="1"/>
  <c r="S389" i="20"/>
  <c r="P389" i="20"/>
  <c r="O389" i="20"/>
  <c r="FX389" i="20" s="1"/>
  <c r="N389" i="20"/>
  <c r="K389" i="20"/>
  <c r="J389" i="20"/>
  <c r="AS389" i="20" s="1"/>
  <c r="H389" i="20"/>
  <c r="G389" i="20"/>
  <c r="CG389" i="20" s="1"/>
  <c r="CT388" i="20"/>
  <c r="AI388" i="20"/>
  <c r="AG388" i="20"/>
  <c r="CC388" i="20" s="1"/>
  <c r="AE388" i="20"/>
  <c r="AB388" i="20"/>
  <c r="W388" i="20"/>
  <c r="X388" i="20" s="1"/>
  <c r="EL388" i="20" s="1"/>
  <c r="S388" i="20"/>
  <c r="P388" i="20"/>
  <c r="O388" i="20"/>
  <c r="N388" i="20"/>
  <c r="K388" i="20"/>
  <c r="J388" i="20"/>
  <c r="AS388" i="20" s="1"/>
  <c r="H388" i="20"/>
  <c r="AK388" i="20" s="1"/>
  <c r="G388" i="20"/>
  <c r="CG388" i="20" s="1"/>
  <c r="CT387" i="20"/>
  <c r="AI387" i="20"/>
  <c r="AG387" i="20"/>
  <c r="AE387" i="20"/>
  <c r="AB387" i="20"/>
  <c r="W387" i="20"/>
  <c r="BA387" i="20" s="1"/>
  <c r="S387" i="20"/>
  <c r="P387" i="20"/>
  <c r="O387" i="20"/>
  <c r="FX387" i="20" s="1"/>
  <c r="N387" i="20"/>
  <c r="K387" i="20"/>
  <c r="J387" i="20"/>
  <c r="H387" i="20"/>
  <c r="I387" i="20" s="1"/>
  <c r="DI387" i="20" s="1"/>
  <c r="G387" i="20"/>
  <c r="CG387" i="20" s="1"/>
  <c r="CT386" i="20"/>
  <c r="CC386" i="20"/>
  <c r="AB386" i="20"/>
  <c r="W386" i="20"/>
  <c r="BA386" i="20" s="1"/>
  <c r="S386" i="20"/>
  <c r="P386" i="20"/>
  <c r="O386" i="20"/>
  <c r="FX386" i="20" s="1"/>
  <c r="N386" i="20"/>
  <c r="K386" i="20"/>
  <c r="J386" i="20"/>
  <c r="AS386" i="20" s="1"/>
  <c r="H386" i="20"/>
  <c r="AK386" i="20" s="1"/>
  <c r="G386" i="20"/>
  <c r="CG386" i="20" s="1"/>
  <c r="CT385" i="20"/>
  <c r="CC385" i="20"/>
  <c r="AB385" i="20"/>
  <c r="W385" i="20"/>
  <c r="X385" i="20" s="1"/>
  <c r="S385" i="20"/>
  <c r="P385" i="20"/>
  <c r="O385" i="20"/>
  <c r="N385" i="20"/>
  <c r="K385" i="20"/>
  <c r="EA385" i="20" s="1"/>
  <c r="J385" i="20"/>
  <c r="H385" i="20"/>
  <c r="I385" i="20" s="1"/>
  <c r="G385" i="20"/>
  <c r="CG385" i="20" s="1"/>
  <c r="CT384" i="20"/>
  <c r="AI384" i="20"/>
  <c r="AG384" i="20"/>
  <c r="AE384" i="20"/>
  <c r="AB384" i="20"/>
  <c r="W384" i="20"/>
  <c r="S384" i="20"/>
  <c r="P384" i="20"/>
  <c r="O384" i="20"/>
  <c r="N384" i="20"/>
  <c r="K384" i="20"/>
  <c r="CF384" i="20" s="1"/>
  <c r="J384" i="20"/>
  <c r="AS384" i="20" s="1"/>
  <c r="H384" i="20"/>
  <c r="I384" i="20" s="1"/>
  <c r="G384" i="20"/>
  <c r="CG384" i="20" s="1"/>
  <c r="CT383" i="20"/>
  <c r="AI383" i="20"/>
  <c r="AG383" i="20"/>
  <c r="AE383" i="20"/>
  <c r="AB383" i="20"/>
  <c r="W383" i="20"/>
  <c r="S383" i="20"/>
  <c r="P383" i="20"/>
  <c r="O383" i="20"/>
  <c r="N383" i="20"/>
  <c r="K383" i="20"/>
  <c r="J383" i="20"/>
  <c r="AS383" i="20" s="1"/>
  <c r="H383" i="20"/>
  <c r="G383" i="20"/>
  <c r="CG383" i="20" s="1"/>
  <c r="CT382" i="20"/>
  <c r="AI382" i="20"/>
  <c r="AG382" i="20"/>
  <c r="CC382" i="20" s="1"/>
  <c r="AE382" i="20"/>
  <c r="AB382" i="20"/>
  <c r="W382" i="20"/>
  <c r="S382" i="20"/>
  <c r="P382" i="20"/>
  <c r="O382" i="20"/>
  <c r="N382" i="20"/>
  <c r="K382" i="20"/>
  <c r="CF382" i="20" s="1"/>
  <c r="J382" i="20"/>
  <c r="H382" i="20"/>
  <c r="I382" i="20" s="1"/>
  <c r="G382" i="20"/>
  <c r="CG382" i="20" s="1"/>
  <c r="CT381" i="20"/>
  <c r="CC381" i="20"/>
  <c r="AB381" i="20"/>
  <c r="W381" i="20"/>
  <c r="BA381" i="20" s="1"/>
  <c r="S381" i="20"/>
  <c r="P381" i="20"/>
  <c r="O381" i="20"/>
  <c r="FX381" i="20" s="1"/>
  <c r="N381" i="20"/>
  <c r="K381" i="20"/>
  <c r="J381" i="20"/>
  <c r="AS381" i="20" s="1"/>
  <c r="H381" i="20"/>
  <c r="G381" i="20"/>
  <c r="CG381" i="20" s="1"/>
  <c r="CT380" i="20"/>
  <c r="CC380" i="20"/>
  <c r="AB380" i="20"/>
  <c r="W380" i="20"/>
  <c r="X380" i="20" s="1"/>
  <c r="EL380" i="20" s="1"/>
  <c r="S380" i="20"/>
  <c r="P380" i="20"/>
  <c r="O380" i="20"/>
  <c r="N380" i="20"/>
  <c r="K380" i="20"/>
  <c r="CD380" i="20" s="1"/>
  <c r="CE380" i="20" s="1"/>
  <c r="J380" i="20"/>
  <c r="AS380" i="20" s="1"/>
  <c r="H380" i="20"/>
  <c r="I380" i="20" s="1"/>
  <c r="G380" i="20"/>
  <c r="CG380" i="20" s="1"/>
  <c r="CT379" i="20"/>
  <c r="AI379" i="20"/>
  <c r="AG379" i="20"/>
  <c r="CC379" i="20" s="1"/>
  <c r="AE379" i="20"/>
  <c r="AB379" i="20"/>
  <c r="W379" i="20"/>
  <c r="X379" i="20" s="1"/>
  <c r="EL379" i="20" s="1"/>
  <c r="S379" i="20"/>
  <c r="P379" i="20"/>
  <c r="O379" i="20"/>
  <c r="FX379" i="20" s="1"/>
  <c r="N379" i="20"/>
  <c r="K379" i="20"/>
  <c r="J379" i="20"/>
  <c r="AS379" i="20" s="1"/>
  <c r="H379" i="20"/>
  <c r="G379" i="20"/>
  <c r="CG379" i="20" s="1"/>
  <c r="CT378" i="20"/>
  <c r="AI378" i="20"/>
  <c r="AG378" i="20"/>
  <c r="CC378" i="20" s="1"/>
  <c r="AE378" i="20"/>
  <c r="AB378" i="20"/>
  <c r="W378" i="20"/>
  <c r="S378" i="20"/>
  <c r="P378" i="20"/>
  <c r="O378" i="20"/>
  <c r="N378" i="20"/>
  <c r="K378" i="20"/>
  <c r="J378" i="20"/>
  <c r="H378" i="20"/>
  <c r="AK378" i="20" s="1"/>
  <c r="G378" i="20"/>
  <c r="CG378" i="20" s="1"/>
  <c r="CT377" i="20"/>
  <c r="AI377" i="20"/>
  <c r="AG377" i="20"/>
  <c r="CC377" i="20" s="1"/>
  <c r="AE377" i="20"/>
  <c r="AB377" i="20"/>
  <c r="W377" i="20"/>
  <c r="X377" i="20" s="1"/>
  <c r="EL377" i="20" s="1"/>
  <c r="S377" i="20"/>
  <c r="P377" i="20"/>
  <c r="O377" i="20"/>
  <c r="FX377" i="20" s="1"/>
  <c r="N377" i="20"/>
  <c r="K377" i="20"/>
  <c r="J377" i="20"/>
  <c r="AS377" i="20" s="1"/>
  <c r="H377" i="20"/>
  <c r="AK377" i="20" s="1"/>
  <c r="G377" i="20"/>
  <c r="CG377" i="20" s="1"/>
  <c r="CT376" i="20"/>
  <c r="AI376" i="20"/>
  <c r="AG376" i="20"/>
  <c r="AE376" i="20"/>
  <c r="AB376" i="20"/>
  <c r="W376" i="20"/>
  <c r="S376" i="20"/>
  <c r="P376" i="20"/>
  <c r="O376" i="20"/>
  <c r="N376" i="20"/>
  <c r="K376" i="20"/>
  <c r="J376" i="20"/>
  <c r="H376" i="20"/>
  <c r="I376" i="20" s="1"/>
  <c r="G376" i="20"/>
  <c r="CG376" i="20" s="1"/>
  <c r="CT375" i="20"/>
  <c r="CC375" i="20"/>
  <c r="AB375" i="20"/>
  <c r="W375" i="20"/>
  <c r="BA375" i="20" s="1"/>
  <c r="S375" i="20"/>
  <c r="P375" i="20"/>
  <c r="O375" i="20"/>
  <c r="FX375" i="20" s="1"/>
  <c r="N375" i="20"/>
  <c r="K375" i="20"/>
  <c r="J375" i="20"/>
  <c r="H375" i="20"/>
  <c r="AK375" i="20" s="1"/>
  <c r="G375" i="20"/>
  <c r="CG375" i="20" s="1"/>
  <c r="CT374" i="20"/>
  <c r="CC374" i="20"/>
  <c r="AB374" i="20"/>
  <c r="W374" i="20"/>
  <c r="BA374" i="20" s="1"/>
  <c r="S374" i="20"/>
  <c r="P374" i="20"/>
  <c r="O374" i="20"/>
  <c r="N374" i="20"/>
  <c r="K374" i="20"/>
  <c r="J374" i="20"/>
  <c r="AS374" i="20" s="1"/>
  <c r="H374" i="20"/>
  <c r="G374" i="20"/>
  <c r="CG374" i="20" s="1"/>
  <c r="CT373" i="20"/>
  <c r="AI373" i="20"/>
  <c r="AG373" i="20"/>
  <c r="CC373" i="20" s="1"/>
  <c r="AE373" i="20"/>
  <c r="AB373" i="20"/>
  <c r="W373" i="20"/>
  <c r="X373" i="20" s="1"/>
  <c r="S373" i="20"/>
  <c r="P373" i="20"/>
  <c r="O373" i="20"/>
  <c r="FX373" i="20" s="1"/>
  <c r="N373" i="20"/>
  <c r="K373" i="20"/>
  <c r="CF373" i="20" s="1"/>
  <c r="J373" i="20"/>
  <c r="AS373" i="20" s="1"/>
  <c r="H373" i="20"/>
  <c r="G373" i="20"/>
  <c r="CG373" i="20" s="1"/>
  <c r="CT372" i="20"/>
  <c r="CC372" i="20"/>
  <c r="AB372" i="20"/>
  <c r="W372" i="20"/>
  <c r="BA372" i="20" s="1"/>
  <c r="S372" i="20"/>
  <c r="P372" i="20"/>
  <c r="O372" i="20"/>
  <c r="FX372" i="20" s="1"/>
  <c r="N372" i="20"/>
  <c r="K372" i="20"/>
  <c r="J372" i="20"/>
  <c r="H372" i="20"/>
  <c r="AK372" i="20" s="1"/>
  <c r="G372" i="20"/>
  <c r="CG372" i="20" s="1"/>
  <c r="CT371" i="20"/>
  <c r="AI371" i="20"/>
  <c r="AG371" i="20"/>
  <c r="AE371" i="20"/>
  <c r="AB371" i="20"/>
  <c r="W371" i="20"/>
  <c r="X371" i="20" s="1"/>
  <c r="EL371" i="20" s="1"/>
  <c r="S371" i="20"/>
  <c r="P371" i="20"/>
  <c r="O371" i="20"/>
  <c r="N371" i="20"/>
  <c r="K371" i="20"/>
  <c r="J371" i="20"/>
  <c r="AS371" i="20" s="1"/>
  <c r="H371" i="20"/>
  <c r="AK371" i="20" s="1"/>
  <c r="G371" i="20"/>
  <c r="CG371" i="20" s="1"/>
  <c r="CT370" i="20"/>
  <c r="CC370" i="20"/>
  <c r="AB370" i="20"/>
  <c r="W370" i="20"/>
  <c r="X370" i="20" s="1"/>
  <c r="S370" i="20"/>
  <c r="P370" i="20"/>
  <c r="O370" i="20"/>
  <c r="N370" i="20"/>
  <c r="K370" i="20"/>
  <c r="FZ370" i="20" s="1"/>
  <c r="J370" i="20"/>
  <c r="H370" i="20"/>
  <c r="G370" i="20"/>
  <c r="CG370" i="20" s="1"/>
  <c r="CT369" i="20"/>
  <c r="AI369" i="20"/>
  <c r="AG369" i="20"/>
  <c r="CC369" i="20" s="1"/>
  <c r="AE369" i="20"/>
  <c r="AB369" i="20"/>
  <c r="W369" i="20"/>
  <c r="X369" i="20" s="1"/>
  <c r="EL369" i="20" s="1"/>
  <c r="S369" i="20"/>
  <c r="P369" i="20"/>
  <c r="O369" i="20"/>
  <c r="FX369" i="20" s="1"/>
  <c r="N369" i="20"/>
  <c r="K369" i="20"/>
  <c r="J369" i="20"/>
  <c r="H369" i="20"/>
  <c r="G369" i="20"/>
  <c r="CG369" i="20" s="1"/>
  <c r="CT368" i="20"/>
  <c r="CC368" i="20"/>
  <c r="AB368" i="20"/>
  <c r="W368" i="20"/>
  <c r="BA368" i="20" s="1"/>
  <c r="S368" i="20"/>
  <c r="P368" i="20"/>
  <c r="O368" i="20"/>
  <c r="N368" i="20"/>
  <c r="K368" i="20"/>
  <c r="EA368" i="20" s="1"/>
  <c r="J368" i="20"/>
  <c r="AS368" i="20" s="1"/>
  <c r="H368" i="20"/>
  <c r="G368" i="20"/>
  <c r="CG368" i="20" s="1"/>
  <c r="CT367" i="20"/>
  <c r="AI367" i="20"/>
  <c r="AG367" i="20"/>
  <c r="CC367" i="20" s="1"/>
  <c r="AE367" i="20"/>
  <c r="AB367" i="20"/>
  <c r="W367" i="20"/>
  <c r="S367" i="20"/>
  <c r="P367" i="20"/>
  <c r="O367" i="20"/>
  <c r="N367" i="20"/>
  <c r="K367" i="20"/>
  <c r="CF367" i="20" s="1"/>
  <c r="J367" i="20"/>
  <c r="H367" i="20"/>
  <c r="G367" i="20"/>
  <c r="CG367" i="20" s="1"/>
  <c r="CT366" i="20"/>
  <c r="CC366" i="20"/>
  <c r="AB366" i="20"/>
  <c r="W366" i="20"/>
  <c r="BA366" i="20" s="1"/>
  <c r="S366" i="20"/>
  <c r="P366" i="20"/>
  <c r="O366" i="20"/>
  <c r="N366" i="20"/>
  <c r="K366" i="20"/>
  <c r="J366" i="20"/>
  <c r="AS366" i="20" s="1"/>
  <c r="H366" i="20"/>
  <c r="G366" i="20"/>
  <c r="CG366" i="20" s="1"/>
  <c r="CT365" i="20"/>
  <c r="AI365" i="20"/>
  <c r="AG365" i="20"/>
  <c r="CC365" i="20" s="1"/>
  <c r="AE365" i="20"/>
  <c r="AB365" i="20"/>
  <c r="W365" i="20"/>
  <c r="X365" i="20" s="1"/>
  <c r="EL365" i="20" s="1"/>
  <c r="S365" i="20"/>
  <c r="P365" i="20"/>
  <c r="O365" i="20"/>
  <c r="FX365" i="20" s="1"/>
  <c r="N365" i="20"/>
  <c r="K365" i="20"/>
  <c r="J365" i="20"/>
  <c r="H365" i="20"/>
  <c r="I365" i="20" s="1"/>
  <c r="G365" i="20"/>
  <c r="CG365" i="20" s="1"/>
  <c r="CT364" i="20"/>
  <c r="CC364" i="20"/>
  <c r="AB364" i="20"/>
  <c r="W364" i="20"/>
  <c r="S364" i="20"/>
  <c r="P364" i="20"/>
  <c r="O364" i="20"/>
  <c r="N364" i="20"/>
  <c r="K364" i="20"/>
  <c r="CF364" i="20" s="1"/>
  <c r="J364" i="20"/>
  <c r="AS364" i="20" s="1"/>
  <c r="H364" i="20"/>
  <c r="G364" i="20"/>
  <c r="CG364" i="20" s="1"/>
  <c r="CT363" i="20"/>
  <c r="AI363" i="20"/>
  <c r="AG363" i="20"/>
  <c r="CC363" i="20" s="1"/>
  <c r="AE363" i="20"/>
  <c r="AB363" i="20"/>
  <c r="W363" i="20"/>
  <c r="S363" i="20"/>
  <c r="P363" i="20"/>
  <c r="O363" i="20"/>
  <c r="FX363" i="20" s="1"/>
  <c r="N363" i="20"/>
  <c r="K363" i="20"/>
  <c r="CF363" i="20" s="1"/>
  <c r="J363" i="20"/>
  <c r="AS363" i="20" s="1"/>
  <c r="H363" i="20"/>
  <c r="G363" i="20"/>
  <c r="CG363" i="20" s="1"/>
  <c r="CT362" i="20"/>
  <c r="CC362" i="20"/>
  <c r="AB362" i="20"/>
  <c r="W362" i="20"/>
  <c r="BA362" i="20" s="1"/>
  <c r="S362" i="20"/>
  <c r="P362" i="20"/>
  <c r="O362" i="20"/>
  <c r="N362" i="20"/>
  <c r="K362" i="20"/>
  <c r="FZ362" i="20" s="1"/>
  <c r="J362" i="20"/>
  <c r="AS362" i="20" s="1"/>
  <c r="H362" i="20"/>
  <c r="G362" i="20"/>
  <c r="CG362" i="20" s="1"/>
  <c r="CT361" i="20"/>
  <c r="AI361" i="20"/>
  <c r="AG361" i="20"/>
  <c r="CC361" i="20" s="1"/>
  <c r="AE361" i="20"/>
  <c r="AB361" i="20"/>
  <c r="W361" i="20"/>
  <c r="BA361" i="20" s="1"/>
  <c r="S361" i="20"/>
  <c r="P361" i="20"/>
  <c r="O361" i="20"/>
  <c r="N361" i="20"/>
  <c r="K361" i="20"/>
  <c r="J361" i="20"/>
  <c r="AS361" i="20" s="1"/>
  <c r="H361" i="20"/>
  <c r="I361" i="20" s="1"/>
  <c r="DI361" i="20" s="1"/>
  <c r="G361" i="20"/>
  <c r="CG361" i="20" s="1"/>
  <c r="CT360" i="20"/>
  <c r="CC360" i="20"/>
  <c r="AB360" i="20"/>
  <c r="W360" i="20"/>
  <c r="S360" i="20"/>
  <c r="P360" i="20"/>
  <c r="DY360" i="20" s="1"/>
  <c r="O360" i="20"/>
  <c r="FX360" i="20" s="1"/>
  <c r="N360" i="20"/>
  <c r="K360" i="20"/>
  <c r="J360" i="20"/>
  <c r="AS360" i="20" s="1"/>
  <c r="H360" i="20"/>
  <c r="AK360" i="20" s="1"/>
  <c r="G360" i="20"/>
  <c r="CG360" i="20" s="1"/>
  <c r="CT359" i="20"/>
  <c r="AI359" i="20"/>
  <c r="AG359" i="20"/>
  <c r="CC359" i="20" s="1"/>
  <c r="AE359" i="20"/>
  <c r="AB359" i="20"/>
  <c r="W359" i="20"/>
  <c r="S359" i="20"/>
  <c r="P359" i="20"/>
  <c r="O359" i="20"/>
  <c r="FX359" i="20" s="1"/>
  <c r="N359" i="20"/>
  <c r="K359" i="20"/>
  <c r="J359" i="20"/>
  <c r="AS359" i="20" s="1"/>
  <c r="H359" i="20"/>
  <c r="I359" i="20" s="1"/>
  <c r="DI359" i="20" s="1"/>
  <c r="G359" i="20"/>
  <c r="CG359" i="20" s="1"/>
  <c r="CT358" i="20"/>
  <c r="CC358" i="20"/>
  <c r="AB358" i="20"/>
  <c r="W358" i="20"/>
  <c r="BA358" i="20" s="1"/>
  <c r="S358" i="20"/>
  <c r="P358" i="20"/>
  <c r="O358" i="20"/>
  <c r="FX358" i="20" s="1"/>
  <c r="N358" i="20"/>
  <c r="K358" i="20"/>
  <c r="FZ358" i="20" s="1"/>
  <c r="J358" i="20"/>
  <c r="AS358" i="20" s="1"/>
  <c r="H358" i="20"/>
  <c r="I358" i="20" s="1"/>
  <c r="G358" i="20"/>
  <c r="CG358" i="20" s="1"/>
  <c r="CT357" i="20"/>
  <c r="AI357" i="20"/>
  <c r="AG357" i="20"/>
  <c r="CC357" i="20" s="1"/>
  <c r="AE357" i="20"/>
  <c r="AB357" i="20"/>
  <c r="W357" i="20"/>
  <c r="S357" i="20"/>
  <c r="P357" i="20"/>
  <c r="O357" i="20"/>
  <c r="N357" i="20"/>
  <c r="K357" i="20"/>
  <c r="J357" i="20"/>
  <c r="AS357" i="20" s="1"/>
  <c r="H357" i="20"/>
  <c r="G357" i="20"/>
  <c r="CG357" i="20" s="1"/>
  <c r="CT356" i="20"/>
  <c r="CC356" i="20"/>
  <c r="AB356" i="20"/>
  <c r="W356" i="20"/>
  <c r="BA356" i="20" s="1"/>
  <c r="S356" i="20"/>
  <c r="P356" i="20"/>
  <c r="O356" i="20"/>
  <c r="FX356" i="20" s="1"/>
  <c r="N356" i="20"/>
  <c r="K356" i="20"/>
  <c r="FZ356" i="20" s="1"/>
  <c r="J356" i="20"/>
  <c r="H356" i="20"/>
  <c r="AK356" i="20" s="1"/>
  <c r="G356" i="20"/>
  <c r="CG356" i="20" s="1"/>
  <c r="CT355" i="20"/>
  <c r="AI355" i="20"/>
  <c r="AG355" i="20"/>
  <c r="AE355" i="20"/>
  <c r="AB355" i="20"/>
  <c r="W355" i="20"/>
  <c r="X355" i="20" s="1"/>
  <c r="EL355" i="20" s="1"/>
  <c r="S355" i="20"/>
  <c r="P355" i="20"/>
  <c r="O355" i="20"/>
  <c r="FX355" i="20" s="1"/>
  <c r="N355" i="20"/>
  <c r="K355" i="20"/>
  <c r="J355" i="20"/>
  <c r="AS355" i="20" s="1"/>
  <c r="H355" i="20"/>
  <c r="I355" i="20" s="1"/>
  <c r="G355" i="20"/>
  <c r="CG355" i="20" s="1"/>
  <c r="CT354" i="20"/>
  <c r="CC354" i="20"/>
  <c r="AB354" i="20"/>
  <c r="W354" i="20"/>
  <c r="S354" i="20"/>
  <c r="P354" i="20"/>
  <c r="O354" i="20"/>
  <c r="N354" i="20"/>
  <c r="K354" i="20"/>
  <c r="EA354" i="20" s="1"/>
  <c r="J354" i="20"/>
  <c r="H354" i="20"/>
  <c r="I354" i="20" s="1"/>
  <c r="G354" i="20"/>
  <c r="CG354" i="20" s="1"/>
  <c r="CT353" i="20"/>
  <c r="AI353" i="20"/>
  <c r="AG353" i="20"/>
  <c r="AE353" i="20"/>
  <c r="AB353" i="20"/>
  <c r="W353" i="20"/>
  <c r="BA353" i="20" s="1"/>
  <c r="S353" i="20"/>
  <c r="P353" i="20"/>
  <c r="O353" i="20"/>
  <c r="N353" i="20"/>
  <c r="K353" i="20"/>
  <c r="J353" i="20"/>
  <c r="H353" i="20"/>
  <c r="I353" i="20" s="1"/>
  <c r="G353" i="20"/>
  <c r="CG353" i="20" s="1"/>
  <c r="CT352" i="20"/>
  <c r="CC352" i="20"/>
  <c r="AB352" i="20"/>
  <c r="W352" i="20"/>
  <c r="S352" i="20"/>
  <c r="P352" i="20"/>
  <c r="O352" i="20"/>
  <c r="N352" i="20"/>
  <c r="K352" i="20"/>
  <c r="J352" i="20"/>
  <c r="AS352" i="20" s="1"/>
  <c r="H352" i="20"/>
  <c r="G352" i="20"/>
  <c r="CG352" i="20" s="1"/>
  <c r="FA351" i="20"/>
  <c r="CT351" i="20"/>
  <c r="CC351" i="20"/>
  <c r="AB351" i="20"/>
  <c r="W351" i="20"/>
  <c r="BA351" i="20" s="1"/>
  <c r="S351" i="20"/>
  <c r="P351" i="20"/>
  <c r="O351" i="20"/>
  <c r="FX351" i="20" s="1"/>
  <c r="N351" i="20"/>
  <c r="K351" i="20"/>
  <c r="J351" i="20"/>
  <c r="H351" i="20"/>
  <c r="G351" i="20"/>
  <c r="CG351" i="20" s="1"/>
  <c r="FA350" i="20"/>
  <c r="CT350" i="20"/>
  <c r="CC350" i="20"/>
  <c r="AB350" i="20"/>
  <c r="W350" i="20"/>
  <c r="BA350" i="20" s="1"/>
  <c r="S350" i="20"/>
  <c r="P350" i="20"/>
  <c r="O350" i="20"/>
  <c r="N350" i="20"/>
  <c r="K350" i="20"/>
  <c r="J350" i="20"/>
  <c r="AS350" i="20" s="1"/>
  <c r="H350" i="20"/>
  <c r="I350" i="20" s="1"/>
  <c r="G350" i="20"/>
  <c r="CG350" i="20" s="1"/>
  <c r="FA349" i="20"/>
  <c r="CT349" i="20"/>
  <c r="CC349" i="20"/>
  <c r="AB349" i="20"/>
  <c r="W349" i="20"/>
  <c r="S349" i="20"/>
  <c r="P349" i="20"/>
  <c r="O349" i="20"/>
  <c r="FX349" i="20" s="1"/>
  <c r="N349" i="20"/>
  <c r="K349" i="20"/>
  <c r="EA349" i="20" s="1"/>
  <c r="J349" i="20"/>
  <c r="H349" i="20"/>
  <c r="G349" i="20"/>
  <c r="CG349" i="20" s="1"/>
  <c r="FA348" i="20"/>
  <c r="CT348" i="20"/>
  <c r="CC348" i="20"/>
  <c r="AB348" i="20"/>
  <c r="W348" i="20"/>
  <c r="BA348" i="20" s="1"/>
  <c r="S348" i="20"/>
  <c r="P348" i="20"/>
  <c r="O348" i="20"/>
  <c r="FX348" i="20" s="1"/>
  <c r="N348" i="20"/>
  <c r="K348" i="20"/>
  <c r="J348" i="20"/>
  <c r="AS348" i="20" s="1"/>
  <c r="H348" i="20"/>
  <c r="I348" i="20" s="1"/>
  <c r="G348" i="20"/>
  <c r="CG348" i="20" s="1"/>
  <c r="FA347" i="20"/>
  <c r="CT347" i="20"/>
  <c r="CC347" i="20"/>
  <c r="AB347" i="20"/>
  <c r="W347" i="20"/>
  <c r="X347" i="20" s="1"/>
  <c r="S347" i="20"/>
  <c r="P347" i="20"/>
  <c r="O347" i="20"/>
  <c r="N347" i="20"/>
  <c r="K347" i="20"/>
  <c r="J347" i="20"/>
  <c r="AS347" i="20" s="1"/>
  <c r="H347" i="20"/>
  <c r="G347" i="20"/>
  <c r="CG347" i="20" s="1"/>
  <c r="CT346" i="20"/>
  <c r="AI346" i="20"/>
  <c r="AG346" i="20"/>
  <c r="CC346" i="20" s="1"/>
  <c r="AE346" i="20"/>
  <c r="AB346" i="20"/>
  <c r="W346" i="20"/>
  <c r="S346" i="20"/>
  <c r="P346" i="20"/>
  <c r="O346" i="20"/>
  <c r="FX346" i="20" s="1"/>
  <c r="N346" i="20"/>
  <c r="K346" i="20"/>
  <c r="J346" i="20"/>
  <c r="H346" i="20"/>
  <c r="I346" i="20" s="1"/>
  <c r="G346" i="20"/>
  <c r="CG346" i="20" s="1"/>
  <c r="CT345" i="20"/>
  <c r="AI345" i="20"/>
  <c r="CC345" i="20"/>
  <c r="AE345" i="20"/>
  <c r="AB345" i="20"/>
  <c r="W345" i="20"/>
  <c r="X345" i="20" s="1"/>
  <c r="EL345" i="20" s="1"/>
  <c r="S345" i="20"/>
  <c r="P345" i="20"/>
  <c r="O345" i="20"/>
  <c r="FX345" i="20" s="1"/>
  <c r="N345" i="20"/>
  <c r="K345" i="20"/>
  <c r="J345" i="20"/>
  <c r="H345" i="20"/>
  <c r="I345" i="20" s="1"/>
  <c r="DI345" i="20" s="1"/>
  <c r="G345" i="20"/>
  <c r="CG345" i="20" s="1"/>
  <c r="CT344" i="20"/>
  <c r="CC344" i="20"/>
  <c r="AB344" i="20"/>
  <c r="W344" i="20"/>
  <c r="X344" i="20" s="1"/>
  <c r="EL344" i="20" s="1"/>
  <c r="EK344" i="20" s="1"/>
  <c r="S344" i="20"/>
  <c r="P344" i="20"/>
  <c r="O344" i="20"/>
  <c r="N344" i="20"/>
  <c r="K344" i="20"/>
  <c r="CD344" i="20" s="1"/>
  <c r="J344" i="20"/>
  <c r="AS344" i="20" s="1"/>
  <c r="H344" i="20"/>
  <c r="G344" i="20"/>
  <c r="CG344" i="20" s="1"/>
  <c r="CT343" i="20"/>
  <c r="CC343" i="20"/>
  <c r="AB343" i="20"/>
  <c r="W343" i="20"/>
  <c r="BA343" i="20" s="1"/>
  <c r="S343" i="20"/>
  <c r="P343" i="20"/>
  <c r="O343" i="20"/>
  <c r="N343" i="20"/>
  <c r="K343" i="20"/>
  <c r="FZ343" i="20" s="1"/>
  <c r="J343" i="20"/>
  <c r="H343" i="20"/>
  <c r="G343" i="20"/>
  <c r="CG343" i="20" s="1"/>
  <c r="CT342" i="20"/>
  <c r="AI342" i="20"/>
  <c r="AG342" i="20"/>
  <c r="CC342" i="20" s="1"/>
  <c r="AE342" i="20"/>
  <c r="AB342" i="20"/>
  <c r="W342" i="20"/>
  <c r="BA342" i="20" s="1"/>
  <c r="S342" i="20"/>
  <c r="P342" i="20"/>
  <c r="O342" i="20"/>
  <c r="N342" i="20"/>
  <c r="K342" i="20"/>
  <c r="J342" i="20"/>
  <c r="H342" i="20"/>
  <c r="AK342" i="20" s="1"/>
  <c r="G342" i="20"/>
  <c r="CG342" i="20" s="1"/>
  <c r="CT341" i="20"/>
  <c r="AI341" i="20"/>
  <c r="AG341" i="20"/>
  <c r="CC341" i="20" s="1"/>
  <c r="AE341" i="20"/>
  <c r="AB341" i="20"/>
  <c r="W341" i="20"/>
  <c r="X341" i="20" s="1"/>
  <c r="EL341" i="20" s="1"/>
  <c r="S341" i="20"/>
  <c r="P341" i="20"/>
  <c r="O341" i="20"/>
  <c r="N341" i="20"/>
  <c r="K341" i="20"/>
  <c r="J341" i="20"/>
  <c r="AS341" i="20" s="1"/>
  <c r="H341" i="20"/>
  <c r="G341" i="20"/>
  <c r="CG341" i="20" s="1"/>
  <c r="CT340" i="20"/>
  <c r="CC340" i="20"/>
  <c r="AB340" i="20"/>
  <c r="W340" i="20"/>
  <c r="X340" i="20" s="1"/>
  <c r="S340" i="20"/>
  <c r="P340" i="20"/>
  <c r="O340" i="20"/>
  <c r="N340" i="20"/>
  <c r="K340" i="20"/>
  <c r="FZ340" i="20" s="1"/>
  <c r="J340" i="20"/>
  <c r="H340" i="20"/>
  <c r="G340" i="20"/>
  <c r="CG340" i="20" s="1"/>
  <c r="CT339" i="20"/>
  <c r="CC339" i="20"/>
  <c r="AB339" i="20"/>
  <c r="W339" i="20"/>
  <c r="BA339" i="20" s="1"/>
  <c r="S339" i="20"/>
  <c r="P339" i="20"/>
  <c r="O339" i="20"/>
  <c r="FX339" i="20" s="1"/>
  <c r="N339" i="20"/>
  <c r="K339" i="20"/>
  <c r="J339" i="20"/>
  <c r="AS339" i="20" s="1"/>
  <c r="H339" i="20"/>
  <c r="AK339" i="20" s="1"/>
  <c r="G339" i="20"/>
  <c r="CG339" i="20" s="1"/>
  <c r="CT338" i="20"/>
  <c r="AI338" i="20"/>
  <c r="AG338" i="20"/>
  <c r="CC338" i="20" s="1"/>
  <c r="AE338" i="20"/>
  <c r="AB338" i="20"/>
  <c r="W338" i="20"/>
  <c r="X338" i="20" s="1"/>
  <c r="S338" i="20"/>
  <c r="P338" i="20"/>
  <c r="O338" i="20"/>
  <c r="FX338" i="20" s="1"/>
  <c r="N338" i="20"/>
  <c r="K338" i="20"/>
  <c r="CF338" i="20" s="1"/>
  <c r="J338" i="20"/>
  <c r="AS338" i="20" s="1"/>
  <c r="H338" i="20"/>
  <c r="I338" i="20" s="1"/>
  <c r="G338" i="20"/>
  <c r="CG338" i="20" s="1"/>
  <c r="CT337" i="20"/>
  <c r="AI337" i="20"/>
  <c r="AG337" i="20"/>
  <c r="CC337" i="20" s="1"/>
  <c r="AE337" i="20"/>
  <c r="AB337" i="20"/>
  <c r="W337" i="20"/>
  <c r="BA337" i="20" s="1"/>
  <c r="S337" i="20"/>
  <c r="P337" i="20"/>
  <c r="O337" i="20"/>
  <c r="N337" i="20"/>
  <c r="K337" i="20"/>
  <c r="J337" i="20"/>
  <c r="AS337" i="20" s="1"/>
  <c r="H337" i="20"/>
  <c r="G337" i="20"/>
  <c r="CG337" i="20" s="1"/>
  <c r="CT336" i="20"/>
  <c r="CC336" i="20"/>
  <c r="AB336" i="20"/>
  <c r="W336" i="20"/>
  <c r="S336" i="20"/>
  <c r="P336" i="20"/>
  <c r="O336" i="20"/>
  <c r="FX336" i="20" s="1"/>
  <c r="N336" i="20"/>
  <c r="K336" i="20"/>
  <c r="J336" i="20"/>
  <c r="H336" i="20"/>
  <c r="AK336" i="20" s="1"/>
  <c r="G336" i="20"/>
  <c r="CG336" i="20" s="1"/>
  <c r="CT335" i="20"/>
  <c r="CC335" i="20"/>
  <c r="AB335" i="20"/>
  <c r="W335" i="20"/>
  <c r="S335" i="20"/>
  <c r="P335" i="20"/>
  <c r="O335" i="20"/>
  <c r="FX335" i="20" s="1"/>
  <c r="N335" i="20"/>
  <c r="K335" i="20"/>
  <c r="J335" i="20"/>
  <c r="H335" i="20"/>
  <c r="G335" i="20"/>
  <c r="CG335" i="20" s="1"/>
  <c r="CT334" i="20"/>
  <c r="AG334" i="20"/>
  <c r="AE334" i="20"/>
  <c r="AB334" i="20"/>
  <c r="W334" i="20"/>
  <c r="X334" i="20" s="1"/>
  <c r="EL334" i="20" s="1"/>
  <c r="S334" i="20"/>
  <c r="P334" i="20"/>
  <c r="O334" i="20"/>
  <c r="FX334" i="20" s="1"/>
  <c r="N334" i="20"/>
  <c r="K334" i="20"/>
  <c r="CF334" i="20" s="1"/>
  <c r="J334" i="20"/>
  <c r="H334" i="20"/>
  <c r="I334" i="20" s="1"/>
  <c r="G334" i="20"/>
  <c r="CG334" i="20" s="1"/>
  <c r="CT333" i="20"/>
  <c r="CC333" i="20"/>
  <c r="AB333" i="20"/>
  <c r="W333" i="20"/>
  <c r="S333" i="20"/>
  <c r="P333" i="20"/>
  <c r="O333" i="20"/>
  <c r="FX333" i="20" s="1"/>
  <c r="N333" i="20"/>
  <c r="K333" i="20"/>
  <c r="CD333" i="20" s="1"/>
  <c r="J333" i="20"/>
  <c r="AS333" i="20" s="1"/>
  <c r="H333" i="20"/>
  <c r="G333" i="20"/>
  <c r="CG333" i="20" s="1"/>
  <c r="CT332" i="20"/>
  <c r="AG332" i="20"/>
  <c r="AE332" i="20"/>
  <c r="AB332" i="20"/>
  <c r="W332" i="20"/>
  <c r="X332" i="20" s="1"/>
  <c r="EL332" i="20" s="1"/>
  <c r="S332" i="20"/>
  <c r="P332" i="20"/>
  <c r="O332" i="20"/>
  <c r="N332" i="20"/>
  <c r="K332" i="20"/>
  <c r="J332" i="20"/>
  <c r="H332" i="20"/>
  <c r="G332" i="20"/>
  <c r="CG332" i="20" s="1"/>
  <c r="CT331" i="20"/>
  <c r="CC331" i="20"/>
  <c r="AB331" i="20"/>
  <c r="W331" i="20"/>
  <c r="S331" i="20"/>
  <c r="P331" i="20"/>
  <c r="O331" i="20"/>
  <c r="N331" i="20"/>
  <c r="K331" i="20"/>
  <c r="J331" i="20"/>
  <c r="AS331" i="20" s="1"/>
  <c r="H331" i="20"/>
  <c r="G331" i="20"/>
  <c r="CG331" i="20" s="1"/>
  <c r="CT330" i="20"/>
  <c r="AG330" i="20"/>
  <c r="CC330" i="20" s="1"/>
  <c r="AE330" i="20"/>
  <c r="AB330" i="20"/>
  <c r="W330" i="20"/>
  <c r="BA330" i="20" s="1"/>
  <c r="S330" i="20"/>
  <c r="P330" i="20"/>
  <c r="O330" i="20"/>
  <c r="N330" i="20"/>
  <c r="K330" i="20"/>
  <c r="J330" i="20"/>
  <c r="AS330" i="20" s="1"/>
  <c r="H330" i="20"/>
  <c r="AK330" i="20" s="1"/>
  <c r="G330" i="20"/>
  <c r="CG330" i="20" s="1"/>
  <c r="CT329" i="20"/>
  <c r="CC329" i="20"/>
  <c r="AB329" i="20"/>
  <c r="W329" i="20"/>
  <c r="BA329" i="20" s="1"/>
  <c r="S329" i="20"/>
  <c r="P329" i="20"/>
  <c r="O329" i="20"/>
  <c r="FX329" i="20" s="1"/>
  <c r="N329" i="20"/>
  <c r="K329" i="20"/>
  <c r="FZ329" i="20" s="1"/>
  <c r="J329" i="20"/>
  <c r="H329" i="20"/>
  <c r="AK329" i="20" s="1"/>
  <c r="G329" i="20"/>
  <c r="CG329" i="20" s="1"/>
  <c r="CT328" i="20"/>
  <c r="CC328" i="20"/>
  <c r="AB328" i="20"/>
  <c r="W328" i="20"/>
  <c r="X328" i="20" s="1"/>
  <c r="EL328" i="20" s="1"/>
  <c r="S328" i="20"/>
  <c r="P328" i="20"/>
  <c r="O328" i="20"/>
  <c r="FX328" i="20" s="1"/>
  <c r="N328" i="20"/>
  <c r="K328" i="20"/>
  <c r="J328" i="20"/>
  <c r="H328" i="20"/>
  <c r="G328" i="20"/>
  <c r="CG328" i="20" s="1"/>
  <c r="CT327" i="20"/>
  <c r="AG327" i="20"/>
  <c r="CC327" i="20" s="1"/>
  <c r="AE327" i="20"/>
  <c r="AB327" i="20"/>
  <c r="W327" i="20"/>
  <c r="X327" i="20" s="1"/>
  <c r="S327" i="20"/>
  <c r="P327" i="20"/>
  <c r="O327" i="20"/>
  <c r="N327" i="20"/>
  <c r="K327" i="20"/>
  <c r="J327" i="20"/>
  <c r="AS327" i="20" s="1"/>
  <c r="H327" i="20"/>
  <c r="G327" i="20"/>
  <c r="CT326" i="20"/>
  <c r="CC326" i="20"/>
  <c r="AB326" i="20"/>
  <c r="W326" i="20"/>
  <c r="BA326" i="20" s="1"/>
  <c r="S326" i="20"/>
  <c r="P326" i="20"/>
  <c r="O326" i="20"/>
  <c r="FX326" i="20" s="1"/>
  <c r="N326" i="20"/>
  <c r="K326" i="20"/>
  <c r="FZ326" i="20" s="1"/>
  <c r="J326" i="20"/>
  <c r="H326" i="20"/>
  <c r="G326" i="20"/>
  <c r="CG326" i="20" s="1"/>
  <c r="CT325" i="20"/>
  <c r="AG325" i="20"/>
  <c r="CC325" i="20" s="1"/>
  <c r="AE325" i="20"/>
  <c r="AB325" i="20"/>
  <c r="W325" i="20"/>
  <c r="BA325" i="20" s="1"/>
  <c r="S325" i="20"/>
  <c r="P325" i="20"/>
  <c r="O325" i="20"/>
  <c r="N325" i="20"/>
  <c r="K325" i="20"/>
  <c r="J325" i="20"/>
  <c r="AS325" i="20" s="1"/>
  <c r="H325" i="20"/>
  <c r="I325" i="20" s="1"/>
  <c r="G325" i="20"/>
  <c r="CG325" i="20" s="1"/>
  <c r="CT324" i="20"/>
  <c r="CC324" i="20"/>
  <c r="AB324" i="20"/>
  <c r="W324" i="20"/>
  <c r="BA324" i="20" s="1"/>
  <c r="S324" i="20"/>
  <c r="P324" i="20"/>
  <c r="O324" i="20"/>
  <c r="FX324" i="20" s="1"/>
  <c r="N324" i="20"/>
  <c r="K324" i="20"/>
  <c r="J324" i="20"/>
  <c r="H324" i="20"/>
  <c r="I324" i="20" s="1"/>
  <c r="G324" i="20"/>
  <c r="CG324" i="20" s="1"/>
  <c r="CT323" i="20"/>
  <c r="AG323" i="20"/>
  <c r="CC323" i="20" s="1"/>
  <c r="AE323" i="20"/>
  <c r="AB323" i="20"/>
  <c r="W323" i="20"/>
  <c r="X323" i="20" s="1"/>
  <c r="EL323" i="20" s="1"/>
  <c r="S323" i="20"/>
  <c r="P323" i="20"/>
  <c r="O323" i="20"/>
  <c r="FX323" i="20" s="1"/>
  <c r="N323" i="20"/>
  <c r="K323" i="20"/>
  <c r="CF323" i="20" s="1"/>
  <c r="J323" i="20"/>
  <c r="H323" i="20"/>
  <c r="I323" i="20" s="1"/>
  <c r="G323" i="20"/>
  <c r="CG323" i="20" s="1"/>
  <c r="CT322" i="20"/>
  <c r="CC322" i="20"/>
  <c r="AB322" i="20"/>
  <c r="W322" i="20"/>
  <c r="BA322" i="20" s="1"/>
  <c r="S322" i="20"/>
  <c r="P322" i="20"/>
  <c r="O322" i="20"/>
  <c r="N322" i="20"/>
  <c r="K322" i="20"/>
  <c r="J322" i="20"/>
  <c r="AS322" i="20" s="1"/>
  <c r="H322" i="20"/>
  <c r="G322" i="20"/>
  <c r="CG322" i="20" s="1"/>
  <c r="CT321" i="20"/>
  <c r="AG321" i="20"/>
  <c r="CC321" i="20" s="1"/>
  <c r="AE321" i="20"/>
  <c r="AB321" i="20"/>
  <c r="W321" i="20"/>
  <c r="BA321" i="20" s="1"/>
  <c r="S321" i="20"/>
  <c r="P321" i="20"/>
  <c r="O321" i="20"/>
  <c r="FX321" i="20" s="1"/>
  <c r="N321" i="20"/>
  <c r="K321" i="20"/>
  <c r="J321" i="20"/>
  <c r="AS321" i="20" s="1"/>
  <c r="H321" i="20"/>
  <c r="G321" i="20"/>
  <c r="CG321" i="20" s="1"/>
  <c r="CT320" i="20"/>
  <c r="CC320" i="20"/>
  <c r="AB320" i="20"/>
  <c r="W320" i="20"/>
  <c r="BA320" i="20" s="1"/>
  <c r="S320" i="20"/>
  <c r="P320" i="20"/>
  <c r="O320" i="20"/>
  <c r="N320" i="20"/>
  <c r="K320" i="20"/>
  <c r="J320" i="20"/>
  <c r="AS320" i="20" s="1"/>
  <c r="H320" i="20"/>
  <c r="G320" i="20"/>
  <c r="CG320" i="20" s="1"/>
  <c r="CT319" i="20"/>
  <c r="AI319" i="20"/>
  <c r="AG319" i="20"/>
  <c r="CC319" i="20" s="1"/>
  <c r="AE319" i="20"/>
  <c r="AB319" i="20"/>
  <c r="W319" i="20"/>
  <c r="S319" i="20"/>
  <c r="P319" i="20"/>
  <c r="O319" i="20"/>
  <c r="N319" i="20"/>
  <c r="K319" i="20"/>
  <c r="J319" i="20"/>
  <c r="AS319" i="20" s="1"/>
  <c r="H319" i="20"/>
  <c r="G319" i="20"/>
  <c r="CG319" i="20" s="1"/>
  <c r="CT318" i="20"/>
  <c r="AI318" i="20"/>
  <c r="AG318" i="20"/>
  <c r="CC318" i="20" s="1"/>
  <c r="AE318" i="20"/>
  <c r="AB318" i="20"/>
  <c r="W318" i="20"/>
  <c r="BA318" i="20" s="1"/>
  <c r="S318" i="20"/>
  <c r="P318" i="20"/>
  <c r="O318" i="20"/>
  <c r="N318" i="20"/>
  <c r="K318" i="20"/>
  <c r="J318" i="20"/>
  <c r="H318" i="20"/>
  <c r="I318" i="20" s="1"/>
  <c r="G318" i="20"/>
  <c r="CG318" i="20" s="1"/>
  <c r="CT317" i="20"/>
  <c r="AI317" i="20"/>
  <c r="AG317" i="20"/>
  <c r="AE317" i="20"/>
  <c r="AB317" i="20"/>
  <c r="W317" i="20"/>
  <c r="X317" i="20" s="1"/>
  <c r="EL317" i="20" s="1"/>
  <c r="S317" i="20"/>
  <c r="P317" i="20"/>
  <c r="O317" i="20"/>
  <c r="N317" i="20"/>
  <c r="K317" i="20"/>
  <c r="CF317" i="20" s="1"/>
  <c r="J317" i="20"/>
  <c r="AS317" i="20" s="1"/>
  <c r="H317" i="20"/>
  <c r="AK317" i="20" s="1"/>
  <c r="G317" i="20"/>
  <c r="CG317" i="20" s="1"/>
  <c r="CT316" i="20"/>
  <c r="AG316" i="20"/>
  <c r="CC316" i="20" s="1"/>
  <c r="AE316" i="20"/>
  <c r="AB316" i="20"/>
  <c r="W316" i="20"/>
  <c r="X316" i="20" s="1"/>
  <c r="EL316" i="20" s="1"/>
  <c r="S316" i="20"/>
  <c r="P316" i="20"/>
  <c r="O316" i="20"/>
  <c r="FX316" i="20" s="1"/>
  <c r="N316" i="20"/>
  <c r="K316" i="20"/>
  <c r="J316" i="20"/>
  <c r="AS316" i="20" s="1"/>
  <c r="H316" i="20"/>
  <c r="AK316" i="20" s="1"/>
  <c r="G316" i="20"/>
  <c r="CG316" i="20" s="1"/>
  <c r="CT315" i="20"/>
  <c r="AG315" i="20"/>
  <c r="AE315" i="20"/>
  <c r="AB315" i="20"/>
  <c r="W315" i="20"/>
  <c r="S315" i="20"/>
  <c r="P315" i="20"/>
  <c r="O315" i="20"/>
  <c r="FX315" i="20" s="1"/>
  <c r="N315" i="20"/>
  <c r="K315" i="20"/>
  <c r="J315" i="20"/>
  <c r="H315" i="20"/>
  <c r="G315" i="20"/>
  <c r="CG315" i="20" s="1"/>
  <c r="CT314" i="20"/>
  <c r="AG314" i="20"/>
  <c r="AB314" i="20"/>
  <c r="W314" i="20"/>
  <c r="S314" i="20"/>
  <c r="P314" i="20"/>
  <c r="O314" i="20"/>
  <c r="N314" i="20"/>
  <c r="K314" i="20"/>
  <c r="CF314" i="20" s="1"/>
  <c r="J314" i="20"/>
  <c r="H314" i="20"/>
  <c r="AK314" i="20" s="1"/>
  <c r="G314" i="20"/>
  <c r="CG314" i="20" s="1"/>
  <c r="CT313" i="20"/>
  <c r="CC313" i="20"/>
  <c r="AB313" i="20"/>
  <c r="W313" i="20"/>
  <c r="X313" i="20" s="1"/>
  <c r="EL313" i="20" s="1"/>
  <c r="S313" i="20"/>
  <c r="P313" i="20"/>
  <c r="O313" i="20"/>
  <c r="FX313" i="20" s="1"/>
  <c r="N313" i="20"/>
  <c r="K313" i="20"/>
  <c r="J313" i="20"/>
  <c r="AS313" i="20" s="1"/>
  <c r="H313" i="20"/>
  <c r="AK313" i="20" s="1"/>
  <c r="G313" i="20"/>
  <c r="CG313" i="20" s="1"/>
  <c r="CT312" i="20"/>
  <c r="CC312" i="20"/>
  <c r="AB312" i="20"/>
  <c r="W312" i="20"/>
  <c r="BA312" i="20" s="1"/>
  <c r="S312" i="20"/>
  <c r="P312" i="20"/>
  <c r="O312" i="20"/>
  <c r="N312" i="20"/>
  <c r="K312" i="20"/>
  <c r="J312" i="20"/>
  <c r="AS312" i="20" s="1"/>
  <c r="H312" i="20"/>
  <c r="G312" i="20"/>
  <c r="CG312" i="20" s="1"/>
  <c r="CT311" i="20"/>
  <c r="CC311" i="20"/>
  <c r="AB311" i="20"/>
  <c r="W311" i="20"/>
  <c r="X311" i="20" s="1"/>
  <c r="EL311" i="20" s="1"/>
  <c r="S311" i="20"/>
  <c r="P311" i="20"/>
  <c r="O311" i="20"/>
  <c r="FX311" i="20" s="1"/>
  <c r="N311" i="20"/>
  <c r="K311" i="20"/>
  <c r="CF311" i="20" s="1"/>
  <c r="J311" i="20"/>
  <c r="H311" i="20"/>
  <c r="G311" i="20"/>
  <c r="CG311" i="20" s="1"/>
  <c r="FA310" i="20"/>
  <c r="CT310" i="20"/>
  <c r="AI310" i="20"/>
  <c r="AG310" i="20"/>
  <c r="AE310" i="20"/>
  <c r="AB310" i="20"/>
  <c r="W310" i="20"/>
  <c r="BA310" i="20" s="1"/>
  <c r="S310" i="20"/>
  <c r="P310" i="20"/>
  <c r="O310" i="20"/>
  <c r="FX310" i="20" s="1"/>
  <c r="N310" i="20"/>
  <c r="K310" i="20"/>
  <c r="J310" i="20"/>
  <c r="AS310" i="20" s="1"/>
  <c r="H310" i="20"/>
  <c r="AK310" i="20" s="1"/>
  <c r="G310" i="20"/>
  <c r="CG310" i="20" s="1"/>
  <c r="CT309" i="20"/>
  <c r="AI309" i="20"/>
  <c r="AG309" i="20"/>
  <c r="AE309" i="20"/>
  <c r="AB309" i="20"/>
  <c r="W309" i="20"/>
  <c r="S309" i="20"/>
  <c r="P309" i="20"/>
  <c r="O309" i="20"/>
  <c r="N309" i="20"/>
  <c r="K309" i="20"/>
  <c r="J309" i="20"/>
  <c r="H309" i="20"/>
  <c r="G309" i="20"/>
  <c r="CG309" i="20" s="1"/>
  <c r="FA308" i="20"/>
  <c r="CT308" i="20"/>
  <c r="CC308" i="20"/>
  <c r="AB308" i="20"/>
  <c r="W308" i="20"/>
  <c r="BA308" i="20" s="1"/>
  <c r="S308" i="20"/>
  <c r="P308" i="20"/>
  <c r="O308" i="20"/>
  <c r="N308" i="20"/>
  <c r="K308" i="20"/>
  <c r="J308" i="20"/>
  <c r="H308" i="20"/>
  <c r="G308" i="20"/>
  <c r="CG308" i="20" s="1"/>
  <c r="CT307" i="20"/>
  <c r="CC307" i="20"/>
  <c r="AB307" i="20"/>
  <c r="W307" i="20"/>
  <c r="X307" i="20" s="1"/>
  <c r="EL307" i="20" s="1"/>
  <c r="S307" i="20"/>
  <c r="P307" i="20"/>
  <c r="O307" i="20"/>
  <c r="FX307" i="20" s="1"/>
  <c r="N307" i="20"/>
  <c r="K307" i="20"/>
  <c r="EA307" i="20" s="1"/>
  <c r="J307" i="20"/>
  <c r="H307" i="20"/>
  <c r="G307" i="20"/>
  <c r="CG307" i="20" s="1"/>
  <c r="FA306" i="20"/>
  <c r="CT306" i="20"/>
  <c r="AG306" i="20"/>
  <c r="CC306" i="20" s="1"/>
  <c r="AE306" i="20"/>
  <c r="AB306" i="20"/>
  <c r="W306" i="20"/>
  <c r="BA306" i="20" s="1"/>
  <c r="S306" i="20"/>
  <c r="P306" i="20"/>
  <c r="O306" i="20"/>
  <c r="FX306" i="20" s="1"/>
  <c r="N306" i="20"/>
  <c r="K306" i="20"/>
  <c r="CF306" i="20" s="1"/>
  <c r="J306" i="20"/>
  <c r="H306" i="20"/>
  <c r="AK306" i="20" s="1"/>
  <c r="G306" i="20"/>
  <c r="CG306" i="20" s="1"/>
  <c r="CT305" i="20"/>
  <c r="AG305" i="20"/>
  <c r="CC305" i="20" s="1"/>
  <c r="AE305" i="20"/>
  <c r="AB305" i="20"/>
  <c r="W305" i="20"/>
  <c r="BA305" i="20" s="1"/>
  <c r="S305" i="20"/>
  <c r="P305" i="20"/>
  <c r="O305" i="20"/>
  <c r="N305" i="20"/>
  <c r="K305" i="20"/>
  <c r="CF305" i="20" s="1"/>
  <c r="J305" i="20"/>
  <c r="H305" i="20"/>
  <c r="AK305" i="20" s="1"/>
  <c r="G305" i="20"/>
  <c r="CG305" i="20" s="1"/>
  <c r="FA304" i="20"/>
  <c r="CT304" i="20"/>
  <c r="CC304" i="20"/>
  <c r="AB304" i="20"/>
  <c r="W304" i="20"/>
  <c r="BA304" i="20" s="1"/>
  <c r="S304" i="20"/>
  <c r="P304" i="20"/>
  <c r="O304" i="20"/>
  <c r="N304" i="20"/>
  <c r="K304" i="20"/>
  <c r="EA304" i="20" s="1"/>
  <c r="J304" i="20"/>
  <c r="H304" i="20"/>
  <c r="G304" i="20"/>
  <c r="CG304" i="20" s="1"/>
  <c r="CT303" i="20"/>
  <c r="CC303" i="20"/>
  <c r="AB303" i="20"/>
  <c r="W303" i="20"/>
  <c r="BA303" i="20" s="1"/>
  <c r="S303" i="20"/>
  <c r="P303" i="20"/>
  <c r="O303" i="20"/>
  <c r="FX303" i="20" s="1"/>
  <c r="N303" i="20"/>
  <c r="K303" i="20"/>
  <c r="CD303" i="20" s="1"/>
  <c r="J303" i="20"/>
  <c r="AS303" i="20" s="1"/>
  <c r="H303" i="20"/>
  <c r="G303" i="20"/>
  <c r="CG303" i="20" s="1"/>
  <c r="FA302" i="20"/>
  <c r="CT302" i="20"/>
  <c r="AG302" i="20"/>
  <c r="AE302" i="20"/>
  <c r="AB302" i="20"/>
  <c r="W302" i="20"/>
  <c r="S302" i="20"/>
  <c r="P302" i="20"/>
  <c r="O302" i="20"/>
  <c r="N302" i="20"/>
  <c r="K302" i="20"/>
  <c r="J302" i="20"/>
  <c r="AS302" i="20" s="1"/>
  <c r="H302" i="20"/>
  <c r="G302" i="20"/>
  <c r="CG302" i="20" s="1"/>
  <c r="CT301" i="20"/>
  <c r="AG301" i="20"/>
  <c r="AE301" i="20"/>
  <c r="AB301" i="20"/>
  <c r="W301" i="20"/>
  <c r="X301" i="20" s="1"/>
  <c r="EL301" i="20" s="1"/>
  <c r="S301" i="20"/>
  <c r="P301" i="20"/>
  <c r="O301" i="20"/>
  <c r="FX301" i="20" s="1"/>
  <c r="N301" i="20"/>
  <c r="K301" i="20"/>
  <c r="J301" i="20"/>
  <c r="AS301" i="20" s="1"/>
  <c r="H301" i="20"/>
  <c r="G301" i="20"/>
  <c r="CG301" i="20" s="1"/>
  <c r="FA300" i="20"/>
  <c r="CT300" i="20"/>
  <c r="CC300" i="20"/>
  <c r="AB300" i="20"/>
  <c r="W300" i="20"/>
  <c r="BA300" i="20" s="1"/>
  <c r="S300" i="20"/>
  <c r="P300" i="20"/>
  <c r="O300" i="20"/>
  <c r="N300" i="20"/>
  <c r="K300" i="20"/>
  <c r="CD300" i="20" s="1"/>
  <c r="J300" i="20"/>
  <c r="H300" i="20"/>
  <c r="I300" i="20" s="1"/>
  <c r="G300" i="20"/>
  <c r="CG300" i="20" s="1"/>
  <c r="CT299" i="20"/>
  <c r="CC299" i="20"/>
  <c r="AB299" i="20"/>
  <c r="W299" i="20"/>
  <c r="S299" i="20"/>
  <c r="P299" i="20"/>
  <c r="O299" i="20"/>
  <c r="N299" i="20"/>
  <c r="K299" i="20"/>
  <c r="CF299" i="20" s="1"/>
  <c r="J299" i="20"/>
  <c r="H299" i="20"/>
  <c r="G299" i="20"/>
  <c r="CG299" i="20" s="1"/>
  <c r="FA298" i="20"/>
  <c r="CT298" i="20"/>
  <c r="AG298" i="20"/>
  <c r="AE298" i="20"/>
  <c r="AB298" i="20"/>
  <c r="W298" i="20"/>
  <c r="BA298" i="20" s="1"/>
  <c r="S298" i="20"/>
  <c r="P298" i="20"/>
  <c r="O298" i="20"/>
  <c r="FX298" i="20" s="1"/>
  <c r="N298" i="20"/>
  <c r="K298" i="20"/>
  <c r="J298" i="20"/>
  <c r="AS298" i="20" s="1"/>
  <c r="H298" i="20"/>
  <c r="I298" i="20" s="1"/>
  <c r="G298" i="20"/>
  <c r="CG298" i="20" s="1"/>
  <c r="FA297" i="20"/>
  <c r="CT297" i="20"/>
  <c r="AG297" i="20"/>
  <c r="CC297" i="20" s="1"/>
  <c r="AE297" i="20"/>
  <c r="AB297" i="20"/>
  <c r="W297" i="20"/>
  <c r="S297" i="20"/>
  <c r="P297" i="20"/>
  <c r="O297" i="20"/>
  <c r="N297" i="20"/>
  <c r="K297" i="20"/>
  <c r="J297" i="20"/>
  <c r="H297" i="20"/>
  <c r="I297" i="20" s="1"/>
  <c r="G297" i="20"/>
  <c r="CG297" i="20" s="1"/>
  <c r="CT296" i="20"/>
  <c r="AG296" i="20"/>
  <c r="CC296" i="20" s="1"/>
  <c r="AE296" i="20"/>
  <c r="AB296" i="20"/>
  <c r="W296" i="20"/>
  <c r="BA296" i="20" s="1"/>
  <c r="S296" i="20"/>
  <c r="P296" i="20"/>
  <c r="O296" i="20"/>
  <c r="N296" i="20"/>
  <c r="K296" i="20"/>
  <c r="J296" i="20"/>
  <c r="H296" i="20"/>
  <c r="I296" i="20" s="1"/>
  <c r="G296" i="20"/>
  <c r="CG296" i="20" s="1"/>
  <c r="CT295" i="20"/>
  <c r="AG295" i="20"/>
  <c r="CC295" i="20" s="1"/>
  <c r="AE295" i="20"/>
  <c r="AB295" i="20"/>
  <c r="W295" i="20"/>
  <c r="BA295" i="20" s="1"/>
  <c r="S295" i="20"/>
  <c r="P295" i="20"/>
  <c r="O295" i="20"/>
  <c r="N295" i="20"/>
  <c r="K295" i="20"/>
  <c r="CF295" i="20" s="1"/>
  <c r="J295" i="20"/>
  <c r="H295" i="20"/>
  <c r="I295" i="20" s="1"/>
  <c r="G295" i="20"/>
  <c r="CG295" i="20" s="1"/>
  <c r="FA294" i="20"/>
  <c r="CT294" i="20"/>
  <c r="AG294" i="20"/>
  <c r="CC294" i="20" s="1"/>
  <c r="AE294" i="20"/>
  <c r="AB294" i="20"/>
  <c r="W294" i="20"/>
  <c r="X294" i="20" s="1"/>
  <c r="EL294" i="20" s="1"/>
  <c r="S294" i="20"/>
  <c r="P294" i="20"/>
  <c r="O294" i="20"/>
  <c r="N294" i="20"/>
  <c r="K294" i="20"/>
  <c r="J294" i="20"/>
  <c r="AS294" i="20" s="1"/>
  <c r="H294" i="20"/>
  <c r="G294" i="20"/>
  <c r="CG294" i="20" s="1"/>
  <c r="FA293" i="20"/>
  <c r="CT293" i="20"/>
  <c r="AG293" i="20"/>
  <c r="CC293" i="20" s="1"/>
  <c r="AE293" i="20"/>
  <c r="AB293" i="20"/>
  <c r="W293" i="20"/>
  <c r="S293" i="20"/>
  <c r="P293" i="20"/>
  <c r="O293" i="20"/>
  <c r="FX293" i="20" s="1"/>
  <c r="N293" i="20"/>
  <c r="K293" i="20"/>
  <c r="J293" i="20"/>
  <c r="AS293" i="20" s="1"/>
  <c r="H293" i="20"/>
  <c r="G293" i="20"/>
  <c r="CG293" i="20" s="1"/>
  <c r="CT292" i="20"/>
  <c r="AG292" i="20"/>
  <c r="CC292" i="20" s="1"/>
  <c r="AE292" i="20"/>
  <c r="AB292" i="20"/>
  <c r="W292" i="20"/>
  <c r="S292" i="20"/>
  <c r="P292" i="20"/>
  <c r="O292" i="20"/>
  <c r="N292" i="20"/>
  <c r="K292" i="20"/>
  <c r="J292" i="20"/>
  <c r="AS292" i="20" s="1"/>
  <c r="H292" i="20"/>
  <c r="G292" i="20"/>
  <c r="CG292" i="20" s="1"/>
  <c r="CT291" i="20"/>
  <c r="AG291" i="20"/>
  <c r="CC291" i="20" s="1"/>
  <c r="AE291" i="20"/>
  <c r="AB291" i="20"/>
  <c r="W291" i="20"/>
  <c r="BA291" i="20" s="1"/>
  <c r="S291" i="20"/>
  <c r="P291" i="20"/>
  <c r="O291" i="20"/>
  <c r="FX291" i="20" s="1"/>
  <c r="N291" i="20"/>
  <c r="K291" i="20"/>
  <c r="J291" i="20"/>
  <c r="H291" i="20"/>
  <c r="G291" i="20"/>
  <c r="CG291" i="20" s="1"/>
  <c r="FA290" i="20"/>
  <c r="CT290" i="20"/>
  <c r="CC290" i="20"/>
  <c r="AB290" i="20"/>
  <c r="W290" i="20"/>
  <c r="BA290" i="20" s="1"/>
  <c r="S290" i="20"/>
  <c r="P290" i="20"/>
  <c r="O290" i="20"/>
  <c r="FX290" i="20" s="1"/>
  <c r="N290" i="20"/>
  <c r="K290" i="20"/>
  <c r="EA290" i="20" s="1"/>
  <c r="J290" i="20"/>
  <c r="H290" i="20"/>
  <c r="I290" i="20" s="1"/>
  <c r="DI290" i="20" s="1"/>
  <c r="G290" i="20"/>
  <c r="CG290" i="20" s="1"/>
  <c r="FA289" i="20"/>
  <c r="CT289" i="20"/>
  <c r="CC289" i="20"/>
  <c r="AB289" i="20"/>
  <c r="W289" i="20"/>
  <c r="X289" i="20" s="1"/>
  <c r="EL289" i="20" s="1"/>
  <c r="S289" i="20"/>
  <c r="P289" i="20"/>
  <c r="O289" i="20"/>
  <c r="FX289" i="20" s="1"/>
  <c r="N289" i="20"/>
  <c r="K289" i="20"/>
  <c r="J289" i="20"/>
  <c r="AS289" i="20" s="1"/>
  <c r="H289" i="20"/>
  <c r="G289" i="20"/>
  <c r="CG289" i="20" s="1"/>
  <c r="CT288" i="20"/>
  <c r="CC288" i="20"/>
  <c r="AB288" i="20"/>
  <c r="W288" i="20"/>
  <c r="X288" i="20" s="1"/>
  <c r="S288" i="20"/>
  <c r="P288" i="20"/>
  <c r="O288" i="20"/>
  <c r="N288" i="20"/>
  <c r="K288" i="20"/>
  <c r="J288" i="20"/>
  <c r="AS288" i="20" s="1"/>
  <c r="H288" i="20"/>
  <c r="G288" i="20"/>
  <c r="CG288" i="20" s="1"/>
  <c r="CT287" i="20"/>
  <c r="CC287" i="20"/>
  <c r="AB287" i="20"/>
  <c r="W287" i="20"/>
  <c r="BA287" i="20" s="1"/>
  <c r="S287" i="20"/>
  <c r="P287" i="20"/>
  <c r="DY287" i="20" s="1"/>
  <c r="O287" i="20"/>
  <c r="N287" i="20"/>
  <c r="K287" i="20"/>
  <c r="FZ287" i="20" s="1"/>
  <c r="J287" i="20"/>
  <c r="H287" i="20"/>
  <c r="G287" i="20"/>
  <c r="CG287" i="20" s="1"/>
  <c r="CT286" i="20"/>
  <c r="AG286" i="20"/>
  <c r="CC286" i="20" s="1"/>
  <c r="AE286" i="20"/>
  <c r="AB286" i="20"/>
  <c r="W286" i="20"/>
  <c r="BA286" i="20" s="1"/>
  <c r="S286" i="20"/>
  <c r="P286" i="20"/>
  <c r="O286" i="20"/>
  <c r="FX286" i="20" s="1"/>
  <c r="N286" i="20"/>
  <c r="K286" i="20"/>
  <c r="CF286" i="20" s="1"/>
  <c r="J286" i="20"/>
  <c r="AS286" i="20" s="1"/>
  <c r="H286" i="20"/>
  <c r="G286" i="20"/>
  <c r="CG286" i="20" s="1"/>
  <c r="CT285" i="20"/>
  <c r="CC285" i="20"/>
  <c r="AB285" i="20"/>
  <c r="W285" i="20"/>
  <c r="BA285" i="20" s="1"/>
  <c r="S285" i="20"/>
  <c r="P285" i="20"/>
  <c r="O285" i="20"/>
  <c r="FX285" i="20" s="1"/>
  <c r="N285" i="20"/>
  <c r="K285" i="20"/>
  <c r="J285" i="20"/>
  <c r="AS285" i="20" s="1"/>
  <c r="H285" i="20"/>
  <c r="I285" i="20" s="1"/>
  <c r="G285" i="20"/>
  <c r="CG285" i="20" s="1"/>
  <c r="CT284" i="20"/>
  <c r="AG284" i="20"/>
  <c r="CC284" i="20" s="1"/>
  <c r="AE284" i="20"/>
  <c r="AB284" i="20"/>
  <c r="W284" i="20"/>
  <c r="X284" i="20" s="1"/>
  <c r="EL284" i="20" s="1"/>
  <c r="S284" i="20"/>
  <c r="P284" i="20"/>
  <c r="O284" i="20"/>
  <c r="N284" i="20"/>
  <c r="K284" i="20"/>
  <c r="J284" i="20"/>
  <c r="AS284" i="20" s="1"/>
  <c r="H284" i="20"/>
  <c r="I284" i="20" s="1"/>
  <c r="G284" i="20"/>
  <c r="CG284" i="20" s="1"/>
  <c r="CT283" i="20"/>
  <c r="CC283" i="20"/>
  <c r="AB283" i="20"/>
  <c r="W283" i="20"/>
  <c r="BA283" i="20" s="1"/>
  <c r="S283" i="20"/>
  <c r="P283" i="20"/>
  <c r="O283" i="20"/>
  <c r="N283" i="20"/>
  <c r="K283" i="20"/>
  <c r="CD283" i="20" s="1"/>
  <c r="J283" i="20"/>
  <c r="H283" i="20"/>
  <c r="AK283" i="20" s="1"/>
  <c r="G283" i="20"/>
  <c r="CG283" i="20" s="1"/>
  <c r="CT282" i="20"/>
  <c r="AG282" i="20"/>
  <c r="CC282" i="20" s="1"/>
  <c r="AE282" i="20"/>
  <c r="AB282" i="20"/>
  <c r="W282" i="20"/>
  <c r="BA282" i="20" s="1"/>
  <c r="S282" i="20"/>
  <c r="P282" i="20"/>
  <c r="O282" i="20"/>
  <c r="N282" i="20"/>
  <c r="K282" i="20"/>
  <c r="CF282" i="20" s="1"/>
  <c r="J282" i="20"/>
  <c r="AS282" i="20" s="1"/>
  <c r="H282" i="20"/>
  <c r="AK282" i="20" s="1"/>
  <c r="G282" i="20"/>
  <c r="CG282" i="20" s="1"/>
  <c r="CT281" i="20"/>
  <c r="CC281" i="20"/>
  <c r="AB281" i="20"/>
  <c r="W281" i="20"/>
  <c r="X281" i="20" s="1"/>
  <c r="EL281" i="20" s="1"/>
  <c r="S281" i="20"/>
  <c r="P281" i="20"/>
  <c r="O281" i="20"/>
  <c r="N281" i="20"/>
  <c r="K281" i="20"/>
  <c r="J281" i="20"/>
  <c r="AS281" i="20" s="1"/>
  <c r="H281" i="20"/>
  <c r="G281" i="20"/>
  <c r="CG281" i="20" s="1"/>
  <c r="CT280" i="20"/>
  <c r="AG280" i="20"/>
  <c r="CC280" i="20" s="1"/>
  <c r="AE280" i="20"/>
  <c r="AB280" i="20"/>
  <c r="W280" i="20"/>
  <c r="X280" i="20" s="1"/>
  <c r="EL280" i="20" s="1"/>
  <c r="S280" i="20"/>
  <c r="P280" i="20"/>
  <c r="O280" i="20"/>
  <c r="N280" i="20"/>
  <c r="K280" i="20"/>
  <c r="J280" i="20"/>
  <c r="AS280" i="20" s="1"/>
  <c r="H280" i="20"/>
  <c r="AK280" i="20" s="1"/>
  <c r="G280" i="20"/>
  <c r="CT279" i="20"/>
  <c r="CC279" i="20"/>
  <c r="AB279" i="20"/>
  <c r="W279" i="20"/>
  <c r="S279" i="20"/>
  <c r="P279" i="20"/>
  <c r="O279" i="20"/>
  <c r="N279" i="20"/>
  <c r="K279" i="20"/>
  <c r="FZ279" i="20" s="1"/>
  <c r="J279" i="20"/>
  <c r="H279" i="20"/>
  <c r="AK279" i="20" s="1"/>
  <c r="G279" i="20"/>
  <c r="CG279" i="20" s="1"/>
  <c r="CT278" i="20"/>
  <c r="AH278" i="20"/>
  <c r="AG278" i="20"/>
  <c r="CC278" i="20" s="1"/>
  <c r="AE278" i="20"/>
  <c r="AB278" i="20"/>
  <c r="W278" i="20"/>
  <c r="BA278" i="20" s="1"/>
  <c r="S278" i="20"/>
  <c r="P278" i="20"/>
  <c r="O278" i="20"/>
  <c r="FX278" i="20" s="1"/>
  <c r="N278" i="20"/>
  <c r="K278" i="20"/>
  <c r="J278" i="20"/>
  <c r="AS278" i="20" s="1"/>
  <c r="H278" i="20"/>
  <c r="G278" i="20"/>
  <c r="CG278" i="20" s="1"/>
  <c r="CT277" i="20"/>
  <c r="AG277" i="20"/>
  <c r="AE277" i="20"/>
  <c r="AB277" i="20"/>
  <c r="W277" i="20"/>
  <c r="S277" i="20"/>
  <c r="P277" i="20"/>
  <c r="O277" i="20"/>
  <c r="FX277" i="20" s="1"/>
  <c r="N277" i="20"/>
  <c r="K277" i="20"/>
  <c r="J277" i="20"/>
  <c r="AS277" i="20" s="1"/>
  <c r="H277" i="20"/>
  <c r="G277" i="20"/>
  <c r="CG277" i="20" s="1"/>
  <c r="CT276" i="20"/>
  <c r="AG276" i="20"/>
  <c r="AE276" i="20"/>
  <c r="AB276" i="20"/>
  <c r="W276" i="20"/>
  <c r="S276" i="20"/>
  <c r="P276" i="20"/>
  <c r="O276" i="20"/>
  <c r="FX276" i="20" s="1"/>
  <c r="N276" i="20"/>
  <c r="K276" i="20"/>
  <c r="J276" i="20"/>
  <c r="AS276" i="20" s="1"/>
  <c r="H276" i="20"/>
  <c r="AK276" i="20" s="1"/>
  <c r="G276" i="20"/>
  <c r="CG276" i="20" s="1"/>
  <c r="CT275" i="20"/>
  <c r="CC275" i="20"/>
  <c r="AB275" i="20"/>
  <c r="W275" i="20"/>
  <c r="BA275" i="20" s="1"/>
  <c r="S275" i="20"/>
  <c r="P275" i="20"/>
  <c r="O275" i="20"/>
  <c r="FX275" i="20" s="1"/>
  <c r="N275" i="20"/>
  <c r="K275" i="20"/>
  <c r="CF275" i="20" s="1"/>
  <c r="J275" i="20"/>
  <c r="AS275" i="20" s="1"/>
  <c r="H275" i="20"/>
  <c r="G275" i="20"/>
  <c r="CG275" i="20" s="1"/>
  <c r="CT274" i="20"/>
  <c r="AH274" i="20"/>
  <c r="AG274" i="20"/>
  <c r="CC274" i="20" s="1"/>
  <c r="AE274" i="20"/>
  <c r="AB274" i="20"/>
  <c r="W274" i="20"/>
  <c r="S274" i="20"/>
  <c r="P274" i="20"/>
  <c r="O274" i="20"/>
  <c r="N274" i="20"/>
  <c r="K274" i="20"/>
  <c r="CF274" i="20" s="1"/>
  <c r="J274" i="20"/>
  <c r="H274" i="20"/>
  <c r="I274" i="20" s="1"/>
  <c r="G274" i="20"/>
  <c r="CG274" i="20" s="1"/>
  <c r="CT273" i="20"/>
  <c r="AG273" i="20"/>
  <c r="CC273" i="20" s="1"/>
  <c r="AE273" i="20"/>
  <c r="AB273" i="20"/>
  <c r="W273" i="20"/>
  <c r="S273" i="20"/>
  <c r="P273" i="20"/>
  <c r="O273" i="20"/>
  <c r="FX273" i="20" s="1"/>
  <c r="N273" i="20"/>
  <c r="K273" i="20"/>
  <c r="CF273" i="20" s="1"/>
  <c r="J273" i="20"/>
  <c r="H273" i="20"/>
  <c r="G273" i="20"/>
  <c r="CG273" i="20" s="1"/>
  <c r="CT272" i="20"/>
  <c r="CC272" i="20"/>
  <c r="AB272" i="20"/>
  <c r="W272" i="20"/>
  <c r="BA272" i="20" s="1"/>
  <c r="S272" i="20"/>
  <c r="P272" i="20"/>
  <c r="O272" i="20"/>
  <c r="FX272" i="20" s="1"/>
  <c r="N272" i="20"/>
  <c r="K272" i="20"/>
  <c r="EA272" i="20" s="1"/>
  <c r="J272" i="20"/>
  <c r="AS272" i="20" s="1"/>
  <c r="H272" i="20"/>
  <c r="G272" i="20"/>
  <c r="CG272" i="20" s="1"/>
  <c r="CT271" i="20"/>
  <c r="AH271" i="20"/>
  <c r="AG271" i="20"/>
  <c r="CC271" i="20" s="1"/>
  <c r="AE271" i="20"/>
  <c r="AB271" i="20"/>
  <c r="W271" i="20"/>
  <c r="S271" i="20"/>
  <c r="P271" i="20"/>
  <c r="O271" i="20"/>
  <c r="N271" i="20"/>
  <c r="K271" i="20"/>
  <c r="J271" i="20"/>
  <c r="H271" i="20"/>
  <c r="I271" i="20" s="1"/>
  <c r="G271" i="20"/>
  <c r="CG271" i="20" s="1"/>
  <c r="CT270" i="20"/>
  <c r="AG270" i="20"/>
  <c r="CC270" i="20" s="1"/>
  <c r="AE270" i="20"/>
  <c r="AB270" i="20"/>
  <c r="W270" i="20"/>
  <c r="X270" i="20" s="1"/>
  <c r="EL270" i="20" s="1"/>
  <c r="S270" i="20"/>
  <c r="P270" i="20"/>
  <c r="O270" i="20"/>
  <c r="N270" i="20"/>
  <c r="K270" i="20"/>
  <c r="CF270" i="20" s="1"/>
  <c r="J270" i="20"/>
  <c r="H270" i="20"/>
  <c r="AK270" i="20" s="1"/>
  <c r="G270" i="20"/>
  <c r="CG270" i="20" s="1"/>
  <c r="CT269" i="20"/>
  <c r="AG269" i="20"/>
  <c r="CC269" i="20" s="1"/>
  <c r="AE269" i="20"/>
  <c r="AB269" i="20"/>
  <c r="W269" i="20"/>
  <c r="BA269" i="20" s="1"/>
  <c r="S269" i="20"/>
  <c r="P269" i="20"/>
  <c r="O269" i="20"/>
  <c r="N269" i="20"/>
  <c r="K269" i="20"/>
  <c r="J269" i="20"/>
  <c r="H269" i="20"/>
  <c r="G269" i="20"/>
  <c r="CG269" i="20" s="1"/>
  <c r="CT268" i="20"/>
  <c r="CC268" i="20"/>
  <c r="AB268" i="20"/>
  <c r="W268" i="20"/>
  <c r="S268" i="20"/>
  <c r="P268" i="20"/>
  <c r="O268" i="20"/>
  <c r="FX268" i="20" s="1"/>
  <c r="N268" i="20"/>
  <c r="K268" i="20"/>
  <c r="J268" i="20"/>
  <c r="AS268" i="20" s="1"/>
  <c r="H268" i="20"/>
  <c r="AK268" i="20" s="1"/>
  <c r="G268" i="20"/>
  <c r="CG268" i="20" s="1"/>
  <c r="CT267" i="20"/>
  <c r="AG267" i="20"/>
  <c r="CC267" i="20" s="1"/>
  <c r="AE267" i="20"/>
  <c r="AB267" i="20"/>
  <c r="W267" i="20"/>
  <c r="BA267" i="20" s="1"/>
  <c r="S267" i="20"/>
  <c r="P267" i="20"/>
  <c r="O267" i="20"/>
  <c r="FX267" i="20" s="1"/>
  <c r="N267" i="20"/>
  <c r="K267" i="20"/>
  <c r="J267" i="20"/>
  <c r="AS267" i="20" s="1"/>
  <c r="H267" i="20"/>
  <c r="G267" i="20"/>
  <c r="CG267" i="20" s="1"/>
  <c r="CT266" i="20"/>
  <c r="CC266" i="20"/>
  <c r="AB266" i="20"/>
  <c r="W266" i="20"/>
  <c r="S266" i="20"/>
  <c r="P266" i="20"/>
  <c r="O266" i="20"/>
  <c r="N266" i="20"/>
  <c r="K266" i="20"/>
  <c r="CD266" i="20" s="1"/>
  <c r="J266" i="20"/>
  <c r="H266" i="20"/>
  <c r="G266" i="20"/>
  <c r="CG266" i="20" s="1"/>
  <c r="CT265" i="20"/>
  <c r="AG265" i="20"/>
  <c r="CC265" i="20" s="1"/>
  <c r="AE265" i="20"/>
  <c r="AB265" i="20"/>
  <c r="W265" i="20"/>
  <c r="BA265" i="20" s="1"/>
  <c r="S265" i="20"/>
  <c r="P265" i="20"/>
  <c r="O265" i="20"/>
  <c r="N265" i="20"/>
  <c r="K265" i="20"/>
  <c r="CF265" i="20" s="1"/>
  <c r="J265" i="20"/>
  <c r="AS265" i="20" s="1"/>
  <c r="H265" i="20"/>
  <c r="I265" i="20" s="1"/>
  <c r="DI265" i="20" s="1"/>
  <c r="G265" i="20"/>
  <c r="CG265" i="20" s="1"/>
  <c r="CT264" i="20"/>
  <c r="AG264" i="20"/>
  <c r="CC264" i="20" s="1"/>
  <c r="AE264" i="20"/>
  <c r="AB264" i="20"/>
  <c r="W264" i="20"/>
  <c r="BA264" i="20" s="1"/>
  <c r="S264" i="20"/>
  <c r="P264" i="20"/>
  <c r="O264" i="20"/>
  <c r="FX264" i="20" s="1"/>
  <c r="N264" i="20"/>
  <c r="K264" i="20"/>
  <c r="CF264" i="20" s="1"/>
  <c r="J264" i="20"/>
  <c r="AS264" i="20" s="1"/>
  <c r="H264" i="20"/>
  <c r="G264" i="20"/>
  <c r="CG264" i="20" s="1"/>
  <c r="CT263" i="20"/>
  <c r="AG263" i="20"/>
  <c r="CC263" i="20" s="1"/>
  <c r="AE263" i="20"/>
  <c r="AB263" i="20"/>
  <c r="W263" i="20"/>
  <c r="BA263" i="20" s="1"/>
  <c r="S263" i="20"/>
  <c r="P263" i="20"/>
  <c r="O263" i="20"/>
  <c r="FX263" i="20" s="1"/>
  <c r="N263" i="20"/>
  <c r="K263" i="20"/>
  <c r="J263" i="20"/>
  <c r="AS263" i="20" s="1"/>
  <c r="H263" i="20"/>
  <c r="G263" i="20"/>
  <c r="CG263" i="20" s="1"/>
  <c r="CT262" i="20"/>
  <c r="AG262" i="20"/>
  <c r="CC262" i="20" s="1"/>
  <c r="AE262" i="20"/>
  <c r="AB262" i="20"/>
  <c r="W262" i="20"/>
  <c r="BA262" i="20" s="1"/>
  <c r="S262" i="20"/>
  <c r="P262" i="20"/>
  <c r="O262" i="20"/>
  <c r="FX262" i="20" s="1"/>
  <c r="N262" i="20"/>
  <c r="K262" i="20"/>
  <c r="CF262" i="20" s="1"/>
  <c r="J262" i="20"/>
  <c r="AS262" i="20" s="1"/>
  <c r="H262" i="20"/>
  <c r="AK262" i="20" s="1"/>
  <c r="G262" i="20"/>
  <c r="CG262" i="20" s="1"/>
  <c r="CT261" i="20"/>
  <c r="CC261" i="20"/>
  <c r="AB261" i="20"/>
  <c r="W261" i="20"/>
  <c r="BA261" i="20" s="1"/>
  <c r="S261" i="20"/>
  <c r="P261" i="20"/>
  <c r="O261" i="20"/>
  <c r="N261" i="20"/>
  <c r="K261" i="20"/>
  <c r="FZ261" i="20" s="1"/>
  <c r="J261" i="20"/>
  <c r="H261" i="20"/>
  <c r="AK261" i="20" s="1"/>
  <c r="G261" i="20"/>
  <c r="CG261" i="20" s="1"/>
  <c r="CT260" i="20"/>
  <c r="CC260" i="20"/>
  <c r="AB260" i="20"/>
  <c r="W260" i="20"/>
  <c r="X260" i="20" s="1"/>
  <c r="EL260" i="20" s="1"/>
  <c r="S260" i="20"/>
  <c r="P260" i="20"/>
  <c r="O260" i="20"/>
  <c r="N260" i="20"/>
  <c r="K260" i="20"/>
  <c r="CD260" i="20" s="1"/>
  <c r="J260" i="20"/>
  <c r="AS260" i="20" s="1"/>
  <c r="H260" i="20"/>
  <c r="G260" i="20"/>
  <c r="CG260" i="20" s="1"/>
  <c r="CT259" i="20"/>
  <c r="AG259" i="20"/>
  <c r="CC259" i="20" s="1"/>
  <c r="AE259" i="20"/>
  <c r="AB259" i="20"/>
  <c r="W259" i="20"/>
  <c r="BA259" i="20" s="1"/>
  <c r="S259" i="20"/>
  <c r="P259" i="20"/>
  <c r="O259" i="20"/>
  <c r="FX259" i="20" s="1"/>
  <c r="N259" i="20"/>
  <c r="K259" i="20"/>
  <c r="CF259" i="20" s="1"/>
  <c r="J259" i="20"/>
  <c r="AS259" i="20" s="1"/>
  <c r="H259" i="20"/>
  <c r="G259" i="20"/>
  <c r="CG259" i="20" s="1"/>
  <c r="CT258" i="20"/>
  <c r="AG258" i="20"/>
  <c r="CC258" i="20" s="1"/>
  <c r="AE258" i="20"/>
  <c r="AB258" i="20"/>
  <c r="W258" i="20"/>
  <c r="BA258" i="20" s="1"/>
  <c r="S258" i="20"/>
  <c r="P258" i="20"/>
  <c r="O258" i="20"/>
  <c r="FX258" i="20" s="1"/>
  <c r="N258" i="20"/>
  <c r="K258" i="20"/>
  <c r="CF258" i="20" s="1"/>
  <c r="J258" i="20"/>
  <c r="AS258" i="20" s="1"/>
  <c r="H258" i="20"/>
  <c r="G258" i="20"/>
  <c r="CG258" i="20" s="1"/>
  <c r="CT257" i="20"/>
  <c r="AG257" i="20"/>
  <c r="CC257" i="20" s="1"/>
  <c r="AE257" i="20"/>
  <c r="AB257" i="20"/>
  <c r="W257" i="20"/>
  <c r="BA257" i="20" s="1"/>
  <c r="S257" i="20"/>
  <c r="P257" i="20"/>
  <c r="O257" i="20"/>
  <c r="N257" i="20"/>
  <c r="K257" i="20"/>
  <c r="CF257" i="20" s="1"/>
  <c r="J257" i="20"/>
  <c r="AS257" i="20" s="1"/>
  <c r="H257" i="20"/>
  <c r="G257" i="20"/>
  <c r="CG257" i="20" s="1"/>
  <c r="CT256" i="20"/>
  <c r="AG256" i="20"/>
  <c r="CC256" i="20" s="1"/>
  <c r="AE256" i="20"/>
  <c r="AB256" i="20"/>
  <c r="W256" i="20"/>
  <c r="BA256" i="20" s="1"/>
  <c r="S256" i="20"/>
  <c r="P256" i="20"/>
  <c r="O256" i="20"/>
  <c r="FX256" i="20" s="1"/>
  <c r="N256" i="20"/>
  <c r="K256" i="20"/>
  <c r="J256" i="20"/>
  <c r="AS256" i="20" s="1"/>
  <c r="H256" i="20"/>
  <c r="G256" i="20"/>
  <c r="CG256" i="20" s="1"/>
  <c r="CT255" i="20"/>
  <c r="CC255" i="20"/>
  <c r="AB255" i="20"/>
  <c r="W255" i="20"/>
  <c r="BA255" i="20" s="1"/>
  <c r="S255" i="20"/>
  <c r="P255" i="20"/>
  <c r="O255" i="20"/>
  <c r="N255" i="20"/>
  <c r="K255" i="20"/>
  <c r="J255" i="20"/>
  <c r="AS255" i="20" s="1"/>
  <c r="H255" i="20"/>
  <c r="G255" i="20"/>
  <c r="CG255" i="20" s="1"/>
  <c r="CT254" i="20"/>
  <c r="CC254" i="20"/>
  <c r="AB254" i="20"/>
  <c r="W254" i="20"/>
  <c r="BA254" i="20" s="1"/>
  <c r="S254" i="20"/>
  <c r="P254" i="20"/>
  <c r="O254" i="20"/>
  <c r="FX254" i="20" s="1"/>
  <c r="N254" i="20"/>
  <c r="K254" i="20"/>
  <c r="FZ254" i="20" s="1"/>
  <c r="J254" i="20"/>
  <c r="H254" i="20"/>
  <c r="I254" i="20" s="1"/>
  <c r="DI254" i="20" s="1"/>
  <c r="G254" i="20"/>
  <c r="CG254" i="20" s="1"/>
  <c r="CT253" i="20"/>
  <c r="AG253" i="20"/>
  <c r="CC253" i="20" s="1"/>
  <c r="AE253" i="20"/>
  <c r="AB253" i="20"/>
  <c r="W253" i="20"/>
  <c r="BA253" i="20" s="1"/>
  <c r="S253" i="20"/>
  <c r="P253" i="20"/>
  <c r="O253" i="20"/>
  <c r="FX253" i="20" s="1"/>
  <c r="N253" i="20"/>
  <c r="K253" i="20"/>
  <c r="CF253" i="20" s="1"/>
  <c r="J253" i="20"/>
  <c r="H253" i="20"/>
  <c r="AK253" i="20" s="1"/>
  <c r="G253" i="20"/>
  <c r="CG253" i="20" s="1"/>
  <c r="CT252" i="20"/>
  <c r="AG252" i="20"/>
  <c r="CC252" i="20" s="1"/>
  <c r="AE252" i="20"/>
  <c r="AB252" i="20"/>
  <c r="W252" i="20"/>
  <c r="BA252" i="20" s="1"/>
  <c r="S252" i="20"/>
  <c r="P252" i="20"/>
  <c r="O252" i="20"/>
  <c r="N252" i="20"/>
  <c r="K252" i="20"/>
  <c r="CF252" i="20" s="1"/>
  <c r="J252" i="20"/>
  <c r="H252" i="20"/>
  <c r="AK252" i="20" s="1"/>
  <c r="G252" i="20"/>
  <c r="CG252" i="20" s="1"/>
  <c r="CT251" i="20"/>
  <c r="AG251" i="20"/>
  <c r="CC251" i="20" s="1"/>
  <c r="AE251" i="20"/>
  <c r="AB251" i="20"/>
  <c r="W251" i="20"/>
  <c r="BA251" i="20" s="1"/>
  <c r="S251" i="20"/>
  <c r="P251" i="20"/>
  <c r="O251" i="20"/>
  <c r="FX251" i="20" s="1"/>
  <c r="N251" i="20"/>
  <c r="K251" i="20"/>
  <c r="J251" i="20"/>
  <c r="H251" i="20"/>
  <c r="I251" i="20" s="1"/>
  <c r="DI251" i="20" s="1"/>
  <c r="G251" i="20"/>
  <c r="CG251" i="20" s="1"/>
  <c r="CT250" i="20"/>
  <c r="AG250" i="20"/>
  <c r="CC250" i="20" s="1"/>
  <c r="AE250" i="20"/>
  <c r="AB250" i="20"/>
  <c r="W250" i="20"/>
  <c r="BA250" i="20" s="1"/>
  <c r="S250" i="20"/>
  <c r="P250" i="20"/>
  <c r="O250" i="20"/>
  <c r="N250" i="20"/>
  <c r="K250" i="20"/>
  <c r="CF250" i="20" s="1"/>
  <c r="J250" i="20"/>
  <c r="H250" i="20"/>
  <c r="G250" i="20"/>
  <c r="CG250" i="20" s="1"/>
  <c r="CT249" i="20"/>
  <c r="CC249" i="20"/>
  <c r="AB249" i="20"/>
  <c r="W249" i="20"/>
  <c r="BA249" i="20" s="1"/>
  <c r="S249" i="20"/>
  <c r="P249" i="20"/>
  <c r="O249" i="20"/>
  <c r="FX249" i="20" s="1"/>
  <c r="N249" i="20"/>
  <c r="K249" i="20"/>
  <c r="FZ249" i="20" s="1"/>
  <c r="J249" i="20"/>
  <c r="H249" i="20"/>
  <c r="G249" i="20"/>
  <c r="CG249" i="20" s="1"/>
  <c r="CT248" i="20"/>
  <c r="CC248" i="20"/>
  <c r="AB248" i="20"/>
  <c r="W248" i="20"/>
  <c r="BA248" i="20" s="1"/>
  <c r="S248" i="20"/>
  <c r="P248" i="20"/>
  <c r="DY248" i="20" s="1"/>
  <c r="O248" i="20"/>
  <c r="FX248" i="20" s="1"/>
  <c r="N248" i="20"/>
  <c r="K248" i="20"/>
  <c r="CF248" i="20" s="1"/>
  <c r="J248" i="20"/>
  <c r="AS248" i="20" s="1"/>
  <c r="H248" i="20"/>
  <c r="I248" i="20" s="1"/>
  <c r="G248" i="20"/>
  <c r="CG248" i="20" s="1"/>
  <c r="FZ247" i="20"/>
  <c r="DL247" i="20"/>
  <c r="DH247" i="20"/>
  <c r="CG247" i="20"/>
  <c r="CF247" i="20"/>
  <c r="CD247" i="20"/>
  <c r="CE247" i="20" s="1"/>
  <c r="AS247" i="20"/>
  <c r="AM247" i="20"/>
  <c r="AK247" i="20"/>
  <c r="AI247" i="20"/>
  <c r="EA247" i="20" s="1"/>
  <c r="AB247" i="20"/>
  <c r="W247" i="20"/>
  <c r="BA247" i="20" s="1"/>
  <c r="V247" i="20"/>
  <c r="Q247" i="20"/>
  <c r="AL247" i="20" s="1"/>
  <c r="O247" i="20"/>
  <c r="AN247" i="20" s="1"/>
  <c r="L247" i="20"/>
  <c r="I247" i="20"/>
  <c r="AX247" i="20" s="1"/>
  <c r="FZ246" i="20"/>
  <c r="DL246" i="20"/>
  <c r="DH246" i="20"/>
  <c r="CG246" i="20"/>
  <c r="CF246" i="20"/>
  <c r="CD246" i="20"/>
  <c r="CE246" i="20" s="1"/>
  <c r="AS246" i="20"/>
  <c r="AM246" i="20"/>
  <c r="AK246" i="20"/>
  <c r="AI246" i="20"/>
  <c r="EA246" i="20" s="1"/>
  <c r="AB246" i="20"/>
  <c r="W246" i="20"/>
  <c r="V246" i="20"/>
  <c r="Q246" i="20"/>
  <c r="O246" i="20"/>
  <c r="L246" i="20"/>
  <c r="I246" i="20"/>
  <c r="M246" i="20" s="1"/>
  <c r="FZ245" i="20"/>
  <c r="DL245" i="20"/>
  <c r="DH245" i="20"/>
  <c r="CG245" i="20"/>
  <c r="CF245" i="20"/>
  <c r="CD245" i="20"/>
  <c r="CE245" i="20" s="1"/>
  <c r="AS245" i="20"/>
  <c r="AM245" i="20"/>
  <c r="AK245" i="20"/>
  <c r="AI245" i="20"/>
  <c r="EA245" i="20" s="1"/>
  <c r="AB245" i="20"/>
  <c r="W245" i="20"/>
  <c r="V245" i="20"/>
  <c r="Q245" i="20"/>
  <c r="O245" i="20"/>
  <c r="EE245" i="20" s="1"/>
  <c r="L245" i="20"/>
  <c r="I245" i="20"/>
  <c r="FZ244" i="20"/>
  <c r="DL244" i="20"/>
  <c r="DH244" i="20"/>
  <c r="CG244" i="20"/>
  <c r="CF244" i="20"/>
  <c r="CD244" i="20"/>
  <c r="CE244" i="20" s="1"/>
  <c r="AS244" i="20"/>
  <c r="AM244" i="20"/>
  <c r="AK244" i="20"/>
  <c r="AI244" i="20"/>
  <c r="EA244" i="20" s="1"/>
  <c r="AB244" i="20"/>
  <c r="W244" i="20"/>
  <c r="X244" i="20" s="1"/>
  <c r="Y244" i="20" s="1"/>
  <c r="V244" i="20"/>
  <c r="Q244" i="20"/>
  <c r="O244" i="20"/>
  <c r="L244" i="20"/>
  <c r="I244" i="20"/>
  <c r="FZ243" i="20"/>
  <c r="FX243" i="20"/>
  <c r="EA243" i="20"/>
  <c r="DY243" i="20"/>
  <c r="DH243" i="20"/>
  <c r="CG243" i="20"/>
  <c r="CF243" i="20"/>
  <c r="CD243" i="20"/>
  <c r="CE243" i="20" s="1"/>
  <c r="BE243" i="20"/>
  <c r="AS243" i="20"/>
  <c r="AB243" i="20"/>
  <c r="Z243" i="20"/>
  <c r="W243" i="20"/>
  <c r="V243" i="20"/>
  <c r="U243" i="20"/>
  <c r="S243" i="20"/>
  <c r="AN243" i="20" s="1"/>
  <c r="Q243" i="20"/>
  <c r="BZ243" i="20" s="1"/>
  <c r="H243" i="20"/>
  <c r="AM243" i="20" s="1"/>
  <c r="FZ242" i="20"/>
  <c r="FX242" i="20"/>
  <c r="EA242" i="20"/>
  <c r="DY242" i="20"/>
  <c r="DH242" i="20"/>
  <c r="CG242" i="20"/>
  <c r="CF242" i="20"/>
  <c r="CD242" i="20"/>
  <c r="CE242" i="20" s="1"/>
  <c r="BE242" i="20"/>
  <c r="AS242" i="20"/>
  <c r="AD242" i="20"/>
  <c r="Z242" i="20"/>
  <c r="W242" i="20"/>
  <c r="BA242" i="20" s="1"/>
  <c r="V242" i="20"/>
  <c r="U242" i="20"/>
  <c r="S242" i="20"/>
  <c r="Q242" i="20"/>
  <c r="BZ242" i="20" s="1"/>
  <c r="H242" i="20"/>
  <c r="AK242" i="20" s="1"/>
  <c r="FZ241" i="20"/>
  <c r="FX241" i="20"/>
  <c r="EA241" i="20"/>
  <c r="DY241" i="20"/>
  <c r="DH241" i="20"/>
  <c r="CG241" i="20"/>
  <c r="CF241" i="20"/>
  <c r="CD241" i="20"/>
  <c r="CE241" i="20" s="1"/>
  <c r="BE241" i="20"/>
  <c r="AS241" i="20"/>
  <c r="AB241" i="20"/>
  <c r="Z241" i="20"/>
  <c r="W241" i="20"/>
  <c r="BA241" i="20" s="1"/>
  <c r="V241" i="20"/>
  <c r="U241" i="20"/>
  <c r="S241" i="20"/>
  <c r="Q241" i="20"/>
  <c r="CA241" i="20" s="1"/>
  <c r="H241" i="20"/>
  <c r="FZ240" i="20"/>
  <c r="FX240" i="20"/>
  <c r="EA240" i="20"/>
  <c r="DY240" i="20"/>
  <c r="DH240" i="20"/>
  <c r="CG240" i="20"/>
  <c r="CF240" i="20"/>
  <c r="CD240" i="20"/>
  <c r="CE240" i="20" s="1"/>
  <c r="BE240" i="20"/>
  <c r="AS240" i="20"/>
  <c r="AB240" i="20"/>
  <c r="Z240" i="20"/>
  <c r="W240" i="20"/>
  <c r="V240" i="20"/>
  <c r="U240" i="20"/>
  <c r="S240" i="20"/>
  <c r="Q240" i="20"/>
  <c r="H240" i="20"/>
  <c r="FZ239" i="20"/>
  <c r="FX239" i="20"/>
  <c r="EA239" i="20"/>
  <c r="DY239" i="20"/>
  <c r="DH239" i="20"/>
  <c r="CG239" i="20"/>
  <c r="CF239" i="20"/>
  <c r="CD239" i="20"/>
  <c r="CE239" i="20" s="1"/>
  <c r="BE239" i="20"/>
  <c r="AS239" i="20"/>
  <c r="AB239" i="20"/>
  <c r="Z239" i="20"/>
  <c r="W239" i="20"/>
  <c r="X239" i="20" s="1"/>
  <c r="EL239" i="20" s="1"/>
  <c r="EK239" i="20" s="1"/>
  <c r="V239" i="20"/>
  <c r="U239" i="20"/>
  <c r="S239" i="20"/>
  <c r="Q239" i="20"/>
  <c r="CA239" i="20" s="1"/>
  <c r="H239" i="20"/>
  <c r="L239" i="20" s="1"/>
  <c r="FZ238" i="20"/>
  <c r="FX238" i="20"/>
  <c r="EA238" i="20"/>
  <c r="DY238" i="20"/>
  <c r="DH238" i="20"/>
  <c r="CG238" i="20"/>
  <c r="CF238" i="20"/>
  <c r="CD238" i="20"/>
  <c r="CE238" i="20" s="1"/>
  <c r="BE238" i="20"/>
  <c r="AS238" i="20"/>
  <c r="AB238" i="20"/>
  <c r="Z238" i="20"/>
  <c r="W238" i="20"/>
  <c r="BA238" i="20" s="1"/>
  <c r="V238" i="20"/>
  <c r="U238" i="20"/>
  <c r="S238" i="20"/>
  <c r="Q238" i="20"/>
  <c r="FY238" i="20" s="1"/>
  <c r="H238" i="20"/>
  <c r="AM238" i="20" s="1"/>
  <c r="FZ237" i="20"/>
  <c r="FX237" i="20"/>
  <c r="EA237" i="20"/>
  <c r="DY237" i="20"/>
  <c r="DH237" i="20"/>
  <c r="CG237" i="20"/>
  <c r="CF237" i="20"/>
  <c r="CD237" i="20"/>
  <c r="CE237" i="20" s="1"/>
  <c r="BE237" i="20"/>
  <c r="AS237" i="20"/>
  <c r="AB237" i="20"/>
  <c r="Z237" i="20"/>
  <c r="W237" i="20"/>
  <c r="BA237" i="20" s="1"/>
  <c r="V237" i="20"/>
  <c r="U237" i="20"/>
  <c r="S237" i="20"/>
  <c r="Q237" i="20"/>
  <c r="H237" i="20"/>
  <c r="FZ236" i="20"/>
  <c r="FX236" i="20"/>
  <c r="DY236" i="20"/>
  <c r="DH236" i="20"/>
  <c r="CG236" i="20"/>
  <c r="CF236" i="20"/>
  <c r="CD236" i="20"/>
  <c r="CE236" i="20" s="1"/>
  <c r="BE236" i="20"/>
  <c r="AS236" i="20"/>
  <c r="AI236" i="20"/>
  <c r="EA236" i="20" s="1"/>
  <c r="AB236" i="20"/>
  <c r="Z236" i="20"/>
  <c r="W236" i="20"/>
  <c r="X236" i="20" s="1"/>
  <c r="V236" i="20"/>
  <c r="U236" i="20"/>
  <c r="S236" i="20"/>
  <c r="Q236" i="20"/>
  <c r="CA236" i="20" s="1"/>
  <c r="H236" i="20"/>
  <c r="AK236" i="20" s="1"/>
  <c r="FZ235" i="20"/>
  <c r="FX235" i="20"/>
  <c r="EA235" i="20"/>
  <c r="DY235" i="20"/>
  <c r="DH235" i="20"/>
  <c r="CG235" i="20"/>
  <c r="CF235" i="20"/>
  <c r="CD235" i="20"/>
  <c r="CE235" i="20" s="1"/>
  <c r="BE235" i="20"/>
  <c r="AS235" i="20"/>
  <c r="AB235" i="20"/>
  <c r="Z235" i="20"/>
  <c r="W235" i="20"/>
  <c r="X235" i="20" s="1"/>
  <c r="V235" i="20"/>
  <c r="U235" i="20"/>
  <c r="S235" i="20"/>
  <c r="Q235" i="20"/>
  <c r="BZ235" i="20" s="1"/>
  <c r="H235" i="20"/>
  <c r="AM235" i="20" s="1"/>
  <c r="FZ234" i="20"/>
  <c r="FX234" i="20"/>
  <c r="EA234" i="20"/>
  <c r="DY234" i="20"/>
  <c r="DH234" i="20"/>
  <c r="CG234" i="20"/>
  <c r="CF234" i="20"/>
  <c r="CD234" i="20"/>
  <c r="CE234" i="20" s="1"/>
  <c r="BE234" i="20"/>
  <c r="AS234" i="20"/>
  <c r="AB234" i="20"/>
  <c r="Z234" i="20"/>
  <c r="W234" i="20"/>
  <c r="X234" i="20" s="1"/>
  <c r="EL234" i="20" s="1"/>
  <c r="EK234" i="20" s="1"/>
  <c r="V234" i="20"/>
  <c r="U234" i="20"/>
  <c r="S234" i="20"/>
  <c r="Q234" i="20"/>
  <c r="H234" i="20"/>
  <c r="EE234" i="20" s="1"/>
  <c r="FZ233" i="20"/>
  <c r="FX233" i="20"/>
  <c r="EA233" i="20"/>
  <c r="DY233" i="20"/>
  <c r="DH233" i="20"/>
  <c r="CG233" i="20"/>
  <c r="CF233" i="20"/>
  <c r="CD233" i="20"/>
  <c r="CE233" i="20" s="1"/>
  <c r="BE233" i="20"/>
  <c r="AS233" i="20"/>
  <c r="AB233" i="20"/>
  <c r="Z233" i="20"/>
  <c r="W233" i="20"/>
  <c r="V233" i="20"/>
  <c r="U233" i="20"/>
  <c r="S233" i="20"/>
  <c r="Q233" i="20"/>
  <c r="BR233" i="20" s="1"/>
  <c r="DZ233" i="20" s="1"/>
  <c r="H233" i="20"/>
  <c r="FZ232" i="20"/>
  <c r="FX232" i="20"/>
  <c r="EA232" i="20"/>
  <c r="DY232" i="20"/>
  <c r="DH232" i="20"/>
  <c r="CG232" i="20"/>
  <c r="CF232" i="20"/>
  <c r="CD232" i="20"/>
  <c r="CE232" i="20" s="1"/>
  <c r="BE232" i="20"/>
  <c r="AS232" i="20"/>
  <c r="AB232" i="20"/>
  <c r="Z232" i="20"/>
  <c r="W232" i="20"/>
  <c r="X232" i="20" s="1"/>
  <c r="V232" i="20"/>
  <c r="U232" i="20"/>
  <c r="S232" i="20"/>
  <c r="Q232" i="20"/>
  <c r="H232" i="20"/>
  <c r="FZ231" i="20"/>
  <c r="FX231" i="20"/>
  <c r="EA231" i="20"/>
  <c r="DY231" i="20"/>
  <c r="DH231" i="20"/>
  <c r="CG231" i="20"/>
  <c r="CF231" i="20"/>
  <c r="CD231" i="20"/>
  <c r="CE231" i="20" s="1"/>
  <c r="BE231" i="20"/>
  <c r="AS231" i="20"/>
  <c r="AB231" i="20"/>
  <c r="Z231" i="20"/>
  <c r="W231" i="20"/>
  <c r="X231" i="20" s="1"/>
  <c r="V231" i="20"/>
  <c r="U231" i="20"/>
  <c r="S231" i="20"/>
  <c r="Q231" i="20"/>
  <c r="BZ231" i="20" s="1"/>
  <c r="H231" i="20"/>
  <c r="FZ230" i="20"/>
  <c r="FX230" i="20"/>
  <c r="EA230" i="20"/>
  <c r="DY230" i="20"/>
  <c r="DH230" i="20"/>
  <c r="CG230" i="20"/>
  <c r="CF230" i="20"/>
  <c r="CD230" i="20"/>
  <c r="CE230" i="20" s="1"/>
  <c r="BE230" i="20"/>
  <c r="AS230" i="20"/>
  <c r="AD230" i="20"/>
  <c r="Z230" i="20"/>
  <c r="W230" i="20"/>
  <c r="V230" i="20"/>
  <c r="U230" i="20"/>
  <c r="S230" i="20"/>
  <c r="Q230" i="20"/>
  <c r="BZ230" i="20" s="1"/>
  <c r="H230" i="20"/>
  <c r="DL230" i="20" s="1"/>
  <c r="FZ229" i="20"/>
  <c r="FX229" i="20"/>
  <c r="EA229" i="20"/>
  <c r="DY229" i="20"/>
  <c r="DH229" i="20"/>
  <c r="CG229" i="20"/>
  <c r="CF229" i="20"/>
  <c r="CD229" i="20"/>
  <c r="CE229" i="20" s="1"/>
  <c r="BE229" i="20"/>
  <c r="AS229" i="20"/>
  <c r="AD229" i="20"/>
  <c r="Z229" i="20"/>
  <c r="W229" i="20"/>
  <c r="BA229" i="20" s="1"/>
  <c r="V229" i="20"/>
  <c r="U229" i="20"/>
  <c r="S229" i="20"/>
  <c r="Q229" i="20"/>
  <c r="H229" i="20"/>
  <c r="FZ228" i="20"/>
  <c r="FX228" i="20"/>
  <c r="EA228" i="20"/>
  <c r="DY228" i="20"/>
  <c r="DH228" i="20"/>
  <c r="CG228" i="20"/>
  <c r="CF228" i="20"/>
  <c r="CD228" i="20"/>
  <c r="CE228" i="20" s="1"/>
  <c r="BE228" i="20"/>
  <c r="AS228" i="20"/>
  <c r="AD228" i="20"/>
  <c r="Z228" i="20"/>
  <c r="W228" i="20"/>
  <c r="V228" i="20"/>
  <c r="U228" i="20"/>
  <c r="S228" i="20"/>
  <c r="Q228" i="20"/>
  <c r="FY228" i="20" s="1"/>
  <c r="H228" i="20"/>
  <c r="DL228" i="20" s="1"/>
  <c r="FZ227" i="20"/>
  <c r="FX227" i="20"/>
  <c r="EA227" i="20"/>
  <c r="DY227" i="20"/>
  <c r="DH227" i="20"/>
  <c r="CG227" i="20"/>
  <c r="CF227" i="20"/>
  <c r="CD227" i="20"/>
  <c r="CE227" i="20" s="1"/>
  <c r="BE227" i="20"/>
  <c r="AS227" i="20"/>
  <c r="AB227" i="20"/>
  <c r="Z227" i="20"/>
  <c r="W227" i="20"/>
  <c r="BA227" i="20" s="1"/>
  <c r="V227" i="20"/>
  <c r="U227" i="20"/>
  <c r="S227" i="20"/>
  <c r="Q227" i="20"/>
  <c r="H227" i="20"/>
  <c r="FZ226" i="20"/>
  <c r="FX226" i="20"/>
  <c r="EA226" i="20"/>
  <c r="DY226" i="20"/>
  <c r="DH226" i="20"/>
  <c r="CG226" i="20"/>
  <c r="CF226" i="20"/>
  <c r="CD226" i="20"/>
  <c r="CE226" i="20" s="1"/>
  <c r="BE226" i="20"/>
  <c r="AS226" i="20"/>
  <c r="AD226" i="20"/>
  <c r="Z226" i="20"/>
  <c r="W226" i="20"/>
  <c r="V226" i="20"/>
  <c r="U226" i="20"/>
  <c r="S226" i="20"/>
  <c r="Q226" i="20"/>
  <c r="FY226" i="20" s="1"/>
  <c r="H226" i="20"/>
  <c r="FZ225" i="20"/>
  <c r="FX225" i="20"/>
  <c r="DY225" i="20"/>
  <c r="DH225" i="20"/>
  <c r="CG225" i="20"/>
  <c r="CF225" i="20"/>
  <c r="CD225" i="20"/>
  <c r="CE225" i="20" s="1"/>
  <c r="BE225" i="20"/>
  <c r="AS225" i="20"/>
  <c r="AI225" i="20"/>
  <c r="EA225" i="20" s="1"/>
  <c r="AB225" i="20"/>
  <c r="Z225" i="20"/>
  <c r="W225" i="20"/>
  <c r="X225" i="20" s="1"/>
  <c r="V225" i="20"/>
  <c r="U225" i="20"/>
  <c r="S225" i="20"/>
  <c r="Q225" i="20"/>
  <c r="H225" i="20"/>
  <c r="AM225" i="20" s="1"/>
  <c r="FZ224" i="20"/>
  <c r="FX224" i="20"/>
  <c r="EA224" i="20"/>
  <c r="DY224" i="20"/>
  <c r="DH224" i="20"/>
  <c r="CG224" i="20"/>
  <c r="CF224" i="20"/>
  <c r="CD224" i="20"/>
  <c r="CE224" i="20" s="1"/>
  <c r="BE224" i="20"/>
  <c r="AS224" i="20"/>
  <c r="AB224" i="20"/>
  <c r="Z224" i="20"/>
  <c r="W224" i="20"/>
  <c r="BA224" i="20" s="1"/>
  <c r="V224" i="20"/>
  <c r="U224" i="20"/>
  <c r="S224" i="20"/>
  <c r="Q224" i="20"/>
  <c r="H224" i="20"/>
  <c r="EE224" i="20" s="1"/>
  <c r="FZ223" i="20"/>
  <c r="FX223" i="20"/>
  <c r="EA223" i="20"/>
  <c r="DY223" i="20"/>
  <c r="DH223" i="20"/>
  <c r="CG223" i="20"/>
  <c r="CF223" i="20"/>
  <c r="CD223" i="20"/>
  <c r="CE223" i="20" s="1"/>
  <c r="BE223" i="20"/>
  <c r="AS223" i="20"/>
  <c r="AB223" i="20"/>
  <c r="Z223" i="20"/>
  <c r="W223" i="20"/>
  <c r="X223" i="20" s="1"/>
  <c r="V223" i="20"/>
  <c r="U223" i="20"/>
  <c r="S223" i="20"/>
  <c r="Q223" i="20"/>
  <c r="H223" i="20"/>
  <c r="L223" i="20" s="1"/>
  <c r="FZ222" i="20"/>
  <c r="FX222" i="20"/>
  <c r="DY222" i="20"/>
  <c r="DH222" i="20"/>
  <c r="CG222" i="20"/>
  <c r="CF222" i="20"/>
  <c r="CD222" i="20"/>
  <c r="CE222" i="20" s="1"/>
  <c r="BE222" i="20"/>
  <c r="AS222" i="20"/>
  <c r="AI222" i="20"/>
  <c r="EA222" i="20" s="1"/>
  <c r="AD222" i="20"/>
  <c r="Z222" i="20"/>
  <c r="W222" i="20"/>
  <c r="BA222" i="20" s="1"/>
  <c r="V222" i="20"/>
  <c r="U222" i="20"/>
  <c r="S222" i="20"/>
  <c r="Q222" i="20"/>
  <c r="CA222" i="20" s="1"/>
  <c r="H222" i="20"/>
  <c r="AK222" i="20" s="1"/>
  <c r="FZ221" i="20"/>
  <c r="FX221" i="20"/>
  <c r="EA221" i="20"/>
  <c r="DY221" i="20"/>
  <c r="DH221" i="20"/>
  <c r="CG221" i="20"/>
  <c r="CF221" i="20"/>
  <c r="CD221" i="20"/>
  <c r="CE221" i="20" s="1"/>
  <c r="BE221" i="20"/>
  <c r="AS221" i="20"/>
  <c r="AB221" i="20"/>
  <c r="Z221" i="20"/>
  <c r="W221" i="20"/>
  <c r="V221" i="20"/>
  <c r="U221" i="20"/>
  <c r="S221" i="20"/>
  <c r="Q221" i="20"/>
  <c r="CA221" i="20" s="1"/>
  <c r="H221" i="20"/>
  <c r="AM221" i="20" s="1"/>
  <c r="FZ220" i="20"/>
  <c r="FX220" i="20"/>
  <c r="EA220" i="20"/>
  <c r="DY220" i="20"/>
  <c r="DH220" i="20"/>
  <c r="CG220" i="20"/>
  <c r="CF220" i="20"/>
  <c r="CD220" i="20"/>
  <c r="CE220" i="20" s="1"/>
  <c r="BE220" i="20"/>
  <c r="AS220" i="20"/>
  <c r="AB220" i="20"/>
  <c r="Z220" i="20"/>
  <c r="W220" i="20"/>
  <c r="BA220" i="20" s="1"/>
  <c r="V220" i="20"/>
  <c r="U220" i="20"/>
  <c r="S220" i="20"/>
  <c r="Q220" i="20"/>
  <c r="BR220" i="20" s="1"/>
  <c r="DZ220" i="20" s="1"/>
  <c r="H220" i="20"/>
  <c r="FZ219" i="20"/>
  <c r="FX219" i="20"/>
  <c r="DY219" i="20"/>
  <c r="DH219" i="20"/>
  <c r="CG219" i="20"/>
  <c r="CF219" i="20"/>
  <c r="CD219" i="20"/>
  <c r="CE219" i="20" s="1"/>
  <c r="BE219" i="20"/>
  <c r="AS219" i="20"/>
  <c r="AI219" i="20"/>
  <c r="EA219" i="20" s="1"/>
  <c r="AD219" i="20"/>
  <c r="Z219" i="20"/>
  <c r="W219" i="20"/>
  <c r="BA219" i="20" s="1"/>
  <c r="V219" i="20"/>
  <c r="U219" i="20"/>
  <c r="S219" i="20"/>
  <c r="Q219" i="20"/>
  <c r="FY219" i="20" s="1"/>
  <c r="H219" i="20"/>
  <c r="AK219" i="20" s="1"/>
  <c r="FZ218" i="20"/>
  <c r="FX218" i="20"/>
  <c r="DY218" i="20"/>
  <c r="DH218" i="20"/>
  <c r="CG218" i="20"/>
  <c r="CF218" i="20"/>
  <c r="CD218" i="20"/>
  <c r="CE218" i="20" s="1"/>
  <c r="BE218" i="20"/>
  <c r="AS218" i="20"/>
  <c r="AI218" i="20"/>
  <c r="EA218" i="20" s="1"/>
  <c r="AD218" i="20"/>
  <c r="Z218" i="20"/>
  <c r="W218" i="20"/>
  <c r="BA218" i="20" s="1"/>
  <c r="V218" i="20"/>
  <c r="U218" i="20"/>
  <c r="S218" i="20"/>
  <c r="Q218" i="20"/>
  <c r="H218" i="20"/>
  <c r="EE218" i="20" s="1"/>
  <c r="FZ217" i="20"/>
  <c r="FX217" i="20"/>
  <c r="DY217" i="20"/>
  <c r="DH217" i="20"/>
  <c r="CG217" i="20"/>
  <c r="CF217" i="20"/>
  <c r="CD217" i="20"/>
  <c r="CE217" i="20" s="1"/>
  <c r="BE217" i="20"/>
  <c r="AS217" i="20"/>
  <c r="AI217" i="20"/>
  <c r="EA217" i="20" s="1"/>
  <c r="AD217" i="20"/>
  <c r="Z217" i="20"/>
  <c r="W217" i="20"/>
  <c r="BA217" i="20" s="1"/>
  <c r="V217" i="20"/>
  <c r="U217" i="20"/>
  <c r="S217" i="20"/>
  <c r="Q217" i="20"/>
  <c r="CA217" i="20" s="1"/>
  <c r="H217" i="20"/>
  <c r="FZ216" i="20"/>
  <c r="FX216" i="20"/>
  <c r="EA216" i="20"/>
  <c r="DY216" i="20"/>
  <c r="DH216" i="20"/>
  <c r="CG216" i="20"/>
  <c r="CF216" i="20"/>
  <c r="CD216" i="20"/>
  <c r="CE216" i="20" s="1"/>
  <c r="BE216" i="20"/>
  <c r="AS216" i="20"/>
  <c r="AD216" i="20"/>
  <c r="Z216" i="20"/>
  <c r="W216" i="20"/>
  <c r="V216" i="20"/>
  <c r="U216" i="20"/>
  <c r="S216" i="20"/>
  <c r="Q216" i="20"/>
  <c r="FY216" i="20" s="1"/>
  <c r="H216" i="20"/>
  <c r="FZ215" i="20"/>
  <c r="FX215" i="20"/>
  <c r="EA215" i="20"/>
  <c r="DY215" i="20"/>
  <c r="DH215" i="20"/>
  <c r="CG215" i="20"/>
  <c r="CF215" i="20"/>
  <c r="CD215" i="20"/>
  <c r="CE215" i="20" s="1"/>
  <c r="BE215" i="20"/>
  <c r="AS215" i="20"/>
  <c r="AD215" i="20"/>
  <c r="Z215" i="20"/>
  <c r="W215" i="20"/>
  <c r="X215" i="20" s="1"/>
  <c r="V215" i="20"/>
  <c r="U215" i="20"/>
  <c r="S215" i="20"/>
  <c r="Q215" i="20"/>
  <c r="FY215" i="20" s="1"/>
  <c r="H215" i="20"/>
  <c r="FZ214" i="20"/>
  <c r="FX214" i="20"/>
  <c r="EA214" i="20"/>
  <c r="DY214" i="20"/>
  <c r="DH214" i="20"/>
  <c r="CG214" i="20"/>
  <c r="CF214" i="20"/>
  <c r="CD214" i="20"/>
  <c r="CE214" i="20" s="1"/>
  <c r="BE214" i="20"/>
  <c r="AS214" i="20"/>
  <c r="AD214" i="20"/>
  <c r="Z214" i="20"/>
  <c r="W214" i="20"/>
  <c r="BA214" i="20" s="1"/>
  <c r="V214" i="20"/>
  <c r="U214" i="20"/>
  <c r="S214" i="20"/>
  <c r="Q214" i="20"/>
  <c r="BZ214" i="20" s="1"/>
  <c r="H214" i="20"/>
  <c r="L214" i="20" s="1"/>
  <c r="FZ213" i="20"/>
  <c r="FX213" i="20"/>
  <c r="EA213" i="20"/>
  <c r="DY213" i="20"/>
  <c r="DH213" i="20"/>
  <c r="CG213" i="20"/>
  <c r="CF213" i="20"/>
  <c r="CD213" i="20"/>
  <c r="CE213" i="20" s="1"/>
  <c r="BE213" i="20"/>
  <c r="AS213" i="20"/>
  <c r="AD213" i="20"/>
  <c r="Z213" i="20"/>
  <c r="W213" i="20"/>
  <c r="V213" i="20"/>
  <c r="U213" i="20"/>
  <c r="S213" i="20"/>
  <c r="Q213" i="20"/>
  <c r="FY213" i="20" s="1"/>
  <c r="H213" i="20"/>
  <c r="EE213" i="20" s="1"/>
  <c r="FZ212" i="20"/>
  <c r="FX212" i="20"/>
  <c r="EA212" i="20"/>
  <c r="DY212" i="20"/>
  <c r="DH212" i="20"/>
  <c r="CG212" i="20"/>
  <c r="CF212" i="20"/>
  <c r="CD212" i="20"/>
  <c r="CE212" i="20" s="1"/>
  <c r="BE212" i="20"/>
  <c r="AS212" i="20"/>
  <c r="AP212" i="20"/>
  <c r="AP213" i="20" s="1"/>
  <c r="AP214" i="20" s="1"/>
  <c r="AD212" i="20"/>
  <c r="Z212" i="20"/>
  <c r="W212" i="20"/>
  <c r="X212" i="20" s="1"/>
  <c r="EL212" i="20" s="1"/>
  <c r="EK212" i="20" s="1"/>
  <c r="V212" i="20"/>
  <c r="U212" i="20"/>
  <c r="S212" i="20"/>
  <c r="Q212" i="20"/>
  <c r="H212" i="20"/>
  <c r="AM212" i="20" s="1"/>
  <c r="FZ211" i="20"/>
  <c r="EA211" i="20"/>
  <c r="DH211" i="20"/>
  <c r="CG211" i="20"/>
  <c r="CF211" i="20"/>
  <c r="CD211" i="20"/>
  <c r="CE211" i="20" s="1"/>
  <c r="AS211" i="20"/>
  <c r="AB211" i="20"/>
  <c r="Z211" i="20"/>
  <c r="W211" i="20"/>
  <c r="X211" i="20" s="1"/>
  <c r="V211" i="20"/>
  <c r="O211" i="20"/>
  <c r="BE211" i="20" s="1"/>
  <c r="H211" i="20"/>
  <c r="FZ210" i="20"/>
  <c r="EA210" i="20"/>
  <c r="DH210" i="20"/>
  <c r="CG210" i="20"/>
  <c r="CF210" i="20"/>
  <c r="CD210" i="20"/>
  <c r="CE210" i="20" s="1"/>
  <c r="AS210" i="20"/>
  <c r="AB210" i="20"/>
  <c r="Z210" i="20"/>
  <c r="W210" i="20"/>
  <c r="V210" i="20"/>
  <c r="O210" i="20"/>
  <c r="FX210" i="20" s="1"/>
  <c r="H210" i="20"/>
  <c r="S210" i="20" s="1"/>
  <c r="FZ209" i="20"/>
  <c r="DH209" i="20"/>
  <c r="CG209" i="20"/>
  <c r="CF209" i="20"/>
  <c r="CD209" i="20"/>
  <c r="CE209" i="20" s="1"/>
  <c r="AS209" i="20"/>
  <c r="AI209" i="20"/>
  <c r="EA209" i="20" s="1"/>
  <c r="AB209" i="20"/>
  <c r="Z209" i="20"/>
  <c r="W209" i="20"/>
  <c r="X209" i="20" s="1"/>
  <c r="Y209" i="20" s="1"/>
  <c r="V209" i="20"/>
  <c r="O209" i="20"/>
  <c r="U209" i="20" s="1"/>
  <c r="H209" i="20"/>
  <c r="FZ208" i="20"/>
  <c r="DH208" i="20"/>
  <c r="CG208" i="20"/>
  <c r="CF208" i="20"/>
  <c r="CD208" i="20"/>
  <c r="CE208" i="20" s="1"/>
  <c r="AS208" i="20"/>
  <c r="AI208" i="20"/>
  <c r="EA208" i="20" s="1"/>
  <c r="AB208" i="20"/>
  <c r="Z208" i="20"/>
  <c r="W208" i="20"/>
  <c r="BA208" i="20" s="1"/>
  <c r="V208" i="20"/>
  <c r="O208" i="20"/>
  <c r="H208" i="20"/>
  <c r="S208" i="20" s="1"/>
  <c r="FZ207" i="20"/>
  <c r="EA207" i="20"/>
  <c r="DH207" i="20"/>
  <c r="CG207" i="20"/>
  <c r="CF207" i="20"/>
  <c r="CD207" i="20"/>
  <c r="CE207" i="20" s="1"/>
  <c r="AS207" i="20"/>
  <c r="AB207" i="20"/>
  <c r="Z207" i="20"/>
  <c r="W207" i="20"/>
  <c r="BA207" i="20" s="1"/>
  <c r="V207" i="20"/>
  <c r="O207" i="20"/>
  <c r="FX207" i="20" s="1"/>
  <c r="H207" i="20"/>
  <c r="FZ206" i="20"/>
  <c r="EA206" i="20"/>
  <c r="DH206" i="20"/>
  <c r="CG206" i="20"/>
  <c r="CF206" i="20"/>
  <c r="CD206" i="20"/>
  <c r="CE206" i="20" s="1"/>
  <c r="AS206" i="20"/>
  <c r="AB206" i="20"/>
  <c r="Z206" i="20"/>
  <c r="W206" i="20"/>
  <c r="BA206" i="20" s="1"/>
  <c r="V206" i="20"/>
  <c r="O206" i="20"/>
  <c r="BE206" i="20" s="1"/>
  <c r="H206" i="20"/>
  <c r="FZ205" i="20"/>
  <c r="EA205" i="20"/>
  <c r="DH205" i="20"/>
  <c r="CG205" i="20"/>
  <c r="CF205" i="20"/>
  <c r="CD205" i="20"/>
  <c r="CE205" i="20" s="1"/>
  <c r="AS205" i="20"/>
  <c r="AB205" i="20"/>
  <c r="Z205" i="20"/>
  <c r="W205" i="20"/>
  <c r="V205" i="20"/>
  <c r="O205" i="20"/>
  <c r="U205" i="20" s="1"/>
  <c r="H205" i="20"/>
  <c r="AM205" i="20" s="1"/>
  <c r="FZ204" i="20"/>
  <c r="EA204" i="20"/>
  <c r="DH204" i="20"/>
  <c r="CG204" i="20"/>
  <c r="CF204" i="20"/>
  <c r="CD204" i="20"/>
  <c r="CE204" i="20" s="1"/>
  <c r="AS204" i="20"/>
  <c r="AB204" i="20"/>
  <c r="Z204" i="20"/>
  <c r="W204" i="20"/>
  <c r="V204" i="20"/>
  <c r="O204" i="20"/>
  <c r="BE204" i="20" s="1"/>
  <c r="H204" i="20"/>
  <c r="AK204" i="20" s="1"/>
  <c r="FZ203" i="20"/>
  <c r="EA203" i="20"/>
  <c r="DH203" i="20"/>
  <c r="CG203" i="20"/>
  <c r="CF203" i="20"/>
  <c r="CD203" i="20"/>
  <c r="CE203" i="20" s="1"/>
  <c r="AS203" i="20"/>
  <c r="AB203" i="20"/>
  <c r="Z203" i="20"/>
  <c r="W203" i="20"/>
  <c r="BA203" i="20" s="1"/>
  <c r="V203" i="20"/>
  <c r="O203" i="20"/>
  <c r="H203" i="20"/>
  <c r="AM203" i="20" s="1"/>
  <c r="FZ202" i="20"/>
  <c r="EA202" i="20"/>
  <c r="DH202" i="20"/>
  <c r="CG202" i="20"/>
  <c r="CF202" i="20"/>
  <c r="CD202" i="20"/>
  <c r="CE202" i="20" s="1"/>
  <c r="AS202" i="20"/>
  <c r="AB202" i="20"/>
  <c r="Z202" i="20"/>
  <c r="W202" i="20"/>
  <c r="BA202" i="20" s="1"/>
  <c r="V202" i="20"/>
  <c r="O202" i="20"/>
  <c r="H202" i="20"/>
  <c r="AK202" i="20" s="1"/>
  <c r="FZ201" i="20"/>
  <c r="DH201" i="20"/>
  <c r="CG201" i="20"/>
  <c r="CF201" i="20"/>
  <c r="CD201" i="20"/>
  <c r="CE201" i="20" s="1"/>
  <c r="AS201" i="20"/>
  <c r="AI201" i="20"/>
  <c r="EA201" i="20" s="1"/>
  <c r="AB201" i="20"/>
  <c r="Z201" i="20"/>
  <c r="W201" i="20"/>
  <c r="BA201" i="20" s="1"/>
  <c r="V201" i="20"/>
  <c r="O201" i="20"/>
  <c r="Q201" i="20" s="1"/>
  <c r="H201" i="20"/>
  <c r="FZ200" i="20"/>
  <c r="DH200" i="20"/>
  <c r="CG200" i="20"/>
  <c r="CF200" i="20"/>
  <c r="CD200" i="20"/>
  <c r="CE200" i="20" s="1"/>
  <c r="AS200" i="20"/>
  <c r="AI200" i="20"/>
  <c r="EA200" i="20" s="1"/>
  <c r="AB200" i="20"/>
  <c r="Z200" i="20"/>
  <c r="W200" i="20"/>
  <c r="V200" i="20"/>
  <c r="O200" i="20"/>
  <c r="H200" i="20"/>
  <c r="L200" i="20" s="1"/>
  <c r="FZ199" i="20"/>
  <c r="EA199" i="20"/>
  <c r="DH199" i="20"/>
  <c r="CG199" i="20"/>
  <c r="CF199" i="20"/>
  <c r="AS199" i="20"/>
  <c r="AB199" i="20"/>
  <c r="Z199" i="20"/>
  <c r="W199" i="20"/>
  <c r="V199" i="20"/>
  <c r="O199" i="20"/>
  <c r="H199" i="20"/>
  <c r="AM199" i="20" s="1"/>
  <c r="FZ198" i="20"/>
  <c r="EA198" i="20"/>
  <c r="DH198" i="20"/>
  <c r="CG198" i="20"/>
  <c r="CF198" i="20"/>
  <c r="CD198" i="20"/>
  <c r="CE198" i="20" s="1"/>
  <c r="AS198" i="20"/>
  <c r="AB198" i="20"/>
  <c r="Z198" i="20"/>
  <c r="W198" i="20"/>
  <c r="V198" i="20"/>
  <c r="O198" i="20"/>
  <c r="FX198" i="20" s="1"/>
  <c r="H198" i="20"/>
  <c r="FZ197" i="20"/>
  <c r="EA197" i="20"/>
  <c r="DH197" i="20"/>
  <c r="CG197" i="20"/>
  <c r="CF197" i="20"/>
  <c r="AS197" i="20"/>
  <c r="AB197" i="20"/>
  <c r="Z197" i="20"/>
  <c r="W197" i="20"/>
  <c r="BA197" i="20" s="1"/>
  <c r="V197" i="20"/>
  <c r="O197" i="20"/>
  <c r="H197" i="20"/>
  <c r="FZ196" i="20"/>
  <c r="EA196" i="20"/>
  <c r="DH196" i="20"/>
  <c r="CG196" i="20"/>
  <c r="CF196" i="20"/>
  <c r="CD196" i="20"/>
  <c r="CE196" i="20" s="1"/>
  <c r="AS196" i="20"/>
  <c r="AB196" i="20"/>
  <c r="Z196" i="20"/>
  <c r="W196" i="20"/>
  <c r="BA196" i="20" s="1"/>
  <c r="V196" i="20"/>
  <c r="O196" i="20"/>
  <c r="H196" i="20"/>
  <c r="FZ195" i="20"/>
  <c r="EA195" i="20"/>
  <c r="DH195" i="20"/>
  <c r="CG195" i="20"/>
  <c r="CF195" i="20"/>
  <c r="CD195" i="20"/>
  <c r="CE195" i="20" s="1"/>
  <c r="AS195" i="20"/>
  <c r="AB195" i="20"/>
  <c r="Z195" i="20"/>
  <c r="W195" i="20"/>
  <c r="BA195" i="20" s="1"/>
  <c r="V195" i="20"/>
  <c r="O195" i="20"/>
  <c r="H195" i="20"/>
  <c r="AM195" i="20" s="1"/>
  <c r="FZ194" i="20"/>
  <c r="EA194" i="20"/>
  <c r="DH194" i="20"/>
  <c r="CG194" i="20"/>
  <c r="CF194" i="20"/>
  <c r="CD194" i="20"/>
  <c r="CE194" i="20" s="1"/>
  <c r="AS194" i="20"/>
  <c r="AB194" i="20"/>
  <c r="Z194" i="20"/>
  <c r="W194" i="20"/>
  <c r="V194" i="20"/>
  <c r="O194" i="20"/>
  <c r="H194" i="20"/>
  <c r="AK194" i="20" s="1"/>
  <c r="FZ193" i="20"/>
  <c r="EA193" i="20"/>
  <c r="DH193" i="20"/>
  <c r="CG193" i="20"/>
  <c r="CF193" i="20"/>
  <c r="CD193" i="20"/>
  <c r="CE193" i="20" s="1"/>
  <c r="AS193" i="20"/>
  <c r="AP193" i="20"/>
  <c r="AP194" i="20" s="1"/>
  <c r="AP195" i="20" s="1"/>
  <c r="AB193" i="20"/>
  <c r="Z193" i="20"/>
  <c r="W193" i="20"/>
  <c r="BA193" i="20" s="1"/>
  <c r="V193" i="20"/>
  <c r="O193" i="20"/>
  <c r="H193" i="20"/>
  <c r="S193" i="20" s="1"/>
  <c r="FZ192" i="20"/>
  <c r="EA192" i="20"/>
  <c r="DH192" i="20"/>
  <c r="CG192" i="20"/>
  <c r="CF192" i="20"/>
  <c r="CD192" i="20"/>
  <c r="CE192" i="20" s="1"/>
  <c r="AS192" i="20"/>
  <c r="AB192" i="20"/>
  <c r="Z192" i="20"/>
  <c r="W192" i="20"/>
  <c r="V192" i="20"/>
  <c r="O192" i="20"/>
  <c r="H192" i="20"/>
  <c r="FZ191" i="20"/>
  <c r="EA191" i="20"/>
  <c r="DH191" i="20"/>
  <c r="CG191" i="20"/>
  <c r="CF191" i="20"/>
  <c r="CD191" i="20"/>
  <c r="CE191" i="20" s="1"/>
  <c r="AS191" i="20"/>
  <c r="AB191" i="20"/>
  <c r="Z191" i="20"/>
  <c r="W191" i="20"/>
  <c r="X191" i="20" s="1"/>
  <c r="V191" i="20"/>
  <c r="Q191" i="20"/>
  <c r="P191" i="20"/>
  <c r="DY191" i="20" s="1"/>
  <c r="O191" i="20"/>
  <c r="BE191" i="20" s="1"/>
  <c r="H191" i="20"/>
  <c r="DL191" i="20" s="1"/>
  <c r="FZ190" i="20"/>
  <c r="EA190" i="20"/>
  <c r="DH190" i="20"/>
  <c r="CG190" i="20"/>
  <c r="CF190" i="20"/>
  <c r="CD190" i="20"/>
  <c r="CE190" i="20" s="1"/>
  <c r="AS190" i="20"/>
  <c r="AB190" i="20"/>
  <c r="Z190" i="20"/>
  <c r="W190" i="20"/>
  <c r="X190" i="20" s="1"/>
  <c r="V190" i="20"/>
  <c r="Q190" i="20"/>
  <c r="FY190" i="20" s="1"/>
  <c r="P190" i="20"/>
  <c r="DY190" i="20" s="1"/>
  <c r="O190" i="20"/>
  <c r="H190" i="20"/>
  <c r="FZ189" i="20"/>
  <c r="EA189" i="20"/>
  <c r="DH189" i="20"/>
  <c r="CG189" i="20"/>
  <c r="CF189" i="20"/>
  <c r="CD189" i="20"/>
  <c r="CE189" i="20" s="1"/>
  <c r="AS189" i="20"/>
  <c r="AB189" i="20"/>
  <c r="Z189" i="20"/>
  <c r="W189" i="20"/>
  <c r="X189" i="20" s="1"/>
  <c r="V189" i="20"/>
  <c r="Q189" i="20"/>
  <c r="FY189" i="20" s="1"/>
  <c r="P189" i="20"/>
  <c r="DY189" i="20" s="1"/>
  <c r="O189" i="20"/>
  <c r="FX189" i="20" s="1"/>
  <c r="H189" i="20"/>
  <c r="DL189" i="20" s="1"/>
  <c r="FZ188" i="20"/>
  <c r="DH188" i="20"/>
  <c r="CG188" i="20"/>
  <c r="CF188" i="20"/>
  <c r="CD188" i="20"/>
  <c r="CE188" i="20" s="1"/>
  <c r="AS188" i="20"/>
  <c r="AI188" i="20"/>
  <c r="EA188" i="20" s="1"/>
  <c r="AB188" i="20"/>
  <c r="Z188" i="20"/>
  <c r="W188" i="20"/>
  <c r="V188" i="20"/>
  <c r="Q188" i="20"/>
  <c r="P188" i="20"/>
  <c r="DY188" i="20" s="1"/>
  <c r="O188" i="20"/>
  <c r="FX188" i="20" s="1"/>
  <c r="H188" i="20"/>
  <c r="DL188" i="20" s="1"/>
  <c r="FZ187" i="20"/>
  <c r="DH187" i="20"/>
  <c r="CG187" i="20"/>
  <c r="CF187" i="20"/>
  <c r="CD187" i="20"/>
  <c r="CE187" i="20" s="1"/>
  <c r="AS187" i="20"/>
  <c r="AI187" i="20"/>
  <c r="EA187" i="20" s="1"/>
  <c r="AB187" i="20"/>
  <c r="Z187" i="20"/>
  <c r="W187" i="20"/>
  <c r="BA187" i="20" s="1"/>
  <c r="V187" i="20"/>
  <c r="Q187" i="20"/>
  <c r="P187" i="20"/>
  <c r="DY187" i="20" s="1"/>
  <c r="O187" i="20"/>
  <c r="BE187" i="20" s="1"/>
  <c r="H187" i="20"/>
  <c r="I187" i="20" s="1"/>
  <c r="DI187" i="20" s="1"/>
  <c r="FZ186" i="20"/>
  <c r="DH186" i="20"/>
  <c r="CG186" i="20"/>
  <c r="CF186" i="20"/>
  <c r="CD186" i="20"/>
  <c r="CE186" i="20" s="1"/>
  <c r="AS186" i="20"/>
  <c r="AI186" i="20"/>
  <c r="EA186" i="20" s="1"/>
  <c r="AB186" i="20"/>
  <c r="Z186" i="20"/>
  <c r="W186" i="20"/>
  <c r="BA186" i="20" s="1"/>
  <c r="V186" i="20"/>
  <c r="Q186" i="20"/>
  <c r="P186" i="20"/>
  <c r="DY186" i="20" s="1"/>
  <c r="O186" i="20"/>
  <c r="FX186" i="20" s="1"/>
  <c r="H186" i="20"/>
  <c r="I186" i="20" s="1"/>
  <c r="M186" i="20" s="1"/>
  <c r="FZ185" i="20"/>
  <c r="EA185" i="20"/>
  <c r="DH185" i="20"/>
  <c r="CG185" i="20"/>
  <c r="CF185" i="20"/>
  <c r="CD185" i="20"/>
  <c r="CE185" i="20" s="1"/>
  <c r="AS185" i="20"/>
  <c r="AB185" i="20"/>
  <c r="Z185" i="20"/>
  <c r="W185" i="20"/>
  <c r="X185" i="20" s="1"/>
  <c r="Y185" i="20" s="1"/>
  <c r="DT185" i="20" s="1"/>
  <c r="V185" i="20"/>
  <c r="Q185" i="20"/>
  <c r="P185" i="20"/>
  <c r="DY185" i="20" s="1"/>
  <c r="O185" i="20"/>
  <c r="BE185" i="20" s="1"/>
  <c r="H185" i="20"/>
  <c r="I185" i="20" s="1"/>
  <c r="AX185" i="20" s="1"/>
  <c r="FZ184" i="20"/>
  <c r="EA184" i="20"/>
  <c r="DH184" i="20"/>
  <c r="CG184" i="20"/>
  <c r="CF184" i="20"/>
  <c r="CD184" i="20"/>
  <c r="CE184" i="20" s="1"/>
  <c r="AS184" i="20"/>
  <c r="AB184" i="20"/>
  <c r="Z184" i="20"/>
  <c r="W184" i="20"/>
  <c r="V184" i="20"/>
  <c r="Q184" i="20"/>
  <c r="P184" i="20"/>
  <c r="DY184" i="20" s="1"/>
  <c r="O184" i="20"/>
  <c r="U184" i="20" s="1"/>
  <c r="H184" i="20"/>
  <c r="FZ183" i="20"/>
  <c r="DH183" i="20"/>
  <c r="CG183" i="20"/>
  <c r="CF183" i="20"/>
  <c r="CD183" i="20"/>
  <c r="CE183" i="20" s="1"/>
  <c r="AS183" i="20"/>
  <c r="AI183" i="20"/>
  <c r="EA183" i="20" s="1"/>
  <c r="AB183" i="20"/>
  <c r="Z183" i="20"/>
  <c r="W183" i="20"/>
  <c r="BA183" i="20" s="1"/>
  <c r="V183" i="20"/>
  <c r="Q183" i="20"/>
  <c r="P183" i="20"/>
  <c r="DY183" i="20" s="1"/>
  <c r="O183" i="20"/>
  <c r="BE183" i="20" s="1"/>
  <c r="H183" i="20"/>
  <c r="S183" i="20" s="1"/>
  <c r="FZ182" i="20"/>
  <c r="EA182" i="20"/>
  <c r="DH182" i="20"/>
  <c r="CG182" i="20"/>
  <c r="CF182" i="20"/>
  <c r="CD182" i="20"/>
  <c r="CE182" i="20" s="1"/>
  <c r="AS182" i="20"/>
  <c r="AB182" i="20"/>
  <c r="Z182" i="20"/>
  <c r="W182" i="20"/>
  <c r="V182" i="20"/>
  <c r="Q182" i="20"/>
  <c r="P182" i="20"/>
  <c r="DY182" i="20" s="1"/>
  <c r="O182" i="20"/>
  <c r="H182" i="20"/>
  <c r="I182" i="20" s="1"/>
  <c r="AX182" i="20" s="1"/>
  <c r="FZ181" i="20"/>
  <c r="EA181" i="20"/>
  <c r="DH181" i="20"/>
  <c r="CG181" i="20"/>
  <c r="CF181" i="20"/>
  <c r="CH181" i="20" s="1"/>
  <c r="CD181" i="20"/>
  <c r="CE181" i="20" s="1"/>
  <c r="AS181" i="20"/>
  <c r="AB181" i="20"/>
  <c r="Z181" i="20"/>
  <c r="W181" i="20"/>
  <c r="BA181" i="20" s="1"/>
  <c r="V181" i="20"/>
  <c r="Q181" i="20"/>
  <c r="P181" i="20"/>
  <c r="DY181" i="20" s="1"/>
  <c r="O181" i="20"/>
  <c r="FX181" i="20" s="1"/>
  <c r="H181" i="20"/>
  <c r="S181" i="20" s="1"/>
  <c r="FZ180" i="20"/>
  <c r="DH180" i="20"/>
  <c r="CG180" i="20"/>
  <c r="CF180" i="20"/>
  <c r="CD180" i="20"/>
  <c r="CE180" i="20" s="1"/>
  <c r="AS180" i="20"/>
  <c r="AI180" i="20"/>
  <c r="EA180" i="20" s="1"/>
  <c r="AB180" i="20"/>
  <c r="Z180" i="20"/>
  <c r="W180" i="20"/>
  <c r="X180" i="20" s="1"/>
  <c r="V180" i="20"/>
  <c r="Q180" i="20"/>
  <c r="P180" i="20"/>
  <c r="DY180" i="20" s="1"/>
  <c r="O180" i="20"/>
  <c r="H180" i="20"/>
  <c r="DL180" i="20" s="1"/>
  <c r="FZ179" i="20"/>
  <c r="EA179" i="20"/>
  <c r="DH179" i="20"/>
  <c r="CG179" i="20"/>
  <c r="CF179" i="20"/>
  <c r="CD179" i="20"/>
  <c r="CE179" i="20" s="1"/>
  <c r="AS179" i="20"/>
  <c r="AB179" i="20"/>
  <c r="Z179" i="20"/>
  <c r="W179" i="20"/>
  <c r="V179" i="20"/>
  <c r="Q179" i="20"/>
  <c r="FY179" i="20" s="1"/>
  <c r="P179" i="20"/>
  <c r="DY179" i="20" s="1"/>
  <c r="O179" i="20"/>
  <c r="BE179" i="20" s="1"/>
  <c r="H179" i="20"/>
  <c r="I179" i="20" s="1"/>
  <c r="FZ178" i="20"/>
  <c r="DH178" i="20"/>
  <c r="CG178" i="20"/>
  <c r="CF178" i="20"/>
  <c r="CD178" i="20"/>
  <c r="CE178" i="20" s="1"/>
  <c r="AS178" i="20"/>
  <c r="AI178" i="20"/>
  <c r="EA178" i="20" s="1"/>
  <c r="AB178" i="20"/>
  <c r="Z178" i="20"/>
  <c r="W178" i="20"/>
  <c r="BA178" i="20" s="1"/>
  <c r="V178" i="20"/>
  <c r="Q178" i="20"/>
  <c r="P178" i="20"/>
  <c r="DY178" i="20" s="1"/>
  <c r="O178" i="20"/>
  <c r="BE178" i="20" s="1"/>
  <c r="H178" i="20"/>
  <c r="AM178" i="20" s="1"/>
  <c r="FZ177" i="20"/>
  <c r="DH177" i="20"/>
  <c r="CG177" i="20"/>
  <c r="CF177" i="20"/>
  <c r="CD177" i="20"/>
  <c r="CE177" i="20" s="1"/>
  <c r="AS177" i="20"/>
  <c r="AI177" i="20"/>
  <c r="EA177" i="20" s="1"/>
  <c r="AB177" i="20"/>
  <c r="Z177" i="20"/>
  <c r="W177" i="20"/>
  <c r="BA177" i="20" s="1"/>
  <c r="V177" i="20"/>
  <c r="Q177" i="20"/>
  <c r="P177" i="20"/>
  <c r="DY177" i="20" s="1"/>
  <c r="O177" i="20"/>
  <c r="FX177" i="20" s="1"/>
  <c r="H177" i="20"/>
  <c r="S177" i="20" s="1"/>
  <c r="FZ176" i="20"/>
  <c r="EA176" i="20"/>
  <c r="DH176" i="20"/>
  <c r="CG176" i="20"/>
  <c r="CF176" i="20"/>
  <c r="CD176" i="20"/>
  <c r="CE176" i="20" s="1"/>
  <c r="AS176" i="20"/>
  <c r="AB176" i="20"/>
  <c r="Z176" i="20"/>
  <c r="W176" i="20"/>
  <c r="X176" i="20" s="1"/>
  <c r="V176" i="20"/>
  <c r="Q176" i="20"/>
  <c r="FY176" i="20" s="1"/>
  <c r="P176" i="20"/>
  <c r="DY176" i="20" s="1"/>
  <c r="O176" i="20"/>
  <c r="H176" i="20"/>
  <c r="AM176" i="20" s="1"/>
  <c r="FZ175" i="20"/>
  <c r="EA175" i="20"/>
  <c r="DH175" i="20"/>
  <c r="CG175" i="20"/>
  <c r="CF175" i="20"/>
  <c r="CD175" i="20"/>
  <c r="CE175" i="20" s="1"/>
  <c r="AS175" i="20"/>
  <c r="AB175" i="20"/>
  <c r="Z175" i="20"/>
  <c r="W175" i="20"/>
  <c r="BA175" i="20" s="1"/>
  <c r="V175" i="20"/>
  <c r="Q175" i="20"/>
  <c r="P175" i="20"/>
  <c r="DY175" i="20" s="1"/>
  <c r="O175" i="20"/>
  <c r="H175" i="20"/>
  <c r="FZ174" i="20"/>
  <c r="DH174" i="20"/>
  <c r="CG174" i="20"/>
  <c r="CF174" i="20"/>
  <c r="CD174" i="20"/>
  <c r="CE174" i="20" s="1"/>
  <c r="AS174" i="20"/>
  <c r="AI174" i="20"/>
  <c r="EA174" i="20" s="1"/>
  <c r="AB174" i="20"/>
  <c r="Z174" i="20"/>
  <c r="W174" i="20"/>
  <c r="BA174" i="20" s="1"/>
  <c r="V174" i="20"/>
  <c r="Q174" i="20"/>
  <c r="P174" i="20"/>
  <c r="DY174" i="20" s="1"/>
  <c r="O174" i="20"/>
  <c r="BE174" i="20" s="1"/>
  <c r="H174" i="20"/>
  <c r="S174" i="20" s="1"/>
  <c r="FZ173" i="20"/>
  <c r="DH173" i="20"/>
  <c r="CG173" i="20"/>
  <c r="CF173" i="20"/>
  <c r="CD173" i="20"/>
  <c r="CE173" i="20" s="1"/>
  <c r="AS173" i="20"/>
  <c r="AI173" i="20"/>
  <c r="EA173" i="20" s="1"/>
  <c r="AB173" i="20"/>
  <c r="Z173" i="20"/>
  <c r="W173" i="20"/>
  <c r="X173" i="20" s="1"/>
  <c r="V173" i="20"/>
  <c r="Q173" i="20"/>
  <c r="P173" i="20"/>
  <c r="DY173" i="20" s="1"/>
  <c r="O173" i="20"/>
  <c r="H173" i="20"/>
  <c r="DL173" i="20" s="1"/>
  <c r="FZ172" i="20"/>
  <c r="EA172" i="20"/>
  <c r="DH172" i="20"/>
  <c r="CG172" i="20"/>
  <c r="CF172" i="20"/>
  <c r="CD172" i="20"/>
  <c r="CE172" i="20" s="1"/>
  <c r="AS172" i="20"/>
  <c r="AB172" i="20"/>
  <c r="Z172" i="20"/>
  <c r="W172" i="20"/>
  <c r="V172" i="20"/>
  <c r="Q172" i="20"/>
  <c r="FY172" i="20" s="1"/>
  <c r="P172" i="20"/>
  <c r="DY172" i="20" s="1"/>
  <c r="O172" i="20"/>
  <c r="U172" i="20" s="1"/>
  <c r="H172" i="20"/>
  <c r="I172" i="20" s="1"/>
  <c r="FZ171" i="20"/>
  <c r="EA171" i="20"/>
  <c r="DH171" i="20"/>
  <c r="CG171" i="20"/>
  <c r="CF171" i="20"/>
  <c r="CD171" i="20"/>
  <c r="CE171" i="20" s="1"/>
  <c r="AS171" i="20"/>
  <c r="AB171" i="20"/>
  <c r="Z171" i="20"/>
  <c r="W171" i="20"/>
  <c r="X171" i="20" s="1"/>
  <c r="V171" i="20"/>
  <c r="Q171" i="20"/>
  <c r="P171" i="20"/>
  <c r="DY171" i="20" s="1"/>
  <c r="O171" i="20"/>
  <c r="H171" i="20"/>
  <c r="AM171" i="20" s="1"/>
  <c r="FZ170" i="20"/>
  <c r="EA170" i="20"/>
  <c r="DH170" i="20"/>
  <c r="CG170" i="20"/>
  <c r="CF170" i="20"/>
  <c r="CD170" i="20"/>
  <c r="CE170" i="20" s="1"/>
  <c r="AS170" i="20"/>
  <c r="AB170" i="20"/>
  <c r="Z170" i="20"/>
  <c r="W170" i="20"/>
  <c r="V170" i="20"/>
  <c r="Q170" i="20"/>
  <c r="FY170" i="20" s="1"/>
  <c r="P170" i="20"/>
  <c r="DY170" i="20" s="1"/>
  <c r="O170" i="20"/>
  <c r="H170" i="20"/>
  <c r="I170" i="20" s="1"/>
  <c r="FZ169" i="20"/>
  <c r="DH169" i="20"/>
  <c r="CG169" i="20"/>
  <c r="CF169" i="20"/>
  <c r="CD169" i="20"/>
  <c r="CE169" i="20" s="1"/>
  <c r="AS169" i="20"/>
  <c r="AI169" i="20"/>
  <c r="EA169" i="20" s="1"/>
  <c r="AB169" i="20"/>
  <c r="Z169" i="20"/>
  <c r="W169" i="20"/>
  <c r="BA169" i="20" s="1"/>
  <c r="V169" i="20"/>
  <c r="Q169" i="20"/>
  <c r="P169" i="20"/>
  <c r="DY169" i="20" s="1"/>
  <c r="O169" i="20"/>
  <c r="H169" i="20"/>
  <c r="AM169" i="20" s="1"/>
  <c r="FZ168" i="20"/>
  <c r="EA168" i="20"/>
  <c r="DH168" i="20"/>
  <c r="CG168" i="20"/>
  <c r="CF168" i="20"/>
  <c r="CD168" i="20"/>
  <c r="CE168" i="20" s="1"/>
  <c r="AS168" i="20"/>
  <c r="AB168" i="20"/>
  <c r="Z168" i="20"/>
  <c r="W168" i="20"/>
  <c r="BA168" i="20" s="1"/>
  <c r="V168" i="20"/>
  <c r="Q168" i="20"/>
  <c r="FY168" i="20" s="1"/>
  <c r="P168" i="20"/>
  <c r="DY168" i="20" s="1"/>
  <c r="O168" i="20"/>
  <c r="H168" i="20"/>
  <c r="L168" i="20" s="1"/>
  <c r="FZ167" i="20"/>
  <c r="EA167" i="20"/>
  <c r="DH167" i="20"/>
  <c r="CG167" i="20"/>
  <c r="CF167" i="20"/>
  <c r="CD167" i="20"/>
  <c r="CE167" i="20" s="1"/>
  <c r="AS167" i="20"/>
  <c r="AB167" i="20"/>
  <c r="Z167" i="20"/>
  <c r="W167" i="20"/>
  <c r="BA167" i="20" s="1"/>
  <c r="V167" i="20"/>
  <c r="Q167" i="20"/>
  <c r="FY167" i="20" s="1"/>
  <c r="P167" i="20"/>
  <c r="DY167" i="20" s="1"/>
  <c r="O167" i="20"/>
  <c r="H167" i="20"/>
  <c r="AM167" i="20" s="1"/>
  <c r="FZ166" i="20"/>
  <c r="DH166" i="20"/>
  <c r="CG166" i="20"/>
  <c r="CF166" i="20"/>
  <c r="CD166" i="20"/>
  <c r="CE166" i="20" s="1"/>
  <c r="AS166" i="20"/>
  <c r="AP166" i="20"/>
  <c r="AP167" i="20" s="1"/>
  <c r="AI166" i="20"/>
  <c r="EA166" i="20" s="1"/>
  <c r="AB166" i="20"/>
  <c r="Z166" i="20"/>
  <c r="W166" i="20"/>
  <c r="X166" i="20" s="1"/>
  <c r="V166" i="20"/>
  <c r="Q166" i="20"/>
  <c r="P166" i="20"/>
  <c r="DY166" i="20" s="1"/>
  <c r="O166" i="20"/>
  <c r="BE166" i="20" s="1"/>
  <c r="H166" i="20"/>
  <c r="FZ165" i="20"/>
  <c r="EA165" i="20"/>
  <c r="DH165" i="20"/>
  <c r="CG165" i="20"/>
  <c r="CF165" i="20"/>
  <c r="CD165" i="20"/>
  <c r="CE165" i="20" s="1"/>
  <c r="AS165" i="20"/>
  <c r="AB165" i="20"/>
  <c r="Z165" i="20"/>
  <c r="W165" i="20"/>
  <c r="X165" i="20" s="1"/>
  <c r="Y165" i="20" s="1"/>
  <c r="DT165" i="20" s="1"/>
  <c r="V165" i="20"/>
  <c r="Q165" i="20"/>
  <c r="P165" i="20"/>
  <c r="DY165" i="20" s="1"/>
  <c r="O165" i="20"/>
  <c r="H165" i="20"/>
  <c r="FZ164" i="20"/>
  <c r="EA164" i="20"/>
  <c r="DL164" i="20"/>
  <c r="DH164" i="20"/>
  <c r="CG164" i="20"/>
  <c r="CF164" i="20"/>
  <c r="AN164" i="20"/>
  <c r="AM164" i="20"/>
  <c r="AL164" i="20"/>
  <c r="AK164" i="20"/>
  <c r="AB164" i="20"/>
  <c r="Z164" i="20"/>
  <c r="W164" i="20"/>
  <c r="V164" i="20"/>
  <c r="S164" i="20"/>
  <c r="O164" i="20"/>
  <c r="L164" i="20"/>
  <c r="I164" i="20"/>
  <c r="AX164" i="20" s="1"/>
  <c r="FZ163" i="20"/>
  <c r="EA163" i="20"/>
  <c r="DL163" i="20"/>
  <c r="DH163" i="20"/>
  <c r="CG163" i="20"/>
  <c r="CF163" i="20"/>
  <c r="AN163" i="20"/>
  <c r="AM163" i="20"/>
  <c r="AL163" i="20"/>
  <c r="AK163" i="20"/>
  <c r="Z163" i="20"/>
  <c r="W163" i="20"/>
  <c r="V163" i="20"/>
  <c r="S163" i="20"/>
  <c r="O163" i="20"/>
  <c r="T163" i="20" s="1"/>
  <c r="L163" i="20"/>
  <c r="I163" i="20"/>
  <c r="M163" i="20" s="1"/>
  <c r="FZ162" i="20"/>
  <c r="FY162" i="20"/>
  <c r="EA162" i="20"/>
  <c r="DL162" i="20"/>
  <c r="DH162" i="20"/>
  <c r="CG162" i="20"/>
  <c r="CF162" i="20"/>
  <c r="AN162" i="20"/>
  <c r="AM162" i="20"/>
  <c r="AL162" i="20"/>
  <c r="AK162" i="20"/>
  <c r="Z162" i="20"/>
  <c r="W162" i="20"/>
  <c r="X162" i="20" s="1"/>
  <c r="Y162" i="20" s="1"/>
  <c r="V162" i="20"/>
  <c r="S162" i="20"/>
  <c r="O162" i="20"/>
  <c r="L162" i="20"/>
  <c r="I162" i="20"/>
  <c r="DI162" i="20" s="1"/>
  <c r="FZ161" i="20"/>
  <c r="FY161" i="20"/>
  <c r="EA161" i="20"/>
  <c r="DL161" i="20"/>
  <c r="DH161" i="20"/>
  <c r="CG161" i="20"/>
  <c r="CF161" i="20"/>
  <c r="CD161" i="20"/>
  <c r="CE161" i="20" s="1"/>
  <c r="AN161" i="20"/>
  <c r="AM161" i="20"/>
  <c r="AL161" i="20"/>
  <c r="AK161" i="20"/>
  <c r="Z161" i="20"/>
  <c r="W161" i="20"/>
  <c r="BA161" i="20" s="1"/>
  <c r="V161" i="20"/>
  <c r="S161" i="20"/>
  <c r="O161" i="20"/>
  <c r="CA161" i="20" s="1"/>
  <c r="L161" i="20"/>
  <c r="I161" i="20"/>
  <c r="FZ160" i="20"/>
  <c r="EA160" i="20"/>
  <c r="DL160" i="20"/>
  <c r="DH160" i="20"/>
  <c r="CG160" i="20"/>
  <c r="CF160" i="20"/>
  <c r="CD160" i="20"/>
  <c r="CE160" i="20" s="1"/>
  <c r="AN160" i="20"/>
  <c r="AM160" i="20"/>
  <c r="AL160" i="20"/>
  <c r="AK160" i="20"/>
  <c r="AB160" i="20"/>
  <c r="Z160" i="20"/>
  <c r="W160" i="20"/>
  <c r="BA160" i="20" s="1"/>
  <c r="V160" i="20"/>
  <c r="S160" i="20"/>
  <c r="O160" i="20"/>
  <c r="FX160" i="20" s="1"/>
  <c r="L160" i="20"/>
  <c r="I160" i="20"/>
  <c r="M160" i="20" s="1"/>
  <c r="FZ159" i="20"/>
  <c r="EA159" i="20"/>
  <c r="DL159" i="20"/>
  <c r="DH159" i="20"/>
  <c r="CG159" i="20"/>
  <c r="CF159" i="20"/>
  <c r="CD159" i="20"/>
  <c r="CE159" i="20" s="1"/>
  <c r="AN159" i="20"/>
  <c r="AM159" i="20"/>
  <c r="AL159" i="20"/>
  <c r="AK159" i="20"/>
  <c r="Z159" i="20"/>
  <c r="W159" i="20"/>
  <c r="V159" i="20"/>
  <c r="S159" i="20"/>
  <c r="O159" i="20"/>
  <c r="CA159" i="20" s="1"/>
  <c r="L159" i="20"/>
  <c r="I159" i="20"/>
  <c r="DI159" i="20" s="1"/>
  <c r="FZ158" i="20"/>
  <c r="EA158" i="20"/>
  <c r="DL158" i="20"/>
  <c r="DH158" i="20"/>
  <c r="CG158" i="20"/>
  <c r="CF158" i="20"/>
  <c r="AN158" i="20"/>
  <c r="AM158" i="20"/>
  <c r="AL158" i="20"/>
  <c r="AK158" i="20"/>
  <c r="Z158" i="20"/>
  <c r="W158" i="20"/>
  <c r="V158" i="20"/>
  <c r="S158" i="20"/>
  <c r="O158" i="20"/>
  <c r="CA158" i="20" s="1"/>
  <c r="L158" i="20"/>
  <c r="I158" i="20"/>
  <c r="FZ157" i="20"/>
  <c r="FY157" i="20"/>
  <c r="EA157" i="20"/>
  <c r="DL157" i="20"/>
  <c r="DH157" i="20"/>
  <c r="CG157" i="20"/>
  <c r="CF157" i="20"/>
  <c r="AN157" i="20"/>
  <c r="AM157" i="20"/>
  <c r="AL157" i="20"/>
  <c r="AK157" i="20"/>
  <c r="Z157" i="20"/>
  <c r="W157" i="20"/>
  <c r="V157" i="20"/>
  <c r="S157" i="20"/>
  <c r="O157" i="20"/>
  <c r="CA157" i="20" s="1"/>
  <c r="L157" i="20"/>
  <c r="I157" i="20"/>
  <c r="FZ156" i="20"/>
  <c r="FY156" i="20"/>
  <c r="EA156" i="20"/>
  <c r="DL156" i="20"/>
  <c r="DH156" i="20"/>
  <c r="CG156" i="20"/>
  <c r="CF156" i="20"/>
  <c r="CD156" i="20"/>
  <c r="CE156" i="20" s="1"/>
  <c r="AN156" i="20"/>
  <c r="AM156" i="20"/>
  <c r="AL156" i="20"/>
  <c r="AK156" i="20"/>
  <c r="AB156" i="20"/>
  <c r="Z156" i="20"/>
  <c r="W156" i="20"/>
  <c r="BA156" i="20" s="1"/>
  <c r="V156" i="20"/>
  <c r="S156" i="20"/>
  <c r="O156" i="20"/>
  <c r="CA156" i="20" s="1"/>
  <c r="L156" i="20"/>
  <c r="I156" i="20"/>
  <c r="P156" i="20" s="1"/>
  <c r="DY156" i="20" s="1"/>
  <c r="FZ155" i="20"/>
  <c r="FY155" i="20"/>
  <c r="EA155" i="20"/>
  <c r="DL155" i="20"/>
  <c r="DH155" i="20"/>
  <c r="CG155" i="20"/>
  <c r="CF155" i="20"/>
  <c r="CD155" i="20"/>
  <c r="CE155" i="20" s="1"/>
  <c r="AN155" i="20"/>
  <c r="AM155" i="20"/>
  <c r="AL155" i="20"/>
  <c r="AK155" i="20"/>
  <c r="Z155" i="20"/>
  <c r="W155" i="20"/>
  <c r="BA155" i="20" s="1"/>
  <c r="V155" i="20"/>
  <c r="S155" i="20"/>
  <c r="O155" i="20"/>
  <c r="L155" i="20"/>
  <c r="I155" i="20"/>
  <c r="P155" i="20" s="1"/>
  <c r="FZ154" i="20"/>
  <c r="FY154" i="20"/>
  <c r="EA154" i="20"/>
  <c r="DL154" i="20"/>
  <c r="DH154" i="20"/>
  <c r="CG154" i="20"/>
  <c r="CF154" i="20"/>
  <c r="CD154" i="20"/>
  <c r="CE154" i="20" s="1"/>
  <c r="AN154" i="20"/>
  <c r="AM154" i="20"/>
  <c r="AL154" i="20"/>
  <c r="AK154" i="20"/>
  <c r="Z154" i="20"/>
  <c r="W154" i="20"/>
  <c r="V154" i="20"/>
  <c r="S154" i="20"/>
  <c r="O154" i="20"/>
  <c r="CA154" i="20" s="1"/>
  <c r="L154" i="20"/>
  <c r="I154" i="20"/>
  <c r="P154" i="20" s="1"/>
  <c r="FZ153" i="20"/>
  <c r="FY153" i="20"/>
  <c r="EA153" i="20"/>
  <c r="DL153" i="20"/>
  <c r="DH153" i="20"/>
  <c r="CG153" i="20"/>
  <c r="CF153" i="20"/>
  <c r="CD153" i="20"/>
  <c r="CE153" i="20" s="1"/>
  <c r="AN153" i="20"/>
  <c r="AM153" i="20"/>
  <c r="AL153" i="20"/>
  <c r="AK153" i="20"/>
  <c r="Z153" i="20"/>
  <c r="W153" i="20"/>
  <c r="V153" i="20"/>
  <c r="S153" i="20"/>
  <c r="O153" i="20"/>
  <c r="L153" i="20"/>
  <c r="I153" i="20"/>
  <c r="P153" i="20" s="1"/>
  <c r="DH152" i="20"/>
  <c r="AB152" i="20"/>
  <c r="W152" i="20"/>
  <c r="BA152" i="20" s="1"/>
  <c r="S152" i="20"/>
  <c r="Q152" i="20"/>
  <c r="O152" i="20"/>
  <c r="FX152" i="20" s="1"/>
  <c r="N152" i="20"/>
  <c r="K152" i="20"/>
  <c r="FZ152" i="20" s="1"/>
  <c r="J152" i="20"/>
  <c r="H152" i="20"/>
  <c r="G152" i="20"/>
  <c r="CG152" i="20" s="1"/>
  <c r="DH151" i="20"/>
  <c r="AB151" i="20"/>
  <c r="W151" i="20"/>
  <c r="S151" i="20"/>
  <c r="Q151" i="20"/>
  <c r="O151" i="20"/>
  <c r="FX151" i="20" s="1"/>
  <c r="N151" i="20"/>
  <c r="K151" i="20"/>
  <c r="CF151" i="20" s="1"/>
  <c r="J151" i="20"/>
  <c r="H151" i="20"/>
  <c r="I151" i="20" s="1"/>
  <c r="G151" i="20"/>
  <c r="CG151" i="20" s="1"/>
  <c r="DH150" i="20"/>
  <c r="AB150" i="20"/>
  <c r="W150" i="20"/>
  <c r="S150" i="20"/>
  <c r="Q150" i="20"/>
  <c r="O150" i="20"/>
  <c r="FX150" i="20" s="1"/>
  <c r="N150" i="20"/>
  <c r="K150" i="20"/>
  <c r="J150" i="20"/>
  <c r="H150" i="20"/>
  <c r="DI150" i="20" s="1"/>
  <c r="G150" i="20"/>
  <c r="CG150" i="20" s="1"/>
  <c r="DH149" i="20"/>
  <c r="AB149" i="20"/>
  <c r="W149" i="20"/>
  <c r="BA149" i="20" s="1"/>
  <c r="S149" i="20"/>
  <c r="Q149" i="20"/>
  <c r="O149" i="20"/>
  <c r="FX149" i="20" s="1"/>
  <c r="N149" i="20"/>
  <c r="K149" i="20"/>
  <c r="J149" i="20"/>
  <c r="H149" i="20"/>
  <c r="DI149" i="20" s="1"/>
  <c r="G149" i="20"/>
  <c r="CG149" i="20" s="1"/>
  <c r="DH148" i="20"/>
  <c r="AB148" i="20"/>
  <c r="W148" i="20"/>
  <c r="BA148" i="20" s="1"/>
  <c r="S148" i="20"/>
  <c r="Q148" i="20"/>
  <c r="O148" i="20"/>
  <c r="FX148" i="20" s="1"/>
  <c r="N148" i="20"/>
  <c r="K148" i="20"/>
  <c r="AJ148" i="20" s="1"/>
  <c r="J148" i="20"/>
  <c r="H148" i="20"/>
  <c r="G148" i="20"/>
  <c r="CG148" i="20" s="1"/>
  <c r="DH147" i="20"/>
  <c r="AB147" i="20"/>
  <c r="W147" i="20"/>
  <c r="S147" i="20"/>
  <c r="Q147" i="20"/>
  <c r="O147" i="20"/>
  <c r="N147" i="20"/>
  <c r="K147" i="20"/>
  <c r="FZ147" i="20" s="1"/>
  <c r="J147" i="20"/>
  <c r="H147" i="20"/>
  <c r="I147" i="20" s="1"/>
  <c r="G147" i="20"/>
  <c r="CG147" i="20" s="1"/>
  <c r="FZ146" i="20"/>
  <c r="EL146" i="20"/>
  <c r="EK146" i="20" s="1"/>
  <c r="EA146" i="20"/>
  <c r="DY146" i="20"/>
  <c r="DH146" i="20"/>
  <c r="CG146" i="20"/>
  <c r="CF146" i="20"/>
  <c r="CD146" i="20"/>
  <c r="CE146" i="20" s="1"/>
  <c r="AJ146" i="20"/>
  <c r="Y146" i="20"/>
  <c r="V146" i="20"/>
  <c r="W146" i="20" s="1"/>
  <c r="S146" i="20"/>
  <c r="Q146" i="20"/>
  <c r="O146" i="20"/>
  <c r="M146" i="20"/>
  <c r="H146" i="20"/>
  <c r="FZ145" i="20"/>
  <c r="EL145" i="20"/>
  <c r="EK145" i="20" s="1"/>
  <c r="EA145" i="20"/>
  <c r="DY145" i="20"/>
  <c r="DH145" i="20"/>
  <c r="CG145" i="20"/>
  <c r="CF145" i="20"/>
  <c r="CD145" i="20"/>
  <c r="CE145" i="20" s="1"/>
  <c r="AJ145" i="20"/>
  <c r="Y145" i="20"/>
  <c r="DT145" i="20" s="1"/>
  <c r="V145" i="20"/>
  <c r="W145" i="20" s="1"/>
  <c r="S145" i="20"/>
  <c r="Q145" i="20"/>
  <c r="O145" i="20"/>
  <c r="M145" i="20"/>
  <c r="H145" i="20"/>
  <c r="DL145" i="20" s="1"/>
  <c r="FZ144" i="20"/>
  <c r="EL144" i="20"/>
  <c r="EK144" i="20" s="1"/>
  <c r="EA144" i="20"/>
  <c r="DY144" i="20"/>
  <c r="DH144" i="20"/>
  <c r="CG144" i="20"/>
  <c r="CF144" i="20"/>
  <c r="CD144" i="20"/>
  <c r="CE144" i="20" s="1"/>
  <c r="AJ144" i="20"/>
  <c r="Y144" i="20"/>
  <c r="V144" i="20"/>
  <c r="W144" i="20" s="1"/>
  <c r="S144" i="20"/>
  <c r="Q144" i="20"/>
  <c r="O144" i="20"/>
  <c r="M144" i="20"/>
  <c r="H144" i="20"/>
  <c r="DL144" i="20" s="1"/>
  <c r="FZ143" i="20"/>
  <c r="EL143" i="20"/>
  <c r="EK143" i="20" s="1"/>
  <c r="EA143" i="20"/>
  <c r="DY143" i="20"/>
  <c r="DH143" i="20"/>
  <c r="CG143" i="20"/>
  <c r="CF143" i="20"/>
  <c r="CD143" i="20"/>
  <c r="CE143" i="20" s="1"/>
  <c r="AJ143" i="20"/>
  <c r="Y143" i="20"/>
  <c r="DT143" i="20" s="1"/>
  <c r="V143" i="20"/>
  <c r="W143" i="20" s="1"/>
  <c r="BA143" i="20" s="1"/>
  <c r="S143" i="20"/>
  <c r="Q143" i="20"/>
  <c r="O143" i="20"/>
  <c r="M143" i="20"/>
  <c r="H143" i="20"/>
  <c r="DI143" i="20" s="1"/>
  <c r="FZ142" i="20"/>
  <c r="EL142" i="20"/>
  <c r="EK142" i="20" s="1"/>
  <c r="EA142" i="20"/>
  <c r="DY142" i="20"/>
  <c r="DH142" i="20"/>
  <c r="CG142" i="20"/>
  <c r="CF142" i="20"/>
  <c r="Y142" i="20"/>
  <c r="DT142" i="20" s="1"/>
  <c r="V142" i="20"/>
  <c r="W142" i="20" s="1"/>
  <c r="S142" i="20"/>
  <c r="Q142" i="20"/>
  <c r="O142" i="20"/>
  <c r="FX142" i="20" s="1"/>
  <c r="M142" i="20"/>
  <c r="H142" i="20"/>
  <c r="FZ141" i="20"/>
  <c r="EL141" i="20"/>
  <c r="EK141" i="20" s="1"/>
  <c r="EA141" i="20"/>
  <c r="DY141" i="20"/>
  <c r="DH141" i="20"/>
  <c r="CG141" i="20"/>
  <c r="CF141" i="20"/>
  <c r="Y141" i="20"/>
  <c r="DT141" i="20" s="1"/>
  <c r="V141" i="20"/>
  <c r="W141" i="20" s="1"/>
  <c r="BA141" i="20" s="1"/>
  <c r="S141" i="20"/>
  <c r="Q141" i="20"/>
  <c r="O141" i="20"/>
  <c r="M141" i="20"/>
  <c r="H141" i="20"/>
  <c r="I141" i="20" s="1"/>
  <c r="DJ141" i="20" s="1"/>
  <c r="FZ140" i="20"/>
  <c r="EL140" i="20"/>
  <c r="EK140" i="20" s="1"/>
  <c r="EA140" i="20"/>
  <c r="DY140" i="20"/>
  <c r="DH140" i="20"/>
  <c r="CG140" i="20"/>
  <c r="CF140" i="20"/>
  <c r="CD140" i="20"/>
  <c r="CE140" i="20" s="1"/>
  <c r="AJ140" i="20"/>
  <c r="Y140" i="20"/>
  <c r="V140" i="20"/>
  <c r="W140" i="20" s="1"/>
  <c r="S140" i="20"/>
  <c r="Q140" i="20"/>
  <c r="O140" i="20"/>
  <c r="M140" i="20"/>
  <c r="H140" i="20"/>
  <c r="FZ139" i="20"/>
  <c r="EL139" i="20"/>
  <c r="EK139" i="20" s="1"/>
  <c r="EA139" i="20"/>
  <c r="DY139" i="20"/>
  <c r="DH139" i="20"/>
  <c r="CG139" i="20"/>
  <c r="CF139" i="20"/>
  <c r="CD139" i="20"/>
  <c r="CE139" i="20" s="1"/>
  <c r="AJ139" i="20"/>
  <c r="Y139" i="20"/>
  <c r="DT139" i="20" s="1"/>
  <c r="V139" i="20"/>
  <c r="W139" i="20" s="1"/>
  <c r="BA139" i="20" s="1"/>
  <c r="S139" i="20"/>
  <c r="Q139" i="20"/>
  <c r="O139" i="20"/>
  <c r="M139" i="20"/>
  <c r="H139" i="20"/>
  <c r="AK139" i="20" s="1"/>
  <c r="AM139" i="20" s="1"/>
  <c r="FZ138" i="20"/>
  <c r="EL138" i="20"/>
  <c r="EK138" i="20" s="1"/>
  <c r="EA138" i="20"/>
  <c r="DY138" i="20"/>
  <c r="DH138" i="20"/>
  <c r="CG138" i="20"/>
  <c r="CF138" i="20"/>
  <c r="Y138" i="20"/>
  <c r="DT138" i="20" s="1"/>
  <c r="V138" i="20"/>
  <c r="W138" i="20" s="1"/>
  <c r="BA138" i="20" s="1"/>
  <c r="S138" i="20"/>
  <c r="Q138" i="20"/>
  <c r="O138" i="20"/>
  <c r="FX138" i="20" s="1"/>
  <c r="M138" i="20"/>
  <c r="H138" i="20"/>
  <c r="FZ137" i="20"/>
  <c r="EL137" i="20"/>
  <c r="EK137" i="20" s="1"/>
  <c r="EA137" i="20"/>
  <c r="DY137" i="20"/>
  <c r="DH137" i="20"/>
  <c r="CG137" i="20"/>
  <c r="CF137" i="20"/>
  <c r="Y137" i="20"/>
  <c r="DT137" i="20" s="1"/>
  <c r="V137" i="20"/>
  <c r="W137" i="20" s="1"/>
  <c r="S137" i="20"/>
  <c r="Q137" i="20"/>
  <c r="O137" i="20"/>
  <c r="M137" i="20"/>
  <c r="H137" i="20"/>
  <c r="FZ136" i="20"/>
  <c r="EL136" i="20"/>
  <c r="EK136" i="20" s="1"/>
  <c r="EA136" i="20"/>
  <c r="DY136" i="20"/>
  <c r="DH136" i="20"/>
  <c r="CG136" i="20"/>
  <c r="CF136" i="20"/>
  <c r="CD136" i="20"/>
  <c r="CE136" i="20" s="1"/>
  <c r="Y136" i="20"/>
  <c r="DT136" i="20" s="1"/>
  <c r="V136" i="20"/>
  <c r="W136" i="20" s="1"/>
  <c r="BA136" i="20" s="1"/>
  <c r="S136" i="20"/>
  <c r="Q136" i="20"/>
  <c r="O136" i="20"/>
  <c r="M136" i="20"/>
  <c r="H136" i="20"/>
  <c r="DL136" i="20" s="1"/>
  <c r="FZ135" i="20"/>
  <c r="EL135" i="20"/>
  <c r="EK135" i="20" s="1"/>
  <c r="EA135" i="20"/>
  <c r="DH135" i="20"/>
  <c r="CG135" i="20"/>
  <c r="CF135" i="20"/>
  <c r="Y135" i="20"/>
  <c r="DT135" i="20" s="1"/>
  <c r="V135" i="20"/>
  <c r="W135" i="20" s="1"/>
  <c r="S135" i="20"/>
  <c r="Q135" i="20"/>
  <c r="O135" i="20"/>
  <c r="FX135" i="20" s="1"/>
  <c r="M135" i="20"/>
  <c r="H135" i="20"/>
  <c r="FZ134" i="20"/>
  <c r="EL134" i="20"/>
  <c r="EK134" i="20" s="1"/>
  <c r="EA134" i="20"/>
  <c r="DY134" i="20"/>
  <c r="DH134" i="20"/>
  <c r="CG134" i="20"/>
  <c r="CF134" i="20"/>
  <c r="CD134" i="20"/>
  <c r="CE134" i="20" s="1"/>
  <c r="Y134" i="20"/>
  <c r="DT134" i="20" s="1"/>
  <c r="V134" i="20"/>
  <c r="W134" i="20" s="1"/>
  <c r="BA134" i="20" s="1"/>
  <c r="S134" i="20"/>
  <c r="Q134" i="20"/>
  <c r="O134" i="20"/>
  <c r="FX134" i="20" s="1"/>
  <c r="M134" i="20"/>
  <c r="H134" i="20"/>
  <c r="FZ133" i="20"/>
  <c r="EL133" i="20"/>
  <c r="EK133" i="20" s="1"/>
  <c r="EA133" i="20"/>
  <c r="DY133" i="20"/>
  <c r="DH133" i="20"/>
  <c r="CG133" i="20"/>
  <c r="CF133" i="20"/>
  <c r="CD133" i="20"/>
  <c r="CE133" i="20" s="1"/>
  <c r="Y133" i="20"/>
  <c r="DT133" i="20" s="1"/>
  <c r="V133" i="20"/>
  <c r="W133" i="20" s="1"/>
  <c r="S133" i="20"/>
  <c r="Q133" i="20"/>
  <c r="O133" i="20"/>
  <c r="M133" i="20"/>
  <c r="H133" i="20"/>
  <c r="DI133" i="20" s="1"/>
  <c r="FZ132" i="20"/>
  <c r="EL132" i="20"/>
  <c r="EK132" i="20" s="1"/>
  <c r="EA132" i="20"/>
  <c r="DY132" i="20"/>
  <c r="DH132" i="20"/>
  <c r="CG132" i="20"/>
  <c r="CF132" i="20"/>
  <c r="Y132" i="20"/>
  <c r="DT132" i="20" s="1"/>
  <c r="V132" i="20"/>
  <c r="W132" i="20" s="1"/>
  <c r="BA132" i="20" s="1"/>
  <c r="S132" i="20"/>
  <c r="Q132" i="20"/>
  <c r="FY132" i="20" s="1"/>
  <c r="O132" i="20"/>
  <c r="M132" i="20"/>
  <c r="H132" i="20"/>
  <c r="DL132" i="20" s="1"/>
  <c r="FZ131" i="20"/>
  <c r="EL131" i="20"/>
  <c r="EK131" i="20" s="1"/>
  <c r="EA131" i="20"/>
  <c r="DY131" i="20"/>
  <c r="DH131" i="20"/>
  <c r="CG131" i="20"/>
  <c r="CF131" i="20"/>
  <c r="CD131" i="20"/>
  <c r="CE131" i="20" s="1"/>
  <c r="Y131" i="20"/>
  <c r="DT131" i="20" s="1"/>
  <c r="V131" i="20"/>
  <c r="W131" i="20" s="1"/>
  <c r="S131" i="20"/>
  <c r="Q131" i="20"/>
  <c r="O131" i="20"/>
  <c r="M131" i="20"/>
  <c r="H131" i="20"/>
  <c r="DI131" i="20" s="1"/>
  <c r="FZ130" i="20"/>
  <c r="EL130" i="20"/>
  <c r="EK130" i="20" s="1"/>
  <c r="EA130" i="20"/>
  <c r="DY130" i="20"/>
  <c r="DH130" i="20"/>
  <c r="CG130" i="20"/>
  <c r="CF130" i="20"/>
  <c r="CD130" i="20"/>
  <c r="CE130" i="20" s="1"/>
  <c r="Y130" i="20"/>
  <c r="DT130" i="20" s="1"/>
  <c r="V130" i="20"/>
  <c r="W130" i="20" s="1"/>
  <c r="BA130" i="20" s="1"/>
  <c r="S130" i="20"/>
  <c r="Q130" i="20"/>
  <c r="FY130" i="20" s="1"/>
  <c r="O130" i="20"/>
  <c r="M130" i="20"/>
  <c r="H130" i="20"/>
  <c r="FZ129" i="20"/>
  <c r="EL129" i="20"/>
  <c r="EK129" i="20" s="1"/>
  <c r="EA129" i="20"/>
  <c r="DY129" i="20"/>
  <c r="DH129" i="20"/>
  <c r="CG129" i="20"/>
  <c r="CF129" i="20"/>
  <c r="CD129" i="20"/>
  <c r="CE129" i="20" s="1"/>
  <c r="Y129" i="20"/>
  <c r="DT129" i="20" s="1"/>
  <c r="V129" i="20"/>
  <c r="W129" i="20" s="1"/>
  <c r="S129" i="20"/>
  <c r="Q129" i="20"/>
  <c r="O129" i="20"/>
  <c r="M129" i="20"/>
  <c r="H129" i="20"/>
  <c r="FZ128" i="20"/>
  <c r="EL128" i="20"/>
  <c r="EK128" i="20" s="1"/>
  <c r="EA128" i="20"/>
  <c r="DY128" i="20"/>
  <c r="DH128" i="20"/>
  <c r="CG128" i="20"/>
  <c r="CF128" i="20"/>
  <c r="CD128" i="20"/>
  <c r="CE128" i="20" s="1"/>
  <c r="Y128" i="20"/>
  <c r="DT128" i="20" s="1"/>
  <c r="V128" i="20"/>
  <c r="S128" i="20"/>
  <c r="Q128" i="20"/>
  <c r="O128" i="20"/>
  <c r="M128" i="20"/>
  <c r="H128" i="20"/>
  <c r="FZ127" i="20"/>
  <c r="EL127" i="20"/>
  <c r="EK127" i="20" s="1"/>
  <c r="EA127" i="20"/>
  <c r="DY127" i="20"/>
  <c r="DH127" i="20"/>
  <c r="CG127" i="20"/>
  <c r="CF127" i="20"/>
  <c r="CD127" i="20"/>
  <c r="CE127" i="20" s="1"/>
  <c r="Y127" i="20"/>
  <c r="DT127" i="20" s="1"/>
  <c r="V127" i="20"/>
  <c r="W127" i="20" s="1"/>
  <c r="S127" i="20"/>
  <c r="Q127" i="20"/>
  <c r="O127" i="20"/>
  <c r="FX127" i="20" s="1"/>
  <c r="M127" i="20"/>
  <c r="H127" i="20"/>
  <c r="DL127" i="20" s="1"/>
  <c r="FZ126" i="20"/>
  <c r="EL126" i="20"/>
  <c r="EK126" i="20" s="1"/>
  <c r="EA126" i="20"/>
  <c r="DY126" i="20"/>
  <c r="DH126" i="20"/>
  <c r="CG126" i="20"/>
  <c r="CF126" i="20"/>
  <c r="CD126" i="20"/>
  <c r="CE126" i="20" s="1"/>
  <c r="Y126" i="20"/>
  <c r="DT126" i="20" s="1"/>
  <c r="V126" i="20"/>
  <c r="W126" i="20" s="1"/>
  <c r="BA126" i="20" s="1"/>
  <c r="S126" i="20"/>
  <c r="Q126" i="20"/>
  <c r="O126" i="20"/>
  <c r="FX126" i="20" s="1"/>
  <c r="M126" i="20"/>
  <c r="H126" i="20"/>
  <c r="DL126" i="20" s="1"/>
  <c r="FZ125" i="20"/>
  <c r="EL125" i="20"/>
  <c r="EK125" i="20" s="1"/>
  <c r="EA125" i="20"/>
  <c r="DY125" i="20"/>
  <c r="DH125" i="20"/>
  <c r="CG125" i="20"/>
  <c r="CF125" i="20"/>
  <c r="CH125" i="20" s="1"/>
  <c r="CD125" i="20"/>
  <c r="CE125" i="20" s="1"/>
  <c r="Y125" i="20"/>
  <c r="DT125" i="20" s="1"/>
  <c r="V125" i="20"/>
  <c r="W125" i="20" s="1"/>
  <c r="S125" i="20"/>
  <c r="Q125" i="20"/>
  <c r="O125" i="20"/>
  <c r="FX125" i="20" s="1"/>
  <c r="M125" i="20"/>
  <c r="H125" i="20"/>
  <c r="FZ124" i="20"/>
  <c r="EL124" i="20"/>
  <c r="EK124" i="20" s="1"/>
  <c r="EA124" i="20"/>
  <c r="DY124" i="20"/>
  <c r="DH124" i="20"/>
  <c r="CG124" i="20"/>
  <c r="CF124" i="20"/>
  <c r="CD124" i="20"/>
  <c r="CE124" i="20" s="1"/>
  <c r="Y124" i="20"/>
  <c r="DT124" i="20" s="1"/>
  <c r="V124" i="20"/>
  <c r="W124" i="20" s="1"/>
  <c r="S124" i="20"/>
  <c r="Q124" i="20"/>
  <c r="O124" i="20"/>
  <c r="M124" i="20"/>
  <c r="H124" i="20"/>
  <c r="AK124" i="20" s="1"/>
  <c r="AM124" i="20" s="1"/>
  <c r="FZ123" i="20"/>
  <c r="EL123" i="20"/>
  <c r="EK123" i="20" s="1"/>
  <c r="EA123" i="20"/>
  <c r="DY123" i="20"/>
  <c r="DH123" i="20"/>
  <c r="CG123" i="20"/>
  <c r="CF123" i="20"/>
  <c r="CD123" i="20"/>
  <c r="CE123" i="20" s="1"/>
  <c r="Y123" i="20"/>
  <c r="DT123" i="20" s="1"/>
  <c r="V123" i="20"/>
  <c r="W123" i="20" s="1"/>
  <c r="BA123" i="20" s="1"/>
  <c r="S123" i="20"/>
  <c r="Q123" i="20"/>
  <c r="FY123" i="20" s="1"/>
  <c r="O123" i="20"/>
  <c r="M123" i="20"/>
  <c r="H123" i="20"/>
  <c r="FZ122" i="20"/>
  <c r="EA122" i="20"/>
  <c r="DY122" i="20"/>
  <c r="DH122" i="20"/>
  <c r="CG122" i="20"/>
  <c r="CF122" i="20"/>
  <c r="AG122" i="20"/>
  <c r="CD122" i="20" s="1"/>
  <c r="CE122" i="20" s="1"/>
  <c r="W122" i="20"/>
  <c r="BA122" i="20" s="1"/>
  <c r="S122" i="20"/>
  <c r="U122" i="20" s="1"/>
  <c r="Q122" i="20"/>
  <c r="O122" i="20"/>
  <c r="N122" i="20"/>
  <c r="I122" i="20"/>
  <c r="H122" i="20"/>
  <c r="GC121" i="20"/>
  <c r="FZ121" i="20"/>
  <c r="GE121" i="20" s="1"/>
  <c r="EA121" i="20"/>
  <c r="DY121" i="20"/>
  <c r="DH121" i="20"/>
  <c r="CG121" i="20"/>
  <c r="CF121" i="20"/>
  <c r="W121" i="20"/>
  <c r="X121" i="20" s="1"/>
  <c r="EL121" i="20" s="1"/>
  <c r="EK121" i="20" s="1"/>
  <c r="S121" i="20"/>
  <c r="Q121" i="20"/>
  <c r="O121" i="20"/>
  <c r="FX121" i="20" s="1"/>
  <c r="N121" i="20"/>
  <c r="I121" i="20"/>
  <c r="AX121" i="20" s="1"/>
  <c r="CM121" i="20" s="1"/>
  <c r="DA121" i="20" s="1"/>
  <c r="H121" i="20"/>
  <c r="DL121" i="20" s="1"/>
  <c r="FZ120" i="20"/>
  <c r="EA120" i="20"/>
  <c r="DY120" i="20"/>
  <c r="DH120" i="20"/>
  <c r="CG120" i="20"/>
  <c r="CF120" i="20"/>
  <c r="W120" i="20"/>
  <c r="BA120" i="20" s="1"/>
  <c r="S120" i="20"/>
  <c r="U120" i="20" s="1"/>
  <c r="Q120" i="20"/>
  <c r="O120" i="20"/>
  <c r="FX120" i="20" s="1"/>
  <c r="N120" i="20"/>
  <c r="I120" i="20"/>
  <c r="H120" i="20"/>
  <c r="FZ119" i="20"/>
  <c r="EA119" i="20"/>
  <c r="DY119" i="20"/>
  <c r="DH119" i="20"/>
  <c r="CG119" i="20"/>
  <c r="CF119" i="20"/>
  <c r="W119" i="20"/>
  <c r="S119" i="20"/>
  <c r="Q119" i="20"/>
  <c r="O119" i="20"/>
  <c r="FX119" i="20" s="1"/>
  <c r="N119" i="20"/>
  <c r="I119" i="20"/>
  <c r="AX119" i="20" s="1"/>
  <c r="CM119" i="20" s="1"/>
  <c r="H119" i="20"/>
  <c r="DY118" i="20"/>
  <c r="DH118" i="20"/>
  <c r="CG118" i="20"/>
  <c r="CF118" i="20"/>
  <c r="AE118" i="20"/>
  <c r="FZ118" i="20" s="1"/>
  <c r="W118" i="20"/>
  <c r="S118" i="20"/>
  <c r="Q118" i="20"/>
  <c r="O118" i="20"/>
  <c r="FX118" i="20" s="1"/>
  <c r="N118" i="20"/>
  <c r="I118" i="20"/>
  <c r="H118" i="20"/>
  <c r="FZ117" i="20"/>
  <c r="EA117" i="20"/>
  <c r="DY117" i="20"/>
  <c r="DL117" i="20"/>
  <c r="DJ117" i="20"/>
  <c r="EY117" i="20" s="1"/>
  <c r="DI117" i="20"/>
  <c r="DH117" i="20"/>
  <c r="CG117" i="20"/>
  <c r="CF117" i="20"/>
  <c r="CD117" i="20"/>
  <c r="CE117" i="20" s="1"/>
  <c r="AX117" i="20"/>
  <c r="AK117" i="20"/>
  <c r="AM117" i="20" s="1"/>
  <c r="W117" i="20"/>
  <c r="X117" i="20" s="1"/>
  <c r="Y117" i="20" s="1"/>
  <c r="S117" i="20"/>
  <c r="U117" i="20" s="1"/>
  <c r="Q117" i="20"/>
  <c r="O117" i="20"/>
  <c r="N117" i="20"/>
  <c r="GC116" i="20"/>
  <c r="GD116" i="20" s="1"/>
  <c r="FZ116" i="20"/>
  <c r="EA116" i="20"/>
  <c r="DY116" i="20"/>
  <c r="DH116" i="20"/>
  <c r="CG116" i="20"/>
  <c r="CF116" i="20"/>
  <c r="W116" i="20"/>
  <c r="X116" i="20" s="1"/>
  <c r="EL116" i="20" s="1"/>
  <c r="EK116" i="20" s="1"/>
  <c r="S116" i="20"/>
  <c r="U116" i="20" s="1"/>
  <c r="Q116" i="20"/>
  <c r="O116" i="20"/>
  <c r="N116" i="20"/>
  <c r="I116" i="20"/>
  <c r="H116" i="20"/>
  <c r="DI116" i="20" s="1"/>
  <c r="FZ115" i="20"/>
  <c r="EA115" i="20"/>
  <c r="DH115" i="20"/>
  <c r="CG115" i="20"/>
  <c r="CF115" i="20"/>
  <c r="W115" i="20"/>
  <c r="BA115" i="20" s="1"/>
  <c r="S115" i="20"/>
  <c r="Q115" i="20"/>
  <c r="FY115" i="20" s="1"/>
  <c r="O115" i="20"/>
  <c r="N115" i="20"/>
  <c r="I115" i="20"/>
  <c r="H115" i="20"/>
  <c r="DL115" i="20" s="1"/>
  <c r="FZ114" i="20"/>
  <c r="EA114" i="20"/>
  <c r="DY114" i="20"/>
  <c r="DH114" i="20"/>
  <c r="CG114" i="20"/>
  <c r="CF114" i="20"/>
  <c r="W114" i="20"/>
  <c r="X114" i="20" s="1"/>
  <c r="EL114" i="20" s="1"/>
  <c r="EK114" i="20" s="1"/>
  <c r="S114" i="20"/>
  <c r="Q114" i="20"/>
  <c r="O114" i="20"/>
  <c r="N114" i="20"/>
  <c r="I114" i="20"/>
  <c r="AX114" i="20" s="1"/>
  <c r="CM114" i="20" s="1"/>
  <c r="FG114" i="20" s="1"/>
  <c r="H114" i="20"/>
  <c r="DI114" i="20" s="1"/>
  <c r="FZ113" i="20"/>
  <c r="EA113" i="20"/>
  <c r="DY113" i="20"/>
  <c r="DH113" i="20"/>
  <c r="CG113" i="20"/>
  <c r="CF113" i="20"/>
  <c r="W113" i="20"/>
  <c r="S113" i="20"/>
  <c r="Q113" i="20"/>
  <c r="O113" i="20"/>
  <c r="N113" i="20"/>
  <c r="I113" i="20"/>
  <c r="H113" i="20"/>
  <c r="DL113" i="20" s="1"/>
  <c r="FZ112" i="20"/>
  <c r="EA112" i="20"/>
  <c r="DY112" i="20"/>
  <c r="DH112" i="20"/>
  <c r="CG112" i="20"/>
  <c r="CF112" i="20"/>
  <c r="W112" i="20"/>
  <c r="X112" i="20" s="1"/>
  <c r="EL112" i="20" s="1"/>
  <c r="EK112" i="20" s="1"/>
  <c r="S112" i="20"/>
  <c r="U112" i="20" s="1"/>
  <c r="Q112" i="20"/>
  <c r="O112" i="20"/>
  <c r="N112" i="20"/>
  <c r="I112" i="20"/>
  <c r="H112" i="20"/>
  <c r="DI112" i="20" s="1"/>
  <c r="FZ111" i="20"/>
  <c r="EA111" i="20"/>
  <c r="DY111" i="20"/>
  <c r="DH111" i="20"/>
  <c r="CG111" i="20"/>
  <c r="CF111" i="20"/>
  <c r="W111" i="20"/>
  <c r="BA111" i="20" s="1"/>
  <c r="S111" i="20"/>
  <c r="O111" i="20"/>
  <c r="N111" i="20"/>
  <c r="I111" i="20"/>
  <c r="AX111" i="20" s="1"/>
  <c r="H111" i="20"/>
  <c r="DI111" i="20" s="1"/>
  <c r="FZ110" i="20"/>
  <c r="EA110" i="20"/>
  <c r="DY110" i="20"/>
  <c r="DH110" i="20"/>
  <c r="CG110" i="20"/>
  <c r="CF110" i="20"/>
  <c r="CD110" i="20"/>
  <c r="CE110" i="20" s="1"/>
  <c r="W110" i="20"/>
  <c r="BA110" i="20" s="1"/>
  <c r="S110" i="20"/>
  <c r="U110" i="20" s="1"/>
  <c r="Q110" i="20"/>
  <c r="FY110" i="20" s="1"/>
  <c r="O110" i="20"/>
  <c r="FX110" i="20" s="1"/>
  <c r="N110" i="20"/>
  <c r="I110" i="20"/>
  <c r="AX110" i="20" s="1"/>
  <c r="H110" i="20"/>
  <c r="DI110" i="20" s="1"/>
  <c r="FZ109" i="20"/>
  <c r="EA109" i="20"/>
  <c r="DY109" i="20"/>
  <c r="DH109" i="20"/>
  <c r="CG109" i="20"/>
  <c r="CF109" i="20"/>
  <c r="W109" i="20"/>
  <c r="S109" i="20"/>
  <c r="Q109" i="20"/>
  <c r="N109" i="20"/>
  <c r="I109" i="20"/>
  <c r="AX109" i="20" s="1"/>
  <c r="H109" i="20"/>
  <c r="DI109" i="20" s="1"/>
  <c r="FZ108" i="20"/>
  <c r="EA108" i="20"/>
  <c r="DY108" i="20"/>
  <c r="DH108" i="20"/>
  <c r="CG108" i="20"/>
  <c r="CF108" i="20"/>
  <c r="CD108" i="20"/>
  <c r="CE108" i="20" s="1"/>
  <c r="W108" i="20"/>
  <c r="BA108" i="20" s="1"/>
  <c r="S108" i="20"/>
  <c r="U108" i="20" s="1"/>
  <c r="Q108" i="20"/>
  <c r="FY108" i="20" s="1"/>
  <c r="N108" i="20"/>
  <c r="I108" i="20"/>
  <c r="AX108" i="20" s="1"/>
  <c r="H108" i="20"/>
  <c r="DI108" i="20" s="1"/>
  <c r="FZ107" i="20"/>
  <c r="EA107" i="20"/>
  <c r="DY107" i="20"/>
  <c r="DH107" i="20"/>
  <c r="CG107" i="20"/>
  <c r="CF107" i="20"/>
  <c r="W107" i="20"/>
  <c r="S107" i="20"/>
  <c r="U107" i="20" s="1"/>
  <c r="Q107" i="20"/>
  <c r="O107" i="20"/>
  <c r="FX107" i="20" s="1"/>
  <c r="N107" i="20"/>
  <c r="I107" i="20"/>
  <c r="AX107" i="20" s="1"/>
  <c r="H107" i="20"/>
  <c r="DI107" i="20" s="1"/>
  <c r="FZ106" i="20"/>
  <c r="EA106" i="20"/>
  <c r="DY106" i="20"/>
  <c r="DH106" i="20"/>
  <c r="CG106" i="20"/>
  <c r="CF106" i="20"/>
  <c r="CD106" i="20"/>
  <c r="CE106" i="20" s="1"/>
  <c r="W106" i="20"/>
  <c r="BA106" i="20" s="1"/>
  <c r="S106" i="20"/>
  <c r="O106" i="20"/>
  <c r="FX106" i="20" s="1"/>
  <c r="N106" i="20"/>
  <c r="I106" i="20"/>
  <c r="H106" i="20"/>
  <c r="DI106" i="20" s="1"/>
  <c r="FZ105" i="20"/>
  <c r="EA105" i="20"/>
  <c r="DH105" i="20"/>
  <c r="CG105" i="20"/>
  <c r="CF105" i="20"/>
  <c r="AP105" i="20"/>
  <c r="AP106" i="20" s="1"/>
  <c r="AP107" i="20" s="1"/>
  <c r="W105" i="20"/>
  <c r="BA105" i="20" s="1"/>
  <c r="S105" i="20"/>
  <c r="Q105" i="20"/>
  <c r="FY105" i="20" s="1"/>
  <c r="N105" i="20"/>
  <c r="I105" i="20"/>
  <c r="AX105" i="20" s="1"/>
  <c r="H105" i="20"/>
  <c r="FZ104" i="20"/>
  <c r="EA104" i="20"/>
  <c r="DH104" i="20"/>
  <c r="CG104" i="20"/>
  <c r="CF104" i="20"/>
  <c r="AD104" i="20"/>
  <c r="W104" i="20"/>
  <c r="S104" i="20"/>
  <c r="U104" i="20" s="1"/>
  <c r="Q104" i="20"/>
  <c r="N104" i="20"/>
  <c r="DY105" i="20" s="1"/>
  <c r="I104" i="20"/>
  <c r="H104" i="20"/>
  <c r="DL104" i="20" s="1"/>
  <c r="DH103" i="20"/>
  <c r="W103" i="20"/>
  <c r="BA103" i="20" s="1"/>
  <c r="S103" i="20"/>
  <c r="O103" i="20"/>
  <c r="FX103" i="20" s="1"/>
  <c r="N103" i="20"/>
  <c r="K103" i="20"/>
  <c r="FZ103" i="20" s="1"/>
  <c r="J103" i="20"/>
  <c r="H103" i="20"/>
  <c r="AK103" i="20" s="1"/>
  <c r="G103" i="20"/>
  <c r="CG103" i="20" s="1"/>
  <c r="DH102" i="20"/>
  <c r="W102" i="20"/>
  <c r="S102" i="20"/>
  <c r="O102" i="20"/>
  <c r="N102" i="20"/>
  <c r="K102" i="20"/>
  <c r="CF102" i="20" s="1"/>
  <c r="J102" i="20"/>
  <c r="H102" i="20"/>
  <c r="G102" i="20"/>
  <c r="CG102" i="20" s="1"/>
  <c r="DH101" i="20"/>
  <c r="AD101" i="20"/>
  <c r="AB101" i="20"/>
  <c r="W101" i="20"/>
  <c r="S101" i="20"/>
  <c r="O101" i="20"/>
  <c r="FX101" i="20" s="1"/>
  <c r="N101" i="20"/>
  <c r="K101" i="20"/>
  <c r="J101" i="20"/>
  <c r="H101" i="20"/>
  <c r="G101" i="20"/>
  <c r="CG101" i="20" s="1"/>
  <c r="DH100" i="20"/>
  <c r="W100" i="20"/>
  <c r="X100" i="20" s="1"/>
  <c r="S100" i="20"/>
  <c r="O100" i="20"/>
  <c r="N100" i="20"/>
  <c r="K100" i="20"/>
  <c r="EA100" i="20" s="1"/>
  <c r="J100" i="20"/>
  <c r="H100" i="20"/>
  <c r="G100" i="20"/>
  <c r="CG100" i="20" s="1"/>
  <c r="DH99" i="20"/>
  <c r="W99" i="20"/>
  <c r="X99" i="20" s="1"/>
  <c r="EL99" i="20" s="1"/>
  <c r="S99" i="20"/>
  <c r="O99" i="20"/>
  <c r="N99" i="20"/>
  <c r="K99" i="20"/>
  <c r="J99" i="20"/>
  <c r="H99" i="20"/>
  <c r="DI99" i="20" s="1"/>
  <c r="G99" i="20"/>
  <c r="CG99" i="20" s="1"/>
  <c r="DH98" i="20"/>
  <c r="AD98" i="20"/>
  <c r="AB98" i="20"/>
  <c r="W98" i="20"/>
  <c r="BA98" i="20" s="1"/>
  <c r="S98" i="20"/>
  <c r="O98" i="20"/>
  <c r="N98" i="20"/>
  <c r="K98" i="20"/>
  <c r="CD98" i="20" s="1"/>
  <c r="CE98" i="20" s="1"/>
  <c r="J98" i="20"/>
  <c r="H98" i="20"/>
  <c r="DI98" i="20" s="1"/>
  <c r="G98" i="20"/>
  <c r="CG98" i="20" s="1"/>
  <c r="DH97" i="20"/>
  <c r="AD97" i="20"/>
  <c r="AB97" i="20"/>
  <c r="W97" i="20"/>
  <c r="X97" i="20" s="1"/>
  <c r="EL97" i="20" s="1"/>
  <c r="S97" i="20"/>
  <c r="O97" i="20"/>
  <c r="N97" i="20"/>
  <c r="K97" i="20"/>
  <c r="CD97" i="20" s="1"/>
  <c r="CE97" i="20" s="1"/>
  <c r="J97" i="20"/>
  <c r="H97" i="20"/>
  <c r="I97" i="20" s="1"/>
  <c r="G97" i="20"/>
  <c r="CG97" i="20" s="1"/>
  <c r="DH96" i="20"/>
  <c r="W96" i="20"/>
  <c r="BA96" i="20" s="1"/>
  <c r="S96" i="20"/>
  <c r="O96" i="20"/>
  <c r="FX96" i="20" s="1"/>
  <c r="N96" i="20"/>
  <c r="K96" i="20"/>
  <c r="J96" i="20"/>
  <c r="H96" i="20"/>
  <c r="G96" i="20"/>
  <c r="CG96" i="20" s="1"/>
  <c r="DH95" i="20"/>
  <c r="AD95" i="20"/>
  <c r="AB95" i="20"/>
  <c r="W95" i="20"/>
  <c r="X95" i="20" s="1"/>
  <c r="EL95" i="20" s="1"/>
  <c r="S95" i="20"/>
  <c r="O95" i="20"/>
  <c r="FX95" i="20" s="1"/>
  <c r="N95" i="20"/>
  <c r="K95" i="20"/>
  <c r="FZ95" i="20" s="1"/>
  <c r="J95" i="20"/>
  <c r="H95" i="20"/>
  <c r="G95" i="20"/>
  <c r="CG95" i="20" s="1"/>
  <c r="DH94" i="20"/>
  <c r="W94" i="20"/>
  <c r="BA94" i="20" s="1"/>
  <c r="S94" i="20"/>
  <c r="O94" i="20"/>
  <c r="N94" i="20"/>
  <c r="K94" i="20"/>
  <c r="CD94" i="20" s="1"/>
  <c r="CE94" i="20" s="1"/>
  <c r="J94" i="20"/>
  <c r="H94" i="20"/>
  <c r="DI94" i="20" s="1"/>
  <c r="G94" i="20"/>
  <c r="CG94" i="20" s="1"/>
  <c r="FZ93" i="20"/>
  <c r="FY93" i="20"/>
  <c r="EA93" i="20"/>
  <c r="DH93" i="20"/>
  <c r="CG93" i="20"/>
  <c r="CF93" i="20"/>
  <c r="CD93" i="20"/>
  <c r="CE93" i="20" s="1"/>
  <c r="W93" i="20"/>
  <c r="X93" i="20" s="1"/>
  <c r="S93" i="20"/>
  <c r="DY93" i="20"/>
  <c r="N93" i="20"/>
  <c r="I93" i="20"/>
  <c r="H93" i="20"/>
  <c r="FZ92" i="20"/>
  <c r="FY92" i="20"/>
  <c r="EA92" i="20"/>
  <c r="DH92" i="20"/>
  <c r="CG92" i="20"/>
  <c r="CF92" i="20"/>
  <c r="CD92" i="20"/>
  <c r="CE92" i="20" s="1"/>
  <c r="W92" i="20"/>
  <c r="S92" i="20"/>
  <c r="N92" i="20"/>
  <c r="I92" i="20"/>
  <c r="AX92" i="20" s="1"/>
  <c r="CM92" i="20" s="1"/>
  <c r="H92" i="20"/>
  <c r="FZ91" i="20"/>
  <c r="FY91" i="20" s="1"/>
  <c r="EA91" i="20"/>
  <c r="DH91" i="20"/>
  <c r="CG91" i="20"/>
  <c r="CF91" i="20"/>
  <c r="CD91" i="20"/>
  <c r="CE91" i="20" s="1"/>
  <c r="W91" i="20"/>
  <c r="X91" i="20" s="1"/>
  <c r="S91" i="20"/>
  <c r="DY91" i="20"/>
  <c r="N91" i="20"/>
  <c r="I91" i="20"/>
  <c r="AX91" i="20" s="1"/>
  <c r="CM91" i="20" s="1"/>
  <c r="DA91" i="20" s="1"/>
  <c r="H91" i="20"/>
  <c r="DL91" i="20" s="1"/>
  <c r="FZ90" i="20"/>
  <c r="FY90" i="20" s="1"/>
  <c r="EA90" i="20"/>
  <c r="DH90" i="20"/>
  <c r="CG90" i="20"/>
  <c r="CF90" i="20"/>
  <c r="CD90" i="20"/>
  <c r="CE90" i="20" s="1"/>
  <c r="W90" i="20"/>
  <c r="S90" i="20"/>
  <c r="DY90" i="20"/>
  <c r="N90" i="20"/>
  <c r="I90" i="20"/>
  <c r="AX90" i="20" s="1"/>
  <c r="CM90" i="20" s="1"/>
  <c r="FG90" i="20" s="1"/>
  <c r="H90" i="20"/>
  <c r="DL90" i="20" s="1"/>
  <c r="FZ89" i="20"/>
  <c r="FY89" i="20"/>
  <c r="EA89" i="20"/>
  <c r="DH89" i="20"/>
  <c r="CG89" i="20"/>
  <c r="CF89" i="20"/>
  <c r="W89" i="20"/>
  <c r="S89" i="20"/>
  <c r="DY89" i="20"/>
  <c r="N89" i="20"/>
  <c r="I89" i="20"/>
  <c r="H89" i="20"/>
  <c r="L89" i="20" s="1"/>
  <c r="FZ88" i="20"/>
  <c r="EA88" i="20"/>
  <c r="DH88" i="20"/>
  <c r="CG88" i="20"/>
  <c r="CF88" i="20"/>
  <c r="CD88" i="20"/>
  <c r="CE88" i="20" s="1"/>
  <c r="W88" i="20"/>
  <c r="S88" i="20"/>
  <c r="DY88" i="20"/>
  <c r="N88" i="20"/>
  <c r="O88" i="20" s="1"/>
  <c r="FX88" i="20" s="1"/>
  <c r="I88" i="20"/>
  <c r="H88" i="20"/>
  <c r="DL88" i="20" s="1"/>
  <c r="FZ87" i="20"/>
  <c r="FY87" i="20"/>
  <c r="EA87" i="20"/>
  <c r="DH87" i="20"/>
  <c r="CG87" i="20"/>
  <c r="CF87" i="20"/>
  <c r="W87" i="20"/>
  <c r="BA87" i="20" s="1"/>
  <c r="S87" i="20"/>
  <c r="DY87" i="20"/>
  <c r="N87" i="20"/>
  <c r="I87" i="20"/>
  <c r="H87" i="20"/>
  <c r="DL87" i="20" s="1"/>
  <c r="FZ86" i="20"/>
  <c r="FY86" i="20"/>
  <c r="EA86" i="20"/>
  <c r="DH86" i="20"/>
  <c r="CG86" i="20"/>
  <c r="CF86" i="20"/>
  <c r="CD86" i="20"/>
  <c r="CE86" i="20" s="1"/>
  <c r="W86" i="20"/>
  <c r="BA86" i="20" s="1"/>
  <c r="S86" i="20"/>
  <c r="DY86" i="20"/>
  <c r="N86" i="20"/>
  <c r="I86" i="20"/>
  <c r="AX86" i="20" s="1"/>
  <c r="CM86" i="20" s="1"/>
  <c r="FG86" i="20" s="1"/>
  <c r="H86" i="20"/>
  <c r="DI86" i="20" s="1"/>
  <c r="FZ85" i="20"/>
  <c r="EA85" i="20"/>
  <c r="DH85" i="20"/>
  <c r="CG85" i="20"/>
  <c r="CF85" i="20"/>
  <c r="W85" i="20"/>
  <c r="BA85" i="20" s="1"/>
  <c r="S85" i="20"/>
  <c r="DY85" i="20"/>
  <c r="N85" i="20"/>
  <c r="O85" i="20" s="1"/>
  <c r="I85" i="20"/>
  <c r="H85" i="20"/>
  <c r="L85" i="20" s="1"/>
  <c r="FZ84" i="20"/>
  <c r="FY84" i="20"/>
  <c r="EA84" i="20"/>
  <c r="DH84" i="20"/>
  <c r="CG84" i="20"/>
  <c r="CF84" i="20"/>
  <c r="CD84" i="20"/>
  <c r="CE84" i="20" s="1"/>
  <c r="W84" i="20"/>
  <c r="BA84" i="20" s="1"/>
  <c r="S84" i="20"/>
  <c r="DY84" i="20"/>
  <c r="N84" i="20"/>
  <c r="I84" i="20"/>
  <c r="AX84" i="20" s="1"/>
  <c r="CM84" i="20" s="1"/>
  <c r="H84" i="20"/>
  <c r="FZ83" i="20"/>
  <c r="FY83" i="20"/>
  <c r="EA83" i="20"/>
  <c r="DH83" i="20"/>
  <c r="CG83" i="20"/>
  <c r="CF83" i="20"/>
  <c r="CD83" i="20"/>
  <c r="CE83" i="20" s="1"/>
  <c r="W83" i="20"/>
  <c r="BA83" i="20" s="1"/>
  <c r="S83" i="20"/>
  <c r="DY83" i="20"/>
  <c r="N83" i="20"/>
  <c r="I83" i="20"/>
  <c r="AX83" i="20" s="1"/>
  <c r="CM83" i="20" s="1"/>
  <c r="FG83" i="20" s="1"/>
  <c r="H83" i="20"/>
  <c r="AK83" i="20" s="1"/>
  <c r="AM83" i="20" s="1"/>
  <c r="FZ82" i="20"/>
  <c r="FY82" i="20"/>
  <c r="EA82" i="20"/>
  <c r="DH82" i="20"/>
  <c r="CG82" i="20"/>
  <c r="CF82" i="20"/>
  <c r="CD82" i="20"/>
  <c r="CE82" i="20" s="1"/>
  <c r="W82" i="20"/>
  <c r="BA82" i="20" s="1"/>
  <c r="S82" i="20"/>
  <c r="P82" i="20"/>
  <c r="DY82" i="20" s="1"/>
  <c r="N82" i="20"/>
  <c r="I82" i="20"/>
  <c r="AX82" i="20" s="1"/>
  <c r="CM82" i="20" s="1"/>
  <c r="H82" i="20"/>
  <c r="FZ81" i="20"/>
  <c r="FY81" i="20"/>
  <c r="EA81" i="20"/>
  <c r="DH81" i="20"/>
  <c r="CG81" i="20"/>
  <c r="CF81" i="20"/>
  <c r="CD81" i="20"/>
  <c r="CE81" i="20" s="1"/>
  <c r="W81" i="20"/>
  <c r="S81" i="20"/>
  <c r="P81" i="20"/>
  <c r="DY81" i="20" s="1"/>
  <c r="N81" i="20"/>
  <c r="O81" i="20" s="1"/>
  <c r="I81" i="20"/>
  <c r="H81" i="20"/>
  <c r="L81" i="20" s="1"/>
  <c r="FZ80" i="20"/>
  <c r="FY80" i="20"/>
  <c r="EA80" i="20"/>
  <c r="DH80" i="20"/>
  <c r="CG80" i="20"/>
  <c r="CF80" i="20"/>
  <c r="CD80" i="20"/>
  <c r="CE80" i="20" s="1"/>
  <c r="W80" i="20"/>
  <c r="BA80" i="20" s="1"/>
  <c r="S80" i="20"/>
  <c r="P80" i="20"/>
  <c r="DY80" i="20" s="1"/>
  <c r="N80" i="20"/>
  <c r="O80" i="20" s="1"/>
  <c r="I80" i="20"/>
  <c r="AX80" i="20" s="1"/>
  <c r="CM80" i="20" s="1"/>
  <c r="CU80" i="20" s="1"/>
  <c r="H80" i="20"/>
  <c r="DL80" i="20" s="1"/>
  <c r="FZ79" i="20"/>
  <c r="FY79" i="20"/>
  <c r="EA79" i="20"/>
  <c r="DH79" i="20"/>
  <c r="CG79" i="20"/>
  <c r="CF79" i="20"/>
  <c r="CD79" i="20"/>
  <c r="CE79" i="20" s="1"/>
  <c r="W79" i="20"/>
  <c r="BA79" i="20" s="1"/>
  <c r="S79" i="20"/>
  <c r="P79" i="20"/>
  <c r="DY79" i="20" s="1"/>
  <c r="N79" i="20"/>
  <c r="I79" i="20"/>
  <c r="AX79" i="20" s="1"/>
  <c r="CM79" i="20" s="1"/>
  <c r="H79" i="20"/>
  <c r="AK79" i="20" s="1"/>
  <c r="AM79" i="20" s="1"/>
  <c r="FZ78" i="20"/>
  <c r="FY78" i="20"/>
  <c r="EA78" i="20"/>
  <c r="DH78" i="20"/>
  <c r="CG78" i="20"/>
  <c r="CF78" i="20"/>
  <c r="CD78" i="20"/>
  <c r="CE78" i="20" s="1"/>
  <c r="W78" i="20"/>
  <c r="BA78" i="20" s="1"/>
  <c r="S78" i="20"/>
  <c r="P78" i="20"/>
  <c r="DY78" i="20" s="1"/>
  <c r="N78" i="20"/>
  <c r="I78" i="20"/>
  <c r="H78" i="20"/>
  <c r="L78" i="20" s="1"/>
  <c r="FZ77" i="20"/>
  <c r="FY77" i="20"/>
  <c r="EA77" i="20"/>
  <c r="DH77" i="20"/>
  <c r="CG77" i="20"/>
  <c r="CF77" i="20"/>
  <c r="CD77" i="20"/>
  <c r="CE77" i="20" s="1"/>
  <c r="W77" i="20"/>
  <c r="BA77" i="20" s="1"/>
  <c r="S77" i="20"/>
  <c r="P77" i="20"/>
  <c r="DY77" i="20" s="1"/>
  <c r="N77" i="20"/>
  <c r="I77" i="20"/>
  <c r="H77" i="20"/>
  <c r="DI77" i="20" s="1"/>
  <c r="FZ76" i="20"/>
  <c r="EA76" i="20"/>
  <c r="DH76" i="20"/>
  <c r="CG76" i="20"/>
  <c r="CF76" i="20"/>
  <c r="W76" i="20"/>
  <c r="X76" i="20" s="1"/>
  <c r="EL76" i="20" s="1"/>
  <c r="EK76" i="20" s="1"/>
  <c r="S76" i="20"/>
  <c r="P76" i="20"/>
  <c r="DY76" i="20" s="1"/>
  <c r="N76" i="20"/>
  <c r="O76" i="20" s="1"/>
  <c r="FX76" i="20" s="1"/>
  <c r="I76" i="20"/>
  <c r="AX76" i="20" s="1"/>
  <c r="CM76" i="20" s="1"/>
  <c r="H76" i="20"/>
  <c r="DL76" i="20" s="1"/>
  <c r="FZ75" i="20"/>
  <c r="EA75" i="20"/>
  <c r="DH75" i="20"/>
  <c r="CG75" i="20"/>
  <c r="CF75" i="20"/>
  <c r="W75" i="20"/>
  <c r="S75" i="20"/>
  <c r="P75" i="20"/>
  <c r="DY75" i="20" s="1"/>
  <c r="N75" i="20"/>
  <c r="I75" i="20"/>
  <c r="AX75" i="20" s="1"/>
  <c r="CM75" i="20" s="1"/>
  <c r="H75" i="20"/>
  <c r="DL75" i="20" s="1"/>
  <c r="FZ74" i="20"/>
  <c r="EA74" i="20"/>
  <c r="DH74" i="20"/>
  <c r="CG74" i="20"/>
  <c r="CF74" i="20"/>
  <c r="W74" i="20"/>
  <c r="BA74" i="20" s="1"/>
  <c r="S74" i="20"/>
  <c r="P74" i="20"/>
  <c r="DY74" i="20" s="1"/>
  <c r="N74" i="20"/>
  <c r="O74" i="20" s="1"/>
  <c r="I74" i="20"/>
  <c r="H74" i="20"/>
  <c r="DI74" i="20" s="1"/>
  <c r="GC73" i="20"/>
  <c r="FZ73" i="20"/>
  <c r="EA73" i="20"/>
  <c r="DH73" i="20"/>
  <c r="CG73" i="20"/>
  <c r="CF73" i="20"/>
  <c r="W73" i="20"/>
  <c r="BA73" i="20" s="1"/>
  <c r="S73" i="20"/>
  <c r="P73" i="20"/>
  <c r="DY73" i="20" s="1"/>
  <c r="N73" i="20"/>
  <c r="O73" i="20" s="1"/>
  <c r="FX73" i="20" s="1"/>
  <c r="I73" i="20"/>
  <c r="AX73" i="20" s="1"/>
  <c r="CM73" i="20" s="1"/>
  <c r="H73" i="20"/>
  <c r="DL73" i="20" s="1"/>
  <c r="FZ72" i="20"/>
  <c r="EA72" i="20"/>
  <c r="DH72" i="20"/>
  <c r="CG72" i="20"/>
  <c r="CF72" i="20"/>
  <c r="W72" i="20"/>
  <c r="S72" i="20"/>
  <c r="P72" i="20"/>
  <c r="DY72" i="20" s="1"/>
  <c r="N72" i="20"/>
  <c r="I72" i="20"/>
  <c r="AX72" i="20" s="1"/>
  <c r="CM72" i="20" s="1"/>
  <c r="FG72" i="20" s="1"/>
  <c r="H72" i="20"/>
  <c r="DL72" i="20" s="1"/>
  <c r="FZ71" i="20"/>
  <c r="EA71" i="20"/>
  <c r="DH71" i="20"/>
  <c r="CG71" i="20"/>
  <c r="CF71" i="20"/>
  <c r="CD71" i="20"/>
  <c r="CE71" i="20" s="1"/>
  <c r="W71" i="20"/>
  <c r="BA71" i="20" s="1"/>
  <c r="S71" i="20"/>
  <c r="P71" i="20"/>
  <c r="DY71" i="20" s="1"/>
  <c r="N71" i="20"/>
  <c r="I71" i="20"/>
  <c r="H71" i="20"/>
  <c r="DI71" i="20" s="1"/>
  <c r="FZ70" i="20"/>
  <c r="EA70" i="20"/>
  <c r="DH70" i="20"/>
  <c r="CG70" i="20"/>
  <c r="CF70" i="20"/>
  <c r="W70" i="20"/>
  <c r="S70" i="20"/>
  <c r="P70" i="20"/>
  <c r="DY70" i="20" s="1"/>
  <c r="N70" i="20"/>
  <c r="I70" i="20"/>
  <c r="H70" i="20"/>
  <c r="FZ69" i="20"/>
  <c r="FY69" i="20"/>
  <c r="EA69" i="20"/>
  <c r="DH69" i="20"/>
  <c r="CG69" i="20"/>
  <c r="CF69" i="20"/>
  <c r="CD69" i="20"/>
  <c r="CE69" i="20" s="1"/>
  <c r="W69" i="20"/>
  <c r="BA69" i="20" s="1"/>
  <c r="S69" i="20"/>
  <c r="P69" i="20"/>
  <c r="DY69" i="20" s="1"/>
  <c r="N69" i="20"/>
  <c r="O69" i="20" s="1"/>
  <c r="CA69" i="20" s="1"/>
  <c r="I69" i="20"/>
  <c r="AX69" i="20" s="1"/>
  <c r="CM69" i="20" s="1"/>
  <c r="CU69" i="20" s="1"/>
  <c r="H69" i="20"/>
  <c r="FZ68" i="20"/>
  <c r="EA68" i="20"/>
  <c r="DH68" i="20"/>
  <c r="CG68" i="20"/>
  <c r="CF68" i="20"/>
  <c r="W68" i="20"/>
  <c r="BA68" i="20" s="1"/>
  <c r="S68" i="20"/>
  <c r="P68" i="20"/>
  <c r="DY68" i="20" s="1"/>
  <c r="N68" i="20"/>
  <c r="I68" i="20"/>
  <c r="H68" i="20"/>
  <c r="FZ67" i="20"/>
  <c r="FY67" i="20"/>
  <c r="EA67" i="20"/>
  <c r="DH67" i="20"/>
  <c r="CG67" i="20"/>
  <c r="CF67" i="20"/>
  <c r="W67" i="20"/>
  <c r="X67" i="20" s="1"/>
  <c r="EL67" i="20" s="1"/>
  <c r="EK67" i="20" s="1"/>
  <c r="S67" i="20"/>
  <c r="P67" i="20"/>
  <c r="DY67" i="20" s="1"/>
  <c r="N67" i="20"/>
  <c r="O67" i="20" s="1"/>
  <c r="FX67" i="20" s="1"/>
  <c r="I67" i="20"/>
  <c r="H67" i="20"/>
  <c r="DL67" i="20" s="1"/>
  <c r="FZ66" i="20"/>
  <c r="EA66" i="20"/>
  <c r="DH66" i="20"/>
  <c r="CG66" i="20"/>
  <c r="CF66" i="20"/>
  <c r="CD66" i="20"/>
  <c r="CE66" i="20" s="1"/>
  <c r="W66" i="20"/>
  <c r="BA66" i="20" s="1"/>
  <c r="S66" i="20"/>
  <c r="P66" i="20"/>
  <c r="DY66" i="20" s="1"/>
  <c r="N66" i="20"/>
  <c r="O66" i="20" s="1"/>
  <c r="I66" i="20"/>
  <c r="H66" i="20"/>
  <c r="L66" i="20" s="1"/>
  <c r="FZ65" i="20"/>
  <c r="FY65" i="20"/>
  <c r="EA65" i="20"/>
  <c r="DH65" i="20"/>
  <c r="CG65" i="20"/>
  <c r="CF65" i="20"/>
  <c r="W65" i="20"/>
  <c r="S65" i="20"/>
  <c r="P65" i="20"/>
  <c r="DY65" i="20" s="1"/>
  <c r="N65" i="20"/>
  <c r="O65" i="20" s="1"/>
  <c r="FX65" i="20" s="1"/>
  <c r="I65" i="20"/>
  <c r="AX65" i="20" s="1"/>
  <c r="CM65" i="20" s="1"/>
  <c r="H65" i="20"/>
  <c r="DL65" i="20" s="1"/>
  <c r="FZ64" i="20"/>
  <c r="FY64" i="20"/>
  <c r="FV64" i="20"/>
  <c r="EA64" i="20"/>
  <c r="DH64" i="20"/>
  <c r="CG64" i="20"/>
  <c r="CF64" i="20"/>
  <c r="CD64" i="20"/>
  <c r="CE64" i="20" s="1"/>
  <c r="W64" i="20"/>
  <c r="BA64" i="20" s="1"/>
  <c r="S64" i="20"/>
  <c r="P64" i="20"/>
  <c r="DY64" i="20" s="1"/>
  <c r="N64" i="20"/>
  <c r="I64" i="20"/>
  <c r="AX64" i="20" s="1"/>
  <c r="CM64" i="20" s="1"/>
  <c r="CU64" i="20" s="1"/>
  <c r="H64" i="20"/>
  <c r="FZ63" i="20"/>
  <c r="EA63" i="20"/>
  <c r="DH63" i="20"/>
  <c r="CG63" i="20"/>
  <c r="CF63" i="20"/>
  <c r="W63" i="20"/>
  <c r="S63" i="20"/>
  <c r="P63" i="20"/>
  <c r="DY63" i="20" s="1"/>
  <c r="N63" i="20"/>
  <c r="I63" i="20"/>
  <c r="H63" i="20"/>
  <c r="AK63" i="20" s="1"/>
  <c r="AM63" i="20" s="1"/>
  <c r="FZ62" i="20"/>
  <c r="FY62" i="20"/>
  <c r="EA62" i="20"/>
  <c r="DH62" i="20"/>
  <c r="CG62" i="20"/>
  <c r="CF62" i="20"/>
  <c r="CD62" i="20"/>
  <c r="CE62" i="20" s="1"/>
  <c r="W62" i="20"/>
  <c r="BA62" i="20" s="1"/>
  <c r="S62" i="20"/>
  <c r="P62" i="20"/>
  <c r="DY62" i="20" s="1"/>
  <c r="N62" i="20"/>
  <c r="I62" i="20"/>
  <c r="AX62" i="20" s="1"/>
  <c r="H62" i="20"/>
  <c r="FZ61" i="20"/>
  <c r="EA61" i="20"/>
  <c r="DJ61" i="20"/>
  <c r="DH61" i="20"/>
  <c r="CG61" i="20"/>
  <c r="CF61" i="20"/>
  <c r="CD61" i="20"/>
  <c r="CE61" i="20" s="1"/>
  <c r="W61" i="20"/>
  <c r="BA61" i="20" s="1"/>
  <c r="S61" i="20"/>
  <c r="P61" i="20"/>
  <c r="DY61" i="20" s="1"/>
  <c r="N61" i="20"/>
  <c r="L61" i="20"/>
  <c r="I61" i="20"/>
  <c r="AX61" i="20" s="1"/>
  <c r="CM61" i="20" s="1"/>
  <c r="H61" i="20"/>
  <c r="DI61" i="20" s="1"/>
  <c r="FZ60" i="20"/>
  <c r="FY60" i="20"/>
  <c r="EA60" i="20"/>
  <c r="DH60" i="20"/>
  <c r="CG60" i="20"/>
  <c r="CF60" i="20"/>
  <c r="CD60" i="20"/>
  <c r="CE60" i="20" s="1"/>
  <c r="W60" i="20"/>
  <c r="BA60" i="20" s="1"/>
  <c r="S60" i="20"/>
  <c r="P60" i="20"/>
  <c r="DY60" i="20" s="1"/>
  <c r="N60" i="20"/>
  <c r="O60" i="20" s="1"/>
  <c r="I60" i="20"/>
  <c r="H60" i="20"/>
  <c r="DL60" i="20" s="1"/>
  <c r="FZ59" i="20"/>
  <c r="FY59" i="20"/>
  <c r="EA59" i="20"/>
  <c r="DH59" i="20"/>
  <c r="CG59" i="20"/>
  <c r="CF59" i="20"/>
  <c r="CD59" i="20"/>
  <c r="CE59" i="20" s="1"/>
  <c r="W59" i="20"/>
  <c r="S59" i="20"/>
  <c r="P59" i="20"/>
  <c r="DY59" i="20" s="1"/>
  <c r="N59" i="20"/>
  <c r="I59" i="20"/>
  <c r="H59" i="20"/>
  <c r="AK59" i="20" s="1"/>
  <c r="AM59" i="20" s="1"/>
  <c r="FZ58" i="20"/>
  <c r="FY58" i="20"/>
  <c r="EA58" i="20"/>
  <c r="DH58" i="20"/>
  <c r="CG58" i="20"/>
  <c r="CF58" i="20"/>
  <c r="CD58" i="20"/>
  <c r="CE58" i="20" s="1"/>
  <c r="W58" i="20"/>
  <c r="BA58" i="20" s="1"/>
  <c r="S58" i="20"/>
  <c r="P58" i="20"/>
  <c r="DY58" i="20" s="1"/>
  <c r="N58" i="20"/>
  <c r="O58" i="20" s="1"/>
  <c r="I58" i="20"/>
  <c r="AX58" i="20" s="1"/>
  <c r="CM58" i="20" s="1"/>
  <c r="FG58" i="20" s="1"/>
  <c r="H58" i="20"/>
  <c r="DI58" i="20" s="1"/>
  <c r="FZ57" i="20"/>
  <c r="FY57" i="20"/>
  <c r="EA57" i="20"/>
  <c r="DH57" i="20"/>
  <c r="CG57" i="20"/>
  <c r="CF57" i="20"/>
  <c r="CD57" i="20"/>
  <c r="CE57" i="20" s="1"/>
  <c r="W57" i="20"/>
  <c r="S57" i="20"/>
  <c r="P57" i="20"/>
  <c r="DY57" i="20" s="1"/>
  <c r="N57" i="20"/>
  <c r="I57" i="20"/>
  <c r="H57" i="20"/>
  <c r="DL57" i="20" s="1"/>
  <c r="FZ56" i="20"/>
  <c r="FY56" i="20"/>
  <c r="EA56" i="20"/>
  <c r="DH56" i="20"/>
  <c r="CG56" i="20"/>
  <c r="CF56" i="20"/>
  <c r="CD56" i="20"/>
  <c r="CE56" i="20" s="1"/>
  <c r="W56" i="20"/>
  <c r="BA56" i="20" s="1"/>
  <c r="BB56" i="20" s="1"/>
  <c r="S56" i="20"/>
  <c r="P56" i="20"/>
  <c r="DY56" i="20" s="1"/>
  <c r="N56" i="20"/>
  <c r="O56" i="20" s="1"/>
  <c r="I56" i="20"/>
  <c r="H56" i="20"/>
  <c r="DL56" i="20" s="1"/>
  <c r="FZ55" i="20"/>
  <c r="FY55" i="20"/>
  <c r="EA55" i="20"/>
  <c r="DH55" i="20"/>
  <c r="CG55" i="20"/>
  <c r="CF55" i="20"/>
  <c r="CD55" i="20"/>
  <c r="CE55" i="20" s="1"/>
  <c r="W55" i="20"/>
  <c r="BA55" i="20" s="1"/>
  <c r="S55" i="20"/>
  <c r="P55" i="20"/>
  <c r="DY55" i="20" s="1"/>
  <c r="N55" i="20"/>
  <c r="I55" i="20"/>
  <c r="DJ55" i="20" s="1"/>
  <c r="H55" i="20"/>
  <c r="DI55" i="20" s="1"/>
  <c r="FZ54" i="20"/>
  <c r="FY54" i="20"/>
  <c r="EA54" i="20"/>
  <c r="DH54" i="20"/>
  <c r="CG54" i="20"/>
  <c r="CF54" i="20"/>
  <c r="CD54" i="20"/>
  <c r="CE54" i="20" s="1"/>
  <c r="W54" i="20"/>
  <c r="BA54" i="20" s="1"/>
  <c r="S54" i="20"/>
  <c r="P54" i="20"/>
  <c r="DY54" i="20" s="1"/>
  <c r="N54" i="20"/>
  <c r="I54" i="20"/>
  <c r="AX54" i="20" s="1"/>
  <c r="CM54" i="20" s="1"/>
  <c r="CU54" i="20" s="1"/>
  <c r="H54" i="20"/>
  <c r="DL54" i="20" s="1"/>
  <c r="FZ53" i="20"/>
  <c r="FY53" i="20"/>
  <c r="EA53" i="20"/>
  <c r="DH53" i="20"/>
  <c r="CG53" i="20"/>
  <c r="CF53" i="20"/>
  <c r="CD53" i="20"/>
  <c r="CE53" i="20" s="1"/>
  <c r="W53" i="20"/>
  <c r="BA53" i="20" s="1"/>
  <c r="S53" i="20"/>
  <c r="P53" i="20"/>
  <c r="DY53" i="20" s="1"/>
  <c r="N53" i="20"/>
  <c r="I53" i="20"/>
  <c r="H53" i="20"/>
  <c r="DI53" i="20" s="1"/>
  <c r="FZ52" i="20"/>
  <c r="FY52" i="20"/>
  <c r="EA52" i="20"/>
  <c r="DH52" i="20"/>
  <c r="CG52" i="20"/>
  <c r="CF52" i="20"/>
  <c r="CD52" i="20"/>
  <c r="CE52" i="20" s="1"/>
  <c r="W52" i="20"/>
  <c r="BA52" i="20" s="1"/>
  <c r="S52" i="20"/>
  <c r="P52" i="20"/>
  <c r="DY52" i="20" s="1"/>
  <c r="N52" i="20"/>
  <c r="I52" i="20"/>
  <c r="H52" i="20"/>
  <c r="AK52" i="20" s="1"/>
  <c r="AM52" i="20" s="1"/>
  <c r="FZ51" i="20"/>
  <c r="EA51" i="20"/>
  <c r="DY51" i="20"/>
  <c r="DH51" i="20"/>
  <c r="CF51" i="20"/>
  <c r="CD51" i="20"/>
  <c r="CE51" i="20" s="1"/>
  <c r="AB51" i="20"/>
  <c r="V51" i="20"/>
  <c r="W51" i="20" s="1"/>
  <c r="BA51" i="20" s="1"/>
  <c r="T51" i="20"/>
  <c r="U51" i="20" s="1"/>
  <c r="AY51" i="20" s="1"/>
  <c r="O51" i="20"/>
  <c r="H51" i="20"/>
  <c r="G51" i="20"/>
  <c r="CG51" i="20" s="1"/>
  <c r="FZ50" i="20"/>
  <c r="EA50" i="20"/>
  <c r="DY50" i="20"/>
  <c r="DH50" i="20"/>
  <c r="CF50" i="20"/>
  <c r="CD50" i="20"/>
  <c r="CE50" i="20" s="1"/>
  <c r="AB50" i="20"/>
  <c r="V50" i="20"/>
  <c r="W50" i="20" s="1"/>
  <c r="T50" i="20"/>
  <c r="U50" i="20" s="1"/>
  <c r="AY50" i="20" s="1"/>
  <c r="O50" i="20"/>
  <c r="BZ50" i="20" s="1"/>
  <c r="H50" i="20"/>
  <c r="I50" i="20" s="1"/>
  <c r="G50" i="20"/>
  <c r="FZ49" i="20"/>
  <c r="EA49" i="20"/>
  <c r="DY49" i="20"/>
  <c r="DH49" i="20"/>
  <c r="CF49" i="20"/>
  <c r="CD49" i="20"/>
  <c r="CE49" i="20" s="1"/>
  <c r="AB49" i="20"/>
  <c r="V49" i="20"/>
  <c r="W49" i="20" s="1"/>
  <c r="BA49" i="20" s="1"/>
  <c r="T49" i="20"/>
  <c r="U49" i="20" s="1"/>
  <c r="AY49" i="20" s="1"/>
  <c r="O49" i="20"/>
  <c r="FX49" i="20" s="1"/>
  <c r="H49" i="20"/>
  <c r="AK49" i="20" s="1"/>
  <c r="G49" i="20"/>
  <c r="CG49" i="20" s="1"/>
  <c r="FZ48" i="20"/>
  <c r="EA48" i="20"/>
  <c r="DY48" i="20"/>
  <c r="DH48" i="20"/>
  <c r="CF48" i="20"/>
  <c r="CD48" i="20"/>
  <c r="CE48" i="20" s="1"/>
  <c r="AB48" i="20"/>
  <c r="V48" i="20"/>
  <c r="W48" i="20" s="1"/>
  <c r="X48" i="20" s="1"/>
  <c r="T48" i="20"/>
  <c r="O48" i="20"/>
  <c r="BZ48" i="20" s="1"/>
  <c r="H48" i="20"/>
  <c r="DL48" i="20" s="1"/>
  <c r="G48" i="20"/>
  <c r="CG48" i="20" s="1"/>
  <c r="FZ47" i="20"/>
  <c r="EA47" i="20"/>
  <c r="DY47" i="20"/>
  <c r="DH47" i="20"/>
  <c r="CF47" i="20"/>
  <c r="CD47" i="20"/>
  <c r="CE47" i="20" s="1"/>
  <c r="AB47" i="20"/>
  <c r="V47" i="20"/>
  <c r="W47" i="20" s="1"/>
  <c r="T47" i="20"/>
  <c r="O47" i="20"/>
  <c r="H47" i="20"/>
  <c r="L47" i="20" s="1"/>
  <c r="G47" i="20"/>
  <c r="CG47" i="20" s="1"/>
  <c r="FZ46" i="20"/>
  <c r="EA46" i="20"/>
  <c r="DY46" i="20"/>
  <c r="DH46" i="20"/>
  <c r="CF46" i="20"/>
  <c r="CD46" i="20"/>
  <c r="CE46" i="20" s="1"/>
  <c r="AB46" i="20"/>
  <c r="V46" i="20"/>
  <c r="W46" i="20" s="1"/>
  <c r="BA46" i="20" s="1"/>
  <c r="T46" i="20"/>
  <c r="U46" i="20" s="1"/>
  <c r="AY46" i="20" s="1"/>
  <c r="O46" i="20"/>
  <c r="FX46" i="20" s="1"/>
  <c r="H46" i="20"/>
  <c r="AK46" i="20" s="1"/>
  <c r="G46" i="20"/>
  <c r="CG46" i="20" s="1"/>
  <c r="FZ45" i="20"/>
  <c r="EA45" i="20"/>
  <c r="DY45" i="20"/>
  <c r="DH45" i="20"/>
  <c r="CF45" i="20"/>
  <c r="CD45" i="20"/>
  <c r="CE45" i="20" s="1"/>
  <c r="AB45" i="20"/>
  <c r="V45" i="20"/>
  <c r="W45" i="20" s="1"/>
  <c r="T45" i="20"/>
  <c r="U45" i="20" s="1"/>
  <c r="AY45" i="20" s="1"/>
  <c r="O45" i="20"/>
  <c r="FX45" i="20" s="1"/>
  <c r="H45" i="20"/>
  <c r="L45" i="20" s="1"/>
  <c r="G45" i="20"/>
  <c r="CG45" i="20" s="1"/>
  <c r="FZ44" i="20"/>
  <c r="EA44" i="20"/>
  <c r="DY44" i="20"/>
  <c r="DH44" i="20"/>
  <c r="CF44" i="20"/>
  <c r="CD44" i="20"/>
  <c r="CE44" i="20" s="1"/>
  <c r="AB44" i="20"/>
  <c r="V44" i="20"/>
  <c r="W44" i="20" s="1"/>
  <c r="BA44" i="20" s="1"/>
  <c r="T44" i="20"/>
  <c r="U44" i="20" s="1"/>
  <c r="AY44" i="20" s="1"/>
  <c r="O44" i="20"/>
  <c r="FX44" i="20" s="1"/>
  <c r="H44" i="20"/>
  <c r="L44" i="20" s="1"/>
  <c r="G44" i="20"/>
  <c r="CG44" i="20" s="1"/>
  <c r="FZ43" i="20"/>
  <c r="EA43" i="20"/>
  <c r="DY43" i="20"/>
  <c r="DH43" i="20"/>
  <c r="CF43" i="20"/>
  <c r="CD43" i="20"/>
  <c r="CE43" i="20" s="1"/>
  <c r="AB43" i="20"/>
  <c r="V43" i="20"/>
  <c r="W43" i="20" s="1"/>
  <c r="T43" i="20"/>
  <c r="U43" i="20" s="1"/>
  <c r="AY43" i="20" s="1"/>
  <c r="O43" i="20"/>
  <c r="FX43" i="20" s="1"/>
  <c r="H43" i="20"/>
  <c r="AK43" i="20" s="1"/>
  <c r="G43" i="20"/>
  <c r="CG43" i="20" s="1"/>
  <c r="FZ42" i="20"/>
  <c r="EA42" i="20"/>
  <c r="DY42" i="20"/>
  <c r="DH42" i="20"/>
  <c r="CF42" i="20"/>
  <c r="CD42" i="20"/>
  <c r="CE42" i="20" s="1"/>
  <c r="AB42" i="20"/>
  <c r="V42" i="20"/>
  <c r="W42" i="20" s="1"/>
  <c r="BA42" i="20" s="1"/>
  <c r="T42" i="20"/>
  <c r="O42" i="20"/>
  <c r="H42" i="20"/>
  <c r="AK42" i="20" s="1"/>
  <c r="AM42" i="20" s="1"/>
  <c r="G42" i="20"/>
  <c r="CG42" i="20" s="1"/>
  <c r="FZ41" i="20"/>
  <c r="EA41" i="20"/>
  <c r="DY41" i="20"/>
  <c r="DH41" i="20"/>
  <c r="CF41" i="20"/>
  <c r="CD41" i="20"/>
  <c r="CE41" i="20" s="1"/>
  <c r="AB41" i="20"/>
  <c r="V41" i="20"/>
  <c r="W41" i="20" s="1"/>
  <c r="BA41" i="20" s="1"/>
  <c r="T41" i="20"/>
  <c r="U41" i="20" s="1"/>
  <c r="AY41" i="20" s="1"/>
  <c r="O41" i="20"/>
  <c r="FX41" i="20" s="1"/>
  <c r="H41" i="20"/>
  <c r="L41" i="20" s="1"/>
  <c r="G41" i="20"/>
  <c r="CG41" i="20" s="1"/>
  <c r="FZ40" i="20"/>
  <c r="EA40" i="20"/>
  <c r="DY40" i="20"/>
  <c r="DH40" i="20"/>
  <c r="CF40" i="20"/>
  <c r="CD40" i="20"/>
  <c r="CE40" i="20" s="1"/>
  <c r="AB40" i="20"/>
  <c r="V40" i="20"/>
  <c r="W40" i="20" s="1"/>
  <c r="BA40" i="20" s="1"/>
  <c r="T40" i="20"/>
  <c r="U40" i="20" s="1"/>
  <c r="AY40" i="20" s="1"/>
  <c r="O40" i="20"/>
  <c r="BZ40" i="20" s="1"/>
  <c r="H40" i="20"/>
  <c r="G40" i="20"/>
  <c r="CG40" i="20" s="1"/>
  <c r="FZ39" i="20"/>
  <c r="EA39" i="20"/>
  <c r="DY39" i="20"/>
  <c r="DH39" i="20"/>
  <c r="CF39" i="20"/>
  <c r="CD39" i="20"/>
  <c r="CE39" i="20" s="1"/>
  <c r="AB39" i="20"/>
  <c r="V39" i="20"/>
  <c r="W39" i="20" s="1"/>
  <c r="T39" i="20"/>
  <c r="U39" i="20" s="1"/>
  <c r="AY39" i="20" s="1"/>
  <c r="O39" i="20"/>
  <c r="BZ39" i="20" s="1"/>
  <c r="H39" i="20"/>
  <c r="AK39" i="20" s="1"/>
  <c r="G39" i="20"/>
  <c r="FZ38" i="20"/>
  <c r="EA38" i="20"/>
  <c r="DY38" i="20"/>
  <c r="DH38" i="20"/>
  <c r="CF38" i="20"/>
  <c r="CD38" i="20"/>
  <c r="CE38" i="20" s="1"/>
  <c r="AB38" i="20"/>
  <c r="V38" i="20"/>
  <c r="W38" i="20" s="1"/>
  <c r="T38" i="20"/>
  <c r="U38" i="20" s="1"/>
  <c r="AY38" i="20" s="1"/>
  <c r="O38" i="20"/>
  <c r="FX38" i="20" s="1"/>
  <c r="H38" i="20"/>
  <c r="DI38" i="20" s="1"/>
  <c r="G38" i="20"/>
  <c r="CG38" i="20" s="1"/>
  <c r="FZ37" i="20"/>
  <c r="EA37" i="20"/>
  <c r="DY37" i="20"/>
  <c r="DH37" i="20"/>
  <c r="CF37" i="20"/>
  <c r="CD37" i="20"/>
  <c r="CE37" i="20" s="1"/>
  <c r="AB37" i="20"/>
  <c r="V37" i="20"/>
  <c r="T37" i="20"/>
  <c r="U37" i="20" s="1"/>
  <c r="AY37" i="20" s="1"/>
  <c r="O37" i="20"/>
  <c r="CA37" i="20" s="1"/>
  <c r="H37" i="20"/>
  <c r="AK37" i="20" s="1"/>
  <c r="AL37" i="20" s="1"/>
  <c r="G37" i="20"/>
  <c r="CG37" i="20" s="1"/>
  <c r="FZ36" i="20"/>
  <c r="FY36" i="20"/>
  <c r="EA36" i="20"/>
  <c r="DY36" i="20"/>
  <c r="DH36" i="20"/>
  <c r="CF36" i="20"/>
  <c r="CD36" i="20"/>
  <c r="CE36" i="20" s="1"/>
  <c r="AB36" i="20"/>
  <c r="V36" i="20"/>
  <c r="W36" i="20" s="1"/>
  <c r="T36" i="20"/>
  <c r="O36" i="20"/>
  <c r="BZ36" i="20" s="1"/>
  <c r="H36" i="20"/>
  <c r="I36" i="20" s="1"/>
  <c r="DJ36" i="20" s="1"/>
  <c r="G36" i="20"/>
  <c r="CG36" i="20" s="1"/>
  <c r="FZ35" i="20"/>
  <c r="FY35" i="20"/>
  <c r="EA35" i="20"/>
  <c r="DY35" i="20"/>
  <c r="DH35" i="20"/>
  <c r="CF35" i="20"/>
  <c r="CD35" i="20"/>
  <c r="CE35" i="20" s="1"/>
  <c r="AB35" i="20"/>
  <c r="V35" i="20"/>
  <c r="W35" i="20" s="1"/>
  <c r="T35" i="20"/>
  <c r="O35" i="20"/>
  <c r="H35" i="20"/>
  <c r="AK35" i="20" s="1"/>
  <c r="G35" i="20"/>
  <c r="CG35" i="20" s="1"/>
  <c r="FZ34" i="20"/>
  <c r="FY34" i="20"/>
  <c r="EA34" i="20"/>
  <c r="DY34" i="20"/>
  <c r="DH34" i="20"/>
  <c r="CF34" i="20"/>
  <c r="CD34" i="20"/>
  <c r="CE34" i="20" s="1"/>
  <c r="AB34" i="20"/>
  <c r="V34" i="20"/>
  <c r="W34" i="20" s="1"/>
  <c r="T34" i="20"/>
  <c r="O34" i="20"/>
  <c r="BZ34" i="20" s="1"/>
  <c r="H34" i="20"/>
  <c r="DL34" i="20" s="1"/>
  <c r="G34" i="20"/>
  <c r="CG34" i="20" s="1"/>
  <c r="FZ33" i="20"/>
  <c r="EA33" i="20"/>
  <c r="DY33" i="20"/>
  <c r="DH33" i="20"/>
  <c r="CF33" i="20"/>
  <c r="CD33" i="20"/>
  <c r="CE33" i="20" s="1"/>
  <c r="AB33" i="20"/>
  <c r="V33" i="20"/>
  <c r="W33" i="20" s="1"/>
  <c r="X33" i="20" s="1"/>
  <c r="T33" i="20"/>
  <c r="U33" i="20" s="1"/>
  <c r="AY33" i="20" s="1"/>
  <c r="O33" i="20"/>
  <c r="CA33" i="20" s="1"/>
  <c r="H33" i="20"/>
  <c r="DL33" i="20" s="1"/>
  <c r="G33" i="20"/>
  <c r="FZ32" i="20"/>
  <c r="EA32" i="20"/>
  <c r="DY32" i="20"/>
  <c r="DH32" i="20"/>
  <c r="CF32" i="20"/>
  <c r="CD32" i="20"/>
  <c r="CE32" i="20" s="1"/>
  <c r="AB32" i="20"/>
  <c r="V32" i="20"/>
  <c r="W32" i="20" s="1"/>
  <c r="X32" i="20" s="1"/>
  <c r="EL32" i="20" s="1"/>
  <c r="EK32" i="20" s="1"/>
  <c r="T32" i="20"/>
  <c r="U32" i="20" s="1"/>
  <c r="AY32" i="20" s="1"/>
  <c r="O32" i="20"/>
  <c r="H32" i="20"/>
  <c r="DL32" i="20" s="1"/>
  <c r="G32" i="20"/>
  <c r="CG32" i="20" s="1"/>
  <c r="FZ31" i="20"/>
  <c r="EA31" i="20"/>
  <c r="DY31" i="20"/>
  <c r="DH31" i="20"/>
  <c r="CF31" i="20"/>
  <c r="CD31" i="20"/>
  <c r="CE31" i="20" s="1"/>
  <c r="AB31" i="20"/>
  <c r="V31" i="20"/>
  <c r="W31" i="20" s="1"/>
  <c r="T31" i="20"/>
  <c r="O31" i="20"/>
  <c r="CA31" i="20" s="1"/>
  <c r="H31" i="20"/>
  <c r="AK31" i="20" s="1"/>
  <c r="G31" i="20"/>
  <c r="CG31" i="20" s="1"/>
  <c r="FZ30" i="20"/>
  <c r="EA30" i="20"/>
  <c r="DY30" i="20"/>
  <c r="DH30" i="20"/>
  <c r="CF30" i="20"/>
  <c r="CD30" i="20"/>
  <c r="CE30" i="20" s="1"/>
  <c r="AB30" i="20"/>
  <c r="V30" i="20"/>
  <c r="W30" i="20" s="1"/>
  <c r="T30" i="20"/>
  <c r="U30" i="20" s="1"/>
  <c r="AY30" i="20" s="1"/>
  <c r="O30" i="20"/>
  <c r="FX30" i="20" s="1"/>
  <c r="H30" i="20"/>
  <c r="AK30" i="20" s="1"/>
  <c r="G30" i="20"/>
  <c r="CG30" i="20" s="1"/>
  <c r="FZ29" i="20"/>
  <c r="EA29" i="20"/>
  <c r="DY29" i="20"/>
  <c r="DH29" i="20"/>
  <c r="CF29" i="20"/>
  <c r="CD29" i="20"/>
  <c r="CE29" i="20" s="1"/>
  <c r="AB29" i="20"/>
  <c r="V29" i="20"/>
  <c r="W29" i="20" s="1"/>
  <c r="X29" i="20" s="1"/>
  <c r="T29" i="20"/>
  <c r="U29" i="20" s="1"/>
  <c r="AY29" i="20" s="1"/>
  <c r="O29" i="20"/>
  <c r="CA29" i="20" s="1"/>
  <c r="H29" i="20"/>
  <c r="L29" i="20" s="1"/>
  <c r="G29" i="20"/>
  <c r="CG29" i="20" s="1"/>
  <c r="FZ28" i="20"/>
  <c r="EA28" i="20"/>
  <c r="DY28" i="20"/>
  <c r="DH28" i="20"/>
  <c r="CF28" i="20"/>
  <c r="CD28" i="20"/>
  <c r="CE28" i="20" s="1"/>
  <c r="AB28" i="20"/>
  <c r="V28" i="20"/>
  <c r="W28" i="20" s="1"/>
  <c r="T28" i="20"/>
  <c r="O28" i="20"/>
  <c r="BZ28" i="20" s="1"/>
  <c r="H28" i="20"/>
  <c r="L28" i="20" s="1"/>
  <c r="G28" i="20"/>
  <c r="CG28" i="20" s="1"/>
  <c r="FZ27" i="20"/>
  <c r="FY27" i="20"/>
  <c r="EA27" i="20"/>
  <c r="DY27" i="20"/>
  <c r="DH27" i="20"/>
  <c r="CF27" i="20"/>
  <c r="CD27" i="20"/>
  <c r="CE27" i="20" s="1"/>
  <c r="AB27" i="20"/>
  <c r="V27" i="20"/>
  <c r="W27" i="20" s="1"/>
  <c r="T27" i="20"/>
  <c r="U27" i="20" s="1"/>
  <c r="AY27" i="20" s="1"/>
  <c r="O27" i="20"/>
  <c r="BZ27" i="20" s="1"/>
  <c r="H27" i="20"/>
  <c r="AK27" i="20" s="1"/>
  <c r="G27" i="20"/>
  <c r="CG27" i="20" s="1"/>
  <c r="FZ26" i="20"/>
  <c r="FY26" i="20"/>
  <c r="EA26" i="20"/>
  <c r="DY26" i="20"/>
  <c r="DH26" i="20"/>
  <c r="CF26" i="20"/>
  <c r="CD26" i="20"/>
  <c r="CE26" i="20" s="1"/>
  <c r="AB26" i="20"/>
  <c r="V26" i="20"/>
  <c r="W26" i="20" s="1"/>
  <c r="T26" i="20"/>
  <c r="U26" i="20" s="1"/>
  <c r="AY26" i="20" s="1"/>
  <c r="O26" i="20"/>
  <c r="BZ26" i="20" s="1"/>
  <c r="H26" i="20"/>
  <c r="AK26" i="20" s="1"/>
  <c r="G26" i="20"/>
  <c r="CG26" i="20" s="1"/>
  <c r="CH26" i="20" s="1"/>
  <c r="FZ25" i="20"/>
  <c r="FY25" i="20"/>
  <c r="EA25" i="20"/>
  <c r="DY25" i="20"/>
  <c r="DH25" i="20"/>
  <c r="CF25" i="20"/>
  <c r="CD25" i="20"/>
  <c r="CE25" i="20" s="1"/>
  <c r="AB25" i="20"/>
  <c r="V25" i="20"/>
  <c r="W25" i="20" s="1"/>
  <c r="X25" i="20" s="1"/>
  <c r="T25" i="20"/>
  <c r="U25" i="20" s="1"/>
  <c r="AY25" i="20" s="1"/>
  <c r="O25" i="20"/>
  <c r="CA25" i="20" s="1"/>
  <c r="H25" i="20"/>
  <c r="DL25" i="20" s="1"/>
  <c r="G25" i="20"/>
  <c r="CG25" i="20" s="1"/>
  <c r="FZ24" i="20"/>
  <c r="EA24" i="20"/>
  <c r="DY24" i="20"/>
  <c r="DH24" i="20"/>
  <c r="CF24" i="20"/>
  <c r="CD24" i="20"/>
  <c r="CE24" i="20" s="1"/>
  <c r="AB24" i="20"/>
  <c r="V24" i="20"/>
  <c r="W24" i="20" s="1"/>
  <c r="X24" i="20" s="1"/>
  <c r="EL24" i="20" s="1"/>
  <c r="EK24" i="20" s="1"/>
  <c r="T24" i="20"/>
  <c r="U24" i="20" s="1"/>
  <c r="AY24" i="20" s="1"/>
  <c r="O24" i="20"/>
  <c r="BZ24" i="20" s="1"/>
  <c r="H24" i="20"/>
  <c r="G24" i="20"/>
  <c r="CG24" i="20" s="1"/>
  <c r="FZ23" i="20"/>
  <c r="EA23" i="20"/>
  <c r="DY23" i="20"/>
  <c r="DH23" i="20"/>
  <c r="CF23" i="20"/>
  <c r="CD23" i="20"/>
  <c r="CE23" i="20" s="1"/>
  <c r="AB23" i="20"/>
  <c r="V23" i="20"/>
  <c r="W23" i="20" s="1"/>
  <c r="T23" i="20"/>
  <c r="U23" i="20" s="1"/>
  <c r="AY23" i="20" s="1"/>
  <c r="O23" i="20"/>
  <c r="FX23" i="20" s="1"/>
  <c r="H23" i="20"/>
  <c r="AK23" i="20" s="1"/>
  <c r="G23" i="20"/>
  <c r="CG23" i="20" s="1"/>
  <c r="FZ22" i="20"/>
  <c r="EA22" i="20"/>
  <c r="DY22" i="20"/>
  <c r="DH22" i="20"/>
  <c r="CF22" i="20"/>
  <c r="CD22" i="20"/>
  <c r="CE22" i="20" s="1"/>
  <c r="AB22" i="20"/>
  <c r="V22" i="20"/>
  <c r="W22" i="20" s="1"/>
  <c r="T22" i="20"/>
  <c r="U22" i="20" s="1"/>
  <c r="AY22" i="20" s="1"/>
  <c r="O22" i="20"/>
  <c r="BR22" i="20" s="1"/>
  <c r="DZ22" i="20" s="1"/>
  <c r="EB22" i="20" s="1"/>
  <c r="H22" i="20"/>
  <c r="DL22" i="20" s="1"/>
  <c r="G22" i="20"/>
  <c r="CG22" i="20" s="1"/>
  <c r="FZ21" i="20"/>
  <c r="FY21" i="20"/>
  <c r="EA21" i="20"/>
  <c r="DY21" i="20"/>
  <c r="DH21" i="20"/>
  <c r="CF21" i="20"/>
  <c r="CD21" i="20"/>
  <c r="CE21" i="20" s="1"/>
  <c r="AM21" i="20"/>
  <c r="AL21" i="20"/>
  <c r="AB21" i="20"/>
  <c r="V21" i="20"/>
  <c r="W21" i="20" s="1"/>
  <c r="T21" i="20"/>
  <c r="O21" i="20"/>
  <c r="CA21" i="20" s="1"/>
  <c r="H21" i="20"/>
  <c r="I21" i="20" s="1"/>
  <c r="G21" i="20"/>
  <c r="CG21" i="20" s="1"/>
  <c r="FZ20" i="20"/>
  <c r="FY20" i="20"/>
  <c r="EA20" i="20"/>
  <c r="DY20" i="20"/>
  <c r="DH20" i="20"/>
  <c r="CF20" i="20"/>
  <c r="CD20" i="20"/>
  <c r="CE20" i="20" s="1"/>
  <c r="AP20" i="20"/>
  <c r="AP21" i="20" s="1"/>
  <c r="AM20" i="20"/>
  <c r="AL20" i="20"/>
  <c r="AB20" i="20"/>
  <c r="V20" i="20"/>
  <c r="W20" i="20" s="1"/>
  <c r="T20" i="20"/>
  <c r="O20" i="20"/>
  <c r="CA20" i="20" s="1"/>
  <c r="H20" i="20"/>
  <c r="DL20" i="20" s="1"/>
  <c r="G20" i="20"/>
  <c r="CG20" i="20" s="1"/>
  <c r="FZ19" i="20"/>
  <c r="EA19" i="20"/>
  <c r="DY19" i="20"/>
  <c r="DH19" i="20"/>
  <c r="CF19" i="20"/>
  <c r="AM19" i="20"/>
  <c r="AL19" i="20"/>
  <c r="AB19" i="20"/>
  <c r="V19" i="20"/>
  <c r="W19" i="20" s="1"/>
  <c r="T19" i="20"/>
  <c r="O19" i="20"/>
  <c r="H19" i="20"/>
  <c r="G19" i="20"/>
  <c r="CG19" i="20" s="1"/>
  <c r="S15" i="20"/>
  <c r="S14" i="20"/>
  <c r="R14" i="20"/>
  <c r="DI11" i="20"/>
  <c r="S11" i="20"/>
  <c r="DI10" i="20"/>
  <c r="S10" i="20"/>
  <c r="R10" i="20"/>
  <c r="EO9" i="20"/>
  <c r="DZ9" i="20"/>
  <c r="DI8" i="20"/>
  <c r="CJ8" i="20"/>
  <c r="DL7" i="20"/>
  <c r="S7" i="20"/>
  <c r="J7" i="20"/>
  <c r="DT6" i="20"/>
  <c r="DS6" i="20"/>
  <c r="DQ6" i="20"/>
  <c r="DP6" i="20"/>
  <c r="DL6" i="20"/>
  <c r="S6" i="20"/>
  <c r="R6" i="20"/>
  <c r="J6" i="20"/>
  <c r="DV5" i="20"/>
  <c r="DT5" i="20"/>
  <c r="DU5" i="20" s="1"/>
  <c r="DS5" i="20"/>
  <c r="DQ5" i="20"/>
  <c r="DR5" i="20" s="1"/>
  <c r="DP5" i="20"/>
  <c r="DL5" i="20"/>
  <c r="M5" i="20"/>
  <c r="J5" i="20"/>
  <c r="FD4" i="20"/>
  <c r="FC4" i="20"/>
  <c r="DI4" i="20" s="1"/>
  <c r="EF4" i="20"/>
  <c r="DT4" i="20"/>
  <c r="DU4" i="20" s="1"/>
  <c r="DS4" i="20"/>
  <c r="DQ4" i="20"/>
  <c r="DR4" i="20" s="1"/>
  <c r="DP4" i="20"/>
  <c r="DL4" i="20"/>
  <c r="DJ4" i="20"/>
  <c r="M4" i="20"/>
  <c r="J4" i="20"/>
  <c r="FD3" i="20"/>
  <c r="FC3" i="20"/>
  <c r="DI3" i="20" s="1"/>
  <c r="EF3" i="20"/>
  <c r="DZ3" i="20"/>
  <c r="DS3" i="20"/>
  <c r="DP3" i="20"/>
  <c r="DL3" i="20"/>
  <c r="DT2" i="20"/>
  <c r="DU2" i="20" s="1"/>
  <c r="DV2" i="20" s="1"/>
  <c r="DQ2" i="20"/>
  <c r="DR2" i="20" s="1"/>
  <c r="S2" i="20"/>
  <c r="FD1" i="20"/>
  <c r="FD2" i="20" s="1"/>
  <c r="FC1" i="20"/>
  <c r="FC2" i="20" s="1"/>
  <c r="DI2" i="20" s="1"/>
  <c r="EP1" i="20"/>
  <c r="EF1" i="20"/>
  <c r="EF2" i="20" s="1"/>
  <c r="EB1" i="20"/>
  <c r="EA1" i="20"/>
  <c r="EA2" i="20" s="1"/>
  <c r="DZ1" i="20"/>
  <c r="DZ2" i="20" s="1"/>
  <c r="DW1" i="20"/>
  <c r="DW2" i="20" s="1"/>
  <c r="DT1" i="20"/>
  <c r="DU1" i="20" s="1"/>
  <c r="DQ1" i="20"/>
  <c r="DR1" i="20" s="1"/>
  <c r="DP1" i="20"/>
  <c r="DP2" i="20" s="1"/>
  <c r="S1" i="20"/>
  <c r="R1" i="20"/>
  <c r="DJ1" i="5"/>
  <c r="DJ2" i="5" s="1"/>
  <c r="DK1" i="5"/>
  <c r="DL1" i="5" s="1"/>
  <c r="DN1" i="5"/>
  <c r="DO1" i="5" s="1"/>
  <c r="DQ1" i="5"/>
  <c r="DQ2" i="5" s="1"/>
  <c r="DT1" i="5"/>
  <c r="DU1" i="5"/>
  <c r="DV1" i="5"/>
  <c r="DZ1" i="5"/>
  <c r="DZ2" i="5" s="1"/>
  <c r="EJ1" i="5"/>
  <c r="EW1" i="5"/>
  <c r="DC1" i="5" s="1"/>
  <c r="EX1" i="5"/>
  <c r="EX2" i="5" s="1"/>
  <c r="DK2" i="5"/>
  <c r="DL2" i="5" s="1"/>
  <c r="DN2" i="5"/>
  <c r="DO2" i="5" s="1"/>
  <c r="DP2" i="5" s="1"/>
  <c r="DT2" i="5"/>
  <c r="DU2" i="5"/>
  <c r="EW2" i="5"/>
  <c r="DC2" i="5" s="1"/>
  <c r="DF3" i="5"/>
  <c r="DJ3" i="5"/>
  <c r="DM3" i="5"/>
  <c r="DT3" i="5"/>
  <c r="DZ3" i="5"/>
  <c r="EW3" i="5"/>
  <c r="DC3" i="5" s="1"/>
  <c r="EX3" i="5"/>
  <c r="DD4" i="5"/>
  <c r="DF4" i="5"/>
  <c r="DJ4" i="5"/>
  <c r="DK4" i="5"/>
  <c r="DL4" i="5" s="1"/>
  <c r="DM4" i="5"/>
  <c r="DN4" i="5"/>
  <c r="DO4" i="5"/>
  <c r="DZ4" i="5"/>
  <c r="EW4" i="5"/>
  <c r="DC4" i="5" s="1"/>
  <c r="EX4" i="5"/>
  <c r="DF5" i="5"/>
  <c r="DJ5" i="5"/>
  <c r="DK5" i="5"/>
  <c r="DL5" i="5" s="1"/>
  <c r="DM5" i="5"/>
  <c r="DN5" i="5"/>
  <c r="DO5" i="5" s="1"/>
  <c r="DP5" i="5"/>
  <c r="DF6" i="5"/>
  <c r="DJ6" i="5"/>
  <c r="DK6" i="5"/>
  <c r="DM6" i="5"/>
  <c r="DN6" i="5"/>
  <c r="DF7" i="5"/>
  <c r="CD8" i="5"/>
  <c r="DC8" i="5"/>
  <c r="DT9" i="5"/>
  <c r="EI9" i="5"/>
  <c r="DC10" i="5"/>
  <c r="DC11" i="5"/>
  <c r="EB19" i="5"/>
  <c r="EL19" i="5" s="1"/>
  <c r="EN19" i="5"/>
  <c r="EO19" i="5"/>
  <c r="ES19" i="5"/>
  <c r="ET19" i="5" s="1"/>
  <c r="BX20" i="5"/>
  <c r="BY20" i="5" s="1"/>
  <c r="BZ20" i="5"/>
  <c r="DB20" i="5"/>
  <c r="DS20" i="5"/>
  <c r="DU20" i="5"/>
  <c r="FS20" i="5"/>
  <c r="FT20" i="5"/>
  <c r="BX21" i="5"/>
  <c r="BY21" i="5" s="1"/>
  <c r="BZ21" i="5"/>
  <c r="DB21" i="5"/>
  <c r="DS21" i="5"/>
  <c r="DU21" i="5"/>
  <c r="FS21" i="5"/>
  <c r="FT21" i="5"/>
  <c r="BX22" i="5"/>
  <c r="BY22" i="5" s="1"/>
  <c r="BZ22" i="5"/>
  <c r="DB22" i="5"/>
  <c r="DS22" i="5"/>
  <c r="DU22" i="5"/>
  <c r="FS22" i="5"/>
  <c r="FT22" i="5"/>
  <c r="BX23" i="5"/>
  <c r="BY23" i="5" s="1"/>
  <c r="BZ23" i="5"/>
  <c r="DB23" i="5"/>
  <c r="DS23" i="5"/>
  <c r="DU23" i="5"/>
  <c r="FT23" i="5"/>
  <c r="BX24" i="5"/>
  <c r="BY24" i="5" s="1"/>
  <c r="BZ24" i="5"/>
  <c r="DB24" i="5"/>
  <c r="DS24" i="5"/>
  <c r="DU24" i="5"/>
  <c r="FT24" i="5"/>
  <c r="BX25" i="5"/>
  <c r="BY25" i="5" s="1"/>
  <c r="BZ25" i="5"/>
  <c r="DB25" i="5"/>
  <c r="DS25" i="5"/>
  <c r="DU25" i="5"/>
  <c r="FT25" i="5"/>
  <c r="BX26" i="5"/>
  <c r="BY26" i="5" s="1"/>
  <c r="BZ26" i="5"/>
  <c r="DB26" i="5"/>
  <c r="DS26" i="5"/>
  <c r="DU26" i="5"/>
  <c r="FS26" i="5"/>
  <c r="FT26" i="5"/>
  <c r="BX27" i="5"/>
  <c r="BY27" i="5" s="1"/>
  <c r="BZ27" i="5"/>
  <c r="DB27" i="5"/>
  <c r="DS27" i="5"/>
  <c r="DU27" i="5"/>
  <c r="FS27" i="5"/>
  <c r="FT27" i="5"/>
  <c r="BX28" i="5"/>
  <c r="BY28" i="5" s="1"/>
  <c r="BZ28" i="5"/>
  <c r="DB28" i="5"/>
  <c r="DS28" i="5"/>
  <c r="DU28" i="5"/>
  <c r="FS28" i="5"/>
  <c r="FT28" i="5"/>
  <c r="BX29" i="5"/>
  <c r="BY29" i="5" s="1"/>
  <c r="BZ29" i="5"/>
  <c r="DB29" i="5"/>
  <c r="DS29" i="5"/>
  <c r="DU29" i="5"/>
  <c r="FT29" i="5"/>
  <c r="BX30" i="5"/>
  <c r="BY30" i="5" s="1"/>
  <c r="BZ30" i="5"/>
  <c r="DB30" i="5"/>
  <c r="DS30" i="5"/>
  <c r="DU30" i="5"/>
  <c r="FT30" i="5"/>
  <c r="BX31" i="5"/>
  <c r="BY31" i="5" s="1"/>
  <c r="BZ31" i="5"/>
  <c r="DB31" i="5"/>
  <c r="DS31" i="5"/>
  <c r="DU31" i="5"/>
  <c r="FT31" i="5"/>
  <c r="BX32" i="5"/>
  <c r="BY32" i="5" s="1"/>
  <c r="BZ32" i="5"/>
  <c r="DB32" i="5"/>
  <c r="DS32" i="5"/>
  <c r="DU32" i="5"/>
  <c r="FT32" i="5"/>
  <c r="BX33" i="5"/>
  <c r="BY33" i="5" s="1"/>
  <c r="BZ33" i="5"/>
  <c r="DB33" i="5"/>
  <c r="DS33" i="5"/>
  <c r="DU33" i="5"/>
  <c r="FT33" i="5"/>
  <c r="BX34" i="5"/>
  <c r="BY34" i="5" s="1"/>
  <c r="BZ34" i="5"/>
  <c r="DB34" i="5"/>
  <c r="DS34" i="5"/>
  <c r="DU34" i="5"/>
  <c r="FT34" i="5"/>
  <c r="BX35" i="5"/>
  <c r="BY35" i="5" s="1"/>
  <c r="BZ35" i="5"/>
  <c r="DB35" i="5"/>
  <c r="DS35" i="5"/>
  <c r="DU35" i="5"/>
  <c r="FS35" i="5"/>
  <c r="FT35" i="5"/>
  <c r="BX36" i="5"/>
  <c r="BY36" i="5" s="1"/>
  <c r="BZ36" i="5"/>
  <c r="DB36" i="5"/>
  <c r="DS36" i="5"/>
  <c r="DU36" i="5"/>
  <c r="FS36" i="5"/>
  <c r="FT36" i="5"/>
  <c r="BX37" i="5"/>
  <c r="BY37" i="5" s="1"/>
  <c r="BZ37" i="5"/>
  <c r="DB37" i="5"/>
  <c r="DS37" i="5"/>
  <c r="DU37" i="5"/>
  <c r="FS37" i="5"/>
  <c r="FT37" i="5"/>
  <c r="BX38" i="5"/>
  <c r="BY38" i="5" s="1"/>
  <c r="BZ38" i="5"/>
  <c r="DB38" i="5"/>
  <c r="DS38" i="5"/>
  <c r="DU38" i="5"/>
  <c r="FT38" i="5"/>
  <c r="BX39" i="5"/>
  <c r="BY39" i="5" s="1"/>
  <c r="BZ39" i="5"/>
  <c r="DB39" i="5"/>
  <c r="DS39" i="5"/>
  <c r="DU39" i="5"/>
  <c r="FT39" i="5"/>
  <c r="BX40" i="5"/>
  <c r="BY40" i="5" s="1"/>
  <c r="BZ40" i="5"/>
  <c r="DB40" i="5"/>
  <c r="DS40" i="5"/>
  <c r="DU40" i="5"/>
  <c r="FT40" i="5"/>
  <c r="BX41" i="5"/>
  <c r="BY41" i="5" s="1"/>
  <c r="BZ41" i="5"/>
  <c r="DB41" i="5"/>
  <c r="DS41" i="5"/>
  <c r="DU41" i="5"/>
  <c r="FT41" i="5"/>
  <c r="BX42" i="5"/>
  <c r="BY42" i="5" s="1"/>
  <c r="BZ42" i="5"/>
  <c r="DB42" i="5"/>
  <c r="DS42" i="5"/>
  <c r="DU42" i="5"/>
  <c r="FT42" i="5"/>
  <c r="BX43" i="5"/>
  <c r="BY43" i="5" s="1"/>
  <c r="BZ43" i="5"/>
  <c r="DB43" i="5"/>
  <c r="DS43" i="5"/>
  <c r="DU43" i="5"/>
  <c r="FT43" i="5"/>
  <c r="BX44" i="5"/>
  <c r="BY44" i="5" s="1"/>
  <c r="BZ44" i="5"/>
  <c r="DB44" i="5"/>
  <c r="DS44" i="5"/>
  <c r="DU44" i="5"/>
  <c r="FT44" i="5"/>
  <c r="BX45" i="5"/>
  <c r="BY45" i="5" s="1"/>
  <c r="BZ45" i="5"/>
  <c r="DB45" i="5"/>
  <c r="DS45" i="5"/>
  <c r="DU45" i="5"/>
  <c r="FT45" i="5"/>
  <c r="BX46" i="5"/>
  <c r="BY46" i="5" s="1"/>
  <c r="BZ46" i="5"/>
  <c r="DB46" i="5"/>
  <c r="DS46" i="5"/>
  <c r="DU46" i="5"/>
  <c r="FT46" i="5"/>
  <c r="BX47" i="5"/>
  <c r="BY47" i="5" s="1"/>
  <c r="BZ47" i="5"/>
  <c r="DB47" i="5"/>
  <c r="DS47" i="5"/>
  <c r="DU47" i="5"/>
  <c r="FT47" i="5"/>
  <c r="BX48" i="5"/>
  <c r="BY48" i="5" s="1"/>
  <c r="BZ48" i="5"/>
  <c r="DB48" i="5"/>
  <c r="DS48" i="5"/>
  <c r="DU48" i="5"/>
  <c r="FT48" i="5"/>
  <c r="BX49" i="5"/>
  <c r="BY49" i="5" s="1"/>
  <c r="BZ49" i="5"/>
  <c r="DB49" i="5"/>
  <c r="DS49" i="5"/>
  <c r="DU49" i="5"/>
  <c r="FT49" i="5"/>
  <c r="BX50" i="5"/>
  <c r="BY50" i="5" s="1"/>
  <c r="BZ50" i="5"/>
  <c r="DB50" i="5"/>
  <c r="DS50" i="5"/>
  <c r="DU50" i="5"/>
  <c r="FT50" i="5"/>
  <c r="BX51" i="5"/>
  <c r="BY51" i="5" s="1"/>
  <c r="BZ51" i="5"/>
  <c r="DB51" i="5"/>
  <c r="DS51" i="5"/>
  <c r="DU51" i="5"/>
  <c r="FT51" i="5"/>
  <c r="BX52" i="5"/>
  <c r="BY52" i="5" s="1"/>
  <c r="BZ52" i="5"/>
  <c r="DB52" i="5"/>
  <c r="DS52" i="5"/>
  <c r="DU52" i="5"/>
  <c r="FT52" i="5"/>
  <c r="BX53" i="5"/>
  <c r="BY53" i="5" s="1"/>
  <c r="BZ53" i="5"/>
  <c r="CA53" i="5"/>
  <c r="DB53" i="5"/>
  <c r="DU53" i="5"/>
  <c r="FS53" i="5"/>
  <c r="FT53" i="5"/>
  <c r="BX54" i="5"/>
  <c r="BY54" i="5" s="1"/>
  <c r="BZ54" i="5"/>
  <c r="CA54" i="5"/>
  <c r="DB54" i="5"/>
  <c r="DU54" i="5"/>
  <c r="FS54" i="5"/>
  <c r="FT54" i="5"/>
  <c r="BX55" i="5"/>
  <c r="BY55" i="5" s="1"/>
  <c r="BZ55" i="5"/>
  <c r="CA55" i="5"/>
  <c r="DB55" i="5"/>
  <c r="DU55" i="5"/>
  <c r="FS55" i="5"/>
  <c r="FT55" i="5"/>
  <c r="BX56" i="5"/>
  <c r="BY56" i="5" s="1"/>
  <c r="BZ56" i="5"/>
  <c r="CA56" i="5"/>
  <c r="DB56" i="5"/>
  <c r="DU56" i="5"/>
  <c r="FS56" i="5"/>
  <c r="FT56" i="5"/>
  <c r="BX57" i="5"/>
  <c r="BY57" i="5" s="1"/>
  <c r="BZ57" i="5"/>
  <c r="CA57" i="5"/>
  <c r="DB57" i="5"/>
  <c r="DU57" i="5"/>
  <c r="FS57" i="5"/>
  <c r="FT57" i="5"/>
  <c r="BX58" i="5"/>
  <c r="BY58" i="5" s="1"/>
  <c r="BZ58" i="5"/>
  <c r="CA58" i="5"/>
  <c r="DB58" i="5"/>
  <c r="DU58" i="5"/>
  <c r="FS58" i="5"/>
  <c r="FT58" i="5"/>
  <c r="BX59" i="5"/>
  <c r="BY59" i="5" s="1"/>
  <c r="BZ59" i="5"/>
  <c r="CA59" i="5"/>
  <c r="DB59" i="5"/>
  <c r="DU59" i="5"/>
  <c r="FS59" i="5"/>
  <c r="FT59" i="5"/>
  <c r="BX60" i="5"/>
  <c r="BY60" i="5" s="1"/>
  <c r="BZ60" i="5"/>
  <c r="CA60" i="5"/>
  <c r="DB60" i="5"/>
  <c r="DU60" i="5"/>
  <c r="FS60" i="5"/>
  <c r="FT60" i="5"/>
  <c r="BX61" i="5"/>
  <c r="BY61" i="5" s="1"/>
  <c r="BZ61" i="5"/>
  <c r="CA61" i="5"/>
  <c r="DB61" i="5"/>
  <c r="DU61" i="5"/>
  <c r="FS61" i="5"/>
  <c r="FT61" i="5"/>
  <c r="BX62" i="5"/>
  <c r="BY62" i="5" s="1"/>
  <c r="BZ62" i="5"/>
  <c r="CA62" i="5"/>
  <c r="DB62" i="5"/>
  <c r="DU62" i="5"/>
  <c r="FS62" i="5"/>
  <c r="FT62" i="5"/>
  <c r="BX63" i="5"/>
  <c r="BY63" i="5" s="1"/>
  <c r="BZ63" i="5"/>
  <c r="CA63" i="5"/>
  <c r="DB63" i="5"/>
  <c r="DU63" i="5"/>
  <c r="FS63" i="5"/>
  <c r="FT63" i="5"/>
  <c r="BX64" i="5"/>
  <c r="BY64" i="5" s="1"/>
  <c r="BZ64" i="5"/>
  <c r="CA64" i="5"/>
  <c r="DB64" i="5"/>
  <c r="DU64" i="5"/>
  <c r="FS64" i="5"/>
  <c r="FT64" i="5"/>
  <c r="BX65" i="5"/>
  <c r="BY65" i="5" s="1"/>
  <c r="BZ65" i="5"/>
  <c r="CA65" i="5"/>
  <c r="DB65" i="5"/>
  <c r="DU65" i="5"/>
  <c r="FP65" i="5"/>
  <c r="FS65" i="5"/>
  <c r="FT65" i="5"/>
  <c r="BX66" i="5"/>
  <c r="BY66" i="5" s="1"/>
  <c r="BZ66" i="5"/>
  <c r="CA66" i="5"/>
  <c r="DB66" i="5"/>
  <c r="DU66" i="5"/>
  <c r="FS66" i="5"/>
  <c r="FT66" i="5"/>
  <c r="BX67" i="5"/>
  <c r="BY67" i="5" s="1"/>
  <c r="BZ67" i="5"/>
  <c r="CA67" i="5"/>
  <c r="DB67" i="5"/>
  <c r="DU67" i="5"/>
  <c r="FS67" i="5"/>
  <c r="FT67" i="5"/>
  <c r="BX68" i="5"/>
  <c r="BY68" i="5" s="1"/>
  <c r="BZ68" i="5"/>
  <c r="CA68" i="5"/>
  <c r="DB68" i="5"/>
  <c r="DU68" i="5"/>
  <c r="FS68" i="5"/>
  <c r="FT68" i="5"/>
  <c r="BX69" i="5"/>
  <c r="BY69" i="5" s="1"/>
  <c r="BZ69" i="5"/>
  <c r="CA69" i="5"/>
  <c r="DB69" i="5"/>
  <c r="DU69" i="5"/>
  <c r="FS69" i="5"/>
  <c r="FT69" i="5"/>
  <c r="BX70" i="5"/>
  <c r="BY70" i="5" s="1"/>
  <c r="BZ70" i="5"/>
  <c r="CA70" i="5"/>
  <c r="DB70" i="5"/>
  <c r="DU70" i="5"/>
  <c r="FS70" i="5"/>
  <c r="FT70" i="5"/>
  <c r="BX71" i="5"/>
  <c r="BY71" i="5" s="1"/>
  <c r="BZ71" i="5"/>
  <c r="CA71" i="5"/>
  <c r="DB71" i="5"/>
  <c r="DU71" i="5"/>
  <c r="FS71" i="5"/>
  <c r="FT71" i="5"/>
  <c r="BX72" i="5"/>
  <c r="BY72" i="5" s="1"/>
  <c r="BZ72" i="5"/>
  <c r="CA72" i="5"/>
  <c r="DB72" i="5"/>
  <c r="DU72" i="5"/>
  <c r="FS72" i="5"/>
  <c r="FT72" i="5"/>
  <c r="BX73" i="5"/>
  <c r="BY73" i="5" s="1"/>
  <c r="BZ73" i="5"/>
  <c r="CA73" i="5"/>
  <c r="DB73" i="5"/>
  <c r="DU73" i="5"/>
  <c r="FS73" i="5"/>
  <c r="FT73" i="5"/>
  <c r="BX74" i="5"/>
  <c r="BY74" i="5" s="1"/>
  <c r="BZ74" i="5"/>
  <c r="CA74" i="5"/>
  <c r="DB74" i="5"/>
  <c r="DU74" i="5"/>
  <c r="FS74" i="5"/>
  <c r="FT74" i="5"/>
  <c r="BX75" i="5"/>
  <c r="BY75" i="5" s="1"/>
  <c r="BZ75" i="5"/>
  <c r="CA75" i="5"/>
  <c r="DB75" i="5"/>
  <c r="DU75" i="5"/>
  <c r="FS75" i="5"/>
  <c r="FT75" i="5"/>
  <c r="BX76" i="5"/>
  <c r="BY76" i="5" s="1"/>
  <c r="BZ76" i="5"/>
  <c r="CA76" i="5"/>
  <c r="DB76" i="5"/>
  <c r="DU76" i="5"/>
  <c r="FS76" i="5"/>
  <c r="FT76" i="5"/>
  <c r="BX77" i="5"/>
  <c r="BY77" i="5" s="1"/>
  <c r="BZ77" i="5"/>
  <c r="CA77" i="5"/>
  <c r="DB77" i="5"/>
  <c r="DU77" i="5"/>
  <c r="FS77" i="5"/>
  <c r="FT77" i="5"/>
  <c r="BX78" i="5"/>
  <c r="BY78" i="5" s="1"/>
  <c r="BZ78" i="5"/>
  <c r="CA78" i="5"/>
  <c r="DB78" i="5"/>
  <c r="DU78" i="5"/>
  <c r="FS78" i="5"/>
  <c r="FT78" i="5"/>
  <c r="BX79" i="5"/>
  <c r="BY79" i="5" s="1"/>
  <c r="BZ79" i="5"/>
  <c r="CA79" i="5"/>
  <c r="DB79" i="5"/>
  <c r="DU79" i="5"/>
  <c r="FS79" i="5"/>
  <c r="FT79" i="5"/>
  <c r="BX80" i="5"/>
  <c r="BY80" i="5" s="1"/>
  <c r="BZ80" i="5"/>
  <c r="CA80" i="5"/>
  <c r="DB80" i="5"/>
  <c r="DU80" i="5"/>
  <c r="FS80" i="5"/>
  <c r="FT80" i="5"/>
  <c r="BX81" i="5"/>
  <c r="BY81" i="5" s="1"/>
  <c r="BZ81" i="5"/>
  <c r="CA81" i="5"/>
  <c r="DB81" i="5"/>
  <c r="DU81" i="5"/>
  <c r="FS81" i="5"/>
  <c r="FT81" i="5"/>
  <c r="BX82" i="5"/>
  <c r="BY82" i="5" s="1"/>
  <c r="BZ82" i="5"/>
  <c r="CA82" i="5"/>
  <c r="DB82" i="5"/>
  <c r="DU82" i="5"/>
  <c r="FS82" i="5"/>
  <c r="FT82" i="5"/>
  <c r="BX83" i="5"/>
  <c r="BY83" i="5" s="1"/>
  <c r="BZ83" i="5"/>
  <c r="CA83" i="5"/>
  <c r="DB83" i="5"/>
  <c r="DU83" i="5"/>
  <c r="FS83" i="5"/>
  <c r="FT83" i="5"/>
  <c r="BX84" i="5"/>
  <c r="BY84" i="5" s="1"/>
  <c r="BZ84" i="5"/>
  <c r="CA84" i="5"/>
  <c r="DB84" i="5"/>
  <c r="DU84" i="5"/>
  <c r="FS84" i="5"/>
  <c r="FT84" i="5"/>
  <c r="BX85" i="5"/>
  <c r="BY85" i="5" s="1"/>
  <c r="BZ85" i="5"/>
  <c r="CA85" i="5"/>
  <c r="DB85" i="5"/>
  <c r="DU85" i="5"/>
  <c r="FS85" i="5"/>
  <c r="FT85" i="5"/>
  <c r="BX86" i="5"/>
  <c r="BY86" i="5" s="1"/>
  <c r="BZ86" i="5"/>
  <c r="CA86" i="5"/>
  <c r="DB86" i="5"/>
  <c r="DU86" i="5"/>
  <c r="FS86" i="5"/>
  <c r="FT86" i="5"/>
  <c r="BX87" i="5"/>
  <c r="BY87" i="5" s="1"/>
  <c r="BZ87" i="5"/>
  <c r="CA87" i="5"/>
  <c r="DB87" i="5"/>
  <c r="DU87" i="5"/>
  <c r="FS87" i="5"/>
  <c r="FT87" i="5"/>
  <c r="BX88" i="5"/>
  <c r="BY88" i="5" s="1"/>
  <c r="BZ88" i="5"/>
  <c r="CA88" i="5"/>
  <c r="DB88" i="5"/>
  <c r="DU88" i="5"/>
  <c r="FS88" i="5"/>
  <c r="FT88" i="5"/>
  <c r="BX89" i="5"/>
  <c r="BY89" i="5" s="1"/>
  <c r="BZ89" i="5"/>
  <c r="CA89" i="5"/>
  <c r="DB89" i="5"/>
  <c r="DU89" i="5"/>
  <c r="FS89" i="5"/>
  <c r="FT89" i="5"/>
  <c r="BX90" i="5"/>
  <c r="BY90" i="5" s="1"/>
  <c r="BZ90" i="5"/>
  <c r="CA90" i="5"/>
  <c r="DB90" i="5"/>
  <c r="DU90" i="5"/>
  <c r="FS90" i="5"/>
  <c r="FT90" i="5"/>
  <c r="BX91" i="5"/>
  <c r="BY91" i="5" s="1"/>
  <c r="BZ91" i="5"/>
  <c r="CA91" i="5"/>
  <c r="DB91" i="5"/>
  <c r="DU91" i="5"/>
  <c r="FT91" i="5"/>
  <c r="FS91" i="5" s="1"/>
  <c r="BX92" i="5"/>
  <c r="BY92" i="5" s="1"/>
  <c r="BZ92" i="5"/>
  <c r="CA92" i="5"/>
  <c r="DB92" i="5"/>
  <c r="DU92" i="5"/>
  <c r="FT92" i="5"/>
  <c r="FS92" i="5" s="1"/>
  <c r="BX93" i="5"/>
  <c r="BY93" i="5" s="1"/>
  <c r="BZ93" i="5"/>
  <c r="CA93" i="5"/>
  <c r="DB93" i="5"/>
  <c r="DU93" i="5"/>
  <c r="FS93" i="5"/>
  <c r="FT93" i="5"/>
  <c r="BX94" i="5"/>
  <c r="BY94" i="5" s="1"/>
  <c r="BZ94" i="5"/>
  <c r="CA94" i="5"/>
  <c r="DB94" i="5"/>
  <c r="DU94" i="5"/>
  <c r="FS94" i="5"/>
  <c r="FT94" i="5"/>
  <c r="DB95" i="5"/>
  <c r="DB96" i="5"/>
  <c r="DB97" i="5"/>
  <c r="DB98" i="5"/>
  <c r="DB99" i="5"/>
  <c r="DB100" i="5"/>
  <c r="DB101" i="5"/>
  <c r="DB102" i="5"/>
  <c r="DB103" i="5"/>
  <c r="DB104" i="5"/>
  <c r="BX105" i="5"/>
  <c r="BY105" i="5" s="1"/>
  <c r="BZ105" i="5"/>
  <c r="CA105" i="5"/>
  <c r="DB105" i="5"/>
  <c r="DU105" i="5"/>
  <c r="FT105" i="5"/>
  <c r="BX106" i="5"/>
  <c r="BY106" i="5" s="1"/>
  <c r="BZ106" i="5"/>
  <c r="CA106" i="5"/>
  <c r="CB106" i="5" s="1"/>
  <c r="DB106" i="5"/>
  <c r="DU106" i="5"/>
  <c r="FT106" i="5"/>
  <c r="BX107" i="5"/>
  <c r="BY107" i="5" s="1"/>
  <c r="BZ107" i="5"/>
  <c r="CA107" i="5"/>
  <c r="CB107" i="5" s="1"/>
  <c r="DB107" i="5"/>
  <c r="DS107" i="5"/>
  <c r="DU107" i="5"/>
  <c r="FT107" i="5"/>
  <c r="BX108" i="5"/>
  <c r="BY108" i="5" s="1"/>
  <c r="BZ108" i="5"/>
  <c r="CA108" i="5"/>
  <c r="DB108" i="5"/>
  <c r="DS108" i="5"/>
  <c r="DU108" i="5"/>
  <c r="FT108" i="5"/>
  <c r="BX109" i="5"/>
  <c r="BY109" i="5" s="1"/>
  <c r="BZ109" i="5"/>
  <c r="CA109" i="5"/>
  <c r="DB109" i="5"/>
  <c r="DS109" i="5"/>
  <c r="DU109" i="5"/>
  <c r="FT109" i="5"/>
  <c r="BX110" i="5"/>
  <c r="BY110" i="5" s="1"/>
  <c r="BZ110" i="5"/>
  <c r="CA110" i="5"/>
  <c r="DB110" i="5"/>
  <c r="DS110" i="5"/>
  <c r="DU110" i="5"/>
  <c r="FT110" i="5"/>
  <c r="BX111" i="5"/>
  <c r="BY111" i="5" s="1"/>
  <c r="BZ111" i="5"/>
  <c r="CA111" i="5"/>
  <c r="DB111" i="5"/>
  <c r="DS111" i="5"/>
  <c r="DU111" i="5"/>
  <c r="FT111" i="5"/>
  <c r="BX112" i="5"/>
  <c r="BY112" i="5" s="1"/>
  <c r="BZ112" i="5"/>
  <c r="CA112" i="5"/>
  <c r="DB112" i="5"/>
  <c r="DS112" i="5"/>
  <c r="DU112" i="5"/>
  <c r="FT112" i="5"/>
  <c r="BX113" i="5"/>
  <c r="BY113" i="5" s="1"/>
  <c r="BZ113" i="5"/>
  <c r="CA113" i="5"/>
  <c r="DB113" i="5"/>
  <c r="DS113" i="5"/>
  <c r="DU113" i="5"/>
  <c r="FT113" i="5"/>
  <c r="BX114" i="5"/>
  <c r="BY114" i="5" s="1"/>
  <c r="BZ114" i="5"/>
  <c r="CA114" i="5"/>
  <c r="DB114" i="5"/>
  <c r="DS114" i="5"/>
  <c r="DU114" i="5"/>
  <c r="FT114" i="5"/>
  <c r="BX115" i="5"/>
  <c r="BY115" i="5" s="1"/>
  <c r="BZ115" i="5"/>
  <c r="CA115" i="5"/>
  <c r="CB115" i="5" s="1"/>
  <c r="DB115" i="5"/>
  <c r="DS115" i="5"/>
  <c r="DU115" i="5"/>
  <c r="FT115" i="5"/>
  <c r="BX116" i="5"/>
  <c r="BY116" i="5" s="1"/>
  <c r="BZ116" i="5"/>
  <c r="CA116" i="5"/>
  <c r="DB116" i="5"/>
  <c r="DS116" i="5"/>
  <c r="DU116" i="5"/>
  <c r="FT116" i="5"/>
  <c r="BX117" i="5"/>
  <c r="BY117" i="5" s="1"/>
  <c r="BZ117" i="5"/>
  <c r="CB117" i="5" s="1"/>
  <c r="CA117" i="5"/>
  <c r="DB117" i="5"/>
  <c r="DS117" i="5"/>
  <c r="DU117" i="5"/>
  <c r="FT117" i="5"/>
  <c r="AR118" i="5"/>
  <c r="BX118" i="5"/>
  <c r="BY118" i="5" s="1"/>
  <c r="BZ118" i="5"/>
  <c r="CB118" i="5" s="1"/>
  <c r="CA118" i="5"/>
  <c r="DB118" i="5"/>
  <c r="DC118" i="5"/>
  <c r="DD118" i="5"/>
  <c r="ES118" i="5" s="1"/>
  <c r="DF118" i="5"/>
  <c r="DS118" i="5"/>
  <c r="DU118" i="5"/>
  <c r="FT118" i="5"/>
  <c r="BZ119" i="5"/>
  <c r="CA119" i="5"/>
  <c r="DB119" i="5"/>
  <c r="DS119" i="5"/>
  <c r="BZ120" i="5"/>
  <c r="CB120" i="5" s="1"/>
  <c r="CA120" i="5"/>
  <c r="DB120" i="5"/>
  <c r="DS120" i="5"/>
  <c r="DU120" i="5"/>
  <c r="FT120" i="5"/>
  <c r="BZ121" i="5"/>
  <c r="CA121" i="5"/>
  <c r="DB121" i="5"/>
  <c r="DS121" i="5"/>
  <c r="DU121" i="5"/>
  <c r="FT121" i="5"/>
  <c r="BZ122" i="5"/>
  <c r="CA122" i="5"/>
  <c r="DB122" i="5"/>
  <c r="DS122" i="5"/>
  <c r="DU122" i="5"/>
  <c r="FT122" i="5"/>
  <c r="BZ123" i="5"/>
  <c r="CA123" i="5"/>
  <c r="DB123" i="5"/>
  <c r="DS123" i="5"/>
  <c r="DU123" i="5"/>
  <c r="FT123" i="5"/>
  <c r="BX124" i="5"/>
  <c r="BY124" i="5" s="1"/>
  <c r="BZ124" i="5"/>
  <c r="CA124" i="5"/>
  <c r="DB124" i="5"/>
  <c r="DS124" i="5"/>
  <c r="DU124" i="5"/>
  <c r="EF124" i="5"/>
  <c r="EE124" i="5" s="1"/>
  <c r="FT124" i="5"/>
  <c r="BX125" i="5"/>
  <c r="BY125" i="5" s="1"/>
  <c r="BZ125" i="5"/>
  <c r="CA125" i="5"/>
  <c r="DB125" i="5"/>
  <c r="DS125" i="5"/>
  <c r="DU125" i="5"/>
  <c r="EF125" i="5"/>
  <c r="EE125" i="5" s="1"/>
  <c r="FT125" i="5"/>
  <c r="BX126" i="5"/>
  <c r="BY126" i="5" s="1"/>
  <c r="BZ126" i="5"/>
  <c r="CA126" i="5"/>
  <c r="DB126" i="5"/>
  <c r="DS126" i="5"/>
  <c r="DU126" i="5"/>
  <c r="EF126" i="5"/>
  <c r="EE126" i="5" s="1"/>
  <c r="FT126" i="5"/>
  <c r="BX127" i="5"/>
  <c r="BY127" i="5" s="1"/>
  <c r="BZ127" i="5"/>
  <c r="CA127" i="5"/>
  <c r="DB127" i="5"/>
  <c r="DS127" i="5"/>
  <c r="DU127" i="5"/>
  <c r="EF127" i="5"/>
  <c r="EE127" i="5" s="1"/>
  <c r="FT127" i="5"/>
  <c r="BX128" i="5"/>
  <c r="BY128" i="5" s="1"/>
  <c r="BZ128" i="5"/>
  <c r="CA128" i="5"/>
  <c r="DB128" i="5"/>
  <c r="DS128" i="5"/>
  <c r="DU128" i="5"/>
  <c r="EF128" i="5"/>
  <c r="EE128" i="5" s="1"/>
  <c r="FT128" i="5"/>
  <c r="BX129" i="5"/>
  <c r="BY129" i="5" s="1"/>
  <c r="BZ129" i="5"/>
  <c r="CA129" i="5"/>
  <c r="DB129" i="5"/>
  <c r="DS129" i="5"/>
  <c r="DU129" i="5"/>
  <c r="EF129" i="5"/>
  <c r="EE129" i="5" s="1"/>
  <c r="FT129" i="5"/>
  <c r="BX130" i="5"/>
  <c r="BY130" i="5" s="1"/>
  <c r="BZ130" i="5"/>
  <c r="CA130" i="5"/>
  <c r="DB130" i="5"/>
  <c r="DS130" i="5"/>
  <c r="DU130" i="5"/>
  <c r="EF130" i="5"/>
  <c r="EE130" i="5" s="1"/>
  <c r="FT130" i="5"/>
  <c r="BX131" i="5"/>
  <c r="BY131" i="5" s="1"/>
  <c r="BZ131" i="5"/>
  <c r="CA131" i="5"/>
  <c r="DB131" i="5"/>
  <c r="DS131" i="5"/>
  <c r="DU131" i="5"/>
  <c r="EF131" i="5"/>
  <c r="EE131" i="5" s="1"/>
  <c r="FT131" i="5"/>
  <c r="BX132" i="5"/>
  <c r="BY132" i="5" s="1"/>
  <c r="BZ132" i="5"/>
  <c r="CA132" i="5"/>
  <c r="DB132" i="5"/>
  <c r="DS132" i="5"/>
  <c r="DU132" i="5"/>
  <c r="EF132" i="5"/>
  <c r="EE132" i="5" s="1"/>
  <c r="FT132" i="5"/>
  <c r="BX133" i="5"/>
  <c r="BY133" i="5" s="1"/>
  <c r="BZ133" i="5"/>
  <c r="CA133" i="5"/>
  <c r="DB133" i="5"/>
  <c r="DS133" i="5"/>
  <c r="DU133" i="5"/>
  <c r="EF133" i="5"/>
  <c r="EE133" i="5" s="1"/>
  <c r="FT133" i="5"/>
  <c r="BX134" i="5"/>
  <c r="BY134" i="5" s="1"/>
  <c r="BZ134" i="5"/>
  <c r="CA134" i="5"/>
  <c r="DB134" i="5"/>
  <c r="DS134" i="5"/>
  <c r="DU134" i="5"/>
  <c r="EF134" i="5"/>
  <c r="EE134" i="5" s="1"/>
  <c r="FT134" i="5"/>
  <c r="BX135" i="5"/>
  <c r="BY135" i="5" s="1"/>
  <c r="BZ135" i="5"/>
  <c r="CA135" i="5"/>
  <c r="DB135" i="5"/>
  <c r="DS135" i="5"/>
  <c r="DU135" i="5"/>
  <c r="EF135" i="5"/>
  <c r="EE135" i="5" s="1"/>
  <c r="FT135" i="5"/>
  <c r="BX136" i="5"/>
  <c r="BY136" i="5" s="1"/>
  <c r="BZ136" i="5"/>
  <c r="CB136" i="5" s="1"/>
  <c r="CA136" i="5"/>
  <c r="DB136" i="5"/>
  <c r="DS136" i="5"/>
  <c r="DU136" i="5"/>
  <c r="EF136" i="5"/>
  <c r="EE136" i="5" s="1"/>
  <c r="FT136" i="5"/>
  <c r="BX137" i="5"/>
  <c r="BY137" i="5" s="1"/>
  <c r="BZ137" i="5"/>
  <c r="CA137" i="5"/>
  <c r="DB137" i="5"/>
  <c r="DS137" i="5"/>
  <c r="DU137" i="5"/>
  <c r="EF137" i="5"/>
  <c r="EE137" i="5" s="1"/>
  <c r="FT137" i="5"/>
  <c r="BX138" i="5"/>
  <c r="BY138" i="5" s="1"/>
  <c r="BZ138" i="5"/>
  <c r="CA138" i="5"/>
  <c r="DB138" i="5"/>
  <c r="DS138" i="5"/>
  <c r="DU138" i="5"/>
  <c r="EF138" i="5"/>
  <c r="EE138" i="5" s="1"/>
  <c r="FT138" i="5"/>
  <c r="BX139" i="5"/>
  <c r="BY139" i="5" s="1"/>
  <c r="BZ139" i="5"/>
  <c r="CA139" i="5"/>
  <c r="DB139" i="5"/>
  <c r="DS139" i="5"/>
  <c r="DU139" i="5"/>
  <c r="EF139" i="5"/>
  <c r="EE139" i="5" s="1"/>
  <c r="FT139" i="5"/>
  <c r="BX140" i="5"/>
  <c r="BY140" i="5" s="1"/>
  <c r="BZ140" i="5"/>
  <c r="CA140" i="5"/>
  <c r="DB140" i="5"/>
  <c r="DS140" i="5"/>
  <c r="DU140" i="5"/>
  <c r="EF140" i="5"/>
  <c r="EE140" i="5" s="1"/>
  <c r="FT140" i="5"/>
  <c r="BX141" i="5"/>
  <c r="BY141" i="5" s="1"/>
  <c r="BZ141" i="5"/>
  <c r="CA141" i="5"/>
  <c r="DB141" i="5"/>
  <c r="DS141" i="5"/>
  <c r="DU141" i="5"/>
  <c r="EF141" i="5"/>
  <c r="EE141" i="5" s="1"/>
  <c r="FT141" i="5"/>
  <c r="BZ142" i="5"/>
  <c r="CA142" i="5"/>
  <c r="DB142" i="5"/>
  <c r="DS142" i="5"/>
  <c r="DU142" i="5"/>
  <c r="EF142" i="5"/>
  <c r="EE142" i="5" s="1"/>
  <c r="FT142" i="5"/>
  <c r="BZ143" i="5"/>
  <c r="CB143" i="5" s="1"/>
  <c r="CA143" i="5"/>
  <c r="DB143" i="5"/>
  <c r="DS143" i="5"/>
  <c r="DU143" i="5"/>
  <c r="EF143" i="5"/>
  <c r="EE143" i="5" s="1"/>
  <c r="FT143" i="5"/>
  <c r="BX144" i="5"/>
  <c r="BY144" i="5" s="1"/>
  <c r="BZ144" i="5"/>
  <c r="CA144" i="5"/>
  <c r="DB144" i="5"/>
  <c r="DS144" i="5"/>
  <c r="DU144" i="5"/>
  <c r="EF144" i="5"/>
  <c r="EE144" i="5" s="1"/>
  <c r="FT144" i="5"/>
  <c r="BX145" i="5"/>
  <c r="BY145" i="5" s="1"/>
  <c r="BZ145" i="5"/>
  <c r="CA145" i="5"/>
  <c r="DB145" i="5"/>
  <c r="DS145" i="5"/>
  <c r="DU145" i="5"/>
  <c r="EF145" i="5"/>
  <c r="EE145" i="5" s="1"/>
  <c r="FT145" i="5"/>
  <c r="BX146" i="5"/>
  <c r="BY146" i="5" s="1"/>
  <c r="BZ146" i="5"/>
  <c r="CA146" i="5"/>
  <c r="DB146" i="5"/>
  <c r="DS146" i="5"/>
  <c r="DU146" i="5"/>
  <c r="EF146" i="5"/>
  <c r="EE146" i="5" s="1"/>
  <c r="FT146" i="5"/>
  <c r="BX147" i="5"/>
  <c r="BY147" i="5" s="1"/>
  <c r="BZ147" i="5"/>
  <c r="CA147" i="5"/>
  <c r="DB147" i="5"/>
  <c r="DS147" i="5"/>
  <c r="DU147" i="5"/>
  <c r="EF147" i="5"/>
  <c r="EE147" i="5" s="1"/>
  <c r="FT147" i="5"/>
  <c r="DB148" i="5"/>
  <c r="DB149" i="5"/>
  <c r="DB150" i="5"/>
  <c r="DB151" i="5"/>
  <c r="DB152" i="5"/>
  <c r="DB153" i="5"/>
  <c r="AK154" i="5"/>
  <c r="AS154" i="5"/>
  <c r="AY154" i="5"/>
  <c r="AZ154" i="5" s="1"/>
  <c r="DB154" i="5"/>
  <c r="DF154" i="5"/>
  <c r="DG154" i="5"/>
  <c r="DO154" i="5"/>
  <c r="EG154" i="5" s="1"/>
  <c r="EE154" i="5"/>
  <c r="EN154" i="5" s="1"/>
  <c r="EL154" i="5"/>
  <c r="FR154" i="5"/>
  <c r="FS154" i="5"/>
  <c r="FT154" i="5"/>
  <c r="AK155" i="5"/>
  <c r="AS155" i="5"/>
  <c r="AY155" i="5"/>
  <c r="AZ155" i="5" s="1"/>
  <c r="BC155" i="5"/>
  <c r="DB155" i="5"/>
  <c r="DF155" i="5"/>
  <c r="DG155" i="5"/>
  <c r="DO155" i="5"/>
  <c r="EE155" i="5"/>
  <c r="EN155" i="5" s="1"/>
  <c r="EL155" i="5"/>
  <c r="FR155" i="5"/>
  <c r="FS155" i="5"/>
  <c r="FT155" i="5"/>
  <c r="BX156" i="5"/>
  <c r="BY156" i="5" s="1"/>
  <c r="BZ156" i="5"/>
  <c r="CA156" i="5"/>
  <c r="DB156" i="5"/>
  <c r="DF156" i="5"/>
  <c r="DU156" i="5"/>
  <c r="FS156" i="5"/>
  <c r="FT156" i="5"/>
  <c r="BX157" i="5"/>
  <c r="BY157" i="5" s="1"/>
  <c r="BZ157" i="5"/>
  <c r="CA157" i="5"/>
  <c r="DB157" i="5"/>
  <c r="DF157" i="5"/>
  <c r="DU157" i="5"/>
  <c r="FS157" i="5"/>
  <c r="FT157" i="5"/>
  <c r="BX158" i="5"/>
  <c r="BY158" i="5" s="1"/>
  <c r="BZ158" i="5"/>
  <c r="CA158" i="5"/>
  <c r="DB158" i="5"/>
  <c r="DF158" i="5"/>
  <c r="DU158" i="5"/>
  <c r="FS158" i="5"/>
  <c r="FT158" i="5"/>
  <c r="BX159" i="5"/>
  <c r="BY159" i="5" s="1"/>
  <c r="BZ159" i="5"/>
  <c r="CA159" i="5"/>
  <c r="DB159" i="5"/>
  <c r="DF159" i="5"/>
  <c r="DU159" i="5"/>
  <c r="FS159" i="5"/>
  <c r="FT159" i="5"/>
  <c r="BX160" i="5"/>
  <c r="BY160" i="5" s="1"/>
  <c r="BZ160" i="5"/>
  <c r="CA160" i="5"/>
  <c r="DB160" i="5"/>
  <c r="DF160" i="5"/>
  <c r="DU160" i="5"/>
  <c r="FS160" i="5"/>
  <c r="FT160" i="5"/>
  <c r="BX161" i="5"/>
  <c r="BY161" i="5" s="1"/>
  <c r="BZ161" i="5"/>
  <c r="CA161" i="5"/>
  <c r="DB161" i="5"/>
  <c r="DF161" i="5"/>
  <c r="DU161" i="5"/>
  <c r="FS161" i="5"/>
  <c r="FT161" i="5"/>
  <c r="BX162" i="5"/>
  <c r="BY162" i="5" s="1"/>
  <c r="BZ162" i="5"/>
  <c r="CA162" i="5"/>
  <c r="DB162" i="5"/>
  <c r="DF162" i="5"/>
  <c r="DU162" i="5"/>
  <c r="FS162" i="5"/>
  <c r="FT162" i="5"/>
  <c r="BX163" i="5"/>
  <c r="BY163" i="5" s="1"/>
  <c r="BZ163" i="5"/>
  <c r="CA163" i="5"/>
  <c r="DB163" i="5"/>
  <c r="DF163" i="5"/>
  <c r="DU163" i="5"/>
  <c r="FS163" i="5"/>
  <c r="FT163" i="5"/>
  <c r="BX164" i="5"/>
  <c r="BY164" i="5" s="1"/>
  <c r="BZ164" i="5"/>
  <c r="CA164" i="5"/>
  <c r="DB164" i="5"/>
  <c r="DF164" i="5"/>
  <c r="DU164" i="5"/>
  <c r="FS164" i="5"/>
  <c r="FT164" i="5"/>
  <c r="BX165" i="5"/>
  <c r="BY165" i="5" s="1"/>
  <c r="BZ165" i="5"/>
  <c r="CA165" i="5"/>
  <c r="DB165" i="5"/>
  <c r="DF165" i="5"/>
  <c r="DU165" i="5"/>
  <c r="FS165" i="5"/>
  <c r="FT165" i="5"/>
  <c r="BX166" i="5"/>
  <c r="BY166" i="5" s="1"/>
  <c r="BZ166" i="5"/>
  <c r="CA166" i="5"/>
  <c r="DB166" i="5"/>
  <c r="DF166" i="5"/>
  <c r="DU166" i="5"/>
  <c r="FS166" i="5"/>
  <c r="FT166" i="5"/>
  <c r="BX167" i="5"/>
  <c r="BY167" i="5" s="1"/>
  <c r="BZ167" i="5"/>
  <c r="CA167" i="5"/>
  <c r="DB167" i="5"/>
  <c r="DF167" i="5"/>
  <c r="DU167" i="5"/>
  <c r="FS167" i="5"/>
  <c r="FT167" i="5"/>
  <c r="AN168" i="5"/>
  <c r="AO168" i="5" s="1"/>
  <c r="FR168" i="5"/>
  <c r="FS168" i="5"/>
  <c r="FT168" i="5"/>
  <c r="AM169" i="5"/>
  <c r="BX169" i="5"/>
  <c r="BY169" i="5" s="1"/>
  <c r="BZ169" i="5"/>
  <c r="CA169" i="5"/>
  <c r="DB169" i="5"/>
  <c r="DU169" i="5"/>
  <c r="FT169" i="5"/>
  <c r="AM170" i="5"/>
  <c r="BX170" i="5"/>
  <c r="BY170" i="5" s="1"/>
  <c r="BZ170" i="5"/>
  <c r="CA170" i="5"/>
  <c r="DB170" i="5"/>
  <c r="FT170" i="5"/>
  <c r="AM171" i="5"/>
  <c r="BX171" i="5"/>
  <c r="BY171" i="5" s="1"/>
  <c r="BZ171" i="5"/>
  <c r="CA171" i="5"/>
  <c r="DB171" i="5"/>
  <c r="DU171" i="5"/>
  <c r="FT171" i="5"/>
  <c r="AM172" i="5"/>
  <c r="BX172" i="5"/>
  <c r="BY172" i="5" s="1"/>
  <c r="BZ172" i="5"/>
  <c r="CA172" i="5"/>
  <c r="DB172" i="5"/>
  <c r="DU172" i="5"/>
  <c r="FT172" i="5"/>
  <c r="AM173" i="5"/>
  <c r="BX173" i="5"/>
  <c r="BY173" i="5" s="1"/>
  <c r="BZ173" i="5"/>
  <c r="CA173" i="5"/>
  <c r="DB173" i="5"/>
  <c r="FT173" i="5"/>
  <c r="AM174" i="5"/>
  <c r="BX174" i="5"/>
  <c r="BY174" i="5" s="1"/>
  <c r="BZ174" i="5"/>
  <c r="CA174" i="5"/>
  <c r="DB174" i="5"/>
  <c r="DU174" i="5"/>
  <c r="FT174" i="5"/>
  <c r="AM175" i="5"/>
  <c r="BX175" i="5"/>
  <c r="BY175" i="5" s="1"/>
  <c r="BZ175" i="5"/>
  <c r="CA175" i="5"/>
  <c r="DB175" i="5"/>
  <c r="DU175" i="5"/>
  <c r="FT175" i="5"/>
  <c r="AM176" i="5"/>
  <c r="BX176" i="5"/>
  <c r="BY176" i="5" s="1"/>
  <c r="BZ176" i="5"/>
  <c r="CA176" i="5"/>
  <c r="DB176" i="5"/>
  <c r="DU176" i="5"/>
  <c r="FT176" i="5"/>
  <c r="AM177" i="5"/>
  <c r="BX177" i="5"/>
  <c r="BY177" i="5" s="1"/>
  <c r="BZ177" i="5"/>
  <c r="CA177" i="5"/>
  <c r="DB177" i="5"/>
  <c r="FT177" i="5"/>
  <c r="AM178" i="5"/>
  <c r="BX178" i="5"/>
  <c r="BY178" i="5" s="1"/>
  <c r="BZ178" i="5"/>
  <c r="CB178" i="5" s="1"/>
  <c r="CA178" i="5"/>
  <c r="DB178" i="5"/>
  <c r="FT178" i="5"/>
  <c r="AM179" i="5"/>
  <c r="BX179" i="5"/>
  <c r="BY179" i="5" s="1"/>
  <c r="BZ179" i="5"/>
  <c r="CA179" i="5"/>
  <c r="DB179" i="5"/>
  <c r="DU179" i="5"/>
  <c r="FT179" i="5"/>
  <c r="AM180" i="5"/>
  <c r="BX180" i="5"/>
  <c r="BY180" i="5" s="1"/>
  <c r="BZ180" i="5"/>
  <c r="CA180" i="5"/>
  <c r="DB180" i="5"/>
  <c r="DU180" i="5"/>
  <c r="FT180" i="5"/>
  <c r="AM181" i="5"/>
  <c r="BX181" i="5"/>
  <c r="BY181" i="5" s="1"/>
  <c r="BZ181" i="5"/>
  <c r="CA181" i="5"/>
  <c r="DB181" i="5"/>
  <c r="FT181" i="5"/>
  <c r="AM182" i="5"/>
  <c r="BX182" i="5"/>
  <c r="BY182" i="5" s="1"/>
  <c r="BZ182" i="5"/>
  <c r="CA182" i="5"/>
  <c r="DB182" i="5"/>
  <c r="FT182" i="5"/>
  <c r="AM183" i="5"/>
  <c r="BX183" i="5"/>
  <c r="BY183" i="5" s="1"/>
  <c r="BZ183" i="5"/>
  <c r="CA183" i="5"/>
  <c r="DB183" i="5"/>
  <c r="DU183" i="5"/>
  <c r="FT183" i="5"/>
  <c r="AM184" i="5"/>
  <c r="BX184" i="5"/>
  <c r="BY184" i="5" s="1"/>
  <c r="BZ184" i="5"/>
  <c r="CA184" i="5"/>
  <c r="DB184" i="5"/>
  <c r="FT184" i="5"/>
  <c r="AM185" i="5"/>
  <c r="BX185" i="5"/>
  <c r="BY185" i="5" s="1"/>
  <c r="BZ185" i="5"/>
  <c r="CA185" i="5"/>
  <c r="CB185" i="5" s="1"/>
  <c r="DB185" i="5"/>
  <c r="DU185" i="5"/>
  <c r="FT185" i="5"/>
  <c r="AM186" i="5"/>
  <c r="BX186" i="5"/>
  <c r="BY186" i="5" s="1"/>
  <c r="BZ186" i="5"/>
  <c r="CB186" i="5" s="1"/>
  <c r="CA186" i="5"/>
  <c r="DB186" i="5"/>
  <c r="DU186" i="5"/>
  <c r="FT186" i="5"/>
  <c r="AM187" i="5"/>
  <c r="BX187" i="5"/>
  <c r="BY187" i="5" s="1"/>
  <c r="BZ187" i="5"/>
  <c r="CB187" i="5" s="1"/>
  <c r="CA187" i="5"/>
  <c r="DB187" i="5"/>
  <c r="FT187" i="5"/>
  <c r="AM188" i="5"/>
  <c r="BX188" i="5"/>
  <c r="BY188" i="5" s="1"/>
  <c r="BZ188" i="5"/>
  <c r="CA188" i="5"/>
  <c r="DB188" i="5"/>
  <c r="DU188" i="5"/>
  <c r="FT188" i="5"/>
  <c r="AM189" i="5"/>
  <c r="BX189" i="5"/>
  <c r="BY189" i="5" s="1"/>
  <c r="BZ189" i="5"/>
  <c r="CA189" i="5"/>
  <c r="DB189" i="5"/>
  <c r="DU189" i="5"/>
  <c r="FT189" i="5"/>
  <c r="AM190" i="5"/>
  <c r="BX190" i="5"/>
  <c r="BY190" i="5" s="1"/>
  <c r="BZ190" i="5"/>
  <c r="CA190" i="5"/>
  <c r="DB190" i="5"/>
  <c r="FT190" i="5"/>
  <c r="AM191" i="5"/>
  <c r="BX191" i="5"/>
  <c r="BY191" i="5" s="1"/>
  <c r="BZ191" i="5"/>
  <c r="CA191" i="5"/>
  <c r="DB191" i="5"/>
  <c r="FT191" i="5"/>
  <c r="AM192" i="5"/>
  <c r="BX192" i="5"/>
  <c r="BY192" i="5" s="1"/>
  <c r="BZ192" i="5"/>
  <c r="CA192" i="5"/>
  <c r="DB192" i="5"/>
  <c r="FT192" i="5"/>
  <c r="AM193" i="5"/>
  <c r="BX193" i="5"/>
  <c r="BY193" i="5" s="1"/>
  <c r="BZ193" i="5"/>
  <c r="CA193" i="5"/>
  <c r="DB193" i="5"/>
  <c r="DU193" i="5"/>
  <c r="FT193" i="5"/>
  <c r="AM194" i="5"/>
  <c r="BX194" i="5"/>
  <c r="BY194" i="5" s="1"/>
  <c r="BZ194" i="5"/>
  <c r="CB194" i="5" s="1"/>
  <c r="CA194" i="5"/>
  <c r="DB194" i="5"/>
  <c r="DU194" i="5"/>
  <c r="FT194" i="5"/>
  <c r="AM195" i="5"/>
  <c r="BX195" i="5"/>
  <c r="BY195" i="5" s="1"/>
  <c r="BZ195" i="5"/>
  <c r="CA195" i="5"/>
  <c r="DB195" i="5"/>
  <c r="DU195" i="5"/>
  <c r="FT195" i="5"/>
  <c r="AM196" i="5"/>
  <c r="BX196" i="5"/>
  <c r="BY196" i="5" s="1"/>
  <c r="BZ196" i="5"/>
  <c r="CA196" i="5"/>
  <c r="DB196" i="5"/>
  <c r="DU196" i="5"/>
  <c r="FT196" i="5"/>
  <c r="AM197" i="5"/>
  <c r="BX197" i="5"/>
  <c r="BY197" i="5" s="1"/>
  <c r="BZ197" i="5"/>
  <c r="CA197" i="5"/>
  <c r="DB197" i="5"/>
  <c r="DU197" i="5"/>
  <c r="FT197" i="5"/>
  <c r="AM198" i="5"/>
  <c r="BX198" i="5"/>
  <c r="BY198" i="5" s="1"/>
  <c r="BZ198" i="5"/>
  <c r="CA198" i="5"/>
  <c r="DB198" i="5"/>
  <c r="DU198" i="5"/>
  <c r="FT198" i="5"/>
  <c r="AM199" i="5"/>
  <c r="BX199" i="5"/>
  <c r="BY199" i="5" s="1"/>
  <c r="BZ199" i="5"/>
  <c r="CA199" i="5"/>
  <c r="DB199" i="5"/>
  <c r="DU199" i="5"/>
  <c r="FT199" i="5"/>
  <c r="AM200" i="5"/>
  <c r="BX200" i="5"/>
  <c r="BY200" i="5" s="1"/>
  <c r="BZ200" i="5"/>
  <c r="CA200" i="5"/>
  <c r="DB200" i="5"/>
  <c r="DU200" i="5"/>
  <c r="FT200" i="5"/>
  <c r="AM201" i="5"/>
  <c r="BX201" i="5"/>
  <c r="BY201" i="5" s="1"/>
  <c r="BZ201" i="5"/>
  <c r="CA201" i="5"/>
  <c r="DB201" i="5"/>
  <c r="DU201" i="5"/>
  <c r="FT201" i="5"/>
  <c r="AM202" i="5"/>
  <c r="BX202" i="5"/>
  <c r="BY202" i="5" s="1"/>
  <c r="BZ202" i="5"/>
  <c r="CA202" i="5"/>
  <c r="DB202" i="5"/>
  <c r="DU202" i="5"/>
  <c r="FT202" i="5"/>
  <c r="AM203" i="5"/>
  <c r="BX203" i="5"/>
  <c r="BY203" i="5" s="1"/>
  <c r="BZ203" i="5"/>
  <c r="CA203" i="5"/>
  <c r="DB203" i="5"/>
  <c r="DU203" i="5"/>
  <c r="FT203" i="5"/>
  <c r="AM204" i="5"/>
  <c r="BX204" i="5"/>
  <c r="BY204" i="5" s="1"/>
  <c r="BZ204" i="5"/>
  <c r="CA204" i="5"/>
  <c r="DB204" i="5"/>
  <c r="FT204" i="5"/>
  <c r="AM205" i="5"/>
  <c r="BX205" i="5"/>
  <c r="BY205" i="5" s="1"/>
  <c r="BZ205" i="5"/>
  <c r="CA205" i="5"/>
  <c r="DB205" i="5"/>
  <c r="FT205" i="5"/>
  <c r="AM206" i="5"/>
  <c r="BX206" i="5"/>
  <c r="BY206" i="5" s="1"/>
  <c r="BZ206" i="5"/>
  <c r="CA206" i="5"/>
  <c r="DB206" i="5"/>
  <c r="DU206" i="5"/>
  <c r="FT206" i="5"/>
  <c r="AM207" i="5"/>
  <c r="BX207" i="5"/>
  <c r="BY207" i="5" s="1"/>
  <c r="BZ207" i="5"/>
  <c r="CA207" i="5"/>
  <c r="DB207" i="5"/>
  <c r="DU207" i="5"/>
  <c r="FT207" i="5"/>
  <c r="AM208" i="5"/>
  <c r="BX208" i="5"/>
  <c r="BY208" i="5" s="1"/>
  <c r="BZ208" i="5"/>
  <c r="CA208" i="5"/>
  <c r="DB208" i="5"/>
  <c r="DU208" i="5"/>
  <c r="FT208" i="5"/>
  <c r="AM209" i="5"/>
  <c r="BX209" i="5"/>
  <c r="BY209" i="5" s="1"/>
  <c r="BZ209" i="5"/>
  <c r="CB209" i="5" s="1"/>
  <c r="CA209" i="5"/>
  <c r="DB209" i="5"/>
  <c r="DU209" i="5"/>
  <c r="FT209" i="5"/>
  <c r="AM210" i="5"/>
  <c r="BX210" i="5"/>
  <c r="BY210" i="5" s="1"/>
  <c r="BZ210" i="5"/>
  <c r="CA210" i="5"/>
  <c r="DB210" i="5"/>
  <c r="DU210" i="5"/>
  <c r="FT210" i="5"/>
  <c r="AM211" i="5"/>
  <c r="BX211" i="5"/>
  <c r="BY211" i="5" s="1"/>
  <c r="BZ211" i="5"/>
  <c r="CA211" i="5"/>
  <c r="DB211" i="5"/>
  <c r="DU211" i="5"/>
  <c r="FT211" i="5"/>
  <c r="AM212" i="5"/>
  <c r="BX212" i="5"/>
  <c r="BY212" i="5" s="1"/>
  <c r="BZ212" i="5"/>
  <c r="CA212" i="5"/>
  <c r="DB212" i="5"/>
  <c r="FT212" i="5"/>
  <c r="AM213" i="5"/>
  <c r="BX213" i="5"/>
  <c r="BY213" i="5" s="1"/>
  <c r="BZ213" i="5"/>
  <c r="CA213" i="5"/>
  <c r="DB213" i="5"/>
  <c r="FT213" i="5"/>
  <c r="AM214" i="5"/>
  <c r="BX214" i="5"/>
  <c r="BY214" i="5" s="1"/>
  <c r="BZ214" i="5"/>
  <c r="CA214" i="5"/>
  <c r="DB214" i="5"/>
  <c r="DU214" i="5"/>
  <c r="FT214" i="5"/>
  <c r="AM215" i="5"/>
  <c r="BX215" i="5"/>
  <c r="BY215" i="5" s="1"/>
  <c r="BZ215" i="5"/>
  <c r="CA215" i="5"/>
  <c r="DB215" i="5"/>
  <c r="DU215" i="5"/>
  <c r="FT215" i="5"/>
  <c r="AM216" i="5"/>
  <c r="AY216" i="5"/>
  <c r="BX216" i="5"/>
  <c r="BY216" i="5" s="1"/>
  <c r="BZ216" i="5"/>
  <c r="CB216" i="5" s="1"/>
  <c r="CA216" i="5"/>
  <c r="DB216" i="5"/>
  <c r="DS216" i="5"/>
  <c r="DU216" i="5"/>
  <c r="FR216" i="5"/>
  <c r="FT216" i="5"/>
  <c r="AM217" i="5"/>
  <c r="AY217" i="5"/>
  <c r="BX217" i="5"/>
  <c r="BY217" i="5" s="1"/>
  <c r="BZ217" i="5"/>
  <c r="CA217" i="5"/>
  <c r="DB217" i="5"/>
  <c r="DS217" i="5"/>
  <c r="DU217" i="5"/>
  <c r="FR217" i="5"/>
  <c r="FT217" i="5"/>
  <c r="AM218" i="5"/>
  <c r="AY218" i="5"/>
  <c r="BX218" i="5"/>
  <c r="BY218" i="5" s="1"/>
  <c r="BZ218" i="5"/>
  <c r="CA218" i="5"/>
  <c r="DB218" i="5"/>
  <c r="DS218" i="5"/>
  <c r="DU218" i="5"/>
  <c r="FR218" i="5"/>
  <c r="FT218" i="5"/>
  <c r="AM219" i="5"/>
  <c r="AY219" i="5"/>
  <c r="BX219" i="5"/>
  <c r="BY219" i="5" s="1"/>
  <c r="BZ219" i="5"/>
  <c r="CA219" i="5"/>
  <c r="DB219" i="5"/>
  <c r="DS219" i="5"/>
  <c r="DU219" i="5"/>
  <c r="FR219" i="5"/>
  <c r="FT219" i="5"/>
  <c r="AM220" i="5"/>
  <c r="AY220" i="5"/>
  <c r="BX220" i="5"/>
  <c r="BY220" i="5" s="1"/>
  <c r="BZ220" i="5"/>
  <c r="CA220" i="5"/>
  <c r="DB220" i="5"/>
  <c r="DS220" i="5"/>
  <c r="DU220" i="5"/>
  <c r="FR220" i="5"/>
  <c r="FT220" i="5"/>
  <c r="AM221" i="5"/>
  <c r="AY221" i="5"/>
  <c r="BX221" i="5"/>
  <c r="BY221" i="5" s="1"/>
  <c r="BZ221" i="5"/>
  <c r="CB221" i="5" s="1"/>
  <c r="CA221" i="5"/>
  <c r="DB221" i="5"/>
  <c r="DS221" i="5"/>
  <c r="FR221" i="5"/>
  <c r="FT221" i="5"/>
  <c r="AM222" i="5"/>
  <c r="AY222" i="5"/>
  <c r="BX222" i="5"/>
  <c r="BY222" i="5" s="1"/>
  <c r="BZ222" i="5"/>
  <c r="CA222" i="5"/>
  <c r="DB222" i="5"/>
  <c r="DS222" i="5"/>
  <c r="FR222" i="5"/>
  <c r="FT222" i="5"/>
  <c r="AM223" i="5"/>
  <c r="AY223" i="5"/>
  <c r="BX223" i="5"/>
  <c r="BY223" i="5" s="1"/>
  <c r="BZ223" i="5"/>
  <c r="CA223" i="5"/>
  <c r="DB223" i="5"/>
  <c r="DS223" i="5"/>
  <c r="FR223" i="5"/>
  <c r="FT223" i="5"/>
  <c r="AM224" i="5"/>
  <c r="AY224" i="5"/>
  <c r="BX224" i="5"/>
  <c r="BY224" i="5" s="1"/>
  <c r="BZ224" i="5"/>
  <c r="CA224" i="5"/>
  <c r="DB224" i="5"/>
  <c r="DS224" i="5"/>
  <c r="DU224" i="5"/>
  <c r="FR224" i="5"/>
  <c r="FT224" i="5"/>
  <c r="AM225" i="5"/>
  <c r="AY225" i="5"/>
  <c r="BX225" i="5"/>
  <c r="BY225" i="5" s="1"/>
  <c r="BZ225" i="5"/>
  <c r="CA225" i="5"/>
  <c r="DB225" i="5"/>
  <c r="DS225" i="5"/>
  <c r="DU225" i="5"/>
  <c r="FR225" i="5"/>
  <c r="FT225" i="5"/>
  <c r="AM226" i="5"/>
  <c r="AY226" i="5"/>
  <c r="BX226" i="5"/>
  <c r="BY226" i="5" s="1"/>
  <c r="BZ226" i="5"/>
  <c r="CA226" i="5"/>
  <c r="DB226" i="5"/>
  <c r="DS226" i="5"/>
  <c r="FR226" i="5"/>
  <c r="FT226" i="5"/>
  <c r="AM227" i="5"/>
  <c r="AY227" i="5"/>
  <c r="BX227" i="5"/>
  <c r="BY227" i="5" s="1"/>
  <c r="BZ227" i="5"/>
  <c r="CA227" i="5"/>
  <c r="DB227" i="5"/>
  <c r="DS227" i="5"/>
  <c r="DU227" i="5"/>
  <c r="FR227" i="5"/>
  <c r="FT227" i="5"/>
  <c r="AM228" i="5"/>
  <c r="AY228" i="5"/>
  <c r="BX228" i="5"/>
  <c r="BY228" i="5" s="1"/>
  <c r="BZ228" i="5"/>
  <c r="CA228" i="5"/>
  <c r="DB228" i="5"/>
  <c r="DS228" i="5"/>
  <c r="DU228" i="5"/>
  <c r="FR228" i="5"/>
  <c r="FT228" i="5"/>
  <c r="AM229" i="5"/>
  <c r="AY229" i="5"/>
  <c r="BX229" i="5"/>
  <c r="BY229" i="5" s="1"/>
  <c r="BZ229" i="5"/>
  <c r="CA229" i="5"/>
  <c r="DB229" i="5"/>
  <c r="DS229" i="5"/>
  <c r="FR229" i="5"/>
  <c r="FT229" i="5"/>
  <c r="AM230" i="5"/>
  <c r="AY230" i="5"/>
  <c r="BX230" i="5"/>
  <c r="BY230" i="5" s="1"/>
  <c r="BZ230" i="5"/>
  <c r="CA230" i="5"/>
  <c r="DB230" i="5"/>
  <c r="DS230" i="5"/>
  <c r="DU230" i="5"/>
  <c r="FR230" i="5"/>
  <c r="FT230" i="5"/>
  <c r="AM231" i="5"/>
  <c r="AY231" i="5"/>
  <c r="BX231" i="5"/>
  <c r="BY231" i="5" s="1"/>
  <c r="BZ231" i="5"/>
  <c r="CA231" i="5"/>
  <c r="CB231" i="5" s="1"/>
  <c r="DB231" i="5"/>
  <c r="DS231" i="5"/>
  <c r="DU231" i="5"/>
  <c r="FR231" i="5"/>
  <c r="FT231" i="5"/>
  <c r="AM232" i="5"/>
  <c r="AY232" i="5"/>
  <c r="BX232" i="5"/>
  <c r="BY232" i="5" s="1"/>
  <c r="BZ232" i="5"/>
  <c r="CA232" i="5"/>
  <c r="DB232" i="5"/>
  <c r="DS232" i="5"/>
  <c r="DU232" i="5"/>
  <c r="FR232" i="5"/>
  <c r="FT232" i="5"/>
  <c r="AM233" i="5"/>
  <c r="AY233" i="5"/>
  <c r="BX233" i="5"/>
  <c r="BY233" i="5" s="1"/>
  <c r="BZ233" i="5"/>
  <c r="CA233" i="5"/>
  <c r="DB233" i="5"/>
  <c r="DS233" i="5"/>
  <c r="DU233" i="5"/>
  <c r="FR233" i="5"/>
  <c r="FT233" i="5"/>
  <c r="AM234" i="5"/>
  <c r="AY234" i="5"/>
  <c r="BX234" i="5"/>
  <c r="BY234" i="5" s="1"/>
  <c r="BZ234" i="5"/>
  <c r="CA234" i="5"/>
  <c r="DB234" i="5"/>
  <c r="DS234" i="5"/>
  <c r="DU234" i="5"/>
  <c r="FR234" i="5"/>
  <c r="FT234" i="5"/>
  <c r="AM235" i="5"/>
  <c r="AY235" i="5"/>
  <c r="BX235" i="5"/>
  <c r="BY235" i="5" s="1"/>
  <c r="BZ235" i="5"/>
  <c r="CA235" i="5"/>
  <c r="DB235" i="5"/>
  <c r="DS235" i="5"/>
  <c r="DU235" i="5"/>
  <c r="FR235" i="5"/>
  <c r="FT235" i="5"/>
  <c r="AM236" i="5"/>
  <c r="AY236" i="5"/>
  <c r="BX236" i="5"/>
  <c r="BY236" i="5" s="1"/>
  <c r="BZ236" i="5"/>
  <c r="CB236" i="5" s="1"/>
  <c r="CA236" i="5"/>
  <c r="DB236" i="5"/>
  <c r="DS236" i="5"/>
  <c r="DU236" i="5"/>
  <c r="FR236" i="5"/>
  <c r="FT236" i="5"/>
  <c r="AM237" i="5"/>
  <c r="AY237" i="5"/>
  <c r="BX237" i="5"/>
  <c r="BY237" i="5" s="1"/>
  <c r="BZ237" i="5"/>
  <c r="CA237" i="5"/>
  <c r="DB237" i="5"/>
  <c r="DS237" i="5"/>
  <c r="DU237" i="5"/>
  <c r="FR237" i="5"/>
  <c r="FT237" i="5"/>
  <c r="AM238" i="5"/>
  <c r="AY238" i="5"/>
  <c r="BX238" i="5"/>
  <c r="BY238" i="5" s="1"/>
  <c r="BZ238" i="5"/>
  <c r="CA238" i="5"/>
  <c r="DB238" i="5"/>
  <c r="DS238" i="5"/>
  <c r="DU238" i="5"/>
  <c r="FR238" i="5"/>
  <c r="FT238" i="5"/>
  <c r="AM239" i="5"/>
  <c r="AY239" i="5"/>
  <c r="BX239" i="5"/>
  <c r="BY239" i="5" s="1"/>
  <c r="BZ239" i="5"/>
  <c r="CA239" i="5"/>
  <c r="DB239" i="5"/>
  <c r="DS239" i="5"/>
  <c r="DU239" i="5"/>
  <c r="FR239" i="5"/>
  <c r="FT239" i="5"/>
  <c r="AM240" i="5"/>
  <c r="AY240" i="5"/>
  <c r="BX240" i="5"/>
  <c r="BY240" i="5" s="1"/>
  <c r="BZ240" i="5"/>
  <c r="CA240" i="5"/>
  <c r="DB240" i="5"/>
  <c r="DS240" i="5"/>
  <c r="FR240" i="5"/>
  <c r="FT240" i="5"/>
  <c r="AM241" i="5"/>
  <c r="AY241" i="5"/>
  <c r="BX241" i="5"/>
  <c r="BY241" i="5" s="1"/>
  <c r="BZ241" i="5"/>
  <c r="CA241" i="5"/>
  <c r="DB241" i="5"/>
  <c r="DS241" i="5"/>
  <c r="DU241" i="5"/>
  <c r="FR241" i="5"/>
  <c r="FT241" i="5"/>
  <c r="AM242" i="5"/>
  <c r="AY242" i="5"/>
  <c r="BX242" i="5"/>
  <c r="BY242" i="5" s="1"/>
  <c r="BZ242" i="5"/>
  <c r="CA242" i="5"/>
  <c r="DB242" i="5"/>
  <c r="DS242" i="5"/>
  <c r="DU242" i="5"/>
  <c r="FR242" i="5"/>
  <c r="FT242" i="5"/>
  <c r="AM243" i="5"/>
  <c r="AY243" i="5"/>
  <c r="BX243" i="5"/>
  <c r="BY243" i="5" s="1"/>
  <c r="BZ243" i="5"/>
  <c r="CA243" i="5"/>
  <c r="DB243" i="5"/>
  <c r="DS243" i="5"/>
  <c r="DU243" i="5"/>
  <c r="FR243" i="5"/>
  <c r="FT243" i="5"/>
  <c r="AM244" i="5"/>
  <c r="AY244" i="5"/>
  <c r="BX244" i="5"/>
  <c r="BY244" i="5" s="1"/>
  <c r="BZ244" i="5"/>
  <c r="CA244" i="5"/>
  <c r="DB244" i="5"/>
  <c r="DS244" i="5"/>
  <c r="DU244" i="5"/>
  <c r="FR244" i="5"/>
  <c r="FT244" i="5"/>
  <c r="AM245" i="5"/>
  <c r="AY245" i="5"/>
  <c r="BX245" i="5"/>
  <c r="BY245" i="5" s="1"/>
  <c r="BZ245" i="5"/>
  <c r="CA245" i="5"/>
  <c r="DB245" i="5"/>
  <c r="DS245" i="5"/>
  <c r="DU245" i="5"/>
  <c r="FR245" i="5"/>
  <c r="FT245" i="5"/>
  <c r="AM246" i="5"/>
  <c r="AY246" i="5"/>
  <c r="BX246" i="5"/>
  <c r="BY246" i="5" s="1"/>
  <c r="BZ246" i="5"/>
  <c r="CA246" i="5"/>
  <c r="DB246" i="5"/>
  <c r="DS246" i="5"/>
  <c r="DU246" i="5"/>
  <c r="FR246" i="5"/>
  <c r="FT246" i="5"/>
  <c r="AM247" i="5"/>
  <c r="AY247" i="5"/>
  <c r="BX247" i="5"/>
  <c r="BY247" i="5" s="1"/>
  <c r="BZ247" i="5"/>
  <c r="CA247" i="5"/>
  <c r="DB247" i="5"/>
  <c r="DS247" i="5"/>
  <c r="DU247" i="5"/>
  <c r="FR247" i="5"/>
  <c r="FT247" i="5"/>
  <c r="AM248" i="5"/>
  <c r="BX248" i="5"/>
  <c r="BY248" i="5" s="1"/>
  <c r="BZ248" i="5"/>
  <c r="CA248" i="5"/>
  <c r="DB248" i="5"/>
  <c r="DF248" i="5"/>
  <c r="FT248" i="5"/>
  <c r="AM249" i="5"/>
  <c r="BX249" i="5"/>
  <c r="BY249" i="5" s="1"/>
  <c r="BZ249" i="5"/>
  <c r="CA249" i="5"/>
  <c r="DB249" i="5"/>
  <c r="DF249" i="5"/>
  <c r="FT249" i="5"/>
  <c r="AM250" i="5"/>
  <c r="BX250" i="5"/>
  <c r="BY250" i="5" s="1"/>
  <c r="BZ250" i="5"/>
  <c r="CA250" i="5"/>
  <c r="DB250" i="5"/>
  <c r="DF250" i="5"/>
  <c r="FT250" i="5"/>
  <c r="AM251" i="5"/>
  <c r="BX251" i="5"/>
  <c r="BY251" i="5" s="1"/>
  <c r="BZ251" i="5"/>
  <c r="CA251" i="5"/>
  <c r="DB251" i="5"/>
  <c r="DF251" i="5"/>
  <c r="FT251" i="5"/>
  <c r="BW252" i="5"/>
  <c r="CN252" i="5"/>
  <c r="BW253" i="5"/>
  <c r="CN253" i="5"/>
  <c r="CN254" i="5"/>
  <c r="CN255" i="5"/>
  <c r="CN256" i="5"/>
  <c r="CN257" i="5"/>
  <c r="BW258" i="5"/>
  <c r="CN258" i="5"/>
  <c r="BW259" i="5"/>
  <c r="CN259" i="5"/>
  <c r="CN260" i="5"/>
  <c r="CN261" i="5"/>
  <c r="CN262" i="5"/>
  <c r="CN263" i="5"/>
  <c r="BW264" i="5"/>
  <c r="CN264" i="5"/>
  <c r="BW265" i="5"/>
  <c r="CN265" i="5"/>
  <c r="CN266" i="5"/>
  <c r="CN267" i="5"/>
  <c r="CN268" i="5"/>
  <c r="CN269" i="5"/>
  <c r="BW270" i="5"/>
  <c r="CN270" i="5"/>
  <c r="CN271" i="5"/>
  <c r="BW272" i="5"/>
  <c r="CN272" i="5"/>
  <c r="CN273" i="5"/>
  <c r="CN274" i="5"/>
  <c r="CN275" i="5"/>
  <c r="BW276" i="5"/>
  <c r="CN276" i="5"/>
  <c r="CN277" i="5"/>
  <c r="CN278" i="5"/>
  <c r="BW279" i="5"/>
  <c r="CN279" i="5"/>
  <c r="CN280" i="5"/>
  <c r="CN281" i="5"/>
  <c r="CN282" i="5"/>
  <c r="BW283" i="5"/>
  <c r="CN283" i="5"/>
  <c r="CN284" i="5"/>
  <c r="BW285" i="5"/>
  <c r="CN285" i="5"/>
  <c r="CN286" i="5"/>
  <c r="BW287" i="5"/>
  <c r="CN287" i="5"/>
  <c r="CN288" i="5"/>
  <c r="BW289" i="5"/>
  <c r="CN289" i="5"/>
  <c r="CN290" i="5"/>
  <c r="BW291" i="5"/>
  <c r="CN291" i="5"/>
  <c r="BW292" i="5"/>
  <c r="CN292" i="5"/>
  <c r="BW293" i="5"/>
  <c r="CN293" i="5"/>
  <c r="EU293" i="5"/>
  <c r="BW294" i="5"/>
  <c r="CN294" i="5"/>
  <c r="EU294" i="5"/>
  <c r="CN295" i="5"/>
  <c r="CN296" i="5"/>
  <c r="CN297" i="5"/>
  <c r="EU297" i="5"/>
  <c r="CN298" i="5"/>
  <c r="EU298" i="5"/>
  <c r="CN299" i="5"/>
  <c r="CN300" i="5"/>
  <c r="CN301" i="5"/>
  <c r="EU301" i="5"/>
  <c r="CN302" i="5"/>
  <c r="EU302" i="5"/>
  <c r="BW303" i="5"/>
  <c r="CN303" i="5"/>
  <c r="BW304" i="5"/>
  <c r="CN304" i="5"/>
  <c r="EU304" i="5"/>
  <c r="CN305" i="5"/>
  <c r="CN306" i="5"/>
  <c r="EU306" i="5"/>
  <c r="BW307" i="5"/>
  <c r="CN307" i="5"/>
  <c r="BW308" i="5"/>
  <c r="CN308" i="5"/>
  <c r="EU308" i="5"/>
  <c r="CN309" i="5"/>
  <c r="CN310" i="5"/>
  <c r="EU310" i="5"/>
  <c r="BW311" i="5"/>
  <c r="CN311" i="5"/>
  <c r="BW312" i="5"/>
  <c r="CN312" i="5"/>
  <c r="EU312" i="5"/>
  <c r="CN313" i="5"/>
  <c r="CN314" i="5"/>
  <c r="EU314" i="5"/>
  <c r="BW315" i="5"/>
  <c r="CN315" i="5"/>
  <c r="BW316" i="5"/>
  <c r="CN316" i="5"/>
  <c r="BW317" i="5"/>
  <c r="CN317" i="5"/>
  <c r="CN318" i="5"/>
  <c r="CN319" i="5"/>
  <c r="CN320" i="5"/>
  <c r="CN321" i="5"/>
  <c r="CN322" i="5"/>
  <c r="CN323" i="5"/>
  <c r="BW324" i="5"/>
  <c r="CN324" i="5"/>
  <c r="CN325" i="5"/>
  <c r="BW326" i="5"/>
  <c r="CN326" i="5"/>
  <c r="CN327" i="5"/>
  <c r="BW328" i="5"/>
  <c r="CN328" i="5"/>
  <c r="CN329" i="5"/>
  <c r="BW330" i="5"/>
  <c r="CN330" i="5"/>
  <c r="CN331" i="5"/>
  <c r="BW332" i="5"/>
  <c r="CN332" i="5"/>
  <c r="BW333" i="5"/>
  <c r="CN333" i="5"/>
  <c r="CN334" i="5"/>
  <c r="BW335" i="5"/>
  <c r="CN335" i="5"/>
  <c r="CN336" i="5"/>
  <c r="BW337" i="5"/>
  <c r="CN337" i="5"/>
  <c r="CN338" i="5"/>
  <c r="BW339" i="5"/>
  <c r="CN339" i="5"/>
  <c r="BW340" i="5"/>
  <c r="CN340" i="5"/>
  <c r="CN341" i="5"/>
  <c r="CN342" i="5"/>
  <c r="BW343" i="5"/>
  <c r="CN343" i="5"/>
  <c r="BW344" i="5"/>
  <c r="CN344" i="5"/>
  <c r="CN345" i="5"/>
  <c r="CN346" i="5"/>
  <c r="BW347" i="5"/>
  <c r="CN347" i="5"/>
  <c r="BW348" i="5"/>
  <c r="CN348" i="5"/>
  <c r="CN349" i="5"/>
  <c r="CN350" i="5"/>
  <c r="BW351" i="5"/>
  <c r="CN351" i="5"/>
  <c r="EU351" i="5"/>
  <c r="BW352" i="5"/>
  <c r="CN352" i="5"/>
  <c r="EU352" i="5"/>
  <c r="BW353" i="5"/>
  <c r="CN353" i="5"/>
  <c r="EU353" i="5"/>
  <c r="BW354" i="5"/>
  <c r="CN354" i="5"/>
  <c r="EU354" i="5"/>
  <c r="BW355" i="5"/>
  <c r="CN355" i="5"/>
  <c r="EU355" i="5"/>
  <c r="BW356" i="5"/>
  <c r="CN356" i="5"/>
  <c r="CN357" i="5"/>
  <c r="BW358" i="5"/>
  <c r="CN358" i="5"/>
  <c r="CN359" i="5"/>
  <c r="BW360" i="5"/>
  <c r="CN360" i="5"/>
  <c r="CN361" i="5"/>
  <c r="BW362" i="5"/>
  <c r="CN362" i="5"/>
  <c r="CN363" i="5"/>
  <c r="BW364" i="5"/>
  <c r="CN364" i="5"/>
  <c r="CN365" i="5"/>
  <c r="BW366" i="5"/>
  <c r="CN366" i="5"/>
  <c r="CN367" i="5"/>
  <c r="BW368" i="5"/>
  <c r="CN368" i="5"/>
  <c r="CN369" i="5"/>
  <c r="BW370" i="5"/>
  <c r="CN370" i="5"/>
  <c r="CN371" i="5"/>
  <c r="BW372" i="5"/>
  <c r="CN372" i="5"/>
  <c r="CN373" i="5"/>
  <c r="BW374" i="5"/>
  <c r="CN374" i="5"/>
  <c r="CN375" i="5"/>
  <c r="BW376" i="5"/>
  <c r="CN376" i="5"/>
  <c r="CN377" i="5"/>
  <c r="BW378" i="5"/>
  <c r="CN378" i="5"/>
  <c r="BW379" i="5"/>
  <c r="CN379" i="5"/>
  <c r="CN380" i="5"/>
  <c r="CN381" i="5"/>
  <c r="CN382" i="5"/>
  <c r="CN383" i="5"/>
  <c r="BW384" i="5"/>
  <c r="CN384" i="5"/>
  <c r="BW385" i="5"/>
  <c r="CN385" i="5"/>
  <c r="CN386" i="5"/>
  <c r="CN387" i="5"/>
  <c r="CN388" i="5"/>
  <c r="BW389" i="5"/>
  <c r="CN389" i="5"/>
  <c r="BW390" i="5"/>
  <c r="CN390" i="5"/>
  <c r="CN391" i="5"/>
  <c r="CN392" i="5"/>
  <c r="CN393" i="5"/>
  <c r="CN394" i="5"/>
  <c r="BW395" i="5"/>
  <c r="CN395" i="5"/>
  <c r="BW396" i="5"/>
  <c r="CN396" i="5"/>
  <c r="BW397" i="5"/>
  <c r="CN397" i="5"/>
  <c r="CN398" i="5"/>
  <c r="CN399" i="5"/>
  <c r="BW400" i="5"/>
  <c r="CN400" i="5"/>
  <c r="CN401" i="5"/>
  <c r="CN402" i="5"/>
  <c r="BW403" i="5"/>
  <c r="CN403" i="5"/>
  <c r="CN404" i="5"/>
  <c r="CN405" i="5"/>
  <c r="BW406" i="5"/>
  <c r="CN406" i="5"/>
  <c r="CN407" i="5"/>
  <c r="CN408" i="5"/>
  <c r="BW409" i="5"/>
  <c r="CN409" i="5"/>
  <c r="CN410" i="5"/>
  <c r="BW411" i="5"/>
  <c r="CN411" i="5"/>
  <c r="BW412" i="5"/>
  <c r="CN412" i="5"/>
  <c r="CN413" i="5"/>
  <c r="BW414" i="5"/>
  <c r="CN414" i="5"/>
  <c r="BW415" i="5"/>
  <c r="CN415" i="5"/>
  <c r="CN416" i="5"/>
  <c r="CN417" i="5"/>
  <c r="CN418" i="5"/>
  <c r="CN419" i="5"/>
  <c r="BW420" i="5"/>
  <c r="CN420" i="5"/>
  <c r="CN421" i="5"/>
  <c r="CN422" i="5"/>
  <c r="BW423" i="5"/>
  <c r="CN423" i="5"/>
  <c r="CN424" i="5"/>
  <c r="CN425" i="5"/>
  <c r="BW426" i="5"/>
  <c r="CN426" i="5"/>
  <c r="EU426" i="5"/>
  <c r="BW427" i="5"/>
  <c r="CN427" i="5"/>
  <c r="CN428" i="5"/>
  <c r="EU428" i="5"/>
  <c r="CN429" i="5"/>
  <c r="BW430" i="5"/>
  <c r="CN430" i="5"/>
  <c r="CN431" i="5"/>
  <c r="BW432" i="5"/>
  <c r="CN432" i="5"/>
  <c r="CN433" i="5"/>
  <c r="BW434" i="5"/>
  <c r="CN434" i="5"/>
  <c r="CN435" i="5"/>
  <c r="BW436" i="5"/>
  <c r="CN436" i="5"/>
  <c r="CN437" i="5"/>
  <c r="BW438" i="5"/>
  <c r="CN438" i="5"/>
  <c r="EU438" i="5"/>
  <c r="BW439" i="5"/>
  <c r="CN439" i="5"/>
  <c r="CN440" i="5"/>
  <c r="EU440" i="5"/>
  <c r="CN441" i="5"/>
  <c r="BW442" i="5"/>
  <c r="CN442" i="5"/>
  <c r="EU442" i="5"/>
  <c r="BW443" i="5"/>
  <c r="CN443" i="5"/>
  <c r="CN444" i="5"/>
  <c r="EU444" i="5"/>
  <c r="CN445" i="5"/>
  <c r="BW446" i="5"/>
  <c r="CN446" i="5"/>
  <c r="EU446" i="5"/>
  <c r="BW447" i="5"/>
  <c r="CN447" i="5"/>
  <c r="CN448" i="5"/>
  <c r="EU448" i="5"/>
  <c r="CN449" i="5"/>
  <c r="BW450" i="5"/>
  <c r="CN450" i="5"/>
  <c r="EU450" i="5"/>
  <c r="BW451" i="5"/>
  <c r="CN451" i="5"/>
  <c r="CN452" i="5"/>
  <c r="EU452" i="5"/>
  <c r="CN453" i="5"/>
  <c r="AM469" i="5"/>
  <c r="AL469" i="5" s="1"/>
  <c r="BL469" i="5"/>
  <c r="DT469" i="5" s="1"/>
  <c r="BT469" i="5"/>
  <c r="BV469" i="5" s="1"/>
  <c r="BU469" i="5"/>
  <c r="BZ469" i="5"/>
  <c r="DF469" i="5"/>
  <c r="DS469" i="5"/>
  <c r="FR469" i="5"/>
  <c r="AM470" i="5"/>
  <c r="AY470" i="5"/>
  <c r="AZ470" i="5" s="1"/>
  <c r="BL470" i="5"/>
  <c r="BT470" i="5"/>
  <c r="BU470" i="5"/>
  <c r="BW470" i="5"/>
  <c r="BX470" i="5"/>
  <c r="BZ470" i="5"/>
  <c r="DF470" i="5"/>
  <c r="DS470" i="5"/>
  <c r="DT470" i="5"/>
  <c r="DU470" i="5"/>
  <c r="FR470" i="5"/>
  <c r="FS470" i="5"/>
  <c r="FT470" i="5"/>
  <c r="AM471" i="5"/>
  <c r="AR471" i="5"/>
  <c r="AY471" i="5"/>
  <c r="BL471" i="5"/>
  <c r="BT471" i="5"/>
  <c r="BU471" i="5"/>
  <c r="BW471" i="5"/>
  <c r="BX471" i="5"/>
  <c r="BZ471" i="5"/>
  <c r="DF471" i="5"/>
  <c r="DS471" i="5"/>
  <c r="DT471" i="5"/>
  <c r="DU471" i="5"/>
  <c r="FR471" i="5"/>
  <c r="FS471" i="5"/>
  <c r="FT471" i="5"/>
  <c r="FU471" i="5"/>
  <c r="AM472" i="5"/>
  <c r="AY472" i="5"/>
  <c r="BL472" i="5"/>
  <c r="BT472" i="5"/>
  <c r="BU472" i="5"/>
  <c r="BW472" i="5"/>
  <c r="BX472" i="5"/>
  <c r="BY472" i="5" s="1"/>
  <c r="BZ472" i="5"/>
  <c r="DF472" i="5"/>
  <c r="DS472" i="5"/>
  <c r="DT472" i="5"/>
  <c r="DU472" i="5"/>
  <c r="FR472" i="5"/>
  <c r="FS472" i="5"/>
  <c r="FT472" i="5"/>
  <c r="AM473" i="5"/>
  <c r="AY473" i="5"/>
  <c r="BL473" i="5"/>
  <c r="DT473" i="5" s="1"/>
  <c r="BT473" i="5"/>
  <c r="BU473" i="5"/>
  <c r="BW473" i="5"/>
  <c r="BX473" i="5"/>
  <c r="BZ473" i="5"/>
  <c r="DF473" i="5"/>
  <c r="DS473" i="5"/>
  <c r="DU473" i="5"/>
  <c r="FR473" i="5"/>
  <c r="FS473" i="5"/>
  <c r="FT473" i="5"/>
  <c r="AM474" i="5"/>
  <c r="AY474" i="5"/>
  <c r="BL474" i="5"/>
  <c r="DT474" i="5" s="1"/>
  <c r="BT474" i="5"/>
  <c r="BU474" i="5"/>
  <c r="BW474" i="5"/>
  <c r="BX474" i="5"/>
  <c r="BZ474" i="5"/>
  <c r="DC474" i="5"/>
  <c r="DF474" i="5"/>
  <c r="DS474" i="5"/>
  <c r="DU474" i="5"/>
  <c r="FR474" i="5"/>
  <c r="FS474" i="5"/>
  <c r="FT474" i="5"/>
  <c r="AM475" i="5"/>
  <c r="AY475" i="5"/>
  <c r="AZ475" i="5" s="1"/>
  <c r="BL475" i="5"/>
  <c r="BT475" i="5"/>
  <c r="BU475" i="5"/>
  <c r="BW475" i="5"/>
  <c r="BX475" i="5"/>
  <c r="BZ475" i="5"/>
  <c r="DF475" i="5"/>
  <c r="DS475" i="5"/>
  <c r="DT475" i="5"/>
  <c r="DU475" i="5"/>
  <c r="FR475" i="5"/>
  <c r="FS475" i="5"/>
  <c r="FT475" i="5"/>
  <c r="AM476" i="5"/>
  <c r="AY476" i="5"/>
  <c r="BL476" i="5"/>
  <c r="DT476" i="5" s="1"/>
  <c r="BT476" i="5"/>
  <c r="BU476" i="5"/>
  <c r="BW476" i="5"/>
  <c r="BX476" i="5"/>
  <c r="BZ476" i="5"/>
  <c r="DF476" i="5"/>
  <c r="DS476" i="5"/>
  <c r="DU476" i="5"/>
  <c r="FR476" i="5"/>
  <c r="FS476" i="5"/>
  <c r="FT476" i="5"/>
  <c r="AM477" i="5"/>
  <c r="AY477" i="5"/>
  <c r="BL477" i="5"/>
  <c r="DT477" i="5" s="1"/>
  <c r="BT477" i="5"/>
  <c r="BU477" i="5"/>
  <c r="BW477" i="5"/>
  <c r="BY477" i="5" s="1"/>
  <c r="BX477" i="5"/>
  <c r="BZ477" i="5"/>
  <c r="DF477" i="5"/>
  <c r="DS477" i="5"/>
  <c r="DU477" i="5"/>
  <c r="FR477" i="5"/>
  <c r="FS477" i="5"/>
  <c r="FT477" i="5"/>
  <c r="AM478" i="5"/>
  <c r="AY478" i="5"/>
  <c r="BL478" i="5"/>
  <c r="DT478" i="5" s="1"/>
  <c r="BT478" i="5"/>
  <c r="BV478" i="5" s="1"/>
  <c r="BU478" i="5"/>
  <c r="BW478" i="5"/>
  <c r="BX478" i="5"/>
  <c r="BZ478" i="5"/>
  <c r="DF478" i="5"/>
  <c r="DS478" i="5"/>
  <c r="DU478" i="5"/>
  <c r="FR478" i="5"/>
  <c r="FU478" i="5" s="1"/>
  <c r="FS478" i="5"/>
  <c r="FT478" i="5"/>
  <c r="AM479" i="5"/>
  <c r="AR479" i="5"/>
  <c r="AY479" i="5"/>
  <c r="BL479" i="5"/>
  <c r="BT479" i="5"/>
  <c r="BU479" i="5"/>
  <c r="BW479" i="5"/>
  <c r="BX479" i="5"/>
  <c r="BZ479" i="5"/>
  <c r="DF479" i="5"/>
  <c r="DS479" i="5"/>
  <c r="DT479" i="5"/>
  <c r="DU479" i="5"/>
  <c r="FR479" i="5"/>
  <c r="FU479" i="5" s="1"/>
  <c r="FS479" i="5"/>
  <c r="FT479" i="5"/>
  <c r="AM480" i="5"/>
  <c r="AY480" i="5"/>
  <c r="AZ480" i="5" s="1"/>
  <c r="BL480" i="5"/>
  <c r="BT480" i="5"/>
  <c r="BV480" i="5" s="1"/>
  <c r="BU480" i="5"/>
  <c r="BW480" i="5"/>
  <c r="BX480" i="5"/>
  <c r="BY480" i="5" s="1"/>
  <c r="BZ480" i="5"/>
  <c r="DF480" i="5"/>
  <c r="DS480" i="5"/>
  <c r="DT480" i="5"/>
  <c r="DU480" i="5"/>
  <c r="FR480" i="5"/>
  <c r="FS480" i="5"/>
  <c r="FT480" i="5"/>
  <c r="AM481" i="5"/>
  <c r="AY481" i="5"/>
  <c r="BL481" i="5"/>
  <c r="DT481" i="5" s="1"/>
  <c r="BT481" i="5"/>
  <c r="BU481" i="5"/>
  <c r="BW481" i="5"/>
  <c r="BX481" i="5"/>
  <c r="BY481" i="5"/>
  <c r="BZ481" i="5"/>
  <c r="DF481" i="5"/>
  <c r="DS481" i="5"/>
  <c r="DU481" i="5"/>
  <c r="FR481" i="5"/>
  <c r="FS481" i="5"/>
  <c r="FT481" i="5"/>
  <c r="AM482" i="5"/>
  <c r="AY482" i="5"/>
  <c r="BL482" i="5"/>
  <c r="DT482" i="5" s="1"/>
  <c r="BT482" i="5"/>
  <c r="BV482" i="5" s="1"/>
  <c r="BU482" i="5"/>
  <c r="BW482" i="5"/>
  <c r="BX482" i="5"/>
  <c r="BZ482" i="5"/>
  <c r="DC482" i="5"/>
  <c r="DF482" i="5"/>
  <c r="DS482" i="5"/>
  <c r="DU482" i="5"/>
  <c r="FR482" i="5"/>
  <c r="FS482" i="5"/>
  <c r="FU482" i="5" s="1"/>
  <c r="FT482" i="5"/>
  <c r="AM483" i="5"/>
  <c r="AY483" i="5"/>
  <c r="AZ483" i="5" s="1"/>
  <c r="BL483" i="5"/>
  <c r="BT483" i="5"/>
  <c r="BU483" i="5"/>
  <c r="BW483" i="5"/>
  <c r="BX483" i="5"/>
  <c r="BZ483" i="5"/>
  <c r="DF483" i="5"/>
  <c r="DS483" i="5"/>
  <c r="DT483" i="5"/>
  <c r="DU483" i="5"/>
  <c r="FR483" i="5"/>
  <c r="FS483" i="5"/>
  <c r="FT483" i="5"/>
  <c r="AM484" i="5"/>
  <c r="AY484" i="5"/>
  <c r="BL484" i="5"/>
  <c r="BT484" i="5"/>
  <c r="BU484" i="5"/>
  <c r="BW484" i="5"/>
  <c r="BX484" i="5"/>
  <c r="BZ484" i="5"/>
  <c r="DF484" i="5"/>
  <c r="DS484" i="5"/>
  <c r="DT484" i="5"/>
  <c r="DV484" i="5" s="1"/>
  <c r="EB484" i="5" s="1"/>
  <c r="DU484" i="5"/>
  <c r="FR484" i="5"/>
  <c r="FS484" i="5"/>
  <c r="FT484" i="5"/>
  <c r="AM485" i="5"/>
  <c r="AY485" i="5"/>
  <c r="BL485" i="5"/>
  <c r="DT485" i="5" s="1"/>
  <c r="BT485" i="5"/>
  <c r="BV485" i="5" s="1"/>
  <c r="BU485" i="5"/>
  <c r="BW485" i="5"/>
  <c r="BX485" i="5"/>
  <c r="BZ485" i="5"/>
  <c r="DF485" i="5"/>
  <c r="DS485" i="5"/>
  <c r="DU485" i="5"/>
  <c r="FR485" i="5"/>
  <c r="FU485" i="5" s="1"/>
  <c r="FS485" i="5"/>
  <c r="FT485" i="5"/>
  <c r="AM486" i="5"/>
  <c r="AY486" i="5"/>
  <c r="BL486" i="5"/>
  <c r="DT486" i="5" s="1"/>
  <c r="BT486" i="5"/>
  <c r="BU486" i="5"/>
  <c r="BV486" i="5" s="1"/>
  <c r="BW486" i="5"/>
  <c r="BX486" i="5"/>
  <c r="BZ486" i="5"/>
  <c r="DF486" i="5"/>
  <c r="DS486" i="5"/>
  <c r="DU486" i="5"/>
  <c r="FR486" i="5"/>
  <c r="FS486" i="5"/>
  <c r="FT486" i="5"/>
  <c r="AM487" i="5"/>
  <c r="AR487" i="5"/>
  <c r="AY487" i="5"/>
  <c r="AZ487" i="5" s="1"/>
  <c r="BL487" i="5"/>
  <c r="BT487" i="5"/>
  <c r="BU487" i="5"/>
  <c r="BW487" i="5"/>
  <c r="BX487" i="5"/>
  <c r="BZ487" i="5"/>
  <c r="DF487" i="5"/>
  <c r="DS487" i="5"/>
  <c r="DT487" i="5"/>
  <c r="DU487" i="5"/>
  <c r="FR487" i="5"/>
  <c r="FS487" i="5"/>
  <c r="FT487" i="5"/>
  <c r="AM488" i="5"/>
  <c r="AY488" i="5"/>
  <c r="BL488" i="5"/>
  <c r="BT488" i="5"/>
  <c r="BU488" i="5"/>
  <c r="BW488" i="5"/>
  <c r="BX488" i="5"/>
  <c r="BY488" i="5" s="1"/>
  <c r="BZ488" i="5"/>
  <c r="DF488" i="5"/>
  <c r="DS488" i="5"/>
  <c r="DT488" i="5"/>
  <c r="DV488" i="5" s="1"/>
  <c r="DU488" i="5"/>
  <c r="FR488" i="5"/>
  <c r="FS488" i="5"/>
  <c r="FT488" i="5"/>
  <c r="AM489" i="5"/>
  <c r="AY489" i="5"/>
  <c r="BL489" i="5"/>
  <c r="DT489" i="5" s="1"/>
  <c r="BT489" i="5"/>
  <c r="BU489" i="5"/>
  <c r="BW489" i="5"/>
  <c r="BX489" i="5"/>
  <c r="BZ489" i="5"/>
  <c r="DF489" i="5"/>
  <c r="DS489" i="5"/>
  <c r="DU489" i="5"/>
  <c r="FR489" i="5"/>
  <c r="FS489" i="5"/>
  <c r="FT489" i="5"/>
  <c r="AM490" i="5"/>
  <c r="AY490" i="5"/>
  <c r="BL490" i="5"/>
  <c r="DT490" i="5" s="1"/>
  <c r="BT490" i="5"/>
  <c r="BU490" i="5"/>
  <c r="BW490" i="5"/>
  <c r="BX490" i="5"/>
  <c r="BZ490" i="5"/>
  <c r="DC490" i="5"/>
  <c r="DF490" i="5"/>
  <c r="DS490" i="5"/>
  <c r="DU490" i="5"/>
  <c r="FR490" i="5"/>
  <c r="FS490" i="5"/>
  <c r="FT490" i="5"/>
  <c r="AM491" i="5"/>
  <c r="AY491" i="5"/>
  <c r="BL491" i="5"/>
  <c r="BT491" i="5"/>
  <c r="BU491" i="5"/>
  <c r="BW491" i="5"/>
  <c r="BX491" i="5"/>
  <c r="BZ491" i="5"/>
  <c r="DF491" i="5"/>
  <c r="DS491" i="5"/>
  <c r="DT491" i="5"/>
  <c r="DU491" i="5"/>
  <c r="FR491" i="5"/>
  <c r="FS491" i="5"/>
  <c r="FT491" i="5"/>
  <c r="AM492" i="5"/>
  <c r="AY492" i="5"/>
  <c r="BL492" i="5"/>
  <c r="DT492" i="5" s="1"/>
  <c r="BT492" i="5"/>
  <c r="BU492" i="5"/>
  <c r="BW492" i="5"/>
  <c r="BX492" i="5"/>
  <c r="BZ492" i="5"/>
  <c r="DF492" i="5"/>
  <c r="DS492" i="5"/>
  <c r="DU492" i="5"/>
  <c r="FR492" i="5"/>
  <c r="FS492" i="5"/>
  <c r="FT492" i="5"/>
  <c r="AM493" i="5"/>
  <c r="AY493" i="5"/>
  <c r="AZ493" i="5" s="1"/>
  <c r="BL493" i="5"/>
  <c r="DT493" i="5" s="1"/>
  <c r="BT493" i="5"/>
  <c r="BU493" i="5"/>
  <c r="BW493" i="5"/>
  <c r="BX493" i="5"/>
  <c r="BZ493" i="5"/>
  <c r="DF493" i="5"/>
  <c r="DS493" i="5"/>
  <c r="DU493" i="5"/>
  <c r="FR493" i="5"/>
  <c r="FS493" i="5"/>
  <c r="FT493" i="5"/>
  <c r="AM494" i="5"/>
  <c r="AY494" i="5"/>
  <c r="BL494" i="5"/>
  <c r="DT494" i="5" s="1"/>
  <c r="BT494" i="5"/>
  <c r="BU494" i="5"/>
  <c r="BW494" i="5"/>
  <c r="BX494" i="5"/>
  <c r="BZ494" i="5"/>
  <c r="DF494" i="5"/>
  <c r="DS494" i="5"/>
  <c r="DU494" i="5"/>
  <c r="FR494" i="5"/>
  <c r="FS494" i="5"/>
  <c r="FT494" i="5"/>
  <c r="AM495" i="5"/>
  <c r="AR495" i="5"/>
  <c r="BL495" i="5"/>
  <c r="DT495" i="5" s="1"/>
  <c r="BT495" i="5"/>
  <c r="BU495" i="5"/>
  <c r="BW495" i="5"/>
  <c r="BZ495" i="5"/>
  <c r="DF495" i="5"/>
  <c r="DS495" i="5"/>
  <c r="FR495" i="5"/>
  <c r="AM496" i="5"/>
  <c r="BL496" i="5"/>
  <c r="DT496" i="5" s="1"/>
  <c r="BT496" i="5"/>
  <c r="BU496" i="5"/>
  <c r="BW496" i="5"/>
  <c r="BZ496" i="5"/>
  <c r="DF496" i="5"/>
  <c r="DS496" i="5"/>
  <c r="FR496" i="5"/>
  <c r="AM497" i="5"/>
  <c r="BL497" i="5"/>
  <c r="DT497" i="5" s="1"/>
  <c r="BT497" i="5"/>
  <c r="BU497" i="5"/>
  <c r="BW497" i="5"/>
  <c r="BZ497" i="5"/>
  <c r="DF497" i="5"/>
  <c r="DS497" i="5"/>
  <c r="FR497" i="5"/>
  <c r="AM498" i="5"/>
  <c r="BL498" i="5"/>
  <c r="DT498" i="5" s="1"/>
  <c r="BT498" i="5"/>
  <c r="BV498" i="5" s="1"/>
  <c r="BU498" i="5"/>
  <c r="BW498" i="5"/>
  <c r="BZ498" i="5"/>
  <c r="DC498" i="5"/>
  <c r="DF498" i="5"/>
  <c r="DS498" i="5"/>
  <c r="FR498" i="5"/>
  <c r="AM499" i="5"/>
  <c r="BL499" i="5"/>
  <c r="BT499" i="5"/>
  <c r="BV499" i="5" s="1"/>
  <c r="BU499" i="5"/>
  <c r="BW499" i="5"/>
  <c r="BZ499" i="5"/>
  <c r="DF499" i="5"/>
  <c r="DS499" i="5"/>
  <c r="DT499" i="5"/>
  <c r="FR499" i="5"/>
  <c r="AM500" i="5"/>
  <c r="BL500" i="5"/>
  <c r="BT500" i="5"/>
  <c r="BU500" i="5"/>
  <c r="BW500" i="5"/>
  <c r="BZ500" i="5"/>
  <c r="DF500" i="5"/>
  <c r="DS500" i="5"/>
  <c r="DT500" i="5"/>
  <c r="FR500" i="5"/>
  <c r="K217" i="5"/>
  <c r="N217" i="5" s="1"/>
  <c r="AJ21" i="5"/>
  <c r="F5" i="5"/>
  <c r="F4" i="5"/>
  <c r="F7" i="5"/>
  <c r="F6" i="5"/>
  <c r="FW74" i="5"/>
  <c r="FW122" i="5"/>
  <c r="FW117" i="5"/>
  <c r="FX117" i="5" s="1"/>
  <c r="X105" i="5"/>
  <c r="K153" i="5"/>
  <c r="K150" i="5"/>
  <c r="K151" i="5"/>
  <c r="K148" i="5"/>
  <c r="K149" i="5"/>
  <c r="N149" i="5" s="1"/>
  <c r="K152" i="5"/>
  <c r="N152" i="5" s="1"/>
  <c r="J153" i="5"/>
  <c r="J152" i="5"/>
  <c r="J151" i="5"/>
  <c r="J150" i="5"/>
  <c r="J149" i="5"/>
  <c r="J148" i="5"/>
  <c r="X102" i="5"/>
  <c r="X99" i="5"/>
  <c r="X98" i="5"/>
  <c r="X96" i="5"/>
  <c r="V102" i="5"/>
  <c r="V98" i="5"/>
  <c r="V96" i="5"/>
  <c r="AJ106" i="5"/>
  <c r="AJ197" i="5"/>
  <c r="AJ216" i="5"/>
  <c r="AJ170" i="5"/>
  <c r="AG248" i="5"/>
  <c r="AG249" i="5"/>
  <c r="AG250" i="5"/>
  <c r="AG251" i="5"/>
  <c r="AH500" i="5"/>
  <c r="AG500" i="5"/>
  <c r="AF500" i="5"/>
  <c r="AE500" i="5"/>
  <c r="AH499" i="5"/>
  <c r="AG499" i="5"/>
  <c r="AF499" i="5"/>
  <c r="AE499" i="5"/>
  <c r="AH498" i="5"/>
  <c r="AG498" i="5"/>
  <c r="AF498" i="5"/>
  <c r="AE498" i="5"/>
  <c r="AH497" i="5"/>
  <c r="AG497" i="5"/>
  <c r="AF497" i="5"/>
  <c r="AE497" i="5"/>
  <c r="AH496" i="5"/>
  <c r="AG496" i="5"/>
  <c r="AF496" i="5"/>
  <c r="AE496" i="5"/>
  <c r="AH495" i="5"/>
  <c r="AG495" i="5"/>
  <c r="AF495" i="5"/>
  <c r="AE495" i="5"/>
  <c r="AH494" i="5"/>
  <c r="AG494" i="5"/>
  <c r="AF494" i="5"/>
  <c r="AE494" i="5"/>
  <c r="AH493" i="5"/>
  <c r="AG493" i="5"/>
  <c r="AF493" i="5"/>
  <c r="AE493" i="5"/>
  <c r="AH492" i="5"/>
  <c r="AG492" i="5"/>
  <c r="AF492" i="5"/>
  <c r="AE492" i="5"/>
  <c r="AH491" i="5"/>
  <c r="AG491" i="5"/>
  <c r="AF491" i="5"/>
  <c r="AE491" i="5"/>
  <c r="AH490" i="5"/>
  <c r="AG490" i="5"/>
  <c r="AF490" i="5"/>
  <c r="AE490" i="5"/>
  <c r="AH489" i="5"/>
  <c r="AG489" i="5"/>
  <c r="AF489" i="5"/>
  <c r="AE489" i="5"/>
  <c r="AH488" i="5"/>
  <c r="AG488" i="5"/>
  <c r="AF488" i="5"/>
  <c r="AE488" i="5"/>
  <c r="AH487" i="5"/>
  <c r="AG487" i="5"/>
  <c r="AF487" i="5"/>
  <c r="AE487" i="5"/>
  <c r="AH486" i="5"/>
  <c r="AG486" i="5"/>
  <c r="AF486" i="5"/>
  <c r="AE486" i="5"/>
  <c r="AH485" i="5"/>
  <c r="AG485" i="5"/>
  <c r="AF485" i="5"/>
  <c r="AE485" i="5"/>
  <c r="AH484" i="5"/>
  <c r="AG484" i="5"/>
  <c r="AF484" i="5"/>
  <c r="AE484" i="5"/>
  <c r="AH483" i="5"/>
  <c r="AG483" i="5"/>
  <c r="AF483" i="5"/>
  <c r="AE483" i="5"/>
  <c r="AH482" i="5"/>
  <c r="AG482" i="5"/>
  <c r="AF482" i="5"/>
  <c r="AE482" i="5"/>
  <c r="AH481" i="5"/>
  <c r="AG481" i="5"/>
  <c r="AF481" i="5"/>
  <c r="AE481" i="5"/>
  <c r="AH480" i="5"/>
  <c r="AG480" i="5"/>
  <c r="AF480" i="5"/>
  <c r="AE480" i="5"/>
  <c r="AH479" i="5"/>
  <c r="AG479" i="5"/>
  <c r="AF479" i="5"/>
  <c r="AE479" i="5"/>
  <c r="AH478" i="5"/>
  <c r="AG478" i="5"/>
  <c r="AF478" i="5"/>
  <c r="AE478" i="5"/>
  <c r="AH477" i="5"/>
  <c r="AG477" i="5"/>
  <c r="AF477" i="5"/>
  <c r="AE477" i="5"/>
  <c r="AH476" i="5"/>
  <c r="AG476" i="5"/>
  <c r="AF476" i="5"/>
  <c r="AE476" i="5"/>
  <c r="AH475" i="5"/>
  <c r="AG475" i="5"/>
  <c r="AF475" i="5"/>
  <c r="AE475" i="5"/>
  <c r="AH474" i="5"/>
  <c r="AG474" i="5"/>
  <c r="AF474" i="5"/>
  <c r="AE474" i="5"/>
  <c r="AH473" i="5"/>
  <c r="AG473" i="5"/>
  <c r="AF473" i="5"/>
  <c r="AE473" i="5"/>
  <c r="AH472" i="5"/>
  <c r="AG472" i="5"/>
  <c r="AF472" i="5"/>
  <c r="AE472" i="5"/>
  <c r="AH471" i="5"/>
  <c r="AG471" i="5"/>
  <c r="AF471" i="5"/>
  <c r="AE471" i="5"/>
  <c r="AH470" i="5"/>
  <c r="AG470" i="5"/>
  <c r="AF470" i="5"/>
  <c r="AE470" i="5"/>
  <c r="AH469" i="5"/>
  <c r="AG469" i="5"/>
  <c r="AF469" i="5"/>
  <c r="AE469" i="5"/>
  <c r="AG22" i="5"/>
  <c r="AG21" i="5"/>
  <c r="AG20" i="5"/>
  <c r="E293" i="5"/>
  <c r="E294" i="5"/>
  <c r="X246" i="5"/>
  <c r="X234" i="5"/>
  <c r="X233" i="5"/>
  <c r="X232" i="5"/>
  <c r="X230" i="5"/>
  <c r="X226" i="5"/>
  <c r="X223" i="5"/>
  <c r="X222" i="5"/>
  <c r="X221" i="5"/>
  <c r="X220" i="5"/>
  <c r="X219" i="5"/>
  <c r="X218" i="5"/>
  <c r="X217" i="5"/>
  <c r="X216" i="5"/>
  <c r="AB282" i="5"/>
  <c r="AA280" i="5"/>
  <c r="Y280" i="5"/>
  <c r="AB278" i="5"/>
  <c r="AB275" i="5"/>
  <c r="Y273" i="5"/>
  <c r="AA273" i="5"/>
  <c r="I421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403" i="5"/>
  <c r="AE118" i="5"/>
  <c r="AG118" i="5" s="1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M149" i="5"/>
  <c r="O149" i="5" s="1"/>
  <c r="M150" i="5"/>
  <c r="M151" i="5"/>
  <c r="M152" i="5"/>
  <c r="M153" i="5"/>
  <c r="M148" i="5"/>
  <c r="I149" i="5"/>
  <c r="I150" i="5"/>
  <c r="I151" i="5"/>
  <c r="I152" i="5"/>
  <c r="I153" i="5"/>
  <c r="I148" i="5"/>
  <c r="V149" i="5"/>
  <c r="V150" i="5"/>
  <c r="V151" i="5"/>
  <c r="V152" i="5"/>
  <c r="V153" i="5"/>
  <c r="V148" i="5"/>
  <c r="H149" i="5"/>
  <c r="H150" i="5"/>
  <c r="H151" i="5"/>
  <c r="H152" i="5"/>
  <c r="H153" i="5"/>
  <c r="H148" i="5"/>
  <c r="D149" i="5"/>
  <c r="CA149" i="5" s="1"/>
  <c r="D150" i="5"/>
  <c r="CA150" i="5" s="1"/>
  <c r="D151" i="5"/>
  <c r="CA151" i="5" s="1"/>
  <c r="D152" i="5"/>
  <c r="CA152" i="5" s="1"/>
  <c r="D153" i="5"/>
  <c r="CA153" i="5" s="1"/>
  <c r="D148" i="5"/>
  <c r="CA148" i="5" s="1"/>
  <c r="E149" i="5"/>
  <c r="E150" i="5"/>
  <c r="E151" i="5"/>
  <c r="E152" i="5"/>
  <c r="E153" i="5"/>
  <c r="AE153" i="5" s="1"/>
  <c r="E148" i="5"/>
  <c r="G149" i="5"/>
  <c r="G150" i="5"/>
  <c r="G151" i="5"/>
  <c r="G152" i="5"/>
  <c r="G153" i="5"/>
  <c r="G148" i="5"/>
  <c r="F153" i="5"/>
  <c r="F152" i="5"/>
  <c r="F151" i="5"/>
  <c r="F150" i="5"/>
  <c r="F149" i="5"/>
  <c r="F148" i="5"/>
  <c r="AU153" i="5"/>
  <c r="AU152" i="5"/>
  <c r="AU151" i="5"/>
  <c r="AU150" i="5"/>
  <c r="AD149" i="5"/>
  <c r="AU149" i="5"/>
  <c r="X500" i="5"/>
  <c r="Y497" i="5"/>
  <c r="DU497" i="5" s="1"/>
  <c r="Y496" i="5"/>
  <c r="AY496" i="5" s="1"/>
  <c r="Y495" i="5"/>
  <c r="DU495" i="5" s="1"/>
  <c r="Y499" i="5"/>
  <c r="Y498" i="5"/>
  <c r="BX498" i="5" s="1"/>
  <c r="Y500" i="5"/>
  <c r="DU500" i="5" s="1"/>
  <c r="AA469" i="5"/>
  <c r="BW469" i="5" s="1"/>
  <c r="Y469" i="5"/>
  <c r="AY469" i="5" s="1"/>
  <c r="D470" i="5"/>
  <c r="CA470" i="5" s="1"/>
  <c r="D471" i="5"/>
  <c r="CA471" i="5" s="1"/>
  <c r="D472" i="5"/>
  <c r="CA472" i="5" s="1"/>
  <c r="D473" i="5"/>
  <c r="CA473" i="5" s="1"/>
  <c r="D474" i="5"/>
  <c r="CA474" i="5" s="1"/>
  <c r="D475" i="5"/>
  <c r="CA475" i="5" s="1"/>
  <c r="CB475" i="5" s="1"/>
  <c r="D476" i="5"/>
  <c r="CA476" i="5" s="1"/>
  <c r="D477" i="5"/>
  <c r="CA477" i="5" s="1"/>
  <c r="D478" i="5"/>
  <c r="CA478" i="5" s="1"/>
  <c r="D479" i="5"/>
  <c r="CA479" i="5" s="1"/>
  <c r="D480" i="5"/>
  <c r="CA480" i="5" s="1"/>
  <c r="D481" i="5"/>
  <c r="CA481" i="5" s="1"/>
  <c r="D482" i="5"/>
  <c r="CA482" i="5" s="1"/>
  <c r="D483" i="5"/>
  <c r="CA483" i="5" s="1"/>
  <c r="CB483" i="5" s="1"/>
  <c r="D484" i="5"/>
  <c r="CA484" i="5" s="1"/>
  <c r="D485" i="5"/>
  <c r="CA485" i="5" s="1"/>
  <c r="CB485" i="5" s="1"/>
  <c r="D486" i="5"/>
  <c r="CA486" i="5" s="1"/>
  <c r="D487" i="5"/>
  <c r="CA487" i="5" s="1"/>
  <c r="D488" i="5"/>
  <c r="CA488" i="5" s="1"/>
  <c r="CB488" i="5" s="1"/>
  <c r="D489" i="5"/>
  <c r="CA489" i="5" s="1"/>
  <c r="D490" i="5"/>
  <c r="CA490" i="5" s="1"/>
  <c r="D491" i="5"/>
  <c r="CA491" i="5" s="1"/>
  <c r="CB491" i="5" s="1"/>
  <c r="D492" i="5"/>
  <c r="CA492" i="5" s="1"/>
  <c r="D493" i="5"/>
  <c r="CA493" i="5" s="1"/>
  <c r="D494" i="5"/>
  <c r="CA494" i="5" s="1"/>
  <c r="D495" i="5"/>
  <c r="CA495" i="5" s="1"/>
  <c r="D496" i="5"/>
  <c r="CA496" i="5" s="1"/>
  <c r="CB496" i="5" s="1"/>
  <c r="D497" i="5"/>
  <c r="CA497" i="5" s="1"/>
  <c r="D498" i="5"/>
  <c r="CA498" i="5" s="1"/>
  <c r="D499" i="5"/>
  <c r="D500" i="5"/>
  <c r="CA500" i="5" s="1"/>
  <c r="CB500" i="5" s="1"/>
  <c r="D469" i="5"/>
  <c r="CA469" i="5" s="1"/>
  <c r="R500" i="5"/>
  <c r="EF500" i="5" s="1"/>
  <c r="EE500" i="5" s="1"/>
  <c r="R497" i="5"/>
  <c r="EF497" i="5" s="1"/>
  <c r="EE497" i="5" s="1"/>
  <c r="R495" i="5"/>
  <c r="EF495" i="5" s="1"/>
  <c r="EE495" i="5" s="1"/>
  <c r="R494" i="5"/>
  <c r="EF494" i="5" s="1"/>
  <c r="EE494" i="5" s="1"/>
  <c r="R490" i="5"/>
  <c r="EF490" i="5" s="1"/>
  <c r="EE490" i="5" s="1"/>
  <c r="EN490" i="5" s="1"/>
  <c r="AU489" i="5"/>
  <c r="R487" i="5"/>
  <c r="EF487" i="5" s="1"/>
  <c r="EE487" i="5" s="1"/>
  <c r="AS487" i="5"/>
  <c r="AU481" i="5"/>
  <c r="R479" i="5"/>
  <c r="EF479" i="5" s="1"/>
  <c r="EE479" i="5" s="1"/>
  <c r="AU478" i="5"/>
  <c r="R474" i="5"/>
  <c r="EF474" i="5" s="1"/>
  <c r="EE474" i="5" s="1"/>
  <c r="R473" i="5"/>
  <c r="EF473" i="5" s="1"/>
  <c r="EE473" i="5" s="1"/>
  <c r="R472" i="5"/>
  <c r="EF472" i="5" s="1"/>
  <c r="EE472" i="5" s="1"/>
  <c r="R471" i="5"/>
  <c r="EF471" i="5" s="1"/>
  <c r="EE471" i="5" s="1"/>
  <c r="R470" i="5"/>
  <c r="EF470" i="5" s="1"/>
  <c r="EE470" i="5" s="1"/>
  <c r="R469" i="5"/>
  <c r="EF469" i="5" s="1"/>
  <c r="EE469" i="5" s="1"/>
  <c r="DC472" i="5"/>
  <c r="DC473" i="5"/>
  <c r="AR474" i="5"/>
  <c r="DC476" i="5"/>
  <c r="DC477" i="5"/>
  <c r="DC478" i="5"/>
  <c r="DC479" i="5"/>
  <c r="AZ481" i="5"/>
  <c r="AZ482" i="5"/>
  <c r="AZ484" i="5"/>
  <c r="AZ485" i="5"/>
  <c r="DC486" i="5"/>
  <c r="DC488" i="5"/>
  <c r="DC489" i="5"/>
  <c r="AZ490" i="5"/>
  <c r="DC491" i="5"/>
  <c r="AZ492" i="5"/>
  <c r="DC494" i="5"/>
  <c r="DC496" i="5"/>
  <c r="DC497" i="5"/>
  <c r="AR498" i="5"/>
  <c r="DC500" i="5"/>
  <c r="DC469" i="5"/>
  <c r="J104" i="5"/>
  <c r="J103" i="5"/>
  <c r="J102" i="5"/>
  <c r="J101" i="5"/>
  <c r="J100" i="5"/>
  <c r="J99" i="5"/>
  <c r="J98" i="5"/>
  <c r="J97" i="5"/>
  <c r="J96" i="5"/>
  <c r="J95" i="5"/>
  <c r="V99" i="5"/>
  <c r="D104" i="5"/>
  <c r="CA104" i="5" s="1"/>
  <c r="D103" i="5"/>
  <c r="CA103" i="5" s="1"/>
  <c r="D102" i="5"/>
  <c r="CA102" i="5" s="1"/>
  <c r="D101" i="5"/>
  <c r="CA101" i="5" s="1"/>
  <c r="D100" i="5"/>
  <c r="CA100" i="5" s="1"/>
  <c r="D99" i="5"/>
  <c r="CA99" i="5" s="1"/>
  <c r="D98" i="5"/>
  <c r="CA98" i="5" s="1"/>
  <c r="D97" i="5"/>
  <c r="CA97" i="5" s="1"/>
  <c r="D96" i="5"/>
  <c r="CA96" i="5" s="1"/>
  <c r="D95" i="5"/>
  <c r="CA95" i="5" s="1"/>
  <c r="AU96" i="5"/>
  <c r="AU97" i="5"/>
  <c r="AU104" i="5"/>
  <c r="R104" i="5"/>
  <c r="EF104" i="5" s="1"/>
  <c r="M96" i="5"/>
  <c r="M97" i="5"/>
  <c r="M98" i="5"/>
  <c r="M99" i="5"/>
  <c r="M100" i="5"/>
  <c r="M101" i="5"/>
  <c r="M102" i="5"/>
  <c r="M103" i="5"/>
  <c r="M104" i="5"/>
  <c r="M95" i="5"/>
  <c r="I96" i="5"/>
  <c r="I97" i="5"/>
  <c r="I98" i="5"/>
  <c r="FR98" i="5" s="1"/>
  <c r="I99" i="5"/>
  <c r="I100" i="5"/>
  <c r="I101" i="5"/>
  <c r="FR101" i="5" s="1"/>
  <c r="I102" i="5"/>
  <c r="I103" i="5"/>
  <c r="I104" i="5"/>
  <c r="I95" i="5"/>
  <c r="H104" i="5"/>
  <c r="H103" i="5"/>
  <c r="H102" i="5"/>
  <c r="H101" i="5"/>
  <c r="H100" i="5"/>
  <c r="H99" i="5"/>
  <c r="H98" i="5"/>
  <c r="H97" i="5"/>
  <c r="H96" i="5"/>
  <c r="H95" i="5"/>
  <c r="G96" i="5"/>
  <c r="G97" i="5"/>
  <c r="G98" i="5"/>
  <c r="G99" i="5"/>
  <c r="G100" i="5"/>
  <c r="G101" i="5"/>
  <c r="G102" i="5"/>
  <c r="G103" i="5"/>
  <c r="G104" i="5"/>
  <c r="F104" i="5"/>
  <c r="F103" i="5"/>
  <c r="F102" i="5"/>
  <c r="F101" i="5"/>
  <c r="F100" i="5"/>
  <c r="F99" i="5"/>
  <c r="F98" i="5"/>
  <c r="F97" i="5"/>
  <c r="F96" i="5"/>
  <c r="F95" i="5"/>
  <c r="E104" i="5"/>
  <c r="E103" i="5"/>
  <c r="E102" i="5"/>
  <c r="E101" i="5"/>
  <c r="E100" i="5"/>
  <c r="E99" i="5"/>
  <c r="E98" i="5"/>
  <c r="E97" i="5"/>
  <c r="E96" i="5"/>
  <c r="E95" i="5"/>
  <c r="G95" i="5"/>
  <c r="G446" i="5"/>
  <c r="FT446" i="5" s="1"/>
  <c r="G447" i="5"/>
  <c r="BX447" i="5" s="1"/>
  <c r="G448" i="5"/>
  <c r="BZ448" i="5" s="1"/>
  <c r="G449" i="5"/>
  <c r="BZ449" i="5" s="1"/>
  <c r="G450" i="5"/>
  <c r="FT450" i="5" s="1"/>
  <c r="G451" i="5"/>
  <c r="FT451" i="5" s="1"/>
  <c r="G452" i="5"/>
  <c r="BZ452" i="5" s="1"/>
  <c r="G453" i="5"/>
  <c r="BZ453" i="5" s="1"/>
  <c r="AC453" i="5"/>
  <c r="AC452" i="5"/>
  <c r="AC449" i="5"/>
  <c r="AC448" i="5"/>
  <c r="AC445" i="5"/>
  <c r="AC444" i="5"/>
  <c r="AC441" i="5"/>
  <c r="AC440" i="5"/>
  <c r="AC437" i="5"/>
  <c r="AC435" i="5"/>
  <c r="AC433" i="5"/>
  <c r="AC431" i="5"/>
  <c r="AC429" i="5"/>
  <c r="AC428" i="5"/>
  <c r="AC425" i="5"/>
  <c r="AC424" i="5"/>
  <c r="AC422" i="5"/>
  <c r="AC421" i="5"/>
  <c r="AC419" i="5"/>
  <c r="AC418" i="5"/>
  <c r="AC407" i="5"/>
  <c r="AC404" i="5"/>
  <c r="AC402" i="5"/>
  <c r="AC401" i="5"/>
  <c r="AC399" i="5"/>
  <c r="AC398" i="5"/>
  <c r="AC394" i="5"/>
  <c r="AC393" i="5"/>
  <c r="AC392" i="5"/>
  <c r="AC391" i="5"/>
  <c r="AC388" i="5"/>
  <c r="AC387" i="5"/>
  <c r="AC386" i="5"/>
  <c r="AC383" i="5"/>
  <c r="AC382" i="5"/>
  <c r="AC381" i="5"/>
  <c r="AC380" i="5"/>
  <c r="AC377" i="5"/>
  <c r="AC375" i="5"/>
  <c r="AC373" i="5"/>
  <c r="AC371" i="5"/>
  <c r="AC369" i="5"/>
  <c r="AC367" i="5"/>
  <c r="AC365" i="5"/>
  <c r="AC363" i="5"/>
  <c r="AC361" i="5"/>
  <c r="AC359" i="5"/>
  <c r="AC357" i="5"/>
  <c r="AC350" i="5"/>
  <c r="AC349" i="5"/>
  <c r="AC346" i="5"/>
  <c r="AC345" i="5"/>
  <c r="AC342" i="5"/>
  <c r="AC341" i="5"/>
  <c r="AC323" i="5"/>
  <c r="AC322" i="5"/>
  <c r="AC321" i="5"/>
  <c r="AC314" i="5"/>
  <c r="AC313" i="5"/>
  <c r="AC251" i="5"/>
  <c r="DU251" i="5" s="1"/>
  <c r="AC250" i="5"/>
  <c r="DU250" i="5" s="1"/>
  <c r="AC249" i="5"/>
  <c r="DU249" i="5" s="1"/>
  <c r="AC248" i="5"/>
  <c r="DU248" i="5" s="1"/>
  <c r="AC240" i="5"/>
  <c r="DU240" i="5" s="1"/>
  <c r="AC229" i="5"/>
  <c r="DU229" i="5" s="1"/>
  <c r="AC226" i="5"/>
  <c r="DU226" i="5" s="1"/>
  <c r="AC223" i="5"/>
  <c r="DU223" i="5" s="1"/>
  <c r="AC222" i="5"/>
  <c r="DU222" i="5" s="1"/>
  <c r="AC221" i="5"/>
  <c r="DU221" i="5" s="1"/>
  <c r="AC213" i="5"/>
  <c r="DU213" i="5" s="1"/>
  <c r="AC212" i="5"/>
  <c r="DU212" i="5" s="1"/>
  <c r="AC205" i="5"/>
  <c r="DU205" i="5" s="1"/>
  <c r="AC204" i="5"/>
  <c r="DU204" i="5" s="1"/>
  <c r="AC192" i="5"/>
  <c r="DU192" i="5" s="1"/>
  <c r="AC191" i="5"/>
  <c r="DU191" i="5" s="1"/>
  <c r="AC190" i="5"/>
  <c r="DU190" i="5" s="1"/>
  <c r="AC187" i="5"/>
  <c r="DU187" i="5" s="1"/>
  <c r="AC184" i="5"/>
  <c r="DU184" i="5" s="1"/>
  <c r="AC182" i="5"/>
  <c r="DU182" i="5" s="1"/>
  <c r="AC181" i="5"/>
  <c r="DU181" i="5" s="1"/>
  <c r="AC178" i="5"/>
  <c r="DU178" i="5" s="1"/>
  <c r="AC177" i="5"/>
  <c r="DU177" i="5" s="1"/>
  <c r="AC173" i="5"/>
  <c r="DU173" i="5" s="1"/>
  <c r="AC170" i="5"/>
  <c r="DU170" i="5" s="1"/>
  <c r="AA453" i="5"/>
  <c r="AA452" i="5"/>
  <c r="BW452" i="5" s="1"/>
  <c r="AA449" i="5"/>
  <c r="AA448" i="5"/>
  <c r="Y453" i="5"/>
  <c r="Y452" i="5"/>
  <c r="Y449" i="5"/>
  <c r="FT449" i="5" s="1"/>
  <c r="Y448" i="5"/>
  <c r="J453" i="5"/>
  <c r="J452" i="5"/>
  <c r="DS452" i="5" s="1"/>
  <c r="J451" i="5"/>
  <c r="DS451" i="5" s="1"/>
  <c r="J450" i="5"/>
  <c r="J449" i="5"/>
  <c r="J448" i="5"/>
  <c r="J447" i="5"/>
  <c r="J446" i="5"/>
  <c r="DS446" i="5" s="1"/>
  <c r="I453" i="5"/>
  <c r="FR453" i="5" s="1"/>
  <c r="I452" i="5"/>
  <c r="I450" i="5"/>
  <c r="I449" i="5"/>
  <c r="FR449" i="5" s="1"/>
  <c r="I448" i="5"/>
  <c r="FR448" i="5" s="1"/>
  <c r="I447" i="5"/>
  <c r="FR447" i="5" s="1"/>
  <c r="I446" i="5"/>
  <c r="FR446" i="5" s="1"/>
  <c r="I451" i="5"/>
  <c r="O451" i="5" s="1"/>
  <c r="H453" i="5"/>
  <c r="H452" i="5"/>
  <c r="H451" i="5"/>
  <c r="H450" i="5"/>
  <c r="H449" i="5"/>
  <c r="H448" i="5"/>
  <c r="H447" i="5"/>
  <c r="H446" i="5"/>
  <c r="F453" i="5"/>
  <c r="F452" i="5"/>
  <c r="F451" i="5"/>
  <c r="F450" i="5"/>
  <c r="F449" i="5"/>
  <c r="AM449" i="5" s="1"/>
  <c r="F448" i="5"/>
  <c r="F447" i="5"/>
  <c r="F446" i="5"/>
  <c r="E453" i="5"/>
  <c r="E452" i="5"/>
  <c r="DF452" i="5" s="1"/>
  <c r="E451" i="5"/>
  <c r="DF451" i="5" s="1"/>
  <c r="E450" i="5"/>
  <c r="E449" i="5"/>
  <c r="E448" i="5"/>
  <c r="AE448" i="5" s="1"/>
  <c r="E447" i="5"/>
  <c r="E446" i="5"/>
  <c r="DF446" i="5" s="1"/>
  <c r="D453" i="5"/>
  <c r="CA453" i="5" s="1"/>
  <c r="D452" i="5"/>
  <c r="CA452" i="5" s="1"/>
  <c r="D451" i="5"/>
  <c r="CA451" i="5" s="1"/>
  <c r="D450" i="5"/>
  <c r="CA450" i="5" s="1"/>
  <c r="D449" i="5"/>
  <c r="CA449" i="5" s="1"/>
  <c r="D448" i="5"/>
  <c r="CA448" i="5" s="1"/>
  <c r="D447" i="5"/>
  <c r="CA447" i="5" s="1"/>
  <c r="D446" i="5"/>
  <c r="CA446" i="5" s="1"/>
  <c r="Y445" i="5"/>
  <c r="Y444" i="5"/>
  <c r="Y441" i="5"/>
  <c r="Y440" i="5"/>
  <c r="Y437" i="5"/>
  <c r="Y435" i="5"/>
  <c r="Y433" i="5"/>
  <c r="Y431" i="5"/>
  <c r="Y429" i="5"/>
  <c r="Y428" i="5"/>
  <c r="AA445" i="5"/>
  <c r="BW445" i="5" s="1"/>
  <c r="AA444" i="5"/>
  <c r="AA441" i="5"/>
  <c r="AA440" i="5"/>
  <c r="BW440" i="5" s="1"/>
  <c r="AA437" i="5"/>
  <c r="BW437" i="5" s="1"/>
  <c r="AA435" i="5"/>
  <c r="AA433" i="5"/>
  <c r="AA431" i="5"/>
  <c r="AA429" i="5"/>
  <c r="AA428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I445" i="5"/>
  <c r="I444" i="5"/>
  <c r="FR444" i="5" s="1"/>
  <c r="I443" i="5"/>
  <c r="FR443" i="5" s="1"/>
  <c r="I442" i="5"/>
  <c r="FR442" i="5" s="1"/>
  <c r="I441" i="5"/>
  <c r="FR441" i="5" s="1"/>
  <c r="I440" i="5"/>
  <c r="FR440" i="5" s="1"/>
  <c r="I439" i="5"/>
  <c r="FR439" i="5" s="1"/>
  <c r="I438" i="5"/>
  <c r="I437" i="5"/>
  <c r="I436" i="5"/>
  <c r="I435" i="5"/>
  <c r="O435" i="5" s="1"/>
  <c r="I434" i="5"/>
  <c r="I433" i="5"/>
  <c r="I432" i="5"/>
  <c r="I431" i="5"/>
  <c r="I430" i="5"/>
  <c r="I429" i="5"/>
  <c r="I428" i="5"/>
  <c r="I427" i="5"/>
  <c r="O427" i="5" s="1"/>
  <c r="I426" i="5"/>
  <c r="FR426" i="5" s="1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F445" i="5"/>
  <c r="F444" i="5"/>
  <c r="AM444" i="5" s="1"/>
  <c r="F443" i="5"/>
  <c r="F442" i="5"/>
  <c r="AM442" i="5" s="1"/>
  <c r="F441" i="5"/>
  <c r="F440" i="5"/>
  <c r="F439" i="5"/>
  <c r="F438" i="5"/>
  <c r="F437" i="5"/>
  <c r="F436" i="5"/>
  <c r="F435" i="5"/>
  <c r="F434" i="5"/>
  <c r="F433" i="5"/>
  <c r="F432" i="5"/>
  <c r="F431" i="5"/>
  <c r="AM431" i="5" s="1"/>
  <c r="F430" i="5"/>
  <c r="F429" i="5"/>
  <c r="F428" i="5"/>
  <c r="F427" i="5"/>
  <c r="F426" i="5"/>
  <c r="D445" i="5"/>
  <c r="CA445" i="5" s="1"/>
  <c r="D444" i="5"/>
  <c r="CA444" i="5" s="1"/>
  <c r="D443" i="5"/>
  <c r="CA443" i="5" s="1"/>
  <c r="D442" i="5"/>
  <c r="CA442" i="5" s="1"/>
  <c r="D441" i="5"/>
  <c r="CA441" i="5" s="1"/>
  <c r="D440" i="5"/>
  <c r="CA440" i="5" s="1"/>
  <c r="D439" i="5"/>
  <c r="CA439" i="5" s="1"/>
  <c r="D438" i="5"/>
  <c r="CA438" i="5" s="1"/>
  <c r="D437" i="5"/>
  <c r="CA437" i="5" s="1"/>
  <c r="D436" i="5"/>
  <c r="CA436" i="5" s="1"/>
  <c r="D435" i="5"/>
  <c r="CA435" i="5" s="1"/>
  <c r="D434" i="5"/>
  <c r="CA434" i="5" s="1"/>
  <c r="D433" i="5"/>
  <c r="CA433" i="5" s="1"/>
  <c r="D432" i="5"/>
  <c r="CA432" i="5" s="1"/>
  <c r="D431" i="5"/>
  <c r="CA431" i="5" s="1"/>
  <c r="D430" i="5"/>
  <c r="CA430" i="5" s="1"/>
  <c r="G445" i="5"/>
  <c r="G444" i="5"/>
  <c r="G443" i="5"/>
  <c r="BZ443" i="5" s="1"/>
  <c r="CB443" i="5" s="1"/>
  <c r="G442" i="5"/>
  <c r="G441" i="5"/>
  <c r="G440" i="5"/>
  <c r="G439" i="5"/>
  <c r="G438" i="5"/>
  <c r="G437" i="5"/>
  <c r="BZ437" i="5" s="1"/>
  <c r="G436" i="5"/>
  <c r="BX436" i="5" s="1"/>
  <c r="BY436" i="5" s="1"/>
  <c r="G435" i="5"/>
  <c r="G434" i="5"/>
  <c r="G433" i="5"/>
  <c r="G432" i="5"/>
  <c r="G431" i="5"/>
  <c r="G430" i="5"/>
  <c r="G429" i="5"/>
  <c r="BZ429" i="5" s="1"/>
  <c r="G428" i="5"/>
  <c r="G427" i="5"/>
  <c r="G426" i="5"/>
  <c r="FT426" i="5" s="1"/>
  <c r="E445" i="5"/>
  <c r="DF445" i="5" s="1"/>
  <c r="E444" i="5"/>
  <c r="E443" i="5"/>
  <c r="E442" i="5"/>
  <c r="E441" i="5"/>
  <c r="E440" i="5"/>
  <c r="E439" i="5"/>
  <c r="E438" i="5"/>
  <c r="E437" i="5"/>
  <c r="AE437" i="5" s="1"/>
  <c r="E436" i="5"/>
  <c r="E435" i="5"/>
  <c r="AE435" i="5" s="1"/>
  <c r="E434" i="5"/>
  <c r="E433" i="5"/>
  <c r="E432" i="5"/>
  <c r="AE432" i="5" s="1"/>
  <c r="E431" i="5"/>
  <c r="DF431" i="5" s="1"/>
  <c r="E430" i="5"/>
  <c r="E429" i="5"/>
  <c r="E428" i="5"/>
  <c r="E427" i="5"/>
  <c r="AE427" i="5" s="1"/>
  <c r="E426" i="5"/>
  <c r="AA425" i="5"/>
  <c r="BW425" i="5" s="1"/>
  <c r="AA424" i="5"/>
  <c r="AA422" i="5"/>
  <c r="AA421" i="5"/>
  <c r="BW421" i="5" s="1"/>
  <c r="AA417" i="5"/>
  <c r="BW417" i="5" s="1"/>
  <c r="AA416" i="5"/>
  <c r="AA419" i="5"/>
  <c r="AA418" i="5"/>
  <c r="AA413" i="5"/>
  <c r="AA410" i="5"/>
  <c r="AA408" i="5"/>
  <c r="AA407" i="5"/>
  <c r="Y425" i="5"/>
  <c r="Y424" i="5"/>
  <c r="Y422" i="5"/>
  <c r="Y421" i="5"/>
  <c r="Y419" i="5"/>
  <c r="Y418" i="5"/>
  <c r="Y417" i="5"/>
  <c r="Y416" i="5"/>
  <c r="Y413" i="5"/>
  <c r="Y410" i="5"/>
  <c r="Y408" i="5"/>
  <c r="Y407" i="5"/>
  <c r="J424" i="5"/>
  <c r="J425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I425" i="5"/>
  <c r="I424" i="5"/>
  <c r="I423" i="5"/>
  <c r="I422" i="5"/>
  <c r="FR422" i="5" s="1"/>
  <c r="I420" i="5"/>
  <c r="I419" i="5"/>
  <c r="O419" i="5" s="1"/>
  <c r="I418" i="5"/>
  <c r="FR418" i="5" s="1"/>
  <c r="I417" i="5"/>
  <c r="I416" i="5"/>
  <c r="I415" i="5"/>
  <c r="I414" i="5"/>
  <c r="I413" i="5"/>
  <c r="I412" i="5"/>
  <c r="I411" i="5"/>
  <c r="O411" i="5" s="1"/>
  <c r="I410" i="5"/>
  <c r="I409" i="5"/>
  <c r="I408" i="5"/>
  <c r="I407" i="5"/>
  <c r="I40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6" i="5"/>
  <c r="H407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E425" i="5"/>
  <c r="E424" i="5"/>
  <c r="E423" i="5"/>
  <c r="E422" i="5"/>
  <c r="E421" i="5"/>
  <c r="E420" i="5"/>
  <c r="AE420" i="5" s="1"/>
  <c r="E419" i="5"/>
  <c r="E418" i="5"/>
  <c r="E417" i="5"/>
  <c r="E416" i="5"/>
  <c r="E415" i="5"/>
  <c r="AE415" i="5" s="1"/>
  <c r="E414" i="5"/>
  <c r="E413" i="5"/>
  <c r="AE413" i="5" s="1"/>
  <c r="E412" i="5"/>
  <c r="E411" i="5"/>
  <c r="E410" i="5"/>
  <c r="E409" i="5"/>
  <c r="E408" i="5"/>
  <c r="E407" i="5"/>
  <c r="AE407" i="5" s="1"/>
  <c r="E406" i="5"/>
  <c r="D429" i="5"/>
  <c r="CA429" i="5" s="1"/>
  <c r="D428" i="5"/>
  <c r="CA428" i="5" s="1"/>
  <c r="D427" i="5"/>
  <c r="CA427" i="5" s="1"/>
  <c r="D426" i="5"/>
  <c r="CA426" i="5" s="1"/>
  <c r="D425" i="5"/>
  <c r="CA425" i="5" s="1"/>
  <c r="D424" i="5"/>
  <c r="CA424" i="5" s="1"/>
  <c r="D423" i="5"/>
  <c r="CA423" i="5" s="1"/>
  <c r="D422" i="5"/>
  <c r="CA422" i="5" s="1"/>
  <c r="D421" i="5"/>
  <c r="CA421" i="5" s="1"/>
  <c r="D420" i="5"/>
  <c r="CA420" i="5" s="1"/>
  <c r="D419" i="5"/>
  <c r="CA419" i="5" s="1"/>
  <c r="D418" i="5"/>
  <c r="CA418" i="5" s="1"/>
  <c r="D417" i="5"/>
  <c r="CA417" i="5" s="1"/>
  <c r="D416" i="5"/>
  <c r="CA416" i="5" s="1"/>
  <c r="D415" i="5"/>
  <c r="CA415" i="5" s="1"/>
  <c r="D414" i="5"/>
  <c r="CA414" i="5" s="1"/>
  <c r="D413" i="5"/>
  <c r="CA413" i="5" s="1"/>
  <c r="D412" i="5"/>
  <c r="CA412" i="5" s="1"/>
  <c r="D411" i="5"/>
  <c r="CA411" i="5" s="1"/>
  <c r="G425" i="5"/>
  <c r="G424" i="5"/>
  <c r="BZ424" i="5" s="1"/>
  <c r="G423" i="5"/>
  <c r="BX423" i="5" s="1"/>
  <c r="G422" i="5"/>
  <c r="G421" i="5"/>
  <c r="G420" i="5"/>
  <c r="BZ420" i="5" s="1"/>
  <c r="G406" i="5"/>
  <c r="G407" i="5"/>
  <c r="G408" i="5"/>
  <c r="G409" i="5"/>
  <c r="G410" i="5"/>
  <c r="AA405" i="5"/>
  <c r="AA404" i="5"/>
  <c r="AA402" i="5"/>
  <c r="AA401" i="5"/>
  <c r="AA399" i="5"/>
  <c r="AA398" i="5"/>
  <c r="AA394" i="5"/>
  <c r="AA393" i="5"/>
  <c r="AA392" i="5"/>
  <c r="AA391" i="5"/>
  <c r="Y405" i="5"/>
  <c r="Y404" i="5"/>
  <c r="Y402" i="5"/>
  <c r="Y401" i="5"/>
  <c r="Y399" i="5"/>
  <c r="Y398" i="5"/>
  <c r="Y394" i="5"/>
  <c r="Y393" i="5"/>
  <c r="Y392" i="5"/>
  <c r="Y391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I405" i="5"/>
  <c r="I404" i="5"/>
  <c r="I403" i="5"/>
  <c r="O403" i="5" s="1"/>
  <c r="I402" i="5"/>
  <c r="I401" i="5"/>
  <c r="I400" i="5"/>
  <c r="I399" i="5"/>
  <c r="I398" i="5"/>
  <c r="I397" i="5"/>
  <c r="I396" i="5"/>
  <c r="I395" i="5"/>
  <c r="O395" i="5" s="1"/>
  <c r="I394" i="5"/>
  <c r="I393" i="5"/>
  <c r="I392" i="5"/>
  <c r="I391" i="5"/>
  <c r="I390" i="5"/>
  <c r="I389" i="5"/>
  <c r="H405" i="5"/>
  <c r="H404" i="5"/>
  <c r="H403" i="5"/>
  <c r="H402" i="5"/>
  <c r="H401" i="5"/>
  <c r="H400" i="5"/>
  <c r="H399" i="5"/>
  <c r="H396" i="5"/>
  <c r="H390" i="5"/>
  <c r="H389" i="5"/>
  <c r="H391" i="5"/>
  <c r="H392" i="5"/>
  <c r="H393" i="5"/>
  <c r="H394" i="5"/>
  <c r="H395" i="5"/>
  <c r="H397" i="5"/>
  <c r="H398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E405" i="5"/>
  <c r="E404" i="5"/>
  <c r="E403" i="5"/>
  <c r="E402" i="5"/>
  <c r="AE402" i="5" s="1"/>
  <c r="E401" i="5"/>
  <c r="AE401" i="5" s="1"/>
  <c r="E400" i="5"/>
  <c r="E399" i="5"/>
  <c r="E398" i="5"/>
  <c r="E397" i="5"/>
  <c r="E396" i="5"/>
  <c r="E395" i="5"/>
  <c r="E394" i="5"/>
  <c r="AE394" i="5" s="1"/>
  <c r="E393" i="5"/>
  <c r="E392" i="5"/>
  <c r="E391" i="5"/>
  <c r="AE391" i="5" s="1"/>
  <c r="E390" i="5"/>
  <c r="E389" i="5"/>
  <c r="AE389" i="5" s="1"/>
  <c r="D410" i="5"/>
  <c r="CA410" i="5" s="1"/>
  <c r="D409" i="5"/>
  <c r="CA409" i="5" s="1"/>
  <c r="D408" i="5"/>
  <c r="CA408" i="5" s="1"/>
  <c r="D407" i="5"/>
  <c r="CA407" i="5" s="1"/>
  <c r="D406" i="5"/>
  <c r="CA406" i="5" s="1"/>
  <c r="D405" i="5"/>
  <c r="CA405" i="5" s="1"/>
  <c r="D404" i="5"/>
  <c r="CA404" i="5" s="1"/>
  <c r="D403" i="5"/>
  <c r="CA403" i="5" s="1"/>
  <c r="D402" i="5"/>
  <c r="CA402" i="5" s="1"/>
  <c r="D401" i="5"/>
  <c r="CA401" i="5" s="1"/>
  <c r="D400" i="5"/>
  <c r="CA400" i="5" s="1"/>
  <c r="D399" i="5"/>
  <c r="CA399" i="5" s="1"/>
  <c r="D398" i="5"/>
  <c r="CA398" i="5" s="1"/>
  <c r="D397" i="5"/>
  <c r="CA397" i="5" s="1"/>
  <c r="D396" i="5"/>
  <c r="CA396" i="5" s="1"/>
  <c r="D395" i="5"/>
  <c r="CA395" i="5" s="1"/>
  <c r="D394" i="5"/>
  <c r="CA394" i="5" s="1"/>
  <c r="D393" i="5"/>
  <c r="CA393" i="5" s="1"/>
  <c r="D392" i="5"/>
  <c r="CA392" i="5" s="1"/>
  <c r="D391" i="5"/>
  <c r="CA391" i="5" s="1"/>
  <c r="D390" i="5"/>
  <c r="CA390" i="5" s="1"/>
  <c r="D389" i="5"/>
  <c r="CA389" i="5" s="1"/>
  <c r="G405" i="5"/>
  <c r="G404" i="5"/>
  <c r="G403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AA387" i="5"/>
  <c r="AA386" i="5"/>
  <c r="AA388" i="5"/>
  <c r="AA383" i="5"/>
  <c r="AA382" i="5"/>
  <c r="AA381" i="5"/>
  <c r="AA380" i="5"/>
  <c r="AA377" i="5"/>
  <c r="AA375" i="5"/>
  <c r="AA373" i="5"/>
  <c r="AA371" i="5"/>
  <c r="Y388" i="5"/>
  <c r="Y387" i="5"/>
  <c r="Y386" i="5"/>
  <c r="Y383" i="5"/>
  <c r="Y382" i="5"/>
  <c r="Y381" i="5"/>
  <c r="Y380" i="5"/>
  <c r="Y377" i="5"/>
  <c r="Y375" i="5"/>
  <c r="Y373" i="5"/>
  <c r="Y371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F388" i="5"/>
  <c r="F387" i="5"/>
  <c r="F386" i="5"/>
  <c r="F385" i="5"/>
  <c r="F384" i="5"/>
  <c r="F383" i="5"/>
  <c r="F382" i="5"/>
  <c r="F381" i="5"/>
  <c r="F380" i="5"/>
  <c r="F379" i="5"/>
  <c r="F378" i="5"/>
  <c r="E388" i="5"/>
  <c r="E387" i="5"/>
  <c r="E386" i="5"/>
  <c r="E385" i="5"/>
  <c r="E384" i="5"/>
  <c r="AE384" i="5" s="1"/>
  <c r="E383" i="5"/>
  <c r="AE383" i="5" s="1"/>
  <c r="E382" i="5"/>
  <c r="E381" i="5"/>
  <c r="AE381" i="5" s="1"/>
  <c r="E380" i="5"/>
  <c r="E379" i="5"/>
  <c r="E378" i="5"/>
  <c r="G379" i="5"/>
  <c r="G380" i="5"/>
  <c r="G381" i="5"/>
  <c r="G382" i="5"/>
  <c r="G383" i="5"/>
  <c r="G384" i="5"/>
  <c r="G385" i="5"/>
  <c r="G386" i="5"/>
  <c r="G387" i="5"/>
  <c r="G388" i="5"/>
  <c r="G378" i="5"/>
  <c r="D379" i="5"/>
  <c r="CA379" i="5" s="1"/>
  <c r="D380" i="5"/>
  <c r="CA380" i="5" s="1"/>
  <c r="D381" i="5"/>
  <c r="CA381" i="5" s="1"/>
  <c r="D382" i="5"/>
  <c r="CA382" i="5" s="1"/>
  <c r="D383" i="5"/>
  <c r="CA383" i="5" s="1"/>
  <c r="D384" i="5"/>
  <c r="CA384" i="5" s="1"/>
  <c r="D385" i="5"/>
  <c r="CA385" i="5" s="1"/>
  <c r="D386" i="5"/>
  <c r="CA386" i="5" s="1"/>
  <c r="D387" i="5"/>
  <c r="CA387" i="5" s="1"/>
  <c r="D388" i="5"/>
  <c r="CA388" i="5" s="1"/>
  <c r="D378" i="5"/>
  <c r="CA378" i="5" s="1"/>
  <c r="D376" i="5"/>
  <c r="CA376" i="5" s="1"/>
  <c r="F377" i="5"/>
  <c r="F376" i="5"/>
  <c r="F375" i="5"/>
  <c r="F374" i="5"/>
  <c r="F371" i="5"/>
  <c r="F372" i="5"/>
  <c r="F373" i="5"/>
  <c r="E377" i="5"/>
  <c r="AE377" i="5" s="1"/>
  <c r="E376" i="5"/>
  <c r="E375" i="5"/>
  <c r="AE375" i="5" s="1"/>
  <c r="E374" i="5"/>
  <c r="AE374" i="5" s="1"/>
  <c r="E373" i="5"/>
  <c r="E372" i="5"/>
  <c r="E371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AA369" i="5"/>
  <c r="AA367" i="5"/>
  <c r="AA365" i="5"/>
  <c r="AA363" i="5"/>
  <c r="AA361" i="5"/>
  <c r="AA359" i="5"/>
  <c r="AA357" i="5"/>
  <c r="Y369" i="5"/>
  <c r="Y367" i="5"/>
  <c r="Y365" i="5"/>
  <c r="Y363" i="5"/>
  <c r="Y361" i="5"/>
  <c r="Y359" i="5"/>
  <c r="Y357" i="5"/>
  <c r="J370" i="5"/>
  <c r="J369" i="5"/>
  <c r="J368" i="5"/>
  <c r="DS368" i="5" s="1"/>
  <c r="J367" i="5"/>
  <c r="DS367" i="5" s="1"/>
  <c r="J366" i="5"/>
  <c r="J365" i="5"/>
  <c r="J364" i="5"/>
  <c r="J363" i="5"/>
  <c r="J362" i="5"/>
  <c r="J361" i="5"/>
  <c r="J360" i="5"/>
  <c r="DS360" i="5" s="1"/>
  <c r="J359" i="5"/>
  <c r="DS359" i="5" s="1"/>
  <c r="J358" i="5"/>
  <c r="J357" i="5"/>
  <c r="J356" i="5"/>
  <c r="J355" i="5"/>
  <c r="I370" i="5"/>
  <c r="I369" i="5"/>
  <c r="I368" i="5"/>
  <c r="I367" i="5"/>
  <c r="I366" i="5"/>
  <c r="I365" i="5"/>
  <c r="I364" i="5"/>
  <c r="I362" i="5"/>
  <c r="I361" i="5"/>
  <c r="I360" i="5"/>
  <c r="I359" i="5"/>
  <c r="I358" i="5"/>
  <c r="I357" i="5"/>
  <c r="I356" i="5"/>
  <c r="I355" i="5"/>
  <c r="O355" i="5" s="1"/>
  <c r="I363" i="5"/>
  <c r="O363" i="5" s="1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F370" i="5"/>
  <c r="F369" i="5"/>
  <c r="F368" i="5"/>
  <c r="F367" i="5"/>
  <c r="F366" i="5"/>
  <c r="F365" i="5"/>
  <c r="F364" i="5"/>
  <c r="E370" i="5"/>
  <c r="E369" i="5"/>
  <c r="E368" i="5"/>
  <c r="AE368" i="5" s="1"/>
  <c r="E367" i="5"/>
  <c r="E366" i="5"/>
  <c r="AE366" i="5" s="1"/>
  <c r="E365" i="5"/>
  <c r="E364" i="5"/>
  <c r="D377" i="5"/>
  <c r="CA377" i="5" s="1"/>
  <c r="D375" i="5"/>
  <c r="CA375" i="5" s="1"/>
  <c r="D374" i="5"/>
  <c r="CA374" i="5" s="1"/>
  <c r="D373" i="5"/>
  <c r="CA373" i="5" s="1"/>
  <c r="D372" i="5"/>
  <c r="CA372" i="5" s="1"/>
  <c r="D371" i="5"/>
  <c r="CA371" i="5" s="1"/>
  <c r="D370" i="5"/>
  <c r="CA370" i="5" s="1"/>
  <c r="D369" i="5"/>
  <c r="CA369" i="5" s="1"/>
  <c r="D368" i="5"/>
  <c r="CA368" i="5" s="1"/>
  <c r="D367" i="5"/>
  <c r="CA367" i="5" s="1"/>
  <c r="D366" i="5"/>
  <c r="CA366" i="5" s="1"/>
  <c r="D365" i="5"/>
  <c r="CA365" i="5" s="1"/>
  <c r="D364" i="5"/>
  <c r="CA364" i="5" s="1"/>
  <c r="F363" i="5"/>
  <c r="F362" i="5"/>
  <c r="F361" i="5"/>
  <c r="F360" i="5"/>
  <c r="F359" i="5"/>
  <c r="F358" i="5"/>
  <c r="F357" i="5"/>
  <c r="F356" i="5"/>
  <c r="F355" i="5"/>
  <c r="E363" i="5"/>
  <c r="E362" i="5"/>
  <c r="E361" i="5"/>
  <c r="E360" i="5"/>
  <c r="AE360" i="5" s="1"/>
  <c r="E359" i="5"/>
  <c r="E358" i="5"/>
  <c r="E357" i="5"/>
  <c r="AE357" i="5" s="1"/>
  <c r="E356" i="5"/>
  <c r="AE356" i="5" s="1"/>
  <c r="E355" i="5"/>
  <c r="Y350" i="5"/>
  <c r="Y349" i="5"/>
  <c r="Y346" i="5"/>
  <c r="Y345" i="5"/>
  <c r="Y342" i="5"/>
  <c r="Y341" i="5"/>
  <c r="AA350" i="5"/>
  <c r="AA349" i="5"/>
  <c r="AA346" i="5"/>
  <c r="AA345" i="5"/>
  <c r="AA342" i="5"/>
  <c r="AA341" i="5"/>
  <c r="J354" i="5"/>
  <c r="DS354" i="5" s="1"/>
  <c r="J353" i="5"/>
  <c r="J352" i="5"/>
  <c r="DS352" i="5" s="1"/>
  <c r="J351" i="5"/>
  <c r="DS351" i="5" s="1"/>
  <c r="J350" i="5"/>
  <c r="J349" i="5"/>
  <c r="J348" i="5"/>
  <c r="J346" i="5"/>
  <c r="J345" i="5"/>
  <c r="J344" i="5"/>
  <c r="J343" i="5"/>
  <c r="J342" i="5"/>
  <c r="J341" i="5"/>
  <c r="J340" i="5"/>
  <c r="J339" i="5"/>
  <c r="J347" i="5"/>
  <c r="I353" i="5"/>
  <c r="I352" i="5"/>
  <c r="I351" i="5"/>
  <c r="I350" i="5"/>
  <c r="I349" i="5"/>
  <c r="I347" i="5"/>
  <c r="O347" i="5" s="1"/>
  <c r="I345" i="5"/>
  <c r="I344" i="5"/>
  <c r="I343" i="5"/>
  <c r="I342" i="5"/>
  <c r="I341" i="5"/>
  <c r="I340" i="5"/>
  <c r="I339" i="5"/>
  <c r="O339" i="5" s="1"/>
  <c r="I354" i="5"/>
  <c r="I348" i="5"/>
  <c r="I346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E354" i="5"/>
  <c r="E353" i="5"/>
  <c r="AE353" i="5" s="1"/>
  <c r="E352" i="5"/>
  <c r="E351" i="5"/>
  <c r="E350" i="5"/>
  <c r="E349" i="5"/>
  <c r="E348" i="5"/>
  <c r="AE348" i="5" s="1"/>
  <c r="E347" i="5"/>
  <c r="E346" i="5"/>
  <c r="E345" i="5"/>
  <c r="E344" i="5"/>
  <c r="E343" i="5"/>
  <c r="E342" i="5"/>
  <c r="E341" i="5"/>
  <c r="E340" i="5"/>
  <c r="E339" i="5"/>
  <c r="D363" i="5"/>
  <c r="CA363" i="5" s="1"/>
  <c r="D362" i="5"/>
  <c r="CA362" i="5" s="1"/>
  <c r="D361" i="5"/>
  <c r="CA361" i="5" s="1"/>
  <c r="D360" i="5"/>
  <c r="CA360" i="5" s="1"/>
  <c r="D359" i="5"/>
  <c r="CA359" i="5" s="1"/>
  <c r="D358" i="5"/>
  <c r="CA358" i="5" s="1"/>
  <c r="D357" i="5"/>
  <c r="CA357" i="5" s="1"/>
  <c r="D356" i="5"/>
  <c r="CA356" i="5" s="1"/>
  <c r="D355" i="5"/>
  <c r="CA355" i="5" s="1"/>
  <c r="D354" i="5"/>
  <c r="CA354" i="5" s="1"/>
  <c r="D353" i="5"/>
  <c r="CA353" i="5" s="1"/>
  <c r="D352" i="5"/>
  <c r="CA352" i="5" s="1"/>
  <c r="D351" i="5"/>
  <c r="CA351" i="5" s="1"/>
  <c r="D350" i="5"/>
  <c r="CA350" i="5" s="1"/>
  <c r="D349" i="5"/>
  <c r="CA349" i="5" s="1"/>
  <c r="D348" i="5"/>
  <c r="CA348" i="5" s="1"/>
  <c r="D347" i="5"/>
  <c r="CA347" i="5" s="1"/>
  <c r="D346" i="5"/>
  <c r="CA346" i="5" s="1"/>
  <c r="D345" i="5"/>
  <c r="CA345" i="5" s="1"/>
  <c r="D344" i="5"/>
  <c r="CA344" i="5" s="1"/>
  <c r="D343" i="5"/>
  <c r="CA343" i="5" s="1"/>
  <c r="D342" i="5"/>
  <c r="CA342" i="5" s="1"/>
  <c r="D341" i="5"/>
  <c r="CA341" i="5" s="1"/>
  <c r="D340" i="5"/>
  <c r="CA340" i="5" s="1"/>
  <c r="D339" i="5"/>
  <c r="CA339" i="5" s="1"/>
  <c r="G339" i="5"/>
  <c r="G340" i="5"/>
  <c r="G341" i="5"/>
  <c r="G342" i="5"/>
  <c r="G343" i="5"/>
  <c r="G344" i="5"/>
  <c r="G345" i="5"/>
  <c r="G346" i="5"/>
  <c r="G347" i="5"/>
  <c r="G348" i="5"/>
  <c r="G349" i="5"/>
  <c r="G350" i="5"/>
  <c r="G371" i="5"/>
  <c r="G372" i="5"/>
  <c r="G373" i="5"/>
  <c r="G374" i="5"/>
  <c r="G375" i="5"/>
  <c r="G376" i="5"/>
  <c r="G377" i="5"/>
  <c r="G411" i="5"/>
  <c r="G412" i="5"/>
  <c r="G413" i="5"/>
  <c r="G414" i="5"/>
  <c r="G415" i="5"/>
  <c r="G416" i="5"/>
  <c r="G417" i="5"/>
  <c r="G418" i="5"/>
  <c r="G419" i="5"/>
  <c r="G283" i="5"/>
  <c r="G284" i="5"/>
  <c r="G285" i="5"/>
  <c r="G286" i="5"/>
  <c r="G287" i="5"/>
  <c r="G288" i="5"/>
  <c r="G289" i="5"/>
  <c r="G290" i="5"/>
  <c r="G264" i="5"/>
  <c r="G265" i="5"/>
  <c r="G266" i="5"/>
  <c r="G267" i="5"/>
  <c r="G268" i="5"/>
  <c r="G269" i="5"/>
  <c r="G270" i="5"/>
  <c r="G271" i="5"/>
  <c r="G272" i="5"/>
  <c r="AE341" i="5"/>
  <c r="AE361" i="5"/>
  <c r="AE370" i="5"/>
  <c r="AE380" i="5"/>
  <c r="AE388" i="5"/>
  <c r="AE390" i="5"/>
  <c r="AE397" i="5"/>
  <c r="AE399" i="5"/>
  <c r="AE408" i="5"/>
  <c r="AE411" i="5"/>
  <c r="AE416" i="5"/>
  <c r="AE424" i="5"/>
  <c r="AE425" i="5"/>
  <c r="AE428" i="5"/>
  <c r="AE433" i="5"/>
  <c r="AE440" i="5"/>
  <c r="AE441" i="5"/>
  <c r="AE444" i="5"/>
  <c r="AE445" i="5"/>
  <c r="AE449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Y338" i="5"/>
  <c r="Y336" i="5"/>
  <c r="Y334" i="5"/>
  <c r="Y331" i="5"/>
  <c r="Y329" i="5"/>
  <c r="Y327" i="5"/>
  <c r="Y325" i="5"/>
  <c r="AA338" i="5"/>
  <c r="AA336" i="5"/>
  <c r="AA334" i="5"/>
  <c r="AA331" i="5"/>
  <c r="AA329" i="5"/>
  <c r="AA327" i="5"/>
  <c r="AA325" i="5"/>
  <c r="D338" i="5"/>
  <c r="CA338" i="5" s="1"/>
  <c r="D337" i="5"/>
  <c r="CA337" i="5" s="1"/>
  <c r="D336" i="5"/>
  <c r="CA336" i="5" s="1"/>
  <c r="D335" i="5"/>
  <c r="CA335" i="5" s="1"/>
  <c r="D334" i="5"/>
  <c r="CA334" i="5" s="1"/>
  <c r="D333" i="5"/>
  <c r="CA333" i="5" s="1"/>
  <c r="D332" i="5"/>
  <c r="CA332" i="5" s="1"/>
  <c r="D331" i="5"/>
  <c r="CA331" i="5" s="1"/>
  <c r="D330" i="5"/>
  <c r="CA330" i="5" s="1"/>
  <c r="D329" i="5"/>
  <c r="CA329" i="5" s="1"/>
  <c r="D328" i="5"/>
  <c r="CA328" i="5" s="1"/>
  <c r="D327" i="5"/>
  <c r="CA327" i="5" s="1"/>
  <c r="D326" i="5"/>
  <c r="CA326" i="5" s="1"/>
  <c r="D325" i="5"/>
  <c r="CA325" i="5" s="1"/>
  <c r="D324" i="5"/>
  <c r="CA324" i="5" s="1"/>
  <c r="J338" i="5"/>
  <c r="J337" i="5"/>
  <c r="DS337" i="5" s="1"/>
  <c r="J336" i="5"/>
  <c r="J335" i="5"/>
  <c r="DS335" i="5" s="1"/>
  <c r="J334" i="5"/>
  <c r="J333" i="5"/>
  <c r="DS333" i="5" s="1"/>
  <c r="J332" i="5"/>
  <c r="J331" i="5"/>
  <c r="J330" i="5"/>
  <c r="J329" i="5"/>
  <c r="DS329" i="5" s="1"/>
  <c r="J328" i="5"/>
  <c r="J327" i="5"/>
  <c r="DS327" i="5" s="1"/>
  <c r="J326" i="5"/>
  <c r="J325" i="5"/>
  <c r="DS325" i="5" s="1"/>
  <c r="J324" i="5"/>
  <c r="I336" i="5"/>
  <c r="I326" i="5"/>
  <c r="I325" i="5"/>
  <c r="I324" i="5"/>
  <c r="I338" i="5"/>
  <c r="I337" i="5"/>
  <c r="I335" i="5"/>
  <c r="I334" i="5"/>
  <c r="I333" i="5"/>
  <c r="I332" i="5"/>
  <c r="I331" i="5"/>
  <c r="I330" i="5"/>
  <c r="I329" i="5"/>
  <c r="I328" i="5"/>
  <c r="I327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4" i="5"/>
  <c r="H325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Y323" i="5"/>
  <c r="Y322" i="5"/>
  <c r="Y321" i="5"/>
  <c r="Y320" i="5"/>
  <c r="Y319" i="5"/>
  <c r="Y318" i="5"/>
  <c r="Y314" i="5"/>
  <c r="Y313" i="5"/>
  <c r="Y310" i="5"/>
  <c r="Y309" i="5"/>
  <c r="AA320" i="5"/>
  <c r="AA319" i="5"/>
  <c r="AA318" i="5"/>
  <c r="AA323" i="5"/>
  <c r="AA322" i="5"/>
  <c r="AA321" i="5"/>
  <c r="AA314" i="5"/>
  <c r="AA313" i="5"/>
  <c r="AA310" i="5"/>
  <c r="AA309" i="5"/>
  <c r="J323" i="5"/>
  <c r="J322" i="5"/>
  <c r="J321" i="5"/>
  <c r="J320" i="5"/>
  <c r="J319" i="5"/>
  <c r="J318" i="5"/>
  <c r="J317" i="5"/>
  <c r="J316" i="5"/>
  <c r="J315" i="5"/>
  <c r="J314" i="5"/>
  <c r="J313" i="5"/>
  <c r="J311" i="5"/>
  <c r="J310" i="5"/>
  <c r="J309" i="5"/>
  <c r="J308" i="5"/>
  <c r="I322" i="5"/>
  <c r="I321" i="5"/>
  <c r="I320" i="5"/>
  <c r="I323" i="5"/>
  <c r="I319" i="5"/>
  <c r="I318" i="5"/>
  <c r="I317" i="5"/>
  <c r="I316" i="5"/>
  <c r="I315" i="5"/>
  <c r="O315" i="5" s="1"/>
  <c r="I314" i="5"/>
  <c r="I313" i="5"/>
  <c r="I312" i="5"/>
  <c r="I311" i="5"/>
  <c r="I310" i="5"/>
  <c r="I309" i="5"/>
  <c r="I308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J312" i="5"/>
  <c r="H308" i="5"/>
  <c r="F323" i="5"/>
  <c r="F322" i="5"/>
  <c r="F321" i="5"/>
  <c r="F320" i="5"/>
  <c r="F319" i="5"/>
  <c r="F318" i="5"/>
  <c r="F317" i="5"/>
  <c r="F316" i="5"/>
  <c r="F315" i="5"/>
  <c r="E323" i="5"/>
  <c r="E322" i="5"/>
  <c r="E321" i="5"/>
  <c r="E317" i="5"/>
  <c r="E318" i="5"/>
  <c r="E319" i="5"/>
  <c r="E320" i="5"/>
  <c r="E316" i="5"/>
  <c r="E315" i="5"/>
  <c r="D323" i="5"/>
  <c r="CA323" i="5" s="1"/>
  <c r="D322" i="5"/>
  <c r="CA322" i="5" s="1"/>
  <c r="D320" i="5"/>
  <c r="CA320" i="5" s="1"/>
  <c r="D319" i="5"/>
  <c r="CA319" i="5" s="1"/>
  <c r="D317" i="5"/>
  <c r="CA317" i="5" s="1"/>
  <c r="D316" i="5"/>
  <c r="CA316" i="5" s="1"/>
  <c r="D321" i="5"/>
  <c r="CA321" i="5" s="1"/>
  <c r="D318" i="5"/>
  <c r="CA318" i="5" s="1"/>
  <c r="D315" i="5"/>
  <c r="CA315" i="5" s="1"/>
  <c r="F314" i="5"/>
  <c r="F313" i="5"/>
  <c r="F312" i="5"/>
  <c r="F311" i="5"/>
  <c r="F310" i="5"/>
  <c r="F309" i="5"/>
  <c r="F308" i="5"/>
  <c r="E314" i="5"/>
  <c r="E313" i="5"/>
  <c r="E312" i="5"/>
  <c r="E311" i="5"/>
  <c r="E310" i="5"/>
  <c r="E309" i="5"/>
  <c r="E308" i="5"/>
  <c r="G303" i="5"/>
  <c r="G304" i="5"/>
  <c r="G305" i="5"/>
  <c r="G306" i="5"/>
  <c r="G307" i="5"/>
  <c r="AA306" i="5"/>
  <c r="AA305" i="5"/>
  <c r="Y306" i="5"/>
  <c r="Y305" i="5"/>
  <c r="J307" i="5"/>
  <c r="J306" i="5"/>
  <c r="J305" i="5"/>
  <c r="J304" i="5"/>
  <c r="J303" i="5"/>
  <c r="I307" i="5"/>
  <c r="O307" i="5" s="1"/>
  <c r="I306" i="5"/>
  <c r="I305" i="5"/>
  <c r="I304" i="5"/>
  <c r="I303" i="5"/>
  <c r="H307" i="5"/>
  <c r="H306" i="5"/>
  <c r="H305" i="5"/>
  <c r="H304" i="5"/>
  <c r="H303" i="5"/>
  <c r="F307" i="5"/>
  <c r="F306" i="5"/>
  <c r="F305" i="5"/>
  <c r="F304" i="5"/>
  <c r="F303" i="5"/>
  <c r="E307" i="5"/>
  <c r="E306" i="5"/>
  <c r="E305" i="5"/>
  <c r="E304" i="5"/>
  <c r="E303" i="5"/>
  <c r="D314" i="5"/>
  <c r="CA314" i="5" s="1"/>
  <c r="D312" i="5"/>
  <c r="CA312" i="5" s="1"/>
  <c r="D310" i="5"/>
  <c r="CA310" i="5" s="1"/>
  <c r="D308" i="5"/>
  <c r="CA308" i="5" s="1"/>
  <c r="D306" i="5"/>
  <c r="CA306" i="5" s="1"/>
  <c r="D304" i="5"/>
  <c r="CA304" i="5" s="1"/>
  <c r="D313" i="5"/>
  <c r="CA313" i="5" s="1"/>
  <c r="D311" i="5"/>
  <c r="CA311" i="5" s="1"/>
  <c r="D309" i="5"/>
  <c r="CA309" i="5" s="1"/>
  <c r="D307" i="5"/>
  <c r="CA307" i="5" s="1"/>
  <c r="D305" i="5"/>
  <c r="CA305" i="5" s="1"/>
  <c r="D303" i="5"/>
  <c r="CA303" i="5" s="1"/>
  <c r="G291" i="5"/>
  <c r="G292" i="5"/>
  <c r="G293" i="5"/>
  <c r="G294" i="5"/>
  <c r="G295" i="5"/>
  <c r="G296" i="5"/>
  <c r="G297" i="5"/>
  <c r="G298" i="5"/>
  <c r="G299" i="5"/>
  <c r="G300" i="5"/>
  <c r="G301" i="5"/>
  <c r="G302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E302" i="5"/>
  <c r="E301" i="5"/>
  <c r="E300" i="5"/>
  <c r="E299" i="5"/>
  <c r="E298" i="5"/>
  <c r="E297" i="5"/>
  <c r="E296" i="5"/>
  <c r="E295" i="5"/>
  <c r="E292" i="5"/>
  <c r="E291" i="5"/>
  <c r="D292" i="5"/>
  <c r="CA292" i="5" s="1"/>
  <c r="D293" i="5"/>
  <c r="CA293" i="5" s="1"/>
  <c r="D294" i="5"/>
  <c r="CA294" i="5" s="1"/>
  <c r="D295" i="5"/>
  <c r="CA295" i="5" s="1"/>
  <c r="D296" i="5"/>
  <c r="CA296" i="5" s="1"/>
  <c r="D297" i="5"/>
  <c r="CA297" i="5" s="1"/>
  <c r="D298" i="5"/>
  <c r="CA298" i="5" s="1"/>
  <c r="D299" i="5"/>
  <c r="CA299" i="5" s="1"/>
  <c r="D300" i="5"/>
  <c r="CA300" i="5" s="1"/>
  <c r="D301" i="5"/>
  <c r="CA301" i="5" s="1"/>
  <c r="D302" i="5"/>
  <c r="CA302" i="5" s="1"/>
  <c r="D291" i="5"/>
  <c r="CA291" i="5" s="1"/>
  <c r="J302" i="5"/>
  <c r="J301" i="5"/>
  <c r="J300" i="5"/>
  <c r="J299" i="5"/>
  <c r="J298" i="5"/>
  <c r="J297" i="5"/>
  <c r="J296" i="5"/>
  <c r="J295" i="5"/>
  <c r="J294" i="5"/>
  <c r="J293" i="5"/>
  <c r="J292" i="5"/>
  <c r="J291" i="5"/>
  <c r="I301" i="5"/>
  <c r="I300" i="5"/>
  <c r="I299" i="5"/>
  <c r="O299" i="5" s="1"/>
  <c r="I298" i="5"/>
  <c r="I297" i="5"/>
  <c r="I296" i="5"/>
  <c r="I295" i="5"/>
  <c r="I294" i="5"/>
  <c r="I293" i="5"/>
  <c r="I292" i="5"/>
  <c r="I291" i="5"/>
  <c r="O291" i="5" s="1"/>
  <c r="I302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Y302" i="5"/>
  <c r="Y301" i="5"/>
  <c r="Y300" i="5"/>
  <c r="Y299" i="5"/>
  <c r="Y298" i="5"/>
  <c r="Y297" i="5"/>
  <c r="Y296" i="5"/>
  <c r="Y295" i="5"/>
  <c r="AA302" i="5"/>
  <c r="AA301" i="5"/>
  <c r="AA300" i="5"/>
  <c r="AA299" i="5"/>
  <c r="AA298" i="5"/>
  <c r="AA297" i="5"/>
  <c r="AA296" i="5"/>
  <c r="AA295" i="5"/>
  <c r="AA290" i="5"/>
  <c r="AA288" i="5"/>
  <c r="Y290" i="5"/>
  <c r="Y288" i="5"/>
  <c r="J290" i="5"/>
  <c r="J289" i="5"/>
  <c r="DS289" i="5" s="1"/>
  <c r="J288" i="5"/>
  <c r="I289" i="5"/>
  <c r="I288" i="5"/>
  <c r="I290" i="5"/>
  <c r="H290" i="5"/>
  <c r="H289" i="5"/>
  <c r="H288" i="5"/>
  <c r="F290" i="5"/>
  <c r="F289" i="5"/>
  <c r="F288" i="5"/>
  <c r="E290" i="5"/>
  <c r="E289" i="5"/>
  <c r="E288" i="5"/>
  <c r="I285" i="5"/>
  <c r="Y286" i="5"/>
  <c r="AA286" i="5"/>
  <c r="AA284" i="5"/>
  <c r="AA282" i="5"/>
  <c r="AA281" i="5"/>
  <c r="AA278" i="5"/>
  <c r="AA277" i="5"/>
  <c r="AA275" i="5"/>
  <c r="AA274" i="5"/>
  <c r="Y284" i="5"/>
  <c r="Y282" i="5"/>
  <c r="Y281" i="5"/>
  <c r="Y278" i="5"/>
  <c r="Y277" i="5"/>
  <c r="Y275" i="5"/>
  <c r="Y274" i="5"/>
  <c r="J286" i="5"/>
  <c r="DS286" i="5" s="1"/>
  <c r="J285" i="5"/>
  <c r="J284" i="5"/>
  <c r="J283" i="5"/>
  <c r="DS283" i="5" s="1"/>
  <c r="J282" i="5"/>
  <c r="J281" i="5"/>
  <c r="J280" i="5"/>
  <c r="J287" i="5"/>
  <c r="J279" i="5"/>
  <c r="J278" i="5"/>
  <c r="J277" i="5"/>
  <c r="J276" i="5"/>
  <c r="J275" i="5"/>
  <c r="J274" i="5"/>
  <c r="J273" i="5"/>
  <c r="I287" i="5"/>
  <c r="I286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D273" i="5"/>
  <c r="CA273" i="5" s="1"/>
  <c r="D274" i="5"/>
  <c r="CA274" i="5" s="1"/>
  <c r="D275" i="5"/>
  <c r="CA275" i="5" s="1"/>
  <c r="D276" i="5"/>
  <c r="CA276" i="5" s="1"/>
  <c r="D277" i="5"/>
  <c r="CA277" i="5" s="1"/>
  <c r="D278" i="5"/>
  <c r="CA278" i="5" s="1"/>
  <c r="D279" i="5"/>
  <c r="CA279" i="5" s="1"/>
  <c r="D280" i="5"/>
  <c r="CA280" i="5" s="1"/>
  <c r="D281" i="5"/>
  <c r="CA281" i="5" s="1"/>
  <c r="D282" i="5"/>
  <c r="CA282" i="5" s="1"/>
  <c r="D283" i="5"/>
  <c r="CA283" i="5" s="1"/>
  <c r="D284" i="5"/>
  <c r="CA284" i="5" s="1"/>
  <c r="D285" i="5"/>
  <c r="CA285" i="5" s="1"/>
  <c r="D286" i="5"/>
  <c r="CA286" i="5" s="1"/>
  <c r="D287" i="5"/>
  <c r="CA287" i="5" s="1"/>
  <c r="D288" i="5"/>
  <c r="CA288" i="5" s="1"/>
  <c r="D289" i="5"/>
  <c r="CA289" i="5" s="1"/>
  <c r="D290" i="5"/>
  <c r="CA290" i="5" s="1"/>
  <c r="G273" i="5"/>
  <c r="G274" i="5"/>
  <c r="G275" i="5"/>
  <c r="G276" i="5"/>
  <c r="G277" i="5"/>
  <c r="G278" i="5"/>
  <c r="G279" i="5"/>
  <c r="G280" i="5"/>
  <c r="G281" i="5"/>
  <c r="G282" i="5"/>
  <c r="AA271" i="5"/>
  <c r="Y271" i="5"/>
  <c r="AA269" i="5"/>
  <c r="AA268" i="5"/>
  <c r="AA267" i="5"/>
  <c r="AA266" i="5"/>
  <c r="Y269" i="5"/>
  <c r="Y268" i="5"/>
  <c r="Y267" i="5"/>
  <c r="Y266" i="5"/>
  <c r="J272" i="5"/>
  <c r="DS272" i="5" s="1"/>
  <c r="J271" i="5"/>
  <c r="J270" i="5"/>
  <c r="J269" i="5"/>
  <c r="J268" i="5"/>
  <c r="J267" i="5"/>
  <c r="DS267" i="5" s="1"/>
  <c r="J266" i="5"/>
  <c r="J265" i="5"/>
  <c r="DS265" i="5" s="1"/>
  <c r="J264" i="5"/>
  <c r="DS264" i="5" s="1"/>
  <c r="I272" i="5"/>
  <c r="I271" i="5"/>
  <c r="I270" i="5"/>
  <c r="I269" i="5"/>
  <c r="I268" i="5"/>
  <c r="I267" i="5"/>
  <c r="I266" i="5"/>
  <c r="I265" i="5"/>
  <c r="I264" i="5"/>
  <c r="H272" i="5"/>
  <c r="H271" i="5"/>
  <c r="H270" i="5"/>
  <c r="H269" i="5"/>
  <c r="H268" i="5"/>
  <c r="H267" i="5"/>
  <c r="H266" i="5"/>
  <c r="H265" i="5"/>
  <c r="H264" i="5"/>
  <c r="D270" i="5"/>
  <c r="CA270" i="5" s="1"/>
  <c r="D272" i="5"/>
  <c r="CA272" i="5" s="1"/>
  <c r="D271" i="5"/>
  <c r="CA271" i="5" s="1"/>
  <c r="D264" i="5"/>
  <c r="CA264" i="5" s="1"/>
  <c r="D265" i="5"/>
  <c r="CA265" i="5" s="1"/>
  <c r="D266" i="5"/>
  <c r="CA266" i="5" s="1"/>
  <c r="D267" i="5"/>
  <c r="CA267" i="5" s="1"/>
  <c r="D268" i="5"/>
  <c r="CA268" i="5" s="1"/>
  <c r="D269" i="5"/>
  <c r="CA269" i="5" s="1"/>
  <c r="E272" i="5"/>
  <c r="E271" i="5"/>
  <c r="E270" i="5"/>
  <c r="E269" i="5"/>
  <c r="E268" i="5"/>
  <c r="E267" i="5"/>
  <c r="E266" i="5"/>
  <c r="E265" i="5"/>
  <c r="E264" i="5"/>
  <c r="F272" i="5"/>
  <c r="F271" i="5"/>
  <c r="F270" i="5"/>
  <c r="F269" i="5"/>
  <c r="F268" i="5"/>
  <c r="F267" i="5"/>
  <c r="F266" i="5"/>
  <c r="F265" i="5"/>
  <c r="F264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265" i="5"/>
  <c r="V266" i="5"/>
  <c r="V267" i="5"/>
  <c r="V268" i="5"/>
  <c r="V269" i="5"/>
  <c r="V270" i="5"/>
  <c r="V271" i="5"/>
  <c r="V272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AA263" i="5"/>
  <c r="AA262" i="5"/>
  <c r="AA261" i="5"/>
  <c r="AA260" i="5"/>
  <c r="AA257" i="5"/>
  <c r="AA256" i="5"/>
  <c r="AA255" i="5"/>
  <c r="AA254" i="5"/>
  <c r="Y263" i="5"/>
  <c r="Y262" i="5"/>
  <c r="Y261" i="5"/>
  <c r="Y260" i="5"/>
  <c r="Y257" i="5"/>
  <c r="Y256" i="5"/>
  <c r="Y255" i="5"/>
  <c r="Y254" i="5"/>
  <c r="J263" i="5"/>
  <c r="J262" i="5"/>
  <c r="J261" i="5"/>
  <c r="J260" i="5"/>
  <c r="J259" i="5"/>
  <c r="J258" i="5"/>
  <c r="J257" i="5"/>
  <c r="J256" i="5"/>
  <c r="J255" i="5"/>
  <c r="J254" i="5"/>
  <c r="J253" i="5"/>
  <c r="I263" i="5"/>
  <c r="I262" i="5"/>
  <c r="I261" i="5"/>
  <c r="I260" i="5"/>
  <c r="I259" i="5"/>
  <c r="I258" i="5"/>
  <c r="I257" i="5"/>
  <c r="I256" i="5"/>
  <c r="I255" i="5"/>
  <c r="I254" i="5"/>
  <c r="I253" i="5"/>
  <c r="H263" i="5"/>
  <c r="H262" i="5"/>
  <c r="H261" i="5"/>
  <c r="H260" i="5"/>
  <c r="H259" i="5"/>
  <c r="H258" i="5"/>
  <c r="H257" i="5"/>
  <c r="H256" i="5"/>
  <c r="H255" i="5"/>
  <c r="H254" i="5"/>
  <c r="H253" i="5"/>
  <c r="D253" i="5"/>
  <c r="CA253" i="5" s="1"/>
  <c r="D254" i="5"/>
  <c r="CA254" i="5" s="1"/>
  <c r="D255" i="5"/>
  <c r="CA255" i="5" s="1"/>
  <c r="D256" i="5"/>
  <c r="CA256" i="5" s="1"/>
  <c r="D257" i="5"/>
  <c r="CA257" i="5" s="1"/>
  <c r="D258" i="5"/>
  <c r="CA258" i="5" s="1"/>
  <c r="D259" i="5"/>
  <c r="CA259" i="5" s="1"/>
  <c r="D260" i="5"/>
  <c r="CA260" i="5" s="1"/>
  <c r="D261" i="5"/>
  <c r="CA261" i="5" s="1"/>
  <c r="D262" i="5"/>
  <c r="CA262" i="5" s="1"/>
  <c r="D263" i="5"/>
  <c r="CA263" i="5" s="1"/>
  <c r="E263" i="5"/>
  <c r="E262" i="5"/>
  <c r="E261" i="5"/>
  <c r="E260" i="5"/>
  <c r="E259" i="5"/>
  <c r="E258" i="5"/>
  <c r="E257" i="5"/>
  <c r="E256" i="5"/>
  <c r="E255" i="5"/>
  <c r="E254" i="5"/>
  <c r="E253" i="5"/>
  <c r="G253" i="5"/>
  <c r="G254" i="5"/>
  <c r="G255" i="5"/>
  <c r="G256" i="5"/>
  <c r="G257" i="5"/>
  <c r="G258" i="5"/>
  <c r="G259" i="5"/>
  <c r="G260" i="5"/>
  <c r="G261" i="5"/>
  <c r="G262" i="5"/>
  <c r="G263" i="5"/>
  <c r="F263" i="5"/>
  <c r="F262" i="5"/>
  <c r="F261" i="5"/>
  <c r="F260" i="5"/>
  <c r="F259" i="5"/>
  <c r="F258" i="5"/>
  <c r="F257" i="5"/>
  <c r="F256" i="5"/>
  <c r="F255" i="5"/>
  <c r="F254" i="5"/>
  <c r="F253" i="5"/>
  <c r="M15" i="5"/>
  <c r="M14" i="5"/>
  <c r="L14" i="5"/>
  <c r="AU453" i="5"/>
  <c r="AU452" i="5"/>
  <c r="AV452" i="5" s="1"/>
  <c r="DC452" i="5"/>
  <c r="AU451" i="5"/>
  <c r="AU450" i="5"/>
  <c r="AU449" i="5"/>
  <c r="AV449" i="5" s="1"/>
  <c r="AU448" i="5"/>
  <c r="AU447" i="5"/>
  <c r="AU446" i="5"/>
  <c r="AV446" i="5" s="1"/>
  <c r="AU445" i="5"/>
  <c r="AU444" i="5"/>
  <c r="AV444" i="5" s="1"/>
  <c r="AU443" i="5"/>
  <c r="AU442" i="5"/>
  <c r="AU441" i="5"/>
  <c r="AU440" i="5"/>
  <c r="AV440" i="5" s="1"/>
  <c r="DC440" i="5"/>
  <c r="AU439" i="5"/>
  <c r="AU438" i="5"/>
  <c r="AU437" i="5"/>
  <c r="AU436" i="5"/>
  <c r="AU435" i="5"/>
  <c r="AU434" i="5"/>
  <c r="AU433" i="5"/>
  <c r="AU432" i="5"/>
  <c r="AV432" i="5" s="1"/>
  <c r="AU431" i="5"/>
  <c r="AU430" i="5"/>
  <c r="AU429" i="5"/>
  <c r="AU428" i="5"/>
  <c r="AU427" i="5"/>
  <c r="AU426" i="5"/>
  <c r="AU425" i="5"/>
  <c r="AU424" i="5"/>
  <c r="AU423" i="5"/>
  <c r="AU422" i="5"/>
  <c r="AU421" i="5"/>
  <c r="AU420" i="5"/>
  <c r="AU419" i="5"/>
  <c r="AU418" i="5"/>
  <c r="AU417" i="5"/>
  <c r="AU416" i="5"/>
  <c r="AU415" i="5"/>
  <c r="AU414" i="5"/>
  <c r="AU413" i="5"/>
  <c r="AU412" i="5"/>
  <c r="AU411" i="5"/>
  <c r="AU410" i="5"/>
  <c r="AU409" i="5"/>
  <c r="AU408" i="5"/>
  <c r="AU407" i="5"/>
  <c r="AU406" i="5"/>
  <c r="AU405" i="5"/>
  <c r="AU404" i="5"/>
  <c r="AV404" i="5" s="1"/>
  <c r="AU403" i="5"/>
  <c r="AU402" i="5"/>
  <c r="AU401" i="5"/>
  <c r="AU400" i="5"/>
  <c r="AU399" i="5"/>
  <c r="AU398" i="5"/>
  <c r="AU397" i="5"/>
  <c r="AU396" i="5"/>
  <c r="AU395" i="5"/>
  <c r="AU394" i="5"/>
  <c r="AU393" i="5"/>
  <c r="AU392" i="5"/>
  <c r="AU391" i="5"/>
  <c r="AU390" i="5"/>
  <c r="AU389" i="5"/>
  <c r="AU388" i="5"/>
  <c r="AU387" i="5"/>
  <c r="AU386" i="5"/>
  <c r="AU385" i="5"/>
  <c r="AU384" i="5"/>
  <c r="AV384" i="5" s="1"/>
  <c r="AU383" i="5"/>
  <c r="AU382" i="5"/>
  <c r="AU381" i="5"/>
  <c r="AU380" i="5"/>
  <c r="AU379" i="5"/>
  <c r="AU378" i="5"/>
  <c r="AU377" i="5"/>
  <c r="AU376" i="5"/>
  <c r="AU375" i="5"/>
  <c r="AU374" i="5"/>
  <c r="AU373" i="5"/>
  <c r="AU372" i="5"/>
  <c r="AU371" i="5"/>
  <c r="AU370" i="5"/>
  <c r="AU369" i="5"/>
  <c r="AU368" i="5"/>
  <c r="AV368" i="5" s="1"/>
  <c r="AU367" i="5"/>
  <c r="AU366" i="5"/>
  <c r="AU365" i="5"/>
  <c r="AU364" i="5"/>
  <c r="AU363" i="5"/>
  <c r="AU362" i="5"/>
  <c r="AU361" i="5"/>
  <c r="AU360" i="5"/>
  <c r="AU359" i="5"/>
  <c r="AU358" i="5"/>
  <c r="AU357" i="5"/>
  <c r="AU356" i="5"/>
  <c r="AU355" i="5"/>
  <c r="AU354" i="5"/>
  <c r="AU353" i="5"/>
  <c r="AU352" i="5"/>
  <c r="AV352" i="5" s="1"/>
  <c r="AU351" i="5"/>
  <c r="AU350" i="5"/>
  <c r="AU349" i="5"/>
  <c r="AU348" i="5"/>
  <c r="AU347" i="5"/>
  <c r="AU346" i="5"/>
  <c r="AU345" i="5"/>
  <c r="AU344" i="5"/>
  <c r="AU343" i="5"/>
  <c r="AU342" i="5"/>
  <c r="AU341" i="5"/>
  <c r="AV341" i="5" s="1"/>
  <c r="AU340" i="5"/>
  <c r="AU339" i="5"/>
  <c r="AU338" i="5"/>
  <c r="AU337" i="5"/>
  <c r="AU336" i="5"/>
  <c r="AU335" i="5"/>
  <c r="AV335" i="5" s="1"/>
  <c r="AU334" i="5"/>
  <c r="AU333" i="5"/>
  <c r="AU332" i="5"/>
  <c r="AU331" i="5"/>
  <c r="AU330" i="5"/>
  <c r="AU329" i="5"/>
  <c r="AU328" i="5"/>
  <c r="AU327" i="5"/>
  <c r="AU326" i="5"/>
  <c r="AU325" i="5"/>
  <c r="AU324" i="5"/>
  <c r="AU323" i="5"/>
  <c r="AU322" i="5"/>
  <c r="AU321" i="5"/>
  <c r="AU320" i="5"/>
  <c r="AU319" i="5"/>
  <c r="AU318" i="5"/>
  <c r="AU317" i="5"/>
  <c r="AU316" i="5"/>
  <c r="AU315" i="5"/>
  <c r="AU314" i="5"/>
  <c r="AU313" i="5"/>
  <c r="AU312" i="5"/>
  <c r="AU311" i="5"/>
  <c r="AU310" i="5"/>
  <c r="AU309" i="5"/>
  <c r="AU308" i="5"/>
  <c r="AU307" i="5"/>
  <c r="AU306" i="5"/>
  <c r="AU305" i="5"/>
  <c r="AU304" i="5"/>
  <c r="AU303" i="5"/>
  <c r="AU302" i="5"/>
  <c r="AU301" i="5"/>
  <c r="AU300" i="5"/>
  <c r="AU299" i="5"/>
  <c r="AU298" i="5"/>
  <c r="AU297" i="5"/>
  <c r="AU296" i="5"/>
  <c r="AU295" i="5"/>
  <c r="AU294" i="5"/>
  <c r="AU293" i="5"/>
  <c r="AU292" i="5"/>
  <c r="AU291" i="5"/>
  <c r="AU290" i="5"/>
  <c r="AU289" i="5"/>
  <c r="AU288" i="5"/>
  <c r="AU287" i="5"/>
  <c r="AU286" i="5"/>
  <c r="AU285" i="5"/>
  <c r="AU284" i="5"/>
  <c r="AU283" i="5"/>
  <c r="AU282" i="5"/>
  <c r="AU268" i="5"/>
  <c r="AU264" i="5"/>
  <c r="AU261" i="5"/>
  <c r="AU257" i="5"/>
  <c r="AU253" i="5"/>
  <c r="D252" i="5"/>
  <c r="CA252" i="5" s="1"/>
  <c r="V252" i="5"/>
  <c r="J252" i="5"/>
  <c r="I252" i="5"/>
  <c r="H252" i="5"/>
  <c r="G252" i="5"/>
  <c r="F252" i="5"/>
  <c r="E252" i="5"/>
  <c r="AS20" i="5"/>
  <c r="M11" i="5"/>
  <c r="M10" i="5"/>
  <c r="M7" i="5"/>
  <c r="M6" i="5"/>
  <c r="M2" i="5"/>
  <c r="M1" i="5"/>
  <c r="L10" i="5"/>
  <c r="L6" i="5"/>
  <c r="L1" i="5"/>
  <c r="V52" i="5"/>
  <c r="I52" i="5"/>
  <c r="E52" i="5"/>
  <c r="D52" i="5"/>
  <c r="V51" i="5"/>
  <c r="I51" i="5"/>
  <c r="E51" i="5"/>
  <c r="D51" i="5"/>
  <c r="V50" i="5"/>
  <c r="I50" i="5"/>
  <c r="E50" i="5"/>
  <c r="D50" i="5"/>
  <c r="V49" i="5"/>
  <c r="I49" i="5"/>
  <c r="E49" i="5"/>
  <c r="D49" i="5"/>
  <c r="V48" i="5"/>
  <c r="I48" i="5"/>
  <c r="E48" i="5"/>
  <c r="D48" i="5"/>
  <c r="V47" i="5"/>
  <c r="I47" i="5"/>
  <c r="E47" i="5"/>
  <c r="D47" i="5"/>
  <c r="V46" i="5"/>
  <c r="I46" i="5"/>
  <c r="E46" i="5"/>
  <c r="D46" i="5"/>
  <c r="V45" i="5"/>
  <c r="I45" i="5"/>
  <c r="E45" i="5"/>
  <c r="D45" i="5"/>
  <c r="V44" i="5"/>
  <c r="I44" i="5"/>
  <c r="E44" i="5"/>
  <c r="D44" i="5"/>
  <c r="V43" i="5"/>
  <c r="I43" i="5"/>
  <c r="E43" i="5"/>
  <c r="D43" i="5"/>
  <c r="V42" i="5"/>
  <c r="I42" i="5"/>
  <c r="E42" i="5"/>
  <c r="D42" i="5"/>
  <c r="V41" i="5"/>
  <c r="I41" i="5"/>
  <c r="E41" i="5"/>
  <c r="D41" i="5"/>
  <c r="V40" i="5"/>
  <c r="I40" i="5"/>
  <c r="E40" i="5"/>
  <c r="D40" i="5"/>
  <c r="V39" i="5"/>
  <c r="I39" i="5"/>
  <c r="E39" i="5"/>
  <c r="D39" i="5"/>
  <c r="V38" i="5"/>
  <c r="I38" i="5"/>
  <c r="E38" i="5"/>
  <c r="D38" i="5"/>
  <c r="V37" i="5"/>
  <c r="I37" i="5"/>
  <c r="E37" i="5"/>
  <c r="D37" i="5"/>
  <c r="CA37" i="5" s="1"/>
  <c r="V36" i="5"/>
  <c r="I36" i="5"/>
  <c r="E36" i="5"/>
  <c r="D36" i="5"/>
  <c r="CA36" i="5" s="1"/>
  <c r="CB36" i="5" s="1"/>
  <c r="V35" i="5"/>
  <c r="I35" i="5"/>
  <c r="E35" i="5"/>
  <c r="D35" i="5"/>
  <c r="CA35" i="5" s="1"/>
  <c r="CB35" i="5" s="1"/>
  <c r="V34" i="5"/>
  <c r="I34" i="5"/>
  <c r="E34" i="5"/>
  <c r="D34" i="5"/>
  <c r="V33" i="5"/>
  <c r="I33" i="5"/>
  <c r="E33" i="5"/>
  <c r="D33" i="5"/>
  <c r="V32" i="5"/>
  <c r="I32" i="5"/>
  <c r="E32" i="5"/>
  <c r="D32" i="5"/>
  <c r="V31" i="5"/>
  <c r="I31" i="5"/>
  <c r="E31" i="5"/>
  <c r="D31" i="5"/>
  <c r="V30" i="5"/>
  <c r="I30" i="5"/>
  <c r="E30" i="5"/>
  <c r="D30" i="5"/>
  <c r="V29" i="5"/>
  <c r="I29" i="5"/>
  <c r="E29" i="5"/>
  <c r="D29" i="5"/>
  <c r="V28" i="5"/>
  <c r="I28" i="5"/>
  <c r="E28" i="5"/>
  <c r="D28" i="5"/>
  <c r="CA28" i="5" s="1"/>
  <c r="V27" i="5"/>
  <c r="I27" i="5"/>
  <c r="E27" i="5"/>
  <c r="D27" i="5"/>
  <c r="CA27" i="5" s="1"/>
  <c r="V26" i="5"/>
  <c r="I26" i="5"/>
  <c r="E26" i="5"/>
  <c r="D26" i="5"/>
  <c r="CA26" i="5" s="1"/>
  <c r="V25" i="5"/>
  <c r="I25" i="5"/>
  <c r="E25" i="5"/>
  <c r="D25" i="5"/>
  <c r="V24" i="5"/>
  <c r="I24" i="5"/>
  <c r="E24" i="5"/>
  <c r="D24" i="5"/>
  <c r="V23" i="5"/>
  <c r="I23" i="5"/>
  <c r="E23" i="5"/>
  <c r="D23" i="5"/>
  <c r="AF22" i="5"/>
  <c r="V22" i="5"/>
  <c r="I22" i="5"/>
  <c r="E22" i="5"/>
  <c r="D22" i="5"/>
  <c r="CA22" i="5" s="1"/>
  <c r="CB22" i="5" s="1"/>
  <c r="AF21" i="5"/>
  <c r="V21" i="5"/>
  <c r="I21" i="5"/>
  <c r="E21" i="5"/>
  <c r="D21" i="5"/>
  <c r="CA21" i="5" s="1"/>
  <c r="AF20" i="5"/>
  <c r="V20" i="5"/>
  <c r="I20" i="5"/>
  <c r="E20" i="5"/>
  <c r="D20" i="5"/>
  <c r="CA20" i="5" s="1"/>
  <c r="AD141" i="5"/>
  <c r="AD144" i="5"/>
  <c r="AD145" i="5"/>
  <c r="AD146" i="5"/>
  <c r="AD147" i="5"/>
  <c r="AD140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BP474" i="20" l="1"/>
  <c r="BP448" i="20"/>
  <c r="BP436" i="20"/>
  <c r="BP419" i="20"/>
  <c r="BP354" i="20"/>
  <c r="BP349" i="20"/>
  <c r="BP318" i="20"/>
  <c r="BP272" i="20"/>
  <c r="BP483" i="20"/>
  <c r="BP407" i="20"/>
  <c r="BP382" i="20"/>
  <c r="BP472" i="20"/>
  <c r="BP417" i="20"/>
  <c r="BP491" i="20"/>
  <c r="BP468" i="20"/>
  <c r="BN482" i="20"/>
  <c r="BP482" i="20" s="1"/>
  <c r="BO482" i="20"/>
  <c r="BP481" i="20"/>
  <c r="BP446" i="20"/>
  <c r="BP361" i="20"/>
  <c r="BP360" i="20"/>
  <c r="BP493" i="20"/>
  <c r="BP476" i="20"/>
  <c r="BP427" i="20"/>
  <c r="BN488" i="20"/>
  <c r="BP488" i="20" s="1"/>
  <c r="BO488" i="20"/>
  <c r="BP449" i="20"/>
  <c r="BP443" i="20"/>
  <c r="BP437" i="20"/>
  <c r="BP426" i="20"/>
  <c r="BL308" i="20"/>
  <c r="BN308" i="20" s="1"/>
  <c r="BM308" i="20"/>
  <c r="BO308" i="20" s="1"/>
  <c r="BL260" i="20"/>
  <c r="BN260" i="20" s="1"/>
  <c r="BM260" i="20"/>
  <c r="BL246" i="20"/>
  <c r="BN246" i="20" s="1"/>
  <c r="BM246" i="20"/>
  <c r="BO246" i="20" s="1"/>
  <c r="BN395" i="20"/>
  <c r="BP395" i="20" s="1"/>
  <c r="BO395" i="20"/>
  <c r="BP387" i="20"/>
  <c r="BP302" i="20"/>
  <c r="BP280" i="20"/>
  <c r="BP276" i="20"/>
  <c r="BO474" i="20"/>
  <c r="BO466" i="20"/>
  <c r="BP466" i="20" s="1"/>
  <c r="BO425" i="20"/>
  <c r="BP425" i="20" s="1"/>
  <c r="BL376" i="20"/>
  <c r="BN376" i="20" s="1"/>
  <c r="BM376" i="20"/>
  <c r="BP371" i="20"/>
  <c r="BP367" i="20"/>
  <c r="BO352" i="20"/>
  <c r="BP352" i="20" s="1"/>
  <c r="BP312" i="20"/>
  <c r="BL290" i="20"/>
  <c r="BN290" i="20" s="1"/>
  <c r="BM290" i="20"/>
  <c r="BP259" i="20"/>
  <c r="BP228" i="20"/>
  <c r="BM444" i="20"/>
  <c r="BO444" i="20" s="1"/>
  <c r="BP444" i="20" s="1"/>
  <c r="BM438" i="20"/>
  <c r="BO438" i="20" s="1"/>
  <c r="BP438" i="20" s="1"/>
  <c r="BM418" i="20"/>
  <c r="BO418" i="20" s="1"/>
  <c r="BP418" i="20" s="1"/>
  <c r="BO411" i="20"/>
  <c r="BP411" i="20" s="1"/>
  <c r="BL401" i="20"/>
  <c r="BP394" i="20"/>
  <c r="BL390" i="20"/>
  <c r="BN390" i="20" s="1"/>
  <c r="BL383" i="20"/>
  <c r="BL347" i="20"/>
  <c r="BN347" i="20" s="1"/>
  <c r="BM347" i="20"/>
  <c r="BO347" i="20" s="1"/>
  <c r="BM289" i="20"/>
  <c r="BO289" i="20" s="1"/>
  <c r="BP289" i="20" s="1"/>
  <c r="BM251" i="20"/>
  <c r="BO251" i="20" s="1"/>
  <c r="BL251" i="20"/>
  <c r="BN251" i="20" s="1"/>
  <c r="BO228" i="20"/>
  <c r="BO390" i="20"/>
  <c r="BP355" i="20"/>
  <c r="BP316" i="20"/>
  <c r="BO274" i="20"/>
  <c r="BP264" i="20"/>
  <c r="BL235" i="20"/>
  <c r="BN235" i="20" s="1"/>
  <c r="BM235" i="20"/>
  <c r="BO235" i="20" s="1"/>
  <c r="BL227" i="20"/>
  <c r="BN227" i="20" s="1"/>
  <c r="BM227" i="20"/>
  <c r="BO227" i="20" s="1"/>
  <c r="BP193" i="20"/>
  <c r="BP188" i="20"/>
  <c r="BO476" i="20"/>
  <c r="BO468" i="20"/>
  <c r="BO431" i="20"/>
  <c r="BP431" i="20" s="1"/>
  <c r="BO407" i="20"/>
  <c r="BL379" i="20"/>
  <c r="BN379" i="20" s="1"/>
  <c r="BM379" i="20"/>
  <c r="BP375" i="20"/>
  <c r="BO370" i="20"/>
  <c r="BP370" i="20" s="1"/>
  <c r="BP346" i="20"/>
  <c r="BP306" i="20"/>
  <c r="BP263" i="20"/>
  <c r="BM234" i="20"/>
  <c r="BO234" i="20" s="1"/>
  <c r="BL234" i="20"/>
  <c r="BN234" i="20" s="1"/>
  <c r="BM208" i="20"/>
  <c r="BL208" i="20"/>
  <c r="BN208" i="20" s="1"/>
  <c r="BM490" i="20"/>
  <c r="BO490" i="20" s="1"/>
  <c r="BP490" i="20" s="1"/>
  <c r="BM424" i="20"/>
  <c r="BO424" i="20" s="1"/>
  <c r="BP424" i="20" s="1"/>
  <c r="BM417" i="20"/>
  <c r="BO417" i="20" s="1"/>
  <c r="BM378" i="20"/>
  <c r="BO378" i="20" s="1"/>
  <c r="BP378" i="20" s="1"/>
  <c r="BP350" i="20"/>
  <c r="BO345" i="20"/>
  <c r="BP345" i="20" s="1"/>
  <c r="BP341" i="20"/>
  <c r="BL336" i="20"/>
  <c r="BN336" i="20" s="1"/>
  <c r="BM336" i="20"/>
  <c r="BM332" i="20"/>
  <c r="BO332" i="20" s="1"/>
  <c r="BP332" i="20" s="1"/>
  <c r="BN294" i="20"/>
  <c r="BP294" i="20" s="1"/>
  <c r="BO294" i="20"/>
  <c r="BL268" i="20"/>
  <c r="BN268" i="20" s="1"/>
  <c r="BO263" i="20"/>
  <c r="BM446" i="20"/>
  <c r="BO446" i="20" s="1"/>
  <c r="BM440" i="20"/>
  <c r="BO440" i="20" s="1"/>
  <c r="BP440" i="20" s="1"/>
  <c r="BM434" i="20"/>
  <c r="BO434" i="20" s="1"/>
  <c r="BP434" i="20" s="1"/>
  <c r="BM410" i="20"/>
  <c r="BO410" i="20" s="1"/>
  <c r="BP410" i="20" s="1"/>
  <c r="BL393" i="20"/>
  <c r="BN393" i="20" s="1"/>
  <c r="BM393" i="20"/>
  <c r="BO393" i="20" s="1"/>
  <c r="BL374" i="20"/>
  <c r="BN374" i="20" s="1"/>
  <c r="BM374" i="20"/>
  <c r="BO374" i="20" s="1"/>
  <c r="BO358" i="20"/>
  <c r="BP358" i="20" s="1"/>
  <c r="BO335" i="20"/>
  <c r="BM315" i="20"/>
  <c r="BO315" i="20" s="1"/>
  <c r="BL310" i="20"/>
  <c r="BN310" i="20" s="1"/>
  <c r="BM299" i="20"/>
  <c r="BL299" i="20"/>
  <c r="BN299" i="20" s="1"/>
  <c r="BL293" i="20"/>
  <c r="BN293" i="20" s="1"/>
  <c r="BP262" i="20"/>
  <c r="BP207" i="20"/>
  <c r="BP369" i="20"/>
  <c r="BO361" i="20"/>
  <c r="BP335" i="20"/>
  <c r="BL323" i="20"/>
  <c r="BN323" i="20" s="1"/>
  <c r="BM323" i="20"/>
  <c r="BO323" i="20" s="1"/>
  <c r="BP315" i="20"/>
  <c r="BO293" i="20"/>
  <c r="BO272" i="20"/>
  <c r="BP255" i="20"/>
  <c r="BM485" i="20"/>
  <c r="BO485" i="20" s="1"/>
  <c r="BP485" i="20" s="1"/>
  <c r="BM423" i="20"/>
  <c r="BO423" i="20" s="1"/>
  <c r="BP423" i="20" s="1"/>
  <c r="BL399" i="20"/>
  <c r="BN399" i="20" s="1"/>
  <c r="BM399" i="20"/>
  <c r="BO399" i="20" s="1"/>
  <c r="BP392" i="20"/>
  <c r="BM385" i="20"/>
  <c r="BO385" i="20" s="1"/>
  <c r="BP385" i="20" s="1"/>
  <c r="BO373" i="20"/>
  <c r="BP373" i="20" s="1"/>
  <c r="BP368" i="20"/>
  <c r="BP365" i="20"/>
  <c r="BL339" i="20"/>
  <c r="BN339" i="20" s="1"/>
  <c r="BL322" i="20"/>
  <c r="BN322" i="20" s="1"/>
  <c r="BM322" i="20"/>
  <c r="BO298" i="20"/>
  <c r="BP298" i="20" s="1"/>
  <c r="BM214" i="20"/>
  <c r="BL214" i="20"/>
  <c r="BN214" i="20" s="1"/>
  <c r="BM487" i="20"/>
  <c r="BO487" i="20" s="1"/>
  <c r="BP487" i="20" s="1"/>
  <c r="BM475" i="20"/>
  <c r="BO475" i="20" s="1"/>
  <c r="BP475" i="20" s="1"/>
  <c r="BM467" i="20"/>
  <c r="BO467" i="20" s="1"/>
  <c r="BP467" i="20" s="1"/>
  <c r="BM433" i="20"/>
  <c r="BO433" i="20" s="1"/>
  <c r="BP433" i="20" s="1"/>
  <c r="BM416" i="20"/>
  <c r="BO416" i="20" s="1"/>
  <c r="BP416" i="20" s="1"/>
  <c r="BM409" i="20"/>
  <c r="BO409" i="20" s="1"/>
  <c r="BP409" i="20" s="1"/>
  <c r="BM349" i="20"/>
  <c r="BO349" i="20" s="1"/>
  <c r="BO339" i="20"/>
  <c r="BM321" i="20"/>
  <c r="BO321" i="20" s="1"/>
  <c r="BP314" i="20"/>
  <c r="BP254" i="20"/>
  <c r="BL221" i="20"/>
  <c r="BN221" i="20" s="1"/>
  <c r="BM221" i="20"/>
  <c r="BM213" i="20"/>
  <c r="BO213" i="20" s="1"/>
  <c r="BP213" i="20" s="1"/>
  <c r="BM448" i="20"/>
  <c r="BO448" i="20" s="1"/>
  <c r="BM442" i="20"/>
  <c r="BO442" i="20" s="1"/>
  <c r="BP442" i="20" s="1"/>
  <c r="BM436" i="20"/>
  <c r="BO436" i="20" s="1"/>
  <c r="BM426" i="20"/>
  <c r="BO426" i="20" s="1"/>
  <c r="BL388" i="20"/>
  <c r="BN388" i="20" s="1"/>
  <c r="BM388" i="20"/>
  <c r="BO388" i="20" s="1"/>
  <c r="BP356" i="20"/>
  <c r="BP353" i="20"/>
  <c r="BP330" i="20"/>
  <c r="BP321" i="20"/>
  <c r="BM318" i="20"/>
  <c r="BO318" i="20" s="1"/>
  <c r="BO220" i="20"/>
  <c r="BP220" i="20" s="1"/>
  <c r="BM400" i="20"/>
  <c r="BO400" i="20" s="1"/>
  <c r="BP400" i="20" s="1"/>
  <c r="BM382" i="20"/>
  <c r="BO382" i="20" s="1"/>
  <c r="BM372" i="20"/>
  <c r="BO372" i="20" s="1"/>
  <c r="BP372" i="20" s="1"/>
  <c r="BM369" i="20"/>
  <c r="BO369" i="20" s="1"/>
  <c r="BM363" i="20"/>
  <c r="BO363" i="20" s="1"/>
  <c r="BP363" i="20" s="1"/>
  <c r="BM357" i="20"/>
  <c r="BO357" i="20" s="1"/>
  <c r="BP357" i="20" s="1"/>
  <c r="BM351" i="20"/>
  <c r="BO351" i="20" s="1"/>
  <c r="BP351" i="20" s="1"/>
  <c r="BM341" i="20"/>
  <c r="BO341" i="20" s="1"/>
  <c r="BO305" i="20"/>
  <c r="BP305" i="20" s="1"/>
  <c r="BP301" i="20"/>
  <c r="BP284" i="20"/>
  <c r="BP267" i="20"/>
  <c r="BO262" i="20"/>
  <c r="BO258" i="20"/>
  <c r="BM254" i="20"/>
  <c r="BO254" i="20" s="1"/>
  <c r="BM244" i="20"/>
  <c r="BO244" i="20" s="1"/>
  <c r="BP244" i="20" s="1"/>
  <c r="BP233" i="20"/>
  <c r="BM226" i="20"/>
  <c r="BO226" i="20" s="1"/>
  <c r="BL226" i="20"/>
  <c r="BN226" i="20" s="1"/>
  <c r="BP197" i="20"/>
  <c r="BP192" i="20"/>
  <c r="BP168" i="20"/>
  <c r="BO402" i="20"/>
  <c r="BP402" i="20" s="1"/>
  <c r="BO366" i="20"/>
  <c r="BP366" i="20" s="1"/>
  <c r="BO360" i="20"/>
  <c r="BO354" i="20"/>
  <c r="BM348" i="20"/>
  <c r="BO348" i="20" s="1"/>
  <c r="BP348" i="20" s="1"/>
  <c r="BP331" i="20"/>
  <c r="BO327" i="20"/>
  <c r="BP327" i="20" s="1"/>
  <c r="BM313" i="20"/>
  <c r="BO313" i="20" s="1"/>
  <c r="BP313" i="20" s="1"/>
  <c r="BP309" i="20"/>
  <c r="BO296" i="20"/>
  <c r="BP296" i="20" s="1"/>
  <c r="BL292" i="20"/>
  <c r="BP288" i="20"/>
  <c r="BO275" i="20"/>
  <c r="BP275" i="20" s="1"/>
  <c r="BP271" i="20"/>
  <c r="BO232" i="20"/>
  <c r="BM225" i="20"/>
  <c r="BO225" i="20" s="1"/>
  <c r="BL219" i="20"/>
  <c r="BN219" i="20" s="1"/>
  <c r="BM219" i="20"/>
  <c r="BO219" i="20" s="1"/>
  <c r="BL212" i="20"/>
  <c r="BN212" i="20" s="1"/>
  <c r="BO201" i="20"/>
  <c r="BP201" i="20" s="1"/>
  <c r="BO196" i="20"/>
  <c r="BP196" i="20" s="1"/>
  <c r="BO172" i="20"/>
  <c r="BP172" i="20" s="1"/>
  <c r="BO384" i="20"/>
  <c r="BP384" i="20" s="1"/>
  <c r="BO337" i="20"/>
  <c r="BP337" i="20" s="1"/>
  <c r="BO330" i="20"/>
  <c r="BP279" i="20"/>
  <c r="BO266" i="20"/>
  <c r="BP266" i="20" s="1"/>
  <c r="BP258" i="20"/>
  <c r="BL249" i="20"/>
  <c r="BN249" i="20" s="1"/>
  <c r="BM249" i="20"/>
  <c r="BO249" i="20" s="1"/>
  <c r="BP232" i="20"/>
  <c r="BP225" i="20"/>
  <c r="BM218" i="20"/>
  <c r="BL218" i="20"/>
  <c r="BN218" i="20" s="1"/>
  <c r="BM344" i="20"/>
  <c r="BO344" i="20" s="1"/>
  <c r="BP344" i="20" s="1"/>
  <c r="BL304" i="20"/>
  <c r="BN304" i="20" s="1"/>
  <c r="BP300" i="20"/>
  <c r="BO287" i="20"/>
  <c r="BP287" i="20" s="1"/>
  <c r="BP283" i="20"/>
  <c r="BL257" i="20"/>
  <c r="BN257" i="20" s="1"/>
  <c r="BM253" i="20"/>
  <c r="BO253" i="20" s="1"/>
  <c r="BP253" i="20" s="1"/>
  <c r="BL248" i="20"/>
  <c r="BN248" i="20" s="1"/>
  <c r="BL243" i="20"/>
  <c r="BN243" i="20" s="1"/>
  <c r="BM243" i="20"/>
  <c r="BL238" i="20"/>
  <c r="BN238" i="20" s="1"/>
  <c r="BM238" i="20"/>
  <c r="BO238" i="20" s="1"/>
  <c r="BM217" i="20"/>
  <c r="BO217" i="20" s="1"/>
  <c r="BP217" i="20" s="1"/>
  <c r="BL211" i="20"/>
  <c r="BN211" i="20" s="1"/>
  <c r="BM211" i="20"/>
  <c r="BO205" i="20"/>
  <c r="BO386" i="20"/>
  <c r="BP386" i="20" s="1"/>
  <c r="BP381" i="20"/>
  <c r="BO365" i="20"/>
  <c r="BO359" i="20"/>
  <c r="BP359" i="20" s="1"/>
  <c r="BO353" i="20"/>
  <c r="BM295" i="20"/>
  <c r="BO295" i="20" s="1"/>
  <c r="BP295" i="20" s="1"/>
  <c r="BO278" i="20"/>
  <c r="BP278" i="20" s="1"/>
  <c r="BL274" i="20"/>
  <c r="BN274" i="20" s="1"/>
  <c r="BP270" i="20"/>
  <c r="BO257" i="20"/>
  <c r="BM237" i="20"/>
  <c r="BO237" i="20" s="1"/>
  <c r="BP237" i="20" s="1"/>
  <c r="BL231" i="20"/>
  <c r="BN231" i="20" s="1"/>
  <c r="BM231" i="20"/>
  <c r="BO231" i="20" s="1"/>
  <c r="BL224" i="20"/>
  <c r="BN224" i="20" s="1"/>
  <c r="BM210" i="20"/>
  <c r="BL210" i="20"/>
  <c r="BN210" i="20" s="1"/>
  <c r="BP205" i="20"/>
  <c r="BP200" i="20"/>
  <c r="BP176" i="20"/>
  <c r="BP286" i="20"/>
  <c r="BM230" i="20"/>
  <c r="BL230" i="20"/>
  <c r="BN230" i="20" s="1"/>
  <c r="BP343" i="20"/>
  <c r="BP329" i="20"/>
  <c r="BP319" i="20"/>
  <c r="BP303" i="20"/>
  <c r="BP282" i="20"/>
  <c r="BO269" i="20"/>
  <c r="BP269" i="20" s="1"/>
  <c r="BP265" i="20"/>
  <c r="BP247" i="20"/>
  <c r="BP242" i="20"/>
  <c r="BL223" i="20"/>
  <c r="BN223" i="20" s="1"/>
  <c r="BM223" i="20"/>
  <c r="BO223" i="20" s="1"/>
  <c r="BP216" i="20"/>
  <c r="BP209" i="20"/>
  <c r="BP204" i="20"/>
  <c r="BP180" i="20"/>
  <c r="BO311" i="20"/>
  <c r="BP311" i="20" s="1"/>
  <c r="BP307" i="20"/>
  <c r="BL281" i="20"/>
  <c r="BN281" i="20" s="1"/>
  <c r="BM277" i="20"/>
  <c r="BO277" i="20" s="1"/>
  <c r="BL256" i="20"/>
  <c r="BN256" i="20" s="1"/>
  <c r="BP252" i="20"/>
  <c r="BL241" i="20"/>
  <c r="BN241" i="20" s="1"/>
  <c r="BM241" i="20"/>
  <c r="BO241" i="20" s="1"/>
  <c r="BL236" i="20"/>
  <c r="BN236" i="20" s="1"/>
  <c r="BP229" i="20"/>
  <c r="BM222" i="20"/>
  <c r="BL222" i="20"/>
  <c r="BN222" i="20" s="1"/>
  <c r="BP277" i="20"/>
  <c r="BL215" i="20"/>
  <c r="BN215" i="20" s="1"/>
  <c r="BM215" i="20"/>
  <c r="BO215" i="20" s="1"/>
  <c r="BP184" i="20"/>
  <c r="BO309" i="20"/>
  <c r="BO303" i="20"/>
  <c r="BO297" i="20"/>
  <c r="BP297" i="20" s="1"/>
  <c r="BO291" i="20"/>
  <c r="BP291" i="20" s="1"/>
  <c r="BO285" i="20"/>
  <c r="BP285" i="20" s="1"/>
  <c r="BO279" i="20"/>
  <c r="BO273" i="20"/>
  <c r="BP273" i="20" s="1"/>
  <c r="BO267" i="20"/>
  <c r="BO261" i="20"/>
  <c r="BP261" i="20" s="1"/>
  <c r="BO255" i="20"/>
  <c r="BP239" i="20"/>
  <c r="BO207" i="20"/>
  <c r="BO203" i="20"/>
  <c r="BP203" i="20" s="1"/>
  <c r="BO199" i="20"/>
  <c r="BP199" i="20" s="1"/>
  <c r="BO195" i="20"/>
  <c r="BP195" i="20" s="1"/>
  <c r="BO191" i="20"/>
  <c r="BP191" i="20" s="1"/>
  <c r="BO187" i="20"/>
  <c r="BP187" i="20" s="1"/>
  <c r="BO183" i="20"/>
  <c r="BP183" i="20" s="1"/>
  <c r="BO179" i="20"/>
  <c r="BP179" i="20" s="1"/>
  <c r="BO175" i="20"/>
  <c r="BO171" i="20"/>
  <c r="BO167" i="20"/>
  <c r="BP175" i="20"/>
  <c r="BP171" i="20"/>
  <c r="BP167" i="20"/>
  <c r="BO333" i="20"/>
  <c r="BO325" i="20"/>
  <c r="BP325" i="20" s="1"/>
  <c r="BO317" i="20"/>
  <c r="BP317" i="20" s="1"/>
  <c r="BM245" i="20"/>
  <c r="BO245" i="20" s="1"/>
  <c r="BP333" i="20"/>
  <c r="BP245" i="20"/>
  <c r="BP206" i="20"/>
  <c r="BP202" i="20"/>
  <c r="BP198" i="20"/>
  <c r="BP194" i="20"/>
  <c r="BP190" i="20"/>
  <c r="BP186" i="20"/>
  <c r="BP182" i="20"/>
  <c r="BP178" i="20"/>
  <c r="BP174" i="20"/>
  <c r="BP170" i="20"/>
  <c r="BP166" i="20"/>
  <c r="BP185" i="20"/>
  <c r="BP181" i="20"/>
  <c r="BP177" i="20"/>
  <c r="BP173" i="20"/>
  <c r="BP169" i="20"/>
  <c r="BP165" i="20"/>
  <c r="BP154" i="20"/>
  <c r="BM164" i="20"/>
  <c r="BO164" i="20" s="1"/>
  <c r="BP164" i="20" s="1"/>
  <c r="BM162" i="20"/>
  <c r="BO162" i="20" s="1"/>
  <c r="BP162" i="20" s="1"/>
  <c r="BM160" i="20"/>
  <c r="BO160" i="20" s="1"/>
  <c r="BP160" i="20" s="1"/>
  <c r="BM158" i="20"/>
  <c r="BO158" i="20" s="1"/>
  <c r="BP158" i="20" s="1"/>
  <c r="BM156" i="20"/>
  <c r="BO156" i="20" s="1"/>
  <c r="BP156" i="20" s="1"/>
  <c r="BM154" i="20"/>
  <c r="BO154" i="20" s="1"/>
  <c r="BM163" i="20"/>
  <c r="BO163" i="20" s="1"/>
  <c r="BP163" i="20" s="1"/>
  <c r="BM161" i="20"/>
  <c r="BO161" i="20" s="1"/>
  <c r="BP161" i="20" s="1"/>
  <c r="BM159" i="20"/>
  <c r="BO159" i="20" s="1"/>
  <c r="BP159" i="20" s="1"/>
  <c r="BM157" i="20"/>
  <c r="BO157" i="20" s="1"/>
  <c r="BP157" i="20" s="1"/>
  <c r="BM155" i="20"/>
  <c r="BO155" i="20" s="1"/>
  <c r="BP155" i="20" s="1"/>
  <c r="BM153" i="20"/>
  <c r="BO153" i="20" s="1"/>
  <c r="BP153" i="20" s="1"/>
  <c r="BE199" i="20"/>
  <c r="CD164" i="20"/>
  <c r="CE164" i="20" s="1"/>
  <c r="CD163" i="20"/>
  <c r="CE163" i="20" s="1"/>
  <c r="CD158" i="20"/>
  <c r="CE158" i="20" s="1"/>
  <c r="FY165" i="20"/>
  <c r="FY134" i="20"/>
  <c r="FY112" i="20"/>
  <c r="FY109" i="20"/>
  <c r="FY104" i="20"/>
  <c r="FY76" i="20"/>
  <c r="FY68" i="20"/>
  <c r="CD63" i="20"/>
  <c r="CE63" i="20" s="1"/>
  <c r="CD85" i="20"/>
  <c r="CE85" i="20" s="1"/>
  <c r="CD72" i="20"/>
  <c r="CE72" i="20" s="1"/>
  <c r="FY70" i="20"/>
  <c r="CD74" i="20"/>
  <c r="CE74" i="20" s="1"/>
  <c r="FY75" i="20"/>
  <c r="FY73" i="20"/>
  <c r="DM31" i="21"/>
  <c r="EY64" i="21"/>
  <c r="CW81" i="21"/>
  <c r="FJ81" i="21"/>
  <c r="DI26" i="21"/>
  <c r="AN26" i="21"/>
  <c r="AK26" i="21"/>
  <c r="EE26" i="21"/>
  <c r="DL26" i="21"/>
  <c r="L26" i="21"/>
  <c r="GA26" i="21"/>
  <c r="I26" i="21"/>
  <c r="DM39" i="21"/>
  <c r="DM44" i="21"/>
  <c r="CV81" i="21"/>
  <c r="FH81" i="21"/>
  <c r="BA22" i="21"/>
  <c r="BB22" i="21" s="1"/>
  <c r="X22" i="21"/>
  <c r="DM27" i="21"/>
  <c r="M39" i="21"/>
  <c r="BF39" i="21" s="1"/>
  <c r="DJ39" i="21"/>
  <c r="AX39" i="21"/>
  <c r="CI41" i="21"/>
  <c r="DM20" i="21"/>
  <c r="BC21" i="21"/>
  <c r="EL54" i="21"/>
  <c r="EK54" i="21" s="1"/>
  <c r="Y54" i="21"/>
  <c r="EL55" i="21"/>
  <c r="EK55" i="21" s="1"/>
  <c r="Y55" i="21"/>
  <c r="BA28" i="21"/>
  <c r="BB28" i="21" s="1"/>
  <c r="BC28" i="21" s="1"/>
  <c r="X28" i="21"/>
  <c r="EG56" i="21"/>
  <c r="EH56" i="21"/>
  <c r="FJ93" i="21"/>
  <c r="CW93" i="21"/>
  <c r="ET23" i="21"/>
  <c r="EU23" i="21" s="1"/>
  <c r="EV23" i="21" s="1"/>
  <c r="BM28" i="21"/>
  <c r="BL28" i="21"/>
  <c r="BN28" i="21" s="1"/>
  <c r="BO37" i="21"/>
  <c r="DP50" i="21"/>
  <c r="DQ50" i="21"/>
  <c r="DO50" i="21"/>
  <c r="FI56" i="21"/>
  <c r="CX56" i="21"/>
  <c r="BZ68" i="21"/>
  <c r="FX68" i="21"/>
  <c r="GA68" i="21" s="1"/>
  <c r="CS68" i="21" s="1"/>
  <c r="AN68" i="21"/>
  <c r="BR68" i="21"/>
  <c r="DZ68" i="21" s="1"/>
  <c r="EB68" i="21" s="1"/>
  <c r="CA68" i="21"/>
  <c r="BK68" i="21"/>
  <c r="FI79" i="21"/>
  <c r="CX79" i="21"/>
  <c r="CU56" i="21"/>
  <c r="FG56" i="21"/>
  <c r="BA33" i="21"/>
  <c r="BB33" i="21" s="1"/>
  <c r="X33" i="21"/>
  <c r="AY83" i="21"/>
  <c r="DJ124" i="21"/>
  <c r="EY124" i="21" s="1"/>
  <c r="AX124" i="21"/>
  <c r="CM124" i="21" s="1"/>
  <c r="EH24" i="21"/>
  <c r="AN35" i="21"/>
  <c r="EE35" i="21"/>
  <c r="BK35" i="21"/>
  <c r="FX35" i="21"/>
  <c r="GA35" i="21" s="1"/>
  <c r="CA35" i="21"/>
  <c r="DJ42" i="21"/>
  <c r="AX42" i="21"/>
  <c r="M42" i="21"/>
  <c r="EH45" i="21"/>
  <c r="BM47" i="21"/>
  <c r="BL47" i="21"/>
  <c r="BN47" i="21" s="1"/>
  <c r="FX53" i="21"/>
  <c r="GA53" i="21" s="1"/>
  <c r="CS53" i="21" s="1"/>
  <c r="CA53" i="21"/>
  <c r="BZ53" i="21"/>
  <c r="BR53" i="21"/>
  <c r="DZ53" i="21" s="1"/>
  <c r="EB53" i="21" s="1"/>
  <c r="AX59" i="21"/>
  <c r="CM59" i="21" s="1"/>
  <c r="DJ59" i="21"/>
  <c r="DJ84" i="21"/>
  <c r="AX84" i="21"/>
  <c r="CM84" i="21" s="1"/>
  <c r="BA24" i="21"/>
  <c r="BB24" i="21" s="1"/>
  <c r="X24" i="21"/>
  <c r="Y29" i="21"/>
  <c r="CG30" i="21"/>
  <c r="FY30" i="21"/>
  <c r="AZ35" i="21"/>
  <c r="BC35" i="21" s="1"/>
  <c r="BE35" i="21"/>
  <c r="EE59" i="21"/>
  <c r="U59" i="21"/>
  <c r="AY59" i="21" s="1"/>
  <c r="FI60" i="21"/>
  <c r="CX60" i="21"/>
  <c r="AL68" i="21"/>
  <c r="U68" i="21"/>
  <c r="AY68" i="21" s="1"/>
  <c r="T68" i="21"/>
  <c r="CU101" i="21"/>
  <c r="FG101" i="21"/>
  <c r="CX135" i="21"/>
  <c r="FI135" i="21"/>
  <c r="EE23" i="21"/>
  <c r="AK23" i="21"/>
  <c r="GA23" i="21"/>
  <c r="DL23" i="21"/>
  <c r="DQ23" i="21" s="1"/>
  <c r="CA26" i="21"/>
  <c r="BZ26" i="21"/>
  <c r="CB26" i="21" s="1"/>
  <c r="CI26" i="21" s="1"/>
  <c r="BK26" i="21"/>
  <c r="AN30" i="21"/>
  <c r="EE30" i="21"/>
  <c r="AK30" i="21"/>
  <c r="GA30" i="21"/>
  <c r="U35" i="21"/>
  <c r="AY35" i="21" s="1"/>
  <c r="CH36" i="21"/>
  <c r="BK45" i="21"/>
  <c r="CA45" i="21"/>
  <c r="BZ45" i="21"/>
  <c r="CB45" i="21" s="1"/>
  <c r="CI45" i="21" s="1"/>
  <c r="FX45" i="21"/>
  <c r="GA45" i="21" s="1"/>
  <c r="BR45" i="21"/>
  <c r="DZ45" i="21" s="1"/>
  <c r="EB45" i="21" s="1"/>
  <c r="O59" i="21"/>
  <c r="CX69" i="21"/>
  <c r="BA95" i="21"/>
  <c r="BB95" i="21" s="1"/>
  <c r="W134" i="21"/>
  <c r="V14" i="21"/>
  <c r="V15" i="21"/>
  <c r="CI20" i="21"/>
  <c r="CK20" i="21" s="1"/>
  <c r="AM22" i="21"/>
  <c r="AL22" i="21"/>
  <c r="AQ22" i="21" s="1"/>
  <c r="I23" i="21"/>
  <c r="AZ26" i="21"/>
  <c r="BE26" i="21"/>
  <c r="I30" i="21"/>
  <c r="BA35" i="21"/>
  <c r="BB35" i="21" s="1"/>
  <c r="X35" i="21"/>
  <c r="AZ42" i="21"/>
  <c r="U42" i="21"/>
  <c r="AY42" i="21" s="1"/>
  <c r="BE45" i="21"/>
  <c r="CG46" i="21"/>
  <c r="CH46" i="21" s="1"/>
  <c r="CI46" i="21" s="1"/>
  <c r="T53" i="21"/>
  <c r="X95" i="21"/>
  <c r="L23" i="21"/>
  <c r="U26" i="21"/>
  <c r="AY26" i="21" s="1"/>
  <c r="BC27" i="21"/>
  <c r="AL29" i="21"/>
  <c r="L30" i="21"/>
  <c r="AZ39" i="21"/>
  <c r="W39" i="21"/>
  <c r="U45" i="21"/>
  <c r="AY45" i="21" s="1"/>
  <c r="AZ45" i="21" s="1"/>
  <c r="EL47" i="21"/>
  <c r="EK47" i="21" s="1"/>
  <c r="Y47" i="21"/>
  <c r="EH51" i="21"/>
  <c r="U53" i="21"/>
  <c r="AY53" i="21" s="1"/>
  <c r="BA77" i="21"/>
  <c r="BB77" i="21" s="1"/>
  <c r="FG80" i="21"/>
  <c r="CU80" i="21"/>
  <c r="CX80" i="21"/>
  <c r="FI80" i="21"/>
  <c r="EZ98" i="21"/>
  <c r="EU98" i="21"/>
  <c r="EV98" i="21" s="1"/>
  <c r="ET98" i="21"/>
  <c r="AL24" i="21"/>
  <c r="BA26" i="21"/>
  <c r="BB26" i="21" s="1"/>
  <c r="X26" i="21"/>
  <c r="CA30" i="21"/>
  <c r="BZ30" i="21"/>
  <c r="CB30" i="21" s="1"/>
  <c r="CI30" i="21" s="1"/>
  <c r="BR30" i="21"/>
  <c r="DZ30" i="21" s="1"/>
  <c r="EB30" i="21" s="1"/>
  <c r="EH30" i="21" s="1"/>
  <c r="FX30" i="21"/>
  <c r="BK30" i="21"/>
  <c r="AN32" i="21"/>
  <c r="EE32" i="21"/>
  <c r="AK32" i="21"/>
  <c r="GA32" i="21"/>
  <c r="DL32" i="21"/>
  <c r="DI32" i="21"/>
  <c r="L32" i="21"/>
  <c r="I32" i="21"/>
  <c r="BA45" i="21"/>
  <c r="X45" i="21"/>
  <c r="BA53" i="21"/>
  <c r="BB53" i="21" s="1"/>
  <c r="X53" i="21"/>
  <c r="T59" i="21"/>
  <c r="GA73" i="21"/>
  <c r="CS73" i="21" s="1"/>
  <c r="X77" i="21"/>
  <c r="CM95" i="21"/>
  <c r="CS95" i="21"/>
  <c r="CU134" i="21"/>
  <c r="FG134" i="21"/>
  <c r="U23" i="21"/>
  <c r="AY23" i="21" s="1"/>
  <c r="AZ23" i="21" s="1"/>
  <c r="BE23" i="21"/>
  <c r="DM42" i="21"/>
  <c r="BR51" i="21"/>
  <c r="DZ51" i="21" s="1"/>
  <c r="EB51" i="21" s="1"/>
  <c r="CA51" i="21"/>
  <c r="BZ51" i="21"/>
  <c r="BE51" i="21"/>
  <c r="ET65" i="21"/>
  <c r="EU65" i="21" s="1"/>
  <c r="EV65" i="21" s="1"/>
  <c r="AM77" i="21"/>
  <c r="AL77" i="21"/>
  <c r="CS148" i="21"/>
  <c r="CM284" i="21"/>
  <c r="EE40" i="21"/>
  <c r="AN40" i="21"/>
  <c r="AK40" i="21"/>
  <c r="GA40" i="21"/>
  <c r="ET46" i="21"/>
  <c r="EU46" i="21" s="1"/>
  <c r="EV46" i="21" s="1"/>
  <c r="U61" i="21"/>
  <c r="AY61" i="21" s="1"/>
  <c r="EE61" i="21"/>
  <c r="T61" i="21"/>
  <c r="O61" i="21"/>
  <c r="O89" i="21"/>
  <c r="EE89" i="21" s="1"/>
  <c r="T89" i="21"/>
  <c r="X30" i="21"/>
  <c r="BA30" i="21"/>
  <c r="X51" i="21"/>
  <c r="T54" i="21"/>
  <c r="FJ60" i="21"/>
  <c r="CW60" i="21"/>
  <c r="DM162" i="21"/>
  <c r="AN23" i="21"/>
  <c r="BP33" i="21"/>
  <c r="EI33" i="21" s="1"/>
  <c r="I34" i="21"/>
  <c r="DL34" i="21"/>
  <c r="EE36" i="21"/>
  <c r="AK36" i="21"/>
  <c r="L36" i="21"/>
  <c r="AN36" i="21"/>
  <c r="DL36" i="21"/>
  <c r="DI36" i="21"/>
  <c r="I36" i="21"/>
  <c r="AL39" i="21"/>
  <c r="L40" i="21"/>
  <c r="BK53" i="21"/>
  <c r="BM53" i="21" s="1"/>
  <c r="O54" i="21"/>
  <c r="DL57" i="21"/>
  <c r="AK57" i="21"/>
  <c r="AM57" i="21" s="1"/>
  <c r="GA57" i="21"/>
  <c r="CS57" i="21" s="1"/>
  <c r="AN57" i="21"/>
  <c r="L57" i="21"/>
  <c r="DY78" i="21"/>
  <c r="BZ78" i="21"/>
  <c r="CB78" i="21" s="1"/>
  <c r="CI78" i="21" s="1"/>
  <c r="CK78" i="21" s="1"/>
  <c r="CP78" i="21" s="1"/>
  <c r="BA129" i="21"/>
  <c r="BB129" i="21" s="1"/>
  <c r="CA157" i="21"/>
  <c r="U157" i="21"/>
  <c r="BR157" i="21"/>
  <c r="DZ157" i="21" s="1"/>
  <c r="EB157" i="21" s="1"/>
  <c r="T157" i="21"/>
  <c r="BE157" i="21"/>
  <c r="FX157" i="21"/>
  <c r="GA157" i="21" s="1"/>
  <c r="BL24" i="21"/>
  <c r="BN24" i="21" s="1"/>
  <c r="BO33" i="21"/>
  <c r="BL37" i="21"/>
  <c r="BN37" i="21" s="1"/>
  <c r="BE42" i="21"/>
  <c r="DM47" i="21"/>
  <c r="BL53" i="21"/>
  <c r="BN53" i="21" s="1"/>
  <c r="CU57" i="21"/>
  <c r="FG57" i="21"/>
  <c r="CA65" i="21"/>
  <c r="BZ65" i="21"/>
  <c r="CB65" i="21" s="1"/>
  <c r="CI65" i="21" s="1"/>
  <c r="CK65" i="21" s="1"/>
  <c r="CP65" i="21" s="1"/>
  <c r="BR65" i="21"/>
  <c r="DZ65" i="21" s="1"/>
  <c r="EB65" i="21" s="1"/>
  <c r="FX65" i="21"/>
  <c r="AK86" i="21"/>
  <c r="DI86" i="21"/>
  <c r="L86" i="21"/>
  <c r="DL86" i="21"/>
  <c r="U89" i="21"/>
  <c r="AY89" i="21" s="1"/>
  <c r="EE97" i="21"/>
  <c r="FI115" i="21"/>
  <c r="CX115" i="21"/>
  <c r="DM38" i="21"/>
  <c r="CA40" i="21"/>
  <c r="BZ40" i="21"/>
  <c r="BR40" i="21"/>
  <c r="DZ40" i="21" s="1"/>
  <c r="EB40" i="21" s="1"/>
  <c r="EH40" i="21" s="1"/>
  <c r="BK40" i="21"/>
  <c r="DJ86" i="21"/>
  <c r="AX86" i="21"/>
  <c r="CM86" i="21" s="1"/>
  <c r="X89" i="21"/>
  <c r="BA89" i="21"/>
  <c r="BB89" i="21" s="1"/>
  <c r="T97" i="21"/>
  <c r="AM105" i="21"/>
  <c r="AT21" i="21"/>
  <c r="DU21" i="21" s="1"/>
  <c r="EM21" i="21" s="1"/>
  <c r="EP21" i="21" s="1"/>
  <c r="EQ21" i="21" s="1"/>
  <c r="BM23" i="21"/>
  <c r="BO23" i="21" s="1"/>
  <c r="BL23" i="21"/>
  <c r="BN23" i="21" s="1"/>
  <c r="BR26" i="21"/>
  <c r="DZ26" i="21" s="1"/>
  <c r="EB26" i="21" s="1"/>
  <c r="EH26" i="21" s="1"/>
  <c r="M27" i="21"/>
  <c r="DJ27" i="21"/>
  <c r="BE40" i="21"/>
  <c r="U40" i="21"/>
  <c r="AY40" i="21" s="1"/>
  <c r="AZ40" i="21" s="1"/>
  <c r="BO44" i="21"/>
  <c r="BP44" i="21" s="1"/>
  <c r="EI44" i="21" s="1"/>
  <c r="BF48" i="21"/>
  <c r="EH49" i="21"/>
  <c r="BA51" i="21"/>
  <c r="EL52" i="21"/>
  <c r="U54" i="21"/>
  <c r="AY54" i="21" s="1"/>
  <c r="BR57" i="21"/>
  <c r="DZ57" i="21" s="1"/>
  <c r="EB57" i="21" s="1"/>
  <c r="CA57" i="21"/>
  <c r="BZ57" i="21"/>
  <c r="CB57" i="21" s="1"/>
  <c r="CI57" i="21" s="1"/>
  <c r="CK57" i="21" s="1"/>
  <c r="CP57" i="21" s="1"/>
  <c r="BK57" i="21"/>
  <c r="L66" i="21"/>
  <c r="DL66" i="21"/>
  <c r="AN66" i="21"/>
  <c r="AK66" i="21"/>
  <c r="AM66" i="21" s="1"/>
  <c r="DI66" i="21"/>
  <c r="EE79" i="21"/>
  <c r="U79" i="21"/>
  <c r="AY79" i="21" s="1"/>
  <c r="U86" i="21"/>
  <c r="AY86" i="21" s="1"/>
  <c r="T86" i="21"/>
  <c r="O86" i="21"/>
  <c r="EE86" i="21"/>
  <c r="X97" i="21"/>
  <c r="BA97" i="21"/>
  <c r="CW125" i="21"/>
  <c r="BE30" i="21"/>
  <c r="AZ30" i="21"/>
  <c r="EL46" i="21"/>
  <c r="EK46" i="21" s="1"/>
  <c r="Y46" i="21"/>
  <c r="I19" i="21"/>
  <c r="DI19" i="21"/>
  <c r="BA20" i="21"/>
  <c r="BB20" i="21" s="1"/>
  <c r="X20" i="21"/>
  <c r="DM25" i="21"/>
  <c r="BZ35" i="21"/>
  <c r="CB35" i="21" s="1"/>
  <c r="CI35" i="21" s="1"/>
  <c r="DL41" i="21"/>
  <c r="I41" i="21"/>
  <c r="GA41" i="21"/>
  <c r="L41" i="21"/>
  <c r="EE41" i="21"/>
  <c r="AN41" i="21"/>
  <c r="DI41" i="21"/>
  <c r="AK41" i="21"/>
  <c r="EN52" i="21"/>
  <c r="AL57" i="21"/>
  <c r="BL57" i="21"/>
  <c r="BN57" i="21" s="1"/>
  <c r="BM57" i="21"/>
  <c r="U66" i="21"/>
  <c r="AY66" i="21" s="1"/>
  <c r="T66" i="21"/>
  <c r="O66" i="21"/>
  <c r="EE66" i="21"/>
  <c r="EU72" i="21"/>
  <c r="EV72" i="21" s="1"/>
  <c r="ET72" i="21"/>
  <c r="CU76" i="21"/>
  <c r="EH79" i="21"/>
  <c r="BM129" i="21"/>
  <c r="BO129" i="21" s="1"/>
  <c r="BP129" i="21" s="1"/>
  <c r="EI129" i="21" s="1"/>
  <c r="EH129" i="21" s="1"/>
  <c r="BA54" i="21"/>
  <c r="BB54" i="21" s="1"/>
  <c r="Y25" i="21"/>
  <c r="EL25" i="21"/>
  <c r="EK25" i="21" s="1"/>
  <c r="CH30" i="21"/>
  <c r="X34" i="21"/>
  <c r="BA34" i="21"/>
  <c r="BB34" i="21" s="1"/>
  <c r="BC34" i="21" s="1"/>
  <c r="CI39" i="21"/>
  <c r="CK39" i="21" s="1"/>
  <c r="AL46" i="21"/>
  <c r="FY50" i="21"/>
  <c r="CG50" i="21"/>
  <c r="CH50" i="21" s="1"/>
  <c r="CI50" i="21" s="1"/>
  <c r="BK51" i="21"/>
  <c r="T57" i="21"/>
  <c r="AL69" i="21"/>
  <c r="AL79" i="21"/>
  <c r="BL79" i="21"/>
  <c r="BN79" i="21" s="1"/>
  <c r="CU82" i="21"/>
  <c r="FG82" i="21"/>
  <c r="EE200" i="21"/>
  <c r="BB32" i="21"/>
  <c r="BC32" i="21" s="1"/>
  <c r="BA44" i="21"/>
  <c r="BB44" i="21" s="1"/>
  <c r="BA48" i="21"/>
  <c r="BB48" i="21" s="1"/>
  <c r="X48" i="21"/>
  <c r="DL49" i="21"/>
  <c r="I49" i="21"/>
  <c r="AN49" i="21"/>
  <c r="DI49" i="21"/>
  <c r="EE49" i="21"/>
  <c r="AK49" i="21"/>
  <c r="L49" i="21"/>
  <c r="AK50" i="21"/>
  <c r="DI50" i="21"/>
  <c r="AN50" i="21"/>
  <c r="GA50" i="21"/>
  <c r="EE50" i="21"/>
  <c r="DI64" i="21"/>
  <c r="AK70" i="21"/>
  <c r="AM70" i="21" s="1"/>
  <c r="AN70" i="21"/>
  <c r="DL70" i="21"/>
  <c r="L70" i="21"/>
  <c r="AX74" i="21"/>
  <c r="CM74" i="21" s="1"/>
  <c r="DJ74" i="21"/>
  <c r="T79" i="21"/>
  <c r="BE82" i="21"/>
  <c r="BF82" i="21" s="1"/>
  <c r="CO82" i="21" s="1"/>
  <c r="AZ82" i="21"/>
  <c r="BE92" i="21"/>
  <c r="BF92" i="21" s="1"/>
  <c r="CO92" i="21" s="1"/>
  <c r="AZ92" i="21"/>
  <c r="Q200" i="21"/>
  <c r="FX200" i="21"/>
  <c r="BE200" i="21"/>
  <c r="U200" i="21"/>
  <c r="U19" i="21"/>
  <c r="AY19" i="21" s="1"/>
  <c r="BE19" i="21"/>
  <c r="AZ19" i="21"/>
  <c r="ET29" i="21"/>
  <c r="EU29" i="21" s="1"/>
  <c r="EV29" i="21" s="1"/>
  <c r="BA31" i="21"/>
  <c r="BB31" i="21" s="1"/>
  <c r="X31" i="21"/>
  <c r="EY43" i="21"/>
  <c r="X44" i="21"/>
  <c r="I50" i="21"/>
  <c r="DT52" i="21"/>
  <c r="CU54" i="21"/>
  <c r="FG54" i="21"/>
  <c r="BM55" i="21"/>
  <c r="BO55" i="21" s="1"/>
  <c r="BL55" i="21"/>
  <c r="BN55" i="21" s="1"/>
  <c r="AL97" i="21"/>
  <c r="X19" i="21"/>
  <c r="BA19" i="21"/>
  <c r="BB19" i="21" s="1"/>
  <c r="FY29" i="21"/>
  <c r="GA29" i="21" s="1"/>
  <c r="EH29" i="21"/>
  <c r="CH39" i="21"/>
  <c r="DM43" i="21"/>
  <c r="FX49" i="21"/>
  <c r="GA49" i="21" s="1"/>
  <c r="BK49" i="21"/>
  <c r="CW56" i="21"/>
  <c r="BK65" i="21"/>
  <c r="CA70" i="21"/>
  <c r="BZ70" i="21"/>
  <c r="BR70" i="21"/>
  <c r="DZ70" i="21" s="1"/>
  <c r="EB70" i="21" s="1"/>
  <c r="FX70" i="21"/>
  <c r="GA70" i="21" s="1"/>
  <c r="CS70" i="21" s="1"/>
  <c r="BK70" i="21"/>
  <c r="EE74" i="21"/>
  <c r="T74" i="21"/>
  <c r="U74" i="21"/>
  <c r="CW77" i="21"/>
  <c r="FJ77" i="21"/>
  <c r="Y79" i="21"/>
  <c r="EL79" i="21"/>
  <c r="EK79" i="21" s="1"/>
  <c r="CU81" i="21"/>
  <c r="FG81" i="21"/>
  <c r="BP137" i="21"/>
  <c r="EI137" i="21" s="1"/>
  <c r="EH137" i="21" s="1"/>
  <c r="AT22" i="21"/>
  <c r="DU22" i="21" s="1"/>
  <c r="AP23" i="21"/>
  <c r="BR22" i="21"/>
  <c r="DZ22" i="21" s="1"/>
  <c r="EB22" i="21" s="1"/>
  <c r="EH22" i="21" s="1"/>
  <c r="EE22" i="21"/>
  <c r="BK22" i="21"/>
  <c r="DI30" i="21"/>
  <c r="Y41" i="21"/>
  <c r="EL41" i="21"/>
  <c r="EK41" i="21" s="1"/>
  <c r="BC46" i="21"/>
  <c r="BE49" i="21"/>
  <c r="AZ49" i="21"/>
  <c r="BO58" i="21"/>
  <c r="BK74" i="21"/>
  <c r="CA74" i="21"/>
  <c r="BZ74" i="21"/>
  <c r="BR74" i="21"/>
  <c r="DZ74" i="21" s="1"/>
  <c r="EB74" i="21" s="1"/>
  <c r="FX74" i="21"/>
  <c r="GA74" i="21" s="1"/>
  <c r="CS74" i="21" s="1"/>
  <c r="EU104" i="21"/>
  <c r="EV104" i="21" s="1"/>
  <c r="ET104" i="21"/>
  <c r="BE22" i="21"/>
  <c r="BF22" i="21" s="1"/>
  <c r="AZ22" i="21"/>
  <c r="BM32" i="21"/>
  <c r="BL32" i="21"/>
  <c r="BN32" i="21" s="1"/>
  <c r="EH37" i="21"/>
  <c r="BB46" i="21"/>
  <c r="AZ55" i="21"/>
  <c r="BE55" i="21"/>
  <c r="BF55" i="21" s="1"/>
  <c r="CO55" i="21" s="1"/>
  <c r="EH55" i="21"/>
  <c r="DM60" i="21"/>
  <c r="EH74" i="21"/>
  <c r="EG74" i="21"/>
  <c r="FG79" i="21"/>
  <c r="CU79" i="21"/>
  <c r="BA92" i="21"/>
  <c r="BB92" i="21" s="1"/>
  <c r="U22" i="21"/>
  <c r="AY22" i="21" s="1"/>
  <c r="FX22" i="21"/>
  <c r="GA22" i="21" s="1"/>
  <c r="EU27" i="21"/>
  <c r="EV27" i="21" s="1"/>
  <c r="DL30" i="21"/>
  <c r="BB36" i="21"/>
  <c r="BC36" i="21" s="1"/>
  <c r="BA49" i="21"/>
  <c r="X49" i="21"/>
  <c r="CU52" i="21"/>
  <c r="FG52" i="21"/>
  <c r="BA58" i="21"/>
  <c r="BB58" i="21" s="1"/>
  <c r="X58" i="21"/>
  <c r="L64" i="21"/>
  <c r="AN64" i="21"/>
  <c r="AK64" i="21"/>
  <c r="AM72" i="21"/>
  <c r="AL72" i="21"/>
  <c r="AN76" i="21"/>
  <c r="AK76" i="21"/>
  <c r="DL76" i="21"/>
  <c r="DI76" i="21"/>
  <c r="L76" i="21"/>
  <c r="DA90" i="21"/>
  <c r="FG90" i="21"/>
  <c r="X92" i="21"/>
  <c r="BZ95" i="21"/>
  <c r="T95" i="21"/>
  <c r="BK95" i="21"/>
  <c r="FY95" i="21"/>
  <c r="GA95" i="21" s="1"/>
  <c r="CA95" i="21"/>
  <c r="BR95" i="21"/>
  <c r="DZ95" i="21" s="1"/>
  <c r="EB95" i="21" s="1"/>
  <c r="DA118" i="21"/>
  <c r="FG118" i="21"/>
  <c r="AM28" i="21"/>
  <c r="AL28" i="21"/>
  <c r="BP50" i="21"/>
  <c r="EI50" i="21" s="1"/>
  <c r="EY90" i="21"/>
  <c r="EY106" i="21"/>
  <c r="EZ106" i="21" s="1"/>
  <c r="ET106" i="21"/>
  <c r="EU106" i="21" s="1"/>
  <c r="EV106" i="21" s="1"/>
  <c r="ET283" i="21"/>
  <c r="EU283" i="21" s="1"/>
  <c r="EV283" i="21" s="1"/>
  <c r="AN34" i="21"/>
  <c r="EE34" i="21"/>
  <c r="AK34" i="21"/>
  <c r="DI34" i="21"/>
  <c r="EU38" i="21"/>
  <c r="EV38" i="21" s="1"/>
  <c r="ET38" i="21"/>
  <c r="I40" i="21"/>
  <c r="FX51" i="21"/>
  <c r="GA51" i="21" s="1"/>
  <c r="AN19" i="21"/>
  <c r="AQ19" i="21" s="1"/>
  <c r="EE19" i="21"/>
  <c r="GA19" i="21"/>
  <c r="DL19" i="21"/>
  <c r="BR35" i="21"/>
  <c r="DZ35" i="21" s="1"/>
  <c r="EB35" i="21" s="1"/>
  <c r="EH35" i="21" s="1"/>
  <c r="X40" i="21"/>
  <c r="BA40" i="21"/>
  <c r="BB40" i="21" s="1"/>
  <c r="BE44" i="21"/>
  <c r="AZ44" i="21"/>
  <c r="EG57" i="21"/>
  <c r="EH57" i="21"/>
  <c r="DJ66" i="21"/>
  <c r="BB66" i="21"/>
  <c r="AX66" i="21"/>
  <c r="CM66" i="21" s="1"/>
  <c r="BZ79" i="21"/>
  <c r="CB79" i="21" s="1"/>
  <c r="CI79" i="21" s="1"/>
  <c r="CK79" i="21" s="1"/>
  <c r="CP79" i="21" s="1"/>
  <c r="AN79" i="21"/>
  <c r="BR79" i="21"/>
  <c r="DZ79" i="21" s="1"/>
  <c r="EB79" i="21" s="1"/>
  <c r="EG79" i="21" s="1"/>
  <c r="CA79" i="21"/>
  <c r="BK79" i="21"/>
  <c r="BM79" i="21" s="1"/>
  <c r="BO79" i="21" s="1"/>
  <c r="BC85" i="21"/>
  <c r="CN85" i="21" s="1"/>
  <c r="FG89" i="21"/>
  <c r="CU89" i="21"/>
  <c r="BL20" i="21"/>
  <c r="EH33" i="21"/>
  <c r="BA74" i="21"/>
  <c r="BB74" i="21" s="1"/>
  <c r="X74" i="21"/>
  <c r="DT82" i="21"/>
  <c r="GA84" i="21"/>
  <c r="CS84" i="21" s="1"/>
  <c r="CX85" i="21"/>
  <c r="CI91" i="21"/>
  <c r="CK91" i="21" s="1"/>
  <c r="CP91" i="21" s="1"/>
  <c r="ET54" i="21"/>
  <c r="EU54" i="21" s="1"/>
  <c r="EV54" i="21" s="1"/>
  <c r="EY98" i="21"/>
  <c r="ET140" i="21"/>
  <c r="EU140" i="21" s="1"/>
  <c r="EV140" i="21" s="1"/>
  <c r="EU153" i="21"/>
  <c r="EV153" i="21" s="1"/>
  <c r="EH237" i="21"/>
  <c r="EG237" i="21"/>
  <c r="BB29" i="21"/>
  <c r="BC29" i="21" s="1"/>
  <c r="BA43" i="21"/>
  <c r="BB43" i="21" s="1"/>
  <c r="GA47" i="21"/>
  <c r="U57" i="21"/>
  <c r="AY57" i="21" s="1"/>
  <c r="EE57" i="21"/>
  <c r="CB73" i="21"/>
  <c r="CI73" i="21" s="1"/>
  <c r="CK73" i="21" s="1"/>
  <c r="CP73" i="21" s="1"/>
  <c r="CU75" i="21"/>
  <c r="FG75" i="21"/>
  <c r="BR78" i="21"/>
  <c r="DZ78" i="21" s="1"/>
  <c r="EB78" i="21" s="1"/>
  <c r="FX78" i="21"/>
  <c r="GA78" i="21" s="1"/>
  <c r="CS78" i="21" s="1"/>
  <c r="AN78" i="21"/>
  <c r="EH80" i="21"/>
  <c r="EU82" i="21"/>
  <c r="EV82" i="21" s="1"/>
  <c r="Y86" i="21"/>
  <c r="EL86" i="21"/>
  <c r="EK86" i="21" s="1"/>
  <c r="AL89" i="21"/>
  <c r="AY95" i="21"/>
  <c r="EH34" i="21"/>
  <c r="DQ46" i="21"/>
  <c r="DP46" i="21"/>
  <c r="BR48" i="21"/>
  <c r="DZ48" i="21" s="1"/>
  <c r="EB48" i="21" s="1"/>
  <c r="EH48" i="21" s="1"/>
  <c r="BK48" i="21"/>
  <c r="FX48" i="21"/>
  <c r="AL54" i="21"/>
  <c r="AY55" i="21"/>
  <c r="ET55" i="21"/>
  <c r="FI55" i="21"/>
  <c r="CX55" i="21"/>
  <c r="CU58" i="21"/>
  <c r="EZ60" i="21"/>
  <c r="CU64" i="21"/>
  <c r="FG64" i="21"/>
  <c r="AL66" i="21"/>
  <c r="EY72" i="21"/>
  <c r="EZ72" i="21" s="1"/>
  <c r="AL74" i="21"/>
  <c r="BM74" i="21"/>
  <c r="BL74" i="21"/>
  <c r="BN74" i="21" s="1"/>
  <c r="U76" i="21"/>
  <c r="T76" i="21"/>
  <c r="O76" i="21"/>
  <c r="EY104" i="21"/>
  <c r="EZ104" i="21" s="1"/>
  <c r="DJ112" i="21"/>
  <c r="BB112" i="21"/>
  <c r="AX112" i="21"/>
  <c r="CM112" i="21" s="1"/>
  <c r="CA36" i="21"/>
  <c r="BZ36" i="21"/>
  <c r="CB36" i="21" s="1"/>
  <c r="CI36" i="21" s="1"/>
  <c r="BR36" i="21"/>
  <c r="DZ36" i="21" s="1"/>
  <c r="EB36" i="21" s="1"/>
  <c r="EH36" i="21" s="1"/>
  <c r="FX36" i="21"/>
  <c r="GA36" i="21" s="1"/>
  <c r="BK36" i="21"/>
  <c r="BZ37" i="21"/>
  <c r="CB37" i="21" s="1"/>
  <c r="CI37" i="21" s="1"/>
  <c r="FX37" i="21"/>
  <c r="GA37" i="21" s="1"/>
  <c r="BL38" i="21"/>
  <c r="BZ42" i="21"/>
  <c r="CB42" i="21" s="1"/>
  <c r="CI42" i="21" s="1"/>
  <c r="CK42" i="21" s="1"/>
  <c r="AN42" i="21"/>
  <c r="CH42" i="21"/>
  <c r="DO46" i="21"/>
  <c r="BA47" i="21"/>
  <c r="BB47" i="21" s="1"/>
  <c r="U48" i="21"/>
  <c r="AY48" i="21" s="1"/>
  <c r="BE48" i="21"/>
  <c r="AZ48" i="21"/>
  <c r="BA55" i="21"/>
  <c r="BB55" i="21" s="1"/>
  <c r="AL59" i="21"/>
  <c r="EE76" i="21"/>
  <c r="BK78" i="21"/>
  <c r="EH88" i="21"/>
  <c r="AN90" i="21"/>
  <c r="AK90" i="21"/>
  <c r="DL90" i="21"/>
  <c r="DI90" i="21"/>
  <c r="CH92" i="21"/>
  <c r="BE151" i="21"/>
  <c r="FX151" i="21"/>
  <c r="CA151" i="21"/>
  <c r="DM209" i="21"/>
  <c r="EH210" i="21"/>
  <c r="BZ24" i="21"/>
  <c r="CB24" i="21" s="1"/>
  <c r="DI43" i="21"/>
  <c r="EE43" i="21"/>
  <c r="AK43" i="21"/>
  <c r="GA43" i="21"/>
  <c r="EY54" i="21"/>
  <c r="Y76" i="21"/>
  <c r="EL76" i="21"/>
  <c r="EK76" i="21" s="1"/>
  <c r="EG85" i="21"/>
  <c r="EH85" i="21"/>
  <c r="Q96" i="21"/>
  <c r="BM100" i="21"/>
  <c r="BO100" i="21" s="1"/>
  <c r="BL100" i="21"/>
  <c r="BN100" i="21" s="1"/>
  <c r="AN100" i="21"/>
  <c r="AL100" i="21"/>
  <c r="AL109" i="21"/>
  <c r="DL116" i="21"/>
  <c r="AN116" i="21"/>
  <c r="DI116" i="21"/>
  <c r="AK116" i="21"/>
  <c r="AL121" i="21"/>
  <c r="BM121" i="21"/>
  <c r="BO121" i="21" s="1"/>
  <c r="U121" i="21"/>
  <c r="AY121" i="21" s="1"/>
  <c r="EE121" i="21"/>
  <c r="AN121" i="21"/>
  <c r="BL121" i="21"/>
  <c r="BN121" i="21" s="1"/>
  <c r="CI123" i="21"/>
  <c r="CK123" i="21" s="1"/>
  <c r="CP123" i="21" s="1"/>
  <c r="BE20" i="21"/>
  <c r="BF20" i="21" s="1"/>
  <c r="AZ20" i="21"/>
  <c r="BC20" i="21" s="1"/>
  <c r="AN21" i="21"/>
  <c r="AQ21" i="21" s="1"/>
  <c r="EE21" i="21"/>
  <c r="CA24" i="21"/>
  <c r="BM27" i="21"/>
  <c r="BL27" i="21"/>
  <c r="BN27" i="21" s="1"/>
  <c r="BF43" i="21"/>
  <c r="EZ54" i="21"/>
  <c r="BB59" i="21"/>
  <c r="AZ63" i="21"/>
  <c r="DL71" i="21"/>
  <c r="AK71" i="21"/>
  <c r="DI71" i="21"/>
  <c r="GA81" i="21"/>
  <c r="CS81" i="21" s="1"/>
  <c r="AK81" i="21"/>
  <c r="DL81" i="21"/>
  <c r="DJ81" i="21"/>
  <c r="DI81" i="21"/>
  <c r="AN81" i="21"/>
  <c r="EE84" i="21"/>
  <c r="T84" i="21"/>
  <c r="U90" i="21"/>
  <c r="T90" i="21"/>
  <c r="O90" i="21"/>
  <c r="EE90" i="21"/>
  <c r="T100" i="21"/>
  <c r="BE100" i="21" s="1"/>
  <c r="AP109" i="21"/>
  <c r="U109" i="21"/>
  <c r="AX116" i="21"/>
  <c r="CM116" i="21" s="1"/>
  <c r="DJ116" i="21"/>
  <c r="T121" i="21"/>
  <c r="AY126" i="21"/>
  <c r="BH211" i="21"/>
  <c r="AY211" i="21"/>
  <c r="AZ211" i="21" s="1"/>
  <c r="DP23" i="21"/>
  <c r="DO23" i="21"/>
  <c r="BA42" i="21"/>
  <c r="BB42" i="21" s="1"/>
  <c r="ET60" i="21"/>
  <c r="EU60" i="21" s="1"/>
  <c r="EV60" i="21" s="1"/>
  <c r="CU67" i="21"/>
  <c r="FG67" i="21"/>
  <c r="CA69" i="21"/>
  <c r="BZ69" i="21"/>
  <c r="CB69" i="21" s="1"/>
  <c r="CI69" i="21" s="1"/>
  <c r="CK69" i="21" s="1"/>
  <c r="CP69" i="21" s="1"/>
  <c r="BR69" i="21"/>
  <c r="DZ69" i="21" s="1"/>
  <c r="EB69" i="21" s="1"/>
  <c r="BK69" i="21"/>
  <c r="BM69" i="21" s="1"/>
  <c r="AX71" i="21"/>
  <c r="CM71" i="21" s="1"/>
  <c r="DJ71" i="21"/>
  <c r="EY71" i="21" s="1"/>
  <c r="BB71" i="21"/>
  <c r="BK84" i="21"/>
  <c r="CA84" i="21"/>
  <c r="BR84" i="21"/>
  <c r="DZ84" i="21" s="1"/>
  <c r="EB84" i="21" s="1"/>
  <c r="BZ84" i="21"/>
  <c r="CB84" i="21" s="1"/>
  <c r="CI84" i="21" s="1"/>
  <c r="CK84" i="21" s="1"/>
  <c r="CP84" i="21" s="1"/>
  <c r="CA94" i="21"/>
  <c r="FY94" i="21"/>
  <c r="GA94" i="21" s="1"/>
  <c r="GB94" i="21" s="1"/>
  <c r="T94" i="21"/>
  <c r="BK94" i="21"/>
  <c r="BL94" i="21" s="1"/>
  <c r="BN94" i="21" s="1"/>
  <c r="BZ94" i="21"/>
  <c r="BR94" i="21"/>
  <c r="DZ94" i="21" s="1"/>
  <c r="EB94" i="21" s="1"/>
  <c r="BA109" i="21"/>
  <c r="BB109" i="21" s="1"/>
  <c r="X109" i="21"/>
  <c r="DL131" i="21"/>
  <c r="AN131" i="21"/>
  <c r="EE131" i="21"/>
  <c r="AK131" i="21"/>
  <c r="AM131" i="21" s="1"/>
  <c r="DI131" i="21"/>
  <c r="GA131" i="21"/>
  <c r="CS131" i="21" s="1"/>
  <c r="I131" i="21"/>
  <c r="BF146" i="21"/>
  <c r="CO146" i="21" s="1"/>
  <c r="FZ150" i="21"/>
  <c r="CF150" i="21"/>
  <c r="CH150" i="21" s="1"/>
  <c r="AN150" i="21"/>
  <c r="AJ150" i="21"/>
  <c r="Y150" i="21"/>
  <c r="EA150" i="21"/>
  <c r="DY150" i="21"/>
  <c r="CD150" i="21"/>
  <c r="CE150" i="21" s="1"/>
  <c r="BE150" i="21"/>
  <c r="DZ150" i="21"/>
  <c r="L150" i="21"/>
  <c r="DI220" i="21"/>
  <c r="M220" i="21"/>
  <c r="BF220" i="21" s="1"/>
  <c r="AX220" i="21"/>
  <c r="CA32" i="21"/>
  <c r="BZ32" i="21"/>
  <c r="CB32" i="21" s="1"/>
  <c r="CI32" i="21" s="1"/>
  <c r="BR32" i="21"/>
  <c r="DZ32" i="21" s="1"/>
  <c r="EB32" i="21" s="1"/>
  <c r="EH32" i="21" s="1"/>
  <c r="EE38" i="21"/>
  <c r="AK38" i="21"/>
  <c r="GA38" i="21"/>
  <c r="DM41" i="21"/>
  <c r="X42" i="21"/>
  <c r="BO43" i="21"/>
  <c r="BP43" i="21" s="1"/>
  <c r="EI43" i="21" s="1"/>
  <c r="AL47" i="21"/>
  <c r="EE52" i="21"/>
  <c r="GA52" i="21"/>
  <c r="CS52" i="21" s="1"/>
  <c r="AN52" i="21"/>
  <c r="AK52" i="21"/>
  <c r="BA63" i="21"/>
  <c r="BB63" i="21" s="1"/>
  <c r="EG69" i="21"/>
  <c r="EH69" i="21"/>
  <c r="AX102" i="21"/>
  <c r="DL102" i="21"/>
  <c r="AM102" i="21"/>
  <c r="AT107" i="21"/>
  <c r="DU107" i="21" s="1"/>
  <c r="BL110" i="21"/>
  <c r="BN110" i="21" s="1"/>
  <c r="DT113" i="21"/>
  <c r="BA126" i="21"/>
  <c r="BB126" i="21" s="1"/>
  <c r="AZ24" i="21"/>
  <c r="CH24" i="21"/>
  <c r="AN28" i="21"/>
  <c r="EE28" i="21"/>
  <c r="U37" i="21"/>
  <c r="AY37" i="21" s="1"/>
  <c r="AZ37" i="21" s="1"/>
  <c r="I38" i="21"/>
  <c r="CG38" i="21"/>
  <c r="CH38" i="21" s="1"/>
  <c r="CI38" i="21" s="1"/>
  <c r="AZ43" i="21"/>
  <c r="U43" i="21"/>
  <c r="AY43" i="21" s="1"/>
  <c r="CU60" i="21"/>
  <c r="FG60" i="21"/>
  <c r="X63" i="21"/>
  <c r="EE69" i="21"/>
  <c r="U71" i="21"/>
  <c r="T71" i="21"/>
  <c r="O71" i="21"/>
  <c r="EE71" i="21"/>
  <c r="AL84" i="21"/>
  <c r="BM84" i="21"/>
  <c r="BL84" i="21"/>
  <c r="BN84" i="21" s="1"/>
  <c r="BA87" i="21"/>
  <c r="BB87" i="21" s="1"/>
  <c r="FY116" i="21"/>
  <c r="GA116" i="21" s="1"/>
  <c r="CS116" i="21" s="1"/>
  <c r="BK116" i="21"/>
  <c r="BE116" i="21"/>
  <c r="BF116" i="21" s="1"/>
  <c r="CO116" i="21" s="1"/>
  <c r="CA116" i="21"/>
  <c r="T116" i="21"/>
  <c r="BZ116" i="21"/>
  <c r="BR116" i="21"/>
  <c r="DZ116" i="21" s="1"/>
  <c r="EB116" i="21" s="1"/>
  <c r="L38" i="21"/>
  <c r="AL48" i="21"/>
  <c r="AN65" i="21"/>
  <c r="AK65" i="21"/>
  <c r="DL65" i="21"/>
  <c r="GA65" i="21"/>
  <c r="CS65" i="21" s="1"/>
  <c r="CI67" i="21"/>
  <c r="CK67" i="21" s="1"/>
  <c r="CP67" i="21" s="1"/>
  <c r="T69" i="21"/>
  <c r="EH81" i="21"/>
  <c r="U84" i="21"/>
  <c r="AY84" i="21" s="1"/>
  <c r="X87" i="21"/>
  <c r="CI33" i="21"/>
  <c r="CI44" i="21"/>
  <c r="AN48" i="21"/>
  <c r="DJ53" i="21"/>
  <c r="AX53" i="21"/>
  <c r="CM53" i="21" s="1"/>
  <c r="DT60" i="21"/>
  <c r="DJ61" i="21"/>
  <c r="EY61" i="21" s="1"/>
  <c r="DJ65" i="21"/>
  <c r="AX65" i="21"/>
  <c r="CM65" i="21" s="1"/>
  <c r="BA84" i="21"/>
  <c r="BB84" i="21" s="1"/>
  <c r="X84" i="21"/>
  <c r="T102" i="21"/>
  <c r="BE102" i="21" s="1"/>
  <c r="BK102" i="21"/>
  <c r="BM102" i="21" s="1"/>
  <c r="FY102" i="21"/>
  <c r="BR102" i="21"/>
  <c r="DZ102" i="21" s="1"/>
  <c r="CA102" i="21"/>
  <c r="BZ102" i="21"/>
  <c r="CB102" i="21" s="1"/>
  <c r="CD103" i="21"/>
  <c r="CE103" i="21" s="1"/>
  <c r="AN103" i="21"/>
  <c r="EA103" i="21"/>
  <c r="GA103" i="21"/>
  <c r="FZ103" i="21"/>
  <c r="Y103" i="21"/>
  <c r="CF103" i="21"/>
  <c r="CH103" i="21" s="1"/>
  <c r="U103" i="21"/>
  <c r="AY103" i="21" s="1"/>
  <c r="AZ103" i="21" s="1"/>
  <c r="AL126" i="21"/>
  <c r="BO19" i="21"/>
  <c r="BP19" i="21" s="1"/>
  <c r="EI19" i="21" s="1"/>
  <c r="AK25" i="21"/>
  <c r="GA25" i="21"/>
  <c r="L25" i="21"/>
  <c r="DL25" i="21"/>
  <c r="I25" i="21"/>
  <c r="BB25" i="21" s="1"/>
  <c r="BC25" i="21" s="1"/>
  <c r="M44" i="21"/>
  <c r="DJ44" i="21"/>
  <c r="AX44" i="21"/>
  <c r="AN45" i="21"/>
  <c r="AK45" i="21"/>
  <c r="EE45" i="21"/>
  <c r="DI51" i="21"/>
  <c r="AN51" i="21"/>
  <c r="EE51" i="21"/>
  <c r="AK51" i="21"/>
  <c r="FX52" i="21"/>
  <c r="BK52" i="21"/>
  <c r="CA52" i="21"/>
  <c r="BZ52" i="21"/>
  <c r="CB52" i="21" s="1"/>
  <c r="CI52" i="21" s="1"/>
  <c r="CK52" i="21" s="1"/>
  <c r="CP52" i="21" s="1"/>
  <c r="BR52" i="21"/>
  <c r="DZ52" i="21" s="1"/>
  <c r="EB52" i="21" s="1"/>
  <c r="AK61" i="21"/>
  <c r="DI61" i="21"/>
  <c r="AN61" i="21"/>
  <c r="DL61" i="21"/>
  <c r="AK62" i="21"/>
  <c r="AM62" i="21" s="1"/>
  <c r="DL62" i="21"/>
  <c r="DI62" i="21"/>
  <c r="L62" i="21"/>
  <c r="CU73" i="21"/>
  <c r="FG73" i="21"/>
  <c r="BL88" i="21"/>
  <c r="FG91" i="21"/>
  <c r="DA91" i="21"/>
  <c r="CS94" i="21"/>
  <c r="CA103" i="21"/>
  <c r="BZ103" i="21"/>
  <c r="CB103" i="21" s="1"/>
  <c r="CI103" i="21" s="1"/>
  <c r="CK103" i="21" s="1"/>
  <c r="BK103" i="21"/>
  <c r="FY103" i="21"/>
  <c r="BR103" i="21"/>
  <c r="DZ103" i="21" s="1"/>
  <c r="EB103" i="21" s="1"/>
  <c r="T103" i="21"/>
  <c r="BE103" i="21" s="1"/>
  <c r="BA139" i="21"/>
  <c r="BB139" i="21" s="1"/>
  <c r="DT145" i="21"/>
  <c r="AQ20" i="21"/>
  <c r="DI21" i="21"/>
  <c r="BA23" i="21"/>
  <c r="CA28" i="21"/>
  <c r="CB28" i="21" s="1"/>
  <c r="CI28" i="21" s="1"/>
  <c r="CK28" i="21" s="1"/>
  <c r="BR28" i="21"/>
  <c r="DZ28" i="21" s="1"/>
  <c r="EB28" i="21" s="1"/>
  <c r="EH28" i="21" s="1"/>
  <c r="DI28" i="21"/>
  <c r="FY28" i="21"/>
  <c r="GA28" i="21" s="1"/>
  <c r="BE33" i="21"/>
  <c r="AZ33" i="21"/>
  <c r="Y37" i="21"/>
  <c r="DL43" i="21"/>
  <c r="I45" i="21"/>
  <c r="I51" i="21"/>
  <c r="EE53" i="21"/>
  <c r="DJ62" i="21"/>
  <c r="T65" i="21"/>
  <c r="U65" i="21"/>
  <c r="X69" i="21"/>
  <c r="DT71" i="21"/>
  <c r="CH76" i="21"/>
  <c r="FI88" i="21"/>
  <c r="CX88" i="21"/>
  <c r="FG119" i="21"/>
  <c r="DA119" i="21"/>
  <c r="EH183" i="21"/>
  <c r="FX191" i="21"/>
  <c r="GA191" i="21" s="1"/>
  <c r="CS191" i="21" s="1"/>
  <c r="AN191" i="21"/>
  <c r="BZ191" i="21"/>
  <c r="CB191" i="21" s="1"/>
  <c r="CI191" i="21" s="1"/>
  <c r="U191" i="21"/>
  <c r="AY191" i="21" s="1"/>
  <c r="T191" i="21"/>
  <c r="N191" i="21"/>
  <c r="BE191" i="21"/>
  <c r="CA191" i="21"/>
  <c r="BK21" i="21"/>
  <c r="BB56" i="21"/>
  <c r="X57" i="21"/>
  <c r="EH67" i="21"/>
  <c r="EG67" i="21"/>
  <c r="DJ70" i="21"/>
  <c r="BC77" i="21"/>
  <c r="CN77" i="21" s="1"/>
  <c r="BP81" i="21"/>
  <c r="EI81" i="21" s="1"/>
  <c r="EY82" i="21"/>
  <c r="EZ82" i="21" s="1"/>
  <c r="EH87" i="21"/>
  <c r="AY100" i="21"/>
  <c r="AZ100" i="21" s="1"/>
  <c r="EE116" i="21"/>
  <c r="ET119" i="21"/>
  <c r="EU119" i="21" s="1"/>
  <c r="EV119" i="21" s="1"/>
  <c r="FY193" i="21"/>
  <c r="AL193" i="21"/>
  <c r="BZ193" i="21"/>
  <c r="BR193" i="21"/>
  <c r="DZ193" i="21" s="1"/>
  <c r="EB193" i="21" s="1"/>
  <c r="EH193" i="21" s="1"/>
  <c r="CA193" i="21"/>
  <c r="DT369" i="21"/>
  <c r="BI369" i="21"/>
  <c r="BJ369" i="21" s="1"/>
  <c r="BI426" i="21"/>
  <c r="DT426" i="21"/>
  <c r="ED478" i="21"/>
  <c r="AZ51" i="21"/>
  <c r="EH73" i="21"/>
  <c r="EG73" i="21"/>
  <c r="AN24" i="21"/>
  <c r="BA27" i="21"/>
  <c r="BB27" i="21" s="1"/>
  <c r="ET27" i="21"/>
  <c r="BK34" i="21"/>
  <c r="BE36" i="21"/>
  <c r="BA41" i="21"/>
  <c r="I46" i="21"/>
  <c r="U51" i="21"/>
  <c r="AY51" i="21" s="1"/>
  <c r="CU55" i="21"/>
  <c r="EE56" i="21"/>
  <c r="X59" i="21"/>
  <c r="AN75" i="21"/>
  <c r="DL75" i="21"/>
  <c r="AK75" i="21"/>
  <c r="DI75" i="21"/>
  <c r="T78" i="21"/>
  <c r="T88" i="21"/>
  <c r="FY110" i="21"/>
  <c r="GA110" i="21" s="1"/>
  <c r="CA110" i="21"/>
  <c r="BZ110" i="21"/>
  <c r="BR110" i="21"/>
  <c r="DZ110" i="21" s="1"/>
  <c r="EB110" i="21" s="1"/>
  <c r="BK110" i="21"/>
  <c r="T110" i="21"/>
  <c r="BE112" i="21"/>
  <c r="BF112" i="21" s="1"/>
  <c r="CO112" i="21" s="1"/>
  <c r="FX112" i="21"/>
  <c r="CW129" i="21"/>
  <c r="FJ129" i="21"/>
  <c r="EU133" i="21"/>
  <c r="EV133" i="21" s="1"/>
  <c r="ET133" i="21"/>
  <c r="AX136" i="21"/>
  <c r="CM136" i="21" s="1"/>
  <c r="DJ136" i="21"/>
  <c r="ET168" i="21"/>
  <c r="EU168" i="21" s="1"/>
  <c r="EV168" i="21" s="1"/>
  <c r="AU215" i="21"/>
  <c r="CS369" i="21"/>
  <c r="BE395" i="21"/>
  <c r="U395" i="21"/>
  <c r="FX395" i="21"/>
  <c r="FX21" i="21"/>
  <c r="GA21" i="21" s="1"/>
  <c r="GA46" i="21"/>
  <c r="AX48" i="21"/>
  <c r="DJ48" i="21"/>
  <c r="DL58" i="21"/>
  <c r="AN58" i="21"/>
  <c r="DI58" i="21"/>
  <c r="BM60" i="21"/>
  <c r="BO60" i="21" s="1"/>
  <c r="BP60" i="21" s="1"/>
  <c r="EI60" i="21" s="1"/>
  <c r="O62" i="21"/>
  <c r="X68" i="21"/>
  <c r="BA78" i="21"/>
  <c r="BB78" i="21" s="1"/>
  <c r="DJ85" i="21"/>
  <c r="EE85" i="21"/>
  <c r="BR87" i="21"/>
  <c r="DZ87" i="21" s="1"/>
  <c r="EB87" i="21" s="1"/>
  <c r="EG87" i="21" s="1"/>
  <c r="GA93" i="21"/>
  <c r="CS93" i="21" s="1"/>
  <c r="U116" i="21"/>
  <c r="AY116" i="21" s="1"/>
  <c r="EE125" i="21"/>
  <c r="AN125" i="21"/>
  <c r="AK125" i="21"/>
  <c r="DL125" i="21"/>
  <c r="DI125" i="21"/>
  <c r="AX20" i="21"/>
  <c r="BK25" i="21"/>
  <c r="I29" i="21"/>
  <c r="DL29" i="21"/>
  <c r="AZ31" i="21"/>
  <c r="BC31" i="21" s="1"/>
  <c r="FX34" i="21"/>
  <c r="GA34" i="21" s="1"/>
  <c r="DI39" i="21"/>
  <c r="DI44" i="21"/>
  <c r="BL46" i="21"/>
  <c r="DJ58" i="21"/>
  <c r="BL58" i="21"/>
  <c r="BN58" i="21" s="1"/>
  <c r="EE60" i="21"/>
  <c r="L60" i="21"/>
  <c r="Y64" i="21"/>
  <c r="X73" i="21"/>
  <c r="O75" i="21"/>
  <c r="U75" i="21"/>
  <c r="AY75" i="21" s="1"/>
  <c r="AZ75" i="21" s="1"/>
  <c r="X78" i="21"/>
  <c r="CA80" i="21"/>
  <c r="BZ80" i="21"/>
  <c r="BR80" i="21"/>
  <c r="DZ80" i="21" s="1"/>
  <c r="EB80" i="21" s="1"/>
  <c r="EG80" i="21" s="1"/>
  <c r="BZ87" i="21"/>
  <c r="CB87" i="21" s="1"/>
  <c r="CI87" i="21" s="1"/>
  <c r="CK87" i="21" s="1"/>
  <c r="CP87" i="21" s="1"/>
  <c r="X88" i="21"/>
  <c r="BB94" i="21"/>
  <c r="CG94" i="21"/>
  <c r="CH94" i="21" s="1"/>
  <c r="AL103" i="21"/>
  <c r="BL103" i="21"/>
  <c r="BN103" i="21" s="1"/>
  <c r="BM103" i="21"/>
  <c r="BO103" i="21" s="1"/>
  <c r="BB116" i="21"/>
  <c r="DD118" i="21"/>
  <c r="FI118" i="21"/>
  <c r="I125" i="21"/>
  <c r="EH174" i="21"/>
  <c r="BI250" i="21"/>
  <c r="DT250" i="21"/>
  <c r="AX22" i="21"/>
  <c r="BK41" i="21"/>
  <c r="BR56" i="21"/>
  <c r="DZ56" i="21" s="1"/>
  <c r="EB56" i="21" s="1"/>
  <c r="L58" i="21"/>
  <c r="AL62" i="21"/>
  <c r="DT65" i="21"/>
  <c r="AL70" i="21"/>
  <c r="O83" i="21"/>
  <c r="CU88" i="21"/>
  <c r="GA91" i="21"/>
  <c r="CS91" i="21" s="1"/>
  <c r="AK91" i="21"/>
  <c r="L91" i="21"/>
  <c r="DI91" i="21"/>
  <c r="AL111" i="21"/>
  <c r="EE111" i="21"/>
  <c r="X116" i="21"/>
  <c r="BM150" i="21"/>
  <c r="BL150" i="21"/>
  <c r="BN150" i="21" s="1"/>
  <c r="U150" i="21"/>
  <c r="AY150" i="21" s="1"/>
  <c r="DI20" i="21"/>
  <c r="BR21" i="21"/>
  <c r="DZ21" i="21" s="1"/>
  <c r="EB21" i="21" s="1"/>
  <c r="EH21" i="21" s="1"/>
  <c r="DI33" i="21"/>
  <c r="DL39" i="21"/>
  <c r="DL44" i="21"/>
  <c r="M47" i="21"/>
  <c r="DJ47" i="21"/>
  <c r="T62" i="21"/>
  <c r="EL70" i="21"/>
  <c r="EK70" i="21" s="1"/>
  <c r="Y70" i="21"/>
  <c r="FG77" i="21"/>
  <c r="CU77" i="21"/>
  <c r="BL80" i="21"/>
  <c r="BN80" i="21" s="1"/>
  <c r="CA85" i="21"/>
  <c r="BZ85" i="21"/>
  <c r="BR85" i="21"/>
  <c r="DZ85" i="21" s="1"/>
  <c r="EB85" i="21" s="1"/>
  <c r="BE93" i="21"/>
  <c r="BF93" i="21" s="1"/>
  <c r="CO93" i="21" s="1"/>
  <c r="DL119" i="21"/>
  <c r="AG119" i="21"/>
  <c r="AN119" i="21"/>
  <c r="AK119" i="21"/>
  <c r="AN139" i="21"/>
  <c r="AK139" i="21"/>
  <c r="AM139" i="21" s="1"/>
  <c r="DL139" i="21"/>
  <c r="GA139" i="21"/>
  <c r="CS139" i="21" s="1"/>
  <c r="DI139" i="21"/>
  <c r="EE139" i="21"/>
  <c r="CC330" i="21"/>
  <c r="DJ20" i="21"/>
  <c r="BZ21" i="21"/>
  <c r="CB21" i="21" s="1"/>
  <c r="CI21" i="21" s="1"/>
  <c r="CK21" i="21" s="1"/>
  <c r="BR34" i="21"/>
  <c r="DZ34" i="21" s="1"/>
  <c r="EB34" i="21" s="1"/>
  <c r="DI37" i="21"/>
  <c r="FX58" i="21"/>
  <c r="GA58" i="21" s="1"/>
  <c r="CS58" i="21" s="1"/>
  <c r="CA58" i="21"/>
  <c r="BR58" i="21"/>
  <c r="DZ58" i="21" s="1"/>
  <c r="EB58" i="21" s="1"/>
  <c r="AZ80" i="21"/>
  <c r="BK87" i="21"/>
  <c r="FX87" i="21"/>
  <c r="GA87" i="21" s="1"/>
  <c r="CS87" i="21" s="1"/>
  <c r="FX101" i="21"/>
  <c r="U101" i="21"/>
  <c r="AY101" i="21" s="1"/>
  <c r="CH102" i="21"/>
  <c r="BA103" i="21"/>
  <c r="BB103" i="21" s="1"/>
  <c r="X103" i="21"/>
  <c r="EL103" i="21" s="1"/>
  <c r="EK103" i="21" s="1"/>
  <c r="EY103" i="21" s="1"/>
  <c r="BB128" i="21"/>
  <c r="BP132" i="21"/>
  <c r="EI132" i="21" s="1"/>
  <c r="EH132" i="21" s="1"/>
  <c r="BA133" i="21"/>
  <c r="CX137" i="21"/>
  <c r="FI137" i="21"/>
  <c r="DJ139" i="21"/>
  <c r="AX139" i="21"/>
  <c r="CM139" i="21" s="1"/>
  <c r="AN249" i="21"/>
  <c r="EA249" i="21"/>
  <c r="CF249" i="21"/>
  <c r="CH249" i="21" s="1"/>
  <c r="FZ249" i="21"/>
  <c r="CD249" i="21"/>
  <c r="CE249" i="21" s="1"/>
  <c r="DL249" i="21"/>
  <c r="DJ22" i="21"/>
  <c r="BK29" i="21"/>
  <c r="BE31" i="21"/>
  <c r="BF31" i="21" s="1"/>
  <c r="I33" i="21"/>
  <c r="BZ34" i="21"/>
  <c r="CB34" i="21" s="1"/>
  <c r="CI34" i="21" s="1"/>
  <c r="DI35" i="21"/>
  <c r="EE46" i="21"/>
  <c r="EE48" i="21"/>
  <c r="GA48" i="21"/>
  <c r="BZ58" i="21"/>
  <c r="X75" i="21"/>
  <c r="T83" i="21"/>
  <c r="DL96" i="21"/>
  <c r="AK96" i="21"/>
  <c r="AM96" i="21" s="1"/>
  <c r="DI96" i="21"/>
  <c r="AN96" i="21"/>
  <c r="L96" i="21"/>
  <c r="CM98" i="21"/>
  <c r="EH101" i="21"/>
  <c r="EG101" i="21"/>
  <c r="DJ138" i="21"/>
  <c r="AX138" i="21"/>
  <c r="CM138" i="21" s="1"/>
  <c r="CB141" i="21"/>
  <c r="DL37" i="21"/>
  <c r="AL58" i="21"/>
  <c r="BE60" i="21"/>
  <c r="BF60" i="21" s="1"/>
  <c r="CO60" i="21" s="1"/>
  <c r="AZ60" i="21"/>
  <c r="Y62" i="21"/>
  <c r="EL62" i="21"/>
  <c r="EK62" i="21" s="1"/>
  <c r="AX70" i="21"/>
  <c r="CM70" i="21" s="1"/>
  <c r="EH77" i="21"/>
  <c r="ET79" i="21"/>
  <c r="CU83" i="21"/>
  <c r="M96" i="21"/>
  <c r="AX96" i="21"/>
  <c r="DJ96" i="21"/>
  <c r="EY96" i="21" s="1"/>
  <c r="AB99" i="21"/>
  <c r="AB103" i="21"/>
  <c r="AB96" i="21"/>
  <c r="AB102" i="21"/>
  <c r="AB100" i="21"/>
  <c r="BZ101" i="21"/>
  <c r="CB101" i="21" s="1"/>
  <c r="CI101" i="21" s="1"/>
  <c r="BR101" i="21"/>
  <c r="DZ101" i="21" s="1"/>
  <c r="EB101" i="21" s="1"/>
  <c r="CA101" i="21"/>
  <c r="BK101" i="21"/>
  <c r="FY101" i="21"/>
  <c r="T101" i="21"/>
  <c r="EL111" i="21"/>
  <c r="EK111" i="21" s="1"/>
  <c r="ET111" i="21" s="1"/>
  <c r="Y111" i="21"/>
  <c r="BO132" i="21"/>
  <c r="BE139" i="21"/>
  <c r="BF139" i="21" s="1"/>
  <c r="CO139" i="21" s="1"/>
  <c r="FX139" i="21"/>
  <c r="CG147" i="21"/>
  <c r="BB147" i="21"/>
  <c r="I35" i="21"/>
  <c r="DL35" i="21"/>
  <c r="I37" i="21"/>
  <c r="BK39" i="21"/>
  <c r="U47" i="21"/>
  <c r="AY47" i="21" s="1"/>
  <c r="AZ47" i="21" s="1"/>
  <c r="BC47" i="21" s="1"/>
  <c r="EE63" i="21"/>
  <c r="EY79" i="21"/>
  <c r="EZ79" i="21" s="1"/>
  <c r="X83" i="21"/>
  <c r="BA83" i="21"/>
  <c r="BB83" i="21" s="1"/>
  <c r="BB86" i="21"/>
  <c r="BE87" i="21"/>
  <c r="BF87" i="21" s="1"/>
  <c r="CO87" i="21" s="1"/>
  <c r="DI89" i="21"/>
  <c r="AN89" i="21"/>
  <c r="AK89" i="21"/>
  <c r="AM89" i="21" s="1"/>
  <c r="EG97" i="21"/>
  <c r="AL101" i="21"/>
  <c r="EE101" i="21"/>
  <c r="AQ107" i="21"/>
  <c r="EZ121" i="21"/>
  <c r="BA122" i="21"/>
  <c r="BB122" i="21" s="1"/>
  <c r="X122" i="21"/>
  <c r="BB124" i="21"/>
  <c r="T126" i="21"/>
  <c r="FY126" i="21"/>
  <c r="GA126" i="21" s="1"/>
  <c r="CS126" i="21" s="1"/>
  <c r="BK126" i="21"/>
  <c r="CA126" i="21"/>
  <c r="BZ126" i="21"/>
  <c r="CB126" i="21" s="1"/>
  <c r="CI126" i="21" s="1"/>
  <c r="CK126" i="21" s="1"/>
  <c r="CP126" i="21" s="1"/>
  <c r="BR126" i="21"/>
  <c r="DZ126" i="21" s="1"/>
  <c r="EB126" i="21" s="1"/>
  <c r="BA141" i="21"/>
  <c r="BB141" i="21" s="1"/>
  <c r="FI145" i="21"/>
  <c r="DD145" i="21"/>
  <c r="DT168" i="21"/>
  <c r="EY60" i="21"/>
  <c r="U70" i="21"/>
  <c r="AY70" i="21" s="1"/>
  <c r="T70" i="21"/>
  <c r="L72" i="21"/>
  <c r="AY73" i="21"/>
  <c r="AN85" i="21"/>
  <c r="DL85" i="21"/>
  <c r="AK85" i="21"/>
  <c r="DI85" i="21"/>
  <c r="EH91" i="21"/>
  <c r="EG91" i="21"/>
  <c r="DY103" i="21"/>
  <c r="U110" i="21"/>
  <c r="AY110" i="21" s="1"/>
  <c r="AL110" i="21"/>
  <c r="BM110" i="21"/>
  <c r="CA112" i="21"/>
  <c r="BZ112" i="21"/>
  <c r="CB112" i="21" s="1"/>
  <c r="CI112" i="21" s="1"/>
  <c r="CK112" i="21" s="1"/>
  <c r="CP112" i="21" s="1"/>
  <c r="BR112" i="21"/>
  <c r="DZ112" i="21" s="1"/>
  <c r="EB112" i="21" s="1"/>
  <c r="T112" i="21"/>
  <c r="BK112" i="21"/>
  <c r="FY112" i="21"/>
  <c r="DC121" i="21"/>
  <c r="FJ121" i="21"/>
  <c r="ET147" i="21"/>
  <c r="EU147" i="21" s="1"/>
  <c r="EV147" i="21" s="1"/>
  <c r="AX155" i="21"/>
  <c r="DI155" i="21"/>
  <c r="M155" i="21"/>
  <c r="BF155" i="21" s="1"/>
  <c r="BB155" i="21"/>
  <c r="P155" i="21"/>
  <c r="EA369" i="21"/>
  <c r="FZ369" i="21"/>
  <c r="CD369" i="21"/>
  <c r="BE369" i="21"/>
  <c r="BI480" i="21"/>
  <c r="DT480" i="21"/>
  <c r="I24" i="21"/>
  <c r="BE39" i="21"/>
  <c r="DL53" i="21"/>
  <c r="AN53" i="21"/>
  <c r="AK53" i="21"/>
  <c r="BA57" i="21"/>
  <c r="BB57" i="21" s="1"/>
  <c r="U58" i="21"/>
  <c r="AY58" i="21" s="1"/>
  <c r="AZ58" i="21" s="1"/>
  <c r="CH58" i="21"/>
  <c r="O63" i="21"/>
  <c r="AN74" i="21"/>
  <c r="DL74" i="21"/>
  <c r="AY87" i="21"/>
  <c r="AZ87" i="21" s="1"/>
  <c r="DJ89" i="21"/>
  <c r="CA97" i="21"/>
  <c r="FY97" i="21"/>
  <c r="GA97" i="21" s="1"/>
  <c r="CS97" i="21" s="1"/>
  <c r="BK97" i="21"/>
  <c r="BL97" i="21" s="1"/>
  <c r="BN97" i="21" s="1"/>
  <c r="BZ97" i="21"/>
  <c r="FY122" i="21"/>
  <c r="GD122" i="21"/>
  <c r="CD122" i="21"/>
  <c r="CE122" i="21" s="1"/>
  <c r="CH135" i="21"/>
  <c r="U139" i="21"/>
  <c r="AL139" i="21"/>
  <c r="CK225" i="21"/>
  <c r="CP225" i="21" s="1"/>
  <c r="AN80" i="21"/>
  <c r="DL80" i="21"/>
  <c r="AK80" i="21"/>
  <c r="DJ80" i="21"/>
  <c r="DI80" i="21"/>
  <c r="DJ91" i="21"/>
  <c r="EG93" i="21"/>
  <c r="EH93" i="21"/>
  <c r="DI99" i="21"/>
  <c r="L99" i="21"/>
  <c r="I99" i="21"/>
  <c r="AM103" i="21"/>
  <c r="DL103" i="21"/>
  <c r="AL104" i="21"/>
  <c r="U104" i="21"/>
  <c r="AY112" i="21"/>
  <c r="CB115" i="21"/>
  <c r="CI115" i="21" s="1"/>
  <c r="CK115" i="21" s="1"/>
  <c r="CP115" i="21" s="1"/>
  <c r="DT126" i="21"/>
  <c r="CX127" i="21"/>
  <c r="FI127" i="21"/>
  <c r="CA139" i="21"/>
  <c r="BZ139" i="21"/>
  <c r="CB139" i="21" s="1"/>
  <c r="CI139" i="21" s="1"/>
  <c r="CK139" i="21" s="1"/>
  <c r="CP139" i="21" s="1"/>
  <c r="BR139" i="21"/>
  <c r="DZ139" i="21" s="1"/>
  <c r="EB139" i="21" s="1"/>
  <c r="T139" i="21"/>
  <c r="BK139" i="21"/>
  <c r="FY139" i="21"/>
  <c r="ET145" i="21"/>
  <c r="CB162" i="21"/>
  <c r="ET244" i="21"/>
  <c r="BE347" i="21"/>
  <c r="FX347" i="21"/>
  <c r="U347" i="21"/>
  <c r="BK73" i="21"/>
  <c r="FX73" i="21"/>
  <c r="DJ76" i="21"/>
  <c r="EY76" i="21" s="1"/>
  <c r="AN84" i="21"/>
  <c r="CA88" i="21"/>
  <c r="CB88" i="21" s="1"/>
  <c r="CI88" i="21" s="1"/>
  <c r="CK88" i="21" s="1"/>
  <c r="CP88" i="21" s="1"/>
  <c r="BM94" i="21"/>
  <c r="BO94" i="21" s="1"/>
  <c r="EU152" i="21"/>
  <c r="EV152" i="21" s="1"/>
  <c r="BE161" i="21"/>
  <c r="BF161" i="21" s="1"/>
  <c r="FX161" i="21"/>
  <c r="GA161" i="21" s="1"/>
  <c r="BZ161" i="21"/>
  <c r="CB161" i="21" s="1"/>
  <c r="U161" i="21"/>
  <c r="AY161" i="21" s="1"/>
  <c r="BR161" i="21"/>
  <c r="DZ161" i="21" s="1"/>
  <c r="EB161" i="21" s="1"/>
  <c r="EH161" i="21" s="1"/>
  <c r="T161" i="21"/>
  <c r="CA161" i="21"/>
  <c r="T173" i="21"/>
  <c r="BE173" i="21"/>
  <c r="FX173" i="21"/>
  <c r="U173" i="21"/>
  <c r="ET183" i="21"/>
  <c r="CK327" i="21"/>
  <c r="AX95" i="21"/>
  <c r="M95" i="21"/>
  <c r="DJ95" i="21"/>
  <c r="X100" i="21"/>
  <c r="EL100" i="21" s="1"/>
  <c r="EK100" i="21" s="1"/>
  <c r="ET100" i="21" s="1"/>
  <c r="BA100" i="21"/>
  <c r="BB102" i="21"/>
  <c r="EL110" i="21"/>
  <c r="EK110" i="21" s="1"/>
  <c r="AL120" i="21"/>
  <c r="BL120" i="21"/>
  <c r="BN120" i="21" s="1"/>
  <c r="BF125" i="21"/>
  <c r="CO125" i="21" s="1"/>
  <c r="BA131" i="21"/>
  <c r="BB131" i="21" s="1"/>
  <c r="AL264" i="21"/>
  <c r="CA264" i="21"/>
  <c r="BR264" i="21"/>
  <c r="DZ264" i="21" s="1"/>
  <c r="EB264" i="21" s="1"/>
  <c r="BZ264" i="21"/>
  <c r="CB264" i="21" s="1"/>
  <c r="T264" i="21"/>
  <c r="CI107" i="21"/>
  <c r="CK107" i="21" s="1"/>
  <c r="AN115" i="21"/>
  <c r="AL115" i="21"/>
  <c r="U115" i="21"/>
  <c r="AY115" i="21" s="1"/>
  <c r="T115" i="21"/>
  <c r="BL115" i="21"/>
  <c r="BN115" i="21" s="1"/>
  <c r="T120" i="21"/>
  <c r="BE125" i="21"/>
  <c r="FX125" i="21"/>
  <c r="GA125" i="21" s="1"/>
  <c r="CS125" i="21" s="1"/>
  <c r="EU132" i="21"/>
  <c r="EV132" i="21" s="1"/>
  <c r="EH171" i="21"/>
  <c r="BH175" i="21"/>
  <c r="AZ175" i="21"/>
  <c r="X93" i="21"/>
  <c r="BA93" i="21"/>
  <c r="BB93" i="21" s="1"/>
  <c r="X101" i="21"/>
  <c r="BA101" i="21"/>
  <c r="BB101" i="21" s="1"/>
  <c r="Y102" i="21"/>
  <c r="BA115" i="21"/>
  <c r="BB115" i="21" s="1"/>
  <c r="X115" i="21"/>
  <c r="U120" i="21"/>
  <c r="FG123" i="21"/>
  <c r="FY125" i="21"/>
  <c r="GD125" i="21"/>
  <c r="BK125" i="21"/>
  <c r="T125" i="21"/>
  <c r="AN97" i="21"/>
  <c r="CA105" i="21"/>
  <c r="CD118" i="21"/>
  <c r="CE118" i="21" s="1"/>
  <c r="CI118" i="21" s="1"/>
  <c r="CK118" i="21" s="1"/>
  <c r="CP118" i="21" s="1"/>
  <c r="EA118" i="21"/>
  <c r="EB118" i="21" s="1"/>
  <c r="BA120" i="21"/>
  <c r="BB120" i="21" s="1"/>
  <c r="X120" i="21"/>
  <c r="DA142" i="21"/>
  <c r="FG142" i="21"/>
  <c r="EZ144" i="21"/>
  <c r="ET144" i="21"/>
  <c r="EU144" i="21" s="1"/>
  <c r="EV144" i="21" s="1"/>
  <c r="DI151" i="21"/>
  <c r="DL151" i="21"/>
  <c r="AK151" i="21"/>
  <c r="AL151" i="21" s="1"/>
  <c r="ET153" i="21"/>
  <c r="Y166" i="21"/>
  <c r="CA122" i="21"/>
  <c r="BZ122" i="21"/>
  <c r="CB122" i="21" s="1"/>
  <c r="CI122" i="21" s="1"/>
  <c r="CK122" i="21" s="1"/>
  <c r="CP122" i="21" s="1"/>
  <c r="BR122" i="21"/>
  <c r="DZ122" i="21" s="1"/>
  <c r="EB122" i="21" s="1"/>
  <c r="AY125" i="21"/>
  <c r="BA130" i="21"/>
  <c r="BB130" i="21" s="1"/>
  <c r="BC130" i="21" s="1"/>
  <c r="CN130" i="21" s="1"/>
  <c r="CB135" i="21"/>
  <c r="CI135" i="21" s="1"/>
  <c r="CK135" i="21" s="1"/>
  <c r="CP135" i="21" s="1"/>
  <c r="EU142" i="21"/>
  <c r="EV142" i="21" s="1"/>
  <c r="I151" i="21"/>
  <c r="FJ113" i="21"/>
  <c r="CW113" i="21"/>
  <c r="DA121" i="21"/>
  <c r="FG121" i="21"/>
  <c r="EU121" i="21"/>
  <c r="EV121" i="21" s="1"/>
  <c r="BM122" i="21"/>
  <c r="EE122" i="21"/>
  <c r="BL122" i="21"/>
  <c r="BN122" i="21" s="1"/>
  <c r="AL122" i="21"/>
  <c r="BA136" i="21"/>
  <c r="BB136" i="21" s="1"/>
  <c r="AM151" i="21"/>
  <c r="EE151" i="21"/>
  <c r="BB165" i="21"/>
  <c r="BB187" i="21"/>
  <c r="EU211" i="21"/>
  <c r="EV211" i="21" s="1"/>
  <c r="ET211" i="21"/>
  <c r="AY97" i="21"/>
  <c r="BA108" i="21"/>
  <c r="BB108" i="21" s="1"/>
  <c r="AN111" i="21"/>
  <c r="FX111" i="21"/>
  <c r="CU114" i="21"/>
  <c r="FG114" i="21"/>
  <c r="BA117" i="21"/>
  <c r="BB117" i="21" s="1"/>
  <c r="AX129" i="21"/>
  <c r="CM129" i="21" s="1"/>
  <c r="DJ129" i="21"/>
  <c r="CI131" i="21"/>
  <c r="CK131" i="21" s="1"/>
  <c r="CP131" i="21" s="1"/>
  <c r="EA151" i="21"/>
  <c r="Y151" i="21"/>
  <c r="U151" i="21"/>
  <c r="AY151" i="21" s="1"/>
  <c r="FZ151" i="21"/>
  <c r="FY151" i="21"/>
  <c r="GA151" i="21" s="1"/>
  <c r="CS151" i="21" s="1"/>
  <c r="AN151" i="21"/>
  <c r="AJ151" i="21"/>
  <c r="CF151" i="21"/>
  <c r="CH151" i="21" s="1"/>
  <c r="CD151" i="21"/>
  <c r="CE151" i="21" s="1"/>
  <c r="DY151" i="21"/>
  <c r="BH218" i="21"/>
  <c r="BL95" i="21"/>
  <c r="BN95" i="21" s="1"/>
  <c r="FX97" i="21"/>
  <c r="X108" i="21"/>
  <c r="X117" i="21"/>
  <c r="U122" i="21"/>
  <c r="AY122" i="21" s="1"/>
  <c r="AZ122" i="21" s="1"/>
  <c r="DC143" i="21"/>
  <c r="FJ143" i="21"/>
  <c r="L151" i="21"/>
  <c r="AZ253" i="21"/>
  <c r="BH253" i="21"/>
  <c r="ET105" i="21"/>
  <c r="EU105" i="21" s="1"/>
  <c r="EV105" i="21" s="1"/>
  <c r="AL112" i="21"/>
  <c r="BL112" i="21"/>
  <c r="BN112" i="21" s="1"/>
  <c r="BM112" i="21"/>
  <c r="AN138" i="21"/>
  <c r="CA138" i="21"/>
  <c r="BZ138" i="21"/>
  <c r="CB138" i="21" s="1"/>
  <c r="CI138" i="21" s="1"/>
  <c r="CK138" i="21" s="1"/>
  <c r="CP138" i="21" s="1"/>
  <c r="BE138" i="21"/>
  <c r="BF138" i="21" s="1"/>
  <c r="CO138" i="21" s="1"/>
  <c r="FX138" i="21"/>
  <c r="GA138" i="21" s="1"/>
  <c r="CS138" i="21" s="1"/>
  <c r="BR138" i="21"/>
  <c r="DZ138" i="21" s="1"/>
  <c r="EB138" i="21" s="1"/>
  <c r="BK138" i="21"/>
  <c r="BL138" i="21" s="1"/>
  <c r="BN138" i="21" s="1"/>
  <c r="EE138" i="21"/>
  <c r="EU138" i="21"/>
  <c r="EV138" i="21" s="1"/>
  <c r="ET138" i="21"/>
  <c r="EY144" i="21"/>
  <c r="FI146" i="21"/>
  <c r="DD146" i="21"/>
  <c r="AU154" i="21"/>
  <c r="CA181" i="21"/>
  <c r="BR181" i="21"/>
  <c r="DZ181" i="21" s="1"/>
  <c r="EB181" i="21" s="1"/>
  <c r="EH181" i="21" s="1"/>
  <c r="T181" i="21"/>
  <c r="BZ181" i="21"/>
  <c r="N181" i="21"/>
  <c r="BE181" i="21"/>
  <c r="BF181" i="21" s="1"/>
  <c r="CO181" i="21" s="1"/>
  <c r="FX181" i="21"/>
  <c r="GA181" i="21" s="1"/>
  <c r="CS181" i="21" s="1"/>
  <c r="DI203" i="21"/>
  <c r="M203" i="21"/>
  <c r="BF203" i="21" s="1"/>
  <c r="AX203" i="21"/>
  <c r="P203" i="21"/>
  <c r="DY203" i="21" s="1"/>
  <c r="EH203" i="21" s="1"/>
  <c r="CB212" i="21"/>
  <c r="CI212" i="21" s="1"/>
  <c r="I340" i="21"/>
  <c r="DL340" i="21"/>
  <c r="AK340" i="21"/>
  <c r="AL340" i="21"/>
  <c r="L340" i="21"/>
  <c r="CH96" i="21"/>
  <c r="EE105" i="21"/>
  <c r="O105" i="21"/>
  <c r="DT112" i="21"/>
  <c r="BF136" i="21"/>
  <c r="CO136" i="21" s="1"/>
  <c r="U138" i="21"/>
  <c r="AY138" i="21" s="1"/>
  <c r="AZ138" i="21" s="1"/>
  <c r="M147" i="21"/>
  <c r="BF147" i="21" s="1"/>
  <c r="CO147" i="21" s="1"/>
  <c r="AX147" i="21"/>
  <c r="CM147" i="21" s="1"/>
  <c r="BA168" i="21"/>
  <c r="BB168" i="21" s="1"/>
  <c r="U181" i="21"/>
  <c r="AY181" i="21" s="1"/>
  <c r="EE340" i="21"/>
  <c r="Q340" i="21"/>
  <c r="BI425" i="21"/>
  <c r="DT425" i="21"/>
  <c r="AU159" i="21"/>
  <c r="ET166" i="21"/>
  <c r="EU166" i="21" s="1"/>
  <c r="EV166" i="21" s="1"/>
  <c r="AL173" i="21"/>
  <c r="BR173" i="21"/>
  <c r="DZ173" i="21" s="1"/>
  <c r="EB173" i="21" s="1"/>
  <c r="EH173" i="21" s="1"/>
  <c r="FY173" i="21"/>
  <c r="BZ173" i="21"/>
  <c r="CB173" i="21" s="1"/>
  <c r="CI173" i="21" s="1"/>
  <c r="CB176" i="21"/>
  <c r="CI176" i="21" s="1"/>
  <c r="CK176" i="21" s="1"/>
  <c r="CP176" i="21" s="1"/>
  <c r="S179" i="21"/>
  <c r="AN179" i="21" s="1"/>
  <c r="L179" i="21"/>
  <c r="GA179" i="21"/>
  <c r="CS179" i="21" s="1"/>
  <c r="DL179" i="21"/>
  <c r="AM179" i="21"/>
  <c r="AL179" i="21"/>
  <c r="AK179" i="21"/>
  <c r="AJ179" i="21" s="1"/>
  <c r="CU115" i="21"/>
  <c r="FG115" i="21"/>
  <c r="DJ119" i="21"/>
  <c r="EY119" i="21" s="1"/>
  <c r="EY123" i="21"/>
  <c r="EZ123" i="21" s="1"/>
  <c r="BA125" i="21"/>
  <c r="AN128" i="21"/>
  <c r="GA128" i="21"/>
  <c r="CS128" i="21" s="1"/>
  <c r="AK128" i="21"/>
  <c r="EE128" i="21"/>
  <c r="DL128" i="21"/>
  <c r="DI128" i="21"/>
  <c r="ET137" i="21"/>
  <c r="EU137" i="21" s="1"/>
  <c r="EV137" i="21" s="1"/>
  <c r="BO141" i="21"/>
  <c r="BP141" i="21" s="1"/>
  <c r="EI141" i="21" s="1"/>
  <c r="EH141" i="21" s="1"/>
  <c r="CB149" i="21"/>
  <c r="CI149" i="21" s="1"/>
  <c r="AL152" i="21"/>
  <c r="AX166" i="21"/>
  <c r="CM166" i="21" s="1"/>
  <c r="M166" i="21"/>
  <c r="BB166" i="21"/>
  <c r="Y178" i="21"/>
  <c r="I179" i="21"/>
  <c r="BR302" i="21"/>
  <c r="DZ302" i="21" s="1"/>
  <c r="AL302" i="21"/>
  <c r="BZ302" i="21"/>
  <c r="CB302" i="21" s="1"/>
  <c r="CI302" i="21" s="1"/>
  <c r="T302" i="21"/>
  <c r="CA302" i="21"/>
  <c r="FX124" i="21"/>
  <c r="CA124" i="21"/>
  <c r="BZ124" i="21"/>
  <c r="CB124" i="21" s="1"/>
  <c r="CI124" i="21" s="1"/>
  <c r="CK124" i="21" s="1"/>
  <c r="CP124" i="21" s="1"/>
  <c r="BR124" i="21"/>
  <c r="DZ124" i="21" s="1"/>
  <c r="EB124" i="21" s="1"/>
  <c r="BE124" i="21"/>
  <c r="BF124" i="21" s="1"/>
  <c r="CO124" i="21" s="1"/>
  <c r="I128" i="21"/>
  <c r="BA142" i="21"/>
  <c r="BB142" i="21" s="1"/>
  <c r="BI178" i="21"/>
  <c r="DM190" i="21"/>
  <c r="DD236" i="21"/>
  <c r="FI236" i="21"/>
  <c r="CE273" i="21"/>
  <c r="FY140" i="21"/>
  <c r="GA140" i="21" s="1"/>
  <c r="CS140" i="21" s="1"/>
  <c r="BK140" i="21"/>
  <c r="T140" i="21"/>
  <c r="BR140" i="21"/>
  <c r="DZ140" i="21" s="1"/>
  <c r="EB140" i="21" s="1"/>
  <c r="CA140" i="21"/>
  <c r="BZ140" i="21"/>
  <c r="CB140" i="21" s="1"/>
  <c r="CI140" i="21" s="1"/>
  <c r="CK140" i="21" s="1"/>
  <c r="CP140" i="21" s="1"/>
  <c r="BE140" i="21"/>
  <c r="DY148" i="21"/>
  <c r="BZ148" i="21"/>
  <c r="CB148" i="21" s="1"/>
  <c r="CI148" i="21" s="1"/>
  <c r="BB205" i="21"/>
  <c r="U124" i="21"/>
  <c r="AY124" i="21" s="1"/>
  <c r="AL124" i="21"/>
  <c r="T124" i="21"/>
  <c r="CA128" i="21"/>
  <c r="BE128" i="21"/>
  <c r="BF128" i="21" s="1"/>
  <c r="CO128" i="21" s="1"/>
  <c r="FX128" i="21"/>
  <c r="BZ128" i="21"/>
  <c r="BR128" i="21"/>
  <c r="DZ128" i="21" s="1"/>
  <c r="EB128" i="21" s="1"/>
  <c r="U128" i="21"/>
  <c r="T128" i="21"/>
  <c r="BK128" i="21"/>
  <c r="U140" i="21"/>
  <c r="BM140" i="21"/>
  <c r="BL140" i="21"/>
  <c r="BN140" i="21" s="1"/>
  <c r="FY142" i="21"/>
  <c r="AJ142" i="21"/>
  <c r="DM158" i="21"/>
  <c r="EH166" i="21"/>
  <c r="EE179" i="21"/>
  <c r="Y184" i="21"/>
  <c r="BA261" i="21"/>
  <c r="X261" i="21"/>
  <c r="AX127" i="21"/>
  <c r="CM127" i="21" s="1"/>
  <c r="DJ127" i="21"/>
  <c r="DT133" i="21"/>
  <c r="GA149" i="21"/>
  <c r="CS149" i="21" s="1"/>
  <c r="AN149" i="21"/>
  <c r="AK149" i="21"/>
  <c r="AM149" i="21" s="1"/>
  <c r="DI149" i="21"/>
  <c r="BJ205" i="21"/>
  <c r="AL145" i="21"/>
  <c r="BM145" i="21"/>
  <c r="BL145" i="21"/>
  <c r="BN145" i="21" s="1"/>
  <c r="AN145" i="21"/>
  <c r="M149" i="21"/>
  <c r="BF149" i="21" s="1"/>
  <c r="CO149" i="21" s="1"/>
  <c r="AX149" i="21"/>
  <c r="CM149" i="21" s="1"/>
  <c r="BB149" i="21"/>
  <c r="DJ149" i="21"/>
  <c r="EY149" i="21" s="1"/>
  <c r="BC166" i="21"/>
  <c r="CN166" i="21" s="1"/>
  <c r="AX191" i="21"/>
  <c r="DI191" i="21"/>
  <c r="M191" i="21"/>
  <c r="BF191" i="21" s="1"/>
  <c r="EY141" i="21"/>
  <c r="T145" i="21"/>
  <c r="AY148" i="21"/>
  <c r="P157" i="21"/>
  <c r="M157" i="21"/>
  <c r="BF157" i="21" s="1"/>
  <c r="AX157" i="21"/>
  <c r="BB157" i="21"/>
  <c r="CA173" i="21"/>
  <c r="EH216" i="21"/>
  <c r="EG216" i="21"/>
  <c r="ET107" i="21"/>
  <c r="EU107" i="21" s="1"/>
  <c r="EV107" i="21" s="1"/>
  <c r="BE119" i="21"/>
  <c r="BF119" i="21" s="1"/>
  <c r="CO119" i="21" s="1"/>
  <c r="FX119" i="21"/>
  <c r="BF123" i="21"/>
  <c r="CO123" i="21" s="1"/>
  <c r="BM134" i="21"/>
  <c r="T134" i="21"/>
  <c r="BL134" i="21"/>
  <c r="BN134" i="21" s="1"/>
  <c r="DL137" i="21"/>
  <c r="AK137" i="21"/>
  <c r="AM137" i="21" s="1"/>
  <c r="AN137" i="21"/>
  <c r="BA138" i="21"/>
  <c r="BB138" i="21" s="1"/>
  <c r="FG144" i="21"/>
  <c r="DA144" i="21"/>
  <c r="EE146" i="21"/>
  <c r="AK146" i="21"/>
  <c r="AM146" i="21" s="1"/>
  <c r="AN146" i="21"/>
  <c r="DL146" i="21"/>
  <c r="DI146" i="21"/>
  <c r="U193" i="21"/>
  <c r="FX193" i="21"/>
  <c r="AN193" i="21"/>
  <c r="T193" i="21"/>
  <c r="BE193" i="21"/>
  <c r="BF193" i="21" s="1"/>
  <c r="CO193" i="21" s="1"/>
  <c r="CS308" i="21"/>
  <c r="CM308" i="21"/>
  <c r="CO308" i="21"/>
  <c r="FG68" i="21"/>
  <c r="EE81" i="21"/>
  <c r="FX81" i="21"/>
  <c r="BL85" i="21"/>
  <c r="BN85" i="21" s="1"/>
  <c r="BM85" i="21"/>
  <c r="BK98" i="21"/>
  <c r="EU124" i="21"/>
  <c r="EV124" i="21" s="1"/>
  <c r="EZ124" i="21"/>
  <c r="DL129" i="21"/>
  <c r="AN129" i="21"/>
  <c r="EE129" i="21"/>
  <c r="U134" i="21"/>
  <c r="FI134" i="21"/>
  <c r="CX134" i="21"/>
  <c r="BE136" i="21"/>
  <c r="CA136" i="21"/>
  <c r="CB136" i="21" s="1"/>
  <c r="CI136" i="21" s="1"/>
  <c r="CK136" i="21" s="1"/>
  <c r="CP136" i="21" s="1"/>
  <c r="T136" i="21"/>
  <c r="AN136" i="21"/>
  <c r="I137" i="21"/>
  <c r="I146" i="21"/>
  <c r="AT167" i="21"/>
  <c r="DU167" i="21" s="1"/>
  <c r="N167" i="21"/>
  <c r="EE167" i="21" s="1"/>
  <c r="FY167" i="21"/>
  <c r="AL167" i="21"/>
  <c r="CA167" i="21"/>
  <c r="AJ167" i="21"/>
  <c r="BZ167" i="21"/>
  <c r="BR167" i="21"/>
  <c r="DZ167" i="21" s="1"/>
  <c r="EB167" i="21" s="1"/>
  <c r="I177" i="21"/>
  <c r="AK177" i="21"/>
  <c r="AJ177" i="21" s="1"/>
  <c r="S177" i="21"/>
  <c r="AN177" i="21"/>
  <c r="AM177" i="21"/>
  <c r="AL177" i="21"/>
  <c r="AM203" i="21"/>
  <c r="DL203" i="21"/>
  <c r="EE203" i="21"/>
  <c r="AN203" i="21"/>
  <c r="AL203" i="21"/>
  <c r="AK203" i="21"/>
  <c r="AJ203" i="21" s="1"/>
  <c r="S203" i="21"/>
  <c r="BR303" i="21"/>
  <c r="DZ303" i="21" s="1"/>
  <c r="EB303" i="21" s="1"/>
  <c r="FY303" i="21"/>
  <c r="GA303" i="21" s="1"/>
  <c r="T303" i="21"/>
  <c r="CA303" i="21"/>
  <c r="BZ303" i="21"/>
  <c r="CA357" i="21"/>
  <c r="BZ357" i="21"/>
  <c r="BR357" i="21"/>
  <c r="DZ357" i="21" s="1"/>
  <c r="EB357" i="21" s="1"/>
  <c r="EH357" i="21" s="1"/>
  <c r="FX67" i="21"/>
  <c r="GA67" i="21" s="1"/>
  <c r="CS67" i="21" s="1"/>
  <c r="EL71" i="21"/>
  <c r="EK71" i="21" s="1"/>
  <c r="EL90" i="21"/>
  <c r="EK90" i="21" s="1"/>
  <c r="AX93" i="21"/>
  <c r="CM93" i="21" s="1"/>
  <c r="DL94" i="21"/>
  <c r="AX94" i="21"/>
  <c r="CM94" i="21" s="1"/>
  <c r="CF98" i="21"/>
  <c r="CH98" i="21" s="1"/>
  <c r="CD98" i="21"/>
  <c r="CE98" i="21" s="1"/>
  <c r="AN98" i="21"/>
  <c r="BE131" i="21"/>
  <c r="BF131" i="21" s="1"/>
  <c r="CO131" i="21" s="1"/>
  <c r="BK131" i="21"/>
  <c r="BM136" i="21"/>
  <c r="EB148" i="21"/>
  <c r="EE149" i="21"/>
  <c r="AZ167" i="21"/>
  <c r="BH167" i="21"/>
  <c r="N183" i="21"/>
  <c r="EE183" i="21" s="1"/>
  <c r="FY183" i="21"/>
  <c r="GA183" i="21" s="1"/>
  <c r="AL183" i="21"/>
  <c r="CA183" i="21"/>
  <c r="BZ183" i="21"/>
  <c r="CB183" i="21" s="1"/>
  <c r="CI183" i="21" s="1"/>
  <c r="CK183" i="21" s="1"/>
  <c r="BR183" i="21"/>
  <c r="DZ183" i="21" s="1"/>
  <c r="EB183" i="21" s="1"/>
  <c r="CA188" i="21"/>
  <c r="BZ188" i="21"/>
  <c r="FX188" i="21"/>
  <c r="BR188" i="21"/>
  <c r="DZ188" i="21" s="1"/>
  <c r="EB188" i="21" s="1"/>
  <c r="EH188" i="21" s="1"/>
  <c r="BE188" i="21"/>
  <c r="FY197" i="21"/>
  <c r="CA197" i="21"/>
  <c r="BR197" i="21"/>
  <c r="DZ197" i="21" s="1"/>
  <c r="EB197" i="21" s="1"/>
  <c r="EE72" i="21"/>
  <c r="L77" i="21"/>
  <c r="DL77" i="21"/>
  <c r="EE77" i="21"/>
  <c r="FX77" i="21"/>
  <c r="GA77" i="21" s="1"/>
  <c r="CS77" i="21" s="1"/>
  <c r="FG78" i="21"/>
  <c r="BR106" i="21"/>
  <c r="DZ106" i="21" s="1"/>
  <c r="EB106" i="21" s="1"/>
  <c r="T106" i="21"/>
  <c r="BK106" i="21"/>
  <c r="FY106" i="21"/>
  <c r="GA106" i="21" s="1"/>
  <c r="BE106" i="21"/>
  <c r="BF106" i="21" s="1"/>
  <c r="GD121" i="21"/>
  <c r="BE121" i="21"/>
  <c r="BF121" i="21" s="1"/>
  <c r="CO121" i="21" s="1"/>
  <c r="FY121" i="21"/>
  <c r="GA121" i="21" s="1"/>
  <c r="CS121" i="21" s="1"/>
  <c r="AL131" i="21"/>
  <c r="DL132" i="21"/>
  <c r="AN132" i="21"/>
  <c r="I132" i="21"/>
  <c r="AK132" i="21"/>
  <c r="EE132" i="21"/>
  <c r="GA132" i="21"/>
  <c r="CS132" i="21" s="1"/>
  <c r="BE135" i="21"/>
  <c r="BF135" i="21" s="1"/>
  <c r="CO135" i="21" s="1"/>
  <c r="AN135" i="21"/>
  <c r="BZ137" i="21"/>
  <c r="CB137" i="21" s="1"/>
  <c r="BR137" i="21"/>
  <c r="DZ137" i="21" s="1"/>
  <c r="EB137" i="21" s="1"/>
  <c r="T137" i="21"/>
  <c r="BE137" i="21"/>
  <c r="BF137" i="21" s="1"/>
  <c r="CO137" i="21" s="1"/>
  <c r="DA145" i="21"/>
  <c r="FG145" i="21"/>
  <c r="FX152" i="21"/>
  <c r="GA152" i="21" s="1"/>
  <c r="CS152" i="21" s="1"/>
  <c r="BE152" i="21"/>
  <c r="BZ152" i="21"/>
  <c r="CB152" i="21" s="1"/>
  <c r="CI152" i="21" s="1"/>
  <c r="BR152" i="21"/>
  <c r="DZ152" i="21" s="1"/>
  <c r="EB152" i="21" s="1"/>
  <c r="CA152" i="21"/>
  <c r="BE159" i="21"/>
  <c r="BF159" i="21" s="1"/>
  <c r="CA159" i="21"/>
  <c r="BZ159" i="21"/>
  <c r="CB159" i="21" s="1"/>
  <c r="CI159" i="21" s="1"/>
  <c r="CK159" i="21" s="1"/>
  <c r="BR159" i="21"/>
  <c r="DZ159" i="21" s="1"/>
  <c r="EB159" i="21" s="1"/>
  <c r="EH159" i="21" s="1"/>
  <c r="FX159" i="21"/>
  <c r="GA159" i="21" s="1"/>
  <c r="I165" i="21"/>
  <c r="AM165" i="21"/>
  <c r="AL165" i="21"/>
  <c r="AK165" i="21"/>
  <c r="DL165" i="21"/>
  <c r="AN165" i="21"/>
  <c r="S165" i="21"/>
  <c r="Y192" i="21"/>
  <c r="EL192" i="21"/>
  <c r="EK192" i="21" s="1"/>
  <c r="AY197" i="21"/>
  <c r="DM199" i="21"/>
  <c r="BF247" i="21"/>
  <c r="CO247" i="21" s="1"/>
  <c r="FX263" i="21"/>
  <c r="U263" i="21"/>
  <c r="BE263" i="21"/>
  <c r="BF263" i="21" s="1"/>
  <c r="CO263" i="21" s="1"/>
  <c r="Q263" i="21"/>
  <c r="DI289" i="21"/>
  <c r="AX289" i="21"/>
  <c r="CM289" i="21" s="1"/>
  <c r="BB289" i="21"/>
  <c r="M289" i="21"/>
  <c r="T52" i="21"/>
  <c r="T56" i="21"/>
  <c r="AM94" i="21"/>
  <c r="EA99" i="21"/>
  <c r="CD99" i="21"/>
  <c r="CE99" i="21" s="1"/>
  <c r="AN99" i="21"/>
  <c r="AL99" i="21"/>
  <c r="Y99" i="21"/>
  <c r="DL113" i="21"/>
  <c r="AK113" i="21"/>
  <c r="DI113" i="21"/>
  <c r="GA113" i="21"/>
  <c r="CS113" i="21" s="1"/>
  <c r="BA123" i="21"/>
  <c r="BB123" i="21" s="1"/>
  <c r="BR135" i="21"/>
  <c r="DZ135" i="21" s="1"/>
  <c r="EB135" i="21" s="1"/>
  <c r="BK135" i="21"/>
  <c r="BM137" i="21"/>
  <c r="BO137" i="21" s="1"/>
  <c r="U137" i="21"/>
  <c r="AL137" i="21"/>
  <c r="BE142" i="21"/>
  <c r="BF142" i="21" s="1"/>
  <c r="CO142" i="21" s="1"/>
  <c r="BP143" i="21"/>
  <c r="EI143" i="21" s="1"/>
  <c r="EH143" i="21" s="1"/>
  <c r="U146" i="21"/>
  <c r="T146" i="21"/>
  <c r="M154" i="21"/>
  <c r="BF154" i="21" s="1"/>
  <c r="DI154" i="21"/>
  <c r="P154" i="21"/>
  <c r="BA167" i="21"/>
  <c r="BB167" i="21" s="1"/>
  <c r="X167" i="21"/>
  <c r="BE177" i="21"/>
  <c r="BZ177" i="21"/>
  <c r="CB177" i="21" s="1"/>
  <c r="CI177" i="21" s="1"/>
  <c r="FX177" i="21"/>
  <c r="GA177" i="21" s="1"/>
  <c r="CS177" i="21" s="1"/>
  <c r="BR177" i="21"/>
  <c r="DZ177" i="21" s="1"/>
  <c r="EB177" i="21" s="1"/>
  <c r="EH177" i="21" s="1"/>
  <c r="T177" i="21"/>
  <c r="U177" i="21"/>
  <c r="T183" i="21"/>
  <c r="BA193" i="21"/>
  <c r="BB193" i="21" s="1"/>
  <c r="X193" i="21"/>
  <c r="DT211" i="21"/>
  <c r="EH224" i="21"/>
  <c r="EG224" i="21"/>
  <c r="EH229" i="21"/>
  <c r="AM289" i="21"/>
  <c r="DL289" i="21"/>
  <c r="EE289" i="21"/>
  <c r="AS289" i="21"/>
  <c r="U52" i="21"/>
  <c r="AY52" i="21" s="1"/>
  <c r="U56" i="21"/>
  <c r="AY56" i="21" s="1"/>
  <c r="O64" i="21"/>
  <c r="X66" i="21"/>
  <c r="BK67" i="21"/>
  <c r="BL67" i="21" s="1"/>
  <c r="BN67" i="21" s="1"/>
  <c r="O72" i="21"/>
  <c r="L82" i="21"/>
  <c r="EE87" i="21"/>
  <c r="BK91" i="21"/>
  <c r="BM91" i="21" s="1"/>
  <c r="CD94" i="21"/>
  <c r="CE94" i="21" s="1"/>
  <c r="Y94" i="21"/>
  <c r="DY98" i="21"/>
  <c r="EU102" i="21"/>
  <c r="EV102" i="21" s="1"/>
  <c r="ET102" i="21"/>
  <c r="AL106" i="21"/>
  <c r="AQ106" i="21" s="1"/>
  <c r="AZ107" i="21"/>
  <c r="BC107" i="21" s="1"/>
  <c r="DJ113" i="21"/>
  <c r="DL118" i="21"/>
  <c r="AK118" i="21"/>
  <c r="AM118" i="21" s="1"/>
  <c r="DI118" i="21"/>
  <c r="EE118" i="21"/>
  <c r="AL129" i="21"/>
  <c r="U131" i="21"/>
  <c r="AY131" i="21" s="1"/>
  <c r="AZ131" i="21" s="1"/>
  <c r="CA132" i="21"/>
  <c r="BE132" i="21"/>
  <c r="BF132" i="21" s="1"/>
  <c r="CO132" i="21" s="1"/>
  <c r="FX132" i="21"/>
  <c r="U132" i="21"/>
  <c r="BZ132" i="21"/>
  <c r="T132" i="21"/>
  <c r="AL134" i="21"/>
  <c r="CA142" i="21"/>
  <c r="CB142" i="21" s="1"/>
  <c r="CI142" i="21" s="1"/>
  <c r="CK142" i="21" s="1"/>
  <c r="CP142" i="21" s="1"/>
  <c r="BK142" i="21"/>
  <c r="BL142" i="21" s="1"/>
  <c r="BN142" i="21" s="1"/>
  <c r="CA149" i="21"/>
  <c r="BK149" i="21"/>
  <c r="BE149" i="21"/>
  <c r="FY149" i="21"/>
  <c r="CS170" i="21"/>
  <c r="EU172" i="21"/>
  <c r="EV172" i="21" s="1"/>
  <c r="ET172" i="21"/>
  <c r="AY183" i="21"/>
  <c r="CX221" i="21"/>
  <c r="FI221" i="21"/>
  <c r="X224" i="21"/>
  <c r="BA224" i="21"/>
  <c r="BB224" i="21" s="1"/>
  <c r="AL67" i="21"/>
  <c r="L87" i="21"/>
  <c r="BL91" i="21"/>
  <c r="BN91" i="21" s="1"/>
  <c r="DL97" i="21"/>
  <c r="BR98" i="21"/>
  <c r="DZ98" i="21" s="1"/>
  <c r="EB98" i="21" s="1"/>
  <c r="DY99" i="21"/>
  <c r="GA100" i="21"/>
  <c r="L100" i="21"/>
  <c r="I100" i="21"/>
  <c r="AM101" i="21"/>
  <c r="DL101" i="21"/>
  <c r="EE113" i="21"/>
  <c r="DL120" i="21"/>
  <c r="AN120" i="21"/>
  <c r="DI120" i="21"/>
  <c r="AG120" i="21"/>
  <c r="T129" i="21"/>
  <c r="FY129" i="21"/>
  <c r="GA129" i="21" s="1"/>
  <c r="CS129" i="21" s="1"/>
  <c r="EY134" i="21"/>
  <c r="EZ134" i="21" s="1"/>
  <c r="T135" i="21"/>
  <c r="BM142" i="21"/>
  <c r="BO142" i="21" s="1"/>
  <c r="EE142" i="21"/>
  <c r="AN142" i="21"/>
  <c r="AL142" i="21"/>
  <c r="AL149" i="21"/>
  <c r="U149" i="21"/>
  <c r="AY149" i="21" s="1"/>
  <c r="Y158" i="21"/>
  <c r="EL158" i="21"/>
  <c r="EK158" i="21" s="1"/>
  <c r="ET158" i="21" s="1"/>
  <c r="T159" i="21"/>
  <c r="AZ188" i="21"/>
  <c r="BH188" i="21"/>
  <c r="BH248" i="21"/>
  <c r="T67" i="21"/>
  <c r="BM67" i="21"/>
  <c r="EE68" i="21"/>
  <c r="O82" i="21"/>
  <c r="T91" i="21"/>
  <c r="O92" i="21"/>
  <c r="M94" i="21"/>
  <c r="I97" i="21"/>
  <c r="BZ98" i="21"/>
  <c r="CB98" i="21" s="1"/>
  <c r="CI98" i="21" s="1"/>
  <c r="Q99" i="21"/>
  <c r="CD101" i="21"/>
  <c r="CE101" i="21" s="1"/>
  <c r="AN101" i="21"/>
  <c r="DJ109" i="21"/>
  <c r="AX109" i="21"/>
  <c r="DL110" i="21"/>
  <c r="DI110" i="21"/>
  <c r="AN110" i="21"/>
  <c r="BA114" i="21"/>
  <c r="BB114" i="21" s="1"/>
  <c r="DJ120" i="21"/>
  <c r="AX120" i="21"/>
  <c r="CM120" i="21" s="1"/>
  <c r="AY129" i="21"/>
  <c r="ET129" i="21"/>
  <c r="EU129" i="21"/>
  <c r="EV129" i="21" s="1"/>
  <c r="BM130" i="21"/>
  <c r="BO130" i="21" s="1"/>
  <c r="BP130" i="21" s="1"/>
  <c r="EI130" i="21" s="1"/>
  <c r="EH130" i="21" s="1"/>
  <c r="AN134" i="21"/>
  <c r="AM136" i="21"/>
  <c r="AL136" i="21"/>
  <c r="EE137" i="21"/>
  <c r="T142" i="21"/>
  <c r="T149" i="21"/>
  <c r="T152" i="21"/>
  <c r="U159" i="21"/>
  <c r="FX165" i="21"/>
  <c r="GA165" i="21" s="1"/>
  <c r="CS165" i="21" s="1"/>
  <c r="BE165" i="21"/>
  <c r="U165" i="21"/>
  <c r="AY165" i="21" s="1"/>
  <c r="T165" i="21"/>
  <c r="U188" i="21"/>
  <c r="AY188" i="21" s="1"/>
  <c r="FY222" i="21"/>
  <c r="CA222" i="21"/>
  <c r="BZ222" i="21"/>
  <c r="CB222" i="21" s="1"/>
  <c r="CI222" i="21" s="1"/>
  <c r="BR222" i="21"/>
  <c r="DZ222" i="21" s="1"/>
  <c r="EB222" i="21" s="1"/>
  <c r="T222" i="21"/>
  <c r="BB268" i="21"/>
  <c r="BC268" i="21" s="1"/>
  <c r="CN268" i="21" s="1"/>
  <c r="CG268" i="21"/>
  <c r="AL271" i="21"/>
  <c r="CA271" i="21"/>
  <c r="BZ271" i="21"/>
  <c r="BR271" i="21"/>
  <c r="DZ271" i="21" s="1"/>
  <c r="EB271" i="21" s="1"/>
  <c r="EG271" i="21" s="1"/>
  <c r="FY271" i="21"/>
  <c r="T64" i="21"/>
  <c r="AY64" i="21" s="1"/>
  <c r="U67" i="21"/>
  <c r="T72" i="21"/>
  <c r="U93" i="21"/>
  <c r="AY93" i="21" s="1"/>
  <c r="AZ93" i="21" s="1"/>
  <c r="BK93" i="21"/>
  <c r="T98" i="21"/>
  <c r="U99" i="21"/>
  <c r="CF99" i="21"/>
  <c r="CH99" i="21" s="1"/>
  <c r="BR100" i="21"/>
  <c r="DZ100" i="21" s="1"/>
  <c r="L101" i="21"/>
  <c r="FZ101" i="21"/>
  <c r="DJ110" i="21"/>
  <c r="AX110" i="21"/>
  <c r="X114" i="21"/>
  <c r="BL117" i="21"/>
  <c r="BN117" i="21" s="1"/>
  <c r="BE118" i="21"/>
  <c r="BF118" i="21" s="1"/>
  <c r="CO118" i="21" s="1"/>
  <c r="EE120" i="21"/>
  <c r="AL123" i="21"/>
  <c r="AL127" i="21"/>
  <c r="BA132" i="21"/>
  <c r="BB132" i="21" s="1"/>
  <c r="U142" i="21"/>
  <c r="AY142" i="21" s="1"/>
  <c r="AK150" i="21"/>
  <c r="AL150" i="21" s="1"/>
  <c r="DL150" i="21"/>
  <c r="DI150" i="21"/>
  <c r="U152" i="21"/>
  <c r="AY152" i="21" s="1"/>
  <c r="AZ152" i="21" s="1"/>
  <c r="CU184" i="21"/>
  <c r="FG184" i="21"/>
  <c r="CI216" i="21"/>
  <c r="CK216" i="21" s="1"/>
  <c r="T239" i="21"/>
  <c r="CA239" i="21"/>
  <c r="BZ239" i="21"/>
  <c r="CB239" i="21" s="1"/>
  <c r="CI239" i="21" s="1"/>
  <c r="CK239" i="21" s="1"/>
  <c r="CP239" i="21" s="1"/>
  <c r="BR239" i="21"/>
  <c r="DZ239" i="21" s="1"/>
  <c r="EB239" i="21" s="1"/>
  <c r="FY239" i="21"/>
  <c r="GA239" i="21" s="1"/>
  <c r="CS239" i="21" s="1"/>
  <c r="L73" i="21"/>
  <c r="L78" i="21"/>
  <c r="BR81" i="21"/>
  <c r="DZ81" i="21" s="1"/>
  <c r="EB81" i="21" s="1"/>
  <c r="EG81" i="21" s="1"/>
  <c r="AL92" i="21"/>
  <c r="DI94" i="21"/>
  <c r="EY94" i="21" s="1"/>
  <c r="AL95" i="21"/>
  <c r="BM95" i="21"/>
  <c r="AL96" i="21"/>
  <c r="CD97" i="21"/>
  <c r="CE97" i="21" s="1"/>
  <c r="EH97" i="21"/>
  <c r="U98" i="21"/>
  <c r="EE99" i="21"/>
  <c r="BZ100" i="21"/>
  <c r="M101" i="21"/>
  <c r="GA101" i="21"/>
  <c r="CS101" i="21" s="1"/>
  <c r="EZ103" i="21"/>
  <c r="EU103" i="21"/>
  <c r="EV103" i="21" s="1"/>
  <c r="ET103" i="21"/>
  <c r="EY107" i="21"/>
  <c r="EZ107" i="21" s="1"/>
  <c r="FY108" i="21"/>
  <c r="AZ117" i="21"/>
  <c r="BC117" i="21" s="1"/>
  <c r="AN130" i="21"/>
  <c r="GA130" i="21"/>
  <c r="CS130" i="21" s="1"/>
  <c r="DI130" i="21"/>
  <c r="I130" i="21"/>
  <c r="DT131" i="21"/>
  <c r="BA135" i="21"/>
  <c r="DA141" i="21"/>
  <c r="FG141" i="21"/>
  <c r="BE146" i="21"/>
  <c r="EL149" i="21"/>
  <c r="EK149" i="21" s="1"/>
  <c r="Y149" i="21"/>
  <c r="I150" i="21"/>
  <c r="X152" i="21"/>
  <c r="EL152" i="21" s="1"/>
  <c r="EK152" i="21" s="1"/>
  <c r="ET152" i="21" s="1"/>
  <c r="BA152" i="21"/>
  <c r="BB152" i="21" s="1"/>
  <c r="AU158" i="21"/>
  <c r="FY165" i="21"/>
  <c r="CA165" i="21"/>
  <c r="BZ165" i="21"/>
  <c r="CB165" i="21" s="1"/>
  <c r="CI165" i="21" s="1"/>
  <c r="BR165" i="21"/>
  <c r="DZ165" i="21" s="1"/>
  <c r="EB165" i="21" s="1"/>
  <c r="EH165" i="21" s="1"/>
  <c r="Y183" i="21"/>
  <c r="X188" i="21"/>
  <c r="BA188" i="21"/>
  <c r="DI206" i="21"/>
  <c r="P206" i="21"/>
  <c r="DY206" i="21" s="1"/>
  <c r="M206" i="21"/>
  <c r="BF206" i="21" s="1"/>
  <c r="CO206" i="21" s="1"/>
  <c r="BB206" i="21"/>
  <c r="AX206" i="21"/>
  <c r="CM206" i="21" s="1"/>
  <c r="T271" i="21"/>
  <c r="X67" i="21"/>
  <c r="EE73" i="21"/>
  <c r="T73" i="21"/>
  <c r="Y81" i="21"/>
  <c r="X91" i="21"/>
  <c r="L97" i="21"/>
  <c r="CA100" i="21"/>
  <c r="EE100" i="21"/>
  <c r="AX103" i="21"/>
  <c r="M103" i="21"/>
  <c r="BF103" i="21" s="1"/>
  <c r="O104" i="21"/>
  <c r="AN104" i="21" s="1"/>
  <c r="DL112" i="21"/>
  <c r="AN112" i="21"/>
  <c r="AK112" i="21"/>
  <c r="AM112" i="21" s="1"/>
  <c r="DI112" i="21"/>
  <c r="BE122" i="21"/>
  <c r="BF122" i="21" s="1"/>
  <c r="CO122" i="21" s="1"/>
  <c r="FX122" i="21"/>
  <c r="GA122" i="21" s="1"/>
  <c r="CS122" i="21" s="1"/>
  <c r="EE124" i="21"/>
  <c r="GA124" i="21"/>
  <c r="CS124" i="21" s="1"/>
  <c r="AN124" i="21"/>
  <c r="AK124" i="21"/>
  <c r="AM124" i="21" s="1"/>
  <c r="BF140" i="21"/>
  <c r="CO140" i="21" s="1"/>
  <c r="EZ141" i="21"/>
  <c r="EU141" i="21"/>
  <c r="EV141" i="21" s="1"/>
  <c r="ET141" i="21"/>
  <c r="EU145" i="21"/>
  <c r="EV145" i="21" s="1"/>
  <c r="AZ148" i="21"/>
  <c r="AM150" i="21"/>
  <c r="AZ150" i="21"/>
  <c r="EE150" i="21"/>
  <c r="AZ156" i="21"/>
  <c r="X159" i="21"/>
  <c r="BC164" i="21"/>
  <c r="BI183" i="21"/>
  <c r="BB111" i="21"/>
  <c r="BA113" i="21"/>
  <c r="BB113" i="21" s="1"/>
  <c r="BL119" i="21"/>
  <c r="BK124" i="21"/>
  <c r="BM124" i="21" s="1"/>
  <c r="GD124" i="21"/>
  <c r="BE127" i="21"/>
  <c r="BF127" i="21" s="1"/>
  <c r="CO127" i="21" s="1"/>
  <c r="AK141" i="21"/>
  <c r="EE141" i="21"/>
  <c r="AN141" i="21"/>
  <c r="AG141" i="21"/>
  <c r="BK146" i="21"/>
  <c r="BM146" i="21" s="1"/>
  <c r="CA146" i="21"/>
  <c r="BZ146" i="21"/>
  <c r="CB146" i="21" s="1"/>
  <c r="CI146" i="21" s="1"/>
  <c r="CK146" i="21" s="1"/>
  <c r="CP146" i="21" s="1"/>
  <c r="AK147" i="21"/>
  <c r="GA147" i="21"/>
  <c r="CS147" i="21" s="1"/>
  <c r="DL147" i="21"/>
  <c r="CA150" i="21"/>
  <c r="BZ150" i="21"/>
  <c r="CB150" i="21" s="1"/>
  <c r="FY150" i="21"/>
  <c r="GA150" i="21" s="1"/>
  <c r="CS150" i="21" s="1"/>
  <c r="T150" i="21"/>
  <c r="BZ169" i="21"/>
  <c r="CB169" i="21" s="1"/>
  <c r="CI169" i="21" s="1"/>
  <c r="BH171" i="21"/>
  <c r="AZ171" i="21"/>
  <c r="ET182" i="21"/>
  <c r="EU182" i="21" s="1"/>
  <c r="EV182" i="21" s="1"/>
  <c r="CS183" i="21"/>
  <c r="CP183" i="21"/>
  <c r="CO183" i="21"/>
  <c r="CM183" i="21"/>
  <c r="CH202" i="21"/>
  <c r="FX207" i="21"/>
  <c r="EE207" i="21"/>
  <c r="BE207" i="21"/>
  <c r="U207" i="21"/>
  <c r="Q207" i="21"/>
  <c r="CF289" i="21"/>
  <c r="CH289" i="21" s="1"/>
  <c r="CD289" i="21"/>
  <c r="AN289" i="21"/>
  <c r="Y289" i="21"/>
  <c r="U289" i="21"/>
  <c r="Q289" i="21"/>
  <c r="FZ289" i="21"/>
  <c r="BE289" i="21"/>
  <c r="EA289" i="21"/>
  <c r="EA102" i="21"/>
  <c r="T119" i="21"/>
  <c r="BZ119" i="21"/>
  <c r="BR119" i="21"/>
  <c r="DZ119" i="21" s="1"/>
  <c r="EB119" i="21" s="1"/>
  <c r="BK127" i="21"/>
  <c r="ET142" i="21"/>
  <c r="DM156" i="21"/>
  <c r="Y157" i="21"/>
  <c r="EL157" i="21"/>
  <c r="EK157" i="21" s="1"/>
  <c r="ET157" i="21" s="1"/>
  <c r="EU157" i="21" s="1"/>
  <c r="EV157" i="21" s="1"/>
  <c r="BA173" i="21"/>
  <c r="BB173" i="21" s="1"/>
  <c r="FY194" i="21"/>
  <c r="AL194" i="21"/>
  <c r="CA194" i="21"/>
  <c r="AJ194" i="21"/>
  <c r="BZ194" i="21"/>
  <c r="CB194" i="21" s="1"/>
  <c r="CI194" i="21" s="1"/>
  <c r="CK194" i="21" s="1"/>
  <c r="CP194" i="21" s="1"/>
  <c r="BR194" i="21"/>
  <c r="DZ194" i="21" s="1"/>
  <c r="EB194" i="21" s="1"/>
  <c r="EH194" i="21" s="1"/>
  <c r="DL114" i="21"/>
  <c r="AN114" i="21"/>
  <c r="DL133" i="21"/>
  <c r="EE133" i="21"/>
  <c r="EY142" i="21"/>
  <c r="EZ142" i="21" s="1"/>
  <c r="FY144" i="21"/>
  <c r="GA144" i="21" s="1"/>
  <c r="CS144" i="21" s="1"/>
  <c r="CA144" i="21"/>
  <c r="BZ144" i="21"/>
  <c r="CB144" i="21" s="1"/>
  <c r="CI144" i="21" s="1"/>
  <c r="CK144" i="21" s="1"/>
  <c r="CP144" i="21" s="1"/>
  <c r="T144" i="21"/>
  <c r="BA171" i="21"/>
  <c r="BB171" i="21" s="1"/>
  <c r="X173" i="21"/>
  <c r="CA179" i="21"/>
  <c r="BZ179" i="21"/>
  <c r="CB179" i="21" s="1"/>
  <c r="CI179" i="21" s="1"/>
  <c r="BR179" i="21"/>
  <c r="DZ179" i="21" s="1"/>
  <c r="EB179" i="21" s="1"/>
  <c r="FY179" i="21"/>
  <c r="T179" i="21"/>
  <c r="BF184" i="21"/>
  <c r="CO184" i="21" s="1"/>
  <c r="BC225" i="21"/>
  <c r="CN225" i="21" s="1"/>
  <c r="CS241" i="21"/>
  <c r="DT248" i="21"/>
  <c r="BI248" i="21"/>
  <c r="EA100" i="21"/>
  <c r="M102" i="21"/>
  <c r="BF102" i="21" s="1"/>
  <c r="AX108" i="21"/>
  <c r="T113" i="21"/>
  <c r="BL113" i="21"/>
  <c r="EL113" i="21"/>
  <c r="EK113" i="21" s="1"/>
  <c r="DJ114" i="21"/>
  <c r="FY114" i="21"/>
  <c r="GA114" i="21" s="1"/>
  <c r="CS114" i="21" s="1"/>
  <c r="I133" i="21"/>
  <c r="CA141" i="21"/>
  <c r="BM144" i="21"/>
  <c r="AL144" i="21"/>
  <c r="EE144" i="21"/>
  <c r="U144" i="21"/>
  <c r="AY144" i="21" s="1"/>
  <c r="BL144" i="21"/>
  <c r="BN144" i="21" s="1"/>
  <c r="BF158" i="21"/>
  <c r="M164" i="21"/>
  <c r="BF164" i="21" s="1"/>
  <c r="X171" i="21"/>
  <c r="EH176" i="21"/>
  <c r="T184" i="21"/>
  <c r="FX184" i="21"/>
  <c r="GA184" i="21" s="1"/>
  <c r="CS184" i="21" s="1"/>
  <c r="BE184" i="21"/>
  <c r="BA189" i="21"/>
  <c r="BB189" i="21" s="1"/>
  <c r="FG193" i="21"/>
  <c r="CU193" i="21"/>
  <c r="T194" i="21"/>
  <c r="BA201" i="21"/>
  <c r="X218" i="21"/>
  <c r="BA218" i="21"/>
  <c r="AX98" i="21"/>
  <c r="M98" i="21"/>
  <c r="EE102" i="21"/>
  <c r="GA107" i="21"/>
  <c r="U113" i="21"/>
  <c r="BK118" i="21"/>
  <c r="BM118" i="21" s="1"/>
  <c r="CA119" i="21"/>
  <c r="ET123" i="21"/>
  <c r="EU123" i="21" s="1"/>
  <c r="EV123" i="21" s="1"/>
  <c r="ET127" i="21"/>
  <c r="EU127" i="21" s="1"/>
  <c r="EV127" i="21" s="1"/>
  <c r="BF133" i="21"/>
  <c r="CO133" i="21" s="1"/>
  <c r="U141" i="21"/>
  <c r="AY141" i="21" s="1"/>
  <c r="GA142" i="21"/>
  <c r="CS142" i="21" s="1"/>
  <c r="DR154" i="21"/>
  <c r="AQ157" i="21"/>
  <c r="FX158" i="21"/>
  <c r="GA158" i="21" s="1"/>
  <c r="CA158" i="21"/>
  <c r="CB158" i="21" s="1"/>
  <c r="CI158" i="21" s="1"/>
  <c r="CK158" i="21" s="1"/>
  <c r="BE158" i="21"/>
  <c r="X189" i="21"/>
  <c r="X201" i="21"/>
  <c r="EG256" i="21"/>
  <c r="BE107" i="21"/>
  <c r="BF107" i="21" s="1"/>
  <c r="FY107" i="21"/>
  <c r="AL118" i="21"/>
  <c r="T127" i="21"/>
  <c r="T141" i="21"/>
  <c r="EK150" i="21"/>
  <c r="P164" i="21"/>
  <c r="DI167" i="21"/>
  <c r="AX167" i="21"/>
  <c r="CM167" i="21" s="1"/>
  <c r="CP171" i="21"/>
  <c r="FY184" i="21"/>
  <c r="CA184" i="21"/>
  <c r="N184" i="21"/>
  <c r="EE184" i="21" s="1"/>
  <c r="BZ184" i="21"/>
  <c r="CB184" i="21" s="1"/>
  <c r="CI184" i="21" s="1"/>
  <c r="CK184" i="21" s="1"/>
  <c r="CP184" i="21" s="1"/>
  <c r="BR184" i="21"/>
  <c r="DZ184" i="21" s="1"/>
  <c r="EB184" i="21" s="1"/>
  <c r="EH184" i="21" s="1"/>
  <c r="BK123" i="21"/>
  <c r="GD123" i="21"/>
  <c r="DL126" i="21"/>
  <c r="EE126" i="21"/>
  <c r="FY133" i="21"/>
  <c r="GA133" i="21" s="1"/>
  <c r="CS133" i="21" s="1"/>
  <c r="BK133" i="21"/>
  <c r="BR133" i="21"/>
  <c r="DZ133" i="21" s="1"/>
  <c r="EB133" i="21" s="1"/>
  <c r="ET134" i="21"/>
  <c r="EU134" i="21" s="1"/>
  <c r="EV134" i="21" s="1"/>
  <c r="EM160" i="21"/>
  <c r="EP160" i="21" s="1"/>
  <c r="EQ160" i="21" s="1"/>
  <c r="AZ162" i="21"/>
  <c r="BA170" i="21"/>
  <c r="X176" i="21"/>
  <c r="BA176" i="21"/>
  <c r="BB176" i="21" s="1"/>
  <c r="DT186" i="21"/>
  <c r="BA194" i="21"/>
  <c r="BB194" i="21" s="1"/>
  <c r="FG211" i="21"/>
  <c r="CU211" i="21"/>
  <c r="BJ225" i="21"/>
  <c r="DL265" i="21"/>
  <c r="AL265" i="21"/>
  <c r="AK265" i="21"/>
  <c r="L265" i="21"/>
  <c r="GA102" i="21"/>
  <c r="BR105" i="21"/>
  <c r="DZ105" i="21" s="1"/>
  <c r="EB105" i="21" s="1"/>
  <c r="BK114" i="21"/>
  <c r="U118" i="21"/>
  <c r="AY118" i="21" s="1"/>
  <c r="AZ118" i="21" s="1"/>
  <c r="U123" i="21"/>
  <c r="I126" i="21"/>
  <c r="BR127" i="21"/>
  <c r="DZ127" i="21" s="1"/>
  <c r="EB127" i="21" s="1"/>
  <c r="BZ133" i="21"/>
  <c r="AN152" i="21"/>
  <c r="CH156" i="21"/>
  <c r="CI156" i="21" s="1"/>
  <c r="CK156" i="21" s="1"/>
  <c r="BH158" i="21"/>
  <c r="AZ158" i="21"/>
  <c r="Y160" i="21"/>
  <c r="DR160" i="21" s="1"/>
  <c r="X170" i="21"/>
  <c r="U184" i="21"/>
  <c r="X194" i="21"/>
  <c r="L197" i="21"/>
  <c r="AK197" i="21"/>
  <c r="AJ197" i="21" s="1"/>
  <c r="DL197" i="21"/>
  <c r="S197" i="21"/>
  <c r="AN197" i="21" s="1"/>
  <c r="EE197" i="21"/>
  <c r="AM197" i="21"/>
  <c r="AL197" i="21"/>
  <c r="AN209" i="21"/>
  <c r="AM209" i="21"/>
  <c r="AL209" i="21"/>
  <c r="AK209" i="21"/>
  <c r="AJ209" i="21" s="1"/>
  <c r="DL209" i="21"/>
  <c r="S209" i="21"/>
  <c r="EE209" i="21"/>
  <c r="I265" i="21"/>
  <c r="BA284" i="21"/>
  <c r="BB284" i="21" s="1"/>
  <c r="T114" i="21"/>
  <c r="T123" i="21"/>
  <c r="BF126" i="21"/>
  <c r="CO126" i="21" s="1"/>
  <c r="T133" i="21"/>
  <c r="CA133" i="21"/>
  <c r="EE140" i="21"/>
  <c r="AN140" i="21"/>
  <c r="AK140" i="21"/>
  <c r="AM140" i="21" s="1"/>
  <c r="DL140" i="21"/>
  <c r="BH156" i="21"/>
  <c r="BI160" i="21"/>
  <c r="U167" i="21"/>
  <c r="AY167" i="21" s="1"/>
  <c r="FX167" i="21"/>
  <c r="X169" i="21"/>
  <c r="CS176" i="21"/>
  <c r="CO176" i="21"/>
  <c r="CM180" i="21"/>
  <c r="P197" i="21"/>
  <c r="DY197" i="21" s="1"/>
  <c r="EH197" i="21" s="1"/>
  <c r="M197" i="21"/>
  <c r="DI197" i="21"/>
  <c r="AX197" i="21"/>
  <c r="CM197" i="21" s="1"/>
  <c r="DI202" i="21"/>
  <c r="P202" i="21"/>
  <c r="DY202" i="21" s="1"/>
  <c r="M202" i="21"/>
  <c r="AX202" i="21"/>
  <c r="M209" i="21"/>
  <c r="BF209" i="21" s="1"/>
  <c r="CO209" i="21" s="1"/>
  <c r="DI209" i="21"/>
  <c r="AX209" i="21"/>
  <c r="CM209" i="21" s="1"/>
  <c r="CS225" i="21"/>
  <c r="EH244" i="21"/>
  <c r="EG244" i="21"/>
  <c r="L103" i="21"/>
  <c r="Y105" i="21"/>
  <c r="EM106" i="21"/>
  <c r="EP106" i="21" s="1"/>
  <c r="EQ106" i="21" s="1"/>
  <c r="BM107" i="21"/>
  <c r="BO107" i="21" s="1"/>
  <c r="BP107" i="21" s="1"/>
  <c r="EI107" i="21" s="1"/>
  <c r="EH107" i="21" s="1"/>
  <c r="U114" i="21"/>
  <c r="BR123" i="21"/>
  <c r="DZ123" i="21" s="1"/>
  <c r="EB123" i="21" s="1"/>
  <c r="FY124" i="21"/>
  <c r="BE126" i="21"/>
  <c r="DI126" i="21"/>
  <c r="CA127" i="21"/>
  <c r="CB127" i="21" s="1"/>
  <c r="CI127" i="21" s="1"/>
  <c r="CK127" i="21" s="1"/>
  <c r="CP127" i="21" s="1"/>
  <c r="AY133" i="21"/>
  <c r="BZ134" i="21"/>
  <c r="CB134" i="21" s="1"/>
  <c r="CI134" i="21" s="1"/>
  <c r="CK134" i="21" s="1"/>
  <c r="CP134" i="21" s="1"/>
  <c r="I140" i="21"/>
  <c r="FX143" i="21"/>
  <c r="GA143" i="21" s="1"/>
  <c r="CS143" i="21" s="1"/>
  <c r="BE143" i="21"/>
  <c r="BF143" i="21" s="1"/>
  <c r="CO143" i="21" s="1"/>
  <c r="EL147" i="21"/>
  <c r="EK147" i="21" s="1"/>
  <c r="EY147" i="21" s="1"/>
  <c r="EZ147" i="21" s="1"/>
  <c r="Y147" i="21"/>
  <c r="EH167" i="21"/>
  <c r="CB178" i="21"/>
  <c r="CI178" i="21" s="1"/>
  <c r="BA184" i="21"/>
  <c r="BB184" i="21" s="1"/>
  <c r="AY192" i="21"/>
  <c r="FX197" i="21"/>
  <c r="GA197" i="21" s="1"/>
  <c r="CS197" i="21" s="1"/>
  <c r="T197" i="21"/>
  <c r="BE197" i="21"/>
  <c r="L209" i="21"/>
  <c r="BH224" i="21"/>
  <c r="Y284" i="21"/>
  <c r="DJ105" i="21"/>
  <c r="BM138" i="21"/>
  <c r="BO138" i="21" s="1"/>
  <c r="AM148" i="21"/>
  <c r="DL152" i="21"/>
  <c r="P161" i="21"/>
  <c r="DY161" i="21" s="1"/>
  <c r="DI161" i="21"/>
  <c r="EH175" i="21"/>
  <c r="CA177" i="21"/>
  <c r="DT197" i="21"/>
  <c r="CA253" i="21"/>
  <c r="BZ253" i="21"/>
  <c r="BR253" i="21"/>
  <c r="DZ253" i="21" s="1"/>
  <c r="EB253" i="21" s="1"/>
  <c r="EG253" i="21" s="1"/>
  <c r="CA267" i="21"/>
  <c r="BZ267" i="21"/>
  <c r="BR267" i="21"/>
  <c r="DZ267" i="21" s="1"/>
  <c r="BB121" i="21"/>
  <c r="EE123" i="21"/>
  <c r="AJ147" i="21"/>
  <c r="CF147" i="21"/>
  <c r="AN147" i="21"/>
  <c r="T155" i="21"/>
  <c r="FX155" i="21"/>
  <c r="GA155" i="21" s="1"/>
  <c r="AT157" i="21"/>
  <c r="DU157" i="21" s="1"/>
  <c r="CH162" i="21"/>
  <c r="DL166" i="21"/>
  <c r="GA166" i="21"/>
  <c r="CS166" i="21" s="1"/>
  <c r="S166" i="21"/>
  <c r="AN166" i="21" s="1"/>
  <c r="AM166" i="21"/>
  <c r="AL166" i="21"/>
  <c r="AK166" i="21"/>
  <c r="AY169" i="21"/>
  <c r="CH174" i="21"/>
  <c r="DI181" i="21"/>
  <c r="AY209" i="21"/>
  <c r="BA282" i="21"/>
  <c r="BB282" i="21" s="1"/>
  <c r="DL135" i="21"/>
  <c r="DI135" i="21"/>
  <c r="AK135" i="21"/>
  <c r="I135" i="21"/>
  <c r="BL136" i="21"/>
  <c r="BN136" i="21" s="1"/>
  <c r="EM156" i="21"/>
  <c r="EP156" i="21" s="1"/>
  <c r="EQ156" i="21" s="1"/>
  <c r="BA156" i="21"/>
  <c r="BB156" i="21" s="1"/>
  <c r="AY162" i="21"/>
  <c r="BH162" i="21" s="1"/>
  <c r="BE166" i="21"/>
  <c r="AK172" i="21"/>
  <c r="AJ172" i="21" s="1"/>
  <c r="S172" i="21"/>
  <c r="AN172" i="21" s="1"/>
  <c r="GA172" i="21"/>
  <c r="CS172" i="21" s="1"/>
  <c r="DL172" i="21"/>
  <c r="BE175" i="21"/>
  <c r="BR180" i="21"/>
  <c r="DZ180" i="21" s="1"/>
  <c r="EB180" i="21" s="1"/>
  <c r="EH180" i="21" s="1"/>
  <c r="DI190" i="21"/>
  <c r="M190" i="21"/>
  <c r="BF190" i="21" s="1"/>
  <c r="CO190" i="21" s="1"/>
  <c r="BR191" i="21"/>
  <c r="DZ191" i="21" s="1"/>
  <c r="EB191" i="21" s="1"/>
  <c r="EH191" i="21" s="1"/>
  <c r="CM192" i="21"/>
  <c r="AK198" i="21"/>
  <c r="EE198" i="21"/>
  <c r="S198" i="21"/>
  <c r="AN198" i="21" s="1"/>
  <c r="AM198" i="21"/>
  <c r="AL198" i="21"/>
  <c r="DL198" i="21"/>
  <c r="FY199" i="21"/>
  <c r="AL199" i="21"/>
  <c r="CA199" i="21"/>
  <c r="BZ199" i="21"/>
  <c r="CB199" i="21" s="1"/>
  <c r="CI199" i="21" s="1"/>
  <c r="CK199" i="21" s="1"/>
  <c r="CP199" i="21" s="1"/>
  <c r="T202" i="21"/>
  <c r="EL209" i="21"/>
  <c r="EK209" i="21" s="1"/>
  <c r="Y209" i="21"/>
  <c r="FY210" i="21"/>
  <c r="BZ210" i="21"/>
  <c r="CB210" i="21" s="1"/>
  <c r="CI210" i="21" s="1"/>
  <c r="CK210" i="21" s="1"/>
  <c r="CP210" i="21" s="1"/>
  <c r="BR210" i="21"/>
  <c r="DZ210" i="21" s="1"/>
  <c r="EB210" i="21" s="1"/>
  <c r="CA210" i="21"/>
  <c r="AK213" i="21"/>
  <c r="AN213" i="21"/>
  <c r="AM213" i="21"/>
  <c r="AL213" i="21"/>
  <c r="EE213" i="21"/>
  <c r="GA213" i="21"/>
  <c r="DI213" i="21"/>
  <c r="CB217" i="21"/>
  <c r="CI217" i="21" s="1"/>
  <c r="CK217" i="21" s="1"/>
  <c r="EG285" i="21"/>
  <c r="X291" i="21"/>
  <c r="EL291" i="21" s="1"/>
  <c r="EK291" i="21" s="1"/>
  <c r="BA291" i="21"/>
  <c r="CS171" i="21"/>
  <c r="CO171" i="21"/>
  <c r="I175" i="21"/>
  <c r="AN175" i="21"/>
  <c r="AM175" i="21"/>
  <c r="AL175" i="21"/>
  <c r="AK175" i="21"/>
  <c r="AJ175" i="21" s="1"/>
  <c r="AN178" i="21"/>
  <c r="AX181" i="21"/>
  <c r="CM181" i="21" s="1"/>
  <c r="CM182" i="21"/>
  <c r="GA182" i="21"/>
  <c r="CS182" i="21" s="1"/>
  <c r="FX186" i="21"/>
  <c r="T186" i="21"/>
  <c r="BE186" i="21"/>
  <c r="DT187" i="21"/>
  <c r="ET198" i="21"/>
  <c r="EU198" i="21" s="1"/>
  <c r="EV198" i="21" s="1"/>
  <c r="BH199" i="21"/>
  <c r="DL213" i="21"/>
  <c r="CA232" i="21"/>
  <c r="BZ232" i="21"/>
  <c r="BR232" i="21"/>
  <c r="DZ232" i="21" s="1"/>
  <c r="EB232" i="21" s="1"/>
  <c r="FY232" i="21"/>
  <c r="GA232" i="21" s="1"/>
  <c r="GA274" i="21"/>
  <c r="CS274" i="21" s="1"/>
  <c r="FY277" i="21"/>
  <c r="GA277" i="21" s="1"/>
  <c r="CD277" i="21"/>
  <c r="CC277" i="21"/>
  <c r="BE277" i="21"/>
  <c r="BE145" i="21"/>
  <c r="BF145" i="21" s="1"/>
  <c r="CO145" i="21" s="1"/>
  <c r="CA147" i="21"/>
  <c r="BK147" i="21"/>
  <c r="BM147" i="21" s="1"/>
  <c r="T147" i="21"/>
  <c r="BZ147" i="21"/>
  <c r="DL148" i="21"/>
  <c r="DI148" i="21"/>
  <c r="L148" i="21"/>
  <c r="DR156" i="21"/>
  <c r="BB158" i="21"/>
  <c r="DU164" i="21"/>
  <c r="FX166" i="21"/>
  <c r="CA166" i="21"/>
  <c r="BR166" i="21"/>
  <c r="DZ166" i="21" s="1"/>
  <c r="EB166" i="21" s="1"/>
  <c r="FY180" i="21"/>
  <c r="GA180" i="21" s="1"/>
  <c r="CS180" i="21" s="1"/>
  <c r="N180" i="21"/>
  <c r="AJ180" i="21"/>
  <c r="CA180" i="21"/>
  <c r="CB180" i="21" s="1"/>
  <c r="CI180" i="21" s="1"/>
  <c r="CK180" i="21" s="1"/>
  <c r="CP180" i="21" s="1"/>
  <c r="BB181" i="21"/>
  <c r="CO182" i="21"/>
  <c r="FX190" i="21"/>
  <c r="GA190" i="21" s="1"/>
  <c r="CS190" i="21" s="1"/>
  <c r="AN190" i="21"/>
  <c r="U190" i="21"/>
  <c r="T190" i="21"/>
  <c r="AN195" i="21"/>
  <c r="AY199" i="21"/>
  <c r="AZ199" i="21" s="1"/>
  <c r="AN218" i="21"/>
  <c r="AM218" i="21"/>
  <c r="AL218" i="21"/>
  <c r="AK218" i="21"/>
  <c r="AJ218" i="21" s="1"/>
  <c r="EE218" i="21"/>
  <c r="GA218" i="21"/>
  <c r="DT223" i="21"/>
  <c r="CC267" i="21"/>
  <c r="FY267" i="21"/>
  <c r="ET136" i="21"/>
  <c r="EU136" i="21" s="1"/>
  <c r="EV136" i="21" s="1"/>
  <c r="ET143" i="21"/>
  <c r="EU143" i="21" s="1"/>
  <c r="EV143" i="21" s="1"/>
  <c r="EZ145" i="21"/>
  <c r="BL147" i="21"/>
  <c r="BN147" i="21" s="1"/>
  <c r="U147" i="21"/>
  <c r="AY147" i="21" s="1"/>
  <c r="I148" i="21"/>
  <c r="EM153" i="21"/>
  <c r="EP153" i="21" s="1"/>
  <c r="EQ153" i="21" s="1"/>
  <c r="BA153" i="21"/>
  <c r="BB153" i="21" s="1"/>
  <c r="X155" i="21"/>
  <c r="BI156" i="21"/>
  <c r="BJ156" i="21" s="1"/>
  <c r="CH160" i="21"/>
  <c r="X162" i="21"/>
  <c r="EH168" i="21"/>
  <c r="CO169" i="21"/>
  <c r="DT182" i="21"/>
  <c r="FY186" i="21"/>
  <c r="BZ186" i="21"/>
  <c r="CB186" i="21" s="1"/>
  <c r="CI186" i="21" s="1"/>
  <c r="BR186" i="21"/>
  <c r="DZ186" i="21" s="1"/>
  <c r="EB186" i="21" s="1"/>
  <c r="EH186" i="21" s="1"/>
  <c r="AY210" i="21"/>
  <c r="AY217" i="21"/>
  <c r="I218" i="21"/>
  <c r="BI223" i="21"/>
  <c r="T232" i="21"/>
  <c r="EU255" i="21"/>
  <c r="EV255" i="21" s="1"/>
  <c r="ET255" i="21"/>
  <c r="DJ145" i="21"/>
  <c r="EY145" i="21" s="1"/>
  <c r="I152" i="21"/>
  <c r="L152" i="21"/>
  <c r="P160" i="21"/>
  <c r="M160" i="21"/>
  <c r="BF160" i="21" s="1"/>
  <c r="CB166" i="21"/>
  <c r="CI166" i="21" s="1"/>
  <c r="CK166" i="21" s="1"/>
  <c r="CP166" i="21" s="1"/>
  <c r="N168" i="21"/>
  <c r="FY168" i="21"/>
  <c r="GA168" i="21" s="1"/>
  <c r="CS168" i="21" s="1"/>
  <c r="BZ168" i="21"/>
  <c r="GA170" i="21"/>
  <c r="BR178" i="21"/>
  <c r="DZ178" i="21" s="1"/>
  <c r="EB178" i="21" s="1"/>
  <c r="N178" i="21"/>
  <c r="EE178" i="21" s="1"/>
  <c r="CA178" i="21"/>
  <c r="BB191" i="21"/>
  <c r="FX198" i="21"/>
  <c r="Q198" i="21"/>
  <c r="BA199" i="21"/>
  <c r="BB199" i="21" s="1"/>
  <c r="EM215" i="21"/>
  <c r="EP215" i="21" s="1"/>
  <c r="EQ215" i="21" s="1"/>
  <c r="L218" i="21"/>
  <c r="CS223" i="21"/>
  <c r="AY232" i="21"/>
  <c r="AN239" i="21"/>
  <c r="AM239" i="21"/>
  <c r="AL239" i="21"/>
  <c r="AK239" i="21"/>
  <c r="AJ239" i="21" s="1"/>
  <c r="DL239" i="21"/>
  <c r="EE239" i="21"/>
  <c r="FG241" i="21"/>
  <c r="CU241" i="21"/>
  <c r="BI278" i="21"/>
  <c r="DT278" i="21"/>
  <c r="FY143" i="21"/>
  <c r="T143" i="21"/>
  <c r="AN148" i="21"/>
  <c r="Y148" i="21"/>
  <c r="DT148" i="21" s="1"/>
  <c r="FZ148" i="21"/>
  <c r="FY148" i="21"/>
  <c r="GA148" i="21" s="1"/>
  <c r="BE148" i="21"/>
  <c r="Y153" i="21"/>
  <c r="AT155" i="21"/>
  <c r="BH166" i="21"/>
  <c r="CA168" i="21"/>
  <c r="CA175" i="21"/>
  <c r="FX175" i="21"/>
  <c r="GA175" i="21" s="1"/>
  <c r="BZ175" i="21"/>
  <c r="DT191" i="21"/>
  <c r="DT202" i="21"/>
  <c r="BF208" i="21"/>
  <c r="CO208" i="21" s="1"/>
  <c r="BA210" i="21"/>
  <c r="BB210" i="21" s="1"/>
  <c r="X210" i="21"/>
  <c r="BA217" i="21"/>
  <c r="BB217" i="21" s="1"/>
  <c r="EH230" i="21"/>
  <c r="EG230" i="21"/>
  <c r="DI239" i="21"/>
  <c r="AX239" i="21"/>
  <c r="CM239" i="21" s="1"/>
  <c r="FG252" i="21"/>
  <c r="DA252" i="21"/>
  <c r="BM143" i="21"/>
  <c r="BO143" i="21" s="1"/>
  <c r="EE143" i="21"/>
  <c r="EE148" i="21"/>
  <c r="BO148" i="21"/>
  <c r="AU161" i="21"/>
  <c r="AT162" i="21"/>
  <c r="AU163" i="21"/>
  <c r="T168" i="21"/>
  <c r="AY168" i="21" s="1"/>
  <c r="T178" i="21"/>
  <c r="AL189" i="21"/>
  <c r="EE189" i="21"/>
  <c r="Y199" i="21"/>
  <c r="BI202" i="21"/>
  <c r="BH213" i="21"/>
  <c r="X217" i="21"/>
  <c r="FY218" i="21"/>
  <c r="BZ218" i="21"/>
  <c r="CB218" i="21" s="1"/>
  <c r="CI218" i="21" s="1"/>
  <c r="BR218" i="21"/>
  <c r="DZ218" i="21" s="1"/>
  <c r="EB218" i="21" s="1"/>
  <c r="EG228" i="21"/>
  <c r="EH228" i="21"/>
  <c r="DA251" i="21"/>
  <c r="FG251" i="21"/>
  <c r="EE290" i="21"/>
  <c r="GA290" i="21"/>
  <c r="CS290" i="21" s="1"/>
  <c r="DL290" i="21"/>
  <c r="AN290" i="21"/>
  <c r="AM290" i="21"/>
  <c r="AL290" i="21"/>
  <c r="AK290" i="21"/>
  <c r="CA130" i="21"/>
  <c r="CB130" i="21" s="1"/>
  <c r="CI130" i="21" s="1"/>
  <c r="CK130" i="21" s="1"/>
  <c r="CP130" i="21" s="1"/>
  <c r="BE130" i="21"/>
  <c r="BF130" i="21" s="1"/>
  <c r="CO130" i="21" s="1"/>
  <c r="CH137" i="21"/>
  <c r="DT137" i="21"/>
  <c r="U143" i="21"/>
  <c r="AY143" i="21" s="1"/>
  <c r="BK145" i="21"/>
  <c r="CA145" i="21"/>
  <c r="CB145" i="21" s="1"/>
  <c r="CI145" i="21" s="1"/>
  <c r="CK145" i="21" s="1"/>
  <c r="CP145" i="21" s="1"/>
  <c r="BL148" i="21"/>
  <c r="BN148" i="21" s="1"/>
  <c r="DI160" i="21"/>
  <c r="EH170" i="21"/>
  <c r="FY178" i="21"/>
  <c r="GA178" i="21" s="1"/>
  <c r="X180" i="21"/>
  <c r="BB186" i="21"/>
  <c r="EE194" i="21"/>
  <c r="AN194" i="21"/>
  <c r="FX194" i="21"/>
  <c r="BE194" i="21"/>
  <c r="BF194" i="21" s="1"/>
  <c r="CO194" i="21" s="1"/>
  <c r="BI199" i="21"/>
  <c r="AY213" i="21"/>
  <c r="AZ213" i="21" s="1"/>
  <c r="BH225" i="21"/>
  <c r="EB228" i="21"/>
  <c r="M239" i="21"/>
  <c r="BF239" i="21" s="1"/>
  <c r="CO239" i="21" s="1"/>
  <c r="AL250" i="21"/>
  <c r="T250" i="21"/>
  <c r="CA250" i="21"/>
  <c r="BR250" i="21"/>
  <c r="DZ250" i="21" s="1"/>
  <c r="EB250" i="21" s="1"/>
  <c r="EH250" i="21" s="1"/>
  <c r="BZ250" i="21"/>
  <c r="CB250" i="21" s="1"/>
  <c r="CI250" i="21" s="1"/>
  <c r="I290" i="21"/>
  <c r="BK117" i="21"/>
  <c r="BM117" i="21" s="1"/>
  <c r="AM170" i="21"/>
  <c r="EH178" i="21"/>
  <c r="BE187" i="21"/>
  <c r="AY208" i="21"/>
  <c r="BA216" i="21"/>
  <c r="BB216" i="21" s="1"/>
  <c r="BH216" i="21"/>
  <c r="BR217" i="21"/>
  <c r="DZ217" i="21" s="1"/>
  <c r="EB217" i="21" s="1"/>
  <c r="EH217" i="21" s="1"/>
  <c r="AY218" i="21"/>
  <c r="AZ218" i="21" s="1"/>
  <c r="GA230" i="21"/>
  <c r="AN230" i="21"/>
  <c r="AM230" i="21"/>
  <c r="AL230" i="21"/>
  <c r="AK230" i="21"/>
  <c r="AJ230" i="21" s="1"/>
  <c r="EE230" i="21"/>
  <c r="L230" i="21"/>
  <c r="I230" i="21"/>
  <c r="AX247" i="21"/>
  <c r="CM247" i="21" s="1"/>
  <c r="DI247" i="21"/>
  <c r="EH264" i="21"/>
  <c r="DD323" i="21"/>
  <c r="FI323" i="21"/>
  <c r="T154" i="21"/>
  <c r="FX154" i="21"/>
  <c r="GA154" i="21" s="1"/>
  <c r="DI159" i="21"/>
  <c r="AZ160" i="21"/>
  <c r="DI162" i="21"/>
  <c r="AK168" i="21"/>
  <c r="AJ168" i="21" s="1"/>
  <c r="CH173" i="21"/>
  <c r="I174" i="21"/>
  <c r="X175" i="21"/>
  <c r="AJ183" i="21"/>
  <c r="AN185" i="21"/>
  <c r="EL187" i="21"/>
  <c r="EK187" i="21" s="1"/>
  <c r="EL190" i="21"/>
  <c r="EK190" i="21" s="1"/>
  <c r="CO191" i="21"/>
  <c r="CM191" i="21"/>
  <c r="U203" i="21"/>
  <c r="T203" i="21"/>
  <c r="M207" i="21"/>
  <c r="BF207" i="21" s="1"/>
  <c r="CO207" i="21" s="1"/>
  <c r="DI207" i="21"/>
  <c r="AX207" i="21"/>
  <c r="CM207" i="21" s="1"/>
  <c r="X216" i="21"/>
  <c r="BI259" i="21"/>
  <c r="EE265" i="21"/>
  <c r="AX274" i="21"/>
  <c r="CM274" i="21" s="1"/>
  <c r="M274" i="21"/>
  <c r="DI274" i="21"/>
  <c r="CD282" i="21"/>
  <c r="CC282" i="21"/>
  <c r="CE282" i="21" s="1"/>
  <c r="FY282" i="21"/>
  <c r="DT308" i="21"/>
  <c r="BI308" i="21"/>
  <c r="FX309" i="21"/>
  <c r="U309" i="21"/>
  <c r="AY309" i="21" s="1"/>
  <c r="T309" i="21"/>
  <c r="BE309" i="21"/>
  <c r="Q309" i="21"/>
  <c r="BE163" i="21"/>
  <c r="BF163" i="21" s="1"/>
  <c r="BI166" i="21"/>
  <c r="N172" i="21"/>
  <c r="T172" i="21"/>
  <c r="CS175" i="21"/>
  <c r="CM202" i="21"/>
  <c r="BZ203" i="21"/>
  <c r="CB203" i="21" s="1"/>
  <c r="CI203" i="21" s="1"/>
  <c r="CK203" i="21" s="1"/>
  <c r="CP203" i="21" s="1"/>
  <c r="FY203" i="21"/>
  <c r="GA203" i="21" s="1"/>
  <c r="CS203" i="21" s="1"/>
  <c r="EH225" i="21"/>
  <c r="DI243" i="21"/>
  <c r="AX243" i="21"/>
  <c r="CM243" i="21" s="1"/>
  <c r="FX247" i="21"/>
  <c r="AN247" i="21"/>
  <c r="BE247" i="21"/>
  <c r="EE247" i="21"/>
  <c r="AL256" i="21"/>
  <c r="T256" i="21"/>
  <c r="CA256" i="21"/>
  <c r="BZ256" i="21"/>
  <c r="BR256" i="21"/>
  <c r="DZ256" i="21" s="1"/>
  <c r="EB256" i="21" s="1"/>
  <c r="FY256" i="21"/>
  <c r="GA256" i="21" s="1"/>
  <c r="BE282" i="21"/>
  <c r="BZ151" i="21"/>
  <c r="CB151" i="21" s="1"/>
  <c r="CI151" i="21" s="1"/>
  <c r="T151" i="21"/>
  <c r="Y152" i="21"/>
  <c r="FZ152" i="21"/>
  <c r="EM157" i="21"/>
  <c r="EP157" i="21" s="1"/>
  <c r="EQ157" i="21" s="1"/>
  <c r="DT165" i="21"/>
  <c r="BI165" i="21"/>
  <c r="AN170" i="21"/>
  <c r="BI172" i="21"/>
  <c r="U185" i="21"/>
  <c r="AY185" i="21" s="1"/>
  <c r="FX185" i="21"/>
  <c r="BR185" i="21"/>
  <c r="DZ185" i="21" s="1"/>
  <c r="EB185" i="21" s="1"/>
  <c r="U187" i="21"/>
  <c r="FX187" i="21"/>
  <c r="T187" i="21"/>
  <c r="CA190" i="21"/>
  <c r="BZ190" i="21"/>
  <c r="FY190" i="21"/>
  <c r="AM192" i="21"/>
  <c r="AL192" i="21"/>
  <c r="AK192" i="21"/>
  <c r="DL192" i="21"/>
  <c r="AN205" i="21"/>
  <c r="BB213" i="21"/>
  <c r="AK219" i="21"/>
  <c r="AJ219" i="21" s="1"/>
  <c r="EE219" i="21"/>
  <c r="GA219" i="21"/>
  <c r="AN219" i="21"/>
  <c r="AM219" i="21"/>
  <c r="AL219" i="21"/>
  <c r="DL219" i="21"/>
  <c r="CM220" i="21"/>
  <c r="CS227" i="21"/>
  <c r="BJ240" i="21"/>
  <c r="EG247" i="21"/>
  <c r="Y263" i="21"/>
  <c r="EL263" i="21"/>
  <c r="EK263" i="21" s="1"/>
  <c r="BK151" i="21"/>
  <c r="AT158" i="21"/>
  <c r="DU158" i="21" s="1"/>
  <c r="X164" i="21"/>
  <c r="AP168" i="21"/>
  <c r="I170" i="21"/>
  <c r="N171" i="21"/>
  <c r="EL177" i="21"/>
  <c r="EK177" i="21" s="1"/>
  <c r="Y177" i="21"/>
  <c r="EH185" i="21"/>
  <c r="DT198" i="21"/>
  <c r="FX206" i="21"/>
  <c r="AN206" i="21"/>
  <c r="I219" i="21"/>
  <c r="ED226" i="21"/>
  <c r="FY247" i="21"/>
  <c r="AL247" i="21"/>
  <c r="BZ247" i="21"/>
  <c r="CB247" i="21" s="1"/>
  <c r="CI247" i="21" s="1"/>
  <c r="CK247" i="21" s="1"/>
  <c r="CP247" i="21" s="1"/>
  <c r="BR247" i="21"/>
  <c r="DZ247" i="21" s="1"/>
  <c r="EB247" i="21" s="1"/>
  <c r="EH247" i="21" s="1"/>
  <c r="ET249" i="21"/>
  <c r="EU249" i="21" s="1"/>
  <c r="EV249" i="21" s="1"/>
  <c r="BF252" i="21"/>
  <c r="CO252" i="21" s="1"/>
  <c r="AY256" i="21"/>
  <c r="FG264" i="21"/>
  <c r="DA264" i="21"/>
  <c r="CH161" i="21"/>
  <c r="T163" i="21"/>
  <c r="EL163" i="21"/>
  <c r="EK163" i="21" s="1"/>
  <c r="AN167" i="21"/>
  <c r="GA167" i="21"/>
  <c r="CS167" i="21" s="1"/>
  <c r="L170" i="21"/>
  <c r="BA172" i="21"/>
  <c r="BB172" i="21" s="1"/>
  <c r="BR172" i="21"/>
  <c r="DZ172" i="21" s="1"/>
  <c r="EB172" i="21" s="1"/>
  <c r="EH172" i="21" s="1"/>
  <c r="T174" i="21"/>
  <c r="N176" i="21"/>
  <c r="AX176" i="21"/>
  <c r="CM176" i="21" s="1"/>
  <c r="Y181" i="21"/>
  <c r="FY185" i="21"/>
  <c r="GA185" i="21" s="1"/>
  <c r="CS185" i="21" s="1"/>
  <c r="CA185" i="21"/>
  <c r="BZ185" i="21"/>
  <c r="CB185" i="21" s="1"/>
  <c r="CI185" i="21" s="1"/>
  <c r="BZ187" i="21"/>
  <c r="FY187" i="21"/>
  <c r="AL187" i="21"/>
  <c r="AJ187" i="21"/>
  <c r="CA187" i="21"/>
  <c r="BR187" i="21"/>
  <c r="DZ187" i="21" s="1"/>
  <c r="EB187" i="21" s="1"/>
  <c r="EH187" i="21" s="1"/>
  <c r="BE189" i="21"/>
  <c r="L192" i="21"/>
  <c r="BA195" i="21"/>
  <c r="BB195" i="21" s="1"/>
  <c r="BI198" i="21"/>
  <c r="Y200" i="21"/>
  <c r="BA203" i="21"/>
  <c r="BB203" i="21" s="1"/>
  <c r="CA205" i="21"/>
  <c r="FY205" i="21"/>
  <c r="GA205" i="21" s="1"/>
  <c r="CS205" i="21" s="1"/>
  <c r="L214" i="21"/>
  <c r="AL214" i="21"/>
  <c r="AK214" i="21"/>
  <c r="AN214" i="21"/>
  <c r="AM214" i="21"/>
  <c r="EE214" i="21"/>
  <c r="DL214" i="21"/>
  <c r="GA214" i="21"/>
  <c r="AQ216" i="21"/>
  <c r="L219" i="21"/>
  <c r="EH220" i="21"/>
  <c r="EG220" i="21"/>
  <c r="AM229" i="21"/>
  <c r="AN229" i="21"/>
  <c r="AL229" i="21"/>
  <c r="AK229" i="21"/>
  <c r="AJ229" i="21" s="1"/>
  <c r="DL229" i="21"/>
  <c r="GA229" i="21"/>
  <c r="L229" i="21"/>
  <c r="AN233" i="21"/>
  <c r="GA233" i="21"/>
  <c r="CS233" i="21" s="1"/>
  <c r="DL233" i="21"/>
  <c r="L233" i="21"/>
  <c r="AM233" i="21"/>
  <c r="AL233" i="21"/>
  <c r="AK233" i="21"/>
  <c r="AJ233" i="21" s="1"/>
  <c r="AL243" i="21"/>
  <c r="AJ243" i="21"/>
  <c r="CA243" i="21"/>
  <c r="BZ243" i="21"/>
  <c r="CB243" i="21" s="1"/>
  <c r="CI243" i="21" s="1"/>
  <c r="CK243" i="21" s="1"/>
  <c r="CP243" i="21" s="1"/>
  <c r="BR243" i="21"/>
  <c r="DZ243" i="21" s="1"/>
  <c r="EB243" i="21" s="1"/>
  <c r="T243" i="21"/>
  <c r="AY243" i="21" s="1"/>
  <c r="FY243" i="21"/>
  <c r="GA243" i="21" s="1"/>
  <c r="CS243" i="21" s="1"/>
  <c r="T247" i="21"/>
  <c r="CE253" i="21"/>
  <c r="I257" i="21"/>
  <c r="AK257" i="21"/>
  <c r="DL257" i="21"/>
  <c r="EE257" i="21"/>
  <c r="AM257" i="21"/>
  <c r="AL257" i="21"/>
  <c r="L257" i="21"/>
  <c r="FY281" i="21"/>
  <c r="CA281" i="21"/>
  <c r="BR281" i="21"/>
  <c r="DZ281" i="21" s="1"/>
  <c r="EB281" i="21" s="1"/>
  <c r="BZ281" i="21"/>
  <c r="CM314" i="21"/>
  <c r="EE152" i="21"/>
  <c r="AT161" i="21"/>
  <c r="DU161" i="21" s="1"/>
  <c r="U163" i="21"/>
  <c r="GA169" i="21"/>
  <c r="CS169" i="21" s="1"/>
  <c r="S169" i="21"/>
  <c r="AN169" i="21" s="1"/>
  <c r="BZ172" i="21"/>
  <c r="CB172" i="21" s="1"/>
  <c r="CI172" i="21" s="1"/>
  <c r="CK172" i="21" s="1"/>
  <c r="CP172" i="21" s="1"/>
  <c r="FY172" i="21"/>
  <c r="U174" i="21"/>
  <c r="FY182" i="21"/>
  <c r="AL182" i="21"/>
  <c r="DI184" i="21"/>
  <c r="M192" i="21"/>
  <c r="BF192" i="21" s="1"/>
  <c r="CO192" i="21" s="1"/>
  <c r="EE199" i="21"/>
  <c r="EL203" i="21"/>
  <c r="EK203" i="21" s="1"/>
  <c r="Y203" i="21"/>
  <c r="Q206" i="21"/>
  <c r="AJ208" i="21"/>
  <c r="BH212" i="21"/>
  <c r="AZ212" i="21"/>
  <c r="EH212" i="21"/>
  <c r="EG212" i="21"/>
  <c r="EG225" i="21"/>
  <c r="I229" i="21"/>
  <c r="I233" i="21"/>
  <c r="U247" i="21"/>
  <c r="AY247" i="21" s="1"/>
  <c r="EU252" i="21"/>
  <c r="EV252" i="21" s="1"/>
  <c r="ET252" i="21"/>
  <c r="DT256" i="21"/>
  <c r="BI256" i="21"/>
  <c r="Y267" i="21"/>
  <c r="BE267" i="21"/>
  <c r="U267" i="21"/>
  <c r="AY267" i="21" s="1"/>
  <c r="T267" i="21"/>
  <c r="EA267" i="21"/>
  <c r="DY267" i="21"/>
  <c r="AN267" i="21"/>
  <c r="FZ267" i="21"/>
  <c r="CF267" i="21"/>
  <c r="CH267" i="21" s="1"/>
  <c r="CD267" i="21"/>
  <c r="EE267" i="21"/>
  <c r="BI280" i="21"/>
  <c r="DT280" i="21"/>
  <c r="EG303" i="21"/>
  <c r="EB313" i="21"/>
  <c r="EH313" i="21" s="1"/>
  <c r="EA314" i="21"/>
  <c r="BE314" i="21"/>
  <c r="CD314" i="21"/>
  <c r="FZ314" i="21"/>
  <c r="DI169" i="21"/>
  <c r="AX169" i="21"/>
  <c r="CM169" i="21" s="1"/>
  <c r="EH179" i="21"/>
  <c r="EU183" i="21"/>
  <c r="EV183" i="21" s="1"/>
  <c r="FX189" i="21"/>
  <c r="CA189" i="21"/>
  <c r="BZ189" i="21"/>
  <c r="CB189" i="21" s="1"/>
  <c r="CI189" i="21" s="1"/>
  <c r="FX192" i="21"/>
  <c r="Q192" i="21"/>
  <c r="AJ193" i="21"/>
  <c r="AZ205" i="21"/>
  <c r="M214" i="21"/>
  <c r="BF214" i="21" s="1"/>
  <c r="CA219" i="21"/>
  <c r="BZ219" i="21"/>
  <c r="CB219" i="21" s="1"/>
  <c r="CI219" i="21" s="1"/>
  <c r="BR219" i="21"/>
  <c r="DZ219" i="21" s="1"/>
  <c r="EB219" i="21" s="1"/>
  <c r="EG219" i="21" s="1"/>
  <c r="T219" i="21"/>
  <c r="EU225" i="21"/>
  <c r="EV225" i="21" s="1"/>
  <c r="ET225" i="21"/>
  <c r="CA229" i="21"/>
  <c r="BZ229" i="21"/>
  <c r="CB229" i="21" s="1"/>
  <c r="CI229" i="21" s="1"/>
  <c r="T229" i="21"/>
  <c r="BR229" i="21"/>
  <c r="DZ229" i="21" s="1"/>
  <c r="EB229" i="21" s="1"/>
  <c r="EG229" i="21" s="1"/>
  <c r="BR233" i="21"/>
  <c r="DZ233" i="21" s="1"/>
  <c r="EB233" i="21" s="1"/>
  <c r="EH233" i="21" s="1"/>
  <c r="CA233" i="21"/>
  <c r="BZ233" i="21"/>
  <c r="CB233" i="21" s="1"/>
  <c r="CI233" i="21" s="1"/>
  <c r="FY233" i="21"/>
  <c r="T233" i="21"/>
  <c r="CI235" i="21"/>
  <c r="EL243" i="21"/>
  <c r="EK243" i="21" s="1"/>
  <c r="EL245" i="21"/>
  <c r="EK245" i="21" s="1"/>
  <c r="L267" i="21"/>
  <c r="EE270" i="21"/>
  <c r="Q270" i="21"/>
  <c r="BB310" i="21"/>
  <c r="CE311" i="21"/>
  <c r="T153" i="21"/>
  <c r="FX153" i="21"/>
  <c r="GA153" i="21" s="1"/>
  <c r="U160" i="21"/>
  <c r="AY160" i="21" s="1"/>
  <c r="BH160" i="21" s="1"/>
  <c r="BR160" i="21"/>
  <c r="DZ160" i="21" s="1"/>
  <c r="EB160" i="21" s="1"/>
  <c r="BZ163" i="21"/>
  <c r="CB163" i="21" s="1"/>
  <c r="CI163" i="21" s="1"/>
  <c r="CK163" i="21" s="1"/>
  <c r="L169" i="21"/>
  <c r="BH170" i="21"/>
  <c r="AZ170" i="21"/>
  <c r="FX174" i="21"/>
  <c r="GA174" i="21" s="1"/>
  <c r="CS174" i="21" s="1"/>
  <c r="CA176" i="21"/>
  <c r="DI176" i="21"/>
  <c r="L178" i="21"/>
  <c r="I178" i="21"/>
  <c r="BI179" i="21"/>
  <c r="T182" i="21"/>
  <c r="BR182" i="21"/>
  <c r="DZ182" i="21" s="1"/>
  <c r="EB182" i="21" s="1"/>
  <c r="EH182" i="21" s="1"/>
  <c r="AL184" i="21"/>
  <c r="DT190" i="21"/>
  <c r="AT193" i="21"/>
  <c r="DU193" i="21" s="1"/>
  <c r="CO203" i="21"/>
  <c r="CM203" i="21"/>
  <c r="AY205" i="21"/>
  <c r="BH205" i="21" s="1"/>
  <c r="X207" i="21"/>
  <c r="BA207" i="21"/>
  <c r="BB207" i="21" s="1"/>
  <c r="CA214" i="21"/>
  <c r="BZ214" i="21"/>
  <c r="BR214" i="21"/>
  <c r="DZ214" i="21" s="1"/>
  <c r="EB214" i="21" s="1"/>
  <c r="T214" i="21"/>
  <c r="EH214" i="21"/>
  <c r="EG214" i="21"/>
  <c r="CS269" i="21"/>
  <c r="CO269" i="21"/>
  <c r="CM269" i="21"/>
  <c r="CH278" i="21"/>
  <c r="CG285" i="21"/>
  <c r="CH285" i="21" s="1"/>
  <c r="BK152" i="21"/>
  <c r="BM152" i="21" s="1"/>
  <c r="M169" i="21"/>
  <c r="BF169" i="21" s="1"/>
  <c r="CM172" i="21"/>
  <c r="AK173" i="21"/>
  <c r="AJ173" i="21" s="1"/>
  <c r="S173" i="21"/>
  <c r="AN173" i="21" s="1"/>
  <c r="S176" i="21"/>
  <c r="AN176" i="21" s="1"/>
  <c r="DL176" i="21"/>
  <c r="BR189" i="21"/>
  <c r="DZ189" i="21" s="1"/>
  <c r="EB189" i="21" s="1"/>
  <c r="EH189" i="21" s="1"/>
  <c r="S192" i="21"/>
  <c r="AN192" i="21" s="1"/>
  <c r="FX199" i="21"/>
  <c r="GA199" i="21" s="1"/>
  <c r="CS199" i="21" s="1"/>
  <c r="AN199" i="21"/>
  <c r="U206" i="21"/>
  <c r="BA212" i="21"/>
  <c r="BB212" i="21" s="1"/>
  <c r="FY217" i="21"/>
  <c r="GA217" i="21" s="1"/>
  <c r="AL217" i="21"/>
  <c r="AJ217" i="21"/>
  <c r="CI224" i="21"/>
  <c r="CK224" i="21" s="1"/>
  <c r="DT243" i="21"/>
  <c r="FY248" i="21"/>
  <c r="CA248" i="21"/>
  <c r="BZ248" i="21"/>
  <c r="CB248" i="21" s="1"/>
  <c r="CI248" i="21" s="1"/>
  <c r="BR248" i="21"/>
  <c r="DZ248" i="21" s="1"/>
  <c r="EB248" i="21" s="1"/>
  <c r="AL285" i="21"/>
  <c r="DL285" i="21"/>
  <c r="AK285" i="21"/>
  <c r="GA285" i="21"/>
  <c r="CS285" i="21" s="1"/>
  <c r="L285" i="21"/>
  <c r="I285" i="21"/>
  <c r="EE145" i="21"/>
  <c r="BR151" i="21"/>
  <c r="DZ151" i="21" s="1"/>
  <c r="BL152" i="21"/>
  <c r="BN152" i="21" s="1"/>
  <c r="BR153" i="21"/>
  <c r="DZ153" i="21" s="1"/>
  <c r="EB153" i="21" s="1"/>
  <c r="EH153" i="21" s="1"/>
  <c r="CA160" i="21"/>
  <c r="U171" i="21"/>
  <c r="AY171" i="21" s="1"/>
  <c r="DI171" i="21"/>
  <c r="I173" i="21"/>
  <c r="BZ174" i="21"/>
  <c r="DT174" i="21"/>
  <c r="T176" i="21"/>
  <c r="BE180" i="21"/>
  <c r="BF180" i="21" s="1"/>
  <c r="CO180" i="21" s="1"/>
  <c r="U180" i="21"/>
  <c r="AY180" i="21" s="1"/>
  <c r="BA182" i="21"/>
  <c r="BB182" i="21" s="1"/>
  <c r="CA182" i="21"/>
  <c r="CB182" i="21" s="1"/>
  <c r="CI182" i="21" s="1"/>
  <c r="CK182" i="21" s="1"/>
  <c r="CP182" i="21" s="1"/>
  <c r="X185" i="21"/>
  <c r="T189" i="21"/>
  <c r="AY189" i="21" s="1"/>
  <c r="T192" i="21"/>
  <c r="BB197" i="21"/>
  <c r="X212" i="21"/>
  <c r="AP217" i="21"/>
  <c r="AT216" i="21"/>
  <c r="DU216" i="21" s="1"/>
  <c r="BI243" i="21"/>
  <c r="DT245" i="21"/>
  <c r="BI245" i="21"/>
  <c r="CE290" i="21"/>
  <c r="CI290" i="21" s="1"/>
  <c r="X307" i="21"/>
  <c r="BI168" i="21"/>
  <c r="N169" i="21"/>
  <c r="N174" i="21"/>
  <c r="DL186" i="21"/>
  <c r="AN196" i="21"/>
  <c r="AL201" i="21"/>
  <c r="AM205" i="21"/>
  <c r="FY209" i="21"/>
  <c r="GA209" i="21" s="1"/>
  <c r="CS209" i="21" s="1"/>
  <c r="CA209" i="21"/>
  <c r="BZ209" i="21"/>
  <c r="CB209" i="21" s="1"/>
  <c r="CI209" i="21" s="1"/>
  <c r="CK209" i="21" s="1"/>
  <c r="CP209" i="21" s="1"/>
  <c r="FY211" i="21"/>
  <c r="GA211" i="21" s="1"/>
  <c r="CS211" i="21" s="1"/>
  <c r="AL211" i="21"/>
  <c r="BZ211" i="21"/>
  <c r="CB211" i="21" s="1"/>
  <c r="CI211" i="21" s="1"/>
  <c r="CK211" i="21" s="1"/>
  <c r="CP211" i="21" s="1"/>
  <c r="BR211" i="21"/>
  <c r="DZ211" i="21" s="1"/>
  <c r="EB211" i="21" s="1"/>
  <c r="EH211" i="21" s="1"/>
  <c r="EE222" i="21"/>
  <c r="GA222" i="21"/>
  <c r="L222" i="21"/>
  <c r="AK228" i="21"/>
  <c r="AJ228" i="21" s="1"/>
  <c r="AN228" i="21"/>
  <c r="AM228" i="21"/>
  <c r="AL228" i="21"/>
  <c r="EE228" i="21"/>
  <c r="BA232" i="21"/>
  <c r="L237" i="21"/>
  <c r="AK237" i="21"/>
  <c r="AJ237" i="21" s="1"/>
  <c r="AN237" i="21"/>
  <c r="AM237" i="21"/>
  <c r="AL237" i="21"/>
  <c r="DL237" i="21"/>
  <c r="GA237" i="21"/>
  <c r="CS237" i="21" s="1"/>
  <c r="AX249" i="21"/>
  <c r="CM249" i="21" s="1"/>
  <c r="BZ252" i="21"/>
  <c r="BR252" i="21"/>
  <c r="DZ252" i="21" s="1"/>
  <c r="AL252" i="21"/>
  <c r="FY252" i="21"/>
  <c r="GA252" i="21" s="1"/>
  <c r="CA252" i="21"/>
  <c r="Q255" i="21"/>
  <c r="EE255" i="21"/>
  <c r="AY264" i="21"/>
  <c r="AZ264" i="21" s="1"/>
  <c r="BB267" i="21"/>
  <c r="CM278" i="21"/>
  <c r="EL281" i="21"/>
  <c r="EK281" i="21" s="1"/>
  <c r="Y281" i="21"/>
  <c r="I196" i="21"/>
  <c r="AM202" i="21"/>
  <c r="L202" i="21"/>
  <c r="AN202" i="21"/>
  <c r="BI203" i="21"/>
  <c r="DI210" i="21"/>
  <c r="BI213" i="21"/>
  <c r="I222" i="21"/>
  <c r="BB222" i="21" s="1"/>
  <c r="I228" i="21"/>
  <c r="X232" i="21"/>
  <c r="EB236" i="21"/>
  <c r="I237" i="21"/>
  <c r="Y238" i="21"/>
  <c r="EL238" i="21"/>
  <c r="EK238" i="21" s="1"/>
  <c r="AS249" i="21"/>
  <c r="AM249" i="21"/>
  <c r="BE255" i="21"/>
  <c r="BF255" i="21" s="1"/>
  <c r="CO255" i="21" s="1"/>
  <c r="FX255" i="21"/>
  <c r="T255" i="21"/>
  <c r="BB259" i="21"/>
  <c r="X264" i="21"/>
  <c r="BA264" i="21"/>
  <c r="BB264" i="21" s="1"/>
  <c r="BA269" i="21"/>
  <c r="BB269" i="21" s="1"/>
  <c r="X269" i="21"/>
  <c r="EL274" i="21"/>
  <c r="EK274" i="21" s="1"/>
  <c r="Y274" i="21"/>
  <c r="CD284" i="21"/>
  <c r="EA284" i="21"/>
  <c r="BA288" i="21"/>
  <c r="BB288" i="21" s="1"/>
  <c r="X288" i="21"/>
  <c r="DY289" i="21"/>
  <c r="DM290" i="21"/>
  <c r="EG313" i="21"/>
  <c r="AN181" i="21"/>
  <c r="AK185" i="21"/>
  <c r="AJ185" i="21" s="1"/>
  <c r="EE195" i="21"/>
  <c r="AM200" i="21"/>
  <c r="L204" i="21"/>
  <c r="I204" i="21"/>
  <c r="BB204" i="21"/>
  <c r="FX208" i="21"/>
  <c r="AN208" i="21"/>
  <c r="AK226" i="21"/>
  <c r="AJ226" i="21" s="1"/>
  <c r="EE226" i="21"/>
  <c r="BC228" i="21"/>
  <c r="BZ237" i="21"/>
  <c r="CB237" i="21" s="1"/>
  <c r="CI237" i="21" s="1"/>
  <c r="BR237" i="21"/>
  <c r="DZ237" i="21" s="1"/>
  <c r="EB237" i="21" s="1"/>
  <c r="CA237" i="21"/>
  <c r="T237" i="21"/>
  <c r="DI245" i="21"/>
  <c r="AX245" i="21"/>
  <c r="CM245" i="21" s="1"/>
  <c r="M249" i="21"/>
  <c r="BF249" i="21" s="1"/>
  <c r="AM251" i="21"/>
  <c r="AY252" i="21"/>
  <c r="EL270" i="21"/>
  <c r="EK270" i="21" s="1"/>
  <c r="ET270" i="21" s="1"/>
  <c r="FY298" i="21"/>
  <c r="GA298" i="21" s="1"/>
  <c r="CS298" i="21" s="1"/>
  <c r="CC298" i="21"/>
  <c r="CE298" i="21" s="1"/>
  <c r="AL185" i="21"/>
  <c r="AK186" i="21"/>
  <c r="AJ186" i="21" s="1"/>
  <c r="DL204" i="21"/>
  <c r="CA215" i="21"/>
  <c r="BZ215" i="21"/>
  <c r="CB215" i="21" s="1"/>
  <c r="CI215" i="21" s="1"/>
  <c r="CK215" i="21" s="1"/>
  <c r="BR215" i="21"/>
  <c r="DZ215" i="21" s="1"/>
  <c r="EB215" i="21" s="1"/>
  <c r="T215" i="21"/>
  <c r="FY215" i="21"/>
  <c r="GA215" i="21" s="1"/>
  <c r="CS224" i="21"/>
  <c r="CP224" i="21"/>
  <c r="CO224" i="21"/>
  <c r="I226" i="21"/>
  <c r="CS232" i="21"/>
  <c r="BR242" i="21"/>
  <c r="DZ242" i="21" s="1"/>
  <c r="EB242" i="21" s="1"/>
  <c r="AL242" i="21"/>
  <c r="BZ242" i="21"/>
  <c r="CB242" i="21" s="1"/>
  <c r="CI242" i="21" s="1"/>
  <c r="CK242" i="21" s="1"/>
  <c r="FY242" i="21"/>
  <c r="GA242" i="21" s="1"/>
  <c r="EE249" i="21"/>
  <c r="EA258" i="21"/>
  <c r="CD258" i="21"/>
  <c r="FZ258" i="21"/>
  <c r="CB275" i="21"/>
  <c r="CI275" i="21" s="1"/>
  <c r="CK275" i="21" s="1"/>
  <c r="CP275" i="21" s="1"/>
  <c r="CA323" i="21"/>
  <c r="BZ323" i="21"/>
  <c r="CB323" i="21" s="1"/>
  <c r="CI323" i="21" s="1"/>
  <c r="CK323" i="21" s="1"/>
  <c r="CP323" i="21" s="1"/>
  <c r="BR323" i="21"/>
  <c r="DZ323" i="21" s="1"/>
  <c r="EB323" i="21" s="1"/>
  <c r="EG323" i="21" s="1"/>
  <c r="AL323" i="21"/>
  <c r="AM188" i="21"/>
  <c r="U204" i="21"/>
  <c r="Q204" i="21"/>
  <c r="BE204" i="21"/>
  <c r="Q208" i="21"/>
  <c r="BE208" i="21"/>
  <c r="BB220" i="21"/>
  <c r="EB223" i="21"/>
  <c r="L226" i="21"/>
  <c r="ET241" i="21"/>
  <c r="EU241" i="21" s="1"/>
  <c r="EV241" i="21" s="1"/>
  <c r="U249" i="21"/>
  <c r="BE249" i="21"/>
  <c r="Y252" i="21"/>
  <c r="CC258" i="21"/>
  <c r="CE258" i="21" s="1"/>
  <c r="FY258" i="21"/>
  <c r="FY264" i="21"/>
  <c r="AX266" i="21"/>
  <c r="CM266" i="21" s="1"/>
  <c r="DI266" i="21"/>
  <c r="M266" i="21"/>
  <c r="BF266" i="21" s="1"/>
  <c r="CO266" i="21" s="1"/>
  <c r="AN292" i="21"/>
  <c r="CF292" i="21"/>
  <c r="CH292" i="21" s="1"/>
  <c r="Y292" i="21"/>
  <c r="EE292" i="21"/>
  <c r="L292" i="21"/>
  <c r="BE292" i="21"/>
  <c r="Y304" i="21"/>
  <c r="AM183" i="21"/>
  <c r="AN187" i="21"/>
  <c r="AN189" i="21"/>
  <c r="Q196" i="21"/>
  <c r="BA196" i="21"/>
  <c r="BB196" i="21" s="1"/>
  <c r="I201" i="21"/>
  <c r="EE201" i="21"/>
  <c r="Q202" i="21"/>
  <c r="AJ202" i="21" s="1"/>
  <c r="FX204" i="21"/>
  <c r="EE208" i="21"/>
  <c r="AY215" i="21"/>
  <c r="T242" i="21"/>
  <c r="T245" i="21"/>
  <c r="FX245" i="21"/>
  <c r="AN245" i="21"/>
  <c r="BR245" i="21"/>
  <c r="DZ245" i="21" s="1"/>
  <c r="EB245" i="21" s="1"/>
  <c r="DY249" i="21"/>
  <c r="EE251" i="21"/>
  <c r="AN253" i="21"/>
  <c r="BI268" i="21"/>
  <c r="BJ268" i="21" s="1"/>
  <c r="DT268" i="21"/>
  <c r="ET302" i="21"/>
  <c r="EU302" i="21" s="1"/>
  <c r="EV302" i="21" s="1"/>
  <c r="BB306" i="21"/>
  <c r="CG306" i="21"/>
  <c r="CH306" i="21" s="1"/>
  <c r="CE318" i="21"/>
  <c r="AP194" i="21"/>
  <c r="L195" i="21"/>
  <c r="DL195" i="21"/>
  <c r="BE196" i="21"/>
  <c r="BI197" i="21"/>
  <c r="L201" i="21"/>
  <c r="BE202" i="21"/>
  <c r="S204" i="21"/>
  <c r="AN204" i="21" s="1"/>
  <c r="T208" i="21"/>
  <c r="EH213" i="21"/>
  <c r="EG213" i="21"/>
  <c r="EH218" i="21"/>
  <c r="EG218" i="21"/>
  <c r="BA228" i="21"/>
  <c r="BB228" i="21" s="1"/>
  <c r="X228" i="21"/>
  <c r="I231" i="21"/>
  <c r="AN231" i="21"/>
  <c r="AM231" i="21"/>
  <c r="AL231" i="21"/>
  <c r="AK231" i="21"/>
  <c r="AJ231" i="21" s="1"/>
  <c r="DL231" i="21"/>
  <c r="EH232" i="21"/>
  <c r="EG232" i="21"/>
  <c r="BH235" i="21"/>
  <c r="AZ235" i="21"/>
  <c r="EE237" i="21"/>
  <c r="M241" i="21"/>
  <c r="BF241" i="21" s="1"/>
  <c r="CO241" i="21" s="1"/>
  <c r="P245" i="21"/>
  <c r="DY245" i="21" s="1"/>
  <c r="Q249" i="21"/>
  <c r="T249" i="21" s="1"/>
  <c r="AN250" i="21"/>
  <c r="AM259" i="21"/>
  <c r="AS273" i="21"/>
  <c r="AM273" i="21"/>
  <c r="EE273" i="21"/>
  <c r="CC319" i="21"/>
  <c r="AN184" i="21"/>
  <c r="M195" i="21"/>
  <c r="BF195" i="21" s="1"/>
  <c r="CO195" i="21" s="1"/>
  <c r="DI195" i="21"/>
  <c r="L210" i="21"/>
  <c r="GA210" i="21"/>
  <c r="CS210" i="21" s="1"/>
  <c r="AN210" i="21"/>
  <c r="AM210" i="21"/>
  <c r="AL210" i="21"/>
  <c r="AK210" i="21"/>
  <c r="AJ210" i="21" s="1"/>
  <c r="CP220" i="21"/>
  <c r="CO220" i="21"/>
  <c r="CI223" i="21"/>
  <c r="EL229" i="21"/>
  <c r="EK229" i="21" s="1"/>
  <c r="Y229" i="21"/>
  <c r="FY241" i="21"/>
  <c r="GA241" i="21" s="1"/>
  <c r="AL241" i="21"/>
  <c r="CA241" i="21"/>
  <c r="BZ241" i="21"/>
  <c r="AJ241" i="21"/>
  <c r="BR241" i="21"/>
  <c r="DZ241" i="21" s="1"/>
  <c r="EB241" i="21" s="1"/>
  <c r="T241" i="21"/>
  <c r="DT270" i="21"/>
  <c r="BI270" i="21"/>
  <c r="Y273" i="21"/>
  <c r="BE273" i="21"/>
  <c r="U273" i="21"/>
  <c r="T273" i="21"/>
  <c r="EA273" i="21"/>
  <c r="AN273" i="21"/>
  <c r="FZ273" i="21"/>
  <c r="L280" i="21"/>
  <c r="AN280" i="21"/>
  <c r="DL280" i="21"/>
  <c r="AL280" i="21"/>
  <c r="I280" i="21"/>
  <c r="BE291" i="21"/>
  <c r="FX291" i="21"/>
  <c r="DI311" i="21"/>
  <c r="M311" i="21"/>
  <c r="BF311" i="21" s="1"/>
  <c r="CO311" i="21" s="1"/>
  <c r="AX311" i="21"/>
  <c r="CM311" i="21" s="1"/>
  <c r="AM185" i="21"/>
  <c r="AN186" i="21"/>
  <c r="AM186" i="21"/>
  <c r="GA186" i="21"/>
  <c r="CS186" i="21" s="1"/>
  <c r="DL188" i="21"/>
  <c r="AL188" i="21"/>
  <c r="AK188" i="21"/>
  <c r="AJ188" i="21" s="1"/>
  <c r="GA188" i="21"/>
  <c r="CS188" i="21" s="1"/>
  <c r="DL200" i="21"/>
  <c r="S200" i="21"/>
  <c r="AN200" i="21" s="1"/>
  <c r="FX201" i="21"/>
  <c r="L205" i="21"/>
  <c r="AL205" i="21"/>
  <c r="AK205" i="21"/>
  <c r="AJ205" i="21" s="1"/>
  <c r="BI229" i="21"/>
  <c r="BR231" i="21"/>
  <c r="DZ231" i="21" s="1"/>
  <c r="EB231" i="21" s="1"/>
  <c r="FY231" i="21"/>
  <c r="GA231" i="21" s="1"/>
  <c r="CS231" i="21" s="1"/>
  <c r="CA231" i="21"/>
  <c r="BZ231" i="21"/>
  <c r="CB231" i="21" s="1"/>
  <c r="CI231" i="21" s="1"/>
  <c r="X242" i="21"/>
  <c r="BA242" i="21"/>
  <c r="BB242" i="21" s="1"/>
  <c r="AY245" i="21"/>
  <c r="X249" i="21"/>
  <c r="EL249" i="21" s="1"/>
  <c r="EK249" i="21" s="1"/>
  <c r="BA249" i="21"/>
  <c r="BB249" i="21" s="1"/>
  <c r="BE258" i="21"/>
  <c r="EK273" i="21"/>
  <c r="CA282" i="21"/>
  <c r="BR282" i="21"/>
  <c r="DZ282" i="21" s="1"/>
  <c r="EB282" i="21" s="1"/>
  <c r="EG282" i="21" s="1"/>
  <c r="BZ282" i="21"/>
  <c r="L184" i="21"/>
  <c r="I185" i="21"/>
  <c r="BB185" i="21" s="1"/>
  <c r="I186" i="21"/>
  <c r="I188" i="21"/>
  <c r="GA189" i="21"/>
  <c r="CS189" i="21" s="1"/>
  <c r="P195" i="21"/>
  <c r="DY195" i="21" s="1"/>
  <c r="I200" i="21"/>
  <c r="I205" i="21"/>
  <c r="AJ222" i="21"/>
  <c r="CI261" i="21"/>
  <c r="AX267" i="21"/>
  <c r="CM267" i="21" s="1"/>
  <c r="Y277" i="21"/>
  <c r="EE280" i="21"/>
  <c r="Q291" i="21"/>
  <c r="BI335" i="21"/>
  <c r="DT335" i="21"/>
  <c r="BR169" i="21"/>
  <c r="DZ169" i="21" s="1"/>
  <c r="EB169" i="21" s="1"/>
  <c r="EH169" i="21" s="1"/>
  <c r="CA174" i="21"/>
  <c r="CS178" i="21"/>
  <c r="S181" i="21"/>
  <c r="L185" i="21"/>
  <c r="L186" i="21"/>
  <c r="I187" i="21"/>
  <c r="L188" i="21"/>
  <c r="I189" i="21"/>
  <c r="DL190" i="21"/>
  <c r="AL190" i="21"/>
  <c r="AK190" i="21"/>
  <c r="AJ190" i="21" s="1"/>
  <c r="CM190" i="21"/>
  <c r="AM193" i="21"/>
  <c r="EE193" i="21"/>
  <c r="GA193" i="21"/>
  <c r="CS193" i="21" s="1"/>
  <c r="Q195" i="21"/>
  <c r="CM198" i="21"/>
  <c r="L200" i="21"/>
  <c r="Q201" i="21"/>
  <c r="Y204" i="21"/>
  <c r="BE205" i="21"/>
  <c r="DL205" i="21"/>
  <c r="L207" i="21"/>
  <c r="AN207" i="21"/>
  <c r="AM207" i="21"/>
  <c r="AL207" i="21"/>
  <c r="AK207" i="21"/>
  <c r="AJ207" i="21" s="1"/>
  <c r="DL207" i="21"/>
  <c r="X208" i="21"/>
  <c r="AJ211" i="21"/>
  <c r="DL221" i="21"/>
  <c r="L221" i="21"/>
  <c r="I221" i="21"/>
  <c r="AL222" i="21"/>
  <c r="BA223" i="21"/>
  <c r="T231" i="21"/>
  <c r="DT234" i="21"/>
  <c r="EL235" i="21"/>
  <c r="EK235" i="21" s="1"/>
  <c r="Y235" i="21"/>
  <c r="X236" i="21"/>
  <c r="BA236" i="21"/>
  <c r="BB236" i="21" s="1"/>
  <c r="BH240" i="21"/>
  <c r="BE253" i="21"/>
  <c r="BF253" i="21" s="1"/>
  <c r="CO253" i="21" s="1"/>
  <c r="U253" i="21"/>
  <c r="AY253" i="21" s="1"/>
  <c r="T282" i="21"/>
  <c r="BI211" i="21"/>
  <c r="DL215" i="21"/>
  <c r="L215" i="21"/>
  <c r="AY230" i="21"/>
  <c r="AZ230" i="21" s="1"/>
  <c r="AL232" i="21"/>
  <c r="AX238" i="21"/>
  <c r="CM238" i="21" s="1"/>
  <c r="EU244" i="21"/>
  <c r="EV244" i="21" s="1"/>
  <c r="DL251" i="21"/>
  <c r="L251" i="21"/>
  <c r="AX254" i="21"/>
  <c r="AX255" i="21"/>
  <c r="CF257" i="21"/>
  <c r="CH257" i="21" s="1"/>
  <c r="Y257" i="21"/>
  <c r="EA257" i="21"/>
  <c r="CD257" i="21"/>
  <c r="DY257" i="21"/>
  <c r="FZ257" i="21"/>
  <c r="Q257" i="21"/>
  <c r="DL259" i="21"/>
  <c r="EE259" i="21"/>
  <c r="AK259" i="21"/>
  <c r="AM265" i="21"/>
  <c r="AS265" i="21"/>
  <c r="CS277" i="21"/>
  <c r="FY369" i="21"/>
  <c r="GA369" i="21" s="1"/>
  <c r="CC369" i="21"/>
  <c r="CE369" i="21" s="1"/>
  <c r="EL206" i="21"/>
  <c r="EK206" i="21" s="1"/>
  <c r="Y206" i="21"/>
  <c r="AK212" i="21"/>
  <c r="AJ212" i="21" s="1"/>
  <c r="AX215" i="21"/>
  <c r="M215" i="21"/>
  <c r="BF215" i="21" s="1"/>
  <c r="DI215" i="21"/>
  <c r="DI216" i="21"/>
  <c r="DL220" i="21"/>
  <c r="AL220" i="21"/>
  <c r="AX225" i="21"/>
  <c r="CM225" i="21" s="1"/>
  <c r="M225" i="21"/>
  <c r="BF225" i="21" s="1"/>
  <c r="CO225" i="21" s="1"/>
  <c r="AZ226" i="21"/>
  <c r="I227" i="21"/>
  <c r="X247" i="21"/>
  <c r="AY250" i="21"/>
  <c r="M251" i="21"/>
  <c r="X253" i="21"/>
  <c r="BA253" i="21"/>
  <c r="BB253" i="21" s="1"/>
  <c r="DL254" i="21"/>
  <c r="ET256" i="21"/>
  <c r="EU256" i="21" s="1"/>
  <c r="EV256" i="21" s="1"/>
  <c r="I259" i="21"/>
  <c r="CF265" i="21"/>
  <c r="CH265" i="21" s="1"/>
  <c r="AN265" i="21"/>
  <c r="CD265" i="21"/>
  <c r="Y265" i="21"/>
  <c r="EA265" i="21"/>
  <c r="AS297" i="21"/>
  <c r="CH297" i="21"/>
  <c r="AM297" i="21"/>
  <c r="CG311" i="21"/>
  <c r="BB311" i="21"/>
  <c r="EA330" i="21"/>
  <c r="CD330" i="21"/>
  <c r="FZ330" i="21"/>
  <c r="EL220" i="21"/>
  <c r="EK220" i="21" s="1"/>
  <c r="DT239" i="21"/>
  <c r="AX242" i="21"/>
  <c r="AN244" i="21"/>
  <c r="BE244" i="21"/>
  <c r="BF244" i="21" s="1"/>
  <c r="CO244" i="21" s="1"/>
  <c r="U244" i="21"/>
  <c r="AY244" i="21" s="1"/>
  <c r="I248" i="21"/>
  <c r="AM248" i="21"/>
  <c r="AL248" i="21"/>
  <c r="AK248" i="21"/>
  <c r="DL248" i="21"/>
  <c r="CF251" i="21"/>
  <c r="CH251" i="21" s="1"/>
  <c r="AN251" i="21"/>
  <c r="CD251" i="21"/>
  <c r="FZ251" i="21"/>
  <c r="FY251" i="21" s="1"/>
  <c r="GA251" i="21" s="1"/>
  <c r="CS251" i="21" s="1"/>
  <c r="U257" i="21"/>
  <c r="T257" i="21"/>
  <c r="BE257" i="21"/>
  <c r="FX257" i="21"/>
  <c r="T259" i="21"/>
  <c r="AN259" i="21"/>
  <c r="CF259" i="21"/>
  <c r="CH259" i="21" s="1"/>
  <c r="EA259" i="21"/>
  <c r="DT276" i="21"/>
  <c r="CO283" i="21"/>
  <c r="CA297" i="21"/>
  <c r="BZ297" i="21"/>
  <c r="CB297" i="21" s="1"/>
  <c r="BR297" i="21"/>
  <c r="DZ297" i="21" s="1"/>
  <c r="AL297" i="21"/>
  <c r="AS311" i="21"/>
  <c r="DL311" i="21"/>
  <c r="AM311" i="21"/>
  <c r="FY315" i="21"/>
  <c r="GA315" i="21" s="1"/>
  <c r="CS315" i="21" s="1"/>
  <c r="CC315" i="21"/>
  <c r="BA316" i="21"/>
  <c r="X316" i="21"/>
  <c r="EE223" i="21"/>
  <c r="AX224" i="21"/>
  <c r="CM224" i="21" s="1"/>
  <c r="DT241" i="21"/>
  <c r="EE246" i="21"/>
  <c r="U246" i="21"/>
  <c r="FX246" i="21"/>
  <c r="AN246" i="21"/>
  <c r="CA251" i="21"/>
  <c r="BZ251" i="21"/>
  <c r="CB251" i="21" s="1"/>
  <c r="BR251" i="21"/>
  <c r="DZ251" i="21" s="1"/>
  <c r="EB251" i="21" s="1"/>
  <c r="BB252" i="21"/>
  <c r="CX260" i="21"/>
  <c r="FI260" i="21"/>
  <c r="EA269" i="21"/>
  <c r="CD269" i="21"/>
  <c r="FZ269" i="21"/>
  <c r="BE269" i="21"/>
  <c r="BF269" i="21" s="1"/>
  <c r="AK272" i="21"/>
  <c r="DL272" i="21"/>
  <c r="L272" i="21"/>
  <c r="I272" i="21"/>
  <c r="AX286" i="21"/>
  <c r="M286" i="21"/>
  <c r="BF286" i="21" s="1"/>
  <c r="DI286" i="21"/>
  <c r="CA293" i="21"/>
  <c r="BZ293" i="21"/>
  <c r="BR293" i="21"/>
  <c r="DZ293" i="21" s="1"/>
  <c r="EB293" i="21" s="1"/>
  <c r="EG293" i="21" s="1"/>
  <c r="FY293" i="21"/>
  <c r="GA293" i="21" s="1"/>
  <c r="CS293" i="21" s="1"/>
  <c r="AY297" i="21"/>
  <c r="FZ311" i="21"/>
  <c r="CF311" i="21"/>
  <c r="CH311" i="21" s="1"/>
  <c r="Y311" i="21"/>
  <c r="Q311" i="21"/>
  <c r="DY311" i="21"/>
  <c r="AN311" i="21"/>
  <c r="EA311" i="21"/>
  <c r="L311" i="21"/>
  <c r="CD311" i="21"/>
  <c r="X214" i="21"/>
  <c r="X219" i="21"/>
  <c r="CA220" i="21"/>
  <c r="CB220" i="21" s="1"/>
  <c r="CI220" i="21" s="1"/>
  <c r="CK220" i="21" s="1"/>
  <c r="FY220" i="21"/>
  <c r="GA220" i="21" s="1"/>
  <c r="CS220" i="21" s="1"/>
  <c r="T220" i="21"/>
  <c r="T221" i="21"/>
  <c r="I223" i="21"/>
  <c r="GA235" i="21"/>
  <c r="CS235" i="21" s="1"/>
  <c r="AK238" i="21"/>
  <c r="AJ238" i="21" s="1"/>
  <c r="AN238" i="21"/>
  <c r="AM238" i="21"/>
  <c r="AL238" i="21"/>
  <c r="BI241" i="21"/>
  <c r="BZ244" i="21"/>
  <c r="BR244" i="21"/>
  <c r="DZ244" i="21" s="1"/>
  <c r="EB244" i="21" s="1"/>
  <c r="AL244" i="21"/>
  <c r="CA244" i="21"/>
  <c r="EL246" i="21"/>
  <c r="EK246" i="21" s="1"/>
  <c r="EA248" i="21"/>
  <c r="FZ248" i="21"/>
  <c r="CF248" i="21"/>
  <c r="CH248" i="21" s="1"/>
  <c r="AN248" i="21"/>
  <c r="CD248" i="21"/>
  <c r="AZ252" i="21"/>
  <c r="EE252" i="21"/>
  <c r="AM252" i="21"/>
  <c r="BF258" i="21"/>
  <c r="CO258" i="21" s="1"/>
  <c r="U265" i="21"/>
  <c r="AY265" i="21" s="1"/>
  <c r="BH265" i="21" s="1"/>
  <c r="FX265" i="21"/>
  <c r="GA265" i="21" s="1"/>
  <c r="CS265" i="21" s="1"/>
  <c r="T265" i="21"/>
  <c r="CE269" i="21"/>
  <c r="FZ274" i="21"/>
  <c r="EA274" i="21"/>
  <c r="EB274" i="21" s="1"/>
  <c r="CD274" i="21"/>
  <c r="AK279" i="21"/>
  <c r="DL279" i="21"/>
  <c r="L279" i="21"/>
  <c r="EH286" i="21"/>
  <c r="EG286" i="21"/>
  <c r="ET332" i="21"/>
  <c r="EU332" i="21"/>
  <c r="EV332" i="21" s="1"/>
  <c r="AY216" i="21"/>
  <c r="AZ216" i="21" s="1"/>
  <c r="DI217" i="21"/>
  <c r="AZ224" i="21"/>
  <c r="T227" i="21"/>
  <c r="EL230" i="21"/>
  <c r="EK230" i="21" s="1"/>
  <c r="L236" i="21"/>
  <c r="DL236" i="21"/>
  <c r="ET238" i="21"/>
  <c r="GA240" i="21"/>
  <c r="CS240" i="21" s="1"/>
  <c r="AN240" i="21"/>
  <c r="AM240" i="21"/>
  <c r="AL240" i="21"/>
  <c r="AK240" i="21"/>
  <c r="AJ240" i="21" s="1"/>
  <c r="T244" i="21"/>
  <c r="FY246" i="21"/>
  <c r="AL246" i="21"/>
  <c r="BZ246" i="21"/>
  <c r="CB246" i="21" s="1"/>
  <c r="CI246" i="21" s="1"/>
  <c r="CK246" i="21" s="1"/>
  <c r="CP246" i="21" s="1"/>
  <c r="BR246" i="21"/>
  <c r="DZ246" i="21" s="1"/>
  <c r="EB246" i="21" s="1"/>
  <c r="L248" i="21"/>
  <c r="CE248" i="21"/>
  <c r="DY251" i="21"/>
  <c r="AN252" i="21"/>
  <c r="EA252" i="21"/>
  <c r="CF252" i="21"/>
  <c r="CH252" i="21" s="1"/>
  <c r="DY252" i="21"/>
  <c r="FZ252" i="21"/>
  <c r="CD252" i="21"/>
  <c r="CE252" i="21" s="1"/>
  <c r="BE252" i="21"/>
  <c r="AK255" i="21"/>
  <c r="CM256" i="21"/>
  <c r="CS256" i="21"/>
  <c r="Q258" i="21"/>
  <c r="FY269" i="21"/>
  <c r="CD272" i="21"/>
  <c r="CF272" i="21"/>
  <c r="CH272" i="21" s="1"/>
  <c r="Y272" i="21"/>
  <c r="U272" i="21"/>
  <c r="T272" i="21"/>
  <c r="FZ272" i="21"/>
  <c r="EK272" i="21"/>
  <c r="FY274" i="21"/>
  <c r="CC274" i="21"/>
  <c r="CE274" i="21" s="1"/>
  <c r="CI274" i="21" s="1"/>
  <c r="CK274" i="21" s="1"/>
  <c r="CP274" i="21" s="1"/>
  <c r="I279" i="21"/>
  <c r="EL280" i="21"/>
  <c r="EK280" i="21" s="1"/>
  <c r="CB286" i="21"/>
  <c r="T311" i="21"/>
  <c r="U311" i="21"/>
  <c r="BE311" i="21"/>
  <c r="FX311" i="21"/>
  <c r="BZ362" i="21"/>
  <c r="BR362" i="21"/>
  <c r="DZ362" i="21" s="1"/>
  <c r="EB362" i="21" s="1"/>
  <c r="FY362" i="21"/>
  <c r="CA362" i="21"/>
  <c r="AT212" i="21"/>
  <c r="DU212" i="21" s="1"/>
  <c r="BI222" i="21"/>
  <c r="AY223" i="21"/>
  <c r="Y226" i="21"/>
  <c r="GA234" i="21"/>
  <c r="CS234" i="21" s="1"/>
  <c r="AK234" i="21"/>
  <c r="AJ234" i="21" s="1"/>
  <c r="DL234" i="21"/>
  <c r="I235" i="21"/>
  <c r="I236" i="21"/>
  <c r="I240" i="21"/>
  <c r="EE240" i="21"/>
  <c r="T246" i="21"/>
  <c r="U258" i="21"/>
  <c r="FX258" i="21"/>
  <c r="FY261" i="21"/>
  <c r="BR261" i="21"/>
  <c r="DZ261" i="21" s="1"/>
  <c r="EB261" i="21" s="1"/>
  <c r="AL261" i="21"/>
  <c r="Q265" i="21"/>
  <c r="CS275" i="21"/>
  <c r="CO275" i="21"/>
  <c r="CM275" i="21"/>
  <c r="AZ279" i="21"/>
  <c r="AM279" i="21"/>
  <c r="AS279" i="21"/>
  <c r="DT233" i="21"/>
  <c r="I234" i="21"/>
  <c r="BB234" i="21"/>
  <c r="CA236" i="21"/>
  <c r="BZ236" i="21"/>
  <c r="T236" i="21"/>
  <c r="M238" i="21"/>
  <c r="BF238" i="21" s="1"/>
  <c r="CO238" i="21" s="1"/>
  <c r="L240" i="21"/>
  <c r="BI244" i="21"/>
  <c r="BH252" i="21"/>
  <c r="AS255" i="21"/>
  <c r="AM255" i="21"/>
  <c r="Q259" i="21"/>
  <c r="AL270" i="21"/>
  <c r="X297" i="21"/>
  <c r="BH308" i="21"/>
  <c r="BB329" i="21"/>
  <c r="CG329" i="21"/>
  <c r="CH329" i="21" s="1"/>
  <c r="FX352" i="21"/>
  <c r="BE352" i="21"/>
  <c r="U352" i="21"/>
  <c r="BZ238" i="21"/>
  <c r="CB238" i="21" s="1"/>
  <c r="CI238" i="21" s="1"/>
  <c r="CK238" i="21" s="1"/>
  <c r="T238" i="21"/>
  <c r="CA238" i="21"/>
  <c r="BR238" i="21"/>
  <c r="DZ238" i="21" s="1"/>
  <c r="EB238" i="21" s="1"/>
  <c r="BE248" i="21"/>
  <c r="U248" i="21"/>
  <c r="AY248" i="21" s="1"/>
  <c r="AZ248" i="21" s="1"/>
  <c r="FX248" i="21"/>
  <c r="GA248" i="21"/>
  <c r="CS248" i="21" s="1"/>
  <c r="EA255" i="21"/>
  <c r="CD255" i="21"/>
  <c r="CE255" i="21" s="1"/>
  <c r="AN255" i="21"/>
  <c r="DY255" i="21"/>
  <c r="CF255" i="21"/>
  <c r="CH255" i="21" s="1"/>
  <c r="Y255" i="21"/>
  <c r="FZ255" i="21"/>
  <c r="FY257" i="21"/>
  <c r="CC257" i="21"/>
  <c r="CE257" i="21" s="1"/>
  <c r="AZ260" i="21"/>
  <c r="EG261" i="21"/>
  <c r="EH261" i="21"/>
  <c r="DL267" i="21"/>
  <c r="AL267" i="21"/>
  <c r="AK267" i="21"/>
  <c r="GA267" i="21"/>
  <c r="CS267" i="21" s="1"/>
  <c r="DY272" i="21"/>
  <c r="AY308" i="21"/>
  <c r="AZ308" i="21" s="1"/>
  <c r="EE212" i="21"/>
  <c r="AN212" i="21"/>
  <c r="AQ212" i="21" s="1"/>
  <c r="AM212" i="21"/>
  <c r="L232" i="21"/>
  <c r="AM232" i="21"/>
  <c r="AK232" i="21"/>
  <c r="AJ232" i="21" s="1"/>
  <c r="DL232" i="21"/>
  <c r="EH235" i="21"/>
  <c r="CA240" i="21"/>
  <c r="BZ240" i="21"/>
  <c r="CB240" i="21" s="1"/>
  <c r="CI240" i="21" s="1"/>
  <c r="BR240" i="21"/>
  <c r="DZ240" i="21" s="1"/>
  <c r="EB240" i="21" s="1"/>
  <c r="DT246" i="21"/>
  <c r="EA262" i="21"/>
  <c r="FZ262" i="21"/>
  <c r="CD262" i="21"/>
  <c r="M267" i="21"/>
  <c r="BF267" i="21" s="1"/>
  <c r="CO267" i="21" s="1"/>
  <c r="DI267" i="21"/>
  <c r="BB273" i="21"/>
  <c r="BI276" i="21"/>
  <c r="FX282" i="21"/>
  <c r="GA282" i="21" s="1"/>
  <c r="CS282" i="21" s="1"/>
  <c r="AN282" i="21"/>
  <c r="AN291" i="21"/>
  <c r="CM297" i="21"/>
  <c r="CS297" i="21"/>
  <c r="BH304" i="21"/>
  <c r="AZ304" i="21"/>
  <c r="EH304" i="21"/>
  <c r="EG304" i="21"/>
  <c r="EK311" i="21"/>
  <c r="I212" i="21"/>
  <c r="EE215" i="21"/>
  <c r="BR221" i="21"/>
  <c r="DZ221" i="21" s="1"/>
  <c r="EB221" i="21" s="1"/>
  <c r="BR227" i="21"/>
  <c r="DZ227" i="21" s="1"/>
  <c r="EB227" i="21" s="1"/>
  <c r="EG227" i="21" s="1"/>
  <c r="I232" i="21"/>
  <c r="CA234" i="21"/>
  <c r="BZ234" i="21"/>
  <c r="CB234" i="21" s="1"/>
  <c r="CI234" i="21" s="1"/>
  <c r="BR234" i="21"/>
  <c r="DZ234" i="21" s="1"/>
  <c r="EB234" i="21" s="1"/>
  <c r="T234" i="21"/>
  <c r="AY234" i="21" s="1"/>
  <c r="DT237" i="21"/>
  <c r="AY238" i="21"/>
  <c r="FY244" i="21"/>
  <c r="GA244" i="21" s="1"/>
  <c r="CS244" i="21" s="1"/>
  <c r="CC251" i="21"/>
  <c r="CE251" i="21" s="1"/>
  <c r="CM254" i="21"/>
  <c r="X258" i="21"/>
  <c r="EL258" i="21" s="1"/>
  <c r="EK258" i="21" s="1"/>
  <c r="BA258" i="21"/>
  <c r="BB258" i="21" s="1"/>
  <c r="EK259" i="21"/>
  <c r="T261" i="21"/>
  <c r="FY262" i="21"/>
  <c r="CC262" i="21"/>
  <c r="BH267" i="21"/>
  <c r="AZ267" i="21"/>
  <c r="AS267" i="21"/>
  <c r="AM267" i="21"/>
  <c r="EA272" i="21"/>
  <c r="CE278" i="21"/>
  <c r="EE291" i="21"/>
  <c r="EA297" i="21"/>
  <c r="CD297" i="21"/>
  <c r="CE297" i="21" s="1"/>
  <c r="FZ297" i="21"/>
  <c r="FY297" i="21" s="1"/>
  <c r="GA297" i="21" s="1"/>
  <c r="EU308" i="21"/>
  <c r="EV308" i="21" s="1"/>
  <c r="CG340" i="21"/>
  <c r="CH340" i="21" s="1"/>
  <c r="BB340" i="21"/>
  <c r="AK253" i="21"/>
  <c r="CH253" i="21"/>
  <c r="EH256" i="21"/>
  <c r="BB274" i="21"/>
  <c r="FZ279" i="21"/>
  <c r="EA279" i="21"/>
  <c r="AN279" i="21"/>
  <c r="DY279" i="21"/>
  <c r="CF279" i="21"/>
  <c r="CH279" i="21" s="1"/>
  <c r="Y279" i="21"/>
  <c r="CD279" i="21"/>
  <c r="CE279" i="21" s="1"/>
  <c r="CA286" i="21"/>
  <c r="EE287" i="21"/>
  <c r="Q287" i="21"/>
  <c r="EL290" i="21"/>
  <c r="EK290" i="21" s="1"/>
  <c r="Y290" i="21"/>
  <c r="L299" i="21"/>
  <c r="I299" i="21"/>
  <c r="AN299" i="21"/>
  <c r="AM299" i="21"/>
  <c r="AL299" i="21"/>
  <c r="AK299" i="21"/>
  <c r="DL299" i="21"/>
  <c r="GA299" i="21"/>
  <c r="CS299" i="21" s="1"/>
  <c r="M329" i="21"/>
  <c r="DI329" i="21"/>
  <c r="AX329" i="21"/>
  <c r="DM344" i="21"/>
  <c r="DL345" i="21"/>
  <c r="AM345" i="21"/>
  <c r="AS345" i="21"/>
  <c r="EE345" i="21"/>
  <c r="AL253" i="21"/>
  <c r="AM256" i="21"/>
  <c r="DL266" i="21"/>
  <c r="AL266" i="21"/>
  <c r="AK266" i="21"/>
  <c r="BR275" i="21"/>
  <c r="DZ275" i="21" s="1"/>
  <c r="EB275" i="21" s="1"/>
  <c r="EG275" i="21" s="1"/>
  <c r="CE283" i="21"/>
  <c r="AM285" i="21"/>
  <c r="T287" i="21"/>
  <c r="BE287" i="21"/>
  <c r="BF287" i="21" s="1"/>
  <c r="CO287" i="21" s="1"/>
  <c r="AM292" i="21"/>
  <c r="AS292" i="21"/>
  <c r="X293" i="21"/>
  <c r="EL293" i="21" s="1"/>
  <c r="EK293" i="21" s="1"/>
  <c r="BA293" i="21"/>
  <c r="BB293" i="21" s="1"/>
  <c r="AL295" i="21"/>
  <c r="AK295" i="21"/>
  <c r="L295" i="21"/>
  <c r="GA295" i="21"/>
  <c r="CS295" i="21" s="1"/>
  <c r="I295" i="21"/>
  <c r="I305" i="21"/>
  <c r="DL305" i="21"/>
  <c r="AM305" i="21"/>
  <c r="AL305" i="21"/>
  <c r="AK305" i="21"/>
  <c r="EE305" i="21"/>
  <c r="AL310" i="21"/>
  <c r="AK310" i="21"/>
  <c r="DL310" i="21"/>
  <c r="L310" i="21"/>
  <c r="I310" i="21"/>
  <c r="EL347" i="21"/>
  <c r="EK347" i="21" s="1"/>
  <c r="Y347" i="21"/>
  <c r="CO249" i="21"/>
  <c r="U251" i="21"/>
  <c r="FX251" i="21"/>
  <c r="T251" i="21"/>
  <c r="BE251" i="21"/>
  <c r="CS252" i="21"/>
  <c r="CD254" i="21"/>
  <c r="CE254" i="21" s="1"/>
  <c r="FZ254" i="21"/>
  <c r="EA254" i="21"/>
  <c r="BR262" i="21"/>
  <c r="DZ262" i="21" s="1"/>
  <c r="EB262" i="21" s="1"/>
  <c r="EG262" i="21" s="1"/>
  <c r="AM266" i="21"/>
  <c r="CA275" i="21"/>
  <c r="ET278" i="21"/>
  <c r="Q279" i="21"/>
  <c r="T279" i="21" s="1"/>
  <c r="EE279" i="21"/>
  <c r="U295" i="21"/>
  <c r="BE295" i="21"/>
  <c r="T295" i="21"/>
  <c r="DY295" i="21"/>
  <c r="AN295" i="21"/>
  <c r="DL295" i="21"/>
  <c r="BZ299" i="21"/>
  <c r="CB299" i="21" s="1"/>
  <c r="CI299" i="21" s="1"/>
  <c r="BR299" i="21"/>
  <c r="DZ299" i="21" s="1"/>
  <c r="EB299" i="21" s="1"/>
  <c r="EG299" i="21" s="1"/>
  <c r="BA302" i="21"/>
  <c r="BB302" i="21" s="1"/>
  <c r="CF305" i="21"/>
  <c r="CH305" i="21" s="1"/>
  <c r="AN305" i="21"/>
  <c r="DY305" i="21"/>
  <c r="Y305" i="21"/>
  <c r="Q305" i="21"/>
  <c r="FY321" i="21"/>
  <c r="BA328" i="21"/>
  <c r="BB328" i="21" s="1"/>
  <c r="X328" i="21"/>
  <c r="FX339" i="21"/>
  <c r="U339" i="21"/>
  <c r="BE339" i="21"/>
  <c r="EU358" i="21"/>
  <c r="EV358" i="21" s="1"/>
  <c r="AJ242" i="21"/>
  <c r="GA250" i="21"/>
  <c r="CS250" i="21" s="1"/>
  <c r="L250" i="21"/>
  <c r="CH260" i="21"/>
  <c r="CI260" i="21" s="1"/>
  <c r="BZ262" i="21"/>
  <c r="CB262" i="21" s="1"/>
  <c r="CM263" i="21"/>
  <c r="AS264" i="21"/>
  <c r="AM264" i="21"/>
  <c r="CF266" i="21"/>
  <c r="CH266" i="21" s="1"/>
  <c r="AN266" i="21"/>
  <c r="CD266" i="21"/>
  <c r="CE266" i="21" s="1"/>
  <c r="Y266" i="21"/>
  <c r="Q266" i="21"/>
  <c r="DI268" i="21"/>
  <c r="AX268" i="21"/>
  <c r="CM268" i="21" s="1"/>
  <c r="M268" i="21"/>
  <c r="BF268" i="21" s="1"/>
  <c r="CO268" i="21" s="1"/>
  <c r="EA278" i="21"/>
  <c r="EB278" i="21" s="1"/>
  <c r="CD278" i="21"/>
  <c r="BE278" i="21"/>
  <c r="BE279" i="21"/>
  <c r="U279" i="21"/>
  <c r="AY279" i="21" s="1"/>
  <c r="FX279" i="21"/>
  <c r="AY287" i="21"/>
  <c r="BB294" i="21"/>
  <c r="CA295" i="21"/>
  <c r="BZ295" i="21"/>
  <c r="BR295" i="21"/>
  <c r="DZ295" i="21" s="1"/>
  <c r="EA296" i="21"/>
  <c r="FZ296" i="21"/>
  <c r="CD296" i="21"/>
  <c r="CE296" i="21" s="1"/>
  <c r="M332" i="21"/>
  <c r="BF332" i="21" s="1"/>
  <c r="BB332" i="21"/>
  <c r="AX332" i="21"/>
  <c r="CM332" i="21" s="1"/>
  <c r="BZ363" i="21"/>
  <c r="CB363" i="21" s="1"/>
  <c r="BR363" i="21"/>
  <c r="DZ363" i="21" s="1"/>
  <c r="EB363" i="21" s="1"/>
  <c r="CA363" i="21"/>
  <c r="T363" i="21"/>
  <c r="DT364" i="21"/>
  <c r="BI364" i="21"/>
  <c r="CP238" i="21"/>
  <c r="CM244" i="21"/>
  <c r="I250" i="21"/>
  <c r="M254" i="21"/>
  <c r="BF254" i="21" s="1"/>
  <c r="CO254" i="21" s="1"/>
  <c r="AX256" i="21"/>
  <c r="L266" i="21"/>
  <c r="BR269" i="21"/>
  <c r="DZ269" i="21" s="1"/>
  <c r="EB269" i="21" s="1"/>
  <c r="Q272" i="21"/>
  <c r="EH274" i="21"/>
  <c r="EG274" i="21"/>
  <c r="CE275" i="21"/>
  <c r="FZ276" i="21"/>
  <c r="EA276" i="21"/>
  <c r="CO288" i="21"/>
  <c r="CM288" i="21"/>
  <c r="BB290" i="21"/>
  <c r="FX292" i="21"/>
  <c r="U292" i="21"/>
  <c r="FY296" i="21"/>
  <c r="GA296" i="21" s="1"/>
  <c r="CS296" i="21" s="1"/>
  <c r="BA300" i="21"/>
  <c r="BB300" i="21" s="1"/>
  <c r="Y302" i="21"/>
  <c r="EA305" i="21"/>
  <c r="Y309" i="21"/>
  <c r="AX327" i="21"/>
  <c r="M327" i="21"/>
  <c r="DI327" i="21"/>
  <c r="BB251" i="21"/>
  <c r="EE254" i="21"/>
  <c r="EU254" i="21"/>
  <c r="EV254" i="21" s="1"/>
  <c r="AY260" i="21"/>
  <c r="BH260" i="21" s="1"/>
  <c r="GA268" i="21"/>
  <c r="CS268" i="21" s="1"/>
  <c r="EG268" i="21"/>
  <c r="BZ269" i="21"/>
  <c r="FY276" i="21"/>
  <c r="GA276" i="21" s="1"/>
  <c r="CS276" i="21" s="1"/>
  <c r="BH280" i="21"/>
  <c r="AZ280" i="21"/>
  <c r="AY286" i="21"/>
  <c r="DI294" i="21"/>
  <c r="AX294" i="21"/>
  <c r="CM294" i="21" s="1"/>
  <c r="M294" i="21"/>
  <c r="CO301" i="21"/>
  <c r="EA306" i="21"/>
  <c r="CD306" i="21"/>
  <c r="FZ306" i="21"/>
  <c r="BE306" i="21"/>
  <c r="X251" i="21"/>
  <c r="GA253" i="21"/>
  <c r="CS253" i="21" s="1"/>
  <c r="L253" i="21"/>
  <c r="BE254" i="21"/>
  <c r="U254" i="21"/>
  <c r="T254" i="21"/>
  <c r="BA260" i="21"/>
  <c r="CA269" i="21"/>
  <c r="CO270" i="21"/>
  <c r="BE274" i="21"/>
  <c r="EK289" i="21"/>
  <c r="DL294" i="21"/>
  <c r="CC306" i="21"/>
  <c r="CE306" i="21" s="1"/>
  <c r="FY306" i="21"/>
  <c r="CE314" i="21"/>
  <c r="I316" i="21"/>
  <c r="L316" i="21"/>
  <c r="EE316" i="21"/>
  <c r="AN316" i="21"/>
  <c r="AM316" i="21"/>
  <c r="AK316" i="21"/>
  <c r="EG324" i="21"/>
  <c r="EH324" i="21"/>
  <c r="AK331" i="21"/>
  <c r="DL331" i="21"/>
  <c r="BZ338" i="21"/>
  <c r="BR338" i="21"/>
  <c r="DZ338" i="21" s="1"/>
  <c r="CA338" i="21"/>
  <c r="BZ361" i="21"/>
  <c r="CA361" i="21"/>
  <c r="BR361" i="21"/>
  <c r="DZ361" i="21" s="1"/>
  <c r="AX253" i="21"/>
  <c r="CM253" i="21" s="1"/>
  <c r="BE264" i="21"/>
  <c r="BF264" i="21" s="1"/>
  <c r="CO264" i="21" s="1"/>
  <c r="FX264" i="21"/>
  <c r="AN264" i="21"/>
  <c r="U266" i="21"/>
  <c r="T266" i="21"/>
  <c r="BE266" i="21"/>
  <c r="EU271" i="21"/>
  <c r="EV271" i="21" s="1"/>
  <c r="AX271" i="21"/>
  <c r="CM271" i="21" s="1"/>
  <c r="BE284" i="21"/>
  <c r="DT286" i="21"/>
  <c r="Y294" i="21"/>
  <c r="U294" i="21"/>
  <c r="T294" i="21"/>
  <c r="Q294" i="21"/>
  <c r="GA294" i="21"/>
  <c r="CS294" i="21" s="1"/>
  <c r="L294" i="21"/>
  <c r="BA295" i="21"/>
  <c r="AY299" i="21"/>
  <c r="AZ299" i="21" s="1"/>
  <c r="CC309" i="21"/>
  <c r="EL313" i="21"/>
  <c r="EK313" i="21" s="1"/>
  <c r="Y313" i="21"/>
  <c r="I331" i="21"/>
  <c r="CH241" i="21"/>
  <c r="Q254" i="21"/>
  <c r="AZ256" i="21"/>
  <c r="AX258" i="21"/>
  <c r="CM258" i="21" s="1"/>
  <c r="EG264" i="21"/>
  <c r="FZ266" i="21"/>
  <c r="AY275" i="21"/>
  <c r="AZ277" i="21"/>
  <c r="DA282" i="21"/>
  <c r="FG282" i="21"/>
  <c r="X295" i="21"/>
  <c r="BA299" i="21"/>
  <c r="X299" i="21"/>
  <c r="BE250" i="21"/>
  <c r="FX250" i="21"/>
  <c r="CM255" i="21"/>
  <c r="AN258" i="21"/>
  <c r="Y258" i="21"/>
  <c r="EH271" i="21"/>
  <c r="Y271" i="21"/>
  <c r="AN271" i="21"/>
  <c r="CF271" i="21"/>
  <c r="CH271" i="21" s="1"/>
  <c r="AM271" i="21"/>
  <c r="CD271" i="21"/>
  <c r="DL271" i="21"/>
  <c r="DL273" i="21"/>
  <c r="AY277" i="21"/>
  <c r="BH277" i="21" s="1"/>
  <c r="BF282" i="21"/>
  <c r="CO282" i="21" s="1"/>
  <c r="Q283" i="21"/>
  <c r="EE283" i="21"/>
  <c r="FY308" i="21"/>
  <c r="CA308" i="21"/>
  <c r="BZ308" i="21"/>
  <c r="CB308" i="21" s="1"/>
  <c r="CI308" i="21" s="1"/>
  <c r="CK308" i="21" s="1"/>
  <c r="CP308" i="21" s="1"/>
  <c r="BR308" i="21"/>
  <c r="DZ308" i="21" s="1"/>
  <c r="EB308" i="21" s="1"/>
  <c r="FY343" i="21"/>
  <c r="CA343" i="21"/>
  <c r="BZ343" i="21"/>
  <c r="BR343" i="21"/>
  <c r="DZ343" i="21" s="1"/>
  <c r="EB343" i="21" s="1"/>
  <c r="EH343" i="21" s="1"/>
  <c r="CA228" i="21"/>
  <c r="CB228" i="21" s="1"/>
  <c r="CI228" i="21" s="1"/>
  <c r="EH240" i="21"/>
  <c r="EG240" i="21"/>
  <c r="CM246" i="21"/>
  <c r="EG250" i="21"/>
  <c r="L258" i="21"/>
  <c r="X262" i="21"/>
  <c r="AY269" i="21"/>
  <c r="BH269" i="21" s="1"/>
  <c r="L271" i="21"/>
  <c r="I273" i="21"/>
  <c r="AZ274" i="21"/>
  <c r="X275" i="21"/>
  <c r="BE276" i="21"/>
  <c r="BB277" i="21"/>
  <c r="BB280" i="21"/>
  <c r="EG319" i="21"/>
  <c r="L331" i="21"/>
  <c r="EA260" i="21"/>
  <c r="EB260" i="21" s="1"/>
  <c r="EG260" i="21" s="1"/>
  <c r="AN262" i="21"/>
  <c r="CF262" i="21"/>
  <c r="CH262" i="21" s="1"/>
  <c r="DY266" i="21"/>
  <c r="BH268" i="21"/>
  <c r="AM269" i="21"/>
  <c r="Q273" i="21"/>
  <c r="BH274" i="21"/>
  <c r="AS274" i="21"/>
  <c r="AM275" i="21"/>
  <c r="AM276" i="21"/>
  <c r="CF276" i="21"/>
  <c r="CH276" i="21" s="1"/>
  <c r="EA277" i="21"/>
  <c r="EB277" i="21" s="1"/>
  <c r="EG277" i="21" s="1"/>
  <c r="AL281" i="21"/>
  <c r="Y285" i="21"/>
  <c r="U285" i="21"/>
  <c r="BE285" i="21"/>
  <c r="T285" i="21"/>
  <c r="EH285" i="21"/>
  <c r="FZ285" i="21"/>
  <c r="EA285" i="21"/>
  <c r="CD286" i="21"/>
  <c r="FZ291" i="21"/>
  <c r="EA291" i="21"/>
  <c r="CD291" i="21"/>
  <c r="EK294" i="21"/>
  <c r="EA295" i="21"/>
  <c r="L296" i="21"/>
  <c r="I296" i="21"/>
  <c r="EE296" i="21"/>
  <c r="AK306" i="21"/>
  <c r="GA306" i="21"/>
  <c r="CS306" i="21" s="1"/>
  <c r="DL306" i="21"/>
  <c r="BZ313" i="21"/>
  <c r="CB313" i="21" s="1"/>
  <c r="EH315" i="21"/>
  <c r="ET315" i="21"/>
  <c r="FY245" i="21"/>
  <c r="I260" i="21"/>
  <c r="BB265" i="21"/>
  <c r="CF268" i="21"/>
  <c r="CH268" i="21" s="1"/>
  <c r="CI268" i="21" s="1"/>
  <c r="CK268" i="21" s="1"/>
  <c r="CP268" i="21" s="1"/>
  <c r="EH268" i="21"/>
  <c r="BE272" i="21"/>
  <c r="AN275" i="21"/>
  <c r="FZ275" i="21"/>
  <c r="AN276" i="21"/>
  <c r="M278" i="21"/>
  <c r="AM281" i="21"/>
  <c r="CE289" i="21"/>
  <c r="CC291" i="21"/>
  <c r="CE291" i="21" s="1"/>
  <c r="Q292" i="21"/>
  <c r="AS293" i="21"/>
  <c r="M298" i="21"/>
  <c r="AX298" i="21"/>
  <c r="CM298" i="21" s="1"/>
  <c r="EG300" i="21"/>
  <c r="DI306" i="21"/>
  <c r="M306" i="21"/>
  <c r="AM310" i="21"/>
  <c r="FZ319" i="21"/>
  <c r="FY319" i="21" s="1"/>
  <c r="EA319" i="21"/>
  <c r="CD319" i="21"/>
  <c r="CD320" i="21"/>
  <c r="CE320" i="21" s="1"/>
  <c r="FZ320" i="21"/>
  <c r="AN320" i="21"/>
  <c r="CF320" i="21"/>
  <c r="CH320" i="21" s="1"/>
  <c r="Q320" i="21"/>
  <c r="L320" i="21"/>
  <c r="EA320" i="21"/>
  <c r="BB341" i="21"/>
  <c r="EE352" i="21"/>
  <c r="BB385" i="21"/>
  <c r="DY259" i="21"/>
  <c r="Y260" i="21"/>
  <c r="GA261" i="21"/>
  <c r="CS261" i="21" s="1"/>
  <c r="I261" i="21"/>
  <c r="AM263" i="21"/>
  <c r="CD270" i="21"/>
  <c r="CE270" i="21" s="1"/>
  <c r="AS275" i="21"/>
  <c r="EA275" i="21"/>
  <c r="L277" i="21"/>
  <c r="AL277" i="21"/>
  <c r="EE277" i="21"/>
  <c r="FX280" i="21"/>
  <c r="GA280" i="21" s="1"/>
  <c r="CS280" i="21" s="1"/>
  <c r="EE285" i="21"/>
  <c r="DY292" i="21"/>
  <c r="DI300" i="21"/>
  <c r="M300" i="21"/>
  <c r="BF300" i="21" s="1"/>
  <c r="CO300" i="21" s="1"/>
  <c r="AX300" i="21"/>
  <c r="CM300" i="21" s="1"/>
  <c r="BA301" i="21"/>
  <c r="BB301" i="21" s="1"/>
  <c r="Q310" i="21"/>
  <c r="EE310" i="21"/>
  <c r="BZ314" i="21"/>
  <c r="CB314" i="21" s="1"/>
  <c r="BR314" i="21"/>
  <c r="DZ314" i="21" s="1"/>
  <c r="EB314" i="21" s="1"/>
  <c r="DL262" i="21"/>
  <c r="GA262" i="21"/>
  <c r="CS262" i="21" s="1"/>
  <c r="AN263" i="21"/>
  <c r="CF263" i="21"/>
  <c r="CH263" i="21" s="1"/>
  <c r="AZ269" i="21"/>
  <c r="GA269" i="21"/>
  <c r="I277" i="21"/>
  <c r="AX278" i="21"/>
  <c r="AX288" i="21"/>
  <c r="AS288" i="21"/>
  <c r="X301" i="21"/>
  <c r="DL313" i="21"/>
  <c r="GA313" i="21"/>
  <c r="AL313" i="21"/>
  <c r="AK313" i="21"/>
  <c r="FG317" i="21"/>
  <c r="DA317" i="21"/>
  <c r="DI324" i="21"/>
  <c r="M324" i="21"/>
  <c r="AX324" i="21"/>
  <c r="Q352" i="21"/>
  <c r="EH260" i="21"/>
  <c r="EE261" i="21"/>
  <c r="I262" i="21"/>
  <c r="CC264" i="21"/>
  <c r="CE264" i="21" s="1"/>
  <c r="AN269" i="21"/>
  <c r="AN270" i="21"/>
  <c r="CF270" i="21"/>
  <c r="CH270" i="21" s="1"/>
  <c r="I276" i="21"/>
  <c r="M284" i="21"/>
  <c r="DI284" i="21"/>
  <c r="FZ286" i="21"/>
  <c r="AX287" i="21"/>
  <c r="CM287" i="21" s="1"/>
  <c r="I313" i="21"/>
  <c r="CH313" i="21"/>
  <c r="BB317" i="21"/>
  <c r="EE334" i="21"/>
  <c r="Q334" i="21"/>
  <c r="FY360" i="21"/>
  <c r="GA360" i="21" s="1"/>
  <c r="CS360" i="21" s="1"/>
  <c r="AL360" i="21"/>
  <c r="CA360" i="21"/>
  <c r="BZ360" i="21"/>
  <c r="CB360" i="21" s="1"/>
  <c r="CI360" i="21" s="1"/>
  <c r="CK360" i="21" s="1"/>
  <c r="BR360" i="21"/>
  <c r="DZ360" i="21" s="1"/>
  <c r="EB360" i="21" s="1"/>
  <c r="BF371" i="21"/>
  <c r="CO371" i="21" s="1"/>
  <c r="AM262" i="21"/>
  <c r="EE269" i="21"/>
  <c r="FX278" i="21"/>
  <c r="GA278" i="21" s="1"/>
  <c r="CS278" i="21" s="1"/>
  <c r="U278" i="21"/>
  <c r="BB278" i="21"/>
  <c r="DL281" i="21"/>
  <c r="BR285" i="21"/>
  <c r="DZ285" i="21" s="1"/>
  <c r="EB285" i="21" s="1"/>
  <c r="CA285" i="21"/>
  <c r="BZ285" i="21"/>
  <c r="CB285" i="21" s="1"/>
  <c r="CO286" i="21"/>
  <c r="CM286" i="21"/>
  <c r="AZ293" i="21"/>
  <c r="BE298" i="21"/>
  <c r="CM301" i="21"/>
  <c r="GA321" i="21"/>
  <c r="CS321" i="21" s="1"/>
  <c r="AN334" i="21"/>
  <c r="U334" i="21"/>
  <c r="T334" i="21"/>
  <c r="FY265" i="21"/>
  <c r="CC265" i="21"/>
  <c r="AX270" i="21"/>
  <c r="CM270" i="21" s="1"/>
  <c r="CE271" i="21"/>
  <c r="EH275" i="21"/>
  <c r="BE280" i="21"/>
  <c r="AN284" i="21"/>
  <c r="AL293" i="21"/>
  <c r="AK293" i="21"/>
  <c r="DL293" i="21"/>
  <c r="DL317" i="21"/>
  <c r="DT320" i="21"/>
  <c r="BI320" i="21"/>
  <c r="BF321" i="21"/>
  <c r="CO321" i="21" s="1"/>
  <c r="M350" i="21"/>
  <c r="AX350" i="21"/>
  <c r="EA263" i="21"/>
  <c r="FZ263" i="21"/>
  <c r="CH264" i="21"/>
  <c r="EA270" i="21"/>
  <c r="FZ270" i="21"/>
  <c r="EU282" i="21"/>
  <c r="EV282" i="21" s="1"/>
  <c r="ET282" i="21"/>
  <c r="L283" i="21"/>
  <c r="Q284" i="21"/>
  <c r="AL287" i="21"/>
  <c r="DL287" i="21"/>
  <c r="AK287" i="21"/>
  <c r="BB287" i="21"/>
  <c r="I293" i="21"/>
  <c r="BA296" i="21"/>
  <c r="BB296" i="21" s="1"/>
  <c r="BA303" i="21"/>
  <c r="BB303" i="21" s="1"/>
  <c r="CE305" i="21"/>
  <c r="L313" i="21"/>
  <c r="AZ314" i="21"/>
  <c r="BH314" i="21"/>
  <c r="CH345" i="21"/>
  <c r="AS350" i="21"/>
  <c r="AM350" i="21"/>
  <c r="BE261" i="21"/>
  <c r="U261" i="21"/>
  <c r="EU278" i="21"/>
  <c r="EV278" i="21" s="1"/>
  <c r="CA280" i="21"/>
  <c r="BR280" i="21"/>
  <c r="DZ280" i="21" s="1"/>
  <c r="EB280" i="21" s="1"/>
  <c r="AX281" i="21"/>
  <c r="CM281" i="21" s="1"/>
  <c r="M281" i="21"/>
  <c r="BF281" i="21" s="1"/>
  <c r="CO281" i="21" s="1"/>
  <c r="BB281" i="21"/>
  <c r="AX283" i="21"/>
  <c r="CM283" i="21" s="1"/>
  <c r="M283" i="21"/>
  <c r="BF283" i="21" s="1"/>
  <c r="FY286" i="21"/>
  <c r="GA286" i="21" s="1"/>
  <c r="CS286" i="21" s="1"/>
  <c r="CC286" i="21"/>
  <c r="CE286" i="21" s="1"/>
  <c r="ET287" i="21"/>
  <c r="EU287" i="21" s="1"/>
  <c r="EV287" i="21" s="1"/>
  <c r="FY294" i="21"/>
  <c r="AY298" i="21"/>
  <c r="GA302" i="21"/>
  <c r="CS302" i="21" s="1"/>
  <c r="T313" i="21"/>
  <c r="FY313" i="21"/>
  <c r="AY314" i="21"/>
  <c r="CO315" i="21"/>
  <c r="CG317" i="21"/>
  <c r="BB333" i="21"/>
  <c r="BE260" i="21"/>
  <c r="CE272" i="21"/>
  <c r="EE276" i="21"/>
  <c r="Q276" i="21"/>
  <c r="T278" i="21"/>
  <c r="DL278" i="21"/>
  <c r="AM287" i="21"/>
  <c r="BH287" i="21"/>
  <c r="CF293" i="21"/>
  <c r="CH293" i="21" s="1"/>
  <c r="AN293" i="21"/>
  <c r="Y293" i="21"/>
  <c r="U293" i="21"/>
  <c r="AY293" i="21" s="1"/>
  <c r="BE293" i="21"/>
  <c r="T293" i="21"/>
  <c r="BH293" i="21" s="1"/>
  <c r="Y296" i="21"/>
  <c r="BA298" i="21"/>
  <c r="BB298" i="21" s="1"/>
  <c r="AX302" i="21"/>
  <c r="CM302" i="21" s="1"/>
  <c r="M302" i="21"/>
  <c r="BF302" i="21" s="1"/>
  <c r="CO302" i="21" s="1"/>
  <c r="Y303" i="21"/>
  <c r="BA314" i="21"/>
  <c r="BB314" i="21" s="1"/>
  <c r="X333" i="21"/>
  <c r="FX334" i="21"/>
  <c r="T357" i="21"/>
  <c r="FX357" i="21"/>
  <c r="BE357" i="21"/>
  <c r="AL245" i="21"/>
  <c r="L249" i="21"/>
  <c r="AK249" i="21"/>
  <c r="U262" i="21"/>
  <c r="FX262" i="21"/>
  <c r="T262" i="21"/>
  <c r="EE263" i="21"/>
  <c r="GA264" i="21"/>
  <c r="CS264" i="21" s="1"/>
  <c r="L264" i="21"/>
  <c r="M270" i="21"/>
  <c r="BF270" i="21" s="1"/>
  <c r="GA271" i="21"/>
  <c r="CS271" i="21" s="1"/>
  <c r="BZ280" i="21"/>
  <c r="CB280" i="21" s="1"/>
  <c r="CI280" i="21" s="1"/>
  <c r="Y283" i="21"/>
  <c r="FZ283" i="21"/>
  <c r="EA283" i="21"/>
  <c r="DY283" i="21"/>
  <c r="CE284" i="21"/>
  <c r="FZ287" i="21"/>
  <c r="CD287" i="21"/>
  <c r="CE287" i="21" s="1"/>
  <c r="AN287" i="21"/>
  <c r="Y287" i="21"/>
  <c r="CH288" i="21"/>
  <c r="FZ292" i="21"/>
  <c r="L293" i="21"/>
  <c r="DL296" i="21"/>
  <c r="X298" i="21"/>
  <c r="CS303" i="21"/>
  <c r="M304" i="21"/>
  <c r="BF304" i="21" s="1"/>
  <c r="CO304" i="21" s="1"/>
  <c r="DI304" i="21"/>
  <c r="AX304" i="21"/>
  <c r="CM304" i="21" s="1"/>
  <c r="FX308" i="21"/>
  <c r="GA308" i="21" s="1"/>
  <c r="BE308" i="21"/>
  <c r="BF308" i="21" s="1"/>
  <c r="AN308" i="21"/>
  <c r="EE309" i="21"/>
  <c r="X314" i="21"/>
  <c r="EA315" i="21"/>
  <c r="EB315" i="21" s="1"/>
  <c r="FZ315" i="21"/>
  <c r="CD315" i="21"/>
  <c r="BB320" i="21"/>
  <c r="Q330" i="21"/>
  <c r="EE330" i="21"/>
  <c r="AL286" i="21"/>
  <c r="AK291" i="21"/>
  <c r="EE294" i="21"/>
  <c r="DL297" i="21"/>
  <c r="AK297" i="21"/>
  <c r="DL301" i="21"/>
  <c r="AK301" i="21"/>
  <c r="AN302" i="21"/>
  <c r="FZ302" i="21"/>
  <c r="FY302" i="21" s="1"/>
  <c r="BA305" i="21"/>
  <c r="BB305" i="21" s="1"/>
  <c r="CF310" i="21"/>
  <c r="CH310" i="21" s="1"/>
  <c r="AN310" i="21"/>
  <c r="CD310" i="21"/>
  <c r="FY314" i="21"/>
  <c r="GA314" i="21" s="1"/>
  <c r="CS314" i="21" s="1"/>
  <c r="BF317" i="21"/>
  <c r="CO317" i="21" s="1"/>
  <c r="FZ321" i="21"/>
  <c r="EG326" i="21"/>
  <c r="AM331" i="21"/>
  <c r="AS331" i="21"/>
  <c r="CE332" i="21"/>
  <c r="AS340" i="21"/>
  <c r="AZ340" i="21"/>
  <c r="AM340" i="21"/>
  <c r="BH340" i="21"/>
  <c r="AY343" i="21"/>
  <c r="BH343" i="21" s="1"/>
  <c r="BI349" i="21"/>
  <c r="DT349" i="21"/>
  <c r="Q350" i="21"/>
  <c r="EE350" i="21"/>
  <c r="FX283" i="21"/>
  <c r="AK284" i="21"/>
  <c r="DL284" i="21"/>
  <c r="AM286" i="21"/>
  <c r="BE294" i="21"/>
  <c r="M297" i="21"/>
  <c r="BF297" i="21" s="1"/>
  <c r="CO297" i="21" s="1"/>
  <c r="DI297" i="21"/>
  <c r="EE297" i="21"/>
  <c r="DL300" i="21"/>
  <c r="AK300" i="21"/>
  <c r="AS307" i="21"/>
  <c r="EA312" i="21"/>
  <c r="EE325" i="21"/>
  <c r="AS325" i="21"/>
  <c r="AM325" i="21"/>
  <c r="DL325" i="21"/>
  <c r="CD331" i="21"/>
  <c r="AN331" i="21"/>
  <c r="FZ331" i="21"/>
  <c r="DY331" i="21"/>
  <c r="CF331" i="21"/>
  <c r="CH331" i="21" s="1"/>
  <c r="Y331" i="21"/>
  <c r="Q331" i="21"/>
  <c r="EA331" i="21"/>
  <c r="FZ340" i="21"/>
  <c r="EA340" i="21"/>
  <c r="DY340" i="21"/>
  <c r="AN340" i="21"/>
  <c r="CD340" i="21"/>
  <c r="CE340" i="21" s="1"/>
  <c r="Y340" i="21"/>
  <c r="U340" i="21"/>
  <c r="AY340" i="21" s="1"/>
  <c r="T340" i="21"/>
  <c r="BE340" i="21"/>
  <c r="AS342" i="21"/>
  <c r="DI345" i="21"/>
  <c r="AX345" i="21"/>
  <c r="CM345" i="21" s="1"/>
  <c r="CB351" i="21"/>
  <c r="CI351" i="21" s="1"/>
  <c r="EH375" i="21"/>
  <c r="FX281" i="21"/>
  <c r="AK282" i="21"/>
  <c r="DL282" i="21"/>
  <c r="AM284" i="21"/>
  <c r="AN288" i="21"/>
  <c r="EE295" i="21"/>
  <c r="AZ300" i="21"/>
  <c r="EE302" i="21"/>
  <c r="AL303" i="21"/>
  <c r="AM304" i="21"/>
  <c r="Q306" i="21"/>
  <c r="EE306" i="21"/>
  <c r="CA315" i="21"/>
  <c r="CB315" i="21" s="1"/>
  <c r="FZ317" i="21"/>
  <c r="AL322" i="21"/>
  <c r="AK322" i="21"/>
  <c r="DL322" i="21"/>
  <c r="AY326" i="21"/>
  <c r="AZ326" i="21" s="1"/>
  <c r="BB361" i="21"/>
  <c r="AM280" i="21"/>
  <c r="AL282" i="21"/>
  <c r="L288" i="21"/>
  <c r="CD292" i="21"/>
  <c r="CE292" i="21" s="1"/>
  <c r="L297" i="21"/>
  <c r="L301" i="21"/>
  <c r="AS302" i="21"/>
  <c r="I303" i="21"/>
  <c r="EH303" i="21"/>
  <c r="DL312" i="21"/>
  <c r="L312" i="21"/>
  <c r="CS313" i="21"/>
  <c r="AX322" i="21"/>
  <c r="CM322" i="21" s="1"/>
  <c r="M322" i="21"/>
  <c r="BF322" i="21" s="1"/>
  <c r="CO322" i="21" s="1"/>
  <c r="DI322" i="21"/>
  <c r="CM324" i="21"/>
  <c r="BA326" i="21"/>
  <c r="EE331" i="21"/>
  <c r="FI337" i="21"/>
  <c r="DD337" i="21"/>
  <c r="BF345" i="21"/>
  <c r="CU347" i="21"/>
  <c r="FG347" i="21"/>
  <c r="AM282" i="21"/>
  <c r="AM303" i="21"/>
  <c r="FY305" i="21"/>
  <c r="GA305" i="21" s="1"/>
  <c r="CS305" i="21" s="1"/>
  <c r="CE310" i="21"/>
  <c r="DI312" i="21"/>
  <c r="M312" i="21"/>
  <c r="BF312" i="21" s="1"/>
  <c r="CO312" i="21" s="1"/>
  <c r="AX312" i="21"/>
  <c r="CM312" i="21" s="1"/>
  <c r="AM322" i="21"/>
  <c r="AS322" i="21"/>
  <c r="X326" i="21"/>
  <c r="CS328" i="21"/>
  <c r="FX331" i="21"/>
  <c r="U331" i="21"/>
  <c r="BE331" i="21"/>
  <c r="BH333" i="21"/>
  <c r="DT350" i="21"/>
  <c r="BI350" i="21"/>
  <c r="CM376" i="21"/>
  <c r="FX288" i="21"/>
  <c r="EK305" i="21"/>
  <c r="L307" i="21"/>
  <c r="I307" i="21"/>
  <c r="EG315" i="21"/>
  <c r="I318" i="21"/>
  <c r="AM318" i="21"/>
  <c r="AK318" i="21"/>
  <c r="EE318" i="21"/>
  <c r="CF322" i="21"/>
  <c r="CH322" i="21" s="1"/>
  <c r="AN322" i="21"/>
  <c r="CD322" i="21"/>
  <c r="CE322" i="21" s="1"/>
  <c r="Y322" i="21"/>
  <c r="I291" i="21"/>
  <c r="L303" i="21"/>
  <c r="AN312" i="21"/>
  <c r="FZ312" i="21"/>
  <c r="Y312" i="21"/>
  <c r="U312" i="21"/>
  <c r="BE312" i="21"/>
  <c r="CF312" i="21"/>
  <c r="CH312" i="21" s="1"/>
  <c r="CH315" i="21"/>
  <c r="L322" i="21"/>
  <c r="Y324" i="21"/>
  <c r="CS326" i="21"/>
  <c r="FZ288" i="21"/>
  <c r="EE312" i="21"/>
  <c r="Q312" i="21"/>
  <c r="Q318" i="21"/>
  <c r="CF318" i="21"/>
  <c r="CH318" i="21" s="1"/>
  <c r="Y318" i="21"/>
  <c r="AX321" i="21"/>
  <c r="CM321" i="21" s="1"/>
  <c r="DI321" i="21"/>
  <c r="EE322" i="21"/>
  <c r="CS324" i="21"/>
  <c r="EE336" i="21"/>
  <c r="Q336" i="21"/>
  <c r="DI365" i="21"/>
  <c r="M365" i="21"/>
  <c r="AX365" i="21"/>
  <c r="CM365" i="21" s="1"/>
  <c r="EE374" i="21"/>
  <c r="Q374" i="21"/>
  <c r="T281" i="21"/>
  <c r="BE281" i="21"/>
  <c r="Q288" i="21"/>
  <c r="T290" i="21"/>
  <c r="Y291" i="21"/>
  <c r="DY296" i="21"/>
  <c r="Q298" i="21"/>
  <c r="Q301" i="21"/>
  <c r="T301" i="21" s="1"/>
  <c r="FX304" i="21"/>
  <c r="GA304" i="21" s="1"/>
  <c r="CS304" i="21" s="1"/>
  <c r="FZ309" i="21"/>
  <c r="FY309" i="21" s="1"/>
  <c r="CF309" i="21"/>
  <c r="CH309" i="21" s="1"/>
  <c r="AN309" i="21"/>
  <c r="CD309" i="21"/>
  <c r="T315" i="21"/>
  <c r="L318" i="21"/>
  <c r="L319" i="21"/>
  <c r="I319" i="21"/>
  <c r="AK319" i="21"/>
  <c r="DL319" i="21"/>
  <c r="AM321" i="21"/>
  <c r="BH321" i="21"/>
  <c r="T322" i="21"/>
  <c r="BE322" i="21"/>
  <c r="U322" i="21"/>
  <c r="FX322" i="21"/>
  <c r="CM325" i="21"/>
  <c r="FX336" i="21"/>
  <c r="BE336" i="21"/>
  <c r="DI342" i="21"/>
  <c r="AX342" i="21"/>
  <c r="CM342" i="21" s="1"/>
  <c r="M342" i="21"/>
  <c r="AS365" i="21"/>
  <c r="AM365" i="21"/>
  <c r="FX374" i="21"/>
  <c r="BE374" i="21"/>
  <c r="U374" i="21"/>
  <c r="U290" i="21"/>
  <c r="AY290" i="21" s="1"/>
  <c r="L291" i="21"/>
  <c r="DL292" i="21"/>
  <c r="EA292" i="21"/>
  <c r="T297" i="21"/>
  <c r="AZ297" i="21" s="1"/>
  <c r="BE297" i="21"/>
  <c r="BR300" i="21"/>
  <c r="DZ300" i="21" s="1"/>
  <c r="EB300" i="21" s="1"/>
  <c r="EH300" i="21" s="1"/>
  <c r="CA300" i="21"/>
  <c r="CB300" i="21" s="1"/>
  <c r="CI300" i="21" s="1"/>
  <c r="CK300" i="21" s="1"/>
  <c r="CP300" i="21" s="1"/>
  <c r="FY300" i="21"/>
  <c r="GA300" i="21" s="1"/>
  <c r="CS300" i="21" s="1"/>
  <c r="BE303" i="21"/>
  <c r="FY304" i="21"/>
  <c r="Y306" i="21"/>
  <c r="Q307" i="21"/>
  <c r="EE307" i="21"/>
  <c r="L309" i="21"/>
  <c r="AX314" i="21"/>
  <c r="M314" i="21"/>
  <c r="EB319" i="21"/>
  <c r="EH319" i="21" s="1"/>
  <c r="CF321" i="21"/>
  <c r="CH321" i="21" s="1"/>
  <c r="AN321" i="21"/>
  <c r="CD321" i="21"/>
  <c r="Y321" i="21"/>
  <c r="U321" i="21"/>
  <c r="AY321" i="21" s="1"/>
  <c r="T321" i="21"/>
  <c r="Q321" i="21"/>
  <c r="DY322" i="21"/>
  <c r="BR333" i="21"/>
  <c r="DZ333" i="21" s="1"/>
  <c r="CA333" i="21"/>
  <c r="AL333" i="21"/>
  <c r="BZ333" i="21"/>
  <c r="CB333" i="21" s="1"/>
  <c r="CI333" i="21" s="1"/>
  <c r="DY338" i="21"/>
  <c r="DL338" i="21"/>
  <c r="AN338" i="21"/>
  <c r="AM338" i="21"/>
  <c r="EK338" i="21"/>
  <c r="EE338" i="21"/>
  <c r="Y338" i="21"/>
  <c r="CA341" i="21"/>
  <c r="CB341" i="21" s="1"/>
  <c r="CI341" i="21" s="1"/>
  <c r="BR341" i="21"/>
  <c r="DZ341" i="21" s="1"/>
  <c r="AM342" i="21"/>
  <c r="EE342" i="21"/>
  <c r="Y365" i="21"/>
  <c r="BE365" i="21"/>
  <c r="T365" i="21"/>
  <c r="AN365" i="21"/>
  <c r="EK365" i="21"/>
  <c r="U365" i="21"/>
  <c r="EA365" i="21"/>
  <c r="L365" i="21"/>
  <c r="FZ365" i="21"/>
  <c r="EH282" i="21"/>
  <c r="Y282" i="21"/>
  <c r="I292" i="21"/>
  <c r="CD294" i="21"/>
  <c r="CE294" i="21" s="1"/>
  <c r="FZ294" i="21"/>
  <c r="T298" i="21"/>
  <c r="BH300" i="21"/>
  <c r="BJ300" i="21" s="1"/>
  <c r="BZ304" i="21"/>
  <c r="CB304" i="21" s="1"/>
  <c r="CI304" i="21" s="1"/>
  <c r="CK304" i="21" s="1"/>
  <c r="CP304" i="21" s="1"/>
  <c r="CM306" i="21"/>
  <c r="Y310" i="21"/>
  <c r="X315" i="21"/>
  <c r="EL315" i="21" s="1"/>
  <c r="EK315" i="21" s="1"/>
  <c r="U318" i="21"/>
  <c r="L321" i="21"/>
  <c r="Q322" i="21"/>
  <c r="FY325" i="21"/>
  <c r="GA332" i="21"/>
  <c r="CS332" i="21" s="1"/>
  <c r="AL332" i="21"/>
  <c r="AK332" i="21"/>
  <c r="DL332" i="21"/>
  <c r="L338" i="21"/>
  <c r="EA342" i="21"/>
  <c r="FZ342" i="21"/>
  <c r="AN342" i="21"/>
  <c r="CF342" i="21"/>
  <c r="CH342" i="21" s="1"/>
  <c r="CD342" i="21"/>
  <c r="Y342" i="21"/>
  <c r="U342" i="21"/>
  <c r="AY342" i="21" s="1"/>
  <c r="T342" i="21"/>
  <c r="AZ342" i="21" s="1"/>
  <c r="EK342" i="21"/>
  <c r="CF357" i="21"/>
  <c r="CH357" i="21" s="1"/>
  <c r="AN357" i="21"/>
  <c r="Y357" i="21"/>
  <c r="AL308" i="21"/>
  <c r="AM313" i="21"/>
  <c r="AM315" i="21"/>
  <c r="CF317" i="21"/>
  <c r="CH317" i="21" s="1"/>
  <c r="Y317" i="21"/>
  <c r="BA319" i="21"/>
  <c r="I320" i="21"/>
  <c r="AN323" i="21"/>
  <c r="DI323" i="21"/>
  <c r="DL329" i="21"/>
  <c r="AM332" i="21"/>
  <c r="BZ337" i="21"/>
  <c r="CB337" i="21" s="1"/>
  <c r="CI337" i="21" s="1"/>
  <c r="BR337" i="21"/>
  <c r="DZ337" i="21" s="1"/>
  <c r="EB337" i="21" s="1"/>
  <c r="FX338" i="21"/>
  <c r="GA338" i="21" s="1"/>
  <c r="CS338" i="21" s="1"/>
  <c r="BE338" i="21"/>
  <c r="U338" i="21"/>
  <c r="AY338" i="21" s="1"/>
  <c r="T338" i="21"/>
  <c r="EB351" i="21"/>
  <c r="EG351" i="21" s="1"/>
  <c r="AX367" i="21"/>
  <c r="CM367" i="21" s="1"/>
  <c r="DI367" i="21"/>
  <c r="BB369" i="21"/>
  <c r="BA382" i="21"/>
  <c r="BB382" i="21" s="1"/>
  <c r="Q296" i="21"/>
  <c r="EA309" i="21"/>
  <c r="EE311" i="21"/>
  <c r="AN313" i="21"/>
  <c r="EE313" i="21"/>
  <c r="AN315" i="21"/>
  <c r="L317" i="21"/>
  <c r="Y319" i="21"/>
  <c r="CF319" i="21"/>
  <c r="CH319" i="21" s="1"/>
  <c r="AN319" i="21"/>
  <c r="AS320" i="21"/>
  <c r="AM320" i="21"/>
  <c r="BH320" i="21"/>
  <c r="BE321" i="21"/>
  <c r="AN332" i="21"/>
  <c r="EA332" i="21"/>
  <c r="FZ332" i="21"/>
  <c r="FY332" i="21" s="1"/>
  <c r="CF332" i="21"/>
  <c r="CH332" i="21" s="1"/>
  <c r="BI332" i="21"/>
  <c r="Y343" i="21"/>
  <c r="AM367" i="21"/>
  <c r="DL367" i="21"/>
  <c r="AS367" i="21"/>
  <c r="X382" i="21"/>
  <c r="BA312" i="21"/>
  <c r="BB312" i="21" s="1"/>
  <c r="AS314" i="21"/>
  <c r="BE319" i="21"/>
  <c r="FX319" i="21"/>
  <c r="GA319" i="21" s="1"/>
  <c r="CS319" i="21" s="1"/>
  <c r="BB325" i="21"/>
  <c r="AY337" i="21"/>
  <c r="AZ337" i="21" s="1"/>
  <c r="X339" i="21"/>
  <c r="EL339" i="21" s="1"/>
  <c r="EK339" i="21" s="1"/>
  <c r="BA339" i="21"/>
  <c r="BB339" i="21" s="1"/>
  <c r="DY342" i="21"/>
  <c r="EE344" i="21"/>
  <c r="DT363" i="21"/>
  <c r="BI363" i="21"/>
  <c r="M367" i="21"/>
  <c r="EE315" i="21"/>
  <c r="BE317" i="21"/>
  <c r="Q332" i="21"/>
  <c r="X337" i="21"/>
  <c r="BA337" i="21"/>
  <c r="BB337" i="21" s="1"/>
  <c r="T344" i="21"/>
  <c r="BE344" i="21"/>
  <c r="L346" i="21"/>
  <c r="AL346" i="21"/>
  <c r="AK346" i="21"/>
  <c r="I346" i="21"/>
  <c r="CO347" i="21"/>
  <c r="DT366" i="21"/>
  <c r="BI366" i="21"/>
  <c r="L314" i="21"/>
  <c r="EE320" i="21"/>
  <c r="DL323" i="21"/>
  <c r="Y325" i="21"/>
  <c r="BA327" i="21"/>
  <c r="BB327" i="21" s="1"/>
  <c r="FX332" i="21"/>
  <c r="U332" i="21"/>
  <c r="EA337" i="21"/>
  <c r="EG344" i="21"/>
  <c r="DL348" i="21"/>
  <c r="L348" i="21"/>
  <c r="AL348" i="21"/>
  <c r="EE348" i="21"/>
  <c r="AK348" i="21"/>
  <c r="GA348" i="21"/>
  <c r="AN348" i="21"/>
  <c r="CH348" i="21"/>
  <c r="CA349" i="21"/>
  <c r="BZ349" i="21"/>
  <c r="CB349" i="21" s="1"/>
  <c r="CI349" i="21" s="1"/>
  <c r="FY349" i="21"/>
  <c r="BR349" i="21"/>
  <c r="DZ349" i="21" s="1"/>
  <c r="EB349" i="21" s="1"/>
  <c r="EG349" i="21" s="1"/>
  <c r="I354" i="21"/>
  <c r="AL354" i="21"/>
  <c r="AK354" i="21"/>
  <c r="DL354" i="21"/>
  <c r="L354" i="21"/>
  <c r="BB357" i="21"/>
  <c r="FY368" i="21"/>
  <c r="GA368" i="21" s="1"/>
  <c r="CS368" i="21" s="1"/>
  <c r="BZ368" i="21"/>
  <c r="BR368" i="21"/>
  <c r="DZ368" i="21" s="1"/>
  <c r="CA368" i="21"/>
  <c r="AL368" i="21"/>
  <c r="T368" i="21"/>
  <c r="AL381" i="21"/>
  <c r="FY381" i="21"/>
  <c r="CA381" i="21"/>
  <c r="BZ381" i="21"/>
  <c r="BR381" i="21"/>
  <c r="DZ381" i="21" s="1"/>
  <c r="EB381" i="21" s="1"/>
  <c r="CC382" i="21"/>
  <c r="Q317" i="21"/>
  <c r="EU317" i="21"/>
  <c r="EV317" i="21" s="1"/>
  <c r="FZ318" i="21"/>
  <c r="EA318" i="21"/>
  <c r="BE320" i="21"/>
  <c r="U320" i="21"/>
  <c r="AY320" i="21" s="1"/>
  <c r="T320" i="21"/>
  <c r="FX320" i="21"/>
  <c r="CO325" i="21"/>
  <c r="BI334" i="21"/>
  <c r="DT334" i="21"/>
  <c r="CA344" i="21"/>
  <c r="BZ344" i="21"/>
  <c r="CB344" i="21" s="1"/>
  <c r="CI344" i="21" s="1"/>
  <c r="CK344" i="21" s="1"/>
  <c r="CP344" i="21" s="1"/>
  <c r="AL344" i="21"/>
  <c r="CD346" i="21"/>
  <c r="AN346" i="21"/>
  <c r="EA346" i="21"/>
  <c r="CF346" i="21"/>
  <c r="CH346" i="21" s="1"/>
  <c r="FZ346" i="21"/>
  <c r="U346" i="21"/>
  <c r="AY346" i="21" s="1"/>
  <c r="Q346" i="21"/>
  <c r="AX348" i="21"/>
  <c r="CM348" i="21" s="1"/>
  <c r="DI348" i="21"/>
  <c r="AS354" i="21"/>
  <c r="AM354" i="21"/>
  <c r="EE355" i="21"/>
  <c r="CG362" i="21"/>
  <c r="CH362" i="21" s="1"/>
  <c r="Y315" i="21"/>
  <c r="DY320" i="21"/>
  <c r="EH328" i="21"/>
  <c r="GA333" i="21"/>
  <c r="CS333" i="21" s="1"/>
  <c r="CO334" i="21"/>
  <c r="CM334" i="21"/>
  <c r="AM348" i="21"/>
  <c r="BH348" i="21"/>
  <c r="AS348" i="21"/>
  <c r="Y354" i="21"/>
  <c r="CF354" i="21"/>
  <c r="CH354" i="21" s="1"/>
  <c r="AN354" i="21"/>
  <c r="CD354" i="21"/>
  <c r="CE354" i="21" s="1"/>
  <c r="EA354" i="21"/>
  <c r="FZ354" i="21"/>
  <c r="FZ355" i="21"/>
  <c r="FY355" i="21" s="1"/>
  <c r="GA355" i="21" s="1"/>
  <c r="CS355" i="21" s="1"/>
  <c r="CD355" i="21"/>
  <c r="CE355" i="21" s="1"/>
  <c r="AN355" i="21"/>
  <c r="CF355" i="21"/>
  <c r="CH355" i="21" s="1"/>
  <c r="Y355" i="21"/>
  <c r="U355" i="21"/>
  <c r="L355" i="21"/>
  <c r="AX355" i="21"/>
  <c r="CM355" i="21" s="1"/>
  <c r="AM355" i="21"/>
  <c r="AM361" i="21"/>
  <c r="AS361" i="21"/>
  <c r="GA362" i="21"/>
  <c r="CS362" i="21" s="1"/>
  <c r="ET398" i="21"/>
  <c r="EU398" i="21" s="1"/>
  <c r="EV398" i="21" s="1"/>
  <c r="CF323" i="21"/>
  <c r="CH323" i="21" s="1"/>
  <c r="Y323" i="21"/>
  <c r="BE323" i="21"/>
  <c r="BF323" i="21" s="1"/>
  <c r="CO323" i="21" s="1"/>
  <c r="U323" i="21"/>
  <c r="T323" i="21"/>
  <c r="AX323" i="21"/>
  <c r="CM323" i="21" s="1"/>
  <c r="EA323" i="21"/>
  <c r="EA325" i="21"/>
  <c r="FZ325" i="21"/>
  <c r="CS327" i="21"/>
  <c r="CP327" i="21"/>
  <c r="CM327" i="21"/>
  <c r="AZ333" i="21"/>
  <c r="AS333" i="21"/>
  <c r="AM333" i="21"/>
  <c r="EA334" i="21"/>
  <c r="FZ334" i="21"/>
  <c r="CD334" i="21"/>
  <c r="CE334" i="21" s="1"/>
  <c r="AK336" i="21"/>
  <c r="AM336" i="21"/>
  <c r="AL336" i="21"/>
  <c r="CD338" i="21"/>
  <c r="EA338" i="21"/>
  <c r="EE354" i="21"/>
  <c r="Q354" i="21"/>
  <c r="CA355" i="21"/>
  <c r="BZ355" i="21"/>
  <c r="CB355" i="21" s="1"/>
  <c r="BR355" i="21"/>
  <c r="DZ355" i="21" s="1"/>
  <c r="EB355" i="21" s="1"/>
  <c r="EH355" i="21" s="1"/>
  <c r="AN361" i="21"/>
  <c r="CF361" i="21"/>
  <c r="CH361" i="21" s="1"/>
  <c r="Y361" i="21"/>
  <c r="U361" i="21"/>
  <c r="BE361" i="21"/>
  <c r="AL309" i="21"/>
  <c r="M315" i="21"/>
  <c r="BF315" i="21" s="1"/>
  <c r="AX315" i="21"/>
  <c r="CM315" i="21" s="1"/>
  <c r="BE316" i="21"/>
  <c r="L323" i="21"/>
  <c r="BB323" i="21"/>
  <c r="CM329" i="21"/>
  <c r="DL330" i="21"/>
  <c r="L330" i="21"/>
  <c r="EA333" i="21"/>
  <c r="AN333" i="21"/>
  <c r="FZ333" i="21"/>
  <c r="CF333" i="21"/>
  <c r="CH333" i="21" s="1"/>
  <c r="CD333" i="21"/>
  <c r="CE333" i="21" s="1"/>
  <c r="FY334" i="21"/>
  <c r="I336" i="21"/>
  <c r="BA344" i="21"/>
  <c r="BB344" i="21" s="1"/>
  <c r="X344" i="21"/>
  <c r="BB345" i="21"/>
  <c r="AY349" i="21"/>
  <c r="FY353" i="21"/>
  <c r="GA353" i="21" s="1"/>
  <c r="CS353" i="21" s="1"/>
  <c r="EK355" i="21"/>
  <c r="L361" i="21"/>
  <c r="EH362" i="21"/>
  <c r="I309" i="21"/>
  <c r="GA309" i="21"/>
  <c r="CS309" i="21" s="1"/>
  <c r="AY313" i="21"/>
  <c r="Q316" i="21"/>
  <c r="DI328" i="21"/>
  <c r="M328" i="21"/>
  <c r="BF328" i="21" s="1"/>
  <c r="CO328" i="21" s="1"/>
  <c r="AX328" i="21"/>
  <c r="CM328" i="21" s="1"/>
  <c r="EG328" i="21"/>
  <c r="I330" i="21"/>
  <c r="L333" i="21"/>
  <c r="T341" i="21"/>
  <c r="FX341" i="21"/>
  <c r="BE341" i="21"/>
  <c r="EA302" i="21"/>
  <c r="AZ309" i="21"/>
  <c r="BE315" i="21"/>
  <c r="FX317" i="21"/>
  <c r="BZ326" i="21"/>
  <c r="CB326" i="21" s="1"/>
  <c r="CI326" i="21" s="1"/>
  <c r="BR326" i="21"/>
  <c r="DZ326" i="21" s="1"/>
  <c r="EB326" i="21" s="1"/>
  <c r="EH326" i="21" s="1"/>
  <c r="FY327" i="21"/>
  <c r="FY351" i="21"/>
  <c r="AL351" i="21"/>
  <c r="T351" i="21"/>
  <c r="CU358" i="21"/>
  <c r="FG358" i="21"/>
  <c r="CA370" i="21"/>
  <c r="FY370" i="21"/>
  <c r="BZ370" i="21"/>
  <c r="CB370" i="21" s="1"/>
  <c r="CI370" i="21" s="1"/>
  <c r="BR370" i="21"/>
  <c r="DZ370" i="21" s="1"/>
  <c r="EB370" i="21" s="1"/>
  <c r="EG370" i="21" s="1"/>
  <c r="AL370" i="21"/>
  <c r="AL396" i="21"/>
  <c r="FY396" i="21"/>
  <c r="T396" i="21"/>
  <c r="BZ396" i="21"/>
  <c r="BR396" i="21"/>
  <c r="DZ396" i="21" s="1"/>
  <c r="CA396" i="21"/>
  <c r="AN337" i="21"/>
  <c r="FY338" i="21"/>
  <c r="CC338" i="21"/>
  <c r="CE338" i="21" s="1"/>
  <c r="Q342" i="21"/>
  <c r="BE342" i="21"/>
  <c r="BE349" i="21"/>
  <c r="AX353" i="21"/>
  <c r="CA359" i="21"/>
  <c r="BR359" i="21"/>
  <c r="DZ359" i="21" s="1"/>
  <c r="BZ359" i="21"/>
  <c r="ET359" i="21"/>
  <c r="EU359" i="21" s="1"/>
  <c r="EV359" i="21" s="1"/>
  <c r="EE365" i="21"/>
  <c r="Q365" i="21"/>
  <c r="EA376" i="21"/>
  <c r="FZ376" i="21"/>
  <c r="CD376" i="21"/>
  <c r="BE376" i="21"/>
  <c r="EA414" i="21"/>
  <c r="CD414" i="21"/>
  <c r="FZ414" i="21"/>
  <c r="BH446" i="21"/>
  <c r="GA325" i="21"/>
  <c r="CS325" i="21" s="1"/>
  <c r="AL328" i="21"/>
  <c r="EE328" i="21"/>
  <c r="AX339" i="21"/>
  <c r="AS346" i="21"/>
  <c r="BH346" i="21"/>
  <c r="AM346" i="21"/>
  <c r="X352" i="21"/>
  <c r="BA390" i="21"/>
  <c r="X390" i="21"/>
  <c r="L326" i="21"/>
  <c r="AK326" i="21"/>
  <c r="AS327" i="21"/>
  <c r="CD329" i="21"/>
  <c r="CE329" i="21" s="1"/>
  <c r="AN329" i="21"/>
  <c r="CO332" i="21"/>
  <c r="FX354" i="21"/>
  <c r="T354" i="21"/>
  <c r="AY359" i="21"/>
  <c r="BH359" i="21" s="1"/>
  <c r="EE371" i="21"/>
  <c r="Q371" i="21"/>
  <c r="M372" i="21"/>
  <c r="BF372" i="21" s="1"/>
  <c r="CO372" i="21" s="1"/>
  <c r="AX372" i="21"/>
  <c r="CM372" i="21" s="1"/>
  <c r="DI372" i="21"/>
  <c r="BB372" i="21"/>
  <c r="I384" i="21"/>
  <c r="AN384" i="21"/>
  <c r="DL384" i="21"/>
  <c r="AK384" i="21"/>
  <c r="L384" i="21"/>
  <c r="EE385" i="21"/>
  <c r="L325" i="21"/>
  <c r="I326" i="21"/>
  <c r="EH327" i="21"/>
  <c r="CD328" i="21"/>
  <c r="CE328" i="21" s="1"/>
  <c r="AN328" i="21"/>
  <c r="L329" i="21"/>
  <c r="AX335" i="21"/>
  <c r="CM335" i="21" s="1"/>
  <c r="X336" i="21"/>
  <c r="EE346" i="21"/>
  <c r="BB349" i="21"/>
  <c r="DY354" i="21"/>
  <c r="U371" i="21"/>
  <c r="BE371" i="21"/>
  <c r="AM372" i="21"/>
  <c r="AZ372" i="21"/>
  <c r="AS372" i="21"/>
  <c r="GA372" i="21"/>
  <c r="CS372" i="21" s="1"/>
  <c r="FX385" i="21"/>
  <c r="GA385" i="21" s="1"/>
  <c r="CS385" i="21" s="1"/>
  <c r="U385" i="21"/>
  <c r="AY385" i="21" s="1"/>
  <c r="T385" i="21"/>
  <c r="BE385" i="21"/>
  <c r="CC321" i="21"/>
  <c r="BB324" i="21"/>
  <c r="M325" i="21"/>
  <c r="BF325" i="21" s="1"/>
  <c r="L327" i="21"/>
  <c r="L328" i="21"/>
  <c r="AZ328" i="21"/>
  <c r="BE330" i="21"/>
  <c r="BH337" i="21"/>
  <c r="DL339" i="21"/>
  <c r="AK339" i="21"/>
  <c r="AN339" i="21"/>
  <c r="T346" i="21"/>
  <c r="FX346" i="21"/>
  <c r="CE346" i="21"/>
  <c r="AM353" i="21"/>
  <c r="ET358" i="21"/>
  <c r="CM359" i="21"/>
  <c r="BA368" i="21"/>
  <c r="BB368" i="21" s="1"/>
  <c r="EG386" i="21"/>
  <c r="Q325" i="21"/>
  <c r="BE329" i="21"/>
  <c r="T329" i="21"/>
  <c r="FZ335" i="21"/>
  <c r="CF335" i="21"/>
  <c r="CH335" i="21" s="1"/>
  <c r="L335" i="21"/>
  <c r="CD335" i="21"/>
  <c r="CE335" i="21" s="1"/>
  <c r="I343" i="21"/>
  <c r="AL343" i="21"/>
  <c r="GA343" i="21"/>
  <c r="CS343" i="21" s="1"/>
  <c r="AK343" i="21"/>
  <c r="FG344" i="21"/>
  <c r="CU344" i="21"/>
  <c r="DY346" i="21"/>
  <c r="ET353" i="21"/>
  <c r="EU353" i="21" s="1"/>
  <c r="EV353" i="21" s="1"/>
  <c r="CH367" i="21"/>
  <c r="FY385" i="21"/>
  <c r="CA385" i="21"/>
  <c r="BZ385" i="21"/>
  <c r="CB385" i="21" s="1"/>
  <c r="BR385" i="21"/>
  <c r="DZ385" i="21" s="1"/>
  <c r="EB385" i="21" s="1"/>
  <c r="EG385" i="21" s="1"/>
  <c r="DI406" i="21"/>
  <c r="AX406" i="21"/>
  <c r="CM406" i="21" s="1"/>
  <c r="M406" i="21"/>
  <c r="EE339" i="21"/>
  <c r="AS343" i="21"/>
  <c r="AZ343" i="21"/>
  <c r="AM343" i="21"/>
  <c r="EA345" i="21"/>
  <c r="FZ345" i="21"/>
  <c r="BB352" i="21"/>
  <c r="U354" i="21"/>
  <c r="Q356" i="21"/>
  <c r="EE356" i="21"/>
  <c r="GA358" i="21"/>
  <c r="CS358" i="21" s="1"/>
  <c r="EA358" i="21"/>
  <c r="FZ358" i="21"/>
  <c r="AN358" i="21"/>
  <c r="CF358" i="21"/>
  <c r="CH358" i="21" s="1"/>
  <c r="CD358" i="21"/>
  <c r="CE358" i="21" s="1"/>
  <c r="Y358" i="21"/>
  <c r="M358" i="21"/>
  <c r="L358" i="21"/>
  <c r="CE361" i="21"/>
  <c r="FG364" i="21"/>
  <c r="CU364" i="21"/>
  <c r="Y368" i="21"/>
  <c r="Q329" i="21"/>
  <c r="U330" i="21"/>
  <c r="AS334" i="21"/>
  <c r="EE335" i="21"/>
  <c r="DI335" i="21"/>
  <c r="AM341" i="21"/>
  <c r="AS341" i="21"/>
  <c r="AN343" i="21"/>
  <c r="CD343" i="21"/>
  <c r="CE343" i="21" s="1"/>
  <c r="EA343" i="21"/>
  <c r="FZ343" i="21"/>
  <c r="CF343" i="21"/>
  <c r="CH343" i="21" s="1"/>
  <c r="CC345" i="21"/>
  <c r="CE345" i="21" s="1"/>
  <c r="FX349" i="21"/>
  <c r="GA349" i="21" s="1"/>
  <c r="CS349" i="21" s="1"/>
  <c r="DY353" i="21"/>
  <c r="CF353" i="21"/>
  <c r="CH353" i="21" s="1"/>
  <c r="AN353" i="21"/>
  <c r="CD353" i="21"/>
  <c r="Y353" i="21"/>
  <c r="FZ353" i="21"/>
  <c r="U353" i="21"/>
  <c r="T353" i="21"/>
  <c r="Q353" i="21"/>
  <c r="M353" i="21"/>
  <c r="BF353" i="21" s="1"/>
  <c r="CO353" i="21" s="1"/>
  <c r="U356" i="21"/>
  <c r="BE356" i="21"/>
  <c r="T356" i="21"/>
  <c r="FX356" i="21"/>
  <c r="BZ358" i="21"/>
  <c r="CB358" i="21" s="1"/>
  <c r="FY358" i="21"/>
  <c r="AL358" i="21"/>
  <c r="CA358" i="21"/>
  <c r="BR358" i="21"/>
  <c r="DZ358" i="21" s="1"/>
  <c r="AN379" i="21"/>
  <c r="EA379" i="21"/>
  <c r="CF379" i="21"/>
  <c r="CH379" i="21" s="1"/>
  <c r="CD379" i="21"/>
  <c r="CE379" i="21" s="1"/>
  <c r="FZ379" i="21"/>
  <c r="U379" i="21"/>
  <c r="T379" i="21"/>
  <c r="M379" i="21"/>
  <c r="BF379" i="21" s="1"/>
  <c r="CO379" i="21" s="1"/>
  <c r="CE399" i="21"/>
  <c r="T324" i="21"/>
  <c r="AY324" i="21" s="1"/>
  <c r="DL335" i="21"/>
  <c r="AL338" i="21"/>
  <c r="AK338" i="21"/>
  <c r="DY341" i="21"/>
  <c r="FZ341" i="21"/>
  <c r="FY341" i="21" s="1"/>
  <c r="GA341" i="21" s="1"/>
  <c r="CS341" i="21" s="1"/>
  <c r="AN341" i="21"/>
  <c r="CF341" i="21"/>
  <c r="CH341" i="21" s="1"/>
  <c r="CD341" i="21"/>
  <c r="Y341" i="21"/>
  <c r="L343" i="21"/>
  <c r="L353" i="21"/>
  <c r="BE358" i="21"/>
  <c r="EE358" i="21"/>
  <c r="EE363" i="21"/>
  <c r="L379" i="21"/>
  <c r="BE325" i="21"/>
  <c r="CA328" i="21"/>
  <c r="CB328" i="21" s="1"/>
  <c r="FY328" i="21"/>
  <c r="GA328" i="21" s="1"/>
  <c r="U329" i="21"/>
  <c r="EE333" i="21"/>
  <c r="AX334" i="21"/>
  <c r="I338" i="21"/>
  <c r="M339" i="21"/>
  <c r="BF339" i="21" s="1"/>
  <c r="CO339" i="21" s="1"/>
  <c r="BB350" i="21"/>
  <c r="DI355" i="21"/>
  <c r="M355" i="21"/>
  <c r="BF355" i="21" s="1"/>
  <c r="CO355" i="21" s="1"/>
  <c r="I357" i="21"/>
  <c r="AM357" i="21"/>
  <c r="AL357" i="21"/>
  <c r="AK357" i="21"/>
  <c r="DL357" i="21"/>
  <c r="AK361" i="21"/>
  <c r="AL361" i="21"/>
  <c r="EE361" i="21"/>
  <c r="FX363" i="21"/>
  <c r="AN363" i="21"/>
  <c r="U363" i="21"/>
  <c r="AY363" i="21" s="1"/>
  <c r="BE363" i="21"/>
  <c r="AS374" i="21"/>
  <c r="AM374" i="21"/>
  <c r="DL321" i="21"/>
  <c r="AL321" i="21"/>
  <c r="BE327" i="21"/>
  <c r="BH328" i="21"/>
  <c r="I333" i="21"/>
  <c r="Q335" i="21"/>
  <c r="FX335" i="21"/>
  <c r="DY337" i="21"/>
  <c r="BH338" i="21"/>
  <c r="AZ338" i="21"/>
  <c r="Q339" i="21"/>
  <c r="EE343" i="21"/>
  <c r="BB354" i="21"/>
  <c r="DL355" i="21"/>
  <c r="X356" i="21"/>
  <c r="EL356" i="21" s="1"/>
  <c r="EK356" i="21" s="1"/>
  <c r="BA356" i="21"/>
  <c r="BB356" i="21" s="1"/>
  <c r="I361" i="21"/>
  <c r="EA374" i="21"/>
  <c r="FZ374" i="21"/>
  <c r="AN374" i="21"/>
  <c r="CD374" i="21"/>
  <c r="CE374" i="21" s="1"/>
  <c r="Y374" i="21"/>
  <c r="EK374" i="21"/>
  <c r="CF374" i="21"/>
  <c r="CH374" i="21" s="1"/>
  <c r="BE382" i="21"/>
  <c r="CE331" i="21"/>
  <c r="DL342" i="21"/>
  <c r="AM344" i="21"/>
  <c r="Y345" i="21"/>
  <c r="AN347" i="21"/>
  <c r="BZ348" i="21"/>
  <c r="CB348" i="21" s="1"/>
  <c r="CI348" i="21" s="1"/>
  <c r="CK348" i="21" s="1"/>
  <c r="CP348" i="21" s="1"/>
  <c r="AN349" i="21"/>
  <c r="BB355" i="21"/>
  <c r="FX327" i="21"/>
  <c r="GA327" i="21" s="1"/>
  <c r="T327" i="21"/>
  <c r="Y330" i="21"/>
  <c r="AN344" i="21"/>
  <c r="L345" i="21"/>
  <c r="X346" i="21"/>
  <c r="EH349" i="21"/>
  <c r="AS358" i="21"/>
  <c r="BH358" i="21"/>
  <c r="AM358" i="21"/>
  <c r="DL358" i="21"/>
  <c r="X360" i="21"/>
  <c r="DT362" i="21"/>
  <c r="EH370" i="21"/>
  <c r="AY390" i="21"/>
  <c r="BH390" i="21" s="1"/>
  <c r="EA341" i="21"/>
  <c r="T350" i="21"/>
  <c r="T355" i="21"/>
  <c r="CP360" i="21"/>
  <c r="EG362" i="21"/>
  <c r="X370" i="21"/>
  <c r="BA370" i="21"/>
  <c r="BB370" i="21" s="1"/>
  <c r="BZ375" i="21"/>
  <c r="CB375" i="21" s="1"/>
  <c r="CI375" i="21" s="1"/>
  <c r="FY375" i="21"/>
  <c r="BR375" i="21"/>
  <c r="DZ375" i="21" s="1"/>
  <c r="EB375" i="21" s="1"/>
  <c r="EG375" i="21" s="1"/>
  <c r="CA375" i="21"/>
  <c r="AL375" i="21"/>
  <c r="BB384" i="21"/>
  <c r="CC341" i="21"/>
  <c r="CE341" i="21" s="1"/>
  <c r="FY342" i="21"/>
  <c r="GA342" i="21" s="1"/>
  <c r="CS342" i="21" s="1"/>
  <c r="EL350" i="21"/>
  <c r="EK350" i="21" s="1"/>
  <c r="DY365" i="21"/>
  <c r="CC342" i="21"/>
  <c r="BE345" i="21"/>
  <c r="CE353" i="21"/>
  <c r="T375" i="21"/>
  <c r="CM394" i="21"/>
  <c r="U401" i="21"/>
  <c r="AY401" i="21" s="1"/>
  <c r="BH401" i="21" s="1"/>
  <c r="FX401" i="21"/>
  <c r="BE401" i="21"/>
  <c r="CM339" i="21"/>
  <c r="Q345" i="21"/>
  <c r="BB348" i="21"/>
  <c r="BC348" i="21" s="1"/>
  <c r="CN348" i="21" s="1"/>
  <c r="FX358" i="21"/>
  <c r="T358" i="21"/>
  <c r="L359" i="21"/>
  <c r="AN359" i="21"/>
  <c r="AL359" i="21"/>
  <c r="AK359" i="21"/>
  <c r="CE383" i="21"/>
  <c r="AL349" i="21"/>
  <c r="AK349" i="21"/>
  <c r="I349" i="21"/>
  <c r="AY350" i="21"/>
  <c r="DY358" i="21"/>
  <c r="DI364" i="21"/>
  <c r="M364" i="21"/>
  <c r="BF364" i="21" s="1"/>
  <c r="CO364" i="21" s="1"/>
  <c r="BA375" i="21"/>
  <c r="BB375" i="21" s="1"/>
  <c r="AL401" i="21"/>
  <c r="CA401" i="21"/>
  <c r="BZ401" i="21"/>
  <c r="CB401" i="21" s="1"/>
  <c r="CI401" i="21" s="1"/>
  <c r="CK401" i="21" s="1"/>
  <c r="CP401" i="21" s="1"/>
  <c r="BR401" i="21"/>
  <c r="DZ401" i="21" s="1"/>
  <c r="BF347" i="21"/>
  <c r="CS348" i="21"/>
  <c r="EB348" i="21"/>
  <c r="EG348" i="21" s="1"/>
  <c r="I356" i="21"/>
  <c r="AL356" i="21"/>
  <c r="AK356" i="21"/>
  <c r="DL356" i="21"/>
  <c r="AS359" i="21"/>
  <c r="AM359" i="21"/>
  <c r="BB365" i="21"/>
  <c r="X375" i="21"/>
  <c r="T388" i="21"/>
  <c r="EE388" i="21"/>
  <c r="FX388" i="21"/>
  <c r="BE388" i="21"/>
  <c r="BF388" i="21" s="1"/>
  <c r="U388" i="21"/>
  <c r="Q388" i="21"/>
  <c r="FZ418" i="21"/>
  <c r="EA418" i="21"/>
  <c r="CD418" i="21"/>
  <c r="FZ344" i="21"/>
  <c r="CF344" i="21"/>
  <c r="CH344" i="21" s="1"/>
  <c r="FX345" i="21"/>
  <c r="AS347" i="21"/>
  <c r="AS356" i="21"/>
  <c r="AM356" i="21"/>
  <c r="AX371" i="21"/>
  <c r="CM371" i="21" s="1"/>
  <c r="DI371" i="21"/>
  <c r="Y373" i="21"/>
  <c r="CF373" i="21"/>
  <c r="CH373" i="21" s="1"/>
  <c r="U373" i="21"/>
  <c r="Q373" i="21"/>
  <c r="T373" i="21" s="1"/>
  <c r="AN373" i="21"/>
  <c r="AM373" i="21"/>
  <c r="EA373" i="21"/>
  <c r="DL373" i="21"/>
  <c r="EA387" i="21"/>
  <c r="FZ387" i="21"/>
  <c r="CD387" i="21"/>
  <c r="BE387" i="21"/>
  <c r="BF387" i="21" s="1"/>
  <c r="CO387" i="21" s="1"/>
  <c r="AL341" i="21"/>
  <c r="L344" i="21"/>
  <c r="CO345" i="21"/>
  <c r="CF347" i="21"/>
  <c r="CH347" i="21" s="1"/>
  <c r="Q347" i="21"/>
  <c r="DI347" i="21"/>
  <c r="L349" i="21"/>
  <c r="EA356" i="21"/>
  <c r="FZ356" i="21"/>
  <c r="AN356" i="21"/>
  <c r="CF356" i="21"/>
  <c r="CH356" i="21" s="1"/>
  <c r="CD356" i="21"/>
  <c r="Y356" i="21"/>
  <c r="U358" i="21"/>
  <c r="AY358" i="21" s="1"/>
  <c r="EE359" i="21"/>
  <c r="L373" i="21"/>
  <c r="I382" i="21"/>
  <c r="AM382" i="21"/>
  <c r="DL382" i="21"/>
  <c r="L382" i="21"/>
  <c r="AK382" i="21"/>
  <c r="EE382" i="21"/>
  <c r="CE398" i="21"/>
  <c r="BA401" i="21"/>
  <c r="BB401" i="21" s="1"/>
  <c r="AN336" i="21"/>
  <c r="FZ336" i="21"/>
  <c r="I337" i="21"/>
  <c r="I341" i="21"/>
  <c r="M344" i="21"/>
  <c r="BF344" i="21" s="1"/>
  <c r="CO344" i="21" s="1"/>
  <c r="L347" i="21"/>
  <c r="DL347" i="21"/>
  <c r="EE349" i="21"/>
  <c r="CM350" i="21"/>
  <c r="L356" i="21"/>
  <c r="CH359" i="21"/>
  <c r="CD365" i="21"/>
  <c r="CE365" i="21" s="1"/>
  <c r="AN371" i="21"/>
  <c r="CF371" i="21"/>
  <c r="CH371" i="21" s="1"/>
  <c r="DY371" i="21"/>
  <c r="DL371" i="21"/>
  <c r="Y371" i="21"/>
  <c r="X380" i="21"/>
  <c r="BA380" i="21"/>
  <c r="X401" i="21"/>
  <c r="EH348" i="21"/>
  <c r="AK352" i="21"/>
  <c r="ET368" i="21"/>
  <c r="EU368" i="21" s="1"/>
  <c r="EV368" i="21" s="1"/>
  <c r="Q383" i="21"/>
  <c r="EE383" i="21"/>
  <c r="CS344" i="21"/>
  <c r="EE347" i="21"/>
  <c r="CM353" i="21"/>
  <c r="AM360" i="21"/>
  <c r="AL364" i="21"/>
  <c r="AK364" i="21"/>
  <c r="AZ369" i="21"/>
  <c r="FX383" i="21"/>
  <c r="BE383" i="21"/>
  <c r="BF398" i="21"/>
  <c r="CI402" i="21"/>
  <c r="GA351" i="21"/>
  <c r="CS351" i="21" s="1"/>
  <c r="EK354" i="21"/>
  <c r="AS364" i="21"/>
  <c r="AM364" i="21"/>
  <c r="Q377" i="21"/>
  <c r="EE377" i="21"/>
  <c r="AM384" i="21"/>
  <c r="AS384" i="21"/>
  <c r="FY386" i="21"/>
  <c r="CA386" i="21"/>
  <c r="BZ386" i="21"/>
  <c r="CB386" i="21" s="1"/>
  <c r="CI386" i="21" s="1"/>
  <c r="CK386" i="21" s="1"/>
  <c r="CP386" i="21" s="1"/>
  <c r="BR386" i="21"/>
  <c r="DZ386" i="21" s="1"/>
  <c r="EB386" i="21" s="1"/>
  <c r="DA387" i="21"/>
  <c r="FG387" i="21"/>
  <c r="I351" i="21"/>
  <c r="FZ359" i="21"/>
  <c r="FY359" i="21" s="1"/>
  <c r="GA359" i="21" s="1"/>
  <c r="CS359" i="21" s="1"/>
  <c r="EA359" i="21"/>
  <c r="T362" i="21"/>
  <c r="AN364" i="21"/>
  <c r="FZ364" i="21"/>
  <c r="CF364" i="21"/>
  <c r="CH364" i="21" s="1"/>
  <c r="CD364" i="21"/>
  <c r="CE364" i="21" s="1"/>
  <c r="FZ367" i="21"/>
  <c r="FY367" i="21" s="1"/>
  <c r="GA367" i="21" s="1"/>
  <c r="CS367" i="21" s="1"/>
  <c r="EA367" i="21"/>
  <c r="EK373" i="21"/>
  <c r="FX377" i="21"/>
  <c r="AN377" i="21"/>
  <c r="EL397" i="21"/>
  <c r="EK397" i="21" s="1"/>
  <c r="Y397" i="21"/>
  <c r="DY352" i="21"/>
  <c r="EA357" i="21"/>
  <c r="CC359" i="21"/>
  <c r="FY363" i="21"/>
  <c r="CD363" i="21"/>
  <c r="CC363" i="21"/>
  <c r="L366" i="21"/>
  <c r="DL366" i="21"/>
  <c r="CC367" i="21"/>
  <c r="CE367" i="21" s="1"/>
  <c r="BA378" i="21"/>
  <c r="BB378" i="21" s="1"/>
  <c r="T386" i="21"/>
  <c r="BF408" i="21"/>
  <c r="CO408" i="21" s="1"/>
  <c r="EH351" i="21"/>
  <c r="FZ351" i="21"/>
  <c r="CE356" i="21"/>
  <c r="CD359" i="21"/>
  <c r="AX360" i="21"/>
  <c r="CM360" i="21" s="1"/>
  <c r="EA361" i="21"/>
  <c r="FZ361" i="21"/>
  <c r="FY361" i="21" s="1"/>
  <c r="GA361" i="21" s="1"/>
  <c r="CS361" i="21" s="1"/>
  <c r="CD361" i="21"/>
  <c r="I366" i="21"/>
  <c r="BZ369" i="21"/>
  <c r="CB369" i="21" s="1"/>
  <c r="CI369" i="21" s="1"/>
  <c r="BR369" i="21"/>
  <c r="DZ369" i="21" s="1"/>
  <c r="BA383" i="21"/>
  <c r="BB383" i="21" s="1"/>
  <c r="X383" i="21"/>
  <c r="T389" i="21"/>
  <c r="AY389" i="21" s="1"/>
  <c r="BH389" i="21" s="1"/>
  <c r="BJ389" i="21" s="1"/>
  <c r="BZ389" i="21"/>
  <c r="CB389" i="21" s="1"/>
  <c r="BR389" i="21"/>
  <c r="DZ389" i="21" s="1"/>
  <c r="EB389" i="21" s="1"/>
  <c r="EE408" i="21"/>
  <c r="L351" i="21"/>
  <c r="I352" i="21"/>
  <c r="AL353" i="21"/>
  <c r="CC357" i="21"/>
  <c r="CE357" i="21" s="1"/>
  <c r="T377" i="21"/>
  <c r="Y378" i="21"/>
  <c r="EE384" i="21"/>
  <c r="Y386" i="21"/>
  <c r="EL386" i="21"/>
  <c r="EK386" i="21" s="1"/>
  <c r="Q408" i="21"/>
  <c r="AN408" i="21"/>
  <c r="FX408" i="21"/>
  <c r="BE408" i="21"/>
  <c r="U408" i="21"/>
  <c r="CD357" i="21"/>
  <c r="DI360" i="21"/>
  <c r="T364" i="21"/>
  <c r="AY364" i="21" s="1"/>
  <c r="FX364" i="21"/>
  <c r="FX384" i="21"/>
  <c r="GA384" i="21" s="1"/>
  <c r="CS384" i="21" s="1"/>
  <c r="U384" i="21"/>
  <c r="BE350" i="21"/>
  <c r="EA352" i="21"/>
  <c r="CD352" i="21"/>
  <c r="CE352" i="21" s="1"/>
  <c r="AN352" i="21"/>
  <c r="FZ360" i="21"/>
  <c r="CF360" i="21"/>
  <c r="CH360" i="21" s="1"/>
  <c r="DY360" i="21"/>
  <c r="DL360" i="21"/>
  <c r="BA377" i="21"/>
  <c r="BB377" i="21" s="1"/>
  <c r="X377" i="21"/>
  <c r="AL386" i="21"/>
  <c r="AM393" i="21"/>
  <c r="AS393" i="21"/>
  <c r="DT398" i="21"/>
  <c r="BI398" i="21"/>
  <c r="BE351" i="21"/>
  <c r="U351" i="21"/>
  <c r="AY351" i="21" s="1"/>
  <c r="AZ351" i="21" s="1"/>
  <c r="L360" i="21"/>
  <c r="Q364" i="21"/>
  <c r="U366" i="21"/>
  <c r="BE366" i="21"/>
  <c r="Q366" i="21"/>
  <c r="BB371" i="21"/>
  <c r="CO377" i="21"/>
  <c r="Q384" i="21"/>
  <c r="AL384" i="21" s="1"/>
  <c r="Y348" i="21"/>
  <c r="FZ357" i="21"/>
  <c r="FY357" i="21" s="1"/>
  <c r="AK365" i="21"/>
  <c r="AL365" i="21"/>
  <c r="DL365" i="21"/>
  <c r="FX366" i="21"/>
  <c r="M368" i="21"/>
  <c r="AX368" i="21"/>
  <c r="CM368" i="21" s="1"/>
  <c r="M370" i="21"/>
  <c r="BF370" i="21" s="1"/>
  <c r="CO370" i="21" s="1"/>
  <c r="DI370" i="21"/>
  <c r="AX370" i="21"/>
  <c r="CM370" i="21" s="1"/>
  <c r="T381" i="21"/>
  <c r="U381" i="21"/>
  <c r="AY381" i="21" s="1"/>
  <c r="FX381" i="21"/>
  <c r="BE381" i="21"/>
  <c r="AX394" i="21"/>
  <c r="DI394" i="21"/>
  <c r="M394" i="21"/>
  <c r="BF394" i="21" s="1"/>
  <c r="CO394" i="21" s="1"/>
  <c r="BB394" i="21"/>
  <c r="BF401" i="21"/>
  <c r="AL362" i="21"/>
  <c r="DL363" i="21"/>
  <c r="EL366" i="21"/>
  <c r="EK366" i="21" s="1"/>
  <c r="AN367" i="21"/>
  <c r="AK369" i="21"/>
  <c r="CF369" i="21"/>
  <c r="CH369" i="21" s="1"/>
  <c r="EE372" i="21"/>
  <c r="BR372" i="21"/>
  <c r="DZ372" i="21" s="1"/>
  <c r="EB372" i="21" s="1"/>
  <c r="EH372" i="21" s="1"/>
  <c r="DY373" i="21"/>
  <c r="AM375" i="21"/>
  <c r="DY379" i="21"/>
  <c r="CF393" i="21"/>
  <c r="CH393" i="21" s="1"/>
  <c r="Y393" i="21"/>
  <c r="FZ393" i="21"/>
  <c r="AN393" i="21"/>
  <c r="EA393" i="21"/>
  <c r="DY393" i="21"/>
  <c r="CE397" i="21"/>
  <c r="CI397" i="21" s="1"/>
  <c r="GA439" i="21"/>
  <c r="CS439" i="21" s="1"/>
  <c r="BA366" i="21"/>
  <c r="BB366" i="21" s="1"/>
  <c r="L367" i="21"/>
  <c r="DL368" i="21"/>
  <c r="EA368" i="21"/>
  <c r="FZ368" i="21"/>
  <c r="AL369" i="21"/>
  <c r="EK371" i="21"/>
  <c r="BZ372" i="21"/>
  <c r="CB372" i="21" s="1"/>
  <c r="CI372" i="21" s="1"/>
  <c r="CK372" i="21" s="1"/>
  <c r="CP372" i="21" s="1"/>
  <c r="EL372" i="21"/>
  <c r="EK372" i="21" s="1"/>
  <c r="AN378" i="21"/>
  <c r="CD382" i="21"/>
  <c r="EA382" i="21"/>
  <c r="FZ382" i="21"/>
  <c r="EU388" i="21"/>
  <c r="EV388" i="21" s="1"/>
  <c r="ET388" i="21"/>
  <c r="EA390" i="21"/>
  <c r="EB390" i="21" s="1"/>
  <c r="BE390" i="21"/>
  <c r="L393" i="21"/>
  <c r="EL415" i="21"/>
  <c r="EK415" i="21" s="1"/>
  <c r="Y415" i="21"/>
  <c r="EH444" i="21"/>
  <c r="EE367" i="21"/>
  <c r="AM368" i="21"/>
  <c r="AS370" i="21"/>
  <c r="Q393" i="21"/>
  <c r="EE393" i="21"/>
  <c r="AM394" i="21"/>
  <c r="AS394" i="21"/>
  <c r="CE414" i="21"/>
  <c r="CH421" i="21"/>
  <c r="EE368" i="21"/>
  <c r="CH372" i="21"/>
  <c r="EA377" i="21"/>
  <c r="FZ377" i="21"/>
  <c r="BB381" i="21"/>
  <c r="CH392" i="21"/>
  <c r="BE393" i="21"/>
  <c r="U393" i="21"/>
  <c r="FX393" i="21"/>
  <c r="T393" i="21"/>
  <c r="Y394" i="21"/>
  <c r="AN394" i="21"/>
  <c r="CF394" i="21"/>
  <c r="CH394" i="21" s="1"/>
  <c r="FZ394" i="21"/>
  <c r="EA394" i="21"/>
  <c r="DI419" i="21"/>
  <c r="AX419" i="21"/>
  <c r="M419" i="21"/>
  <c r="AL363" i="21"/>
  <c r="L368" i="21"/>
  <c r="I369" i="21"/>
  <c r="FZ371" i="21"/>
  <c r="X379" i="21"/>
  <c r="EL379" i="21" s="1"/>
  <c r="EK379" i="21" s="1"/>
  <c r="DL380" i="21"/>
  <c r="EE380" i="21"/>
  <c r="L380" i="21"/>
  <c r="I380" i="21"/>
  <c r="CE395" i="21"/>
  <c r="EE397" i="21"/>
  <c r="EU403" i="21"/>
  <c r="EV403" i="21" s="1"/>
  <c r="CH407" i="21"/>
  <c r="CI407" i="21" s="1"/>
  <c r="CK407" i="21" s="1"/>
  <c r="CP407" i="21" s="1"/>
  <c r="DL419" i="21"/>
  <c r="AS419" i="21"/>
  <c r="AM419" i="21"/>
  <c r="Q367" i="21"/>
  <c r="T367" i="21" s="1"/>
  <c r="CC371" i="21"/>
  <c r="CE371" i="21" s="1"/>
  <c r="CE376" i="21"/>
  <c r="BF386" i="21"/>
  <c r="CO386" i="21" s="1"/>
  <c r="Y388" i="21"/>
  <c r="BE397" i="21"/>
  <c r="FX397" i="21"/>
  <c r="BA399" i="21"/>
  <c r="BB399" i="21" s="1"/>
  <c r="X399" i="21"/>
  <c r="EL399" i="21" s="1"/>
  <c r="EK399" i="21" s="1"/>
  <c r="ET400" i="21"/>
  <c r="EU400" i="21" s="1"/>
  <c r="EV400" i="21" s="1"/>
  <c r="EU411" i="21"/>
  <c r="EV411" i="21" s="1"/>
  <c r="Y419" i="21"/>
  <c r="AN419" i="21"/>
  <c r="CF419" i="21"/>
  <c r="CH419" i="21" s="1"/>
  <c r="EA419" i="21"/>
  <c r="CD419" i="21"/>
  <c r="FZ419" i="21"/>
  <c r="Q419" i="21"/>
  <c r="T419" i="21" s="1"/>
  <c r="BB367" i="21"/>
  <c r="AS369" i="21"/>
  <c r="T370" i="21"/>
  <c r="I375" i="21"/>
  <c r="EE375" i="21"/>
  <c r="GA375" i="21"/>
  <c r="AN375" i="21"/>
  <c r="AK375" i="21"/>
  <c r="Q376" i="21"/>
  <c r="CE385" i="21"/>
  <c r="EU387" i="21"/>
  <c r="EV387" i="21" s="1"/>
  <c r="ET387" i="21"/>
  <c r="CO388" i="21"/>
  <c r="CM388" i="21"/>
  <c r="AM391" i="21"/>
  <c r="DL391" i="21"/>
  <c r="BE394" i="21"/>
  <c r="U394" i="21"/>
  <c r="FX394" i="21"/>
  <c r="CB427" i="21"/>
  <c r="CG438" i="21"/>
  <c r="BB438" i="21"/>
  <c r="L362" i="21"/>
  <c r="AK362" i="21"/>
  <c r="BE367" i="21"/>
  <c r="L369" i="21"/>
  <c r="CD373" i="21"/>
  <c r="BR378" i="21"/>
  <c r="DZ378" i="21" s="1"/>
  <c r="EB378" i="21" s="1"/>
  <c r="FY378" i="21"/>
  <c r="GA378" i="21" s="1"/>
  <c r="CS378" i="21" s="1"/>
  <c r="CA378" i="21"/>
  <c r="BZ378" i="21"/>
  <c r="GA381" i="21"/>
  <c r="CS381" i="21" s="1"/>
  <c r="Q392" i="21"/>
  <c r="EE392" i="21"/>
  <c r="Y405" i="21"/>
  <c r="AS407" i="21"/>
  <c r="DL407" i="21"/>
  <c r="AM407" i="21"/>
  <c r="BB407" i="21"/>
  <c r="AZ407" i="21"/>
  <c r="AY412" i="21"/>
  <c r="CE427" i="21"/>
  <c r="I362" i="21"/>
  <c r="FX370" i="21"/>
  <c r="CC373" i="21"/>
  <c r="CE373" i="21" s="1"/>
  <c r="AN385" i="21"/>
  <c r="AM385" i="21"/>
  <c r="AL385" i="21"/>
  <c r="DL385" i="21"/>
  <c r="AK385" i="21"/>
  <c r="CH385" i="21"/>
  <c r="EE395" i="21"/>
  <c r="I395" i="21"/>
  <c r="AK395" i="21"/>
  <c r="CM405" i="21"/>
  <c r="EL417" i="21"/>
  <c r="EK417" i="21" s="1"/>
  <c r="Y417" i="21"/>
  <c r="BE419" i="21"/>
  <c r="U419" i="21"/>
  <c r="FX419" i="21"/>
  <c r="T360" i="21"/>
  <c r="I363" i="21"/>
  <c r="GA363" i="21"/>
  <c r="CS363" i="21" s="1"/>
  <c r="BE368" i="21"/>
  <c r="EE369" i="21"/>
  <c r="L375" i="21"/>
  <c r="T378" i="21"/>
  <c r="Y381" i="21"/>
  <c r="FZ381" i="21"/>
  <c r="EA381" i="21"/>
  <c r="EH381" i="21"/>
  <c r="AN381" i="21"/>
  <c r="AM381" i="21"/>
  <c r="CF381" i="21"/>
  <c r="CH381" i="21" s="1"/>
  <c r="DY381" i="21"/>
  <c r="EG381" i="21" s="1"/>
  <c r="CD381" i="21"/>
  <c r="CE381" i="21" s="1"/>
  <c r="I385" i="21"/>
  <c r="T394" i="21"/>
  <c r="T397" i="21"/>
  <c r="X412" i="21"/>
  <c r="Y418" i="21"/>
  <c r="Y359" i="21"/>
  <c r="BE360" i="21"/>
  <c r="BF360" i="21" s="1"/>
  <c r="CO360" i="21" s="1"/>
  <c r="T361" i="21"/>
  <c r="Y367" i="21"/>
  <c r="U370" i="21"/>
  <c r="X376" i="21"/>
  <c r="U378" i="21"/>
  <c r="AY378" i="21" s="1"/>
  <c r="L381" i="21"/>
  <c r="CH384" i="21"/>
  <c r="FX386" i="21"/>
  <c r="U386" i="21"/>
  <c r="AY386" i="21" s="1"/>
  <c r="BE386" i="21"/>
  <c r="CE393" i="21"/>
  <c r="Q395" i="21"/>
  <c r="CF395" i="21"/>
  <c r="Y395" i="21"/>
  <c r="DY395" i="21"/>
  <c r="AN395" i="21"/>
  <c r="DL395" i="21"/>
  <c r="U397" i="21"/>
  <c r="AY397" i="21" s="1"/>
  <c r="CF363" i="21"/>
  <c r="CH363" i="21" s="1"/>
  <c r="GA370" i="21"/>
  <c r="CS370" i="21" s="1"/>
  <c r="AM371" i="21"/>
  <c r="AK372" i="21"/>
  <c r="CD372" i="21"/>
  <c r="CE372" i="21" s="1"/>
  <c r="AN387" i="21"/>
  <c r="GA387" i="21"/>
  <c r="CS387" i="21" s="1"/>
  <c r="CF387" i="21"/>
  <c r="CH387" i="21" s="1"/>
  <c r="FY390" i="21"/>
  <c r="GA390" i="21" s="1"/>
  <c r="CS390" i="21" s="1"/>
  <c r="CO398" i="21"/>
  <c r="CM398" i="21"/>
  <c r="AS421" i="21"/>
  <c r="AM421" i="21"/>
  <c r="CG442" i="21"/>
  <c r="EL384" i="21"/>
  <c r="EK384" i="21" s="1"/>
  <c r="Y384" i="21"/>
  <c r="DT385" i="21"/>
  <c r="BI385" i="21"/>
  <c r="AX386" i="21"/>
  <c r="CM386" i="21" s="1"/>
  <c r="DI386" i="21"/>
  <c r="L387" i="21"/>
  <c r="EH389" i="21"/>
  <c r="EG389" i="21"/>
  <c r="CD389" i="21"/>
  <c r="CE389" i="21" s="1"/>
  <c r="EA398" i="21"/>
  <c r="FZ398" i="21"/>
  <c r="CD398" i="21"/>
  <c r="CH404" i="21"/>
  <c r="EA384" i="21"/>
  <c r="FZ384" i="21"/>
  <c r="FY384" i="21" s="1"/>
  <c r="Q387" i="21"/>
  <c r="EE387" i="21"/>
  <c r="T391" i="21"/>
  <c r="FY439" i="21"/>
  <c r="CA439" i="21"/>
  <c r="BZ439" i="21"/>
  <c r="BR439" i="21"/>
  <c r="DZ439" i="21" s="1"/>
  <c r="EB439" i="21" s="1"/>
  <c r="EG439" i="21" s="1"/>
  <c r="T439" i="21"/>
  <c r="AS371" i="21"/>
  <c r="CF377" i="21"/>
  <c r="CH377" i="21" s="1"/>
  <c r="AK378" i="21"/>
  <c r="AN382" i="21"/>
  <c r="CE387" i="21"/>
  <c r="CM391" i="21"/>
  <c r="AS399" i="21"/>
  <c r="AM399" i="21"/>
  <c r="DL399" i="21"/>
  <c r="Y403" i="21"/>
  <c r="AM438" i="21"/>
  <c r="AS438" i="21"/>
  <c r="DL438" i="21"/>
  <c r="AL378" i="21"/>
  <c r="BB386" i="21"/>
  <c r="CF399" i="21"/>
  <c r="CH399" i="21" s="1"/>
  <c r="EA399" i="21"/>
  <c r="AN399" i="21"/>
  <c r="FZ399" i="21"/>
  <c r="CD399" i="21"/>
  <c r="Y399" i="21"/>
  <c r="AX399" i="21"/>
  <c r="CM399" i="21" s="1"/>
  <c r="CM400" i="21"/>
  <c r="CS400" i="21"/>
  <c r="FZ409" i="21"/>
  <c r="EA409" i="21"/>
  <c r="BE409" i="21"/>
  <c r="CD409" i="21"/>
  <c r="CE409" i="21" s="1"/>
  <c r="DL372" i="21"/>
  <c r="EA372" i="21"/>
  <c r="AL376" i="21"/>
  <c r="DL376" i="21"/>
  <c r="AK376" i="21"/>
  <c r="DY377" i="21"/>
  <c r="AM378" i="21"/>
  <c r="DL386" i="21"/>
  <c r="AN386" i="21"/>
  <c r="GA386" i="21"/>
  <c r="CS386" i="21" s="1"/>
  <c r="AK386" i="21"/>
  <c r="EK394" i="21"/>
  <c r="L399" i="21"/>
  <c r="EH402" i="21"/>
  <c r="AX377" i="21"/>
  <c r="CM377" i="21" s="1"/>
  <c r="Q382" i="21"/>
  <c r="BB391" i="21"/>
  <c r="BB393" i="21"/>
  <c r="M399" i="21"/>
  <c r="BF399" i="21" s="1"/>
  <c r="CO399" i="21" s="1"/>
  <c r="EA400" i="21"/>
  <c r="FZ400" i="21"/>
  <c r="CD400" i="21"/>
  <c r="EA403" i="21"/>
  <c r="CD403" i="21"/>
  <c r="FZ403" i="21"/>
  <c r="DL404" i="21"/>
  <c r="AK404" i="21"/>
  <c r="L404" i="21"/>
  <c r="AL404" i="21"/>
  <c r="AN404" i="21"/>
  <c r="CD429" i="21"/>
  <c r="AN429" i="21"/>
  <c r="Y429" i="21"/>
  <c r="GA429" i="21"/>
  <c r="CS429" i="21" s="1"/>
  <c r="FZ429" i="21"/>
  <c r="EA429" i="21"/>
  <c r="DY429" i="21"/>
  <c r="CF429" i="21"/>
  <c r="CH429" i="21" s="1"/>
  <c r="AX429" i="21"/>
  <c r="CM429" i="21" s="1"/>
  <c r="T380" i="21"/>
  <c r="AY380" i="21" s="1"/>
  <c r="FX382" i="21"/>
  <c r="U382" i="21"/>
  <c r="BH386" i="21"/>
  <c r="CO389" i="21"/>
  <c r="CM389" i="21"/>
  <c r="L390" i="21"/>
  <c r="I390" i="21"/>
  <c r="EU391" i="21"/>
  <c r="EV391" i="21" s="1"/>
  <c r="ET391" i="21"/>
  <c r="DI392" i="21"/>
  <c r="M392" i="21"/>
  <c r="BF392" i="21" s="1"/>
  <c r="CO392" i="21" s="1"/>
  <c r="AX392" i="21"/>
  <c r="CM392" i="21" s="1"/>
  <c r="BB392" i="21"/>
  <c r="CE400" i="21"/>
  <c r="CC403" i="21"/>
  <c r="CE403" i="21" s="1"/>
  <c r="DI404" i="21"/>
  <c r="AX404" i="21"/>
  <c r="CM404" i="21" s="1"/>
  <c r="L429" i="21"/>
  <c r="AN372" i="21"/>
  <c r="AS377" i="21"/>
  <c r="I378" i="21"/>
  <c r="DL379" i="21"/>
  <c r="FX380" i="21"/>
  <c r="GA383" i="21"/>
  <c r="CS383" i="21" s="1"/>
  <c r="AM383" i="21"/>
  <c r="AM390" i="21"/>
  <c r="Y391" i="21"/>
  <c r="DL392" i="21"/>
  <c r="BE399" i="21"/>
  <c r="T399" i="21"/>
  <c r="FX399" i="21"/>
  <c r="U399" i="21"/>
  <c r="AS404" i="21"/>
  <c r="AM404" i="21"/>
  <c r="ET408" i="21"/>
  <c r="EU408" i="21" s="1"/>
  <c r="EV408" i="21" s="1"/>
  <c r="EE435" i="21"/>
  <c r="Q435" i="21"/>
  <c r="AL435" i="21" s="1"/>
  <c r="L372" i="21"/>
  <c r="I373" i="21"/>
  <c r="L374" i="21"/>
  <c r="DL374" i="21"/>
  <c r="AK374" i="21"/>
  <c r="AX379" i="21"/>
  <c r="CM379" i="21" s="1"/>
  <c r="DI379" i="21"/>
  <c r="Q380" i="21"/>
  <c r="AX383" i="21"/>
  <c r="CM383" i="21" s="1"/>
  <c r="M383" i="21"/>
  <c r="AN390" i="21"/>
  <c r="DY399" i="21"/>
  <c r="AX408" i="21"/>
  <c r="AS408" i="21"/>
  <c r="AM408" i="21"/>
  <c r="DL408" i="21"/>
  <c r="BE429" i="21"/>
  <c r="FX429" i="21"/>
  <c r="U429" i="21"/>
  <c r="T429" i="21"/>
  <c r="I374" i="21"/>
  <c r="FZ375" i="21"/>
  <c r="CS375" i="21"/>
  <c r="M376" i="21"/>
  <c r="BF376" i="21" s="1"/>
  <c r="CO376" i="21" s="1"/>
  <c r="M377" i="21"/>
  <c r="BF377" i="21" s="1"/>
  <c r="AM379" i="21"/>
  <c r="FZ383" i="21"/>
  <c r="Y387" i="21"/>
  <c r="FY389" i="21"/>
  <c r="DL394" i="21"/>
  <c r="AL394" i="21"/>
  <c r="AK394" i="21"/>
  <c r="EE394" i="21"/>
  <c r="BB395" i="21"/>
  <c r="CG395" i="21"/>
  <c r="Q399" i="21"/>
  <c r="M404" i="21"/>
  <c r="BF404" i="21" s="1"/>
  <c r="CO404" i="21" s="1"/>
  <c r="CH406" i="21"/>
  <c r="L423" i="21"/>
  <c r="I423" i="21"/>
  <c r="AL423" i="21"/>
  <c r="AK423" i="21"/>
  <c r="EE423" i="21"/>
  <c r="AM423" i="21"/>
  <c r="Q379" i="21"/>
  <c r="AL379" i="21" s="1"/>
  <c r="AK389" i="21"/>
  <c r="GA389" i="21"/>
  <c r="CS389" i="21" s="1"/>
  <c r="AN391" i="21"/>
  <c r="AK393" i="21"/>
  <c r="CO401" i="21"/>
  <c r="CM401" i="21"/>
  <c r="DY403" i="21"/>
  <c r="AM406" i="21"/>
  <c r="DL406" i="21"/>
  <c r="AS406" i="21"/>
  <c r="EE407" i="21"/>
  <c r="EA437" i="21"/>
  <c r="FZ437" i="21"/>
  <c r="CD437" i="21"/>
  <c r="CE437" i="21" s="1"/>
  <c r="Q443" i="21"/>
  <c r="EE443" i="21"/>
  <c r="I381" i="21"/>
  <c r="CC388" i="21"/>
  <c r="CE388" i="21" s="1"/>
  <c r="AL389" i="21"/>
  <c r="EA401" i="21"/>
  <c r="FZ401" i="21"/>
  <c r="FY401" i="21" s="1"/>
  <c r="CD401" i="21"/>
  <c r="CE401" i="21" s="1"/>
  <c r="FY402" i="21"/>
  <c r="GA402" i="21" s="1"/>
  <c r="ET405" i="21"/>
  <c r="EU405" i="21"/>
  <c r="EV405" i="21" s="1"/>
  <c r="T407" i="21"/>
  <c r="BE407" i="21"/>
  <c r="BF407" i="21" s="1"/>
  <c r="FX407" i="21"/>
  <c r="GA407" i="21" s="1"/>
  <c r="CS407" i="21" s="1"/>
  <c r="AN407" i="21"/>
  <c r="CM412" i="21"/>
  <c r="CS412" i="21"/>
  <c r="EH412" i="21"/>
  <c r="EG412" i="21"/>
  <c r="BA415" i="21"/>
  <c r="BB415" i="21" s="1"/>
  <c r="EE419" i="21"/>
  <c r="FY424" i="21"/>
  <c r="GA424" i="21" s="1"/>
  <c r="CS424" i="21" s="1"/>
  <c r="BZ424" i="21"/>
  <c r="BR424" i="21"/>
  <c r="DZ424" i="21" s="1"/>
  <c r="EB424" i="21" s="1"/>
  <c r="EG424" i="21" s="1"/>
  <c r="CD427" i="21"/>
  <c r="AN427" i="21"/>
  <c r="Y427" i="21"/>
  <c r="U427" i="21"/>
  <c r="AY427" i="21" s="1"/>
  <c r="T427" i="21"/>
  <c r="AX427" i="21"/>
  <c r="CM427" i="21" s="1"/>
  <c r="FZ427" i="21"/>
  <c r="FY427" i="21" s="1"/>
  <c r="FY387" i="21"/>
  <c r="EK395" i="21"/>
  <c r="EA397" i="21"/>
  <c r="EB397" i="21" s="1"/>
  <c r="EG397" i="21" s="1"/>
  <c r="FZ397" i="21"/>
  <c r="FY397" i="21" s="1"/>
  <c r="CD397" i="21"/>
  <c r="BR400" i="21"/>
  <c r="DZ400" i="21" s="1"/>
  <c r="BR407" i="21"/>
  <c r="DZ407" i="21" s="1"/>
  <c r="EB407" i="21" s="1"/>
  <c r="EH407" i="21" s="1"/>
  <c r="FY407" i="21"/>
  <c r="AL407" i="21"/>
  <c r="AM414" i="21"/>
  <c r="AS414" i="21"/>
  <c r="DY419" i="21"/>
  <c r="EE400" i="21"/>
  <c r="BZ400" i="21"/>
  <c r="CB400" i="21" s="1"/>
  <c r="U406" i="21"/>
  <c r="AY406" i="21" s="1"/>
  <c r="T406" i="21"/>
  <c r="AZ406" i="21" s="1"/>
  <c r="BE406" i="21"/>
  <c r="FX406" i="21"/>
  <c r="AN406" i="21"/>
  <c r="AL410" i="21"/>
  <c r="AK410" i="21"/>
  <c r="DL410" i="21"/>
  <c r="Y411" i="21"/>
  <c r="I416" i="21"/>
  <c r="AK416" i="21"/>
  <c r="DL416" i="21"/>
  <c r="EE416" i="21"/>
  <c r="AM416" i="21"/>
  <c r="CO417" i="21"/>
  <c r="CM417" i="21"/>
  <c r="AY424" i="21"/>
  <c r="BH424" i="21" s="1"/>
  <c r="BR427" i="21"/>
  <c r="DZ427" i="21" s="1"/>
  <c r="EB427" i="21" s="1"/>
  <c r="CA427" i="21"/>
  <c r="AN383" i="21"/>
  <c r="CC384" i="21"/>
  <c r="CE384" i="21" s="1"/>
  <c r="AM388" i="21"/>
  <c r="AS390" i="21"/>
  <c r="BE400" i="21"/>
  <c r="BF400" i="21" s="1"/>
  <c r="CO400" i="21" s="1"/>
  <c r="FX400" i="21"/>
  <c r="T402" i="21"/>
  <c r="AY407" i="21"/>
  <c r="CM408" i="21"/>
  <c r="DI410" i="21"/>
  <c r="AX410" i="21"/>
  <c r="CM410" i="21" s="1"/>
  <c r="BA424" i="21"/>
  <c r="BB424" i="21" s="1"/>
  <c r="X424" i="21"/>
  <c r="AS410" i="21"/>
  <c r="AM410" i="21"/>
  <c r="EK410" i="21"/>
  <c r="FZ416" i="21"/>
  <c r="EA416" i="21"/>
  <c r="CF416" i="21"/>
  <c r="CH416" i="21" s="1"/>
  <c r="CD416" i="21"/>
  <c r="Y416" i="21"/>
  <c r="AN416" i="21"/>
  <c r="FY417" i="21"/>
  <c r="CD417" i="21"/>
  <c r="CC417" i="21"/>
  <c r="BB429" i="21"/>
  <c r="AK435" i="21"/>
  <c r="DL435" i="21"/>
  <c r="CC440" i="21"/>
  <c r="CE440" i="21" s="1"/>
  <c r="Q441" i="21"/>
  <c r="T441" i="21" s="1"/>
  <c r="BE391" i="21"/>
  <c r="BF391" i="21" s="1"/>
  <c r="CO391" i="21" s="1"/>
  <c r="FZ395" i="21"/>
  <c r="EA395" i="21"/>
  <c r="Y396" i="21"/>
  <c r="FY400" i="21"/>
  <c r="AL400" i="21"/>
  <c r="X402" i="21"/>
  <c r="BA402" i="21"/>
  <c r="BB402" i="21" s="1"/>
  <c r="AN403" i="21"/>
  <c r="AX403" i="21"/>
  <c r="CM403" i="21" s="1"/>
  <c r="M403" i="21"/>
  <c r="BF403" i="21" s="1"/>
  <c r="CO403" i="21" s="1"/>
  <c r="L403" i="21"/>
  <c r="CF403" i="21"/>
  <c r="CH403" i="21" s="1"/>
  <c r="X406" i="21"/>
  <c r="BA406" i="21"/>
  <c r="BB406" i="21" s="1"/>
  <c r="AN410" i="21"/>
  <c r="FZ410" i="21"/>
  <c r="EA410" i="21"/>
  <c r="CF410" i="21"/>
  <c r="CH410" i="21" s="1"/>
  <c r="CD410" i="21"/>
  <c r="CE410" i="21" s="1"/>
  <c r="Y410" i="21"/>
  <c r="U410" i="21"/>
  <c r="AY410" i="21" s="1"/>
  <c r="DL420" i="21"/>
  <c r="L420" i="21"/>
  <c r="AK420" i="21"/>
  <c r="ET425" i="21"/>
  <c r="EU425" i="21" s="1"/>
  <c r="EV425" i="21" s="1"/>
  <c r="I435" i="21"/>
  <c r="AS388" i="21"/>
  <c r="L389" i="21"/>
  <c r="U392" i="21"/>
  <c r="FY395" i="21"/>
  <c r="GA395" i="21" s="1"/>
  <c r="CS395" i="21" s="1"/>
  <c r="CO396" i="21"/>
  <c r="BE398" i="21"/>
  <c r="FX398" i="21"/>
  <c r="Q403" i="21"/>
  <c r="Q405" i="21"/>
  <c r="L410" i="21"/>
  <c r="AX420" i="21"/>
  <c r="CM420" i="21" s="1"/>
  <c r="DI420" i="21"/>
  <c r="M420" i="21"/>
  <c r="EL431" i="21"/>
  <c r="EK431" i="21" s="1"/>
  <c r="Y431" i="21"/>
  <c r="AM435" i="21"/>
  <c r="AS435" i="21"/>
  <c r="X441" i="21"/>
  <c r="EL441" i="21" s="1"/>
  <c r="EK441" i="21" s="1"/>
  <c r="BA441" i="21"/>
  <c r="BB441" i="21" s="1"/>
  <c r="DL387" i="21"/>
  <c r="DY390" i="21"/>
  <c r="AZ390" i="21"/>
  <c r="Q391" i="21"/>
  <c r="T400" i="21"/>
  <c r="CS402" i="21"/>
  <c r="M410" i="21"/>
  <c r="BF410" i="21" s="1"/>
  <c r="CO410" i="21" s="1"/>
  <c r="BE416" i="21"/>
  <c r="U416" i="21"/>
  <c r="FX416" i="21"/>
  <c r="T416" i="21"/>
  <c r="AM420" i="21"/>
  <c r="AS420" i="21"/>
  <c r="CE429" i="21"/>
  <c r="CF435" i="21"/>
  <c r="CH435" i="21" s="1"/>
  <c r="CD435" i="21"/>
  <c r="CE435" i="21" s="1"/>
  <c r="Y435" i="21"/>
  <c r="EA435" i="21"/>
  <c r="DY435" i="21"/>
  <c r="AN435" i="21"/>
  <c r="BE435" i="21"/>
  <c r="FZ435" i="21"/>
  <c r="CD447" i="21"/>
  <c r="FZ447" i="21"/>
  <c r="Y447" i="21"/>
  <c r="U447" i="21"/>
  <c r="CF447" i="21"/>
  <c r="CH447" i="21" s="1"/>
  <c r="EA447" i="21"/>
  <c r="DY447" i="21"/>
  <c r="Q447" i="21"/>
  <c r="BE447" i="21"/>
  <c r="AN447" i="21"/>
  <c r="CF388" i="21"/>
  <c r="CH388" i="21" s="1"/>
  <c r="AN388" i="21"/>
  <c r="AX389" i="21"/>
  <c r="DL393" i="21"/>
  <c r="Q398" i="21"/>
  <c r="AL402" i="21"/>
  <c r="DL413" i="21"/>
  <c r="AM413" i="21"/>
  <c r="AL418" i="21"/>
  <c r="CF420" i="21"/>
  <c r="CH420" i="21" s="1"/>
  <c r="AN420" i="21"/>
  <c r="Y420" i="21"/>
  <c r="L422" i="21"/>
  <c r="I422" i="21"/>
  <c r="AM422" i="21"/>
  <c r="AL422" i="21"/>
  <c r="AK422" i="21"/>
  <c r="DL422" i="21"/>
  <c r="DI429" i="21"/>
  <c r="M429" i="21"/>
  <c r="L435" i="21"/>
  <c r="L447" i="21"/>
  <c r="FX376" i="21"/>
  <c r="U376" i="21"/>
  <c r="AM387" i="21"/>
  <c r="AS387" i="21"/>
  <c r="L388" i="21"/>
  <c r="BI392" i="21"/>
  <c r="I393" i="21"/>
  <c r="Y413" i="21"/>
  <c r="CF413" i="21"/>
  <c r="CH413" i="21" s="1"/>
  <c r="U413" i="21"/>
  <c r="Q413" i="21"/>
  <c r="EA413" i="21"/>
  <c r="AN413" i="21"/>
  <c r="CD415" i="21"/>
  <c r="CE415" i="21" s="1"/>
  <c r="BB419" i="21"/>
  <c r="Q420" i="21"/>
  <c r="EE420" i="21"/>
  <c r="CA424" i="21"/>
  <c r="CA425" i="21"/>
  <c r="AL425" i="21"/>
  <c r="BZ425" i="21"/>
  <c r="CB425" i="21" s="1"/>
  <c r="BR425" i="21"/>
  <c r="DZ425" i="21" s="1"/>
  <c r="AM429" i="21"/>
  <c r="AS429" i="21"/>
  <c r="AN396" i="21"/>
  <c r="FZ396" i="21"/>
  <c r="AK397" i="21"/>
  <c r="Q404" i="21"/>
  <c r="EE404" i="21"/>
  <c r="BE404" i="21"/>
  <c r="DY413" i="21"/>
  <c r="AK418" i="21"/>
  <c r="EA423" i="21"/>
  <c r="CD423" i="21"/>
  <c r="CE423" i="21" s="1"/>
  <c r="AN423" i="21"/>
  <c r="DY423" i="21"/>
  <c r="FZ423" i="21"/>
  <c r="Y423" i="21"/>
  <c r="U423" i="21"/>
  <c r="T423" i="21"/>
  <c r="AY425" i="21"/>
  <c r="BH425" i="21" s="1"/>
  <c r="DY427" i="21"/>
  <c r="CC449" i="21"/>
  <c r="CE449" i="21" s="1"/>
  <c r="Q394" i="21"/>
  <c r="EA396" i="21"/>
  <c r="GA396" i="21"/>
  <c r="CS396" i="21" s="1"/>
  <c r="AL397" i="21"/>
  <c r="AK401" i="21"/>
  <c r="X407" i="21"/>
  <c r="BI408" i="21"/>
  <c r="AX414" i="21"/>
  <c r="CM414" i="21" s="1"/>
  <c r="DI414" i="21"/>
  <c r="BB420" i="21"/>
  <c r="Q423" i="21"/>
  <c r="FY425" i="21"/>
  <c r="GA425" i="21" s="1"/>
  <c r="CS425" i="21" s="1"/>
  <c r="CH426" i="21"/>
  <c r="EE429" i="21"/>
  <c r="Q429" i="21"/>
  <c r="BB431" i="21"/>
  <c r="FG434" i="21"/>
  <c r="CU434" i="21"/>
  <c r="CE473" i="21"/>
  <c r="AN397" i="21"/>
  <c r="CF398" i="21"/>
  <c r="CH398" i="21" s="1"/>
  <c r="CF400" i="21"/>
  <c r="CH400" i="21" s="1"/>
  <c r="AM401" i="21"/>
  <c r="CF401" i="21"/>
  <c r="CH401" i="21" s="1"/>
  <c r="CO407" i="21"/>
  <c r="CF414" i="21"/>
  <c r="CH414" i="21" s="1"/>
  <c r="AN414" i="21"/>
  <c r="CM425" i="21"/>
  <c r="CA433" i="21"/>
  <c r="BZ433" i="21"/>
  <c r="CB433" i="21" s="1"/>
  <c r="BR433" i="21"/>
  <c r="DZ433" i="21" s="1"/>
  <c r="BA439" i="21"/>
  <c r="BB439" i="21" s="1"/>
  <c r="CA444" i="21"/>
  <c r="BZ444" i="21"/>
  <c r="CB444" i="21" s="1"/>
  <c r="BR444" i="21"/>
  <c r="DZ444" i="21" s="1"/>
  <c r="EB444" i="21" s="1"/>
  <c r="EG444" i="21" s="1"/>
  <c r="BI472" i="21"/>
  <c r="DT472" i="21"/>
  <c r="I397" i="21"/>
  <c r="AM398" i="21"/>
  <c r="AM400" i="21"/>
  <c r="AN401" i="21"/>
  <c r="BB409" i="21"/>
  <c r="FZ413" i="21"/>
  <c r="L414" i="21"/>
  <c r="EA420" i="21"/>
  <c r="CD425" i="21"/>
  <c r="CE425" i="21" s="1"/>
  <c r="EA425" i="21"/>
  <c r="X439" i="21"/>
  <c r="EL439" i="21" s="1"/>
  <c r="EK439" i="21" s="1"/>
  <c r="Y443" i="21"/>
  <c r="GA397" i="21"/>
  <c r="CS397" i="21" s="1"/>
  <c r="AN398" i="21"/>
  <c r="AS405" i="21"/>
  <c r="CE413" i="21"/>
  <c r="M414" i="21"/>
  <c r="BF414" i="21" s="1"/>
  <c r="CO414" i="21" s="1"/>
  <c r="FX417" i="21"/>
  <c r="AN417" i="21"/>
  <c r="FZ431" i="21"/>
  <c r="EA431" i="21"/>
  <c r="CD431" i="21"/>
  <c r="CE431" i="21" s="1"/>
  <c r="BE431" i="21"/>
  <c r="T433" i="21"/>
  <c r="CO439" i="21"/>
  <c r="CM439" i="21"/>
  <c r="AY470" i="21"/>
  <c r="BH470" i="21" s="1"/>
  <c r="GA400" i="21"/>
  <c r="I402" i="21"/>
  <c r="AK402" i="21"/>
  <c r="FX403" i="21"/>
  <c r="U403" i="21"/>
  <c r="BA403" i="21"/>
  <c r="BB403" i="21" s="1"/>
  <c r="Q411" i="21"/>
  <c r="AL411" i="21" s="1"/>
  <c r="Q414" i="21"/>
  <c r="EE414" i="21"/>
  <c r="AS426" i="21"/>
  <c r="DL426" i="21"/>
  <c r="AM426" i="21"/>
  <c r="CH442" i="21"/>
  <c r="CF396" i="21"/>
  <c r="CH396" i="21" s="1"/>
  <c r="AX396" i="21"/>
  <c r="CM396" i="21" s="1"/>
  <c r="AS402" i="21"/>
  <c r="BE403" i="21"/>
  <c r="BE414" i="21"/>
  <c r="U414" i="21"/>
  <c r="FX414" i="21"/>
  <c r="BB418" i="21"/>
  <c r="L396" i="21"/>
  <c r="AS409" i="21"/>
  <c r="DL409" i="21"/>
  <c r="DY414" i="21"/>
  <c r="T417" i="21"/>
  <c r="EK419" i="21"/>
  <c r="AX428" i="21"/>
  <c r="M428" i="21"/>
  <c r="BF428" i="21" s="1"/>
  <c r="DI428" i="21"/>
  <c r="DL437" i="21"/>
  <c r="L437" i="21"/>
  <c r="AK437" i="21"/>
  <c r="I437" i="21"/>
  <c r="BB437" i="21" s="1"/>
  <c r="M405" i="21"/>
  <c r="AX405" i="21"/>
  <c r="DI412" i="21"/>
  <c r="M412" i="21"/>
  <c r="AX412" i="21"/>
  <c r="U417" i="21"/>
  <c r="EE418" i="21"/>
  <c r="AM418" i="21"/>
  <c r="DL418" i="21"/>
  <c r="L418" i="21"/>
  <c r="I418" i="21"/>
  <c r="AS428" i="21"/>
  <c r="AM428" i="21"/>
  <c r="AX448" i="21"/>
  <c r="CM448" i="21" s="1"/>
  <c r="M448" i="21"/>
  <c r="Y400" i="21"/>
  <c r="ET403" i="21"/>
  <c r="FY404" i="21"/>
  <c r="GA404" i="21" s="1"/>
  <c r="CS404" i="21" s="1"/>
  <c r="AM405" i="21"/>
  <c r="ET411" i="21"/>
  <c r="M415" i="21"/>
  <c r="BF415" i="21" s="1"/>
  <c r="CO415" i="21" s="1"/>
  <c r="AX415" i="21"/>
  <c r="CM415" i="21" s="1"/>
  <c r="DI415" i="21"/>
  <c r="CE418" i="21"/>
  <c r="FY383" i="21"/>
  <c r="EH386" i="21"/>
  <c r="U396" i="21"/>
  <c r="L398" i="21"/>
  <c r="L400" i="21"/>
  <c r="L401" i="21"/>
  <c r="DL403" i="21"/>
  <c r="FZ405" i="21"/>
  <c r="CD405" i="21"/>
  <c r="CE405" i="21" s="1"/>
  <c r="AN405" i="21"/>
  <c r="BE405" i="21"/>
  <c r="BB408" i="21"/>
  <c r="Q418" i="21"/>
  <c r="FY432" i="21"/>
  <c r="CA432" i="21"/>
  <c r="BZ432" i="21"/>
  <c r="T432" i="21"/>
  <c r="BR432" i="21"/>
  <c r="DZ432" i="21" s="1"/>
  <c r="EB432" i="21" s="1"/>
  <c r="EG432" i="21" s="1"/>
  <c r="Y441" i="21"/>
  <c r="U441" i="21"/>
  <c r="AN441" i="21"/>
  <c r="AM441" i="21"/>
  <c r="CF441" i="21"/>
  <c r="CH441" i="21" s="1"/>
  <c r="BE441" i="21"/>
  <c r="BF441" i="21" s="1"/>
  <c r="CO441" i="21" s="1"/>
  <c r="FZ441" i="21"/>
  <c r="Y404" i="21"/>
  <c r="L409" i="21"/>
  <c r="EE410" i="21"/>
  <c r="Q410" i="21"/>
  <c r="CO411" i="21"/>
  <c r="BA413" i="21"/>
  <c r="BB413" i="21" s="1"/>
  <c r="EE415" i="21"/>
  <c r="DL421" i="21"/>
  <c r="BE423" i="21"/>
  <c r="CH428" i="21"/>
  <c r="AM434" i="21"/>
  <c r="DL434" i="21"/>
  <c r="DL442" i="21"/>
  <c r="AK442" i="21"/>
  <c r="I442" i="21"/>
  <c r="AN442" i="21"/>
  <c r="AM442" i="21"/>
  <c r="EE442" i="21"/>
  <c r="CH443" i="21"/>
  <c r="Y491" i="21"/>
  <c r="EL491" i="21"/>
  <c r="EK491" i="21" s="1"/>
  <c r="I409" i="21"/>
  <c r="T410" i="21"/>
  <c r="FX410" i="21"/>
  <c r="EE412" i="21"/>
  <c r="L412" i="21"/>
  <c r="BE413" i="21"/>
  <c r="AM415" i="21"/>
  <c r="Q416" i="21"/>
  <c r="AL416" i="21" s="1"/>
  <c r="CH417" i="21"/>
  <c r="CM419" i="21"/>
  <c r="I421" i="21"/>
  <c r="BE427" i="21"/>
  <c r="BF427" i="21" s="1"/>
  <c r="FX427" i="21"/>
  <c r="Q428" i="21"/>
  <c r="EE428" i="21"/>
  <c r="EU493" i="21"/>
  <c r="EV493" i="21" s="1"/>
  <c r="ET493" i="21"/>
  <c r="AX407" i="21"/>
  <c r="CM407" i="21" s="1"/>
  <c r="EE417" i="21"/>
  <c r="BE420" i="21"/>
  <c r="U420" i="21"/>
  <c r="T420" i="21"/>
  <c r="Y421" i="21"/>
  <c r="T421" i="21"/>
  <c r="AZ421" i="21" s="1"/>
  <c r="CM426" i="21"/>
  <c r="EL430" i="21"/>
  <c r="EK430" i="21" s="1"/>
  <c r="Y430" i="21"/>
  <c r="L442" i="21"/>
  <c r="M445" i="21"/>
  <c r="BF445" i="21" s="1"/>
  <c r="CO445" i="21" s="1"/>
  <c r="DI445" i="21"/>
  <c r="CH466" i="21"/>
  <c r="ET471" i="21"/>
  <c r="EU471" i="21"/>
  <c r="EV471" i="21" s="1"/>
  <c r="L406" i="21"/>
  <c r="L407" i="21"/>
  <c r="DY420" i="21"/>
  <c r="L421" i="21"/>
  <c r="BB421" i="21"/>
  <c r="FZ422" i="21"/>
  <c r="EA422" i="21"/>
  <c r="EU426" i="21"/>
  <c r="EV426" i="21" s="1"/>
  <c r="AM437" i="21"/>
  <c r="AS437" i="21"/>
  <c r="BI465" i="21"/>
  <c r="BJ465" i="21" s="1"/>
  <c r="DT465" i="21"/>
  <c r="BH468" i="21"/>
  <c r="AZ468" i="21"/>
  <c r="EE409" i="21"/>
  <c r="AS411" i="21"/>
  <c r="Q422" i="21"/>
  <c r="EE422" i="21"/>
  <c r="BA423" i="21"/>
  <c r="EK429" i="21"/>
  <c r="AM433" i="21"/>
  <c r="AS433" i="21"/>
  <c r="CG436" i="21"/>
  <c r="BB436" i="21"/>
  <c r="CF437" i="21"/>
  <c r="CH437" i="21" s="1"/>
  <c r="Y437" i="21"/>
  <c r="AN437" i="21"/>
  <c r="Q406" i="21"/>
  <c r="AS415" i="21"/>
  <c r="BE421" i="21"/>
  <c r="DY421" i="21"/>
  <c r="CE422" i="21"/>
  <c r="X423" i="21"/>
  <c r="EL423" i="21" s="1"/>
  <c r="EK423" i="21" s="1"/>
  <c r="EH432" i="21"/>
  <c r="AN433" i="21"/>
  <c r="CF433" i="21"/>
  <c r="CH433" i="21" s="1"/>
  <c r="EA433" i="21"/>
  <c r="Y433" i="21"/>
  <c r="DL436" i="21"/>
  <c r="L436" i="21"/>
  <c r="I436" i="21"/>
  <c r="Q437" i="21"/>
  <c r="T437" i="21" s="1"/>
  <c r="EE437" i="21"/>
  <c r="EA444" i="21"/>
  <c r="CD444" i="21"/>
  <c r="FZ444" i="21"/>
  <c r="CE416" i="21"/>
  <c r="FX418" i="21"/>
  <c r="CH425" i="21"/>
  <c r="EK427" i="21"/>
  <c r="DT428" i="21"/>
  <c r="L433" i="21"/>
  <c r="BB435" i="21"/>
  <c r="AK443" i="21"/>
  <c r="DL443" i="21"/>
  <c r="L443" i="21"/>
  <c r="AN443" i="21"/>
  <c r="AL443" i="21"/>
  <c r="FY444" i="21"/>
  <c r="GA444" i="21" s="1"/>
  <c r="CS444" i="21" s="1"/>
  <c r="CC444" i="21"/>
  <c r="CE444" i="21" s="1"/>
  <c r="Q409" i="21"/>
  <c r="DL411" i="21"/>
  <c r="DL417" i="21"/>
  <c r="BE418" i="21"/>
  <c r="Q421" i="21"/>
  <c r="CF422" i="21"/>
  <c r="CH422" i="21" s="1"/>
  <c r="CO427" i="21"/>
  <c r="CH436" i="21"/>
  <c r="DI443" i="21"/>
  <c r="AX443" i="21"/>
  <c r="CM443" i="21" s="1"/>
  <c r="DM471" i="21"/>
  <c r="EL489" i="21"/>
  <c r="EK489" i="21" s="1"/>
  <c r="Y489" i="21"/>
  <c r="CD413" i="21"/>
  <c r="AX417" i="21"/>
  <c r="DI417" i="21"/>
  <c r="T418" i="21"/>
  <c r="ET439" i="21"/>
  <c r="EU439" i="21" s="1"/>
  <c r="EV439" i="21" s="1"/>
  <c r="DT440" i="21"/>
  <c r="BI440" i="21"/>
  <c r="AS443" i="21"/>
  <c r="AM443" i="21"/>
  <c r="EU480" i="21"/>
  <c r="EV480" i="21" s="1"/>
  <c r="ET480" i="21"/>
  <c r="AX411" i="21"/>
  <c r="CM411" i="21" s="1"/>
  <c r="AM417" i="21"/>
  <c r="CD420" i="21"/>
  <c r="CE420" i="21" s="1"/>
  <c r="AY421" i="21"/>
  <c r="BH421" i="21" s="1"/>
  <c r="BE425" i="21"/>
  <c r="EB430" i="21"/>
  <c r="U433" i="21"/>
  <c r="FX433" i="21"/>
  <c r="GA433" i="21" s="1"/>
  <c r="CS433" i="21" s="1"/>
  <c r="DU477" i="21"/>
  <c r="FZ402" i="21"/>
  <c r="AN411" i="21"/>
  <c r="CF411" i="21"/>
  <c r="CH411" i="21" s="1"/>
  <c r="T412" i="21"/>
  <c r="AZ412" i="21" s="1"/>
  <c r="DL412" i="21"/>
  <c r="DL414" i="21"/>
  <c r="Q415" i="21"/>
  <c r="AL415" i="21" s="1"/>
  <c r="CD421" i="21"/>
  <c r="CE421" i="21" s="1"/>
  <c r="EE421" i="21"/>
  <c r="Y422" i="21"/>
  <c r="L424" i="21"/>
  <c r="EE424" i="21"/>
  <c r="I424" i="21"/>
  <c r="AL424" i="21"/>
  <c r="CB430" i="21"/>
  <c r="CI430" i="21" s="1"/>
  <c r="DY433" i="21"/>
  <c r="M443" i="21"/>
  <c r="BF443" i="21" s="1"/>
  <c r="CO443" i="21" s="1"/>
  <c r="CF409" i="21"/>
  <c r="CH409" i="21" s="1"/>
  <c r="FX423" i="21"/>
  <c r="FX432" i="21"/>
  <c r="GA432" i="21" s="1"/>
  <c r="CS432" i="21" s="1"/>
  <c r="AN432" i="21"/>
  <c r="L438" i="21"/>
  <c r="EE438" i="21"/>
  <c r="AK438" i="21"/>
  <c r="BB445" i="21"/>
  <c r="CA446" i="21"/>
  <c r="FY446" i="21"/>
  <c r="BZ446" i="21"/>
  <c r="CB446" i="21" s="1"/>
  <c r="BR446" i="21"/>
  <c r="DZ446" i="21" s="1"/>
  <c r="EB446" i="21" s="1"/>
  <c r="EH446" i="21" s="1"/>
  <c r="ET473" i="21"/>
  <c r="EU473" i="21" s="1"/>
  <c r="EV473" i="21" s="1"/>
  <c r="EU475" i="21"/>
  <c r="EV475" i="21" s="1"/>
  <c r="EA424" i="21"/>
  <c r="CD424" i="21"/>
  <c r="CE424" i="21" s="1"/>
  <c r="BB428" i="21"/>
  <c r="CS430" i="21"/>
  <c r="ET434" i="21"/>
  <c r="EU434" i="21" s="1"/>
  <c r="EV434" i="21" s="1"/>
  <c r="I438" i="21"/>
  <c r="AK445" i="21"/>
  <c r="DL445" i="21"/>
  <c r="L445" i="21"/>
  <c r="EM475" i="21"/>
  <c r="EP475" i="21" s="1"/>
  <c r="EQ475" i="21" s="1"/>
  <c r="EM482" i="21"/>
  <c r="EP482" i="21" s="1"/>
  <c r="EQ482" i="21" s="1"/>
  <c r="DN482" i="21" s="1"/>
  <c r="DM483" i="21"/>
  <c r="CI495" i="21"/>
  <c r="CK495" i="21" s="1"/>
  <c r="L426" i="21"/>
  <c r="BB426" i="21"/>
  <c r="AK430" i="21"/>
  <c r="EA434" i="21"/>
  <c r="CF434" i="21"/>
  <c r="CH434" i="21" s="1"/>
  <c r="CD434" i="21"/>
  <c r="CE434" i="21" s="1"/>
  <c r="Y434" i="21"/>
  <c r="Y438" i="21"/>
  <c r="FZ438" i="21"/>
  <c r="AN438" i="21"/>
  <c r="EA438" i="21"/>
  <c r="CF438" i="21"/>
  <c r="CH438" i="21" s="1"/>
  <c r="CD438" i="21"/>
  <c r="CE438" i="21" s="1"/>
  <c r="Q438" i="21"/>
  <c r="T438" i="21" s="1"/>
  <c r="AY446" i="21"/>
  <c r="AY469" i="21"/>
  <c r="BH469" i="21" s="1"/>
  <c r="BC471" i="21"/>
  <c r="DU491" i="21"/>
  <c r="CE419" i="21"/>
  <c r="EE425" i="21"/>
  <c r="M426" i="21"/>
  <c r="CO428" i="21"/>
  <c r="CM428" i="21"/>
  <c r="L434" i="21"/>
  <c r="CM441" i="21"/>
  <c r="EL442" i="21"/>
  <c r="EK442" i="21" s="1"/>
  <c r="Y442" i="21"/>
  <c r="DY445" i="21"/>
  <c r="CF445" i="21"/>
  <c r="CH445" i="21" s="1"/>
  <c r="CD445" i="21"/>
  <c r="CE445" i="21" s="1"/>
  <c r="FZ445" i="21"/>
  <c r="Y445" i="21"/>
  <c r="BE445" i="21"/>
  <c r="U445" i="21"/>
  <c r="BA471" i="21"/>
  <c r="BB471" i="21" s="1"/>
  <c r="BH471" i="21"/>
  <c r="CE483" i="21"/>
  <c r="CI483" i="21" s="1"/>
  <c r="CK483" i="21" s="1"/>
  <c r="AN425" i="21"/>
  <c r="EE426" i="21"/>
  <c r="EE431" i="21"/>
  <c r="L431" i="21"/>
  <c r="I431" i="21"/>
  <c r="AL431" i="21"/>
  <c r="BF434" i="21"/>
  <c r="CO434" i="21" s="1"/>
  <c r="CA436" i="21"/>
  <c r="BZ436" i="21"/>
  <c r="CB436" i="21" s="1"/>
  <c r="CI436" i="21" s="1"/>
  <c r="BR436" i="21"/>
  <c r="DZ436" i="21" s="1"/>
  <c r="EB436" i="21" s="1"/>
  <c r="EG436" i="21" s="1"/>
  <c r="FX438" i="21"/>
  <c r="U438" i="21"/>
  <c r="EE445" i="21"/>
  <c r="Q445" i="21"/>
  <c r="T445" i="21" s="1"/>
  <c r="DM474" i="21"/>
  <c r="DM488" i="21"/>
  <c r="BE422" i="21"/>
  <c r="U422" i="21"/>
  <c r="AY422" i="21" s="1"/>
  <c r="BE426" i="21"/>
  <c r="AM431" i="21"/>
  <c r="AL434" i="21"/>
  <c r="CA434" i="21"/>
  <c r="BZ434" i="21"/>
  <c r="CB434" i="21" s="1"/>
  <c r="CI434" i="21" s="1"/>
  <c r="CK434" i="21" s="1"/>
  <c r="CP434" i="21" s="1"/>
  <c r="BR434" i="21"/>
  <c r="DZ434" i="21" s="1"/>
  <c r="EB434" i="21" s="1"/>
  <c r="U436" i="21"/>
  <c r="AY436" i="21" s="1"/>
  <c r="BE436" i="21"/>
  <c r="T436" i="21"/>
  <c r="Y446" i="21"/>
  <c r="Y471" i="21"/>
  <c r="BH487" i="21"/>
  <c r="AY487" i="21"/>
  <c r="AZ487" i="21" s="1"/>
  <c r="CI488" i="21"/>
  <c r="CK488" i="21" s="1"/>
  <c r="AZ424" i="21"/>
  <c r="FX426" i="21"/>
  <c r="DT432" i="21"/>
  <c r="U449" i="21"/>
  <c r="BE449" i="21"/>
  <c r="CF449" i="21"/>
  <c r="CH449" i="21" s="1"/>
  <c r="CD449" i="21"/>
  <c r="AN449" i="21"/>
  <c r="AM449" i="21"/>
  <c r="BC467" i="21"/>
  <c r="Y469" i="21"/>
  <c r="EL481" i="21"/>
  <c r="EK481" i="21" s="1"/>
  <c r="Y481" i="21"/>
  <c r="Q417" i="21"/>
  <c r="FZ424" i="21"/>
  <c r="BE424" i="21"/>
  <c r="EH424" i="21"/>
  <c r="Q426" i="21"/>
  <c r="FZ426" i="21"/>
  <c r="FX434" i="21"/>
  <c r="GA434" i="21" s="1"/>
  <c r="CS434" i="21" s="1"/>
  <c r="BB440" i="21"/>
  <c r="EM467" i="21"/>
  <c r="EP467" i="21" s="1"/>
  <c r="EQ467" i="21" s="1"/>
  <c r="DN467" i="21" s="1"/>
  <c r="BH467" i="21"/>
  <c r="BA467" i="21"/>
  <c r="BB467" i="21" s="1"/>
  <c r="Y479" i="21"/>
  <c r="EL479" i="21"/>
  <c r="EK479" i="21" s="1"/>
  <c r="AS424" i="21"/>
  <c r="FY434" i="21"/>
  <c r="AK447" i="21"/>
  <c r="EE447" i="21"/>
  <c r="DL447" i="21"/>
  <c r="AL447" i="21"/>
  <c r="CI468" i="21"/>
  <c r="CK468" i="21" s="1"/>
  <c r="BC482" i="21"/>
  <c r="BH485" i="21"/>
  <c r="AY485" i="21"/>
  <c r="AZ485" i="21" s="1"/>
  <c r="BC485" i="21" s="1"/>
  <c r="T422" i="21"/>
  <c r="M425" i="21"/>
  <c r="U426" i="21"/>
  <c r="DL430" i="21"/>
  <c r="GA430" i="21"/>
  <c r="AL433" i="21"/>
  <c r="AK433" i="21"/>
  <c r="DL433" i="21"/>
  <c r="T434" i="21"/>
  <c r="AY434" i="21" s="1"/>
  <c r="FZ434" i="21"/>
  <c r="BI436" i="21"/>
  <c r="I447" i="21"/>
  <c r="CI466" i="21"/>
  <c r="CK466" i="21" s="1"/>
  <c r="Y467" i="21"/>
  <c r="DM486" i="21"/>
  <c r="BI487" i="21"/>
  <c r="DT487" i="21"/>
  <c r="I413" i="21"/>
  <c r="AM427" i="21"/>
  <c r="DL427" i="21"/>
  <c r="I430" i="21"/>
  <c r="I433" i="21"/>
  <c r="BB433" i="21" s="1"/>
  <c r="FX436" i="21"/>
  <c r="GA436" i="21" s="1"/>
  <c r="CS436" i="21" s="1"/>
  <c r="I440" i="21"/>
  <c r="DL440" i="21"/>
  <c r="AM447" i="21"/>
  <c r="AM430" i="21"/>
  <c r="U435" i="21"/>
  <c r="AK439" i="21"/>
  <c r="AQ471" i="21"/>
  <c r="AR471" i="21" s="1"/>
  <c r="DU471" i="21" s="1"/>
  <c r="EM471" i="21" s="1"/>
  <c r="EP471" i="21" s="1"/>
  <c r="EQ471" i="21" s="1"/>
  <c r="ET478" i="21"/>
  <c r="EU478" i="21" s="1"/>
  <c r="EV478" i="21" s="1"/>
  <c r="AL439" i="21"/>
  <c r="BB448" i="21"/>
  <c r="AZ466" i="21"/>
  <c r="BC466" i="21" s="1"/>
  <c r="BH466" i="21"/>
  <c r="EH466" i="21"/>
  <c r="DU478" i="21"/>
  <c r="EM478" i="21" s="1"/>
  <c r="EP478" i="21" s="1"/>
  <c r="EQ478" i="21" s="1"/>
  <c r="CE488" i="21"/>
  <c r="BE437" i="21"/>
  <c r="DM465" i="21"/>
  <c r="BA466" i="21"/>
  <c r="BB466" i="21" s="1"/>
  <c r="X466" i="21"/>
  <c r="CI486" i="21"/>
  <c r="CK486" i="21" s="1"/>
  <c r="FZ492" i="21"/>
  <c r="FY492" i="21" s="1"/>
  <c r="BE492" i="21"/>
  <c r="BF492" i="21" s="1"/>
  <c r="CD492" i="21"/>
  <c r="CE492" i="21" s="1"/>
  <c r="EA492" i="21"/>
  <c r="EB492" i="21" s="1"/>
  <c r="EH492" i="21" s="1"/>
  <c r="AY493" i="21"/>
  <c r="BH493" i="21" s="1"/>
  <c r="AL432" i="21"/>
  <c r="DY437" i="21"/>
  <c r="EK447" i="21"/>
  <c r="CI469" i="21"/>
  <c r="CK469" i="21" s="1"/>
  <c r="CI479" i="21"/>
  <c r="CK479" i="21" s="1"/>
  <c r="BH490" i="21"/>
  <c r="AY490" i="21"/>
  <c r="AZ490" i="21" s="1"/>
  <c r="BC490" i="21" s="1"/>
  <c r="FX428" i="21"/>
  <c r="FY429" i="21"/>
  <c r="AZ430" i="21"/>
  <c r="AM432" i="21"/>
  <c r="CD433" i="21"/>
  <c r="CE433" i="21" s="1"/>
  <c r="BE440" i="21"/>
  <c r="ET468" i="21"/>
  <c r="EU468" i="21" s="1"/>
  <c r="EV468" i="21" s="1"/>
  <c r="EB470" i="21"/>
  <c r="EH470" i="21" s="1"/>
  <c r="CH479" i="21"/>
  <c r="ER477" i="21"/>
  <c r="DM477" i="21"/>
  <c r="FZ493" i="21"/>
  <c r="BE493" i="21"/>
  <c r="CD493" i="21"/>
  <c r="CE493" i="21" s="1"/>
  <c r="CI493" i="21" s="1"/>
  <c r="CK493" i="21" s="1"/>
  <c r="DL429" i="21"/>
  <c r="U437" i="21"/>
  <c r="AY437" i="21" s="1"/>
  <c r="Q440" i="21"/>
  <c r="AL446" i="21"/>
  <c r="ES477" i="21"/>
  <c r="AL427" i="21"/>
  <c r="BE430" i="21"/>
  <c r="L444" i="21"/>
  <c r="AL444" i="21"/>
  <c r="DL444" i="21"/>
  <c r="AZ446" i="21"/>
  <c r="CE446" i="21"/>
  <c r="FZ494" i="21"/>
  <c r="BE494" i="21"/>
  <c r="BF494" i="21" s="1"/>
  <c r="EA494" i="21"/>
  <c r="EB494" i="21" s="1"/>
  <c r="EH494" i="21" s="1"/>
  <c r="CD494" i="21"/>
  <c r="CE494" i="21" s="1"/>
  <c r="CI494" i="21" s="1"/>
  <c r="CK494" i="21" s="1"/>
  <c r="U440" i="21"/>
  <c r="DL441" i="21"/>
  <c r="I444" i="21"/>
  <c r="BB444" i="21" s="1"/>
  <c r="I432" i="21"/>
  <c r="Y439" i="21"/>
  <c r="EH439" i="21"/>
  <c r="CF439" i="21"/>
  <c r="CH439" i="21" s="1"/>
  <c r="DI441" i="21"/>
  <c r="AX441" i="21"/>
  <c r="AS444" i="21"/>
  <c r="M465" i="21"/>
  <c r="AX465" i="21"/>
  <c r="CI473" i="21"/>
  <c r="CK473" i="21" s="1"/>
  <c r="Q431" i="21"/>
  <c r="FY433" i="21"/>
  <c r="FX435" i="21"/>
  <c r="L439" i="21"/>
  <c r="AN444" i="21"/>
  <c r="Y444" i="21"/>
  <c r="T444" i="21"/>
  <c r="AY444" i="21" s="1"/>
  <c r="BE444" i="21"/>
  <c r="DI465" i="21"/>
  <c r="ET467" i="21"/>
  <c r="EU467" i="21" s="1"/>
  <c r="EV467" i="21" s="1"/>
  <c r="EU469" i="21"/>
  <c r="EV469" i="21" s="1"/>
  <c r="ET469" i="21"/>
  <c r="CI475" i="21"/>
  <c r="CK475" i="21" s="1"/>
  <c r="EW477" i="21"/>
  <c r="L449" i="21"/>
  <c r="I449" i="21"/>
  <c r="EA440" i="21"/>
  <c r="CD440" i="21"/>
  <c r="DY441" i="21"/>
  <c r="DL448" i="21"/>
  <c r="AK448" i="21"/>
  <c r="BH478" i="21"/>
  <c r="EU495" i="21"/>
  <c r="EV495" i="21" s="1"/>
  <c r="ET495" i="21"/>
  <c r="EE449" i="21"/>
  <c r="Q449" i="21"/>
  <c r="EB468" i="21"/>
  <c r="EH468" i="21" s="1"/>
  <c r="DM473" i="21"/>
  <c r="ED481" i="21"/>
  <c r="CI485" i="21"/>
  <c r="CK485" i="21" s="1"/>
  <c r="Y448" i="21"/>
  <c r="DY448" i="21"/>
  <c r="DU474" i="21"/>
  <c r="EM474" i="21" s="1"/>
  <c r="EP474" i="21" s="1"/>
  <c r="EQ474" i="21" s="1"/>
  <c r="DN474" i="21" s="1"/>
  <c r="DM475" i="21"/>
  <c r="AY488" i="21"/>
  <c r="BH488" i="21" s="1"/>
  <c r="ED490" i="21"/>
  <c r="BA495" i="21"/>
  <c r="BB495" i="21" s="1"/>
  <c r="Q442" i="21"/>
  <c r="L448" i="21"/>
  <c r="BE448" i="21"/>
  <c r="DY449" i="21"/>
  <c r="ET490" i="21"/>
  <c r="BE442" i="21"/>
  <c r="CM445" i="21"/>
  <c r="CE447" i="21"/>
  <c r="CI471" i="21"/>
  <c r="CK471" i="21" s="1"/>
  <c r="DU473" i="21"/>
  <c r="EM473" i="21" s="1"/>
  <c r="EP473" i="21" s="1"/>
  <c r="EQ473" i="21" s="1"/>
  <c r="Y490" i="21"/>
  <c r="Y495" i="21"/>
  <c r="GA446" i="21"/>
  <c r="CS446" i="21" s="1"/>
  <c r="DL446" i="21"/>
  <c r="AK446" i="21"/>
  <c r="X449" i="21"/>
  <c r="BA449" i="21"/>
  <c r="BB449" i="21" s="1"/>
  <c r="DU465" i="21"/>
  <c r="BB468" i="21"/>
  <c r="BH476" i="21"/>
  <c r="AZ476" i="21"/>
  <c r="EL488" i="21"/>
  <c r="EK488" i="21" s="1"/>
  <c r="Y488" i="21"/>
  <c r="FY445" i="21"/>
  <c r="GA445" i="21" s="1"/>
  <c r="CS445" i="21" s="1"/>
  <c r="I446" i="21"/>
  <c r="BB446" i="21" s="1"/>
  <c r="EU472" i="21"/>
  <c r="EV472" i="21" s="1"/>
  <c r="ET472" i="21"/>
  <c r="CE475" i="21"/>
  <c r="AQ490" i="21"/>
  <c r="AR490" i="21" s="1"/>
  <c r="T442" i="21"/>
  <c r="EA445" i="21"/>
  <c r="AM446" i="21"/>
  <c r="CD448" i="21"/>
  <c r="CE448" i="21" s="1"/>
  <c r="DU486" i="21"/>
  <c r="EM486" i="21" s="1"/>
  <c r="EP486" i="21" s="1"/>
  <c r="EQ486" i="21" s="1"/>
  <c r="AS440" i="21"/>
  <c r="FZ446" i="21"/>
  <c r="AN446" i="21"/>
  <c r="CD446" i="21"/>
  <c r="EK448" i="21"/>
  <c r="ET448" i="21" s="1"/>
  <c r="EB467" i="21"/>
  <c r="EH467" i="21" s="1"/>
  <c r="AY472" i="21"/>
  <c r="AZ472" i="21" s="1"/>
  <c r="ET485" i="21"/>
  <c r="EU485" i="21" s="1"/>
  <c r="EV485" i="21" s="1"/>
  <c r="EU490" i="21"/>
  <c r="EV490" i="21" s="1"/>
  <c r="L446" i="21"/>
  <c r="U448" i="21"/>
  <c r="CF448" i="21"/>
  <c r="CH448" i="21" s="1"/>
  <c r="FZ449" i="21"/>
  <c r="FY449" i="21" s="1"/>
  <c r="GA449" i="21" s="1"/>
  <c r="CS449" i="21" s="1"/>
  <c r="EA449" i="21"/>
  <c r="BA472" i="21"/>
  <c r="BB472" i="21" s="1"/>
  <c r="EE448" i="21"/>
  <c r="CI474" i="21"/>
  <c r="CK474" i="21" s="1"/>
  <c r="ED479" i="21"/>
  <c r="EB482" i="21"/>
  <c r="EH482" i="21" s="1"/>
  <c r="BE495" i="21"/>
  <c r="BF495" i="21" s="1"/>
  <c r="EA495" i="21"/>
  <c r="EB495" i="21" s="1"/>
  <c r="EH495" i="21" s="1"/>
  <c r="T448" i="21"/>
  <c r="AS449" i="21"/>
  <c r="ED472" i="21"/>
  <c r="Y473" i="21"/>
  <c r="CH475" i="21"/>
  <c r="CI482" i="21"/>
  <c r="CK482" i="21" s="1"/>
  <c r="ET487" i="21"/>
  <c r="EU487" i="21" s="1"/>
  <c r="EV487" i="21" s="1"/>
  <c r="Y493" i="21"/>
  <c r="Q448" i="21"/>
  <c r="AQ466" i="21"/>
  <c r="AR466" i="21" s="1"/>
  <c r="ET475" i="21"/>
  <c r="AY476" i="21"/>
  <c r="EL465" i="21"/>
  <c r="EK465" i="21" s="1"/>
  <c r="BI468" i="21"/>
  <c r="DT468" i="21"/>
  <c r="AZ475" i="21"/>
  <c r="EU484" i="21"/>
  <c r="EV484" i="21" s="1"/>
  <c r="BH483" i="21"/>
  <c r="AZ483" i="21"/>
  <c r="BC483" i="21" s="1"/>
  <c r="AY483" i="21"/>
  <c r="FY494" i="21"/>
  <c r="GA494" i="21" s="1"/>
  <c r="Y470" i="21"/>
  <c r="CH470" i="21"/>
  <c r="CI470" i="21" s="1"/>
  <c r="CK470" i="21" s="1"/>
  <c r="BB475" i="21"/>
  <c r="Y476" i="21"/>
  <c r="Y485" i="21"/>
  <c r="EU474" i="21"/>
  <c r="EV474" i="21" s="1"/>
  <c r="BI475" i="21"/>
  <c r="BJ475" i="21" s="1"/>
  <c r="CI491" i="21"/>
  <c r="CK491" i="21" s="1"/>
  <c r="AY496" i="21"/>
  <c r="CB467" i="21"/>
  <c r="CI467" i="21" s="1"/>
  <c r="CK467" i="21" s="1"/>
  <c r="EB469" i="21"/>
  <c r="EH469" i="21" s="1"/>
  <c r="EU470" i="21"/>
  <c r="EV470" i="21" s="1"/>
  <c r="EU482" i="21"/>
  <c r="EV482" i="21" s="1"/>
  <c r="ET482" i="21"/>
  <c r="AQ485" i="21"/>
  <c r="AR485" i="21" s="1"/>
  <c r="AZ494" i="21"/>
  <c r="BA496" i="21"/>
  <c r="BB496" i="21" s="1"/>
  <c r="DU475" i="21"/>
  <c r="ED476" i="21"/>
  <c r="BI477" i="21"/>
  <c r="BJ477" i="21" s="1"/>
  <c r="DT477" i="21"/>
  <c r="CH478" i="21"/>
  <c r="CI478" i="21" s="1"/>
  <c r="CK478" i="21" s="1"/>
  <c r="AY481" i="21"/>
  <c r="BH481" i="21" s="1"/>
  <c r="BI483" i="21"/>
  <c r="DT483" i="21"/>
  <c r="AY494" i="21"/>
  <c r="BH494" i="21" s="1"/>
  <c r="X496" i="21"/>
  <c r="CH471" i="21"/>
  <c r="BH479" i="21"/>
  <c r="AZ479" i="21"/>
  <c r="BA492" i="21"/>
  <c r="BB492" i="21" s="1"/>
  <c r="BC492" i="21" s="1"/>
  <c r="X492" i="21"/>
  <c r="BA494" i="21"/>
  <c r="BB494" i="21" s="1"/>
  <c r="FZ448" i="21"/>
  <c r="AY479" i="21"/>
  <c r="AQ483" i="21"/>
  <c r="AR483" i="21" s="1"/>
  <c r="X494" i="21"/>
  <c r="EB484" i="21"/>
  <c r="EH484" i="21" s="1"/>
  <c r="FZ496" i="21"/>
  <c r="FY496" i="21" s="1"/>
  <c r="BE496" i="21"/>
  <c r="BF496" i="21" s="1"/>
  <c r="CE486" i="21"/>
  <c r="EA496" i="21"/>
  <c r="EB496" i="21" s="1"/>
  <c r="EH496" i="21" s="1"/>
  <c r="EB480" i="21"/>
  <c r="EH480" i="21" s="1"/>
  <c r="BH486" i="21"/>
  <c r="EB489" i="21"/>
  <c r="EH489" i="21" s="1"/>
  <c r="CB492" i="21"/>
  <c r="CI492" i="21" s="1"/>
  <c r="CK492" i="21" s="1"/>
  <c r="CE482" i="21"/>
  <c r="BH484" i="21"/>
  <c r="BH491" i="21"/>
  <c r="EB493" i="21"/>
  <c r="EH493" i="21" s="1"/>
  <c r="BJ474" i="21"/>
  <c r="BJ478" i="21"/>
  <c r="BH482" i="21"/>
  <c r="Y486" i="21"/>
  <c r="CE489" i="21"/>
  <c r="CI489" i="21" s="1"/>
  <c r="CK489" i="21" s="1"/>
  <c r="EM477" i="21"/>
  <c r="EP477" i="21" s="1"/>
  <c r="EQ477" i="21" s="1"/>
  <c r="DN477" i="21" s="1"/>
  <c r="BH480" i="21"/>
  <c r="EB487" i="21"/>
  <c r="EH487" i="21" s="1"/>
  <c r="BI484" i="21"/>
  <c r="BJ484" i="21" s="1"/>
  <c r="DT484" i="21"/>
  <c r="BH489" i="21"/>
  <c r="EA491" i="21"/>
  <c r="EB491" i="21" s="1"/>
  <c r="EH491" i="21" s="1"/>
  <c r="FZ491" i="21"/>
  <c r="FY491" i="21" s="1"/>
  <c r="GA491" i="21" s="1"/>
  <c r="BE491" i="21"/>
  <c r="BF491" i="21" s="1"/>
  <c r="GA492" i="21"/>
  <c r="BB479" i="21"/>
  <c r="FY493" i="21"/>
  <c r="GA493" i="21" s="1"/>
  <c r="Y482" i="21"/>
  <c r="EB485" i="21"/>
  <c r="EH485" i="21" s="1"/>
  <c r="CE487" i="21"/>
  <c r="CI487" i="21" s="1"/>
  <c r="CK487" i="21" s="1"/>
  <c r="BH492" i="21"/>
  <c r="M493" i="21"/>
  <c r="BF493" i="21" s="1"/>
  <c r="AX493" i="21"/>
  <c r="GA496" i="21"/>
  <c r="GB496" i="21" s="1"/>
  <c r="AZ491" i="21"/>
  <c r="BC491" i="21" s="1"/>
  <c r="DI494" i="21"/>
  <c r="AZ495" i="21"/>
  <c r="BC495" i="21" s="1"/>
  <c r="FZ272" i="20"/>
  <c r="BE364" i="20"/>
  <c r="L205" i="20"/>
  <c r="EA249" i="20"/>
  <c r="BE304" i="20"/>
  <c r="BB58" i="20"/>
  <c r="DY272" i="20"/>
  <c r="DY299" i="20"/>
  <c r="CH62" i="20"/>
  <c r="AK274" i="20"/>
  <c r="BA284" i="20"/>
  <c r="X269" i="20"/>
  <c r="EL269" i="20" s="1"/>
  <c r="EK323" i="20"/>
  <c r="DY378" i="20"/>
  <c r="DY441" i="20"/>
  <c r="CE483" i="20"/>
  <c r="CH188" i="20"/>
  <c r="CH195" i="20"/>
  <c r="L304" i="20"/>
  <c r="X255" i="20"/>
  <c r="Q266" i="20"/>
  <c r="DY342" i="20"/>
  <c r="BK116" i="20"/>
  <c r="DY392" i="20"/>
  <c r="DY418" i="20"/>
  <c r="BA370" i="20"/>
  <c r="T75" i="20"/>
  <c r="BK131" i="20"/>
  <c r="BE308" i="20"/>
  <c r="U93" i="20"/>
  <c r="CH175" i="20"/>
  <c r="Q206" i="20"/>
  <c r="EH22" i="20"/>
  <c r="BK129" i="20"/>
  <c r="CH178" i="20"/>
  <c r="U207" i="20"/>
  <c r="L242" i="20"/>
  <c r="AM242" i="20"/>
  <c r="H15" i="20"/>
  <c r="T156" i="20"/>
  <c r="CM182" i="20"/>
  <c r="CH184" i="20"/>
  <c r="CH217" i="20"/>
  <c r="AN242" i="20"/>
  <c r="DY294" i="20"/>
  <c r="J15" i="20"/>
  <c r="CH41" i="20"/>
  <c r="DY99" i="20"/>
  <c r="DY102" i="20"/>
  <c r="BA209" i="20"/>
  <c r="CD259" i="20"/>
  <c r="EA292" i="20"/>
  <c r="BA373" i="20"/>
  <c r="EK377" i="20"/>
  <c r="EK392" i="20"/>
  <c r="EK408" i="20"/>
  <c r="BK40" i="20"/>
  <c r="BL40" i="20" s="1"/>
  <c r="BN40" i="20" s="1"/>
  <c r="EA364" i="20"/>
  <c r="DL392" i="20"/>
  <c r="U398" i="20"/>
  <c r="U418" i="20"/>
  <c r="BR50" i="20"/>
  <c r="DZ50" i="20" s="1"/>
  <c r="EE51" i="20"/>
  <c r="N179" i="20"/>
  <c r="CH235" i="20"/>
  <c r="CH239" i="20"/>
  <c r="BA406" i="20"/>
  <c r="EK421" i="20"/>
  <c r="CH111" i="20"/>
  <c r="DL368" i="20"/>
  <c r="EK95" i="20"/>
  <c r="CH228" i="20"/>
  <c r="EA248" i="20"/>
  <c r="EA273" i="20"/>
  <c r="DY285" i="20"/>
  <c r="DL288" i="20"/>
  <c r="U346" i="20"/>
  <c r="U92" i="20"/>
  <c r="CH174" i="20"/>
  <c r="CH183" i="20"/>
  <c r="Q272" i="20"/>
  <c r="CA272" i="20" s="1"/>
  <c r="X282" i="20"/>
  <c r="EL282" i="20" s="1"/>
  <c r="EK282" i="20" s="1"/>
  <c r="FZ338" i="20"/>
  <c r="DY368" i="20"/>
  <c r="Q391" i="20"/>
  <c r="BR391" i="20" s="1"/>
  <c r="DZ391" i="20" s="1"/>
  <c r="L54" i="20"/>
  <c r="CH88" i="20"/>
  <c r="CH226" i="20"/>
  <c r="X295" i="20"/>
  <c r="EL295" i="20" s="1"/>
  <c r="Q378" i="20"/>
  <c r="BZ378" i="20" s="1"/>
  <c r="Q401" i="20"/>
  <c r="AL401" i="20" s="1"/>
  <c r="EH471" i="20"/>
  <c r="AY472" i="20"/>
  <c r="EH472" i="20"/>
  <c r="EH474" i="20"/>
  <c r="EH489" i="20"/>
  <c r="EH490" i="20"/>
  <c r="L100" i="20"/>
  <c r="U140" i="20"/>
  <c r="CA149" i="20"/>
  <c r="CH180" i="20"/>
  <c r="I279" i="20"/>
  <c r="EK294" i="20"/>
  <c r="CH400" i="20"/>
  <c r="U406" i="20"/>
  <c r="CB468" i="20"/>
  <c r="CB470" i="20"/>
  <c r="GA470" i="20"/>
  <c r="GA473" i="20"/>
  <c r="CB474" i="20"/>
  <c r="AX55" i="20"/>
  <c r="CM55" i="20" s="1"/>
  <c r="FG55" i="20" s="1"/>
  <c r="CH56" i="20"/>
  <c r="T161" i="20"/>
  <c r="BR178" i="20"/>
  <c r="DZ178" i="20" s="1"/>
  <c r="EB178" i="20" s="1"/>
  <c r="EH178" i="20" s="1"/>
  <c r="DM178" i="20" s="1"/>
  <c r="T216" i="20"/>
  <c r="BE282" i="20"/>
  <c r="CH295" i="20"/>
  <c r="I356" i="20"/>
  <c r="X356" i="20"/>
  <c r="EL356" i="20" s="1"/>
  <c r="EK356" i="20" s="1"/>
  <c r="DY398" i="20"/>
  <c r="DY406" i="20"/>
  <c r="BE426" i="20"/>
  <c r="DY432" i="20"/>
  <c r="BK23" i="20"/>
  <c r="BM23" i="20" s="1"/>
  <c r="DI115" i="20"/>
  <c r="BA165" i="20"/>
  <c r="FX282" i="20"/>
  <c r="AX396" i="20"/>
  <c r="CM396" i="20" s="1"/>
  <c r="FG396" i="20" s="1"/>
  <c r="AM425" i="20"/>
  <c r="AM433" i="20"/>
  <c r="DY444" i="20"/>
  <c r="CE473" i="20"/>
  <c r="BA91" i="20"/>
  <c r="BB91" i="20" s="1"/>
  <c r="U135" i="20"/>
  <c r="S195" i="20"/>
  <c r="AT195" i="20" s="1"/>
  <c r="DU195" i="20" s="1"/>
  <c r="AK251" i="20"/>
  <c r="U268" i="20"/>
  <c r="CH55" i="20"/>
  <c r="CH80" i="20"/>
  <c r="BK133" i="20"/>
  <c r="BA162" i="20"/>
  <c r="BB162" i="20" s="1"/>
  <c r="N173" i="20"/>
  <c r="AN214" i="20"/>
  <c r="T217" i="20"/>
  <c r="X227" i="20"/>
  <c r="CD256" i="20"/>
  <c r="CE256" i="20" s="1"/>
  <c r="AX271" i="20"/>
  <c r="I305" i="20"/>
  <c r="BE336" i="20"/>
  <c r="AK359" i="20"/>
  <c r="X432" i="20"/>
  <c r="EL432" i="20" s="1"/>
  <c r="EK432" i="20" s="1"/>
  <c r="CH449" i="20"/>
  <c r="CH46" i="20"/>
  <c r="U91" i="20"/>
  <c r="Q102" i="20"/>
  <c r="BZ102" i="20" s="1"/>
  <c r="I103" i="20"/>
  <c r="M103" i="20" s="1"/>
  <c r="X103" i="20"/>
  <c r="EL103" i="20" s="1"/>
  <c r="EK103" i="20" s="1"/>
  <c r="X108" i="20"/>
  <c r="U143" i="20"/>
  <c r="AK145" i="20"/>
  <c r="AM145" i="20" s="1"/>
  <c r="CF148" i="20"/>
  <c r="AQ163" i="20"/>
  <c r="N170" i="20"/>
  <c r="EE170" i="20" s="1"/>
  <c r="CH172" i="20"/>
  <c r="CH173" i="20"/>
  <c r="S199" i="20"/>
  <c r="CH199" i="20"/>
  <c r="U251" i="20"/>
  <c r="M318" i="20"/>
  <c r="CE333" i="20"/>
  <c r="BE417" i="20"/>
  <c r="EA424" i="20"/>
  <c r="EA426" i="20"/>
  <c r="FZ465" i="20"/>
  <c r="X475" i="20"/>
  <c r="CB496" i="20"/>
  <c r="CF439" i="20"/>
  <c r="BK27" i="20"/>
  <c r="BM27" i="20" s="1"/>
  <c r="BA99" i="20"/>
  <c r="AM177" i="20"/>
  <c r="CH182" i="20"/>
  <c r="EL185" i="20"/>
  <c r="EK185" i="20" s="1"/>
  <c r="L225" i="20"/>
  <c r="I236" i="20"/>
  <c r="M236" i="20" s="1"/>
  <c r="BF236" i="20" s="1"/>
  <c r="CO236" i="20" s="1"/>
  <c r="AK254" i="20"/>
  <c r="I306" i="20"/>
  <c r="BB306" i="20" s="1"/>
  <c r="EA420" i="20"/>
  <c r="X437" i="20"/>
  <c r="EL437" i="20" s="1"/>
  <c r="GA476" i="20"/>
  <c r="CB485" i="20"/>
  <c r="Y487" i="20"/>
  <c r="CA27" i="20"/>
  <c r="DJ57" i="20"/>
  <c r="CH67" i="20"/>
  <c r="BA76" i="20"/>
  <c r="BB76" i="20" s="1"/>
  <c r="CH77" i="20"/>
  <c r="BA97" i="20"/>
  <c r="DJ112" i="20"/>
  <c r="BZ114" i="20"/>
  <c r="CB114" i="20" s="1"/>
  <c r="CI114" i="20" s="1"/>
  <c r="CK114" i="20" s="1"/>
  <c r="CP114" i="20" s="1"/>
  <c r="FJ114" i="20" s="1"/>
  <c r="CA120" i="20"/>
  <c r="AX160" i="20"/>
  <c r="CH168" i="20"/>
  <c r="CA169" i="20"/>
  <c r="CH169" i="20"/>
  <c r="CH197" i="20"/>
  <c r="S205" i="20"/>
  <c r="AN205" i="20" s="1"/>
  <c r="CH209" i="20"/>
  <c r="CH214" i="20"/>
  <c r="AJ222" i="20"/>
  <c r="AM236" i="20"/>
  <c r="BE255" i="20"/>
  <c r="X264" i="20"/>
  <c r="EL264" i="20" s="1"/>
  <c r="DY266" i="20"/>
  <c r="X267" i="20"/>
  <c r="EL267" i="20" s="1"/>
  <c r="BA288" i="20"/>
  <c r="Q307" i="20"/>
  <c r="CA307" i="20" s="1"/>
  <c r="FZ330" i="20"/>
  <c r="DY373" i="20"/>
  <c r="U388" i="20"/>
  <c r="I419" i="20"/>
  <c r="DI419" i="20" s="1"/>
  <c r="X419" i="20"/>
  <c r="EL419" i="20" s="1"/>
  <c r="DY421" i="20"/>
  <c r="L441" i="20"/>
  <c r="CH467" i="20"/>
  <c r="CB489" i="20"/>
  <c r="CA23" i="20"/>
  <c r="L27" i="20"/>
  <c r="EE40" i="20"/>
  <c r="CH44" i="20"/>
  <c r="DJ53" i="20"/>
  <c r="DJ77" i="20"/>
  <c r="X110" i="20"/>
  <c r="EL110" i="20" s="1"/>
  <c r="EK110" i="20" s="1"/>
  <c r="EE112" i="20"/>
  <c r="U127" i="20"/>
  <c r="P159" i="20"/>
  <c r="DY159" i="20" s="1"/>
  <c r="AN218" i="20"/>
  <c r="AN225" i="20"/>
  <c r="EB233" i="20"/>
  <c r="EH233" i="20" s="1"/>
  <c r="AN236" i="20"/>
  <c r="DY255" i="20"/>
  <c r="H16" i="20"/>
  <c r="BE277" i="20"/>
  <c r="DY279" i="20"/>
  <c r="K15" i="20"/>
  <c r="Y332" i="20"/>
  <c r="DY333" i="20"/>
  <c r="DY349" i="20"/>
  <c r="BE354" i="20"/>
  <c r="DY370" i="20"/>
  <c r="L440" i="20"/>
  <c r="AX467" i="20"/>
  <c r="CH475" i="20"/>
  <c r="M496" i="20"/>
  <c r="FX20" i="20"/>
  <c r="DL28" i="20"/>
  <c r="DI44" i="20"/>
  <c r="BK46" i="20"/>
  <c r="BL46" i="20" s="1"/>
  <c r="BN46" i="20" s="1"/>
  <c r="BB68" i="20"/>
  <c r="BB87" i="20"/>
  <c r="CD100" i="20"/>
  <c r="CE100" i="20" s="1"/>
  <c r="DY103" i="20"/>
  <c r="X105" i="20"/>
  <c r="I136" i="20"/>
  <c r="DJ136" i="20" s="1"/>
  <c r="AX159" i="20"/>
  <c r="CH189" i="20"/>
  <c r="AK199" i="20"/>
  <c r="AM219" i="20"/>
  <c r="P246" i="20"/>
  <c r="DY246" i="20" s="1"/>
  <c r="DY260" i="20"/>
  <c r="DY262" i="20"/>
  <c r="BE309" i="20"/>
  <c r="DY318" i="20"/>
  <c r="AN330" i="20"/>
  <c r="BA344" i="20"/>
  <c r="CF378" i="20"/>
  <c r="CH378" i="20" s="1"/>
  <c r="I422" i="20"/>
  <c r="DI422" i="20" s="1"/>
  <c r="X422" i="20"/>
  <c r="EL422" i="20" s="1"/>
  <c r="EK422" i="20" s="1"/>
  <c r="AQ465" i="20"/>
  <c r="CA36" i="20"/>
  <c r="CB36" i="20" s="1"/>
  <c r="CA46" i="20"/>
  <c r="AK61" i="20"/>
  <c r="AM61" i="20" s="1"/>
  <c r="DJ63" i="20"/>
  <c r="X74" i="20"/>
  <c r="Y74" i="20" s="1"/>
  <c r="DT74" i="20" s="1"/>
  <c r="X78" i="20"/>
  <c r="EL78" i="20" s="1"/>
  <c r="EK78" i="20" s="1"/>
  <c r="X87" i="20"/>
  <c r="BK114" i="20"/>
  <c r="BZ117" i="20"/>
  <c r="BZ120" i="20"/>
  <c r="CH131" i="20"/>
  <c r="I132" i="20"/>
  <c r="DJ132" i="20" s="1"/>
  <c r="AN139" i="20"/>
  <c r="FX161" i="20"/>
  <c r="BE186" i="20"/>
  <c r="BF186" i="20" s="1"/>
  <c r="CO186" i="20" s="1"/>
  <c r="CH193" i="20"/>
  <c r="I199" i="20"/>
  <c r="M199" i="20" s="1"/>
  <c r="BF199" i="20" s="1"/>
  <c r="CO199" i="20" s="1"/>
  <c r="CH200" i="20"/>
  <c r="S203" i="20"/>
  <c r="Q211" i="20"/>
  <c r="BR211" i="20" s="1"/>
  <c r="DZ211" i="20" s="1"/>
  <c r="EB211" i="20" s="1"/>
  <c r="DY254" i="20"/>
  <c r="EK269" i="20"/>
  <c r="M476" i="20"/>
  <c r="BF476" i="20" s="1"/>
  <c r="DI1" i="20"/>
  <c r="CH20" i="20"/>
  <c r="DI27" i="20"/>
  <c r="X54" i="20"/>
  <c r="X60" i="20"/>
  <c r="EL60" i="20" s="1"/>
  <c r="EK60" i="20" s="1"/>
  <c r="U82" i="20"/>
  <c r="X94" i="20"/>
  <c r="EL94" i="20" s="1"/>
  <c r="CA125" i="20"/>
  <c r="I145" i="20"/>
  <c r="DJ145" i="20" s="1"/>
  <c r="AT156" i="20"/>
  <c r="DU156" i="20" s="1"/>
  <c r="CA243" i="20"/>
  <c r="L255" i="20"/>
  <c r="EK260" i="20"/>
  <c r="AN280" i="20"/>
  <c r="U322" i="20"/>
  <c r="DY323" i="20"/>
  <c r="BA365" i="20"/>
  <c r="L368" i="20"/>
  <c r="BA418" i="20"/>
  <c r="X431" i="20"/>
  <c r="EL431" i="20" s="1"/>
  <c r="BA433" i="20"/>
  <c r="X118" i="20"/>
  <c r="EL118" i="20" s="1"/>
  <c r="EK118" i="20" s="1"/>
  <c r="BA118" i="20"/>
  <c r="DL122" i="20"/>
  <c r="DI122" i="20"/>
  <c r="DI152" i="20"/>
  <c r="I152" i="20"/>
  <c r="DJ152" i="20" s="1"/>
  <c r="AM191" i="20"/>
  <c r="AK192" i="20"/>
  <c r="I192" i="20"/>
  <c r="AX192" i="20" s="1"/>
  <c r="I207" i="20"/>
  <c r="S207" i="20"/>
  <c r="AN207" i="20" s="1"/>
  <c r="CA266" i="20"/>
  <c r="FY266" i="20"/>
  <c r="BA383" i="20"/>
  <c r="X383" i="20"/>
  <c r="EL383" i="20" s="1"/>
  <c r="EK383" i="20" s="1"/>
  <c r="CH30" i="20"/>
  <c r="L39" i="20"/>
  <c r="DJ56" i="20"/>
  <c r="L57" i="20"/>
  <c r="DI63" i="20"/>
  <c r="U70" i="20"/>
  <c r="BB71" i="20"/>
  <c r="L73" i="20"/>
  <c r="L77" i="20"/>
  <c r="X85" i="20"/>
  <c r="EL85" i="20" s="1"/>
  <c r="EK85" i="20" s="1"/>
  <c r="U87" i="20"/>
  <c r="GA88" i="20"/>
  <c r="CS88" i="20" s="1"/>
  <c r="O91" i="20"/>
  <c r="BR91" i="20" s="1"/>
  <c r="DZ91" i="20" s="1"/>
  <c r="DL103" i="20"/>
  <c r="CA107" i="20"/>
  <c r="CH116" i="20"/>
  <c r="Q192" i="20"/>
  <c r="BR192" i="20" s="1"/>
  <c r="DZ192" i="20" s="1"/>
  <c r="EB192" i="20" s="1"/>
  <c r="FX192" i="20"/>
  <c r="CA223" i="20"/>
  <c r="BZ223" i="20"/>
  <c r="X276" i="20"/>
  <c r="EL276" i="20" s="1"/>
  <c r="BA276" i="20"/>
  <c r="AK383" i="20"/>
  <c r="I383" i="20"/>
  <c r="AX383" i="20" s="1"/>
  <c r="CM383" i="20" s="1"/>
  <c r="CD405" i="20"/>
  <c r="CE405" i="20" s="1"/>
  <c r="FX432" i="20"/>
  <c r="U432" i="20"/>
  <c r="AN26" i="20"/>
  <c r="FY28" i="20"/>
  <c r="AK29" i="20"/>
  <c r="AL29" i="20" s="1"/>
  <c r="DI30" i="20"/>
  <c r="L56" i="20"/>
  <c r="CH66" i="20"/>
  <c r="U81" i="20"/>
  <c r="FZ97" i="20"/>
  <c r="CH104" i="20"/>
  <c r="CF147" i="20"/>
  <c r="I149" i="20"/>
  <c r="DJ149" i="20" s="1"/>
  <c r="L149" i="20"/>
  <c r="AT155" i="20"/>
  <c r="DU155" i="20" s="1"/>
  <c r="FX163" i="20"/>
  <c r="GA163" i="20" s="1"/>
  <c r="BR163" i="20"/>
  <c r="DZ163" i="20" s="1"/>
  <c r="EB163" i="20" s="1"/>
  <c r="BE163" i="20"/>
  <c r="U163" i="20"/>
  <c r="AY163" i="20" s="1"/>
  <c r="CH176" i="20"/>
  <c r="DY265" i="20"/>
  <c r="EE396" i="20"/>
  <c r="I417" i="20"/>
  <c r="M417" i="20" s="1"/>
  <c r="AK417" i="20"/>
  <c r="GA76" i="20"/>
  <c r="CS76" i="20" s="1"/>
  <c r="FI76" i="20" s="1"/>
  <c r="DY97" i="20"/>
  <c r="DL128" i="20"/>
  <c r="I128" i="20"/>
  <c r="DJ128" i="20" s="1"/>
  <c r="V15" i="20"/>
  <c r="X233" i="20"/>
  <c r="Y233" i="20" s="1"/>
  <c r="BI233" i="20" s="1"/>
  <c r="BA233" i="20"/>
  <c r="AX244" i="20"/>
  <c r="CM244" i="20" s="1"/>
  <c r="P244" i="20"/>
  <c r="DY244" i="20" s="1"/>
  <c r="L336" i="20"/>
  <c r="BE448" i="20"/>
  <c r="G16" i="20"/>
  <c r="BR20" i="20"/>
  <c r="DZ20" i="20" s="1"/>
  <c r="EB20" i="20" s="1"/>
  <c r="EH20" i="20" s="1"/>
  <c r="DM20" i="20" s="1"/>
  <c r="L43" i="20"/>
  <c r="I48" i="20"/>
  <c r="AX48" i="20" s="1"/>
  <c r="CH53" i="20"/>
  <c r="X58" i="20"/>
  <c r="EL58" i="20" s="1"/>
  <c r="EK58" i="20" s="1"/>
  <c r="ET58" i="20" s="1"/>
  <c r="EU58" i="20" s="1"/>
  <c r="EV58" i="20" s="1"/>
  <c r="CH59" i="20"/>
  <c r="DJ75" i="20"/>
  <c r="CH92" i="20"/>
  <c r="L94" i="20"/>
  <c r="X106" i="20"/>
  <c r="EL106" i="20" s="1"/>
  <c r="EK106" i="20" s="1"/>
  <c r="ET106" i="20" s="1"/>
  <c r="BE116" i="20"/>
  <c r="BF116" i="20" s="1"/>
  <c r="CO116" i="20" s="1"/>
  <c r="FZ149" i="20"/>
  <c r="AJ149" i="20"/>
  <c r="X161" i="20"/>
  <c r="Y161" i="20" s="1"/>
  <c r="BI161" i="20" s="1"/>
  <c r="I165" i="20"/>
  <c r="S165" i="20"/>
  <c r="AM165" i="20"/>
  <c r="X167" i="20"/>
  <c r="EL167" i="20" s="1"/>
  <c r="EK167" i="20" s="1"/>
  <c r="EE173" i="20"/>
  <c r="AM232" i="20"/>
  <c r="DL232" i="20"/>
  <c r="AK349" i="20"/>
  <c r="I349" i="20"/>
  <c r="AX349" i="20" s="1"/>
  <c r="CM349" i="20" s="1"/>
  <c r="CA155" i="20"/>
  <c r="T155" i="20"/>
  <c r="CA162" i="20"/>
  <c r="T162" i="20"/>
  <c r="AM193" i="20"/>
  <c r="DL193" i="20"/>
  <c r="X216" i="20"/>
  <c r="Y216" i="20" s="1"/>
  <c r="BA216" i="20"/>
  <c r="M244" i="20"/>
  <c r="BA268" i="20"/>
  <c r="X268" i="20"/>
  <c r="EL268" i="20" s="1"/>
  <c r="EK268" i="20" s="1"/>
  <c r="BA297" i="20"/>
  <c r="X297" i="20"/>
  <c r="EL297" i="20" s="1"/>
  <c r="EK297" i="20" s="1"/>
  <c r="CF409" i="20"/>
  <c r="L409" i="20"/>
  <c r="J16" i="20"/>
  <c r="AN19" i="20"/>
  <c r="AQ19" i="20" s="1"/>
  <c r="BE20" i="20"/>
  <c r="BK24" i="20"/>
  <c r="BL24" i="20" s="1"/>
  <c r="BN24" i="20" s="1"/>
  <c r="CH25" i="20"/>
  <c r="DI26" i="20"/>
  <c r="FY32" i="20"/>
  <c r="BK44" i="20"/>
  <c r="BL44" i="20" s="1"/>
  <c r="BN44" i="20" s="1"/>
  <c r="FY51" i="20"/>
  <c r="AX57" i="20"/>
  <c r="CM57" i="20" s="1"/>
  <c r="FG57" i="20" s="1"/>
  <c r="BB62" i="20"/>
  <c r="AK73" i="20"/>
  <c r="AM73" i="20" s="1"/>
  <c r="DJ78" i="20"/>
  <c r="BB80" i="20"/>
  <c r="DJ89" i="20"/>
  <c r="FX114" i="20"/>
  <c r="BE114" i="20"/>
  <c r="BF114" i="20" s="1"/>
  <c r="CO114" i="20" s="1"/>
  <c r="CH126" i="20"/>
  <c r="AM168" i="20"/>
  <c r="U185" i="20"/>
  <c r="I193" i="20"/>
  <c r="BB193" i="20" s="1"/>
  <c r="Q197" i="20"/>
  <c r="CA197" i="20" s="1"/>
  <c r="U197" i="20"/>
  <c r="X206" i="20"/>
  <c r="EL206" i="20" s="1"/>
  <c r="EK206" i="20" s="1"/>
  <c r="AL229" i="20"/>
  <c r="EE233" i="20"/>
  <c r="AM233" i="20"/>
  <c r="AL233" i="20"/>
  <c r="L233" i="20"/>
  <c r="DL254" i="20"/>
  <c r="AM254" i="20"/>
  <c r="I303" i="20"/>
  <c r="L303" i="20"/>
  <c r="DY322" i="20"/>
  <c r="I424" i="20"/>
  <c r="DI424" i="20" s="1"/>
  <c r="AK424" i="20"/>
  <c r="DI490" i="20"/>
  <c r="AX490" i="20"/>
  <c r="G15" i="20"/>
  <c r="CA24" i="20"/>
  <c r="FY43" i="20"/>
  <c r="GA43" i="20" s="1"/>
  <c r="AK56" i="20"/>
  <c r="AM56" i="20" s="1"/>
  <c r="BB61" i="20"/>
  <c r="T66" i="20"/>
  <c r="CF95" i="20"/>
  <c r="FY133" i="20"/>
  <c r="GA133" i="20" s="1"/>
  <c r="CS133" i="20" s="1"/>
  <c r="U157" i="20"/>
  <c r="U162" i="20"/>
  <c r="Q203" i="20"/>
  <c r="BR203" i="20" s="1"/>
  <c r="DZ203" i="20" s="1"/>
  <c r="U203" i="20"/>
  <c r="CA229" i="20"/>
  <c r="FY229" i="20"/>
  <c r="GA229" i="20" s="1"/>
  <c r="BZ229" i="20"/>
  <c r="AM267" i="20"/>
  <c r="AK267" i="20"/>
  <c r="CD268" i="20"/>
  <c r="CE268" i="20" s="1"/>
  <c r="BE268" i="20"/>
  <c r="DY319" i="20"/>
  <c r="Q349" i="20"/>
  <c r="BR349" i="20" s="1"/>
  <c r="DZ349" i="20" s="1"/>
  <c r="EB349" i="20" s="1"/>
  <c r="EG349" i="20" s="1"/>
  <c r="Q370" i="20"/>
  <c r="AK402" i="20"/>
  <c r="I402" i="20"/>
  <c r="DI402" i="20" s="1"/>
  <c r="L421" i="20"/>
  <c r="Q322" i="20"/>
  <c r="CA322" i="20" s="1"/>
  <c r="Q332" i="20"/>
  <c r="BE351" i="20"/>
  <c r="AN384" i="20"/>
  <c r="CH404" i="20"/>
  <c r="Q437" i="20"/>
  <c r="FZ437" i="20"/>
  <c r="M447" i="20"/>
  <c r="AQ477" i="20"/>
  <c r="AR477" i="20" s="1"/>
  <c r="CE487" i="20"/>
  <c r="CE488" i="20"/>
  <c r="AY495" i="20"/>
  <c r="BH495" i="20" s="1"/>
  <c r="CH114" i="20"/>
  <c r="CH117" i="20"/>
  <c r="AN118" i="20"/>
  <c r="BB120" i="20"/>
  <c r="BZ125" i="20"/>
  <c r="T127" i="20"/>
  <c r="CA128" i="20"/>
  <c r="FY151" i="20"/>
  <c r="GA151" i="20" s="1"/>
  <c r="CS151" i="20" s="1"/>
  <c r="AT154" i="20"/>
  <c r="DU154" i="20" s="1"/>
  <c r="BB160" i="20"/>
  <c r="DI163" i="20"/>
  <c r="U177" i="20"/>
  <c r="CA181" i="20"/>
  <c r="BA191" i="20"/>
  <c r="CH194" i="20"/>
  <c r="CH203" i="20"/>
  <c r="CH216" i="20"/>
  <c r="AN232" i="20"/>
  <c r="EE242" i="20"/>
  <c r="CH243" i="20"/>
  <c r="DY252" i="20"/>
  <c r="U270" i="20"/>
  <c r="BA280" i="20"/>
  <c r="AN287" i="20"/>
  <c r="L288" i="20"/>
  <c r="CD291" i="20"/>
  <c r="CE291" i="20" s="1"/>
  <c r="DY292" i="20"/>
  <c r="CD294" i="20"/>
  <c r="CE294" i="20" s="1"/>
  <c r="CH305" i="20"/>
  <c r="BE322" i="20"/>
  <c r="DL326" i="20"/>
  <c r="L329" i="20"/>
  <c r="AM337" i="20"/>
  <c r="CD340" i="20"/>
  <c r="CE340" i="20" s="1"/>
  <c r="AM346" i="20"/>
  <c r="CH364" i="20"/>
  <c r="Q365" i="20"/>
  <c r="AM368" i="20"/>
  <c r="I377" i="20"/>
  <c r="DI377" i="20" s="1"/>
  <c r="DY380" i="20"/>
  <c r="Q388" i="20"/>
  <c r="U389" i="20"/>
  <c r="BE400" i="20"/>
  <c r="AN405" i="20"/>
  <c r="X407" i="20"/>
  <c r="CD411" i="20"/>
  <c r="CE411" i="20" s="1"/>
  <c r="X413" i="20"/>
  <c r="EL413" i="20" s="1"/>
  <c r="EK413" i="20" s="1"/>
  <c r="CH431" i="20"/>
  <c r="DY439" i="20"/>
  <c r="U444" i="20"/>
  <c r="X446" i="20"/>
  <c r="EL446" i="20" s="1"/>
  <c r="GA471" i="20"/>
  <c r="GA474" i="20"/>
  <c r="AX476" i="20"/>
  <c r="CE489" i="20"/>
  <c r="CB495" i="20"/>
  <c r="CF152" i="20"/>
  <c r="CH152" i="20" s="1"/>
  <c r="AT162" i="20"/>
  <c r="DU162" i="20" s="1"/>
  <c r="DR162" i="20" s="1"/>
  <c r="T170" i="20"/>
  <c r="FX245" i="20"/>
  <c r="CH258" i="20"/>
  <c r="DY259" i="20"/>
  <c r="DY277" i="20"/>
  <c r="DY280" i="20"/>
  <c r="Q282" i="20"/>
  <c r="DY301" i="20"/>
  <c r="AN318" i="20"/>
  <c r="DY340" i="20"/>
  <c r="EA342" i="20"/>
  <c r="Q345" i="20"/>
  <c r="CA345" i="20" s="1"/>
  <c r="Q346" i="20"/>
  <c r="DY354" i="20"/>
  <c r="EA357" i="20"/>
  <c r="DY358" i="20"/>
  <c r="DY365" i="20"/>
  <c r="Y371" i="20"/>
  <c r="BI371" i="20" s="1"/>
  <c r="L373" i="20"/>
  <c r="EK380" i="20"/>
  <c r="BA388" i="20"/>
  <c r="L395" i="20"/>
  <c r="AN396" i="20"/>
  <c r="DL406" i="20"/>
  <c r="AN411" i="20"/>
  <c r="AN437" i="20"/>
  <c r="DY438" i="20"/>
  <c r="CH465" i="20"/>
  <c r="EH476" i="20"/>
  <c r="AY478" i="20"/>
  <c r="BH478" i="20" s="1"/>
  <c r="AY479" i="20"/>
  <c r="AZ479" i="20" s="1"/>
  <c r="EH479" i="20"/>
  <c r="AY480" i="20"/>
  <c r="AZ480" i="20" s="1"/>
  <c r="EH480" i="20"/>
  <c r="AY482" i="20"/>
  <c r="AY485" i="20"/>
  <c r="AY486" i="20"/>
  <c r="AZ486" i="20" s="1"/>
  <c r="AY487" i="20"/>
  <c r="AZ487" i="20" s="1"/>
  <c r="AX489" i="20"/>
  <c r="CH120" i="20"/>
  <c r="CH133" i="20"/>
  <c r="CH138" i="20"/>
  <c r="CH141" i="20"/>
  <c r="EE149" i="20"/>
  <c r="CH157" i="20"/>
  <c r="CH159" i="20"/>
  <c r="CH165" i="20"/>
  <c r="CH170" i="20"/>
  <c r="EE199" i="20"/>
  <c r="AL201" i="20"/>
  <c r="CH201" i="20"/>
  <c r="I205" i="20"/>
  <c r="CH207" i="20"/>
  <c r="CH208" i="20"/>
  <c r="AN212" i="20"/>
  <c r="AL216" i="20"/>
  <c r="CH220" i="20"/>
  <c r="L254" i="20"/>
  <c r="EA296" i="20"/>
  <c r="Q300" i="20"/>
  <c r="FZ304" i="20"/>
  <c r="X310" i="20"/>
  <c r="EL310" i="20" s="1"/>
  <c r="EK310" i="20" s="1"/>
  <c r="I316" i="20"/>
  <c r="EA323" i="20"/>
  <c r="EK332" i="20"/>
  <c r="X337" i="20"/>
  <c r="EL337" i="20" s="1"/>
  <c r="EK337" i="20" s="1"/>
  <c r="BE339" i="20"/>
  <c r="X348" i="20"/>
  <c r="EL348" i="20" s="1"/>
  <c r="EK348" i="20" s="1"/>
  <c r="BE357" i="20"/>
  <c r="DY364" i="20"/>
  <c r="EK369" i="20"/>
  <c r="M382" i="20"/>
  <c r="DY388" i="20"/>
  <c r="CH394" i="20"/>
  <c r="BE408" i="20"/>
  <c r="U421" i="20"/>
  <c r="CE426" i="20"/>
  <c r="CF426" i="20"/>
  <c r="CH426" i="20" s="1"/>
  <c r="CD429" i="20"/>
  <c r="L439" i="20"/>
  <c r="GA477" i="20"/>
  <c r="CB478" i="20"/>
  <c r="CB480" i="20"/>
  <c r="CB481" i="20"/>
  <c r="GA483" i="20"/>
  <c r="BB186" i="20"/>
  <c r="CD248" i="20"/>
  <c r="CE248" i="20" s="1"/>
  <c r="EE254" i="20"/>
  <c r="DY283" i="20"/>
  <c r="BB295" i="20"/>
  <c r="EK295" i="20"/>
  <c r="AN329" i="20"/>
  <c r="DY343" i="20"/>
  <c r="DY346" i="20"/>
  <c r="DY357" i="20"/>
  <c r="L362" i="20"/>
  <c r="EK365" i="20"/>
  <c r="AN378" i="20"/>
  <c r="U383" i="20"/>
  <c r="CD383" i="20"/>
  <c r="FX388" i="20"/>
  <c r="X391" i="20"/>
  <c r="EL391" i="20" s="1"/>
  <c r="EK391" i="20" s="1"/>
  <c r="EA394" i="20"/>
  <c r="DY403" i="20"/>
  <c r="DY408" i="20"/>
  <c r="EA425" i="20"/>
  <c r="EK436" i="20"/>
  <c r="EK438" i="20"/>
  <c r="ET438" i="20" s="1"/>
  <c r="EU438" i="20" s="1"/>
  <c r="EV438" i="20" s="1"/>
  <c r="BE439" i="20"/>
  <c r="DY445" i="20"/>
  <c r="GA466" i="20"/>
  <c r="AY471" i="20"/>
  <c r="BH471" i="20" s="1"/>
  <c r="AX471" i="20"/>
  <c r="CH476" i="20"/>
  <c r="CB488" i="20"/>
  <c r="GA488" i="20"/>
  <c r="AY491" i="20"/>
  <c r="M493" i="20"/>
  <c r="CA112" i="20"/>
  <c r="CH119" i="20"/>
  <c r="BE135" i="20"/>
  <c r="CH137" i="20"/>
  <c r="BK140" i="20"/>
  <c r="BM140" i="20" s="1"/>
  <c r="BE146" i="20"/>
  <c r="BF146" i="20" s="1"/>
  <c r="CO146" i="20" s="1"/>
  <c r="DY152" i="20"/>
  <c r="BR161" i="20"/>
  <c r="DZ161" i="20" s="1"/>
  <c r="EB161" i="20" s="1"/>
  <c r="AM181" i="20"/>
  <c r="L195" i="20"/>
  <c r="L199" i="20"/>
  <c r="I203" i="20"/>
  <c r="P203" i="20" s="1"/>
  <c r="DY203" i="20" s="1"/>
  <c r="CH205" i="20"/>
  <c r="X208" i="20"/>
  <c r="Y208" i="20" s="1"/>
  <c r="U211" i="20"/>
  <c r="L219" i="20"/>
  <c r="T235" i="20"/>
  <c r="AY235" i="20" s="1"/>
  <c r="I242" i="20"/>
  <c r="AX242" i="20" s="1"/>
  <c r="BR243" i="20"/>
  <c r="DZ243" i="20" s="1"/>
  <c r="EB243" i="20" s="1"/>
  <c r="X247" i="20"/>
  <c r="EL247" i="20" s="1"/>
  <c r="EK247" i="20" s="1"/>
  <c r="EA252" i="20"/>
  <c r="BE254" i="20"/>
  <c r="CD254" i="20"/>
  <c r="CE254" i="20" s="1"/>
  <c r="U266" i="20"/>
  <c r="DY300" i="20"/>
  <c r="U304" i="20"/>
  <c r="CD307" i="20"/>
  <c r="CE307" i="20" s="1"/>
  <c r="DL309" i="20"/>
  <c r="Q316" i="20"/>
  <c r="BR316" i="20" s="1"/>
  <c r="DZ316" i="20" s="1"/>
  <c r="DY326" i="20"/>
  <c r="EE330" i="20"/>
  <c r="AM330" i="20"/>
  <c r="CH338" i="20"/>
  <c r="X358" i="20"/>
  <c r="EL358" i="20" s="1"/>
  <c r="U364" i="20"/>
  <c r="Q383" i="20"/>
  <c r="BR383" i="20" s="1"/>
  <c r="DZ383" i="20" s="1"/>
  <c r="BE386" i="20"/>
  <c r="U401" i="20"/>
  <c r="EK437" i="20"/>
  <c r="FZ448" i="20"/>
  <c r="CE476" i="20"/>
  <c r="CE484" i="20"/>
  <c r="AQ492" i="20"/>
  <c r="AR492" i="20" s="1"/>
  <c r="BK81" i="20"/>
  <c r="BM81" i="20" s="1"/>
  <c r="CA81" i="20"/>
  <c r="S197" i="20"/>
  <c r="AN197" i="20" s="1"/>
  <c r="I197" i="20"/>
  <c r="BB197" i="20" s="1"/>
  <c r="L19" i="20"/>
  <c r="AT19" i="20"/>
  <c r="DU19" i="20" s="1"/>
  <c r="BR21" i="20"/>
  <c r="DZ21" i="20" s="1"/>
  <c r="EB21" i="20" s="1"/>
  <c r="EH21" i="20" s="1"/>
  <c r="DM21" i="20" s="1"/>
  <c r="FX21" i="20"/>
  <c r="GA21" i="20" s="1"/>
  <c r="EE22" i="20"/>
  <c r="EE23" i="20"/>
  <c r="FY24" i="20"/>
  <c r="BK36" i="20"/>
  <c r="BM36" i="20" s="1"/>
  <c r="EE47" i="20"/>
  <c r="CA48" i="20"/>
  <c r="BB54" i="20"/>
  <c r="CH57" i="20"/>
  <c r="AK65" i="20"/>
  <c r="AM65" i="20" s="1"/>
  <c r="BA67" i="20"/>
  <c r="BB67" i="20" s="1"/>
  <c r="CH76" i="20"/>
  <c r="CH91" i="20"/>
  <c r="U97" i="20"/>
  <c r="CF97" i="20"/>
  <c r="BA100" i="20"/>
  <c r="AN112" i="20"/>
  <c r="DL123" i="20"/>
  <c r="I123" i="20"/>
  <c r="DJ123" i="20" s="1"/>
  <c r="CH129" i="20"/>
  <c r="FX133" i="20"/>
  <c r="BR133" i="20"/>
  <c r="DZ133" i="20" s="1"/>
  <c r="EB133" i="20" s="1"/>
  <c r="BE133" i="20"/>
  <c r="M161" i="20"/>
  <c r="P161" i="20"/>
  <c r="DY161" i="20" s="1"/>
  <c r="BR175" i="20"/>
  <c r="DZ175" i="20" s="1"/>
  <c r="EB175" i="20" s="1"/>
  <c r="EH175" i="20" s="1"/>
  <c r="DM175" i="20" s="1"/>
  <c r="FY175" i="20"/>
  <c r="BR184" i="20"/>
  <c r="DZ184" i="20" s="1"/>
  <c r="EB184" i="20" s="1"/>
  <c r="EH184" i="20" s="1"/>
  <c r="FY184" i="20"/>
  <c r="DI148" i="20"/>
  <c r="I148" i="20"/>
  <c r="DJ148" i="20" s="1"/>
  <c r="BE21" i="20"/>
  <c r="CH34" i="20"/>
  <c r="DI42" i="20"/>
  <c r="DJ52" i="20"/>
  <c r="CH52" i="20"/>
  <c r="DJ66" i="20"/>
  <c r="DJ68" i="20"/>
  <c r="DJ74" i="20"/>
  <c r="CH78" i="20"/>
  <c r="T81" i="20"/>
  <c r="BE81" i="20" s="1"/>
  <c r="BF81" i="20" s="1"/>
  <c r="CO81" i="20" s="1"/>
  <c r="CH97" i="20"/>
  <c r="GA110" i="20"/>
  <c r="FX124" i="20"/>
  <c r="U124" i="20"/>
  <c r="AY124" i="20" s="1"/>
  <c r="AZ124" i="20" s="1"/>
  <c r="FY137" i="20"/>
  <c r="BE137" i="20"/>
  <c r="BF137" i="20" s="1"/>
  <c r="CO137" i="20" s="1"/>
  <c r="BA153" i="20"/>
  <c r="BB153" i="20" s="1"/>
  <c r="X153" i="20"/>
  <c r="Y153" i="20" s="1"/>
  <c r="BI153" i="20" s="1"/>
  <c r="BA204" i="20"/>
  <c r="X204" i="20"/>
  <c r="EL204" i="20" s="1"/>
  <c r="EK204" i="20" s="1"/>
  <c r="U256" i="20"/>
  <c r="CF256" i="20"/>
  <c r="CH256" i="20" s="1"/>
  <c r="BZ21" i="20"/>
  <c r="CB21" i="20" s="1"/>
  <c r="U21" i="20"/>
  <c r="AY21" i="20" s="1"/>
  <c r="AZ21" i="20" s="1"/>
  <c r="EE24" i="20"/>
  <c r="BE34" i="20"/>
  <c r="L35" i="20"/>
  <c r="DI35" i="20"/>
  <c r="DL38" i="20"/>
  <c r="DL42" i="20"/>
  <c r="BE47" i="20"/>
  <c r="CH54" i="20"/>
  <c r="X56" i="20"/>
  <c r="Y56" i="20" s="1"/>
  <c r="DJ60" i="20"/>
  <c r="X71" i="20"/>
  <c r="Y71" i="20" s="1"/>
  <c r="DT71" i="20" s="1"/>
  <c r="X73" i="20"/>
  <c r="EL73" i="20" s="1"/>
  <c r="EK73" i="20" s="1"/>
  <c r="DI73" i="20"/>
  <c r="AK75" i="20"/>
  <c r="AM75" i="20" s="1"/>
  <c r="DI76" i="20"/>
  <c r="X80" i="20"/>
  <c r="EL80" i="20" s="1"/>
  <c r="EK80" i="20" s="1"/>
  <c r="CH82" i="20"/>
  <c r="U83" i="20"/>
  <c r="BB85" i="20"/>
  <c r="CH89" i="20"/>
  <c r="DI91" i="20"/>
  <c r="O92" i="20"/>
  <c r="BR92" i="20" s="1"/>
  <c r="DZ92" i="20" s="1"/>
  <c r="EB92" i="20" s="1"/>
  <c r="O93" i="20"/>
  <c r="BA95" i="20"/>
  <c r="DL97" i="20"/>
  <c r="EK97" i="20"/>
  <c r="FZ100" i="20"/>
  <c r="O104" i="20"/>
  <c r="CA104" i="20" s="1"/>
  <c r="DJ109" i="20"/>
  <c r="BE112" i="20"/>
  <c r="BF112" i="20" s="1"/>
  <c r="CO112" i="20" s="1"/>
  <c r="CA114" i="20"/>
  <c r="FY114" i="20"/>
  <c r="GA114" i="20" s="1"/>
  <c r="CS114" i="20" s="1"/>
  <c r="EE118" i="20"/>
  <c r="X198" i="20"/>
  <c r="EL198" i="20" s="1"/>
  <c r="EK198" i="20" s="1"/>
  <c r="BA198" i="20"/>
  <c r="EE215" i="20"/>
  <c r="AM215" i="20"/>
  <c r="DL215" i="20"/>
  <c r="I215" i="20"/>
  <c r="BA266" i="20"/>
  <c r="X266" i="20"/>
  <c r="EL266" i="20" s="1"/>
  <c r="EK266" i="20" s="1"/>
  <c r="GA20" i="20"/>
  <c r="EE27" i="20"/>
  <c r="AN30" i="20"/>
  <c r="DL35" i="20"/>
  <c r="AN44" i="20"/>
  <c r="AK71" i="20"/>
  <c r="AM71" i="20" s="1"/>
  <c r="BZ74" i="20"/>
  <c r="DJ91" i="20"/>
  <c r="DJ92" i="20"/>
  <c r="U103" i="20"/>
  <c r="DJ111" i="20"/>
  <c r="X119" i="20"/>
  <c r="Y119" i="20" s="1"/>
  <c r="BA119" i="20"/>
  <c r="BB119" i="20" s="1"/>
  <c r="BA147" i="20"/>
  <c r="BB147" i="20" s="1"/>
  <c r="X147" i="20"/>
  <c r="EL147" i="20" s="1"/>
  <c r="EK147" i="20" s="1"/>
  <c r="X163" i="20"/>
  <c r="Y163" i="20" s="1"/>
  <c r="BI163" i="20" s="1"/>
  <c r="BA163" i="20"/>
  <c r="BB163" i="20" s="1"/>
  <c r="CA224" i="20"/>
  <c r="BZ224" i="20"/>
  <c r="DI19" i="20"/>
  <c r="BZ20" i="20"/>
  <c r="CB20" i="20" s="1"/>
  <c r="L22" i="20"/>
  <c r="BE23" i="20"/>
  <c r="BE26" i="20"/>
  <c r="I27" i="20"/>
  <c r="M27" i="20" s="1"/>
  <c r="BR30" i="20"/>
  <c r="DZ30" i="20" s="1"/>
  <c r="EB30" i="20" s="1"/>
  <c r="EH30" i="20" s="1"/>
  <c r="DM30" i="20" s="1"/>
  <c r="I32" i="20"/>
  <c r="BK38" i="20"/>
  <c r="BL38" i="20" s="1"/>
  <c r="BN38" i="20" s="1"/>
  <c r="X42" i="20"/>
  <c r="BR46" i="20"/>
  <c r="DZ46" i="20" s="1"/>
  <c r="EB46" i="20" s="1"/>
  <c r="EH46" i="20" s="1"/>
  <c r="DM46" i="20" s="1"/>
  <c r="EE46" i="20"/>
  <c r="BB53" i="20"/>
  <c r="CH60" i="20"/>
  <c r="CH86" i="20"/>
  <c r="CH87" i="20"/>
  <c r="DI104" i="20"/>
  <c r="BB105" i="20"/>
  <c r="BZ121" i="20"/>
  <c r="CA121" i="20"/>
  <c r="BK121" i="20"/>
  <c r="BM121" i="20" s="1"/>
  <c r="BB141" i="20"/>
  <c r="CA142" i="20"/>
  <c r="AK143" i="20"/>
  <c r="AM143" i="20" s="1"/>
  <c r="DL143" i="20"/>
  <c r="I143" i="20"/>
  <c r="DJ143" i="20" s="1"/>
  <c r="BE176" i="20"/>
  <c r="U176" i="20"/>
  <c r="T176" i="20"/>
  <c r="DL197" i="20"/>
  <c r="DL19" i="20"/>
  <c r="AK34" i="20"/>
  <c r="AL34" i="20" s="1"/>
  <c r="EE34" i="20"/>
  <c r="FY37" i="20"/>
  <c r="CA38" i="20"/>
  <c r="BZ45" i="20"/>
  <c r="BK48" i="20"/>
  <c r="BL48" i="20" s="1"/>
  <c r="BN48" i="20" s="1"/>
  <c r="AX53" i="20"/>
  <c r="CM53" i="20" s="1"/>
  <c r="U62" i="20"/>
  <c r="BB69" i="20"/>
  <c r="BB83" i="20"/>
  <c r="BB111" i="20"/>
  <c r="CA113" i="20"/>
  <c r="DJ116" i="20"/>
  <c r="EY116" i="20" s="1"/>
  <c r="EZ116" i="20" s="1"/>
  <c r="AX116" i="20"/>
  <c r="CM116" i="20" s="1"/>
  <c r="FG116" i="20" s="1"/>
  <c r="EE117" i="20"/>
  <c r="I135" i="20"/>
  <c r="DJ135" i="20" s="1"/>
  <c r="EE135" i="20"/>
  <c r="BR137" i="20"/>
  <c r="DZ137" i="20" s="1"/>
  <c r="EB137" i="20" s="1"/>
  <c r="FX180" i="20"/>
  <c r="U180" i="20"/>
  <c r="BE180" i="20"/>
  <c r="EY112" i="20"/>
  <c r="CH21" i="20"/>
  <c r="FX25" i="20"/>
  <c r="L30" i="20"/>
  <c r="L31" i="20"/>
  <c r="DL31" i="20"/>
  <c r="BR34" i="20"/>
  <c r="DZ34" i="20" s="1"/>
  <c r="EB34" i="20" s="1"/>
  <c r="EH34" i="20" s="1"/>
  <c r="DM34" i="20" s="1"/>
  <c r="DL40" i="20"/>
  <c r="I44" i="20"/>
  <c r="BR48" i="20"/>
  <c r="DZ48" i="20" s="1"/>
  <c r="EB48" i="20" s="1"/>
  <c r="EH48" i="20" s="1"/>
  <c r="FY49" i="20"/>
  <c r="X52" i="20"/>
  <c r="O62" i="20"/>
  <c r="CA62" i="20" s="1"/>
  <c r="X64" i="20"/>
  <c r="EL64" i="20" s="1"/>
  <c r="EK64" i="20" s="1"/>
  <c r="BB66" i="20"/>
  <c r="AX68" i="20"/>
  <c r="CM68" i="20" s="1"/>
  <c r="FG68" i="20" s="1"/>
  <c r="X69" i="20"/>
  <c r="EL69" i="20" s="1"/>
  <c r="EK69" i="20" s="1"/>
  <c r="CH71" i="20"/>
  <c r="DJ72" i="20"/>
  <c r="L76" i="20"/>
  <c r="X83" i="20"/>
  <c r="EL83" i="20" s="1"/>
  <c r="EK83" i="20" s="1"/>
  <c r="CH84" i="20"/>
  <c r="BA93" i="20"/>
  <c r="BB93" i="20" s="1"/>
  <c r="FY107" i="20"/>
  <c r="GA107" i="20" s="1"/>
  <c r="FX112" i="20"/>
  <c r="EE116" i="20"/>
  <c r="AK123" i="20"/>
  <c r="AM123" i="20" s="1"/>
  <c r="DL125" i="20"/>
  <c r="EE125" i="20"/>
  <c r="DL130" i="20"/>
  <c r="DI130" i="20"/>
  <c r="ET130" i="20" s="1"/>
  <c r="EU130" i="20" s="1"/>
  <c r="EV130" i="20" s="1"/>
  <c r="CH136" i="20"/>
  <c r="DL138" i="20"/>
  <c r="I138" i="20"/>
  <c r="BB138" i="20" s="1"/>
  <c r="FX182" i="20"/>
  <c r="U182" i="20"/>
  <c r="S190" i="20"/>
  <c r="AN190" i="20" s="1"/>
  <c r="AK190" i="20"/>
  <c r="L190" i="20"/>
  <c r="I190" i="20"/>
  <c r="AX190" i="20" s="1"/>
  <c r="CM190" i="20" s="1"/>
  <c r="BR124" i="20"/>
  <c r="DZ124" i="20" s="1"/>
  <c r="EB124" i="20" s="1"/>
  <c r="CH124" i="20"/>
  <c r="AK132" i="20"/>
  <c r="AM132" i="20" s="1"/>
  <c r="BZ142" i="20"/>
  <c r="CA146" i="20"/>
  <c r="BK150" i="20"/>
  <c r="AQ153" i="20"/>
  <c r="U154" i="20"/>
  <c r="FX154" i="20"/>
  <c r="GA154" i="20" s="1"/>
  <c r="U155" i="20"/>
  <c r="FX155" i="20"/>
  <c r="GA155" i="20" s="1"/>
  <c r="CH160" i="20"/>
  <c r="BF163" i="20"/>
  <c r="BR166" i="20"/>
  <c r="DZ166" i="20" s="1"/>
  <c r="EB166" i="20" s="1"/>
  <c r="AN213" i="20"/>
  <c r="T241" i="20"/>
  <c r="BZ241" i="20"/>
  <c r="CB241" i="20" s="1"/>
  <c r="L253" i="20"/>
  <c r="U253" i="20"/>
  <c r="CF254" i="20"/>
  <c r="CE266" i="20"/>
  <c r="U267" i="20"/>
  <c r="U269" i="20"/>
  <c r="DY271" i="20"/>
  <c r="Y395" i="20"/>
  <c r="DT395" i="20" s="1"/>
  <c r="EL395" i="20"/>
  <c r="EK395" i="20" s="1"/>
  <c r="X122" i="20"/>
  <c r="DI126" i="20"/>
  <c r="ET126" i="20" s="1"/>
  <c r="EU126" i="20" s="1"/>
  <c r="EV126" i="20" s="1"/>
  <c r="FY127" i="20"/>
  <c r="GA127" i="20" s="1"/>
  <c r="CS127" i="20" s="1"/>
  <c r="AK136" i="20"/>
  <c r="FY143" i="20"/>
  <c r="U146" i="20"/>
  <c r="L147" i="20"/>
  <c r="X148" i="20"/>
  <c r="EL148" i="20" s="1"/>
  <c r="L151" i="20"/>
  <c r="BZ151" i="20"/>
  <c r="CD152" i="20"/>
  <c r="CE152" i="20" s="1"/>
  <c r="BE154" i="20"/>
  <c r="BE155" i="20"/>
  <c r="BB156" i="20"/>
  <c r="AT157" i="20"/>
  <c r="DU157" i="20" s="1"/>
  <c r="AT161" i="20"/>
  <c r="DU161" i="20" s="1"/>
  <c r="CH162" i="20"/>
  <c r="U166" i="20"/>
  <c r="I167" i="20"/>
  <c r="DI167" i="20" s="1"/>
  <c r="U170" i="20"/>
  <c r="I174" i="20"/>
  <c r="BB174" i="20" s="1"/>
  <c r="X174" i="20"/>
  <c r="BZ176" i="20"/>
  <c r="BA176" i="20"/>
  <c r="I183" i="20"/>
  <c r="X183" i="20"/>
  <c r="BA185" i="20"/>
  <c r="BB185" i="20" s="1"/>
  <c r="X187" i="20"/>
  <c r="Y187" i="20" s="1"/>
  <c r="I195" i="20"/>
  <c r="BB195" i="20" s="1"/>
  <c r="AK195" i="20"/>
  <c r="FX197" i="20"/>
  <c r="X201" i="20"/>
  <c r="Y201" i="20" s="1"/>
  <c r="DT201" i="20" s="1"/>
  <c r="X202" i="20"/>
  <c r="BA212" i="20"/>
  <c r="EE212" i="20"/>
  <c r="BZ220" i="20"/>
  <c r="AK223" i="20"/>
  <c r="AJ223" i="20" s="1"/>
  <c r="L228" i="20"/>
  <c r="AK228" i="20"/>
  <c r="AJ228" i="20" s="1"/>
  <c r="CH229" i="20"/>
  <c r="CH234" i="20"/>
  <c r="BA239" i="20"/>
  <c r="I243" i="20"/>
  <c r="DI243" i="20" s="1"/>
  <c r="AL243" i="20"/>
  <c r="CH247" i="20"/>
  <c r="DY250" i="20"/>
  <c r="L252" i="20"/>
  <c r="I253" i="20"/>
  <c r="U254" i="20"/>
  <c r="BA260" i="20"/>
  <c r="CH262" i="20"/>
  <c r="U262" i="20"/>
  <c r="EK264" i="20"/>
  <c r="FZ265" i="20"/>
  <c r="DL267" i="20"/>
  <c r="DY268" i="20"/>
  <c r="DY269" i="20"/>
  <c r="CE283" i="20"/>
  <c r="AK118" i="20"/>
  <c r="AM118" i="20" s="1"/>
  <c r="T124" i="20"/>
  <c r="I126" i="20"/>
  <c r="BB126" i="20" s="1"/>
  <c r="AK126" i="20"/>
  <c r="AM126" i="20" s="1"/>
  <c r="CH132" i="20"/>
  <c r="AJ147" i="20"/>
  <c r="X149" i="20"/>
  <c r="EL149" i="20" s="1"/>
  <c r="EK149" i="20" s="1"/>
  <c r="ET149" i="20" s="1"/>
  <c r="EU149" i="20" s="1"/>
  <c r="EV149" i="20" s="1"/>
  <c r="I150" i="20"/>
  <c r="M150" i="20" s="1"/>
  <c r="CA151" i="20"/>
  <c r="BB155" i="20"/>
  <c r="CH156" i="20"/>
  <c r="AQ157" i="20"/>
  <c r="GA160" i="20"/>
  <c r="DI160" i="20"/>
  <c r="AQ161" i="20"/>
  <c r="DL168" i="20"/>
  <c r="L174" i="20"/>
  <c r="X175" i="20"/>
  <c r="BR176" i="20"/>
  <c r="DZ176" i="20" s="1"/>
  <c r="EB176" i="20" s="1"/>
  <c r="EH176" i="20" s="1"/>
  <c r="DM176" i="20" s="1"/>
  <c r="I181" i="20"/>
  <c r="M181" i="20" s="1"/>
  <c r="L183" i="20"/>
  <c r="DL199" i="20"/>
  <c r="DL205" i="20"/>
  <c r="DL207" i="20"/>
  <c r="BZ226" i="20"/>
  <c r="GA228" i="20"/>
  <c r="FY233" i="20"/>
  <c r="GA233" i="20" s="1"/>
  <c r="CS233" i="20" s="1"/>
  <c r="CH236" i="20"/>
  <c r="DL243" i="20"/>
  <c r="EE249" i="20"/>
  <c r="DY257" i="20"/>
  <c r="CH264" i="20"/>
  <c r="BE266" i="20"/>
  <c r="L270" i="20"/>
  <c r="X271" i="20"/>
  <c r="EL271" i="20" s="1"/>
  <c r="EK271" i="20" s="1"/>
  <c r="BA271" i="20"/>
  <c r="DJ118" i="20"/>
  <c r="BR120" i="20"/>
  <c r="DZ120" i="20" s="1"/>
  <c r="EB120" i="20" s="1"/>
  <c r="AK128" i="20"/>
  <c r="AM128" i="20" s="1"/>
  <c r="BB143" i="20"/>
  <c r="CH144" i="20"/>
  <c r="CH147" i="20"/>
  <c r="EE148" i="20"/>
  <c r="CH154" i="20"/>
  <c r="CH158" i="20"/>
  <c r="P160" i="20"/>
  <c r="DY160" i="20" s="1"/>
  <c r="AK168" i="20"/>
  <c r="AK181" i="20"/>
  <c r="AJ181" i="20" s="1"/>
  <c r="CH185" i="20"/>
  <c r="BA190" i="20"/>
  <c r="AK210" i="20"/>
  <c r="EE210" i="20"/>
  <c r="AJ219" i="20"/>
  <c r="EE223" i="20"/>
  <c r="I225" i="20"/>
  <c r="AX225" i="20" s="1"/>
  <c r="AN228" i="20"/>
  <c r="I233" i="20"/>
  <c r="DI233" i="20" s="1"/>
  <c r="CH233" i="20"/>
  <c r="AN240" i="20"/>
  <c r="CH246" i="20"/>
  <c r="U260" i="20"/>
  <c r="CF260" i="20"/>
  <c r="CH260" i="20" s="1"/>
  <c r="X262" i="20"/>
  <c r="EL262" i="20" s="1"/>
  <c r="EK262" i="20" s="1"/>
  <c r="L264" i="20"/>
  <c r="FZ264" i="20"/>
  <c r="BE267" i="20"/>
  <c r="I270" i="20"/>
  <c r="AX270" i="20" s="1"/>
  <c r="CM270" i="20" s="1"/>
  <c r="CH274" i="20"/>
  <c r="AK275" i="20"/>
  <c r="L275" i="20"/>
  <c r="FY188" i="20"/>
  <c r="Q252" i="20"/>
  <c r="BZ252" i="20" s="1"/>
  <c r="CH259" i="20"/>
  <c r="AM271" i="20"/>
  <c r="FX283" i="20"/>
  <c r="Q283" i="20"/>
  <c r="CA283" i="20" s="1"/>
  <c r="I289" i="20"/>
  <c r="AX289" i="20" s="1"/>
  <c r="CM289" i="20" s="1"/>
  <c r="AK289" i="20"/>
  <c r="CA133" i="20"/>
  <c r="DL139" i="20"/>
  <c r="BE145" i="20"/>
  <c r="BF145" i="20" s="1"/>
  <c r="CO145" i="20" s="1"/>
  <c r="DI147" i="20"/>
  <c r="ET147" i="20" s="1"/>
  <c r="EU147" i="20" s="1"/>
  <c r="EV147" i="20" s="1"/>
  <c r="BZ152" i="20"/>
  <c r="CH153" i="20"/>
  <c r="AQ156" i="20"/>
  <c r="T175" i="20"/>
  <c r="T184" i="20"/>
  <c r="AY184" i="20" s="1"/>
  <c r="AK189" i="20"/>
  <c r="AJ189" i="20" s="1"/>
  <c r="Q198" i="20"/>
  <c r="T198" i="20" s="1"/>
  <c r="L202" i="20"/>
  <c r="I213" i="20"/>
  <c r="DI213" i="20" s="1"/>
  <c r="L229" i="20"/>
  <c r="L234" i="20"/>
  <c r="AM234" i="20"/>
  <c r="L238" i="20"/>
  <c r="GA238" i="20"/>
  <c r="CS238" i="20" s="1"/>
  <c r="DL256" i="20"/>
  <c r="AM257" i="20"/>
  <c r="CH123" i="20"/>
  <c r="BE129" i="20"/>
  <c r="BF129" i="20" s="1"/>
  <c r="CO129" i="20" s="1"/>
  <c r="U133" i="20"/>
  <c r="CH134" i="20"/>
  <c r="CA137" i="20"/>
  <c r="CH145" i="20"/>
  <c r="CH146" i="20"/>
  <c r="AQ158" i="20"/>
  <c r="CA179" i="20"/>
  <c r="U181" i="20"/>
  <c r="BE188" i="20"/>
  <c r="CH198" i="20"/>
  <c r="Q199" i="20"/>
  <c r="T199" i="20" s="1"/>
  <c r="AN203" i="20"/>
  <c r="Q209" i="20"/>
  <c r="CA209" i="20" s="1"/>
  <c r="Q210" i="20"/>
  <c r="FY210" i="20" s="1"/>
  <c r="GA210" i="20" s="1"/>
  <c r="CS210" i="20" s="1"/>
  <c r="L212" i="20"/>
  <c r="L213" i="20"/>
  <c r="DL213" i="20"/>
  <c r="X218" i="20"/>
  <c r="EL218" i="20" s="1"/>
  <c r="EK218" i="20" s="1"/>
  <c r="T221" i="20"/>
  <c r="AY221" i="20" s="1"/>
  <c r="AZ221" i="20" s="1"/>
  <c r="BZ221" i="20"/>
  <c r="CB221" i="20" s="1"/>
  <c r="AK224" i="20"/>
  <c r="AJ224" i="20" s="1"/>
  <c r="AL232" i="20"/>
  <c r="DL233" i="20"/>
  <c r="EE236" i="20"/>
  <c r="CH237" i="20"/>
  <c r="FY243" i="20"/>
  <c r="GA243" i="20" s="1"/>
  <c r="CA245" i="20"/>
  <c r="BE245" i="20"/>
  <c r="U248" i="20"/>
  <c r="EA250" i="20"/>
  <c r="DL255" i="20"/>
  <c r="CH265" i="20"/>
  <c r="DY267" i="20"/>
  <c r="Q270" i="20"/>
  <c r="BZ270" i="20" s="1"/>
  <c r="BA289" i="20"/>
  <c r="EE290" i="20"/>
  <c r="X303" i="20"/>
  <c r="EL303" i="20" s="1"/>
  <c r="EK303" i="20" s="1"/>
  <c r="BB305" i="20"/>
  <c r="FX308" i="20"/>
  <c r="Q311" i="20"/>
  <c r="CA311" i="20" s="1"/>
  <c r="X322" i="20"/>
  <c r="EL322" i="20" s="1"/>
  <c r="AK325" i="20"/>
  <c r="CH334" i="20"/>
  <c r="U338" i="20"/>
  <c r="BE342" i="20"/>
  <c r="DY344" i="20"/>
  <c r="FZ351" i="20"/>
  <c r="X353" i="20"/>
  <c r="EL353" i="20" s="1"/>
  <c r="DY367" i="20"/>
  <c r="CF368" i="20"/>
  <c r="CH368" i="20" s="1"/>
  <c r="EA404" i="20"/>
  <c r="Y281" i="20"/>
  <c r="DT281" i="20" s="1"/>
  <c r="CH282" i="20"/>
  <c r="Q293" i="20"/>
  <c r="L296" i="20"/>
  <c r="EA299" i="20"/>
  <c r="FZ300" i="20"/>
  <c r="Q313" i="20"/>
  <c r="FY313" i="20" s="1"/>
  <c r="GA313" i="20" s="1"/>
  <c r="CS313" i="20" s="1"/>
  <c r="EK316" i="20"/>
  <c r="I317" i="20"/>
  <c r="AX317" i="20" s="1"/>
  <c r="CM317" i="20" s="1"/>
  <c r="AK324" i="20"/>
  <c r="EA343" i="20"/>
  <c r="U351" i="20"/>
  <c r="EE356" i="20"/>
  <c r="DY362" i="20"/>
  <c r="L367" i="20"/>
  <c r="AN373" i="20"/>
  <c r="X375" i="20"/>
  <c r="EL375" i="20" s="1"/>
  <c r="EK375" i="20" s="1"/>
  <c r="EA391" i="20"/>
  <c r="EA395" i="20"/>
  <c r="L398" i="20"/>
  <c r="CD400" i="20"/>
  <c r="CH403" i="20"/>
  <c r="CD406" i="20"/>
  <c r="AK409" i="20"/>
  <c r="DY410" i="20"/>
  <c r="DY411" i="20"/>
  <c r="DY417" i="20"/>
  <c r="EK428" i="20"/>
  <c r="CF430" i="20"/>
  <c r="U441" i="20"/>
  <c r="EA446" i="20"/>
  <c r="FY465" i="20"/>
  <c r="GA465" i="20" s="1"/>
  <c r="CB467" i="20"/>
  <c r="EB468" i="20"/>
  <c r="EH468" i="20" s="1"/>
  <c r="AX470" i="20"/>
  <c r="AQ472" i="20"/>
  <c r="AR472" i="20" s="1"/>
  <c r="CE472" i="20"/>
  <c r="GA472" i="20"/>
  <c r="AQ475" i="20"/>
  <c r="AR475" i="20" s="1"/>
  <c r="CB476" i="20"/>
  <c r="CI476" i="20" s="1"/>
  <c r="AY477" i="20"/>
  <c r="BH477" i="20" s="1"/>
  <c r="CE486" i="20"/>
  <c r="AY488" i="20"/>
  <c r="AZ488" i="20" s="1"/>
  <c r="EB488" i="20"/>
  <c r="EH488" i="20" s="1"/>
  <c r="M489" i="20"/>
  <c r="BF489" i="20" s="1"/>
  <c r="CB490" i="20"/>
  <c r="BE491" i="20"/>
  <c r="AK297" i="20"/>
  <c r="CE303" i="20"/>
  <c r="K16" i="20"/>
  <c r="U326" i="20"/>
  <c r="CD329" i="20"/>
  <c r="CE329" i="20" s="1"/>
  <c r="CD330" i="20"/>
  <c r="CE330" i="20" s="1"/>
  <c r="EA337" i="20"/>
  <c r="X343" i="20"/>
  <c r="L352" i="20"/>
  <c r="AM358" i="20"/>
  <c r="AM360" i="20"/>
  <c r="DY361" i="20"/>
  <c r="DL361" i="20"/>
  <c r="I367" i="20"/>
  <c r="DI367" i="20" s="1"/>
  <c r="BA369" i="20"/>
  <c r="BA371" i="20"/>
  <c r="DY372" i="20"/>
  <c r="U373" i="20"/>
  <c r="M376" i="20"/>
  <c r="L383" i="20"/>
  <c r="AK385" i="20"/>
  <c r="AK387" i="20"/>
  <c r="X389" i="20"/>
  <c r="EL389" i="20" s="1"/>
  <c r="EK389" i="20" s="1"/>
  <c r="CH396" i="20"/>
  <c r="Q398" i="20"/>
  <c r="BR398" i="20" s="1"/>
  <c r="DZ398" i="20" s="1"/>
  <c r="BE404" i="20"/>
  <c r="DL411" i="20"/>
  <c r="AN414" i="20"/>
  <c r="AN423" i="20"/>
  <c r="BE430" i="20"/>
  <c r="EK446" i="20"/>
  <c r="GA490" i="20"/>
  <c r="GB490" i="20" s="1"/>
  <c r="L280" i="20"/>
  <c r="AM281" i="20"/>
  <c r="X283" i="20"/>
  <c r="EL283" i="20" s="1"/>
  <c r="EK283" i="20" s="1"/>
  <c r="AK296" i="20"/>
  <c r="X300" i="20"/>
  <c r="EL300" i="20" s="1"/>
  <c r="EK300" i="20" s="1"/>
  <c r="EA306" i="20"/>
  <c r="AM307" i="20"/>
  <c r="X308" i="20"/>
  <c r="EL308" i="20" s="1"/>
  <c r="EK308" i="20" s="1"/>
  <c r="I309" i="20"/>
  <c r="DI309" i="20" s="1"/>
  <c r="AM311" i="20"/>
  <c r="EA316" i="20"/>
  <c r="BA323" i="20"/>
  <c r="AM332" i="20"/>
  <c r="Q333" i="20"/>
  <c r="T333" i="20" s="1"/>
  <c r="CF333" i="20"/>
  <c r="L338" i="20"/>
  <c r="Y344" i="20"/>
  <c r="DT344" i="20" s="1"/>
  <c r="X350" i="20"/>
  <c r="EL350" i="20" s="1"/>
  <c r="EK350" i="20" s="1"/>
  <c r="Q354" i="20"/>
  <c r="CF354" i="20"/>
  <c r="EE358" i="20"/>
  <c r="CH363" i="20"/>
  <c r="CD364" i="20"/>
  <c r="CE364" i="20" s="1"/>
  <c r="X368" i="20"/>
  <c r="EL368" i="20" s="1"/>
  <c r="EK368" i="20" s="1"/>
  <c r="BA385" i="20"/>
  <c r="DL386" i="20"/>
  <c r="AK397" i="20"/>
  <c r="L402" i="20"/>
  <c r="DY404" i="20"/>
  <c r="AS406" i="20"/>
  <c r="FX408" i="20"/>
  <c r="U410" i="20"/>
  <c r="I411" i="20"/>
  <c r="DI411" i="20" s="1"/>
  <c r="EK412" i="20"/>
  <c r="FX417" i="20"/>
  <c r="X426" i="20"/>
  <c r="DY430" i="20"/>
  <c r="BE433" i="20"/>
  <c r="X443" i="20"/>
  <c r="EL443" i="20" s="1"/>
  <c r="EK443" i="20" s="1"/>
  <c r="L444" i="20"/>
  <c r="I448" i="20"/>
  <c r="DL448" i="20"/>
  <c r="CB465" i="20"/>
  <c r="CE466" i="20"/>
  <c r="CB469" i="20"/>
  <c r="GA469" i="20"/>
  <c r="M472" i="20"/>
  <c r="BF472" i="20" s="1"/>
  <c r="CH472" i="20"/>
  <c r="DI475" i="20"/>
  <c r="CB477" i="20"/>
  <c r="AY489" i="20"/>
  <c r="DY274" i="20"/>
  <c r="DY282" i="20"/>
  <c r="EA284" i="20"/>
  <c r="X291" i="20"/>
  <c r="EL291" i="20" s="1"/>
  <c r="DY296" i="20"/>
  <c r="Q302" i="20"/>
  <c r="T302" i="20" s="1"/>
  <c r="DY304" i="20"/>
  <c r="L306" i="20"/>
  <c r="AS307" i="20"/>
  <c r="AM309" i="20"/>
  <c r="AS311" i="20"/>
  <c r="FZ332" i="20"/>
  <c r="Q338" i="20"/>
  <c r="BZ338" i="20" s="1"/>
  <c r="EE374" i="20"/>
  <c r="AK376" i="20"/>
  <c r="BA377" i="20"/>
  <c r="DY395" i="20"/>
  <c r="BA395" i="20"/>
  <c r="AX472" i="20"/>
  <c r="CH474" i="20"/>
  <c r="CE474" i="20"/>
  <c r="CH477" i="20"/>
  <c r="GA481" i="20"/>
  <c r="GA482" i="20"/>
  <c r="EB483" i="20"/>
  <c r="EH483" i="20" s="1"/>
  <c r="BA489" i="20"/>
  <c r="BB489" i="20" s="1"/>
  <c r="CF272" i="20"/>
  <c r="CH272" i="20" s="1"/>
  <c r="AM282" i="20"/>
  <c r="Q285" i="20"/>
  <c r="BR285" i="20" s="1"/>
  <c r="DZ285" i="20" s="1"/>
  <c r="CF287" i="20"/>
  <c r="BE288" i="20"/>
  <c r="CE300" i="20"/>
  <c r="AK300" i="20"/>
  <c r="DY303" i="20"/>
  <c r="U305" i="20"/>
  <c r="BA307" i="20"/>
  <c r="EE310" i="20"/>
  <c r="BA311" i="20"/>
  <c r="I314" i="20"/>
  <c r="M314" i="20" s="1"/>
  <c r="BA316" i="20"/>
  <c r="DL320" i="20"/>
  <c r="X320" i="20"/>
  <c r="EL320" i="20" s="1"/>
  <c r="EK320" i="20" s="1"/>
  <c r="EA322" i="20"/>
  <c r="BA327" i="20"/>
  <c r="CD343" i="20"/>
  <c r="AK350" i="20"/>
  <c r="Q351" i="20"/>
  <c r="AL351" i="20" s="1"/>
  <c r="EE352" i="20"/>
  <c r="AM362" i="20"/>
  <c r="X372" i="20"/>
  <c r="EL372" i="20" s="1"/>
  <c r="EK372" i="20" s="1"/>
  <c r="FZ373" i="20"/>
  <c r="I374" i="20"/>
  <c r="DI374" i="20" s="1"/>
  <c r="BA380" i="20"/>
  <c r="DY396" i="20"/>
  <c r="DY400" i="20"/>
  <c r="U404" i="20"/>
  <c r="DY405" i="20"/>
  <c r="FX405" i="20"/>
  <c r="BE406" i="20"/>
  <c r="AK411" i="20"/>
  <c r="DL412" i="20"/>
  <c r="CD412" i="20"/>
  <c r="Q421" i="20"/>
  <c r="BR421" i="20" s="1"/>
  <c r="DZ421" i="20" s="1"/>
  <c r="U430" i="20"/>
  <c r="Q441" i="20"/>
  <c r="AL441" i="20" s="1"/>
  <c r="AK447" i="20"/>
  <c r="Q448" i="20"/>
  <c r="AL448" i="20" s="1"/>
  <c r="AQ470" i="20"/>
  <c r="AR470" i="20" s="1"/>
  <c r="CB471" i="20"/>
  <c r="BB475" i="20"/>
  <c r="AQ478" i="20"/>
  <c r="AR478" i="20" s="1"/>
  <c r="AQ479" i="20"/>
  <c r="AR479" i="20" s="1"/>
  <c r="CE480" i="20"/>
  <c r="AQ481" i="20"/>
  <c r="AR481" i="20" s="1"/>
  <c r="Y489" i="20"/>
  <c r="BI489" i="20" s="1"/>
  <c r="AY493" i="20"/>
  <c r="AZ493" i="20" s="1"/>
  <c r="CD326" i="20"/>
  <c r="CE326" i="20" s="1"/>
  <c r="AK338" i="20"/>
  <c r="CF343" i="20"/>
  <c r="CH343" i="20" s="1"/>
  <c r="BA347" i="20"/>
  <c r="BB356" i="20"/>
  <c r="CD367" i="20"/>
  <c r="CE367" i="20" s="1"/>
  <c r="I371" i="20"/>
  <c r="I388" i="20"/>
  <c r="BB388" i="20" s="1"/>
  <c r="BA392" i="20"/>
  <c r="M395" i="20"/>
  <c r="EA400" i="20"/>
  <c r="I404" i="20"/>
  <c r="AX404" i="20" s="1"/>
  <c r="CM404" i="20" s="1"/>
  <c r="AM411" i="20"/>
  <c r="CH417" i="20"/>
  <c r="EK430" i="20"/>
  <c r="CD446" i="20"/>
  <c r="CE446" i="20" s="1"/>
  <c r="AX492" i="20"/>
  <c r="AQ494" i="20"/>
  <c r="AR494" i="20" s="1"/>
  <c r="M495" i="20"/>
  <c r="AQ495" i="20"/>
  <c r="AR495" i="20" s="1"/>
  <c r="AN279" i="20"/>
  <c r="DL282" i="20"/>
  <c r="X296" i="20"/>
  <c r="EL296" i="20" s="1"/>
  <c r="EK296" i="20" s="1"/>
  <c r="I304" i="20"/>
  <c r="DI304" i="20" s="1"/>
  <c r="AS309" i="20"/>
  <c r="DY310" i="20"/>
  <c r="X318" i="20"/>
  <c r="EL318" i="20" s="1"/>
  <c r="EK318" i="20" s="1"/>
  <c r="CD319" i="20"/>
  <c r="CE319" i="20" s="1"/>
  <c r="DY332" i="20"/>
  <c r="BE344" i="20"/>
  <c r="CF344" i="20"/>
  <c r="CH344" i="20" s="1"/>
  <c r="AK345" i="20"/>
  <c r="DY352" i="20"/>
  <c r="AN354" i="20"/>
  <c r="U354" i="20"/>
  <c r="U357" i="20"/>
  <c r="L361" i="20"/>
  <c r="DY384" i="20"/>
  <c r="DY391" i="20"/>
  <c r="Q392" i="20"/>
  <c r="X398" i="20"/>
  <c r="EA409" i="20"/>
  <c r="Q410" i="20"/>
  <c r="FY410" i="20" s="1"/>
  <c r="GA410" i="20" s="1"/>
  <c r="CS410" i="20" s="1"/>
  <c r="AS412" i="20"/>
  <c r="DY413" i="20"/>
  <c r="AK416" i="20"/>
  <c r="Q417" i="20"/>
  <c r="BZ417" i="20" s="1"/>
  <c r="EA417" i="20"/>
  <c r="Q418" i="20"/>
  <c r="BR418" i="20" s="1"/>
  <c r="DZ418" i="20" s="1"/>
  <c r="BA421" i="20"/>
  <c r="I429" i="20"/>
  <c r="X440" i="20"/>
  <c r="EL440" i="20" s="1"/>
  <c r="EK440" i="20" s="1"/>
  <c r="DY446" i="20"/>
  <c r="U448" i="20"/>
  <c r="AY465" i="20"/>
  <c r="BH465" i="20" s="1"/>
  <c r="CH468" i="20"/>
  <c r="EH473" i="20"/>
  <c r="BA474" i="20"/>
  <c r="BB474" i="20" s="1"/>
  <c r="DI474" i="20"/>
  <c r="GA475" i="20"/>
  <c r="AY476" i="20"/>
  <c r="M477" i="20"/>
  <c r="BF477" i="20" s="1"/>
  <c r="DI477" i="20"/>
  <c r="CH480" i="20"/>
  <c r="CI480" i="20" s="1"/>
  <c r="CE481" i="20"/>
  <c r="CB484" i="20"/>
  <c r="Y485" i="20"/>
  <c r="BI485" i="20" s="1"/>
  <c r="CB486" i="20"/>
  <c r="M488" i="20"/>
  <c r="X493" i="20"/>
  <c r="EL493" i="20" s="1"/>
  <c r="EK493" i="20" s="1"/>
  <c r="FX60" i="20"/>
  <c r="GA60" i="20" s="1"/>
  <c r="CS60" i="20" s="1"/>
  <c r="BZ60" i="20"/>
  <c r="BE31" i="20"/>
  <c r="U31" i="20"/>
  <c r="AY31" i="20" s="1"/>
  <c r="BZ32" i="20"/>
  <c r="CA32" i="20"/>
  <c r="BZ35" i="20"/>
  <c r="AN35" i="20"/>
  <c r="EE35" i="20"/>
  <c r="CA35" i="20"/>
  <c r="BK35" i="20"/>
  <c r="L36" i="20"/>
  <c r="DL36" i="20"/>
  <c r="AK50" i="20"/>
  <c r="AM50" i="20" s="1"/>
  <c r="EE50" i="20"/>
  <c r="L50" i="20"/>
  <c r="AK58" i="20"/>
  <c r="AM58" i="20" s="1"/>
  <c r="CH63" i="20"/>
  <c r="BA65" i="20"/>
  <c r="BB65" i="20" s="1"/>
  <c r="X65" i="20"/>
  <c r="CU72" i="20"/>
  <c r="CU73" i="20"/>
  <c r="FG73" i="20"/>
  <c r="Y91" i="20"/>
  <c r="DT91" i="20" s="1"/>
  <c r="EL91" i="20"/>
  <c r="EK91" i="20" s="1"/>
  <c r="CD96" i="20"/>
  <c r="CE96" i="20" s="1"/>
  <c r="U96" i="20"/>
  <c r="CH127" i="20"/>
  <c r="X184" i="20"/>
  <c r="BA184" i="20"/>
  <c r="DJ50" i="20"/>
  <c r="M50" i="20"/>
  <c r="BA113" i="20"/>
  <c r="BB113" i="20" s="1"/>
  <c r="X113" i="20"/>
  <c r="CH23" i="20"/>
  <c r="BA28" i="20"/>
  <c r="X28" i="20"/>
  <c r="EL28" i="20" s="1"/>
  <c r="EK28" i="20" s="1"/>
  <c r="U47" i="20"/>
  <c r="AY47" i="20" s="1"/>
  <c r="AZ47" i="20" s="1"/>
  <c r="CH49" i="20"/>
  <c r="DI82" i="20"/>
  <c r="DL82" i="20"/>
  <c r="L82" i="20"/>
  <c r="AK82" i="20"/>
  <c r="AM82" i="20" s="1"/>
  <c r="CU83" i="20"/>
  <c r="EB91" i="20"/>
  <c r="EH91" i="20" s="1"/>
  <c r="Q100" i="20"/>
  <c r="BK100" i="20" s="1"/>
  <c r="BL100" i="20" s="1"/>
  <c r="BN100" i="20" s="1"/>
  <c r="EE100" i="20"/>
  <c r="L102" i="20"/>
  <c r="AK102" i="20"/>
  <c r="AL102" i="20" s="1"/>
  <c r="I102" i="20"/>
  <c r="DJ102" i="20" s="1"/>
  <c r="DJ103" i="20"/>
  <c r="DJ114" i="20"/>
  <c r="FX116" i="20"/>
  <c r="AN116" i="20"/>
  <c r="I166" i="20"/>
  <c r="DI166" i="20" s="1"/>
  <c r="DL166" i="20"/>
  <c r="L166" i="20"/>
  <c r="AM166" i="20"/>
  <c r="AK166" i="20"/>
  <c r="AJ166" i="20" s="1"/>
  <c r="AM175" i="20"/>
  <c r="L175" i="20"/>
  <c r="DL69" i="20"/>
  <c r="DI69" i="20"/>
  <c r="ET69" i="20" s="1"/>
  <c r="EU69" i="20" s="1"/>
  <c r="EV69" i="20" s="1"/>
  <c r="L69" i="20"/>
  <c r="CA19" i="20"/>
  <c r="BZ19" i="20"/>
  <c r="BR19" i="20"/>
  <c r="DZ19" i="20" s="1"/>
  <c r="EB19" i="20" s="1"/>
  <c r="EH19" i="20" s="1"/>
  <c r="DM19" i="20" s="1"/>
  <c r="BK19" i="20"/>
  <c r="U20" i="20"/>
  <c r="AY20" i="20" s="1"/>
  <c r="AZ20" i="20" s="1"/>
  <c r="FX22" i="20"/>
  <c r="AN22" i="20"/>
  <c r="BR31" i="20"/>
  <c r="DZ31" i="20" s="1"/>
  <c r="EB31" i="20" s="1"/>
  <c r="EH31" i="20" s="1"/>
  <c r="DM31" i="20" s="1"/>
  <c r="AK41" i="20"/>
  <c r="AL41" i="20" s="1"/>
  <c r="CA51" i="20"/>
  <c r="FX51" i="20"/>
  <c r="U63" i="20"/>
  <c r="T63" i="20"/>
  <c r="CU65" i="20"/>
  <c r="FG65" i="20"/>
  <c r="EE67" i="20"/>
  <c r="U67" i="20"/>
  <c r="FX100" i="20"/>
  <c r="U100" i="20"/>
  <c r="BA109" i="20"/>
  <c r="BB109" i="20" s="1"/>
  <c r="X109" i="20"/>
  <c r="EL109" i="20" s="1"/>
  <c r="EK109" i="20" s="1"/>
  <c r="EY109" i="20" s="1"/>
  <c r="EZ109" i="20" s="1"/>
  <c r="CH112" i="20"/>
  <c r="CA116" i="20"/>
  <c r="BZ116" i="20"/>
  <c r="BR116" i="20"/>
  <c r="DZ116" i="20" s="1"/>
  <c r="EB116" i="20" s="1"/>
  <c r="FY116" i="20"/>
  <c r="BE122" i="20"/>
  <c r="BF122" i="20" s="1"/>
  <c r="CO122" i="20" s="1"/>
  <c r="FX122" i="20"/>
  <c r="BZ122" i="20"/>
  <c r="U131" i="20"/>
  <c r="AN131" i="20"/>
  <c r="FX131" i="20"/>
  <c r="BE131" i="20"/>
  <c r="BF131" i="20" s="1"/>
  <c r="CO131" i="20" s="1"/>
  <c r="BA151" i="20"/>
  <c r="BB151" i="20" s="1"/>
  <c r="X151" i="20"/>
  <c r="EL151" i="20" s="1"/>
  <c r="EK151" i="20" s="1"/>
  <c r="Y176" i="20"/>
  <c r="DT176" i="20" s="1"/>
  <c r="EL176" i="20"/>
  <c r="EK176" i="20" s="1"/>
  <c r="AM211" i="20"/>
  <c r="L211" i="20"/>
  <c r="EE211" i="20"/>
  <c r="I211" i="20"/>
  <c r="DL211" i="20"/>
  <c r="S211" i="20"/>
  <c r="AN211" i="20" s="1"/>
  <c r="AK211" i="20"/>
  <c r="U19" i="20"/>
  <c r="AY19" i="20" s="1"/>
  <c r="AZ19" i="20" s="1"/>
  <c r="FX19" i="20"/>
  <c r="BA36" i="20"/>
  <c r="BB36" i="20" s="1"/>
  <c r="X36" i="20"/>
  <c r="EL36" i="20" s="1"/>
  <c r="EK36" i="20" s="1"/>
  <c r="AZ37" i="20"/>
  <c r="W37" i="20"/>
  <c r="X37" i="20" s="1"/>
  <c r="EL37" i="20" s="1"/>
  <c r="EK37" i="20" s="1"/>
  <c r="EE39" i="20"/>
  <c r="BZ42" i="20"/>
  <c r="AN42" i="20"/>
  <c r="EE42" i="20"/>
  <c r="CA42" i="20"/>
  <c r="BR42" i="20"/>
  <c r="DZ42" i="20" s="1"/>
  <c r="EB42" i="20" s="1"/>
  <c r="EH42" i="20" s="1"/>
  <c r="DM42" i="20" s="1"/>
  <c r="BK42" i="20"/>
  <c r="AL43" i="20"/>
  <c r="AM43" i="20"/>
  <c r="DI48" i="20"/>
  <c r="DI50" i="20"/>
  <c r="BB52" i="20"/>
  <c r="U54" i="20"/>
  <c r="O54" i="20"/>
  <c r="FX54" i="20" s="1"/>
  <c r="GA54" i="20" s="1"/>
  <c r="CS54" i="20" s="1"/>
  <c r="U59" i="20"/>
  <c r="AL59" i="20"/>
  <c r="BB64" i="20"/>
  <c r="CH65" i="20"/>
  <c r="AK74" i="20"/>
  <c r="AM74" i="20" s="1"/>
  <c r="EE76" i="20"/>
  <c r="EL93" i="20"/>
  <c r="EK93" i="20" s="1"/>
  <c r="Y93" i="20"/>
  <c r="DL102" i="20"/>
  <c r="BA107" i="20"/>
  <c r="BB107" i="20" s="1"/>
  <c r="X107" i="20"/>
  <c r="FX111" i="20"/>
  <c r="U111" i="20"/>
  <c r="DL120" i="20"/>
  <c r="DI120" i="20"/>
  <c r="AK120" i="20"/>
  <c r="AM120" i="20" s="1"/>
  <c r="X120" i="20"/>
  <c r="EL120" i="20" s="1"/>
  <c r="EK120" i="20" s="1"/>
  <c r="ET120" i="20" s="1"/>
  <c r="EU120" i="20" s="1"/>
  <c r="EV120" i="20" s="1"/>
  <c r="CA122" i="20"/>
  <c r="AN129" i="20"/>
  <c r="U129" i="20"/>
  <c r="FX129" i="20"/>
  <c r="EE129" i="20"/>
  <c r="BE171" i="20"/>
  <c r="U171" i="20"/>
  <c r="FX171" i="20"/>
  <c r="N171" i="20"/>
  <c r="EE171" i="20" s="1"/>
  <c r="CA171" i="20"/>
  <c r="FY191" i="20"/>
  <c r="T191" i="20"/>
  <c r="U35" i="20"/>
  <c r="AY35" i="20" s="1"/>
  <c r="AZ35" i="20" s="1"/>
  <c r="DL70" i="20"/>
  <c r="DI70" i="20"/>
  <c r="L70" i="20"/>
  <c r="AK70" i="20"/>
  <c r="AM70" i="20" s="1"/>
  <c r="O84" i="20"/>
  <c r="U84" i="20"/>
  <c r="T84" i="20"/>
  <c r="AX112" i="20"/>
  <c r="CM112" i="20" s="1"/>
  <c r="FG112" i="20" s="1"/>
  <c r="BR35" i="20"/>
  <c r="DZ35" i="20" s="1"/>
  <c r="EB35" i="20" s="1"/>
  <c r="EH35" i="20" s="1"/>
  <c r="DM35" i="20" s="1"/>
  <c r="U42" i="20"/>
  <c r="AY42" i="20" s="1"/>
  <c r="BE42" i="20"/>
  <c r="DL50" i="20"/>
  <c r="Y52" i="20"/>
  <c r="DT52" i="20" s="1"/>
  <c r="EL52" i="20"/>
  <c r="EK52" i="20" s="1"/>
  <c r="AK53" i="20"/>
  <c r="U57" i="20"/>
  <c r="T57" i="20"/>
  <c r="BB74" i="20"/>
  <c r="BZ80" i="20"/>
  <c r="BR80" i="20"/>
  <c r="DZ80" i="20" s="1"/>
  <c r="EB80" i="20" s="1"/>
  <c r="EH80" i="20" s="1"/>
  <c r="Q94" i="20"/>
  <c r="CA94" i="20" s="1"/>
  <c r="BE110" i="20"/>
  <c r="BF110" i="20" s="1"/>
  <c r="X115" i="20"/>
  <c r="Y115" i="20" s="1"/>
  <c r="DT115" i="20" s="1"/>
  <c r="DI119" i="20"/>
  <c r="AK119" i="20"/>
  <c r="AM119" i="20" s="1"/>
  <c r="FG121" i="20"/>
  <c r="CA129" i="20"/>
  <c r="FY129" i="20"/>
  <c r="BZ129" i="20"/>
  <c r="BR129" i="20"/>
  <c r="DZ129" i="20" s="1"/>
  <c r="EB129" i="20" s="1"/>
  <c r="FY139" i="20"/>
  <c r="BK139" i="20"/>
  <c r="BL139" i="20" s="1"/>
  <c r="BN139" i="20" s="1"/>
  <c r="CA139" i="20"/>
  <c r="AK144" i="20"/>
  <c r="CA153" i="20"/>
  <c r="U153" i="20"/>
  <c r="T153" i="20"/>
  <c r="FX153" i="20"/>
  <c r="GA153" i="20" s="1"/>
  <c r="BE153" i="20"/>
  <c r="CH190" i="20"/>
  <c r="BA38" i="20"/>
  <c r="X38" i="20"/>
  <c r="EL38" i="20" s="1"/>
  <c r="EK38" i="20" s="1"/>
  <c r="ET38" i="20" s="1"/>
  <c r="EU38" i="20" s="1"/>
  <c r="EV38" i="20" s="1"/>
  <c r="CU76" i="20"/>
  <c r="FG76" i="20"/>
  <c r="X102" i="20"/>
  <c r="BA102" i="20"/>
  <c r="CH27" i="20"/>
  <c r="CH28" i="20"/>
  <c r="BK32" i="20"/>
  <c r="BL32" i="20" s="1"/>
  <c r="BN32" i="20" s="1"/>
  <c r="AL39" i="20"/>
  <c r="AM39" i="20"/>
  <c r="BM48" i="20"/>
  <c r="AN50" i="20"/>
  <c r="U78" i="20"/>
  <c r="DJ79" i="20"/>
  <c r="U89" i="20"/>
  <c r="T89" i="20"/>
  <c r="BE89" i="20" s="1"/>
  <c r="BF89" i="20" s="1"/>
  <c r="CO89" i="20" s="1"/>
  <c r="U94" i="20"/>
  <c r="FX94" i="20"/>
  <c r="AN94" i="20"/>
  <c r="DL96" i="20"/>
  <c r="AK101" i="20"/>
  <c r="I101" i="20"/>
  <c r="DJ101" i="20" s="1"/>
  <c r="DI101" i="20"/>
  <c r="AX106" i="20"/>
  <c r="DJ106" i="20"/>
  <c r="EE110" i="20"/>
  <c r="BR110" i="20"/>
  <c r="DZ110" i="20" s="1"/>
  <c r="EB110" i="20" s="1"/>
  <c r="BA150" i="20"/>
  <c r="X150" i="20"/>
  <c r="EL150" i="20" s="1"/>
  <c r="EK150" i="20" s="1"/>
  <c r="BA154" i="20"/>
  <c r="BB154" i="20" s="1"/>
  <c r="X154" i="20"/>
  <c r="Y154" i="20" s="1"/>
  <c r="BE22" i="20"/>
  <c r="FX31" i="20"/>
  <c r="BK31" i="20"/>
  <c r="AN31" i="20"/>
  <c r="EE31" i="20"/>
  <c r="U34" i="20"/>
  <c r="AY34" i="20" s="1"/>
  <c r="AZ34" i="20" s="1"/>
  <c r="EE48" i="20"/>
  <c r="AN48" i="20"/>
  <c r="AX50" i="20"/>
  <c r="DL52" i="20"/>
  <c r="DI52" i="20"/>
  <c r="L52" i="20"/>
  <c r="DL53" i="20"/>
  <c r="L53" i="20"/>
  <c r="O55" i="20"/>
  <c r="EE55" i="20" s="1"/>
  <c r="T55" i="20"/>
  <c r="Y58" i="20"/>
  <c r="DL64" i="20"/>
  <c r="DI64" i="20"/>
  <c r="L64" i="20"/>
  <c r="O77" i="20"/>
  <c r="CA77" i="20" s="1"/>
  <c r="T77" i="20"/>
  <c r="O78" i="20"/>
  <c r="FX78" i="20" s="1"/>
  <c r="DL83" i="20"/>
  <c r="DJ83" i="20"/>
  <c r="L83" i="20"/>
  <c r="DI83" i="20"/>
  <c r="DJ86" i="20"/>
  <c r="O89" i="20"/>
  <c r="EE96" i="20"/>
  <c r="U98" i="20"/>
  <c r="AN98" i="20"/>
  <c r="FX98" i="20"/>
  <c r="EE98" i="20"/>
  <c r="CH105" i="20"/>
  <c r="BB118" i="20"/>
  <c r="U125" i="20"/>
  <c r="W128" i="20"/>
  <c r="BA128" i="20" s="1"/>
  <c r="BB128" i="20" s="1"/>
  <c r="V14" i="20"/>
  <c r="EE131" i="20"/>
  <c r="AG142" i="20"/>
  <c r="AJ142" i="20" s="1"/>
  <c r="I142" i="20"/>
  <c r="FX28" i="20"/>
  <c r="EE45" i="20"/>
  <c r="AK45" i="20"/>
  <c r="AL45" i="20" s="1"/>
  <c r="DI56" i="20"/>
  <c r="CH69" i="20"/>
  <c r="U72" i="20"/>
  <c r="CH72" i="20"/>
  <c r="BB78" i="20"/>
  <c r="EE84" i="20"/>
  <c r="AX89" i="20"/>
  <c r="CM89" i="20" s="1"/>
  <c r="FG89" i="20" s="1"/>
  <c r="DI103" i="20"/>
  <c r="EY103" i="20" s="1"/>
  <c r="EZ103" i="20" s="1"/>
  <c r="BB110" i="20"/>
  <c r="DJ110" i="20"/>
  <c r="EE111" i="20"/>
  <c r="CH113" i="20"/>
  <c r="FY113" i="20"/>
  <c r="AG118" i="20"/>
  <c r="CD118" i="20" s="1"/>
  <c r="CE118" i="20" s="1"/>
  <c r="EE122" i="20"/>
  <c r="AL124" i="20"/>
  <c r="BK125" i="20"/>
  <c r="BR127" i="20"/>
  <c r="DZ127" i="20" s="1"/>
  <c r="EB127" i="20" s="1"/>
  <c r="BZ127" i="20"/>
  <c r="BK145" i="20"/>
  <c r="BM145" i="20" s="1"/>
  <c r="FX145" i="20"/>
  <c r="FX147" i="20"/>
  <c r="BK147" i="20"/>
  <c r="BM147" i="20" s="1"/>
  <c r="BE147" i="20"/>
  <c r="CD148" i="20"/>
  <c r="CE148" i="20" s="1"/>
  <c r="FZ148" i="20"/>
  <c r="DY148" i="20"/>
  <c r="CH151" i="20"/>
  <c r="P158" i="20"/>
  <c r="DY158" i="20" s="1"/>
  <c r="DI158" i="20"/>
  <c r="M158" i="20"/>
  <c r="AX158" i="20"/>
  <c r="FX164" i="20"/>
  <c r="GA164" i="20" s="1"/>
  <c r="CA164" i="20"/>
  <c r="U164" i="20"/>
  <c r="EL166" i="20"/>
  <c r="EK166" i="20" s="1"/>
  <c r="Y166" i="20"/>
  <c r="CA180" i="20"/>
  <c r="N180" i="20"/>
  <c r="EE180" i="20" s="1"/>
  <c r="BZ180" i="20"/>
  <c r="CB180" i="20" s="1"/>
  <c r="CI180" i="20" s="1"/>
  <c r="BR186" i="20"/>
  <c r="DZ186" i="20" s="1"/>
  <c r="EB186" i="20" s="1"/>
  <c r="EH186" i="20" s="1"/>
  <c r="FY186" i="20"/>
  <c r="GA186" i="20" s="1"/>
  <c r="CS186" i="20" s="1"/>
  <c r="BA213" i="20"/>
  <c r="X213" i="20"/>
  <c r="FY23" i="20"/>
  <c r="GA23" i="20" s="1"/>
  <c r="AN27" i="20"/>
  <c r="CH29" i="20"/>
  <c r="BE30" i="20"/>
  <c r="EE30" i="20"/>
  <c r="FX33" i="20"/>
  <c r="FX36" i="20"/>
  <c r="FY38" i="20"/>
  <c r="GA38" i="20" s="1"/>
  <c r="AN40" i="20"/>
  <c r="DI40" i="20"/>
  <c r="BZ41" i="20"/>
  <c r="BE44" i="20"/>
  <c r="DL44" i="20"/>
  <c r="AN46" i="20"/>
  <c r="FY46" i="20"/>
  <c r="GA46" i="20" s="1"/>
  <c r="CB48" i="20"/>
  <c r="BK50" i="20"/>
  <c r="BL50" i="20" s="1"/>
  <c r="BN50" i="20" s="1"/>
  <c r="AK66" i="20"/>
  <c r="AM66" i="20" s="1"/>
  <c r="DI66" i="20"/>
  <c r="CH68" i="20"/>
  <c r="CH70" i="20"/>
  <c r="DJ71" i="20"/>
  <c r="T72" i="20"/>
  <c r="EE73" i="20"/>
  <c r="BB73" i="20"/>
  <c r="EE74" i="20"/>
  <c r="CH79" i="20"/>
  <c r="CH81" i="20"/>
  <c r="DI88" i="20"/>
  <c r="AK90" i="20"/>
  <c r="AM90" i="20" s="1"/>
  <c r="DY95" i="20"/>
  <c r="L96" i="20"/>
  <c r="DY100" i="20"/>
  <c r="CF100" i="20"/>
  <c r="CH100" i="20" s="1"/>
  <c r="BB103" i="20"/>
  <c r="EA103" i="20"/>
  <c r="CA110" i="20"/>
  <c r="DI113" i="20"/>
  <c r="AK115" i="20"/>
  <c r="AM115" i="20" s="1"/>
  <c r="T116" i="20"/>
  <c r="AY116" i="20" s="1"/>
  <c r="AZ116" i="20" s="1"/>
  <c r="CH118" i="20"/>
  <c r="DJ120" i="20"/>
  <c r="FY125" i="20"/>
  <c r="GA125" i="20" s="1"/>
  <c r="CS125" i="20" s="1"/>
  <c r="T129" i="20"/>
  <c r="CA131" i="20"/>
  <c r="CH135" i="20"/>
  <c r="AK138" i="20"/>
  <c r="FZ151" i="20"/>
  <c r="AJ151" i="20"/>
  <c r="AN152" i="20"/>
  <c r="P157" i="20"/>
  <c r="DY157" i="20" s="1"/>
  <c r="DI157" i="20"/>
  <c r="M157" i="20"/>
  <c r="AX157" i="20"/>
  <c r="BR177" i="20"/>
  <c r="DZ177" i="20" s="1"/>
  <c r="EB177" i="20" s="1"/>
  <c r="FY177" i="20"/>
  <c r="GA177" i="20" s="1"/>
  <c r="CS177" i="20" s="1"/>
  <c r="FY206" i="20"/>
  <c r="T206" i="20"/>
  <c r="BE208" i="20"/>
  <c r="FX208" i="20"/>
  <c r="Q208" i="20"/>
  <c r="CA240" i="20"/>
  <c r="T240" i="20"/>
  <c r="BZ240" i="20"/>
  <c r="L250" i="20"/>
  <c r="I250" i="20"/>
  <c r="AK250" i="20"/>
  <c r="BA277" i="20"/>
  <c r="X277" i="20"/>
  <c r="EL277" i="20" s="1"/>
  <c r="EK277" i="20" s="1"/>
  <c r="AN23" i="20"/>
  <c r="CH24" i="20"/>
  <c r="CH31" i="20"/>
  <c r="CH40" i="20"/>
  <c r="BE46" i="20"/>
  <c r="GA73" i="20"/>
  <c r="CS73" i="20" s="1"/>
  <c r="CX73" i="20" s="1"/>
  <c r="AL79" i="20"/>
  <c r="AK88" i="20"/>
  <c r="AM88" i="20" s="1"/>
  <c r="T92" i="20"/>
  <c r="Q96" i="20"/>
  <c r="L103" i="20"/>
  <c r="BK112" i="20"/>
  <c r="AK113" i="20"/>
  <c r="AM113" i="20" s="1"/>
  <c r="EE121" i="20"/>
  <c r="DI124" i="20"/>
  <c r="ET124" i="20" s="1"/>
  <c r="EU124" i="20" s="1"/>
  <c r="EV124" i="20" s="1"/>
  <c r="BZ135" i="20"/>
  <c r="FY135" i="20"/>
  <c r="GA135" i="20" s="1"/>
  <c r="CS135" i="20" s="1"/>
  <c r="BK135" i="20"/>
  <c r="BL135" i="20" s="1"/>
  <c r="BN135" i="20" s="1"/>
  <c r="FX144" i="20"/>
  <c r="BE144" i="20"/>
  <c r="BF144" i="20" s="1"/>
  <c r="CO144" i="20" s="1"/>
  <c r="CD149" i="20"/>
  <c r="CE149" i="20" s="1"/>
  <c r="FZ150" i="20"/>
  <c r="DY150" i="20"/>
  <c r="AJ150" i="20"/>
  <c r="CD150" i="20"/>
  <c r="CE150" i="20" s="1"/>
  <c r="M152" i="20"/>
  <c r="FX173" i="20"/>
  <c r="U173" i="20"/>
  <c r="BE173" i="20"/>
  <c r="BA182" i="20"/>
  <c r="BB182" i="20" s="1"/>
  <c r="X182" i="20"/>
  <c r="AM184" i="20"/>
  <c r="L184" i="20"/>
  <c r="I184" i="20"/>
  <c r="DI184" i="20" s="1"/>
  <c r="BZ185" i="20"/>
  <c r="FY185" i="20"/>
  <c r="BR185" i="20"/>
  <c r="DZ185" i="20" s="1"/>
  <c r="EB185" i="20" s="1"/>
  <c r="EH185" i="20" s="1"/>
  <c r="DM185" i="20" s="1"/>
  <c r="BA228" i="20"/>
  <c r="X228" i="20"/>
  <c r="T234" i="20"/>
  <c r="FY234" i="20"/>
  <c r="BZ234" i="20"/>
  <c r="BR234" i="20"/>
  <c r="DZ234" i="20" s="1"/>
  <c r="EB234" i="20" s="1"/>
  <c r="EG234" i="20" s="1"/>
  <c r="CF263" i="20"/>
  <c r="CH263" i="20" s="1"/>
  <c r="L263" i="20"/>
  <c r="CH19" i="20"/>
  <c r="I23" i="20"/>
  <c r="M23" i="20" s="1"/>
  <c r="BF23" i="20" s="1"/>
  <c r="DI23" i="20"/>
  <c r="AK24" i="20"/>
  <c r="FY31" i="20"/>
  <c r="CH35" i="20"/>
  <c r="CH36" i="20"/>
  <c r="CH38" i="20"/>
  <c r="BR44" i="20"/>
  <c r="DZ44" i="20" s="1"/>
  <c r="CH45" i="20"/>
  <c r="I46" i="20"/>
  <c r="BB46" i="20" s="1"/>
  <c r="CA50" i="20"/>
  <c r="CB50" i="20" s="1"/>
  <c r="O52" i="20"/>
  <c r="BZ52" i="20" s="1"/>
  <c r="BB55" i="20"/>
  <c r="DI57" i="20"/>
  <c r="CH61" i="20"/>
  <c r="X62" i="20"/>
  <c r="EL62" i="20" s="1"/>
  <c r="EK62" i="20" s="1"/>
  <c r="DL63" i="20"/>
  <c r="O64" i="20"/>
  <c r="L65" i="20"/>
  <c r="DI65" i="20"/>
  <c r="BZ69" i="20"/>
  <c r="CB69" i="20" s="1"/>
  <c r="O71" i="20"/>
  <c r="CA71" i="20" s="1"/>
  <c r="AK72" i="20"/>
  <c r="AM72" i="20" s="1"/>
  <c r="BB77" i="20"/>
  <c r="DJ81" i="20"/>
  <c r="AX81" i="20"/>
  <c r="CM81" i="20" s="1"/>
  <c r="FG81" i="20" s="1"/>
  <c r="DL85" i="20"/>
  <c r="DJ90" i="20"/>
  <c r="EA95" i="20"/>
  <c r="DL99" i="20"/>
  <c r="EK99" i="20"/>
  <c r="ET99" i="20" s="1"/>
  <c r="AN100" i="20"/>
  <c r="EE101" i="20"/>
  <c r="AN102" i="20"/>
  <c r="EA102" i="20"/>
  <c r="U106" i="20"/>
  <c r="EE107" i="20"/>
  <c r="DJ107" i="20"/>
  <c r="CH110" i="20"/>
  <c r="X111" i="20"/>
  <c r="EL111" i="20" s="1"/>
  <c r="EK111" i="20" s="1"/>
  <c r="ET111" i="20" s="1"/>
  <c r="EU111" i="20" s="1"/>
  <c r="EV111" i="20" s="1"/>
  <c r="BR112" i="20"/>
  <c r="DZ112" i="20" s="1"/>
  <c r="EB112" i="20" s="1"/>
  <c r="BR114" i="20"/>
  <c r="DZ114" i="20" s="1"/>
  <c r="EB114" i="20" s="1"/>
  <c r="CA119" i="20"/>
  <c r="BK120" i="20"/>
  <c r="BL120" i="20" s="1"/>
  <c r="BN120" i="20" s="1"/>
  <c r="CH121" i="20"/>
  <c r="GF121" i="20"/>
  <c r="CH122" i="20"/>
  <c r="FY122" i="20"/>
  <c r="DI123" i="20"/>
  <c r="I125" i="20"/>
  <c r="DJ125" i="20" s="1"/>
  <c r="FY128" i="20"/>
  <c r="CF149" i="20"/>
  <c r="X152" i="20"/>
  <c r="EL152" i="20" s="1"/>
  <c r="EK152" i="20" s="1"/>
  <c r="ET152" i="20" s="1"/>
  <c r="EU152" i="20" s="1"/>
  <c r="EV152" i="20" s="1"/>
  <c r="BZ168" i="20"/>
  <c r="L170" i="20"/>
  <c r="DL182" i="20"/>
  <c r="AK182" i="20"/>
  <c r="AJ182" i="20" s="1"/>
  <c r="L182" i="20"/>
  <c r="AM182" i="20"/>
  <c r="T185" i="20"/>
  <c r="AY185" i="20" s="1"/>
  <c r="AZ185" i="20" s="1"/>
  <c r="AM187" i="20"/>
  <c r="DL187" i="20"/>
  <c r="X200" i="20"/>
  <c r="BA200" i="20"/>
  <c r="AM226" i="20"/>
  <c r="AK226" i="20"/>
  <c r="AJ226" i="20" s="1"/>
  <c r="DL226" i="20"/>
  <c r="L226" i="20"/>
  <c r="I226" i="20"/>
  <c r="BZ232" i="20"/>
  <c r="CA232" i="20"/>
  <c r="FY232" i="20"/>
  <c r="GA232" i="20" s="1"/>
  <c r="CS232" i="20" s="1"/>
  <c r="BR232" i="20"/>
  <c r="DZ232" i="20" s="1"/>
  <c r="EB232" i="20" s="1"/>
  <c r="EG232" i="20" s="1"/>
  <c r="T232" i="20"/>
  <c r="AY232" i="20" s="1"/>
  <c r="AZ232" i="20" s="1"/>
  <c r="EE19" i="20"/>
  <c r="L20" i="20"/>
  <c r="AN20" i="20"/>
  <c r="AQ20" i="20" s="1"/>
  <c r="AR20" i="20" s="1"/>
  <c r="CH22" i="20"/>
  <c r="AK22" i="20"/>
  <c r="DI22" i="20"/>
  <c r="L23" i="20"/>
  <c r="BL23" i="20"/>
  <c r="BN23" i="20" s="1"/>
  <c r="DL23" i="20"/>
  <c r="I24" i="20"/>
  <c r="DJ24" i="20" s="1"/>
  <c r="L26" i="20"/>
  <c r="BR26" i="20"/>
  <c r="DZ26" i="20" s="1"/>
  <c r="EB26" i="20" s="1"/>
  <c r="EH26" i="20" s="1"/>
  <c r="DM26" i="20" s="1"/>
  <c r="CB27" i="20"/>
  <c r="DL27" i="20"/>
  <c r="BK28" i="20"/>
  <c r="BM28" i="20" s="1"/>
  <c r="CH32" i="20"/>
  <c r="FY33" i="20"/>
  <c r="AM34" i="20"/>
  <c r="CH37" i="20"/>
  <c r="AK38" i="20"/>
  <c r="FY39" i="20"/>
  <c r="CG39" i="20"/>
  <c r="CH39" i="20" s="1"/>
  <c r="I40" i="20"/>
  <c r="BR40" i="20"/>
  <c r="DZ40" i="20" s="1"/>
  <c r="EB40" i="20" s="1"/>
  <c r="EH40" i="20" s="1"/>
  <c r="DM40" i="20" s="1"/>
  <c r="I42" i="20"/>
  <c r="AX42" i="20" s="1"/>
  <c r="CH42" i="20"/>
  <c r="CA44" i="20"/>
  <c r="L46" i="20"/>
  <c r="BM46" i="20"/>
  <c r="BO46" i="20" s="1"/>
  <c r="BP46" i="20" s="1"/>
  <c r="EI46" i="20" s="1"/>
  <c r="DI46" i="20"/>
  <c r="AK47" i="20"/>
  <c r="AL47" i="20" s="1"/>
  <c r="AK55" i="20"/>
  <c r="AM55" i="20" s="1"/>
  <c r="AK57" i="20"/>
  <c r="AM57" i="20" s="1"/>
  <c r="DI60" i="20"/>
  <c r="EE65" i="20"/>
  <c r="CH73" i="20"/>
  <c r="CH74" i="20"/>
  <c r="L88" i="20"/>
  <c r="L90" i="20"/>
  <c r="AK91" i="20"/>
  <c r="AM91" i="20" s="1"/>
  <c r="DL95" i="20"/>
  <c r="DI96" i="20"/>
  <c r="AK97" i="20"/>
  <c r="AM97" i="20" s="1"/>
  <c r="I99" i="20"/>
  <c r="AK99" i="20"/>
  <c r="AM99" i="20" s="1"/>
  <c r="EE102" i="20"/>
  <c r="CD102" i="20"/>
  <c r="CE102" i="20" s="1"/>
  <c r="FZ102" i="20"/>
  <c r="DJ105" i="20"/>
  <c r="BE107" i="20"/>
  <c r="BF107" i="20" s="1"/>
  <c r="CH108" i="20"/>
  <c r="BZ112" i="20"/>
  <c r="CB112" i="20" s="1"/>
  <c r="EE113" i="20"/>
  <c r="CH115" i="20"/>
  <c r="BR117" i="20"/>
  <c r="DZ117" i="20" s="1"/>
  <c r="EB117" i="20" s="1"/>
  <c r="DL118" i="20"/>
  <c r="AN122" i="20"/>
  <c r="AK125" i="20"/>
  <c r="AM125" i="20" s="1"/>
  <c r="CH128" i="20"/>
  <c r="AN134" i="20"/>
  <c r="BE134" i="20"/>
  <c r="BF134" i="20" s="1"/>
  <c r="CO134" i="20" s="1"/>
  <c r="BE140" i="20"/>
  <c r="DL141" i="20"/>
  <c r="AK141" i="20"/>
  <c r="AG141" i="20"/>
  <c r="CF150" i="20"/>
  <c r="CH150" i="20" s="1"/>
  <c r="BZ156" i="20"/>
  <c r="CB156" i="20" s="1"/>
  <c r="U156" i="20"/>
  <c r="AY156" i="20" s="1"/>
  <c r="BH156" i="20" s="1"/>
  <c r="BR156" i="20"/>
  <c r="DZ156" i="20" s="1"/>
  <c r="EB156" i="20" s="1"/>
  <c r="EH156" i="20" s="1"/>
  <c r="M182" i="20"/>
  <c r="DI182" i="20"/>
  <c r="X221" i="20"/>
  <c r="BA221" i="20"/>
  <c r="DI20" i="20"/>
  <c r="L21" i="20"/>
  <c r="AN21" i="20"/>
  <c r="AQ21" i="20" s="1"/>
  <c r="AR21" i="20" s="1"/>
  <c r="DI21" i="20"/>
  <c r="BR23" i="20"/>
  <c r="DZ23" i="20" s="1"/>
  <c r="EB23" i="20" s="1"/>
  <c r="EH23" i="20" s="1"/>
  <c r="DM23" i="20" s="1"/>
  <c r="CB24" i="20"/>
  <c r="DL24" i="20"/>
  <c r="EE26" i="20"/>
  <c r="AZ27" i="20"/>
  <c r="BR27" i="20"/>
  <c r="DZ27" i="20" s="1"/>
  <c r="EB27" i="20" s="1"/>
  <c r="EH27" i="20" s="1"/>
  <c r="DM27" i="20" s="1"/>
  <c r="I28" i="20"/>
  <c r="DJ28" i="20" s="1"/>
  <c r="CA28" i="20"/>
  <c r="CB28" i="20" s="1"/>
  <c r="I31" i="20"/>
  <c r="M31" i="20" s="1"/>
  <c r="BF31" i="20" s="1"/>
  <c r="DI31" i="20"/>
  <c r="EE32" i="20"/>
  <c r="AK32" i="20"/>
  <c r="L34" i="20"/>
  <c r="AN34" i="20"/>
  <c r="DI34" i="20"/>
  <c r="I35" i="20"/>
  <c r="DJ35" i="20" s="1"/>
  <c r="I38" i="20"/>
  <c r="CA40" i="20"/>
  <c r="CB40" i="20" s="1"/>
  <c r="FY40" i="20"/>
  <c r="L42" i="20"/>
  <c r="BB44" i="20"/>
  <c r="FY45" i="20"/>
  <c r="GA45" i="20" s="1"/>
  <c r="DL46" i="20"/>
  <c r="FY47" i="20"/>
  <c r="CH58" i="20"/>
  <c r="BB60" i="20"/>
  <c r="AX63" i="20"/>
  <c r="CH64" i="20"/>
  <c r="GA65" i="20"/>
  <c r="CS65" i="20" s="1"/>
  <c r="FI65" i="20" s="1"/>
  <c r="U75" i="20"/>
  <c r="CH75" i="20"/>
  <c r="AK76" i="20"/>
  <c r="AM76" i="20" s="1"/>
  <c r="BB79" i="20"/>
  <c r="BZ81" i="20"/>
  <c r="BR81" i="20"/>
  <c r="DZ81" i="20" s="1"/>
  <c r="EB81" i="20" s="1"/>
  <c r="EG81" i="20" s="1"/>
  <c r="BB82" i="20"/>
  <c r="CH83" i="20"/>
  <c r="BB84" i="20"/>
  <c r="U85" i="20"/>
  <c r="BB86" i="20"/>
  <c r="CH90" i="20"/>
  <c r="L91" i="20"/>
  <c r="EK94" i="20"/>
  <c r="ET94" i="20" s="1"/>
  <c r="EU94" i="20" s="1"/>
  <c r="EV94" i="20" s="1"/>
  <c r="BR107" i="20"/>
  <c r="DZ107" i="20" s="1"/>
  <c r="EB107" i="20" s="1"/>
  <c r="CH109" i="20"/>
  <c r="AN114" i="20"/>
  <c r="AL120" i="20"/>
  <c r="CB120" i="20"/>
  <c r="GD122" i="20"/>
  <c r="BZ124" i="20"/>
  <c r="AN125" i="20"/>
  <c r="CA127" i="20"/>
  <c r="DI129" i="20"/>
  <c r="I129" i="20"/>
  <c r="CH130" i="20"/>
  <c r="CH140" i="20"/>
  <c r="EE147" i="20"/>
  <c r="AX148" i="20"/>
  <c r="CM148" i="20" s="1"/>
  <c r="EK148" i="20"/>
  <c r="EY148" i="20" s="1"/>
  <c r="EZ148" i="20" s="1"/>
  <c r="CD151" i="20"/>
  <c r="CE151" i="20" s="1"/>
  <c r="AT153" i="20"/>
  <c r="DU153" i="20" s="1"/>
  <c r="AQ162" i="20"/>
  <c r="Y175" i="20"/>
  <c r="EL175" i="20"/>
  <c r="EK175" i="20" s="1"/>
  <c r="CA135" i="20"/>
  <c r="BZ139" i="20"/>
  <c r="CB139" i="20" s="1"/>
  <c r="BF140" i="20"/>
  <c r="CO140" i="20" s="1"/>
  <c r="CH142" i="20"/>
  <c r="CH143" i="20"/>
  <c r="CD147" i="20"/>
  <c r="CE147" i="20" s="1"/>
  <c r="M148" i="20"/>
  <c r="AN150" i="20"/>
  <c r="CA152" i="20"/>
  <c r="CB152" i="20" s="1"/>
  <c r="AQ155" i="20"/>
  <c r="AQ160" i="20"/>
  <c r="BE161" i="20"/>
  <c r="FX162" i="20"/>
  <c r="GA162" i="20" s="1"/>
  <c r="CH163" i="20"/>
  <c r="CH164" i="20"/>
  <c r="T168" i="20"/>
  <c r="AJ168" i="20"/>
  <c r="CA172" i="20"/>
  <c r="CH177" i="20"/>
  <c r="CH179" i="20"/>
  <c r="BA189" i="20"/>
  <c r="DI207" i="20"/>
  <c r="P207" i="20"/>
  <c r="DY207" i="20" s="1"/>
  <c r="M207" i="20"/>
  <c r="T244" i="20"/>
  <c r="FX244" i="20"/>
  <c r="EE244" i="20"/>
  <c r="AN244" i="20"/>
  <c r="U244" i="20"/>
  <c r="BE341" i="20"/>
  <c r="DL341" i="20"/>
  <c r="AN341" i="20"/>
  <c r="BA401" i="20"/>
  <c r="BB401" i="20" s="1"/>
  <c r="X401" i="20"/>
  <c r="DI405" i="20"/>
  <c r="M405" i="20"/>
  <c r="AX405" i="20"/>
  <c r="CM405" i="20" s="1"/>
  <c r="FG405" i="20" s="1"/>
  <c r="EE179" i="20"/>
  <c r="EL189" i="20"/>
  <c r="EK189" i="20" s="1"/>
  <c r="Y189" i="20"/>
  <c r="DT189" i="20" s="1"/>
  <c r="DI199" i="20"/>
  <c r="DL217" i="20"/>
  <c r="L217" i="20"/>
  <c r="I217" i="20"/>
  <c r="BB217" i="20" s="1"/>
  <c r="AM217" i="20"/>
  <c r="X243" i="20"/>
  <c r="BA243" i="20"/>
  <c r="BB243" i="20" s="1"/>
  <c r="FZ257" i="20"/>
  <c r="CD257" i="20"/>
  <c r="CE257" i="20" s="1"/>
  <c r="AK266" i="20"/>
  <c r="L266" i="20"/>
  <c r="I266" i="20"/>
  <c r="M266" i="20" s="1"/>
  <c r="EE271" i="20"/>
  <c r="Q271" i="20"/>
  <c r="BR271" i="20" s="1"/>
  <c r="DZ271" i="20" s="1"/>
  <c r="FZ273" i="20"/>
  <c r="X335" i="20"/>
  <c r="EL335" i="20" s="1"/>
  <c r="EK335" i="20" s="1"/>
  <c r="BA335" i="20"/>
  <c r="AS336" i="20"/>
  <c r="DL336" i="20"/>
  <c r="AM343" i="20"/>
  <c r="AS343" i="20"/>
  <c r="AS351" i="20"/>
  <c r="AM351" i="20"/>
  <c r="BR131" i="20"/>
  <c r="DZ131" i="20" s="1"/>
  <c r="EB131" i="20" s="1"/>
  <c r="FY131" i="20"/>
  <c r="GA131" i="20" s="1"/>
  <c r="CS131" i="20" s="1"/>
  <c r="BK142" i="20"/>
  <c r="BM142" i="20" s="1"/>
  <c r="CA144" i="20"/>
  <c r="FY145" i="20"/>
  <c r="BZ145" i="20"/>
  <c r="EE146" i="20"/>
  <c r="DY147" i="20"/>
  <c r="BE149" i="20"/>
  <c r="EE150" i="20"/>
  <c r="EE151" i="20"/>
  <c r="AT158" i="20"/>
  <c r="DU158" i="20" s="1"/>
  <c r="U161" i="20"/>
  <c r="AY161" i="20" s="1"/>
  <c r="BH161" i="20" s="1"/>
  <c r="BZ171" i="20"/>
  <c r="CB171" i="20" s="1"/>
  <c r="I176" i="20"/>
  <c r="AX176" i="20" s="1"/>
  <c r="X178" i="20"/>
  <c r="Y178" i="20" s="1"/>
  <c r="DT178" i="20" s="1"/>
  <c r="FX179" i="20"/>
  <c r="AN181" i="20"/>
  <c r="DL185" i="20"/>
  <c r="AM185" i="20"/>
  <c r="S186" i="20"/>
  <c r="AN186" i="20" s="1"/>
  <c r="DL186" i="20"/>
  <c r="AM186" i="20"/>
  <c r="X186" i="20"/>
  <c r="AM192" i="20"/>
  <c r="DL192" i="20"/>
  <c r="S192" i="20"/>
  <c r="EE192" i="20"/>
  <c r="L192" i="20"/>
  <c r="Q193" i="20"/>
  <c r="FY193" i="20" s="1"/>
  <c r="FX193" i="20"/>
  <c r="U193" i="20"/>
  <c r="AM194" i="20"/>
  <c r="L194" i="20"/>
  <c r="X210" i="20"/>
  <c r="EL210" i="20" s="1"/>
  <c r="EK210" i="20" s="1"/>
  <c r="BA210" i="20"/>
  <c r="Y227" i="20"/>
  <c r="EL227" i="20"/>
  <c r="EK227" i="20" s="1"/>
  <c r="DI128" i="20"/>
  <c r="ET128" i="20" s="1"/>
  <c r="T131" i="20"/>
  <c r="BZ131" i="20"/>
  <c r="DI132" i="20"/>
  <c r="ET132" i="20" s="1"/>
  <c r="EU132" i="20" s="1"/>
  <c r="EV132" i="20" s="1"/>
  <c r="DL135" i="20"/>
  <c r="BZ137" i="20"/>
  <c r="FX139" i="20"/>
  <c r="BR142" i="20"/>
  <c r="DZ142" i="20" s="1"/>
  <c r="EB142" i="20" s="1"/>
  <c r="AL143" i="20"/>
  <c r="BR144" i="20"/>
  <c r="DZ144" i="20" s="1"/>
  <c r="EB144" i="20" s="1"/>
  <c r="CA145" i="20"/>
  <c r="T147" i="20"/>
  <c r="BR147" i="20"/>
  <c r="DZ147" i="20" s="1"/>
  <c r="FY147" i="20"/>
  <c r="GA147" i="20" s="1"/>
  <c r="CS147" i="20" s="1"/>
  <c r="BK148" i="20"/>
  <c r="BL148" i="20" s="1"/>
  <c r="BN148" i="20" s="1"/>
  <c r="DY149" i="20"/>
  <c r="BK149" i="20"/>
  <c r="BL149" i="20" s="1"/>
  <c r="BN149" i="20" s="1"/>
  <c r="BE151" i="20"/>
  <c r="DI151" i="20"/>
  <c r="EE152" i="20"/>
  <c r="AJ152" i="20"/>
  <c r="X155" i="20"/>
  <c r="Y155" i="20" s="1"/>
  <c r="BI155" i="20" s="1"/>
  <c r="AT159" i="20"/>
  <c r="DU159" i="20" s="1"/>
  <c r="CH161" i="20"/>
  <c r="N166" i="20"/>
  <c r="AL166" i="20" s="1"/>
  <c r="X168" i="20"/>
  <c r="EL168" i="20" s="1"/>
  <c r="EK168" i="20" s="1"/>
  <c r="X169" i="20"/>
  <c r="Y169" i="20" s="1"/>
  <c r="BI169" i="20" s="1"/>
  <c r="N172" i="20"/>
  <c r="EE172" i="20" s="1"/>
  <c r="CA173" i="20"/>
  <c r="CA174" i="20"/>
  <c r="L176" i="20"/>
  <c r="BE177" i="20"/>
  <c r="CA183" i="20"/>
  <c r="CM185" i="20"/>
  <c r="FG185" i="20" s="1"/>
  <c r="FY187" i="20"/>
  <c r="T187" i="20"/>
  <c r="T190" i="20"/>
  <c r="BE190" i="20"/>
  <c r="U195" i="20"/>
  <c r="FX195" i="20"/>
  <c r="EE195" i="20"/>
  <c r="DL204" i="20"/>
  <c r="AM204" i="20"/>
  <c r="L204" i="20"/>
  <c r="CA213" i="20"/>
  <c r="BZ213" i="20"/>
  <c r="T213" i="20"/>
  <c r="AY213" i="20" s="1"/>
  <c r="BR213" i="20"/>
  <c r="DZ213" i="20" s="1"/>
  <c r="EB213" i="20" s="1"/>
  <c r="EG213" i="20" s="1"/>
  <c r="AN217" i="20"/>
  <c r="AL217" i="20"/>
  <c r="Q278" i="20"/>
  <c r="CA278" i="20" s="1"/>
  <c r="EE278" i="20"/>
  <c r="FX292" i="20"/>
  <c r="U292" i="20"/>
  <c r="BE292" i="20"/>
  <c r="BA293" i="20"/>
  <c r="X293" i="20"/>
  <c r="EL293" i="20" s="1"/>
  <c r="EK293" i="20" s="1"/>
  <c r="FY332" i="20"/>
  <c r="CC332" i="20"/>
  <c r="CD332" i="20"/>
  <c r="I130" i="20"/>
  <c r="DJ130" i="20" s="1"/>
  <c r="AK130" i="20"/>
  <c r="AM130" i="20" s="1"/>
  <c r="AN135" i="20"/>
  <c r="U137" i="20"/>
  <c r="FX137" i="20"/>
  <c r="GA137" i="20" s="1"/>
  <c r="CS137" i="20" s="1"/>
  <c r="I139" i="20"/>
  <c r="DJ139" i="20" s="1"/>
  <c r="AN142" i="20"/>
  <c r="T144" i="20"/>
  <c r="FY144" i="20"/>
  <c r="BZ147" i="20"/>
  <c r="BZ148" i="20"/>
  <c r="CA148" i="20"/>
  <c r="T149" i="20"/>
  <c r="BR149" i="20"/>
  <c r="DZ149" i="20" s="1"/>
  <c r="FY149" i="20"/>
  <c r="GA149" i="20" s="1"/>
  <c r="CS149" i="20" s="1"/>
  <c r="DY151" i="20"/>
  <c r="BK151" i="20"/>
  <c r="BM151" i="20" s="1"/>
  <c r="AQ154" i="20"/>
  <c r="M159" i="20"/>
  <c r="AQ159" i="20"/>
  <c r="AX161" i="20"/>
  <c r="BE162" i="20"/>
  <c r="CA163" i="20"/>
  <c r="BI165" i="20"/>
  <c r="BZ166" i="20"/>
  <c r="DL169" i="20"/>
  <c r="BZ170" i="20"/>
  <c r="FX170" i="20"/>
  <c r="CH171" i="20"/>
  <c r="T172" i="20"/>
  <c r="AY172" i="20" s="1"/>
  <c r="AZ172" i="20" s="1"/>
  <c r="BZ173" i="20"/>
  <c r="U174" i="20"/>
  <c r="AM174" i="20"/>
  <c r="DL174" i="20"/>
  <c r="BZ175" i="20"/>
  <c r="I177" i="20"/>
  <c r="M177" i="20" s="1"/>
  <c r="X177" i="20"/>
  <c r="I178" i="20"/>
  <c r="DI178" i="20" s="1"/>
  <c r="DL178" i="20"/>
  <c r="L181" i="20"/>
  <c r="X181" i="20"/>
  <c r="U183" i="20"/>
  <c r="AM183" i="20"/>
  <c r="DL183" i="20"/>
  <c r="L185" i="20"/>
  <c r="L186" i="20"/>
  <c r="CA188" i="20"/>
  <c r="N188" i="20"/>
  <c r="EE188" i="20" s="1"/>
  <c r="BR188" i="20"/>
  <c r="DZ188" i="20" s="1"/>
  <c r="EB188" i="20" s="1"/>
  <c r="EH188" i="20" s="1"/>
  <c r="BZ188" i="20"/>
  <c r="U192" i="20"/>
  <c r="BE192" i="20"/>
  <c r="Q195" i="20"/>
  <c r="T195" i="20" s="1"/>
  <c r="T201" i="20"/>
  <c r="FX201" i="20"/>
  <c r="EL209" i="20"/>
  <c r="EK209" i="20" s="1"/>
  <c r="Y218" i="20"/>
  <c r="DT218" i="20" s="1"/>
  <c r="AN227" i="20"/>
  <c r="DL227" i="20"/>
  <c r="L227" i="20"/>
  <c r="I227" i="20"/>
  <c r="AM231" i="20"/>
  <c r="AN231" i="20"/>
  <c r="CA237" i="20"/>
  <c r="BZ237" i="20"/>
  <c r="T237" i="20"/>
  <c r="FX257" i="20"/>
  <c r="U257" i="20"/>
  <c r="BE257" i="20"/>
  <c r="CA147" i="20"/>
  <c r="AN148" i="20"/>
  <c r="BZ149" i="20"/>
  <c r="CB149" i="20" s="1"/>
  <c r="BZ150" i="20"/>
  <c r="CA150" i="20"/>
  <c r="BR151" i="20"/>
  <c r="DZ151" i="20" s="1"/>
  <c r="BK152" i="20"/>
  <c r="T154" i="20"/>
  <c r="CH155" i="20"/>
  <c r="X156" i="20"/>
  <c r="Y156" i="20" s="1"/>
  <c r="M162" i="20"/>
  <c r="BR162" i="20"/>
  <c r="DZ162" i="20" s="1"/>
  <c r="EB162" i="20" s="1"/>
  <c r="BR165" i="20"/>
  <c r="DZ165" i="20" s="1"/>
  <c r="EB165" i="20" s="1"/>
  <c r="EH165" i="20" s="1"/>
  <c r="FY166" i="20"/>
  <c r="I168" i="20"/>
  <c r="AX168" i="20" s="1"/>
  <c r="CM168" i="20" s="1"/>
  <c r="CU168" i="20" s="1"/>
  <c r="I169" i="20"/>
  <c r="BB169" i="20" s="1"/>
  <c r="CA170" i="20"/>
  <c r="BZ172" i="20"/>
  <c r="FX172" i="20"/>
  <c r="AN174" i="20"/>
  <c r="U175" i="20"/>
  <c r="L177" i="20"/>
  <c r="U179" i="20"/>
  <c r="CA182" i="20"/>
  <c r="AN183" i="20"/>
  <c r="BZ184" i="20"/>
  <c r="GA189" i="20"/>
  <c r="CS189" i="20" s="1"/>
  <c r="BA194" i="20"/>
  <c r="X194" i="20"/>
  <c r="DL209" i="20"/>
  <c r="L209" i="20"/>
  <c r="AK220" i="20"/>
  <c r="AJ220" i="20" s="1"/>
  <c r="L220" i="20"/>
  <c r="AM227" i="20"/>
  <c r="AN193" i="20"/>
  <c r="BI201" i="20"/>
  <c r="EB203" i="20"/>
  <c r="FX203" i="20"/>
  <c r="CH213" i="20"/>
  <c r="BR214" i="20"/>
  <c r="DZ214" i="20" s="1"/>
  <c r="EB214" i="20" s="1"/>
  <c r="EH214" i="20" s="1"/>
  <c r="DM214" i="20" s="1"/>
  <c r="T222" i="20"/>
  <c r="AY222" i="20" s="1"/>
  <c r="BH222" i="20" s="1"/>
  <c r="T223" i="20"/>
  <c r="T224" i="20"/>
  <c r="AY224" i="20" s="1"/>
  <c r="T230" i="20"/>
  <c r="AY230" i="20" s="1"/>
  <c r="BH230" i="20" s="1"/>
  <c r="BR230" i="20"/>
  <c r="DZ230" i="20" s="1"/>
  <c r="EB230" i="20" s="1"/>
  <c r="EG230" i="20" s="1"/>
  <c r="CH232" i="20"/>
  <c r="BA234" i="20"/>
  <c r="BZ236" i="20"/>
  <c r="EG243" i="20"/>
  <c r="CA247" i="20"/>
  <c r="FX260" i="20"/>
  <c r="FZ271" i="20"/>
  <c r="CD271" i="20"/>
  <c r="CH273" i="20"/>
  <c r="EK289" i="20"/>
  <c r="CD321" i="20"/>
  <c r="U321" i="20"/>
  <c r="CF321" i="20"/>
  <c r="CH321" i="20" s="1"/>
  <c r="CG424" i="20"/>
  <c r="CH186" i="20"/>
  <c r="BZ189" i="20"/>
  <c r="AM189" i="20"/>
  <c r="AM190" i="20"/>
  <c r="AK191" i="20"/>
  <c r="AJ191" i="20" s="1"/>
  <c r="CH191" i="20"/>
  <c r="X196" i="20"/>
  <c r="U199" i="20"/>
  <c r="AN199" i="20"/>
  <c r="BB203" i="20"/>
  <c r="CH204" i="20"/>
  <c r="Q205" i="20"/>
  <c r="AK205" i="20"/>
  <c r="BB207" i="20"/>
  <c r="L208" i="20"/>
  <c r="AL214" i="20"/>
  <c r="X214" i="20"/>
  <c r="CA214" i="20"/>
  <c r="CB214" i="20" s="1"/>
  <c r="CI214" i="20" s="1"/>
  <c r="EE214" i="20"/>
  <c r="AX215" i="20"/>
  <c r="AY217" i="20"/>
  <c r="AZ217" i="20" s="1"/>
  <c r="L218" i="20"/>
  <c r="CH218" i="20"/>
  <c r="X219" i="20"/>
  <c r="Y219" i="20" s="1"/>
  <c r="BZ219" i="20"/>
  <c r="GA219" i="20"/>
  <c r="X220" i="20"/>
  <c r="BA223" i="20"/>
  <c r="AK225" i="20"/>
  <c r="AJ225" i="20" s="1"/>
  <c r="DL225" i="20"/>
  <c r="BR226" i="20"/>
  <c r="DZ226" i="20" s="1"/>
  <c r="EB226" i="20" s="1"/>
  <c r="EG226" i="20" s="1"/>
  <c r="I229" i="20"/>
  <c r="BB229" i="20" s="1"/>
  <c r="X229" i="20"/>
  <c r="EL229" i="20" s="1"/>
  <c r="EK229" i="20" s="1"/>
  <c r="EE229" i="20"/>
  <c r="CH231" i="20"/>
  <c r="I232" i="20"/>
  <c r="AX232" i="20" s="1"/>
  <c r="CM232" i="20" s="1"/>
  <c r="AJ236" i="20"/>
  <c r="CH250" i="20"/>
  <c r="AX251" i="20"/>
  <c r="M251" i="20"/>
  <c r="BB251" i="20"/>
  <c r="AX253" i="20"/>
  <c r="M253" i="20"/>
  <c r="DI253" i="20"/>
  <c r="U255" i="20"/>
  <c r="CD255" i="20"/>
  <c r="CE255" i="20" s="1"/>
  <c r="AM255" i="20"/>
  <c r="X263" i="20"/>
  <c r="EL263" i="20" s="1"/>
  <c r="EK263" i="20" s="1"/>
  <c r="EA286" i="20"/>
  <c r="FZ286" i="20"/>
  <c r="DL351" i="20"/>
  <c r="CF359" i="20"/>
  <c r="CH359" i="20" s="1"/>
  <c r="U359" i="20"/>
  <c r="FZ359" i="20"/>
  <c r="FY214" i="20"/>
  <c r="GA214" i="20" s="1"/>
  <c r="BA230" i="20"/>
  <c r="X230" i="20"/>
  <c r="Y230" i="20" s="1"/>
  <c r="BI230" i="20" s="1"/>
  <c r="FY231" i="20"/>
  <c r="GA231" i="20" s="1"/>
  <c r="CS231" i="20" s="1"/>
  <c r="CA231" i="20"/>
  <c r="CB231" i="20" s="1"/>
  <c r="CH244" i="20"/>
  <c r="CF251" i="20"/>
  <c r="CH251" i="20" s="1"/>
  <c r="L251" i="20"/>
  <c r="BE271" i="20"/>
  <c r="U271" i="20"/>
  <c r="FX271" i="20"/>
  <c r="AK277" i="20"/>
  <c r="DL277" i="20"/>
  <c r="DI279" i="20"/>
  <c r="M279" i="20"/>
  <c r="Y289" i="20"/>
  <c r="CD289" i="20"/>
  <c r="CE289" i="20" s="1"/>
  <c r="AK335" i="20"/>
  <c r="I335" i="20"/>
  <c r="DI335" i="20" s="1"/>
  <c r="X346" i="20"/>
  <c r="EL346" i="20" s="1"/>
  <c r="EK346" i="20" s="1"/>
  <c r="BA346" i="20"/>
  <c r="BB346" i="20" s="1"/>
  <c r="U186" i="20"/>
  <c r="AN195" i="20"/>
  <c r="CH210" i="20"/>
  <c r="FX211" i="20"/>
  <c r="AK213" i="20"/>
  <c r="BR216" i="20"/>
  <c r="DZ216" i="20" s="1"/>
  <c r="EB216" i="20" s="1"/>
  <c r="AK218" i="20"/>
  <c r="EB220" i="20"/>
  <c r="EG220" i="20" s="1"/>
  <c r="L221" i="20"/>
  <c r="X222" i="20"/>
  <c r="BZ222" i="20"/>
  <c r="CB222" i="20" s="1"/>
  <c r="X224" i="20"/>
  <c r="EE225" i="20"/>
  <c r="AK229" i="20"/>
  <c r="AJ229" i="20" s="1"/>
  <c r="CH230" i="20"/>
  <c r="BZ233" i="20"/>
  <c r="CA233" i="20"/>
  <c r="FY235" i="20"/>
  <c r="GA235" i="20" s="1"/>
  <c r="CS235" i="20" s="1"/>
  <c r="CA235" i="20"/>
  <c r="CB235" i="20" s="1"/>
  <c r="CI235" i="20" s="1"/>
  <c r="AN235" i="20"/>
  <c r="X241" i="20"/>
  <c r="BE246" i="20"/>
  <c r="U246" i="20"/>
  <c r="X249" i="20"/>
  <c r="EL249" i="20" s="1"/>
  <c r="X258" i="20"/>
  <c r="EL258" i="20" s="1"/>
  <c r="EK258" i="20" s="1"/>
  <c r="EE264" i="20"/>
  <c r="Q264" i="20"/>
  <c r="AL264" i="20" s="1"/>
  <c r="EE265" i="20"/>
  <c r="Q265" i="20"/>
  <c r="FY265" i="20" s="1"/>
  <c r="AX274" i="20"/>
  <c r="M274" i="20"/>
  <c r="L281" i="20"/>
  <c r="EE289" i="20"/>
  <c r="Q289" i="20"/>
  <c r="FY289" i="20" s="1"/>
  <c r="GA289" i="20" s="1"/>
  <c r="CS289" i="20" s="1"/>
  <c r="X302" i="20"/>
  <c r="EL302" i="20" s="1"/>
  <c r="EK302" i="20" s="1"/>
  <c r="BA302" i="20"/>
  <c r="DL304" i="20"/>
  <c r="AS304" i="20"/>
  <c r="AM304" i="20"/>
  <c r="AS342" i="20"/>
  <c r="DL342" i="20"/>
  <c r="AM342" i="20"/>
  <c r="I189" i="20"/>
  <c r="AX189" i="20" s="1"/>
  <c r="CM189" i="20" s="1"/>
  <c r="FG189" i="20" s="1"/>
  <c r="I191" i="20"/>
  <c r="EE194" i="20"/>
  <c r="Q196" i="20"/>
  <c r="FY196" i="20" s="1"/>
  <c r="L198" i="20"/>
  <c r="FX199" i="20"/>
  <c r="EE205" i="20"/>
  <c r="L210" i="20"/>
  <c r="AM213" i="20"/>
  <c r="T214" i="20"/>
  <c r="CA216" i="20"/>
  <c r="BR217" i="20"/>
  <c r="DZ217" i="20" s="1"/>
  <c r="T219" i="20"/>
  <c r="AY219" i="20" s="1"/>
  <c r="CH223" i="20"/>
  <c r="T226" i="20"/>
  <c r="AY226" i="20" s="1"/>
  <c r="EE228" i="20"/>
  <c r="AN229" i="20"/>
  <c r="T231" i="20"/>
  <c r="AY231" i="20" s="1"/>
  <c r="T236" i="20"/>
  <c r="AY236" i="20" s="1"/>
  <c r="AZ236" i="20" s="1"/>
  <c r="AY237" i="20"/>
  <c r="BH237" i="20" s="1"/>
  <c r="X238" i="20"/>
  <c r="AN239" i="20"/>
  <c r="AM239" i="20"/>
  <c r="FX252" i="20"/>
  <c r="U252" i="20"/>
  <c r="M254" i="20"/>
  <c r="Q260" i="20"/>
  <c r="FX265" i="20"/>
  <c r="U265" i="20"/>
  <c r="BZ266" i="20"/>
  <c r="CB266" i="20" s="1"/>
  <c r="CD278" i="20"/>
  <c r="CE278" i="20" s="1"/>
  <c r="FZ278" i="20"/>
  <c r="AK287" i="20"/>
  <c r="I287" i="20"/>
  <c r="BB287" i="20" s="1"/>
  <c r="FX299" i="20"/>
  <c r="U299" i="20"/>
  <c r="BE299" i="20"/>
  <c r="Y303" i="20"/>
  <c r="DT303" i="20" s="1"/>
  <c r="BB187" i="20"/>
  <c r="CH187" i="20"/>
  <c r="AK188" i="20"/>
  <c r="AJ188" i="20" s="1"/>
  <c r="L189" i="20"/>
  <c r="L191" i="20"/>
  <c r="DL195" i="20"/>
  <c r="EE198" i="20"/>
  <c r="DL203" i="20"/>
  <c r="FX205" i="20"/>
  <c r="BI209" i="20"/>
  <c r="CH211" i="20"/>
  <c r="CH212" i="20"/>
  <c r="GA213" i="20"/>
  <c r="CH221" i="20"/>
  <c r="CH225" i="20"/>
  <c r="BB227" i="20"/>
  <c r="DL229" i="20"/>
  <c r="FY230" i="20"/>
  <c r="GA230" i="20" s="1"/>
  <c r="CA230" i="20"/>
  <c r="CB230" i="20" s="1"/>
  <c r="AN238" i="20"/>
  <c r="DL238" i="20"/>
  <c r="I238" i="20"/>
  <c r="BB238" i="20" s="1"/>
  <c r="BA240" i="20"/>
  <c r="X240" i="20"/>
  <c r="Y240" i="20" s="1"/>
  <c r="BZ246" i="20"/>
  <c r="FX250" i="20"/>
  <c r="U250" i="20"/>
  <c r="L262" i="20"/>
  <c r="I262" i="20"/>
  <c r="AX262" i="20" s="1"/>
  <c r="CM262" i="20" s="1"/>
  <c r="BE275" i="20"/>
  <c r="EA275" i="20"/>
  <c r="AM275" i="20"/>
  <c r="EK281" i="20"/>
  <c r="DY289" i="20"/>
  <c r="U297" i="20"/>
  <c r="FX297" i="20"/>
  <c r="FX325" i="20"/>
  <c r="U325" i="20"/>
  <c r="CD341" i="20"/>
  <c r="CE341" i="20" s="1"/>
  <c r="CH252" i="20"/>
  <c r="BB253" i="20"/>
  <c r="CE260" i="20"/>
  <c r="EE263" i="20"/>
  <c r="EK270" i="20"/>
  <c r="EE275" i="20"/>
  <c r="AN283" i="20"/>
  <c r="CD284" i="20"/>
  <c r="Q286" i="20"/>
  <c r="AN289" i="20"/>
  <c r="AX305" i="20"/>
  <c r="CM305" i="20" s="1"/>
  <c r="M305" i="20"/>
  <c r="DI305" i="20"/>
  <c r="EA320" i="20"/>
  <c r="DY320" i="20"/>
  <c r="L320" i="20"/>
  <c r="CF320" i="20"/>
  <c r="CH320" i="20" s="1"/>
  <c r="AK328" i="20"/>
  <c r="I328" i="20"/>
  <c r="DI328" i="20" s="1"/>
  <c r="AS329" i="20"/>
  <c r="AM329" i="20"/>
  <c r="FZ331" i="20"/>
  <c r="CF331" i="20"/>
  <c r="CH331" i="20" s="1"/>
  <c r="CD331" i="20"/>
  <c r="CE331" i="20" s="1"/>
  <c r="EA331" i="20"/>
  <c r="X349" i="20"/>
  <c r="EL349" i="20" s="1"/>
  <c r="EK349" i="20" s="1"/>
  <c r="BA349" i="20"/>
  <c r="BB349" i="20" s="1"/>
  <c r="BE416" i="20"/>
  <c r="Q416" i="20"/>
  <c r="T416" i="20" s="1"/>
  <c r="FX416" i="20"/>
  <c r="CH238" i="20"/>
  <c r="CH240" i="20"/>
  <c r="CH241" i="20"/>
  <c r="CI241" i="20" s="1"/>
  <c r="AJ242" i="20"/>
  <c r="CH242" i="20"/>
  <c r="FY244" i="20"/>
  <c r="DI244" i="20"/>
  <c r="AN245" i="20"/>
  <c r="AX246" i="20"/>
  <c r="CM246" i="20" s="1"/>
  <c r="X248" i="20"/>
  <c r="EL248" i="20" s="1"/>
  <c r="EK248" i="20" s="1"/>
  <c r="I252" i="20"/>
  <c r="EA254" i="20"/>
  <c r="X256" i="20"/>
  <c r="EL256" i="20" s="1"/>
  <c r="EK256" i="20" s="1"/>
  <c r="Q258" i="20"/>
  <c r="AL258" i="20" s="1"/>
  <c r="FZ258" i="20"/>
  <c r="X259" i="20"/>
  <c r="EL259" i="20" s="1"/>
  <c r="EK259" i="20" s="1"/>
  <c r="FZ263" i="20"/>
  <c r="DY264" i="20"/>
  <c r="AK265" i="20"/>
  <c r="AN271" i="20"/>
  <c r="AS271" i="20"/>
  <c r="Q273" i="20"/>
  <c r="CA273" i="20" s="1"/>
  <c r="DL275" i="20"/>
  <c r="EA277" i="20"/>
  <c r="DY278" i="20"/>
  <c r="EK280" i="20"/>
  <c r="BA281" i="20"/>
  <c r="I282" i="20"/>
  <c r="DI282" i="20" s="1"/>
  <c r="I283" i="20"/>
  <c r="AX283" i="20" s="1"/>
  <c r="CM283" i="20" s="1"/>
  <c r="Q284" i="20"/>
  <c r="CH287" i="20"/>
  <c r="EA287" i="20"/>
  <c r="DY288" i="20"/>
  <c r="BA292" i="20"/>
  <c r="X292" i="20"/>
  <c r="Y292" i="20" s="1"/>
  <c r="DT292" i="20" s="1"/>
  <c r="EE294" i="20"/>
  <c r="EE304" i="20"/>
  <c r="Q304" i="20"/>
  <c r="FY304" i="20" s="1"/>
  <c r="AL307" i="20"/>
  <c r="DL307" i="20"/>
  <c r="L307" i="20"/>
  <c r="I307" i="20"/>
  <c r="DI307" i="20" s="1"/>
  <c r="EK307" i="20"/>
  <c r="BA309" i="20"/>
  <c r="BB309" i="20" s="1"/>
  <c r="X309" i="20"/>
  <c r="EL309" i="20" s="1"/>
  <c r="EK309" i="20" s="1"/>
  <c r="L311" i="20"/>
  <c r="I311" i="20"/>
  <c r="AX311" i="20" s="1"/>
  <c r="CM311" i="20" s="1"/>
  <c r="EK311" i="20"/>
  <c r="AK312" i="20"/>
  <c r="I312" i="20"/>
  <c r="BB312" i="20" s="1"/>
  <c r="U314" i="20"/>
  <c r="FX314" i="20"/>
  <c r="AN314" i="20"/>
  <c r="CD320" i="20"/>
  <c r="CE320" i="20" s="1"/>
  <c r="DL327" i="20"/>
  <c r="AM328" i="20"/>
  <c r="BA333" i="20"/>
  <c r="X333" i="20"/>
  <c r="EL333" i="20" s="1"/>
  <c r="EK333" i="20" s="1"/>
  <c r="BE343" i="20"/>
  <c r="AN343" i="20"/>
  <c r="DY353" i="20"/>
  <c r="DY359" i="20"/>
  <c r="AN375" i="20"/>
  <c r="CF375" i="20"/>
  <c r="CD375" i="20"/>
  <c r="CE375" i="20" s="1"/>
  <c r="EA375" i="20"/>
  <c r="DY375" i="20"/>
  <c r="U395" i="20"/>
  <c r="FX395" i="20"/>
  <c r="EE248" i="20"/>
  <c r="BB250" i="20"/>
  <c r="Q251" i="20"/>
  <c r="BZ251" i="20" s="1"/>
  <c r="DY263" i="20"/>
  <c r="AK264" i="20"/>
  <c r="EK267" i="20"/>
  <c r="EE269" i="20"/>
  <c r="EA270" i="20"/>
  <c r="DY275" i="20"/>
  <c r="EE279" i="20"/>
  <c r="DY281" i="20"/>
  <c r="DL283" i="20"/>
  <c r="BE284" i="20"/>
  <c r="BB284" i="20"/>
  <c r="DY286" i="20"/>
  <c r="FZ293" i="20"/>
  <c r="X315" i="20"/>
  <c r="EL315" i="20" s="1"/>
  <c r="EK315" i="20" s="1"/>
  <c r="BA315" i="20"/>
  <c r="U320" i="20"/>
  <c r="DY324" i="20"/>
  <c r="AN331" i="20"/>
  <c r="EE336" i="20"/>
  <c r="DY341" i="20"/>
  <c r="Q348" i="20"/>
  <c r="BR348" i="20" s="1"/>
  <c r="DZ348" i="20" s="1"/>
  <c r="EA348" i="20"/>
  <c r="U348" i="20"/>
  <c r="CF348" i="20"/>
  <c r="FZ399" i="20"/>
  <c r="CB243" i="20"/>
  <c r="BB252" i="20"/>
  <c r="Q253" i="20"/>
  <c r="BZ253" i="20" s="1"/>
  <c r="AN254" i="20"/>
  <c r="FZ256" i="20"/>
  <c r="DY258" i="20"/>
  <c r="BE258" i="20"/>
  <c r="FZ259" i="20"/>
  <c r="EE261" i="20"/>
  <c r="CF261" i="20"/>
  <c r="CH261" i="20" s="1"/>
  <c r="Q263" i="20"/>
  <c r="T263" i="20" s="1"/>
  <c r="AK263" i="20"/>
  <c r="I264" i="20"/>
  <c r="M264" i="20" s="1"/>
  <c r="EE266" i="20"/>
  <c r="L267" i="20"/>
  <c r="L268" i="20"/>
  <c r="DL268" i="20"/>
  <c r="BE270" i="20"/>
  <c r="X272" i="20"/>
  <c r="EL272" i="20" s="1"/>
  <c r="EK272" i="20" s="1"/>
  <c r="DY273" i="20"/>
  <c r="Q275" i="20"/>
  <c r="BR275" i="20" s="1"/>
  <c r="DZ275" i="20" s="1"/>
  <c r="AM277" i="20"/>
  <c r="CD279" i="20"/>
  <c r="CE279" i="20" s="1"/>
  <c r="FZ280" i="20"/>
  <c r="DY284" i="20"/>
  <c r="AN286" i="20"/>
  <c r="EE288" i="20"/>
  <c r="Y295" i="20"/>
  <c r="FZ307" i="20"/>
  <c r="CF307" i="20"/>
  <c r="CH307" i="20" s="1"/>
  <c r="U307" i="20"/>
  <c r="Y311" i="20"/>
  <c r="EA311" i="20"/>
  <c r="U311" i="20"/>
  <c r="BE311" i="20"/>
  <c r="AN312" i="20"/>
  <c r="FZ312" i="20"/>
  <c r="AK315" i="20"/>
  <c r="I315" i="20"/>
  <c r="CH317" i="20"/>
  <c r="L326" i="20"/>
  <c r="AK326" i="20"/>
  <c r="AM327" i="20"/>
  <c r="CF327" i="20"/>
  <c r="L327" i="20"/>
  <c r="DY331" i="20"/>
  <c r="DY345" i="20"/>
  <c r="CD347" i="20"/>
  <c r="CE347" i="20" s="1"/>
  <c r="EA347" i="20"/>
  <c r="CF347" i="20"/>
  <c r="CH347" i="20" s="1"/>
  <c r="FX350" i="20"/>
  <c r="EA361" i="20"/>
  <c r="FZ361" i="20"/>
  <c r="CF379" i="20"/>
  <c r="Y379" i="20"/>
  <c r="BI379" i="20" s="1"/>
  <c r="AY241" i="20"/>
  <c r="FY247" i="20"/>
  <c r="DY251" i="20"/>
  <c r="CH253" i="20"/>
  <c r="X257" i="20"/>
  <c r="EL257" i="20" s="1"/>
  <c r="EK257" i="20" s="1"/>
  <c r="CD258" i="20"/>
  <c r="Q259" i="20"/>
  <c r="AM260" i="20"/>
  <c r="EE262" i="20"/>
  <c r="FZ262" i="20"/>
  <c r="I263" i="20"/>
  <c r="DI263" i="20" s="1"/>
  <c r="U264" i="20"/>
  <c r="BB265" i="20"/>
  <c r="T266" i="20"/>
  <c r="EE267" i="20"/>
  <c r="EA267" i="20"/>
  <c r="EE268" i="20"/>
  <c r="AM268" i="20"/>
  <c r="CH270" i="20"/>
  <c r="DY270" i="20"/>
  <c r="AN273" i="20"/>
  <c r="I275" i="20"/>
  <c r="AX275" i="20" s="1"/>
  <c r="CM275" i="20" s="1"/>
  <c r="L278" i="20"/>
  <c r="X278" i="20"/>
  <c r="EL278" i="20" s="1"/>
  <c r="EK278" i="20" s="1"/>
  <c r="CF279" i="20"/>
  <c r="CH279" i="20" s="1"/>
  <c r="EE281" i="20"/>
  <c r="EE282" i="20"/>
  <c r="FZ282" i="20"/>
  <c r="EE283" i="20"/>
  <c r="I286" i="20"/>
  <c r="BB286" i="20" s="1"/>
  <c r="EE286" i="20"/>
  <c r="EE287" i="20"/>
  <c r="DL291" i="20"/>
  <c r="EK291" i="20"/>
  <c r="U293" i="20"/>
  <c r="CD293" i="20"/>
  <c r="CE293" i="20" s="1"/>
  <c r="X314" i="20"/>
  <c r="EL314" i="20" s="1"/>
  <c r="EK314" i="20" s="1"/>
  <c r="BA314" i="20"/>
  <c r="CF325" i="20"/>
  <c r="CH325" i="20" s="1"/>
  <c r="L325" i="20"/>
  <c r="BZ365" i="20"/>
  <c r="CA365" i="20"/>
  <c r="AN234" i="20"/>
  <c r="CH245" i="20"/>
  <c r="Q248" i="20"/>
  <c r="BE248" i="20"/>
  <c r="Q250" i="20"/>
  <c r="DY253" i="20"/>
  <c r="BB254" i="20"/>
  <c r="DY256" i="20"/>
  <c r="BE256" i="20"/>
  <c r="U258" i="20"/>
  <c r="BE259" i="20"/>
  <c r="Y260" i="20"/>
  <c r="BI260" i="20" s="1"/>
  <c r="EA260" i="20"/>
  <c r="DY261" i="20"/>
  <c r="EA261" i="20"/>
  <c r="U263" i="20"/>
  <c r="L265" i="20"/>
  <c r="X265" i="20"/>
  <c r="EL265" i="20" s="1"/>
  <c r="EK265" i="20" s="1"/>
  <c r="FX266" i="20"/>
  <c r="CD270" i="20"/>
  <c r="CE270" i="20" s="1"/>
  <c r="L271" i="20"/>
  <c r="I273" i="20"/>
  <c r="Q274" i="20"/>
  <c r="BZ274" i="20" s="1"/>
  <c r="U275" i="20"/>
  <c r="EE280" i="20"/>
  <c r="DL281" i="20"/>
  <c r="AS283" i="20"/>
  <c r="EK284" i="20"/>
  <c r="FX284" i="20"/>
  <c r="CD287" i="20"/>
  <c r="CE287" i="20" s="1"/>
  <c r="AM288" i="20"/>
  <c r="DL289" i="20"/>
  <c r="AK290" i="20"/>
  <c r="Q292" i="20"/>
  <c r="AL292" i="20" s="1"/>
  <c r="CD292" i="20"/>
  <c r="CE292" i="20" s="1"/>
  <c r="DY293" i="20"/>
  <c r="CF297" i="20"/>
  <c r="CH297" i="20" s="1"/>
  <c r="EA297" i="20"/>
  <c r="CH299" i="20"/>
  <c r="DY312" i="20"/>
  <c r="EA315" i="20"/>
  <c r="CF315" i="20"/>
  <c r="CH315" i="20" s="1"/>
  <c r="BE327" i="20"/>
  <c r="CD327" i="20"/>
  <c r="CE327" i="20" s="1"/>
  <c r="L337" i="20"/>
  <c r="I337" i="20"/>
  <c r="AK337" i="20"/>
  <c r="DL337" i="20"/>
  <c r="DY348" i="20"/>
  <c r="CD359" i="20"/>
  <c r="CE359" i="20" s="1"/>
  <c r="FX362" i="20"/>
  <c r="BE362" i="20"/>
  <c r="U362" i="20"/>
  <c r="AN362" i="20"/>
  <c r="BB290" i="20"/>
  <c r="L295" i="20"/>
  <c r="L297" i="20"/>
  <c r="Y300" i="20"/>
  <c r="Q301" i="20"/>
  <c r="CA301" i="20" s="1"/>
  <c r="CD304" i="20"/>
  <c r="CE304" i="20" s="1"/>
  <c r="DY305" i="20"/>
  <c r="BE307" i="20"/>
  <c r="EA309" i="20"/>
  <c r="DY314" i="20"/>
  <c r="BE317" i="20"/>
  <c r="EE318" i="20"/>
  <c r="EA319" i="20"/>
  <c r="FX322" i="20"/>
  <c r="Q324" i="20"/>
  <c r="EA325" i="20"/>
  <c r="CF326" i="20"/>
  <c r="CH326" i="20" s="1"/>
  <c r="BA332" i="20"/>
  <c r="AK334" i="20"/>
  <c r="CF340" i="20"/>
  <c r="CH340" i="20" s="1"/>
  <c r="EE341" i="20"/>
  <c r="EE345" i="20"/>
  <c r="CA354" i="20"/>
  <c r="BZ354" i="20"/>
  <c r="BR354" i="20"/>
  <c r="DZ354" i="20" s="1"/>
  <c r="EB354" i="20" s="1"/>
  <c r="Q363" i="20"/>
  <c r="CA363" i="20" s="1"/>
  <c r="AN370" i="20"/>
  <c r="Q389" i="20"/>
  <c r="CA389" i="20" s="1"/>
  <c r="CF401" i="20"/>
  <c r="DA404" i="20"/>
  <c r="FG404" i="20"/>
  <c r="I410" i="20"/>
  <c r="BB410" i="20" s="1"/>
  <c r="AK410" i="20"/>
  <c r="L410" i="20"/>
  <c r="X290" i="20"/>
  <c r="DY291" i="20"/>
  <c r="EA293" i="20"/>
  <c r="CF296" i="20"/>
  <c r="CH296" i="20" s="1"/>
  <c r="Q297" i="20"/>
  <c r="BZ297" i="20" s="1"/>
  <c r="L300" i="20"/>
  <c r="BA301" i="20"/>
  <c r="X304" i="20"/>
  <c r="EL304" i="20" s="1"/>
  <c r="EK304" i="20" s="1"/>
  <c r="CF304" i="20"/>
  <c r="CH304" i="20" s="1"/>
  <c r="CD310" i="20"/>
  <c r="X312" i="20"/>
  <c r="EL312" i="20" s="1"/>
  <c r="EK312" i="20" s="1"/>
  <c r="EK313" i="20"/>
  <c r="EA318" i="20"/>
  <c r="Q319" i="20"/>
  <c r="BR319" i="20" s="1"/>
  <c r="DZ319" i="20" s="1"/>
  <c r="AN319" i="20"/>
  <c r="X321" i="20"/>
  <c r="EL321" i="20" s="1"/>
  <c r="EK321" i="20" s="1"/>
  <c r="Q325" i="20"/>
  <c r="BR325" i="20" s="1"/>
  <c r="DZ325" i="20" s="1"/>
  <c r="DL329" i="20"/>
  <c r="DY330" i="20"/>
  <c r="AM331" i="20"/>
  <c r="EA333" i="20"/>
  <c r="BA334" i="20"/>
  <c r="BB334" i="20" s="1"/>
  <c r="DY337" i="20"/>
  <c r="FZ337" i="20"/>
  <c r="DY338" i="20"/>
  <c r="AM341" i="20"/>
  <c r="X342" i="20"/>
  <c r="EA344" i="20"/>
  <c r="BE347" i="20"/>
  <c r="Q350" i="20"/>
  <c r="T350" i="20" s="1"/>
  <c r="CH354" i="20"/>
  <c r="Y365" i="20"/>
  <c r="DT365" i="20" s="1"/>
  <c r="AN365" i="20"/>
  <c r="U365" i="20"/>
  <c r="CD365" i="20"/>
  <c r="CE365" i="20" s="1"/>
  <c r="U379" i="20"/>
  <c r="X386" i="20"/>
  <c r="EL386" i="20" s="1"/>
  <c r="EK386" i="20" s="1"/>
  <c r="BE396" i="20"/>
  <c r="FX396" i="20"/>
  <c r="AS404" i="20"/>
  <c r="AM404" i="20"/>
  <c r="DL405" i="20"/>
  <c r="AM405" i="20"/>
  <c r="AK405" i="20"/>
  <c r="L405" i="20"/>
  <c r="AM410" i="20"/>
  <c r="BE429" i="20"/>
  <c r="Q429" i="20"/>
  <c r="BA491" i="20"/>
  <c r="X491" i="20"/>
  <c r="BE293" i="20"/>
  <c r="EA294" i="20"/>
  <c r="DY295" i="20"/>
  <c r="AK295" i="20"/>
  <c r="DY297" i="20"/>
  <c r="BE302" i="20"/>
  <c r="EE305" i="20"/>
  <c r="DY306" i="20"/>
  <c r="AM308" i="20"/>
  <c r="EK317" i="20"/>
  <c r="Q318" i="20"/>
  <c r="CA318" i="20" s="1"/>
  <c r="FX318" i="20"/>
  <c r="BE319" i="20"/>
  <c r="EE321" i="20"/>
  <c r="FZ321" i="20"/>
  <c r="AM322" i="20"/>
  <c r="CD322" i="20"/>
  <c r="CE322" i="20" s="1"/>
  <c r="DY325" i="20"/>
  <c r="EE326" i="20"/>
  <c r="AM326" i="20"/>
  <c r="FZ327" i="20"/>
  <c r="AN332" i="20"/>
  <c r="AN336" i="20"/>
  <c r="AX338" i="20"/>
  <c r="CM338" i="20" s="1"/>
  <c r="U339" i="20"/>
  <c r="AM340" i="20"/>
  <c r="EA340" i="20"/>
  <c r="CE344" i="20"/>
  <c r="BE352" i="20"/>
  <c r="AN352" i="20"/>
  <c r="FX352" i="20"/>
  <c r="U352" i="20"/>
  <c r="DL364" i="20"/>
  <c r="L364" i="20"/>
  <c r="BA364" i="20"/>
  <c r="X364" i="20"/>
  <c r="Y364" i="20" s="1"/>
  <c r="Q368" i="20"/>
  <c r="FY368" i="20" s="1"/>
  <c r="Q375" i="20"/>
  <c r="BR375" i="20" s="1"/>
  <c r="DZ375" i="20" s="1"/>
  <c r="U377" i="20"/>
  <c r="DY377" i="20"/>
  <c r="AK384" i="20"/>
  <c r="DL384" i="20"/>
  <c r="AM394" i="20"/>
  <c r="DI396" i="20"/>
  <c r="EE399" i="20"/>
  <c r="Q399" i="20"/>
  <c r="AL399" i="20" s="1"/>
  <c r="I418" i="20"/>
  <c r="L418" i="20"/>
  <c r="L445" i="20"/>
  <c r="AK445" i="20"/>
  <c r="I445" i="20"/>
  <c r="AN297" i="20"/>
  <c r="EK301" i="20"/>
  <c r="FZ305" i="20"/>
  <c r="DI306" i="20"/>
  <c r="EE307" i="20"/>
  <c r="DY308" i="20"/>
  <c r="EE311" i="20"/>
  <c r="EE312" i="20"/>
  <c r="EE316" i="20"/>
  <c r="EK322" i="20"/>
  <c r="CF322" i="20"/>
  <c r="CH322" i="20" s="1"/>
  <c r="BB324" i="20"/>
  <c r="AN326" i="20"/>
  <c r="DL330" i="20"/>
  <c r="BA338" i="20"/>
  <c r="BB338" i="20" s="1"/>
  <c r="AN340" i="20"/>
  <c r="EK341" i="20"/>
  <c r="FZ342" i="20"/>
  <c r="EE346" i="20"/>
  <c r="FZ346" i="20"/>
  <c r="CD346" i="20"/>
  <c r="L359" i="20"/>
  <c r="U368" i="20"/>
  <c r="FX368" i="20"/>
  <c r="BE368" i="20"/>
  <c r="AK370" i="20"/>
  <c r="I370" i="20"/>
  <c r="DI384" i="20"/>
  <c r="M384" i="20"/>
  <c r="CH391" i="20"/>
  <c r="BB402" i="20"/>
  <c r="BE411" i="20"/>
  <c r="FX411" i="20"/>
  <c r="U411" i="20"/>
  <c r="EE416" i="20"/>
  <c r="CF443" i="20"/>
  <c r="CD443" i="20"/>
  <c r="CE443" i="20" s="1"/>
  <c r="L443" i="20"/>
  <c r="EA443" i="20"/>
  <c r="BE290" i="20"/>
  <c r="Q294" i="20"/>
  <c r="BZ294" i="20" s="1"/>
  <c r="Q296" i="20"/>
  <c r="T296" i="20" s="1"/>
  <c r="X298" i="20"/>
  <c r="EL298" i="20" s="1"/>
  <c r="EK298" i="20" s="1"/>
  <c r="Q303" i="20"/>
  <c r="AK303" i="20"/>
  <c r="EE306" i="20"/>
  <c r="EE308" i="20"/>
  <c r="L309" i="20"/>
  <c r="DY315" i="20"/>
  <c r="FZ317" i="20"/>
  <c r="U318" i="20"/>
  <c r="AM320" i="20"/>
  <c r="DY321" i="20"/>
  <c r="BE321" i="20"/>
  <c r="EE322" i="20"/>
  <c r="Q323" i="20"/>
  <c r="CA323" i="20" s="1"/>
  <c r="X324" i="20"/>
  <c r="EL324" i="20" s="1"/>
  <c r="EK324" i="20" s="1"/>
  <c r="BE326" i="20"/>
  <c r="EA326" i="20"/>
  <c r="U327" i="20"/>
  <c r="AK327" i="20"/>
  <c r="Q329" i="20"/>
  <c r="CA329" i="20" s="1"/>
  <c r="BE329" i="20"/>
  <c r="EA330" i="20"/>
  <c r="Q336" i="20"/>
  <c r="T336" i="20" s="1"/>
  <c r="CD337" i="20"/>
  <c r="CE337" i="20" s="1"/>
  <c r="AS340" i="20"/>
  <c r="EK345" i="20"/>
  <c r="X354" i="20"/>
  <c r="EL354" i="20" s="1"/>
  <c r="EK354" i="20" s="1"/>
  <c r="BA354" i="20"/>
  <c r="BB354" i="20" s="1"/>
  <c r="I357" i="20"/>
  <c r="AX357" i="20" s="1"/>
  <c r="CM357" i="20" s="1"/>
  <c r="AK357" i="20"/>
  <c r="L357" i="20"/>
  <c r="BA359" i="20"/>
  <c r="BB359" i="20" s="1"/>
  <c r="X359" i="20"/>
  <c r="EL359" i="20" s="1"/>
  <c r="EK359" i="20" s="1"/>
  <c r="Q369" i="20"/>
  <c r="BE372" i="20"/>
  <c r="CD372" i="20"/>
  <c r="CE372" i="20" s="1"/>
  <c r="AK391" i="20"/>
  <c r="I391" i="20"/>
  <c r="Y398" i="20"/>
  <c r="DT398" i="20" s="1"/>
  <c r="EL398" i="20"/>
  <c r="EK398" i="20" s="1"/>
  <c r="L401" i="20"/>
  <c r="AM402" i="20"/>
  <c r="X402" i="20"/>
  <c r="EL402" i="20" s="1"/>
  <c r="EK402" i="20" s="1"/>
  <c r="Q409" i="20"/>
  <c r="BZ409" i="20" s="1"/>
  <c r="U412" i="20"/>
  <c r="BE412" i="20"/>
  <c r="EE425" i="20"/>
  <c r="Q425" i="20"/>
  <c r="BR425" i="20" s="1"/>
  <c r="DZ425" i="20" s="1"/>
  <c r="EB425" i="20" s="1"/>
  <c r="AK434" i="20"/>
  <c r="I434" i="20"/>
  <c r="DI434" i="20" s="1"/>
  <c r="Y435" i="20"/>
  <c r="U435" i="20"/>
  <c r="EA435" i="20"/>
  <c r="BE435" i="20"/>
  <c r="BB297" i="20"/>
  <c r="BB300" i="20"/>
  <c r="DY307" i="20"/>
  <c r="EE309" i="20"/>
  <c r="FZ309" i="20"/>
  <c r="DY311" i="20"/>
  <c r="U313" i="20"/>
  <c r="Q314" i="20"/>
  <c r="BE314" i="20"/>
  <c r="FZ319" i="20"/>
  <c r="BB325" i="20"/>
  <c r="DY327" i="20"/>
  <c r="BE340" i="20"/>
  <c r="FZ341" i="20"/>
  <c r="AK351" i="20"/>
  <c r="L351" i="20"/>
  <c r="FZ363" i="20"/>
  <c r="CD363" i="20"/>
  <c r="CE363" i="20" s="1"/>
  <c r="Q395" i="20"/>
  <c r="BZ395" i="20" s="1"/>
  <c r="BE402" i="20"/>
  <c r="U402" i="20"/>
  <c r="CF402" i="20"/>
  <c r="CH402" i="20" s="1"/>
  <c r="FZ402" i="20"/>
  <c r="CD402" i="20"/>
  <c r="CE402" i="20" s="1"/>
  <c r="EA407" i="20"/>
  <c r="CF407" i="20"/>
  <c r="CD407" i="20"/>
  <c r="CE407" i="20" s="1"/>
  <c r="BE409" i="20"/>
  <c r="U409" i="20"/>
  <c r="EE432" i="20"/>
  <c r="Q432" i="20"/>
  <c r="T432" i="20" s="1"/>
  <c r="AY432" i="20" s="1"/>
  <c r="BH432" i="20" s="1"/>
  <c r="BE346" i="20"/>
  <c r="DY347" i="20"/>
  <c r="Q357" i="20"/>
  <c r="CA357" i="20" s="1"/>
  <c r="FX357" i="20"/>
  <c r="U360" i="20"/>
  <c r="DL360" i="20"/>
  <c r="DL362" i="20"/>
  <c r="EA363" i="20"/>
  <c r="EE366" i="20"/>
  <c r="CH367" i="20"/>
  <c r="BE375" i="20"/>
  <c r="L377" i="20"/>
  <c r="AM378" i="20"/>
  <c r="AK382" i="20"/>
  <c r="CD385" i="20"/>
  <c r="CE385" i="20" s="1"/>
  <c r="FZ386" i="20"/>
  <c r="EK388" i="20"/>
  <c r="CD391" i="20"/>
  <c r="CE391" i="20" s="1"/>
  <c r="Q396" i="20"/>
  <c r="T396" i="20" s="1"/>
  <c r="BE398" i="20"/>
  <c r="BE399" i="20"/>
  <c r="BA399" i="20"/>
  <c r="BB399" i="20" s="1"/>
  <c r="EE402" i="20"/>
  <c r="AN403" i="20"/>
  <c r="U405" i="20"/>
  <c r="BE405" i="20"/>
  <c r="BE407" i="20"/>
  <c r="Y408" i="20"/>
  <c r="DY409" i="20"/>
  <c r="BA409" i="20"/>
  <c r="BB409" i="20" s="1"/>
  <c r="DY412" i="20"/>
  <c r="BA412" i="20"/>
  <c r="AS424" i="20"/>
  <c r="AM424" i="20"/>
  <c r="CD424" i="20"/>
  <c r="FZ424" i="20"/>
  <c r="DY425" i="20"/>
  <c r="CD425" i="20"/>
  <c r="CE425" i="20" s="1"/>
  <c r="FZ434" i="20"/>
  <c r="CD434" i="20"/>
  <c r="CE434" i="20" s="1"/>
  <c r="AN434" i="20"/>
  <c r="FX446" i="20"/>
  <c r="U446" i="20"/>
  <c r="BE446" i="20"/>
  <c r="DL449" i="20"/>
  <c r="AK449" i="20"/>
  <c r="I449" i="20"/>
  <c r="DI468" i="20"/>
  <c r="AX468" i="20"/>
  <c r="BA473" i="20"/>
  <c r="BB473" i="20" s="1"/>
  <c r="BH489" i="20"/>
  <c r="AZ489" i="20"/>
  <c r="DL352" i="20"/>
  <c r="AK354" i="20"/>
  <c r="AX356" i="20"/>
  <c r="DI356" i="20"/>
  <c r="CD357" i="20"/>
  <c r="CE357" i="20" s="1"/>
  <c r="M359" i="20"/>
  <c r="AK361" i="20"/>
  <c r="I362" i="20"/>
  <c r="DY363" i="20"/>
  <c r="BE365" i="20"/>
  <c r="DY369" i="20"/>
  <c r="EE370" i="20"/>
  <c r="FX370" i="20"/>
  <c r="Q377" i="20"/>
  <c r="EA377" i="20"/>
  <c r="DY379" i="20"/>
  <c r="DY382" i="20"/>
  <c r="BE383" i="20"/>
  <c r="L388" i="20"/>
  <c r="EA389" i="20"/>
  <c r="AM391" i="20"/>
  <c r="BE394" i="20"/>
  <c r="AK394" i="20"/>
  <c r="DY399" i="20"/>
  <c r="AN401" i="20"/>
  <c r="EA401" i="20"/>
  <c r="L404" i="20"/>
  <c r="BB405" i="20"/>
  <c r="DY407" i="20"/>
  <c r="AX411" i="20"/>
  <c r="CM411" i="20" s="1"/>
  <c r="DY424" i="20"/>
  <c r="CF424" i="20"/>
  <c r="CH424" i="20" s="1"/>
  <c r="CF425" i="20"/>
  <c r="CH425" i="20" s="1"/>
  <c r="BE427" i="20"/>
  <c r="U427" i="20"/>
  <c r="FX427" i="20"/>
  <c r="Q427" i="20"/>
  <c r="AL427" i="20" s="1"/>
  <c r="DY431" i="20"/>
  <c r="CD494" i="20"/>
  <c r="CE494" i="20" s="1"/>
  <c r="FZ494" i="20"/>
  <c r="FY494" i="20" s="1"/>
  <c r="GA494" i="20" s="1"/>
  <c r="EA494" i="20"/>
  <c r="EB494" i="20" s="1"/>
  <c r="EH494" i="20" s="1"/>
  <c r="FX354" i="20"/>
  <c r="BA355" i="20"/>
  <c r="BB355" i="20" s="1"/>
  <c r="EE357" i="20"/>
  <c r="EA359" i="20"/>
  <c r="AM361" i="20"/>
  <c r="EE373" i="20"/>
  <c r="FZ378" i="20"/>
  <c r="FY378" i="20" s="1"/>
  <c r="EA378" i="20"/>
  <c r="CH382" i="20"/>
  <c r="DY383" i="20"/>
  <c r="EE383" i="20"/>
  <c r="CF385" i="20"/>
  <c r="X387" i="20"/>
  <c r="EL387" i="20" s="1"/>
  <c r="EK387" i="20" s="1"/>
  <c r="ET387" i="20" s="1"/>
  <c r="EU387" i="20" s="1"/>
  <c r="EV387" i="20" s="1"/>
  <c r="EE388" i="20"/>
  <c r="I392" i="20"/>
  <c r="BB392" i="20" s="1"/>
  <c r="DY394" i="20"/>
  <c r="CH401" i="20"/>
  <c r="DY401" i="20"/>
  <c r="DY402" i="20"/>
  <c r="DL404" i="20"/>
  <c r="BB411" i="20"/>
  <c r="X416" i="20"/>
  <c r="EL416" i="20" s="1"/>
  <c r="EK416" i="20" s="1"/>
  <c r="BA416" i="20"/>
  <c r="I420" i="20"/>
  <c r="M420" i="20" s="1"/>
  <c r="AK420" i="20"/>
  <c r="CF436" i="20"/>
  <c r="U436" i="20"/>
  <c r="BA465" i="20"/>
  <c r="BB465" i="20" s="1"/>
  <c r="X465" i="20"/>
  <c r="BE348" i="20"/>
  <c r="L360" i="20"/>
  <c r="X361" i="20"/>
  <c r="EL361" i="20" s="1"/>
  <c r="EK361" i="20" s="1"/>
  <c r="ET361" i="20" s="1"/>
  <c r="EU361" i="20" s="1"/>
  <c r="EV361" i="20" s="1"/>
  <c r="AK367" i="20"/>
  <c r="CD368" i="20"/>
  <c r="CE368" i="20" s="1"/>
  <c r="EE377" i="20"/>
  <c r="BE378" i="20"/>
  <c r="BA379" i="20"/>
  <c r="EE384" i="20"/>
  <c r="BE388" i="20"/>
  <c r="EE391" i="20"/>
  <c r="AM396" i="20"/>
  <c r="I398" i="20"/>
  <c r="AK401" i="20"/>
  <c r="Q402" i="20"/>
  <c r="FZ403" i="20"/>
  <c r="EA403" i="20"/>
  <c r="FZ406" i="20"/>
  <c r="CF408" i="20"/>
  <c r="CH408" i="20" s="1"/>
  <c r="EK409" i="20"/>
  <c r="BE410" i="20"/>
  <c r="X411" i="20"/>
  <c r="X415" i="20"/>
  <c r="EL415" i="20" s="1"/>
  <c r="EK415" i="20" s="1"/>
  <c r="BA415" i="20"/>
  <c r="DI425" i="20"/>
  <c r="AX425" i="20"/>
  <c r="CM425" i="20" s="1"/>
  <c r="DL425" i="20"/>
  <c r="I432" i="20"/>
  <c r="DL432" i="20"/>
  <c r="AM352" i="20"/>
  <c r="BB353" i="20"/>
  <c r="U358" i="20"/>
  <c r="AK358" i="20"/>
  <c r="Q360" i="20"/>
  <c r="AN360" i="20"/>
  <c r="X362" i="20"/>
  <c r="EL362" i="20" s="1"/>
  <c r="EK362" i="20" s="1"/>
  <c r="CD362" i="20"/>
  <c r="CE362" i="20" s="1"/>
  <c r="L365" i="20"/>
  <c r="AL365" i="20"/>
  <c r="Q367" i="20"/>
  <c r="BZ367" i="20" s="1"/>
  <c r="L369" i="20"/>
  <c r="AS370" i="20"/>
  <c r="DL374" i="20"/>
  <c r="DL379" i="20"/>
  <c r="EK379" i="20"/>
  <c r="Q380" i="20"/>
  <c r="T380" i="20" s="1"/>
  <c r="FX383" i="20"/>
  <c r="DY385" i="20"/>
  <c r="DY386" i="20"/>
  <c r="DI395" i="20"/>
  <c r="EK399" i="20"/>
  <c r="EE400" i="20"/>
  <c r="AX401" i="20"/>
  <c r="CM401" i="20" s="1"/>
  <c r="AX402" i="20"/>
  <c r="CM402" i="20" s="1"/>
  <c r="BE403" i="20"/>
  <c r="FZ404" i="20"/>
  <c r="EE405" i="20"/>
  <c r="Q408" i="20"/>
  <c r="I415" i="20"/>
  <c r="L415" i="20"/>
  <c r="BA427" i="20"/>
  <c r="X427" i="20"/>
  <c r="EL427" i="20" s="1"/>
  <c r="EK427" i="20" s="1"/>
  <c r="BA430" i="20"/>
  <c r="DL443" i="20"/>
  <c r="AY490" i="20"/>
  <c r="AZ490" i="20" s="1"/>
  <c r="CB493" i="20"/>
  <c r="EK353" i="20"/>
  <c r="AX359" i="20"/>
  <c r="BE360" i="20"/>
  <c r="M365" i="20"/>
  <c r="EE368" i="20"/>
  <c r="M377" i="20"/>
  <c r="AX377" i="20"/>
  <c r="AM383" i="20"/>
  <c r="DL394" i="20"/>
  <c r="AK400" i="20"/>
  <c r="Q403" i="20"/>
  <c r="BZ403" i="20" s="1"/>
  <c r="FZ412" i="20"/>
  <c r="AM417" i="20"/>
  <c r="AS417" i="20"/>
  <c r="X434" i="20"/>
  <c r="EL434" i="20" s="1"/>
  <c r="EK434" i="20" s="1"/>
  <c r="ET434" i="20" s="1"/>
  <c r="EU434" i="20" s="1"/>
  <c r="EV434" i="20" s="1"/>
  <c r="BA434" i="20"/>
  <c r="DI448" i="20"/>
  <c r="M448" i="20"/>
  <c r="BF448" i="20" s="1"/>
  <c r="CO448" i="20" s="1"/>
  <c r="CB487" i="20"/>
  <c r="BH491" i="20"/>
  <c r="EA429" i="20"/>
  <c r="FZ429" i="20"/>
  <c r="EA431" i="20"/>
  <c r="FZ431" i="20"/>
  <c r="AM432" i="20"/>
  <c r="CH433" i="20"/>
  <c r="CD433" i="20"/>
  <c r="Q436" i="20"/>
  <c r="BZ436" i="20" s="1"/>
  <c r="U440" i="20"/>
  <c r="BA444" i="20"/>
  <c r="CH448" i="20"/>
  <c r="AQ466" i="20"/>
  <c r="AR466" i="20" s="1"/>
  <c r="AQ469" i="20"/>
  <c r="AR469" i="20" s="1"/>
  <c r="CE471" i="20"/>
  <c r="BA472" i="20"/>
  <c r="BB472" i="20" s="1"/>
  <c r="DI473" i="20"/>
  <c r="EB475" i="20"/>
  <c r="EH475" i="20" s="1"/>
  <c r="BH479" i="20"/>
  <c r="CH483" i="20"/>
  <c r="GA484" i="20"/>
  <c r="BA485" i="20"/>
  <c r="BB485" i="20" s="1"/>
  <c r="EB486" i="20"/>
  <c r="EH486" i="20" s="1"/>
  <c r="DM486" i="20" s="1"/>
  <c r="AX488" i="20"/>
  <c r="GA489" i="20"/>
  <c r="CE490" i="20"/>
  <c r="CD491" i="20"/>
  <c r="CE491" i="20" s="1"/>
  <c r="FZ493" i="20"/>
  <c r="EA414" i="20"/>
  <c r="AM415" i="20"/>
  <c r="EE419" i="20"/>
  <c r="BE421" i="20"/>
  <c r="FX421" i="20"/>
  <c r="L425" i="20"/>
  <c r="FZ425" i="20"/>
  <c r="BA428" i="20"/>
  <c r="BB428" i="20" s="1"/>
  <c r="EA430" i="20"/>
  <c r="EE437" i="20"/>
  <c r="CD439" i="20"/>
  <c r="CE439" i="20" s="1"/>
  <c r="Q443" i="20"/>
  <c r="AL443" i="20" s="1"/>
  <c r="BE443" i="20"/>
  <c r="X445" i="20"/>
  <c r="EL445" i="20" s="1"/>
  <c r="EK445" i="20" s="1"/>
  <c r="BA447" i="20"/>
  <c r="CD465" i="20"/>
  <c r="CE465" i="20" s="1"/>
  <c r="CI465" i="20" s="1"/>
  <c r="CE468" i="20"/>
  <c r="CH469" i="20"/>
  <c r="EH470" i="20"/>
  <c r="DM470" i="20" s="1"/>
  <c r="CH473" i="20"/>
  <c r="CI473" i="20" s="1"/>
  <c r="CB475" i="20"/>
  <c r="AQ476" i="20"/>
  <c r="AR476" i="20" s="1"/>
  <c r="EB478" i="20"/>
  <c r="EH478" i="20" s="1"/>
  <c r="DM478" i="20" s="1"/>
  <c r="EB481" i="20"/>
  <c r="EH481" i="20" s="1"/>
  <c r="DM481" i="20" s="1"/>
  <c r="GA487" i="20"/>
  <c r="DI492" i="20"/>
  <c r="AQ493" i="20"/>
  <c r="AR493" i="20" s="1"/>
  <c r="CH496" i="20"/>
  <c r="DY435" i="20"/>
  <c r="DY436" i="20"/>
  <c r="CH440" i="20"/>
  <c r="BA441" i="20"/>
  <c r="AX465" i="20"/>
  <c r="AY484" i="20"/>
  <c r="AZ484" i="20" s="1"/>
  <c r="BF494" i="20"/>
  <c r="CB494" i="20"/>
  <c r="CI494" i="20" s="1"/>
  <c r="CK494" i="20" s="1"/>
  <c r="EA495" i="20"/>
  <c r="EB495" i="20" s="1"/>
  <c r="EH495" i="20" s="1"/>
  <c r="DM495" i="20" s="1"/>
  <c r="AX496" i="20"/>
  <c r="U413" i="20"/>
  <c r="Y418" i="20"/>
  <c r="DT418" i="20" s="1"/>
  <c r="BE419" i="20"/>
  <c r="AN425" i="20"/>
  <c r="DY426" i="20"/>
  <c r="DY427" i="20"/>
  <c r="AN432" i="20"/>
  <c r="BE432" i="20"/>
  <c r="EA432" i="20"/>
  <c r="DY433" i="20"/>
  <c r="EE434" i="20"/>
  <c r="BA436" i="20"/>
  <c r="Y437" i="20"/>
  <c r="BA438" i="20"/>
  <c r="BB438" i="20" s="1"/>
  <c r="U439" i="20"/>
  <c r="Y441" i="20"/>
  <c r="DT441" i="20" s="1"/>
  <c r="DY443" i="20"/>
  <c r="FZ445" i="20"/>
  <c r="AM446" i="20"/>
  <c r="CF446" i="20"/>
  <c r="CH446" i="20" s="1"/>
  <c r="FZ446" i="20"/>
  <c r="DY447" i="20"/>
  <c r="EA448" i="20"/>
  <c r="GA467" i="20"/>
  <c r="CE469" i="20"/>
  <c r="AQ473" i="20"/>
  <c r="AR473" i="20" s="1"/>
  <c r="CB473" i="20"/>
  <c r="AQ474" i="20"/>
  <c r="AR474" i="20" s="1"/>
  <c r="M475" i="20"/>
  <c r="BF475" i="20" s="1"/>
  <c r="CE475" i="20"/>
  <c r="CB479" i="20"/>
  <c r="GA479" i="20"/>
  <c r="CB482" i="20"/>
  <c r="CB483" i="20"/>
  <c r="AQ485" i="20"/>
  <c r="AR485" i="20" s="1"/>
  <c r="GA486" i="20"/>
  <c r="BA487" i="20"/>
  <c r="BB487" i="20" s="1"/>
  <c r="CH487" i="20"/>
  <c r="AQ489" i="20"/>
  <c r="AR489" i="20" s="1"/>
  <c r="DU489" i="20" s="1"/>
  <c r="AQ491" i="20"/>
  <c r="AR491" i="20" s="1"/>
  <c r="BE493" i="20"/>
  <c r="DI493" i="20"/>
  <c r="BA496" i="20"/>
  <c r="BB496" i="20" s="1"/>
  <c r="L431" i="20"/>
  <c r="BE434" i="20"/>
  <c r="DL439" i="20"/>
  <c r="Q440" i="20"/>
  <c r="EK447" i="20"/>
  <c r="M465" i="20"/>
  <c r="AX469" i="20"/>
  <c r="M473" i="20"/>
  <c r="BF473" i="20" s="1"/>
  <c r="M474" i="20"/>
  <c r="BF474" i="20" s="1"/>
  <c r="AX486" i="20"/>
  <c r="EE420" i="20"/>
  <c r="Y421" i="20"/>
  <c r="CD430" i="20"/>
  <c r="CE430" i="20" s="1"/>
  <c r="I431" i="20"/>
  <c r="CD432" i="20"/>
  <c r="CE432" i="20" s="1"/>
  <c r="EK435" i="20"/>
  <c r="BE437" i="20"/>
  <c r="FY437" i="20"/>
  <c r="FX437" i="20"/>
  <c r="X439" i="20"/>
  <c r="EL439" i="20" s="1"/>
  <c r="EK439" i="20" s="1"/>
  <c r="I442" i="20"/>
  <c r="DI442" i="20" s="1"/>
  <c r="U443" i="20"/>
  <c r="L446" i="20"/>
  <c r="U449" i="20"/>
  <c r="BE465" i="20"/>
  <c r="AY466" i="20"/>
  <c r="BH466" i="20" s="1"/>
  <c r="CE467" i="20"/>
  <c r="AQ468" i="20"/>
  <c r="AR468" i="20" s="1"/>
  <c r="AY469" i="20"/>
  <c r="AZ469" i="20" s="1"/>
  <c r="CE470" i="20"/>
  <c r="AY475" i="20"/>
  <c r="AZ475" i="20" s="1"/>
  <c r="BC475" i="20" s="1"/>
  <c r="BA476" i="20"/>
  <c r="BB476" i="20" s="1"/>
  <c r="EB477" i="20"/>
  <c r="EH477" i="20" s="1"/>
  <c r="CE478" i="20"/>
  <c r="CH479" i="20"/>
  <c r="AQ480" i="20"/>
  <c r="AR480" i="20" s="1"/>
  <c r="CH481" i="20"/>
  <c r="CE482" i="20"/>
  <c r="EB484" i="20"/>
  <c r="EH484" i="20" s="1"/>
  <c r="DM484" i="20" s="1"/>
  <c r="EB487" i="20"/>
  <c r="CB492" i="20"/>
  <c r="AY494" i="20"/>
  <c r="AZ494" i="20" s="1"/>
  <c r="DU494" i="20" s="1"/>
  <c r="L414" i="20"/>
  <c r="L427" i="20"/>
  <c r="EK429" i="20"/>
  <c r="CH430" i="20"/>
  <c r="EK431" i="20"/>
  <c r="CF432" i="20"/>
  <c r="EK433" i="20"/>
  <c r="DY440" i="20"/>
  <c r="EB465" i="20"/>
  <c r="EH465" i="20" s="1"/>
  <c r="AY467" i="20"/>
  <c r="AZ467" i="20" s="1"/>
  <c r="GA468" i="20"/>
  <c r="CH470" i="20"/>
  <c r="AY473" i="20"/>
  <c r="AZ473" i="20" s="1"/>
  <c r="BC473" i="20" s="1"/>
  <c r="AY474" i="20"/>
  <c r="CH478" i="20"/>
  <c r="CE479" i="20"/>
  <c r="GA480" i="20"/>
  <c r="AQ482" i="20"/>
  <c r="AR482" i="20" s="1"/>
  <c r="CH482" i="20"/>
  <c r="AQ484" i="20"/>
  <c r="AR484" i="20" s="1"/>
  <c r="GA485" i="20"/>
  <c r="AQ487" i="20"/>
  <c r="AR487" i="20" s="1"/>
  <c r="M490" i="20"/>
  <c r="BF490" i="20" s="1"/>
  <c r="EA493" i="20"/>
  <c r="EB493" i="20" s="1"/>
  <c r="EH493" i="20" s="1"/>
  <c r="AQ496" i="20"/>
  <c r="AR496" i="20" s="1"/>
  <c r="O262" i="5"/>
  <c r="O255" i="5"/>
  <c r="O263" i="5"/>
  <c r="O271" i="5"/>
  <c r="O275" i="5"/>
  <c r="O283" i="5"/>
  <c r="O254" i="5"/>
  <c r="O270" i="5"/>
  <c r="O274" i="5"/>
  <c r="O282" i="5"/>
  <c r="O289" i="5"/>
  <c r="O256" i="5"/>
  <c r="O264" i="5"/>
  <c r="O272" i="5"/>
  <c r="O276" i="5"/>
  <c r="O284" i="5"/>
  <c r="O296" i="5"/>
  <c r="O308" i="5"/>
  <c r="O316" i="5"/>
  <c r="O257" i="5"/>
  <c r="O265" i="5"/>
  <c r="O277" i="5"/>
  <c r="O286" i="5"/>
  <c r="O297" i="5"/>
  <c r="O258" i="5"/>
  <c r="O266" i="5"/>
  <c r="O278" i="5"/>
  <c r="O287" i="5"/>
  <c r="O285" i="5"/>
  <c r="O302" i="5"/>
  <c r="O298" i="5"/>
  <c r="O310" i="5"/>
  <c r="O318" i="5"/>
  <c r="O329" i="5"/>
  <c r="O338" i="5"/>
  <c r="O259" i="5"/>
  <c r="O267" i="5"/>
  <c r="O279" i="5"/>
  <c r="O343" i="5"/>
  <c r="O353" i="5"/>
  <c r="O360" i="5"/>
  <c r="O369" i="5"/>
  <c r="O378" i="5"/>
  <c r="O386" i="5"/>
  <c r="O392" i="5"/>
  <c r="O400" i="5"/>
  <c r="O409" i="5"/>
  <c r="O417" i="5"/>
  <c r="O430" i="5"/>
  <c r="O438" i="5"/>
  <c r="O252" i="5"/>
  <c r="O260" i="5"/>
  <c r="O268" i="5"/>
  <c r="O280" i="5"/>
  <c r="O290" i="5"/>
  <c r="O292" i="5"/>
  <c r="O300" i="5"/>
  <c r="O304" i="5"/>
  <c r="O312" i="5"/>
  <c r="O323" i="5"/>
  <c r="O331" i="5"/>
  <c r="O325" i="5"/>
  <c r="O346" i="5"/>
  <c r="O344" i="5"/>
  <c r="O361" i="5"/>
  <c r="O370" i="5"/>
  <c r="O371" i="5"/>
  <c r="O379" i="5"/>
  <c r="O387" i="5"/>
  <c r="O253" i="5"/>
  <c r="O261" i="5"/>
  <c r="O269" i="5"/>
  <c r="O273" i="5"/>
  <c r="O281" i="5"/>
  <c r="O288" i="5"/>
  <c r="O293" i="5"/>
  <c r="O301" i="5"/>
  <c r="O305" i="5"/>
  <c r="O313" i="5"/>
  <c r="O320" i="5"/>
  <c r="O332" i="5"/>
  <c r="O326" i="5"/>
  <c r="FR99" i="5"/>
  <c r="O99" i="5"/>
  <c r="O148" i="5"/>
  <c r="N151" i="5"/>
  <c r="FU474" i="5"/>
  <c r="CB197" i="5"/>
  <c r="CB191" i="5"/>
  <c r="O448" i="5"/>
  <c r="O440" i="5"/>
  <c r="O432" i="5"/>
  <c r="O424" i="5"/>
  <c r="O416" i="5"/>
  <c r="O408" i="5"/>
  <c r="O384" i="5"/>
  <c r="O376" i="5"/>
  <c r="O368" i="5"/>
  <c r="O352" i="5"/>
  <c r="O336" i="5"/>
  <c r="O328" i="5"/>
  <c r="DF449" i="5"/>
  <c r="DS449" i="5"/>
  <c r="O153" i="5"/>
  <c r="N150" i="5"/>
  <c r="BV494" i="5"/>
  <c r="BV489" i="5"/>
  <c r="CC489" i="5" s="1"/>
  <c r="DV473" i="5"/>
  <c r="EB473" i="5" s="1"/>
  <c r="CB181" i="5"/>
  <c r="CB175" i="5"/>
  <c r="CB58" i="5"/>
  <c r="O453" i="5"/>
  <c r="O445" i="5"/>
  <c r="O437" i="5"/>
  <c r="O429" i="5"/>
  <c r="O421" i="5"/>
  <c r="O413" i="5"/>
  <c r="O405" i="5"/>
  <c r="O397" i="5"/>
  <c r="O389" i="5"/>
  <c r="O381" i="5"/>
  <c r="O373" i="5"/>
  <c r="O365" i="5"/>
  <c r="O357" i="5"/>
  <c r="O349" i="5"/>
  <c r="O341" i="5"/>
  <c r="O333" i="5"/>
  <c r="O317" i="5"/>
  <c r="O309" i="5"/>
  <c r="FR95" i="5"/>
  <c r="O95" i="5"/>
  <c r="FR97" i="5"/>
  <c r="O97" i="5"/>
  <c r="O152" i="5"/>
  <c r="N153" i="5"/>
  <c r="DV481" i="5"/>
  <c r="EB481" i="5" s="1"/>
  <c r="BV474" i="5"/>
  <c r="CB199" i="5"/>
  <c r="CB192" i="5"/>
  <c r="CB59" i="5"/>
  <c r="O450" i="5"/>
  <c r="O442" i="5"/>
  <c r="O434" i="5"/>
  <c r="O426" i="5"/>
  <c r="O418" i="5"/>
  <c r="O410" i="5"/>
  <c r="O402" i="5"/>
  <c r="O394" i="5"/>
  <c r="O362" i="5"/>
  <c r="O354" i="5"/>
  <c r="O330" i="5"/>
  <c r="O322" i="5"/>
  <c r="O314" i="5"/>
  <c r="O306" i="5"/>
  <c r="DS294" i="5"/>
  <c r="DS302" i="5"/>
  <c r="DS304" i="5"/>
  <c r="FR104" i="5"/>
  <c r="O104" i="5"/>
  <c r="FR96" i="5"/>
  <c r="O96" i="5"/>
  <c r="O151" i="5"/>
  <c r="CB227" i="5"/>
  <c r="CB200" i="5"/>
  <c r="CB110" i="5"/>
  <c r="CB92" i="5"/>
  <c r="CB78" i="5"/>
  <c r="O447" i="5"/>
  <c r="O439" i="5"/>
  <c r="O431" i="5"/>
  <c r="O423" i="5"/>
  <c r="O415" i="5"/>
  <c r="O407" i="5"/>
  <c r="O399" i="5"/>
  <c r="O391" i="5"/>
  <c r="O383" i="5"/>
  <c r="O375" i="5"/>
  <c r="O367" i="5"/>
  <c r="O359" i="5"/>
  <c r="O351" i="5"/>
  <c r="O335" i="5"/>
  <c r="O327" i="5"/>
  <c r="O319" i="5"/>
  <c r="O311" i="5"/>
  <c r="O303" i="5"/>
  <c r="O295" i="5"/>
  <c r="FR103" i="5"/>
  <c r="O103" i="5"/>
  <c r="O150" i="5"/>
  <c r="O452" i="5"/>
  <c r="O444" i="5"/>
  <c r="O436" i="5"/>
  <c r="O428" i="5"/>
  <c r="O420" i="5"/>
  <c r="O412" i="5"/>
  <c r="O404" i="5"/>
  <c r="O396" i="5"/>
  <c r="O388" i="5"/>
  <c r="O380" i="5"/>
  <c r="O372" i="5"/>
  <c r="O364" i="5"/>
  <c r="O356" i="5"/>
  <c r="O348" i="5"/>
  <c r="O340" i="5"/>
  <c r="O324" i="5"/>
  <c r="O98" i="5"/>
  <c r="FT445" i="5"/>
  <c r="FR102" i="5"/>
  <c r="O102" i="5"/>
  <c r="CB132" i="5"/>
  <c r="CB93" i="5"/>
  <c r="CB62" i="5"/>
  <c r="O449" i="5"/>
  <c r="O441" i="5"/>
  <c r="O433" i="5"/>
  <c r="O425" i="5"/>
  <c r="O401" i="5"/>
  <c r="O393" i="5"/>
  <c r="O385" i="5"/>
  <c r="O377" i="5"/>
  <c r="O345" i="5"/>
  <c r="O337" i="5"/>
  <c r="O321" i="5"/>
  <c r="P14" i="5"/>
  <c r="CB234" i="5"/>
  <c r="CB195" i="5"/>
  <c r="CB55" i="5"/>
  <c r="O446" i="5"/>
  <c r="O422" i="5"/>
  <c r="O414" i="5"/>
  <c r="O406" i="5"/>
  <c r="O398" i="5"/>
  <c r="O390" i="5"/>
  <c r="O382" i="5"/>
  <c r="O374" i="5"/>
  <c r="O366" i="5"/>
  <c r="O358" i="5"/>
  <c r="O350" i="5"/>
  <c r="O342" i="5"/>
  <c r="O334" i="5"/>
  <c r="O294" i="5"/>
  <c r="FR100" i="5"/>
  <c r="O100" i="5"/>
  <c r="N148" i="5"/>
  <c r="CB246" i="5"/>
  <c r="CB162" i="5"/>
  <c r="O443" i="5"/>
  <c r="O101" i="5"/>
  <c r="AV453" i="5"/>
  <c r="DF444" i="5"/>
  <c r="BY484" i="5"/>
  <c r="CC484" i="5" s="1"/>
  <c r="CE484" i="5" s="1"/>
  <c r="CB179" i="5"/>
  <c r="CB160" i="5"/>
  <c r="CB77" i="5"/>
  <c r="CB21" i="5"/>
  <c r="AV433" i="5"/>
  <c r="AV478" i="5"/>
  <c r="BV491" i="5"/>
  <c r="BV490" i="5"/>
  <c r="BY485" i="5"/>
  <c r="BV483" i="5"/>
  <c r="BV475" i="5"/>
  <c r="CC475" i="5" s="1"/>
  <c r="CE475" i="5" s="1"/>
  <c r="CB233" i="5"/>
  <c r="CB229" i="5"/>
  <c r="CB224" i="5"/>
  <c r="CB215" i="5"/>
  <c r="CB201" i="5"/>
  <c r="CB193" i="5"/>
  <c r="CB180" i="5"/>
  <c r="CB141" i="5"/>
  <c r="CB138" i="5"/>
  <c r="CB70" i="5"/>
  <c r="CB69" i="5"/>
  <c r="CB67" i="5"/>
  <c r="CB66" i="5"/>
  <c r="AV330" i="5"/>
  <c r="AV346" i="5"/>
  <c r="AV354" i="5"/>
  <c r="AV362" i="5"/>
  <c r="AV441" i="5"/>
  <c r="DS268" i="5"/>
  <c r="DF422" i="5"/>
  <c r="DS423" i="5"/>
  <c r="DF447" i="5"/>
  <c r="DS447" i="5"/>
  <c r="AK480" i="5"/>
  <c r="AL480" i="5" s="1"/>
  <c r="BY493" i="5"/>
  <c r="FU476" i="5"/>
  <c r="CB244" i="5"/>
  <c r="CB71" i="5"/>
  <c r="CB37" i="5"/>
  <c r="DS269" i="5"/>
  <c r="AV364" i="5"/>
  <c r="AV412" i="5"/>
  <c r="DS284" i="5"/>
  <c r="DS288" i="5"/>
  <c r="BV493" i="5"/>
  <c r="BV477" i="5"/>
  <c r="CB211" i="5"/>
  <c r="CB196" i="5"/>
  <c r="CB182" i="5"/>
  <c r="CB60" i="5"/>
  <c r="AV437" i="5"/>
  <c r="DS253" i="5"/>
  <c r="DS261" i="5"/>
  <c r="DS312" i="5"/>
  <c r="DY316" i="5"/>
  <c r="FU487" i="5"/>
  <c r="DV477" i="5"/>
  <c r="EB477" i="5" s="1"/>
  <c r="BY473" i="5"/>
  <c r="CB247" i="5"/>
  <c r="CB188" i="5"/>
  <c r="AV445" i="5"/>
  <c r="DV486" i="5"/>
  <c r="EB486" i="5" s="1"/>
  <c r="DV478" i="5"/>
  <c r="EB478" i="5" s="1"/>
  <c r="CB218" i="5"/>
  <c r="CB198" i="5"/>
  <c r="CB190" i="5"/>
  <c r="CB189" i="5"/>
  <c r="CB184" i="5"/>
  <c r="CB122" i="5"/>
  <c r="CB116" i="5"/>
  <c r="CB63" i="5"/>
  <c r="AV424" i="5"/>
  <c r="DS266" i="5"/>
  <c r="DS296" i="5"/>
  <c r="DS306" i="5"/>
  <c r="DS328" i="5"/>
  <c r="DS336" i="5"/>
  <c r="DS436" i="5"/>
  <c r="DS448" i="5"/>
  <c r="BX452" i="5"/>
  <c r="EN474" i="5"/>
  <c r="BY491" i="5"/>
  <c r="CC491" i="5" s="1"/>
  <c r="FU490" i="5"/>
  <c r="DV485" i="5"/>
  <c r="EB485" i="5" s="1"/>
  <c r="DG485" i="5" s="1"/>
  <c r="CB219" i="5"/>
  <c r="CB170" i="5"/>
  <c r="EG155" i="5"/>
  <c r="CB94" i="5"/>
  <c r="CB88" i="5"/>
  <c r="CB87" i="5"/>
  <c r="CB79" i="5"/>
  <c r="AV345" i="5"/>
  <c r="AV361" i="5"/>
  <c r="AV377" i="5"/>
  <c r="AV393" i="5"/>
  <c r="AV401" i="5"/>
  <c r="AV425" i="5"/>
  <c r="AV448" i="5"/>
  <c r="DU453" i="5"/>
  <c r="BY494" i="5"/>
  <c r="BY492" i="5"/>
  <c r="DV489" i="5"/>
  <c r="EB489" i="5" s="1"/>
  <c r="DG489" i="5" s="1"/>
  <c r="DV487" i="5"/>
  <c r="EB487" i="5" s="1"/>
  <c r="DG487" i="5" s="1"/>
  <c r="FU470" i="5"/>
  <c r="FU154" i="5"/>
  <c r="CB146" i="5"/>
  <c r="CB139" i="5"/>
  <c r="CB121" i="5"/>
  <c r="CB80" i="5"/>
  <c r="CB54" i="5"/>
  <c r="AV394" i="5"/>
  <c r="CB472" i="5"/>
  <c r="AV347" i="5"/>
  <c r="DY291" i="5"/>
  <c r="DY299" i="5"/>
  <c r="DS291" i="5"/>
  <c r="DS299" i="5"/>
  <c r="DS358" i="5"/>
  <c r="DS366" i="5"/>
  <c r="DS381" i="5"/>
  <c r="DF443" i="5"/>
  <c r="CB471" i="5"/>
  <c r="BV500" i="5"/>
  <c r="FU492" i="5"/>
  <c r="BV492" i="5"/>
  <c r="DV491" i="5"/>
  <c r="EB491" i="5" s="1"/>
  <c r="BY478" i="5"/>
  <c r="BY475" i="5"/>
  <c r="BV472" i="5"/>
  <c r="CB225" i="5"/>
  <c r="CB172" i="5"/>
  <c r="CB81" i="5"/>
  <c r="AV348" i="5"/>
  <c r="AK472" i="5"/>
  <c r="AL472" i="5" s="1"/>
  <c r="AK488" i="5"/>
  <c r="AL488" i="5" s="1"/>
  <c r="AK496" i="5"/>
  <c r="AL496" i="5" s="1"/>
  <c r="BV496" i="5"/>
  <c r="FU494" i="5"/>
  <c r="FV494" i="5" s="1"/>
  <c r="DV492" i="5"/>
  <c r="EB492" i="5" s="1"/>
  <c r="FU481" i="5"/>
  <c r="BY476" i="5"/>
  <c r="DV472" i="5"/>
  <c r="EB472" i="5" s="1"/>
  <c r="DV470" i="5"/>
  <c r="EB470" i="5" s="1"/>
  <c r="DG470" i="5" s="1"/>
  <c r="CB239" i="5"/>
  <c r="CB235" i="5"/>
  <c r="CB232" i="5"/>
  <c r="CB228" i="5"/>
  <c r="CB217" i="5"/>
  <c r="CB204" i="5"/>
  <c r="CB166" i="5"/>
  <c r="EO155" i="5"/>
  <c r="CB135" i="5"/>
  <c r="CB133" i="5"/>
  <c r="CB109" i="5"/>
  <c r="CB82" i="5"/>
  <c r="CB72" i="5"/>
  <c r="CB28" i="5"/>
  <c r="AV373" i="5"/>
  <c r="AV413" i="5"/>
  <c r="AV421" i="5"/>
  <c r="DS271" i="5"/>
  <c r="DY275" i="5"/>
  <c r="DY283" i="5"/>
  <c r="DS285" i="5"/>
  <c r="AE431" i="5"/>
  <c r="DS353" i="5"/>
  <c r="AG453" i="5"/>
  <c r="DS453" i="5"/>
  <c r="CB493" i="5"/>
  <c r="DV482" i="5"/>
  <c r="EB482" i="5" s="1"/>
  <c r="DG482" i="5" s="1"/>
  <c r="AV286" i="5"/>
  <c r="AV342" i="5"/>
  <c r="AV350" i="5"/>
  <c r="AV358" i="5"/>
  <c r="AV366" i="5"/>
  <c r="AV430" i="5"/>
  <c r="DS290" i="5"/>
  <c r="DS326" i="5"/>
  <c r="DS334" i="5"/>
  <c r="AE447" i="5"/>
  <c r="DS361" i="5"/>
  <c r="DS369" i="5"/>
  <c r="DU448" i="5"/>
  <c r="CB492" i="5"/>
  <c r="CB484" i="5"/>
  <c r="CB476" i="5"/>
  <c r="DV494" i="5"/>
  <c r="EB494" i="5" s="1"/>
  <c r="DG494" i="5" s="1"/>
  <c r="DV493" i="5"/>
  <c r="EB493" i="5" s="1"/>
  <c r="DG493" i="5" s="1"/>
  <c r="BY486" i="5"/>
  <c r="BV484" i="5"/>
  <c r="DV480" i="5"/>
  <c r="EB480" i="5" s="1"/>
  <c r="DG480" i="5" s="1"/>
  <c r="BV476" i="5"/>
  <c r="DV474" i="5"/>
  <c r="EB474" i="5" s="1"/>
  <c r="CB250" i="5"/>
  <c r="CB242" i="5"/>
  <c r="CB220" i="5"/>
  <c r="CB183" i="5"/>
  <c r="CB174" i="5"/>
  <c r="CB161" i="5"/>
  <c r="CB159" i="5"/>
  <c r="DL154" i="5"/>
  <c r="DM154" i="5" s="1"/>
  <c r="CB129" i="5"/>
  <c r="CB128" i="5"/>
  <c r="CB127" i="5"/>
  <c r="CB126" i="5"/>
  <c r="CB125" i="5"/>
  <c r="CB124" i="5"/>
  <c r="CB111" i="5"/>
  <c r="DY441" i="5"/>
  <c r="AY445" i="5"/>
  <c r="DS441" i="5"/>
  <c r="DY453" i="5"/>
  <c r="CB176" i="5"/>
  <c r="DY292" i="5"/>
  <c r="DY300" i="5"/>
  <c r="DS292" i="5"/>
  <c r="DS300" i="5"/>
  <c r="CB420" i="5"/>
  <c r="BZ442" i="5"/>
  <c r="CB442" i="5" s="1"/>
  <c r="BX442" i="5"/>
  <c r="BY442" i="5" s="1"/>
  <c r="DY442" i="5"/>
  <c r="DS442" i="5"/>
  <c r="AZ445" i="5"/>
  <c r="DY259" i="5"/>
  <c r="DY265" i="5"/>
  <c r="DY293" i="5"/>
  <c r="DY301" i="5"/>
  <c r="DS293" i="5"/>
  <c r="DS301" i="5"/>
  <c r="DY305" i="5"/>
  <c r="DS303" i="5"/>
  <c r="DY260" i="5"/>
  <c r="DS254" i="5"/>
  <c r="DS262" i="5"/>
  <c r="DY266" i="5"/>
  <c r="DS279" i="5"/>
  <c r="DY288" i="5"/>
  <c r="DY306" i="5"/>
  <c r="DY309" i="5"/>
  <c r="BV470" i="5"/>
  <c r="AY499" i="5"/>
  <c r="AZ499" i="5" s="1"/>
  <c r="DU499" i="5"/>
  <c r="DV499" i="5" s="1"/>
  <c r="EB499" i="5" s="1"/>
  <c r="DG499" i="5" s="1"/>
  <c r="DS287" i="5"/>
  <c r="DS295" i="5"/>
  <c r="DS305" i="5"/>
  <c r="CB202" i="5"/>
  <c r="CB165" i="5"/>
  <c r="CB243" i="5"/>
  <c r="CB213" i="5"/>
  <c r="BY489" i="5"/>
  <c r="CB158" i="5"/>
  <c r="CB130" i="5"/>
  <c r="DY446" i="5"/>
  <c r="CB480" i="5"/>
  <c r="CC480" i="5" s="1"/>
  <c r="CE480" i="5" s="1"/>
  <c r="BX495" i="5"/>
  <c r="BY495" i="5" s="1"/>
  <c r="FU488" i="5"/>
  <c r="CB486" i="5"/>
  <c r="DV483" i="5"/>
  <c r="EB483" i="5" s="1"/>
  <c r="DV476" i="5"/>
  <c r="EB476" i="5" s="1"/>
  <c r="DG476" i="5" s="1"/>
  <c r="FU475" i="5"/>
  <c r="BY474" i="5"/>
  <c r="FU473" i="5"/>
  <c r="CB203" i="5"/>
  <c r="CB177" i="5"/>
  <c r="CB169" i="5"/>
  <c r="CB164" i="5"/>
  <c r="CB163" i="5"/>
  <c r="CB137" i="5"/>
  <c r="CB89" i="5"/>
  <c r="DS362" i="5"/>
  <c r="DS370" i="5"/>
  <c r="DY443" i="5"/>
  <c r="AY431" i="5"/>
  <c r="DS443" i="5"/>
  <c r="DY447" i="5"/>
  <c r="EB488" i="5"/>
  <c r="BY487" i="5"/>
  <c r="FU480" i="5"/>
  <c r="CB478" i="5"/>
  <c r="CB248" i="5"/>
  <c r="CB245" i="5"/>
  <c r="CB214" i="5"/>
  <c r="CB157" i="5"/>
  <c r="CB147" i="5"/>
  <c r="CB90" i="5"/>
  <c r="CB53" i="5"/>
  <c r="DS330" i="5"/>
  <c r="DS338" i="5"/>
  <c r="DS355" i="5"/>
  <c r="DS363" i="5"/>
  <c r="DY436" i="5"/>
  <c r="DY444" i="5"/>
  <c r="DS444" i="5"/>
  <c r="DY448" i="5"/>
  <c r="BB487" i="5"/>
  <c r="DV497" i="5"/>
  <c r="EB497" i="5" s="1"/>
  <c r="DG497" i="5" s="1"/>
  <c r="AK470" i="5"/>
  <c r="AL470" i="5" s="1"/>
  <c r="AK474" i="5"/>
  <c r="AL474" i="5" s="1"/>
  <c r="AK476" i="5"/>
  <c r="AL476" i="5" s="1"/>
  <c r="AK478" i="5"/>
  <c r="AL478" i="5" s="1"/>
  <c r="AK482" i="5"/>
  <c r="AL482" i="5" s="1"/>
  <c r="AK484" i="5"/>
  <c r="AL484" i="5" s="1"/>
  <c r="AK486" i="5"/>
  <c r="AL486" i="5" s="1"/>
  <c r="AK490" i="5"/>
  <c r="AL490" i="5" s="1"/>
  <c r="AK492" i="5"/>
  <c r="AL492" i="5" s="1"/>
  <c r="AK494" i="5"/>
  <c r="AL494" i="5" s="1"/>
  <c r="AK498" i="5"/>
  <c r="AL498" i="5" s="1"/>
  <c r="AK500" i="5"/>
  <c r="AL500" i="5" s="1"/>
  <c r="BV495" i="5"/>
  <c r="FU493" i="5"/>
  <c r="BV488" i="5"/>
  <c r="BV487" i="5"/>
  <c r="FU486" i="5"/>
  <c r="BV481" i="5"/>
  <c r="BY479" i="5"/>
  <c r="DV475" i="5"/>
  <c r="EB475" i="5" s="1"/>
  <c r="FU472" i="5"/>
  <c r="AY446" i="5"/>
  <c r="AZ446" i="5" s="1"/>
  <c r="CI446" i="5" s="1"/>
  <c r="CB249" i="5"/>
  <c r="CB205" i="5"/>
  <c r="CB156" i="5"/>
  <c r="CB108" i="5"/>
  <c r="CB91" i="5"/>
  <c r="DS331" i="5"/>
  <c r="BX419" i="5"/>
  <c r="DF441" i="5"/>
  <c r="CB429" i="5"/>
  <c r="CB437" i="5"/>
  <c r="DY445" i="5"/>
  <c r="DS445" i="5"/>
  <c r="DU437" i="5"/>
  <c r="DY449" i="5"/>
  <c r="BX469" i="5"/>
  <c r="CB490" i="5"/>
  <c r="BV479" i="5"/>
  <c r="BV473" i="5"/>
  <c r="BY471" i="5"/>
  <c r="CB470" i="5"/>
  <c r="AU470" i="5"/>
  <c r="AV470" i="5" s="1"/>
  <c r="CB238" i="5"/>
  <c r="CB230" i="5"/>
  <c r="CB206" i="5"/>
  <c r="CB171" i="5"/>
  <c r="CB145" i="5"/>
  <c r="CB144" i="5"/>
  <c r="CB134" i="5"/>
  <c r="CB61" i="5"/>
  <c r="CB57" i="5"/>
  <c r="CB56" i="5"/>
  <c r="CB424" i="5"/>
  <c r="DF426" i="5"/>
  <c r="DF442" i="5"/>
  <c r="DF450" i="5"/>
  <c r="DY450" i="5"/>
  <c r="DS450" i="5"/>
  <c r="DY104" i="5"/>
  <c r="DS101" i="5"/>
  <c r="AV481" i="5"/>
  <c r="BX453" i="5"/>
  <c r="CB251" i="5"/>
  <c r="DS308" i="5"/>
  <c r="DS317" i="5"/>
  <c r="DY331" i="5"/>
  <c r="DS342" i="5"/>
  <c r="DY358" i="5"/>
  <c r="DY385" i="5"/>
  <c r="DS373" i="5"/>
  <c r="DY397" i="5"/>
  <c r="DY396" i="5"/>
  <c r="DS396" i="5"/>
  <c r="DS404" i="5"/>
  <c r="DF418" i="5"/>
  <c r="DS411" i="5"/>
  <c r="DS419" i="5"/>
  <c r="DY439" i="5"/>
  <c r="AY435" i="5"/>
  <c r="BX441" i="5"/>
  <c r="DY451" i="5"/>
  <c r="AY450" i="5"/>
  <c r="DY97" i="5"/>
  <c r="AV489" i="5"/>
  <c r="BV497" i="5"/>
  <c r="FU491" i="5"/>
  <c r="BY490" i="5"/>
  <c r="FU484" i="5"/>
  <c r="BY483" i="5"/>
  <c r="CC483" i="5" s="1"/>
  <c r="CE483" i="5" s="1"/>
  <c r="DV479" i="5"/>
  <c r="EB479" i="5" s="1"/>
  <c r="FU477" i="5"/>
  <c r="BV471" i="5"/>
  <c r="CC471" i="5" s="1"/>
  <c r="CE471" i="5" s="1"/>
  <c r="BY470" i="5"/>
  <c r="FT469" i="5"/>
  <c r="CB241" i="5"/>
  <c r="CB237" i="5"/>
  <c r="CB226" i="5"/>
  <c r="CB223" i="5"/>
  <c r="CB207" i="5"/>
  <c r="CB173" i="5"/>
  <c r="FU168" i="5"/>
  <c r="CB167" i="5"/>
  <c r="CB142" i="5"/>
  <c r="CB131" i="5"/>
  <c r="CB105" i="5"/>
  <c r="CB84" i="5"/>
  <c r="CB83" i="5"/>
  <c r="CB74" i="5"/>
  <c r="CB73" i="5"/>
  <c r="CB64" i="5"/>
  <c r="DY332" i="5"/>
  <c r="DS343" i="5"/>
  <c r="DY359" i="5"/>
  <c r="DY386" i="5"/>
  <c r="DY395" i="5"/>
  <c r="DY432" i="5"/>
  <c r="DY440" i="5"/>
  <c r="DS432" i="5"/>
  <c r="FT444" i="5"/>
  <c r="DY452" i="5"/>
  <c r="AZ471" i="5"/>
  <c r="AK469" i="5"/>
  <c r="AK471" i="5"/>
  <c r="AL471" i="5" s="1"/>
  <c r="AK473" i="5"/>
  <c r="AL473" i="5" s="1"/>
  <c r="AK475" i="5"/>
  <c r="AL475" i="5" s="1"/>
  <c r="AK477" i="5"/>
  <c r="AL477" i="5" s="1"/>
  <c r="AK479" i="5"/>
  <c r="AL479" i="5" s="1"/>
  <c r="AK481" i="5"/>
  <c r="AL481" i="5" s="1"/>
  <c r="AK483" i="5"/>
  <c r="AL483" i="5" s="1"/>
  <c r="AK485" i="5"/>
  <c r="AL485" i="5" s="1"/>
  <c r="AK487" i="5"/>
  <c r="AL487" i="5" s="1"/>
  <c r="AK489" i="5"/>
  <c r="AL489" i="5" s="1"/>
  <c r="AK491" i="5"/>
  <c r="AL491" i="5" s="1"/>
  <c r="AK493" i="5"/>
  <c r="AL493" i="5" s="1"/>
  <c r="AK495" i="5"/>
  <c r="AL495" i="5" s="1"/>
  <c r="AK497" i="5"/>
  <c r="AL497" i="5" s="1"/>
  <c r="AK499" i="5"/>
  <c r="AL499" i="5" s="1"/>
  <c r="CB494" i="5"/>
  <c r="AU494" i="5"/>
  <c r="AV494" i="5" s="1"/>
  <c r="DV490" i="5"/>
  <c r="EB490" i="5" s="1"/>
  <c r="DG490" i="5" s="1"/>
  <c r="FU489" i="5"/>
  <c r="FU483" i="5"/>
  <c r="BY482" i="5"/>
  <c r="DV471" i="5"/>
  <c r="EB471" i="5" s="1"/>
  <c r="DU449" i="5"/>
  <c r="CB240" i="5"/>
  <c r="CB222" i="5"/>
  <c r="CB212" i="5"/>
  <c r="CB210" i="5"/>
  <c r="CB208" i="5"/>
  <c r="FU155" i="5"/>
  <c r="CB140" i="5"/>
  <c r="CB119" i="5"/>
  <c r="CB112" i="5"/>
  <c r="CB86" i="5"/>
  <c r="CB85" i="5"/>
  <c r="CB76" i="5"/>
  <c r="CB75" i="5"/>
  <c r="CB65" i="5"/>
  <c r="X19" i="20"/>
  <c r="BA19" i="20"/>
  <c r="BA22" i="20"/>
  <c r="X22" i="20"/>
  <c r="AM23" i="20"/>
  <c r="AL23" i="20"/>
  <c r="X31" i="20"/>
  <c r="BA31" i="20"/>
  <c r="BB31" i="20" s="1"/>
  <c r="X35" i="20"/>
  <c r="BA35" i="20"/>
  <c r="AM26" i="20"/>
  <c r="AL26" i="20"/>
  <c r="DV3" i="20"/>
  <c r="DV1" i="20"/>
  <c r="AX21" i="20"/>
  <c r="M21" i="20"/>
  <c r="DJ21" i="20"/>
  <c r="CI27" i="20"/>
  <c r="AM31" i="20"/>
  <c r="AL31" i="20"/>
  <c r="AM35" i="20"/>
  <c r="AL35" i="20"/>
  <c r="AP22" i="20"/>
  <c r="AT21" i="20"/>
  <c r="DU21" i="20" s="1"/>
  <c r="AZ29" i="20"/>
  <c r="AR19" i="20"/>
  <c r="AZ25" i="20"/>
  <c r="EL29" i="20"/>
  <c r="EK29" i="20" s="1"/>
  <c r="Y29" i="20"/>
  <c r="BA30" i="20"/>
  <c r="X30" i="20"/>
  <c r="AM49" i="20"/>
  <c r="AL49" i="20"/>
  <c r="EL25" i="20"/>
  <c r="EK25" i="20" s="1"/>
  <c r="Y25" i="20"/>
  <c r="X27" i="20"/>
  <c r="BA27" i="20"/>
  <c r="BA20" i="20"/>
  <c r="X20" i="20"/>
  <c r="DM22" i="20"/>
  <c r="X23" i="20"/>
  <c r="BA23" i="20"/>
  <c r="X26" i="20"/>
  <c r="BA26" i="20"/>
  <c r="AZ33" i="20"/>
  <c r="X21" i="20"/>
  <c r="BA21" i="20"/>
  <c r="BB21" i="20" s="1"/>
  <c r="AM27" i="20"/>
  <c r="AL27" i="20"/>
  <c r="AM30" i="20"/>
  <c r="AL30" i="20"/>
  <c r="EL33" i="20"/>
  <c r="EK33" i="20" s="1"/>
  <c r="Y33" i="20"/>
  <c r="X34" i="20"/>
  <c r="BA34" i="20"/>
  <c r="Y37" i="20"/>
  <c r="I20" i="20"/>
  <c r="EE21" i="20"/>
  <c r="I22" i="20"/>
  <c r="FY22" i="20"/>
  <c r="GA22" i="20" s="1"/>
  <c r="BZ23" i="20"/>
  <c r="AN24" i="20"/>
  <c r="AZ24" i="20"/>
  <c r="DI24" i="20"/>
  <c r="L25" i="20"/>
  <c r="BK26" i="20"/>
  <c r="CA26" i="20"/>
  <c r="CB26" i="20" s="1"/>
  <c r="CI26" i="20" s="1"/>
  <c r="FX27" i="20"/>
  <c r="GA27" i="20" s="1"/>
  <c r="M28" i="20"/>
  <c r="BE28" i="20"/>
  <c r="BR28" i="20"/>
  <c r="DZ28" i="20" s="1"/>
  <c r="EB28" i="20" s="1"/>
  <c r="EH28" i="20" s="1"/>
  <c r="GA28" i="20"/>
  <c r="EE29" i="20"/>
  <c r="I30" i="20"/>
  <c r="DL30" i="20"/>
  <c r="FY30" i="20"/>
  <c r="GA30" i="20" s="1"/>
  <c r="BZ31" i="20"/>
  <c r="CB31" i="20" s="1"/>
  <c r="AN32" i="20"/>
  <c r="AZ32" i="20"/>
  <c r="DI32" i="20"/>
  <c r="L33" i="20"/>
  <c r="CG33" i="20"/>
  <c r="CH33" i="20" s="1"/>
  <c r="BK34" i="20"/>
  <c r="CA34" i="20"/>
  <c r="CB34" i="20" s="1"/>
  <c r="FX35" i="20"/>
  <c r="GA35" i="20" s="1"/>
  <c r="M36" i="20"/>
  <c r="BE36" i="20"/>
  <c r="BR36" i="20"/>
  <c r="DZ36" i="20" s="1"/>
  <c r="EB36" i="20" s="1"/>
  <c r="EH36" i="20" s="1"/>
  <c r="GA36" i="20"/>
  <c r="AM37" i="20"/>
  <c r="EE37" i="20"/>
  <c r="AN38" i="20"/>
  <c r="AZ38" i="20"/>
  <c r="BM38" i="20"/>
  <c r="BO38" i="20" s="1"/>
  <c r="BP38" i="20" s="1"/>
  <c r="EI38" i="20" s="1"/>
  <c r="DL39" i="20"/>
  <c r="I39" i="20"/>
  <c r="DI39" i="20"/>
  <c r="AN39" i="20"/>
  <c r="X40" i="20"/>
  <c r="FY41" i="20"/>
  <c r="GA41" i="20" s="1"/>
  <c r="FY42" i="20"/>
  <c r="M44" i="20"/>
  <c r="AZ46" i="20"/>
  <c r="BR47" i="20"/>
  <c r="DZ47" i="20" s="1"/>
  <c r="EB47" i="20" s="1"/>
  <c r="EH47" i="20" s="1"/>
  <c r="FX47" i="20"/>
  <c r="CA47" i="20"/>
  <c r="BK47" i="20"/>
  <c r="AM47" i="20"/>
  <c r="BZ47" i="20"/>
  <c r="L49" i="20"/>
  <c r="CG50" i="20"/>
  <c r="CH50" i="20" s="1"/>
  <c r="FY50" i="20"/>
  <c r="BM50" i="20"/>
  <c r="BO50" i="20" s="1"/>
  <c r="BP50" i="20" s="1"/>
  <c r="EI50" i="20" s="1"/>
  <c r="CH51" i="20"/>
  <c r="EL54" i="20"/>
  <c r="EK54" i="20" s="1"/>
  <c r="Y54" i="20"/>
  <c r="CU55" i="20"/>
  <c r="DT58" i="20"/>
  <c r="AT20" i="20"/>
  <c r="DU20" i="20" s="1"/>
  <c r="BA24" i="20"/>
  <c r="FX24" i="20"/>
  <c r="BE25" i="20"/>
  <c r="BR25" i="20"/>
  <c r="DZ25" i="20" s="1"/>
  <c r="EB25" i="20" s="1"/>
  <c r="EH25" i="20" s="1"/>
  <c r="GA25" i="20"/>
  <c r="AK28" i="20"/>
  <c r="AN29" i="20"/>
  <c r="DI29" i="20"/>
  <c r="BA32" i="20"/>
  <c r="BB32" i="20" s="1"/>
  <c r="DJ32" i="20"/>
  <c r="FX32" i="20"/>
  <c r="BE33" i="20"/>
  <c r="BR33" i="20"/>
  <c r="DZ33" i="20" s="1"/>
  <c r="EB33" i="20" s="1"/>
  <c r="EH33" i="20" s="1"/>
  <c r="AK36" i="20"/>
  <c r="AN37" i="20"/>
  <c r="DI37" i="20"/>
  <c r="EE38" i="20"/>
  <c r="BE40" i="20"/>
  <c r="DL41" i="20"/>
  <c r="I41" i="20"/>
  <c r="BB41" i="20" s="1"/>
  <c r="DI41" i="20"/>
  <c r="AN41" i="20"/>
  <c r="AZ42" i="20"/>
  <c r="BZ43" i="20"/>
  <c r="EB44" i="20"/>
  <c r="EH44" i="20" s="1"/>
  <c r="FY44" i="20"/>
  <c r="GA44" i="20" s="1"/>
  <c r="CA49" i="20"/>
  <c r="BK49" i="20"/>
  <c r="BR49" i="20"/>
  <c r="DZ49" i="20" s="1"/>
  <c r="EB49" i="20" s="1"/>
  <c r="EH49" i="20" s="1"/>
  <c r="BE49" i="20"/>
  <c r="BZ49" i="20"/>
  <c r="EB50" i="20"/>
  <c r="EH50" i="20" s="1"/>
  <c r="X51" i="20"/>
  <c r="U52" i="20"/>
  <c r="AL52" i="20"/>
  <c r="FG53" i="20"/>
  <c r="CU53" i="20"/>
  <c r="DJ59" i="20"/>
  <c r="AX59" i="20"/>
  <c r="CM59" i="20" s="1"/>
  <c r="U64" i="20"/>
  <c r="T64" i="20"/>
  <c r="EE66" i="20"/>
  <c r="CA66" i="20"/>
  <c r="BK66" i="20"/>
  <c r="BM66" i="20" s="1"/>
  <c r="AN66" i="20"/>
  <c r="BZ66" i="20"/>
  <c r="FX66" i="20"/>
  <c r="CU75" i="20"/>
  <c r="FG75" i="20"/>
  <c r="AK25" i="20"/>
  <c r="BZ25" i="20"/>
  <c r="CB25" i="20" s="1"/>
  <c r="CI25" i="20" s="1"/>
  <c r="AZ26" i="20"/>
  <c r="AX28" i="20"/>
  <c r="BA29" i="20"/>
  <c r="FX29" i="20"/>
  <c r="AK33" i="20"/>
  <c r="BZ33" i="20"/>
  <c r="CB33" i="20" s="1"/>
  <c r="AX36" i="20"/>
  <c r="BR39" i="20"/>
  <c r="DZ39" i="20" s="1"/>
  <c r="EB39" i="20" s="1"/>
  <c r="EH39" i="20" s="1"/>
  <c r="CA39" i="20"/>
  <c r="CB39" i="20" s="1"/>
  <c r="CI39" i="20" s="1"/>
  <c r="BK39" i="20"/>
  <c r="EL42" i="20"/>
  <c r="EK42" i="20" s="1"/>
  <c r="Y42" i="20"/>
  <c r="X43" i="20"/>
  <c r="EE43" i="20"/>
  <c r="AZ45" i="20"/>
  <c r="DT56" i="20"/>
  <c r="BE66" i="20"/>
  <c r="BF66" i="20" s="1"/>
  <c r="CO66" i="20" s="1"/>
  <c r="U69" i="20"/>
  <c r="ET76" i="20"/>
  <c r="EU76" i="20" s="1"/>
  <c r="EV76" i="20" s="1"/>
  <c r="BK20" i="20"/>
  <c r="DL21" i="20"/>
  <c r="BZ22" i="20"/>
  <c r="AZ23" i="20"/>
  <c r="L24" i="20"/>
  <c r="Y24" i="20"/>
  <c r="BK25" i="20"/>
  <c r="FX26" i="20"/>
  <c r="GA26" i="20" s="1"/>
  <c r="BE27" i="20"/>
  <c r="U28" i="20"/>
  <c r="AY28" i="20" s="1"/>
  <c r="AZ28" i="20" s="1"/>
  <c r="BL28" i="20"/>
  <c r="BN28" i="20" s="1"/>
  <c r="EE28" i="20"/>
  <c r="I29" i="20"/>
  <c r="DL29" i="20"/>
  <c r="FY29" i="20"/>
  <c r="BZ30" i="20"/>
  <c r="AZ31" i="20"/>
  <c r="L32" i="20"/>
  <c r="Y32" i="20"/>
  <c r="BK33" i="20"/>
  <c r="FX34" i="20"/>
  <c r="GA34" i="20" s="1"/>
  <c r="BE35" i="20"/>
  <c r="U36" i="20"/>
  <c r="AY36" i="20" s="1"/>
  <c r="AZ36" i="20" s="1"/>
  <c r="BC36" i="20" s="1"/>
  <c r="BL36" i="20"/>
  <c r="BN36" i="20" s="1"/>
  <c r="EE36" i="20"/>
  <c r="I37" i="20"/>
  <c r="DL37" i="20"/>
  <c r="L38" i="20"/>
  <c r="BE39" i="20"/>
  <c r="BM40" i="20"/>
  <c r="BO40" i="20" s="1"/>
  <c r="BP40" i="20" s="1"/>
  <c r="EI40" i="20" s="1"/>
  <c r="CA41" i="20"/>
  <c r="BK41" i="20"/>
  <c r="BR41" i="20"/>
  <c r="DZ41" i="20" s="1"/>
  <c r="EB41" i="20" s="1"/>
  <c r="EH41" i="20" s="1"/>
  <c r="BE41" i="20"/>
  <c r="AM41" i="20"/>
  <c r="BA43" i="20"/>
  <c r="AZ44" i="20"/>
  <c r="X45" i="20"/>
  <c r="X46" i="20"/>
  <c r="U48" i="20"/>
  <c r="AY48" i="20" s="1"/>
  <c r="AZ48" i="20" s="1"/>
  <c r="BE48" i="20"/>
  <c r="CH48" i="20"/>
  <c r="DI51" i="20"/>
  <c r="AN51" i="20"/>
  <c r="AK51" i="20"/>
  <c r="GA51" i="20"/>
  <c r="DL51" i="20"/>
  <c r="I51" i="20"/>
  <c r="FG61" i="20"/>
  <c r="CU61" i="20"/>
  <c r="BR66" i="20"/>
  <c r="DZ66" i="20" s="1"/>
  <c r="EB66" i="20" s="1"/>
  <c r="EH66" i="20" s="1"/>
  <c r="L67" i="20"/>
  <c r="AN67" i="20"/>
  <c r="DI67" i="20"/>
  <c r="GA67" i="20"/>
  <c r="CS67" i="20" s="1"/>
  <c r="AK67" i="20"/>
  <c r="AM67" i="20" s="1"/>
  <c r="BA70" i="20"/>
  <c r="BB70" i="20" s="1"/>
  <c r="X70" i="20"/>
  <c r="BK102" i="20"/>
  <c r="EE20" i="20"/>
  <c r="BK22" i="20"/>
  <c r="CA22" i="20"/>
  <c r="BE24" i="20"/>
  <c r="BR24" i="20"/>
  <c r="DZ24" i="20" s="1"/>
  <c r="EB24" i="20" s="1"/>
  <c r="EH24" i="20" s="1"/>
  <c r="EE25" i="20"/>
  <c r="I26" i="20"/>
  <c r="DL26" i="20"/>
  <c r="AN28" i="20"/>
  <c r="DI28" i="20"/>
  <c r="BK30" i="20"/>
  <c r="CA30" i="20"/>
  <c r="DJ31" i="20"/>
  <c r="BE32" i="20"/>
  <c r="BR32" i="20"/>
  <c r="DZ32" i="20" s="1"/>
  <c r="EB32" i="20" s="1"/>
  <c r="EH32" i="20" s="1"/>
  <c r="EE33" i="20"/>
  <c r="I34" i="20"/>
  <c r="AN36" i="20"/>
  <c r="DI36" i="20"/>
  <c r="L37" i="20"/>
  <c r="FX37" i="20"/>
  <c r="BE38" i="20"/>
  <c r="BR38" i="20"/>
  <c r="DZ38" i="20" s="1"/>
  <c r="EB38" i="20" s="1"/>
  <c r="EH38" i="20" s="1"/>
  <c r="M40" i="20"/>
  <c r="AZ41" i="20"/>
  <c r="AL42" i="20"/>
  <c r="DI43" i="20"/>
  <c r="AN43" i="20"/>
  <c r="DL43" i="20"/>
  <c r="I43" i="20"/>
  <c r="X44" i="20"/>
  <c r="BA45" i="20"/>
  <c r="AM46" i="20"/>
  <c r="AL46" i="20"/>
  <c r="CH47" i="20"/>
  <c r="BA48" i="20"/>
  <c r="FY48" i="20"/>
  <c r="AZ49" i="20"/>
  <c r="L51" i="20"/>
  <c r="FG54" i="20"/>
  <c r="BZ55" i="20"/>
  <c r="BZ58" i="20"/>
  <c r="BR58" i="20"/>
  <c r="DZ58" i="20" s="1"/>
  <c r="EB58" i="20" s="1"/>
  <c r="EG58" i="20" s="1"/>
  <c r="FX58" i="20"/>
  <c r="GA58" i="20" s="1"/>
  <c r="CS58" i="20" s="1"/>
  <c r="CA58" i="20"/>
  <c r="BK58" i="20"/>
  <c r="BM58" i="20" s="1"/>
  <c r="AL61" i="20"/>
  <c r="O61" i="20"/>
  <c r="EE61" i="20" s="1"/>
  <c r="U61" i="20"/>
  <c r="T61" i="20"/>
  <c r="DJ67" i="20"/>
  <c r="EY67" i="20" s="1"/>
  <c r="O68" i="20"/>
  <c r="EE68" i="20" s="1"/>
  <c r="U68" i="20"/>
  <c r="T68" i="20"/>
  <c r="FX71" i="20"/>
  <c r="GA71" i="20" s="1"/>
  <c r="CS71" i="20" s="1"/>
  <c r="FG84" i="20"/>
  <c r="CU84" i="20"/>
  <c r="CX88" i="20"/>
  <c r="FI88" i="20"/>
  <c r="FG92" i="20"/>
  <c r="CU92" i="20"/>
  <c r="AN25" i="20"/>
  <c r="DI25" i="20"/>
  <c r="BE29" i="20"/>
  <c r="BR29" i="20"/>
  <c r="DZ29" i="20" s="1"/>
  <c r="EB29" i="20" s="1"/>
  <c r="EH29" i="20" s="1"/>
  <c r="AN33" i="20"/>
  <c r="DI33" i="20"/>
  <c r="BE37" i="20"/>
  <c r="BR37" i="20"/>
  <c r="DZ37" i="20" s="1"/>
  <c r="EB37" i="20" s="1"/>
  <c r="EH37" i="20" s="1"/>
  <c r="BZ38" i="20"/>
  <c r="CH43" i="20"/>
  <c r="DL45" i="20"/>
  <c r="I45" i="20"/>
  <c r="DI45" i="20"/>
  <c r="AN45" i="20"/>
  <c r="DJ46" i="20"/>
  <c r="AX46" i="20"/>
  <c r="EL48" i="20"/>
  <c r="EK48" i="20" s="1"/>
  <c r="Y48" i="20"/>
  <c r="DM48" i="20"/>
  <c r="X49" i="20"/>
  <c r="AZ50" i="20"/>
  <c r="EE56" i="20"/>
  <c r="BA59" i="20"/>
  <c r="BB59" i="20" s="1"/>
  <c r="X59" i="20"/>
  <c r="EE77" i="20"/>
  <c r="BR77" i="20"/>
  <c r="DZ77" i="20" s="1"/>
  <c r="EB77" i="20" s="1"/>
  <c r="EH77" i="20" s="1"/>
  <c r="FG79" i="20"/>
  <c r="CU79" i="20"/>
  <c r="AZ22" i="20"/>
  <c r="BA25" i="20"/>
  <c r="BZ29" i="20"/>
  <c r="CB29" i="20" s="1"/>
  <c r="CI29" i="20" s="1"/>
  <c r="AZ30" i="20"/>
  <c r="BA33" i="20"/>
  <c r="BZ37" i="20"/>
  <c r="CB37" i="20" s="1"/>
  <c r="X39" i="20"/>
  <c r="CA43" i="20"/>
  <c r="BK43" i="20"/>
  <c r="BR43" i="20"/>
  <c r="DZ43" i="20" s="1"/>
  <c r="EB43" i="20" s="1"/>
  <c r="EH43" i="20" s="1"/>
  <c r="BE50" i="20"/>
  <c r="AZ51" i="20"/>
  <c r="FX56" i="20"/>
  <c r="GA56" i="20" s="1"/>
  <c r="CS56" i="20" s="1"/>
  <c r="CA56" i="20"/>
  <c r="BK56" i="20"/>
  <c r="BM56" i="20" s="1"/>
  <c r="BZ56" i="20"/>
  <c r="BR56" i="20"/>
  <c r="DZ56" i="20" s="1"/>
  <c r="EB56" i="20" s="1"/>
  <c r="EG56" i="20" s="1"/>
  <c r="GA66" i="20"/>
  <c r="CS66" i="20" s="1"/>
  <c r="DJ70" i="20"/>
  <c r="AX70" i="20"/>
  <c r="CM70" i="20" s="1"/>
  <c r="CU82" i="20"/>
  <c r="FG82" i="20"/>
  <c r="BK21" i="20"/>
  <c r="I25" i="20"/>
  <c r="BK29" i="20"/>
  <c r="I33" i="20"/>
  <c r="Y36" i="20"/>
  <c r="BK37" i="20"/>
  <c r="BA39" i="20"/>
  <c r="BB39" i="20" s="1"/>
  <c r="FX39" i="20"/>
  <c r="AZ40" i="20"/>
  <c r="X41" i="20"/>
  <c r="EE41" i="20"/>
  <c r="AZ43" i="20"/>
  <c r="BM44" i="20"/>
  <c r="BO44" i="20" s="1"/>
  <c r="BP44" i="20" s="1"/>
  <c r="EI44" i="20" s="1"/>
  <c r="CA45" i="20"/>
  <c r="BK45" i="20"/>
  <c r="BR45" i="20"/>
  <c r="DZ45" i="20" s="1"/>
  <c r="EB45" i="20" s="1"/>
  <c r="EH45" i="20" s="1"/>
  <c r="BE45" i="20"/>
  <c r="M46" i="20"/>
  <c r="DL49" i="20"/>
  <c r="I49" i="20"/>
  <c r="DI49" i="20"/>
  <c r="AN49" i="20"/>
  <c r="EE49" i="20"/>
  <c r="GA49" i="20"/>
  <c r="X50" i="20"/>
  <c r="BA50" i="20"/>
  <c r="BB50" i="20" s="1"/>
  <c r="O53" i="20"/>
  <c r="EE53" i="20" s="1"/>
  <c r="U53" i="20"/>
  <c r="T53" i="20"/>
  <c r="EE54" i="20"/>
  <c r="DJ54" i="20"/>
  <c r="AN54" i="20"/>
  <c r="DI54" i="20"/>
  <c r="AK54" i="20"/>
  <c r="AM54" i="20" s="1"/>
  <c r="U60" i="20"/>
  <c r="T60" i="20"/>
  <c r="DJ62" i="20"/>
  <c r="L62" i="20"/>
  <c r="DI62" i="20"/>
  <c r="AK62" i="20"/>
  <c r="AM62" i="20" s="1"/>
  <c r="DL62" i="20"/>
  <c r="EL65" i="20"/>
  <c r="EK65" i="20" s="1"/>
  <c r="Y65" i="20"/>
  <c r="EE69" i="20"/>
  <c r="FX40" i="20"/>
  <c r="GA40" i="20" s="1"/>
  <c r="AK44" i="20"/>
  <c r="BZ44" i="20"/>
  <c r="FX48" i="20"/>
  <c r="U55" i="20"/>
  <c r="AY55" i="20" s="1"/>
  <c r="AZ55" i="20" s="1"/>
  <c r="DL55" i="20"/>
  <c r="AL56" i="20"/>
  <c r="X57" i="20"/>
  <c r="BA57" i="20"/>
  <c r="BB57" i="20" s="1"/>
  <c r="T58" i="20"/>
  <c r="AN58" i="20"/>
  <c r="CU58" i="20"/>
  <c r="DJ58" i="20"/>
  <c r="EE58" i="20"/>
  <c r="O59" i="20"/>
  <c r="Y62" i="20"/>
  <c r="L63" i="20"/>
  <c r="X63" i="20"/>
  <c r="BA63" i="20"/>
  <c r="BB63" i="20" s="1"/>
  <c r="BR65" i="20"/>
  <c r="DZ65" i="20" s="1"/>
  <c r="EB65" i="20" s="1"/>
  <c r="EG65" i="20" s="1"/>
  <c r="U66" i="20"/>
  <c r="AY66" i="20" s="1"/>
  <c r="AZ66" i="20" s="1"/>
  <c r="DL66" i="20"/>
  <c r="Y67" i="20"/>
  <c r="DI68" i="20"/>
  <c r="FX69" i="20"/>
  <c r="GA69" i="20" s="1"/>
  <c r="CS69" i="20" s="1"/>
  <c r="O70" i="20"/>
  <c r="EE70" i="20" s="1"/>
  <c r="T71" i="20"/>
  <c r="AX71" i="20"/>
  <c r="CM71" i="20" s="1"/>
  <c r="L72" i="20"/>
  <c r="X72" i="20"/>
  <c r="BA72" i="20"/>
  <c r="BB72" i="20" s="1"/>
  <c r="BR73" i="20"/>
  <c r="DZ73" i="20" s="1"/>
  <c r="EB73" i="20" s="1"/>
  <c r="EH73" i="20" s="1"/>
  <c r="T74" i="20"/>
  <c r="AN74" i="20"/>
  <c r="AX74" i="20"/>
  <c r="CM74" i="20" s="1"/>
  <c r="BK74" i="20"/>
  <c r="BL74" i="20" s="1"/>
  <c r="BN74" i="20" s="1"/>
  <c r="CA74" i="20"/>
  <c r="CB74" i="20" s="1"/>
  <c r="CI74" i="20" s="1"/>
  <c r="CK74" i="20" s="1"/>
  <c r="CP74" i="20" s="1"/>
  <c r="L75" i="20"/>
  <c r="X75" i="20"/>
  <c r="BA75" i="20"/>
  <c r="BB75" i="20" s="1"/>
  <c r="BR76" i="20"/>
  <c r="DZ76" i="20" s="1"/>
  <c r="EB76" i="20" s="1"/>
  <c r="EH76" i="20" s="1"/>
  <c r="U77" i="20"/>
  <c r="AY77" i="20" s="1"/>
  <c r="AZ77" i="20" s="1"/>
  <c r="DL77" i="20"/>
  <c r="Y78" i="20"/>
  <c r="DI79" i="20"/>
  <c r="DJ80" i="20"/>
  <c r="AK81" i="20"/>
  <c r="FX81" i="20"/>
  <c r="O82" i="20"/>
  <c r="EE82" i="20" s="1"/>
  <c r="X84" i="20"/>
  <c r="DI84" i="20"/>
  <c r="FX84" i="20"/>
  <c r="GA84" i="20" s="1"/>
  <c r="CS84" i="20" s="1"/>
  <c r="AK89" i="20"/>
  <c r="AM89" i="20" s="1"/>
  <c r="FX91" i="20"/>
  <c r="GA91" i="20" s="1"/>
  <c r="CS91" i="20" s="1"/>
  <c r="CA91" i="20"/>
  <c r="BK91" i="20"/>
  <c r="BM91" i="20" s="1"/>
  <c r="AN91" i="20"/>
  <c r="DL92" i="20"/>
  <c r="BR94" i="20"/>
  <c r="DZ94" i="20" s="1"/>
  <c r="I95" i="20"/>
  <c r="AN97" i="20"/>
  <c r="Y97" i="20"/>
  <c r="DT97" i="20" s="1"/>
  <c r="EA98" i="20"/>
  <c r="FZ98" i="20"/>
  <c r="CF98" i="20"/>
  <c r="CH98" i="20" s="1"/>
  <c r="DL98" i="20"/>
  <c r="X98" i="20"/>
  <c r="FX99" i="20"/>
  <c r="U99" i="20"/>
  <c r="EA99" i="20"/>
  <c r="EL100" i="20"/>
  <c r="EK100" i="20" s="1"/>
  <c r="Y100" i="20"/>
  <c r="DT100" i="20" s="1"/>
  <c r="AX103" i="20"/>
  <c r="EL105" i="20"/>
  <c r="EK105" i="20" s="1"/>
  <c r="Y105" i="20"/>
  <c r="EE106" i="20"/>
  <c r="T107" i="20"/>
  <c r="AY107" i="20" s="1"/>
  <c r="BB108" i="20"/>
  <c r="T110" i="20"/>
  <c r="T112" i="20"/>
  <c r="AY112" i="20" s="1"/>
  <c r="BM112" i="20"/>
  <c r="BL112" i="20"/>
  <c r="BN112" i="20" s="1"/>
  <c r="FX113" i="20"/>
  <c r="BR113" i="20"/>
  <c r="DZ113" i="20" s="1"/>
  <c r="EB113" i="20" s="1"/>
  <c r="BE113" i="20"/>
  <c r="BF113" i="20" s="1"/>
  <c r="CO113" i="20" s="1"/>
  <c r="EY114" i="20"/>
  <c r="EZ114" i="20" s="1"/>
  <c r="U119" i="20"/>
  <c r="AL119" i="20"/>
  <c r="T119" i="20"/>
  <c r="CA132" i="20"/>
  <c r="BA133" i="20"/>
  <c r="CB135" i="20"/>
  <c r="CI135" i="20" s="1"/>
  <c r="CK135" i="20" s="1"/>
  <c r="CP135" i="20" s="1"/>
  <c r="BA137" i="20"/>
  <c r="CA138" i="20"/>
  <c r="BK138" i="20"/>
  <c r="BL138" i="20" s="1"/>
  <c r="BN138" i="20" s="1"/>
  <c r="BZ138" i="20"/>
  <c r="T138" i="20"/>
  <c r="BR138" i="20"/>
  <c r="DZ138" i="20" s="1"/>
  <c r="EB138" i="20" s="1"/>
  <c r="BE138" i="20"/>
  <c r="BF138" i="20" s="1"/>
  <c r="CO138" i="20" s="1"/>
  <c r="FY138" i="20"/>
  <c r="GA138" i="20" s="1"/>
  <c r="CS138" i="20" s="1"/>
  <c r="U58" i="20"/>
  <c r="BL58" i="20"/>
  <c r="BN58" i="20" s="1"/>
  <c r="DL58" i="20"/>
  <c r="L60" i="20"/>
  <c r="FG64" i="20"/>
  <c r="BZ65" i="20"/>
  <c r="FG69" i="20"/>
  <c r="U71" i="20"/>
  <c r="DL71" i="20"/>
  <c r="BZ73" i="20"/>
  <c r="U74" i="20"/>
  <c r="DL74" i="20"/>
  <c r="BZ76" i="20"/>
  <c r="AK78" i="20"/>
  <c r="AM78" i="20" s="1"/>
  <c r="GA78" i="20"/>
  <c r="CS78" i="20" s="1"/>
  <c r="T79" i="20"/>
  <c r="L80" i="20"/>
  <c r="DL81" i="20"/>
  <c r="T83" i="20"/>
  <c r="L84" i="20"/>
  <c r="DJ84" i="20"/>
  <c r="CU86" i="20"/>
  <c r="DI87" i="20"/>
  <c r="BR88" i="20"/>
  <c r="DZ88" i="20" s="1"/>
  <c r="EB88" i="20" s="1"/>
  <c r="EH88" i="20" s="1"/>
  <c r="U90" i="20"/>
  <c r="O90" i="20"/>
  <c r="EE90" i="20" s="1"/>
  <c r="AN93" i="20"/>
  <c r="DI93" i="20"/>
  <c r="EE97" i="20"/>
  <c r="DY101" i="20"/>
  <c r="AL101" i="20"/>
  <c r="CH102" i="20"/>
  <c r="DI105" i="20"/>
  <c r="AK105" i="20"/>
  <c r="AM105" i="20" s="1"/>
  <c r="DL105" i="20"/>
  <c r="DJ115" i="20"/>
  <c r="AX115" i="20"/>
  <c r="CM115" i="20" s="1"/>
  <c r="ET116" i="20"/>
  <c r="EU116" i="20" s="1"/>
  <c r="EV116" i="20" s="1"/>
  <c r="BA127" i="20"/>
  <c r="AZ39" i="20"/>
  <c r="L40" i="20"/>
  <c r="FX42" i="20"/>
  <c r="GA42" i="20" s="1"/>
  <c r="BE43" i="20"/>
  <c r="EE44" i="20"/>
  <c r="BZ46" i="20"/>
  <c r="CB46" i="20" s="1"/>
  <c r="CI46" i="20" s="1"/>
  <c r="AN47" i="20"/>
  <c r="DI47" i="20"/>
  <c r="L48" i="20"/>
  <c r="FX50" i="20"/>
  <c r="BE51" i="20"/>
  <c r="BR51" i="20"/>
  <c r="DZ51" i="20" s="1"/>
  <c r="EB51" i="20" s="1"/>
  <c r="EH51" i="20" s="1"/>
  <c r="T52" i="20"/>
  <c r="AX52" i="20"/>
  <c r="CM52" i="20" s="1"/>
  <c r="AL54" i="20"/>
  <c r="BR54" i="20"/>
  <c r="DZ54" i="20" s="1"/>
  <c r="EB54" i="20" s="1"/>
  <c r="EG54" i="20" s="1"/>
  <c r="L55" i="20"/>
  <c r="X55" i="20"/>
  <c r="T56" i="20"/>
  <c r="AN56" i="20"/>
  <c r="AX56" i="20"/>
  <c r="CM56" i="20" s="1"/>
  <c r="O57" i="20"/>
  <c r="DI59" i="20"/>
  <c r="Y60" i="20"/>
  <c r="DL61" i="20"/>
  <c r="O63" i="20"/>
  <c r="Y64" i="20"/>
  <c r="T65" i="20"/>
  <c r="AN65" i="20"/>
  <c r="BK65" i="20"/>
  <c r="BM65" i="20" s="1"/>
  <c r="CA65" i="20"/>
  <c r="DJ65" i="20"/>
  <c r="X66" i="20"/>
  <c r="BR67" i="20"/>
  <c r="DZ67" i="20" s="1"/>
  <c r="EB67" i="20" s="1"/>
  <c r="EG67" i="20" s="1"/>
  <c r="DL68" i="20"/>
  <c r="Y69" i="20"/>
  <c r="O72" i="20"/>
  <c r="T73" i="20"/>
  <c r="AN73" i="20"/>
  <c r="BK73" i="20"/>
  <c r="BM73" i="20" s="1"/>
  <c r="CA73" i="20"/>
  <c r="DJ73" i="20"/>
  <c r="FX74" i="20"/>
  <c r="GA74" i="20" s="1"/>
  <c r="CS74" i="20" s="1"/>
  <c r="O75" i="20"/>
  <c r="BE75" i="20" s="1"/>
  <c r="BF75" i="20" s="1"/>
  <c r="CO75" i="20" s="1"/>
  <c r="T76" i="20"/>
  <c r="AN76" i="20"/>
  <c r="BK76" i="20"/>
  <c r="BM76" i="20" s="1"/>
  <c r="CA76" i="20"/>
  <c r="DJ76" i="20"/>
  <c r="EY76" i="20" s="1"/>
  <c r="X77" i="20"/>
  <c r="BR78" i="20"/>
  <c r="DZ78" i="20" s="1"/>
  <c r="EB78" i="20" s="1"/>
  <c r="EG78" i="20" s="1"/>
  <c r="U79" i="20"/>
  <c r="DL79" i="20"/>
  <c r="EE80" i="20"/>
  <c r="CU81" i="20"/>
  <c r="DL84" i="20"/>
  <c r="BA88" i="20"/>
  <c r="BB88" i="20" s="1"/>
  <c r="X88" i="20"/>
  <c r="BR89" i="20"/>
  <c r="DZ89" i="20" s="1"/>
  <c r="EB89" i="20" s="1"/>
  <c r="EH89" i="20" s="1"/>
  <c r="FX89" i="20"/>
  <c r="GA89" i="20" s="1"/>
  <c r="CS89" i="20" s="1"/>
  <c r="AN89" i="20"/>
  <c r="BK89" i="20"/>
  <c r="BL89" i="20" s="1"/>
  <c r="BN89" i="20" s="1"/>
  <c r="T91" i="20"/>
  <c r="DJ93" i="20"/>
  <c r="EY93" i="20" s="1"/>
  <c r="X96" i="20"/>
  <c r="EL96" i="20" s="1"/>
  <c r="EK96" i="20" s="1"/>
  <c r="FX97" i="20"/>
  <c r="Q98" i="20"/>
  <c r="Q99" i="20"/>
  <c r="BZ100" i="20"/>
  <c r="T100" i="20"/>
  <c r="AY100" i="20" s="1"/>
  <c r="FY100" i="20"/>
  <c r="BM100" i="20"/>
  <c r="BO100" i="20" s="1"/>
  <c r="BP100" i="20" s="1"/>
  <c r="EI100" i="20" s="1"/>
  <c r="Q101" i="20"/>
  <c r="AN101" i="20"/>
  <c r="BA104" i="20"/>
  <c r="BB104" i="20" s="1"/>
  <c r="X104" i="20"/>
  <c r="BB106" i="20"/>
  <c r="CH106" i="20"/>
  <c r="CH107" i="20"/>
  <c r="U109" i="20"/>
  <c r="EE115" i="20"/>
  <c r="BB122" i="20"/>
  <c r="FX123" i="20"/>
  <c r="GA123" i="20" s="1"/>
  <c r="CS123" i="20" s="1"/>
  <c r="BR123" i="20"/>
  <c r="DZ123" i="20" s="1"/>
  <c r="EB123" i="20" s="1"/>
  <c r="BE123" i="20"/>
  <c r="BF123" i="20" s="1"/>
  <c r="CO123" i="20" s="1"/>
  <c r="EE127" i="20"/>
  <c r="AN127" i="20"/>
  <c r="DI127" i="20"/>
  <c r="AK127" i="20"/>
  <c r="AM127" i="20" s="1"/>
  <c r="I127" i="20"/>
  <c r="ET129" i="20"/>
  <c r="EU129" i="20" s="1"/>
  <c r="EV129" i="20" s="1"/>
  <c r="BA47" i="20"/>
  <c r="BZ51" i="20"/>
  <c r="BZ54" i="20"/>
  <c r="U56" i="20"/>
  <c r="L58" i="20"/>
  <c r="T59" i="20"/>
  <c r="EE59" i="20"/>
  <c r="AK60" i="20"/>
  <c r="AM60" i="20" s="1"/>
  <c r="AL63" i="20"/>
  <c r="AK64" i="20"/>
  <c r="AM64" i="20" s="1"/>
  <c r="U65" i="20"/>
  <c r="BZ67" i="20"/>
  <c r="AK69" i="20"/>
  <c r="AM69" i="20" s="1"/>
  <c r="T70" i="20"/>
  <c r="L71" i="20"/>
  <c r="U73" i="20"/>
  <c r="L74" i="20"/>
  <c r="U76" i="20"/>
  <c r="BZ78" i="20"/>
  <c r="DI78" i="20"/>
  <c r="CA80" i="20"/>
  <c r="BK80" i="20"/>
  <c r="AK80" i="20"/>
  <c r="AM80" i="20" s="1"/>
  <c r="FX80" i="20"/>
  <c r="GA80" i="20" s="1"/>
  <c r="CS80" i="20" s="1"/>
  <c r="AN81" i="20"/>
  <c r="GA81" i="20"/>
  <c r="CS81" i="20" s="1"/>
  <c r="T82" i="20"/>
  <c r="AN84" i="20"/>
  <c r="AN85" i="20"/>
  <c r="DI85" i="20"/>
  <c r="O86" i="20"/>
  <c r="U86" i="20"/>
  <c r="AL90" i="20"/>
  <c r="DI92" i="20"/>
  <c r="AK92" i="20"/>
  <c r="L92" i="20"/>
  <c r="BA92" i="20"/>
  <c r="BB92" i="20" s="1"/>
  <c r="X92" i="20"/>
  <c r="L93" i="20"/>
  <c r="DT93" i="20"/>
  <c r="EE95" i="20"/>
  <c r="AD103" i="20"/>
  <c r="CH95" i="20"/>
  <c r="BB97" i="20"/>
  <c r="EU99" i="20"/>
  <c r="EV99" i="20" s="1"/>
  <c r="DJ104" i="20"/>
  <c r="AX104" i="20"/>
  <c r="O105" i="20"/>
  <c r="EE105" i="20" s="1"/>
  <c r="EL107" i="20"/>
  <c r="EK107" i="20" s="1"/>
  <c r="ET107" i="20" s="1"/>
  <c r="EU107" i="20" s="1"/>
  <c r="EV107" i="20" s="1"/>
  <c r="Y107" i="20"/>
  <c r="EL108" i="20"/>
  <c r="EK108" i="20" s="1"/>
  <c r="Y108" i="20"/>
  <c r="DJ108" i="20"/>
  <c r="ET110" i="20"/>
  <c r="EU110" i="20" s="1"/>
  <c r="EV110" i="20" s="1"/>
  <c r="ET112" i="20"/>
  <c r="EU112" i="20" s="1"/>
  <c r="EV112" i="20" s="1"/>
  <c r="CU112" i="20"/>
  <c r="T114" i="20"/>
  <c r="BM114" i="20"/>
  <c r="BL114" i="20"/>
  <c r="BN114" i="20" s="1"/>
  <c r="FX115" i="20"/>
  <c r="GA115" i="20" s="1"/>
  <c r="CS115" i="20" s="1"/>
  <c r="BR115" i="20"/>
  <c r="DZ115" i="20" s="1"/>
  <c r="EB115" i="20" s="1"/>
  <c r="BE115" i="20"/>
  <c r="BF115" i="20" s="1"/>
  <c r="CO115" i="20" s="1"/>
  <c r="CA123" i="20"/>
  <c r="FX130" i="20"/>
  <c r="GA130" i="20" s="1"/>
  <c r="CS130" i="20" s="1"/>
  <c r="BE130" i="20"/>
  <c r="BF130" i="20" s="1"/>
  <c r="CO130" i="20" s="1"/>
  <c r="BA135" i="20"/>
  <c r="BB135" i="20" s="1"/>
  <c r="AK40" i="20"/>
  <c r="I47" i="20"/>
  <c r="X47" i="20"/>
  <c r="DL47" i="20"/>
  <c r="AK48" i="20"/>
  <c r="BK51" i="20"/>
  <c r="X53" i="20"/>
  <c r="T54" i="20"/>
  <c r="BK54" i="20"/>
  <c r="BL54" i="20" s="1"/>
  <c r="BN54" i="20" s="1"/>
  <c r="CA54" i="20"/>
  <c r="DL59" i="20"/>
  <c r="BR60" i="20"/>
  <c r="DZ60" i="20" s="1"/>
  <c r="EB60" i="20" s="1"/>
  <c r="EG60" i="20" s="1"/>
  <c r="X61" i="20"/>
  <c r="T62" i="20"/>
  <c r="AY62" i="20" s="1"/>
  <c r="BR64" i="20"/>
  <c r="DZ64" i="20" s="1"/>
  <c r="EB64" i="20" s="1"/>
  <c r="EH64" i="20" s="1"/>
  <c r="T67" i="20"/>
  <c r="AX67" i="20"/>
  <c r="CM67" i="20" s="1"/>
  <c r="BK67" i="20"/>
  <c r="BL67" i="20" s="1"/>
  <c r="BN67" i="20" s="1"/>
  <c r="CA67" i="20"/>
  <c r="L68" i="20"/>
  <c r="X68" i="20"/>
  <c r="BR69" i="20"/>
  <c r="DZ69" i="20" s="1"/>
  <c r="EB69" i="20" s="1"/>
  <c r="EG69" i="20" s="1"/>
  <c r="DI72" i="20"/>
  <c r="DI75" i="20"/>
  <c r="AK77" i="20"/>
  <c r="T78" i="20"/>
  <c r="AN78" i="20"/>
  <c r="AX78" i="20"/>
  <c r="CM78" i="20" s="1"/>
  <c r="BK78" i="20"/>
  <c r="BL78" i="20" s="1"/>
  <c r="BN78" i="20" s="1"/>
  <c r="CA78" i="20"/>
  <c r="L79" i="20"/>
  <c r="X79" i="20"/>
  <c r="DI80" i="20"/>
  <c r="EE81" i="20"/>
  <c r="DJ85" i="20"/>
  <c r="DJ88" i="20"/>
  <c r="AX88" i="20"/>
  <c r="CM88" i="20" s="1"/>
  <c r="DI89" i="20"/>
  <c r="T90" i="20"/>
  <c r="BZ91" i="20"/>
  <c r="CB91" i="20" s="1"/>
  <c r="CI91" i="20" s="1"/>
  <c r="CK91" i="20" s="1"/>
  <c r="CP91" i="20" s="1"/>
  <c r="FG91" i="20"/>
  <c r="EE93" i="20"/>
  <c r="T93" i="20"/>
  <c r="AK93" i="20"/>
  <c r="CH93" i="20"/>
  <c r="AK95" i="20"/>
  <c r="AM95" i="20" s="1"/>
  <c r="T96" i="20"/>
  <c r="FY96" i="20"/>
  <c r="GA96" i="20" s="1"/>
  <c r="AN96" i="20"/>
  <c r="Q97" i="20"/>
  <c r="EA97" i="20"/>
  <c r="DY98" i="20"/>
  <c r="M99" i="20"/>
  <c r="DJ99" i="20"/>
  <c r="AX99" i="20"/>
  <c r="CA100" i="20"/>
  <c r="CF101" i="20"/>
  <c r="CH101" i="20" s="1"/>
  <c r="Q103" i="20"/>
  <c r="EE103" i="20"/>
  <c r="AM103" i="20"/>
  <c r="U114" i="20"/>
  <c r="CA115" i="20"/>
  <c r="CA118" i="20"/>
  <c r="BK118" i="20"/>
  <c r="BZ118" i="20"/>
  <c r="BR118" i="20"/>
  <c r="DZ118" i="20" s="1"/>
  <c r="T118" i="20"/>
  <c r="FG119" i="20"/>
  <c r="DA119" i="20"/>
  <c r="CA130" i="20"/>
  <c r="AM136" i="20"/>
  <c r="AL136" i="20"/>
  <c r="DL78" i="20"/>
  <c r="AY83" i="20"/>
  <c r="AK87" i="20"/>
  <c r="AM87" i="20" s="1"/>
  <c r="EL87" i="20"/>
  <c r="EK87" i="20" s="1"/>
  <c r="Y87" i="20"/>
  <c r="FX93" i="20"/>
  <c r="GA93" i="20" s="1"/>
  <c r="CS93" i="20" s="1"/>
  <c r="CA93" i="20"/>
  <c r="BK93" i="20"/>
  <c r="BZ93" i="20"/>
  <c r="BR93" i="20"/>
  <c r="DZ93" i="20" s="1"/>
  <c r="EB93" i="20" s="1"/>
  <c r="EG93" i="20" s="1"/>
  <c r="BZ94" i="20"/>
  <c r="CB94" i="20" s="1"/>
  <c r="T94" i="20"/>
  <c r="BE94" i="20" s="1"/>
  <c r="FY94" i="20"/>
  <c r="GA94" i="20" s="1"/>
  <c r="GB94" i="20" s="1"/>
  <c r="BK94" i="20"/>
  <c r="EA101" i="20"/>
  <c r="CD101" i="20"/>
  <c r="CE101" i="20" s="1"/>
  <c r="AM101" i="20"/>
  <c r="U101" i="20"/>
  <c r="L101" i="20"/>
  <c r="BA101" i="20"/>
  <c r="BB101" i="20" s="1"/>
  <c r="X101" i="20"/>
  <c r="EL101" i="20" s="1"/>
  <c r="EK101" i="20" s="1"/>
  <c r="ET101" i="20" s="1"/>
  <c r="AX101" i="20"/>
  <c r="CM101" i="20" s="1"/>
  <c r="BR104" i="20"/>
  <c r="DZ104" i="20" s="1"/>
  <c r="EB104" i="20" s="1"/>
  <c r="AP108" i="20"/>
  <c r="BA124" i="20"/>
  <c r="FY126" i="20"/>
  <c r="GA126" i="20" s="1"/>
  <c r="CS126" i="20" s="1"/>
  <c r="CA126" i="20"/>
  <c r="BK126" i="20"/>
  <c r="BM126" i="20" s="1"/>
  <c r="BZ126" i="20"/>
  <c r="T126" i="20"/>
  <c r="BR126" i="20"/>
  <c r="DZ126" i="20" s="1"/>
  <c r="EB126" i="20" s="1"/>
  <c r="BE126" i="20"/>
  <c r="BF126" i="20" s="1"/>
  <c r="CO126" i="20" s="1"/>
  <c r="BA131" i="20"/>
  <c r="ET143" i="20"/>
  <c r="EU143" i="20" s="1"/>
  <c r="EV143" i="20" s="1"/>
  <c r="EY143" i="20"/>
  <c r="EZ143" i="20" s="1"/>
  <c r="L59" i="20"/>
  <c r="AN60" i="20"/>
  <c r="AX60" i="20"/>
  <c r="CM60" i="20" s="1"/>
  <c r="BK60" i="20"/>
  <c r="BL60" i="20" s="1"/>
  <c r="BN60" i="20" s="1"/>
  <c r="CA60" i="20"/>
  <c r="EE60" i="20"/>
  <c r="AN64" i="20"/>
  <c r="BK64" i="20"/>
  <c r="BM64" i="20" s="1"/>
  <c r="DJ64" i="20"/>
  <c r="AK68" i="20"/>
  <c r="T69" i="20"/>
  <c r="AN69" i="20"/>
  <c r="BK69" i="20"/>
  <c r="BM69" i="20" s="1"/>
  <c r="DJ69" i="20"/>
  <c r="BR74" i="20"/>
  <c r="DZ74" i="20" s="1"/>
  <c r="EB74" i="20" s="1"/>
  <c r="EG74" i="20" s="1"/>
  <c r="Y76" i="20"/>
  <c r="O79" i="20"/>
  <c r="EE79" i="20" s="1"/>
  <c r="T80" i="20"/>
  <c r="AN80" i="20"/>
  <c r="FG80" i="20"/>
  <c r="X82" i="20"/>
  <c r="DJ82" i="20"/>
  <c r="O83" i="20"/>
  <c r="AL83" i="20"/>
  <c r="EE85" i="20"/>
  <c r="T85" i="20"/>
  <c r="AY85" i="20" s="1"/>
  <c r="AK85" i="20"/>
  <c r="CH85" i="20"/>
  <c r="T86" i="20"/>
  <c r="EE86" i="20"/>
  <c r="DJ87" i="20"/>
  <c r="AX87" i="20"/>
  <c r="CM87" i="20" s="1"/>
  <c r="U88" i="20"/>
  <c r="EE88" i="20"/>
  <c r="T88" i="20"/>
  <c r="CA89" i="20"/>
  <c r="DL89" i="20"/>
  <c r="X90" i="20"/>
  <c r="DA90" i="20"/>
  <c r="EE94" i="20"/>
  <c r="Q95" i="20"/>
  <c r="DJ97" i="20"/>
  <c r="AX97" i="20"/>
  <c r="CM97" i="20" s="1"/>
  <c r="M97" i="20"/>
  <c r="FZ99" i="20"/>
  <c r="CF99" i="20"/>
  <c r="CH99" i="20" s="1"/>
  <c r="CD99" i="20"/>
  <c r="CE99" i="20" s="1"/>
  <c r="AN99" i="20"/>
  <c r="Y99" i="20"/>
  <c r="DT99" i="20" s="1"/>
  <c r="DL100" i="20"/>
  <c r="DI100" i="20"/>
  <c r="AK100" i="20"/>
  <c r="AL100" i="20" s="1"/>
  <c r="I100" i="20"/>
  <c r="M101" i="20"/>
  <c r="FZ101" i="20"/>
  <c r="FX102" i="20"/>
  <c r="U102" i="20"/>
  <c r="U105" i="20"/>
  <c r="DJ113" i="20"/>
  <c r="AX113" i="20"/>
  <c r="CM113" i="20" s="1"/>
  <c r="ET114" i="20"/>
  <c r="EU114" i="20" s="1"/>
  <c r="EV114" i="20" s="1"/>
  <c r="CU114" i="20"/>
  <c r="EE114" i="20"/>
  <c r="BB115" i="20"/>
  <c r="CU116" i="20"/>
  <c r="BE117" i="20"/>
  <c r="BF117" i="20" s="1"/>
  <c r="AN117" i="20"/>
  <c r="FX117" i="20"/>
  <c r="Y118" i="20"/>
  <c r="Y121" i="20"/>
  <c r="EL122" i="20"/>
  <c r="EK122" i="20" s="1"/>
  <c r="ET122" i="20" s="1"/>
  <c r="EU122" i="20" s="1"/>
  <c r="EV122" i="20" s="1"/>
  <c r="Y122" i="20"/>
  <c r="FX128" i="20"/>
  <c r="BR128" i="20"/>
  <c r="DZ128" i="20" s="1"/>
  <c r="EB128" i="20" s="1"/>
  <c r="BE128" i="20"/>
  <c r="BF128" i="20" s="1"/>
  <c r="CO128" i="20" s="1"/>
  <c r="FX136" i="20"/>
  <c r="AN136" i="20"/>
  <c r="BE136" i="20"/>
  <c r="BF136" i="20" s="1"/>
  <c r="CO136" i="20" s="1"/>
  <c r="U136" i="20"/>
  <c r="AX66" i="20"/>
  <c r="CM66" i="20" s="1"/>
  <c r="AX77" i="20"/>
  <c r="CM77" i="20" s="1"/>
  <c r="U80" i="20"/>
  <c r="BA81" i="20"/>
  <c r="BB81" i="20" s="1"/>
  <c r="X81" i="20"/>
  <c r="DI81" i="20"/>
  <c r="AK84" i="20"/>
  <c r="FX85" i="20"/>
  <c r="GA85" i="20" s="1"/>
  <c r="CS85" i="20" s="1"/>
  <c r="CA85" i="20"/>
  <c r="BK85" i="20"/>
  <c r="BZ85" i="20"/>
  <c r="BR85" i="20"/>
  <c r="DZ85" i="20" s="1"/>
  <c r="EB85" i="20" s="1"/>
  <c r="EG85" i="20" s="1"/>
  <c r="L87" i="20"/>
  <c r="CA88" i="20"/>
  <c r="BK88" i="20"/>
  <c r="BM88" i="20" s="1"/>
  <c r="BZ88" i="20"/>
  <c r="BA90" i="20"/>
  <c r="BB90" i="20" s="1"/>
  <c r="DY92" i="20"/>
  <c r="DL93" i="20"/>
  <c r="DL94" i="20"/>
  <c r="DI95" i="20"/>
  <c r="L95" i="20"/>
  <c r="AM100" i="20"/>
  <c r="AL103" i="20"/>
  <c r="AN103" i="20"/>
  <c r="ET103" i="20"/>
  <c r="EU103" i="20" s="1"/>
  <c r="EV103" i="20" s="1"/>
  <c r="EZ112" i="20"/>
  <c r="EA118" i="20"/>
  <c r="DJ122" i="20"/>
  <c r="AX122" i="20"/>
  <c r="CM122" i="20" s="1"/>
  <c r="BA125" i="20"/>
  <c r="BB125" i="20" s="1"/>
  <c r="ET131" i="20"/>
  <c r="EU131" i="20" s="1"/>
  <c r="EV131" i="20" s="1"/>
  <c r="FX132" i="20"/>
  <c r="GA132" i="20" s="1"/>
  <c r="CS132" i="20" s="1"/>
  <c r="BE132" i="20"/>
  <c r="BF132" i="20" s="1"/>
  <c r="CO132" i="20" s="1"/>
  <c r="DY154" i="20"/>
  <c r="BZ154" i="20"/>
  <c r="CB154" i="20" s="1"/>
  <c r="CI154" i="20" s="1"/>
  <c r="AL99" i="20"/>
  <c r="DL106" i="20"/>
  <c r="DL107" i="20"/>
  <c r="DL108" i="20"/>
  <c r="DL109" i="20"/>
  <c r="DL110" i="20"/>
  <c r="DL111" i="20"/>
  <c r="DL112" i="20"/>
  <c r="DL114" i="20"/>
  <c r="BL116" i="20"/>
  <c r="BN116" i="20" s="1"/>
  <c r="DL116" i="20"/>
  <c r="AL117" i="20"/>
  <c r="BK117" i="20"/>
  <c r="BL117" i="20" s="1"/>
  <c r="BN117" i="20" s="1"/>
  <c r="CA117" i="20"/>
  <c r="FY117" i="20"/>
  <c r="BR119" i="20"/>
  <c r="DZ119" i="20" s="1"/>
  <c r="EB119" i="20" s="1"/>
  <c r="AN120" i="20"/>
  <c r="AX120" i="20"/>
  <c r="CM120" i="20" s="1"/>
  <c r="EE120" i="20"/>
  <c r="BA121" i="20"/>
  <c r="BB121" i="20" s="1"/>
  <c r="GD123" i="20"/>
  <c r="AN124" i="20"/>
  <c r="BK124" i="20"/>
  <c r="CA124" i="20"/>
  <c r="CB124" i="20" s="1"/>
  <c r="CI124" i="20" s="1"/>
  <c r="CK124" i="20" s="1"/>
  <c r="CP124" i="20" s="1"/>
  <c r="EE124" i="20"/>
  <c r="BL129" i="20"/>
  <c r="BN129" i="20" s="1"/>
  <c r="DL129" i="20"/>
  <c r="BL131" i="20"/>
  <c r="BN131" i="20" s="1"/>
  <c r="DL131" i="20"/>
  <c r="AK134" i="20"/>
  <c r="AM134" i="20" s="1"/>
  <c r="GA134" i="20"/>
  <c r="CS134" i="20" s="1"/>
  <c r="CA136" i="20"/>
  <c r="BK136" i="20"/>
  <c r="BM136" i="20" s="1"/>
  <c r="BZ136" i="20"/>
  <c r="T136" i="20"/>
  <c r="AK137" i="20"/>
  <c r="AM137" i="20" s="1"/>
  <c r="EE137" i="20"/>
  <c r="AN137" i="20"/>
  <c r="DI137" i="20"/>
  <c r="EE138" i="20"/>
  <c r="U138" i="20"/>
  <c r="FX141" i="20"/>
  <c r="CA141" i="20"/>
  <c r="BK141" i="20"/>
  <c r="BM141" i="20" s="1"/>
  <c r="AN141" i="20"/>
  <c r="T141" i="20"/>
  <c r="BA142" i="20"/>
  <c r="BB142" i="20" s="1"/>
  <c r="BI154" i="20"/>
  <c r="AL115" i="20"/>
  <c r="BM116" i="20"/>
  <c r="BZ119" i="20"/>
  <c r="AG121" i="20"/>
  <c r="AL123" i="20"/>
  <c r="DL124" i="20"/>
  <c r="AL128" i="20"/>
  <c r="BM129" i="20"/>
  <c r="BR130" i="20"/>
  <c r="DZ130" i="20" s="1"/>
  <c r="EB130" i="20" s="1"/>
  <c r="I131" i="20"/>
  <c r="BM131" i="20"/>
  <c r="AL132" i="20"/>
  <c r="BR132" i="20"/>
  <c r="DZ132" i="20" s="1"/>
  <c r="EB132" i="20" s="1"/>
  <c r="I133" i="20"/>
  <c r="BZ134" i="20"/>
  <c r="T134" i="20"/>
  <c r="AK135" i="20"/>
  <c r="AM135" i="20" s="1"/>
  <c r="DI135" i="20"/>
  <c r="EY135" i="20" s="1"/>
  <c r="EE136" i="20"/>
  <c r="BR136" i="20"/>
  <c r="DZ136" i="20" s="1"/>
  <c r="EB136" i="20" s="1"/>
  <c r="I137" i="20"/>
  <c r="BM139" i="20"/>
  <c r="BO139" i="20" s="1"/>
  <c r="BP139" i="20" s="1"/>
  <c r="EI139" i="20" s="1"/>
  <c r="EH139" i="20" s="1"/>
  <c r="U139" i="20"/>
  <c r="AL139" i="20"/>
  <c r="BZ140" i="20"/>
  <c r="BR140" i="20"/>
  <c r="DZ140" i="20" s="1"/>
  <c r="EB140" i="20" s="1"/>
  <c r="T140" i="20"/>
  <c r="FY140" i="20"/>
  <c r="BZ141" i="20"/>
  <c r="BR141" i="20"/>
  <c r="DZ141" i="20" s="1"/>
  <c r="EB141" i="20" s="1"/>
  <c r="EE142" i="20"/>
  <c r="DY155" i="20"/>
  <c r="BZ155" i="20"/>
  <c r="CB155" i="20" s="1"/>
  <c r="DL86" i="20"/>
  <c r="EE91" i="20"/>
  <c r="Y94" i="20"/>
  <c r="DT94" i="20" s="1"/>
  <c r="DY94" i="20"/>
  <c r="DY96" i="20"/>
  <c r="L97" i="20"/>
  <c r="DI97" i="20"/>
  <c r="L99" i="20"/>
  <c r="EE99" i="20"/>
  <c r="DL101" i="20"/>
  <c r="Y103" i="20"/>
  <c r="CD103" i="20"/>
  <c r="CE103" i="20" s="1"/>
  <c r="DY104" i="20"/>
  <c r="Y109" i="20"/>
  <c r="Y110" i="20"/>
  <c r="Y111" i="20"/>
  <c r="Y112" i="20"/>
  <c r="BA112" i="20"/>
  <c r="BB112" i="20" s="1"/>
  <c r="T113" i="20"/>
  <c r="BZ113" i="20"/>
  <c r="Y114" i="20"/>
  <c r="BA114" i="20"/>
  <c r="BB114" i="20" s="1"/>
  <c r="T115" i="20"/>
  <c r="BZ115" i="20"/>
  <c r="Y116" i="20"/>
  <c r="BA116" i="20"/>
  <c r="BB116" i="20" s="1"/>
  <c r="T117" i="20"/>
  <c r="AY117" i="20" s="1"/>
  <c r="EL117" i="20"/>
  <c r="EK117" i="20" s="1"/>
  <c r="U118" i="20"/>
  <c r="AL118" i="20"/>
  <c r="AN119" i="20"/>
  <c r="BK119" i="20"/>
  <c r="BM119" i="20" s="1"/>
  <c r="DJ119" i="20"/>
  <c r="EE119" i="20"/>
  <c r="BM120" i="20"/>
  <c r="AK121" i="20"/>
  <c r="AM121" i="20" s="1"/>
  <c r="GA122" i="20"/>
  <c r="CS122" i="20" s="1"/>
  <c r="T123" i="20"/>
  <c r="BZ123" i="20"/>
  <c r="I124" i="20"/>
  <c r="FY124" i="20"/>
  <c r="GA124" i="20" s="1"/>
  <c r="CS124" i="20" s="1"/>
  <c r="GD125" i="20"/>
  <c r="U126" i="20"/>
  <c r="AN126" i="20"/>
  <c r="EE126" i="20"/>
  <c r="T128" i="20"/>
  <c r="BZ128" i="20"/>
  <c r="CB128" i="20" s="1"/>
  <c r="CI128" i="20" s="1"/>
  <c r="CK128" i="20" s="1"/>
  <c r="CP128" i="20" s="1"/>
  <c r="BA129" i="20"/>
  <c r="T130" i="20"/>
  <c r="BZ130" i="20"/>
  <c r="T132" i="20"/>
  <c r="BZ132" i="20"/>
  <c r="BF133" i="20"/>
  <c r="CO133" i="20" s="1"/>
  <c r="BL133" i="20"/>
  <c r="BN133" i="20" s="1"/>
  <c r="DL133" i="20"/>
  <c r="BR134" i="20"/>
  <c r="DZ134" i="20" s="1"/>
  <c r="EB134" i="20" s="1"/>
  <c r="AX135" i="20"/>
  <c r="CM135" i="20" s="1"/>
  <c r="DJ147" i="20"/>
  <c r="AX147" i="20"/>
  <c r="CM147" i="20" s="1"/>
  <c r="M147" i="20"/>
  <c r="O87" i="20"/>
  <c r="AN87" i="20" s="1"/>
  <c r="AN88" i="20"/>
  <c r="X89" i="20"/>
  <c r="BA89" i="20"/>
  <c r="BB89" i="20" s="1"/>
  <c r="CF94" i="20"/>
  <c r="CH94" i="20" s="1"/>
  <c r="FZ94" i="20"/>
  <c r="U95" i="20"/>
  <c r="CF96" i="20"/>
  <c r="CH96" i="20" s="1"/>
  <c r="FZ96" i="20"/>
  <c r="I98" i="20"/>
  <c r="DI102" i="20"/>
  <c r="AK104" i="20"/>
  <c r="BK104" i="20"/>
  <c r="BM104" i="20" s="1"/>
  <c r="AK106" i="20"/>
  <c r="AM106" i="20" s="1"/>
  <c r="AK107" i="20"/>
  <c r="AM107" i="20" s="1"/>
  <c r="BZ107" i="20"/>
  <c r="CB107" i="20" s="1"/>
  <c r="CI107" i="20" s="1"/>
  <c r="CK107" i="20" s="1"/>
  <c r="AK108" i="20"/>
  <c r="AM108" i="20" s="1"/>
  <c r="AK109" i="20"/>
  <c r="AM109" i="20" s="1"/>
  <c r="AK110" i="20"/>
  <c r="AM110" i="20" s="1"/>
  <c r="BZ110" i="20"/>
  <c r="CB110" i="20" s="1"/>
  <c r="CI110" i="20" s="1"/>
  <c r="CK110" i="20" s="1"/>
  <c r="AK111" i="20"/>
  <c r="AM111" i="20" s="1"/>
  <c r="GA112" i="20"/>
  <c r="CS112" i="20" s="1"/>
  <c r="U113" i="20"/>
  <c r="AN113" i="20"/>
  <c r="BK113" i="20"/>
  <c r="BM113" i="20" s="1"/>
  <c r="U115" i="20"/>
  <c r="AN115" i="20"/>
  <c r="BK115" i="20"/>
  <c r="BM115" i="20" s="1"/>
  <c r="BA117" i="20"/>
  <c r="BB117" i="20" s="1"/>
  <c r="DI118" i="20"/>
  <c r="DL119" i="20"/>
  <c r="T121" i="20"/>
  <c r="AL121" i="20"/>
  <c r="BE121" i="20"/>
  <c r="BF121" i="20" s="1"/>
  <c r="CO121" i="20" s="1"/>
  <c r="BR121" i="20"/>
  <c r="DZ121" i="20" s="1"/>
  <c r="EB121" i="20" s="1"/>
  <c r="AK122" i="20"/>
  <c r="AM122" i="20" s="1"/>
  <c r="U123" i="20"/>
  <c r="AN123" i="20"/>
  <c r="BK123" i="20"/>
  <c r="BM123" i="20" s="1"/>
  <c r="EE123" i="20"/>
  <c r="BE125" i="20"/>
  <c r="BF125" i="20" s="1"/>
  <c r="CO125" i="20" s="1"/>
  <c r="BR125" i="20"/>
  <c r="DZ125" i="20" s="1"/>
  <c r="EB125" i="20" s="1"/>
  <c r="BL126" i="20"/>
  <c r="BN126" i="20" s="1"/>
  <c r="GD127" i="20"/>
  <c r="U128" i="20"/>
  <c r="AN128" i="20"/>
  <c r="AX128" i="20"/>
  <c r="CM128" i="20" s="1"/>
  <c r="BK128" i="20"/>
  <c r="BM128" i="20" s="1"/>
  <c r="EE128" i="20"/>
  <c r="U130" i="20"/>
  <c r="AN130" i="20"/>
  <c r="AX130" i="20"/>
  <c r="CM130" i="20" s="1"/>
  <c r="BK130" i="20"/>
  <c r="BM130" i="20" s="1"/>
  <c r="EE130" i="20"/>
  <c r="U132" i="20"/>
  <c r="AN132" i="20"/>
  <c r="BK132" i="20"/>
  <c r="BM132" i="20" s="1"/>
  <c r="EE132" i="20"/>
  <c r="AK133" i="20"/>
  <c r="AM133" i="20" s="1"/>
  <c r="BM133" i="20"/>
  <c r="U134" i="20"/>
  <c r="CA134" i="20"/>
  <c r="BF135" i="20"/>
  <c r="CO135" i="20" s="1"/>
  <c r="BR135" i="20"/>
  <c r="DZ135" i="20" s="1"/>
  <c r="EB135" i="20" s="1"/>
  <c r="BA140" i="20"/>
  <c r="U141" i="20"/>
  <c r="AX85" i="20"/>
  <c r="CM85" i="20" s="1"/>
  <c r="L86" i="20"/>
  <c r="X86" i="20"/>
  <c r="DI90" i="20"/>
  <c r="AX93" i="20"/>
  <c r="CM93" i="20" s="1"/>
  <c r="I94" i="20"/>
  <c r="AK94" i="20"/>
  <c r="AL94" i="20" s="1"/>
  <c r="EA94" i="20"/>
  <c r="AN95" i="20"/>
  <c r="I96" i="20"/>
  <c r="BB96" i="20" s="1"/>
  <c r="AK96" i="20"/>
  <c r="AL96" i="20" s="1"/>
  <c r="EA96" i="20"/>
  <c r="AK98" i="20"/>
  <c r="AM98" i="20" s="1"/>
  <c r="CF103" i="20"/>
  <c r="CH103" i="20" s="1"/>
  <c r="BK107" i="20"/>
  <c r="BL107" i="20" s="1"/>
  <c r="BN107" i="20" s="1"/>
  <c r="BK110" i="20"/>
  <c r="BL110" i="20" s="1"/>
  <c r="BN110" i="20" s="1"/>
  <c r="AK112" i="20"/>
  <c r="AM112" i="20" s="1"/>
  <c r="AK114" i="20"/>
  <c r="AK116" i="20"/>
  <c r="AX118" i="20"/>
  <c r="CM118" i="20" s="1"/>
  <c r="AG120" i="20"/>
  <c r="U121" i="20"/>
  <c r="DI121" i="20"/>
  <c r="T122" i="20"/>
  <c r="BR122" i="20"/>
  <c r="DZ122" i="20" s="1"/>
  <c r="EB122" i="20" s="1"/>
  <c r="T125" i="20"/>
  <c r="DI125" i="20"/>
  <c r="BE127" i="20"/>
  <c r="BF127" i="20" s="1"/>
  <c r="CO127" i="20" s="1"/>
  <c r="AK129" i="20"/>
  <c r="AM129" i="20" s="1"/>
  <c r="AK131" i="20"/>
  <c r="AM131" i="20" s="1"/>
  <c r="BZ133" i="20"/>
  <c r="CB133" i="20" s="1"/>
  <c r="T133" i="20"/>
  <c r="AY133" i="20" s="1"/>
  <c r="DJ138" i="20"/>
  <c r="AX138" i="20"/>
  <c r="CM138" i="20" s="1"/>
  <c r="EE139" i="20"/>
  <c r="DI139" i="20"/>
  <c r="CH139" i="20"/>
  <c r="CA140" i="20"/>
  <c r="EE140" i="20"/>
  <c r="BA144" i="20"/>
  <c r="ET150" i="20"/>
  <c r="EU150" i="20" s="1"/>
  <c r="EV150" i="20" s="1"/>
  <c r="DJ151" i="20"/>
  <c r="AX151" i="20"/>
  <c r="CM151" i="20" s="1"/>
  <c r="M151" i="20"/>
  <c r="DM156" i="20"/>
  <c r="AN121" i="20"/>
  <c r="DJ121" i="20"/>
  <c r="GD124" i="20"/>
  <c r="AN133" i="20"/>
  <c r="DL134" i="20"/>
  <c r="DI134" i="20"/>
  <c r="BE143" i="20"/>
  <c r="BF143" i="20" s="1"/>
  <c r="CO143" i="20" s="1"/>
  <c r="FX143" i="20"/>
  <c r="BZ143" i="20"/>
  <c r="DT144" i="20"/>
  <c r="BA146" i="20"/>
  <c r="CH148" i="20"/>
  <c r="DY153" i="20"/>
  <c r="BZ153" i="20"/>
  <c r="AK86" i="20"/>
  <c r="AM86" i="20" s="1"/>
  <c r="T87" i="20"/>
  <c r="Y95" i="20"/>
  <c r="DT95" i="20" s="1"/>
  <c r="CD95" i="20"/>
  <c r="CE95" i="20" s="1"/>
  <c r="L98" i="20"/>
  <c r="AN106" i="20"/>
  <c r="AN107" i="20"/>
  <c r="AN110" i="20"/>
  <c r="AN111" i="20"/>
  <c r="AG119" i="20"/>
  <c r="T120" i="20"/>
  <c r="BK122" i="20"/>
  <c r="BE124" i="20"/>
  <c r="BF124" i="20" s="1"/>
  <c r="CO124" i="20" s="1"/>
  <c r="BK127" i="20"/>
  <c r="EE133" i="20"/>
  <c r="ET133" i="20"/>
  <c r="EU133" i="20" s="1"/>
  <c r="EV133" i="20" s="1"/>
  <c r="I134" i="20"/>
  <c r="BB134" i="20" s="1"/>
  <c r="BK134" i="20"/>
  <c r="BM134" i="20" s="1"/>
  <c r="EE134" i="20"/>
  <c r="FY136" i="20"/>
  <c r="DL137" i="20"/>
  <c r="DI140" i="20"/>
  <c r="AK140" i="20"/>
  <c r="DL140" i="20"/>
  <c r="I140" i="20"/>
  <c r="AN140" i="20"/>
  <c r="BL142" i="20"/>
  <c r="BN142" i="20" s="1"/>
  <c r="U142" i="20"/>
  <c r="T142" i="20"/>
  <c r="BR143" i="20"/>
  <c r="DZ143" i="20" s="1"/>
  <c r="EB143" i="20" s="1"/>
  <c r="CH149" i="20"/>
  <c r="T135" i="20"/>
  <c r="T137" i="20"/>
  <c r="AY137" i="20" s="1"/>
  <c r="T139" i="20"/>
  <c r="BE139" i="20"/>
  <c r="BF139" i="20" s="1"/>
  <c r="CO139" i="20" s="1"/>
  <c r="BR139" i="20"/>
  <c r="DZ139" i="20" s="1"/>
  <c r="EB139" i="20" s="1"/>
  <c r="BL140" i="20"/>
  <c r="BN140" i="20" s="1"/>
  <c r="DT140" i="20"/>
  <c r="FX140" i="20"/>
  <c r="AK142" i="20"/>
  <c r="AM142" i="20" s="1"/>
  <c r="AN143" i="20"/>
  <c r="AX143" i="20"/>
  <c r="CM143" i="20" s="1"/>
  <c r="BK143" i="20"/>
  <c r="CA143" i="20"/>
  <c r="EE143" i="20"/>
  <c r="T145" i="20"/>
  <c r="AL145" i="20"/>
  <c r="BR145" i="20"/>
  <c r="DZ145" i="20" s="1"/>
  <c r="EB145" i="20" s="1"/>
  <c r="I146" i="20"/>
  <c r="DL146" i="20"/>
  <c r="DT146" i="20"/>
  <c r="FX146" i="20"/>
  <c r="AK147" i="20"/>
  <c r="AM147" i="20" s="1"/>
  <c r="EA147" i="20"/>
  <c r="EB147" i="20" s="1"/>
  <c r="Y148" i="20"/>
  <c r="DT148" i="20" s="1"/>
  <c r="DL148" i="20"/>
  <c r="AK149" i="20"/>
  <c r="AM149" i="20" s="1"/>
  <c r="EA149" i="20"/>
  <c r="EB149" i="20" s="1"/>
  <c r="Y150" i="20"/>
  <c r="DT150" i="20" s="1"/>
  <c r="BL150" i="20"/>
  <c r="BN150" i="20" s="1"/>
  <c r="DL150" i="20"/>
  <c r="T151" i="20"/>
  <c r="AK151" i="20"/>
  <c r="AM151" i="20" s="1"/>
  <c r="EA151" i="20"/>
  <c r="BL152" i="20"/>
  <c r="BN152" i="20" s="1"/>
  <c r="DL152" i="20"/>
  <c r="DI153" i="20"/>
  <c r="DI154" i="20"/>
  <c r="DI155" i="20"/>
  <c r="BE156" i="20"/>
  <c r="FX156" i="20"/>
  <c r="GA156" i="20" s="1"/>
  <c r="BE157" i="20"/>
  <c r="BF157" i="20" s="1"/>
  <c r="FX157" i="20"/>
  <c r="GA157" i="20" s="1"/>
  <c r="BE158" i="20"/>
  <c r="BF158" i="20" s="1"/>
  <c r="FX158" i="20"/>
  <c r="GA158" i="20" s="1"/>
  <c r="BE159" i="20"/>
  <c r="BF159" i="20" s="1"/>
  <c r="FX159" i="20"/>
  <c r="GA159" i="20" s="1"/>
  <c r="CA160" i="20"/>
  <c r="BZ161" i="20"/>
  <c r="CB161" i="20" s="1"/>
  <c r="BI162" i="20"/>
  <c r="AX162" i="20"/>
  <c r="AX163" i="20"/>
  <c r="P163" i="20"/>
  <c r="DY163" i="20" s="1"/>
  <c r="AJ164" i="20"/>
  <c r="AT164" i="20"/>
  <c r="DU164" i="20" s="1"/>
  <c r="AN165" i="20"/>
  <c r="DL165" i="20"/>
  <c r="AK165" i="20"/>
  <c r="L165" i="20"/>
  <c r="BB168" i="20"/>
  <c r="DI168" i="20"/>
  <c r="T169" i="20"/>
  <c r="CB188" i="20"/>
  <c r="CI188" i="20" s="1"/>
  <c r="BK137" i="20"/>
  <c r="BM137" i="20" s="1"/>
  <c r="U145" i="20"/>
  <c r="DI145" i="20"/>
  <c r="EY145" i="20" s="1"/>
  <c r="FY146" i="20"/>
  <c r="U147" i="20"/>
  <c r="BM148" i="20"/>
  <c r="FY148" i="20"/>
  <c r="GA148" i="20" s="1"/>
  <c r="CS148" i="20" s="1"/>
  <c r="U149" i="20"/>
  <c r="BM150" i="20"/>
  <c r="FY150" i="20"/>
  <c r="GA150" i="20" s="1"/>
  <c r="CS150" i="20" s="1"/>
  <c r="U151" i="20"/>
  <c r="BM152" i="20"/>
  <c r="FY152" i="20"/>
  <c r="GA152" i="20" s="1"/>
  <c r="CS152" i="20" s="1"/>
  <c r="AX153" i="20"/>
  <c r="AX154" i="20"/>
  <c r="AX155" i="20"/>
  <c r="DI156" i="20"/>
  <c r="BE160" i="20"/>
  <c r="BF160" i="20" s="1"/>
  <c r="DI161" i="20"/>
  <c r="P162" i="20"/>
  <c r="AQ164" i="20"/>
  <c r="AX165" i="20"/>
  <c r="CM165" i="20" s="1"/>
  <c r="M165" i="20"/>
  <c r="DI165" i="20"/>
  <c r="BA166" i="20"/>
  <c r="BR168" i="20"/>
  <c r="DZ168" i="20" s="1"/>
  <c r="EB168" i="20" s="1"/>
  <c r="EH168" i="20" s="1"/>
  <c r="BE168" i="20"/>
  <c r="CI171" i="20"/>
  <c r="AX172" i="20"/>
  <c r="DI172" i="20"/>
  <c r="M172" i="20"/>
  <c r="DI142" i="20"/>
  <c r="AN145" i="20"/>
  <c r="AX145" i="20"/>
  <c r="CM145" i="20" s="1"/>
  <c r="EE145" i="20"/>
  <c r="AX156" i="20"/>
  <c r="T157" i="20"/>
  <c r="T158" i="20"/>
  <c r="T159" i="20"/>
  <c r="T160" i="20"/>
  <c r="BB161" i="20"/>
  <c r="GA161" i="20"/>
  <c r="BE165" i="20"/>
  <c r="U165" i="20"/>
  <c r="CH167" i="20"/>
  <c r="EL169" i="20"/>
  <c r="EK169" i="20" s="1"/>
  <c r="EL180" i="20"/>
  <c r="EK180" i="20" s="1"/>
  <c r="Y180" i="20"/>
  <c r="BI180" i="20" s="1"/>
  <c r="AN147" i="20"/>
  <c r="BB148" i="20"/>
  <c r="AN149" i="20"/>
  <c r="AN151" i="20"/>
  <c r="BB152" i="20"/>
  <c r="U158" i="20"/>
  <c r="U159" i="20"/>
  <c r="U160" i="20"/>
  <c r="AU161" i="20"/>
  <c r="AJ163" i="20"/>
  <c r="AT163" i="20"/>
  <c r="DU163" i="20" s="1"/>
  <c r="DI164" i="20"/>
  <c r="BI166" i="20"/>
  <c r="DT166" i="20"/>
  <c r="U167" i="20"/>
  <c r="FX167" i="20"/>
  <c r="GA167" i="20" s="1"/>
  <c r="CS167" i="20" s="1"/>
  <c r="DT169" i="20"/>
  <c r="DI136" i="20"/>
  <c r="DI138" i="20"/>
  <c r="DI141" i="20"/>
  <c r="EY141" i="20" s="1"/>
  <c r="DL142" i="20"/>
  <c r="U144" i="20"/>
  <c r="AY144" i="20" s="1"/>
  <c r="AZ144" i="20" s="1"/>
  <c r="BZ144" i="20"/>
  <c r="CB144" i="20" s="1"/>
  <c r="DI144" i="20"/>
  <c r="AK146" i="20"/>
  <c r="Y147" i="20"/>
  <c r="BL147" i="20"/>
  <c r="BN147" i="20" s="1"/>
  <c r="DL147" i="20"/>
  <c r="T148" i="20"/>
  <c r="AK148" i="20"/>
  <c r="EA148" i="20"/>
  <c r="Y149" i="20"/>
  <c r="DL149" i="20"/>
  <c r="T150" i="20"/>
  <c r="AK150" i="20"/>
  <c r="AL150" i="20" s="1"/>
  <c r="EA150" i="20"/>
  <c r="Y151" i="20"/>
  <c r="BL151" i="20"/>
  <c r="BN151" i="20" s="1"/>
  <c r="DL151" i="20"/>
  <c r="T152" i="20"/>
  <c r="AK152" i="20"/>
  <c r="AM152" i="20" s="1"/>
  <c r="EA152" i="20"/>
  <c r="BR153" i="20"/>
  <c r="DZ153" i="20" s="1"/>
  <c r="EB153" i="20" s="1"/>
  <c r="EL153" i="20"/>
  <c r="EK153" i="20" s="1"/>
  <c r="BR154" i="20"/>
  <c r="DZ154" i="20" s="1"/>
  <c r="EB154" i="20" s="1"/>
  <c r="EL154" i="20"/>
  <c r="EK154" i="20" s="1"/>
  <c r="EM154" i="20" s="1"/>
  <c r="EP154" i="20" s="1"/>
  <c r="EQ154" i="20" s="1"/>
  <c r="BR155" i="20"/>
  <c r="DZ155" i="20" s="1"/>
  <c r="EB155" i="20" s="1"/>
  <c r="EL155" i="20"/>
  <c r="EK155" i="20" s="1"/>
  <c r="EM155" i="20" s="1"/>
  <c r="EP155" i="20" s="1"/>
  <c r="EQ155" i="20" s="1"/>
  <c r="N165" i="20"/>
  <c r="EE165" i="20" s="1"/>
  <c r="CA165" i="20"/>
  <c r="BZ165" i="20"/>
  <c r="BB165" i="20"/>
  <c r="FX166" i="20"/>
  <c r="T166" i="20"/>
  <c r="CA166" i="20"/>
  <c r="BE167" i="20"/>
  <c r="DI169" i="20"/>
  <c r="M169" i="20"/>
  <c r="AX169" i="20"/>
  <c r="CM169" i="20" s="1"/>
  <c r="AY170" i="20"/>
  <c r="AZ170" i="20" s="1"/>
  <c r="EL171" i="20"/>
  <c r="EK171" i="20" s="1"/>
  <c r="Y171" i="20"/>
  <c r="AY175" i="20"/>
  <c r="AZ175" i="20" s="1"/>
  <c r="AN138" i="20"/>
  <c r="AX141" i="20"/>
  <c r="CM141" i="20" s="1"/>
  <c r="EE141" i="20"/>
  <c r="AN144" i="20"/>
  <c r="BK144" i="20"/>
  <c r="BM144" i="20" s="1"/>
  <c r="EE144" i="20"/>
  <c r="BA145" i="20"/>
  <c r="BB145" i="20" s="1"/>
  <c r="T146" i="20"/>
  <c r="BR146" i="20"/>
  <c r="DZ146" i="20" s="1"/>
  <c r="EB146" i="20" s="1"/>
  <c r="L148" i="20"/>
  <c r="U148" i="20"/>
  <c r="BE148" i="20"/>
  <c r="BF148" i="20" s="1"/>
  <c r="CO148" i="20" s="1"/>
  <c r="BR148" i="20"/>
  <c r="DZ148" i="20" s="1"/>
  <c r="L150" i="20"/>
  <c r="U150" i="20"/>
  <c r="BE150" i="20"/>
  <c r="BR150" i="20"/>
  <c r="DZ150" i="20" s="1"/>
  <c r="ET151" i="20"/>
  <c r="EU151" i="20" s="1"/>
  <c r="EV151" i="20" s="1"/>
  <c r="L152" i="20"/>
  <c r="U152" i="20"/>
  <c r="BE152" i="20"/>
  <c r="BF152" i="20" s="1"/>
  <c r="CO152" i="20" s="1"/>
  <c r="BR152" i="20"/>
  <c r="DZ152" i="20" s="1"/>
  <c r="M153" i="20"/>
  <c r="M154" i="20"/>
  <c r="BF154" i="20" s="1"/>
  <c r="M155" i="20"/>
  <c r="M156" i="20"/>
  <c r="BA157" i="20"/>
  <c r="BB157" i="20" s="1"/>
  <c r="BR157" i="20"/>
  <c r="DZ157" i="20" s="1"/>
  <c r="EB157" i="20" s="1"/>
  <c r="BA158" i="20"/>
  <c r="BB158" i="20" s="1"/>
  <c r="BR158" i="20"/>
  <c r="DZ158" i="20" s="1"/>
  <c r="EB158" i="20" s="1"/>
  <c r="EH158" i="20" s="1"/>
  <c r="BA159" i="20"/>
  <c r="BB159" i="20" s="1"/>
  <c r="BR159" i="20"/>
  <c r="DZ159" i="20" s="1"/>
  <c r="EB159" i="20" s="1"/>
  <c r="EH159" i="20" s="1"/>
  <c r="BA164" i="20"/>
  <c r="BB164" i="20" s="1"/>
  <c r="X164" i="20"/>
  <c r="EL165" i="20"/>
  <c r="EK165" i="20" s="1"/>
  <c r="EH166" i="20"/>
  <c r="CA167" i="20"/>
  <c r="N167" i="20"/>
  <c r="EE167" i="20" s="1"/>
  <c r="BZ167" i="20"/>
  <c r="BR167" i="20"/>
  <c r="DZ167" i="20" s="1"/>
  <c r="EB167" i="20" s="1"/>
  <c r="EH167" i="20" s="1"/>
  <c r="FG168" i="20"/>
  <c r="BE169" i="20"/>
  <c r="U169" i="20"/>
  <c r="FX169" i="20"/>
  <c r="EL173" i="20"/>
  <c r="EK173" i="20" s="1"/>
  <c r="Y173" i="20"/>
  <c r="BI173" i="20" s="1"/>
  <c r="DT187" i="20"/>
  <c r="BI187" i="20"/>
  <c r="CX189" i="20"/>
  <c r="FI189" i="20"/>
  <c r="T143" i="20"/>
  <c r="I144" i="20"/>
  <c r="BZ146" i="20"/>
  <c r="DI146" i="20"/>
  <c r="X157" i="20"/>
  <c r="X158" i="20"/>
  <c r="BZ158" i="20"/>
  <c r="CB158" i="20" s="1"/>
  <c r="CI158" i="20" s="1"/>
  <c r="CK158" i="20" s="1"/>
  <c r="X159" i="20"/>
  <c r="X160" i="20"/>
  <c r="BR160" i="20"/>
  <c r="DZ160" i="20" s="1"/>
  <c r="EB160" i="20" s="1"/>
  <c r="EH160" i="20" s="1"/>
  <c r="T165" i="20"/>
  <c r="FX165" i="20"/>
  <c r="GA165" i="20" s="1"/>
  <c r="CS165" i="20" s="1"/>
  <c r="CH166" i="20"/>
  <c r="EE166" i="20"/>
  <c r="T167" i="20"/>
  <c r="AP168" i="20"/>
  <c r="M168" i="20"/>
  <c r="AX170" i="20"/>
  <c r="CM170" i="20" s="1"/>
  <c r="DI170" i="20"/>
  <c r="M170" i="20"/>
  <c r="EH177" i="20"/>
  <c r="AN146" i="20"/>
  <c r="BK146" i="20"/>
  <c r="BM146" i="20" s="1"/>
  <c r="AT160" i="20"/>
  <c r="DU160" i="20" s="1"/>
  <c r="BZ160" i="20"/>
  <c r="EL162" i="20"/>
  <c r="EK162" i="20" s="1"/>
  <c r="P164" i="20"/>
  <c r="DY164" i="20" s="1"/>
  <c r="M164" i="20"/>
  <c r="U168" i="20"/>
  <c r="FX168" i="20"/>
  <c r="GA168" i="20" s="1"/>
  <c r="CS168" i="20" s="1"/>
  <c r="CA168" i="20"/>
  <c r="CB168" i="20" s="1"/>
  <c r="N168" i="20"/>
  <c r="BZ169" i="20"/>
  <c r="CB169" i="20" s="1"/>
  <c r="CI169" i="20" s="1"/>
  <c r="N169" i="20"/>
  <c r="EE169" i="20" s="1"/>
  <c r="BR169" i="20"/>
  <c r="DZ169" i="20" s="1"/>
  <c r="EB169" i="20" s="1"/>
  <c r="EH169" i="20" s="1"/>
  <c r="FY169" i="20"/>
  <c r="AX179" i="20"/>
  <c r="CM179" i="20" s="1"/>
  <c r="DI179" i="20"/>
  <c r="M179" i="20"/>
  <c r="BF179" i="20" s="1"/>
  <c r="CO179" i="20" s="1"/>
  <c r="CU182" i="20"/>
  <c r="FG182" i="20"/>
  <c r="BA170" i="20"/>
  <c r="BB170" i="20" s="1"/>
  <c r="BR170" i="20"/>
  <c r="DZ170" i="20" s="1"/>
  <c r="EB170" i="20" s="1"/>
  <c r="EH170" i="20" s="1"/>
  <c r="L172" i="20"/>
  <c r="BA172" i="20"/>
  <c r="BB172" i="20" s="1"/>
  <c r="BR172" i="20"/>
  <c r="DZ172" i="20" s="1"/>
  <c r="EB172" i="20" s="1"/>
  <c r="EH172" i="20" s="1"/>
  <c r="AM173" i="20"/>
  <c r="T174" i="20"/>
  <c r="AY174" i="20" s="1"/>
  <c r="FX174" i="20"/>
  <c r="N175" i="20"/>
  <c r="EE175" i="20" s="1"/>
  <c r="CA175" i="20"/>
  <c r="CB175" i="20" s="1"/>
  <c r="DL175" i="20"/>
  <c r="DT175" i="20"/>
  <c r="S176" i="20"/>
  <c r="AN176" i="20" s="1"/>
  <c r="BI176" i="20"/>
  <c r="FX176" i="20"/>
  <c r="GA176" i="20" s="1"/>
  <c r="CS176" i="20" s="1"/>
  <c r="N177" i="20"/>
  <c r="AK177" i="20"/>
  <c r="AJ177" i="20" s="1"/>
  <c r="BZ177" i="20"/>
  <c r="DI177" i="20"/>
  <c r="L179" i="20"/>
  <c r="BA179" i="20"/>
  <c r="BB179" i="20" s="1"/>
  <c r="BR179" i="20"/>
  <c r="DZ179" i="20" s="1"/>
  <c r="EB179" i="20" s="1"/>
  <c r="EH179" i="20" s="1"/>
  <c r="AM180" i="20"/>
  <c r="T181" i="20"/>
  <c r="FY181" i="20"/>
  <c r="GA181" i="20" s="1"/>
  <c r="CS181" i="20" s="1"/>
  <c r="BE182" i="20"/>
  <c r="BF182" i="20" s="1"/>
  <c r="CO182" i="20" s="1"/>
  <c r="T183" i="20"/>
  <c r="FX183" i="20"/>
  <c r="N184" i="20"/>
  <c r="EE184" i="20" s="1"/>
  <c r="CA184" i="20"/>
  <c r="CB184" i="20" s="1"/>
  <c r="DL184" i="20"/>
  <c r="S185" i="20"/>
  <c r="AN185" i="20" s="1"/>
  <c r="BI185" i="20"/>
  <c r="FX185" i="20"/>
  <c r="N186" i="20"/>
  <c r="AK186" i="20"/>
  <c r="AJ186" i="20" s="1"/>
  <c r="BZ186" i="20"/>
  <c r="DI186" i="20"/>
  <c r="EL187" i="20"/>
  <c r="EK187" i="20" s="1"/>
  <c r="L188" i="20"/>
  <c r="U188" i="20"/>
  <c r="AX191" i="20"/>
  <c r="CM191" i="20" s="1"/>
  <c r="CM192" i="20"/>
  <c r="EL196" i="20"/>
  <c r="EK196" i="20" s="1"/>
  <c r="Y196" i="20"/>
  <c r="BI196" i="20" s="1"/>
  <c r="AL197" i="20"/>
  <c r="BR197" i="20"/>
  <c r="DZ197" i="20" s="1"/>
  <c r="EB197" i="20" s="1"/>
  <c r="AK198" i="20"/>
  <c r="I200" i="20"/>
  <c r="S200" i="20"/>
  <c r="AN200" i="20" s="1"/>
  <c r="AM200" i="20"/>
  <c r="EE200" i="20"/>
  <c r="AK200" i="20"/>
  <c r="DL200" i="20"/>
  <c r="BE201" i="20"/>
  <c r="U201" i="20"/>
  <c r="DL201" i="20"/>
  <c r="I202" i="20"/>
  <c r="S202" i="20"/>
  <c r="AN202" i="20" s="1"/>
  <c r="DL202" i="20"/>
  <c r="CH202" i="20"/>
  <c r="EE202" i="20"/>
  <c r="DT209" i="20"/>
  <c r="CH215" i="20"/>
  <c r="EH216" i="20"/>
  <c r="EG216" i="20"/>
  <c r="S167" i="20"/>
  <c r="AN167" i="20" s="1"/>
  <c r="S169" i="20"/>
  <c r="AN169" i="20" s="1"/>
  <c r="AK170" i="20"/>
  <c r="AJ170" i="20" s="1"/>
  <c r="GA170" i="20"/>
  <c r="CS170" i="20" s="1"/>
  <c r="AK172" i="20"/>
  <c r="AJ172" i="20" s="1"/>
  <c r="GA172" i="20"/>
  <c r="CS172" i="20" s="1"/>
  <c r="FY174" i="20"/>
  <c r="BE175" i="20"/>
  <c r="CA177" i="20"/>
  <c r="DL177" i="20"/>
  <c r="S178" i="20"/>
  <c r="AN178" i="20" s="1"/>
  <c r="AK179" i="20"/>
  <c r="AJ179" i="20" s="1"/>
  <c r="BZ179" i="20"/>
  <c r="CB179" i="20" s="1"/>
  <c r="CI179" i="20" s="1"/>
  <c r="GA179" i="20"/>
  <c r="CS179" i="20" s="1"/>
  <c r="BR181" i="20"/>
  <c r="DZ181" i="20" s="1"/>
  <c r="EB181" i="20" s="1"/>
  <c r="EH181" i="20" s="1"/>
  <c r="FY183" i="20"/>
  <c r="BE184" i="20"/>
  <c r="CA186" i="20"/>
  <c r="S187" i="20"/>
  <c r="AN187" i="20" s="1"/>
  <c r="AX187" i="20"/>
  <c r="CM187" i="20" s="1"/>
  <c r="BA188" i="20"/>
  <c r="CA191" i="20"/>
  <c r="N191" i="20"/>
  <c r="BR191" i="20"/>
  <c r="DZ191" i="20" s="1"/>
  <c r="EB191" i="20" s="1"/>
  <c r="EH191" i="20" s="1"/>
  <c r="X193" i="20"/>
  <c r="CH196" i="20"/>
  <c r="BR201" i="20"/>
  <c r="DZ201" i="20" s="1"/>
  <c r="EB201" i="20" s="1"/>
  <c r="FY201" i="20"/>
  <c r="AX205" i="20"/>
  <c r="P205" i="20"/>
  <c r="DY205" i="20" s="1"/>
  <c r="DI205" i="20"/>
  <c r="X205" i="20"/>
  <c r="BA205" i="20"/>
  <c r="BB205" i="20" s="1"/>
  <c r="DL170" i="20"/>
  <c r="S171" i="20"/>
  <c r="AN171" i="20" s="1"/>
  <c r="DL172" i="20"/>
  <c r="S173" i="20"/>
  <c r="AN173" i="20" s="1"/>
  <c r="BR174" i="20"/>
  <c r="DZ174" i="20" s="1"/>
  <c r="EB174" i="20" s="1"/>
  <c r="EH174" i="20" s="1"/>
  <c r="T178" i="20"/>
  <c r="FX178" i="20"/>
  <c r="AL179" i="20"/>
  <c r="DL179" i="20"/>
  <c r="S180" i="20"/>
  <c r="AN180" i="20" s="1"/>
  <c r="BZ181" i="20"/>
  <c r="CB181" i="20" s="1"/>
  <c r="CI181" i="20" s="1"/>
  <c r="BR183" i="20"/>
  <c r="DZ183" i="20" s="1"/>
  <c r="EB183" i="20" s="1"/>
  <c r="EH183" i="20" s="1"/>
  <c r="FX187" i="20"/>
  <c r="GA187" i="20" s="1"/>
  <c r="CS187" i="20" s="1"/>
  <c r="BB189" i="20"/>
  <c r="BE194" i="20"/>
  <c r="DL196" i="20"/>
  <c r="AL196" i="20"/>
  <c r="EE196" i="20"/>
  <c r="AK196" i="20"/>
  <c r="AJ196" i="20" s="1"/>
  <c r="L196" i="20"/>
  <c r="I196" i="20"/>
  <c r="BB196" i="20" s="1"/>
  <c r="S196" i="20"/>
  <c r="AN196" i="20" s="1"/>
  <c r="U200" i="20"/>
  <c r="Q200" i="20"/>
  <c r="T200" i="20" s="1"/>
  <c r="BE200" i="20"/>
  <c r="U202" i="20"/>
  <c r="FX202" i="20"/>
  <c r="Q202" i="20"/>
  <c r="AL202" i="20" s="1"/>
  <c r="BE202" i="20"/>
  <c r="EE204" i="20"/>
  <c r="U204" i="20"/>
  <c r="FX204" i="20"/>
  <c r="AM206" i="20"/>
  <c r="DL206" i="20"/>
  <c r="AL206" i="20"/>
  <c r="EE206" i="20"/>
  <c r="AK206" i="20"/>
  <c r="AJ206" i="20" s="1"/>
  <c r="L206" i="20"/>
  <c r="I206" i="20"/>
  <c r="BB206" i="20" s="1"/>
  <c r="S206" i="20"/>
  <c r="AN206" i="20" s="1"/>
  <c r="EL211" i="20"/>
  <c r="EK211" i="20" s="1"/>
  <c r="Y211" i="20"/>
  <c r="BZ163" i="20"/>
  <c r="CB163" i="20" s="1"/>
  <c r="CI163" i="20" s="1"/>
  <c r="CK163" i="20" s="1"/>
  <c r="L167" i="20"/>
  <c r="L169" i="20"/>
  <c r="X170" i="20"/>
  <c r="AM170" i="20"/>
  <c r="BE170" i="20"/>
  <c r="I171" i="20"/>
  <c r="T171" i="20"/>
  <c r="FY171" i="20"/>
  <c r="X172" i="20"/>
  <c r="AM172" i="20"/>
  <c r="BE172" i="20"/>
  <c r="CM172" i="20"/>
  <c r="I173" i="20"/>
  <c r="T173" i="20"/>
  <c r="N174" i="20"/>
  <c r="EE174" i="20" s="1"/>
  <c r="AK174" i="20"/>
  <c r="AJ174" i="20" s="1"/>
  <c r="BZ174" i="20"/>
  <c r="M176" i="20"/>
  <c r="AK176" i="20"/>
  <c r="AJ176" i="20" s="1"/>
  <c r="DI176" i="20"/>
  <c r="AN177" i="20"/>
  <c r="L178" i="20"/>
  <c r="U178" i="20"/>
  <c r="FY178" i="20"/>
  <c r="X179" i="20"/>
  <c r="AM179" i="20"/>
  <c r="I180" i="20"/>
  <c r="T180" i="20"/>
  <c r="AY180" i="20" s="1"/>
  <c r="N181" i="20"/>
  <c r="EE181" i="20" s="1"/>
  <c r="DL181" i="20"/>
  <c r="S182" i="20"/>
  <c r="AN182" i="20" s="1"/>
  <c r="N183" i="20"/>
  <c r="EE183" i="20" s="1"/>
  <c r="AK183" i="20"/>
  <c r="AJ183" i="20" s="1"/>
  <c r="BZ183" i="20"/>
  <c r="CB183" i="20" s="1"/>
  <c r="CI183" i="20" s="1"/>
  <c r="DI183" i="20"/>
  <c r="M185" i="20"/>
  <c r="BF185" i="20" s="1"/>
  <c r="CO185" i="20" s="1"/>
  <c r="AK185" i="20"/>
  <c r="AJ185" i="20" s="1"/>
  <c r="DI185" i="20"/>
  <c r="L187" i="20"/>
  <c r="U187" i="20"/>
  <c r="AY187" i="20" s="1"/>
  <c r="AZ187" i="20" s="1"/>
  <c r="X188" i="20"/>
  <c r="AL188" i="20"/>
  <c r="CA189" i="20"/>
  <c r="N189" i="20"/>
  <c r="EE189" i="20" s="1"/>
  <c r="BE189" i="20"/>
  <c r="EL190" i="20"/>
  <c r="EK190" i="20" s="1"/>
  <c r="Y190" i="20"/>
  <c r="BI190" i="20" s="1"/>
  <c r="EL194" i="20"/>
  <c r="EK194" i="20" s="1"/>
  <c r="Y194" i="20"/>
  <c r="U196" i="20"/>
  <c r="FX196" i="20"/>
  <c r="GA196" i="20" s="1"/>
  <c r="CS196" i="20" s="1"/>
  <c r="BE196" i="20"/>
  <c r="X197" i="20"/>
  <c r="X199" i="20"/>
  <c r="BA199" i="20"/>
  <c r="AM202" i="20"/>
  <c r="Q204" i="20"/>
  <c r="AJ204" i="20" s="1"/>
  <c r="M205" i="20"/>
  <c r="GA216" i="20"/>
  <c r="DL216" i="20"/>
  <c r="EE216" i="20"/>
  <c r="AN216" i="20"/>
  <c r="L216" i="20"/>
  <c r="AM216" i="20"/>
  <c r="I216" i="20"/>
  <c r="AK216" i="20"/>
  <c r="AJ216" i="20" s="1"/>
  <c r="EB217" i="20"/>
  <c r="EG217" i="20" s="1"/>
  <c r="BR164" i="20"/>
  <c r="DZ164" i="20" s="1"/>
  <c r="EB164" i="20" s="1"/>
  <c r="S166" i="20"/>
  <c r="AN166" i="20" s="1"/>
  <c r="AK167" i="20"/>
  <c r="AJ167" i="20" s="1"/>
  <c r="L171" i="20"/>
  <c r="BA171" i="20"/>
  <c r="BR171" i="20"/>
  <c r="DZ171" i="20" s="1"/>
  <c r="EB171" i="20" s="1"/>
  <c r="EH171" i="20" s="1"/>
  <c r="L173" i="20"/>
  <c r="FY173" i="20"/>
  <c r="AL174" i="20"/>
  <c r="S175" i="20"/>
  <c r="AN175" i="20" s="1"/>
  <c r="BI175" i="20"/>
  <c r="FX175" i="20"/>
  <c r="N176" i="20"/>
  <c r="EE176" i="20" s="1"/>
  <c r="CA176" i="20"/>
  <c r="DL176" i="20"/>
  <c r="L180" i="20"/>
  <c r="FY180" i="20"/>
  <c r="BE181" i="20"/>
  <c r="T182" i="20"/>
  <c r="FY182" i="20"/>
  <c r="GA182" i="20" s="1"/>
  <c r="CS182" i="20" s="1"/>
  <c r="S184" i="20"/>
  <c r="AN184" i="20" s="1"/>
  <c r="FX184" i="20"/>
  <c r="N185" i="20"/>
  <c r="CA185" i="20"/>
  <c r="AX186" i="20"/>
  <c r="CM186" i="20" s="1"/>
  <c r="M187" i="20"/>
  <c r="BF187" i="20" s="1"/>
  <c r="CO187" i="20" s="1"/>
  <c r="BR187" i="20"/>
  <c r="DZ187" i="20" s="1"/>
  <c r="EB187" i="20" s="1"/>
  <c r="EH187" i="20" s="1"/>
  <c r="AM188" i="20"/>
  <c r="GA188" i="20"/>
  <c r="CS188" i="20" s="1"/>
  <c r="T189" i="20"/>
  <c r="DL194" i="20"/>
  <c r="I194" i="20"/>
  <c r="S194" i="20"/>
  <c r="AN194" i="20" s="1"/>
  <c r="CA196" i="20"/>
  <c r="BR196" i="20"/>
  <c r="DZ196" i="20" s="1"/>
  <c r="EB196" i="20" s="1"/>
  <c r="AM196" i="20"/>
  <c r="DI197" i="20"/>
  <c r="AX197" i="20"/>
  <c r="CM197" i="20" s="1"/>
  <c r="AX203" i="20"/>
  <c r="CM203" i="20" s="1"/>
  <c r="M203" i="20"/>
  <c r="DI203" i="20"/>
  <c r="CA206" i="20"/>
  <c r="BR206" i="20"/>
  <c r="DZ206" i="20" s="1"/>
  <c r="EB206" i="20" s="1"/>
  <c r="AP215" i="20"/>
  <c r="EL214" i="20"/>
  <c r="EK214" i="20" s="1"/>
  <c r="Y214" i="20"/>
  <c r="BI214" i="20" s="1"/>
  <c r="Y215" i="20"/>
  <c r="BI215" i="20" s="1"/>
  <c r="EL215" i="20"/>
  <c r="EK215" i="20" s="1"/>
  <c r="DL167" i="20"/>
  <c r="S168" i="20"/>
  <c r="AN168" i="20" s="1"/>
  <c r="AK169" i="20"/>
  <c r="AJ169" i="20" s="1"/>
  <c r="AK171" i="20"/>
  <c r="AJ171" i="20" s="1"/>
  <c r="BA173" i="20"/>
  <c r="BR173" i="20"/>
  <c r="DZ173" i="20" s="1"/>
  <c r="EB173" i="20" s="1"/>
  <c r="EH173" i="20" s="1"/>
  <c r="I175" i="20"/>
  <c r="CM176" i="20"/>
  <c r="T177" i="20"/>
  <c r="N178" i="20"/>
  <c r="AK178" i="20"/>
  <c r="AJ178" i="20" s="1"/>
  <c r="BZ178" i="20"/>
  <c r="BA180" i="20"/>
  <c r="BB180" i="20" s="1"/>
  <c r="BR180" i="20"/>
  <c r="DZ180" i="20" s="1"/>
  <c r="EB180" i="20" s="1"/>
  <c r="EH180" i="20" s="1"/>
  <c r="BR182" i="20"/>
  <c r="DZ182" i="20" s="1"/>
  <c r="EB182" i="20" s="1"/>
  <c r="EH182" i="20" s="1"/>
  <c r="T186" i="20"/>
  <c r="N187" i="20"/>
  <c r="AK187" i="20"/>
  <c r="AJ187" i="20" s="1"/>
  <c r="BZ187" i="20"/>
  <c r="U189" i="20"/>
  <c r="FX190" i="20"/>
  <c r="GA190" i="20" s="1"/>
  <c r="CS190" i="20" s="1"/>
  <c r="U190" i="20"/>
  <c r="AY190" i="20" s="1"/>
  <c r="AZ190" i="20" s="1"/>
  <c r="BZ190" i="20"/>
  <c r="EL191" i="20"/>
  <c r="EK191" i="20" s="1"/>
  <c r="Y191" i="20"/>
  <c r="CH192" i="20"/>
  <c r="P193" i="20"/>
  <c r="DY193" i="20" s="1"/>
  <c r="X195" i="20"/>
  <c r="AP196" i="20"/>
  <c r="S198" i="20"/>
  <c r="AN198" i="20" s="1"/>
  <c r="AM198" i="20"/>
  <c r="DL198" i="20"/>
  <c r="I198" i="20"/>
  <c r="FX200" i="20"/>
  <c r="CA201" i="20"/>
  <c r="CA203" i="20"/>
  <c r="AL203" i="20"/>
  <c r="BZ203" i="20"/>
  <c r="FY203" i="20"/>
  <c r="GA203" i="20" s="1"/>
  <c r="CS203" i="20" s="1"/>
  <c r="T203" i="20"/>
  <c r="CH206" i="20"/>
  <c r="S170" i="20"/>
  <c r="AN170" i="20" s="1"/>
  <c r="AL171" i="20"/>
  <c r="DL171" i="20"/>
  <c r="S172" i="20"/>
  <c r="AN172" i="20" s="1"/>
  <c r="AK173" i="20"/>
  <c r="AJ173" i="20" s="1"/>
  <c r="CA178" i="20"/>
  <c r="S179" i="20"/>
  <c r="AN179" i="20" s="1"/>
  <c r="AK180" i="20"/>
  <c r="AJ180" i="20" s="1"/>
  <c r="BZ182" i="20"/>
  <c r="CB182" i="20" s="1"/>
  <c r="CI182" i="20" s="1"/>
  <c r="CK182" i="20" s="1"/>
  <c r="CP182" i="20" s="1"/>
  <c r="CA187" i="20"/>
  <c r="S188" i="20"/>
  <c r="AN188" i="20" s="1"/>
  <c r="U194" i="20"/>
  <c r="FX194" i="20"/>
  <c r="FY197" i="20"/>
  <c r="T197" i="20"/>
  <c r="AY197" i="20" s="1"/>
  <c r="EL200" i="20"/>
  <c r="EK200" i="20" s="1"/>
  <c r="Y200" i="20"/>
  <c r="EL202" i="20"/>
  <c r="EK202" i="20" s="1"/>
  <c r="Y202" i="20"/>
  <c r="BI202" i="20" s="1"/>
  <c r="FY212" i="20"/>
  <c r="GA212" i="20" s="1"/>
  <c r="CA212" i="20"/>
  <c r="BZ212" i="20"/>
  <c r="BR212" i="20"/>
  <c r="DZ212" i="20" s="1"/>
  <c r="EB212" i="20" s="1"/>
  <c r="T212" i="20"/>
  <c r="FY227" i="20"/>
  <c r="GA227" i="20" s="1"/>
  <c r="CS227" i="20" s="1"/>
  <c r="BR227" i="20"/>
  <c r="DZ227" i="20" s="1"/>
  <c r="EB227" i="20" s="1"/>
  <c r="CA227" i="20"/>
  <c r="AL227" i="20"/>
  <c r="BZ227" i="20"/>
  <c r="T227" i="20"/>
  <c r="AY227" i="20" s="1"/>
  <c r="T164" i="20"/>
  <c r="BE164" i="20"/>
  <c r="AL173" i="20"/>
  <c r="AK175" i="20"/>
  <c r="AJ175" i="20" s="1"/>
  <c r="T179" i="20"/>
  <c r="AL180" i="20"/>
  <c r="N182" i="20"/>
  <c r="EE182" i="20" s="1"/>
  <c r="AK184" i="20"/>
  <c r="AJ184" i="20" s="1"/>
  <c r="I188" i="20"/>
  <c r="T188" i="20"/>
  <c r="BR189" i="20"/>
  <c r="DZ189" i="20" s="1"/>
  <c r="EB189" i="20" s="1"/>
  <c r="EH189" i="20" s="1"/>
  <c r="CA190" i="20"/>
  <c r="N190" i="20"/>
  <c r="EE190" i="20" s="1"/>
  <c r="BR190" i="20"/>
  <c r="DZ190" i="20" s="1"/>
  <c r="EB190" i="20" s="1"/>
  <c r="EH190" i="20" s="1"/>
  <c r="AJ190" i="20"/>
  <c r="U191" i="20"/>
  <c r="FX191" i="20"/>
  <c r="BZ191" i="20"/>
  <c r="BA192" i="20"/>
  <c r="X192" i="20"/>
  <c r="Q194" i="20"/>
  <c r="AL194" i="20" s="1"/>
  <c r="AM201" i="20"/>
  <c r="EE201" i="20"/>
  <c r="AK201" i="20"/>
  <c r="AJ201" i="20" s="1"/>
  <c r="L201" i="20"/>
  <c r="I201" i="20"/>
  <c r="S201" i="20"/>
  <c r="AN201" i="20" s="1"/>
  <c r="EL201" i="20"/>
  <c r="EK201" i="20" s="1"/>
  <c r="Y220" i="20"/>
  <c r="BI220" i="20" s="1"/>
  <c r="EL220" i="20"/>
  <c r="EK220" i="20" s="1"/>
  <c r="EL225" i="20"/>
  <c r="EK225" i="20" s="1"/>
  <c r="Y225" i="20"/>
  <c r="AM197" i="20"/>
  <c r="BE197" i="20"/>
  <c r="U198" i="20"/>
  <c r="AY198" i="20" s="1"/>
  <c r="AZ198" i="20" s="1"/>
  <c r="FX206" i="20"/>
  <c r="X207" i="20"/>
  <c r="AM207" i="20"/>
  <c r="BE207" i="20"/>
  <c r="BF207" i="20" s="1"/>
  <c r="CO207" i="20" s="1"/>
  <c r="I208" i="20"/>
  <c r="BB208" i="20" s="1"/>
  <c r="U208" i="20"/>
  <c r="FY208" i="20"/>
  <c r="AM209" i="20"/>
  <c r="BE209" i="20"/>
  <c r="I210" i="20"/>
  <c r="U210" i="20"/>
  <c r="BR210" i="20"/>
  <c r="DZ210" i="20" s="1"/>
  <c r="EB210" i="20" s="1"/>
  <c r="AX211" i="20"/>
  <c r="CM211" i="20" s="1"/>
  <c r="Y212" i="20"/>
  <c r="DL212" i="20"/>
  <c r="I214" i="20"/>
  <c r="BB214" i="20" s="1"/>
  <c r="AM214" i="20"/>
  <c r="GA215" i="20"/>
  <c r="BZ216" i="20"/>
  <c r="CB216" i="20" s="1"/>
  <c r="CI216" i="20" s="1"/>
  <c r="X217" i="20"/>
  <c r="AJ218" i="20"/>
  <c r="EE219" i="20"/>
  <c r="AN219" i="20"/>
  <c r="AL219" i="20"/>
  <c r="I219" i="20"/>
  <c r="DL219" i="20"/>
  <c r="AN221" i="20"/>
  <c r="DL221" i="20"/>
  <c r="AL221" i="20"/>
  <c r="I221" i="20"/>
  <c r="Y221" i="20"/>
  <c r="EL221" i="20"/>
  <c r="EK221" i="20" s="1"/>
  <c r="BI227" i="20"/>
  <c r="EL243" i="20"/>
  <c r="EK243" i="20" s="1"/>
  <c r="Y243" i="20"/>
  <c r="EH243" i="20"/>
  <c r="S189" i="20"/>
  <c r="AN189" i="20" s="1"/>
  <c r="DL190" i="20"/>
  <c r="S191" i="20"/>
  <c r="AN191" i="20" s="1"/>
  <c r="L193" i="20"/>
  <c r="AK193" i="20"/>
  <c r="EE193" i="20"/>
  <c r="BE195" i="20"/>
  <c r="L203" i="20"/>
  <c r="AK203" i="20"/>
  <c r="AJ203" i="20" s="1"/>
  <c r="EE203" i="20"/>
  <c r="S204" i="20"/>
  <c r="AN204" i="20" s="1"/>
  <c r="BE205" i="20"/>
  <c r="CM205" i="20"/>
  <c r="U206" i="20"/>
  <c r="AY206" i="20" s="1"/>
  <c r="BH206" i="20" s="1"/>
  <c r="Q207" i="20"/>
  <c r="T207" i="20" s="1"/>
  <c r="AY207" i="20" s="1"/>
  <c r="AX207" i="20"/>
  <c r="CM207" i="20" s="1"/>
  <c r="AK208" i="20"/>
  <c r="AJ208" i="20" s="1"/>
  <c r="EE208" i="20"/>
  <c r="S209" i="20"/>
  <c r="AN209" i="20" s="1"/>
  <c r="AL210" i="20"/>
  <c r="DL210" i="20"/>
  <c r="AL213" i="20"/>
  <c r="DL214" i="20"/>
  <c r="T215" i="20"/>
  <c r="BA215" i="20"/>
  <c r="BB215" i="20" s="1"/>
  <c r="BR215" i="20"/>
  <c r="DZ215" i="20" s="1"/>
  <c r="EB215" i="20" s="1"/>
  <c r="EH215" i="20" s="1"/>
  <c r="FY217" i="20"/>
  <c r="GA217" i="20" s="1"/>
  <c r="AL218" i="20"/>
  <c r="I218" i="20"/>
  <c r="AM218" i="20"/>
  <c r="AN220" i="20"/>
  <c r="DL220" i="20"/>
  <c r="AL220" i="20"/>
  <c r="I220" i="20"/>
  <c r="EE220" i="20"/>
  <c r="AN223" i="20"/>
  <c r="DL223" i="20"/>
  <c r="AL223" i="20"/>
  <c r="I223" i="20"/>
  <c r="Y223" i="20"/>
  <c r="EL223" i="20"/>
  <c r="EK223" i="20" s="1"/>
  <c r="DT230" i="20"/>
  <c r="EL231" i="20"/>
  <c r="EK231" i="20" s="1"/>
  <c r="Y231" i="20"/>
  <c r="EL232" i="20"/>
  <c r="EK232" i="20" s="1"/>
  <c r="Y232" i="20"/>
  <c r="BI232" i="20" s="1"/>
  <c r="EL235" i="20"/>
  <c r="EK235" i="20" s="1"/>
  <c r="Y235" i="20"/>
  <c r="Y236" i="20"/>
  <c r="EL236" i="20"/>
  <c r="EK236" i="20" s="1"/>
  <c r="DT240" i="20"/>
  <c r="BI240" i="20"/>
  <c r="BE198" i="20"/>
  <c r="AL208" i="20"/>
  <c r="DL208" i="20"/>
  <c r="FX209" i="20"/>
  <c r="AM210" i="20"/>
  <c r="BE210" i="20"/>
  <c r="BA211" i="20"/>
  <c r="BB211" i="20" s="1"/>
  <c r="AY214" i="20"/>
  <c r="AZ214" i="20" s="1"/>
  <c r="AK215" i="20"/>
  <c r="AJ215" i="20" s="1"/>
  <c r="BZ215" i="20"/>
  <c r="AK221" i="20"/>
  <c r="AJ221" i="20" s="1"/>
  <c r="CH224" i="20"/>
  <c r="CB236" i="20"/>
  <c r="CI236" i="20" s="1"/>
  <c r="CK236" i="20" s="1"/>
  <c r="CP236" i="20" s="1"/>
  <c r="BE193" i="20"/>
  <c r="Y198" i="20"/>
  <c r="BI198" i="20" s="1"/>
  <c r="X203" i="20"/>
  <c r="BE203" i="20"/>
  <c r="I204" i="20"/>
  <c r="AM208" i="20"/>
  <c r="I209" i="20"/>
  <c r="AN210" i="20"/>
  <c r="AK212" i="20"/>
  <c r="AL215" i="20"/>
  <c r="CA215" i="20"/>
  <c r="CH219" i="20"/>
  <c r="CA220" i="20"/>
  <c r="CB220" i="20" s="1"/>
  <c r="CI220" i="20" s="1"/>
  <c r="T220" i="20"/>
  <c r="AY220" i="20" s="1"/>
  <c r="CH222" i="20"/>
  <c r="CA225" i="20"/>
  <c r="AL225" i="20"/>
  <c r="BZ225" i="20"/>
  <c r="FY225" i="20"/>
  <c r="GA225" i="20" s="1"/>
  <c r="CS225" i="20" s="1"/>
  <c r="BR225" i="20"/>
  <c r="DZ225" i="20" s="1"/>
  <c r="EB225" i="20" s="1"/>
  <c r="EG225" i="20" s="1"/>
  <c r="Y228" i="20"/>
  <c r="BI228" i="20" s="1"/>
  <c r="EL228" i="20"/>
  <c r="EK228" i="20" s="1"/>
  <c r="AZ241" i="20"/>
  <c r="AN208" i="20"/>
  <c r="AL212" i="20"/>
  <c r="AQ212" i="20" s="1"/>
  <c r="AY216" i="20"/>
  <c r="BH216" i="20" s="1"/>
  <c r="CA218" i="20"/>
  <c r="BR218" i="20"/>
  <c r="DZ218" i="20" s="1"/>
  <c r="EB218" i="20" s="1"/>
  <c r="EH218" i="20" s="1"/>
  <c r="DL224" i="20"/>
  <c r="AL224" i="20"/>
  <c r="I224" i="20"/>
  <c r="BB224" i="20" s="1"/>
  <c r="AN224" i="20"/>
  <c r="AM224" i="20"/>
  <c r="L224" i="20"/>
  <c r="GA226" i="20"/>
  <c r="AY234" i="20"/>
  <c r="AZ234" i="20" s="1"/>
  <c r="DA244" i="20"/>
  <c r="FG244" i="20"/>
  <c r="L197" i="20"/>
  <c r="AK197" i="20"/>
  <c r="AJ197" i="20" s="1"/>
  <c r="EE197" i="20"/>
  <c r="Y206" i="20"/>
  <c r="BI206" i="20" s="1"/>
  <c r="L207" i="20"/>
  <c r="AK207" i="20"/>
  <c r="EE207" i="20"/>
  <c r="AK209" i="20"/>
  <c r="AJ209" i="20" s="1"/>
  <c r="EE209" i="20"/>
  <c r="I212" i="20"/>
  <c r="AK214" i="20"/>
  <c r="AJ214" i="20" s="1"/>
  <c r="L215" i="20"/>
  <c r="AN215" i="20"/>
  <c r="EE217" i="20"/>
  <c r="AK217" i="20"/>
  <c r="AJ217" i="20" s="1"/>
  <c r="BZ217" i="20"/>
  <c r="CB217" i="20" s="1"/>
  <c r="CI217" i="20" s="1"/>
  <c r="BZ218" i="20"/>
  <c r="DL218" i="20"/>
  <c r="FY218" i="20"/>
  <c r="GA218" i="20" s="1"/>
  <c r="AM220" i="20"/>
  <c r="FY220" i="20"/>
  <c r="GA220" i="20" s="1"/>
  <c r="CS220" i="20" s="1"/>
  <c r="EE221" i="20"/>
  <c r="AL222" i="20"/>
  <c r="I222" i="20"/>
  <c r="DL222" i="20"/>
  <c r="EE222" i="20"/>
  <c r="AN222" i="20"/>
  <c r="AM222" i="20"/>
  <c r="L222" i="20"/>
  <c r="AM223" i="20"/>
  <c r="T225" i="20"/>
  <c r="X226" i="20"/>
  <c r="BA226" i="20"/>
  <c r="CH227" i="20"/>
  <c r="DT244" i="20"/>
  <c r="BI244" i="20"/>
  <c r="T218" i="20"/>
  <c r="AY218" i="20" s="1"/>
  <c r="DT227" i="20"/>
  <c r="BA225" i="20"/>
  <c r="BB225" i="20" s="1"/>
  <c r="AK227" i="20"/>
  <c r="AJ227" i="20" s="1"/>
  <c r="DI227" i="20"/>
  <c r="EE227" i="20"/>
  <c r="T228" i="20"/>
  <c r="BR228" i="20"/>
  <c r="DZ228" i="20" s="1"/>
  <c r="EB228" i="20" s="1"/>
  <c r="EH228" i="20" s="1"/>
  <c r="AM229" i="20"/>
  <c r="EH230" i="20"/>
  <c r="BA231" i="20"/>
  <c r="BR231" i="20"/>
  <c r="DZ231" i="20" s="1"/>
  <c r="EB231" i="20" s="1"/>
  <c r="EG231" i="20" s="1"/>
  <c r="AN233" i="20"/>
  <c r="I234" i="20"/>
  <c r="AL234" i="20"/>
  <c r="CA234" i="20"/>
  <c r="DL234" i="20"/>
  <c r="GA234" i="20"/>
  <c r="CS234" i="20" s="1"/>
  <c r="BA235" i="20"/>
  <c r="BR235" i="20"/>
  <c r="DZ235" i="20" s="1"/>
  <c r="EB235" i="20" s="1"/>
  <c r="EG235" i="20" s="1"/>
  <c r="AX236" i="20"/>
  <c r="CM236" i="20" s="1"/>
  <c r="L237" i="20"/>
  <c r="X237" i="20"/>
  <c r="AM237" i="20"/>
  <c r="AK238" i="20"/>
  <c r="AJ238" i="20" s="1"/>
  <c r="BZ238" i="20"/>
  <c r="DI238" i="20"/>
  <c r="EE238" i="20"/>
  <c r="T239" i="20"/>
  <c r="AY239" i="20" s="1"/>
  <c r="EL240" i="20"/>
  <c r="EK240" i="20" s="1"/>
  <c r="L241" i="20"/>
  <c r="AM241" i="20"/>
  <c r="AL242" i="20"/>
  <c r="CA242" i="20"/>
  <c r="CB242" i="20" s="1"/>
  <c r="CI242" i="20" s="1"/>
  <c r="BE244" i="20"/>
  <c r="BR245" i="20"/>
  <c r="DZ245" i="20" s="1"/>
  <c r="EB245" i="20" s="1"/>
  <c r="FY245" i="20"/>
  <c r="GA245" i="20" s="1"/>
  <c r="CS245" i="20" s="1"/>
  <c r="M247" i="20"/>
  <c r="BB248" i="20"/>
  <c r="I249" i="20"/>
  <c r="DL249" i="20"/>
  <c r="L249" i="20"/>
  <c r="CA250" i="20"/>
  <c r="AL250" i="20"/>
  <c r="BR250" i="20"/>
  <c r="DZ250" i="20" s="1"/>
  <c r="EB250" i="20" s="1"/>
  <c r="EG250" i="20" s="1"/>
  <c r="FZ251" i="20"/>
  <c r="FY251" i="20" s="1"/>
  <c r="GA251" i="20" s="1"/>
  <c r="CS251" i="20" s="1"/>
  <c r="CD251" i="20"/>
  <c r="CE251" i="20" s="1"/>
  <c r="BE251" i="20"/>
  <c r="AS254" i="20"/>
  <c r="AX254" i="20"/>
  <c r="CM254" i="20" s="1"/>
  <c r="I256" i="20"/>
  <c r="BB256" i="20" s="1"/>
  <c r="AK256" i="20"/>
  <c r="L256" i="20"/>
  <c r="CE258" i="20"/>
  <c r="I259" i="20"/>
  <c r="BB259" i="20" s="1"/>
  <c r="DL259" i="20"/>
  <c r="AM259" i="20"/>
  <c r="AL259" i="20"/>
  <c r="AK259" i="20"/>
  <c r="L259" i="20"/>
  <c r="ET265" i="20"/>
  <c r="EU265" i="20" s="1"/>
  <c r="EV265" i="20" s="1"/>
  <c r="FY222" i="20"/>
  <c r="GA222" i="20" s="1"/>
  <c r="AY223" i="20"/>
  <c r="AZ223" i="20" s="1"/>
  <c r="DI225" i="20"/>
  <c r="BZ228" i="20"/>
  <c r="AK231" i="20"/>
  <c r="AJ231" i="20" s="1"/>
  <c r="EE231" i="20"/>
  <c r="AK235" i="20"/>
  <c r="AJ235" i="20" s="1"/>
  <c r="EE235" i="20"/>
  <c r="AN237" i="20"/>
  <c r="AL238" i="20"/>
  <c r="CA238" i="20"/>
  <c r="BR239" i="20"/>
  <c r="DZ239" i="20" s="1"/>
  <c r="EB239" i="20" s="1"/>
  <c r="EH239" i="20" s="1"/>
  <c r="FY239" i="20"/>
  <c r="GA239" i="20" s="1"/>
  <c r="CS239" i="20" s="1"/>
  <c r="AY240" i="20"/>
  <c r="AZ240" i="20" s="1"/>
  <c r="AN241" i="20"/>
  <c r="AX243" i="20"/>
  <c r="CM243" i="20" s="1"/>
  <c r="EL244" i="20"/>
  <c r="EK244" i="20" s="1"/>
  <c r="AX245" i="20"/>
  <c r="CM245" i="20" s="1"/>
  <c r="DI245" i="20"/>
  <c r="BE247" i="20"/>
  <c r="EE247" i="20"/>
  <c r="U247" i="20"/>
  <c r="BR247" i="20"/>
  <c r="DZ247" i="20" s="1"/>
  <c r="EB247" i="20" s="1"/>
  <c r="T247" i="20"/>
  <c r="FX247" i="20"/>
  <c r="AS249" i="20"/>
  <c r="AM249" i="20"/>
  <c r="CA251" i="20"/>
  <c r="CB251" i="20" s="1"/>
  <c r="AL251" i="20"/>
  <c r="BR251" i="20"/>
  <c r="DZ251" i="20" s="1"/>
  <c r="FZ252" i="20"/>
  <c r="FY252" i="20" s="1"/>
  <c r="GA252" i="20" s="1"/>
  <c r="CS252" i="20" s="1"/>
  <c r="CD252" i="20"/>
  <c r="CE252" i="20" s="1"/>
  <c r="BE252" i="20"/>
  <c r="Q257" i="20"/>
  <c r="AL257" i="20" s="1"/>
  <c r="EE257" i="20"/>
  <c r="AL228" i="20"/>
  <c r="CA228" i="20"/>
  <c r="EL230" i="20"/>
  <c r="EK230" i="20" s="1"/>
  <c r="I231" i="20"/>
  <c r="AL231" i="20"/>
  <c r="DL231" i="20"/>
  <c r="BA232" i="20"/>
  <c r="Y234" i="20"/>
  <c r="I235" i="20"/>
  <c r="AL235" i="20"/>
  <c r="DL235" i="20"/>
  <c r="AK239" i="20"/>
  <c r="AJ239" i="20" s="1"/>
  <c r="BZ239" i="20"/>
  <c r="CB239" i="20" s="1"/>
  <c r="EE239" i="20"/>
  <c r="BH241" i="20"/>
  <c r="X242" i="20"/>
  <c r="DI242" i="20"/>
  <c r="FY242" i="20"/>
  <c r="GA242" i="20" s="1"/>
  <c r="X245" i="20"/>
  <c r="BA245" i="20"/>
  <c r="BB245" i="20" s="1"/>
  <c r="X246" i="20"/>
  <c r="BA246" i="20"/>
  <c r="BB246" i="20" s="1"/>
  <c r="BB247" i="20"/>
  <c r="T248" i="20"/>
  <c r="Y249" i="20"/>
  <c r="CD249" i="20"/>
  <c r="CE249" i="20" s="1"/>
  <c r="AN249" i="20"/>
  <c r="FZ253" i="20"/>
  <c r="CD253" i="20"/>
  <c r="CE253" i="20" s="1"/>
  <c r="BE253" i="20"/>
  <c r="BF253" i="20" s="1"/>
  <c r="CO253" i="20" s="1"/>
  <c r="CH257" i="20"/>
  <c r="AS261" i="20"/>
  <c r="AM261" i="20"/>
  <c r="BR219" i="20"/>
  <c r="DZ219" i="20" s="1"/>
  <c r="EB219" i="20" s="1"/>
  <c r="EG219" i="20" s="1"/>
  <c r="BR221" i="20"/>
  <c r="DZ221" i="20" s="1"/>
  <c r="EB221" i="20" s="1"/>
  <c r="EH221" i="20" s="1"/>
  <c r="FY221" i="20"/>
  <c r="GA221" i="20" s="1"/>
  <c r="CS221" i="20" s="1"/>
  <c r="BR223" i="20"/>
  <c r="DZ223" i="20" s="1"/>
  <c r="EB223" i="20" s="1"/>
  <c r="FY223" i="20"/>
  <c r="GA223" i="20" s="1"/>
  <c r="CS223" i="20" s="1"/>
  <c r="M225" i="20"/>
  <c r="BF225" i="20" s="1"/>
  <c r="CO225" i="20" s="1"/>
  <c r="CM225" i="20"/>
  <c r="AL226" i="20"/>
  <c r="CA226" i="20"/>
  <c r="I228" i="20"/>
  <c r="BB228" i="20" s="1"/>
  <c r="AM228" i="20"/>
  <c r="AK230" i="20"/>
  <c r="AJ230" i="20" s="1"/>
  <c r="L231" i="20"/>
  <c r="AK232" i="20"/>
  <c r="AJ232" i="20" s="1"/>
  <c r="EE232" i="20"/>
  <c r="T233" i="20"/>
  <c r="L235" i="20"/>
  <c r="BA236" i="20"/>
  <c r="BB236" i="20" s="1"/>
  <c r="BR236" i="20"/>
  <c r="DZ236" i="20" s="1"/>
  <c r="EB236" i="20" s="1"/>
  <c r="EH236" i="20" s="1"/>
  <c r="FY236" i="20"/>
  <c r="GA236" i="20" s="1"/>
  <c r="CS236" i="20" s="1"/>
  <c r="I239" i="20"/>
  <c r="AL239" i="20"/>
  <c r="DL239" i="20"/>
  <c r="BR240" i="20"/>
  <c r="DZ240" i="20" s="1"/>
  <c r="EB240" i="20" s="1"/>
  <c r="FY240" i="20"/>
  <c r="GA240" i="20" s="1"/>
  <c r="CS240" i="20" s="1"/>
  <c r="DL242" i="20"/>
  <c r="T243" i="20"/>
  <c r="M245" i="20"/>
  <c r="BF246" i="20"/>
  <c r="CO246" i="20" s="1"/>
  <c r="DI246" i="20"/>
  <c r="Q249" i="20"/>
  <c r="T249" i="20" s="1"/>
  <c r="AK249" i="20"/>
  <c r="AX250" i="20"/>
  <c r="CM250" i="20" s="1"/>
  <c r="EA251" i="20"/>
  <c r="AL253" i="20"/>
  <c r="Q256" i="20"/>
  <c r="AL256" i="20" s="1"/>
  <c r="EE256" i="20"/>
  <c r="CA259" i="20"/>
  <c r="BZ259" i="20"/>
  <c r="BR259" i="20"/>
  <c r="DZ259" i="20" s="1"/>
  <c r="CE259" i="20"/>
  <c r="I260" i="20"/>
  <c r="BB260" i="20" s="1"/>
  <c r="AN260" i="20"/>
  <c r="DL260" i="20"/>
  <c r="L260" i="20"/>
  <c r="AL260" i="20"/>
  <c r="AK260" i="20"/>
  <c r="AL230" i="20"/>
  <c r="DI236" i="20"/>
  <c r="AK240" i="20"/>
  <c r="AJ240" i="20" s="1"/>
  <c r="EE240" i="20"/>
  <c r="CA248" i="20"/>
  <c r="FY248" i="20"/>
  <c r="GA248" i="20" s="1"/>
  <c r="CS248" i="20" s="1"/>
  <c r="BZ248" i="20"/>
  <c r="BR248" i="20"/>
  <c r="DZ248" i="20" s="1"/>
  <c r="EE250" i="20"/>
  <c r="AS250" i="20"/>
  <c r="DL250" i="20"/>
  <c r="AM250" i="20"/>
  <c r="I258" i="20"/>
  <c r="BB258" i="20" s="1"/>
  <c r="DL258" i="20"/>
  <c r="AM258" i="20"/>
  <c r="AK258" i="20"/>
  <c r="L258" i="20"/>
  <c r="CA219" i="20"/>
  <c r="CB219" i="20" s="1"/>
  <c r="BR222" i="20"/>
  <c r="DZ222" i="20" s="1"/>
  <c r="EB222" i="20" s="1"/>
  <c r="EH222" i="20" s="1"/>
  <c r="BR224" i="20"/>
  <c r="DZ224" i="20" s="1"/>
  <c r="EB224" i="20" s="1"/>
  <c r="EG224" i="20" s="1"/>
  <c r="FY224" i="20"/>
  <c r="GA224" i="20" s="1"/>
  <c r="CS224" i="20" s="1"/>
  <c r="AN226" i="20"/>
  <c r="EE226" i="20"/>
  <c r="T229" i="20"/>
  <c r="AY229" i="20" s="1"/>
  <c r="BR229" i="20"/>
  <c r="DZ229" i="20" s="1"/>
  <c r="EB229" i="20" s="1"/>
  <c r="EG229" i="20" s="1"/>
  <c r="I230" i="20"/>
  <c r="AM230" i="20"/>
  <c r="BH231" i="20"/>
  <c r="L232" i="20"/>
  <c r="AK233" i="20"/>
  <c r="AJ233" i="20" s="1"/>
  <c r="L236" i="20"/>
  <c r="AL236" i="20"/>
  <c r="DL236" i="20"/>
  <c r="BR237" i="20"/>
  <c r="DZ237" i="20" s="1"/>
  <c r="EB237" i="20" s="1"/>
  <c r="EG237" i="20" s="1"/>
  <c r="FY237" i="20"/>
  <c r="GA237" i="20" s="1"/>
  <c r="CS237" i="20" s="1"/>
  <c r="Y239" i="20"/>
  <c r="BI239" i="20" s="1"/>
  <c r="I240" i="20"/>
  <c r="AL240" i="20"/>
  <c r="DL240" i="20"/>
  <c r="BR241" i="20"/>
  <c r="DZ241" i="20" s="1"/>
  <c r="EB241" i="20" s="1"/>
  <c r="EG241" i="20" s="1"/>
  <c r="FY241" i="20"/>
  <c r="GA241" i="20" s="1"/>
  <c r="CS241" i="20" s="1"/>
  <c r="AK243" i="20"/>
  <c r="AJ243" i="20" s="1"/>
  <c r="CS243" i="20"/>
  <c r="EE243" i="20"/>
  <c r="BA244" i="20"/>
  <c r="BB244" i="20" s="1"/>
  <c r="BR244" i="20"/>
  <c r="DZ244" i="20" s="1"/>
  <c r="EB244" i="20" s="1"/>
  <c r="EG244" i="20" s="1"/>
  <c r="ET244" i="20"/>
  <c r="P245" i="20"/>
  <c r="DY245" i="20" s="1"/>
  <c r="AN246" i="20"/>
  <c r="EE246" i="20"/>
  <c r="T246" i="20"/>
  <c r="AY246" i="20" s="1"/>
  <c r="FX246" i="20"/>
  <c r="AN248" i="20"/>
  <c r="DL248" i="20"/>
  <c r="L248" i="20"/>
  <c r="AL248" i="20"/>
  <c r="AK248" i="20"/>
  <c r="DY249" i="20"/>
  <c r="EE251" i="20"/>
  <c r="AS251" i="20"/>
  <c r="DL251" i="20"/>
  <c r="AM251" i="20"/>
  <c r="AX252" i="20"/>
  <c r="CM252" i="20" s="1"/>
  <c r="EA253" i="20"/>
  <c r="EL255" i="20"/>
  <c r="EK255" i="20" s="1"/>
  <c r="Y255" i="20"/>
  <c r="AM256" i="20"/>
  <c r="L230" i="20"/>
  <c r="AN230" i="20"/>
  <c r="EE230" i="20"/>
  <c r="AK237" i="20"/>
  <c r="AJ237" i="20" s="1"/>
  <c r="EE237" i="20"/>
  <c r="T238" i="20"/>
  <c r="L240" i="20"/>
  <c r="AM240" i="20"/>
  <c r="AK241" i="20"/>
  <c r="AJ241" i="20" s="1"/>
  <c r="EE241" i="20"/>
  <c r="T242" i="20"/>
  <c r="BR242" i="20"/>
  <c r="DZ242" i="20" s="1"/>
  <c r="EB242" i="20" s="1"/>
  <c r="EH242" i="20" s="1"/>
  <c r="BZ244" i="20"/>
  <c r="GA244" i="20"/>
  <c r="CS244" i="20" s="1"/>
  <c r="DI247" i="20"/>
  <c r="P247" i="20"/>
  <c r="DY247" i="20" s="1"/>
  <c r="M248" i="20"/>
  <c r="DI248" i="20"/>
  <c r="AX248" i="20"/>
  <c r="CM248" i="20" s="1"/>
  <c r="EE252" i="20"/>
  <c r="AS252" i="20"/>
  <c r="DL252" i="20"/>
  <c r="AM252" i="20"/>
  <c r="I257" i="20"/>
  <c r="BB257" i="20" s="1"/>
  <c r="DL257" i="20"/>
  <c r="AK257" i="20"/>
  <c r="L257" i="20"/>
  <c r="BR260" i="20"/>
  <c r="DZ260" i="20" s="1"/>
  <c r="CA260" i="20"/>
  <c r="FY260" i="20"/>
  <c r="GA260" i="20" s="1"/>
  <c r="CS260" i="20" s="1"/>
  <c r="BZ260" i="20"/>
  <c r="AK234" i="20"/>
  <c r="AJ234" i="20" s="1"/>
  <c r="I237" i="20"/>
  <c r="AL237" i="20"/>
  <c r="DL237" i="20"/>
  <c r="BR238" i="20"/>
  <c r="DZ238" i="20" s="1"/>
  <c r="EB238" i="20" s="1"/>
  <c r="I241" i="20"/>
  <c r="AL241" i="20"/>
  <c r="DL241" i="20"/>
  <c r="L243" i="20"/>
  <c r="AL244" i="20"/>
  <c r="CA244" i="20"/>
  <c r="T245" i="20"/>
  <c r="AL245" i="20"/>
  <c r="CA246" i="20"/>
  <c r="AL246" i="20"/>
  <c r="FY246" i="20"/>
  <c r="BR246" i="20"/>
  <c r="DZ246" i="20" s="1"/>
  <c r="EB246" i="20" s="1"/>
  <c r="EH246" i="20" s="1"/>
  <c r="CM247" i="20"/>
  <c r="AM248" i="20"/>
  <c r="CH248" i="20"/>
  <c r="CF249" i="20"/>
  <c r="CH249" i="20" s="1"/>
  <c r="EK249" i="20"/>
  <c r="FZ250" i="20"/>
  <c r="FY250" i="20" s="1"/>
  <c r="GA250" i="20" s="1"/>
  <c r="CS250" i="20" s="1"/>
  <c r="CD250" i="20"/>
  <c r="CE250" i="20" s="1"/>
  <c r="BE250" i="20"/>
  <c r="BZ250" i="20"/>
  <c r="CB250" i="20" s="1"/>
  <c r="EE253" i="20"/>
  <c r="AS253" i="20"/>
  <c r="DL253" i="20"/>
  <c r="AM253" i="20"/>
  <c r="CH254" i="20"/>
  <c r="EE255" i="20"/>
  <c r="Q255" i="20"/>
  <c r="AL255" i="20" s="1"/>
  <c r="CA258" i="20"/>
  <c r="BZ258" i="20"/>
  <c r="BR258" i="20"/>
  <c r="DZ258" i="20" s="1"/>
  <c r="U249" i="20"/>
  <c r="BE249" i="20"/>
  <c r="X250" i="20"/>
  <c r="EL250" i="20" s="1"/>
  <c r="EK250" i="20" s="1"/>
  <c r="X251" i="20"/>
  <c r="EL251" i="20" s="1"/>
  <c r="EK251" i="20" s="1"/>
  <c r="ET251" i="20" s="1"/>
  <c r="X252" i="20"/>
  <c r="X253" i="20"/>
  <c r="EL253" i="20" s="1"/>
  <c r="EK253" i="20" s="1"/>
  <c r="X254" i="20"/>
  <c r="EL254" i="20" s="1"/>
  <c r="EK254" i="20" s="1"/>
  <c r="ET254" i="20" s="1"/>
  <c r="CF255" i="20"/>
  <c r="CH255" i="20" s="1"/>
  <c r="EA255" i="20"/>
  <c r="EA256" i="20"/>
  <c r="EA257" i="20"/>
  <c r="EA258" i="20"/>
  <c r="EA259" i="20"/>
  <c r="L261" i="20"/>
  <c r="U261" i="20"/>
  <c r="BE261" i="20"/>
  <c r="DL261" i="20"/>
  <c r="AM262" i="20"/>
  <c r="BE262" i="20"/>
  <c r="DL262" i="20"/>
  <c r="AM263" i="20"/>
  <c r="BE263" i="20"/>
  <c r="DL263" i="20"/>
  <c r="AM264" i="20"/>
  <c r="BE264" i="20"/>
  <c r="DL264" i="20"/>
  <c r="AM265" i="20"/>
  <c r="BE265" i="20"/>
  <c r="DL265" i="20"/>
  <c r="CD267" i="20"/>
  <c r="CE267" i="20" s="1"/>
  <c r="CF268" i="20"/>
  <c r="CH268" i="20" s="1"/>
  <c r="EA268" i="20"/>
  <c r="AM269" i="20"/>
  <c r="AS269" i="20"/>
  <c r="EA269" i="20"/>
  <c r="CD269" i="20"/>
  <c r="CE269" i="20" s="1"/>
  <c r="FZ269" i="20"/>
  <c r="I272" i="20"/>
  <c r="BB272" i="20" s="1"/>
  <c r="DL272" i="20"/>
  <c r="AM272" i="20"/>
  <c r="L272" i="20"/>
  <c r="AK272" i="20"/>
  <c r="AS273" i="20"/>
  <c r="DL273" i="20"/>
  <c r="AM273" i="20"/>
  <c r="EA274" i="20"/>
  <c r="CD274" i="20"/>
  <c r="CE274" i="20" s="1"/>
  <c r="FZ274" i="20"/>
  <c r="FY274" i="20" s="1"/>
  <c r="CF276" i="20"/>
  <c r="CH276" i="20" s="1"/>
  <c r="AN276" i="20"/>
  <c r="Y276" i="20"/>
  <c r="AX285" i="20"/>
  <c r="CM285" i="20" s="1"/>
  <c r="M285" i="20"/>
  <c r="DI285" i="20"/>
  <c r="FY286" i="20"/>
  <c r="GA286" i="20" s="1"/>
  <c r="CS286" i="20" s="1"/>
  <c r="U245" i="20"/>
  <c r="FZ248" i="20"/>
  <c r="AN250" i="20"/>
  <c r="AN251" i="20"/>
  <c r="CM251" i="20"/>
  <c r="AN252" i="20"/>
  <c r="AN253" i="20"/>
  <c r="CM253" i="20"/>
  <c r="I255" i="20"/>
  <c r="FX255" i="20"/>
  <c r="T256" i="20"/>
  <c r="T258" i="20"/>
  <c r="T259" i="20"/>
  <c r="T260" i="20"/>
  <c r="AY260" i="20" s="1"/>
  <c r="EE260" i="20"/>
  <c r="FZ260" i="20"/>
  <c r="AN261" i="20"/>
  <c r="Y262" i="20"/>
  <c r="AN262" i="20"/>
  <c r="AN263" i="20"/>
  <c r="Y264" i="20"/>
  <c r="AN264" i="20"/>
  <c r="Y265" i="20"/>
  <c r="AN265" i="20"/>
  <c r="Y266" i="20"/>
  <c r="I267" i="20"/>
  <c r="Q267" i="20"/>
  <c r="T267" i="20" s="1"/>
  <c r="I268" i="20"/>
  <c r="BB268" i="20" s="1"/>
  <c r="Q268" i="20"/>
  <c r="T268" i="20" s="1"/>
  <c r="AY268" i="20" s="1"/>
  <c r="CF269" i="20"/>
  <c r="CH269" i="20" s="1"/>
  <c r="AN269" i="20"/>
  <c r="CD273" i="20"/>
  <c r="CE273" i="20" s="1"/>
  <c r="BE273" i="20"/>
  <c r="Q276" i="20"/>
  <c r="T276" i="20" s="1"/>
  <c r="EE276" i="20"/>
  <c r="EA276" i="20"/>
  <c r="Y280" i="20"/>
  <c r="CA282" i="20"/>
  <c r="AL282" i="20"/>
  <c r="BZ282" i="20"/>
  <c r="BR282" i="20"/>
  <c r="DZ282" i="20" s="1"/>
  <c r="CE284" i="20"/>
  <c r="BR286" i="20"/>
  <c r="DZ286" i="20" s="1"/>
  <c r="EB286" i="20" s="1"/>
  <c r="CA286" i="20"/>
  <c r="AL286" i="20"/>
  <c r="BZ286" i="20"/>
  <c r="AK255" i="20"/>
  <c r="FY258" i="20"/>
  <c r="GA258" i="20" s="1"/>
  <c r="CS258" i="20" s="1"/>
  <c r="U259" i="20"/>
  <c r="FY259" i="20"/>
  <c r="GA259" i="20" s="1"/>
  <c r="CS259" i="20" s="1"/>
  <c r="BE260" i="20"/>
  <c r="X261" i="20"/>
  <c r="EL261" i="20" s="1"/>
  <c r="EK261" i="20" s="1"/>
  <c r="CD261" i="20"/>
  <c r="CE261" i="20" s="1"/>
  <c r="CD262" i="20"/>
  <c r="CE262" i="20" s="1"/>
  <c r="CD263" i="20"/>
  <c r="CE263" i="20" s="1"/>
  <c r="CD264" i="20"/>
  <c r="CE264" i="20" s="1"/>
  <c r="AX265" i="20"/>
  <c r="CM265" i="20" s="1"/>
  <c r="CD265" i="20"/>
  <c r="CE265" i="20" s="1"/>
  <c r="CF266" i="20"/>
  <c r="CH266" i="20" s="1"/>
  <c r="EA266" i="20"/>
  <c r="CF267" i="20"/>
  <c r="CH267" i="20" s="1"/>
  <c r="L269" i="20"/>
  <c r="AK269" i="20"/>
  <c r="BB271" i="20"/>
  <c r="CD272" i="20"/>
  <c r="CE272" i="20" s="1"/>
  <c r="AN272" i="20"/>
  <c r="FY273" i="20"/>
  <c r="GA273" i="20" s="1"/>
  <c r="CS273" i="20" s="1"/>
  <c r="CA274" i="20"/>
  <c r="CB274" i="20" s="1"/>
  <c r="AL274" i="20"/>
  <c r="BR274" i="20"/>
  <c r="DZ274" i="20" s="1"/>
  <c r="U276" i="20"/>
  <c r="CC276" i="20"/>
  <c r="BE281" i="20"/>
  <c r="U281" i="20"/>
  <c r="FX281" i="20"/>
  <c r="CU283" i="20"/>
  <c r="FG283" i="20"/>
  <c r="CA284" i="20"/>
  <c r="BZ284" i="20"/>
  <c r="BR284" i="20"/>
  <c r="DZ284" i="20" s="1"/>
  <c r="CH286" i="20"/>
  <c r="Q254" i="20"/>
  <c r="AL254" i="20" s="1"/>
  <c r="FZ255" i="20"/>
  <c r="EE258" i="20"/>
  <c r="EE259" i="20"/>
  <c r="Q262" i="20"/>
  <c r="AL262" i="20" s="1"/>
  <c r="AS266" i="20"/>
  <c r="BR266" i="20"/>
  <c r="DZ266" i="20" s="1"/>
  <c r="FZ268" i="20"/>
  <c r="BR272" i="20"/>
  <c r="DZ272" i="20" s="1"/>
  <c r="EB272" i="20" s="1"/>
  <c r="FY272" i="20"/>
  <c r="GA272" i="20" s="1"/>
  <c r="CS272" i="20" s="1"/>
  <c r="BZ272" i="20"/>
  <c r="CB272" i="20" s="1"/>
  <c r="AL272" i="20"/>
  <c r="BR273" i="20"/>
  <c r="DZ273" i="20" s="1"/>
  <c r="BZ273" i="20"/>
  <c r="CB273" i="20" s="1"/>
  <c r="AL273" i="20"/>
  <c r="CH275" i="20"/>
  <c r="DY276" i="20"/>
  <c r="AM276" i="20"/>
  <c r="BR278" i="20"/>
  <c r="DZ278" i="20" s="1"/>
  <c r="BZ278" i="20"/>
  <c r="CB278" i="20" s="1"/>
  <c r="AX282" i="20"/>
  <c r="CM282" i="20" s="1"/>
  <c r="EA262" i="20"/>
  <c r="EA263" i="20"/>
  <c r="EA264" i="20"/>
  <c r="EA265" i="20"/>
  <c r="CA270" i="20"/>
  <c r="CB270" i="20" s="1"/>
  <c r="BA279" i="20"/>
  <c r="BB279" i="20" s="1"/>
  <c r="X279" i="20"/>
  <c r="EL288" i="20"/>
  <c r="EK288" i="20" s="1"/>
  <c r="Y288" i="20"/>
  <c r="T250" i="20"/>
  <c r="T251" i="20"/>
  <c r="T252" i="20"/>
  <c r="T253" i="20"/>
  <c r="AN255" i="20"/>
  <c r="Y256" i="20"/>
  <c r="AN256" i="20"/>
  <c r="Y257" i="20"/>
  <c r="AN257" i="20"/>
  <c r="Y258" i="20"/>
  <c r="AN258" i="20"/>
  <c r="AN259" i="20"/>
  <c r="I261" i="20"/>
  <c r="Q261" i="20"/>
  <c r="T261" i="20" s="1"/>
  <c r="FX261" i="20"/>
  <c r="T264" i="20"/>
  <c r="BR264" i="20"/>
  <c r="DZ264" i="20" s="1"/>
  <c r="T265" i="20"/>
  <c r="AY265" i="20" s="1"/>
  <c r="BR265" i="20"/>
  <c r="DZ265" i="20" s="1"/>
  <c r="AL266" i="20"/>
  <c r="FZ266" i="20"/>
  <c r="FZ267" i="20"/>
  <c r="AN268" i="20"/>
  <c r="BE269" i="20"/>
  <c r="FX269" i="20"/>
  <c r="Y269" i="20"/>
  <c r="CE271" i="20"/>
  <c r="EE272" i="20"/>
  <c r="EE273" i="20"/>
  <c r="CF277" i="20"/>
  <c r="CH277" i="20" s="1"/>
  <c r="AN277" i="20"/>
  <c r="Y277" i="20"/>
  <c r="AL278" i="20"/>
  <c r="U280" i="20"/>
  <c r="FX280" i="20"/>
  <c r="BE280" i="20"/>
  <c r="AM266" i="20"/>
  <c r="DL266" i="20"/>
  <c r="DL269" i="20"/>
  <c r="CA271" i="20"/>
  <c r="BZ271" i="20"/>
  <c r="X274" i="20"/>
  <c r="BA274" i="20"/>
  <c r="BB274" i="20" s="1"/>
  <c r="Q277" i="20"/>
  <c r="T277" i="20" s="1"/>
  <c r="EE277" i="20"/>
  <c r="M263" i="20"/>
  <c r="M265" i="20"/>
  <c r="AN266" i="20"/>
  <c r="Y267" i="20"/>
  <c r="AN267" i="20"/>
  <c r="I269" i="20"/>
  <c r="Q269" i="20"/>
  <c r="T269" i="20" s="1"/>
  <c r="DI271" i="20"/>
  <c r="M271" i="20"/>
  <c r="BF271" i="20" s="1"/>
  <c r="CO271" i="20" s="1"/>
  <c r="T272" i="20"/>
  <c r="AX273" i="20"/>
  <c r="CM273" i="20" s="1"/>
  <c r="BA273" i="20"/>
  <c r="BB273" i="20" s="1"/>
  <c r="X273" i="20"/>
  <c r="AM274" i="20"/>
  <c r="AS274" i="20"/>
  <c r="EK276" i="20"/>
  <c r="BE276" i="20"/>
  <c r="DL276" i="20"/>
  <c r="U277" i="20"/>
  <c r="CC277" i="20"/>
  <c r="CG280" i="20"/>
  <c r="AX284" i="20"/>
  <c r="CM284" i="20" s="1"/>
  <c r="DI284" i="20"/>
  <c r="M284" i="20"/>
  <c r="BB285" i="20"/>
  <c r="BI289" i="20"/>
  <c r="DT289" i="20"/>
  <c r="AS270" i="20"/>
  <c r="BA270" i="20"/>
  <c r="FX270" i="20"/>
  <c r="T271" i="20"/>
  <c r="AY271" i="20" s="1"/>
  <c r="AZ271" i="20" s="1"/>
  <c r="CF271" i="20"/>
  <c r="CH271" i="20" s="1"/>
  <c r="EA271" i="20"/>
  <c r="EB271" i="20" s="1"/>
  <c r="L273" i="20"/>
  <c r="U273" i="20"/>
  <c r="AK273" i="20"/>
  <c r="L274" i="20"/>
  <c r="U274" i="20"/>
  <c r="FX274" i="20"/>
  <c r="FZ275" i="20"/>
  <c r="FZ276" i="20"/>
  <c r="FZ277" i="20"/>
  <c r="AK278" i="20"/>
  <c r="FY278" i="20"/>
  <c r="GA278" i="20" s="1"/>
  <c r="CS278" i="20" s="1"/>
  <c r="L279" i="20"/>
  <c r="U279" i="20"/>
  <c r="AM279" i="20"/>
  <c r="BE279" i="20"/>
  <c r="DL279" i="20"/>
  <c r="AM280" i="20"/>
  <c r="DL280" i="20"/>
  <c r="CD281" i="20"/>
  <c r="CE281" i="20" s="1"/>
  <c r="CD282" i="20"/>
  <c r="CE282" i="20" s="1"/>
  <c r="CF283" i="20"/>
  <c r="CH283" i="20" s="1"/>
  <c r="EA283" i="20"/>
  <c r="CF284" i="20"/>
  <c r="CH284" i="20" s="1"/>
  <c r="AK285" i="20"/>
  <c r="L286" i="20"/>
  <c r="U286" i="20"/>
  <c r="AK286" i="20"/>
  <c r="L287" i="20"/>
  <c r="U287" i="20"/>
  <c r="AM287" i="20"/>
  <c r="BE287" i="20"/>
  <c r="DL287" i="20"/>
  <c r="CD288" i="20"/>
  <c r="CE288" i="20" s="1"/>
  <c r="CF289" i="20"/>
  <c r="CH289" i="20" s="1"/>
  <c r="EA289" i="20"/>
  <c r="Q290" i="20"/>
  <c r="T290" i="20" s="1"/>
  <c r="AS290" i="20"/>
  <c r="AS291" i="20"/>
  <c r="EA291" i="20"/>
  <c r="CA294" i="20"/>
  <c r="CB294" i="20" s="1"/>
  <c r="Q295" i="20"/>
  <c r="T295" i="20" s="1"/>
  <c r="DL296" i="20"/>
  <c r="AM296" i="20"/>
  <c r="AS296" i="20"/>
  <c r="BB298" i="20"/>
  <c r="CF301" i="20"/>
  <c r="CH301" i="20" s="1"/>
  <c r="AN301" i="20"/>
  <c r="Y301" i="20"/>
  <c r="FZ301" i="20"/>
  <c r="EA301" i="20"/>
  <c r="CD301" i="20"/>
  <c r="BR283" i="20"/>
  <c r="DZ283" i="20" s="1"/>
  <c r="T284" i="20"/>
  <c r="EE285" i="20"/>
  <c r="FZ285" i="20"/>
  <c r="CF291" i="20"/>
  <c r="CH291" i="20" s="1"/>
  <c r="AN291" i="20"/>
  <c r="BR292" i="20"/>
  <c r="DZ292" i="20" s="1"/>
  <c r="EB292" i="20" s="1"/>
  <c r="EG292" i="20" s="1"/>
  <c r="CA292" i="20"/>
  <c r="AL293" i="20"/>
  <c r="BR293" i="20"/>
  <c r="DZ293" i="20" s="1"/>
  <c r="EB293" i="20" s="1"/>
  <c r="CA293" i="20"/>
  <c r="DL293" i="20"/>
  <c r="BE295" i="20"/>
  <c r="FX295" i="20"/>
  <c r="CD295" i="20"/>
  <c r="CE295" i="20" s="1"/>
  <c r="FZ295" i="20"/>
  <c r="AN298" i="20"/>
  <c r="Y298" i="20"/>
  <c r="CF298" i="20"/>
  <c r="CH298" i="20" s="1"/>
  <c r="DL299" i="20"/>
  <c r="AM299" i="20"/>
  <c r="L299" i="20"/>
  <c r="AK299" i="20"/>
  <c r="I299" i="20"/>
  <c r="BR300" i="20"/>
  <c r="DZ300" i="20" s="1"/>
  <c r="FY300" i="20"/>
  <c r="CA300" i="20"/>
  <c r="CC301" i="20"/>
  <c r="FY303" i="20"/>
  <c r="GA303" i="20" s="1"/>
  <c r="CS303" i="20" s="1"/>
  <c r="BZ303" i="20"/>
  <c r="BR303" i="20"/>
  <c r="DZ303" i="20" s="1"/>
  <c r="CA303" i="20"/>
  <c r="EE270" i="20"/>
  <c r="FZ270" i="20"/>
  <c r="AK271" i="20"/>
  <c r="U272" i="20"/>
  <c r="BE272" i="20"/>
  <c r="DI274" i="20"/>
  <c r="EE274" i="20"/>
  <c r="AN275" i="20"/>
  <c r="AM278" i="20"/>
  <c r="BE278" i="20"/>
  <c r="DL278" i="20"/>
  <c r="AX279" i="20"/>
  <c r="CM279" i="20" s="1"/>
  <c r="CD280" i="20"/>
  <c r="CE280" i="20" s="1"/>
  <c r="CF281" i="20"/>
  <c r="CH281" i="20" s="1"/>
  <c r="EA281" i="20"/>
  <c r="EA282" i="20"/>
  <c r="BZ283" i="20"/>
  <c r="CB283" i="20" s="1"/>
  <c r="FY283" i="20"/>
  <c r="GA283" i="20" s="1"/>
  <c r="CS283" i="20" s="1"/>
  <c r="L284" i="20"/>
  <c r="U284" i="20"/>
  <c r="AK284" i="20"/>
  <c r="L285" i="20"/>
  <c r="U285" i="20"/>
  <c r="AM285" i="20"/>
  <c r="BE285" i="20"/>
  <c r="DL285" i="20"/>
  <c r="X286" i="20"/>
  <c r="AM286" i="20"/>
  <c r="BE286" i="20"/>
  <c r="DL286" i="20"/>
  <c r="X287" i="20"/>
  <c r="AX287" i="20"/>
  <c r="CM287" i="20" s="1"/>
  <c r="CF288" i="20"/>
  <c r="CH288" i="20" s="1"/>
  <c r="EA288" i="20"/>
  <c r="L291" i="20"/>
  <c r="U291" i="20"/>
  <c r="AK291" i="20"/>
  <c r="I292" i="20"/>
  <c r="AK292" i="20"/>
  <c r="I293" i="20"/>
  <c r="AK293" i="20"/>
  <c r="I294" i="20"/>
  <c r="DL294" i="20"/>
  <c r="AK294" i="20"/>
  <c r="L294" i="20"/>
  <c r="T294" i="20"/>
  <c r="AX297" i="20"/>
  <c r="CM297" i="20" s="1"/>
  <c r="DI297" i="20"/>
  <c r="M297" i="20"/>
  <c r="EE298" i="20"/>
  <c r="X299" i="20"/>
  <c r="EL299" i="20" s="1"/>
  <c r="EK299" i="20" s="1"/>
  <c r="BA299" i="20"/>
  <c r="BE300" i="20"/>
  <c r="U300" i="20"/>
  <c r="T300" i="20"/>
  <c r="BE301" i="20"/>
  <c r="I302" i="20"/>
  <c r="BB302" i="20" s="1"/>
  <c r="DL302" i="20"/>
  <c r="EE302" i="20"/>
  <c r="AL302" i="20"/>
  <c r="AK302" i="20"/>
  <c r="L302" i="20"/>
  <c r="BZ314" i="20"/>
  <c r="CA314" i="20"/>
  <c r="BR314" i="20"/>
  <c r="DZ314" i="20" s="1"/>
  <c r="AL314" i="20"/>
  <c r="T314" i="20"/>
  <c r="AY314" i="20" s="1"/>
  <c r="AM270" i="20"/>
  <c r="DL270" i="20"/>
  <c r="AL271" i="20"/>
  <c r="BE274" i="20"/>
  <c r="BF274" i="20" s="1"/>
  <c r="CO274" i="20" s="1"/>
  <c r="DL274" i="20"/>
  <c r="X275" i="20"/>
  <c r="EL275" i="20" s="1"/>
  <c r="EK275" i="20" s="1"/>
  <c r="CD275" i="20"/>
  <c r="CE275" i="20" s="1"/>
  <c r="CD276" i="20"/>
  <c r="CD277" i="20"/>
  <c r="AN278" i="20"/>
  <c r="I280" i="20"/>
  <c r="Q280" i="20"/>
  <c r="I281" i="20"/>
  <c r="BB281" i="20" s="1"/>
  <c r="Q281" i="20"/>
  <c r="T281" i="20" s="1"/>
  <c r="T282" i="20"/>
  <c r="T283" i="20"/>
  <c r="AL283" i="20"/>
  <c r="DI283" i="20"/>
  <c r="FZ283" i="20"/>
  <c r="AL284" i="20"/>
  <c r="EE284" i="20"/>
  <c r="FZ284" i="20"/>
  <c r="FY284" i="20" s="1"/>
  <c r="GA284" i="20" s="1"/>
  <c r="CS284" i="20" s="1"/>
  <c r="AN285" i="20"/>
  <c r="I288" i="20"/>
  <c r="Q288" i="20"/>
  <c r="T288" i="20" s="1"/>
  <c r="FX288" i="20"/>
  <c r="DI289" i="20"/>
  <c r="L290" i="20"/>
  <c r="U290" i="20"/>
  <c r="AM290" i="20"/>
  <c r="DL290" i="20"/>
  <c r="FZ290" i="20"/>
  <c r="AM291" i="20"/>
  <c r="BE291" i="20"/>
  <c r="AM292" i="20"/>
  <c r="DL292" i="20"/>
  <c r="AM293" i="20"/>
  <c r="EA295" i="20"/>
  <c r="DL297" i="20"/>
  <c r="AM297" i="20"/>
  <c r="AS297" i="20"/>
  <c r="BE298" i="20"/>
  <c r="FX300" i="20"/>
  <c r="Y270" i="20"/>
  <c r="AN270" i="20"/>
  <c r="DL271" i="20"/>
  <c r="AN274" i="20"/>
  <c r="CM274" i="20"/>
  <c r="I276" i="20"/>
  <c r="I277" i="20"/>
  <c r="BB277" i="20" s="1"/>
  <c r="I278" i="20"/>
  <c r="BB278" i="20" s="1"/>
  <c r="EA279" i="20"/>
  <c r="CF280" i="20"/>
  <c r="EA280" i="20"/>
  <c r="AK281" i="20"/>
  <c r="L282" i="20"/>
  <c r="U282" i="20"/>
  <c r="FY282" i="20"/>
  <c r="GA282" i="20" s="1"/>
  <c r="CS282" i="20" s="1"/>
  <c r="L283" i="20"/>
  <c r="U283" i="20"/>
  <c r="AM283" i="20"/>
  <c r="BE283" i="20"/>
  <c r="AM284" i="20"/>
  <c r="DL284" i="20"/>
  <c r="X285" i="20"/>
  <c r="EL285" i="20" s="1"/>
  <c r="EK285" i="20" s="1"/>
  <c r="CD285" i="20"/>
  <c r="CE285" i="20" s="1"/>
  <c r="CD286" i="20"/>
  <c r="CE286" i="20" s="1"/>
  <c r="AK288" i="20"/>
  <c r="L289" i="20"/>
  <c r="U289" i="20"/>
  <c r="AM289" i="20"/>
  <c r="BE289" i="20"/>
  <c r="FZ289" i="20"/>
  <c r="M290" i="20"/>
  <c r="AN290" i="20"/>
  <c r="EE291" i="20"/>
  <c r="CF294" i="20"/>
  <c r="CH294" i="20" s="1"/>
  <c r="AN294" i="20"/>
  <c r="Y294" i="20"/>
  <c r="BA294" i="20"/>
  <c r="AX295" i="20"/>
  <c r="CM295" i="20" s="1"/>
  <c r="DI295" i="20"/>
  <c r="M295" i="20"/>
  <c r="U295" i="20"/>
  <c r="AN295" i="20"/>
  <c r="BE296" i="20"/>
  <c r="FX296" i="20"/>
  <c r="CD296" i="20"/>
  <c r="CE296" i="20" s="1"/>
  <c r="FZ296" i="20"/>
  <c r="BB296" i="20"/>
  <c r="DY298" i="20"/>
  <c r="CD298" i="20"/>
  <c r="DL298" i="20"/>
  <c r="AN299" i="20"/>
  <c r="CF302" i="20"/>
  <c r="CH302" i="20" s="1"/>
  <c r="CD302" i="20"/>
  <c r="AN302" i="20"/>
  <c r="Y302" i="20"/>
  <c r="EA302" i="20"/>
  <c r="ET307" i="20"/>
  <c r="EU307" i="20" s="1"/>
  <c r="EV307" i="20" s="1"/>
  <c r="CM271" i="20"/>
  <c r="Q279" i="20"/>
  <c r="AS279" i="20"/>
  <c r="FX279" i="20"/>
  <c r="FZ281" i="20"/>
  <c r="M283" i="20"/>
  <c r="Y284" i="20"/>
  <c r="AN284" i="20"/>
  <c r="Q287" i="20"/>
  <c r="AL287" i="20" s="1"/>
  <c r="AS287" i="20"/>
  <c r="FX287" i="20"/>
  <c r="FZ288" i="20"/>
  <c r="M289" i="20"/>
  <c r="AX290" i="20"/>
  <c r="CM290" i="20" s="1"/>
  <c r="CD290" i="20"/>
  <c r="CE290" i="20" s="1"/>
  <c r="DY290" i="20"/>
  <c r="Y291" i="20"/>
  <c r="L292" i="20"/>
  <c r="BI292" i="20"/>
  <c r="EL292" i="20"/>
  <c r="EK292" i="20" s="1"/>
  <c r="L293" i="20"/>
  <c r="DL295" i="20"/>
  <c r="AM295" i="20"/>
  <c r="AS295" i="20"/>
  <c r="Q298" i="20"/>
  <c r="CC298" i="20"/>
  <c r="EE299" i="20"/>
  <c r="AX300" i="20"/>
  <c r="M300" i="20"/>
  <c r="DI300" i="20"/>
  <c r="BR302" i="20"/>
  <c r="DZ302" i="20" s="1"/>
  <c r="CA302" i="20"/>
  <c r="BZ302" i="20"/>
  <c r="CC302" i="20"/>
  <c r="AX303" i="20"/>
  <c r="CM303" i="20" s="1"/>
  <c r="M303" i="20"/>
  <c r="DI303" i="20"/>
  <c r="BB303" i="20"/>
  <c r="T278" i="20"/>
  <c r="CF278" i="20"/>
  <c r="CH278" i="20" s="1"/>
  <c r="EA278" i="20"/>
  <c r="CF285" i="20"/>
  <c r="CH285" i="20" s="1"/>
  <c r="EA285" i="20"/>
  <c r="U288" i="20"/>
  <c r="EE292" i="20"/>
  <c r="BZ292" i="20"/>
  <c r="EE293" i="20"/>
  <c r="BZ293" i="20"/>
  <c r="CA297" i="20"/>
  <c r="CB297" i="20" s="1"/>
  <c r="AM298" i="20"/>
  <c r="AS300" i="20"/>
  <c r="DL300" i="20"/>
  <c r="AM300" i="20"/>
  <c r="I301" i="20"/>
  <c r="BB301" i="20" s="1"/>
  <c r="DL301" i="20"/>
  <c r="EE301" i="20"/>
  <c r="AK301" i="20"/>
  <c r="L301" i="20"/>
  <c r="FG305" i="20"/>
  <c r="DA305" i="20"/>
  <c r="CH306" i="20"/>
  <c r="ET309" i="20"/>
  <c r="EU309" i="20" s="1"/>
  <c r="EV309" i="20" s="1"/>
  <c r="BI311" i="20"/>
  <c r="DT311" i="20"/>
  <c r="T273" i="20"/>
  <c r="L276" i="20"/>
  <c r="L277" i="20"/>
  <c r="U278" i="20"/>
  <c r="AN281" i="20"/>
  <c r="AN282" i="20"/>
  <c r="T286" i="20"/>
  <c r="AN288" i="20"/>
  <c r="CF290" i="20"/>
  <c r="CH290" i="20" s="1"/>
  <c r="I291" i="20"/>
  <c r="Q291" i="20"/>
  <c r="T291" i="20" s="1"/>
  <c r="T293" i="20"/>
  <c r="BE294" i="20"/>
  <c r="AL294" i="20"/>
  <c r="BR294" i="20"/>
  <c r="DZ294" i="20" s="1"/>
  <c r="BI295" i="20"/>
  <c r="DT295" i="20"/>
  <c r="AX296" i="20"/>
  <c r="CM296" i="20" s="1"/>
  <c r="DI296" i="20"/>
  <c r="M296" i="20"/>
  <c r="BF296" i="20" s="1"/>
  <c r="CO296" i="20" s="1"/>
  <c r="U296" i="20"/>
  <c r="AN296" i="20"/>
  <c r="BE297" i="20"/>
  <c r="CD297" i="20"/>
  <c r="CE297" i="20" s="1"/>
  <c r="FZ297" i="20"/>
  <c r="AX298" i="20"/>
  <c r="CM298" i="20" s="1"/>
  <c r="DI298" i="20"/>
  <c r="M298" i="20"/>
  <c r="FZ298" i="20"/>
  <c r="BZ300" i="20"/>
  <c r="DY302" i="20"/>
  <c r="FZ291" i="20"/>
  <c r="FZ292" i="20"/>
  <c r="FY292" i="20" s="1"/>
  <c r="FY293" i="20"/>
  <c r="GA293" i="20" s="1"/>
  <c r="CS293" i="20" s="1"/>
  <c r="U294" i="20"/>
  <c r="FX294" i="20"/>
  <c r="EA298" i="20"/>
  <c r="Q299" i="20"/>
  <c r="AL299" i="20" s="1"/>
  <c r="AS299" i="20"/>
  <c r="AL300" i="20"/>
  <c r="EE300" i="20"/>
  <c r="U301" i="20"/>
  <c r="U302" i="20"/>
  <c r="AY302" i="20" s="1"/>
  <c r="BH302" i="20" s="1"/>
  <c r="FX302" i="20"/>
  <c r="T303" i="20"/>
  <c r="AL303" i="20"/>
  <c r="EE303" i="20"/>
  <c r="FZ303" i="20"/>
  <c r="AN304" i="20"/>
  <c r="X305" i="20"/>
  <c r="AM305" i="20"/>
  <c r="BE305" i="20"/>
  <c r="BF305" i="20" s="1"/>
  <c r="CO305" i="20" s="1"/>
  <c r="DL305" i="20"/>
  <c r="X306" i="20"/>
  <c r="AM306" i="20"/>
  <c r="BE306" i="20"/>
  <c r="DL306" i="20"/>
  <c r="FZ306" i="20"/>
  <c r="M307" i="20"/>
  <c r="AN307" i="20"/>
  <c r="AN309" i="20"/>
  <c r="CC309" i="20"/>
  <c r="AM310" i="20"/>
  <c r="BE310" i="20"/>
  <c r="DL310" i="20"/>
  <c r="FZ310" i="20"/>
  <c r="AN311" i="20"/>
  <c r="FZ311" i="20"/>
  <c r="Y312" i="20"/>
  <c r="CD312" i="20"/>
  <c r="CE312" i="20" s="1"/>
  <c r="CF313" i="20"/>
  <c r="CH313" i="20" s="1"/>
  <c r="EA313" i="20"/>
  <c r="CD315" i="20"/>
  <c r="FZ315" i="20"/>
  <c r="AN316" i="20"/>
  <c r="AM317" i="20"/>
  <c r="DL317" i="20"/>
  <c r="AM318" i="20"/>
  <c r="AS318" i="20"/>
  <c r="FX320" i="20"/>
  <c r="CD323" i="20"/>
  <c r="CE323" i="20" s="1"/>
  <c r="FZ323" i="20"/>
  <c r="EE328" i="20"/>
  <c r="DL328" i="20"/>
  <c r="AS328" i="20"/>
  <c r="DT332" i="20"/>
  <c r="BI332" i="20"/>
  <c r="CD334" i="20"/>
  <c r="FZ334" i="20"/>
  <c r="EA334" i="20"/>
  <c r="U303" i="20"/>
  <c r="AM303" i="20"/>
  <c r="BE303" i="20"/>
  <c r="DL303" i="20"/>
  <c r="AN305" i="20"/>
  <c r="AN306" i="20"/>
  <c r="AX307" i="20"/>
  <c r="CM307" i="20" s="1"/>
  <c r="CF308" i="20"/>
  <c r="CH308" i="20" s="1"/>
  <c r="EA308" i="20"/>
  <c r="Q309" i="20"/>
  <c r="AL309" i="20" s="1"/>
  <c r="AX309" i="20"/>
  <c r="CM309" i="20" s="1"/>
  <c r="CD309" i="20"/>
  <c r="DY309" i="20"/>
  <c r="AN310" i="20"/>
  <c r="CC310" i="20"/>
  <c r="CE310" i="20" s="1"/>
  <c r="BE312" i="20"/>
  <c r="U312" i="20"/>
  <c r="DI312" i="20"/>
  <c r="DY313" i="20"/>
  <c r="EE314" i="20"/>
  <c r="Q315" i="20"/>
  <c r="T315" i="20" s="1"/>
  <c r="BB315" i="20"/>
  <c r="AX316" i="20"/>
  <c r="CM316" i="20" s="1"/>
  <c r="DI316" i="20"/>
  <c r="M316" i="20"/>
  <c r="AN317" i="20"/>
  <c r="Y317" i="20"/>
  <c r="L319" i="20"/>
  <c r="EL327" i="20"/>
  <c r="EK327" i="20" s="1"/>
  <c r="Y327" i="20"/>
  <c r="AN292" i="20"/>
  <c r="Y293" i="20"/>
  <c r="AN293" i="20"/>
  <c r="AM294" i="20"/>
  <c r="FZ294" i="20"/>
  <c r="FY294" i="20" s="1"/>
  <c r="AL295" i="20"/>
  <c r="EE295" i="20"/>
  <c r="EE296" i="20"/>
  <c r="EE297" i="20"/>
  <c r="L298" i="20"/>
  <c r="U298" i="20"/>
  <c r="AK298" i="20"/>
  <c r="FZ299" i="20"/>
  <c r="AN300" i="20"/>
  <c r="CM300" i="20"/>
  <c r="AM301" i="20"/>
  <c r="AM302" i="20"/>
  <c r="FZ302" i="20"/>
  <c r="FY302" i="20" s="1"/>
  <c r="AN303" i="20"/>
  <c r="Y304" i="20"/>
  <c r="CD305" i="20"/>
  <c r="CE305" i="20" s="1"/>
  <c r="CD306" i="20"/>
  <c r="CE306" i="20" s="1"/>
  <c r="Y307" i="20"/>
  <c r="I308" i="20"/>
  <c r="Q308" i="20"/>
  <c r="T308" i="20" s="1"/>
  <c r="AS308" i="20"/>
  <c r="I310" i="20"/>
  <c r="BB310" i="20" s="1"/>
  <c r="Q310" i="20"/>
  <c r="T310" i="20" s="1"/>
  <c r="I313" i="20"/>
  <c r="AL313" i="20"/>
  <c r="EE313" i="20"/>
  <c r="AM314" i="20"/>
  <c r="AN315" i="20"/>
  <c r="DL316" i="20"/>
  <c r="AM316" i="20"/>
  <c r="EE317" i="20"/>
  <c r="DI318" i="20"/>
  <c r="I319" i="20"/>
  <c r="AK319" i="20"/>
  <c r="DL319" i="20"/>
  <c r="DL321" i="20"/>
  <c r="AM321" i="20"/>
  <c r="AK321" i="20"/>
  <c r="L321" i="20"/>
  <c r="I321" i="20"/>
  <c r="BB321" i="20" s="1"/>
  <c r="AX324" i="20"/>
  <c r="CM324" i="20" s="1"/>
  <c r="M324" i="20"/>
  <c r="DI324" i="20"/>
  <c r="Q305" i="20"/>
  <c r="Q306" i="20"/>
  <c r="T306" i="20" s="1"/>
  <c r="AK308" i="20"/>
  <c r="CF309" i="20"/>
  <c r="CH309" i="20" s="1"/>
  <c r="DL311" i="20"/>
  <c r="Q312" i="20"/>
  <c r="T312" i="20" s="1"/>
  <c r="AM313" i="20"/>
  <c r="AX315" i="20"/>
  <c r="CM315" i="20" s="1"/>
  <c r="DI315" i="20"/>
  <c r="M315" i="20"/>
  <c r="Y316" i="20"/>
  <c r="FX317" i="20"/>
  <c r="U317" i="20"/>
  <c r="BE318" i="20"/>
  <c r="BF318" i="20" s="1"/>
  <c r="CO318" i="20" s="1"/>
  <c r="X319" i="20"/>
  <c r="BA319" i="20"/>
  <c r="AM319" i="20"/>
  <c r="AS324" i="20"/>
  <c r="AM324" i="20"/>
  <c r="AX325" i="20"/>
  <c r="CM325" i="20" s="1"/>
  <c r="DI325" i="20"/>
  <c r="M325" i="20"/>
  <c r="BZ325" i="20"/>
  <c r="EE331" i="20"/>
  <c r="Q331" i="20"/>
  <c r="T331" i="20" s="1"/>
  <c r="BR333" i="20"/>
  <c r="DZ333" i="20" s="1"/>
  <c r="FX337" i="20"/>
  <c r="U337" i="20"/>
  <c r="EE337" i="20"/>
  <c r="BE337" i="20"/>
  <c r="BR304" i="20"/>
  <c r="DZ304" i="20" s="1"/>
  <c r="EB304" i="20" s="1"/>
  <c r="EA305" i="20"/>
  <c r="BR307" i="20"/>
  <c r="DZ307" i="20" s="1"/>
  <c r="EB307" i="20" s="1"/>
  <c r="U309" i="20"/>
  <c r="FX309" i="20"/>
  <c r="CF310" i="20"/>
  <c r="CH310" i="20" s="1"/>
  <c r="EA310" i="20"/>
  <c r="FY311" i="20"/>
  <c r="GA311" i="20" s="1"/>
  <c r="CS311" i="20" s="1"/>
  <c r="BZ311" i="20"/>
  <c r="CB311" i="20" s="1"/>
  <c r="CH311" i="20"/>
  <c r="CD313" i="20"/>
  <c r="CE313" i="20" s="1"/>
  <c r="T313" i="20"/>
  <c r="AY313" i="20" s="1"/>
  <c r="BH313" i="20" s="1"/>
  <c r="AN313" i="20"/>
  <c r="FZ313" i="20"/>
  <c r="DL315" i="20"/>
  <c r="AM315" i="20"/>
  <c r="BB323" i="20"/>
  <c r="EE327" i="20"/>
  <c r="Q327" i="20"/>
  <c r="ET335" i="20"/>
  <c r="EU335" i="20" s="1"/>
  <c r="EV335" i="20" s="1"/>
  <c r="CF292" i="20"/>
  <c r="CH292" i="20" s="1"/>
  <c r="CF293" i="20"/>
  <c r="CH293" i="20" s="1"/>
  <c r="CD299" i="20"/>
  <c r="CE299" i="20" s="1"/>
  <c r="CF300" i="20"/>
  <c r="CH300" i="20" s="1"/>
  <c r="EA300" i="20"/>
  <c r="CF303" i="20"/>
  <c r="CH303" i="20" s="1"/>
  <c r="EA303" i="20"/>
  <c r="AK304" i="20"/>
  <c r="BZ304" i="20"/>
  <c r="FX304" i="20"/>
  <c r="GA304" i="20" s="1"/>
  <c r="CS304" i="20" s="1"/>
  <c r="AS305" i="20"/>
  <c r="FX305" i="20"/>
  <c r="AS306" i="20"/>
  <c r="AK307" i="20"/>
  <c r="BZ307" i="20"/>
  <c r="CB307" i="20" s="1"/>
  <c r="FY307" i="20"/>
  <c r="GA307" i="20" s="1"/>
  <c r="CS307" i="20" s="1"/>
  <c r="L308" i="20"/>
  <c r="U308" i="20"/>
  <c r="DL308" i="20"/>
  <c r="FZ308" i="20"/>
  <c r="M309" i="20"/>
  <c r="BF309" i="20" s="1"/>
  <c r="CO309" i="20" s="1"/>
  <c r="AK309" i="20"/>
  <c r="L310" i="20"/>
  <c r="U310" i="20"/>
  <c r="AK311" i="20"/>
  <c r="AM312" i="20"/>
  <c r="FX312" i="20"/>
  <c r="L313" i="20"/>
  <c r="BA313" i="20"/>
  <c r="CC314" i="20"/>
  <c r="AS315" i="20"/>
  <c r="BE316" i="20"/>
  <c r="U316" i="20"/>
  <c r="Q317" i="20"/>
  <c r="CC317" i="20"/>
  <c r="CD317" i="20"/>
  <c r="DY317" i="20"/>
  <c r="BZ318" i="20"/>
  <c r="CB318" i="20" s="1"/>
  <c r="BR318" i="20"/>
  <c r="DZ318" i="20" s="1"/>
  <c r="EB318" i="20" s="1"/>
  <c r="EH318" i="20" s="1"/>
  <c r="AX318" i="20"/>
  <c r="CM318" i="20" s="1"/>
  <c r="BR324" i="20"/>
  <c r="DZ324" i="20" s="1"/>
  <c r="CA324" i="20"/>
  <c r="CA346" i="20"/>
  <c r="BZ346" i="20"/>
  <c r="BR346" i="20"/>
  <c r="DZ346" i="20" s="1"/>
  <c r="T292" i="20"/>
  <c r="CA304" i="20"/>
  <c r="L305" i="20"/>
  <c r="U306" i="20"/>
  <c r="T307" i="20"/>
  <c r="AY307" i="20" s="1"/>
  <c r="AN308" i="20"/>
  <c r="CD311" i="20"/>
  <c r="CE311" i="20" s="1"/>
  <c r="T311" i="20"/>
  <c r="L312" i="20"/>
  <c r="EA312" i="20"/>
  <c r="CF312" i="20"/>
  <c r="CH312" i="20" s="1"/>
  <c r="AS314" i="20"/>
  <c r="DL314" i="20"/>
  <c r="EE315" i="20"/>
  <c r="CC315" i="20"/>
  <c r="DY316" i="20"/>
  <c r="CD316" i="20"/>
  <c r="CE316" i="20" s="1"/>
  <c r="FZ316" i="20"/>
  <c r="FY316" i="20" s="1"/>
  <c r="GA316" i="20" s="1"/>
  <c r="CS316" i="20" s="1"/>
  <c r="CF316" i="20"/>
  <c r="CH316" i="20" s="1"/>
  <c r="L317" i="20"/>
  <c r="DL318" i="20"/>
  <c r="AK318" i="20"/>
  <c r="L318" i="20"/>
  <c r="CD318" i="20"/>
  <c r="CE318" i="20" s="1"/>
  <c r="EE319" i="20"/>
  <c r="BE320" i="20"/>
  <c r="CE321" i="20"/>
  <c r="AN322" i="20"/>
  <c r="DL322" i="20"/>
  <c r="L322" i="20"/>
  <c r="AK322" i="20"/>
  <c r="I322" i="20"/>
  <c r="BB322" i="20" s="1"/>
  <c r="AX323" i="20"/>
  <c r="CM323" i="20" s="1"/>
  <c r="DI323" i="20"/>
  <c r="M323" i="20"/>
  <c r="CH323" i="20"/>
  <c r="DL335" i="20"/>
  <c r="AM335" i="20"/>
  <c r="EE335" i="20"/>
  <c r="AS335" i="20"/>
  <c r="CD308" i="20"/>
  <c r="CE308" i="20" s="1"/>
  <c r="BR311" i="20"/>
  <c r="DZ311" i="20" s="1"/>
  <c r="Y313" i="20"/>
  <c r="BE313" i="20"/>
  <c r="DL313" i="20"/>
  <c r="CD314" i="20"/>
  <c r="FZ314" i="20"/>
  <c r="FY314" i="20" s="1"/>
  <c r="GA314" i="20" s="1"/>
  <c r="CS314" i="20" s="1"/>
  <c r="CH314" i="20"/>
  <c r="EA314" i="20"/>
  <c r="BE315" i="20"/>
  <c r="U315" i="20"/>
  <c r="BB316" i="20"/>
  <c r="EA317" i="20"/>
  <c r="BB318" i="20"/>
  <c r="FZ318" i="20"/>
  <c r="FY318" i="20" s="1"/>
  <c r="GA318" i="20" s="1"/>
  <c r="CS318" i="20" s="1"/>
  <c r="FX319" i="20"/>
  <c r="U319" i="20"/>
  <c r="EE320" i="20"/>
  <c r="Q320" i="20"/>
  <c r="AL320" i="20" s="1"/>
  <c r="AM323" i="20"/>
  <c r="AS323" i="20"/>
  <c r="Q321" i="20"/>
  <c r="AL321" i="20" s="1"/>
  <c r="T323" i="20"/>
  <c r="T324" i="20"/>
  <c r="AL324" i="20"/>
  <c r="EE324" i="20"/>
  <c r="FZ324" i="20"/>
  <c r="EE325" i="20"/>
  <c r="FZ325" i="20"/>
  <c r="AN327" i="20"/>
  <c r="EA328" i="20"/>
  <c r="CF328" i="20"/>
  <c r="CH328" i="20" s="1"/>
  <c r="Y328" i="20"/>
  <c r="CD328" i="20"/>
  <c r="CE328" i="20" s="1"/>
  <c r="AN328" i="20"/>
  <c r="BE331" i="20"/>
  <c r="U331" i="20"/>
  <c r="FX331" i="20"/>
  <c r="DL333" i="20"/>
  <c r="L333" i="20"/>
  <c r="EE333" i="20"/>
  <c r="AK333" i="20"/>
  <c r="DY334" i="20"/>
  <c r="CC334" i="20"/>
  <c r="EA335" i="20"/>
  <c r="CF335" i="20"/>
  <c r="CH335" i="20" s="1"/>
  <c r="CD335" i="20"/>
  <c r="CE335" i="20" s="1"/>
  <c r="AN335" i="20"/>
  <c r="BE335" i="20"/>
  <c r="U335" i="20"/>
  <c r="L335" i="20"/>
  <c r="EA339" i="20"/>
  <c r="CF339" i="20"/>
  <c r="CH339" i="20" s="1"/>
  <c r="DY339" i="20"/>
  <c r="CD339" i="20"/>
  <c r="CE339" i="20" s="1"/>
  <c r="AN339" i="20"/>
  <c r="DL339" i="20"/>
  <c r="EE340" i="20"/>
  <c r="Q340" i="20"/>
  <c r="CE343" i="20"/>
  <c r="EL347" i="20"/>
  <c r="EK347" i="20" s="1"/>
  <c r="Y347" i="20"/>
  <c r="AX350" i="20"/>
  <c r="CM350" i="20" s="1"/>
  <c r="M350" i="20"/>
  <c r="BB350" i="20"/>
  <c r="AN355" i="20"/>
  <c r="Y355" i="20"/>
  <c r="CF355" i="20"/>
  <c r="CH355" i="20" s="1"/>
  <c r="L355" i="20"/>
  <c r="U355" i="20"/>
  <c r="EA321" i="20"/>
  <c r="FY322" i="20"/>
  <c r="GA322" i="20" s="1"/>
  <c r="CS322" i="20" s="1"/>
  <c r="L323" i="20"/>
  <c r="U323" i="20"/>
  <c r="AK323" i="20"/>
  <c r="L324" i="20"/>
  <c r="U324" i="20"/>
  <c r="BE324" i="20"/>
  <c r="DL324" i="20"/>
  <c r="X325" i="20"/>
  <c r="EL325" i="20" s="1"/>
  <c r="EK325" i="20" s="1"/>
  <c r="AM325" i="20"/>
  <c r="BE325" i="20"/>
  <c r="DL325" i="20"/>
  <c r="X326" i="20"/>
  <c r="EL326" i="20" s="1"/>
  <c r="EK326" i="20" s="1"/>
  <c r="FX327" i="20"/>
  <c r="L328" i="20"/>
  <c r="U328" i="20"/>
  <c r="BE328" i="20"/>
  <c r="T329" i="20"/>
  <c r="X330" i="20"/>
  <c r="EE332" i="20"/>
  <c r="I333" i="20"/>
  <c r="BB333" i="20" s="1"/>
  <c r="CH333" i="20"/>
  <c r="Q334" i="20"/>
  <c r="FY334" i="20" s="1"/>
  <c r="GA334" i="20" s="1"/>
  <c r="CS334" i="20" s="1"/>
  <c r="L339" i="20"/>
  <c r="FZ339" i="20"/>
  <c r="EL343" i="20"/>
  <c r="EK343" i="20" s="1"/>
  <c r="Y343" i="20"/>
  <c r="DI346" i="20"/>
  <c r="M346" i="20"/>
  <c r="BF346" i="20" s="1"/>
  <c r="CO346" i="20" s="1"/>
  <c r="AX346" i="20"/>
  <c r="CM346" i="20" s="1"/>
  <c r="DL347" i="20"/>
  <c r="L347" i="20"/>
  <c r="EE347" i="20"/>
  <c r="AK347" i="20"/>
  <c r="I347" i="20"/>
  <c r="BB347" i="20" s="1"/>
  <c r="BZ351" i="20"/>
  <c r="FY351" i="20"/>
  <c r="GA351" i="20" s="1"/>
  <c r="CS351" i="20" s="1"/>
  <c r="CA351" i="20"/>
  <c r="BA352" i="20"/>
  <c r="X352" i="20"/>
  <c r="L314" i="20"/>
  <c r="L315" i="20"/>
  <c r="L316" i="20"/>
  <c r="BA317" i="20"/>
  <c r="T318" i="20"/>
  <c r="AY318" i="20" s="1"/>
  <c r="CF318" i="20"/>
  <c r="CH318" i="20" s="1"/>
  <c r="I320" i="20"/>
  <c r="BB320" i="20" s="1"/>
  <c r="FZ322" i="20"/>
  <c r="EE323" i="20"/>
  <c r="AN324" i="20"/>
  <c r="AN325" i="20"/>
  <c r="I327" i="20"/>
  <c r="M328" i="20"/>
  <c r="EK328" i="20"/>
  <c r="ET328" i="20" s="1"/>
  <c r="EA329" i="20"/>
  <c r="CF329" i="20"/>
  <c r="CH329" i="20" s="1"/>
  <c r="DY329" i="20"/>
  <c r="U329" i="20"/>
  <c r="BE332" i="20"/>
  <c r="U332" i="20"/>
  <c r="FX332" i="20"/>
  <c r="GA332" i="20" s="1"/>
  <c r="CS332" i="20" s="1"/>
  <c r="T332" i="20"/>
  <c r="EA336" i="20"/>
  <c r="CF336" i="20"/>
  <c r="CH336" i="20" s="1"/>
  <c r="DY336" i="20"/>
  <c r="CD336" i="20"/>
  <c r="CE336" i="20" s="1"/>
  <c r="U336" i="20"/>
  <c r="Q339" i="20"/>
  <c r="T339" i="20" s="1"/>
  <c r="AK341" i="20"/>
  <c r="L341" i="20"/>
  <c r="I341" i="20"/>
  <c r="Y341" i="20"/>
  <c r="ET345" i="20"/>
  <c r="EU345" i="20" s="1"/>
  <c r="EV345" i="20" s="1"/>
  <c r="FY348" i="20"/>
  <c r="GA348" i="20" s="1"/>
  <c r="CS348" i="20" s="1"/>
  <c r="CA348" i="20"/>
  <c r="BZ348" i="20"/>
  <c r="BB348" i="20"/>
  <c r="EA350" i="20"/>
  <c r="CF350" i="20"/>
  <c r="CH350" i="20" s="1"/>
  <c r="DY350" i="20"/>
  <c r="CD350" i="20"/>
  <c r="CE350" i="20" s="1"/>
  <c r="AN350" i="20"/>
  <c r="FZ350" i="20"/>
  <c r="BE350" i="20"/>
  <c r="U350" i="20"/>
  <c r="L350" i="20"/>
  <c r="AM353" i="20"/>
  <c r="AS353" i="20"/>
  <c r="EA355" i="20"/>
  <c r="CF319" i="20"/>
  <c r="CH319" i="20" s="1"/>
  <c r="AK320" i="20"/>
  <c r="BE323" i="20"/>
  <c r="DL323" i="20"/>
  <c r="CD324" i="20"/>
  <c r="CE324" i="20" s="1"/>
  <c r="CD325" i="20"/>
  <c r="CE325" i="20" s="1"/>
  <c r="EA327" i="20"/>
  <c r="BA331" i="20"/>
  <c r="AX334" i="20"/>
  <c r="CM334" i="20" s="1"/>
  <c r="DI334" i="20"/>
  <c r="M334" i="20"/>
  <c r="EK334" i="20"/>
  <c r="DY335" i="20"/>
  <c r="BA336" i="20"/>
  <c r="X336" i="20"/>
  <c r="EL336" i="20" s="1"/>
  <c r="EK336" i="20" s="1"/>
  <c r="EL338" i="20"/>
  <c r="EK338" i="20" s="1"/>
  <c r="Y338" i="20"/>
  <c r="EE338" i="20"/>
  <c r="AM339" i="20"/>
  <c r="EE339" i="20"/>
  <c r="Q342" i="20"/>
  <c r="EE342" i="20"/>
  <c r="AM345" i="20"/>
  <c r="AS345" i="20"/>
  <c r="BR350" i="20"/>
  <c r="DZ350" i="20" s="1"/>
  <c r="BZ350" i="20"/>
  <c r="FY350" i="20"/>
  <c r="GA350" i="20" s="1"/>
  <c r="CS350" i="20" s="1"/>
  <c r="Q359" i="20"/>
  <c r="T359" i="20" s="1"/>
  <c r="EE359" i="20"/>
  <c r="FZ320" i="20"/>
  <c r="Y323" i="20"/>
  <c r="AN323" i="20"/>
  <c r="I326" i="20"/>
  <c r="BB326" i="20" s="1"/>
  <c r="Q326" i="20"/>
  <c r="T326" i="20" s="1"/>
  <c r="AS326" i="20"/>
  <c r="T327" i="20"/>
  <c r="AY327" i="20" s="1"/>
  <c r="CG327" i="20"/>
  <c r="CH327" i="20" s="1"/>
  <c r="X329" i="20"/>
  <c r="EL329" i="20" s="1"/>
  <c r="EK329" i="20" s="1"/>
  <c r="EE329" i="20"/>
  <c r="Q330" i="20"/>
  <c r="T330" i="20" s="1"/>
  <c r="X331" i="20"/>
  <c r="CA332" i="20"/>
  <c r="BZ332" i="20"/>
  <c r="BR332" i="20"/>
  <c r="DZ332" i="20" s="1"/>
  <c r="AM334" i="20"/>
  <c r="EE334" i="20"/>
  <c r="AS334" i="20"/>
  <c r="Q335" i="20"/>
  <c r="T335" i="20" s="1"/>
  <c r="Y337" i="20"/>
  <c r="M338" i="20"/>
  <c r="BA340" i="20"/>
  <c r="FX342" i="20"/>
  <c r="U342" i="20"/>
  <c r="EE343" i="20"/>
  <c r="Q343" i="20"/>
  <c r="T343" i="20" s="1"/>
  <c r="FZ345" i="20"/>
  <c r="FY345" i="20" s="1"/>
  <c r="GA345" i="20" s="1"/>
  <c r="CS345" i="20" s="1"/>
  <c r="EA345" i="20"/>
  <c r="CD345" i="20"/>
  <c r="CE345" i="20" s="1"/>
  <c r="CE346" i="20"/>
  <c r="AX348" i="20"/>
  <c r="CM348" i="20" s="1"/>
  <c r="M348" i="20"/>
  <c r="DI348" i="20"/>
  <c r="DI350" i="20"/>
  <c r="CF324" i="20"/>
  <c r="CH324" i="20" s="1"/>
  <c r="EA324" i="20"/>
  <c r="DY328" i="20"/>
  <c r="FZ328" i="20"/>
  <c r="FY329" i="20"/>
  <c r="GA329" i="20" s="1"/>
  <c r="CS329" i="20" s="1"/>
  <c r="BZ329" i="20"/>
  <c r="CB329" i="20" s="1"/>
  <c r="BR329" i="20"/>
  <c r="DZ329" i="20" s="1"/>
  <c r="U330" i="20"/>
  <c r="FX330" i="20"/>
  <c r="BE330" i="20"/>
  <c r="DL332" i="20"/>
  <c r="AL332" i="20"/>
  <c r="AK332" i="20"/>
  <c r="L332" i="20"/>
  <c r="BE333" i="20"/>
  <c r="U333" i="20"/>
  <c r="AN334" i="20"/>
  <c r="Y334" i="20"/>
  <c r="BE334" i="20"/>
  <c r="U334" i="20"/>
  <c r="L334" i="20"/>
  <c r="EA338" i="20"/>
  <c r="DI338" i="20"/>
  <c r="EL340" i="20"/>
  <c r="EK340" i="20" s="1"/>
  <c r="Y340" i="20"/>
  <c r="DL344" i="20"/>
  <c r="L344" i="20"/>
  <c r="EE344" i="20"/>
  <c r="AK344" i="20"/>
  <c r="I344" i="20"/>
  <c r="CU349" i="20"/>
  <c r="FG349" i="20"/>
  <c r="DL312" i="20"/>
  <c r="AN320" i="20"/>
  <c r="Y321" i="20"/>
  <c r="AN321" i="20"/>
  <c r="AL327" i="20"/>
  <c r="AX328" i="20"/>
  <c r="CM328" i="20" s="1"/>
  <c r="Q328" i="20"/>
  <c r="BA328" i="20"/>
  <c r="BB328" i="20" s="1"/>
  <c r="AL329" i="20"/>
  <c r="I332" i="20"/>
  <c r="AX335" i="20"/>
  <c r="CM335" i="20" s="1"/>
  <c r="M335" i="20"/>
  <c r="FZ335" i="20"/>
  <c r="AM336" i="20"/>
  <c r="FZ336" i="20"/>
  <c r="Q337" i="20"/>
  <c r="FX341" i="20"/>
  <c r="U341" i="20"/>
  <c r="Q341" i="20"/>
  <c r="AL341" i="20" s="1"/>
  <c r="BE345" i="20"/>
  <c r="FY346" i="20"/>
  <c r="GA346" i="20" s="1"/>
  <c r="CS346" i="20" s="1"/>
  <c r="CH348" i="20"/>
  <c r="DL349" i="20"/>
  <c r="AM349" i="20"/>
  <c r="EE349" i="20"/>
  <c r="AS349" i="20"/>
  <c r="EE350" i="20"/>
  <c r="BI344" i="20"/>
  <c r="AX345" i="20"/>
  <c r="CM345" i="20" s="1"/>
  <c r="AN346" i="20"/>
  <c r="T351" i="20"/>
  <c r="EE351" i="20"/>
  <c r="DI353" i="20"/>
  <c r="M353" i="20"/>
  <c r="AM354" i="20"/>
  <c r="EK355" i="20"/>
  <c r="FY360" i="20"/>
  <c r="GA360" i="20" s="1"/>
  <c r="CS360" i="20" s="1"/>
  <c r="BZ360" i="20"/>
  <c r="BR360" i="20"/>
  <c r="DZ360" i="20" s="1"/>
  <c r="CA360" i="20"/>
  <c r="AL360" i="20"/>
  <c r="AN342" i="20"/>
  <c r="Q344" i="20"/>
  <c r="FX344" i="20"/>
  <c r="T345" i="20"/>
  <c r="CF345" i="20"/>
  <c r="CH345" i="20" s="1"/>
  <c r="Q347" i="20"/>
  <c r="T347" i="20" s="1"/>
  <c r="AK348" i="20"/>
  <c r="DI349" i="20"/>
  <c r="AM350" i="20"/>
  <c r="DL350" i="20"/>
  <c r="AN351" i="20"/>
  <c r="AN353" i="20"/>
  <c r="Y353" i="20"/>
  <c r="EE354" i="20"/>
  <c r="AM356" i="20"/>
  <c r="AS356" i="20"/>
  <c r="AX358" i="20"/>
  <c r="CM358" i="20" s="1"/>
  <c r="M358" i="20"/>
  <c r="DT364" i="20"/>
  <c r="BI364" i="20"/>
  <c r="CF332" i="20"/>
  <c r="CH332" i="20" s="1"/>
  <c r="EA332" i="20"/>
  <c r="AN337" i="20"/>
  <c r="AM338" i="20"/>
  <c r="BE338" i="20"/>
  <c r="DL338" i="20"/>
  <c r="X339" i="20"/>
  <c r="EL339" i="20" s="1"/>
  <c r="EK339" i="20" s="1"/>
  <c r="I342" i="20"/>
  <c r="CD342" i="20"/>
  <c r="CE342" i="20" s="1"/>
  <c r="L345" i="20"/>
  <c r="U345" i="20"/>
  <c r="BA345" i="20"/>
  <c r="BB345" i="20" s="1"/>
  <c r="BR345" i="20"/>
  <c r="DZ345" i="20" s="1"/>
  <c r="T346" i="20"/>
  <c r="CF346" i="20"/>
  <c r="CH346" i="20" s="1"/>
  <c r="EA346" i="20"/>
  <c r="FX347" i="20"/>
  <c r="T348" i="20"/>
  <c r="AL348" i="20"/>
  <c r="EE348" i="20"/>
  <c r="L349" i="20"/>
  <c r="U349" i="20"/>
  <c r="BE349" i="20"/>
  <c r="FZ349" i="20"/>
  <c r="X351" i="20"/>
  <c r="EL351" i="20" s="1"/>
  <c r="EK351" i="20" s="1"/>
  <c r="CD351" i="20"/>
  <c r="CE351" i="20" s="1"/>
  <c r="DY351" i="20"/>
  <c r="EE353" i="20"/>
  <c r="EA353" i="20"/>
  <c r="Q355" i="20"/>
  <c r="AL355" i="20" s="1"/>
  <c r="EA356" i="20"/>
  <c r="CF356" i="20"/>
  <c r="CH356" i="20" s="1"/>
  <c r="Y356" i="20"/>
  <c r="DY356" i="20"/>
  <c r="CD356" i="20"/>
  <c r="CE356" i="20" s="1"/>
  <c r="AN356" i="20"/>
  <c r="Q356" i="20"/>
  <c r="EK358" i="20"/>
  <c r="Q361" i="20"/>
  <c r="T361" i="20" s="1"/>
  <c r="I330" i="20"/>
  <c r="I331" i="20"/>
  <c r="AS332" i="20"/>
  <c r="FZ333" i="20"/>
  <c r="AN338" i="20"/>
  <c r="I340" i="20"/>
  <c r="FX340" i="20"/>
  <c r="CF341" i="20"/>
  <c r="CH341" i="20" s="1"/>
  <c r="EA341" i="20"/>
  <c r="I343" i="20"/>
  <c r="BB343" i="20" s="1"/>
  <c r="FX343" i="20"/>
  <c r="FZ344" i="20"/>
  <c r="M345" i="20"/>
  <c r="BZ345" i="20"/>
  <c r="CB345" i="20" s="1"/>
  <c r="L346" i="20"/>
  <c r="AS346" i="20"/>
  <c r="L348" i="20"/>
  <c r="AM348" i="20"/>
  <c r="DL348" i="20"/>
  <c r="FZ348" i="20"/>
  <c r="M349" i="20"/>
  <c r="AN349" i="20"/>
  <c r="BE353" i="20"/>
  <c r="CD353" i="20"/>
  <c r="AS354" i="20"/>
  <c r="BE355" i="20"/>
  <c r="CD355" i="20"/>
  <c r="X357" i="20"/>
  <c r="EL357" i="20" s="1"/>
  <c r="EK357" i="20" s="1"/>
  <c r="BA357" i="20"/>
  <c r="EA358" i="20"/>
  <c r="CF358" i="20"/>
  <c r="CH358" i="20" s="1"/>
  <c r="Y358" i="20"/>
  <c r="CD358" i="20"/>
  <c r="CE358" i="20" s="1"/>
  <c r="AN358" i="20"/>
  <c r="BB358" i="20"/>
  <c r="FX361" i="20"/>
  <c r="U361" i="20"/>
  <c r="BE361" i="20"/>
  <c r="CF330" i="20"/>
  <c r="CH330" i="20" s="1"/>
  <c r="AK331" i="20"/>
  <c r="AM333" i="20"/>
  <c r="DL334" i="20"/>
  <c r="CD338" i="20"/>
  <c r="CE338" i="20" s="1"/>
  <c r="AK340" i="20"/>
  <c r="BA341" i="20"/>
  <c r="CF342" i="20"/>
  <c r="CH342" i="20" s="1"/>
  <c r="AK343" i="20"/>
  <c r="U344" i="20"/>
  <c r="AM344" i="20"/>
  <c r="AL345" i="20"/>
  <c r="AK346" i="20"/>
  <c r="U347" i="20"/>
  <c r="AM347" i="20"/>
  <c r="FZ347" i="20"/>
  <c r="AN348" i="20"/>
  <c r="CD349" i="20"/>
  <c r="CE349" i="20" s="1"/>
  <c r="CF351" i="20"/>
  <c r="CH351" i="20" s="1"/>
  <c r="EA351" i="20"/>
  <c r="I352" i="20"/>
  <c r="Q352" i="20"/>
  <c r="T352" i="20" s="1"/>
  <c r="FZ353" i="20"/>
  <c r="AX353" i="20"/>
  <c r="CM353" i="20" s="1"/>
  <c r="FY354" i="20"/>
  <c r="GA354" i="20" s="1"/>
  <c r="CS354" i="20" s="1"/>
  <c r="DY355" i="20"/>
  <c r="CC355" i="20"/>
  <c r="BE356" i="20"/>
  <c r="L358" i="20"/>
  <c r="BE358" i="20"/>
  <c r="DI358" i="20"/>
  <c r="ET359" i="20"/>
  <c r="EU359" i="20" s="1"/>
  <c r="EV359" i="20" s="1"/>
  <c r="BA360" i="20"/>
  <c r="X360" i="20"/>
  <c r="I329" i="20"/>
  <c r="AN333" i="20"/>
  <c r="I336" i="20"/>
  <c r="CF337" i="20"/>
  <c r="CH337" i="20" s="1"/>
  <c r="I339" i="20"/>
  <c r="L342" i="20"/>
  <c r="AN344" i="20"/>
  <c r="Y345" i="20"/>
  <c r="DL345" i="20"/>
  <c r="AL346" i="20"/>
  <c r="AN347" i="20"/>
  <c r="CD348" i="20"/>
  <c r="CE348" i="20" s="1"/>
  <c r="I351" i="20"/>
  <c r="BB351" i="20" s="1"/>
  <c r="AK352" i="20"/>
  <c r="Q353" i="20"/>
  <c r="CC353" i="20"/>
  <c r="CF353" i="20"/>
  <c r="CH353" i="20" s="1"/>
  <c r="BR357" i="20"/>
  <c r="DZ357" i="20" s="1"/>
  <c r="EB357" i="20" s="1"/>
  <c r="EG357" i="20" s="1"/>
  <c r="Q358" i="20"/>
  <c r="DL358" i="20"/>
  <c r="EE362" i="20"/>
  <c r="Q362" i="20"/>
  <c r="AN363" i="20"/>
  <c r="AM363" i="20"/>
  <c r="AK363" i="20"/>
  <c r="L363" i="20"/>
  <c r="DL363" i="20"/>
  <c r="I363" i="20"/>
  <c r="L330" i="20"/>
  <c r="L331" i="20"/>
  <c r="DL331" i="20"/>
  <c r="L340" i="20"/>
  <c r="U340" i="20"/>
  <c r="DL340" i="20"/>
  <c r="L343" i="20"/>
  <c r="U343" i="20"/>
  <c r="DL343" i="20"/>
  <c r="AN345" i="20"/>
  <c r="DL346" i="20"/>
  <c r="CF349" i="20"/>
  <c r="CH349" i="20" s="1"/>
  <c r="CD352" i="20"/>
  <c r="CE352" i="20" s="1"/>
  <c r="FZ352" i="20"/>
  <c r="CF352" i="20"/>
  <c r="CH352" i="20" s="1"/>
  <c r="EA352" i="20"/>
  <c r="AX354" i="20"/>
  <c r="CM354" i="20" s="1"/>
  <c r="M354" i="20"/>
  <c r="DI354" i="20"/>
  <c r="AX355" i="20"/>
  <c r="CM355" i="20" s="1"/>
  <c r="DI355" i="20"/>
  <c r="M355" i="20"/>
  <c r="BZ357" i="20"/>
  <c r="CB357" i="20" s="1"/>
  <c r="AX361" i="20"/>
  <c r="CM361" i="20" s="1"/>
  <c r="M361" i="20"/>
  <c r="BB361" i="20"/>
  <c r="EE361" i="20"/>
  <c r="T357" i="20"/>
  <c r="AY357" i="20" s="1"/>
  <c r="CF357" i="20"/>
  <c r="CH357" i="20" s="1"/>
  <c r="T360" i="20"/>
  <c r="AY360" i="20" s="1"/>
  <c r="EE360" i="20"/>
  <c r="FZ360" i="20"/>
  <c r="BE363" i="20"/>
  <c r="EL364" i="20"/>
  <c r="EK364" i="20" s="1"/>
  <c r="AX365" i="20"/>
  <c r="CM365" i="20" s="1"/>
  <c r="DI365" i="20"/>
  <c r="Q366" i="20"/>
  <c r="CD366" i="20"/>
  <c r="CE366" i="20" s="1"/>
  <c r="AN366" i="20"/>
  <c r="AS369" i="20"/>
  <c r="AM369" i="20"/>
  <c r="CA370" i="20"/>
  <c r="AL370" i="20"/>
  <c r="FY370" i="20"/>
  <c r="GA370" i="20" s="1"/>
  <c r="CS370" i="20" s="1"/>
  <c r="BZ370" i="20"/>
  <c r="CC376" i="20"/>
  <c r="AM365" i="20"/>
  <c r="DL367" i="20"/>
  <c r="AM367" i="20"/>
  <c r="AS367" i="20"/>
  <c r="X367" i="20"/>
  <c r="EL367" i="20" s="1"/>
  <c r="EK367" i="20" s="1"/>
  <c r="BA367" i="20"/>
  <c r="BB367" i="20" s="1"/>
  <c r="EA369" i="20"/>
  <c r="CD369" i="20"/>
  <c r="CE369" i="20" s="1"/>
  <c r="DI370" i="20"/>
  <c r="AX370" i="20"/>
  <c r="CM370" i="20" s="1"/>
  <c r="BB370" i="20"/>
  <c r="L371" i="20"/>
  <c r="DY371" i="20"/>
  <c r="CD371" i="20"/>
  <c r="Q371" i="20"/>
  <c r="T371" i="20" s="1"/>
  <c r="AN371" i="20"/>
  <c r="AM372" i="20"/>
  <c r="AS372" i="20"/>
  <c r="AM375" i="20"/>
  <c r="AS375" i="20"/>
  <c r="M380" i="20"/>
  <c r="AX380" i="20"/>
  <c r="CM380" i="20" s="1"/>
  <c r="BB365" i="20"/>
  <c r="EE365" i="20"/>
  <c r="FX366" i="20"/>
  <c r="BE366" i="20"/>
  <c r="U366" i="20"/>
  <c r="BR369" i="20"/>
  <c r="DZ369" i="20" s="1"/>
  <c r="BZ369" i="20"/>
  <c r="EL370" i="20"/>
  <c r="EK370" i="20" s="1"/>
  <c r="Y370" i="20"/>
  <c r="EE371" i="20"/>
  <c r="FZ371" i="20"/>
  <c r="FX376" i="20"/>
  <c r="U376" i="20"/>
  <c r="BE376" i="20"/>
  <c r="BF376" i="20" s="1"/>
  <c r="CO376" i="20" s="1"/>
  <c r="Q381" i="20"/>
  <c r="T381" i="20" s="1"/>
  <c r="CD381" i="20"/>
  <c r="CE381" i="20" s="1"/>
  <c r="AN381" i="20"/>
  <c r="CF381" i="20"/>
  <c r="CH381" i="20" s="1"/>
  <c r="EE381" i="20"/>
  <c r="FZ381" i="20"/>
  <c r="EA381" i="20"/>
  <c r="L353" i="20"/>
  <c r="U353" i="20"/>
  <c r="FX353" i="20"/>
  <c r="T354" i="20"/>
  <c r="AL354" i="20"/>
  <c r="FZ354" i="20"/>
  <c r="AK355" i="20"/>
  <c r="L356" i="20"/>
  <c r="U356" i="20"/>
  <c r="DL356" i="20"/>
  <c r="AL357" i="20"/>
  <c r="FZ357" i="20"/>
  <c r="FY357" i="20" s="1"/>
  <c r="GA357" i="20" s="1"/>
  <c r="CS357" i="20" s="1"/>
  <c r="Y359" i="20"/>
  <c r="AM359" i="20"/>
  <c r="BE359" i="20"/>
  <c r="BF359" i="20" s="1"/>
  <c r="CO359" i="20" s="1"/>
  <c r="DL359" i="20"/>
  <c r="CD360" i="20"/>
  <c r="CE360" i="20" s="1"/>
  <c r="AN361" i="20"/>
  <c r="Y362" i="20"/>
  <c r="EE364" i="20"/>
  <c r="Q364" i="20"/>
  <c r="T364" i="20" s="1"/>
  <c r="DY366" i="20"/>
  <c r="EA366" i="20"/>
  <c r="M367" i="20"/>
  <c r="AX367" i="20"/>
  <c r="CM367" i="20" s="1"/>
  <c r="AK368" i="20"/>
  <c r="AN368" i="20"/>
  <c r="AL368" i="20"/>
  <c r="BE369" i="20"/>
  <c r="CA369" i="20"/>
  <c r="BR370" i="20"/>
  <c r="DZ370" i="20" s="1"/>
  <c r="FX371" i="20"/>
  <c r="U371" i="20"/>
  <c r="CC371" i="20"/>
  <c r="BB371" i="20"/>
  <c r="EE372" i="20"/>
  <c r="Q372" i="20"/>
  <c r="T372" i="20" s="1"/>
  <c r="AX374" i="20"/>
  <c r="CM374" i="20" s="1"/>
  <c r="BB374" i="20"/>
  <c r="EE375" i="20"/>
  <c r="CD377" i="20"/>
  <c r="CE377" i="20" s="1"/>
  <c r="AK353" i="20"/>
  <c r="L354" i="20"/>
  <c r="DL354" i="20"/>
  <c r="EE355" i="20"/>
  <c r="FZ355" i="20"/>
  <c r="M356" i="20"/>
  <c r="CM356" i="20"/>
  <c r="AM357" i="20"/>
  <c r="DL357" i="20"/>
  <c r="AN359" i="20"/>
  <c r="CM359" i="20"/>
  <c r="CD361" i="20"/>
  <c r="CE361" i="20" s="1"/>
  <c r="CF362" i="20"/>
  <c r="CH362" i="20" s="1"/>
  <c r="EA362" i="20"/>
  <c r="FX364" i="20"/>
  <c r="AK364" i="20"/>
  <c r="EE367" i="20"/>
  <c r="EA367" i="20"/>
  <c r="FZ367" i="20"/>
  <c r="FY367" i="20" s="1"/>
  <c r="GA367" i="20" s="1"/>
  <c r="CS367" i="20" s="1"/>
  <c r="I368" i="20"/>
  <c r="AL369" i="20"/>
  <c r="M370" i="20"/>
  <c r="BE371" i="20"/>
  <c r="DL371" i="20"/>
  <c r="AK373" i="20"/>
  <c r="I373" i="20"/>
  <c r="DL373" i="20"/>
  <c r="CH375" i="20"/>
  <c r="DI380" i="20"/>
  <c r="AM355" i="20"/>
  <c r="DL355" i="20"/>
  <c r="AN357" i="20"/>
  <c r="CF360" i="20"/>
  <c r="CH360" i="20" s="1"/>
  <c r="EA360" i="20"/>
  <c r="U363" i="20"/>
  <c r="AM364" i="20"/>
  <c r="AS365" i="20"/>
  <c r="FZ366" i="20"/>
  <c r="EL373" i="20"/>
  <c r="EK373" i="20" s="1"/>
  <c r="Y373" i="20"/>
  <c r="AN374" i="20"/>
  <c r="M374" i="20"/>
  <c r="Q374" i="20"/>
  <c r="EA374" i="20"/>
  <c r="CF374" i="20"/>
  <c r="CH374" i="20" s="1"/>
  <c r="FZ374" i="20"/>
  <c r="DY374" i="20"/>
  <c r="CD374" i="20"/>
  <c r="CE374" i="20" s="1"/>
  <c r="X376" i="20"/>
  <c r="EL376" i="20" s="1"/>
  <c r="EK376" i="20" s="1"/>
  <c r="BA376" i="20"/>
  <c r="BB376" i="20" s="1"/>
  <c r="BZ377" i="20"/>
  <c r="CA377" i="20"/>
  <c r="BR377" i="20"/>
  <c r="DZ377" i="20" s="1"/>
  <c r="EB377" i="20" s="1"/>
  <c r="AL377" i="20"/>
  <c r="FZ377" i="20"/>
  <c r="FY377" i="20" s="1"/>
  <c r="GA377" i="20" s="1"/>
  <c r="CS377" i="20" s="1"/>
  <c r="DL353" i="20"/>
  <c r="CD354" i="20"/>
  <c r="CE354" i="20" s="1"/>
  <c r="I360" i="20"/>
  <c r="CF361" i="20"/>
  <c r="CH361" i="20" s="1"/>
  <c r="AK362" i="20"/>
  <c r="X363" i="20"/>
  <c r="BA363" i="20"/>
  <c r="FZ365" i="20"/>
  <c r="FY365" i="20" s="1"/>
  <c r="GA365" i="20" s="1"/>
  <c r="CS365" i="20" s="1"/>
  <c r="EA365" i="20"/>
  <c r="BI365" i="20"/>
  <c r="I366" i="20"/>
  <c r="DL366" i="20"/>
  <c r="L366" i="20"/>
  <c r="AK366" i="20"/>
  <c r="CF366" i="20"/>
  <c r="CH366" i="20" s="1"/>
  <c r="FZ369" i="20"/>
  <c r="FY369" i="20" s="1"/>
  <c r="GA369" i="20" s="1"/>
  <c r="CS369" i="20" s="1"/>
  <c r="T370" i="20"/>
  <c r="AM371" i="20"/>
  <c r="CH373" i="20"/>
  <c r="AS376" i="20"/>
  <c r="DL376" i="20"/>
  <c r="AM376" i="20"/>
  <c r="EE363" i="20"/>
  <c r="AL364" i="20"/>
  <c r="I364" i="20"/>
  <c r="BB364" i="20" s="1"/>
  <c r="DL365" i="20"/>
  <c r="AK365" i="20"/>
  <c r="BR365" i="20"/>
  <c r="DZ365" i="20" s="1"/>
  <c r="CA367" i="20"/>
  <c r="CB367" i="20" s="1"/>
  <c r="AL367" i="20"/>
  <c r="BR367" i="20"/>
  <c r="DZ367" i="20" s="1"/>
  <c r="EE369" i="20"/>
  <c r="M371" i="20"/>
  <c r="EK371" i="20"/>
  <c r="CF371" i="20"/>
  <c r="CH371" i="20" s="1"/>
  <c r="EA371" i="20"/>
  <c r="FX374" i="20"/>
  <c r="BE374" i="20"/>
  <c r="U374" i="20"/>
  <c r="T365" i="20"/>
  <c r="AY365" i="20" s="1"/>
  <c r="CF365" i="20"/>
  <c r="CH365" i="20" s="1"/>
  <c r="U367" i="20"/>
  <c r="FX367" i="20"/>
  <c r="CA368" i="20"/>
  <c r="FZ368" i="20"/>
  <c r="AK369" i="20"/>
  <c r="L370" i="20"/>
  <c r="U370" i="20"/>
  <c r="AM370" i="20"/>
  <c r="BE370" i="20"/>
  <c r="DL370" i="20"/>
  <c r="DI371" i="20"/>
  <c r="AN372" i="20"/>
  <c r="AM373" i="20"/>
  <c r="BE373" i="20"/>
  <c r="X374" i="20"/>
  <c r="EL374" i="20" s="1"/>
  <c r="EK374" i="20" s="1"/>
  <c r="AX376" i="20"/>
  <c r="CM376" i="20" s="1"/>
  <c r="DI376" i="20"/>
  <c r="DL377" i="20"/>
  <c r="AM377" i="20"/>
  <c r="I378" i="20"/>
  <c r="EE380" i="20"/>
  <c r="Y380" i="20"/>
  <c r="DY381" i="20"/>
  <c r="CA383" i="20"/>
  <c r="AL383" i="20"/>
  <c r="BZ383" i="20"/>
  <c r="CH385" i="20"/>
  <c r="AN387" i="20"/>
  <c r="U387" i="20"/>
  <c r="M387" i="20"/>
  <c r="EA387" i="20"/>
  <c r="FZ387" i="20"/>
  <c r="BB387" i="20"/>
  <c r="CF387" i="20"/>
  <c r="CH387" i="20" s="1"/>
  <c r="AN390" i="20"/>
  <c r="ET377" i="20"/>
  <c r="EU377" i="20" s="1"/>
  <c r="EV377" i="20" s="1"/>
  <c r="CH379" i="20"/>
  <c r="BE380" i="20"/>
  <c r="U380" i="20"/>
  <c r="FX380" i="20"/>
  <c r="CC387" i="20"/>
  <c r="FZ364" i="20"/>
  <c r="AM366" i="20"/>
  <c r="Y369" i="20"/>
  <c r="DL369" i="20"/>
  <c r="CD370" i="20"/>
  <c r="CE370" i="20" s="1"/>
  <c r="Y372" i="20"/>
  <c r="Q373" i="20"/>
  <c r="CD373" i="20"/>
  <c r="CE373" i="20" s="1"/>
  <c r="AN376" i="20"/>
  <c r="X378" i="20"/>
  <c r="BA378" i="20"/>
  <c r="L379" i="20"/>
  <c r="DT379" i="20"/>
  <c r="BB380" i="20"/>
  <c r="AX382" i="20"/>
  <c r="CM382" i="20" s="1"/>
  <c r="DI382" i="20"/>
  <c r="X382" i="20"/>
  <c r="EL382" i="20" s="1"/>
  <c r="EK382" i="20" s="1"/>
  <c r="BA382" i="20"/>
  <c r="BB382" i="20" s="1"/>
  <c r="Y385" i="20"/>
  <c r="EL385" i="20"/>
  <c r="EK385" i="20" s="1"/>
  <c r="BE387" i="20"/>
  <c r="AN389" i="20"/>
  <c r="AX392" i="20"/>
  <c r="CM392" i="20" s="1"/>
  <c r="M392" i="20"/>
  <c r="DI392" i="20"/>
  <c r="BE367" i="20"/>
  <c r="AN369" i="20"/>
  <c r="AX371" i="20"/>
  <c r="CM371" i="20" s="1"/>
  <c r="CF372" i="20"/>
  <c r="CH372" i="20" s="1"/>
  <c r="EA372" i="20"/>
  <c r="DL375" i="20"/>
  <c r="L375" i="20"/>
  <c r="AL375" i="20"/>
  <c r="CM377" i="20"/>
  <c r="EE379" i="20"/>
  <c r="FZ379" i="20"/>
  <c r="EA379" i="20"/>
  <c r="CD379" i="20"/>
  <c r="CE379" i="20" s="1"/>
  <c r="I381" i="20"/>
  <c r="BB381" i="20" s="1"/>
  <c r="DL381" i="20"/>
  <c r="L381" i="20"/>
  <c r="AK381" i="20"/>
  <c r="DL382" i="20"/>
  <c r="AM382" i="20"/>
  <c r="AS382" i="20"/>
  <c r="AM385" i="20"/>
  <c r="AX385" i="20"/>
  <c r="CM385" i="20" s="1"/>
  <c r="AS385" i="20"/>
  <c r="CA388" i="20"/>
  <c r="BZ388" i="20"/>
  <c r="BR388" i="20"/>
  <c r="DZ388" i="20" s="1"/>
  <c r="DL389" i="20"/>
  <c r="AK389" i="20"/>
  <c r="I389" i="20"/>
  <c r="BB389" i="20" s="1"/>
  <c r="L389" i="20"/>
  <c r="EK390" i="20"/>
  <c r="AN364" i="20"/>
  <c r="X366" i="20"/>
  <c r="EL366" i="20" s="1"/>
  <c r="EK366" i="20" s="1"/>
  <c r="AN367" i="20"/>
  <c r="I369" i="20"/>
  <c r="CF370" i="20"/>
  <c r="CH370" i="20" s="1"/>
  <c r="EA370" i="20"/>
  <c r="I372" i="20"/>
  <c r="EA373" i="20"/>
  <c r="AK374" i="20"/>
  <c r="I375" i="20"/>
  <c r="BB375" i="20" s="1"/>
  <c r="Q376" i="20"/>
  <c r="AL376" i="20" s="1"/>
  <c r="CD376" i="20"/>
  <c r="FZ376" i="20"/>
  <c r="BE377" i="20"/>
  <c r="BF377" i="20" s="1"/>
  <c r="CO377" i="20" s="1"/>
  <c r="EE378" i="20"/>
  <c r="Q379" i="20"/>
  <c r="T379" i="20" s="1"/>
  <c r="EA382" i="20"/>
  <c r="CD382" i="20"/>
  <c r="CE382" i="20" s="1"/>
  <c r="FZ382" i="20"/>
  <c r="FZ384" i="20"/>
  <c r="BE384" i="20"/>
  <c r="BF384" i="20" s="1"/>
  <c r="CO384" i="20" s="1"/>
  <c r="EA384" i="20"/>
  <c r="CD384" i="20"/>
  <c r="AX388" i="20"/>
  <c r="CM388" i="20" s="1"/>
  <c r="X393" i="20"/>
  <c r="EL393" i="20" s="1"/>
  <c r="EK393" i="20" s="1"/>
  <c r="BA393" i="20"/>
  <c r="DY389" i="20"/>
  <c r="CF389" i="20"/>
  <c r="CH389" i="20" s="1"/>
  <c r="CF390" i="20"/>
  <c r="CH390" i="20" s="1"/>
  <c r="Q390" i="20"/>
  <c r="Y390" i="20"/>
  <c r="AX391" i="20"/>
  <c r="CM391" i="20" s="1"/>
  <c r="M391" i="20"/>
  <c r="DI391" i="20"/>
  <c r="T369" i="20"/>
  <c r="CF369" i="20"/>
  <c r="CH369" i="20" s="1"/>
  <c r="FZ372" i="20"/>
  <c r="L374" i="20"/>
  <c r="AM374" i="20"/>
  <c r="Y375" i="20"/>
  <c r="FZ375" i="20"/>
  <c r="DY376" i="20"/>
  <c r="CF376" i="20"/>
  <c r="CH376" i="20" s="1"/>
  <c r="EA376" i="20"/>
  <c r="CD378" i="20"/>
  <c r="CE378" i="20" s="1"/>
  <c r="AM379" i="20"/>
  <c r="BE379" i="20"/>
  <c r="EE382" i="20"/>
  <c r="BE385" i="20"/>
  <c r="U385" i="20"/>
  <c r="Q385" i="20"/>
  <c r="AL385" i="20" s="1"/>
  <c r="FX385" i="20"/>
  <c r="EE387" i="20"/>
  <c r="U369" i="20"/>
  <c r="L372" i="20"/>
  <c r="U372" i="20"/>
  <c r="DL372" i="20"/>
  <c r="BB377" i="20"/>
  <c r="DL378" i="20"/>
  <c r="L378" i="20"/>
  <c r="AK379" i="20"/>
  <c r="I379" i="20"/>
  <c r="BB379" i="20" s="1"/>
  <c r="AN379" i="20"/>
  <c r="AN380" i="20"/>
  <c r="FZ380" i="20"/>
  <c r="EA380" i="20"/>
  <c r="CF380" i="20"/>
  <c r="CH380" i="20" s="1"/>
  <c r="BE381" i="20"/>
  <c r="EA383" i="20"/>
  <c r="EB383" i="20" s="1"/>
  <c r="BB385" i="20"/>
  <c r="FZ389" i="20"/>
  <c r="CD389" i="20"/>
  <c r="CE389" i="20" s="1"/>
  <c r="L376" i="20"/>
  <c r="T377" i="20"/>
  <c r="AY377" i="20" s="1"/>
  <c r="CF377" i="20"/>
  <c r="CH377" i="20" s="1"/>
  <c r="L382" i="20"/>
  <c r="U382" i="20"/>
  <c r="FX382" i="20"/>
  <c r="T383" i="20"/>
  <c r="CF383" i="20"/>
  <c r="CH383" i="20" s="1"/>
  <c r="FZ383" i="20"/>
  <c r="FY383" i="20" s="1"/>
  <c r="GA383" i="20" s="1"/>
  <c r="CS383" i="20" s="1"/>
  <c r="FX384" i="20"/>
  <c r="U384" i="20"/>
  <c r="CH384" i="20"/>
  <c r="EE385" i="20"/>
  <c r="L386" i="20"/>
  <c r="Q387" i="20"/>
  <c r="CD387" i="20"/>
  <c r="AM389" i="20"/>
  <c r="AS390" i="20"/>
  <c r="U375" i="20"/>
  <c r="EE376" i="20"/>
  <c r="U378" i="20"/>
  <c r="AS378" i="20"/>
  <c r="FX378" i="20"/>
  <c r="AK380" i="20"/>
  <c r="U381" i="20"/>
  <c r="AM381" i="20"/>
  <c r="L384" i="20"/>
  <c r="Q384" i="20"/>
  <c r="DY387" i="20"/>
  <c r="EE390" i="20"/>
  <c r="FZ390" i="20"/>
  <c r="EA390" i="20"/>
  <c r="CD390" i="20"/>
  <c r="CE390" i="20" s="1"/>
  <c r="BB391" i="20"/>
  <c r="EE393" i="20"/>
  <c r="BE382" i="20"/>
  <c r="BF382" i="20" s="1"/>
  <c r="CO382" i="20" s="1"/>
  <c r="CF386" i="20"/>
  <c r="CH386" i="20" s="1"/>
  <c r="EA386" i="20"/>
  <c r="EE389" i="20"/>
  <c r="FX390" i="20"/>
  <c r="U390" i="20"/>
  <c r="BE390" i="20"/>
  <c r="Y377" i="20"/>
  <c r="L380" i="20"/>
  <c r="AM380" i="20"/>
  <c r="DL380" i="20"/>
  <c r="X381" i="20"/>
  <c r="AN382" i="20"/>
  <c r="AX384" i="20"/>
  <c r="CM384" i="20" s="1"/>
  <c r="Q386" i="20"/>
  <c r="AX387" i="20"/>
  <c r="CM387" i="20" s="1"/>
  <c r="FZ388" i="20"/>
  <c r="FY388" i="20" s="1"/>
  <c r="GA388" i="20" s="1"/>
  <c r="CS388" i="20" s="1"/>
  <c r="EA388" i="20"/>
  <c r="CD388" i="20"/>
  <c r="CE388" i="20" s="1"/>
  <c r="BE389" i="20"/>
  <c r="DY390" i="20"/>
  <c r="CD393" i="20"/>
  <c r="CE393" i="20" s="1"/>
  <c r="Q393" i="20"/>
  <c r="AN393" i="20"/>
  <c r="EA393" i="20"/>
  <c r="CF393" i="20"/>
  <c r="CH393" i="20" s="1"/>
  <c r="AN377" i="20"/>
  <c r="Q382" i="20"/>
  <c r="T382" i="20" s="1"/>
  <c r="DL383" i="20"/>
  <c r="AN383" i="20"/>
  <c r="CC383" i="20"/>
  <c r="CE383" i="20" s="1"/>
  <c r="X384" i="20"/>
  <c r="BA384" i="20"/>
  <c r="BB384" i="20" s="1"/>
  <c r="AM384" i="20"/>
  <c r="CC384" i="20"/>
  <c r="M385" i="20"/>
  <c r="DI385" i="20"/>
  <c r="I386" i="20"/>
  <c r="BB386" i="20" s="1"/>
  <c r="AM386" i="20"/>
  <c r="EE386" i="20"/>
  <c r="AM387" i="20"/>
  <c r="AS387" i="20"/>
  <c r="AL388" i="20"/>
  <c r="AM390" i="20"/>
  <c r="BE391" i="20"/>
  <c r="U391" i="20"/>
  <c r="T391" i="20"/>
  <c r="FX391" i="20"/>
  <c r="CD386" i="20"/>
  <c r="CE386" i="20" s="1"/>
  <c r="AN386" i="20"/>
  <c r="U386" i="20"/>
  <c r="DL388" i="20"/>
  <c r="AM388" i="20"/>
  <c r="AK390" i="20"/>
  <c r="L390" i="20"/>
  <c r="I390" i="20"/>
  <c r="DL390" i="20"/>
  <c r="CA391" i="20"/>
  <c r="FY391" i="20"/>
  <c r="BZ391" i="20"/>
  <c r="FY392" i="20"/>
  <c r="GA392" i="20" s="1"/>
  <c r="CS392" i="20" s="1"/>
  <c r="CA392" i="20"/>
  <c r="AL392" i="20"/>
  <c r="BZ392" i="20"/>
  <c r="BR392" i="20"/>
  <c r="DZ392" i="20" s="1"/>
  <c r="AN397" i="20"/>
  <c r="CF397" i="20"/>
  <c r="CH397" i="20" s="1"/>
  <c r="L387" i="20"/>
  <c r="T388" i="20"/>
  <c r="AY388" i="20" s="1"/>
  <c r="CF388" i="20"/>
  <c r="CH388" i="20" s="1"/>
  <c r="AK392" i="20"/>
  <c r="BB395" i="20"/>
  <c r="DL396" i="20"/>
  <c r="L396" i="20"/>
  <c r="AK396" i="20"/>
  <c r="FY396" i="20"/>
  <c r="BZ396" i="20"/>
  <c r="M397" i="20"/>
  <c r="EE403" i="20"/>
  <c r="BA404" i="20"/>
  <c r="BB404" i="20" s="1"/>
  <c r="X404" i="20"/>
  <c r="EE406" i="20"/>
  <c r="Q406" i="20"/>
  <c r="FY406" i="20" s="1"/>
  <c r="EA392" i="20"/>
  <c r="T392" i="20"/>
  <c r="AX394" i="20"/>
  <c r="CM394" i="20" s="1"/>
  <c r="DI394" i="20"/>
  <c r="AM395" i="20"/>
  <c r="Q397" i="20"/>
  <c r="T397" i="20" s="1"/>
  <c r="CD397" i="20"/>
  <c r="CE397" i="20" s="1"/>
  <c r="FZ397" i="20"/>
  <c r="AX398" i="20"/>
  <c r="CM398" i="20" s="1"/>
  <c r="DI398" i="20"/>
  <c r="M398" i="20"/>
  <c r="BF398" i="20" s="1"/>
  <c r="CO398" i="20" s="1"/>
  <c r="FY399" i="20"/>
  <c r="GA399" i="20" s="1"/>
  <c r="CS399" i="20" s="1"/>
  <c r="AX400" i="20"/>
  <c r="CM400" i="20" s="1"/>
  <c r="DI400" i="20"/>
  <c r="L392" i="20"/>
  <c r="U392" i="20"/>
  <c r="AM392" i="20"/>
  <c r="BE392" i="20"/>
  <c r="FZ392" i="20"/>
  <c r="BE393" i="20"/>
  <c r="AS394" i="20"/>
  <c r="X394" i="20"/>
  <c r="EL394" i="20" s="1"/>
  <c r="EK394" i="20" s="1"/>
  <c r="BA394" i="20"/>
  <c r="BB394" i="20" s="1"/>
  <c r="ET395" i="20"/>
  <c r="EU395" i="20" s="1"/>
  <c r="EV395" i="20" s="1"/>
  <c r="EE395" i="20"/>
  <c r="BE397" i="20"/>
  <c r="FX397" i="20"/>
  <c r="U397" i="20"/>
  <c r="DL398" i="20"/>
  <c r="AM398" i="20"/>
  <c r="AS398" i="20"/>
  <c r="X400" i="20"/>
  <c r="EL400" i="20" s="1"/>
  <c r="EK400" i="20" s="1"/>
  <c r="BA400" i="20"/>
  <c r="BB400" i="20" s="1"/>
  <c r="DL401" i="20"/>
  <c r="AM401" i="20"/>
  <c r="AS401" i="20"/>
  <c r="ET402" i="20"/>
  <c r="EU402" i="20" s="1"/>
  <c r="EV402" i="20" s="1"/>
  <c r="FZ385" i="20"/>
  <c r="DL387" i="20"/>
  <c r="BA390" i="20"/>
  <c r="AL391" i="20"/>
  <c r="FZ391" i="20"/>
  <c r="AN392" i="20"/>
  <c r="DY393" i="20"/>
  <c r="AN394" i="20"/>
  <c r="Y396" i="20"/>
  <c r="CD396" i="20"/>
  <c r="CE396" i="20" s="1"/>
  <c r="EK396" i="20"/>
  <c r="FZ396" i="20"/>
  <c r="DY397" i="20"/>
  <c r="AX399" i="20"/>
  <c r="CM399" i="20" s="1"/>
  <c r="M399" i="20"/>
  <c r="Q400" i="20"/>
  <c r="AL400" i="20" s="1"/>
  <c r="AN400" i="20"/>
  <c r="AN402" i="20"/>
  <c r="Q404" i="20"/>
  <c r="T404" i="20" s="1"/>
  <c r="AY404" i="20" s="1"/>
  <c r="EE404" i="20"/>
  <c r="L385" i="20"/>
  <c r="DL385" i="20"/>
  <c r="Y388" i="20"/>
  <c r="L391" i="20"/>
  <c r="DL391" i="20"/>
  <c r="CD392" i="20"/>
  <c r="CE392" i="20" s="1"/>
  <c r="DL393" i="20"/>
  <c r="L393" i="20"/>
  <c r="AK393" i="20"/>
  <c r="M394" i="20"/>
  <c r="BF394" i="20" s="1"/>
  <c r="CO394" i="20" s="1"/>
  <c r="AS395" i="20"/>
  <c r="M396" i="20"/>
  <c r="CU396" i="20"/>
  <c r="EA397" i="20"/>
  <c r="BB398" i="20"/>
  <c r="M400" i="20"/>
  <c r="BF400" i="20" s="1"/>
  <c r="CO400" i="20" s="1"/>
  <c r="BA403" i="20"/>
  <c r="X403" i="20"/>
  <c r="BI408" i="20"/>
  <c r="DT408" i="20"/>
  <c r="AN385" i="20"/>
  <c r="AN388" i="20"/>
  <c r="AN391" i="20"/>
  <c r="Y392" i="20"/>
  <c r="I393" i="20"/>
  <c r="Q394" i="20"/>
  <c r="AL394" i="20" s="1"/>
  <c r="CD394" i="20"/>
  <c r="CE394" i="20" s="1"/>
  <c r="FZ394" i="20"/>
  <c r="BE395" i="20"/>
  <c r="BF395" i="20" s="1"/>
  <c r="CO395" i="20" s="1"/>
  <c r="BA396" i="20"/>
  <c r="BB396" i="20" s="1"/>
  <c r="EA396" i="20"/>
  <c r="AX397" i="20"/>
  <c r="CM397" i="20" s="1"/>
  <c r="DI397" i="20"/>
  <c r="EE398" i="20"/>
  <c r="BI398" i="20"/>
  <c r="EA399" i="20"/>
  <c r="CF399" i="20"/>
  <c r="CH399" i="20" s="1"/>
  <c r="Y399" i="20"/>
  <c r="CD399" i="20"/>
  <c r="CE399" i="20" s="1"/>
  <c r="AN399" i="20"/>
  <c r="ET399" i="20"/>
  <c r="EU399" i="20" s="1"/>
  <c r="EV399" i="20" s="1"/>
  <c r="CE400" i="20"/>
  <c r="EE401" i="20"/>
  <c r="AS402" i="20"/>
  <c r="CF392" i="20"/>
  <c r="CH392" i="20" s="1"/>
  <c r="EE392" i="20"/>
  <c r="FX394" i="20"/>
  <c r="U394" i="20"/>
  <c r="AX395" i="20"/>
  <c r="CM395" i="20" s="1"/>
  <c r="CD395" i="20"/>
  <c r="CE395" i="20" s="1"/>
  <c r="FZ395" i="20"/>
  <c r="DL397" i="20"/>
  <c r="AM397" i="20"/>
  <c r="AS397" i="20"/>
  <c r="X397" i="20"/>
  <c r="BA397" i="20"/>
  <c r="BB397" i="20" s="1"/>
  <c r="CD398" i="20"/>
  <c r="CE398" i="20" s="1"/>
  <c r="FZ398" i="20"/>
  <c r="EA398" i="20"/>
  <c r="CD401" i="20"/>
  <c r="CE401" i="20" s="1"/>
  <c r="BE401" i="20"/>
  <c r="FZ401" i="20"/>
  <c r="FY401" i="20" s="1"/>
  <c r="AS403" i="20"/>
  <c r="DL403" i="20"/>
  <c r="AM403" i="20"/>
  <c r="L394" i="20"/>
  <c r="CF395" i="20"/>
  <c r="CH395" i="20" s="1"/>
  <c r="L397" i="20"/>
  <c r="CF398" i="20"/>
  <c r="CH398" i="20" s="1"/>
  <c r="AK399" i="20"/>
  <c r="L400" i="20"/>
  <c r="U400" i="20"/>
  <c r="AS400" i="20"/>
  <c r="FX400" i="20"/>
  <c r="T401" i="20"/>
  <c r="BR401" i="20"/>
  <c r="DZ401" i="20" s="1"/>
  <c r="EB401" i="20" s="1"/>
  <c r="EG401" i="20" s="1"/>
  <c r="FX401" i="20"/>
  <c r="T402" i="20"/>
  <c r="AY402" i="20" s="1"/>
  <c r="BH402" i="20" s="1"/>
  <c r="AL402" i="20"/>
  <c r="CA402" i="20"/>
  <c r="DL402" i="20"/>
  <c r="L403" i="20"/>
  <c r="I403" i="20"/>
  <c r="AK403" i="20"/>
  <c r="M404" i="20"/>
  <c r="BF404" i="20" s="1"/>
  <c r="CO404" i="20" s="1"/>
  <c r="DI404" i="20"/>
  <c r="Q405" i="20"/>
  <c r="AM406" i="20"/>
  <c r="AM408" i="20"/>
  <c r="AS408" i="20"/>
  <c r="CD409" i="20"/>
  <c r="CE409" i="20" s="1"/>
  <c r="FZ409" i="20"/>
  <c r="BR410" i="20"/>
  <c r="DZ410" i="20" s="1"/>
  <c r="CA410" i="20"/>
  <c r="AL410" i="20"/>
  <c r="AM412" i="20"/>
  <c r="U393" i="20"/>
  <c r="AM393" i="20"/>
  <c r="EE394" i="20"/>
  <c r="AK395" i="20"/>
  <c r="U396" i="20"/>
  <c r="AY396" i="20" s="1"/>
  <c r="AZ396" i="20" s="1"/>
  <c r="EE397" i="20"/>
  <c r="L399" i="20"/>
  <c r="U399" i="20"/>
  <c r="AM399" i="20"/>
  <c r="DL399" i="20"/>
  <c r="FZ400" i="20"/>
  <c r="M401" i="20"/>
  <c r="DI401" i="20"/>
  <c r="M402" i="20"/>
  <c r="DL407" i="20"/>
  <c r="AM407" i="20"/>
  <c r="L407" i="20"/>
  <c r="AK407" i="20"/>
  <c r="I407" i="20"/>
  <c r="BB407" i="20" s="1"/>
  <c r="EL407" i="20"/>
  <c r="EK407" i="20" s="1"/>
  <c r="Y407" i="20"/>
  <c r="EE408" i="20"/>
  <c r="AM413" i="20"/>
  <c r="AK413" i="20"/>
  <c r="L413" i="20"/>
  <c r="DL413" i="20"/>
  <c r="I413" i="20"/>
  <c r="AM400" i="20"/>
  <c r="DL400" i="20"/>
  <c r="CH409" i="20"/>
  <c r="DL395" i="20"/>
  <c r="Y402" i="20"/>
  <c r="X405" i="20"/>
  <c r="AK406" i="20"/>
  <c r="L406" i="20"/>
  <c r="I406" i="20"/>
  <c r="BB406" i="20" s="1"/>
  <c r="AN406" i="20"/>
  <c r="EL406" i="20"/>
  <c r="EK406" i="20" s="1"/>
  <c r="Y406" i="20"/>
  <c r="AX410" i="20"/>
  <c r="CM410" i="20" s="1"/>
  <c r="M410" i="20"/>
  <c r="DI410" i="20"/>
  <c r="EL411" i="20"/>
  <c r="EK411" i="20" s="1"/>
  <c r="ET411" i="20" s="1"/>
  <c r="Y411" i="20"/>
  <c r="FG411" i="20"/>
  <c r="CU411" i="20"/>
  <c r="AK412" i="20"/>
  <c r="L412" i="20"/>
  <c r="I412" i="20"/>
  <c r="AN395" i="20"/>
  <c r="AN398" i="20"/>
  <c r="FX403" i="20"/>
  <c r="U403" i="20"/>
  <c r="CD403" i="20"/>
  <c r="CC403" i="20"/>
  <c r="EE407" i="20"/>
  <c r="Q407" i="20"/>
  <c r="T407" i="20" s="1"/>
  <c r="AX409" i="20"/>
  <c r="CM409" i="20" s="1"/>
  <c r="DI409" i="20"/>
  <c r="M409" i="20"/>
  <c r="AS410" i="20"/>
  <c r="EE410" i="20"/>
  <c r="BZ410" i="20"/>
  <c r="DL410" i="20"/>
  <c r="EE413" i="20"/>
  <c r="Q413" i="20"/>
  <c r="AL413" i="20" s="1"/>
  <c r="BR402" i="20"/>
  <c r="DZ402" i="20" s="1"/>
  <c r="EB402" i="20" s="1"/>
  <c r="CH407" i="20"/>
  <c r="AM409" i="20"/>
  <c r="AS409" i="20"/>
  <c r="EE411" i="20"/>
  <c r="Q411" i="20"/>
  <c r="T411" i="20" s="1"/>
  <c r="ET422" i="20"/>
  <c r="EU422" i="20" s="1"/>
  <c r="EV422" i="20" s="1"/>
  <c r="AN408" i="20"/>
  <c r="DL408" i="20"/>
  <c r="L408" i="20"/>
  <c r="AL408" i="20"/>
  <c r="I408" i="20"/>
  <c r="EE412" i="20"/>
  <c r="Q412" i="20"/>
  <c r="CC406" i="20"/>
  <c r="BA408" i="20"/>
  <c r="BR408" i="20"/>
  <c r="DZ408" i="20" s="1"/>
  <c r="EB408" i="20" s="1"/>
  <c r="EG408" i="20" s="1"/>
  <c r="FX409" i="20"/>
  <c r="T410" i="20"/>
  <c r="FZ410" i="20"/>
  <c r="M411" i="20"/>
  <c r="BF411" i="20" s="1"/>
  <c r="CO411" i="20" s="1"/>
  <c r="Y412" i="20"/>
  <c r="AN412" i="20"/>
  <c r="CC412" i="20"/>
  <c r="CE412" i="20" s="1"/>
  <c r="Y413" i="20"/>
  <c r="AM414" i="20"/>
  <c r="Q415" i="20"/>
  <c r="AL415" i="20" s="1"/>
  <c r="AN415" i="20"/>
  <c r="CF415" i="20"/>
  <c r="CH415" i="20" s="1"/>
  <c r="BR417" i="20"/>
  <c r="DZ417" i="20" s="1"/>
  <c r="EB417" i="20" s="1"/>
  <c r="EH417" i="20" s="1"/>
  <c r="CA418" i="20"/>
  <c r="BZ418" i="20"/>
  <c r="BI418" i="20"/>
  <c r="DL421" i="20"/>
  <c r="AM421" i="20"/>
  <c r="BB421" i="20"/>
  <c r="BB422" i="20"/>
  <c r="CD423" i="20"/>
  <c r="CE423" i="20" s="1"/>
  <c r="Q423" i="20"/>
  <c r="T423" i="20" s="1"/>
  <c r="EA423" i="20"/>
  <c r="CF423" i="20"/>
  <c r="CH423" i="20" s="1"/>
  <c r="BE423" i="20"/>
  <c r="U423" i="20"/>
  <c r="CD414" i="20"/>
  <c r="CE414" i="20" s="1"/>
  <c r="Y414" i="20"/>
  <c r="U414" i="20"/>
  <c r="CD418" i="20"/>
  <c r="CE418" i="20" s="1"/>
  <c r="FZ418" i="20"/>
  <c r="FY418" i="20" s="1"/>
  <c r="GA418" i="20" s="1"/>
  <c r="CS418" i="20" s="1"/>
  <c r="EA418" i="20"/>
  <c r="EB418" i="20" s="1"/>
  <c r="EG418" i="20" s="1"/>
  <c r="CF422" i="20"/>
  <c r="CH422" i="20" s="1"/>
  <c r="EA422" i="20"/>
  <c r="Y422" i="20"/>
  <c r="CD422" i="20"/>
  <c r="CE422" i="20" s="1"/>
  <c r="DY422" i="20"/>
  <c r="AN422" i="20"/>
  <c r="FZ422" i="20"/>
  <c r="DL422" i="20"/>
  <c r="AM422" i="20"/>
  <c r="U422" i="20"/>
  <c r="L422" i="20"/>
  <c r="AN404" i="20"/>
  <c r="FX407" i="20"/>
  <c r="T408" i="20"/>
  <c r="FZ408" i="20"/>
  <c r="EE409" i="20"/>
  <c r="AN410" i="20"/>
  <c r="EK414" i="20"/>
  <c r="EE415" i="20"/>
  <c r="CD415" i="20"/>
  <c r="CE415" i="20" s="1"/>
  <c r="FZ415" i="20"/>
  <c r="EA415" i="20"/>
  <c r="FY416" i="20"/>
  <c r="BZ416" i="20"/>
  <c r="AL416" i="20"/>
  <c r="EE418" i="20"/>
  <c r="BE420" i="20"/>
  <c r="CD421" i="20"/>
  <c r="CE421" i="20" s="1"/>
  <c r="FZ421" i="20"/>
  <c r="FY421" i="20" s="1"/>
  <c r="EA421" i="20"/>
  <c r="EB421" i="20" s="1"/>
  <c r="EE424" i="20"/>
  <c r="Q424" i="20"/>
  <c r="CD404" i="20"/>
  <c r="CE404" i="20" s="1"/>
  <c r="CF405" i="20"/>
  <c r="CH405" i="20" s="1"/>
  <c r="EA405" i="20"/>
  <c r="CF406" i="20"/>
  <c r="CH406" i="20" s="1"/>
  <c r="EA406" i="20"/>
  <c r="U408" i="20"/>
  <c r="DL409" i="20"/>
  <c r="X410" i="20"/>
  <c r="EL410" i="20" s="1"/>
  <c r="EK410" i="20" s="1"/>
  <c r="CD410" i="20"/>
  <c r="CE410" i="20" s="1"/>
  <c r="CF411" i="20"/>
  <c r="CH411" i="20" s="1"/>
  <c r="EA411" i="20"/>
  <c r="CF412" i="20"/>
  <c r="CH412" i="20" s="1"/>
  <c r="EA412" i="20"/>
  <c r="EA413" i="20"/>
  <c r="AS413" i="20"/>
  <c r="CD413" i="20"/>
  <c r="CE413" i="20" s="1"/>
  <c r="FX413" i="20"/>
  <c r="BE415" i="20"/>
  <c r="BE418" i="20"/>
  <c r="Q419" i="20"/>
  <c r="T419" i="20" s="1"/>
  <c r="FZ419" i="20"/>
  <c r="DY420" i="20"/>
  <c r="CF420" i="20"/>
  <c r="CH420" i="20" s="1"/>
  <c r="CA421" i="20"/>
  <c r="BZ421" i="20"/>
  <c r="BE422" i="20"/>
  <c r="CE424" i="20"/>
  <c r="FX406" i="20"/>
  <c r="FZ407" i="20"/>
  <c r="Y409" i="20"/>
  <c r="AN409" i="20"/>
  <c r="FX412" i="20"/>
  <c r="CF413" i="20"/>
  <c r="CH413" i="20" s="1"/>
  <c r="AN413" i="20"/>
  <c r="BE413" i="20"/>
  <c r="Q414" i="20"/>
  <c r="AL414" i="20" s="1"/>
  <c r="FZ414" i="20"/>
  <c r="DY415" i="20"/>
  <c r="AX416" i="20"/>
  <c r="CM416" i="20" s="1"/>
  <c r="M416" i="20"/>
  <c r="FZ423" i="20"/>
  <c r="U407" i="20"/>
  <c r="CD408" i="20"/>
  <c r="CE408" i="20" s="1"/>
  <c r="CF410" i="20"/>
  <c r="CH410" i="20" s="1"/>
  <c r="EA410" i="20"/>
  <c r="FZ413" i="20"/>
  <c r="BE414" i="20"/>
  <c r="CF414" i="20"/>
  <c r="CH414" i="20" s="1"/>
  <c r="BB416" i="20"/>
  <c r="X417" i="20"/>
  <c r="EL417" i="20" s="1"/>
  <c r="EK417" i="20" s="1"/>
  <c r="BA417" i="20"/>
  <c r="BB417" i="20" s="1"/>
  <c r="EL418" i="20"/>
  <c r="EK418" i="20" s="1"/>
  <c r="AX419" i="20"/>
  <c r="CM419" i="20" s="1"/>
  <c r="M419" i="20"/>
  <c r="Q422" i="20"/>
  <c r="T422" i="20" s="1"/>
  <c r="AN407" i="20"/>
  <c r="DY414" i="20"/>
  <c r="BA414" i="20"/>
  <c r="AX415" i="20"/>
  <c r="CM415" i="20" s="1"/>
  <c r="DI415" i="20"/>
  <c r="M415" i="20"/>
  <c r="U415" i="20"/>
  <c r="EA416" i="20"/>
  <c r="CF416" i="20"/>
  <c r="CH416" i="20" s="1"/>
  <c r="DY416" i="20"/>
  <c r="CD416" i="20"/>
  <c r="CE416" i="20" s="1"/>
  <c r="AN416" i="20"/>
  <c r="L416" i="20"/>
  <c r="CD417" i="20"/>
  <c r="CE417" i="20" s="1"/>
  <c r="AN417" i="20"/>
  <c r="FZ417" i="20"/>
  <c r="U417" i="20"/>
  <c r="AX418" i="20"/>
  <c r="CM418" i="20" s="1"/>
  <c r="DI418" i="20"/>
  <c r="M418" i="20"/>
  <c r="BB419" i="20"/>
  <c r="AM420" i="20"/>
  <c r="X420" i="20"/>
  <c r="EL420" i="20" s="1"/>
  <c r="EK420" i="20" s="1"/>
  <c r="BA420" i="20"/>
  <c r="AS421" i="20"/>
  <c r="EE422" i="20"/>
  <c r="I414" i="20"/>
  <c r="DL414" i="20"/>
  <c r="AK414" i="20"/>
  <c r="AS415" i="20"/>
  <c r="DL415" i="20"/>
  <c r="DL418" i="20"/>
  <c r="AM418" i="20"/>
  <c r="BB418" i="20"/>
  <c r="EA419" i="20"/>
  <c r="CF419" i="20"/>
  <c r="CH419" i="20" s="1"/>
  <c r="Y419" i="20"/>
  <c r="DY419" i="20"/>
  <c r="CD419" i="20"/>
  <c r="CE419" i="20" s="1"/>
  <c r="AN419" i="20"/>
  <c r="L419" i="20"/>
  <c r="EK419" i="20"/>
  <c r="ET419" i="20" s="1"/>
  <c r="CD420" i="20"/>
  <c r="CE420" i="20" s="1"/>
  <c r="Q420" i="20"/>
  <c r="AN420" i="20"/>
  <c r="FZ420" i="20"/>
  <c r="U420" i="20"/>
  <c r="AX421" i="20"/>
  <c r="CM421" i="20" s="1"/>
  <c r="DI421" i="20"/>
  <c r="M421" i="20"/>
  <c r="AX422" i="20"/>
  <c r="CM422" i="20" s="1"/>
  <c r="M422" i="20"/>
  <c r="X423" i="20"/>
  <c r="EL423" i="20" s="1"/>
  <c r="EK423" i="20" s="1"/>
  <c r="BA423" i="20"/>
  <c r="L417" i="20"/>
  <c r="T418" i="20"/>
  <c r="CF418" i="20"/>
  <c r="CH418" i="20" s="1"/>
  <c r="L420" i="20"/>
  <c r="T421" i="20"/>
  <c r="AY421" i="20" s="1"/>
  <c r="AZ421" i="20" s="1"/>
  <c r="CF421" i="20"/>
  <c r="CH421" i="20" s="1"/>
  <c r="FX422" i="20"/>
  <c r="L423" i="20"/>
  <c r="U424" i="20"/>
  <c r="M425" i="20"/>
  <c r="DL426" i="20"/>
  <c r="L426" i="20"/>
  <c r="I426" i="20"/>
  <c r="EL426" i="20"/>
  <c r="EK426" i="20" s="1"/>
  <c r="Y426" i="20"/>
  <c r="AM427" i="20"/>
  <c r="DY428" i="20"/>
  <c r="FX428" i="20"/>
  <c r="CC429" i="20"/>
  <c r="CE429" i="20" s="1"/>
  <c r="FY429" i="20"/>
  <c r="CH432" i="20"/>
  <c r="AM426" i="20"/>
  <c r="AS426" i="20"/>
  <c r="Q428" i="20"/>
  <c r="T428" i="20" s="1"/>
  <c r="CA429" i="20"/>
  <c r="AL429" i="20"/>
  <c r="BZ429" i="20"/>
  <c r="BR429" i="20"/>
  <c r="DZ429" i="20" s="1"/>
  <c r="EB429" i="20" s="1"/>
  <c r="EE414" i="20"/>
  <c r="AK415" i="20"/>
  <c r="U416" i="20"/>
  <c r="AM416" i="20"/>
  <c r="DL416" i="20"/>
  <c r="AL417" i="20"/>
  <c r="EE417" i="20"/>
  <c r="AK418" i="20"/>
  <c r="U419" i="20"/>
  <c r="AM419" i="20"/>
  <c r="DL419" i="20"/>
  <c r="AK421" i="20"/>
  <c r="DL423" i="20"/>
  <c r="FX425" i="20"/>
  <c r="U425" i="20"/>
  <c r="BE425" i="20"/>
  <c r="AK426" i="20"/>
  <c r="L429" i="20"/>
  <c r="CF429" i="20"/>
  <c r="CH429" i="20" s="1"/>
  <c r="DY429" i="20"/>
  <c r="FX431" i="20"/>
  <c r="U431" i="20"/>
  <c r="BE431" i="20"/>
  <c r="CD431" i="20"/>
  <c r="CE431" i="20" s="1"/>
  <c r="DL417" i="20"/>
  <c r="AL418" i="20"/>
  <c r="DL420" i="20"/>
  <c r="AL421" i="20"/>
  <c r="EE421" i="20"/>
  <c r="BE424" i="20"/>
  <c r="DL424" i="20"/>
  <c r="EE426" i="20"/>
  <c r="Q426" i="20"/>
  <c r="T426" i="20" s="1"/>
  <c r="EE427" i="20"/>
  <c r="AX428" i="20"/>
  <c r="CM428" i="20" s="1"/>
  <c r="M428" i="20"/>
  <c r="DI428" i="20"/>
  <c r="DI429" i="20"/>
  <c r="M429" i="20"/>
  <c r="T429" i="20"/>
  <c r="AN430" i="20"/>
  <c r="DL430" i="20"/>
  <c r="L430" i="20"/>
  <c r="I430" i="20"/>
  <c r="DY423" i="20"/>
  <c r="FZ427" i="20"/>
  <c r="EA427" i="20"/>
  <c r="CD427" i="20"/>
  <c r="CE427" i="20" s="1"/>
  <c r="DL429" i="20"/>
  <c r="AM430" i="20"/>
  <c r="AS430" i="20"/>
  <c r="Q431" i="20"/>
  <c r="T431" i="20" s="1"/>
  <c r="AN418" i="20"/>
  <c r="AN421" i="20"/>
  <c r="I423" i="20"/>
  <c r="EE423" i="20"/>
  <c r="AN424" i="20"/>
  <c r="CD428" i="20"/>
  <c r="CE428" i="20" s="1"/>
  <c r="AN428" i="20"/>
  <c r="FZ428" i="20"/>
  <c r="EE428" i="20"/>
  <c r="EA428" i="20"/>
  <c r="CF428" i="20"/>
  <c r="CH428" i="20" s="1"/>
  <c r="Y428" i="20"/>
  <c r="AN429" i="20"/>
  <c r="Y429" i="20"/>
  <c r="AX429" i="20"/>
  <c r="CM429" i="20" s="1"/>
  <c r="DL435" i="20"/>
  <c r="AS435" i="20"/>
  <c r="AM435" i="20"/>
  <c r="BI435" i="20"/>
  <c r="DT435" i="20"/>
  <c r="AM423" i="20"/>
  <c r="M424" i="20"/>
  <c r="X424" i="20"/>
  <c r="AK425" i="20"/>
  <c r="EE429" i="20"/>
  <c r="EE430" i="20"/>
  <c r="AK430" i="20"/>
  <c r="X425" i="20"/>
  <c r="BA425" i="20"/>
  <c r="BB425" i="20" s="1"/>
  <c r="DL427" i="20"/>
  <c r="AK427" i="20"/>
  <c r="I427" i="20"/>
  <c r="BB427" i="20" s="1"/>
  <c r="AN427" i="20"/>
  <c r="BE428" i="20"/>
  <c r="U428" i="20"/>
  <c r="Q430" i="20"/>
  <c r="AL430" i="20" s="1"/>
  <c r="BB431" i="20"/>
  <c r="CC433" i="20"/>
  <c r="I436" i="20"/>
  <c r="DL436" i="20"/>
  <c r="AK436" i="20"/>
  <c r="L436" i="20"/>
  <c r="AL436" i="20"/>
  <c r="DM465" i="20"/>
  <c r="Q442" i="20"/>
  <c r="T442" i="20" s="1"/>
  <c r="EA442" i="20"/>
  <c r="CF442" i="20"/>
  <c r="CH442" i="20" s="1"/>
  <c r="CD442" i="20"/>
  <c r="CE442" i="20" s="1"/>
  <c r="AN442" i="20"/>
  <c r="FZ442" i="20"/>
  <c r="L442" i="20"/>
  <c r="Q444" i="20"/>
  <c r="T444" i="20" s="1"/>
  <c r="EE444" i="20"/>
  <c r="EA444" i="20"/>
  <c r="FZ444" i="20"/>
  <c r="CD444" i="20"/>
  <c r="CE444" i="20" s="1"/>
  <c r="L424" i="20"/>
  <c r="FX426" i="20"/>
  <c r="T427" i="20"/>
  <c r="CF427" i="20"/>
  <c r="CH427" i="20" s="1"/>
  <c r="AK428" i="20"/>
  <c r="U429" i="20"/>
  <c r="AS429" i="20"/>
  <c r="BA429" i="20"/>
  <c r="BB429" i="20" s="1"/>
  <c r="FX429" i="20"/>
  <c r="DL431" i="20"/>
  <c r="AK432" i="20"/>
  <c r="EA433" i="20"/>
  <c r="DL434" i="20"/>
  <c r="Q434" i="20"/>
  <c r="T434" i="20" s="1"/>
  <c r="FZ435" i="20"/>
  <c r="CD435" i="20"/>
  <c r="CE435" i="20" s="1"/>
  <c r="FX445" i="20"/>
  <c r="U445" i="20"/>
  <c r="Q445" i="20"/>
  <c r="T445" i="20" s="1"/>
  <c r="BE445" i="20"/>
  <c r="CA432" i="20"/>
  <c r="FY432" i="20"/>
  <c r="GA432" i="20" s="1"/>
  <c r="CS432" i="20" s="1"/>
  <c r="AX432" i="20"/>
  <c r="CM432" i="20" s="1"/>
  <c r="BR432" i="20"/>
  <c r="DZ432" i="20" s="1"/>
  <c r="EB432" i="20" s="1"/>
  <c r="EE433" i="20"/>
  <c r="EE435" i="20"/>
  <c r="Q435" i="20"/>
  <c r="T435" i="20" s="1"/>
  <c r="EA436" i="20"/>
  <c r="CD436" i="20"/>
  <c r="CE436" i="20" s="1"/>
  <c r="FZ436" i="20"/>
  <c r="I437" i="20"/>
  <c r="BB437" i="20" s="1"/>
  <c r="GA437" i="20"/>
  <c r="CS437" i="20" s="1"/>
  <c r="DL437" i="20"/>
  <c r="AK437" i="20"/>
  <c r="L437" i="20"/>
  <c r="AL437" i="20"/>
  <c r="FZ426" i="20"/>
  <c r="L428" i="20"/>
  <c r="AM428" i="20"/>
  <c r="DL428" i="20"/>
  <c r="AN431" i="20"/>
  <c r="BZ432" i="20"/>
  <c r="AS433" i="20"/>
  <c r="DL433" i="20"/>
  <c r="AM434" i="20"/>
  <c r="FX435" i="20"/>
  <c r="AN435" i="20"/>
  <c r="EE436" i="20"/>
  <c r="BE438" i="20"/>
  <c r="U438" i="20"/>
  <c r="FX438" i="20"/>
  <c r="EE442" i="20"/>
  <c r="U426" i="20"/>
  <c r="AM429" i="20"/>
  <c r="AX431" i="20"/>
  <c r="CM431" i="20" s="1"/>
  <c r="EE431" i="20"/>
  <c r="L433" i="20"/>
  <c r="AN433" i="20"/>
  <c r="Y433" i="20"/>
  <c r="BI441" i="20"/>
  <c r="AX444" i="20"/>
  <c r="CM444" i="20" s="1"/>
  <c r="M444" i="20"/>
  <c r="DI444" i="20"/>
  <c r="AN426" i="20"/>
  <c r="Y430" i="20"/>
  <c r="Y431" i="20"/>
  <c r="AM431" i="20"/>
  <c r="FY431" i="20"/>
  <c r="L432" i="20"/>
  <c r="Q433" i="20"/>
  <c r="M434" i="20"/>
  <c r="AX434" i="20"/>
  <c r="CM434" i="20" s="1"/>
  <c r="CF435" i="20"/>
  <c r="CH435" i="20" s="1"/>
  <c r="AN436" i="20"/>
  <c r="BZ437" i="20"/>
  <c r="CA437" i="20"/>
  <c r="BR437" i="20"/>
  <c r="DZ437" i="20" s="1"/>
  <c r="CD437" i="20"/>
  <c r="CE437" i="20" s="1"/>
  <c r="EA437" i="20"/>
  <c r="CH439" i="20"/>
  <c r="DL442" i="20"/>
  <c r="AS444" i="20"/>
  <c r="AM444" i="20"/>
  <c r="FX433" i="20"/>
  <c r="U433" i="20"/>
  <c r="FZ433" i="20"/>
  <c r="AS446" i="20"/>
  <c r="DL438" i="20"/>
  <c r="Q438" i="20"/>
  <c r="AN438" i="20"/>
  <c r="EE438" i="20"/>
  <c r="I439" i="20"/>
  <c r="BZ440" i="20"/>
  <c r="EA440" i="20"/>
  <c r="CD440" i="20"/>
  <c r="CE440" i="20" s="1"/>
  <c r="FZ440" i="20"/>
  <c r="FY440" i="20" s="1"/>
  <c r="BZ441" i="20"/>
  <c r="CD441" i="20"/>
  <c r="CE441" i="20" s="1"/>
  <c r="FZ441" i="20"/>
  <c r="FY441" i="20" s="1"/>
  <c r="GA441" i="20" s="1"/>
  <c r="CS441" i="20" s="1"/>
  <c r="EA441" i="20"/>
  <c r="AX442" i="20"/>
  <c r="CM442" i="20" s="1"/>
  <c r="BB442" i="20"/>
  <c r="AK443" i="20"/>
  <c r="I443" i="20"/>
  <c r="BB443" i="20" s="1"/>
  <c r="CH444" i="20"/>
  <c r="EL444" i="20"/>
  <c r="EK444" i="20" s="1"/>
  <c r="Y444" i="20"/>
  <c r="EA447" i="20"/>
  <c r="CF447" i="20"/>
  <c r="CH447" i="20" s="1"/>
  <c r="CD447" i="20"/>
  <c r="CE447" i="20" s="1"/>
  <c r="EE447" i="20"/>
  <c r="AN447" i="20"/>
  <c r="Q447" i="20"/>
  <c r="T447" i="20" s="1"/>
  <c r="FZ447" i="20"/>
  <c r="Y447" i="20"/>
  <c r="Y432" i="20"/>
  <c r="I433" i="20"/>
  <c r="CF434" i="20"/>
  <c r="CH434" i="20" s="1"/>
  <c r="EA434" i="20"/>
  <c r="I435" i="20"/>
  <c r="AK435" i="20"/>
  <c r="AX438" i="20"/>
  <c r="CM438" i="20" s="1"/>
  <c r="T440" i="20"/>
  <c r="AY440" i="20" s="1"/>
  <c r="BE441" i="20"/>
  <c r="BB444" i="20"/>
  <c r="BB447" i="20"/>
  <c r="AM436" i="20"/>
  <c r="AM437" i="20"/>
  <c r="EA438" i="20"/>
  <c r="CF438" i="20"/>
  <c r="CH438" i="20" s="1"/>
  <c r="CD438" i="20"/>
  <c r="CE438" i="20" s="1"/>
  <c r="FZ438" i="20"/>
  <c r="AS445" i="20"/>
  <c r="AM445" i="20"/>
  <c r="DL445" i="20"/>
  <c r="DM474" i="20"/>
  <c r="L435" i="20"/>
  <c r="BA435" i="20"/>
  <c r="CH436" i="20"/>
  <c r="AS436" i="20"/>
  <c r="AS437" i="20"/>
  <c r="M438" i="20"/>
  <c r="Y438" i="20"/>
  <c r="Q439" i="20"/>
  <c r="EE439" i="20"/>
  <c r="AK439" i="20"/>
  <c r="I440" i="20"/>
  <c r="DL440" i="20"/>
  <c r="AK440" i="20"/>
  <c r="AN440" i="20"/>
  <c r="EE440" i="20"/>
  <c r="I441" i="20"/>
  <c r="BB441" i="20" s="1"/>
  <c r="DL441" i="20"/>
  <c r="AK441" i="20"/>
  <c r="AN441" i="20"/>
  <c r="EE441" i="20"/>
  <c r="BE442" i="20"/>
  <c r="U442" i="20"/>
  <c r="FX442" i="20"/>
  <c r="BZ443" i="20"/>
  <c r="AM443" i="20"/>
  <c r="BB445" i="20"/>
  <c r="CC448" i="20"/>
  <c r="L434" i="20"/>
  <c r="U434" i="20"/>
  <c r="AM439" i="20"/>
  <c r="AM440" i="20"/>
  <c r="AM441" i="20"/>
  <c r="DY442" i="20"/>
  <c r="CH443" i="20"/>
  <c r="DM471" i="20"/>
  <c r="DM472" i="20"/>
  <c r="BZ448" i="20"/>
  <c r="FX436" i="20"/>
  <c r="T437" i="20"/>
  <c r="AY437" i="20" s="1"/>
  <c r="CF437" i="20"/>
  <c r="CH437" i="20" s="1"/>
  <c r="AK438" i="20"/>
  <c r="FZ439" i="20"/>
  <c r="FX440" i="20"/>
  <c r="T441" i="20"/>
  <c r="CF441" i="20"/>
  <c r="CH441" i="20" s="1"/>
  <c r="EE443" i="20"/>
  <c r="FZ443" i="20"/>
  <c r="AK444" i="20"/>
  <c r="EA445" i="20"/>
  <c r="I446" i="20"/>
  <c r="AN446" i="20"/>
  <c r="DL446" i="20"/>
  <c r="AM447" i="20"/>
  <c r="L448" i="20"/>
  <c r="AN448" i="20"/>
  <c r="X448" i="20"/>
  <c r="BA448" i="20"/>
  <c r="BB448" i="20" s="1"/>
  <c r="AM448" i="20"/>
  <c r="FX449" i="20"/>
  <c r="CB466" i="20"/>
  <c r="EL475" i="20"/>
  <c r="EK475" i="20" s="1"/>
  <c r="ET475" i="20" s="1"/>
  <c r="Y475" i="20"/>
  <c r="EL465" i="20"/>
  <c r="EK465" i="20" s="1"/>
  <c r="Y465" i="20"/>
  <c r="X470" i="20"/>
  <c r="BA470" i="20"/>
  <c r="BB470" i="20" s="1"/>
  <c r="DM473" i="20"/>
  <c r="DM476" i="20"/>
  <c r="Y436" i="20"/>
  <c r="BE436" i="20"/>
  <c r="L438" i="20"/>
  <c r="AM438" i="20"/>
  <c r="AN439" i="20"/>
  <c r="Y440" i="20"/>
  <c r="BE440" i="20"/>
  <c r="AM442" i="20"/>
  <c r="AN443" i="20"/>
  <c r="BE444" i="20"/>
  <c r="DL444" i="20"/>
  <c r="AN445" i="20"/>
  <c r="AX445" i="20"/>
  <c r="CM445" i="20" s="1"/>
  <c r="EE448" i="20"/>
  <c r="L449" i="20"/>
  <c r="AN449" i="20"/>
  <c r="BA449" i="20"/>
  <c r="BB449" i="20" s="1"/>
  <c r="X449" i="20"/>
  <c r="AM449" i="20"/>
  <c r="BE449" i="20"/>
  <c r="AQ467" i="20"/>
  <c r="AR467" i="20" s="1"/>
  <c r="X468" i="20"/>
  <c r="BA468" i="20"/>
  <c r="BB468" i="20" s="1"/>
  <c r="DM475" i="20"/>
  <c r="M442" i="20"/>
  <c r="AN444" i="20"/>
  <c r="Y439" i="20"/>
  <c r="X442" i="20"/>
  <c r="EL442" i="20" s="1"/>
  <c r="EK442" i="20" s="1"/>
  <c r="Y443" i="20"/>
  <c r="EE445" i="20"/>
  <c r="Y445" i="20"/>
  <c r="CD445" i="20"/>
  <c r="CE445" i="20" s="1"/>
  <c r="EE446" i="20"/>
  <c r="Q446" i="20"/>
  <c r="BE447" i="20"/>
  <c r="BF447" i="20" s="1"/>
  <c r="CO447" i="20" s="1"/>
  <c r="U447" i="20"/>
  <c r="FX448" i="20"/>
  <c r="CH466" i="20"/>
  <c r="CI469" i="20"/>
  <c r="CI467" i="20"/>
  <c r="DM468" i="20"/>
  <c r="EL472" i="20"/>
  <c r="EK472" i="20" s="1"/>
  <c r="ET472" i="20" s="1"/>
  <c r="Y472" i="20"/>
  <c r="CF445" i="20"/>
  <c r="CH445" i="20" s="1"/>
  <c r="AX448" i="20"/>
  <c r="CM448" i="20" s="1"/>
  <c r="CD448" i="20"/>
  <c r="DY448" i="20"/>
  <c r="FZ449" i="20"/>
  <c r="AZ465" i="20"/>
  <c r="AX447" i="20"/>
  <c r="CM447" i="20" s="1"/>
  <c r="DI447" i="20"/>
  <c r="Q449" i="20"/>
  <c r="T449" i="20" s="1"/>
  <c r="CC449" i="20"/>
  <c r="CD449" i="20"/>
  <c r="EH466" i="20"/>
  <c r="AY470" i="20"/>
  <c r="BH470" i="20" s="1"/>
  <c r="AQ471" i="20"/>
  <c r="AR471" i="20" s="1"/>
  <c r="DM477" i="20"/>
  <c r="AY468" i="20"/>
  <c r="BH468" i="20" s="1"/>
  <c r="X471" i="20"/>
  <c r="BA471" i="20"/>
  <c r="BB471" i="20" s="1"/>
  <c r="ET476" i="20"/>
  <c r="EU476" i="20" s="1"/>
  <c r="EV476" i="20" s="1"/>
  <c r="DY449" i="20"/>
  <c r="EA449" i="20"/>
  <c r="X466" i="20"/>
  <c r="BA466" i="20"/>
  <c r="BB466" i="20" s="1"/>
  <c r="EB467" i="20"/>
  <c r="EH467" i="20" s="1"/>
  <c r="EL474" i="20"/>
  <c r="EK474" i="20" s="1"/>
  <c r="ET474" i="20" s="1"/>
  <c r="Y474" i="20"/>
  <c r="EE449" i="20"/>
  <c r="X467" i="20"/>
  <c r="BA467" i="20"/>
  <c r="BB467" i="20" s="1"/>
  <c r="EB469" i="20"/>
  <c r="EH469" i="20" s="1"/>
  <c r="L447" i="20"/>
  <c r="DL447" i="20"/>
  <c r="DI466" i="20"/>
  <c r="M466" i="20"/>
  <c r="BF466" i="20" s="1"/>
  <c r="X469" i="20"/>
  <c r="BA469" i="20"/>
  <c r="BB469" i="20" s="1"/>
  <c r="BC469" i="20" s="1"/>
  <c r="CB472" i="20"/>
  <c r="EL473" i="20"/>
  <c r="EK473" i="20" s="1"/>
  <c r="Y473" i="20"/>
  <c r="AZ472" i="20"/>
  <c r="AZ474" i="20"/>
  <c r="BC474" i="20" s="1"/>
  <c r="AZ476" i="20"/>
  <c r="DM479" i="20"/>
  <c r="AY483" i="20"/>
  <c r="AZ483" i="20" s="1"/>
  <c r="M467" i="20"/>
  <c r="BF467" i="20" s="1"/>
  <c r="M468" i="20"/>
  <c r="BF468" i="20" s="1"/>
  <c r="M469" i="20"/>
  <c r="BF469" i="20" s="1"/>
  <c r="M470" i="20"/>
  <c r="BF470" i="20" s="1"/>
  <c r="M471" i="20"/>
  <c r="BF471" i="20" s="1"/>
  <c r="BH472" i="20"/>
  <c r="BH474" i="20"/>
  <c r="BH476" i="20"/>
  <c r="DU479" i="20"/>
  <c r="AY481" i="20"/>
  <c r="BH481" i="20" s="1"/>
  <c r="BH487" i="20"/>
  <c r="BA477" i="20"/>
  <c r="BB477" i="20" s="1"/>
  <c r="X488" i="20"/>
  <c r="BH488" i="20"/>
  <c r="BA488" i="20"/>
  <c r="BB488" i="20" s="1"/>
  <c r="BC488" i="20" s="1"/>
  <c r="Y476" i="20"/>
  <c r="X477" i="20"/>
  <c r="DI478" i="20"/>
  <c r="M478" i="20"/>
  <c r="BF478" i="20" s="1"/>
  <c r="AX478" i="20"/>
  <c r="X480" i="20"/>
  <c r="BA480" i="20"/>
  <c r="BB480" i="20" s="1"/>
  <c r="ED481" i="20"/>
  <c r="DI482" i="20"/>
  <c r="M482" i="20"/>
  <c r="BF482" i="20" s="1"/>
  <c r="AX482" i="20"/>
  <c r="ET489" i="20"/>
  <c r="EU489" i="20" s="1"/>
  <c r="EV489" i="20" s="1"/>
  <c r="CI478" i="20"/>
  <c r="CI483" i="20"/>
  <c r="AZ485" i="20"/>
  <c r="BH485" i="20"/>
  <c r="BJ485" i="20" s="1"/>
  <c r="CE477" i="20"/>
  <c r="CI477" i="20" s="1"/>
  <c r="DM480" i="20"/>
  <c r="BH482" i="20"/>
  <c r="CI481" i="20"/>
  <c r="AZ482" i="20"/>
  <c r="DM488" i="20"/>
  <c r="CG492" i="20"/>
  <c r="CH492" i="20" s="1"/>
  <c r="CH486" i="20"/>
  <c r="CI486" i="20" s="1"/>
  <c r="DM494" i="20"/>
  <c r="DI479" i="20"/>
  <c r="M479" i="20"/>
  <c r="BF479" i="20" s="1"/>
  <c r="X481" i="20"/>
  <c r="BA481" i="20"/>
  <c r="BB481" i="20" s="1"/>
  <c r="X483" i="20"/>
  <c r="BA483" i="20"/>
  <c r="BB483" i="20" s="1"/>
  <c r="DI484" i="20"/>
  <c r="M484" i="20"/>
  <c r="BF484" i="20" s="1"/>
  <c r="DT487" i="20"/>
  <c r="BI487" i="20"/>
  <c r="DM489" i="20"/>
  <c r="DI485" i="20"/>
  <c r="AX485" i="20"/>
  <c r="DT485" i="20"/>
  <c r="X478" i="20"/>
  <c r="BA478" i="20"/>
  <c r="BB478" i="20" s="1"/>
  <c r="DI480" i="20"/>
  <c r="M480" i="20"/>
  <c r="BF480" i="20" s="1"/>
  <c r="X482" i="20"/>
  <c r="BA482" i="20"/>
  <c r="BB482" i="20" s="1"/>
  <c r="CH484" i="20"/>
  <c r="CI484" i="20" s="1"/>
  <c r="DI487" i="20"/>
  <c r="AX487" i="20"/>
  <c r="AQ483" i="20"/>
  <c r="AR483" i="20" s="1"/>
  <c r="DM483" i="20"/>
  <c r="M485" i="20"/>
  <c r="BF485" i="20" s="1"/>
  <c r="CH485" i="20"/>
  <c r="CI485" i="20" s="1"/>
  <c r="X486" i="20"/>
  <c r="BH486" i="20"/>
  <c r="BA486" i="20"/>
  <c r="BB486" i="20" s="1"/>
  <c r="EH487" i="20"/>
  <c r="GA478" i="20"/>
  <c r="X479" i="20"/>
  <c r="BA479" i="20"/>
  <c r="BB479" i="20" s="1"/>
  <c r="BC479" i="20" s="1"/>
  <c r="DI481" i="20"/>
  <c r="M481" i="20"/>
  <c r="BF481" i="20" s="1"/>
  <c r="EB482" i="20"/>
  <c r="EH482" i="20" s="1"/>
  <c r="DI483" i="20"/>
  <c r="M483" i="20"/>
  <c r="BF483" i="20" s="1"/>
  <c r="X484" i="20"/>
  <c r="BA484" i="20"/>
  <c r="BB484" i="20" s="1"/>
  <c r="AX484" i="20"/>
  <c r="M487" i="20"/>
  <c r="BF487" i="20" s="1"/>
  <c r="Y491" i="20"/>
  <c r="EL491" i="20"/>
  <c r="EK491" i="20" s="1"/>
  <c r="BH490" i="20"/>
  <c r="CH490" i="20"/>
  <c r="BB491" i="20"/>
  <c r="AZ492" i="20"/>
  <c r="CG493" i="20"/>
  <c r="CH493" i="20" s="1"/>
  <c r="FY493" i="20"/>
  <c r="GA493" i="20" s="1"/>
  <c r="EH485" i="20"/>
  <c r="AQ486" i="20"/>
  <c r="AR486" i="20" s="1"/>
  <c r="BA492" i="20"/>
  <c r="BB492" i="20" s="1"/>
  <c r="X492" i="20"/>
  <c r="CE492" i="20"/>
  <c r="X495" i="20"/>
  <c r="BA495" i="20"/>
  <c r="BB495" i="20" s="1"/>
  <c r="BA494" i="20"/>
  <c r="BB494" i="20" s="1"/>
  <c r="M486" i="20"/>
  <c r="BF486" i="20" s="1"/>
  <c r="AQ488" i="20"/>
  <c r="AR488" i="20" s="1"/>
  <c r="DU488" i="20" s="1"/>
  <c r="EM489" i="20"/>
  <c r="EP489" i="20" s="1"/>
  <c r="EQ489" i="20" s="1"/>
  <c r="DN489" i="20" s="1"/>
  <c r="Y490" i="20"/>
  <c r="M491" i="20"/>
  <c r="BF491" i="20" s="1"/>
  <c r="DI491" i="20"/>
  <c r="FZ491" i="20"/>
  <c r="FY491" i="20" s="1"/>
  <c r="GA491" i="20" s="1"/>
  <c r="EA492" i="20"/>
  <c r="EB492" i="20" s="1"/>
  <c r="EH492" i="20" s="1"/>
  <c r="FZ492" i="20"/>
  <c r="FY492" i="20" s="1"/>
  <c r="GA492" i="20" s="1"/>
  <c r="BE492" i="20"/>
  <c r="BF492" i="20" s="1"/>
  <c r="BH493" i="20"/>
  <c r="X494" i="20"/>
  <c r="BF488" i="20"/>
  <c r="CH488" i="20"/>
  <c r="CI488" i="20" s="1"/>
  <c r="CK488" i="20" s="1"/>
  <c r="DT489" i="20"/>
  <c r="ET490" i="20"/>
  <c r="EU490" i="20" s="1"/>
  <c r="EV490" i="20" s="1"/>
  <c r="AQ490" i="20"/>
  <c r="AR490" i="20" s="1"/>
  <c r="DU490" i="20" s="1"/>
  <c r="EM490" i="20" s="1"/>
  <c r="EP490" i="20" s="1"/>
  <c r="EQ490" i="20" s="1"/>
  <c r="BA490" i="20"/>
  <c r="BB490" i="20" s="1"/>
  <c r="BC490" i="20" s="1"/>
  <c r="AZ491" i="20"/>
  <c r="EB491" i="20"/>
  <c r="EH491" i="20" s="1"/>
  <c r="BH492" i="20"/>
  <c r="BB493" i="20"/>
  <c r="CE493" i="20"/>
  <c r="AY496" i="20"/>
  <c r="AZ496" i="20" s="1"/>
  <c r="CI496" i="20"/>
  <c r="CK496" i="20" s="1"/>
  <c r="CH489" i="20"/>
  <c r="CI489" i="20" s="1"/>
  <c r="CK489" i="20" s="1"/>
  <c r="DM490" i="20"/>
  <c r="CE495" i="20"/>
  <c r="Y496" i="20"/>
  <c r="EL496" i="20"/>
  <c r="EK496" i="20" s="1"/>
  <c r="DI494" i="20"/>
  <c r="BE495" i="20"/>
  <c r="BF495" i="20" s="1"/>
  <c r="FZ495" i="20"/>
  <c r="FY495" i="20" s="1"/>
  <c r="GA495" i="20" s="1"/>
  <c r="EA496" i="20"/>
  <c r="EB496" i="20" s="1"/>
  <c r="EH496" i="20" s="1"/>
  <c r="CG491" i="20"/>
  <c r="CH491" i="20" s="1"/>
  <c r="CI491" i="20" s="1"/>
  <c r="AX494" i="20"/>
  <c r="BH494" i="20"/>
  <c r="DI495" i="20"/>
  <c r="BE496" i="20"/>
  <c r="BF496" i="20" s="1"/>
  <c r="FZ496" i="20"/>
  <c r="FY496" i="20" s="1"/>
  <c r="GA496" i="20" s="1"/>
  <c r="GB496" i="20" s="1"/>
  <c r="CB477" i="5"/>
  <c r="CC477" i="5" s="1"/>
  <c r="DG472" i="5"/>
  <c r="CB453" i="5"/>
  <c r="EN497" i="5"/>
  <c r="EO497" i="5" s="1"/>
  <c r="EP497" i="5" s="1"/>
  <c r="EN473" i="5"/>
  <c r="EO473" i="5" s="1"/>
  <c r="EP473" i="5" s="1"/>
  <c r="BY469" i="5"/>
  <c r="DV495" i="5"/>
  <c r="EB495" i="5" s="1"/>
  <c r="CC493" i="5"/>
  <c r="CE493" i="5" s="1"/>
  <c r="DG486" i="5"/>
  <c r="CB482" i="5"/>
  <c r="CC482" i="5" s="1"/>
  <c r="CE482" i="5" s="1"/>
  <c r="CC472" i="5"/>
  <c r="BY447" i="5"/>
  <c r="CB452" i="5"/>
  <c r="EN472" i="5"/>
  <c r="EO472" i="5" s="1"/>
  <c r="EP472" i="5" s="1"/>
  <c r="CB489" i="5"/>
  <c r="CC485" i="5"/>
  <c r="CE485" i="5" s="1"/>
  <c r="DG479" i="5"/>
  <c r="DG478" i="5"/>
  <c r="EO474" i="5"/>
  <c r="EP474" i="5" s="1"/>
  <c r="EN479" i="5"/>
  <c r="EO479" i="5" s="1"/>
  <c r="EP479" i="5" s="1"/>
  <c r="DV500" i="5"/>
  <c r="EB500" i="5" s="1"/>
  <c r="DG492" i="5"/>
  <c r="CB481" i="5"/>
  <c r="DG477" i="5"/>
  <c r="CB474" i="5"/>
  <c r="DG471" i="5"/>
  <c r="EN494" i="5"/>
  <c r="EO494" i="5" s="1"/>
  <c r="EP494" i="5" s="1"/>
  <c r="CB498" i="5"/>
  <c r="CB495" i="5"/>
  <c r="DG491" i="5"/>
  <c r="CB487" i="5"/>
  <c r="DG484" i="5"/>
  <c r="CB473" i="5"/>
  <c r="CC473" i="5" s="1"/>
  <c r="BY452" i="5"/>
  <c r="EN469" i="5"/>
  <c r="EO469" i="5" s="1"/>
  <c r="EP469" i="5" s="1"/>
  <c r="BY498" i="5"/>
  <c r="CC498" i="5" s="1"/>
  <c r="DG483" i="5"/>
  <c r="CB479" i="5"/>
  <c r="CC479" i="5" s="1"/>
  <c r="CE479" i="5" s="1"/>
  <c r="CB449" i="5"/>
  <c r="CB448" i="5"/>
  <c r="EN500" i="5"/>
  <c r="EO500" i="5" s="1"/>
  <c r="EP500" i="5" s="1"/>
  <c r="AT487" i="5"/>
  <c r="CC494" i="5"/>
  <c r="DG488" i="5"/>
  <c r="DG481" i="5"/>
  <c r="CB497" i="5"/>
  <c r="EO490" i="5"/>
  <c r="EP490" i="5" s="1"/>
  <c r="CC488" i="5"/>
  <c r="DG475" i="5"/>
  <c r="DG474" i="5"/>
  <c r="DG473" i="5"/>
  <c r="CB469" i="5"/>
  <c r="AU486" i="5"/>
  <c r="AV486" i="5" s="1"/>
  <c r="AR453" i="5"/>
  <c r="FR450" i="5"/>
  <c r="DC441" i="5"/>
  <c r="DC47" i="5"/>
  <c r="DF47" i="5"/>
  <c r="DY47" i="5"/>
  <c r="AY46" i="5"/>
  <c r="AM290" i="5"/>
  <c r="BW310" i="5"/>
  <c r="AM330" i="5"/>
  <c r="AY327" i="5"/>
  <c r="FR327" i="5"/>
  <c r="BW331" i="5"/>
  <c r="BZ325" i="5"/>
  <c r="CB325" i="5" s="1"/>
  <c r="FT270" i="5"/>
  <c r="BX270" i="5"/>
  <c r="BY270" i="5" s="1"/>
  <c r="DU270" i="5"/>
  <c r="BZ270" i="5"/>
  <c r="CB270" i="5" s="1"/>
  <c r="BZ349" i="5"/>
  <c r="CB349" i="5" s="1"/>
  <c r="DF343" i="5"/>
  <c r="AM351" i="5"/>
  <c r="AY350" i="5"/>
  <c r="FR350" i="5"/>
  <c r="DF355" i="5"/>
  <c r="BZ365" i="5"/>
  <c r="CB365" i="5" s="1"/>
  <c r="AM371" i="5"/>
  <c r="DF382" i="5"/>
  <c r="AM387" i="5"/>
  <c r="FR383" i="5"/>
  <c r="AY383" i="5"/>
  <c r="DU371" i="5"/>
  <c r="FT371" i="5"/>
  <c r="BX371" i="5"/>
  <c r="BZ392" i="5"/>
  <c r="CB392" i="5" s="1"/>
  <c r="DF400" i="5"/>
  <c r="BZ425" i="5"/>
  <c r="CB425" i="5" s="1"/>
  <c r="AG406" i="5"/>
  <c r="AM406" i="5"/>
  <c r="FR406" i="5"/>
  <c r="AY406" i="5"/>
  <c r="AZ406" i="5" s="1"/>
  <c r="CI406" i="5" s="1"/>
  <c r="BX422" i="5"/>
  <c r="DU422" i="5"/>
  <c r="FT422" i="5"/>
  <c r="R148" i="5"/>
  <c r="EF148" i="5" s="1"/>
  <c r="EE148" i="5" s="1"/>
  <c r="AU148" i="5"/>
  <c r="AJ171" i="5"/>
  <c r="BL23" i="5"/>
  <c r="DT23" i="5" s="1"/>
  <c r="DV23" i="5" s="1"/>
  <c r="BU23" i="5"/>
  <c r="BE23" i="5"/>
  <c r="FR23" i="5"/>
  <c r="BT23" i="5"/>
  <c r="FS25" i="5"/>
  <c r="CA25" i="5"/>
  <c r="CB25" i="5" s="1"/>
  <c r="DY28" i="5"/>
  <c r="DF28" i="5"/>
  <c r="DC28" i="5"/>
  <c r="BL31" i="5"/>
  <c r="DT31" i="5" s="1"/>
  <c r="DV31" i="5" s="1"/>
  <c r="BT31" i="5"/>
  <c r="BE31" i="5"/>
  <c r="BU31" i="5"/>
  <c r="FR31" i="5"/>
  <c r="FS33" i="5"/>
  <c r="CA33" i="5"/>
  <c r="CB33" i="5" s="1"/>
  <c r="DF36" i="5"/>
  <c r="DY36" i="5"/>
  <c r="DC36" i="5"/>
  <c r="FR39" i="5"/>
  <c r="BL39" i="5"/>
  <c r="DT39" i="5" s="1"/>
  <c r="DV39" i="5" s="1"/>
  <c r="EB39" i="5" s="1"/>
  <c r="BT39" i="5"/>
  <c r="BE39" i="5"/>
  <c r="BU39" i="5"/>
  <c r="CA41" i="5"/>
  <c r="CB41" i="5" s="1"/>
  <c r="FS41" i="5"/>
  <c r="DF44" i="5"/>
  <c r="DC44" i="5"/>
  <c r="DY44" i="5"/>
  <c r="BL47" i="5"/>
  <c r="DT47" i="5" s="1"/>
  <c r="DV47" i="5" s="1"/>
  <c r="BT47" i="5"/>
  <c r="BU47" i="5"/>
  <c r="BE47" i="5"/>
  <c r="FR47" i="5"/>
  <c r="FS49" i="5"/>
  <c r="CA49" i="5"/>
  <c r="CB49" i="5" s="1"/>
  <c r="DC52" i="5"/>
  <c r="DF52" i="5"/>
  <c r="DY52" i="5"/>
  <c r="AY22" i="5"/>
  <c r="AY31" i="5"/>
  <c r="AY39" i="5"/>
  <c r="AY47" i="5"/>
  <c r="AM252" i="5"/>
  <c r="AR278" i="5"/>
  <c r="CG278" i="5" s="1"/>
  <c r="DC278" i="5"/>
  <c r="AR282" i="5"/>
  <c r="DC282" i="5"/>
  <c r="DC331" i="5"/>
  <c r="AR331" i="5"/>
  <c r="CG331" i="5" s="1"/>
  <c r="AV334" i="5"/>
  <c r="DC349" i="5"/>
  <c r="AR349" i="5"/>
  <c r="CG349" i="5" s="1"/>
  <c r="DC353" i="5"/>
  <c r="AR353" i="5"/>
  <c r="AV356" i="5"/>
  <c r="AR360" i="5"/>
  <c r="DC360" i="5"/>
  <c r="AV370" i="5"/>
  <c r="AR374" i="5"/>
  <c r="DC374" i="5"/>
  <c r="AR378" i="5"/>
  <c r="CG378" i="5" s="1"/>
  <c r="DC378" i="5"/>
  <c r="AV381" i="5"/>
  <c r="AR385" i="5"/>
  <c r="CG385" i="5" s="1"/>
  <c r="DC385" i="5"/>
  <c r="AV388" i="5"/>
  <c r="AV398" i="5"/>
  <c r="AR402" i="5"/>
  <c r="CG402" i="5" s="1"/>
  <c r="DC402" i="5"/>
  <c r="AV406" i="5"/>
  <c r="AV416" i="5"/>
  <c r="AR422" i="5"/>
  <c r="CG422" i="5" s="1"/>
  <c r="DC422" i="5"/>
  <c r="AV429" i="5"/>
  <c r="AV436" i="5"/>
  <c r="AR440" i="5"/>
  <c r="CG440" i="5" s="1"/>
  <c r="AM256" i="5"/>
  <c r="BZ263" i="5"/>
  <c r="CB263" i="5" s="1"/>
  <c r="BZ255" i="5"/>
  <c r="CB255" i="5" s="1"/>
  <c r="DF258" i="5"/>
  <c r="FR257" i="5"/>
  <c r="AY257" i="5"/>
  <c r="FT262" i="5"/>
  <c r="BX262" i="5"/>
  <c r="DU262" i="5"/>
  <c r="BW262" i="5"/>
  <c r="AM269" i="5"/>
  <c r="DF268" i="5"/>
  <c r="FR265" i="5"/>
  <c r="AY265" i="5"/>
  <c r="BW269" i="5"/>
  <c r="BZ277" i="5"/>
  <c r="CB277" i="5" s="1"/>
  <c r="DF274" i="5"/>
  <c r="DF282" i="5"/>
  <c r="AM275" i="5"/>
  <c r="AM283" i="5"/>
  <c r="DY276" i="5"/>
  <c r="DY284" i="5"/>
  <c r="AY277" i="5"/>
  <c r="FR277" i="5"/>
  <c r="FR286" i="5"/>
  <c r="AY286" i="5"/>
  <c r="BW274" i="5"/>
  <c r="DU286" i="5"/>
  <c r="FT286" i="5"/>
  <c r="BX286" i="5"/>
  <c r="BW298" i="5"/>
  <c r="FT298" i="5"/>
  <c r="BX298" i="5"/>
  <c r="DU298" i="5"/>
  <c r="DY294" i="5"/>
  <c r="DY302" i="5"/>
  <c r="AY297" i="5"/>
  <c r="FR297" i="5"/>
  <c r="DF296" i="5"/>
  <c r="BZ322" i="5"/>
  <c r="CB322" i="5" s="1"/>
  <c r="BZ314" i="5"/>
  <c r="CB314" i="5" s="1"/>
  <c r="AM301" i="5"/>
  <c r="AM293" i="5"/>
  <c r="BZ297" i="5"/>
  <c r="CB297" i="5" s="1"/>
  <c r="AM303" i="5"/>
  <c r="BX307" i="5"/>
  <c r="BY307" i="5" s="1"/>
  <c r="DU307" i="5"/>
  <c r="BZ307" i="5"/>
  <c r="CB307" i="5" s="1"/>
  <c r="FT307" i="5"/>
  <c r="DF311" i="5"/>
  <c r="AM312" i="5"/>
  <c r="DF318" i="5"/>
  <c r="AM318" i="5"/>
  <c r="DY317" i="5"/>
  <c r="AY309" i="5"/>
  <c r="FR309" i="5"/>
  <c r="FR317" i="5"/>
  <c r="AY317" i="5"/>
  <c r="DS309" i="5"/>
  <c r="DS318" i="5"/>
  <c r="BW313" i="5"/>
  <c r="DU309" i="5"/>
  <c r="FT309" i="5"/>
  <c r="BX309" i="5"/>
  <c r="DU322" i="5"/>
  <c r="FT322" i="5"/>
  <c r="BX322" i="5"/>
  <c r="DF330" i="5"/>
  <c r="DF338" i="5"/>
  <c r="AM331" i="5"/>
  <c r="DY325" i="5"/>
  <c r="AY328" i="5"/>
  <c r="FR328" i="5"/>
  <c r="FR337" i="5"/>
  <c r="AY337" i="5"/>
  <c r="BW334" i="5"/>
  <c r="FT336" i="5"/>
  <c r="BX336" i="5"/>
  <c r="DU336" i="5"/>
  <c r="BX332" i="5"/>
  <c r="BZ332" i="5"/>
  <c r="CB332" i="5" s="1"/>
  <c r="DU332" i="5"/>
  <c r="FT332" i="5"/>
  <c r="BX324" i="5"/>
  <c r="BZ324" i="5"/>
  <c r="CB324" i="5" s="1"/>
  <c r="DU324" i="5"/>
  <c r="FT324" i="5"/>
  <c r="AE443" i="5"/>
  <c r="BZ269" i="5"/>
  <c r="CB269" i="5" s="1"/>
  <c r="BZ288" i="5"/>
  <c r="CB288" i="5" s="1"/>
  <c r="BZ417" i="5"/>
  <c r="CB417" i="5" s="1"/>
  <c r="FT376" i="5"/>
  <c r="BX376" i="5"/>
  <c r="BY376" i="5" s="1"/>
  <c r="DU376" i="5"/>
  <c r="BZ376" i="5"/>
  <c r="CB376" i="5" s="1"/>
  <c r="BZ348" i="5"/>
  <c r="CB348" i="5" s="1"/>
  <c r="DU348" i="5"/>
  <c r="FT348" i="5"/>
  <c r="BX348" i="5"/>
  <c r="BZ340" i="5"/>
  <c r="CB340" i="5" s="1"/>
  <c r="DU340" i="5"/>
  <c r="FT340" i="5"/>
  <c r="BX340" i="5"/>
  <c r="DF344" i="5"/>
  <c r="DF352" i="5"/>
  <c r="AM344" i="5"/>
  <c r="AM352" i="5"/>
  <c r="DY344" i="5"/>
  <c r="DY352" i="5"/>
  <c r="FR341" i="5"/>
  <c r="AY341" i="5"/>
  <c r="FR351" i="5"/>
  <c r="AY351" i="5"/>
  <c r="BW350" i="5"/>
  <c r="DF356" i="5"/>
  <c r="AM355" i="5"/>
  <c r="AM363" i="5"/>
  <c r="DF366" i="5"/>
  <c r="AM367" i="5"/>
  <c r="DY367" i="5"/>
  <c r="FR358" i="5"/>
  <c r="AY358" i="5"/>
  <c r="FR367" i="5"/>
  <c r="AY367" i="5"/>
  <c r="BX365" i="5"/>
  <c r="DU365" i="5"/>
  <c r="FT365" i="5"/>
  <c r="BW367" i="5"/>
  <c r="FT364" i="5"/>
  <c r="BX364" i="5"/>
  <c r="BY364" i="5" s="1"/>
  <c r="DU364" i="5"/>
  <c r="BZ364" i="5"/>
  <c r="CB364" i="5" s="1"/>
  <c r="BX356" i="5"/>
  <c r="BY356" i="5" s="1"/>
  <c r="BZ356" i="5"/>
  <c r="CB356" i="5" s="1"/>
  <c r="FT356" i="5"/>
  <c r="DU356" i="5"/>
  <c r="AE373" i="5"/>
  <c r="DF373" i="5"/>
  <c r="AM374" i="5"/>
  <c r="BX378" i="5"/>
  <c r="BY378" i="5" s="1"/>
  <c r="BZ378" i="5"/>
  <c r="CB378" i="5" s="1"/>
  <c r="DU378" i="5"/>
  <c r="FT378" i="5"/>
  <c r="BZ381" i="5"/>
  <c r="CB381" i="5" s="1"/>
  <c r="DF383" i="5"/>
  <c r="AM380" i="5"/>
  <c r="AM388" i="5"/>
  <c r="DY378" i="5"/>
  <c r="AY376" i="5"/>
  <c r="FR376" i="5"/>
  <c r="AY384" i="5"/>
  <c r="FR384" i="5"/>
  <c r="DS374" i="5"/>
  <c r="DS382" i="5"/>
  <c r="BX373" i="5"/>
  <c r="DU373" i="5"/>
  <c r="FT373" i="5"/>
  <c r="DU387" i="5"/>
  <c r="FT387" i="5"/>
  <c r="BX387" i="5"/>
  <c r="BW382" i="5"/>
  <c r="BZ399" i="5"/>
  <c r="CB399" i="5" s="1"/>
  <c r="BZ391" i="5"/>
  <c r="CB391" i="5" s="1"/>
  <c r="DF393" i="5"/>
  <c r="DF401" i="5"/>
  <c r="AM392" i="5"/>
  <c r="AM400" i="5"/>
  <c r="DY399" i="5"/>
  <c r="FR390" i="5"/>
  <c r="AY390" i="5"/>
  <c r="FR398" i="5"/>
  <c r="AY398" i="5"/>
  <c r="AZ398" i="5" s="1"/>
  <c r="CI398" i="5" s="1"/>
  <c r="DS389" i="5"/>
  <c r="DS397" i="5"/>
  <c r="DS405" i="5"/>
  <c r="BX402" i="5"/>
  <c r="DU402" i="5"/>
  <c r="FT402" i="5"/>
  <c r="BW399" i="5"/>
  <c r="BZ407" i="5"/>
  <c r="CB407" i="5" s="1"/>
  <c r="DF411" i="5"/>
  <c r="DF419" i="5"/>
  <c r="AM407" i="5"/>
  <c r="AM415" i="5"/>
  <c r="AM423" i="5"/>
  <c r="DY411" i="5"/>
  <c r="DY419" i="5"/>
  <c r="FR407" i="5"/>
  <c r="AY407" i="5"/>
  <c r="FR415" i="5"/>
  <c r="AY415" i="5"/>
  <c r="AY424" i="5"/>
  <c r="FR424" i="5"/>
  <c r="DS412" i="5"/>
  <c r="DS420" i="5"/>
  <c r="BX410" i="5"/>
  <c r="DU410" i="5"/>
  <c r="FT410" i="5"/>
  <c r="FT424" i="5"/>
  <c r="BX424" i="5"/>
  <c r="BW416" i="5"/>
  <c r="DF428" i="5"/>
  <c r="DF436" i="5"/>
  <c r="BZ432" i="5"/>
  <c r="CB432" i="5" s="1"/>
  <c r="DU432" i="5"/>
  <c r="BZ440" i="5"/>
  <c r="CB440" i="5" s="1"/>
  <c r="AM428" i="5"/>
  <c r="AM436" i="5"/>
  <c r="FR428" i="5"/>
  <c r="AY428" i="5"/>
  <c r="FR436" i="5"/>
  <c r="AY436" i="5"/>
  <c r="AZ436" i="5" s="1"/>
  <c r="CI436" i="5" s="1"/>
  <c r="DS440" i="5"/>
  <c r="BW431" i="5"/>
  <c r="FT428" i="5"/>
  <c r="BX428" i="5"/>
  <c r="DU428" i="5"/>
  <c r="DF95" i="5"/>
  <c r="DC95" i="5"/>
  <c r="AE103" i="5"/>
  <c r="AG103" i="5" s="1"/>
  <c r="DC103" i="5"/>
  <c r="DF103" i="5"/>
  <c r="BX101" i="5"/>
  <c r="BY101" i="5" s="1"/>
  <c r="BZ101" i="5"/>
  <c r="CB101" i="5" s="1"/>
  <c r="DU101" i="5"/>
  <c r="FT101" i="5"/>
  <c r="R101" i="5"/>
  <c r="EF101" i="5" s="1"/>
  <c r="EE101" i="5" s="1"/>
  <c r="AU101" i="5"/>
  <c r="DS102" i="5"/>
  <c r="R491" i="5"/>
  <c r="EF491" i="5" s="1"/>
  <c r="EE491" i="5" s="1"/>
  <c r="BX152" i="5"/>
  <c r="BY152" i="5" s="1"/>
  <c r="FT152" i="5"/>
  <c r="DU152" i="5"/>
  <c r="BZ152" i="5"/>
  <c r="CB152" i="5" s="1"/>
  <c r="DC150" i="5"/>
  <c r="DF150" i="5"/>
  <c r="DY148" i="5"/>
  <c r="AY150" i="5"/>
  <c r="FR150" i="5"/>
  <c r="AY421" i="5"/>
  <c r="FR421" i="5"/>
  <c r="AJ217" i="5"/>
  <c r="X104" i="5"/>
  <c r="V95" i="5" s="1"/>
  <c r="BL152" i="5"/>
  <c r="DT152" i="5" s="1"/>
  <c r="BT152" i="5"/>
  <c r="BE152" i="5"/>
  <c r="BF152" i="5" s="1"/>
  <c r="BH152" i="5" s="1"/>
  <c r="BU152" i="5"/>
  <c r="FS152" i="5"/>
  <c r="BL217" i="5"/>
  <c r="DT217" i="5" s="1"/>
  <c r="DV217" i="5" s="1"/>
  <c r="EB217" i="5" s="1"/>
  <c r="BT217" i="5"/>
  <c r="BU217" i="5"/>
  <c r="FS217" i="5"/>
  <c r="BX500" i="5"/>
  <c r="BY500" i="5" s="1"/>
  <c r="CC500" i="5" s="1"/>
  <c r="AR500" i="5"/>
  <c r="CA499" i="5"/>
  <c r="CB499" i="5" s="1"/>
  <c r="AU499" i="5"/>
  <c r="AV499" i="5" s="1"/>
  <c r="FT498" i="5"/>
  <c r="FS498" i="5" s="1"/>
  <c r="FU498" i="5" s="1"/>
  <c r="AY498" i="5"/>
  <c r="DU496" i="5"/>
  <c r="DV496" i="5" s="1"/>
  <c r="EB496" i="5" s="1"/>
  <c r="DC495" i="5"/>
  <c r="AR492" i="5"/>
  <c r="AU491" i="5"/>
  <c r="AV491" i="5" s="1"/>
  <c r="DC487" i="5"/>
  <c r="AR484" i="5"/>
  <c r="AU483" i="5"/>
  <c r="AV483" i="5" s="1"/>
  <c r="AR476" i="5"/>
  <c r="AU475" i="5"/>
  <c r="AV475" i="5" s="1"/>
  <c r="DC471" i="5"/>
  <c r="FS469" i="5"/>
  <c r="FU469" i="5" s="1"/>
  <c r="CG453" i="5"/>
  <c r="BW453" i="5"/>
  <c r="FT452" i="5"/>
  <c r="AY452" i="5"/>
  <c r="AZ452" i="5" s="1"/>
  <c r="CI452" i="5" s="1"/>
  <c r="AM450" i="5"/>
  <c r="BX448" i="5"/>
  <c r="AR448" i="5"/>
  <c r="CG448" i="5" s="1"/>
  <c r="AY447" i="5"/>
  <c r="DC446" i="5"/>
  <c r="FR445" i="5"/>
  <c r="AM445" i="5"/>
  <c r="DU444" i="5"/>
  <c r="BZ444" i="5"/>
  <c r="CB444" i="5" s="1"/>
  <c r="BX443" i="5"/>
  <c r="BY443" i="5" s="1"/>
  <c r="FT436" i="5"/>
  <c r="FR435" i="5"/>
  <c r="AR432" i="5"/>
  <c r="CG432" i="5" s="1"/>
  <c r="AY418" i="5"/>
  <c r="FS144" i="5"/>
  <c r="FS44" i="5"/>
  <c r="CA44" i="5"/>
  <c r="CB44" i="5" s="1"/>
  <c r="AY21" i="5"/>
  <c r="AZ327" i="5"/>
  <c r="CI327" i="5" s="1"/>
  <c r="DC327" i="5"/>
  <c r="AR327" i="5"/>
  <c r="CG327" i="5" s="1"/>
  <c r="AR370" i="5"/>
  <c r="DC370" i="5"/>
  <c r="DC388" i="5"/>
  <c r="AR388" i="5"/>
  <c r="CG388" i="5" s="1"/>
  <c r="AR406" i="5"/>
  <c r="CG406" i="5" s="1"/>
  <c r="DC406" i="5"/>
  <c r="DC429" i="5"/>
  <c r="AR429" i="5"/>
  <c r="BW261" i="5"/>
  <c r="FR264" i="5"/>
  <c r="AY264" i="5"/>
  <c r="AH278" i="5"/>
  <c r="BZ278" i="5"/>
  <c r="CB278" i="5" s="1"/>
  <c r="DF281" i="5"/>
  <c r="AY284" i="5"/>
  <c r="FR284" i="5"/>
  <c r="DF295" i="5"/>
  <c r="DF337" i="5"/>
  <c r="BZ377" i="5"/>
  <c r="CB377" i="5" s="1"/>
  <c r="DF351" i="5"/>
  <c r="FT400" i="5"/>
  <c r="BX400" i="5"/>
  <c r="BZ400" i="5"/>
  <c r="CB400" i="5" s="1"/>
  <c r="DU400" i="5"/>
  <c r="FS130" i="5"/>
  <c r="FS138" i="5"/>
  <c r="FS146" i="5"/>
  <c r="AU112" i="5"/>
  <c r="DY22" i="5"/>
  <c r="DC22" i="5"/>
  <c r="DF22" i="5"/>
  <c r="DY25" i="5"/>
  <c r="DC25" i="5"/>
  <c r="DF25" i="5"/>
  <c r="BT28" i="5"/>
  <c r="BE28" i="5"/>
  <c r="BU28" i="5"/>
  <c r="FR28" i="5"/>
  <c r="FU28" i="5" s="1"/>
  <c r="BL28" i="5"/>
  <c r="DT28" i="5" s="1"/>
  <c r="DV28" i="5" s="1"/>
  <c r="EB28" i="5" s="1"/>
  <c r="FS30" i="5"/>
  <c r="CA30" i="5"/>
  <c r="DY33" i="5"/>
  <c r="DC33" i="5"/>
  <c r="DF33" i="5"/>
  <c r="BT36" i="5"/>
  <c r="BE36" i="5"/>
  <c r="BU36" i="5"/>
  <c r="BL36" i="5"/>
  <c r="DT36" i="5" s="1"/>
  <c r="DV36" i="5" s="1"/>
  <c r="EB36" i="5" s="1"/>
  <c r="FR36" i="5"/>
  <c r="FU36" i="5" s="1"/>
  <c r="CA38" i="5"/>
  <c r="CB38" i="5" s="1"/>
  <c r="FS38" i="5"/>
  <c r="DY41" i="5"/>
  <c r="DC41" i="5"/>
  <c r="DF41" i="5"/>
  <c r="BL44" i="5"/>
  <c r="DT44" i="5" s="1"/>
  <c r="DV44" i="5" s="1"/>
  <c r="EB44" i="5" s="1"/>
  <c r="BT44" i="5"/>
  <c r="BE44" i="5"/>
  <c r="BU44" i="5"/>
  <c r="FR44" i="5"/>
  <c r="FS46" i="5"/>
  <c r="CA46" i="5"/>
  <c r="CB46" i="5" s="1"/>
  <c r="DY49" i="5"/>
  <c r="DF49" i="5"/>
  <c r="DC49" i="5"/>
  <c r="BE52" i="5"/>
  <c r="BU52" i="5"/>
  <c r="FR52" i="5"/>
  <c r="BL52" i="5"/>
  <c r="DT52" i="5" s="1"/>
  <c r="DV52" i="5" s="1"/>
  <c r="BT52" i="5"/>
  <c r="AY23" i="5"/>
  <c r="AY32" i="5"/>
  <c r="AZ32" i="5" s="1"/>
  <c r="AY40" i="5"/>
  <c r="AY48" i="5"/>
  <c r="DU252" i="5"/>
  <c r="BX252" i="5"/>
  <c r="BZ252" i="5"/>
  <c r="CB252" i="5" s="1"/>
  <c r="FT252" i="5"/>
  <c r="R265" i="5"/>
  <c r="EF265" i="5" s="1"/>
  <c r="EE265" i="5" s="1"/>
  <c r="AU265" i="5"/>
  <c r="R269" i="5"/>
  <c r="EF269" i="5" s="1"/>
  <c r="EE269" i="5" s="1"/>
  <c r="AU269" i="5"/>
  <c r="DC274" i="5"/>
  <c r="AR274" i="5"/>
  <c r="R278" i="5"/>
  <c r="AU278" i="5"/>
  <c r="AV278" i="5" s="1"/>
  <c r="AV282" i="5"/>
  <c r="AV327" i="5"/>
  <c r="AV331" i="5"/>
  <c r="DC335" i="5"/>
  <c r="AR335" i="5"/>
  <c r="DC338" i="5"/>
  <c r="AR338" i="5"/>
  <c r="CG338" i="5" s="1"/>
  <c r="DC342" i="5"/>
  <c r="AR342" i="5"/>
  <c r="DC346" i="5"/>
  <c r="AR346" i="5"/>
  <c r="CG346" i="5" s="1"/>
  <c r="AV349" i="5"/>
  <c r="AV353" i="5"/>
  <c r="AV360" i="5"/>
  <c r="DC364" i="5"/>
  <c r="AR364" i="5"/>
  <c r="CG364" i="5" s="1"/>
  <c r="AV374" i="5"/>
  <c r="AV378" i="5"/>
  <c r="AV385" i="5"/>
  <c r="AV402" i="5"/>
  <c r="DC412" i="5"/>
  <c r="AR412" i="5"/>
  <c r="AV422" i="5"/>
  <c r="AR430" i="5"/>
  <c r="CG430" i="5" s="1"/>
  <c r="DC430" i="5"/>
  <c r="DC433" i="5"/>
  <c r="AR433" i="5"/>
  <c r="AM257" i="5"/>
  <c r="BZ262" i="5"/>
  <c r="CB262" i="5" s="1"/>
  <c r="BZ254" i="5"/>
  <c r="CB254" i="5" s="1"/>
  <c r="DF259" i="5"/>
  <c r="DY253" i="5"/>
  <c r="DY261" i="5"/>
  <c r="FR258" i="5"/>
  <c r="AY258" i="5"/>
  <c r="DS255" i="5"/>
  <c r="DS263" i="5"/>
  <c r="FT263" i="5"/>
  <c r="BX263" i="5"/>
  <c r="DU263" i="5"/>
  <c r="BW263" i="5"/>
  <c r="CG370" i="5"/>
  <c r="CG282" i="5"/>
  <c r="CG274" i="5"/>
  <c r="AM270" i="5"/>
  <c r="DF269" i="5"/>
  <c r="DY267" i="5"/>
  <c r="FR266" i="5"/>
  <c r="AY266" i="5"/>
  <c r="FT266" i="5"/>
  <c r="BX266" i="5"/>
  <c r="DU266" i="5"/>
  <c r="FT271" i="5"/>
  <c r="BX271" i="5"/>
  <c r="DU271" i="5"/>
  <c r="BX276" i="5"/>
  <c r="BY276" i="5" s="1"/>
  <c r="BZ276" i="5"/>
  <c r="CB276" i="5" s="1"/>
  <c r="DU276" i="5"/>
  <c r="FT276" i="5"/>
  <c r="DF275" i="5"/>
  <c r="DF283" i="5"/>
  <c r="AM276" i="5"/>
  <c r="AM284" i="5"/>
  <c r="DY277" i="5"/>
  <c r="DY285" i="5"/>
  <c r="FR278" i="5"/>
  <c r="AY278" i="5"/>
  <c r="FR287" i="5"/>
  <c r="AY287" i="5"/>
  <c r="FT274" i="5"/>
  <c r="BX274" i="5"/>
  <c r="DU274" i="5"/>
  <c r="BW275" i="5"/>
  <c r="FR285" i="5"/>
  <c r="AY285" i="5"/>
  <c r="DY289" i="5"/>
  <c r="FT288" i="5"/>
  <c r="BX288" i="5"/>
  <c r="DU288" i="5"/>
  <c r="BW299" i="5"/>
  <c r="BX299" i="5"/>
  <c r="DU299" i="5"/>
  <c r="FT299" i="5"/>
  <c r="DY295" i="5"/>
  <c r="FR302" i="5"/>
  <c r="AY302" i="5"/>
  <c r="AZ302" i="5" s="1"/>
  <c r="CI302" i="5" s="1"/>
  <c r="AY298" i="5"/>
  <c r="AZ298" i="5" s="1"/>
  <c r="CI298" i="5" s="1"/>
  <c r="FR298" i="5"/>
  <c r="DF297" i="5"/>
  <c r="BZ321" i="5"/>
  <c r="CB321" i="5" s="1"/>
  <c r="BZ313" i="5"/>
  <c r="CB313" i="5" s="1"/>
  <c r="AM300" i="5"/>
  <c r="AM292" i="5"/>
  <c r="BZ296" i="5"/>
  <c r="CB296" i="5" s="1"/>
  <c r="AM304" i="5"/>
  <c r="DY307" i="5"/>
  <c r="BZ306" i="5"/>
  <c r="CB306" i="5" s="1"/>
  <c r="DF312" i="5"/>
  <c r="AM313" i="5"/>
  <c r="DF317" i="5"/>
  <c r="AM319" i="5"/>
  <c r="DY310" i="5"/>
  <c r="DY318" i="5"/>
  <c r="FR310" i="5"/>
  <c r="AY310" i="5"/>
  <c r="FR318" i="5"/>
  <c r="AY318" i="5"/>
  <c r="DS310" i="5"/>
  <c r="DS319" i="5"/>
  <c r="BW314" i="5"/>
  <c r="BX310" i="5"/>
  <c r="FT310" i="5"/>
  <c r="DU310" i="5"/>
  <c r="FT323" i="5"/>
  <c r="BX323" i="5"/>
  <c r="DU323" i="5"/>
  <c r="DF331" i="5"/>
  <c r="AM324" i="5"/>
  <c r="AM332" i="5"/>
  <c r="DY324" i="5"/>
  <c r="DY333" i="5"/>
  <c r="FR329" i="5"/>
  <c r="AY329" i="5"/>
  <c r="AY338" i="5"/>
  <c r="AZ338" i="5" s="1"/>
  <c r="CI338" i="5" s="1"/>
  <c r="FR338" i="5"/>
  <c r="BW336" i="5"/>
  <c r="FT338" i="5"/>
  <c r="BX338" i="5"/>
  <c r="DU338" i="5"/>
  <c r="BZ331" i="5"/>
  <c r="CB331" i="5" s="1"/>
  <c r="BZ268" i="5"/>
  <c r="CB268" i="5" s="1"/>
  <c r="FT287" i="5"/>
  <c r="BX287" i="5"/>
  <c r="BY287" i="5" s="1"/>
  <c r="DU287" i="5"/>
  <c r="BZ287" i="5"/>
  <c r="CB287" i="5" s="1"/>
  <c r="BZ416" i="5"/>
  <c r="CB416" i="5" s="1"/>
  <c r="BZ375" i="5"/>
  <c r="CB375" i="5" s="1"/>
  <c r="BX347" i="5"/>
  <c r="BY347" i="5" s="1"/>
  <c r="BZ347" i="5"/>
  <c r="CB347" i="5" s="1"/>
  <c r="DU347" i="5"/>
  <c r="FT347" i="5"/>
  <c r="BX339" i="5"/>
  <c r="BY339" i="5" s="1"/>
  <c r="BZ339" i="5"/>
  <c r="CB339" i="5" s="1"/>
  <c r="DU339" i="5"/>
  <c r="FT339" i="5"/>
  <c r="AE345" i="5"/>
  <c r="DF345" i="5"/>
  <c r="DF353" i="5"/>
  <c r="AM345" i="5"/>
  <c r="AM353" i="5"/>
  <c r="DY345" i="5"/>
  <c r="DY353" i="5"/>
  <c r="AY342" i="5"/>
  <c r="FR342" i="5"/>
  <c r="FR352" i="5"/>
  <c r="AY352" i="5"/>
  <c r="AZ352" i="5" s="1"/>
  <c r="CI352" i="5" s="1"/>
  <c r="DS344" i="5"/>
  <c r="FT341" i="5"/>
  <c r="BX341" i="5"/>
  <c r="DU341" i="5"/>
  <c r="DF357" i="5"/>
  <c r="AM356" i="5"/>
  <c r="DF367" i="5"/>
  <c r="AG368" i="5"/>
  <c r="AM368" i="5"/>
  <c r="DY360" i="5"/>
  <c r="DY368" i="5"/>
  <c r="AY359" i="5"/>
  <c r="FR359" i="5"/>
  <c r="AY368" i="5"/>
  <c r="AZ368" i="5" s="1"/>
  <c r="CI368" i="5" s="1"/>
  <c r="FR368" i="5"/>
  <c r="DU367" i="5"/>
  <c r="FT367" i="5"/>
  <c r="BX367" i="5"/>
  <c r="BW369" i="5"/>
  <c r="BZ363" i="5"/>
  <c r="CB363" i="5" s="1"/>
  <c r="FT355" i="5"/>
  <c r="BX355" i="5"/>
  <c r="BY355" i="5" s="1"/>
  <c r="BZ355" i="5"/>
  <c r="CB355" i="5" s="1"/>
  <c r="DU355" i="5"/>
  <c r="DF374" i="5"/>
  <c r="AM375" i="5"/>
  <c r="BZ388" i="5"/>
  <c r="CB388" i="5" s="1"/>
  <c r="BZ380" i="5"/>
  <c r="CB380" i="5" s="1"/>
  <c r="DF384" i="5"/>
  <c r="AM381" i="5"/>
  <c r="DY371" i="5"/>
  <c r="DY379" i="5"/>
  <c r="DY387" i="5"/>
  <c r="AY377" i="5"/>
  <c r="FR377" i="5"/>
  <c r="AY385" i="5"/>
  <c r="FR385" i="5"/>
  <c r="DS375" i="5"/>
  <c r="DS383" i="5"/>
  <c r="DU375" i="5"/>
  <c r="FT375" i="5"/>
  <c r="BX375" i="5"/>
  <c r="FT388" i="5"/>
  <c r="DU388" i="5"/>
  <c r="BX388" i="5"/>
  <c r="BW383" i="5"/>
  <c r="BZ398" i="5"/>
  <c r="CB398" i="5" s="1"/>
  <c r="BX390" i="5"/>
  <c r="DU390" i="5"/>
  <c r="FT390" i="5"/>
  <c r="BZ390" i="5"/>
  <c r="CB390" i="5" s="1"/>
  <c r="DF394" i="5"/>
  <c r="DF402" i="5"/>
  <c r="AM393" i="5"/>
  <c r="AM401" i="5"/>
  <c r="DY394" i="5"/>
  <c r="DY400" i="5"/>
  <c r="FR391" i="5"/>
  <c r="AY391" i="5"/>
  <c r="FR399" i="5"/>
  <c r="AY399" i="5"/>
  <c r="DS390" i="5"/>
  <c r="DS398" i="5"/>
  <c r="DU391" i="5"/>
  <c r="FT391" i="5"/>
  <c r="BX391" i="5"/>
  <c r="FT404" i="5"/>
  <c r="BX404" i="5"/>
  <c r="DU404" i="5"/>
  <c r="BW401" i="5"/>
  <c r="BX406" i="5"/>
  <c r="BZ406" i="5"/>
  <c r="CB406" i="5" s="1"/>
  <c r="DU406" i="5"/>
  <c r="FT406" i="5"/>
  <c r="DF412" i="5"/>
  <c r="DF420" i="5"/>
  <c r="AM408" i="5"/>
  <c r="AM416" i="5"/>
  <c r="AM424" i="5"/>
  <c r="DY412" i="5"/>
  <c r="DY420" i="5"/>
  <c r="AY408" i="5"/>
  <c r="AZ408" i="5" s="1"/>
  <c r="CI408" i="5" s="1"/>
  <c r="FR408" i="5"/>
  <c r="AY416" i="5"/>
  <c r="FR416" i="5"/>
  <c r="AY425" i="5"/>
  <c r="FR425" i="5"/>
  <c r="DS413" i="5"/>
  <c r="DS421" i="5"/>
  <c r="BX413" i="5"/>
  <c r="DU413" i="5"/>
  <c r="FT413" i="5"/>
  <c r="BX425" i="5"/>
  <c r="BY425" i="5" s="1"/>
  <c r="DU425" i="5"/>
  <c r="FT425" i="5"/>
  <c r="DF429" i="5"/>
  <c r="DF437" i="5"/>
  <c r="BZ441" i="5"/>
  <c r="CB441" i="5" s="1"/>
  <c r="AM429" i="5"/>
  <c r="AM437" i="5"/>
  <c r="DY433" i="5"/>
  <c r="AY429" i="5"/>
  <c r="FR429" i="5"/>
  <c r="AY437" i="5"/>
  <c r="FR437" i="5"/>
  <c r="DS433" i="5"/>
  <c r="FT429" i="5"/>
  <c r="BX429" i="5"/>
  <c r="DC96" i="5"/>
  <c r="DF96" i="5"/>
  <c r="AE104" i="5"/>
  <c r="DC104" i="5"/>
  <c r="DF104" i="5"/>
  <c r="DU100" i="5"/>
  <c r="BX100" i="5"/>
  <c r="BY100" i="5" s="1"/>
  <c r="BZ100" i="5"/>
  <c r="CB100" i="5" s="1"/>
  <c r="FT100" i="5"/>
  <c r="DY98" i="5"/>
  <c r="R100" i="5"/>
  <c r="AU100" i="5"/>
  <c r="DS95" i="5"/>
  <c r="DS103" i="5"/>
  <c r="BX151" i="5"/>
  <c r="BY151" i="5" s="1"/>
  <c r="FT151" i="5"/>
  <c r="BZ151" i="5"/>
  <c r="CB151" i="5" s="1"/>
  <c r="DU151" i="5"/>
  <c r="DC149" i="5"/>
  <c r="DF149" i="5"/>
  <c r="DY153" i="5"/>
  <c r="FR149" i="5"/>
  <c r="AY149" i="5"/>
  <c r="BW273" i="5"/>
  <c r="AJ198" i="5"/>
  <c r="AJ199" i="5" s="1"/>
  <c r="BT149" i="5"/>
  <c r="BE149" i="5"/>
  <c r="BF149" i="5" s="1"/>
  <c r="BH149" i="5" s="1"/>
  <c r="BU149" i="5"/>
  <c r="FS149" i="5"/>
  <c r="BL149" i="5"/>
  <c r="DT149" i="5" s="1"/>
  <c r="AJ22" i="5"/>
  <c r="AN21" i="5"/>
  <c r="DO21" i="5" s="1"/>
  <c r="BX497" i="5"/>
  <c r="BY497" i="5" s="1"/>
  <c r="AR497" i="5"/>
  <c r="AU496" i="5"/>
  <c r="AV496" i="5" s="1"/>
  <c r="FT495" i="5"/>
  <c r="FS495" i="5" s="1"/>
  <c r="FU495" i="5" s="1"/>
  <c r="AY495" i="5"/>
  <c r="AZ495" i="5" s="1"/>
  <c r="DC492" i="5"/>
  <c r="AR489" i="5"/>
  <c r="AU488" i="5"/>
  <c r="AV488" i="5" s="1"/>
  <c r="DC484" i="5"/>
  <c r="AR481" i="5"/>
  <c r="AU480" i="5"/>
  <c r="AV480" i="5" s="1"/>
  <c r="AR473" i="5"/>
  <c r="AU472" i="5"/>
  <c r="AV472" i="5" s="1"/>
  <c r="DU469" i="5"/>
  <c r="DV469" i="5" s="1"/>
  <c r="EB469" i="5" s="1"/>
  <c r="DF453" i="5"/>
  <c r="AY453" i="5"/>
  <c r="AZ453" i="5" s="1"/>
  <c r="CI453" i="5" s="1"/>
  <c r="FR451" i="5"/>
  <c r="AM451" i="5"/>
  <c r="DU450" i="5"/>
  <c r="BZ450" i="5"/>
  <c r="CB450" i="5" s="1"/>
  <c r="BX449" i="5"/>
  <c r="AR449" i="5"/>
  <c r="CG449" i="5" s="1"/>
  <c r="BW448" i="5"/>
  <c r="BY448" i="5" s="1"/>
  <c r="FT447" i="5"/>
  <c r="DU445" i="5"/>
  <c r="BZ445" i="5"/>
  <c r="CB445" i="5" s="1"/>
  <c r="FT442" i="5"/>
  <c r="AY442" i="5"/>
  <c r="DU441" i="5"/>
  <c r="FT439" i="5"/>
  <c r="DU439" i="5"/>
  <c r="DF435" i="5"/>
  <c r="AY422" i="5"/>
  <c r="FS128" i="5"/>
  <c r="BL26" i="5"/>
  <c r="DT26" i="5" s="1"/>
  <c r="DV26" i="5" s="1"/>
  <c r="EB26" i="5" s="1"/>
  <c r="BT26" i="5"/>
  <c r="FR26" i="5"/>
  <c r="BE26" i="5"/>
  <c r="BU26" i="5"/>
  <c r="DY31" i="5"/>
  <c r="DC31" i="5"/>
  <c r="DF31" i="5"/>
  <c r="AY30" i="5"/>
  <c r="DF252" i="5"/>
  <c r="DU261" i="5"/>
  <c r="FT261" i="5"/>
  <c r="BX261" i="5"/>
  <c r="CG412" i="5"/>
  <c r="BW286" i="5"/>
  <c r="AM294" i="5"/>
  <c r="AM338" i="5"/>
  <c r="DY351" i="5"/>
  <c r="AM366" i="5"/>
  <c r="DU363" i="5"/>
  <c r="FT363" i="5"/>
  <c r="BX363" i="5"/>
  <c r="DF372" i="5"/>
  <c r="BW381" i="5"/>
  <c r="AM391" i="5"/>
  <c r="AY389" i="5"/>
  <c r="FR389" i="5"/>
  <c r="BX401" i="5"/>
  <c r="DU401" i="5"/>
  <c r="FT401" i="5"/>
  <c r="DF410" i="5"/>
  <c r="AM422" i="5"/>
  <c r="FR423" i="5"/>
  <c r="AY423" i="5"/>
  <c r="DF427" i="5"/>
  <c r="BW429" i="5"/>
  <c r="FT153" i="5"/>
  <c r="BZ153" i="5"/>
  <c r="CB153" i="5" s="1"/>
  <c r="DU153" i="5"/>
  <c r="BX153" i="5"/>
  <c r="BY153" i="5" s="1"/>
  <c r="DF293" i="5"/>
  <c r="FS137" i="5"/>
  <c r="AU144" i="5"/>
  <c r="FS139" i="5"/>
  <c r="FS147" i="5"/>
  <c r="AU86" i="5"/>
  <c r="BT22" i="5"/>
  <c r="BU22" i="5"/>
  <c r="BE22" i="5"/>
  <c r="FR22" i="5"/>
  <c r="FU22" i="5" s="1"/>
  <c r="BL22" i="5"/>
  <c r="DT22" i="5" s="1"/>
  <c r="DV22" i="5" s="1"/>
  <c r="BE25" i="5"/>
  <c r="BU25" i="5"/>
  <c r="BL25" i="5"/>
  <c r="DT25" i="5" s="1"/>
  <c r="DV25" i="5" s="1"/>
  <c r="EB25" i="5" s="1"/>
  <c r="BT25" i="5"/>
  <c r="FR25" i="5"/>
  <c r="DY30" i="5"/>
  <c r="DC30" i="5"/>
  <c r="DF30" i="5"/>
  <c r="BE33" i="5"/>
  <c r="BU33" i="5"/>
  <c r="FR33" i="5"/>
  <c r="BL33" i="5"/>
  <c r="DT33" i="5" s="1"/>
  <c r="DV33" i="5" s="1"/>
  <c r="BT33" i="5"/>
  <c r="DY38" i="5"/>
  <c r="DC38" i="5"/>
  <c r="DF38" i="5"/>
  <c r="BL41" i="5"/>
  <c r="DT41" i="5" s="1"/>
  <c r="DV41" i="5" s="1"/>
  <c r="EB41" i="5" s="1"/>
  <c r="BT41" i="5"/>
  <c r="BE41" i="5"/>
  <c r="BU41" i="5"/>
  <c r="FR41" i="5"/>
  <c r="FU41" i="5" s="1"/>
  <c r="CA43" i="5"/>
  <c r="CB43" i="5" s="1"/>
  <c r="FS43" i="5"/>
  <c r="DF46" i="5"/>
  <c r="DY46" i="5"/>
  <c r="DC46" i="5"/>
  <c r="BE49" i="5"/>
  <c r="BU49" i="5"/>
  <c r="FR49" i="5"/>
  <c r="BL49" i="5"/>
  <c r="DT49" i="5" s="1"/>
  <c r="DV49" i="5" s="1"/>
  <c r="EB49" i="5" s="1"/>
  <c r="BT49" i="5"/>
  <c r="CA51" i="5"/>
  <c r="FS51" i="5"/>
  <c r="AY25" i="5"/>
  <c r="AY33" i="5"/>
  <c r="AY41" i="5"/>
  <c r="AY49" i="5"/>
  <c r="R252" i="5"/>
  <c r="EF252" i="5" s="1"/>
  <c r="EE252" i="5" s="1"/>
  <c r="AU252" i="5"/>
  <c r="DC254" i="5"/>
  <c r="AR254" i="5"/>
  <c r="CG254" i="5" s="1"/>
  <c r="AZ258" i="5"/>
  <c r="CI258" i="5" s="1"/>
  <c r="DC258" i="5"/>
  <c r="AR258" i="5"/>
  <c r="CG258" i="5" s="1"/>
  <c r="DC262" i="5"/>
  <c r="AR262" i="5"/>
  <c r="R274" i="5"/>
  <c r="AU274" i="5"/>
  <c r="AV274" i="5" s="1"/>
  <c r="DC306" i="5"/>
  <c r="AR306" i="5"/>
  <c r="CG306" i="5" s="1"/>
  <c r="AV338" i="5"/>
  <c r="AR357" i="5"/>
  <c r="DC357" i="5"/>
  <c r="DC368" i="5"/>
  <c r="AR368" i="5"/>
  <c r="AR386" i="5"/>
  <c r="CG386" i="5" s="1"/>
  <c r="DC386" i="5"/>
  <c r="AR389" i="5"/>
  <c r="DC389" i="5"/>
  <c r="DC408" i="5"/>
  <c r="AR408" i="5"/>
  <c r="CG408" i="5" s="1"/>
  <c r="DC437" i="5"/>
  <c r="AR437" i="5"/>
  <c r="CG437" i="5" s="1"/>
  <c r="AM258" i="5"/>
  <c r="BZ261" i="5"/>
  <c r="CB261" i="5" s="1"/>
  <c r="BX253" i="5"/>
  <c r="BY253" i="5" s="1"/>
  <c r="BZ253" i="5"/>
  <c r="CB253" i="5" s="1"/>
  <c r="DU253" i="5"/>
  <c r="FT253" i="5"/>
  <c r="DF260" i="5"/>
  <c r="DY254" i="5"/>
  <c r="DY262" i="5"/>
  <c r="AY259" i="5"/>
  <c r="FR259" i="5"/>
  <c r="DS256" i="5"/>
  <c r="DU254" i="5"/>
  <c r="FT254" i="5"/>
  <c r="BX254" i="5"/>
  <c r="BW254" i="5"/>
  <c r="CG353" i="5"/>
  <c r="AM271" i="5"/>
  <c r="DF270" i="5"/>
  <c r="DY268" i="5"/>
  <c r="AY267" i="5"/>
  <c r="FR267" i="5"/>
  <c r="FT267" i="5"/>
  <c r="BX267" i="5"/>
  <c r="DU267" i="5"/>
  <c r="BW271" i="5"/>
  <c r="BZ275" i="5"/>
  <c r="CB275" i="5" s="1"/>
  <c r="DF276" i="5"/>
  <c r="DF284" i="5"/>
  <c r="AM277" i="5"/>
  <c r="AM285" i="5"/>
  <c r="DY278" i="5"/>
  <c r="DY286" i="5"/>
  <c r="AY279" i="5"/>
  <c r="FR279" i="5"/>
  <c r="DS273" i="5"/>
  <c r="DS280" i="5"/>
  <c r="FT275" i="5"/>
  <c r="BX275" i="5"/>
  <c r="DU275" i="5"/>
  <c r="BW277" i="5"/>
  <c r="DF288" i="5"/>
  <c r="DY290" i="5"/>
  <c r="DU290" i="5"/>
  <c r="FT290" i="5"/>
  <c r="BX290" i="5"/>
  <c r="BW300" i="5"/>
  <c r="DU300" i="5"/>
  <c r="FT300" i="5"/>
  <c r="BX300" i="5"/>
  <c r="DY296" i="5"/>
  <c r="FR291" i="5"/>
  <c r="AY291" i="5"/>
  <c r="FR299" i="5"/>
  <c r="AY299" i="5"/>
  <c r="DF298" i="5"/>
  <c r="BZ320" i="5"/>
  <c r="CB320" i="5" s="1"/>
  <c r="BX312" i="5"/>
  <c r="BZ312" i="5"/>
  <c r="CB312" i="5" s="1"/>
  <c r="DU312" i="5"/>
  <c r="FT312" i="5"/>
  <c r="AM299" i="5"/>
  <c r="AM291" i="5"/>
  <c r="BZ295" i="5"/>
  <c r="CB295" i="5" s="1"/>
  <c r="AM305" i="5"/>
  <c r="AY303" i="5"/>
  <c r="FR303" i="5"/>
  <c r="BZ305" i="5"/>
  <c r="CB305" i="5" s="1"/>
  <c r="DF313" i="5"/>
  <c r="AM314" i="5"/>
  <c r="DF321" i="5"/>
  <c r="AM320" i="5"/>
  <c r="DY311" i="5"/>
  <c r="DY319" i="5"/>
  <c r="FR311" i="5"/>
  <c r="AY311" i="5"/>
  <c r="AY319" i="5"/>
  <c r="FR319" i="5"/>
  <c r="DS311" i="5"/>
  <c r="DS320" i="5"/>
  <c r="BW321" i="5"/>
  <c r="DU313" i="5"/>
  <c r="FT313" i="5"/>
  <c r="BX313" i="5"/>
  <c r="DF324" i="5"/>
  <c r="DF332" i="5"/>
  <c r="AM325" i="5"/>
  <c r="AM333" i="5"/>
  <c r="DY326" i="5"/>
  <c r="DY334" i="5"/>
  <c r="FR330" i="5"/>
  <c r="AY330" i="5"/>
  <c r="AY324" i="5"/>
  <c r="FR324" i="5"/>
  <c r="BW338" i="5"/>
  <c r="BY338" i="5" s="1"/>
  <c r="BZ338" i="5"/>
  <c r="CB338" i="5" s="1"/>
  <c r="BZ330" i="5"/>
  <c r="CB330" i="5" s="1"/>
  <c r="DU330" i="5"/>
  <c r="FT330" i="5"/>
  <c r="BX330" i="5"/>
  <c r="BY330" i="5" s="1"/>
  <c r="BZ267" i="5"/>
  <c r="CB267" i="5" s="1"/>
  <c r="BZ286" i="5"/>
  <c r="CB286" i="5" s="1"/>
  <c r="BZ415" i="5"/>
  <c r="CB415" i="5" s="1"/>
  <c r="DU415" i="5"/>
  <c r="FT415" i="5"/>
  <c r="BX415" i="5"/>
  <c r="BY415" i="5" s="1"/>
  <c r="BX374" i="5"/>
  <c r="BY374" i="5" s="1"/>
  <c r="BZ374" i="5"/>
  <c r="CB374" i="5" s="1"/>
  <c r="DU374" i="5"/>
  <c r="FT374" i="5"/>
  <c r="BZ346" i="5"/>
  <c r="CB346" i="5" s="1"/>
  <c r="DF346" i="5"/>
  <c r="DF354" i="5"/>
  <c r="AM346" i="5"/>
  <c r="AM354" i="5"/>
  <c r="DY346" i="5"/>
  <c r="DY354" i="5"/>
  <c r="FR343" i="5"/>
  <c r="AY343" i="5"/>
  <c r="FR353" i="5"/>
  <c r="AY353" i="5"/>
  <c r="DS345" i="5"/>
  <c r="FT342" i="5"/>
  <c r="BX342" i="5"/>
  <c r="DU342" i="5"/>
  <c r="AE358" i="5"/>
  <c r="DF358" i="5"/>
  <c r="AM357" i="5"/>
  <c r="DF368" i="5"/>
  <c r="AM369" i="5"/>
  <c r="DY361" i="5"/>
  <c r="DY369" i="5"/>
  <c r="AY360" i="5"/>
  <c r="FR360" i="5"/>
  <c r="AY369" i="5"/>
  <c r="FR369" i="5"/>
  <c r="BX369" i="5"/>
  <c r="DU369" i="5"/>
  <c r="FT369" i="5"/>
  <c r="BX370" i="5"/>
  <c r="BZ370" i="5"/>
  <c r="CB370" i="5" s="1"/>
  <c r="DU370" i="5"/>
  <c r="FT370" i="5"/>
  <c r="BX362" i="5"/>
  <c r="BY362" i="5" s="1"/>
  <c r="FT362" i="5"/>
  <c r="BZ362" i="5"/>
  <c r="CB362" i="5" s="1"/>
  <c r="DU362" i="5"/>
  <c r="BZ354" i="5"/>
  <c r="CB354" i="5" s="1"/>
  <c r="DU354" i="5"/>
  <c r="FT354" i="5"/>
  <c r="BX354" i="5"/>
  <c r="DF375" i="5"/>
  <c r="AM376" i="5"/>
  <c r="BZ387" i="5"/>
  <c r="CB387" i="5" s="1"/>
  <c r="BZ379" i="5"/>
  <c r="CB379" i="5" s="1"/>
  <c r="DU379" i="5"/>
  <c r="FT379" i="5"/>
  <c r="BX379" i="5"/>
  <c r="BY379" i="5" s="1"/>
  <c r="DF385" i="5"/>
  <c r="AM382" i="5"/>
  <c r="DY372" i="5"/>
  <c r="DY380" i="5"/>
  <c r="DY388" i="5"/>
  <c r="FR378" i="5"/>
  <c r="AY378" i="5"/>
  <c r="FR386" i="5"/>
  <c r="AY386" i="5"/>
  <c r="DS376" i="5"/>
  <c r="DS384" i="5"/>
  <c r="BX377" i="5"/>
  <c r="DU377" i="5"/>
  <c r="FT377" i="5"/>
  <c r="BW371" i="5"/>
  <c r="BY371" i="5" s="1"/>
  <c r="BW388" i="5"/>
  <c r="BX397" i="5"/>
  <c r="BY397" i="5" s="1"/>
  <c r="BZ397" i="5"/>
  <c r="CB397" i="5" s="1"/>
  <c r="DU397" i="5"/>
  <c r="FT397" i="5"/>
  <c r="DU389" i="5"/>
  <c r="BX389" i="5"/>
  <c r="FT389" i="5"/>
  <c r="BZ389" i="5"/>
  <c r="CB389" i="5" s="1"/>
  <c r="DF395" i="5"/>
  <c r="DF403" i="5"/>
  <c r="AM394" i="5"/>
  <c r="AM402" i="5"/>
  <c r="DY393" i="5"/>
  <c r="DY401" i="5"/>
  <c r="AY392" i="5"/>
  <c r="FR392" i="5"/>
  <c r="AY400" i="5"/>
  <c r="FR400" i="5"/>
  <c r="DS391" i="5"/>
  <c r="DS399" i="5"/>
  <c r="FT392" i="5"/>
  <c r="BX392" i="5"/>
  <c r="DU392" i="5"/>
  <c r="BX405" i="5"/>
  <c r="DU405" i="5"/>
  <c r="FT405" i="5"/>
  <c r="BW402" i="5"/>
  <c r="BY402" i="5" s="1"/>
  <c r="FT420" i="5"/>
  <c r="BX420" i="5"/>
  <c r="BY420" i="5" s="1"/>
  <c r="DF413" i="5"/>
  <c r="DF421" i="5"/>
  <c r="AM409" i="5"/>
  <c r="AM417" i="5"/>
  <c r="AM425" i="5"/>
  <c r="DY413" i="5"/>
  <c r="DY421" i="5"/>
  <c r="AY409" i="5"/>
  <c r="AZ409" i="5" s="1"/>
  <c r="CI409" i="5" s="1"/>
  <c r="FR409" i="5"/>
  <c r="AY417" i="5"/>
  <c r="FR417" i="5"/>
  <c r="DS406" i="5"/>
  <c r="DS414" i="5"/>
  <c r="DS422" i="5"/>
  <c r="FT416" i="5"/>
  <c r="BX416" i="5"/>
  <c r="DU416" i="5"/>
  <c r="BW407" i="5"/>
  <c r="DF430" i="5"/>
  <c r="DF438" i="5"/>
  <c r="BX426" i="5"/>
  <c r="BY426" i="5" s="1"/>
  <c r="BZ426" i="5"/>
  <c r="CB426" i="5" s="1"/>
  <c r="DU426" i="5"/>
  <c r="BX434" i="5"/>
  <c r="BY434" i="5" s="1"/>
  <c r="BZ434" i="5"/>
  <c r="CB434" i="5" s="1"/>
  <c r="DU434" i="5"/>
  <c r="FT434" i="5"/>
  <c r="AM430" i="5"/>
  <c r="AM438" i="5"/>
  <c r="DY426" i="5"/>
  <c r="DY434" i="5"/>
  <c r="AY430" i="5"/>
  <c r="FR430" i="5"/>
  <c r="AY438" i="5"/>
  <c r="DS426" i="5"/>
  <c r="DS434" i="5"/>
  <c r="BW435" i="5"/>
  <c r="BX431" i="5"/>
  <c r="DU431" i="5"/>
  <c r="FT431" i="5"/>
  <c r="DF97" i="5"/>
  <c r="DC97" i="5"/>
  <c r="BX99" i="5"/>
  <c r="BY99" i="5" s="1"/>
  <c r="BZ99" i="5"/>
  <c r="CB99" i="5" s="1"/>
  <c r="FT99" i="5"/>
  <c r="DU99" i="5"/>
  <c r="DY99" i="5"/>
  <c r="R99" i="5"/>
  <c r="EF99" i="5" s="1"/>
  <c r="EE99" i="5" s="1"/>
  <c r="AU99" i="5"/>
  <c r="DS96" i="5"/>
  <c r="DS104" i="5"/>
  <c r="AZ494" i="5"/>
  <c r="AD150" i="5"/>
  <c r="BZ150" i="5"/>
  <c r="CB150" i="5" s="1"/>
  <c r="DU150" i="5"/>
  <c r="FT150" i="5"/>
  <c r="BX150" i="5"/>
  <c r="BY150" i="5" s="1"/>
  <c r="DY152" i="5"/>
  <c r="DU273" i="5"/>
  <c r="FT273" i="5"/>
  <c r="BX273" i="5"/>
  <c r="AJ107" i="5"/>
  <c r="AJ108" i="5" s="1"/>
  <c r="DS148" i="5"/>
  <c r="FS148" i="5"/>
  <c r="BL148" i="5"/>
  <c r="DT148" i="5" s="1"/>
  <c r="BT148" i="5"/>
  <c r="BE148" i="5"/>
  <c r="BF148" i="5" s="1"/>
  <c r="BH148" i="5" s="1"/>
  <c r="BU148" i="5"/>
  <c r="FT500" i="5"/>
  <c r="FS500" i="5" s="1"/>
  <c r="FU500" i="5" s="1"/>
  <c r="AY500" i="5"/>
  <c r="AZ500" i="5" s="1"/>
  <c r="DU498" i="5"/>
  <c r="DV498" i="5" s="1"/>
  <c r="EB498" i="5" s="1"/>
  <c r="AR494" i="5"/>
  <c r="AU493" i="5"/>
  <c r="AV493" i="5" s="1"/>
  <c r="AR486" i="5"/>
  <c r="AU485" i="5"/>
  <c r="AV485" i="5" s="1"/>
  <c r="DC481" i="5"/>
  <c r="AR478" i="5"/>
  <c r="AU477" i="5"/>
  <c r="AV477" i="5" s="1"/>
  <c r="AR470" i="5"/>
  <c r="AU469" i="5"/>
  <c r="AV469" i="5" s="1"/>
  <c r="FT453" i="5"/>
  <c r="DC453" i="5"/>
  <c r="FR452" i="5"/>
  <c r="DU451" i="5"/>
  <c r="BZ451" i="5"/>
  <c r="CB451" i="5" s="1"/>
  <c r="BW449" i="5"/>
  <c r="BY449" i="5" s="1"/>
  <c r="FT448" i="5"/>
  <c r="DF448" i="5"/>
  <c r="AY448" i="5"/>
  <c r="AZ448" i="5" s="1"/>
  <c r="CI448" i="5" s="1"/>
  <c r="AM446" i="5"/>
  <c r="CI445" i="5"/>
  <c r="BX444" i="5"/>
  <c r="AR444" i="5"/>
  <c r="AY443" i="5"/>
  <c r="AY441" i="5"/>
  <c r="AZ441" i="5" s="1"/>
  <c r="CI441" i="5" s="1"/>
  <c r="BZ439" i="5"/>
  <c r="CB439" i="5" s="1"/>
  <c r="FR438" i="5"/>
  <c r="DC436" i="5"/>
  <c r="AY426" i="5"/>
  <c r="DU420" i="5"/>
  <c r="FR42" i="5"/>
  <c r="BL42" i="5"/>
  <c r="DT42" i="5" s="1"/>
  <c r="DV42" i="5" s="1"/>
  <c r="EB42" i="5" s="1"/>
  <c r="BT42" i="5"/>
  <c r="BE42" i="5"/>
  <c r="BU42" i="5"/>
  <c r="AY38" i="5"/>
  <c r="AR356" i="5"/>
  <c r="CG356" i="5" s="1"/>
  <c r="DC356" i="5"/>
  <c r="AM263" i="5"/>
  <c r="AH267" i="5"/>
  <c r="DF267" i="5"/>
  <c r="FR272" i="5"/>
  <c r="AY272" i="5"/>
  <c r="DF273" i="5"/>
  <c r="FT315" i="5"/>
  <c r="BX315" i="5"/>
  <c r="BY315" i="5" s="1"/>
  <c r="BZ315" i="5"/>
  <c r="CB315" i="5" s="1"/>
  <c r="DU315" i="5"/>
  <c r="BZ298" i="5"/>
  <c r="CB298" i="5" s="1"/>
  <c r="DF307" i="5"/>
  <c r="DF310" i="5"/>
  <c r="AM317" i="5"/>
  <c r="AY316" i="5"/>
  <c r="FR316" i="5"/>
  <c r="DF329" i="5"/>
  <c r="AY335" i="5"/>
  <c r="FR335" i="5"/>
  <c r="DU334" i="5"/>
  <c r="FT334" i="5"/>
  <c r="BX334" i="5"/>
  <c r="DY343" i="5"/>
  <c r="BW349" i="5"/>
  <c r="DF365" i="5"/>
  <c r="FR366" i="5"/>
  <c r="AY366" i="5"/>
  <c r="BZ357" i="5"/>
  <c r="CB357" i="5" s="1"/>
  <c r="BZ382" i="5"/>
  <c r="CB382" i="5" s="1"/>
  <c r="FR375" i="5"/>
  <c r="AY375" i="5"/>
  <c r="AM399" i="5"/>
  <c r="AY405" i="5"/>
  <c r="FR405" i="5"/>
  <c r="AH408" i="5"/>
  <c r="BZ408" i="5"/>
  <c r="CB408" i="5" s="1"/>
  <c r="DY410" i="5"/>
  <c r="AM427" i="5"/>
  <c r="FR427" i="5"/>
  <c r="AY427" i="5"/>
  <c r="AE102" i="5"/>
  <c r="AG102" i="5" s="1"/>
  <c r="DC102" i="5"/>
  <c r="DF102" i="5"/>
  <c r="AE151" i="5"/>
  <c r="AG151" i="5" s="1"/>
  <c r="DF151" i="5"/>
  <c r="DC151" i="5"/>
  <c r="FS129" i="5"/>
  <c r="FS131" i="5"/>
  <c r="FS124" i="5"/>
  <c r="FS132" i="5"/>
  <c r="FS140" i="5"/>
  <c r="AU70" i="5"/>
  <c r="DF21" i="5"/>
  <c r="DC21" i="5"/>
  <c r="DY21" i="5"/>
  <c r="FS24" i="5"/>
  <c r="CA24" i="5"/>
  <c r="DC27" i="5"/>
  <c r="DF27" i="5"/>
  <c r="DY27" i="5"/>
  <c r="BL30" i="5"/>
  <c r="DT30" i="5" s="1"/>
  <c r="DV30" i="5" s="1"/>
  <c r="EB30" i="5" s="1"/>
  <c r="BT30" i="5"/>
  <c r="FR30" i="5"/>
  <c r="FU30" i="5" s="1"/>
  <c r="BU30" i="5"/>
  <c r="BE30" i="5"/>
  <c r="FS32" i="5"/>
  <c r="CA32" i="5"/>
  <c r="CB32" i="5" s="1"/>
  <c r="DC35" i="5"/>
  <c r="DF35" i="5"/>
  <c r="DY35" i="5"/>
  <c r="BE38" i="5"/>
  <c r="BU38" i="5"/>
  <c r="FR38" i="5"/>
  <c r="FU38" i="5" s="1"/>
  <c r="BL38" i="5"/>
  <c r="DT38" i="5" s="1"/>
  <c r="DV38" i="5" s="1"/>
  <c r="EB38" i="5" s="1"/>
  <c r="BT38" i="5"/>
  <c r="FS40" i="5"/>
  <c r="CA40" i="5"/>
  <c r="CB40" i="5" s="1"/>
  <c r="DY43" i="5"/>
  <c r="DC43" i="5"/>
  <c r="DF43" i="5"/>
  <c r="BL46" i="5"/>
  <c r="DT46" i="5" s="1"/>
  <c r="DV46" i="5" s="1"/>
  <c r="BE46" i="5"/>
  <c r="BU46" i="5"/>
  <c r="FR46" i="5"/>
  <c r="FU46" i="5" s="1"/>
  <c r="BT46" i="5"/>
  <c r="FS48" i="5"/>
  <c r="CA48" i="5"/>
  <c r="CB48" i="5" s="1"/>
  <c r="DY51" i="5"/>
  <c r="DC51" i="5"/>
  <c r="DF51" i="5"/>
  <c r="AY26" i="5"/>
  <c r="AY34" i="5"/>
  <c r="AY42" i="5"/>
  <c r="AY50" i="5"/>
  <c r="DY252" i="5"/>
  <c r="R254" i="5"/>
  <c r="AU254" i="5"/>
  <c r="AV254" i="5" s="1"/>
  <c r="R258" i="5"/>
  <c r="EF258" i="5" s="1"/>
  <c r="EE258" i="5" s="1"/>
  <c r="AU258" i="5"/>
  <c r="AV258" i="5" s="1"/>
  <c r="R262" i="5"/>
  <c r="EF262" i="5" s="1"/>
  <c r="EE262" i="5" s="1"/>
  <c r="AU262" i="5"/>
  <c r="AV262" i="5" s="1"/>
  <c r="R266" i="5"/>
  <c r="EF266" i="5" s="1"/>
  <c r="EE266" i="5" s="1"/>
  <c r="AU266" i="5"/>
  <c r="R270" i="5"/>
  <c r="EF270" i="5" s="1"/>
  <c r="EE270" i="5" s="1"/>
  <c r="AU270" i="5"/>
  <c r="R279" i="5"/>
  <c r="EF279" i="5" s="1"/>
  <c r="EE279" i="5" s="1"/>
  <c r="AU279" i="5"/>
  <c r="AR298" i="5"/>
  <c r="CG298" i="5" s="1"/>
  <c r="DC298" i="5"/>
  <c r="DC302" i="5"/>
  <c r="AR302" i="5"/>
  <c r="CG302" i="5" s="1"/>
  <c r="AV306" i="5"/>
  <c r="AR317" i="5"/>
  <c r="CG317" i="5" s="1"/>
  <c r="DC317" i="5"/>
  <c r="AR347" i="5"/>
  <c r="CG347" i="5" s="1"/>
  <c r="DC347" i="5"/>
  <c r="DC350" i="5"/>
  <c r="AR350" i="5"/>
  <c r="CG350" i="5" s="1"/>
  <c r="DC354" i="5"/>
  <c r="AR354" i="5"/>
  <c r="CG354" i="5" s="1"/>
  <c r="AV357" i="5"/>
  <c r="DC361" i="5"/>
  <c r="AR361" i="5"/>
  <c r="CG361" i="5" s="1"/>
  <c r="AV386" i="5"/>
  <c r="AV389" i="5"/>
  <c r="AR393" i="5"/>
  <c r="CG393" i="5" s="1"/>
  <c r="DC393" i="5"/>
  <c r="DC404" i="5"/>
  <c r="AR404" i="5"/>
  <c r="CG404" i="5" s="1"/>
  <c r="AV408" i="5"/>
  <c r="AR413" i="5"/>
  <c r="DC413" i="5"/>
  <c r="AZ424" i="5"/>
  <c r="DC424" i="5"/>
  <c r="AR424" i="5"/>
  <c r="CG424" i="5" s="1"/>
  <c r="AM259" i="5"/>
  <c r="BZ260" i="5"/>
  <c r="CB260" i="5" s="1"/>
  <c r="DF253" i="5"/>
  <c r="DF261" i="5"/>
  <c r="DY255" i="5"/>
  <c r="DY263" i="5"/>
  <c r="FR260" i="5"/>
  <c r="AY260" i="5"/>
  <c r="DS257" i="5"/>
  <c r="FT255" i="5"/>
  <c r="BX255" i="5"/>
  <c r="DU255" i="5"/>
  <c r="BW255" i="5"/>
  <c r="CG262" i="5"/>
  <c r="CI424" i="5"/>
  <c r="CG368" i="5"/>
  <c r="CG360" i="5"/>
  <c r="AG264" i="5"/>
  <c r="AM264" i="5"/>
  <c r="AM272" i="5"/>
  <c r="DF271" i="5"/>
  <c r="DY269" i="5"/>
  <c r="FR268" i="5"/>
  <c r="AY268" i="5"/>
  <c r="BX268" i="5"/>
  <c r="DU268" i="5"/>
  <c r="FT268" i="5"/>
  <c r="BZ282" i="5"/>
  <c r="CB282" i="5" s="1"/>
  <c r="BZ274" i="5"/>
  <c r="CB274" i="5" s="1"/>
  <c r="DF277" i="5"/>
  <c r="DF285" i="5"/>
  <c r="AM278" i="5"/>
  <c r="AM286" i="5"/>
  <c r="DY279" i="5"/>
  <c r="DY287" i="5"/>
  <c r="FR280" i="5"/>
  <c r="AY280" i="5"/>
  <c r="DS274" i="5"/>
  <c r="DS281" i="5"/>
  <c r="DU277" i="5"/>
  <c r="FT277" i="5"/>
  <c r="BX277" i="5"/>
  <c r="BW278" i="5"/>
  <c r="DF289" i="5"/>
  <c r="FR290" i="5"/>
  <c r="AY290" i="5"/>
  <c r="BW288" i="5"/>
  <c r="BW301" i="5"/>
  <c r="FT301" i="5"/>
  <c r="BX301" i="5"/>
  <c r="DU301" i="5"/>
  <c r="DY297" i="5"/>
  <c r="AY292" i="5"/>
  <c r="FR292" i="5"/>
  <c r="FR300" i="5"/>
  <c r="AY300" i="5"/>
  <c r="DS297" i="5"/>
  <c r="DF299" i="5"/>
  <c r="BZ319" i="5"/>
  <c r="CB319" i="5" s="1"/>
  <c r="BZ311" i="5"/>
  <c r="CB311" i="5" s="1"/>
  <c r="DU311" i="5"/>
  <c r="FT311" i="5"/>
  <c r="BX311" i="5"/>
  <c r="AM298" i="5"/>
  <c r="BZ302" i="5"/>
  <c r="CB302" i="5" s="1"/>
  <c r="BX294" i="5"/>
  <c r="BZ294" i="5"/>
  <c r="CB294" i="5" s="1"/>
  <c r="DU294" i="5"/>
  <c r="FT294" i="5"/>
  <c r="DF303" i="5"/>
  <c r="AM306" i="5"/>
  <c r="FR304" i="5"/>
  <c r="AY304" i="5"/>
  <c r="DS307" i="5"/>
  <c r="BX304" i="5"/>
  <c r="BY304" i="5" s="1"/>
  <c r="BZ304" i="5"/>
  <c r="CB304" i="5" s="1"/>
  <c r="DU304" i="5"/>
  <c r="FT304" i="5"/>
  <c r="DF314" i="5"/>
  <c r="DF322" i="5"/>
  <c r="AM321" i="5"/>
  <c r="DY312" i="5"/>
  <c r="DY320" i="5"/>
  <c r="AY312" i="5"/>
  <c r="FR312" i="5"/>
  <c r="AY323" i="5"/>
  <c r="FR323" i="5"/>
  <c r="DS313" i="5"/>
  <c r="DS321" i="5"/>
  <c r="BW322" i="5"/>
  <c r="BY322" i="5" s="1"/>
  <c r="FT314" i="5"/>
  <c r="BX314" i="5"/>
  <c r="DU314" i="5"/>
  <c r="DF325" i="5"/>
  <c r="DF333" i="5"/>
  <c r="AM326" i="5"/>
  <c r="AM334" i="5"/>
  <c r="DY327" i="5"/>
  <c r="DY335" i="5"/>
  <c r="AY331" i="5"/>
  <c r="FR331" i="5"/>
  <c r="FR325" i="5"/>
  <c r="AY325" i="5"/>
  <c r="BX325" i="5"/>
  <c r="DU325" i="5"/>
  <c r="FT325" i="5"/>
  <c r="FT337" i="5"/>
  <c r="BZ337" i="5"/>
  <c r="CB337" i="5" s="1"/>
  <c r="DU337" i="5"/>
  <c r="BX337" i="5"/>
  <c r="BY337" i="5" s="1"/>
  <c r="BZ329" i="5"/>
  <c r="CB329" i="5" s="1"/>
  <c r="BZ266" i="5"/>
  <c r="CB266" i="5" s="1"/>
  <c r="BX285" i="5"/>
  <c r="BY285" i="5" s="1"/>
  <c r="BZ285" i="5"/>
  <c r="CB285" i="5" s="1"/>
  <c r="DU285" i="5"/>
  <c r="FT285" i="5"/>
  <c r="BX414" i="5"/>
  <c r="BY414" i="5" s="1"/>
  <c r="BZ414" i="5"/>
  <c r="CB414" i="5" s="1"/>
  <c r="DU414" i="5"/>
  <c r="FT414" i="5"/>
  <c r="BZ373" i="5"/>
  <c r="CB373" i="5" s="1"/>
  <c r="BZ345" i="5"/>
  <c r="CB345" i="5" s="1"/>
  <c r="DF339" i="5"/>
  <c r="DF347" i="5"/>
  <c r="AM339" i="5"/>
  <c r="AM347" i="5"/>
  <c r="DY339" i="5"/>
  <c r="DY347" i="5"/>
  <c r="AY346" i="5"/>
  <c r="FR346" i="5"/>
  <c r="FR344" i="5"/>
  <c r="AY344" i="5"/>
  <c r="AZ344" i="5" s="1"/>
  <c r="CI344" i="5" s="1"/>
  <c r="DS347" i="5"/>
  <c r="DS346" i="5"/>
  <c r="BW341" i="5"/>
  <c r="FT345" i="5"/>
  <c r="BX345" i="5"/>
  <c r="DU345" i="5"/>
  <c r="DF359" i="5"/>
  <c r="AM358" i="5"/>
  <c r="DF369" i="5"/>
  <c r="AM370" i="5"/>
  <c r="DY362" i="5"/>
  <c r="DY370" i="5"/>
  <c r="AY361" i="5"/>
  <c r="AZ361" i="5" s="1"/>
  <c r="CI361" i="5" s="1"/>
  <c r="FR361" i="5"/>
  <c r="FR370" i="5"/>
  <c r="AY370" i="5"/>
  <c r="BW357" i="5"/>
  <c r="BZ369" i="5"/>
  <c r="CB369" i="5" s="1"/>
  <c r="BZ361" i="5"/>
  <c r="CB361" i="5" s="1"/>
  <c r="FT353" i="5"/>
  <c r="BX353" i="5"/>
  <c r="BY353" i="5" s="1"/>
  <c r="BZ353" i="5"/>
  <c r="CB353" i="5" s="1"/>
  <c r="DU353" i="5"/>
  <c r="DF376" i="5"/>
  <c r="AM377" i="5"/>
  <c r="BZ386" i="5"/>
  <c r="CB386" i="5" s="1"/>
  <c r="DF378" i="5"/>
  <c r="DF386" i="5"/>
  <c r="AM383" i="5"/>
  <c r="DY373" i="5"/>
  <c r="DY381" i="5"/>
  <c r="FR371" i="5"/>
  <c r="AY371" i="5"/>
  <c r="FR379" i="5"/>
  <c r="AY379" i="5"/>
  <c r="FR387" i="5"/>
  <c r="AY387" i="5"/>
  <c r="DS377" i="5"/>
  <c r="DS385" i="5"/>
  <c r="FT380" i="5"/>
  <c r="BX380" i="5"/>
  <c r="DU380" i="5"/>
  <c r="BW373" i="5"/>
  <c r="BY373" i="5" s="1"/>
  <c r="BW386" i="5"/>
  <c r="FT396" i="5"/>
  <c r="BX396" i="5"/>
  <c r="BY396" i="5" s="1"/>
  <c r="BZ396" i="5"/>
  <c r="CB396" i="5" s="1"/>
  <c r="DU396" i="5"/>
  <c r="BZ403" i="5"/>
  <c r="CB403" i="5" s="1"/>
  <c r="DU403" i="5"/>
  <c r="FT403" i="5"/>
  <c r="BX403" i="5"/>
  <c r="BY403" i="5" s="1"/>
  <c r="DF396" i="5"/>
  <c r="DF404" i="5"/>
  <c r="AM395" i="5"/>
  <c r="AM403" i="5"/>
  <c r="DY392" i="5"/>
  <c r="DY402" i="5"/>
  <c r="AY393" i="5"/>
  <c r="FR393" i="5"/>
  <c r="AY401" i="5"/>
  <c r="AZ401" i="5" s="1"/>
  <c r="CI401" i="5" s="1"/>
  <c r="FR401" i="5"/>
  <c r="DS392" i="5"/>
  <c r="DS400" i="5"/>
  <c r="BX393" i="5"/>
  <c r="DU393" i="5"/>
  <c r="FT393" i="5"/>
  <c r="BW391" i="5"/>
  <c r="BY391" i="5" s="1"/>
  <c r="BW404" i="5"/>
  <c r="BZ421" i="5"/>
  <c r="CB421" i="5" s="1"/>
  <c r="DF406" i="5"/>
  <c r="DF414" i="5"/>
  <c r="AM410" i="5"/>
  <c r="AM418" i="5"/>
  <c r="DY407" i="5"/>
  <c r="DY414" i="5"/>
  <c r="DY422" i="5"/>
  <c r="FR410" i="5"/>
  <c r="AY410" i="5"/>
  <c r="DS407" i="5"/>
  <c r="DS415" i="5"/>
  <c r="BX417" i="5"/>
  <c r="BY417" i="5" s="1"/>
  <c r="DU417" i="5"/>
  <c r="FT417" i="5"/>
  <c r="BW408" i="5"/>
  <c r="BW422" i="5"/>
  <c r="BY422" i="5" s="1"/>
  <c r="AE439" i="5"/>
  <c r="DF439" i="5"/>
  <c r="BZ427" i="5"/>
  <c r="CB427" i="5" s="1"/>
  <c r="DU427" i="5"/>
  <c r="FT427" i="5"/>
  <c r="BX427" i="5"/>
  <c r="BZ435" i="5"/>
  <c r="CB435" i="5" s="1"/>
  <c r="AM439" i="5"/>
  <c r="DY427" i="5"/>
  <c r="DY435" i="5"/>
  <c r="AY439" i="5"/>
  <c r="DS427" i="5"/>
  <c r="DS435" i="5"/>
  <c r="FT433" i="5"/>
  <c r="BX433" i="5"/>
  <c r="AG447" i="5"/>
  <c r="DC98" i="5"/>
  <c r="DF98" i="5"/>
  <c r="DU98" i="5"/>
  <c r="BX98" i="5"/>
  <c r="BY98" i="5" s="1"/>
  <c r="BZ98" i="5"/>
  <c r="CB98" i="5" s="1"/>
  <c r="FT98" i="5"/>
  <c r="DY100" i="5"/>
  <c r="R98" i="5"/>
  <c r="EF98" i="5" s="1"/>
  <c r="EE98" i="5" s="1"/>
  <c r="AU98" i="5"/>
  <c r="AV98" i="5" s="1"/>
  <c r="DS97" i="5"/>
  <c r="BX149" i="5"/>
  <c r="BY149" i="5" s="1"/>
  <c r="FT149" i="5"/>
  <c r="BZ149" i="5"/>
  <c r="CB149" i="5" s="1"/>
  <c r="DU149" i="5"/>
  <c r="DY151" i="5"/>
  <c r="DS149" i="5"/>
  <c r="FS151" i="5"/>
  <c r="BL151" i="5"/>
  <c r="DT151" i="5" s="1"/>
  <c r="DV151" i="5" s="1"/>
  <c r="BE151" i="5"/>
  <c r="BF151" i="5" s="1"/>
  <c r="BH151" i="5" s="1"/>
  <c r="BU151" i="5"/>
  <c r="BT151" i="5"/>
  <c r="BX499" i="5"/>
  <c r="BY499" i="5" s="1"/>
  <c r="CC499" i="5" s="1"/>
  <c r="CE499" i="5" s="1"/>
  <c r="AR499" i="5"/>
  <c r="AU498" i="5"/>
  <c r="AV498" i="5" s="1"/>
  <c r="FT497" i="5"/>
  <c r="FS497" i="5" s="1"/>
  <c r="FU497" i="5" s="1"/>
  <c r="AY497" i="5"/>
  <c r="AR491" i="5"/>
  <c r="AU490" i="5"/>
  <c r="AV490" i="5" s="1"/>
  <c r="AR483" i="5"/>
  <c r="AU482" i="5"/>
  <c r="AV482" i="5" s="1"/>
  <c r="AR475" i="5"/>
  <c r="AU474" i="5"/>
  <c r="AV474" i="5" s="1"/>
  <c r="DC470" i="5"/>
  <c r="AM452" i="5"/>
  <c r="BX450" i="5"/>
  <c r="BY450" i="5" s="1"/>
  <c r="AY449" i="5"/>
  <c r="AZ449" i="5" s="1"/>
  <c r="CI449" i="5" s="1"/>
  <c r="DC448" i="5"/>
  <c r="AM447" i="5"/>
  <c r="DU446" i="5"/>
  <c r="BZ446" i="5"/>
  <c r="CB446" i="5" s="1"/>
  <c r="BX445" i="5"/>
  <c r="BY445" i="5" s="1"/>
  <c r="AR445" i="5"/>
  <c r="CG445" i="5" s="1"/>
  <c r="CG444" i="5"/>
  <c r="BW444" i="5"/>
  <c r="FT443" i="5"/>
  <c r="DU433" i="5"/>
  <c r="CG433" i="5"/>
  <c r="FT432" i="5"/>
  <c r="BX432" i="5"/>
  <c r="FR431" i="5"/>
  <c r="DU424" i="5"/>
  <c r="FS52" i="5"/>
  <c r="CA52" i="5"/>
  <c r="CB52" i="5" s="1"/>
  <c r="R260" i="5"/>
  <c r="EF260" i="5" s="1"/>
  <c r="EE260" i="5" s="1"/>
  <c r="AU260" i="5"/>
  <c r="AR398" i="5"/>
  <c r="CG398" i="5" s="1"/>
  <c r="DC398" i="5"/>
  <c r="DF257" i="5"/>
  <c r="BW268" i="5"/>
  <c r="FT297" i="5"/>
  <c r="BX297" i="5"/>
  <c r="DU297" i="5"/>
  <c r="AM302" i="5"/>
  <c r="AM311" i="5"/>
  <c r="BZ418" i="5"/>
  <c r="CB418" i="5" s="1"/>
  <c r="AY357" i="5"/>
  <c r="AZ357" i="5" s="1"/>
  <c r="CI357" i="5" s="1"/>
  <c r="FR357" i="5"/>
  <c r="FR151" i="5"/>
  <c r="AY151" i="5"/>
  <c r="DS153" i="5"/>
  <c r="AU216" i="5"/>
  <c r="BT21" i="5"/>
  <c r="BU21" i="5"/>
  <c r="BE21" i="5"/>
  <c r="FR21" i="5"/>
  <c r="FU21" i="5" s="1"/>
  <c r="BL21" i="5"/>
  <c r="DT21" i="5" s="1"/>
  <c r="DV21" i="5" s="1"/>
  <c r="EB21" i="5" s="1"/>
  <c r="DC24" i="5"/>
  <c r="DF24" i="5"/>
  <c r="DY24" i="5"/>
  <c r="FR27" i="5"/>
  <c r="FU27" i="5" s="1"/>
  <c r="BL27" i="5"/>
  <c r="DT27" i="5" s="1"/>
  <c r="DV27" i="5" s="1"/>
  <c r="BT27" i="5"/>
  <c r="BE27" i="5"/>
  <c r="BU27" i="5"/>
  <c r="FS29" i="5"/>
  <c r="CA29" i="5"/>
  <c r="CB29" i="5" s="1"/>
  <c r="DF32" i="5"/>
  <c r="DY32" i="5"/>
  <c r="DC32" i="5"/>
  <c r="FR35" i="5"/>
  <c r="FU35" i="5" s="1"/>
  <c r="BT35" i="5"/>
  <c r="BV35" i="5" s="1"/>
  <c r="CC35" i="5" s="1"/>
  <c r="BE35" i="5"/>
  <c r="BL35" i="5"/>
  <c r="DT35" i="5" s="1"/>
  <c r="DV35" i="5" s="1"/>
  <c r="BU35" i="5"/>
  <c r="DY40" i="5"/>
  <c r="DC40" i="5"/>
  <c r="DF40" i="5"/>
  <c r="BT43" i="5"/>
  <c r="BE43" i="5"/>
  <c r="BU43" i="5"/>
  <c r="FR43" i="5"/>
  <c r="BL43" i="5"/>
  <c r="DT43" i="5" s="1"/>
  <c r="DV43" i="5" s="1"/>
  <c r="FS45" i="5"/>
  <c r="CA45" i="5"/>
  <c r="CB45" i="5" s="1"/>
  <c r="DF48" i="5"/>
  <c r="DY48" i="5"/>
  <c r="DC48" i="5"/>
  <c r="FR51" i="5"/>
  <c r="BL51" i="5"/>
  <c r="DT51" i="5" s="1"/>
  <c r="DV51" i="5" s="1"/>
  <c r="BT51" i="5"/>
  <c r="BE51" i="5"/>
  <c r="BU51" i="5"/>
  <c r="AY27" i="5"/>
  <c r="AY35" i="5"/>
  <c r="AY43" i="5"/>
  <c r="AY51" i="5"/>
  <c r="AY252" i="5"/>
  <c r="AZ252" i="5" s="1"/>
  <c r="CI252" i="5" s="1"/>
  <c r="FR252" i="5"/>
  <c r="R271" i="5"/>
  <c r="AU271" i="5"/>
  <c r="R275" i="5"/>
  <c r="EF275" i="5" s="1"/>
  <c r="EE275" i="5" s="1"/>
  <c r="AU275" i="5"/>
  <c r="R280" i="5"/>
  <c r="EF280" i="5" s="1"/>
  <c r="EE280" i="5" s="1"/>
  <c r="AU280" i="5"/>
  <c r="AZ290" i="5"/>
  <c r="CI290" i="5" s="1"/>
  <c r="DC290" i="5"/>
  <c r="AR290" i="5"/>
  <c r="CG290" i="5" s="1"/>
  <c r="AR294" i="5"/>
  <c r="DC294" i="5"/>
  <c r="AV298" i="5"/>
  <c r="AV302" i="5"/>
  <c r="AV317" i="5"/>
  <c r="AR325" i="5"/>
  <c r="CG325" i="5" s="1"/>
  <c r="DC325" i="5"/>
  <c r="AR333" i="5"/>
  <c r="CG333" i="5" s="1"/>
  <c r="DC333" i="5"/>
  <c r="DC340" i="5"/>
  <c r="AR340" i="5"/>
  <c r="CG340" i="5" s="1"/>
  <c r="DC344" i="5"/>
  <c r="AR344" i="5"/>
  <c r="CG344" i="5" s="1"/>
  <c r="AV372" i="5"/>
  <c r="DC380" i="5"/>
  <c r="AR380" i="5"/>
  <c r="CG380" i="5" s="1"/>
  <c r="AR397" i="5"/>
  <c r="DC397" i="5"/>
  <c r="AR409" i="5"/>
  <c r="CG409" i="5" s="1"/>
  <c r="DC409" i="5"/>
  <c r="DC420" i="5"/>
  <c r="AR420" i="5"/>
  <c r="CG420" i="5" s="1"/>
  <c r="AZ428" i="5"/>
  <c r="CI428" i="5" s="1"/>
  <c r="DC428" i="5"/>
  <c r="AR428" i="5"/>
  <c r="CG428" i="5" s="1"/>
  <c r="AM260" i="5"/>
  <c r="FT259" i="5"/>
  <c r="BX259" i="5"/>
  <c r="BZ259" i="5"/>
  <c r="CB259" i="5" s="1"/>
  <c r="DU259" i="5"/>
  <c r="DF254" i="5"/>
  <c r="DF262" i="5"/>
  <c r="DY256" i="5"/>
  <c r="FR253" i="5"/>
  <c r="AY253" i="5"/>
  <c r="FR261" i="5"/>
  <c r="AY261" i="5"/>
  <c r="DS258" i="5"/>
  <c r="BX256" i="5"/>
  <c r="DU256" i="5"/>
  <c r="FT256" i="5"/>
  <c r="BW256" i="5"/>
  <c r="CG335" i="5"/>
  <c r="AM265" i="5"/>
  <c r="DF264" i="5"/>
  <c r="DF272" i="5"/>
  <c r="DY270" i="5"/>
  <c r="FR269" i="5"/>
  <c r="AY269" i="5"/>
  <c r="DU269" i="5"/>
  <c r="FT269" i="5"/>
  <c r="BX269" i="5"/>
  <c r="BZ281" i="5"/>
  <c r="CB281" i="5" s="1"/>
  <c r="BZ273" i="5"/>
  <c r="CB273" i="5" s="1"/>
  <c r="DF278" i="5"/>
  <c r="DF286" i="5"/>
  <c r="AM279" i="5"/>
  <c r="AM287" i="5"/>
  <c r="DY280" i="5"/>
  <c r="FR273" i="5"/>
  <c r="AY273" i="5"/>
  <c r="AY281" i="5"/>
  <c r="FR281" i="5"/>
  <c r="DS275" i="5"/>
  <c r="DS282" i="5"/>
  <c r="BX278" i="5"/>
  <c r="FT278" i="5"/>
  <c r="DU278" i="5"/>
  <c r="BW281" i="5"/>
  <c r="DF290" i="5"/>
  <c r="AY288" i="5"/>
  <c r="FR288" i="5"/>
  <c r="BW290" i="5"/>
  <c r="BW302" i="5"/>
  <c r="BX302" i="5"/>
  <c r="DU302" i="5"/>
  <c r="FT302" i="5"/>
  <c r="DY298" i="5"/>
  <c r="FR293" i="5"/>
  <c r="AY293" i="5"/>
  <c r="FR301" i="5"/>
  <c r="AY301" i="5"/>
  <c r="DS298" i="5"/>
  <c r="DF300" i="5"/>
  <c r="BZ318" i="5"/>
  <c r="CB318" i="5" s="1"/>
  <c r="BZ310" i="5"/>
  <c r="CB310" i="5" s="1"/>
  <c r="AM297" i="5"/>
  <c r="BZ301" i="5"/>
  <c r="CB301" i="5" s="1"/>
  <c r="BX293" i="5"/>
  <c r="BY293" i="5" s="1"/>
  <c r="BZ293" i="5"/>
  <c r="CB293" i="5" s="1"/>
  <c r="DU293" i="5"/>
  <c r="FT293" i="5"/>
  <c r="DF304" i="5"/>
  <c r="AM307" i="5"/>
  <c r="FR305" i="5"/>
  <c r="AY305" i="5"/>
  <c r="BX305" i="5"/>
  <c r="FT305" i="5"/>
  <c r="DU305" i="5"/>
  <c r="FT303" i="5"/>
  <c r="BX303" i="5"/>
  <c r="BY303" i="5" s="1"/>
  <c r="BZ303" i="5"/>
  <c r="CB303" i="5" s="1"/>
  <c r="DU303" i="5"/>
  <c r="AM308" i="5"/>
  <c r="DF315" i="5"/>
  <c r="DF323" i="5"/>
  <c r="AM322" i="5"/>
  <c r="DY313" i="5"/>
  <c r="DY321" i="5"/>
  <c r="FR313" i="5"/>
  <c r="AY313" i="5"/>
  <c r="AY320" i="5"/>
  <c r="FR320" i="5"/>
  <c r="DS314" i="5"/>
  <c r="DS322" i="5"/>
  <c r="BW323" i="5"/>
  <c r="BY323" i="5" s="1"/>
  <c r="DU318" i="5"/>
  <c r="FT318" i="5"/>
  <c r="BX318" i="5"/>
  <c r="DF326" i="5"/>
  <c r="DF334" i="5"/>
  <c r="AM327" i="5"/>
  <c r="AM335" i="5"/>
  <c r="DY328" i="5"/>
  <c r="DY336" i="5"/>
  <c r="AY332" i="5"/>
  <c r="FR332" i="5"/>
  <c r="FR326" i="5"/>
  <c r="AY326" i="5"/>
  <c r="BW325" i="5"/>
  <c r="BY325" i="5" s="1"/>
  <c r="FT327" i="5"/>
  <c r="BX327" i="5"/>
  <c r="DU327" i="5"/>
  <c r="BZ336" i="5"/>
  <c r="CB336" i="5" s="1"/>
  <c r="BX328" i="5"/>
  <c r="BY328" i="5" s="1"/>
  <c r="BZ328" i="5"/>
  <c r="CB328" i="5" s="1"/>
  <c r="DU328" i="5"/>
  <c r="FT328" i="5"/>
  <c r="BZ265" i="5"/>
  <c r="CB265" i="5" s="1"/>
  <c r="DU265" i="5"/>
  <c r="FT265" i="5"/>
  <c r="BX265" i="5"/>
  <c r="BY265" i="5" s="1"/>
  <c r="BZ284" i="5"/>
  <c r="CB284" i="5" s="1"/>
  <c r="BZ413" i="5"/>
  <c r="CB413" i="5" s="1"/>
  <c r="FT372" i="5"/>
  <c r="BX372" i="5"/>
  <c r="BY372" i="5" s="1"/>
  <c r="DU372" i="5"/>
  <c r="BZ372" i="5"/>
  <c r="CB372" i="5" s="1"/>
  <c r="BZ344" i="5"/>
  <c r="CB344" i="5" s="1"/>
  <c r="DU344" i="5"/>
  <c r="FT344" i="5"/>
  <c r="BX344" i="5"/>
  <c r="DF340" i="5"/>
  <c r="DF348" i="5"/>
  <c r="AM340" i="5"/>
  <c r="AM348" i="5"/>
  <c r="DY340" i="5"/>
  <c r="DY348" i="5"/>
  <c r="FR348" i="5"/>
  <c r="AY348" i="5"/>
  <c r="FR345" i="5"/>
  <c r="AY345" i="5"/>
  <c r="DS339" i="5"/>
  <c r="DS348" i="5"/>
  <c r="BW342" i="5"/>
  <c r="BY342" i="5" s="1"/>
  <c r="FT346" i="5"/>
  <c r="BX346" i="5"/>
  <c r="DU346" i="5"/>
  <c r="DF360" i="5"/>
  <c r="AM359" i="5"/>
  <c r="DF370" i="5"/>
  <c r="DY355" i="5"/>
  <c r="DY363" i="5"/>
  <c r="FR363" i="5"/>
  <c r="AY363" i="5"/>
  <c r="FR362" i="5"/>
  <c r="AY362" i="5"/>
  <c r="BX357" i="5"/>
  <c r="DU357" i="5"/>
  <c r="FT357" i="5"/>
  <c r="BW359" i="5"/>
  <c r="FT368" i="5"/>
  <c r="BX368" i="5"/>
  <c r="BY368" i="5" s="1"/>
  <c r="DU368" i="5"/>
  <c r="BZ368" i="5"/>
  <c r="CB368" i="5" s="1"/>
  <c r="BX360" i="5"/>
  <c r="BY360" i="5" s="1"/>
  <c r="DU360" i="5"/>
  <c r="BZ360" i="5"/>
  <c r="CB360" i="5" s="1"/>
  <c r="FT360" i="5"/>
  <c r="BX352" i="5"/>
  <c r="BY352" i="5" s="1"/>
  <c r="BZ352" i="5"/>
  <c r="CB352" i="5" s="1"/>
  <c r="DU352" i="5"/>
  <c r="FT352" i="5"/>
  <c r="DF377" i="5"/>
  <c r="BX385" i="5"/>
  <c r="BY385" i="5" s="1"/>
  <c r="FT385" i="5"/>
  <c r="BZ385" i="5"/>
  <c r="CB385" i="5" s="1"/>
  <c r="DU385" i="5"/>
  <c r="DF379" i="5"/>
  <c r="DF387" i="5"/>
  <c r="AM384" i="5"/>
  <c r="DY374" i="5"/>
  <c r="DY382" i="5"/>
  <c r="AY372" i="5"/>
  <c r="FR372" i="5"/>
  <c r="AY380" i="5"/>
  <c r="FR380" i="5"/>
  <c r="AY388" i="5"/>
  <c r="FR388" i="5"/>
  <c r="DS378" i="5"/>
  <c r="DS386" i="5"/>
  <c r="BX381" i="5"/>
  <c r="DU381" i="5"/>
  <c r="FT381" i="5"/>
  <c r="BW375" i="5"/>
  <c r="BY375" i="5" s="1"/>
  <c r="BW387" i="5"/>
  <c r="BY387" i="5" s="1"/>
  <c r="BZ395" i="5"/>
  <c r="CB395" i="5" s="1"/>
  <c r="DU395" i="5"/>
  <c r="FT395" i="5"/>
  <c r="BX395" i="5"/>
  <c r="BY395" i="5" s="1"/>
  <c r="BZ404" i="5"/>
  <c r="CB404" i="5" s="1"/>
  <c r="DF389" i="5"/>
  <c r="DF397" i="5"/>
  <c r="DF405" i="5"/>
  <c r="AM396" i="5"/>
  <c r="AM404" i="5"/>
  <c r="DY391" i="5"/>
  <c r="DY403" i="5"/>
  <c r="FR394" i="5"/>
  <c r="AY394" i="5"/>
  <c r="FR402" i="5"/>
  <c r="AY402" i="5"/>
  <c r="DS393" i="5"/>
  <c r="DS401" i="5"/>
  <c r="BX394" i="5"/>
  <c r="DU394" i="5"/>
  <c r="FT394" i="5"/>
  <c r="BW392" i="5"/>
  <c r="BY392" i="5" s="1"/>
  <c r="BW405" i="5"/>
  <c r="BZ422" i="5"/>
  <c r="CB422" i="5" s="1"/>
  <c r="DF407" i="5"/>
  <c r="DF415" i="5"/>
  <c r="DF423" i="5"/>
  <c r="AM411" i="5"/>
  <c r="AM419" i="5"/>
  <c r="DY406" i="5"/>
  <c r="DY415" i="5"/>
  <c r="DY423" i="5"/>
  <c r="FR411" i="5"/>
  <c r="AY411" i="5"/>
  <c r="FR419" i="5"/>
  <c r="AY419" i="5"/>
  <c r="DS408" i="5"/>
  <c r="DS416" i="5"/>
  <c r="DS425" i="5"/>
  <c r="BX418" i="5"/>
  <c r="DU418" i="5"/>
  <c r="FT418" i="5"/>
  <c r="BW410" i="5"/>
  <c r="BY410" i="5" s="1"/>
  <c r="BW424" i="5"/>
  <c r="BY424" i="5" s="1"/>
  <c r="DF432" i="5"/>
  <c r="DF440" i="5"/>
  <c r="BZ428" i="5"/>
  <c r="CB428" i="5" s="1"/>
  <c r="BZ436" i="5"/>
  <c r="CB436" i="5" s="1"/>
  <c r="DU436" i="5"/>
  <c r="AM432" i="5"/>
  <c r="AM440" i="5"/>
  <c r="DY428" i="5"/>
  <c r="FR432" i="5"/>
  <c r="AY432" i="5"/>
  <c r="AZ432" i="5" s="1"/>
  <c r="CI432" i="5" s="1"/>
  <c r="AY440" i="5"/>
  <c r="DS428" i="5"/>
  <c r="BX435" i="5"/>
  <c r="DU435" i="5"/>
  <c r="FT435" i="5"/>
  <c r="AE99" i="5"/>
  <c r="AG99" i="5" s="1"/>
  <c r="DF99" i="5"/>
  <c r="DC99" i="5"/>
  <c r="BX97" i="5"/>
  <c r="BY97" i="5" s="1"/>
  <c r="BZ97" i="5"/>
  <c r="CB97" i="5" s="1"/>
  <c r="FT97" i="5"/>
  <c r="DU97" i="5"/>
  <c r="DY101" i="5"/>
  <c r="EE104" i="5"/>
  <c r="DS98" i="5"/>
  <c r="R489" i="5"/>
  <c r="EF489" i="5" s="1"/>
  <c r="EE489" i="5" s="1"/>
  <c r="AD152" i="5"/>
  <c r="DC148" i="5"/>
  <c r="DF148" i="5"/>
  <c r="DY150" i="5"/>
  <c r="AY148" i="5"/>
  <c r="FR148" i="5"/>
  <c r="FU148" i="5" s="1"/>
  <c r="CM148" i="5" s="1"/>
  <c r="DS150" i="5"/>
  <c r="BL150" i="5"/>
  <c r="DT150" i="5" s="1"/>
  <c r="DV150" i="5" s="1"/>
  <c r="BT150" i="5"/>
  <c r="BE150" i="5"/>
  <c r="BU150" i="5"/>
  <c r="FS150" i="5"/>
  <c r="DC499" i="5"/>
  <c r="BX496" i="5"/>
  <c r="BY496" i="5" s="1"/>
  <c r="CC496" i="5" s="1"/>
  <c r="AR496" i="5"/>
  <c r="AU495" i="5"/>
  <c r="AV495" i="5" s="1"/>
  <c r="AR488" i="5"/>
  <c r="AU487" i="5"/>
  <c r="AV487" i="5" s="1"/>
  <c r="DC483" i="5"/>
  <c r="AR480" i="5"/>
  <c r="AU479" i="5"/>
  <c r="AV479" i="5" s="1"/>
  <c r="DC475" i="5"/>
  <c r="AR472" i="5"/>
  <c r="AU471" i="5"/>
  <c r="AV471" i="5" s="1"/>
  <c r="AM453" i="5"/>
  <c r="DU452" i="5"/>
  <c r="BX451" i="5"/>
  <c r="BY451" i="5" s="1"/>
  <c r="DC449" i="5"/>
  <c r="DU447" i="5"/>
  <c r="BZ447" i="5"/>
  <c r="CB447" i="5" s="1"/>
  <c r="AY444" i="5"/>
  <c r="AZ444" i="5" s="1"/>
  <c r="CI444" i="5" s="1"/>
  <c r="FT441" i="5"/>
  <c r="AR441" i="5"/>
  <c r="CG441" i="5" s="1"/>
  <c r="AM435" i="5"/>
  <c r="BZ433" i="5"/>
  <c r="CB433" i="5" s="1"/>
  <c r="BY432" i="5"/>
  <c r="BY427" i="5"/>
  <c r="BY406" i="5"/>
  <c r="BY400" i="5"/>
  <c r="DC23" i="5"/>
  <c r="DY23" i="5"/>
  <c r="DF23" i="5"/>
  <c r="BL34" i="5"/>
  <c r="DT34" i="5" s="1"/>
  <c r="DV34" i="5" s="1"/>
  <c r="BT34" i="5"/>
  <c r="BE34" i="5"/>
  <c r="BU34" i="5"/>
  <c r="FR34" i="5"/>
  <c r="DC416" i="5"/>
  <c r="AR416" i="5"/>
  <c r="CG416" i="5" s="1"/>
  <c r="AM255" i="5"/>
  <c r="BZ256" i="5"/>
  <c r="CB256" i="5" s="1"/>
  <c r="FR256" i="5"/>
  <c r="AY256" i="5"/>
  <c r="AM274" i="5"/>
  <c r="FR276" i="5"/>
  <c r="AY276" i="5"/>
  <c r="FT284" i="5"/>
  <c r="BX284" i="5"/>
  <c r="DU284" i="5"/>
  <c r="BZ323" i="5"/>
  <c r="CB323" i="5" s="1"/>
  <c r="BW306" i="5"/>
  <c r="DF319" i="5"/>
  <c r="FR308" i="5"/>
  <c r="AY308" i="5"/>
  <c r="BX321" i="5"/>
  <c r="DU321" i="5"/>
  <c r="FT321" i="5"/>
  <c r="AM362" i="5"/>
  <c r="DY366" i="5"/>
  <c r="BW365" i="5"/>
  <c r="AM379" i="5"/>
  <c r="DF392" i="5"/>
  <c r="BW398" i="5"/>
  <c r="DY418" i="5"/>
  <c r="FT408" i="5"/>
  <c r="BX408" i="5"/>
  <c r="DU408" i="5"/>
  <c r="BZ431" i="5"/>
  <c r="CB431" i="5" s="1"/>
  <c r="DS431" i="5"/>
  <c r="R95" i="5"/>
  <c r="EF95" i="5" s="1"/>
  <c r="EE95" i="5" s="1"/>
  <c r="AU95" i="5"/>
  <c r="K96" i="5"/>
  <c r="N96" i="5" s="1"/>
  <c r="DY96" i="5"/>
  <c r="R102" i="5"/>
  <c r="EF102" i="5" s="1"/>
  <c r="EE102" i="5" s="1"/>
  <c r="AU102" i="5"/>
  <c r="FS133" i="5"/>
  <c r="FS126" i="5"/>
  <c r="FS134" i="5"/>
  <c r="DC20" i="5"/>
  <c r="AN20" i="5"/>
  <c r="DO20" i="5" s="1"/>
  <c r="DY20" i="5"/>
  <c r="DF20" i="5"/>
  <c r="BU24" i="5"/>
  <c r="FR24" i="5"/>
  <c r="BE24" i="5"/>
  <c r="BL24" i="5"/>
  <c r="DT24" i="5" s="1"/>
  <c r="DV24" i="5" s="1"/>
  <c r="EB24" i="5" s="1"/>
  <c r="BT24" i="5"/>
  <c r="DF29" i="5"/>
  <c r="DC29" i="5"/>
  <c r="DY29" i="5"/>
  <c r="FR32" i="5"/>
  <c r="FU32" i="5" s="1"/>
  <c r="BL32" i="5"/>
  <c r="DT32" i="5" s="1"/>
  <c r="DV32" i="5" s="1"/>
  <c r="EB32" i="5" s="1"/>
  <c r="BT32" i="5"/>
  <c r="BE32" i="5"/>
  <c r="BU32" i="5"/>
  <c r="CA34" i="5"/>
  <c r="FS34" i="5"/>
  <c r="DY37" i="5"/>
  <c r="DC37" i="5"/>
  <c r="DF37" i="5"/>
  <c r="BE40" i="5"/>
  <c r="BU40" i="5"/>
  <c r="FR40" i="5"/>
  <c r="FU40" i="5" s="1"/>
  <c r="BL40" i="5"/>
  <c r="DT40" i="5" s="1"/>
  <c r="DV40" i="5" s="1"/>
  <c r="BT40" i="5"/>
  <c r="FS42" i="5"/>
  <c r="FU42" i="5" s="1"/>
  <c r="CA42" i="5"/>
  <c r="CB42" i="5" s="1"/>
  <c r="DY45" i="5"/>
  <c r="DF45" i="5"/>
  <c r="DC45" i="5"/>
  <c r="FR48" i="5"/>
  <c r="FU48" i="5" s="1"/>
  <c r="BL48" i="5"/>
  <c r="DT48" i="5" s="1"/>
  <c r="DV48" i="5" s="1"/>
  <c r="EB48" i="5" s="1"/>
  <c r="BT48" i="5"/>
  <c r="BE48" i="5"/>
  <c r="BU48" i="5"/>
  <c r="CA50" i="5"/>
  <c r="CB50" i="5" s="1"/>
  <c r="FS50" i="5"/>
  <c r="AY28" i="5"/>
  <c r="AY36" i="5"/>
  <c r="AY44" i="5"/>
  <c r="AY52" i="5"/>
  <c r="DS252" i="5"/>
  <c r="R255" i="5"/>
  <c r="EF255" i="5" s="1"/>
  <c r="EE255" i="5" s="1"/>
  <c r="AU255" i="5"/>
  <c r="R259" i="5"/>
  <c r="EF259" i="5" s="1"/>
  <c r="EE259" i="5" s="1"/>
  <c r="AU259" i="5"/>
  <c r="R263" i="5"/>
  <c r="EF263" i="5" s="1"/>
  <c r="EE263" i="5" s="1"/>
  <c r="AU263" i="5"/>
  <c r="R267" i="5"/>
  <c r="EF267" i="5" s="1"/>
  <c r="EE267" i="5" s="1"/>
  <c r="AU267" i="5"/>
  <c r="R272" i="5"/>
  <c r="EF272" i="5" s="1"/>
  <c r="EE272" i="5" s="1"/>
  <c r="AU272" i="5"/>
  <c r="R276" i="5"/>
  <c r="EF276" i="5" s="1"/>
  <c r="EE276" i="5" s="1"/>
  <c r="AU276" i="5"/>
  <c r="AV290" i="5"/>
  <c r="AV294" i="5"/>
  <c r="AV325" i="5"/>
  <c r="AV329" i="5"/>
  <c r="AV333" i="5"/>
  <c r="AV340" i="5"/>
  <c r="AV344" i="5"/>
  <c r="DC348" i="5"/>
  <c r="AR348" i="5"/>
  <c r="CG348" i="5" s="1"/>
  <c r="AZ358" i="5"/>
  <c r="AR358" i="5"/>
  <c r="CG358" i="5" s="1"/>
  <c r="DC358" i="5"/>
  <c r="AR373" i="5"/>
  <c r="CG373" i="5" s="1"/>
  <c r="DC373" i="5"/>
  <c r="AV380" i="5"/>
  <c r="AZ384" i="5"/>
  <c r="CI384" i="5" s="1"/>
  <c r="DC384" i="5"/>
  <c r="AR384" i="5"/>
  <c r="CG384" i="5" s="1"/>
  <c r="AZ390" i="5"/>
  <c r="CI390" i="5" s="1"/>
  <c r="AR390" i="5"/>
  <c r="CG390" i="5" s="1"/>
  <c r="DC390" i="5"/>
  <c r="AV397" i="5"/>
  <c r="AR401" i="5"/>
  <c r="CG401" i="5" s="1"/>
  <c r="DC401" i="5"/>
  <c r="AZ405" i="5"/>
  <c r="AR405" i="5"/>
  <c r="DC405" i="5"/>
  <c r="AV409" i="5"/>
  <c r="AV420" i="5"/>
  <c r="AR425" i="5"/>
  <c r="CG425" i="5" s="1"/>
  <c r="DC425" i="5"/>
  <c r="AV428" i="5"/>
  <c r="AM253" i="5"/>
  <c r="AM261" i="5"/>
  <c r="FT258" i="5"/>
  <c r="BX258" i="5"/>
  <c r="BY258" i="5" s="1"/>
  <c r="DU258" i="5"/>
  <c r="BZ258" i="5"/>
  <c r="CB258" i="5" s="1"/>
  <c r="DF255" i="5"/>
  <c r="DF263" i="5"/>
  <c r="DY257" i="5"/>
  <c r="AY254" i="5"/>
  <c r="FR254" i="5"/>
  <c r="FR262" i="5"/>
  <c r="AY262" i="5"/>
  <c r="DS259" i="5"/>
  <c r="DU257" i="5"/>
  <c r="FT257" i="5"/>
  <c r="BX257" i="5"/>
  <c r="BW257" i="5"/>
  <c r="CG374" i="5"/>
  <c r="CI358" i="5"/>
  <c r="CG342" i="5"/>
  <c r="CG294" i="5"/>
  <c r="AM266" i="5"/>
  <c r="DF265" i="5"/>
  <c r="DY271" i="5"/>
  <c r="FR270" i="5"/>
  <c r="AY270" i="5"/>
  <c r="BW266" i="5"/>
  <c r="BY266" i="5" s="1"/>
  <c r="BZ280" i="5"/>
  <c r="CB280" i="5" s="1"/>
  <c r="DF279" i="5"/>
  <c r="DF287" i="5"/>
  <c r="AM280" i="5"/>
  <c r="DY273" i="5"/>
  <c r="DY281" i="5"/>
  <c r="FR274" i="5"/>
  <c r="AY274" i="5"/>
  <c r="FR282" i="5"/>
  <c r="AY282" i="5"/>
  <c r="DS276" i="5"/>
  <c r="DU281" i="5"/>
  <c r="FT281" i="5"/>
  <c r="BX281" i="5"/>
  <c r="BW282" i="5"/>
  <c r="AM288" i="5"/>
  <c r="FR289" i="5"/>
  <c r="AY289" i="5"/>
  <c r="BW295" i="5"/>
  <c r="DU295" i="5"/>
  <c r="FT295" i="5"/>
  <c r="BX295" i="5"/>
  <c r="FR294" i="5"/>
  <c r="AY294" i="5"/>
  <c r="AZ294" i="5" s="1"/>
  <c r="CI294" i="5" s="1"/>
  <c r="DF291" i="5"/>
  <c r="DF301" i="5"/>
  <c r="BX317" i="5"/>
  <c r="BY317" i="5" s="1"/>
  <c r="BZ317" i="5"/>
  <c r="CB317" i="5" s="1"/>
  <c r="DU317" i="5"/>
  <c r="FT317" i="5"/>
  <c r="BZ309" i="5"/>
  <c r="CB309" i="5" s="1"/>
  <c r="AM296" i="5"/>
  <c r="BZ300" i="5"/>
  <c r="CB300" i="5" s="1"/>
  <c r="FT292" i="5"/>
  <c r="BX292" i="5"/>
  <c r="BY292" i="5" s="1"/>
  <c r="BZ292" i="5"/>
  <c r="CB292" i="5" s="1"/>
  <c r="DU292" i="5"/>
  <c r="DF305" i="5"/>
  <c r="DY303" i="5"/>
  <c r="AY306" i="5"/>
  <c r="FR306" i="5"/>
  <c r="DU306" i="5"/>
  <c r="FT306" i="5"/>
  <c r="BX306" i="5"/>
  <c r="DF308" i="5"/>
  <c r="AM309" i="5"/>
  <c r="DF316" i="5"/>
  <c r="AM315" i="5"/>
  <c r="AM323" i="5"/>
  <c r="DY314" i="5"/>
  <c r="DY322" i="5"/>
  <c r="FR314" i="5"/>
  <c r="AY314" i="5"/>
  <c r="FR321" i="5"/>
  <c r="AY321" i="5"/>
  <c r="AZ321" i="5" s="1"/>
  <c r="CI321" i="5" s="1"/>
  <c r="DS315" i="5"/>
  <c r="DS323" i="5"/>
  <c r="BW318" i="5"/>
  <c r="BY318" i="5" s="1"/>
  <c r="FT319" i="5"/>
  <c r="BX319" i="5"/>
  <c r="DU319" i="5"/>
  <c r="DF327" i="5"/>
  <c r="DF335" i="5"/>
  <c r="AM328" i="5"/>
  <c r="AM336" i="5"/>
  <c r="DY329" i="5"/>
  <c r="DY337" i="5"/>
  <c r="FR333" i="5"/>
  <c r="AY333" i="5"/>
  <c r="FR336" i="5"/>
  <c r="AY336" i="5"/>
  <c r="BW327" i="5"/>
  <c r="BX329" i="5"/>
  <c r="DU329" i="5"/>
  <c r="FT329" i="5"/>
  <c r="FT335" i="5"/>
  <c r="BX335" i="5"/>
  <c r="BY335" i="5" s="1"/>
  <c r="BZ335" i="5"/>
  <c r="CB335" i="5" s="1"/>
  <c r="DU335" i="5"/>
  <c r="BZ327" i="5"/>
  <c r="CB327" i="5" s="1"/>
  <c r="BX272" i="5"/>
  <c r="BY272" i="5" s="1"/>
  <c r="BZ272" i="5"/>
  <c r="CB272" i="5" s="1"/>
  <c r="DU272" i="5"/>
  <c r="FT272" i="5"/>
  <c r="BX264" i="5"/>
  <c r="BY264" i="5" s="1"/>
  <c r="BZ264" i="5"/>
  <c r="CB264" i="5" s="1"/>
  <c r="DU264" i="5"/>
  <c r="FT264" i="5"/>
  <c r="BX283" i="5"/>
  <c r="DU283" i="5"/>
  <c r="FT283" i="5"/>
  <c r="BZ283" i="5"/>
  <c r="CB283" i="5" s="1"/>
  <c r="FT412" i="5"/>
  <c r="BX412" i="5"/>
  <c r="BY412" i="5" s="1"/>
  <c r="BZ412" i="5"/>
  <c r="CB412" i="5" s="1"/>
  <c r="DU412" i="5"/>
  <c r="BZ371" i="5"/>
  <c r="CB371" i="5" s="1"/>
  <c r="BX343" i="5"/>
  <c r="BY343" i="5" s="1"/>
  <c r="BZ343" i="5"/>
  <c r="CB343" i="5" s="1"/>
  <c r="DU343" i="5"/>
  <c r="FT343" i="5"/>
  <c r="DF341" i="5"/>
  <c r="AE349" i="5"/>
  <c r="DF349" i="5"/>
  <c r="AM341" i="5"/>
  <c r="AM349" i="5"/>
  <c r="DY341" i="5"/>
  <c r="DY349" i="5"/>
  <c r="FR354" i="5"/>
  <c r="AY354" i="5"/>
  <c r="FR347" i="5"/>
  <c r="AY347" i="5"/>
  <c r="DS340" i="5"/>
  <c r="DS349" i="5"/>
  <c r="BW345" i="5"/>
  <c r="FT349" i="5"/>
  <c r="BX349" i="5"/>
  <c r="DU349" i="5"/>
  <c r="DF361" i="5"/>
  <c r="AM360" i="5"/>
  <c r="AM364" i="5"/>
  <c r="DY356" i="5"/>
  <c r="DY364" i="5"/>
  <c r="AY355" i="5"/>
  <c r="FR355" i="5"/>
  <c r="AY364" i="5"/>
  <c r="FR364" i="5"/>
  <c r="DS356" i="5"/>
  <c r="DS364" i="5"/>
  <c r="DU359" i="5"/>
  <c r="FT359" i="5"/>
  <c r="BX359" i="5"/>
  <c r="BW361" i="5"/>
  <c r="BZ367" i="5"/>
  <c r="CB367" i="5" s="1"/>
  <c r="BZ359" i="5"/>
  <c r="CB359" i="5" s="1"/>
  <c r="BX351" i="5"/>
  <c r="BY351" i="5" s="1"/>
  <c r="BZ351" i="5"/>
  <c r="CB351" i="5" s="1"/>
  <c r="DU351" i="5"/>
  <c r="FT351" i="5"/>
  <c r="AM373" i="5"/>
  <c r="FT384" i="5"/>
  <c r="BX384" i="5"/>
  <c r="BY384" i="5" s="1"/>
  <c r="BZ384" i="5"/>
  <c r="CB384" i="5" s="1"/>
  <c r="DU384" i="5"/>
  <c r="DF380" i="5"/>
  <c r="DF388" i="5"/>
  <c r="AM385" i="5"/>
  <c r="DY375" i="5"/>
  <c r="DY383" i="5"/>
  <c r="AY373" i="5"/>
  <c r="FR373" i="5"/>
  <c r="AY381" i="5"/>
  <c r="AZ381" i="5" s="1"/>
  <c r="CI381" i="5" s="1"/>
  <c r="FR381" i="5"/>
  <c r="DS371" i="5"/>
  <c r="DS379" i="5"/>
  <c r="DS387" i="5"/>
  <c r="BX382" i="5"/>
  <c r="DU382" i="5"/>
  <c r="FT382" i="5"/>
  <c r="BW377" i="5"/>
  <c r="BZ402" i="5"/>
  <c r="CB402" i="5" s="1"/>
  <c r="BZ394" i="5"/>
  <c r="CB394" i="5" s="1"/>
  <c r="BZ405" i="5"/>
  <c r="CB405" i="5" s="1"/>
  <c r="DF390" i="5"/>
  <c r="DF398" i="5"/>
  <c r="AM389" i="5"/>
  <c r="AM397" i="5"/>
  <c r="AM405" i="5"/>
  <c r="DY389" i="5"/>
  <c r="DY404" i="5"/>
  <c r="FR395" i="5"/>
  <c r="AY395" i="5"/>
  <c r="FR403" i="5"/>
  <c r="AY403" i="5"/>
  <c r="DS394" i="5"/>
  <c r="DS402" i="5"/>
  <c r="BX398" i="5"/>
  <c r="DU398" i="5"/>
  <c r="FT398" i="5"/>
  <c r="BW393" i="5"/>
  <c r="BZ410" i="5"/>
  <c r="CB410" i="5" s="1"/>
  <c r="BZ423" i="5"/>
  <c r="CB423" i="5" s="1"/>
  <c r="DU423" i="5"/>
  <c r="FT423" i="5"/>
  <c r="DF408" i="5"/>
  <c r="DF416" i="5"/>
  <c r="DF424" i="5"/>
  <c r="AM412" i="5"/>
  <c r="AM420" i="5"/>
  <c r="DY408" i="5"/>
  <c r="DY416" i="5"/>
  <c r="DY424" i="5"/>
  <c r="AY412" i="5"/>
  <c r="FR412" i="5"/>
  <c r="AY420" i="5"/>
  <c r="FR420" i="5"/>
  <c r="DS409" i="5"/>
  <c r="DS417" i="5"/>
  <c r="DS424" i="5"/>
  <c r="DU419" i="5"/>
  <c r="FT419" i="5"/>
  <c r="BW413" i="5"/>
  <c r="BY413" i="5" s="1"/>
  <c r="DF433" i="5"/>
  <c r="AM433" i="5"/>
  <c r="AM441" i="5"/>
  <c r="DY429" i="5"/>
  <c r="DY437" i="5"/>
  <c r="AY433" i="5"/>
  <c r="FR433" i="5"/>
  <c r="DS429" i="5"/>
  <c r="DS437" i="5"/>
  <c r="BW441" i="5"/>
  <c r="BY441" i="5" s="1"/>
  <c r="FT437" i="5"/>
  <c r="BX437" i="5"/>
  <c r="BY437" i="5" s="1"/>
  <c r="DC100" i="5"/>
  <c r="DF100" i="5"/>
  <c r="BX104" i="5"/>
  <c r="BY104" i="5" s="1"/>
  <c r="BZ104" i="5"/>
  <c r="CB104" i="5" s="1"/>
  <c r="FT104" i="5"/>
  <c r="DU104" i="5"/>
  <c r="BZ96" i="5"/>
  <c r="CB96" i="5" s="1"/>
  <c r="FT96" i="5"/>
  <c r="DU96" i="5"/>
  <c r="BX96" i="5"/>
  <c r="BY96" i="5" s="1"/>
  <c r="DY102" i="5"/>
  <c r="DS99" i="5"/>
  <c r="R484" i="5"/>
  <c r="EF484" i="5" s="1"/>
  <c r="EE484" i="5" s="1"/>
  <c r="DD153" i="5"/>
  <c r="AR153" i="5"/>
  <c r="CG153" i="5" s="1"/>
  <c r="DC153" i="5"/>
  <c r="DF153" i="5"/>
  <c r="DY149" i="5"/>
  <c r="AY153" i="5"/>
  <c r="FR153" i="5"/>
  <c r="BX280" i="5"/>
  <c r="DU280" i="5"/>
  <c r="FT280" i="5"/>
  <c r="DS151" i="5"/>
  <c r="BL153" i="5"/>
  <c r="DT153" i="5" s="1"/>
  <c r="DV153" i="5" s="1"/>
  <c r="BT153" i="5"/>
  <c r="FS153" i="5"/>
  <c r="BE153" i="5"/>
  <c r="BF153" i="5" s="1"/>
  <c r="BH153" i="5" s="1"/>
  <c r="BU153" i="5"/>
  <c r="AU500" i="5"/>
  <c r="AV500" i="5" s="1"/>
  <c r="FT499" i="5"/>
  <c r="FS499" i="5" s="1"/>
  <c r="FU499" i="5" s="1"/>
  <c r="AR493" i="5"/>
  <c r="AU492" i="5"/>
  <c r="AV492" i="5" s="1"/>
  <c r="AR485" i="5"/>
  <c r="AU484" i="5"/>
  <c r="AV484" i="5" s="1"/>
  <c r="DC480" i="5"/>
  <c r="AR477" i="5"/>
  <c r="AU476" i="5"/>
  <c r="AV476" i="5" s="1"/>
  <c r="AR469" i="5"/>
  <c r="AM448" i="5"/>
  <c r="BX446" i="5"/>
  <c r="BY446" i="5" s="1"/>
  <c r="AR446" i="5"/>
  <c r="CG446" i="5" s="1"/>
  <c r="DC444" i="5"/>
  <c r="AM443" i="5"/>
  <c r="DU442" i="5"/>
  <c r="AR436" i="5"/>
  <c r="CG436" i="5" s="1"/>
  <c r="BW433" i="5"/>
  <c r="DC432" i="5"/>
  <c r="BY423" i="5"/>
  <c r="FS136" i="5"/>
  <c r="DF39" i="5"/>
  <c r="DY39" i="5"/>
  <c r="DC39" i="5"/>
  <c r="BL50" i="5"/>
  <c r="DT50" i="5" s="1"/>
  <c r="DV50" i="5" s="1"/>
  <c r="EB50" i="5" s="1"/>
  <c r="BE50" i="5"/>
  <c r="BU50" i="5"/>
  <c r="FR50" i="5"/>
  <c r="BT50" i="5"/>
  <c r="R273" i="5"/>
  <c r="AU273" i="5"/>
  <c r="DC334" i="5"/>
  <c r="AR334" i="5"/>
  <c r="CG334" i="5" s="1"/>
  <c r="AR381" i="5"/>
  <c r="CG381" i="5" s="1"/>
  <c r="DC381" i="5"/>
  <c r="AG268" i="5"/>
  <c r="AM268" i="5"/>
  <c r="AM282" i="5"/>
  <c r="DS278" i="5"/>
  <c r="BW297" i="5"/>
  <c r="FR296" i="5"/>
  <c r="AY296" i="5"/>
  <c r="BW320" i="5"/>
  <c r="BX333" i="5"/>
  <c r="FT333" i="5"/>
  <c r="BZ333" i="5"/>
  <c r="CB333" i="5" s="1"/>
  <c r="DU333" i="5"/>
  <c r="BX289" i="5"/>
  <c r="BY289" i="5" s="1"/>
  <c r="BZ289" i="5"/>
  <c r="CB289" i="5" s="1"/>
  <c r="DU289" i="5"/>
  <c r="FT289" i="5"/>
  <c r="BZ341" i="5"/>
  <c r="CB341" i="5" s="1"/>
  <c r="AM343" i="5"/>
  <c r="FR340" i="5"/>
  <c r="AY340" i="5"/>
  <c r="DF363" i="5"/>
  <c r="DY377" i="5"/>
  <c r="BX386" i="5"/>
  <c r="DU386" i="5"/>
  <c r="FT386" i="5"/>
  <c r="AY397" i="5"/>
  <c r="FR397" i="5"/>
  <c r="AM414" i="5"/>
  <c r="FR414" i="5"/>
  <c r="AY414" i="5"/>
  <c r="BW419" i="5"/>
  <c r="BX439" i="5"/>
  <c r="BY439" i="5" s="1"/>
  <c r="DY431" i="5"/>
  <c r="DS439" i="5"/>
  <c r="DU102" i="5"/>
  <c r="BX102" i="5"/>
  <c r="BY102" i="5" s="1"/>
  <c r="FT102" i="5"/>
  <c r="BZ102" i="5"/>
  <c r="CB102" i="5" s="1"/>
  <c r="FS145" i="5"/>
  <c r="AU128" i="5"/>
  <c r="FS125" i="5"/>
  <c r="FS141" i="5"/>
  <c r="FS127" i="5"/>
  <c r="FS135" i="5"/>
  <c r="BT20" i="5"/>
  <c r="FR20" i="5"/>
  <c r="FU20" i="5" s="1"/>
  <c r="BE20" i="5"/>
  <c r="BL20" i="5"/>
  <c r="DT20" i="5" s="1"/>
  <c r="DV20" i="5" s="1"/>
  <c r="EB20" i="5" s="1"/>
  <c r="BU20" i="5"/>
  <c r="CA23" i="5"/>
  <c r="CB23" i="5" s="1"/>
  <c r="FS23" i="5"/>
  <c r="FU26" i="5"/>
  <c r="DY26" i="5"/>
  <c r="DC26" i="5"/>
  <c r="DF26" i="5"/>
  <c r="BL29" i="5"/>
  <c r="DT29" i="5" s="1"/>
  <c r="DV29" i="5" s="1"/>
  <c r="EB29" i="5" s="1"/>
  <c r="BE29" i="5"/>
  <c r="BU29" i="5"/>
  <c r="BT29" i="5"/>
  <c r="FR29" i="5"/>
  <c r="FS31" i="5"/>
  <c r="FU31" i="5" s="1"/>
  <c r="CA31" i="5"/>
  <c r="CB31" i="5" s="1"/>
  <c r="FU34" i="5"/>
  <c r="DY34" i="5"/>
  <c r="DC34" i="5"/>
  <c r="DF34" i="5"/>
  <c r="BL37" i="5"/>
  <c r="DT37" i="5" s="1"/>
  <c r="DV37" i="5" s="1"/>
  <c r="EB37" i="5" s="1"/>
  <c r="FR37" i="5"/>
  <c r="FU37" i="5" s="1"/>
  <c r="BT37" i="5"/>
  <c r="BU37" i="5"/>
  <c r="BE37" i="5"/>
  <c r="FS39" i="5"/>
  <c r="FU39" i="5" s="1"/>
  <c r="CA39" i="5"/>
  <c r="DC42" i="5"/>
  <c r="DF42" i="5"/>
  <c r="DY42" i="5"/>
  <c r="FR45" i="5"/>
  <c r="BT45" i="5"/>
  <c r="BE45" i="5"/>
  <c r="BL45" i="5"/>
  <c r="DT45" i="5" s="1"/>
  <c r="DV45" i="5" s="1"/>
  <c r="EB45" i="5" s="1"/>
  <c r="BU45" i="5"/>
  <c r="CA47" i="5"/>
  <c r="CB47" i="5" s="1"/>
  <c r="FS47" i="5"/>
  <c r="DY50" i="5"/>
  <c r="DC50" i="5"/>
  <c r="DF50" i="5"/>
  <c r="AT20" i="5"/>
  <c r="AY20" i="5"/>
  <c r="AY29" i="5"/>
  <c r="AY37" i="5"/>
  <c r="AY45" i="5"/>
  <c r="AY24" i="5"/>
  <c r="R256" i="5"/>
  <c r="EF256" i="5" s="1"/>
  <c r="EE256" i="5" s="1"/>
  <c r="AU256" i="5"/>
  <c r="R277" i="5"/>
  <c r="AU277" i="5"/>
  <c r="R281" i="5"/>
  <c r="EF281" i="5" s="1"/>
  <c r="EE281" i="5" s="1"/>
  <c r="AU281" i="5"/>
  <c r="AZ286" i="5"/>
  <c r="CI286" i="5" s="1"/>
  <c r="DC286" i="5"/>
  <c r="AR286" i="5"/>
  <c r="CG286" i="5" s="1"/>
  <c r="DC330" i="5"/>
  <c r="AR330" i="5"/>
  <c r="CG330" i="5" s="1"/>
  <c r="DC341" i="5"/>
  <c r="AR341" i="5"/>
  <c r="DC345" i="5"/>
  <c r="AR345" i="5"/>
  <c r="CG345" i="5" s="1"/>
  <c r="AR352" i="5"/>
  <c r="CG352" i="5" s="1"/>
  <c r="DC352" i="5"/>
  <c r="AV355" i="5"/>
  <c r="AZ362" i="5"/>
  <c r="CI362" i="5" s="1"/>
  <c r="AR362" i="5"/>
  <c r="CG362" i="5" s="1"/>
  <c r="DC362" i="5"/>
  <c r="AR366" i="5"/>
  <c r="CG366" i="5" s="1"/>
  <c r="DC366" i="5"/>
  <c r="AR377" i="5"/>
  <c r="CG377" i="5" s="1"/>
  <c r="DC377" i="5"/>
  <c r="AV390" i="5"/>
  <c r="AZ394" i="5"/>
  <c r="CI394" i="5" s="1"/>
  <c r="AR394" i="5"/>
  <c r="CG394" i="5" s="1"/>
  <c r="DC394" i="5"/>
  <c r="AV405" i="5"/>
  <c r="AV410" i="5"/>
  <c r="AR421" i="5"/>
  <c r="CG421" i="5" s="1"/>
  <c r="DC421" i="5"/>
  <c r="AM254" i="5"/>
  <c r="AM262" i="5"/>
  <c r="BZ257" i="5"/>
  <c r="CB257" i="5" s="1"/>
  <c r="DF256" i="5"/>
  <c r="DY258" i="5"/>
  <c r="AY255" i="5"/>
  <c r="FR255" i="5"/>
  <c r="AY263" i="5"/>
  <c r="FR263" i="5"/>
  <c r="DS260" i="5"/>
  <c r="BX260" i="5"/>
  <c r="DU260" i="5"/>
  <c r="FT260" i="5"/>
  <c r="BW260" i="5"/>
  <c r="CG429" i="5"/>
  <c r="CG413" i="5"/>
  <c r="CG405" i="5"/>
  <c r="CI405" i="5"/>
  <c r="CG397" i="5"/>
  <c r="CG389" i="5"/>
  <c r="CG357" i="5"/>
  <c r="CG341" i="5"/>
  <c r="AM267" i="5"/>
  <c r="DF266" i="5"/>
  <c r="DY264" i="5"/>
  <c r="DY272" i="5"/>
  <c r="AY271" i="5"/>
  <c r="FR271" i="5"/>
  <c r="DS270" i="5"/>
  <c r="BW267" i="5"/>
  <c r="BY267" i="5" s="1"/>
  <c r="FT279" i="5"/>
  <c r="BX279" i="5"/>
  <c r="BZ279" i="5"/>
  <c r="CB279" i="5" s="1"/>
  <c r="DU279" i="5"/>
  <c r="DF280" i="5"/>
  <c r="AM273" i="5"/>
  <c r="AM281" i="5"/>
  <c r="DY274" i="5"/>
  <c r="DY282" i="5"/>
  <c r="AY275" i="5"/>
  <c r="FR275" i="5"/>
  <c r="AY283" i="5"/>
  <c r="FR283" i="5"/>
  <c r="DS277" i="5"/>
  <c r="BX282" i="5"/>
  <c r="FT282" i="5"/>
  <c r="DU282" i="5"/>
  <c r="BW284" i="5"/>
  <c r="BY284" i="5" s="1"/>
  <c r="AM289" i="5"/>
  <c r="BW296" i="5"/>
  <c r="FT296" i="5"/>
  <c r="BX296" i="5"/>
  <c r="DU296" i="5"/>
  <c r="FR295" i="5"/>
  <c r="AY295" i="5"/>
  <c r="DF292" i="5"/>
  <c r="DF302" i="5"/>
  <c r="BX316" i="5"/>
  <c r="BY316" i="5" s="1"/>
  <c r="BZ316" i="5"/>
  <c r="CB316" i="5" s="1"/>
  <c r="DU316" i="5"/>
  <c r="FT316" i="5"/>
  <c r="BX308" i="5"/>
  <c r="BY308" i="5" s="1"/>
  <c r="BZ308" i="5"/>
  <c r="CB308" i="5" s="1"/>
  <c r="DU308" i="5"/>
  <c r="FT308" i="5"/>
  <c r="AM295" i="5"/>
  <c r="BZ299" i="5"/>
  <c r="CB299" i="5" s="1"/>
  <c r="FT291" i="5"/>
  <c r="BX291" i="5"/>
  <c r="BY291" i="5" s="1"/>
  <c r="DU291" i="5"/>
  <c r="BZ291" i="5"/>
  <c r="CB291" i="5" s="1"/>
  <c r="DF306" i="5"/>
  <c r="DY304" i="5"/>
  <c r="FR307" i="5"/>
  <c r="AY307" i="5"/>
  <c r="BW305" i="5"/>
  <c r="BY305" i="5" s="1"/>
  <c r="DF309" i="5"/>
  <c r="AM310" i="5"/>
  <c r="DF320" i="5"/>
  <c r="AM316" i="5"/>
  <c r="DY308" i="5"/>
  <c r="DY315" i="5"/>
  <c r="DY323" i="5"/>
  <c r="AY315" i="5"/>
  <c r="FR315" i="5"/>
  <c r="FR322" i="5"/>
  <c r="AY322" i="5"/>
  <c r="DS316" i="5"/>
  <c r="BW309" i="5"/>
  <c r="BY309" i="5" s="1"/>
  <c r="BW319" i="5"/>
  <c r="BX320" i="5"/>
  <c r="DU320" i="5"/>
  <c r="FT320" i="5"/>
  <c r="DF328" i="5"/>
  <c r="DF336" i="5"/>
  <c r="AM329" i="5"/>
  <c r="AM337" i="5"/>
  <c r="DY330" i="5"/>
  <c r="DY338" i="5"/>
  <c r="FR334" i="5"/>
  <c r="AY334" i="5"/>
  <c r="DS324" i="5"/>
  <c r="DS332" i="5"/>
  <c r="BW329" i="5"/>
  <c r="BY329" i="5" s="1"/>
  <c r="FT331" i="5"/>
  <c r="BX331" i="5"/>
  <c r="DU331" i="5"/>
  <c r="BZ334" i="5"/>
  <c r="CB334" i="5" s="1"/>
  <c r="BZ326" i="5"/>
  <c r="CB326" i="5" s="1"/>
  <c r="DU326" i="5"/>
  <c r="FT326" i="5"/>
  <c r="BX326" i="5"/>
  <c r="BY326" i="5" s="1"/>
  <c r="BZ271" i="5"/>
  <c r="CB271" i="5" s="1"/>
  <c r="BZ290" i="5"/>
  <c r="CB290" i="5" s="1"/>
  <c r="BZ419" i="5"/>
  <c r="CB419" i="5" s="1"/>
  <c r="BZ411" i="5"/>
  <c r="CB411" i="5" s="1"/>
  <c r="DU411" i="5"/>
  <c r="FT411" i="5"/>
  <c r="BX411" i="5"/>
  <c r="BY411" i="5" s="1"/>
  <c r="BZ350" i="5"/>
  <c r="CB350" i="5" s="1"/>
  <c r="BZ342" i="5"/>
  <c r="CB342" i="5" s="1"/>
  <c r="DF342" i="5"/>
  <c r="DF350" i="5"/>
  <c r="AM342" i="5"/>
  <c r="AM350" i="5"/>
  <c r="DY342" i="5"/>
  <c r="DY350" i="5"/>
  <c r="FR339" i="5"/>
  <c r="AY339" i="5"/>
  <c r="FR349" i="5"/>
  <c r="AY349" i="5"/>
  <c r="DS341" i="5"/>
  <c r="DS350" i="5"/>
  <c r="BW346" i="5"/>
  <c r="BY346" i="5" s="1"/>
  <c r="FT350" i="5"/>
  <c r="BX350" i="5"/>
  <c r="DU350" i="5"/>
  <c r="AG362" i="5"/>
  <c r="DF362" i="5"/>
  <c r="AM361" i="5"/>
  <c r="DF364" i="5"/>
  <c r="AM365" i="5"/>
  <c r="DY357" i="5"/>
  <c r="DY365" i="5"/>
  <c r="AY356" i="5"/>
  <c r="FR356" i="5"/>
  <c r="AY365" i="5"/>
  <c r="FR365" i="5"/>
  <c r="DS357" i="5"/>
  <c r="DS365" i="5"/>
  <c r="FT361" i="5"/>
  <c r="DU361" i="5"/>
  <c r="BX361" i="5"/>
  <c r="BW363" i="5"/>
  <c r="BX366" i="5"/>
  <c r="BY366" i="5" s="1"/>
  <c r="BZ366" i="5"/>
  <c r="CB366" i="5" s="1"/>
  <c r="DU366" i="5"/>
  <c r="FT366" i="5"/>
  <c r="BX358" i="5"/>
  <c r="BY358" i="5" s="1"/>
  <c r="BZ358" i="5"/>
  <c r="CB358" i="5" s="1"/>
  <c r="DU358" i="5"/>
  <c r="FT358" i="5"/>
  <c r="DF371" i="5"/>
  <c r="AM372" i="5"/>
  <c r="BZ383" i="5"/>
  <c r="CB383" i="5" s="1"/>
  <c r="DF381" i="5"/>
  <c r="AM378" i="5"/>
  <c r="AM386" i="5"/>
  <c r="DY376" i="5"/>
  <c r="DY384" i="5"/>
  <c r="FR374" i="5"/>
  <c r="AY374" i="5"/>
  <c r="FR382" i="5"/>
  <c r="AY382" i="5"/>
  <c r="DS372" i="5"/>
  <c r="DS380" i="5"/>
  <c r="DS388" i="5"/>
  <c r="DU383" i="5"/>
  <c r="FT383" i="5"/>
  <c r="BX383" i="5"/>
  <c r="BW380" i="5"/>
  <c r="BZ401" i="5"/>
  <c r="CB401" i="5" s="1"/>
  <c r="BZ393" i="5"/>
  <c r="CB393" i="5" s="1"/>
  <c r="DF391" i="5"/>
  <c r="DF399" i="5"/>
  <c r="AM390" i="5"/>
  <c r="AM398" i="5"/>
  <c r="DY398" i="5"/>
  <c r="DY390" i="5"/>
  <c r="DY405" i="5"/>
  <c r="AY396" i="5"/>
  <c r="FR396" i="5"/>
  <c r="AY404" i="5"/>
  <c r="FR404" i="5"/>
  <c r="DS395" i="5"/>
  <c r="DS403" i="5"/>
  <c r="DU399" i="5"/>
  <c r="FT399" i="5"/>
  <c r="BX399" i="5"/>
  <c r="BW394" i="5"/>
  <c r="BX409" i="5"/>
  <c r="BY409" i="5" s="1"/>
  <c r="BZ409" i="5"/>
  <c r="CB409" i="5" s="1"/>
  <c r="DU409" i="5"/>
  <c r="FT409" i="5"/>
  <c r="DF409" i="5"/>
  <c r="DF417" i="5"/>
  <c r="DF425" i="5"/>
  <c r="AM413" i="5"/>
  <c r="AM421" i="5"/>
  <c r="DY409" i="5"/>
  <c r="DY417" i="5"/>
  <c r="DY425" i="5"/>
  <c r="AY413" i="5"/>
  <c r="FR413" i="5"/>
  <c r="DS410" i="5"/>
  <c r="DS418" i="5"/>
  <c r="DU407" i="5"/>
  <c r="FT407" i="5"/>
  <c r="BX407" i="5"/>
  <c r="BX421" i="5"/>
  <c r="BY421" i="5" s="1"/>
  <c r="DU421" i="5"/>
  <c r="FT421" i="5"/>
  <c r="BW418" i="5"/>
  <c r="BY418" i="5" s="1"/>
  <c r="DF434" i="5"/>
  <c r="BX430" i="5"/>
  <c r="BY430" i="5" s="1"/>
  <c r="BZ430" i="5"/>
  <c r="CB430" i="5" s="1"/>
  <c r="DU430" i="5"/>
  <c r="FT430" i="5"/>
  <c r="FT438" i="5"/>
  <c r="BX438" i="5"/>
  <c r="BY438" i="5" s="1"/>
  <c r="BZ438" i="5"/>
  <c r="CB438" i="5" s="1"/>
  <c r="DU438" i="5"/>
  <c r="AM426" i="5"/>
  <c r="AM434" i="5"/>
  <c r="DY430" i="5"/>
  <c r="DY438" i="5"/>
  <c r="AY434" i="5"/>
  <c r="FR434" i="5"/>
  <c r="DS430" i="5"/>
  <c r="DS438" i="5"/>
  <c r="BW428" i="5"/>
  <c r="BY428" i="5" s="1"/>
  <c r="DU440" i="5"/>
  <c r="FT440" i="5"/>
  <c r="BX440" i="5"/>
  <c r="BY440" i="5" s="1"/>
  <c r="BX95" i="5"/>
  <c r="BY95" i="5" s="1"/>
  <c r="BZ95" i="5"/>
  <c r="CB95" i="5" s="1"/>
  <c r="FT95" i="5"/>
  <c r="DU95" i="5"/>
  <c r="DF101" i="5"/>
  <c r="DC101" i="5"/>
  <c r="BX103" i="5"/>
  <c r="BY103" i="5" s="1"/>
  <c r="BZ103" i="5"/>
  <c r="CB103" i="5" s="1"/>
  <c r="FT103" i="5"/>
  <c r="DU103" i="5"/>
  <c r="DY95" i="5"/>
  <c r="DY103" i="5"/>
  <c r="R103" i="5"/>
  <c r="EF103" i="5" s="1"/>
  <c r="EE103" i="5" s="1"/>
  <c r="AU103" i="5"/>
  <c r="AV103" i="5" s="1"/>
  <c r="DS100" i="5"/>
  <c r="AV153" i="5"/>
  <c r="BX148" i="5"/>
  <c r="BY148" i="5" s="1"/>
  <c r="FT148" i="5"/>
  <c r="BZ148" i="5"/>
  <c r="CB148" i="5" s="1"/>
  <c r="DU148" i="5"/>
  <c r="DC152" i="5"/>
  <c r="DF152" i="5"/>
  <c r="AY152" i="5"/>
  <c r="FR152" i="5"/>
  <c r="FU152" i="5" s="1"/>
  <c r="CM152" i="5" s="1"/>
  <c r="BF150" i="5"/>
  <c r="BH150" i="5" s="1"/>
  <c r="BG150" i="5"/>
  <c r="BW280" i="5"/>
  <c r="BY280" i="5" s="1"/>
  <c r="DF294" i="5"/>
  <c r="DS152" i="5"/>
  <c r="AU497" i="5"/>
  <c r="AV497" i="5" s="1"/>
  <c r="FT496" i="5"/>
  <c r="FS496" i="5" s="1"/>
  <c r="FU496" i="5" s="1"/>
  <c r="DC493" i="5"/>
  <c r="AR490" i="5"/>
  <c r="DC485" i="5"/>
  <c r="AR482" i="5"/>
  <c r="AU473" i="5"/>
  <c r="AV473" i="5" s="1"/>
  <c r="AR452" i="5"/>
  <c r="CG452" i="5" s="1"/>
  <c r="AY451" i="5"/>
  <c r="DC445" i="5"/>
  <c r="DU443" i="5"/>
  <c r="DU429" i="5"/>
  <c r="BY390" i="5"/>
  <c r="BY389" i="5"/>
  <c r="BY370" i="5"/>
  <c r="BY348" i="5"/>
  <c r="BY344" i="5"/>
  <c r="BY340" i="5"/>
  <c r="BY312" i="5"/>
  <c r="BY354" i="5"/>
  <c r="BY332" i="5"/>
  <c r="BY333" i="5"/>
  <c r="BY324" i="5"/>
  <c r="BY311" i="5"/>
  <c r="BY294" i="5"/>
  <c r="BY283" i="5"/>
  <c r="BY259" i="5"/>
  <c r="BY279" i="5"/>
  <c r="BY252" i="5"/>
  <c r="EA217" i="5"/>
  <c r="EO154" i="5"/>
  <c r="DL155" i="5"/>
  <c r="DM155" i="5" s="1"/>
  <c r="CB123" i="5"/>
  <c r="CB113" i="5"/>
  <c r="CB114" i="5"/>
  <c r="CB68" i="5"/>
  <c r="EB51" i="5"/>
  <c r="EB46" i="5"/>
  <c r="EB52" i="5"/>
  <c r="EB47" i="5"/>
  <c r="CB51" i="5"/>
  <c r="EB43" i="5"/>
  <c r="EB40" i="5"/>
  <c r="CB39" i="5"/>
  <c r="EB34" i="5"/>
  <c r="EB31" i="5"/>
  <c r="CB30" i="5"/>
  <c r="EB35" i="5"/>
  <c r="CB34" i="5"/>
  <c r="EB33" i="5"/>
  <c r="EB23" i="5"/>
  <c r="CB24" i="5"/>
  <c r="CB20" i="5"/>
  <c r="CB27" i="5"/>
  <c r="EB27" i="5"/>
  <c r="CB26" i="5"/>
  <c r="EB22" i="5"/>
  <c r="DP1" i="5"/>
  <c r="DP3" i="5"/>
  <c r="AG311" i="5"/>
  <c r="AG351" i="5"/>
  <c r="AG435" i="5"/>
  <c r="AE152" i="5"/>
  <c r="AG152" i="5" s="1"/>
  <c r="AG355" i="5"/>
  <c r="AG292" i="5"/>
  <c r="AG324" i="5"/>
  <c r="AG445" i="5"/>
  <c r="AH386" i="5"/>
  <c r="AG409" i="5"/>
  <c r="AG287" i="5"/>
  <c r="AG297" i="5"/>
  <c r="AH303" i="5"/>
  <c r="AG411" i="5"/>
  <c r="AH447" i="5"/>
  <c r="AH97" i="5"/>
  <c r="AH96" i="5"/>
  <c r="FX124" i="5"/>
  <c r="FX125" i="5"/>
  <c r="FX126" i="5"/>
  <c r="FX128" i="5"/>
  <c r="AH26" i="5"/>
  <c r="AE26" i="5"/>
  <c r="AH32" i="5"/>
  <c r="AE32" i="5"/>
  <c r="AH38" i="5"/>
  <c r="AE38" i="5"/>
  <c r="AH44" i="5"/>
  <c r="AE44" i="5"/>
  <c r="AH50" i="5"/>
  <c r="AE50" i="5"/>
  <c r="AS34" i="5"/>
  <c r="AT34" i="5" s="1"/>
  <c r="AS46" i="5"/>
  <c r="AT46" i="5" s="1"/>
  <c r="AS21" i="5"/>
  <c r="AT21" i="5" s="1"/>
  <c r="AS35" i="5"/>
  <c r="AT35" i="5" s="1"/>
  <c r="AS47" i="5"/>
  <c r="AT47" i="5" s="1"/>
  <c r="AH25" i="5"/>
  <c r="AE25" i="5"/>
  <c r="AH31" i="5"/>
  <c r="AE31" i="5"/>
  <c r="AH37" i="5"/>
  <c r="AE37" i="5"/>
  <c r="AH43" i="5"/>
  <c r="AE43" i="5"/>
  <c r="AE49" i="5"/>
  <c r="AH49" i="5"/>
  <c r="AS23" i="5"/>
  <c r="AT23" i="5" s="1"/>
  <c r="AS36" i="5"/>
  <c r="AT36" i="5" s="1"/>
  <c r="AS48" i="5"/>
  <c r="AT48" i="5" s="1"/>
  <c r="AS25" i="5"/>
  <c r="AT25" i="5" s="1"/>
  <c r="AS37" i="5"/>
  <c r="AT37" i="5" s="1"/>
  <c r="AS49" i="5"/>
  <c r="AT49" i="5" s="1"/>
  <c r="AE24" i="5"/>
  <c r="AH24" i="5"/>
  <c r="AH30" i="5"/>
  <c r="AE30" i="5"/>
  <c r="AH36" i="5"/>
  <c r="AE36" i="5"/>
  <c r="AH42" i="5"/>
  <c r="AE42" i="5"/>
  <c r="AH48" i="5"/>
  <c r="AE48" i="5"/>
  <c r="AS26" i="5"/>
  <c r="AT26" i="5" s="1"/>
  <c r="AS38" i="5"/>
  <c r="AT38" i="5" s="1"/>
  <c r="AS50" i="5"/>
  <c r="AT50" i="5" s="1"/>
  <c r="AS27" i="5"/>
  <c r="AT27" i="5" s="1"/>
  <c r="AS39" i="5"/>
  <c r="AT39" i="5" s="1"/>
  <c r="AS51" i="5"/>
  <c r="AT51" i="5" s="1"/>
  <c r="AH23" i="5"/>
  <c r="AE23" i="5"/>
  <c r="AH29" i="5"/>
  <c r="AE29" i="5"/>
  <c r="AH35" i="5"/>
  <c r="AE35" i="5"/>
  <c r="AH41" i="5"/>
  <c r="AE41" i="5"/>
  <c r="AH47" i="5"/>
  <c r="AE47" i="5"/>
  <c r="AS28" i="5"/>
  <c r="AT28" i="5" s="1"/>
  <c r="AS40" i="5"/>
  <c r="AT40" i="5" s="1"/>
  <c r="AS52" i="5"/>
  <c r="AT52" i="5" s="1"/>
  <c r="AS29" i="5"/>
  <c r="AT29" i="5" s="1"/>
  <c r="AS41" i="5"/>
  <c r="AT41" i="5" s="1"/>
  <c r="AS24" i="5"/>
  <c r="AT24" i="5" s="1"/>
  <c r="AH22" i="5"/>
  <c r="AH28" i="5"/>
  <c r="AE28" i="5"/>
  <c r="AH34" i="5"/>
  <c r="AE34" i="5"/>
  <c r="AH40" i="5"/>
  <c r="AE40" i="5"/>
  <c r="AH46" i="5"/>
  <c r="AE46" i="5"/>
  <c r="AH52" i="5"/>
  <c r="AE52" i="5"/>
  <c r="AS30" i="5"/>
  <c r="AT30" i="5" s="1"/>
  <c r="AS42" i="5"/>
  <c r="AT42" i="5" s="1"/>
  <c r="AH21" i="5"/>
  <c r="AK21" i="5" s="1"/>
  <c r="AS31" i="5"/>
  <c r="AT31" i="5" s="1"/>
  <c r="AS43" i="5"/>
  <c r="AT43" i="5" s="1"/>
  <c r="AH20" i="5"/>
  <c r="AK20" i="5" s="1"/>
  <c r="AH27" i="5"/>
  <c r="AE27" i="5"/>
  <c r="AH33" i="5"/>
  <c r="AE33" i="5"/>
  <c r="AH39" i="5"/>
  <c r="AE39" i="5"/>
  <c r="AH45" i="5"/>
  <c r="AE45" i="5"/>
  <c r="AH51" i="5"/>
  <c r="AE51" i="5"/>
  <c r="AS32" i="5"/>
  <c r="AT32" i="5" s="1"/>
  <c r="AS44" i="5"/>
  <c r="AT44" i="5" s="1"/>
  <c r="AS33" i="5"/>
  <c r="AT33" i="5" s="1"/>
  <c r="AS45" i="5"/>
  <c r="AT45" i="5" s="1"/>
  <c r="G16" i="5"/>
  <c r="G15" i="5"/>
  <c r="AH252" i="5"/>
  <c r="D16" i="5"/>
  <c r="D15" i="5"/>
  <c r="AH288" i="5"/>
  <c r="AH413" i="5"/>
  <c r="AH348" i="5"/>
  <c r="AE340" i="5"/>
  <c r="AE352" i="5"/>
  <c r="AG348" i="5"/>
  <c r="AG363" i="5"/>
  <c r="AG367" i="5"/>
  <c r="K363" i="5"/>
  <c r="FS363" i="5" s="1"/>
  <c r="AH364" i="5"/>
  <c r="AH352" i="5"/>
  <c r="AG374" i="5"/>
  <c r="AH381" i="5"/>
  <c r="AE387" i="5"/>
  <c r="AG388" i="5"/>
  <c r="AH395" i="5"/>
  <c r="AE405" i="5"/>
  <c r="AG400" i="5"/>
  <c r="AH422" i="5"/>
  <c r="AE419" i="5"/>
  <c r="AG423" i="5"/>
  <c r="AE436" i="5"/>
  <c r="AH428" i="5"/>
  <c r="AH440" i="5"/>
  <c r="AG428" i="5"/>
  <c r="AG440" i="5"/>
  <c r="AH102" i="5"/>
  <c r="K100" i="5"/>
  <c r="N100" i="5" s="1"/>
  <c r="AZ488" i="5"/>
  <c r="AZ476" i="5"/>
  <c r="R488" i="5"/>
  <c r="EF488" i="5" s="1"/>
  <c r="EE488" i="5" s="1"/>
  <c r="AG263" i="5"/>
  <c r="AH282" i="5"/>
  <c r="AG278" i="5"/>
  <c r="AH319" i="5"/>
  <c r="AH302" i="5"/>
  <c r="AG327" i="5"/>
  <c r="K325" i="5"/>
  <c r="N325" i="5" s="1"/>
  <c r="AS325" i="5" s="1"/>
  <c r="AH351" i="5"/>
  <c r="AH423" i="5"/>
  <c r="AG429" i="5"/>
  <c r="AG441" i="5"/>
  <c r="AE95" i="5"/>
  <c r="AG95" i="5" s="1"/>
  <c r="AH101" i="5"/>
  <c r="K101" i="5"/>
  <c r="N101" i="5" s="1"/>
  <c r="S104" i="5"/>
  <c r="DN104" i="5" s="1"/>
  <c r="K95" i="5"/>
  <c r="N95" i="5" s="1"/>
  <c r="AH263" i="5"/>
  <c r="AG269" i="5"/>
  <c r="AH281" i="5"/>
  <c r="AG279" i="5"/>
  <c r="AH318" i="5"/>
  <c r="AG301" i="5"/>
  <c r="AH301" i="5"/>
  <c r="AH271" i="5"/>
  <c r="AH286" i="5"/>
  <c r="AH411" i="5"/>
  <c r="AH346" i="5"/>
  <c r="AG350" i="5"/>
  <c r="AE364" i="5"/>
  <c r="AG369" i="5"/>
  <c r="AH362" i="5"/>
  <c r="AE371" i="5"/>
  <c r="AG376" i="5"/>
  <c r="AH379" i="5"/>
  <c r="AH393" i="5"/>
  <c r="AE395" i="5"/>
  <c r="AG390" i="5"/>
  <c r="AG402" i="5"/>
  <c r="AH424" i="5"/>
  <c r="AE421" i="5"/>
  <c r="AG413" i="5"/>
  <c r="AG425" i="5"/>
  <c r="AH430" i="5"/>
  <c r="AH442" i="5"/>
  <c r="AG430" i="5"/>
  <c r="AY96" i="5"/>
  <c r="R499" i="5"/>
  <c r="EF499" i="5" s="1"/>
  <c r="EE499" i="5" s="1"/>
  <c r="AG321" i="5"/>
  <c r="AG253" i="5"/>
  <c r="AH262" i="5"/>
  <c r="AG270" i="5"/>
  <c r="AH280" i="5"/>
  <c r="AG280" i="5"/>
  <c r="AG288" i="5"/>
  <c r="AH317" i="5"/>
  <c r="AG300" i="5"/>
  <c r="AH270" i="5"/>
  <c r="AH285" i="5"/>
  <c r="AH377" i="5"/>
  <c r="AH345" i="5"/>
  <c r="AG339" i="5"/>
  <c r="K347" i="5"/>
  <c r="N347" i="5" s="1"/>
  <c r="AH361" i="5"/>
  <c r="AG377" i="5"/>
  <c r="AG379" i="5"/>
  <c r="AH392" i="5"/>
  <c r="AG391" i="5"/>
  <c r="AG403" i="5"/>
  <c r="AH425" i="5"/>
  <c r="AE422" i="5"/>
  <c r="AG414" i="5"/>
  <c r="AH431" i="5"/>
  <c r="AH443" i="5"/>
  <c r="AG431" i="5"/>
  <c r="AG443" i="5"/>
  <c r="AE451" i="5"/>
  <c r="AG254" i="5"/>
  <c r="AH261" i="5"/>
  <c r="AG271" i="5"/>
  <c r="K268" i="5"/>
  <c r="N268" i="5" s="1"/>
  <c r="AG281" i="5"/>
  <c r="AG289" i="5"/>
  <c r="AH316" i="5"/>
  <c r="AG299" i="5"/>
  <c r="AH299" i="5"/>
  <c r="AG317" i="5"/>
  <c r="AG330" i="5"/>
  <c r="K327" i="5"/>
  <c r="AH337" i="5"/>
  <c r="AH325" i="5"/>
  <c r="AH269" i="5"/>
  <c r="AH284" i="5"/>
  <c r="AH376" i="5"/>
  <c r="AH344" i="5"/>
  <c r="AE344" i="5"/>
  <c r="AG340" i="5"/>
  <c r="AG352" i="5"/>
  <c r="K355" i="5"/>
  <c r="AF355" i="5" s="1"/>
  <c r="K367" i="5"/>
  <c r="AF367" i="5" s="1"/>
  <c r="AH360" i="5"/>
  <c r="AH378" i="5"/>
  <c r="AE379" i="5"/>
  <c r="AG380" i="5"/>
  <c r="AH391" i="5"/>
  <c r="AG392" i="5"/>
  <c r="AG404" i="5"/>
  <c r="AE423" i="5"/>
  <c r="AG415" i="5"/>
  <c r="AH432" i="5"/>
  <c r="AH444" i="5"/>
  <c r="AG432" i="5"/>
  <c r="AG444" i="5"/>
  <c r="AE452" i="5"/>
  <c r="K104" i="5"/>
  <c r="N104" i="5" s="1"/>
  <c r="R498" i="5"/>
  <c r="EF498" i="5" s="1"/>
  <c r="EE498" i="5" s="1"/>
  <c r="EN498" i="5" s="1"/>
  <c r="AG308" i="5"/>
  <c r="AG255" i="5"/>
  <c r="AH336" i="5"/>
  <c r="AE362" i="5"/>
  <c r="AH268" i="5"/>
  <c r="AH283" i="5"/>
  <c r="AH343" i="5"/>
  <c r="AG341" i="5"/>
  <c r="AG353" i="5"/>
  <c r="AG356" i="5"/>
  <c r="AE367" i="5"/>
  <c r="AH359" i="5"/>
  <c r="AH388" i="5"/>
  <c r="AG381" i="5"/>
  <c r="AH402" i="5"/>
  <c r="AH390" i="5"/>
  <c r="AE398" i="5"/>
  <c r="AG393" i="5"/>
  <c r="AG405" i="5"/>
  <c r="AH410" i="5"/>
  <c r="AE412" i="5"/>
  <c r="AG416" i="5"/>
  <c r="AE429" i="5"/>
  <c r="AH433" i="5"/>
  <c r="AH445" i="5"/>
  <c r="AG433" i="5"/>
  <c r="AE453" i="5"/>
  <c r="AZ486" i="5"/>
  <c r="AG442" i="5"/>
  <c r="AG302" i="5"/>
  <c r="AH279" i="5"/>
  <c r="AG256" i="5"/>
  <c r="AH259" i="5"/>
  <c r="AH277" i="5"/>
  <c r="AG283" i="5"/>
  <c r="K288" i="5"/>
  <c r="FS288" i="5" s="1"/>
  <c r="AH314" i="5"/>
  <c r="AH297" i="5"/>
  <c r="AG303" i="5"/>
  <c r="AH307" i="5"/>
  <c r="AG313" i="5"/>
  <c r="AG319" i="5"/>
  <c r="AG332" i="5"/>
  <c r="K329" i="5"/>
  <c r="AF329" i="5" s="1"/>
  <c r="AH335" i="5"/>
  <c r="AE409" i="5"/>
  <c r="AE150" i="5"/>
  <c r="AG150" i="5" s="1"/>
  <c r="AG417" i="5"/>
  <c r="AH300" i="5"/>
  <c r="AG153" i="5"/>
  <c r="AE149" i="5"/>
  <c r="AF149" i="5" s="1"/>
  <c r="AH375" i="5"/>
  <c r="AG258" i="5"/>
  <c r="AH257" i="5"/>
  <c r="AF325" i="5"/>
  <c r="AG334" i="5"/>
  <c r="K331" i="5"/>
  <c r="N331" i="5" s="1"/>
  <c r="AH333" i="5"/>
  <c r="R482" i="5"/>
  <c r="EF482" i="5" s="1"/>
  <c r="EE482" i="5" s="1"/>
  <c r="EN482" i="5" s="1"/>
  <c r="AH148" i="5"/>
  <c r="AD148" i="5"/>
  <c r="AG259" i="5"/>
  <c r="AH256" i="5"/>
  <c r="AH274" i="5"/>
  <c r="AG274" i="5"/>
  <c r="AG286" i="5"/>
  <c r="AH323" i="5"/>
  <c r="AH311" i="5"/>
  <c r="AG294" i="5"/>
  <c r="AH294" i="5"/>
  <c r="AG306" i="5"/>
  <c r="AH304" i="5"/>
  <c r="AG322" i="5"/>
  <c r="AG335" i="5"/>
  <c r="K332" i="5"/>
  <c r="AF332" i="5" s="1"/>
  <c r="AH332" i="5"/>
  <c r="AH153" i="5"/>
  <c r="AD153" i="5"/>
  <c r="AF153" i="5"/>
  <c r="AS153" i="5"/>
  <c r="AH387" i="5"/>
  <c r="E16" i="5"/>
  <c r="E15" i="5"/>
  <c r="AG323" i="5"/>
  <c r="AG336" i="5"/>
  <c r="K333" i="5"/>
  <c r="N333" i="5" s="1"/>
  <c r="AH331" i="5"/>
  <c r="AH290" i="5"/>
  <c r="AH415" i="5"/>
  <c r="AH350" i="5"/>
  <c r="AG346" i="5"/>
  <c r="AG361" i="5"/>
  <c r="AG365" i="5"/>
  <c r="AH366" i="5"/>
  <c r="AH354" i="5"/>
  <c r="AG372" i="5"/>
  <c r="AH383" i="5"/>
  <c r="AE385" i="5"/>
  <c r="AG386" i="5"/>
  <c r="AH397" i="5"/>
  <c r="AE403" i="5"/>
  <c r="AG398" i="5"/>
  <c r="AH420" i="5"/>
  <c r="AG421" i="5"/>
  <c r="AH426" i="5"/>
  <c r="AH438" i="5"/>
  <c r="AG426" i="5"/>
  <c r="AG438" i="5"/>
  <c r="AH446" i="5"/>
  <c r="AH104" i="5"/>
  <c r="K98" i="5"/>
  <c r="N98" i="5" s="1"/>
  <c r="R97" i="5"/>
  <c r="EF97" i="5" s="1"/>
  <c r="EE97" i="5" s="1"/>
  <c r="S494" i="5"/>
  <c r="S495" i="5"/>
  <c r="AG378" i="5"/>
  <c r="F16" i="5"/>
  <c r="F15" i="5"/>
  <c r="AG252" i="5"/>
  <c r="AG261" i="5"/>
  <c r="AH254" i="5"/>
  <c r="AG266" i="5"/>
  <c r="AG276" i="5"/>
  <c r="AH321" i="5"/>
  <c r="AH309" i="5"/>
  <c r="AH292" i="5"/>
  <c r="AG325" i="5"/>
  <c r="AG337" i="5"/>
  <c r="K334" i="5"/>
  <c r="N334" i="5" s="1"/>
  <c r="AH330" i="5"/>
  <c r="AH95" i="5"/>
  <c r="AH103" i="5"/>
  <c r="K99" i="5"/>
  <c r="N99" i="5" s="1"/>
  <c r="R96" i="5"/>
  <c r="EF96" i="5" s="1"/>
  <c r="EE96" i="5" s="1"/>
  <c r="AZ469" i="5"/>
  <c r="AZ489" i="5"/>
  <c r="AZ477" i="5"/>
  <c r="AZ498" i="5"/>
  <c r="AZ474" i="5"/>
  <c r="R475" i="5"/>
  <c r="EF475" i="5" s="1"/>
  <c r="EE475" i="5" s="1"/>
  <c r="R480" i="5"/>
  <c r="EF480" i="5" s="1"/>
  <c r="EE480" i="5" s="1"/>
  <c r="AG370" i="5"/>
  <c r="AH260" i="5"/>
  <c r="AG272" i="5"/>
  <c r="AG282" i="5"/>
  <c r="AG298" i="5"/>
  <c r="AH298" i="5"/>
  <c r="AG326" i="5"/>
  <c r="AG338" i="5"/>
  <c r="K335" i="5"/>
  <c r="N335" i="5" s="1"/>
  <c r="AH329" i="5"/>
  <c r="AH419" i="5"/>
  <c r="AH374" i="5"/>
  <c r="AH342" i="5"/>
  <c r="AG354" i="5"/>
  <c r="AG357" i="5"/>
  <c r="AH370" i="5"/>
  <c r="AH358" i="5"/>
  <c r="AG382" i="5"/>
  <c r="AH401" i="5"/>
  <c r="AH389" i="5"/>
  <c r="AG394" i="5"/>
  <c r="AH409" i="5"/>
  <c r="AH434" i="5"/>
  <c r="AG434" i="5"/>
  <c r="AG446" i="5"/>
  <c r="AH100" i="5"/>
  <c r="AS96" i="5"/>
  <c r="AZ491" i="5"/>
  <c r="AZ479" i="5"/>
  <c r="AZ473" i="5"/>
  <c r="AH152" i="5"/>
  <c r="AG360" i="5"/>
  <c r="AH328" i="5"/>
  <c r="AH266" i="5"/>
  <c r="AH418" i="5"/>
  <c r="AH373" i="5"/>
  <c r="AH341" i="5"/>
  <c r="AG343" i="5"/>
  <c r="AG358" i="5"/>
  <c r="AH369" i="5"/>
  <c r="AH357" i="5"/>
  <c r="AH400" i="5"/>
  <c r="AH403" i="5"/>
  <c r="AG395" i="5"/>
  <c r="K410" i="5"/>
  <c r="N410" i="5" s="1"/>
  <c r="AH435" i="5"/>
  <c r="AH453" i="5"/>
  <c r="AH99" i="5"/>
  <c r="S103" i="5"/>
  <c r="DN103" i="5" s="1"/>
  <c r="K103" i="5"/>
  <c r="N103" i="5" s="1"/>
  <c r="AH151" i="5"/>
  <c r="AF151" i="5"/>
  <c r="AE101" i="5"/>
  <c r="AF101" i="5" s="1"/>
  <c r="AG399" i="5"/>
  <c r="AG290" i="5"/>
  <c r="AG257" i="5"/>
  <c r="AH258" i="5"/>
  <c r="AH276" i="5"/>
  <c r="AG284" i="5"/>
  <c r="AH313" i="5"/>
  <c r="AG296" i="5"/>
  <c r="AH296" i="5"/>
  <c r="AG304" i="5"/>
  <c r="AH306" i="5"/>
  <c r="AG309" i="5"/>
  <c r="AG315" i="5"/>
  <c r="AG328" i="5"/>
  <c r="AH327" i="5"/>
  <c r="AH265" i="5"/>
  <c r="AH417" i="5"/>
  <c r="AH340" i="5"/>
  <c r="K352" i="5"/>
  <c r="N352" i="5" s="1"/>
  <c r="AS352" i="5" s="1"/>
  <c r="AG359" i="5"/>
  <c r="K359" i="5"/>
  <c r="AF359" i="5" s="1"/>
  <c r="AH368" i="5"/>
  <c r="AH356" i="5"/>
  <c r="AH385" i="5"/>
  <c r="AG384" i="5"/>
  <c r="AH399" i="5"/>
  <c r="AH404" i="5"/>
  <c r="AH407" i="5"/>
  <c r="AG407" i="5"/>
  <c r="AG419" i="5"/>
  <c r="AH436" i="5"/>
  <c r="AG436" i="5"/>
  <c r="AG448" i="5"/>
  <c r="K452" i="5"/>
  <c r="N452" i="5" s="1"/>
  <c r="AH452" i="5"/>
  <c r="AH98" i="5"/>
  <c r="AF104" i="5"/>
  <c r="K102" i="5"/>
  <c r="N102" i="5" s="1"/>
  <c r="AZ496" i="5"/>
  <c r="AZ478" i="5"/>
  <c r="AZ472" i="5"/>
  <c r="AH150" i="5"/>
  <c r="AE148" i="5"/>
  <c r="AF148" i="5" s="1"/>
  <c r="AE100" i="5"/>
  <c r="AF100" i="5" s="1"/>
  <c r="AG396" i="5"/>
  <c r="AH315" i="5"/>
  <c r="K272" i="5"/>
  <c r="N272" i="5" s="1"/>
  <c r="AS272" i="5" s="1"/>
  <c r="AH275" i="5"/>
  <c r="AG273" i="5"/>
  <c r="AG285" i="5"/>
  <c r="K290" i="5"/>
  <c r="N290" i="5" s="1"/>
  <c r="AH312" i="5"/>
  <c r="AG295" i="5"/>
  <c r="AH295" i="5"/>
  <c r="AG305" i="5"/>
  <c r="AH305" i="5"/>
  <c r="AG310" i="5"/>
  <c r="AG316" i="5"/>
  <c r="AG329" i="5"/>
  <c r="K338" i="5"/>
  <c r="N338" i="5" s="1"/>
  <c r="AH338" i="5"/>
  <c r="AH326" i="5"/>
  <c r="AH416" i="5"/>
  <c r="AH371" i="5"/>
  <c r="AG345" i="5"/>
  <c r="AG364" i="5"/>
  <c r="AH367" i="5"/>
  <c r="AH355" i="5"/>
  <c r="AG373" i="5"/>
  <c r="AH384" i="5"/>
  <c r="AG385" i="5"/>
  <c r="AH398" i="5"/>
  <c r="AH405" i="5"/>
  <c r="AG397" i="5"/>
  <c r="AH406" i="5"/>
  <c r="AG408" i="5"/>
  <c r="AG420" i="5"/>
  <c r="AH437" i="5"/>
  <c r="AG437" i="5"/>
  <c r="AG449" i="5"/>
  <c r="K453" i="5"/>
  <c r="N453" i="5" s="1"/>
  <c r="AH451" i="5"/>
  <c r="AG100" i="5"/>
  <c r="S101" i="5"/>
  <c r="DN101" i="5" s="1"/>
  <c r="AH149" i="5"/>
  <c r="AG344" i="5"/>
  <c r="AG450" i="5"/>
  <c r="AH450" i="5"/>
  <c r="AF102" i="5"/>
  <c r="AE98" i="5"/>
  <c r="AG98" i="5" s="1"/>
  <c r="AG342" i="5"/>
  <c r="AH339" i="5"/>
  <c r="AG260" i="5"/>
  <c r="AH255" i="5"/>
  <c r="AG265" i="5"/>
  <c r="AH273" i="5"/>
  <c r="AG275" i="5"/>
  <c r="AH322" i="5"/>
  <c r="AH310" i="5"/>
  <c r="AG293" i="5"/>
  <c r="AH293" i="5"/>
  <c r="AG307" i="5"/>
  <c r="AG312" i="5"/>
  <c r="AG318" i="5"/>
  <c r="AG331" i="5"/>
  <c r="K328" i="5"/>
  <c r="N328" i="5" s="1"/>
  <c r="AH324" i="5"/>
  <c r="AH289" i="5"/>
  <c r="AH414" i="5"/>
  <c r="AH349" i="5"/>
  <c r="AG347" i="5"/>
  <c r="AG366" i="5"/>
  <c r="AH365" i="5"/>
  <c r="AH353" i="5"/>
  <c r="AG371" i="5"/>
  <c r="AH382" i="5"/>
  <c r="AG387" i="5"/>
  <c r="AH396" i="5"/>
  <c r="AH421" i="5"/>
  <c r="AE406" i="5"/>
  <c r="AE418" i="5"/>
  <c r="AG410" i="5"/>
  <c r="AG422" i="5"/>
  <c r="AH427" i="5"/>
  <c r="AH439" i="5"/>
  <c r="AG427" i="5"/>
  <c r="AG439" i="5"/>
  <c r="AG451" i="5"/>
  <c r="AH449" i="5"/>
  <c r="AZ153" i="5"/>
  <c r="CI153" i="5" s="1"/>
  <c r="AE97" i="5"/>
  <c r="AG97" i="5" s="1"/>
  <c r="AG452" i="5"/>
  <c r="AH448" i="5"/>
  <c r="FZ122" i="5"/>
  <c r="FY122" i="5"/>
  <c r="AE96" i="5"/>
  <c r="AF96" i="5" s="1"/>
  <c r="AG383" i="5"/>
  <c r="AG262" i="5"/>
  <c r="AH253" i="5"/>
  <c r="AG267" i="5"/>
  <c r="K264" i="5"/>
  <c r="N264" i="5" s="1"/>
  <c r="AG277" i="5"/>
  <c r="K286" i="5"/>
  <c r="N286" i="5" s="1"/>
  <c r="AH320" i="5"/>
  <c r="AH308" i="5"/>
  <c r="AG291" i="5"/>
  <c r="AH291" i="5"/>
  <c r="AG314" i="5"/>
  <c r="AG320" i="5"/>
  <c r="AG333" i="5"/>
  <c r="K330" i="5"/>
  <c r="N330" i="5" s="1"/>
  <c r="AH334" i="5"/>
  <c r="AH272" i="5"/>
  <c r="AH287" i="5"/>
  <c r="AH412" i="5"/>
  <c r="AH347" i="5"/>
  <c r="AG349" i="5"/>
  <c r="AH363" i="5"/>
  <c r="AG375" i="5"/>
  <c r="AH380" i="5"/>
  <c r="AH394" i="5"/>
  <c r="AG389" i="5"/>
  <c r="AG401" i="5"/>
  <c r="AG412" i="5"/>
  <c r="AG424" i="5"/>
  <c r="AH429" i="5"/>
  <c r="AH441" i="5"/>
  <c r="AG104" i="5"/>
  <c r="S98" i="5"/>
  <c r="DN98" i="5" s="1"/>
  <c r="K97" i="5"/>
  <c r="N97" i="5" s="1"/>
  <c r="R486" i="5"/>
  <c r="EF486" i="5" s="1"/>
  <c r="EE486" i="5" s="1"/>
  <c r="R493" i="5"/>
  <c r="EF493" i="5" s="1"/>
  <c r="EE493" i="5" s="1"/>
  <c r="AD151" i="5"/>
  <c r="AG418" i="5"/>
  <c r="AH264" i="5"/>
  <c r="AH372" i="5"/>
  <c r="V104" i="5"/>
  <c r="V103" i="5"/>
  <c r="V101" i="5"/>
  <c r="V100" i="5"/>
  <c r="V97" i="5"/>
  <c r="AJ218" i="5"/>
  <c r="AJ172" i="5"/>
  <c r="R151" i="5"/>
  <c r="EF151" i="5" s="1"/>
  <c r="EE151" i="5" s="1"/>
  <c r="R152" i="5"/>
  <c r="EF152" i="5" s="1"/>
  <c r="EE152" i="5" s="1"/>
  <c r="R153" i="5"/>
  <c r="EF153" i="5" s="1"/>
  <c r="EE153" i="5" s="1"/>
  <c r="R149" i="5"/>
  <c r="EF149" i="5" s="1"/>
  <c r="EE149" i="5" s="1"/>
  <c r="R150" i="5"/>
  <c r="EF150" i="5" s="1"/>
  <c r="EE150" i="5" s="1"/>
  <c r="AV151" i="5"/>
  <c r="AV149" i="5"/>
  <c r="R476" i="5"/>
  <c r="EF476" i="5" s="1"/>
  <c r="EE476" i="5" s="1"/>
  <c r="EN476" i="5" s="1"/>
  <c r="R477" i="5"/>
  <c r="EF477" i="5" s="1"/>
  <c r="EE477" i="5" s="1"/>
  <c r="EN477" i="5" s="1"/>
  <c r="R485" i="5"/>
  <c r="EF485" i="5" s="1"/>
  <c r="EE485" i="5" s="1"/>
  <c r="R492" i="5"/>
  <c r="EF492" i="5" s="1"/>
  <c r="EE492" i="5" s="1"/>
  <c r="R496" i="5"/>
  <c r="EF496" i="5" s="1"/>
  <c r="EE496" i="5" s="1"/>
  <c r="EN496" i="5" s="1"/>
  <c r="S497" i="5"/>
  <c r="S499" i="5"/>
  <c r="R478" i="5"/>
  <c r="EF478" i="5" s="1"/>
  <c r="EE478" i="5" s="1"/>
  <c r="R481" i="5"/>
  <c r="EF481" i="5" s="1"/>
  <c r="EE481" i="5" s="1"/>
  <c r="R483" i="5"/>
  <c r="EF483" i="5" s="1"/>
  <c r="EE483" i="5" s="1"/>
  <c r="S484" i="5"/>
  <c r="S487" i="5"/>
  <c r="S471" i="5"/>
  <c r="S474" i="5"/>
  <c r="S472" i="5"/>
  <c r="S469" i="5"/>
  <c r="S473" i="5"/>
  <c r="S470" i="5"/>
  <c r="S479" i="5"/>
  <c r="AS475" i="5"/>
  <c r="BB475" i="5" s="1"/>
  <c r="AS469" i="5"/>
  <c r="BB469" i="5" s="1"/>
  <c r="AS470" i="5"/>
  <c r="BB470" i="5" s="1"/>
  <c r="AS471" i="5"/>
  <c r="BB471" i="5" s="1"/>
  <c r="AS472" i="5"/>
  <c r="AT472" i="5" s="1"/>
  <c r="AS473" i="5"/>
  <c r="AT473" i="5" s="1"/>
  <c r="AS474" i="5"/>
  <c r="BB474" i="5" s="1"/>
  <c r="AS476" i="5"/>
  <c r="AT476" i="5" s="1"/>
  <c r="AS477" i="5"/>
  <c r="AT477" i="5" s="1"/>
  <c r="AS478" i="5"/>
  <c r="AT478" i="5" s="1"/>
  <c r="AS479" i="5"/>
  <c r="AT479" i="5" s="1"/>
  <c r="AS480" i="5"/>
  <c r="AT480" i="5" s="1"/>
  <c r="AS481" i="5"/>
  <c r="AT481" i="5" s="1"/>
  <c r="AW481" i="5" s="1"/>
  <c r="AS482" i="5"/>
  <c r="BB482" i="5" s="1"/>
  <c r="AS483" i="5"/>
  <c r="AT483" i="5" s="1"/>
  <c r="AS484" i="5"/>
  <c r="BB484" i="5" s="1"/>
  <c r="AS485" i="5"/>
  <c r="BB485" i="5" s="1"/>
  <c r="AS486" i="5"/>
  <c r="AT486" i="5" s="1"/>
  <c r="S490" i="5"/>
  <c r="AS488" i="5"/>
  <c r="BB488" i="5" s="1"/>
  <c r="S500" i="5"/>
  <c r="AS489" i="5"/>
  <c r="AT489" i="5" s="1"/>
  <c r="AS490" i="5"/>
  <c r="BB490" i="5" s="1"/>
  <c r="AS491" i="5"/>
  <c r="BB491" i="5" s="1"/>
  <c r="AS492" i="5"/>
  <c r="BB492" i="5" s="1"/>
  <c r="AS493" i="5"/>
  <c r="BB493" i="5" s="1"/>
  <c r="AS494" i="5"/>
  <c r="AT494" i="5" s="1"/>
  <c r="AS495" i="5"/>
  <c r="BB495" i="5" s="1"/>
  <c r="AS496" i="5"/>
  <c r="AT496" i="5" s="1"/>
  <c r="AS497" i="5"/>
  <c r="AT497" i="5" s="1"/>
  <c r="AW497" i="5" s="1"/>
  <c r="AS498" i="5"/>
  <c r="BB498" i="5" s="1"/>
  <c r="AS499" i="5"/>
  <c r="BB499" i="5" s="1"/>
  <c r="AS500" i="5"/>
  <c r="BB500" i="5" s="1"/>
  <c r="K291" i="5"/>
  <c r="N291" i="5" s="1"/>
  <c r="K295" i="5"/>
  <c r="FS295" i="5" s="1"/>
  <c r="K299" i="5"/>
  <c r="N299" i="5" s="1"/>
  <c r="AS299" i="5" s="1"/>
  <c r="K305" i="5"/>
  <c r="N305" i="5" s="1"/>
  <c r="AE350" i="5"/>
  <c r="AE342" i="5"/>
  <c r="K364" i="5"/>
  <c r="N364" i="5" s="1"/>
  <c r="K368" i="5"/>
  <c r="N368" i="5" s="1"/>
  <c r="K308" i="5"/>
  <c r="N308" i="5" s="1"/>
  <c r="K311" i="5"/>
  <c r="N311" i="5" s="1"/>
  <c r="K315" i="5"/>
  <c r="N315" i="5" s="1"/>
  <c r="K319" i="5"/>
  <c r="N319" i="5" s="1"/>
  <c r="K323" i="5"/>
  <c r="FS323" i="5" s="1"/>
  <c r="FU323" i="5" s="1"/>
  <c r="CM323" i="5" s="1"/>
  <c r="K326" i="5"/>
  <c r="N326" i="5" s="1"/>
  <c r="K265" i="5"/>
  <c r="N265" i="5" s="1"/>
  <c r="K269" i="5"/>
  <c r="N269" i="5" s="1"/>
  <c r="K293" i="5"/>
  <c r="N293" i="5" s="1"/>
  <c r="K297" i="5"/>
  <c r="FS297" i="5" s="1"/>
  <c r="FU297" i="5" s="1"/>
  <c r="CM297" i="5" s="1"/>
  <c r="K301" i="5"/>
  <c r="N301" i="5" s="1"/>
  <c r="K337" i="5"/>
  <c r="N337" i="5" s="1"/>
  <c r="AS337" i="5" s="1"/>
  <c r="AE354" i="5"/>
  <c r="AE346" i="5"/>
  <c r="K339" i="5"/>
  <c r="N339" i="5" s="1"/>
  <c r="K343" i="5"/>
  <c r="N343" i="5" s="1"/>
  <c r="K351" i="5"/>
  <c r="N351" i="5" s="1"/>
  <c r="K358" i="5"/>
  <c r="N358" i="5" s="1"/>
  <c r="K362" i="5"/>
  <c r="N362" i="5" s="1"/>
  <c r="K366" i="5"/>
  <c r="N366" i="5" s="1"/>
  <c r="K370" i="5"/>
  <c r="N370" i="5" s="1"/>
  <c r="K381" i="5"/>
  <c r="N381" i="5" s="1"/>
  <c r="K385" i="5"/>
  <c r="N385" i="5" s="1"/>
  <c r="K397" i="5"/>
  <c r="N397" i="5" s="1"/>
  <c r="K402" i="5"/>
  <c r="N402" i="5" s="1"/>
  <c r="K407" i="5"/>
  <c r="N407" i="5" s="1"/>
  <c r="K422" i="5"/>
  <c r="FS422" i="5" s="1"/>
  <c r="FU422" i="5" s="1"/>
  <c r="CM422" i="5" s="1"/>
  <c r="K446" i="5"/>
  <c r="N446" i="5" s="1"/>
  <c r="K450" i="5"/>
  <c r="N450" i="5" s="1"/>
  <c r="AV97" i="5"/>
  <c r="AV324" i="5"/>
  <c r="AV328" i="5"/>
  <c r="AV336" i="5"/>
  <c r="AV351" i="5"/>
  <c r="AV400" i="5"/>
  <c r="R264" i="5"/>
  <c r="EF264" i="5" s="1"/>
  <c r="EE264" i="5" s="1"/>
  <c r="AZ330" i="5"/>
  <c r="CI330" i="5" s="1"/>
  <c r="AZ345" i="5"/>
  <c r="CI345" i="5" s="1"/>
  <c r="AZ373" i="5"/>
  <c r="CI373" i="5" s="1"/>
  <c r="R388" i="5"/>
  <c r="EF388" i="5" s="1"/>
  <c r="EE388" i="5" s="1"/>
  <c r="K253" i="5"/>
  <c r="N253" i="5" s="1"/>
  <c r="K257" i="5"/>
  <c r="FS257" i="5" s="1"/>
  <c r="FU257" i="5" s="1"/>
  <c r="CM257" i="5" s="1"/>
  <c r="K261" i="5"/>
  <c r="N261" i="5" s="1"/>
  <c r="K267" i="5"/>
  <c r="N267" i="5" s="1"/>
  <c r="K271" i="5"/>
  <c r="N271" i="5" s="1"/>
  <c r="K273" i="5"/>
  <c r="N273" i="5" s="1"/>
  <c r="AS273" i="5" s="1"/>
  <c r="K277" i="5"/>
  <c r="N277" i="5" s="1"/>
  <c r="K281" i="5"/>
  <c r="FS281" i="5" s="1"/>
  <c r="K285" i="5"/>
  <c r="N285" i="5" s="1"/>
  <c r="K294" i="5"/>
  <c r="N294" i="5" s="1"/>
  <c r="K298" i="5"/>
  <c r="N298" i="5" s="1"/>
  <c r="K302" i="5"/>
  <c r="N302" i="5" s="1"/>
  <c r="K304" i="5"/>
  <c r="N304" i="5" s="1"/>
  <c r="R384" i="5"/>
  <c r="EF384" i="5" s="1"/>
  <c r="EE384" i="5" s="1"/>
  <c r="AZ421" i="5"/>
  <c r="CI421" i="5" s="1"/>
  <c r="AZ425" i="5"/>
  <c r="CI425" i="5" s="1"/>
  <c r="K284" i="5"/>
  <c r="N284" i="5" s="1"/>
  <c r="K303" i="5"/>
  <c r="N303" i="5" s="1"/>
  <c r="K307" i="5"/>
  <c r="N307" i="5" s="1"/>
  <c r="K336" i="5"/>
  <c r="N336" i="5" s="1"/>
  <c r="K356" i="5"/>
  <c r="N356" i="5" s="1"/>
  <c r="K360" i="5"/>
  <c r="N360" i="5" s="1"/>
  <c r="K448" i="5"/>
  <c r="N448" i="5" s="1"/>
  <c r="S275" i="5"/>
  <c r="AZ349" i="5"/>
  <c r="CI349" i="5" s="1"/>
  <c r="AZ377" i="5"/>
  <c r="CI377" i="5" s="1"/>
  <c r="AV418" i="5"/>
  <c r="AV426" i="5"/>
  <c r="AV450" i="5"/>
  <c r="K283" i="5"/>
  <c r="N283" i="5" s="1"/>
  <c r="AV104" i="5"/>
  <c r="AV96" i="5"/>
  <c r="R257" i="5"/>
  <c r="EF257" i="5" s="1"/>
  <c r="EE257" i="5" s="1"/>
  <c r="R253" i="5"/>
  <c r="EF253" i="5" s="1"/>
  <c r="EE253" i="5" s="1"/>
  <c r="R261" i="5"/>
  <c r="EF261" i="5" s="1"/>
  <c r="EE261" i="5" s="1"/>
  <c r="R268" i="5"/>
  <c r="EF268" i="5" s="1"/>
  <c r="EE268" i="5" s="1"/>
  <c r="K252" i="5"/>
  <c r="N252" i="5" s="1"/>
  <c r="K254" i="5"/>
  <c r="FS254" i="5" s="1"/>
  <c r="K258" i="5"/>
  <c r="N258" i="5" s="1"/>
  <c r="K262" i="5"/>
  <c r="N262" i="5" s="1"/>
  <c r="K274" i="5"/>
  <c r="N274" i="5" s="1"/>
  <c r="K278" i="5"/>
  <c r="N278" i="5" s="1"/>
  <c r="K282" i="5"/>
  <c r="N282" i="5" s="1"/>
  <c r="K289" i="5"/>
  <c r="N289" i="5" s="1"/>
  <c r="AV320" i="5"/>
  <c r="K312" i="5"/>
  <c r="N312" i="5" s="1"/>
  <c r="K316" i="5"/>
  <c r="N316" i="5" s="1"/>
  <c r="K320" i="5"/>
  <c r="N320" i="5" s="1"/>
  <c r="AE376" i="5"/>
  <c r="AE372" i="5"/>
  <c r="AE369" i="5"/>
  <c r="AE365" i="5"/>
  <c r="K340" i="5"/>
  <c r="N340" i="5" s="1"/>
  <c r="K344" i="5"/>
  <c r="N344" i="5" s="1"/>
  <c r="K348" i="5"/>
  <c r="N348" i="5" s="1"/>
  <c r="K374" i="5"/>
  <c r="N374" i="5" s="1"/>
  <c r="K378" i="5"/>
  <c r="N378" i="5" s="1"/>
  <c r="K382" i="5"/>
  <c r="N382" i="5" s="1"/>
  <c r="K386" i="5"/>
  <c r="FS386" i="5" s="1"/>
  <c r="K395" i="5"/>
  <c r="N395" i="5" s="1"/>
  <c r="K391" i="5"/>
  <c r="FS391" i="5" s="1"/>
  <c r="FU391" i="5" s="1"/>
  <c r="CM391" i="5" s="1"/>
  <c r="K399" i="5"/>
  <c r="N399" i="5" s="1"/>
  <c r="K403" i="5"/>
  <c r="N403" i="5" s="1"/>
  <c r="K406" i="5"/>
  <c r="N406" i="5" s="1"/>
  <c r="K411" i="5"/>
  <c r="N411" i="5" s="1"/>
  <c r="K415" i="5"/>
  <c r="N415" i="5" s="1"/>
  <c r="K419" i="5"/>
  <c r="FS419" i="5" s="1"/>
  <c r="K423" i="5"/>
  <c r="N423" i="5" s="1"/>
  <c r="K427" i="5"/>
  <c r="N427" i="5" s="1"/>
  <c r="K431" i="5"/>
  <c r="N431" i="5" s="1"/>
  <c r="K435" i="5"/>
  <c r="N435" i="5" s="1"/>
  <c r="K439" i="5"/>
  <c r="N439" i="5" s="1"/>
  <c r="K443" i="5"/>
  <c r="N443" i="5" s="1"/>
  <c r="K447" i="5"/>
  <c r="N447" i="5" s="1"/>
  <c r="K373" i="5"/>
  <c r="N373" i="5" s="1"/>
  <c r="K377" i="5"/>
  <c r="N377" i="5" s="1"/>
  <c r="K392" i="5"/>
  <c r="N392" i="5" s="1"/>
  <c r="K396" i="5"/>
  <c r="N396" i="5" s="1"/>
  <c r="K414" i="5"/>
  <c r="N414" i="5" s="1"/>
  <c r="K418" i="5"/>
  <c r="FS418" i="5" s="1"/>
  <c r="FU418" i="5" s="1"/>
  <c r="CM418" i="5" s="1"/>
  <c r="K426" i="5"/>
  <c r="N426" i="5" s="1"/>
  <c r="K430" i="5"/>
  <c r="N430" i="5" s="1"/>
  <c r="K434" i="5"/>
  <c r="N434" i="5" s="1"/>
  <c r="K438" i="5"/>
  <c r="N438" i="5" s="1"/>
  <c r="K442" i="5"/>
  <c r="N442" i="5" s="1"/>
  <c r="K256" i="5"/>
  <c r="N256" i="5" s="1"/>
  <c r="K260" i="5"/>
  <c r="N260" i="5" s="1"/>
  <c r="K266" i="5"/>
  <c r="FS266" i="5" s="1"/>
  <c r="FU266" i="5" s="1"/>
  <c r="CM266" i="5" s="1"/>
  <c r="K270" i="5"/>
  <c r="N270" i="5" s="1"/>
  <c r="K276" i="5"/>
  <c r="N276" i="5" s="1"/>
  <c r="K280" i="5"/>
  <c r="FS280" i="5" s="1"/>
  <c r="FU280" i="5" s="1"/>
  <c r="CM280" i="5" s="1"/>
  <c r="K292" i="5"/>
  <c r="N292" i="5" s="1"/>
  <c r="K296" i="5"/>
  <c r="FS296" i="5" s="1"/>
  <c r="K300" i="5"/>
  <c r="N300" i="5" s="1"/>
  <c r="K306" i="5"/>
  <c r="N306" i="5" s="1"/>
  <c r="K310" i="5"/>
  <c r="N310" i="5" s="1"/>
  <c r="K314" i="5"/>
  <c r="N314" i="5" s="1"/>
  <c r="K318" i="5"/>
  <c r="N318" i="5" s="1"/>
  <c r="K322" i="5"/>
  <c r="FS322" i="5" s="1"/>
  <c r="K324" i="5"/>
  <c r="N324" i="5" s="1"/>
  <c r="AS324" i="5" s="1"/>
  <c r="AE450" i="5"/>
  <c r="AE446" i="5"/>
  <c r="AE442" i="5"/>
  <c r="AE438" i="5"/>
  <c r="AE410" i="5"/>
  <c r="AE404" i="5"/>
  <c r="AE400" i="5"/>
  <c r="AE396" i="5"/>
  <c r="AE386" i="5"/>
  <c r="AE382" i="5"/>
  <c r="AE378" i="5"/>
  <c r="AE363" i="5"/>
  <c r="AE359" i="5"/>
  <c r="AE355" i="5"/>
  <c r="AE351" i="5"/>
  <c r="AE347" i="5"/>
  <c r="AE343" i="5"/>
  <c r="AE339" i="5"/>
  <c r="K342" i="5"/>
  <c r="N342" i="5" s="1"/>
  <c r="K346" i="5"/>
  <c r="N346" i="5" s="1"/>
  <c r="K350" i="5"/>
  <c r="FS350" i="5" s="1"/>
  <c r="FU350" i="5" s="1"/>
  <c r="CM350" i="5" s="1"/>
  <c r="K354" i="5"/>
  <c r="N354" i="5" s="1"/>
  <c r="K357" i="5"/>
  <c r="N357" i="5" s="1"/>
  <c r="K361" i="5"/>
  <c r="FS361" i="5" s="1"/>
  <c r="FU361" i="5" s="1"/>
  <c r="CM361" i="5" s="1"/>
  <c r="K365" i="5"/>
  <c r="FS365" i="5" s="1"/>
  <c r="K369" i="5"/>
  <c r="N369" i="5" s="1"/>
  <c r="K372" i="5"/>
  <c r="N372" i="5" s="1"/>
  <c r="K376" i="5"/>
  <c r="N376" i="5" s="1"/>
  <c r="K380" i="5"/>
  <c r="FS380" i="5" s="1"/>
  <c r="FU380" i="5" s="1"/>
  <c r="CM380" i="5" s="1"/>
  <c r="K384" i="5"/>
  <c r="N384" i="5" s="1"/>
  <c r="K388" i="5"/>
  <c r="K398" i="5"/>
  <c r="N398" i="5" s="1"/>
  <c r="K393" i="5"/>
  <c r="N393" i="5" s="1"/>
  <c r="K390" i="5"/>
  <c r="N390" i="5" s="1"/>
  <c r="K401" i="5"/>
  <c r="N401" i="5" s="1"/>
  <c r="K405" i="5"/>
  <c r="N405" i="5" s="1"/>
  <c r="K409" i="5"/>
  <c r="N409" i="5" s="1"/>
  <c r="K413" i="5"/>
  <c r="N413" i="5" s="1"/>
  <c r="K417" i="5"/>
  <c r="N417" i="5" s="1"/>
  <c r="K421" i="5"/>
  <c r="FS421" i="5" s="1"/>
  <c r="FU421" i="5" s="1"/>
  <c r="CM421" i="5" s="1"/>
  <c r="K425" i="5"/>
  <c r="FS425" i="5" s="1"/>
  <c r="FU425" i="5" s="1"/>
  <c r="CM425" i="5" s="1"/>
  <c r="K429" i="5"/>
  <c r="N429" i="5" s="1"/>
  <c r="K433" i="5"/>
  <c r="N433" i="5" s="1"/>
  <c r="K437" i="5"/>
  <c r="N437" i="5" s="1"/>
  <c r="K441" i="5"/>
  <c r="FS441" i="5" s="1"/>
  <c r="FU441" i="5" s="1"/>
  <c r="CM441" i="5" s="1"/>
  <c r="K445" i="5"/>
  <c r="FS445" i="5" s="1"/>
  <c r="FU445" i="5" s="1"/>
  <c r="CM445" i="5" s="1"/>
  <c r="K449" i="5"/>
  <c r="FS449" i="5" s="1"/>
  <c r="FU449" i="5" s="1"/>
  <c r="CM449" i="5" s="1"/>
  <c r="K255" i="5"/>
  <c r="N255" i="5" s="1"/>
  <c r="K259" i="5"/>
  <c r="N259" i="5" s="1"/>
  <c r="K263" i="5"/>
  <c r="N263" i="5" s="1"/>
  <c r="K275" i="5"/>
  <c r="N275" i="5" s="1"/>
  <c r="K279" i="5"/>
  <c r="N279" i="5" s="1"/>
  <c r="K287" i="5"/>
  <c r="N287" i="5" s="1"/>
  <c r="K309" i="5"/>
  <c r="N309" i="5" s="1"/>
  <c r="K313" i="5"/>
  <c r="N313" i="5" s="1"/>
  <c r="K317" i="5"/>
  <c r="N317" i="5" s="1"/>
  <c r="K321" i="5"/>
  <c r="N321" i="5" s="1"/>
  <c r="AE434" i="5"/>
  <c r="AE430" i="5"/>
  <c r="AE426" i="5"/>
  <c r="K341" i="5"/>
  <c r="N341" i="5" s="1"/>
  <c r="K345" i="5"/>
  <c r="N345" i="5" s="1"/>
  <c r="K349" i="5"/>
  <c r="N349" i="5" s="1"/>
  <c r="K353" i="5"/>
  <c r="N353" i="5" s="1"/>
  <c r="K371" i="5"/>
  <c r="N371" i="5" s="1"/>
  <c r="K375" i="5"/>
  <c r="N375" i="5" s="1"/>
  <c r="K379" i="5"/>
  <c r="N379" i="5" s="1"/>
  <c r="K383" i="5"/>
  <c r="N383" i="5" s="1"/>
  <c r="K387" i="5"/>
  <c r="N387" i="5" s="1"/>
  <c r="K394" i="5"/>
  <c r="N394" i="5" s="1"/>
  <c r="K389" i="5"/>
  <c r="N389" i="5" s="1"/>
  <c r="K400" i="5"/>
  <c r="N400" i="5" s="1"/>
  <c r="K404" i="5"/>
  <c r="K408" i="5"/>
  <c r="N408" i="5" s="1"/>
  <c r="K412" i="5"/>
  <c r="N412" i="5" s="1"/>
  <c r="K416" i="5"/>
  <c r="N416" i="5" s="1"/>
  <c r="K420" i="5"/>
  <c r="N420" i="5" s="1"/>
  <c r="K424" i="5"/>
  <c r="N424" i="5" s="1"/>
  <c r="K428" i="5"/>
  <c r="N428" i="5" s="1"/>
  <c r="K432" i="5"/>
  <c r="N432" i="5" s="1"/>
  <c r="K436" i="5"/>
  <c r="N436" i="5" s="1"/>
  <c r="K440" i="5"/>
  <c r="N440" i="5" s="1"/>
  <c r="K444" i="5"/>
  <c r="FS444" i="5" s="1"/>
  <c r="FU444" i="5" s="1"/>
  <c r="CM444" i="5" s="1"/>
  <c r="K451" i="5"/>
  <c r="N451" i="5" s="1"/>
  <c r="AE256" i="5"/>
  <c r="AE260" i="5"/>
  <c r="AE265" i="5"/>
  <c r="AE269" i="5"/>
  <c r="AE273" i="5"/>
  <c r="AE277" i="5"/>
  <c r="AE281" i="5"/>
  <c r="AE285" i="5"/>
  <c r="AE290" i="5"/>
  <c r="AE291" i="5"/>
  <c r="AE295" i="5"/>
  <c r="AE299" i="5"/>
  <c r="AE306" i="5"/>
  <c r="AE308" i="5"/>
  <c r="AE312" i="5"/>
  <c r="AE319" i="5"/>
  <c r="AE322" i="5"/>
  <c r="AE324" i="5"/>
  <c r="AE328" i="5"/>
  <c r="AE332" i="5"/>
  <c r="AE336" i="5"/>
  <c r="AE255" i="5"/>
  <c r="AE259" i="5"/>
  <c r="AE263" i="5"/>
  <c r="AE264" i="5"/>
  <c r="AE268" i="5"/>
  <c r="AE272" i="5"/>
  <c r="AE276" i="5"/>
  <c r="AE280" i="5"/>
  <c r="AE284" i="5"/>
  <c r="AE289" i="5"/>
  <c r="AE294" i="5"/>
  <c r="AE298" i="5"/>
  <c r="AE302" i="5"/>
  <c r="AE305" i="5"/>
  <c r="AE311" i="5"/>
  <c r="AE320" i="5"/>
  <c r="AE321" i="5"/>
  <c r="AE327" i="5"/>
  <c r="AE331" i="5"/>
  <c r="AE335" i="5"/>
  <c r="R398" i="5"/>
  <c r="EF398" i="5" s="1"/>
  <c r="EE398" i="5" s="1"/>
  <c r="AE252" i="5"/>
  <c r="AE254" i="5"/>
  <c r="AE258" i="5"/>
  <c r="AE262" i="5"/>
  <c r="AE267" i="5"/>
  <c r="AE271" i="5"/>
  <c r="AE275" i="5"/>
  <c r="AE279" i="5"/>
  <c r="AE283" i="5"/>
  <c r="AE287" i="5"/>
  <c r="AE288" i="5"/>
  <c r="AE293" i="5"/>
  <c r="AE297" i="5"/>
  <c r="AE301" i="5"/>
  <c r="AE304" i="5"/>
  <c r="AE310" i="5"/>
  <c r="AE314" i="5"/>
  <c r="AE316" i="5"/>
  <c r="AE317" i="5"/>
  <c r="AE326" i="5"/>
  <c r="AE330" i="5"/>
  <c r="AE334" i="5"/>
  <c r="AE338" i="5"/>
  <c r="R386" i="5"/>
  <c r="EF386" i="5" s="1"/>
  <c r="EE386" i="5" s="1"/>
  <c r="AE253" i="5"/>
  <c r="AE257" i="5"/>
  <c r="AE261" i="5"/>
  <c r="AE266" i="5"/>
  <c r="AE270" i="5"/>
  <c r="AE274" i="5"/>
  <c r="AE278" i="5"/>
  <c r="AE282" i="5"/>
  <c r="AE286" i="5"/>
  <c r="AE292" i="5"/>
  <c r="AE296" i="5"/>
  <c r="AE300" i="5"/>
  <c r="AE303" i="5"/>
  <c r="AE307" i="5"/>
  <c r="AE309" i="5"/>
  <c r="AE313" i="5"/>
  <c r="AE315" i="5"/>
  <c r="AE318" i="5"/>
  <c r="AE323" i="5"/>
  <c r="AE325" i="5"/>
  <c r="AE329" i="5"/>
  <c r="AE333" i="5"/>
  <c r="AE337" i="5"/>
  <c r="R441" i="5"/>
  <c r="EF441" i="5" s="1"/>
  <c r="EE441" i="5" s="1"/>
  <c r="R433" i="5"/>
  <c r="EF433" i="5" s="1"/>
  <c r="EE433" i="5" s="1"/>
  <c r="R421" i="5"/>
  <c r="EF421" i="5" s="1"/>
  <c r="EE421" i="5" s="1"/>
  <c r="R425" i="5"/>
  <c r="EF425" i="5" s="1"/>
  <c r="EE425" i="5" s="1"/>
  <c r="R409" i="5"/>
  <c r="EF409" i="5" s="1"/>
  <c r="EE409" i="5" s="1"/>
  <c r="AE414" i="5"/>
  <c r="AV417" i="5"/>
  <c r="AE417" i="5"/>
  <c r="AE393" i="5"/>
  <c r="AV392" i="5"/>
  <c r="AE392" i="5"/>
  <c r="R405" i="5"/>
  <c r="EF405" i="5" s="1"/>
  <c r="EE405" i="5" s="1"/>
  <c r="R396" i="5"/>
  <c r="EF396" i="5" s="1"/>
  <c r="EE396" i="5" s="1"/>
  <c r="R394" i="5"/>
  <c r="EF394" i="5" s="1"/>
  <c r="EE394" i="5" s="1"/>
  <c r="R392" i="5"/>
  <c r="R390" i="5"/>
  <c r="EF390" i="5" s="1"/>
  <c r="EE390" i="5" s="1"/>
  <c r="R346" i="5"/>
  <c r="AZ334" i="5"/>
  <c r="CI334" i="5" s="1"/>
  <c r="R338" i="5"/>
  <c r="EF338" i="5" s="1"/>
  <c r="EE338" i="5" s="1"/>
  <c r="AZ320" i="5"/>
  <c r="CI320" i="5" s="1"/>
  <c r="R298" i="5"/>
  <c r="EF298" i="5" s="1"/>
  <c r="EE298" i="5" s="1"/>
  <c r="R282" i="5"/>
  <c r="EF282" i="5" s="1"/>
  <c r="EE282" i="5" s="1"/>
  <c r="R283" i="5"/>
  <c r="EF283" i="5" s="1"/>
  <c r="EE283" i="5" s="1"/>
  <c r="R284" i="5"/>
  <c r="EF284" i="5" s="1"/>
  <c r="EE284" i="5" s="1"/>
  <c r="R285" i="5"/>
  <c r="EF285" i="5" s="1"/>
  <c r="EE285" i="5" s="1"/>
  <c r="R297" i="5"/>
  <c r="EF297" i="5" s="1"/>
  <c r="EE297" i="5" s="1"/>
  <c r="R306" i="5"/>
  <c r="EF306" i="5" s="1"/>
  <c r="EE306" i="5" s="1"/>
  <c r="R307" i="5"/>
  <c r="EF307" i="5" s="1"/>
  <c r="EE307" i="5" s="1"/>
  <c r="R308" i="5"/>
  <c r="EF308" i="5" s="1"/>
  <c r="EE308" i="5" s="1"/>
  <c r="R309" i="5"/>
  <c r="EF309" i="5" s="1"/>
  <c r="EE309" i="5" s="1"/>
  <c r="R330" i="5"/>
  <c r="EF330" i="5" s="1"/>
  <c r="EE330" i="5" s="1"/>
  <c r="R332" i="5"/>
  <c r="EF332" i="5" s="1"/>
  <c r="EE332" i="5" s="1"/>
  <c r="R339" i="5"/>
  <c r="EF339" i="5" s="1"/>
  <c r="EE339" i="5" s="1"/>
  <c r="R342" i="5"/>
  <c r="EF342" i="5" s="1"/>
  <c r="EE342" i="5" s="1"/>
  <c r="R347" i="5"/>
  <c r="EF347" i="5" s="1"/>
  <c r="EE347" i="5" s="1"/>
  <c r="R350" i="5"/>
  <c r="EF350" i="5" s="1"/>
  <c r="EE350" i="5" s="1"/>
  <c r="R354" i="5"/>
  <c r="EF354" i="5" s="1"/>
  <c r="EE354" i="5" s="1"/>
  <c r="R358" i="5"/>
  <c r="EF358" i="5" s="1"/>
  <c r="EE358" i="5" s="1"/>
  <c r="R361" i="5"/>
  <c r="EF361" i="5" s="1"/>
  <c r="EE361" i="5" s="1"/>
  <c r="R363" i="5"/>
  <c r="EF363" i="5" s="1"/>
  <c r="EE363" i="5" s="1"/>
  <c r="R364" i="5"/>
  <c r="EF364" i="5" s="1"/>
  <c r="EE364" i="5" s="1"/>
  <c r="R374" i="5"/>
  <c r="EF374" i="5" s="1"/>
  <c r="EE374" i="5" s="1"/>
  <c r="R377" i="5"/>
  <c r="EF377" i="5" s="1"/>
  <c r="EE377" i="5" s="1"/>
  <c r="R379" i="5"/>
  <c r="EF379" i="5" s="1"/>
  <c r="EE379" i="5" s="1"/>
  <c r="R380" i="5"/>
  <c r="EF380" i="5" s="1"/>
  <c r="EE380" i="5" s="1"/>
  <c r="R402" i="5"/>
  <c r="EF402" i="5" s="1"/>
  <c r="EE402" i="5" s="1"/>
  <c r="R403" i="5"/>
  <c r="EF403" i="5" s="1"/>
  <c r="EE403" i="5" s="1"/>
  <c r="R404" i="5"/>
  <c r="EF404" i="5" s="1"/>
  <c r="EE404" i="5" s="1"/>
  <c r="R418" i="5"/>
  <c r="EF418" i="5" s="1"/>
  <c r="EE418" i="5" s="1"/>
  <c r="R419" i="5"/>
  <c r="EF419" i="5" s="1"/>
  <c r="EE419" i="5" s="1"/>
  <c r="R420" i="5"/>
  <c r="EF420" i="5" s="1"/>
  <c r="EE420" i="5" s="1"/>
  <c r="R429" i="5"/>
  <c r="EF429" i="5" s="1"/>
  <c r="EE429" i="5" s="1"/>
  <c r="R438" i="5"/>
  <c r="EF438" i="5" s="1"/>
  <c r="EE438" i="5" s="1"/>
  <c r="R445" i="5"/>
  <c r="EF445" i="5" s="1"/>
  <c r="EE445" i="5" s="1"/>
  <c r="R449" i="5"/>
  <c r="EF449" i="5" s="1"/>
  <c r="EE449" i="5" s="1"/>
  <c r="R453" i="5"/>
  <c r="EF453" i="5" s="1"/>
  <c r="EE453" i="5" s="1"/>
  <c r="R337" i="5"/>
  <c r="EF337" i="5" s="1"/>
  <c r="EE337" i="5" s="1"/>
  <c r="R345" i="5"/>
  <c r="EF345" i="5" s="1"/>
  <c r="EE345" i="5" s="1"/>
  <c r="R413" i="5"/>
  <c r="EF413" i="5" s="1"/>
  <c r="EE413" i="5" s="1"/>
  <c r="R294" i="5"/>
  <c r="EF294" i="5" s="1"/>
  <c r="EE294" i="5" s="1"/>
  <c r="R295" i="5"/>
  <c r="EF295" i="5" s="1"/>
  <c r="EE295" i="5" s="1"/>
  <c r="R296" i="5"/>
  <c r="EF296" i="5" s="1"/>
  <c r="EE296" i="5" s="1"/>
  <c r="R302" i="5"/>
  <c r="EF302" i="5" s="1"/>
  <c r="EE302" i="5" s="1"/>
  <c r="R303" i="5"/>
  <c r="EF303" i="5" s="1"/>
  <c r="EE303" i="5" s="1"/>
  <c r="R304" i="5"/>
  <c r="EF304" i="5" s="1"/>
  <c r="EE304" i="5" s="1"/>
  <c r="R305" i="5"/>
  <c r="EF305" i="5" s="1"/>
  <c r="EE305" i="5" s="1"/>
  <c r="R329" i="5"/>
  <c r="EF329" i="5" s="1"/>
  <c r="EE329" i="5" s="1"/>
  <c r="R334" i="5"/>
  <c r="EF334" i="5" s="1"/>
  <c r="EE334" i="5" s="1"/>
  <c r="R335" i="5"/>
  <c r="EF335" i="5" s="1"/>
  <c r="EE335" i="5" s="1"/>
  <c r="R341" i="5"/>
  <c r="EF341" i="5" s="1"/>
  <c r="EE341" i="5" s="1"/>
  <c r="R343" i="5"/>
  <c r="EF343" i="5" s="1"/>
  <c r="EE343" i="5" s="1"/>
  <c r="R349" i="5"/>
  <c r="EF349" i="5" s="1"/>
  <c r="EE349" i="5" s="1"/>
  <c r="R351" i="5"/>
  <c r="EF351" i="5" s="1"/>
  <c r="EE351" i="5" s="1"/>
  <c r="R353" i="5"/>
  <c r="EF353" i="5" s="1"/>
  <c r="EE353" i="5" s="1"/>
  <c r="R355" i="5"/>
  <c r="EF355" i="5" s="1"/>
  <c r="EE355" i="5" s="1"/>
  <c r="R357" i="5"/>
  <c r="EF357" i="5" s="1"/>
  <c r="EE357" i="5" s="1"/>
  <c r="R359" i="5"/>
  <c r="EF359" i="5" s="1"/>
  <c r="EE359" i="5" s="1"/>
  <c r="R360" i="5"/>
  <c r="EF360" i="5" s="1"/>
  <c r="EE360" i="5" s="1"/>
  <c r="R370" i="5"/>
  <c r="EF370" i="5" s="1"/>
  <c r="EE370" i="5" s="1"/>
  <c r="R373" i="5"/>
  <c r="EF373" i="5" s="1"/>
  <c r="EE373" i="5" s="1"/>
  <c r="R375" i="5"/>
  <c r="EF375" i="5" s="1"/>
  <c r="EE375" i="5" s="1"/>
  <c r="R376" i="5"/>
  <c r="EF376" i="5" s="1"/>
  <c r="EE376" i="5" s="1"/>
  <c r="R385" i="5"/>
  <c r="EF385" i="5" s="1"/>
  <c r="EE385" i="5" s="1"/>
  <c r="R389" i="5"/>
  <c r="EF389" i="5" s="1"/>
  <c r="EE389" i="5" s="1"/>
  <c r="R393" i="5"/>
  <c r="EF393" i="5" s="1"/>
  <c r="EE393" i="5" s="1"/>
  <c r="R397" i="5"/>
  <c r="EF397" i="5" s="1"/>
  <c r="EE397" i="5" s="1"/>
  <c r="R406" i="5"/>
  <c r="EF406" i="5" s="1"/>
  <c r="EE406" i="5" s="1"/>
  <c r="R407" i="5"/>
  <c r="EF407" i="5" s="1"/>
  <c r="EE407" i="5" s="1"/>
  <c r="R408" i="5"/>
  <c r="EF408" i="5" s="1"/>
  <c r="EE408" i="5" s="1"/>
  <c r="R422" i="5"/>
  <c r="EF422" i="5" s="1"/>
  <c r="EE422" i="5" s="1"/>
  <c r="R423" i="5"/>
  <c r="EF423" i="5" s="1"/>
  <c r="EE423" i="5" s="1"/>
  <c r="R424" i="5"/>
  <c r="EF424" i="5" s="1"/>
  <c r="EE424" i="5" s="1"/>
  <c r="R431" i="5"/>
  <c r="EF431" i="5" s="1"/>
  <c r="EE431" i="5" s="1"/>
  <c r="R432" i="5"/>
  <c r="EF432" i="5" s="1"/>
  <c r="EE432" i="5" s="1"/>
  <c r="R439" i="5"/>
  <c r="EF439" i="5" s="1"/>
  <c r="EE439" i="5" s="1"/>
  <c r="R440" i="5"/>
  <c r="EF440" i="5" s="1"/>
  <c r="EE440" i="5" s="1"/>
  <c r="R401" i="5"/>
  <c r="EF401" i="5" s="1"/>
  <c r="EE401" i="5" s="1"/>
  <c r="R417" i="5"/>
  <c r="EF417" i="5" s="1"/>
  <c r="EE417" i="5" s="1"/>
  <c r="R428" i="5"/>
  <c r="EF428" i="5" s="1"/>
  <c r="EE428" i="5" s="1"/>
  <c r="R430" i="5"/>
  <c r="EF430" i="5" s="1"/>
  <c r="EE430" i="5" s="1"/>
  <c r="R437" i="5"/>
  <c r="EF437" i="5" s="1"/>
  <c r="EE437" i="5" s="1"/>
  <c r="R444" i="5"/>
  <c r="EF444" i="5" s="1"/>
  <c r="EE444" i="5" s="1"/>
  <c r="R446" i="5"/>
  <c r="EF446" i="5" s="1"/>
  <c r="EE446" i="5" s="1"/>
  <c r="R448" i="5"/>
  <c r="EF448" i="5" s="1"/>
  <c r="EE448" i="5" s="1"/>
  <c r="R450" i="5"/>
  <c r="EF450" i="5" s="1"/>
  <c r="EE450" i="5" s="1"/>
  <c r="R452" i="5"/>
  <c r="EF452" i="5" s="1"/>
  <c r="EE452" i="5" s="1"/>
  <c r="R290" i="5"/>
  <c r="EF290" i="5" s="1"/>
  <c r="EE290" i="5" s="1"/>
  <c r="R291" i="5"/>
  <c r="EF291" i="5" s="1"/>
  <c r="EE291" i="5" s="1"/>
  <c r="R292" i="5"/>
  <c r="EF292" i="5" s="1"/>
  <c r="EE292" i="5" s="1"/>
  <c r="R293" i="5"/>
  <c r="EF293" i="5" s="1"/>
  <c r="EE293" i="5" s="1"/>
  <c r="R299" i="5"/>
  <c r="EF299" i="5" s="1"/>
  <c r="EE299" i="5" s="1"/>
  <c r="R300" i="5"/>
  <c r="EF300" i="5" s="1"/>
  <c r="EE300" i="5" s="1"/>
  <c r="R301" i="5"/>
  <c r="EF301" i="5" s="1"/>
  <c r="EE301" i="5" s="1"/>
  <c r="R314" i="5"/>
  <c r="EF314" i="5" s="1"/>
  <c r="EE314" i="5" s="1"/>
  <c r="R315" i="5"/>
  <c r="EF315" i="5" s="1"/>
  <c r="EE315" i="5" s="1"/>
  <c r="R320" i="5"/>
  <c r="EF320" i="5" s="1"/>
  <c r="EE320" i="5" s="1"/>
  <c r="R321" i="5"/>
  <c r="EF321" i="5" s="1"/>
  <c r="EE321" i="5" s="1"/>
  <c r="R322" i="5"/>
  <c r="EF322" i="5" s="1"/>
  <c r="EE322" i="5" s="1"/>
  <c r="R323" i="5"/>
  <c r="EF323" i="5" s="1"/>
  <c r="EE323" i="5" s="1"/>
  <c r="R324" i="5"/>
  <c r="EF324" i="5" s="1"/>
  <c r="EE324" i="5" s="1"/>
  <c r="R325" i="5"/>
  <c r="EF325" i="5" s="1"/>
  <c r="EE325" i="5" s="1"/>
  <c r="R326" i="5"/>
  <c r="EF326" i="5" s="1"/>
  <c r="EE326" i="5" s="1"/>
  <c r="R327" i="5"/>
  <c r="EF327" i="5" s="1"/>
  <c r="EE327" i="5" s="1"/>
  <c r="R328" i="5"/>
  <c r="EF328" i="5" s="1"/>
  <c r="EE328" i="5" s="1"/>
  <c r="R331" i="5"/>
  <c r="EF331" i="5" s="1"/>
  <c r="EE331" i="5" s="1"/>
  <c r="R336" i="5"/>
  <c r="EF336" i="5" s="1"/>
  <c r="EE336" i="5" s="1"/>
  <c r="R340" i="5"/>
  <c r="EF340" i="5" s="1"/>
  <c r="EE340" i="5" s="1"/>
  <c r="R344" i="5"/>
  <c r="EF344" i="5" s="1"/>
  <c r="EE344" i="5" s="1"/>
  <c r="R348" i="5"/>
  <c r="EF348" i="5" s="1"/>
  <c r="EE348" i="5" s="1"/>
  <c r="R352" i="5"/>
  <c r="EF352" i="5" s="1"/>
  <c r="EE352" i="5" s="1"/>
  <c r="R356" i="5"/>
  <c r="EF356" i="5" s="1"/>
  <c r="EE356" i="5" s="1"/>
  <c r="R366" i="5"/>
  <c r="EF366" i="5" s="1"/>
  <c r="EE366" i="5" s="1"/>
  <c r="R369" i="5"/>
  <c r="EF369" i="5" s="1"/>
  <c r="EE369" i="5" s="1"/>
  <c r="R371" i="5"/>
  <c r="EF371" i="5" s="1"/>
  <c r="EE371" i="5" s="1"/>
  <c r="R372" i="5"/>
  <c r="EF372" i="5" s="1"/>
  <c r="EE372" i="5" s="1"/>
  <c r="R382" i="5"/>
  <c r="EF382" i="5" s="1"/>
  <c r="EE382" i="5" s="1"/>
  <c r="S384" i="5"/>
  <c r="R410" i="5"/>
  <c r="EF410" i="5" s="1"/>
  <c r="EE410" i="5" s="1"/>
  <c r="R411" i="5"/>
  <c r="EF411" i="5" s="1"/>
  <c r="EE411" i="5" s="1"/>
  <c r="R412" i="5"/>
  <c r="EF412" i="5" s="1"/>
  <c r="EE412" i="5" s="1"/>
  <c r="R426" i="5"/>
  <c r="EF426" i="5" s="1"/>
  <c r="EE426" i="5" s="1"/>
  <c r="R427" i="5"/>
  <c r="EF427" i="5" s="1"/>
  <c r="EE427" i="5" s="1"/>
  <c r="R434" i="5"/>
  <c r="EF434" i="5" s="1"/>
  <c r="EE434" i="5" s="1"/>
  <c r="R442" i="5"/>
  <c r="EF442" i="5" s="1"/>
  <c r="EE442" i="5" s="1"/>
  <c r="R443" i="5"/>
  <c r="EF443" i="5" s="1"/>
  <c r="EE443" i="5" s="1"/>
  <c r="R447" i="5"/>
  <c r="EF447" i="5" s="1"/>
  <c r="EE447" i="5" s="1"/>
  <c r="R451" i="5"/>
  <c r="EF451" i="5" s="1"/>
  <c r="EE451" i="5" s="1"/>
  <c r="R286" i="5"/>
  <c r="EF286" i="5" s="1"/>
  <c r="EE286" i="5" s="1"/>
  <c r="R287" i="5"/>
  <c r="EF287" i="5" s="1"/>
  <c r="EE287" i="5" s="1"/>
  <c r="R288" i="5"/>
  <c r="EF288" i="5" s="1"/>
  <c r="EE288" i="5" s="1"/>
  <c r="R289" i="5"/>
  <c r="EF289" i="5" s="1"/>
  <c r="EE289" i="5" s="1"/>
  <c r="R310" i="5"/>
  <c r="EF310" i="5" s="1"/>
  <c r="EE310" i="5" s="1"/>
  <c r="R311" i="5"/>
  <c r="EF311" i="5" s="1"/>
  <c r="EE311" i="5" s="1"/>
  <c r="R312" i="5"/>
  <c r="EF312" i="5" s="1"/>
  <c r="EE312" i="5" s="1"/>
  <c r="R313" i="5"/>
  <c r="EF313" i="5" s="1"/>
  <c r="EE313" i="5" s="1"/>
  <c r="R316" i="5"/>
  <c r="EF316" i="5" s="1"/>
  <c r="EE316" i="5" s="1"/>
  <c r="R317" i="5"/>
  <c r="EF317" i="5" s="1"/>
  <c r="EE317" i="5" s="1"/>
  <c r="R318" i="5"/>
  <c r="EF318" i="5" s="1"/>
  <c r="EE318" i="5" s="1"/>
  <c r="R319" i="5"/>
  <c r="EF319" i="5" s="1"/>
  <c r="EE319" i="5" s="1"/>
  <c r="R333" i="5"/>
  <c r="EF333" i="5" s="1"/>
  <c r="EE333" i="5" s="1"/>
  <c r="R362" i="5"/>
  <c r="EF362" i="5" s="1"/>
  <c r="EE362" i="5" s="1"/>
  <c r="R365" i="5"/>
  <c r="EF365" i="5" s="1"/>
  <c r="EE365" i="5" s="1"/>
  <c r="R367" i="5"/>
  <c r="EF367" i="5" s="1"/>
  <c r="EE367" i="5" s="1"/>
  <c r="R368" i="5"/>
  <c r="EF368" i="5" s="1"/>
  <c r="EE368" i="5" s="1"/>
  <c r="R378" i="5"/>
  <c r="EF378" i="5" s="1"/>
  <c r="EE378" i="5" s="1"/>
  <c r="R381" i="5"/>
  <c r="EF381" i="5" s="1"/>
  <c r="EE381" i="5" s="1"/>
  <c r="R383" i="5"/>
  <c r="EF383" i="5" s="1"/>
  <c r="EE383" i="5" s="1"/>
  <c r="R387" i="5"/>
  <c r="EF387" i="5" s="1"/>
  <c r="EE387" i="5" s="1"/>
  <c r="R391" i="5"/>
  <c r="EF391" i="5" s="1"/>
  <c r="EE391" i="5" s="1"/>
  <c r="R395" i="5"/>
  <c r="EF395" i="5" s="1"/>
  <c r="EE395" i="5" s="1"/>
  <c r="R399" i="5"/>
  <c r="EF399" i="5" s="1"/>
  <c r="EE399" i="5" s="1"/>
  <c r="R400" i="5"/>
  <c r="EF400" i="5" s="1"/>
  <c r="EE400" i="5" s="1"/>
  <c r="R414" i="5"/>
  <c r="EF414" i="5" s="1"/>
  <c r="EE414" i="5" s="1"/>
  <c r="R415" i="5"/>
  <c r="EF415" i="5" s="1"/>
  <c r="EE415" i="5" s="1"/>
  <c r="R416" i="5"/>
  <c r="EF416" i="5" s="1"/>
  <c r="EE416" i="5" s="1"/>
  <c r="R435" i="5"/>
  <c r="EF435" i="5" s="1"/>
  <c r="EE435" i="5" s="1"/>
  <c r="R436" i="5"/>
  <c r="EF436" i="5" s="1"/>
  <c r="EE436" i="5" s="1"/>
  <c r="S262" i="5"/>
  <c r="S266" i="5"/>
  <c r="S261" i="5"/>
  <c r="S265" i="5"/>
  <c r="S269" i="5"/>
  <c r="S255" i="5"/>
  <c r="S263" i="5"/>
  <c r="S267" i="5"/>
  <c r="AV253" i="5"/>
  <c r="AV257" i="5"/>
  <c r="S260" i="5"/>
  <c r="AV261" i="5"/>
  <c r="S272" i="5"/>
  <c r="S276" i="5"/>
  <c r="S280" i="5"/>
  <c r="S284" i="5"/>
  <c r="AV285" i="5"/>
  <c r="S296" i="5"/>
  <c r="AV301" i="5"/>
  <c r="AV305" i="5"/>
  <c r="S308" i="5"/>
  <c r="AV264" i="5"/>
  <c r="AV268" i="5"/>
  <c r="AV292" i="5"/>
  <c r="AV296" i="5"/>
  <c r="AV300" i="5"/>
  <c r="AV304" i="5"/>
  <c r="AV308" i="5"/>
  <c r="S317" i="5"/>
  <c r="AV318" i="5"/>
  <c r="S321" i="5"/>
  <c r="AV322" i="5"/>
  <c r="AV323" i="5"/>
  <c r="AZ332" i="5"/>
  <c r="CI332" i="5" s="1"/>
  <c r="AZ348" i="5"/>
  <c r="CI348" i="5" s="1"/>
  <c r="AZ356" i="5"/>
  <c r="CI356" i="5" s="1"/>
  <c r="AV283" i="5"/>
  <c r="AV291" i="5"/>
  <c r="AV299" i="5"/>
  <c r="AV307" i="5"/>
  <c r="AV311" i="5"/>
  <c r="AV315" i="5"/>
  <c r="AZ317" i="5"/>
  <c r="CI317" i="5" s="1"/>
  <c r="AZ325" i="5"/>
  <c r="CI325" i="5" s="1"/>
  <c r="AV363" i="5"/>
  <c r="AV375" i="5"/>
  <c r="AV383" i="5"/>
  <c r="AV391" i="5"/>
  <c r="AV395" i="5"/>
  <c r="AV399" i="5"/>
  <c r="AV415" i="5"/>
  <c r="AV419" i="5"/>
  <c r="AV423" i="5"/>
  <c r="AV427" i="5"/>
  <c r="AV447" i="5"/>
  <c r="AV451" i="5"/>
  <c r="AS22" i="5"/>
  <c r="AT22" i="5" s="1"/>
  <c r="AZ42" i="5"/>
  <c r="R35" i="5"/>
  <c r="EF35" i="5" s="1"/>
  <c r="EE35" i="5" s="1"/>
  <c r="R49" i="5"/>
  <c r="EF49" i="5" s="1"/>
  <c r="EE49" i="5" s="1"/>
  <c r="AZ34" i="5"/>
  <c r="AZ46" i="5"/>
  <c r="R48" i="5"/>
  <c r="EF48" i="5" s="1"/>
  <c r="EE48" i="5" s="1"/>
  <c r="BP274" i="20" l="1"/>
  <c r="BP212" i="20"/>
  <c r="BO299" i="20"/>
  <c r="BP299" i="20" s="1"/>
  <c r="BP246" i="20"/>
  <c r="BP241" i="20"/>
  <c r="BO210" i="20"/>
  <c r="BP210" i="20" s="1"/>
  <c r="BP219" i="20"/>
  <c r="BO212" i="20"/>
  <c r="BP323" i="20"/>
  <c r="BP347" i="20"/>
  <c r="BO260" i="20"/>
  <c r="BP260" i="20" s="1"/>
  <c r="BP223" i="20"/>
  <c r="BP230" i="20"/>
  <c r="BP238" i="20"/>
  <c r="BO256" i="20"/>
  <c r="BP256" i="20" s="1"/>
  <c r="BO230" i="20"/>
  <c r="BO243" i="20"/>
  <c r="BP243" i="20" s="1"/>
  <c r="BP388" i="20"/>
  <c r="BO214" i="20"/>
  <c r="BP214" i="20" s="1"/>
  <c r="BP399" i="20"/>
  <c r="BN383" i="20"/>
  <c r="BO383" i="20"/>
  <c r="BO290" i="20"/>
  <c r="BO310" i="20"/>
  <c r="BP310" i="20" s="1"/>
  <c r="BP218" i="20"/>
  <c r="BP390" i="20"/>
  <c r="BP290" i="20"/>
  <c r="BP215" i="20"/>
  <c r="BP231" i="20"/>
  <c r="BP248" i="20"/>
  <c r="BO218" i="20"/>
  <c r="BO322" i="20"/>
  <c r="BP322" i="20" s="1"/>
  <c r="BP308" i="20"/>
  <c r="BP281" i="20"/>
  <c r="BN401" i="20"/>
  <c r="BP401" i="20" s="1"/>
  <c r="BO401" i="20"/>
  <c r="BO248" i="20"/>
  <c r="BP257" i="20"/>
  <c r="BN292" i="20"/>
  <c r="BO292" i="20"/>
  <c r="BO281" i="20"/>
  <c r="BP339" i="20"/>
  <c r="BO224" i="20"/>
  <c r="BP224" i="20" s="1"/>
  <c r="BP374" i="20"/>
  <c r="BO379" i="20"/>
  <c r="BP379" i="20" s="1"/>
  <c r="BP227" i="20"/>
  <c r="BP222" i="20"/>
  <c r="BO236" i="20"/>
  <c r="BP236" i="20" s="1"/>
  <c r="BO222" i="20"/>
  <c r="BP249" i="20"/>
  <c r="BP226" i="20"/>
  <c r="BO221" i="20"/>
  <c r="BO268" i="20"/>
  <c r="BP268" i="20" s="1"/>
  <c r="BP393" i="20"/>
  <c r="BO336" i="20"/>
  <c r="BP336" i="20" s="1"/>
  <c r="BO208" i="20"/>
  <c r="BP208" i="20" s="1"/>
  <c r="BP235" i="20"/>
  <c r="BP251" i="20"/>
  <c r="BO376" i="20"/>
  <c r="BO211" i="20"/>
  <c r="BP211" i="20" s="1"/>
  <c r="BP221" i="20"/>
  <c r="BO304" i="20"/>
  <c r="BP304" i="20" s="1"/>
  <c r="BP293" i="20"/>
  <c r="BP234" i="20"/>
  <c r="BP376" i="20"/>
  <c r="CE406" i="20"/>
  <c r="BF354" i="20"/>
  <c r="CO354" i="20" s="1"/>
  <c r="BF307" i="20"/>
  <c r="CO307" i="20" s="1"/>
  <c r="GA206" i="20"/>
  <c r="CS206" i="20" s="1"/>
  <c r="GA185" i="20"/>
  <c r="CS185" i="20" s="1"/>
  <c r="CI149" i="20"/>
  <c r="BF419" i="20"/>
  <c r="CO419" i="20" s="1"/>
  <c r="BF416" i="20"/>
  <c r="CO416" i="20" s="1"/>
  <c r="BF396" i="20"/>
  <c r="CO396" i="20" s="1"/>
  <c r="EB375" i="20"/>
  <c r="EB311" i="20"/>
  <c r="BF290" i="20"/>
  <c r="CO290" i="20" s="1"/>
  <c r="EB260" i="20"/>
  <c r="EH260" i="20" s="1"/>
  <c r="EB248" i="20"/>
  <c r="EH248" i="20" s="1"/>
  <c r="EG233" i="20"/>
  <c r="EH213" i="20"/>
  <c r="GA184" i="20"/>
  <c r="CS184" i="20" s="1"/>
  <c r="BF176" i="20"/>
  <c r="CO176" i="20" s="1"/>
  <c r="FI73" i="20"/>
  <c r="BF21" i="20"/>
  <c r="FG335" i="21"/>
  <c r="CU335" i="21"/>
  <c r="GA357" i="21"/>
  <c r="CS357" i="21" s="1"/>
  <c r="CW182" i="21"/>
  <c r="FJ182" i="21"/>
  <c r="DN486" i="21"/>
  <c r="ER486" i="21"/>
  <c r="ES486" i="21"/>
  <c r="BC412" i="21"/>
  <c r="CN412" i="21" s="1"/>
  <c r="AZ301" i="21"/>
  <c r="AY301" i="21"/>
  <c r="BH301" i="21" s="1"/>
  <c r="EY75" i="21"/>
  <c r="BH373" i="21"/>
  <c r="AZ373" i="21"/>
  <c r="EH346" i="21"/>
  <c r="FI262" i="21"/>
  <c r="DD262" i="21"/>
  <c r="CX368" i="21"/>
  <c r="FI368" i="21"/>
  <c r="DA258" i="21"/>
  <c r="FG258" i="21"/>
  <c r="DD251" i="21"/>
  <c r="FI251" i="21"/>
  <c r="FI361" i="21"/>
  <c r="DD361" i="21"/>
  <c r="FI168" i="21"/>
  <c r="CX168" i="21"/>
  <c r="DM28" i="21"/>
  <c r="EW473" i="21"/>
  <c r="DD425" i="21"/>
  <c r="FI425" i="21"/>
  <c r="BH419" i="21"/>
  <c r="CX97" i="21"/>
  <c r="FI97" i="21"/>
  <c r="CX396" i="21"/>
  <c r="FI396" i="21"/>
  <c r="DD367" i="21"/>
  <c r="FI367" i="21"/>
  <c r="DM326" i="21"/>
  <c r="BC406" i="21"/>
  <c r="CN406" i="21" s="1"/>
  <c r="GA380" i="21"/>
  <c r="CS380" i="21" s="1"/>
  <c r="FG429" i="21"/>
  <c r="DA429" i="21"/>
  <c r="CX439" i="21"/>
  <c r="FI439" i="21"/>
  <c r="DC180" i="21"/>
  <c r="FJ180" i="21"/>
  <c r="DD449" i="21"/>
  <c r="FI449" i="21"/>
  <c r="AZ441" i="21"/>
  <c r="BH441" i="21"/>
  <c r="FI424" i="21"/>
  <c r="DD424" i="21"/>
  <c r="FG383" i="21"/>
  <c r="DA383" i="21"/>
  <c r="DA302" i="21"/>
  <c r="FG302" i="21"/>
  <c r="DM217" i="21"/>
  <c r="DD429" i="21"/>
  <c r="FI429" i="21"/>
  <c r="BC299" i="21"/>
  <c r="CN299" i="21" s="1"/>
  <c r="FI265" i="21"/>
  <c r="DD265" i="21"/>
  <c r="DD404" i="21"/>
  <c r="FI404" i="21"/>
  <c r="FI359" i="21"/>
  <c r="DD359" i="21"/>
  <c r="FI193" i="21"/>
  <c r="CX193" i="21"/>
  <c r="BC472" i="21"/>
  <c r="DU472" i="21"/>
  <c r="EM472" i="21" s="1"/>
  <c r="EP472" i="21" s="1"/>
  <c r="EQ472" i="21" s="1"/>
  <c r="CU368" i="21"/>
  <c r="FG368" i="21"/>
  <c r="AZ341" i="21"/>
  <c r="FI360" i="21"/>
  <c r="CX360" i="21"/>
  <c r="EW478" i="21"/>
  <c r="DM407" i="21"/>
  <c r="FI407" i="21"/>
  <c r="CX407" i="21"/>
  <c r="FI378" i="21"/>
  <c r="DD378" i="21"/>
  <c r="FJ145" i="21"/>
  <c r="DC145" i="21"/>
  <c r="DD389" i="21"/>
  <c r="FI389" i="21"/>
  <c r="CW407" i="21"/>
  <c r="FJ407" i="21"/>
  <c r="CU328" i="21"/>
  <c r="FG328" i="21"/>
  <c r="FI314" i="21"/>
  <c r="DD314" i="21"/>
  <c r="DM343" i="21"/>
  <c r="DC401" i="21"/>
  <c r="FJ401" i="21"/>
  <c r="DD315" i="21"/>
  <c r="FI315" i="21"/>
  <c r="FI185" i="21"/>
  <c r="CX185" i="21"/>
  <c r="CU181" i="21"/>
  <c r="FG181" i="21"/>
  <c r="BR440" i="21"/>
  <c r="DZ440" i="21" s="1"/>
  <c r="EB440" i="21" s="1"/>
  <c r="CA440" i="21"/>
  <c r="BZ440" i="21"/>
  <c r="CB440" i="21" s="1"/>
  <c r="CI440" i="21" s="1"/>
  <c r="AL440" i="21"/>
  <c r="T440" i="21"/>
  <c r="DA417" i="21"/>
  <c r="FG417" i="21"/>
  <c r="FI363" i="21"/>
  <c r="DD363" i="21"/>
  <c r="AX362" i="21"/>
  <c r="CM362" i="21" s="1"/>
  <c r="M362" i="21"/>
  <c r="BF362" i="21" s="1"/>
  <c r="CO362" i="21" s="1"/>
  <c r="DI362" i="21"/>
  <c r="DD341" i="21"/>
  <c r="FI341" i="21"/>
  <c r="BI317" i="21"/>
  <c r="DT317" i="21"/>
  <c r="CW300" i="21"/>
  <c r="FJ300" i="21"/>
  <c r="CX328" i="21"/>
  <c r="FI328" i="21"/>
  <c r="ET322" i="21"/>
  <c r="EU322" i="21" s="1"/>
  <c r="EV322" i="21" s="1"/>
  <c r="AX262" i="21"/>
  <c r="CM262" i="21" s="1"/>
  <c r="M262" i="21"/>
  <c r="BF262" i="21" s="1"/>
  <c r="CO262" i="21" s="1"/>
  <c r="DI262" i="21"/>
  <c r="BB262" i="21"/>
  <c r="CX261" i="21"/>
  <c r="FI261" i="21"/>
  <c r="BH275" i="21"/>
  <c r="AZ275" i="21"/>
  <c r="DM324" i="21"/>
  <c r="EH363" i="21"/>
  <c r="EG363" i="21"/>
  <c r="FI293" i="21"/>
  <c r="DD293" i="21"/>
  <c r="EH215" i="21"/>
  <c r="EG215" i="21"/>
  <c r="EH281" i="21"/>
  <c r="EG281" i="21"/>
  <c r="FI233" i="21"/>
  <c r="CX233" i="21"/>
  <c r="FI167" i="21"/>
  <c r="CX167" i="21"/>
  <c r="FJ199" i="21"/>
  <c r="CW199" i="21"/>
  <c r="ES156" i="21"/>
  <c r="ER156" i="21"/>
  <c r="DM184" i="21"/>
  <c r="DM176" i="21"/>
  <c r="FI241" i="21"/>
  <c r="CX241" i="21"/>
  <c r="DM357" i="21"/>
  <c r="AZ134" i="21"/>
  <c r="FJ176" i="21"/>
  <c r="CW176" i="21"/>
  <c r="ET85" i="21"/>
  <c r="EU85" i="21"/>
  <c r="EV85" i="21" s="1"/>
  <c r="CA62" i="21"/>
  <c r="BZ62" i="21"/>
  <c r="FX62" i="21"/>
  <c r="GA62" i="21" s="1"/>
  <c r="BR62" i="21"/>
  <c r="DZ62" i="21" s="1"/>
  <c r="EB62" i="21" s="1"/>
  <c r="BK62" i="21"/>
  <c r="AN62" i="21"/>
  <c r="EE62" i="21"/>
  <c r="DM81" i="21"/>
  <c r="BE94" i="21"/>
  <c r="BF94" i="21" s="1"/>
  <c r="CO94" i="21" s="1"/>
  <c r="AY94" i="21"/>
  <c r="AZ94" i="21" s="1"/>
  <c r="EU41" i="21"/>
  <c r="EV41" i="21" s="1"/>
  <c r="EZ41" i="21"/>
  <c r="ET41" i="21"/>
  <c r="DN473" i="21"/>
  <c r="DO473" i="21" s="1"/>
  <c r="ES473" i="21"/>
  <c r="DM439" i="21"/>
  <c r="EH437" i="21"/>
  <c r="AL441" i="21"/>
  <c r="EH430" i="21"/>
  <c r="EG430" i="21"/>
  <c r="BI489" i="21"/>
  <c r="BJ489" i="21" s="1"/>
  <c r="DT489" i="21"/>
  <c r="FI444" i="21"/>
  <c r="DD444" i="21"/>
  <c r="ET445" i="21"/>
  <c r="EU445" i="21" s="1"/>
  <c r="EV445" i="21" s="1"/>
  <c r="BI443" i="21"/>
  <c r="DT443" i="21"/>
  <c r="BR447" i="21"/>
  <c r="DZ447" i="21" s="1"/>
  <c r="EB447" i="21" s="1"/>
  <c r="EG447" i="21" s="1"/>
  <c r="CA447" i="21"/>
  <c r="BZ447" i="21"/>
  <c r="CB447" i="21" s="1"/>
  <c r="CI447" i="21" s="1"/>
  <c r="CK447" i="21" s="1"/>
  <c r="CP447" i="21" s="1"/>
  <c r="FY447" i="21"/>
  <c r="GA447" i="21" s="1"/>
  <c r="CS447" i="21" s="1"/>
  <c r="T447" i="21"/>
  <c r="AZ416" i="21"/>
  <c r="FY440" i="21"/>
  <c r="GA440" i="21" s="1"/>
  <c r="CS440" i="21" s="1"/>
  <c r="ET386" i="21"/>
  <c r="EU386" i="21" s="1"/>
  <c r="EV386" i="21" s="1"/>
  <c r="AX363" i="21"/>
  <c r="CM363" i="21" s="1"/>
  <c r="DI363" i="21"/>
  <c r="BB363" i="21"/>
  <c r="M363" i="21"/>
  <c r="BF363" i="21" s="1"/>
  <c r="CO363" i="21" s="1"/>
  <c r="CA366" i="21"/>
  <c r="BZ366" i="21"/>
  <c r="BR366" i="21"/>
  <c r="DZ366" i="21" s="1"/>
  <c r="EB366" i="21" s="1"/>
  <c r="FY366" i="21"/>
  <c r="AL366" i="21"/>
  <c r="DT397" i="21"/>
  <c r="BI397" i="21"/>
  <c r="FG350" i="21"/>
  <c r="CU350" i="21"/>
  <c r="DA394" i="21"/>
  <c r="FG394" i="21"/>
  <c r="M338" i="21"/>
  <c r="BF338" i="21" s="1"/>
  <c r="CO338" i="21" s="1"/>
  <c r="DI338" i="21"/>
  <c r="AX338" i="21"/>
  <c r="CM338" i="21" s="1"/>
  <c r="CI358" i="21"/>
  <c r="CK358" i="21" s="1"/>
  <c r="CP358" i="21" s="1"/>
  <c r="FI358" i="21"/>
  <c r="CX358" i="21"/>
  <c r="EG354" i="21"/>
  <c r="BH354" i="21"/>
  <c r="AZ354" i="21"/>
  <c r="DD325" i="21"/>
  <c r="FI325" i="21"/>
  <c r="CW344" i="21"/>
  <c r="FJ344" i="21"/>
  <c r="BH344" i="21"/>
  <c r="AY344" i="21"/>
  <c r="AZ344" i="21"/>
  <c r="CA374" i="21"/>
  <c r="BZ374" i="21"/>
  <c r="FY374" i="21"/>
  <c r="GA374" i="21" s="1"/>
  <c r="CS374" i="21" s="1"/>
  <c r="AL374" i="21"/>
  <c r="BR374" i="21"/>
  <c r="DZ374" i="21" s="1"/>
  <c r="EB374" i="21" s="1"/>
  <c r="FI264" i="21"/>
  <c r="DD264" i="21"/>
  <c r="BI260" i="21"/>
  <c r="BJ260" i="21" s="1"/>
  <c r="DT260" i="21"/>
  <c r="DA298" i="21"/>
  <c r="FG298" i="21"/>
  <c r="FI306" i="21"/>
  <c r="DD306" i="21"/>
  <c r="CI363" i="21"/>
  <c r="CK363" i="21" s="1"/>
  <c r="CP363" i="21" s="1"/>
  <c r="BI266" i="21"/>
  <c r="DT266" i="21"/>
  <c r="CX235" i="21"/>
  <c r="FI235" i="21"/>
  <c r="BH255" i="21"/>
  <c r="AY255" i="21"/>
  <c r="AZ255" i="21" s="1"/>
  <c r="BH153" i="21"/>
  <c r="AZ153" i="21"/>
  <c r="AY153" i="21"/>
  <c r="BI200" i="21"/>
  <c r="DT200" i="21"/>
  <c r="BC218" i="21"/>
  <c r="GA194" i="21"/>
  <c r="CS194" i="21" s="1"/>
  <c r="BP136" i="21"/>
  <c r="EI136" i="21" s="1"/>
  <c r="EH136" i="21" s="1"/>
  <c r="BH155" i="21"/>
  <c r="AZ155" i="21"/>
  <c r="AY155" i="21"/>
  <c r="Y171" i="21"/>
  <c r="EL171" i="21"/>
  <c r="EK171" i="21" s="1"/>
  <c r="DB225" i="21"/>
  <c r="FH225" i="21"/>
  <c r="FI239" i="21"/>
  <c r="CX239" i="21"/>
  <c r="FJ115" i="21"/>
  <c r="CW115" i="21"/>
  <c r="CV77" i="21"/>
  <c r="FH77" i="21"/>
  <c r="FX71" i="21"/>
  <c r="GA71" i="21" s="1"/>
  <c r="CS71" i="21" s="1"/>
  <c r="CA71" i="21"/>
  <c r="BZ71" i="21"/>
  <c r="CB71" i="21" s="1"/>
  <c r="CI71" i="21" s="1"/>
  <c r="CK71" i="21" s="1"/>
  <c r="CP71" i="21" s="1"/>
  <c r="BR71" i="21"/>
  <c r="DZ71" i="21" s="1"/>
  <c r="EB71" i="21" s="1"/>
  <c r="BK71" i="21"/>
  <c r="AN71" i="21"/>
  <c r="DM88" i="21"/>
  <c r="AM76" i="21"/>
  <c r="AL76" i="21"/>
  <c r="DM51" i="21"/>
  <c r="AU22" i="21"/>
  <c r="AR22" i="21"/>
  <c r="ES480" i="21"/>
  <c r="EW480" i="21" s="1"/>
  <c r="ER480" i="21"/>
  <c r="DM480" i="21"/>
  <c r="EG433" i="21"/>
  <c r="EM489" i="21"/>
  <c r="EP489" i="21" s="1"/>
  <c r="EQ489" i="21" s="1"/>
  <c r="DN489" i="21" s="1"/>
  <c r="ET489" i="21"/>
  <c r="CU396" i="21"/>
  <c r="FG396" i="21"/>
  <c r="BZ413" i="21"/>
  <c r="CB413" i="21" s="1"/>
  <c r="CI413" i="21" s="1"/>
  <c r="CK413" i="21" s="1"/>
  <c r="CP413" i="21" s="1"/>
  <c r="BR413" i="21"/>
  <c r="DZ413" i="21" s="1"/>
  <c r="EB413" i="21" s="1"/>
  <c r="CA413" i="21"/>
  <c r="AL413" i="21"/>
  <c r="FY413" i="21"/>
  <c r="GA413" i="21" s="1"/>
  <c r="CS413" i="21" s="1"/>
  <c r="DT410" i="21"/>
  <c r="BI410" i="21"/>
  <c r="FI375" i="21"/>
  <c r="CX375" i="21"/>
  <c r="EU379" i="21"/>
  <c r="EV379" i="21" s="1"/>
  <c r="ET379" i="21"/>
  <c r="DD383" i="21"/>
  <c r="FI383" i="21"/>
  <c r="AY360" i="21"/>
  <c r="BH360" i="21"/>
  <c r="FG360" i="21"/>
  <c r="CU360" i="21"/>
  <c r="BR388" i="21"/>
  <c r="DZ388" i="21" s="1"/>
  <c r="EB388" i="21" s="1"/>
  <c r="AL388" i="21"/>
  <c r="CA388" i="21"/>
  <c r="BZ388" i="21"/>
  <c r="CB388" i="21" s="1"/>
  <c r="CI388" i="21" s="1"/>
  <c r="CK388" i="21" s="1"/>
  <c r="CP388" i="21" s="1"/>
  <c r="FY388" i="21"/>
  <c r="GA388" i="21" s="1"/>
  <c r="CS388" i="21" s="1"/>
  <c r="EL370" i="21"/>
  <c r="EK370" i="21" s="1"/>
  <c r="Y370" i="21"/>
  <c r="FI343" i="21"/>
  <c r="CX343" i="21"/>
  <c r="FI353" i="21"/>
  <c r="DD353" i="21"/>
  <c r="DT361" i="21"/>
  <c r="BI361" i="21"/>
  <c r="DA327" i="21"/>
  <c r="FG327" i="21"/>
  <c r="FG355" i="21"/>
  <c r="DA355" i="21"/>
  <c r="CU322" i="21"/>
  <c r="FG322" i="21"/>
  <c r="CX303" i="21"/>
  <c r="FI303" i="21"/>
  <c r="AZ334" i="21"/>
  <c r="BH334" i="21"/>
  <c r="BJ334" i="21" s="1"/>
  <c r="EG259" i="21"/>
  <c r="FG332" i="21"/>
  <c r="DA332" i="21"/>
  <c r="M223" i="21"/>
  <c r="BF223" i="21" s="1"/>
  <c r="CO223" i="21" s="1"/>
  <c r="AX223" i="21"/>
  <c r="CM223" i="21" s="1"/>
  <c r="DI223" i="21"/>
  <c r="DD186" i="21"/>
  <c r="FI186" i="21"/>
  <c r="AY241" i="21"/>
  <c r="BH241" i="21" s="1"/>
  <c r="BJ241" i="21" s="1"/>
  <c r="DC323" i="21"/>
  <c r="FJ323" i="21"/>
  <c r="DT281" i="21"/>
  <c r="BI281" i="21"/>
  <c r="BH217" i="21"/>
  <c r="AZ217" i="21"/>
  <c r="AX135" i="21"/>
  <c r="CM135" i="21" s="1"/>
  <c r="DJ135" i="21"/>
  <c r="EY135" i="21" s="1"/>
  <c r="FI121" i="21"/>
  <c r="DD121" i="21"/>
  <c r="BP145" i="21"/>
  <c r="EI145" i="21" s="1"/>
  <c r="EH145" i="21" s="1"/>
  <c r="CK149" i="21"/>
  <c r="CP149" i="21" s="1"/>
  <c r="BP122" i="21"/>
  <c r="EI122" i="21" s="1"/>
  <c r="EH122" i="21" s="1"/>
  <c r="EY70" i="21"/>
  <c r="EZ70" i="21"/>
  <c r="BE71" i="21"/>
  <c r="BF71" i="21" s="1"/>
  <c r="CO71" i="21" s="1"/>
  <c r="AZ71" i="21"/>
  <c r="FJ65" i="21"/>
  <c r="CW65" i="21"/>
  <c r="BK54" i="21"/>
  <c r="FX54" i="21"/>
  <c r="GA54" i="21" s="1"/>
  <c r="CS54" i="21" s="1"/>
  <c r="AN54" i="21"/>
  <c r="CA54" i="21"/>
  <c r="BZ54" i="21"/>
  <c r="CB54" i="21" s="1"/>
  <c r="CI54" i="21" s="1"/>
  <c r="CK54" i="21" s="1"/>
  <c r="CP54" i="21" s="1"/>
  <c r="BR54" i="21"/>
  <c r="DZ54" i="21" s="1"/>
  <c r="EB54" i="21" s="1"/>
  <c r="EE54" i="21"/>
  <c r="DP27" i="21"/>
  <c r="DO27" i="21"/>
  <c r="AZ481" i="21"/>
  <c r="DP473" i="21"/>
  <c r="ED473" i="21"/>
  <c r="DN471" i="21"/>
  <c r="ES471" i="21"/>
  <c r="ER471" i="21"/>
  <c r="EG434" i="21"/>
  <c r="EH434" i="21"/>
  <c r="CU428" i="21"/>
  <c r="FG428" i="21"/>
  <c r="CX430" i="21"/>
  <c r="FI430" i="21"/>
  <c r="AZ470" i="21"/>
  <c r="T413" i="21"/>
  <c r="M422" i="21"/>
  <c r="BF422" i="21" s="1"/>
  <c r="CO422" i="21" s="1"/>
  <c r="AX422" i="21"/>
  <c r="CM422" i="21" s="1"/>
  <c r="BB422" i="21"/>
  <c r="DI422" i="21"/>
  <c r="AY416" i="21"/>
  <c r="BH416" i="21" s="1"/>
  <c r="DA420" i="21"/>
  <c r="FG420" i="21"/>
  <c r="AX381" i="21"/>
  <c r="CM381" i="21" s="1"/>
  <c r="M381" i="21"/>
  <c r="BF381" i="21" s="1"/>
  <c r="CO381" i="21" s="1"/>
  <c r="DI381" i="21"/>
  <c r="FG379" i="21"/>
  <c r="DA379" i="21"/>
  <c r="BC407" i="21"/>
  <c r="CN407" i="21" s="1"/>
  <c r="DM444" i="21"/>
  <c r="EH393" i="21"/>
  <c r="T366" i="21"/>
  <c r="DT356" i="21"/>
  <c r="BI356" i="21"/>
  <c r="AY388" i="21"/>
  <c r="AZ388" i="21" s="1"/>
  <c r="GA317" i="21"/>
  <c r="CS317" i="21" s="1"/>
  <c r="BH349" i="21"/>
  <c r="BJ349" i="21" s="1"/>
  <c r="AZ349" i="21"/>
  <c r="DC327" i="21"/>
  <c r="FJ327" i="21"/>
  <c r="EL337" i="21"/>
  <c r="EK337" i="21" s="1"/>
  <c r="Y337" i="21"/>
  <c r="CA322" i="21"/>
  <c r="BZ322" i="21"/>
  <c r="CB322" i="21" s="1"/>
  <c r="CI322" i="21" s="1"/>
  <c r="CK322" i="21" s="1"/>
  <c r="CP322" i="21" s="1"/>
  <c r="BR322" i="21"/>
  <c r="DZ322" i="21" s="1"/>
  <c r="EB322" i="21" s="1"/>
  <c r="FY322" i="21"/>
  <c r="GA322" i="21" s="1"/>
  <c r="CS322" i="21" s="1"/>
  <c r="BC297" i="21"/>
  <c r="CN297" i="21" s="1"/>
  <c r="FG365" i="21"/>
  <c r="DA365" i="21"/>
  <c r="AX307" i="21"/>
  <c r="CM307" i="21" s="1"/>
  <c r="M307" i="21"/>
  <c r="BF307" i="21" s="1"/>
  <c r="CO307" i="21" s="1"/>
  <c r="DI307" i="21"/>
  <c r="BB307" i="21"/>
  <c r="BC340" i="21"/>
  <c r="CN340" i="21" s="1"/>
  <c r="EL298" i="21"/>
  <c r="EK298" i="21" s="1"/>
  <c r="Y298" i="21"/>
  <c r="EH314" i="21"/>
  <c r="EG314" i="21"/>
  <c r="DA271" i="21"/>
  <c r="FG271" i="21"/>
  <c r="EL251" i="21"/>
  <c r="EK251" i="21" s="1"/>
  <c r="Y251" i="21"/>
  <c r="CX268" i="21"/>
  <c r="FI268" i="21"/>
  <c r="DI295" i="21"/>
  <c r="AX295" i="21"/>
  <c r="CM295" i="21" s="1"/>
  <c r="M295" i="21"/>
  <c r="BF295" i="21" s="1"/>
  <c r="CO295" i="21" s="1"/>
  <c r="CU275" i="21"/>
  <c r="FG275" i="21"/>
  <c r="FI240" i="21"/>
  <c r="CX240" i="21"/>
  <c r="AY221" i="21"/>
  <c r="BH221" i="21" s="1"/>
  <c r="BJ221" i="21" s="1"/>
  <c r="EG241" i="21"/>
  <c r="EH241" i="21"/>
  <c r="ET281" i="21"/>
  <c r="EU281" i="21" s="1"/>
  <c r="EV281" i="21" s="1"/>
  <c r="AM135" i="21"/>
  <c r="AL135" i="21"/>
  <c r="BH179" i="21"/>
  <c r="BJ179" i="21" s="1"/>
  <c r="AY179" i="21"/>
  <c r="AZ179" i="21" s="1"/>
  <c r="FI124" i="21"/>
  <c r="CX124" i="21"/>
  <c r="FJ239" i="21"/>
  <c r="CW239" i="21"/>
  <c r="FI165" i="21"/>
  <c r="CX165" i="21"/>
  <c r="AZ135" i="21"/>
  <c r="AY135" i="21"/>
  <c r="BO145" i="21"/>
  <c r="EL93" i="21"/>
  <c r="EK93" i="21" s="1"/>
  <c r="Y93" i="21"/>
  <c r="AX125" i="21"/>
  <c r="CM125" i="21" s="1"/>
  <c r="DJ125" i="21"/>
  <c r="EY125" i="21" s="1"/>
  <c r="BN46" i="21"/>
  <c r="BO46" i="21"/>
  <c r="DM73" i="21"/>
  <c r="AZ69" i="21"/>
  <c r="BE69" i="21"/>
  <c r="BF69" i="21" s="1"/>
  <c r="CO69" i="21" s="1"/>
  <c r="EU47" i="21"/>
  <c r="EV47" i="21" s="1"/>
  <c r="ET47" i="21"/>
  <c r="EH53" i="21"/>
  <c r="EG53" i="21"/>
  <c r="BI470" i="21"/>
  <c r="BJ470" i="21" s="1"/>
  <c r="DT470" i="21"/>
  <c r="BH442" i="21"/>
  <c r="AY442" i="21"/>
  <c r="AZ442" i="21" s="1"/>
  <c r="FG445" i="21"/>
  <c r="DA445" i="21"/>
  <c r="ER473" i="21"/>
  <c r="BI467" i="21"/>
  <c r="BJ467" i="21" s="1"/>
  <c r="DT467" i="21"/>
  <c r="FJ434" i="21"/>
  <c r="CW434" i="21"/>
  <c r="BC468" i="21"/>
  <c r="DU468" i="21"/>
  <c r="EM468" i="21" s="1"/>
  <c r="EP468" i="21" s="1"/>
  <c r="EQ468" i="21" s="1"/>
  <c r="DN468" i="21" s="1"/>
  <c r="BI415" i="21"/>
  <c r="DT415" i="21"/>
  <c r="GA377" i="21"/>
  <c r="CS377" i="21" s="1"/>
  <c r="AY354" i="21"/>
  <c r="DD327" i="21"/>
  <c r="FI327" i="21"/>
  <c r="CB368" i="21"/>
  <c r="CI368" i="21" s="1"/>
  <c r="CK368" i="21" s="1"/>
  <c r="CP368" i="21" s="1"/>
  <c r="EG322" i="21"/>
  <c r="EH322" i="21"/>
  <c r="BF365" i="21"/>
  <c r="CO365" i="21" s="1"/>
  <c r="FI302" i="21"/>
  <c r="DD302" i="21"/>
  <c r="DM260" i="21"/>
  <c r="FY292" i="21"/>
  <c r="AL292" i="21"/>
  <c r="CA292" i="21"/>
  <c r="BR292" i="21"/>
  <c r="DZ292" i="21" s="1"/>
  <c r="EB292" i="21" s="1"/>
  <c r="EG292" i="21" s="1"/>
  <c r="BZ292" i="21"/>
  <c r="CB292" i="21" s="1"/>
  <c r="CI292" i="21" s="1"/>
  <c r="EH262" i="21"/>
  <c r="DD295" i="21"/>
  <c r="FI295" i="21"/>
  <c r="AZ220" i="21"/>
  <c r="BH220" i="21"/>
  <c r="BJ220" i="21" s="1"/>
  <c r="AY220" i="21"/>
  <c r="FG224" i="21"/>
  <c r="CU224" i="21"/>
  <c r="AY259" i="21"/>
  <c r="BH259" i="21" s="1"/>
  <c r="AZ259" i="21"/>
  <c r="DT204" i="21"/>
  <c r="BI204" i="21"/>
  <c r="CA291" i="21"/>
  <c r="BZ291" i="21"/>
  <c r="CB291" i="21" s="1"/>
  <c r="CI291" i="21" s="1"/>
  <c r="CK291" i="21" s="1"/>
  <c r="CP291" i="21" s="1"/>
  <c r="BR291" i="21"/>
  <c r="DZ291" i="21" s="1"/>
  <c r="EB291" i="21" s="1"/>
  <c r="T291" i="21"/>
  <c r="AL291" i="21"/>
  <c r="FY291" i="21"/>
  <c r="GA291" i="21" s="1"/>
  <c r="CS291" i="21" s="1"/>
  <c r="CW275" i="21"/>
  <c r="FJ275" i="21"/>
  <c r="DM228" i="21"/>
  <c r="DM186" i="21"/>
  <c r="DM244" i="21"/>
  <c r="AM141" i="21"/>
  <c r="AL141" i="21"/>
  <c r="BC175" i="21"/>
  <c r="CN175" i="21" s="1"/>
  <c r="BE65" i="21"/>
  <c r="BF65" i="21" s="1"/>
  <c r="CO65" i="21" s="1"/>
  <c r="CW67" i="21"/>
  <c r="FJ67" i="21"/>
  <c r="AM52" i="21"/>
  <c r="AL52" i="21"/>
  <c r="Y34" i="21"/>
  <c r="EL34" i="21"/>
  <c r="EK34" i="21" s="1"/>
  <c r="AM32" i="21"/>
  <c r="AL32" i="21"/>
  <c r="BC45" i="21"/>
  <c r="DM468" i="21"/>
  <c r="ES468" i="21"/>
  <c r="ER468" i="21"/>
  <c r="BH444" i="21"/>
  <c r="M432" i="21"/>
  <c r="BF432" i="21" s="1"/>
  <c r="CO432" i="21" s="1"/>
  <c r="DI432" i="21"/>
  <c r="AX432" i="21"/>
  <c r="CM432" i="21" s="1"/>
  <c r="DM492" i="21"/>
  <c r="DM432" i="21"/>
  <c r="CU439" i="21"/>
  <c r="FG439" i="21"/>
  <c r="FG410" i="21"/>
  <c r="CU410" i="21"/>
  <c r="BZ443" i="21"/>
  <c r="CA443" i="21"/>
  <c r="BR443" i="21"/>
  <c r="DZ443" i="21" s="1"/>
  <c r="EB443" i="21" s="1"/>
  <c r="T443" i="21"/>
  <c r="FY443" i="21"/>
  <c r="GA443" i="21" s="1"/>
  <c r="CS443" i="21" s="1"/>
  <c r="DI374" i="21"/>
  <c r="AX374" i="21"/>
  <c r="CM374" i="21" s="1"/>
  <c r="M374" i="21"/>
  <c r="BF374" i="21" s="1"/>
  <c r="CO374" i="21" s="1"/>
  <c r="BB374" i="21"/>
  <c r="BI384" i="21"/>
  <c r="DT384" i="21"/>
  <c r="BI359" i="21"/>
  <c r="BJ359" i="21" s="1"/>
  <c r="DT359" i="21"/>
  <c r="AY419" i="21"/>
  <c r="AY393" i="21"/>
  <c r="BH393" i="21" s="1"/>
  <c r="CW360" i="21"/>
  <c r="FJ360" i="21"/>
  <c r="CB396" i="21"/>
  <c r="CI396" i="21" s="1"/>
  <c r="CK396" i="21" s="1"/>
  <c r="CP396" i="21" s="1"/>
  <c r="EL344" i="21"/>
  <c r="EK344" i="21" s="1"/>
  <c r="Y344" i="21"/>
  <c r="ET367" i="21"/>
  <c r="EU367" i="21" s="1"/>
  <c r="EV367" i="21" s="1"/>
  <c r="M319" i="21"/>
  <c r="BF319" i="21" s="1"/>
  <c r="CO319" i="21" s="1"/>
  <c r="AX319" i="21"/>
  <c r="CM319" i="21" s="1"/>
  <c r="DI319" i="21"/>
  <c r="FY352" i="21"/>
  <c r="GA352" i="21" s="1"/>
  <c r="CS352" i="21" s="1"/>
  <c r="BZ352" i="21"/>
  <c r="CB352" i="21" s="1"/>
  <c r="CI352" i="21" s="1"/>
  <c r="BR352" i="21"/>
  <c r="DZ352" i="21" s="1"/>
  <c r="EB352" i="21" s="1"/>
  <c r="CA352" i="21"/>
  <c r="T352" i="21"/>
  <c r="BC256" i="21"/>
  <c r="CN256" i="21" s="1"/>
  <c r="FG256" i="21"/>
  <c r="DA256" i="21"/>
  <c r="CX220" i="21"/>
  <c r="FI220" i="21"/>
  <c r="GA257" i="21"/>
  <c r="CS257" i="21" s="1"/>
  <c r="CA201" i="21"/>
  <c r="BZ201" i="21"/>
  <c r="CB201" i="21" s="1"/>
  <c r="CI201" i="21" s="1"/>
  <c r="CK201" i="21" s="1"/>
  <c r="CP201" i="21" s="1"/>
  <c r="BR201" i="21"/>
  <c r="DZ201" i="21" s="1"/>
  <c r="EB201" i="21" s="1"/>
  <c r="FY201" i="21"/>
  <c r="GA201" i="21" s="1"/>
  <c r="CS201" i="21" s="1"/>
  <c r="AJ201" i="21"/>
  <c r="EU266" i="21"/>
  <c r="EV266" i="21" s="1"/>
  <c r="ET266" i="21"/>
  <c r="FY270" i="21"/>
  <c r="GA270" i="21" s="1"/>
  <c r="CS270" i="21" s="1"/>
  <c r="CA270" i="21"/>
  <c r="BZ270" i="21"/>
  <c r="CB270" i="21" s="1"/>
  <c r="CI270" i="21" s="1"/>
  <c r="CK270" i="21" s="1"/>
  <c r="CP270" i="21" s="1"/>
  <c r="BR270" i="21"/>
  <c r="DZ270" i="21" s="1"/>
  <c r="EB270" i="21" s="1"/>
  <c r="T270" i="21"/>
  <c r="FI197" i="21"/>
  <c r="CX197" i="21"/>
  <c r="FG183" i="21"/>
  <c r="DA183" i="21"/>
  <c r="BH239" i="21"/>
  <c r="BJ239" i="21" s="1"/>
  <c r="AY239" i="21"/>
  <c r="AZ239" i="21" s="1"/>
  <c r="BE98" i="21"/>
  <c r="BF98" i="21" s="1"/>
  <c r="CO98" i="21" s="1"/>
  <c r="AX97" i="21"/>
  <c r="CM97" i="21" s="1"/>
  <c r="M97" i="21"/>
  <c r="DJ97" i="21"/>
  <c r="FI308" i="21"/>
  <c r="CX308" i="21"/>
  <c r="BC51" i="21"/>
  <c r="EL57" i="21"/>
  <c r="EK57" i="21" s="1"/>
  <c r="Y57" i="21"/>
  <c r="EL63" i="21"/>
  <c r="EK63" i="21" s="1"/>
  <c r="Y63" i="21"/>
  <c r="EH84" i="21"/>
  <c r="EG84" i="21"/>
  <c r="DM85" i="21"/>
  <c r="FG66" i="21"/>
  <c r="CU66" i="21"/>
  <c r="DJ49" i="21"/>
  <c r="AX49" i="21"/>
  <c r="M49" i="21"/>
  <c r="M41" i="21"/>
  <c r="BF41" i="21" s="1"/>
  <c r="DJ41" i="21"/>
  <c r="EY41" i="21" s="1"/>
  <c r="AX41" i="21"/>
  <c r="CA449" i="21"/>
  <c r="BR449" i="21"/>
  <c r="DZ449" i="21" s="1"/>
  <c r="EB449" i="21" s="1"/>
  <c r="BZ449" i="21"/>
  <c r="CB449" i="21" s="1"/>
  <c r="CI449" i="21" s="1"/>
  <c r="AL449" i="21"/>
  <c r="T449" i="21"/>
  <c r="M424" i="21"/>
  <c r="BF424" i="21" s="1"/>
  <c r="CO424" i="21" s="1"/>
  <c r="AX424" i="21"/>
  <c r="CM424" i="21" s="1"/>
  <c r="DI424" i="21"/>
  <c r="CA404" i="21"/>
  <c r="BZ404" i="21"/>
  <c r="T404" i="21"/>
  <c r="BR404" i="21"/>
  <c r="DZ404" i="21" s="1"/>
  <c r="EB404" i="21" s="1"/>
  <c r="BI420" i="21"/>
  <c r="DT420" i="21"/>
  <c r="FY405" i="21"/>
  <c r="GA405" i="21" s="1"/>
  <c r="CS405" i="21" s="1"/>
  <c r="T405" i="21"/>
  <c r="AL405" i="21"/>
  <c r="BZ405" i="21"/>
  <c r="BR405" i="21"/>
  <c r="DZ405" i="21" s="1"/>
  <c r="EB405" i="21" s="1"/>
  <c r="CA405" i="21"/>
  <c r="M378" i="21"/>
  <c r="BF378" i="21" s="1"/>
  <c r="CO378" i="21" s="1"/>
  <c r="DI378" i="21"/>
  <c r="AX378" i="21"/>
  <c r="CM378" i="21" s="1"/>
  <c r="AY439" i="21"/>
  <c r="BH439" i="21" s="1"/>
  <c r="DT418" i="21"/>
  <c r="BI418" i="21"/>
  <c r="DT419" i="21"/>
  <c r="BI419" i="21"/>
  <c r="BJ419" i="21" s="1"/>
  <c r="DT378" i="21"/>
  <c r="BI378" i="21"/>
  <c r="AY327" i="21"/>
  <c r="BH327" i="21" s="1"/>
  <c r="BJ327" i="21" s="1"/>
  <c r="EU335" i="21"/>
  <c r="EV335" i="21" s="1"/>
  <c r="ET335" i="21"/>
  <c r="BB362" i="21"/>
  <c r="DA367" i="21"/>
  <c r="FG367" i="21"/>
  <c r="AZ321" i="21"/>
  <c r="BI312" i="21"/>
  <c r="DT312" i="21"/>
  <c r="CX313" i="21"/>
  <c r="FI313" i="21"/>
  <c r="BC314" i="21"/>
  <c r="CN314" i="21" s="1"/>
  <c r="CA310" i="21"/>
  <c r="BZ310" i="21"/>
  <c r="BR310" i="21"/>
  <c r="DZ310" i="21" s="1"/>
  <c r="EB310" i="21" s="1"/>
  <c r="T310" i="21"/>
  <c r="FY310" i="21"/>
  <c r="GA310" i="21" s="1"/>
  <c r="CS310" i="21" s="1"/>
  <c r="DT271" i="21"/>
  <c r="BI271" i="21"/>
  <c r="EH219" i="21"/>
  <c r="AY242" i="21"/>
  <c r="BH242" i="21" s="1"/>
  <c r="FG266" i="21"/>
  <c r="CU266" i="21"/>
  <c r="BC264" i="21"/>
  <c r="CN264" i="21" s="1"/>
  <c r="DT203" i="21"/>
  <c r="DM230" i="21"/>
  <c r="BP112" i="21"/>
  <c r="EI112" i="21" s="1"/>
  <c r="EH112" i="21" s="1"/>
  <c r="DT151" i="21"/>
  <c r="Y120" i="21"/>
  <c r="EL120" i="21"/>
  <c r="EK120" i="21" s="1"/>
  <c r="FI52" i="21"/>
  <c r="CX52" i="21"/>
  <c r="AP110" i="21"/>
  <c r="DM237" i="21"/>
  <c r="DM22" i="21"/>
  <c r="CA200" i="21"/>
  <c r="BR200" i="21"/>
  <c r="DZ200" i="21" s="1"/>
  <c r="EB200" i="21" s="1"/>
  <c r="FY200" i="21"/>
  <c r="GA200" i="21" s="1"/>
  <c r="CS200" i="21" s="1"/>
  <c r="T200" i="21"/>
  <c r="AY200" i="21" s="1"/>
  <c r="AJ200" i="21"/>
  <c r="AL200" i="21"/>
  <c r="EU25" i="21"/>
  <c r="EV25" i="21" s="1"/>
  <c r="ET25" i="21"/>
  <c r="BA134" i="21"/>
  <c r="BB134" i="21" s="1"/>
  <c r="CX53" i="21"/>
  <c r="FI53" i="21"/>
  <c r="DM56" i="21"/>
  <c r="BI469" i="21"/>
  <c r="BJ469" i="21" s="1"/>
  <c r="DT469" i="21"/>
  <c r="DT447" i="21"/>
  <c r="BI447" i="21"/>
  <c r="AX373" i="21"/>
  <c r="CM373" i="21" s="1"/>
  <c r="DI373" i="21"/>
  <c r="M373" i="21"/>
  <c r="BF373" i="21" s="1"/>
  <c r="CO373" i="21" s="1"/>
  <c r="BB373" i="21"/>
  <c r="EL412" i="21"/>
  <c r="EK412" i="21" s="1"/>
  <c r="Y412" i="21"/>
  <c r="AZ377" i="21"/>
  <c r="BH377" i="21"/>
  <c r="AY377" i="21"/>
  <c r="DM351" i="21"/>
  <c r="DT357" i="21"/>
  <c r="BI357" i="21"/>
  <c r="AZ365" i="21"/>
  <c r="BF324" i="21"/>
  <c r="CO324" i="21" s="1"/>
  <c r="CK324" i="21"/>
  <c r="CP324" i="21" s="1"/>
  <c r="DM271" i="21"/>
  <c r="EL219" i="21"/>
  <c r="EK219" i="21" s="1"/>
  <c r="Y219" i="21"/>
  <c r="DI272" i="21"/>
  <c r="M272" i="21"/>
  <c r="BF272" i="21" s="1"/>
  <c r="CO272" i="21" s="1"/>
  <c r="BB272" i="21"/>
  <c r="AX272" i="21"/>
  <c r="CM272" i="21" s="1"/>
  <c r="EU215" i="21"/>
  <c r="EV215" i="21" s="1"/>
  <c r="ET215" i="21"/>
  <c r="DT235" i="21"/>
  <c r="BI235" i="21"/>
  <c r="BJ235" i="21" s="1"/>
  <c r="FG198" i="21"/>
  <c r="CU198" i="21"/>
  <c r="EL242" i="21"/>
  <c r="EK242" i="21" s="1"/>
  <c r="Y242" i="21"/>
  <c r="BH187" i="21"/>
  <c r="BJ187" i="21" s="1"/>
  <c r="ET162" i="21"/>
  <c r="EU162" i="21" s="1"/>
  <c r="EV162" i="21" s="1"/>
  <c r="DM170" i="21"/>
  <c r="DM165" i="21"/>
  <c r="BC93" i="21"/>
  <c r="CN93" i="21" s="1"/>
  <c r="BL106" i="21"/>
  <c r="BN106" i="21" s="1"/>
  <c r="BM106" i="21"/>
  <c r="BC87" i="21"/>
  <c r="CN87" i="21" s="1"/>
  <c r="AM45" i="21"/>
  <c r="AL45" i="21"/>
  <c r="AM65" i="21"/>
  <c r="AL65" i="21"/>
  <c r="EU100" i="21"/>
  <c r="EV100" i="21" s="1"/>
  <c r="EY66" i="21"/>
  <c r="BC92" i="21"/>
  <c r="CN92" i="21" s="1"/>
  <c r="EL48" i="21"/>
  <c r="EK48" i="21" s="1"/>
  <c r="Y48" i="21"/>
  <c r="EB400" i="21"/>
  <c r="FG412" i="21"/>
  <c r="DA412" i="21"/>
  <c r="M423" i="21"/>
  <c r="BF423" i="21" s="1"/>
  <c r="CO423" i="21" s="1"/>
  <c r="AX423" i="21"/>
  <c r="CM423" i="21" s="1"/>
  <c r="DI423" i="21"/>
  <c r="EG407" i="21"/>
  <c r="AZ397" i="21"/>
  <c r="BH397" i="21"/>
  <c r="FI384" i="21"/>
  <c r="DD384" i="21"/>
  <c r="AZ355" i="21"/>
  <c r="BH315" i="21"/>
  <c r="CU300" i="21"/>
  <c r="FG300" i="21"/>
  <c r="FI252" i="21"/>
  <c r="DD252" i="21"/>
  <c r="BC252" i="21"/>
  <c r="CN252" i="21" s="1"/>
  <c r="BC160" i="21"/>
  <c r="AV160" i="21"/>
  <c r="AW160" i="21" s="1"/>
  <c r="DM229" i="21"/>
  <c r="AY136" i="21"/>
  <c r="AZ136" i="21" s="1"/>
  <c r="FI181" i="21"/>
  <c r="CX181" i="21"/>
  <c r="BE88" i="21"/>
  <c r="BF88" i="21" s="1"/>
  <c r="CO88" i="21" s="1"/>
  <c r="BN88" i="21"/>
  <c r="BO88" i="21"/>
  <c r="BO74" i="21"/>
  <c r="BP74" i="21" s="1"/>
  <c r="EI74" i="21" s="1"/>
  <c r="DM57" i="21"/>
  <c r="BH350" i="21"/>
  <c r="AZ350" i="21"/>
  <c r="AZ353" i="21"/>
  <c r="DM327" i="21"/>
  <c r="FI355" i="21"/>
  <c r="DD355" i="21"/>
  <c r="DT365" i="21"/>
  <c r="BI365" i="21"/>
  <c r="DA376" i="21"/>
  <c r="FG376" i="21"/>
  <c r="DM240" i="21"/>
  <c r="BC304" i="21"/>
  <c r="CN304" i="21" s="1"/>
  <c r="EU311" i="21"/>
  <c r="EV311" i="21" s="1"/>
  <c r="ET311" i="21"/>
  <c r="CX101" i="21"/>
  <c r="FI101" i="21"/>
  <c r="FI128" i="21"/>
  <c r="CX128" i="21"/>
  <c r="EZ129" i="21"/>
  <c r="EY129" i="21"/>
  <c r="FI125" i="21"/>
  <c r="CX125" i="21"/>
  <c r="EH58" i="21"/>
  <c r="EG58" i="21"/>
  <c r="DM137" i="21"/>
  <c r="EL28" i="21"/>
  <c r="EK28" i="21" s="1"/>
  <c r="Y28" i="21"/>
  <c r="DD445" i="21"/>
  <c r="FI445" i="21"/>
  <c r="DM470" i="21"/>
  <c r="CX402" i="21"/>
  <c r="FI402" i="21"/>
  <c r="AZ391" i="21"/>
  <c r="DI385" i="21"/>
  <c r="AX385" i="21"/>
  <c r="CM385" i="21" s="1"/>
  <c r="M385" i="21"/>
  <c r="BF385" i="21" s="1"/>
  <c r="CO385" i="21" s="1"/>
  <c r="CU405" i="21"/>
  <c r="FG405" i="21"/>
  <c r="CX351" i="21"/>
  <c r="FI351" i="21"/>
  <c r="CE342" i="21"/>
  <c r="DI326" i="21"/>
  <c r="M326" i="21"/>
  <c r="BF326" i="21" s="1"/>
  <c r="CO326" i="21" s="1"/>
  <c r="AX326" i="21"/>
  <c r="CM326" i="21" s="1"/>
  <c r="T374" i="21"/>
  <c r="BI258" i="21"/>
  <c r="DT258" i="21"/>
  <c r="DT265" i="21"/>
  <c r="BI265" i="21"/>
  <c r="BJ265" i="21" s="1"/>
  <c r="EG248" i="21"/>
  <c r="EH248" i="21"/>
  <c r="BF101" i="21"/>
  <c r="CO101" i="21" s="1"/>
  <c r="DD152" i="21"/>
  <c r="FI152" i="21"/>
  <c r="FI149" i="21"/>
  <c r="DD149" i="21"/>
  <c r="CK38" i="21"/>
  <c r="Y42" i="21"/>
  <c r="EL42" i="21"/>
  <c r="EK42" i="21" s="1"/>
  <c r="CU71" i="21"/>
  <c r="FG71" i="21"/>
  <c r="DM129" i="21"/>
  <c r="BC494" i="21"/>
  <c r="DU494" i="21"/>
  <c r="AZ469" i="21"/>
  <c r="CI446" i="21"/>
  <c r="CK446" i="21" s="1"/>
  <c r="CP446" i="21" s="1"/>
  <c r="AZ410" i="21"/>
  <c r="BI441" i="21"/>
  <c r="DT441" i="21"/>
  <c r="DT411" i="21"/>
  <c r="BI411" i="21"/>
  <c r="BR382" i="21"/>
  <c r="DZ382" i="21" s="1"/>
  <c r="EB382" i="21" s="1"/>
  <c r="CA382" i="21"/>
  <c r="BZ382" i="21"/>
  <c r="CB382" i="21" s="1"/>
  <c r="CI382" i="21" s="1"/>
  <c r="FY382" i="21"/>
  <c r="GA382" i="21" s="1"/>
  <c r="CS382" i="21" s="1"/>
  <c r="T382" i="21"/>
  <c r="AZ393" i="21"/>
  <c r="EU360" i="21"/>
  <c r="EV360" i="21" s="1"/>
  <c r="ET360" i="21"/>
  <c r="EU347" i="21"/>
  <c r="EV347" i="21" s="1"/>
  <c r="ET347" i="21"/>
  <c r="FJ304" i="21"/>
  <c r="CW304" i="21"/>
  <c r="BC293" i="21"/>
  <c r="CN293" i="21" s="1"/>
  <c r="FG253" i="21"/>
  <c r="DA253" i="21"/>
  <c r="FI248" i="21"/>
  <c r="CX248" i="21"/>
  <c r="GA258" i="21"/>
  <c r="CS258" i="21" s="1"/>
  <c r="BC224" i="21"/>
  <c r="CN224" i="21" s="1"/>
  <c r="AY231" i="21"/>
  <c r="BH231" i="21" s="1"/>
  <c r="BJ231" i="21" s="1"/>
  <c r="AZ231" i="21"/>
  <c r="AZ249" i="21"/>
  <c r="DC209" i="21"/>
  <c r="FJ209" i="21"/>
  <c r="BJ202" i="21"/>
  <c r="Y162" i="21"/>
  <c r="EL162" i="21"/>
  <c r="EK162" i="21" s="1"/>
  <c r="BC171" i="21"/>
  <c r="CN171" i="21" s="1"/>
  <c r="AU106" i="21"/>
  <c r="AR106" i="21"/>
  <c r="DJ151" i="21"/>
  <c r="EY151" i="21" s="1"/>
  <c r="M151" i="21"/>
  <c r="BF151" i="21" s="1"/>
  <c r="CO151" i="21" s="1"/>
  <c r="AX151" i="21"/>
  <c r="CM151" i="21" s="1"/>
  <c r="BB151" i="21"/>
  <c r="DD91" i="21"/>
  <c r="FI91" i="21"/>
  <c r="AZ493" i="21"/>
  <c r="ET427" i="21"/>
  <c r="EU427" i="21" s="1"/>
  <c r="EV427" i="21" s="1"/>
  <c r="FY406" i="21"/>
  <c r="GA406" i="21" s="1"/>
  <c r="CS406" i="21" s="1"/>
  <c r="AL406" i="21"/>
  <c r="CA406" i="21"/>
  <c r="BZ406" i="21"/>
  <c r="CB406" i="21" s="1"/>
  <c r="CI406" i="21" s="1"/>
  <c r="CK406" i="21" s="1"/>
  <c r="CP406" i="21" s="1"/>
  <c r="BR406" i="21"/>
  <c r="DZ406" i="21" s="1"/>
  <c r="EB406" i="21" s="1"/>
  <c r="AY420" i="21"/>
  <c r="DI409" i="21"/>
  <c r="AX409" i="21"/>
  <c r="CM409" i="21" s="1"/>
  <c r="M409" i="21"/>
  <c r="BF409" i="21" s="1"/>
  <c r="CO409" i="21" s="1"/>
  <c r="AZ400" i="21"/>
  <c r="AY400" i="21"/>
  <c r="BH400" i="21" s="1"/>
  <c r="DA377" i="21"/>
  <c r="FG377" i="21"/>
  <c r="CB378" i="21"/>
  <c r="CI378" i="21" s="1"/>
  <c r="CK378" i="21" s="1"/>
  <c r="CP378" i="21" s="1"/>
  <c r="BF368" i="21"/>
  <c r="CO368" i="21" s="1"/>
  <c r="AZ360" i="21"/>
  <c r="CK402" i="21"/>
  <c r="CP402" i="21" s="1"/>
  <c r="EL401" i="21"/>
  <c r="EK401" i="21" s="1"/>
  <c r="Y401" i="21"/>
  <c r="FY347" i="21"/>
  <c r="CA347" i="21"/>
  <c r="BZ347" i="21"/>
  <c r="CB347" i="21" s="1"/>
  <c r="CI347" i="21" s="1"/>
  <c r="CK347" i="21" s="1"/>
  <c r="CP347" i="21" s="1"/>
  <c r="BR347" i="21"/>
  <c r="DZ347" i="21" s="1"/>
  <c r="EB347" i="21" s="1"/>
  <c r="AL347" i="21"/>
  <c r="T347" i="21"/>
  <c r="FJ348" i="21"/>
  <c r="CW348" i="21"/>
  <c r="BI353" i="21"/>
  <c r="DT353" i="21"/>
  <c r="BF406" i="21"/>
  <c r="CO406" i="21" s="1"/>
  <c r="M330" i="21"/>
  <c r="BF330" i="21" s="1"/>
  <c r="CO330" i="21" s="1"/>
  <c r="DI330" i="21"/>
  <c r="AX330" i="21"/>
  <c r="CM330" i="21" s="1"/>
  <c r="BB330" i="21"/>
  <c r="EH354" i="21"/>
  <c r="AX291" i="21"/>
  <c r="CM291" i="21" s="1"/>
  <c r="M291" i="21"/>
  <c r="BF291" i="21" s="1"/>
  <c r="CO291" i="21" s="1"/>
  <c r="DI291" i="21"/>
  <c r="EH292" i="21"/>
  <c r="EB361" i="21"/>
  <c r="BH299" i="21"/>
  <c r="AY251" i="21"/>
  <c r="DD297" i="21"/>
  <c r="FI297" i="21"/>
  <c r="AY258" i="21"/>
  <c r="EU217" i="21"/>
  <c r="EV217" i="21" s="1"/>
  <c r="ET217" i="21"/>
  <c r="FI231" i="21"/>
  <c r="CX231" i="21"/>
  <c r="AZ185" i="21"/>
  <c r="BH185" i="21"/>
  <c r="EE168" i="21"/>
  <c r="AL168" i="21"/>
  <c r="AQ168" i="21" s="1"/>
  <c r="FI182" i="21"/>
  <c r="CX182" i="21"/>
  <c r="AZ127" i="21"/>
  <c r="AY127" i="21"/>
  <c r="CX114" i="21"/>
  <c r="FI114" i="21"/>
  <c r="BJ183" i="21"/>
  <c r="DM130" i="21"/>
  <c r="BM131" i="21"/>
  <c r="BL131" i="21"/>
  <c r="BN131" i="21" s="1"/>
  <c r="FJ124" i="21"/>
  <c r="CW124" i="21"/>
  <c r="CS102" i="21"/>
  <c r="CO102" i="21"/>
  <c r="CM102" i="21"/>
  <c r="DT70" i="21"/>
  <c r="AY69" i="21"/>
  <c r="BC22" i="21"/>
  <c r="L16" i="21"/>
  <c r="AX26" i="21"/>
  <c r="DJ26" i="21"/>
  <c r="M26" i="21"/>
  <c r="BF26" i="21" s="1"/>
  <c r="EL51" i="21"/>
  <c r="EK51" i="21" s="1"/>
  <c r="Y51" i="21"/>
  <c r="EG449" i="21"/>
  <c r="EH449" i="21"/>
  <c r="AX444" i="21"/>
  <c r="CM444" i="21" s="1"/>
  <c r="DI444" i="21"/>
  <c r="M444" i="21"/>
  <c r="BF444" i="21" s="1"/>
  <c r="CO444" i="21" s="1"/>
  <c r="BC421" i="21"/>
  <c r="CN421" i="21" s="1"/>
  <c r="DT413" i="21"/>
  <c r="BI413" i="21"/>
  <c r="AL403" i="21"/>
  <c r="CA403" i="21"/>
  <c r="BZ403" i="21"/>
  <c r="CB403" i="21" s="1"/>
  <c r="CI403" i="21" s="1"/>
  <c r="CK403" i="21" s="1"/>
  <c r="CP403" i="21" s="1"/>
  <c r="BR403" i="21"/>
  <c r="DZ403" i="21" s="1"/>
  <c r="EB403" i="21" s="1"/>
  <c r="EH403" i="21" s="1"/>
  <c r="FY403" i="21"/>
  <c r="GA403" i="21" s="1"/>
  <c r="CS403" i="21" s="1"/>
  <c r="T403" i="21"/>
  <c r="CU408" i="21"/>
  <c r="FG408" i="21"/>
  <c r="FI412" i="21"/>
  <c r="DD412" i="21"/>
  <c r="DT417" i="21"/>
  <c r="BI417" i="21"/>
  <c r="AX380" i="21"/>
  <c r="CM380" i="21" s="1"/>
  <c r="M380" i="21"/>
  <c r="BF380" i="21" s="1"/>
  <c r="CO380" i="21" s="1"/>
  <c r="DI380" i="21"/>
  <c r="AY384" i="21"/>
  <c r="BH388" i="21"/>
  <c r="AX336" i="21"/>
  <c r="CM336" i="21" s="1"/>
  <c r="DI336" i="21"/>
  <c r="M336" i="21"/>
  <c r="BF336" i="21" s="1"/>
  <c r="CO336" i="21" s="1"/>
  <c r="CU312" i="21"/>
  <c r="FG312" i="21"/>
  <c r="DT340" i="21"/>
  <c r="BI340" i="21"/>
  <c r="BJ340" i="21" s="1"/>
  <c r="DA246" i="21"/>
  <c r="FG246" i="21"/>
  <c r="DD298" i="21"/>
  <c r="FI298" i="21"/>
  <c r="FG172" i="21"/>
  <c r="CU172" i="21"/>
  <c r="EL194" i="21"/>
  <c r="EK194" i="21" s="1"/>
  <c r="Y194" i="21"/>
  <c r="FJ183" i="21"/>
  <c r="DC183" i="21"/>
  <c r="BO124" i="21"/>
  <c r="ET203" i="21"/>
  <c r="EU203" i="21" s="1"/>
  <c r="EV203" i="21" s="1"/>
  <c r="DA448" i="21"/>
  <c r="FG448" i="21"/>
  <c r="M416" i="21"/>
  <c r="BF416" i="21" s="1"/>
  <c r="CO416" i="21" s="1"/>
  <c r="DI416" i="21"/>
  <c r="AX416" i="21"/>
  <c r="CM416" i="21" s="1"/>
  <c r="DM355" i="21"/>
  <c r="CX324" i="21"/>
  <c r="FI324" i="21"/>
  <c r="EG357" i="21"/>
  <c r="ET324" i="21"/>
  <c r="EU324" i="21" s="1"/>
  <c r="EV324" i="21" s="1"/>
  <c r="AZ359" i="21"/>
  <c r="DM304" i="21"/>
  <c r="EL214" i="21"/>
  <c r="EK214" i="21" s="1"/>
  <c r="Y214" i="21"/>
  <c r="BZ195" i="21"/>
  <c r="CB195" i="21" s="1"/>
  <c r="CI195" i="21" s="1"/>
  <c r="CK195" i="21" s="1"/>
  <c r="CP195" i="21" s="1"/>
  <c r="BR195" i="21"/>
  <c r="DZ195" i="21" s="1"/>
  <c r="EB195" i="21" s="1"/>
  <c r="FY195" i="21"/>
  <c r="GA195" i="21" s="1"/>
  <c r="CS195" i="21" s="1"/>
  <c r="T195" i="21"/>
  <c r="CA195" i="21"/>
  <c r="AL195" i="21"/>
  <c r="AJ195" i="21"/>
  <c r="EU270" i="21"/>
  <c r="EV270" i="21" s="1"/>
  <c r="DM178" i="21"/>
  <c r="EG217" i="21"/>
  <c r="BZ164" i="21"/>
  <c r="CB164" i="21" s="1"/>
  <c r="CI164" i="21" s="1"/>
  <c r="CK164" i="21" s="1"/>
  <c r="DY164" i="21"/>
  <c r="EH164" i="21" s="1"/>
  <c r="FI183" i="21"/>
  <c r="DD183" i="21"/>
  <c r="BN119" i="21"/>
  <c r="BO119" i="21"/>
  <c r="GA263" i="21"/>
  <c r="CS263" i="21" s="1"/>
  <c r="CW131" i="21"/>
  <c r="FJ131" i="21"/>
  <c r="ES467" i="21"/>
  <c r="ER467" i="21"/>
  <c r="EW467" i="21" s="1"/>
  <c r="DM467" i="21"/>
  <c r="DT444" i="21"/>
  <c r="BI444" i="21"/>
  <c r="BI422" i="21"/>
  <c r="BJ422" i="21" s="1"/>
  <c r="DT422" i="21"/>
  <c r="EL406" i="21"/>
  <c r="EK406" i="21" s="1"/>
  <c r="ET406" i="21" s="1"/>
  <c r="Y406" i="21"/>
  <c r="BR435" i="21"/>
  <c r="DZ435" i="21" s="1"/>
  <c r="EB435" i="21" s="1"/>
  <c r="CA435" i="21"/>
  <c r="BZ435" i="21"/>
  <c r="CB435" i="21" s="1"/>
  <c r="CI435" i="21" s="1"/>
  <c r="CK435" i="21" s="1"/>
  <c r="CP435" i="21" s="1"/>
  <c r="FY435" i="21"/>
  <c r="GA435" i="21" s="1"/>
  <c r="CS435" i="21" s="1"/>
  <c r="T435" i="21"/>
  <c r="AL373" i="21"/>
  <c r="BZ373" i="21"/>
  <c r="CB373" i="21" s="1"/>
  <c r="CI373" i="21" s="1"/>
  <c r="CK373" i="21" s="1"/>
  <c r="CP373" i="21" s="1"/>
  <c r="BR373" i="21"/>
  <c r="DZ373" i="21" s="1"/>
  <c r="EB373" i="21" s="1"/>
  <c r="CA373" i="21"/>
  <c r="AZ379" i="21"/>
  <c r="AY341" i="21"/>
  <c r="BH341" i="21" s="1"/>
  <c r="CI355" i="21"/>
  <c r="CK355" i="21" s="1"/>
  <c r="CP355" i="21" s="1"/>
  <c r="AZ311" i="21"/>
  <c r="EG355" i="21"/>
  <c r="Y185" i="21"/>
  <c r="EL185" i="21"/>
  <c r="EK185" i="21" s="1"/>
  <c r="BC199" i="21"/>
  <c r="CN199" i="21" s="1"/>
  <c r="AY119" i="21"/>
  <c r="AZ119" i="21" s="1"/>
  <c r="FJ136" i="21"/>
  <c r="CW136" i="21"/>
  <c r="DC118" i="21"/>
  <c r="FJ118" i="21"/>
  <c r="BF95" i="21"/>
  <c r="CO95" i="21" s="1"/>
  <c r="BE78" i="21"/>
  <c r="BF78" i="21" s="1"/>
  <c r="CO78" i="21" s="1"/>
  <c r="AY78" i="21"/>
  <c r="AZ78" i="21" s="1"/>
  <c r="DM30" i="21"/>
  <c r="CA442" i="21"/>
  <c r="BR442" i="21"/>
  <c r="DZ442" i="21" s="1"/>
  <c r="EB442" i="21" s="1"/>
  <c r="FY442" i="21"/>
  <c r="GA442" i="21" s="1"/>
  <c r="CS442" i="21" s="1"/>
  <c r="BZ442" i="21"/>
  <c r="DM446" i="21"/>
  <c r="EH421" i="21"/>
  <c r="EG446" i="21"/>
  <c r="DI393" i="21"/>
  <c r="AX393" i="21"/>
  <c r="CM393" i="21" s="1"/>
  <c r="M393" i="21"/>
  <c r="BF393" i="21" s="1"/>
  <c r="CO393" i="21" s="1"/>
  <c r="CA392" i="21"/>
  <c r="BZ392" i="21"/>
  <c r="CB392" i="21" s="1"/>
  <c r="CI392" i="21" s="1"/>
  <c r="CK392" i="21" s="1"/>
  <c r="CP392" i="21" s="1"/>
  <c r="BR392" i="21"/>
  <c r="DZ392" i="21" s="1"/>
  <c r="EB392" i="21" s="1"/>
  <c r="T392" i="21"/>
  <c r="FY392" i="21"/>
  <c r="GA392" i="21" s="1"/>
  <c r="CS392" i="21" s="1"/>
  <c r="AL392" i="21"/>
  <c r="AY353" i="21"/>
  <c r="BH353" i="21" s="1"/>
  <c r="CK228" i="21"/>
  <c r="BH227" i="21"/>
  <c r="BJ227" i="21" s="1"/>
  <c r="AZ227" i="21"/>
  <c r="AY227" i="21"/>
  <c r="DM182" i="21"/>
  <c r="DM247" i="21"/>
  <c r="Y210" i="21"/>
  <c r="EL210" i="21"/>
  <c r="EK210" i="21" s="1"/>
  <c r="DM168" i="21"/>
  <c r="AY186" i="21"/>
  <c r="AZ186" i="21" s="1"/>
  <c r="EE181" i="21"/>
  <c r="AL181" i="21"/>
  <c r="AL91" i="21"/>
  <c r="AM91" i="21"/>
  <c r="BM25" i="21"/>
  <c r="BO25" i="21" s="1"/>
  <c r="BL25" i="21"/>
  <c r="BN25" i="21" s="1"/>
  <c r="EZ75" i="21"/>
  <c r="BI395" i="21"/>
  <c r="DT395" i="21"/>
  <c r="CX381" i="21"/>
  <c r="FI381" i="21"/>
  <c r="DM348" i="21"/>
  <c r="DI337" i="21"/>
  <c r="M337" i="21"/>
  <c r="BF337" i="21" s="1"/>
  <c r="CO337" i="21" s="1"/>
  <c r="AX337" i="21"/>
  <c r="CM337" i="21" s="1"/>
  <c r="AY373" i="21"/>
  <c r="BH355" i="21"/>
  <c r="AY379" i="21"/>
  <c r="BH379" i="21" s="1"/>
  <c r="CE321" i="21"/>
  <c r="BC342" i="21"/>
  <c r="CN342" i="21" s="1"/>
  <c r="FG321" i="21"/>
  <c r="DA321" i="21"/>
  <c r="EH340" i="21"/>
  <c r="FI286" i="21"/>
  <c r="DD286" i="21"/>
  <c r="BI313" i="21"/>
  <c r="DT313" i="21"/>
  <c r="CK248" i="21"/>
  <c r="CP248" i="21" s="1"/>
  <c r="BH154" i="21"/>
  <c r="BJ154" i="21" s="1"/>
  <c r="AZ154" i="21"/>
  <c r="AY154" i="21"/>
  <c r="CX170" i="21"/>
  <c r="FI170" i="21"/>
  <c r="CB181" i="21"/>
  <c r="CI181" i="21" s="1"/>
  <c r="CK181" i="21" s="1"/>
  <c r="CP181" i="21" s="1"/>
  <c r="AZ120" i="21"/>
  <c r="CS100" i="21"/>
  <c r="CO100" i="21"/>
  <c r="DM101" i="21"/>
  <c r="FI58" i="21"/>
  <c r="CX58" i="21"/>
  <c r="DP41" i="21"/>
  <c r="DO41" i="21"/>
  <c r="BE79" i="21"/>
  <c r="BF79" i="21" s="1"/>
  <c r="CO79" i="21" s="1"/>
  <c r="AZ79" i="21"/>
  <c r="DM79" i="21"/>
  <c r="DM40" i="21"/>
  <c r="DU485" i="21"/>
  <c r="EM485" i="21" s="1"/>
  <c r="EP485" i="21" s="1"/>
  <c r="EQ485" i="21" s="1"/>
  <c r="DN485" i="21" s="1"/>
  <c r="DM495" i="21"/>
  <c r="BC476" i="21"/>
  <c r="DU476" i="21"/>
  <c r="EM476" i="21" s="1"/>
  <c r="EP476" i="21" s="1"/>
  <c r="EQ476" i="21" s="1"/>
  <c r="ED465" i="21"/>
  <c r="FI434" i="21"/>
  <c r="CX434" i="21"/>
  <c r="ET491" i="21"/>
  <c r="EU491" i="21"/>
  <c r="EV491" i="21" s="1"/>
  <c r="EM491" i="21"/>
  <c r="EP491" i="21" s="1"/>
  <c r="EQ491" i="21" s="1"/>
  <c r="DN491" i="21" s="1"/>
  <c r="M418" i="21"/>
  <c r="BF418" i="21" s="1"/>
  <c r="CO418" i="21" s="1"/>
  <c r="DI418" i="21"/>
  <c r="AX418" i="21"/>
  <c r="CM418" i="21" s="1"/>
  <c r="FY399" i="21"/>
  <c r="GA399" i="21" s="1"/>
  <c r="CS399" i="21" s="1"/>
  <c r="AL399" i="21"/>
  <c r="CA399" i="21"/>
  <c r="BZ399" i="21"/>
  <c r="CB399" i="21" s="1"/>
  <c r="CI399" i="21" s="1"/>
  <c r="CK399" i="21" s="1"/>
  <c r="CP399" i="21" s="1"/>
  <c r="BR399" i="21"/>
  <c r="DZ399" i="21" s="1"/>
  <c r="EB399" i="21" s="1"/>
  <c r="EH399" i="21" s="1"/>
  <c r="BB432" i="21"/>
  <c r="DM372" i="21"/>
  <c r="GA366" i="21"/>
  <c r="CS366" i="21" s="1"/>
  <c r="BB380" i="21"/>
  <c r="BI373" i="21"/>
  <c r="BJ373" i="21" s="1"/>
  <c r="DT373" i="21"/>
  <c r="ET350" i="21"/>
  <c r="EU350" i="21"/>
  <c r="EV350" i="21" s="1"/>
  <c r="DM370" i="21"/>
  <c r="Y379" i="21"/>
  <c r="DA406" i="21"/>
  <c r="FG406" i="21"/>
  <c r="AZ385" i="21"/>
  <c r="BH385" i="21"/>
  <c r="BJ385" i="21" s="1"/>
  <c r="EH342" i="21"/>
  <c r="EB341" i="21"/>
  <c r="DM319" i="21"/>
  <c r="CX304" i="21"/>
  <c r="FI304" i="21"/>
  <c r="DT318" i="21"/>
  <c r="BI318" i="21"/>
  <c r="ET297" i="21"/>
  <c r="EU297" i="21"/>
  <c r="EV297" i="21" s="1"/>
  <c r="AY357" i="21"/>
  <c r="AZ357" i="21" s="1"/>
  <c r="FG255" i="21"/>
  <c r="CU255" i="21"/>
  <c r="DD250" i="21"/>
  <c r="FI250" i="21"/>
  <c r="CX299" i="21"/>
  <c r="FI299" i="21"/>
  <c r="EU258" i="21"/>
  <c r="EV258" i="21" s="1"/>
  <c r="ET258" i="21"/>
  <c r="AU212" i="21"/>
  <c r="AR212" i="21"/>
  <c r="AZ246" i="21"/>
  <c r="BH246" i="21"/>
  <c r="BJ246" i="21" s="1"/>
  <c r="CI286" i="21"/>
  <c r="CK286" i="21" s="1"/>
  <c r="CP286" i="21" s="1"/>
  <c r="BC216" i="21"/>
  <c r="AV216" i="21"/>
  <c r="AW216" i="21" s="1"/>
  <c r="FI209" i="21"/>
  <c r="DD209" i="21"/>
  <c r="DI178" i="21"/>
  <c r="AX178" i="21"/>
  <c r="CM178" i="21" s="1"/>
  <c r="M178" i="21"/>
  <c r="BB178" i="21"/>
  <c r="FJ166" i="21"/>
  <c r="DC166" i="21"/>
  <c r="CU182" i="21"/>
  <c r="FG182" i="21"/>
  <c r="FI143" i="21"/>
  <c r="DD143" i="21"/>
  <c r="FG197" i="21"/>
  <c r="CU197" i="21"/>
  <c r="BC162" i="21"/>
  <c r="AV162" i="21"/>
  <c r="AW162" i="21" s="1"/>
  <c r="DD144" i="21"/>
  <c r="FI144" i="21"/>
  <c r="BE67" i="21"/>
  <c r="BF67" i="21" s="1"/>
  <c r="CO67" i="21" s="1"/>
  <c r="AZ67" i="21"/>
  <c r="FI113" i="21"/>
  <c r="CX113" i="21"/>
  <c r="FG147" i="21"/>
  <c r="DA147" i="21"/>
  <c r="DM181" i="21"/>
  <c r="CM96" i="21"/>
  <c r="CS96" i="21"/>
  <c r="Y88" i="21"/>
  <c r="EL88" i="21"/>
  <c r="EK88" i="21" s="1"/>
  <c r="FG65" i="21"/>
  <c r="CU65" i="21"/>
  <c r="FI84" i="21"/>
  <c r="CX84" i="21"/>
  <c r="CU74" i="21"/>
  <c r="FG74" i="21"/>
  <c r="EL95" i="21"/>
  <c r="EK95" i="21" s="1"/>
  <c r="Y95" i="21"/>
  <c r="DT433" i="21"/>
  <c r="BI433" i="21"/>
  <c r="BZ441" i="21"/>
  <c r="BR441" i="21"/>
  <c r="DZ441" i="21" s="1"/>
  <c r="EB441" i="21" s="1"/>
  <c r="CA441" i="21"/>
  <c r="FY441" i="21"/>
  <c r="GA441" i="21" s="1"/>
  <c r="CS441" i="21" s="1"/>
  <c r="DD332" i="21"/>
  <c r="FI332" i="21"/>
  <c r="EL380" i="21"/>
  <c r="EK380" i="21" s="1"/>
  <c r="Y380" i="21"/>
  <c r="DM285" i="21"/>
  <c r="BJ259" i="21"/>
  <c r="ET190" i="21"/>
  <c r="EU190" i="21" s="1"/>
  <c r="EV190" i="21" s="1"/>
  <c r="CM103" i="21"/>
  <c r="CP103" i="21"/>
  <c r="CS103" i="21"/>
  <c r="CO103" i="21"/>
  <c r="FI95" i="21"/>
  <c r="CX95" i="21"/>
  <c r="BI486" i="21"/>
  <c r="BJ486" i="21" s="1"/>
  <c r="DT486" i="21"/>
  <c r="EH390" i="21"/>
  <c r="EG390" i="21"/>
  <c r="EL216" i="21"/>
  <c r="EK216" i="21" s="1"/>
  <c r="EM216" i="21" s="1"/>
  <c r="EP216" i="21" s="1"/>
  <c r="EQ216" i="21" s="1"/>
  <c r="Y216" i="21"/>
  <c r="ET494" i="21"/>
  <c r="EU494" i="21"/>
  <c r="EV494" i="21" s="1"/>
  <c r="BC479" i="21"/>
  <c r="DU479" i="21"/>
  <c r="DN475" i="21"/>
  <c r="ER475" i="21"/>
  <c r="ES475" i="21"/>
  <c r="CI444" i="21"/>
  <c r="CK444" i="21" s="1"/>
  <c r="CP444" i="21" s="1"/>
  <c r="EG427" i="21"/>
  <c r="EH427" i="21"/>
  <c r="BH399" i="21"/>
  <c r="AZ399" i="21"/>
  <c r="DM381" i="21"/>
  <c r="FJ372" i="21"/>
  <c r="CW372" i="21"/>
  <c r="CI389" i="21"/>
  <c r="CK389" i="21" s="1"/>
  <c r="CP389" i="21" s="1"/>
  <c r="DT371" i="21"/>
  <c r="BI371" i="21"/>
  <c r="CI385" i="21"/>
  <c r="EH385" i="21"/>
  <c r="BH351" i="21"/>
  <c r="BJ351" i="21" s="1"/>
  <c r="BC337" i="21"/>
  <c r="CN337" i="21" s="1"/>
  <c r="CK337" i="21"/>
  <c r="CP337" i="21" s="1"/>
  <c r="FY331" i="21"/>
  <c r="GA331" i="21" s="1"/>
  <c r="CS331" i="21" s="1"/>
  <c r="CA331" i="21"/>
  <c r="BZ331" i="21"/>
  <c r="CB331" i="21" s="1"/>
  <c r="CI331" i="21" s="1"/>
  <c r="CK331" i="21" s="1"/>
  <c r="CP331" i="21" s="1"/>
  <c r="BR331" i="21"/>
  <c r="DZ331" i="21" s="1"/>
  <c r="EB331" i="21" s="1"/>
  <c r="EH331" i="21" s="1"/>
  <c r="EL333" i="21"/>
  <c r="EK333" i="21" s="1"/>
  <c r="Y333" i="21"/>
  <c r="BZ276" i="21"/>
  <c r="CB276" i="21" s="1"/>
  <c r="CI276" i="21" s="1"/>
  <c r="AL276" i="21"/>
  <c r="CA276" i="21"/>
  <c r="BR276" i="21"/>
  <c r="DZ276" i="21" s="1"/>
  <c r="EB276" i="21" s="1"/>
  <c r="T276" i="21"/>
  <c r="CU281" i="21"/>
  <c r="FG281" i="21"/>
  <c r="CA284" i="21"/>
  <c r="BZ284" i="21"/>
  <c r="CB284" i="21" s="1"/>
  <c r="CI284" i="21" s="1"/>
  <c r="CK284" i="21" s="1"/>
  <c r="CP284" i="21" s="1"/>
  <c r="BR284" i="21"/>
  <c r="DZ284" i="21" s="1"/>
  <c r="EB284" i="21" s="1"/>
  <c r="T284" i="21"/>
  <c r="FY284" i="21"/>
  <c r="GA284" i="21" s="1"/>
  <c r="CS284" i="21" s="1"/>
  <c r="AL284" i="21"/>
  <c r="CI285" i="21"/>
  <c r="M260" i="21"/>
  <c r="BF260" i="21" s="1"/>
  <c r="CO260" i="21" s="1"/>
  <c r="AX260" i="21"/>
  <c r="CM260" i="21" s="1"/>
  <c r="DI260" i="21"/>
  <c r="FJ308" i="21"/>
  <c r="CW308" i="21"/>
  <c r="EG343" i="21"/>
  <c r="DI250" i="21"/>
  <c r="M250" i="21"/>
  <c r="AX250" i="21"/>
  <c r="CM250" i="21" s="1"/>
  <c r="BB250" i="21"/>
  <c r="DM256" i="21"/>
  <c r="FI282" i="21"/>
  <c r="DD282" i="21"/>
  <c r="BC308" i="21"/>
  <c r="CN308" i="21" s="1"/>
  <c r="DC274" i="21"/>
  <c r="FJ274" i="21"/>
  <c r="AT194" i="21"/>
  <c r="DU194" i="21" s="1"/>
  <c r="AP195" i="21"/>
  <c r="AY176" i="21"/>
  <c r="AZ176" i="21" s="1"/>
  <c r="FI269" i="21"/>
  <c r="DD269" i="21"/>
  <c r="DA169" i="21"/>
  <c r="FG169" i="21"/>
  <c r="CU176" i="21"/>
  <c r="FG176" i="21"/>
  <c r="M219" i="21"/>
  <c r="DI219" i="21"/>
  <c r="AX219" i="21"/>
  <c r="BB219" i="21"/>
  <c r="FG202" i="21"/>
  <c r="CU202" i="21"/>
  <c r="FG207" i="21"/>
  <c r="CU207" i="21"/>
  <c r="DY160" i="21"/>
  <c r="BZ160" i="21"/>
  <c r="CB160" i="21" s="1"/>
  <c r="CI160" i="21" s="1"/>
  <c r="CK160" i="21" s="1"/>
  <c r="DI265" i="21"/>
  <c r="M265" i="21"/>
  <c r="BF265" i="21" s="1"/>
  <c r="CO265" i="21" s="1"/>
  <c r="AX265" i="21"/>
  <c r="CM265" i="21" s="1"/>
  <c r="BH194" i="21"/>
  <c r="AZ194" i="21"/>
  <c r="AY194" i="21"/>
  <c r="AL289" i="21"/>
  <c r="CA289" i="21"/>
  <c r="BZ289" i="21"/>
  <c r="CB289" i="21" s="1"/>
  <c r="CI289" i="21" s="1"/>
  <c r="CK289" i="21" s="1"/>
  <c r="CP289" i="21" s="1"/>
  <c r="BR289" i="21"/>
  <c r="DZ289" i="21" s="1"/>
  <c r="EB289" i="21" s="1"/>
  <c r="EH289" i="21" s="1"/>
  <c r="FY289" i="21"/>
  <c r="GA289" i="21" s="1"/>
  <c r="CS289" i="21" s="1"/>
  <c r="T289" i="21"/>
  <c r="DA120" i="21"/>
  <c r="FG120" i="21"/>
  <c r="BH177" i="21"/>
  <c r="DT184" i="21"/>
  <c r="BI184" i="21"/>
  <c r="AY302" i="21"/>
  <c r="BH302" i="21" s="1"/>
  <c r="EL117" i="21"/>
  <c r="EK117" i="21" s="1"/>
  <c r="Y117" i="21"/>
  <c r="EY47" i="21"/>
  <c r="EZ47" i="21" s="1"/>
  <c r="FI191" i="21"/>
  <c r="CX191" i="21"/>
  <c r="EY81" i="21"/>
  <c r="ED209" i="21"/>
  <c r="CR209" i="21" s="1"/>
  <c r="DM80" i="21"/>
  <c r="BI490" i="21"/>
  <c r="BJ490" i="21" s="1"/>
  <c r="DT490" i="21"/>
  <c r="FI397" i="21"/>
  <c r="DD397" i="21"/>
  <c r="CW268" i="21"/>
  <c r="FJ268" i="21"/>
  <c r="FG254" i="21"/>
  <c r="CU254" i="21"/>
  <c r="AZ180" i="21"/>
  <c r="BH180" i="21"/>
  <c r="DM264" i="21"/>
  <c r="CW135" i="21"/>
  <c r="FJ135" i="21"/>
  <c r="AZ157" i="21"/>
  <c r="BH157" i="21"/>
  <c r="DU495" i="21"/>
  <c r="EM495" i="21" s="1"/>
  <c r="EP495" i="21" s="1"/>
  <c r="EQ495" i="21" s="1"/>
  <c r="CI425" i="21"/>
  <c r="CK425" i="21" s="1"/>
  <c r="CP425" i="21" s="1"/>
  <c r="FI342" i="21"/>
  <c r="DD342" i="21"/>
  <c r="EU348" i="21"/>
  <c r="EV348" i="21" s="1"/>
  <c r="ET348" i="21"/>
  <c r="CA318" i="21"/>
  <c r="BR318" i="21"/>
  <c r="DZ318" i="21" s="1"/>
  <c r="EB318" i="21" s="1"/>
  <c r="BZ318" i="21"/>
  <c r="CB318" i="21" s="1"/>
  <c r="CI318" i="21" s="1"/>
  <c r="FY318" i="21"/>
  <c r="GA318" i="21" s="1"/>
  <c r="CS318" i="21" s="1"/>
  <c r="AL318" i="21"/>
  <c r="T318" i="21"/>
  <c r="AM113" i="21"/>
  <c r="AL113" i="21"/>
  <c r="FG98" i="21"/>
  <c r="CU98" i="21"/>
  <c r="AZ488" i="21"/>
  <c r="BF425" i="21"/>
  <c r="CO425" i="21" s="1"/>
  <c r="FY426" i="21"/>
  <c r="GA426" i="21" s="1"/>
  <c r="CS426" i="21" s="1"/>
  <c r="CA426" i="21"/>
  <c r="BZ426" i="21"/>
  <c r="CB426" i="21" s="1"/>
  <c r="CI426" i="21" s="1"/>
  <c r="CK426" i="21" s="1"/>
  <c r="CP426" i="21" s="1"/>
  <c r="BR426" i="21"/>
  <c r="DZ426" i="21" s="1"/>
  <c r="EB426" i="21" s="1"/>
  <c r="AL426" i="21"/>
  <c r="T426" i="21"/>
  <c r="EG445" i="21"/>
  <c r="EH445" i="21"/>
  <c r="AL442" i="21"/>
  <c r="ET415" i="21"/>
  <c r="EU415" i="21"/>
  <c r="EV415" i="21" s="1"/>
  <c r="DT435" i="21"/>
  <c r="BI435" i="21"/>
  <c r="DA401" i="21"/>
  <c r="FG401" i="21"/>
  <c r="ET392" i="21"/>
  <c r="EU392" i="21"/>
  <c r="EV392" i="21" s="1"/>
  <c r="FI400" i="21"/>
  <c r="DD400" i="21"/>
  <c r="BH394" i="21"/>
  <c r="AZ389" i="21"/>
  <c r="M351" i="21"/>
  <c r="BF351" i="21" s="1"/>
  <c r="CO351" i="21" s="1"/>
  <c r="AX351" i="21"/>
  <c r="CM351" i="21" s="1"/>
  <c r="DI351" i="21"/>
  <c r="BC369" i="21"/>
  <c r="CN369" i="21" s="1"/>
  <c r="BB351" i="21"/>
  <c r="BC351" i="21" s="1"/>
  <c r="CN351" i="21" s="1"/>
  <c r="BF358" i="21"/>
  <c r="CO358" i="21" s="1"/>
  <c r="BI354" i="21"/>
  <c r="DT354" i="21"/>
  <c r="BB336" i="21"/>
  <c r="DT291" i="21"/>
  <c r="BI291" i="21"/>
  <c r="AY285" i="21"/>
  <c r="BH285" i="21" s="1"/>
  <c r="FG244" i="21"/>
  <c r="DA244" i="21"/>
  <c r="BH236" i="21"/>
  <c r="AZ236" i="21"/>
  <c r="AY236" i="21"/>
  <c r="DI235" i="21"/>
  <c r="AX235" i="21"/>
  <c r="CM235" i="21" s="1"/>
  <c r="M235" i="21"/>
  <c r="BF235" i="21" s="1"/>
  <c r="CO235" i="21" s="1"/>
  <c r="BB235" i="21"/>
  <c r="M248" i="21"/>
  <c r="BF248" i="21" s="1"/>
  <c r="CO248" i="21" s="1"/>
  <c r="AX248" i="21"/>
  <c r="CM248" i="21" s="1"/>
  <c r="DI248" i="21"/>
  <c r="BB248" i="21"/>
  <c r="BC248" i="21" s="1"/>
  <c r="CN248" i="21" s="1"/>
  <c r="FI169" i="21"/>
  <c r="DD169" i="21"/>
  <c r="EE176" i="21"/>
  <c r="AL176" i="21"/>
  <c r="CX175" i="21"/>
  <c r="FI175" i="21"/>
  <c r="FJ127" i="21"/>
  <c r="CW127" i="21"/>
  <c r="CV268" i="21"/>
  <c r="FH268" i="21"/>
  <c r="EY120" i="21"/>
  <c r="DM177" i="21"/>
  <c r="DT99" i="21"/>
  <c r="CU94" i="21"/>
  <c r="FG94" i="21"/>
  <c r="CK148" i="21"/>
  <c r="CP148" i="21" s="1"/>
  <c r="CW126" i="21"/>
  <c r="FJ126" i="21"/>
  <c r="DM183" i="21"/>
  <c r="CU53" i="21"/>
  <c r="FG53" i="21"/>
  <c r="BP79" i="21"/>
  <c r="EI79" i="21" s="1"/>
  <c r="DM169" i="21"/>
  <c r="DD395" i="21"/>
  <c r="FI395" i="21"/>
  <c r="ET371" i="21"/>
  <c r="EU371" i="21" s="1"/>
  <c r="EV371" i="21" s="1"/>
  <c r="CA301" i="21"/>
  <c r="BZ301" i="21"/>
  <c r="CB301" i="21" s="1"/>
  <c r="CI301" i="21" s="1"/>
  <c r="CK301" i="21" s="1"/>
  <c r="CP301" i="21" s="1"/>
  <c r="AL301" i="21"/>
  <c r="FY301" i="21"/>
  <c r="GA301" i="21" s="1"/>
  <c r="CS301" i="21" s="1"/>
  <c r="BR301" i="21"/>
  <c r="DZ301" i="21" s="1"/>
  <c r="EB301" i="21" s="1"/>
  <c r="BE62" i="21"/>
  <c r="BF62" i="21" s="1"/>
  <c r="AZ62" i="21"/>
  <c r="AY62" i="21"/>
  <c r="ES482" i="21"/>
  <c r="EW482" i="21" s="1"/>
  <c r="ER482" i="21"/>
  <c r="DM482" i="21"/>
  <c r="BR438" i="21"/>
  <c r="DZ438" i="21" s="1"/>
  <c r="EB438" i="21" s="1"/>
  <c r="FY438" i="21"/>
  <c r="GA438" i="21" s="1"/>
  <c r="CS438" i="21" s="1"/>
  <c r="CA438" i="21"/>
  <c r="BZ438" i="21"/>
  <c r="AL438" i="21"/>
  <c r="BI403" i="21"/>
  <c r="DT403" i="21"/>
  <c r="EL301" i="21"/>
  <c r="EK301" i="21" s="1"/>
  <c r="Y301" i="21"/>
  <c r="FJ172" i="21"/>
  <c r="CW172" i="21"/>
  <c r="FX83" i="21"/>
  <c r="GA83" i="21" s="1"/>
  <c r="CS83" i="21" s="1"/>
  <c r="AN83" i="21"/>
  <c r="CA83" i="21"/>
  <c r="BZ83" i="21"/>
  <c r="CB83" i="21" s="1"/>
  <c r="CI83" i="21" s="1"/>
  <c r="CK83" i="21" s="1"/>
  <c r="CP83" i="21" s="1"/>
  <c r="BR83" i="21"/>
  <c r="DZ83" i="21" s="1"/>
  <c r="EB83" i="21" s="1"/>
  <c r="BK83" i="21"/>
  <c r="EE83" i="21"/>
  <c r="EL449" i="21"/>
  <c r="EK449" i="21" s="1"/>
  <c r="Y449" i="21"/>
  <c r="BH422" i="21"/>
  <c r="AZ422" i="21"/>
  <c r="DM424" i="21"/>
  <c r="BC424" i="21"/>
  <c r="CN424" i="21" s="1"/>
  <c r="BI442" i="21"/>
  <c r="BJ442" i="21" s="1"/>
  <c r="DT442" i="21"/>
  <c r="CA418" i="21"/>
  <c r="FY418" i="21"/>
  <c r="BZ418" i="21"/>
  <c r="CB418" i="21" s="1"/>
  <c r="CI418" i="21" s="1"/>
  <c r="CK418" i="21" s="1"/>
  <c r="CP418" i="21" s="1"/>
  <c r="BR418" i="21"/>
  <c r="DZ418" i="21" s="1"/>
  <c r="EB418" i="21" s="1"/>
  <c r="DA415" i="21"/>
  <c r="FG415" i="21"/>
  <c r="BH423" i="21"/>
  <c r="AY391" i="21"/>
  <c r="BH391" i="21" s="1"/>
  <c r="DD390" i="21"/>
  <c r="FI390" i="21"/>
  <c r="BB416" i="21"/>
  <c r="AL382" i="21"/>
  <c r="CX348" i="21"/>
  <c r="FI348" i="21"/>
  <c r="EL352" i="21"/>
  <c r="EK352" i="21" s="1"/>
  <c r="Y352" i="21"/>
  <c r="T331" i="21"/>
  <c r="BI285" i="21"/>
  <c r="DT285" i="21"/>
  <c r="DD294" i="21"/>
  <c r="FI294" i="21"/>
  <c r="DD296" i="21"/>
  <c r="FI296" i="21"/>
  <c r="FJ238" i="21"/>
  <c r="CW238" i="21"/>
  <c r="EH278" i="21"/>
  <c r="EG278" i="21"/>
  <c r="CB236" i="21"/>
  <c r="CI236" i="21" s="1"/>
  <c r="CK236" i="21" s="1"/>
  <c r="CP236" i="21" s="1"/>
  <c r="EH246" i="21"/>
  <c r="EG246" i="21"/>
  <c r="EH293" i="21"/>
  <c r="T201" i="21"/>
  <c r="AJ214" i="21"/>
  <c r="AT214" i="21"/>
  <c r="DU214" i="21" s="1"/>
  <c r="DN214" i="21" s="1"/>
  <c r="BH174" i="21"/>
  <c r="BJ174" i="21" s="1"/>
  <c r="AY172" i="21"/>
  <c r="BH172" i="21" s="1"/>
  <c r="BJ172" i="21" s="1"/>
  <c r="EU161" i="21"/>
  <c r="EV161" i="21" s="1"/>
  <c r="ET161" i="21"/>
  <c r="BI289" i="21"/>
  <c r="DT289" i="21"/>
  <c r="AY222" i="21"/>
  <c r="AZ222" i="21" s="1"/>
  <c r="BO91" i="21"/>
  <c r="FI177" i="21"/>
  <c r="DD177" i="21"/>
  <c r="BL39" i="21"/>
  <c r="BN39" i="21" s="1"/>
  <c r="BM39" i="21"/>
  <c r="BO39" i="21" s="1"/>
  <c r="EZ139" i="21"/>
  <c r="ET139" i="21"/>
  <c r="EU139" i="21" s="1"/>
  <c r="EV139" i="21" s="1"/>
  <c r="BO120" i="21"/>
  <c r="BP120" i="21" s="1"/>
  <c r="EI120" i="21" s="1"/>
  <c r="EH120" i="21" s="1"/>
  <c r="BB23" i="21"/>
  <c r="BC23" i="21" s="1"/>
  <c r="AM81" i="21"/>
  <c r="AL81" i="21"/>
  <c r="AM116" i="21"/>
  <c r="AL116" i="21"/>
  <c r="BM36" i="21"/>
  <c r="BO36" i="21" s="1"/>
  <c r="BL36" i="21"/>
  <c r="BN36" i="21" s="1"/>
  <c r="DJ50" i="21"/>
  <c r="EY50" i="21" s="1"/>
  <c r="AX50" i="21"/>
  <c r="M50" i="21"/>
  <c r="BF50" i="21" s="1"/>
  <c r="BB50" i="21"/>
  <c r="BC50" i="21" s="1"/>
  <c r="BC40" i="21"/>
  <c r="BM97" i="21"/>
  <c r="BO97" i="21" s="1"/>
  <c r="BP97" i="21" s="1"/>
  <c r="EI97" i="21" s="1"/>
  <c r="ES489" i="21"/>
  <c r="ER489" i="21"/>
  <c r="DM489" i="21"/>
  <c r="DA441" i="21"/>
  <c r="FG441" i="21"/>
  <c r="EG419" i="21"/>
  <c r="M23" i="21"/>
  <c r="AX23" i="21"/>
  <c r="DJ23" i="21"/>
  <c r="CA414" i="21"/>
  <c r="FY414" i="21"/>
  <c r="GA414" i="21" s="1"/>
  <c r="CS414" i="21" s="1"/>
  <c r="BZ414" i="21"/>
  <c r="CB414" i="21" s="1"/>
  <c r="CI414" i="21" s="1"/>
  <c r="CK414" i="21" s="1"/>
  <c r="CP414" i="21" s="1"/>
  <c r="BR414" i="21"/>
  <c r="DZ414" i="21" s="1"/>
  <c r="EB414" i="21" s="1"/>
  <c r="EG414" i="21" s="1"/>
  <c r="AL414" i="21"/>
  <c r="T414" i="21"/>
  <c r="BC390" i="21"/>
  <c r="CN390" i="21" s="1"/>
  <c r="P201" i="21"/>
  <c r="DY201" i="21" s="1"/>
  <c r="EH201" i="21" s="1"/>
  <c r="AX201" i="21"/>
  <c r="CM201" i="21" s="1"/>
  <c r="M201" i="21"/>
  <c r="BF201" i="21" s="1"/>
  <c r="CO201" i="21" s="1"/>
  <c r="DI201" i="21"/>
  <c r="Y83" i="21"/>
  <c r="EL83" i="21"/>
  <c r="EK83" i="21" s="1"/>
  <c r="AM125" i="21"/>
  <c r="AL125" i="21"/>
  <c r="EU28" i="21"/>
  <c r="EV28" i="21" s="1"/>
  <c r="ET28" i="21"/>
  <c r="EY65" i="21"/>
  <c r="EZ65" i="21"/>
  <c r="AX34" i="21"/>
  <c r="M34" i="21"/>
  <c r="BF34" i="21" s="1"/>
  <c r="DJ34" i="21"/>
  <c r="EY34" i="21" s="1"/>
  <c r="ED488" i="21"/>
  <c r="DI356" i="21"/>
  <c r="AX356" i="21"/>
  <c r="CM356" i="21" s="1"/>
  <c r="M356" i="21"/>
  <c r="BF356" i="21" s="1"/>
  <c r="CO356" i="21" s="1"/>
  <c r="FI385" i="21"/>
  <c r="CX385" i="21"/>
  <c r="CB361" i="21"/>
  <c r="CI361" i="21" s="1"/>
  <c r="CK361" i="21" s="1"/>
  <c r="CP361" i="21" s="1"/>
  <c r="DM493" i="21"/>
  <c r="BH472" i="21"/>
  <c r="BF465" i="21"/>
  <c r="CK465" i="21"/>
  <c r="DN478" i="21"/>
  <c r="ES478" i="21"/>
  <c r="ER478" i="21"/>
  <c r="FI432" i="21"/>
  <c r="CX432" i="21"/>
  <c r="AY418" i="21"/>
  <c r="BH418" i="21" s="1"/>
  <c r="EH436" i="21"/>
  <c r="BH406" i="21"/>
  <c r="BI381" i="21"/>
  <c r="BJ381" i="21" s="1"/>
  <c r="DT381" i="21"/>
  <c r="DT348" i="21"/>
  <c r="BI348" i="21"/>
  <c r="BJ348" i="21" s="1"/>
  <c r="AL408" i="21"/>
  <c r="FY408" i="21"/>
  <c r="GA408" i="21" s="1"/>
  <c r="CS408" i="21" s="1"/>
  <c r="BZ408" i="21"/>
  <c r="BR408" i="21"/>
  <c r="DZ408" i="21" s="1"/>
  <c r="EB408" i="21" s="1"/>
  <c r="CA408" i="21"/>
  <c r="T408" i="21"/>
  <c r="CV348" i="21"/>
  <c r="FH348" i="21"/>
  <c r="DT341" i="21"/>
  <c r="BI341" i="21"/>
  <c r="EG372" i="21"/>
  <c r="BI358" i="21"/>
  <c r="BJ358" i="21" s="1"/>
  <c r="DT358" i="21"/>
  <c r="CA316" i="21"/>
  <c r="BZ316" i="21"/>
  <c r="BR316" i="21"/>
  <c r="DZ316" i="21" s="1"/>
  <c r="EB316" i="21" s="1"/>
  <c r="FY316" i="21"/>
  <c r="GA316" i="21" s="1"/>
  <c r="CS316" i="21" s="1"/>
  <c r="T316" i="21"/>
  <c r="AL316" i="21"/>
  <c r="FI362" i="21"/>
  <c r="CX362" i="21"/>
  <c r="M346" i="21"/>
  <c r="BF346" i="21" s="1"/>
  <c r="CO346" i="21" s="1"/>
  <c r="DI346" i="21"/>
  <c r="AX346" i="21"/>
  <c r="CM346" i="21" s="1"/>
  <c r="BB346" i="21"/>
  <c r="FI319" i="21"/>
  <c r="DD319" i="21"/>
  <c r="DT319" i="21"/>
  <c r="BI319" i="21"/>
  <c r="BJ319" i="21" s="1"/>
  <c r="DI292" i="21"/>
  <c r="M292" i="21"/>
  <c r="BF292" i="21" s="1"/>
  <c r="CO292" i="21" s="1"/>
  <c r="AX292" i="21"/>
  <c r="CM292" i="21" s="1"/>
  <c r="BB292" i="21"/>
  <c r="AY331" i="21"/>
  <c r="GA281" i="21"/>
  <c r="CS281" i="21" s="1"/>
  <c r="BI303" i="21"/>
  <c r="BJ303" i="21" s="1"/>
  <c r="DT303" i="21"/>
  <c r="DA294" i="21"/>
  <c r="FG294" i="21"/>
  <c r="T292" i="21"/>
  <c r="DI299" i="21"/>
  <c r="M299" i="21"/>
  <c r="BF299" i="21" s="1"/>
  <c r="CO299" i="21" s="1"/>
  <c r="AX299" i="21"/>
  <c r="CM299" i="21" s="1"/>
  <c r="FJ246" i="21"/>
  <c r="DC246" i="21"/>
  <c r="DM232" i="21"/>
  <c r="DM194" i="21"/>
  <c r="EG222" i="21"/>
  <c r="EH222" i="21"/>
  <c r="DC225" i="21"/>
  <c r="FJ225" i="21"/>
  <c r="BM126" i="21"/>
  <c r="BO126" i="21" s="1"/>
  <c r="BL126" i="21"/>
  <c r="BN126" i="21" s="1"/>
  <c r="DJ37" i="21"/>
  <c r="EY37" i="21" s="1"/>
  <c r="AX37" i="21"/>
  <c r="M37" i="21"/>
  <c r="BF37" i="21" s="1"/>
  <c r="BB37" i="21"/>
  <c r="BC37" i="21" s="1"/>
  <c r="FI139" i="21"/>
  <c r="DD139" i="21"/>
  <c r="EZ119" i="21"/>
  <c r="ET61" i="21"/>
  <c r="EU61" i="21" s="1"/>
  <c r="EV61" i="21" s="1"/>
  <c r="EZ61" i="21"/>
  <c r="BC103" i="21"/>
  <c r="CN103" i="21" s="1"/>
  <c r="CX81" i="21"/>
  <c r="FI81" i="21"/>
  <c r="ET116" i="21"/>
  <c r="BM70" i="21"/>
  <c r="BL70" i="21"/>
  <c r="BN70" i="21" s="1"/>
  <c r="AM30" i="21"/>
  <c r="AL30" i="21"/>
  <c r="GA418" i="21"/>
  <c r="CS418" i="21" s="1"/>
  <c r="AY315" i="21"/>
  <c r="AZ315" i="21" s="1"/>
  <c r="EH378" i="21"/>
  <c r="EG378" i="21"/>
  <c r="EH323" i="21"/>
  <c r="ET339" i="21"/>
  <c r="EU339" i="21" s="1"/>
  <c r="EV339" i="21" s="1"/>
  <c r="CU287" i="21"/>
  <c r="FG287" i="21"/>
  <c r="ET246" i="21"/>
  <c r="EU246" i="21" s="1"/>
  <c r="EV246" i="21" s="1"/>
  <c r="BC235" i="21"/>
  <c r="CN235" i="21" s="1"/>
  <c r="DD150" i="21"/>
  <c r="FI150" i="21"/>
  <c r="BC122" i="21"/>
  <c r="CN122" i="21" s="1"/>
  <c r="CS99" i="21"/>
  <c r="CM99" i="21"/>
  <c r="BN38" i="21"/>
  <c r="BO38" i="21"/>
  <c r="EL496" i="21"/>
  <c r="EK496" i="21" s="1"/>
  <c r="Y496" i="21"/>
  <c r="BH496" i="21"/>
  <c r="AZ496" i="21"/>
  <c r="DP475" i="21"/>
  <c r="DO475" i="21"/>
  <c r="ED475" i="21"/>
  <c r="AZ444" i="21"/>
  <c r="DM466" i="21"/>
  <c r="BC487" i="21"/>
  <c r="DU487" i="21"/>
  <c r="EM487" i="21" s="1"/>
  <c r="EP487" i="21" s="1"/>
  <c r="EQ487" i="21" s="1"/>
  <c r="DN487" i="21" s="1"/>
  <c r="AZ437" i="21"/>
  <c r="BH437" i="21"/>
  <c r="BF412" i="21"/>
  <c r="CO412" i="21" s="1"/>
  <c r="CK412" i="21"/>
  <c r="CP412" i="21" s="1"/>
  <c r="DT423" i="21"/>
  <c r="BI423" i="21"/>
  <c r="M390" i="21"/>
  <c r="AX390" i="21"/>
  <c r="CM390" i="21" s="1"/>
  <c r="DI390" i="21"/>
  <c r="FI386" i="21"/>
  <c r="CX386" i="21"/>
  <c r="DI375" i="21"/>
  <c r="M375" i="21"/>
  <c r="AX375" i="21"/>
  <c r="CM375" i="21" s="1"/>
  <c r="AY367" i="21"/>
  <c r="BH367" i="21" s="1"/>
  <c r="CA393" i="21"/>
  <c r="BZ393" i="21"/>
  <c r="CB393" i="21" s="1"/>
  <c r="CI393" i="21" s="1"/>
  <c r="FY393" i="21"/>
  <c r="GA393" i="21" s="1"/>
  <c r="CS393" i="21" s="1"/>
  <c r="BR393" i="21"/>
  <c r="DZ393" i="21" s="1"/>
  <c r="EB393" i="21" s="1"/>
  <c r="EG393" i="21" s="1"/>
  <c r="AL393" i="21"/>
  <c r="Y339" i="21"/>
  <c r="AZ425" i="21"/>
  <c r="BZ345" i="21"/>
  <c r="CA345" i="21"/>
  <c r="BR345" i="21"/>
  <c r="DZ345" i="21" s="1"/>
  <c r="EB345" i="21" s="1"/>
  <c r="AL345" i="21"/>
  <c r="FY345" i="21"/>
  <c r="GA345" i="21" s="1"/>
  <c r="CS345" i="21" s="1"/>
  <c r="T345" i="21"/>
  <c r="FG372" i="21"/>
  <c r="CU372" i="21"/>
  <c r="DA325" i="21"/>
  <c r="FG325" i="21"/>
  <c r="DM375" i="21"/>
  <c r="FG304" i="21"/>
  <c r="CU304" i="21"/>
  <c r="CA283" i="21"/>
  <c r="BZ283" i="21"/>
  <c r="BR283" i="21"/>
  <c r="DZ283" i="21" s="1"/>
  <c r="EB283" i="21" s="1"/>
  <c r="EH283" i="21" s="1"/>
  <c r="FY283" i="21"/>
  <c r="GA283" i="21" s="1"/>
  <c r="CS283" i="21" s="1"/>
  <c r="AL283" i="21"/>
  <c r="T283" i="21"/>
  <c r="AY292" i="21"/>
  <c r="BJ364" i="21"/>
  <c r="BH279" i="21"/>
  <c r="AZ234" i="21"/>
  <c r="BH234" i="21"/>
  <c r="BJ234" i="21" s="1"/>
  <c r="CX234" i="21"/>
  <c r="FI234" i="21"/>
  <c r="AZ272" i="21"/>
  <c r="CI251" i="21"/>
  <c r="CK251" i="21" s="1"/>
  <c r="CP251" i="21" s="1"/>
  <c r="BH273" i="21"/>
  <c r="DM185" i="21"/>
  <c r="DU155" i="21"/>
  <c r="AU155" i="21"/>
  <c r="EE180" i="21"/>
  <c r="AL180" i="21"/>
  <c r="FI166" i="21"/>
  <c r="DD166" i="21"/>
  <c r="Y100" i="21"/>
  <c r="FJ194" i="21"/>
  <c r="CW194" i="21"/>
  <c r="CK222" i="21"/>
  <c r="AZ132" i="21"/>
  <c r="FH166" i="21"/>
  <c r="DB166" i="21"/>
  <c r="DM166" i="21"/>
  <c r="CX179" i="21"/>
  <c r="FI179" i="21"/>
  <c r="FJ139" i="21"/>
  <c r="DC139" i="21"/>
  <c r="CX126" i="21"/>
  <c r="FI126" i="21"/>
  <c r="DM36" i="21"/>
  <c r="CX70" i="21"/>
  <c r="FI70" i="21"/>
  <c r="EG78" i="21"/>
  <c r="EH78" i="21"/>
  <c r="EL492" i="21"/>
  <c r="EK492" i="21" s="1"/>
  <c r="Y492" i="21"/>
  <c r="EB425" i="21"/>
  <c r="CA395" i="21"/>
  <c r="BZ395" i="21"/>
  <c r="CB395" i="21" s="1"/>
  <c r="BR395" i="21"/>
  <c r="DZ395" i="21" s="1"/>
  <c r="EB395" i="21" s="1"/>
  <c r="T395" i="21"/>
  <c r="AL395" i="21"/>
  <c r="DD338" i="21"/>
  <c r="FI338" i="21"/>
  <c r="CX203" i="21"/>
  <c r="FI203" i="21"/>
  <c r="L15" i="21"/>
  <c r="BC446" i="21"/>
  <c r="CN446" i="21" s="1"/>
  <c r="AZ285" i="21"/>
  <c r="BB295" i="21"/>
  <c r="DI221" i="21"/>
  <c r="BB221" i="21"/>
  <c r="AX221" i="21"/>
  <c r="CM221" i="21" s="1"/>
  <c r="M221" i="21"/>
  <c r="DT181" i="21"/>
  <c r="BI181" i="21"/>
  <c r="BJ181" i="21" s="1"/>
  <c r="BN113" i="21"/>
  <c r="BO113" i="21"/>
  <c r="M100" i="21"/>
  <c r="BF100" i="21" s="1"/>
  <c r="AX100" i="21"/>
  <c r="CM100" i="21" s="1"/>
  <c r="DJ100" i="21"/>
  <c r="ET192" i="21"/>
  <c r="EU192" i="21" s="1"/>
  <c r="EV192" i="21" s="1"/>
  <c r="BL124" i="21"/>
  <c r="BN124" i="21" s="1"/>
  <c r="FI446" i="21"/>
  <c r="CX446" i="21"/>
  <c r="CA417" i="21"/>
  <c r="BZ417" i="21"/>
  <c r="BR417" i="21"/>
  <c r="DZ417" i="21" s="1"/>
  <c r="EB417" i="21" s="1"/>
  <c r="AL417" i="21"/>
  <c r="BI438" i="21"/>
  <c r="DT438" i="21"/>
  <c r="EU489" i="21"/>
  <c r="EV489" i="21" s="1"/>
  <c r="EW489" i="21" s="1"/>
  <c r="EU412" i="21"/>
  <c r="EV412" i="21" s="1"/>
  <c r="ET412" i="21"/>
  <c r="CA429" i="21"/>
  <c r="BZ429" i="21"/>
  <c r="CB429" i="21" s="1"/>
  <c r="CI429" i="21" s="1"/>
  <c r="CK429" i="21" s="1"/>
  <c r="CP429" i="21" s="1"/>
  <c r="BR429" i="21"/>
  <c r="DZ429" i="21" s="1"/>
  <c r="EB429" i="21" s="1"/>
  <c r="AL429" i="21"/>
  <c r="BH410" i="21"/>
  <c r="FI387" i="21"/>
  <c r="DD387" i="21"/>
  <c r="AZ419" i="21"/>
  <c r="EH360" i="21"/>
  <c r="EG360" i="21"/>
  <c r="FG353" i="21"/>
  <c r="DA353" i="21"/>
  <c r="FG339" i="21"/>
  <c r="CU339" i="21"/>
  <c r="GA335" i="21"/>
  <c r="CS335" i="21" s="1"/>
  <c r="FI309" i="21"/>
  <c r="DD309" i="21"/>
  <c r="DA315" i="21"/>
  <c r="FG315" i="21"/>
  <c r="M320" i="21"/>
  <c r="BF320" i="21" s="1"/>
  <c r="CO320" i="21" s="1"/>
  <c r="AX320" i="21"/>
  <c r="CM320" i="21" s="1"/>
  <c r="DI320" i="21"/>
  <c r="DT282" i="21"/>
  <c r="BI282" i="21"/>
  <c r="FY288" i="21"/>
  <c r="GA288" i="21" s="1"/>
  <c r="CS288" i="21" s="1"/>
  <c r="CA288" i="21"/>
  <c r="BZ288" i="21"/>
  <c r="CB288" i="21" s="1"/>
  <c r="CI288" i="21" s="1"/>
  <c r="CK288" i="21" s="1"/>
  <c r="CP288" i="21" s="1"/>
  <c r="BR288" i="21"/>
  <c r="DZ288" i="21" s="1"/>
  <c r="EB288" i="21" s="1"/>
  <c r="AL288" i="21"/>
  <c r="T288" i="21"/>
  <c r="BB326" i="21"/>
  <c r="ET304" i="21"/>
  <c r="EU304" i="21"/>
  <c r="EV304" i="21" s="1"/>
  <c r="DM275" i="21"/>
  <c r="GA292" i="21"/>
  <c r="CS292" i="21" s="1"/>
  <c r="CU268" i="21"/>
  <c r="FG268" i="21"/>
  <c r="EL328" i="21"/>
  <c r="EK328" i="21" s="1"/>
  <c r="Y328" i="21"/>
  <c r="DT290" i="21"/>
  <c r="BI290" i="21"/>
  <c r="BJ290" i="21" s="1"/>
  <c r="EH234" i="21"/>
  <c r="EG234" i="21"/>
  <c r="BI226" i="21"/>
  <c r="BJ226" i="21" s="1"/>
  <c r="DT226" i="21"/>
  <c r="AY273" i="21"/>
  <c r="AZ273" i="21" s="1"/>
  <c r="CX224" i="21"/>
  <c r="FI224" i="21"/>
  <c r="EL307" i="21"/>
  <c r="EK307" i="21" s="1"/>
  <c r="Y307" i="21"/>
  <c r="EU171" i="21"/>
  <c r="EV171" i="21" s="1"/>
  <c r="ET171" i="21"/>
  <c r="FI205" i="21"/>
  <c r="CX205" i="21"/>
  <c r="AZ151" i="21"/>
  <c r="BC213" i="21"/>
  <c r="DD180" i="21"/>
  <c r="FI180" i="21"/>
  <c r="BB135" i="21"/>
  <c r="EL114" i="21"/>
  <c r="EK114" i="21" s="1"/>
  <c r="Y114" i="21"/>
  <c r="ET110" i="21"/>
  <c r="EU110" i="21" s="1"/>
  <c r="EV110" i="21" s="1"/>
  <c r="EG52" i="21"/>
  <c r="EH52" i="21"/>
  <c r="EM107" i="21"/>
  <c r="EP107" i="21" s="1"/>
  <c r="EQ107" i="21" s="1"/>
  <c r="ES107" i="21" s="1"/>
  <c r="EG94" i="21"/>
  <c r="EH94" i="21"/>
  <c r="EU90" i="21"/>
  <c r="EV90" i="21" s="1"/>
  <c r="ET90" i="21"/>
  <c r="EZ90" i="21"/>
  <c r="Y31" i="21"/>
  <c r="EL31" i="21"/>
  <c r="EK31" i="21" s="1"/>
  <c r="EY27" i="21"/>
  <c r="EZ27" i="21"/>
  <c r="M30" i="21"/>
  <c r="BF30" i="21" s="1"/>
  <c r="DJ30" i="21"/>
  <c r="EY30" i="21" s="1"/>
  <c r="AX30" i="21"/>
  <c r="AX433" i="21"/>
  <c r="CM433" i="21" s="1"/>
  <c r="DI433" i="21"/>
  <c r="M433" i="21"/>
  <c r="BF433" i="21" s="1"/>
  <c r="CO433" i="21" s="1"/>
  <c r="BI491" i="21"/>
  <c r="BJ491" i="21" s="1"/>
  <c r="DT491" i="21"/>
  <c r="FG403" i="21"/>
  <c r="DA403" i="21"/>
  <c r="BZ325" i="21"/>
  <c r="CB325" i="21" s="1"/>
  <c r="CI325" i="21" s="1"/>
  <c r="CK325" i="21" s="1"/>
  <c r="CP325" i="21" s="1"/>
  <c r="AL325" i="21"/>
  <c r="CA325" i="21"/>
  <c r="BR325" i="21"/>
  <c r="DZ325" i="21" s="1"/>
  <c r="EB325" i="21" s="1"/>
  <c r="T325" i="21"/>
  <c r="BI323" i="21"/>
  <c r="DT323" i="21"/>
  <c r="DD280" i="21"/>
  <c r="FI280" i="21"/>
  <c r="BJ244" i="21"/>
  <c r="FI190" i="21"/>
  <c r="CX190" i="21"/>
  <c r="ET197" i="21"/>
  <c r="EU197" i="21"/>
  <c r="EV197" i="21" s="1"/>
  <c r="AZ137" i="21"/>
  <c r="CU392" i="21"/>
  <c r="FG392" i="21"/>
  <c r="DA398" i="21"/>
  <c r="FG398" i="21"/>
  <c r="DA371" i="21"/>
  <c r="FG371" i="21"/>
  <c r="EH308" i="21"/>
  <c r="EG308" i="21"/>
  <c r="FI237" i="21"/>
  <c r="CX237" i="21"/>
  <c r="DM210" i="21"/>
  <c r="AM40" i="21"/>
  <c r="AL40" i="21"/>
  <c r="BI481" i="21"/>
  <c r="BJ481" i="21" s="1"/>
  <c r="DT481" i="21"/>
  <c r="CK436" i="21"/>
  <c r="CP436" i="21" s="1"/>
  <c r="BB423" i="21"/>
  <c r="EW471" i="21"/>
  <c r="FY428" i="21"/>
  <c r="GA428" i="21" s="1"/>
  <c r="CS428" i="21" s="1"/>
  <c r="AL428" i="21"/>
  <c r="CA428" i="21"/>
  <c r="BZ428" i="21"/>
  <c r="BR428" i="21"/>
  <c r="DZ428" i="21" s="1"/>
  <c r="EB428" i="21" s="1"/>
  <c r="T428" i="21"/>
  <c r="EH397" i="21"/>
  <c r="CI433" i="21"/>
  <c r="DA389" i="21"/>
  <c r="FG389" i="21"/>
  <c r="FY373" i="21"/>
  <c r="GA373" i="21" s="1"/>
  <c r="CS373" i="21" s="1"/>
  <c r="FJ386" i="21"/>
  <c r="CW386" i="21"/>
  <c r="AL352" i="21"/>
  <c r="AZ401" i="21"/>
  <c r="EL346" i="21"/>
  <c r="EK346" i="21" s="1"/>
  <c r="Y346" i="21"/>
  <c r="AL335" i="21"/>
  <c r="FY335" i="21"/>
  <c r="CA335" i="21"/>
  <c r="BZ335" i="21"/>
  <c r="CB335" i="21" s="1"/>
  <c r="CI335" i="21" s="1"/>
  <c r="CK335" i="21" s="1"/>
  <c r="CP335" i="21" s="1"/>
  <c r="BR335" i="21"/>
  <c r="DZ335" i="21" s="1"/>
  <c r="EB335" i="21" s="1"/>
  <c r="T335" i="21"/>
  <c r="ET355" i="21"/>
  <c r="EU355" i="21" s="1"/>
  <c r="EV355" i="21" s="1"/>
  <c r="EG346" i="21"/>
  <c r="AL371" i="21"/>
  <c r="CA371" i="21"/>
  <c r="BZ371" i="21"/>
  <c r="CB371" i="21" s="1"/>
  <c r="CI371" i="21" s="1"/>
  <c r="CK371" i="21" s="1"/>
  <c r="CP371" i="21" s="1"/>
  <c r="BR371" i="21"/>
  <c r="DZ371" i="21" s="1"/>
  <c r="EB371" i="21" s="1"/>
  <c r="EH371" i="21" s="1"/>
  <c r="T371" i="21"/>
  <c r="AY371" i="21" s="1"/>
  <c r="FY371" i="21"/>
  <c r="GA371" i="21" s="1"/>
  <c r="CS371" i="21" s="1"/>
  <c r="CK326" i="21"/>
  <c r="CP326" i="21" s="1"/>
  <c r="DI309" i="21"/>
  <c r="M309" i="21"/>
  <c r="BF309" i="21" s="1"/>
  <c r="CO309" i="21" s="1"/>
  <c r="AX309" i="21"/>
  <c r="CM309" i="21" s="1"/>
  <c r="BB309" i="21"/>
  <c r="DA334" i="21"/>
  <c r="FG334" i="21"/>
  <c r="DM282" i="21"/>
  <c r="BC326" i="21"/>
  <c r="CN326" i="21" s="1"/>
  <c r="EH299" i="21"/>
  <c r="BF306" i="21"/>
  <c r="CO306" i="21" s="1"/>
  <c r="DM315" i="21"/>
  <c r="AL331" i="21"/>
  <c r="BC280" i="21"/>
  <c r="CN280" i="21" s="1"/>
  <c r="ET268" i="21"/>
  <c r="EU268" i="21" s="1"/>
  <c r="EV268" i="21" s="1"/>
  <c r="FI178" i="21"/>
  <c r="DD178" i="21"/>
  <c r="DI196" i="21"/>
  <c r="P196" i="21"/>
  <c r="DY196" i="21" s="1"/>
  <c r="AX196" i="21"/>
  <c r="CM196" i="21" s="1"/>
  <c r="M196" i="21"/>
  <c r="BF196" i="21" s="1"/>
  <c r="CO196" i="21" s="1"/>
  <c r="DM313" i="21"/>
  <c r="DA314" i="21"/>
  <c r="FG314" i="21"/>
  <c r="CK151" i="21"/>
  <c r="CP151" i="21" s="1"/>
  <c r="CX290" i="21"/>
  <c r="FI290" i="21"/>
  <c r="CX223" i="21"/>
  <c r="FI223" i="21"/>
  <c r="FI184" i="21"/>
  <c r="CX184" i="21"/>
  <c r="BH271" i="21"/>
  <c r="AZ271" i="21"/>
  <c r="AY271" i="21"/>
  <c r="CI161" i="21"/>
  <c r="CK161" i="21" s="1"/>
  <c r="DM87" i="21"/>
  <c r="FJ52" i="21"/>
  <c r="CW52" i="21"/>
  <c r="DT103" i="21"/>
  <c r="EB150" i="21"/>
  <c r="CB94" i="21"/>
  <c r="CI94" i="21" s="1"/>
  <c r="CK94" i="21" s="1"/>
  <c r="CP94" i="21" s="1"/>
  <c r="AM71" i="21"/>
  <c r="AL71" i="21"/>
  <c r="CB70" i="21"/>
  <c r="CI70" i="21" s="1"/>
  <c r="CK70" i="21" s="1"/>
  <c r="CP70" i="21" s="1"/>
  <c r="BE86" i="21"/>
  <c r="BF86" i="21" s="1"/>
  <c r="CO86" i="21" s="1"/>
  <c r="AZ86" i="21"/>
  <c r="BF27" i="21"/>
  <c r="CK27" i="21"/>
  <c r="FI148" i="21"/>
  <c r="DD148" i="21"/>
  <c r="DD276" i="21"/>
  <c r="FI276" i="21"/>
  <c r="M313" i="21"/>
  <c r="BF313" i="21" s="1"/>
  <c r="CO313" i="21" s="1"/>
  <c r="DI313" i="21"/>
  <c r="AX313" i="21"/>
  <c r="CM313" i="21" s="1"/>
  <c r="BB313" i="21"/>
  <c r="AX430" i="21"/>
  <c r="CM430" i="21" s="1"/>
  <c r="M430" i="21"/>
  <c r="BF430" i="21" s="1"/>
  <c r="CO430" i="21" s="1"/>
  <c r="DI430" i="21"/>
  <c r="BB430" i="21"/>
  <c r="BH412" i="21"/>
  <c r="BI429" i="21"/>
  <c r="DT429" i="21"/>
  <c r="GA334" i="21"/>
  <c r="CS334" i="21" s="1"/>
  <c r="BB338" i="21"/>
  <c r="BC338" i="21" s="1"/>
  <c r="CN338" i="21" s="1"/>
  <c r="EH251" i="21"/>
  <c r="EG251" i="21"/>
  <c r="CW203" i="21"/>
  <c r="FJ203" i="21"/>
  <c r="ET81" i="21"/>
  <c r="EU81" i="21"/>
  <c r="EV81" i="21" s="1"/>
  <c r="EZ81" i="21"/>
  <c r="FG95" i="21"/>
  <c r="CU95" i="21"/>
  <c r="ES485" i="21"/>
  <c r="ER485" i="21"/>
  <c r="EW485" i="21" s="1"/>
  <c r="DM485" i="21"/>
  <c r="FI433" i="21"/>
  <c r="DD433" i="21"/>
  <c r="GA427" i="21"/>
  <c r="CS427" i="21" s="1"/>
  <c r="DT404" i="21"/>
  <c r="BI404" i="21"/>
  <c r="BF405" i="21"/>
  <c r="CO405" i="21" s="1"/>
  <c r="CB424" i="21"/>
  <c r="CI424" i="21" s="1"/>
  <c r="BF383" i="21"/>
  <c r="CO383" i="21" s="1"/>
  <c r="DM389" i="21"/>
  <c r="CI427" i="21"/>
  <c r="CK427" i="21" s="1"/>
  <c r="CP427" i="21" s="1"/>
  <c r="AX382" i="21"/>
  <c r="CM382" i="21" s="1"/>
  <c r="M382" i="21"/>
  <c r="BF382" i="21" s="1"/>
  <c r="CO382" i="21" s="1"/>
  <c r="DI382" i="21"/>
  <c r="EB401" i="21"/>
  <c r="GA401" i="21"/>
  <c r="CS401" i="21" s="1"/>
  <c r="AY368" i="21"/>
  <c r="AZ368" i="21" s="1"/>
  <c r="EL382" i="21"/>
  <c r="EK382" i="21" s="1"/>
  <c r="Y382" i="21"/>
  <c r="BB319" i="21"/>
  <c r="BC319" i="21" s="1"/>
  <c r="CN319" i="21" s="1"/>
  <c r="CX300" i="21"/>
  <c r="FI300" i="21"/>
  <c r="AY281" i="21"/>
  <c r="AZ281" i="21" s="1"/>
  <c r="FG270" i="21"/>
  <c r="DA270" i="21"/>
  <c r="M261" i="21"/>
  <c r="BF261" i="21" s="1"/>
  <c r="CO261" i="21" s="1"/>
  <c r="AX261" i="21"/>
  <c r="CM261" i="21" s="1"/>
  <c r="DI261" i="21"/>
  <c r="BC277" i="21"/>
  <c r="CN277" i="21" s="1"/>
  <c r="BH326" i="21"/>
  <c r="FG288" i="21"/>
  <c r="CU288" i="21"/>
  <c r="BI272" i="21"/>
  <c r="DT272" i="21"/>
  <c r="EL247" i="21"/>
  <c r="EK247" i="21" s="1"/>
  <c r="ET247" i="21" s="1"/>
  <c r="EU247" i="21" s="1"/>
  <c r="EV247" i="21" s="1"/>
  <c r="Y247" i="21"/>
  <c r="BI273" i="21"/>
  <c r="DT273" i="21"/>
  <c r="BH215" i="21"/>
  <c r="BJ215" i="21" s="1"/>
  <c r="AZ215" i="21"/>
  <c r="CK290" i="21"/>
  <c r="CP290" i="21" s="1"/>
  <c r="BH219" i="21"/>
  <c r="AY219" i="21"/>
  <c r="AZ219" i="21"/>
  <c r="BJ199" i="21"/>
  <c r="AY202" i="21"/>
  <c r="BH202" i="21" s="1"/>
  <c r="FI176" i="21"/>
  <c r="CX176" i="21"/>
  <c r="AU157" i="21"/>
  <c r="AZ184" i="21"/>
  <c r="AQ194" i="21"/>
  <c r="FG206" i="21"/>
  <c r="CU206" i="21"/>
  <c r="BP91" i="21"/>
  <c r="EI91" i="21" s="1"/>
  <c r="FG149" i="21"/>
  <c r="DA149" i="21"/>
  <c r="AY88" i="21"/>
  <c r="AZ88" i="21" s="1"/>
  <c r="Y122" i="21"/>
  <c r="EL122" i="21"/>
  <c r="EK122" i="21" s="1"/>
  <c r="DM132" i="21"/>
  <c r="BP94" i="21"/>
  <c r="EI94" i="21" s="1"/>
  <c r="BC211" i="21"/>
  <c r="CN211" i="21" s="1"/>
  <c r="AM90" i="21"/>
  <c r="AL90" i="21"/>
  <c r="CV85" i="21"/>
  <c r="FH85" i="21"/>
  <c r="DM26" i="21"/>
  <c r="CX57" i="21"/>
  <c r="FI57" i="21"/>
  <c r="BC26" i="21"/>
  <c r="BI473" i="21"/>
  <c r="BJ473" i="21" s="1"/>
  <c r="DT473" i="21"/>
  <c r="AY448" i="21"/>
  <c r="BH448" i="21" s="1"/>
  <c r="EU465" i="21"/>
  <c r="EV465" i="21" s="1"/>
  <c r="ET465" i="21"/>
  <c r="ET441" i="21"/>
  <c r="EU441" i="21" s="1"/>
  <c r="EV441" i="21" s="1"/>
  <c r="DI413" i="21"/>
  <c r="AX413" i="21"/>
  <c r="CM413" i="21" s="1"/>
  <c r="M413" i="21"/>
  <c r="BF413" i="21" s="1"/>
  <c r="CO413" i="21" s="1"/>
  <c r="AX431" i="21"/>
  <c r="CM431" i="21" s="1"/>
  <c r="M431" i="21"/>
  <c r="BF431" i="21" s="1"/>
  <c r="CO431" i="21" s="1"/>
  <c r="DI431" i="21"/>
  <c r="FY422" i="21"/>
  <c r="GA422" i="21" s="1"/>
  <c r="CS422" i="21" s="1"/>
  <c r="CA422" i="21"/>
  <c r="BZ422" i="21"/>
  <c r="CB422" i="21" s="1"/>
  <c r="CI422" i="21" s="1"/>
  <c r="CK422" i="21" s="1"/>
  <c r="CP422" i="21" s="1"/>
  <c r="BR422" i="21"/>
  <c r="DZ422" i="21" s="1"/>
  <c r="EB422" i="21" s="1"/>
  <c r="CU407" i="21"/>
  <c r="FG407" i="21"/>
  <c r="EB433" i="21"/>
  <c r="EH433" i="21" s="1"/>
  <c r="CA394" i="21"/>
  <c r="BR394" i="21"/>
  <c r="DZ394" i="21" s="1"/>
  <c r="EB394" i="21" s="1"/>
  <c r="BZ394" i="21"/>
  <c r="CB394" i="21" s="1"/>
  <c r="CI394" i="21" s="1"/>
  <c r="CK394" i="21" s="1"/>
  <c r="CP394" i="21" s="1"/>
  <c r="FY394" i="21"/>
  <c r="GA394" i="21" s="1"/>
  <c r="CS394" i="21" s="1"/>
  <c r="BR391" i="21"/>
  <c r="DZ391" i="21" s="1"/>
  <c r="EB391" i="21" s="1"/>
  <c r="FY391" i="21"/>
  <c r="GA391" i="21" s="1"/>
  <c r="CS391" i="21" s="1"/>
  <c r="CA391" i="21"/>
  <c r="BZ391" i="21"/>
  <c r="AL391" i="21"/>
  <c r="AY402" i="21"/>
  <c r="BH402" i="21" s="1"/>
  <c r="BR380" i="21"/>
  <c r="DZ380" i="21" s="1"/>
  <c r="EB380" i="21" s="1"/>
  <c r="CA380" i="21"/>
  <c r="FY380" i="21"/>
  <c r="BZ380" i="21"/>
  <c r="CB380" i="21" s="1"/>
  <c r="CI380" i="21" s="1"/>
  <c r="AL380" i="21"/>
  <c r="BI391" i="21"/>
  <c r="DT391" i="21"/>
  <c r="CB439" i="21"/>
  <c r="CI439" i="21" s="1"/>
  <c r="CK439" i="21" s="1"/>
  <c r="CP439" i="21" s="1"/>
  <c r="CH395" i="21"/>
  <c r="BI394" i="21"/>
  <c r="DT394" i="21"/>
  <c r="FY364" i="21"/>
  <c r="CA364" i="21"/>
  <c r="BR364" i="21"/>
  <c r="DZ364" i="21" s="1"/>
  <c r="EB364" i="21" s="1"/>
  <c r="BZ364" i="21"/>
  <c r="CB364" i="21" s="1"/>
  <c r="CI364" i="21" s="1"/>
  <c r="CK364" i="21" s="1"/>
  <c r="CP364" i="21" s="1"/>
  <c r="EL375" i="21"/>
  <c r="EK375" i="21" s="1"/>
  <c r="Y375" i="21"/>
  <c r="EG365" i="21"/>
  <c r="BI330" i="21"/>
  <c r="DT330" i="21"/>
  <c r="AX333" i="21"/>
  <c r="CM333" i="21" s="1"/>
  <c r="M333" i="21"/>
  <c r="BF333" i="21" s="1"/>
  <c r="CO333" i="21" s="1"/>
  <c r="DI333" i="21"/>
  <c r="DI357" i="21"/>
  <c r="AX357" i="21"/>
  <c r="CM357" i="21" s="1"/>
  <c r="M357" i="21"/>
  <c r="BF357" i="21" s="1"/>
  <c r="CO357" i="21" s="1"/>
  <c r="AY356" i="21"/>
  <c r="BC328" i="21"/>
  <c r="CN328" i="21" s="1"/>
  <c r="EL336" i="21"/>
  <c r="EK336" i="21" s="1"/>
  <c r="Y336" i="21"/>
  <c r="BZ342" i="21"/>
  <c r="CB342" i="21" s="1"/>
  <c r="CI342" i="21" s="1"/>
  <c r="CK342" i="21" s="1"/>
  <c r="CP342" i="21" s="1"/>
  <c r="AL342" i="21"/>
  <c r="CA342" i="21"/>
  <c r="BR342" i="21"/>
  <c r="DZ342" i="21" s="1"/>
  <c r="EB342" i="21" s="1"/>
  <c r="EG342" i="21" s="1"/>
  <c r="AY361" i="21"/>
  <c r="EB368" i="21"/>
  <c r="AZ298" i="21"/>
  <c r="BH298" i="21"/>
  <c r="CA321" i="21"/>
  <c r="BZ321" i="21"/>
  <c r="CB321" i="21" s="1"/>
  <c r="CI321" i="21" s="1"/>
  <c r="CK321" i="21" s="1"/>
  <c r="CP321" i="21" s="1"/>
  <c r="BR321" i="21"/>
  <c r="DZ321" i="21" s="1"/>
  <c r="EB321" i="21" s="1"/>
  <c r="AZ290" i="21"/>
  <c r="BH290" i="21"/>
  <c r="CU324" i="21"/>
  <c r="FG324" i="21"/>
  <c r="BI283" i="21"/>
  <c r="DT283" i="21"/>
  <c r="FG286" i="21"/>
  <c r="DA286" i="21"/>
  <c r="AL334" i="21"/>
  <c r="CA334" i="21"/>
  <c r="BZ334" i="21"/>
  <c r="CB334" i="21" s="1"/>
  <c r="CI334" i="21" s="1"/>
  <c r="CK334" i="21" s="1"/>
  <c r="CP334" i="21" s="1"/>
  <c r="BR334" i="21"/>
  <c r="DZ334" i="21" s="1"/>
  <c r="EB334" i="21" s="1"/>
  <c r="CI314" i="21"/>
  <c r="CK314" i="21" s="1"/>
  <c r="CP314" i="21" s="1"/>
  <c r="ET306" i="21"/>
  <c r="EU306" i="21" s="1"/>
  <c r="EV306" i="21" s="1"/>
  <c r="CB343" i="21"/>
  <c r="CI343" i="21" s="1"/>
  <c r="CA294" i="21"/>
  <c r="BZ294" i="21"/>
  <c r="CB294" i="21" s="1"/>
  <c r="CI294" i="21" s="1"/>
  <c r="CK294" i="21" s="1"/>
  <c r="CP294" i="21" s="1"/>
  <c r="BR294" i="21"/>
  <c r="DZ294" i="21" s="1"/>
  <c r="EB294" i="21" s="1"/>
  <c r="AL294" i="21"/>
  <c r="EB338" i="21"/>
  <c r="EH338" i="21" s="1"/>
  <c r="CB269" i="21"/>
  <c r="CI269" i="21" s="1"/>
  <c r="CK269" i="21" s="1"/>
  <c r="CP269" i="21" s="1"/>
  <c r="AX305" i="21"/>
  <c r="CM305" i="21" s="1"/>
  <c r="M305" i="21"/>
  <c r="BF305" i="21" s="1"/>
  <c r="CO305" i="21" s="1"/>
  <c r="DI305" i="21"/>
  <c r="DT206" i="21"/>
  <c r="BI206" i="21"/>
  <c r="EL236" i="21"/>
  <c r="EK236" i="21" s="1"/>
  <c r="Y236" i="21"/>
  <c r="FI210" i="21"/>
  <c r="CX210" i="21"/>
  <c r="Y264" i="21"/>
  <c r="EL264" i="21"/>
  <c r="EK264" i="21" s="1"/>
  <c r="BC205" i="21"/>
  <c r="CN205" i="21" s="1"/>
  <c r="AQ214" i="21"/>
  <c r="DM172" i="21"/>
  <c r="DR153" i="21"/>
  <c r="BI153" i="21"/>
  <c r="BJ153" i="21" s="1"/>
  <c r="ET135" i="21"/>
  <c r="EU135" i="21"/>
  <c r="EV135" i="21" s="1"/>
  <c r="AZ133" i="21"/>
  <c r="AY184" i="21"/>
  <c r="BH184" i="21" s="1"/>
  <c r="EY110" i="21"/>
  <c r="EZ110" i="21" s="1"/>
  <c r="EG99" i="21"/>
  <c r="EH99" i="21"/>
  <c r="BM149" i="21"/>
  <c r="BO149" i="21" s="1"/>
  <c r="BL149" i="21"/>
  <c r="BN149" i="21" s="1"/>
  <c r="BP149" i="21" s="1"/>
  <c r="EI149" i="21" s="1"/>
  <c r="EH149" i="21" s="1"/>
  <c r="AY106" i="21"/>
  <c r="AZ106" i="21" s="1"/>
  <c r="BC106" i="21" s="1"/>
  <c r="AV167" i="21"/>
  <c r="AW167" i="21" s="1"/>
  <c r="BC167" i="21"/>
  <c r="CN167" i="21" s="1"/>
  <c r="BH303" i="21"/>
  <c r="AY303" i="21"/>
  <c r="AZ303" i="21" s="1"/>
  <c r="CU308" i="21"/>
  <c r="FG308" i="21"/>
  <c r="BO134" i="21"/>
  <c r="BP134" i="21" s="1"/>
  <c r="EI134" i="21" s="1"/>
  <c r="EH134" i="21" s="1"/>
  <c r="CK302" i="21"/>
  <c r="CP302" i="21" s="1"/>
  <c r="AZ181" i="21"/>
  <c r="BH181" i="21"/>
  <c r="BC253" i="21"/>
  <c r="CN253" i="21" s="1"/>
  <c r="CU129" i="21"/>
  <c r="FG129" i="21"/>
  <c r="BP103" i="21"/>
  <c r="EI103" i="21" s="1"/>
  <c r="M29" i="21"/>
  <c r="DJ29" i="21"/>
  <c r="AX29" i="21"/>
  <c r="EY48" i="21"/>
  <c r="EZ48" i="21"/>
  <c r="Y84" i="21"/>
  <c r="EL84" i="21"/>
  <c r="EK84" i="21" s="1"/>
  <c r="CX65" i="21"/>
  <c r="FI65" i="21"/>
  <c r="ET71" i="21"/>
  <c r="EU71" i="21" s="1"/>
  <c r="EV71" i="21" s="1"/>
  <c r="EZ71" i="21"/>
  <c r="ET76" i="21"/>
  <c r="EU76" i="21" s="1"/>
  <c r="EV76" i="21" s="1"/>
  <c r="EZ76" i="21"/>
  <c r="BC82" i="21"/>
  <c r="CN82" i="21" s="1"/>
  <c r="FJ78" i="21"/>
  <c r="CW78" i="21"/>
  <c r="BA39" i="21"/>
  <c r="BB39" i="21" s="1"/>
  <c r="BC39" i="21" s="1"/>
  <c r="X39" i="21"/>
  <c r="DT55" i="21"/>
  <c r="BL30" i="21"/>
  <c r="BN30" i="21" s="1"/>
  <c r="BM30" i="21"/>
  <c r="BO30" i="21" s="1"/>
  <c r="EL33" i="21"/>
  <c r="EK33" i="21" s="1"/>
  <c r="Y33" i="21"/>
  <c r="DO39" i="21"/>
  <c r="DP39" i="21"/>
  <c r="BI482" i="21"/>
  <c r="BJ482" i="21" s="1"/>
  <c r="DT482" i="21"/>
  <c r="DM469" i="21"/>
  <c r="BI495" i="21"/>
  <c r="BJ495" i="21" s="1"/>
  <c r="DT495" i="21"/>
  <c r="BI439" i="21"/>
  <c r="DT439" i="21"/>
  <c r="BC430" i="21"/>
  <c r="CN430" i="21" s="1"/>
  <c r="Y466" i="21"/>
  <c r="EL466" i="21"/>
  <c r="EK466" i="21" s="1"/>
  <c r="BJ487" i="21"/>
  <c r="AY433" i="21"/>
  <c r="ET417" i="21"/>
  <c r="EU417" i="21" s="1"/>
  <c r="EV417" i="21" s="1"/>
  <c r="AY417" i="21"/>
  <c r="AZ417" i="21" s="1"/>
  <c r="DA425" i="21"/>
  <c r="FG425" i="21"/>
  <c r="EL424" i="21"/>
  <c r="EK424" i="21" s="1"/>
  <c r="Y424" i="21"/>
  <c r="DM412" i="21"/>
  <c r="AY429" i="21"/>
  <c r="BH429" i="21" s="1"/>
  <c r="DM402" i="21"/>
  <c r="CU386" i="21"/>
  <c r="FG386" i="21"/>
  <c r="CA376" i="21"/>
  <c r="FY376" i="21"/>
  <c r="GA376" i="21" s="1"/>
  <c r="CS376" i="21" s="1"/>
  <c r="T376" i="21"/>
  <c r="BZ376" i="21"/>
  <c r="CB376" i="21" s="1"/>
  <c r="CI376" i="21" s="1"/>
  <c r="CK376" i="21" s="1"/>
  <c r="CP376" i="21" s="1"/>
  <c r="BR376" i="21"/>
  <c r="DZ376" i="21" s="1"/>
  <c r="EB376" i="21" s="1"/>
  <c r="ET399" i="21"/>
  <c r="EU399" i="21" s="1"/>
  <c r="EV399" i="21" s="1"/>
  <c r="AZ386" i="21"/>
  <c r="AX361" i="21"/>
  <c r="CM361" i="21" s="1"/>
  <c r="M361" i="21"/>
  <c r="BF361" i="21" s="1"/>
  <c r="CO361" i="21" s="1"/>
  <c r="DI361" i="21"/>
  <c r="CA353" i="21"/>
  <c r="BZ353" i="21"/>
  <c r="BR353" i="21"/>
  <c r="DZ353" i="21" s="1"/>
  <c r="EB353" i="21" s="1"/>
  <c r="EH353" i="21" s="1"/>
  <c r="BC333" i="21"/>
  <c r="CN333" i="21" s="1"/>
  <c r="BH342" i="21"/>
  <c r="DT321" i="21"/>
  <c r="BI321" i="21"/>
  <c r="BJ321" i="21" s="1"/>
  <c r="AY374" i="21"/>
  <c r="FY312" i="21"/>
  <c r="GA312" i="21" s="1"/>
  <c r="CS312" i="21" s="1"/>
  <c r="CA312" i="21"/>
  <c r="BZ312" i="21"/>
  <c r="CB312" i="21" s="1"/>
  <c r="CI312" i="21" s="1"/>
  <c r="CK312" i="21" s="1"/>
  <c r="CP312" i="21" s="1"/>
  <c r="BR312" i="21"/>
  <c r="DZ312" i="21" s="1"/>
  <c r="EB312" i="21" s="1"/>
  <c r="AL312" i="21"/>
  <c r="T312" i="21"/>
  <c r="EL326" i="21"/>
  <c r="EK326" i="21" s="1"/>
  <c r="Y326" i="21"/>
  <c r="BF298" i="21"/>
  <c r="CO298" i="21" s="1"/>
  <c r="CI313" i="21"/>
  <c r="FY254" i="21"/>
  <c r="GA254" i="21" s="1"/>
  <c r="CS254" i="21" s="1"/>
  <c r="CA254" i="21"/>
  <c r="BZ254" i="21"/>
  <c r="CB254" i="21" s="1"/>
  <c r="CI254" i="21" s="1"/>
  <c r="CK254" i="21" s="1"/>
  <c r="CP254" i="21" s="1"/>
  <c r="BR254" i="21"/>
  <c r="DZ254" i="21" s="1"/>
  <c r="EB254" i="21" s="1"/>
  <c r="AL254" i="21"/>
  <c r="BH363" i="21"/>
  <c r="AZ363" i="21"/>
  <c r="EH277" i="21"/>
  <c r="DA297" i="21"/>
  <c r="FG297" i="21"/>
  <c r="BR202" i="21"/>
  <c r="DZ202" i="21" s="1"/>
  <c r="EB202" i="21" s="1"/>
  <c r="BZ202" i="21"/>
  <c r="FY202" i="21"/>
  <c r="GA202" i="21" s="1"/>
  <c r="CS202" i="21" s="1"/>
  <c r="AL202" i="21"/>
  <c r="CA202" i="21"/>
  <c r="DT252" i="21"/>
  <c r="BI252" i="21"/>
  <c r="BJ252" i="21" s="1"/>
  <c r="GA255" i="21"/>
  <c r="CS255" i="21" s="1"/>
  <c r="DA269" i="21"/>
  <c r="FG269" i="21"/>
  <c r="AY182" i="21"/>
  <c r="AZ182" i="21" s="1"/>
  <c r="CB281" i="21"/>
  <c r="CI281" i="21" s="1"/>
  <c r="CK281" i="21" s="1"/>
  <c r="CP281" i="21" s="1"/>
  <c r="EL180" i="21"/>
  <c r="EK180" i="21" s="1"/>
  <c r="Y180" i="21"/>
  <c r="EU239" i="21"/>
  <c r="EV239" i="21" s="1"/>
  <c r="ET239" i="21"/>
  <c r="AV158" i="21"/>
  <c r="AW158" i="21" s="1"/>
  <c r="BC158" i="21"/>
  <c r="DD142" i="21"/>
  <c r="FI142" i="21"/>
  <c r="EH239" i="21"/>
  <c r="EG239" i="21"/>
  <c r="ET113" i="21"/>
  <c r="EU113" i="21"/>
  <c r="EV113" i="21" s="1"/>
  <c r="EZ113" i="21"/>
  <c r="ED199" i="21"/>
  <c r="CR199" i="21" s="1"/>
  <c r="DJ137" i="21"/>
  <c r="AX137" i="21"/>
  <c r="CM137" i="21" s="1"/>
  <c r="BB137" i="21"/>
  <c r="BC138" i="21"/>
  <c r="CN138" i="21" s="1"/>
  <c r="DM171" i="21"/>
  <c r="BB100" i="21"/>
  <c r="BC100" i="21" s="1"/>
  <c r="CN100" i="21" s="1"/>
  <c r="CB97" i="21"/>
  <c r="CI97" i="21" s="1"/>
  <c r="CK97" i="21" s="1"/>
  <c r="CP97" i="21" s="1"/>
  <c r="DY155" i="21"/>
  <c r="EH155" i="21" s="1"/>
  <c r="BZ155" i="21"/>
  <c r="CB155" i="21" s="1"/>
  <c r="CI155" i="21" s="1"/>
  <c r="CK155" i="21" s="1"/>
  <c r="AM85" i="21"/>
  <c r="AL85" i="21"/>
  <c r="AZ126" i="21"/>
  <c r="ET70" i="21"/>
  <c r="EU70" i="21" s="1"/>
  <c r="EV70" i="21" s="1"/>
  <c r="AM25" i="21"/>
  <c r="AL25" i="21"/>
  <c r="DT150" i="21"/>
  <c r="CW84" i="21"/>
  <c r="FJ84" i="21"/>
  <c r="AZ121" i="21"/>
  <c r="EY74" i="21"/>
  <c r="EZ74" i="21" s="1"/>
  <c r="DP25" i="21"/>
  <c r="DO25" i="21"/>
  <c r="DM496" i="21"/>
  <c r="BJ483" i="21"/>
  <c r="BC475" i="21"/>
  <c r="ED486" i="21"/>
  <c r="DP486" i="21"/>
  <c r="DO486" i="21"/>
  <c r="DQ486" i="21" s="1"/>
  <c r="EU481" i="21"/>
  <c r="EV481" i="21" s="1"/>
  <c r="ET481" i="21"/>
  <c r="ED483" i="21"/>
  <c r="BZ421" i="21"/>
  <c r="CB421" i="21" s="1"/>
  <c r="CI421" i="21" s="1"/>
  <c r="BR421" i="21"/>
  <c r="DZ421" i="21" s="1"/>
  <c r="EB421" i="21" s="1"/>
  <c r="EG421" i="21" s="1"/>
  <c r="CA421" i="21"/>
  <c r="AL421" i="21"/>
  <c r="FY421" i="21"/>
  <c r="GA421" i="21" s="1"/>
  <c r="CS421" i="21" s="1"/>
  <c r="AY441" i="21"/>
  <c r="AY423" i="21"/>
  <c r="AZ423" i="21" s="1"/>
  <c r="AY392" i="21"/>
  <c r="CE417" i="21"/>
  <c r="ET410" i="21"/>
  <c r="EU410" i="21"/>
  <c r="EV410" i="21" s="1"/>
  <c r="CI400" i="21"/>
  <c r="CK400" i="21" s="1"/>
  <c r="CP400" i="21" s="1"/>
  <c r="DA400" i="21"/>
  <c r="FG400" i="21"/>
  <c r="DT388" i="21"/>
  <c r="BI388" i="21"/>
  <c r="BJ388" i="21" s="1"/>
  <c r="AX341" i="21"/>
  <c r="CM341" i="21" s="1"/>
  <c r="M341" i="21"/>
  <c r="BF341" i="21" s="1"/>
  <c r="CO341" i="21" s="1"/>
  <c r="DI341" i="21"/>
  <c r="ET364" i="21"/>
  <c r="EU364" i="21" s="1"/>
  <c r="EV364" i="21" s="1"/>
  <c r="FY356" i="21"/>
  <c r="GA356" i="21" s="1"/>
  <c r="CS356" i="21" s="1"/>
  <c r="CA356" i="21"/>
  <c r="BZ356" i="21"/>
  <c r="BR356" i="21"/>
  <c r="DZ356" i="21" s="1"/>
  <c r="EB356" i="21" s="1"/>
  <c r="EB396" i="21"/>
  <c r="DT338" i="21"/>
  <c r="BI338" i="21"/>
  <c r="BJ338" i="21" s="1"/>
  <c r="BI322" i="21"/>
  <c r="DT322" i="21"/>
  <c r="DT331" i="21"/>
  <c r="BI331" i="21"/>
  <c r="BF350" i="21"/>
  <c r="CO350" i="21" s="1"/>
  <c r="CE265" i="21"/>
  <c r="ET300" i="21"/>
  <c r="EU300" i="21"/>
  <c r="EV300" i="21" s="1"/>
  <c r="BR273" i="21"/>
  <c r="DZ273" i="21" s="1"/>
  <c r="EB273" i="21" s="1"/>
  <c r="CA273" i="21"/>
  <c r="BZ273" i="21"/>
  <c r="CB273" i="21" s="1"/>
  <c r="CI273" i="21" s="1"/>
  <c r="CK273" i="21" s="1"/>
  <c r="CP273" i="21" s="1"/>
  <c r="FY273" i="21"/>
  <c r="GA273" i="21" s="1"/>
  <c r="CS273" i="21" s="1"/>
  <c r="AL273" i="21"/>
  <c r="AX331" i="21"/>
  <c r="CM331" i="21" s="1"/>
  <c r="DI331" i="21"/>
  <c r="M331" i="21"/>
  <c r="BF331" i="21" s="1"/>
  <c r="CO331" i="21" s="1"/>
  <c r="BB331" i="21"/>
  <c r="CA266" i="21"/>
  <c r="BZ266" i="21"/>
  <c r="CB266" i="21" s="1"/>
  <c r="CI266" i="21" s="1"/>
  <c r="CK266" i="21" s="1"/>
  <c r="CP266" i="21" s="1"/>
  <c r="BR266" i="21"/>
  <c r="DZ266" i="21" s="1"/>
  <c r="EB266" i="21" s="1"/>
  <c r="EG266" i="21" s="1"/>
  <c r="FY266" i="21"/>
  <c r="GA266" i="21" s="1"/>
  <c r="CS266" i="21" s="1"/>
  <c r="AY295" i="21"/>
  <c r="AZ295" i="21" s="1"/>
  <c r="BH223" i="21"/>
  <c r="AZ223" i="21"/>
  <c r="AY272" i="21"/>
  <c r="BH272" i="21" s="1"/>
  <c r="CE315" i="21"/>
  <c r="DD277" i="21"/>
  <c r="FI277" i="21"/>
  <c r="BB223" i="21"/>
  <c r="FG311" i="21"/>
  <c r="CU311" i="21"/>
  <c r="AY233" i="21"/>
  <c r="BH233" i="21" s="1"/>
  <c r="BJ233" i="21" s="1"/>
  <c r="FY206" i="21"/>
  <c r="GA206" i="21" s="1"/>
  <c r="CS206" i="21" s="1"/>
  <c r="BZ206" i="21"/>
  <c r="AL206" i="21"/>
  <c r="CA206" i="21"/>
  <c r="BR206" i="21"/>
  <c r="DZ206" i="21" s="1"/>
  <c r="EB206" i="21" s="1"/>
  <c r="AJ206" i="21"/>
  <c r="T206" i="21"/>
  <c r="DT152" i="21"/>
  <c r="BP148" i="21"/>
  <c r="EI148" i="21" s="1"/>
  <c r="EH148" i="21" s="1"/>
  <c r="Y217" i="21"/>
  <c r="EL217" i="21"/>
  <c r="EK217" i="21" s="1"/>
  <c r="DM191" i="21"/>
  <c r="BH209" i="21"/>
  <c r="AZ209" i="21"/>
  <c r="AZ141" i="21"/>
  <c r="CA104" i="21"/>
  <c r="BZ104" i="21"/>
  <c r="CB104" i="21" s="1"/>
  <c r="CI104" i="21" s="1"/>
  <c r="CK104" i="21" s="1"/>
  <c r="BR104" i="21"/>
  <c r="DZ104" i="21" s="1"/>
  <c r="EB104" i="21" s="1"/>
  <c r="O108" i="21"/>
  <c r="BK104" i="21"/>
  <c r="BE104" i="21"/>
  <c r="BF104" i="21" s="1"/>
  <c r="FX104" i="21"/>
  <c r="GA104" i="21" s="1"/>
  <c r="EE104" i="21"/>
  <c r="AT104" i="21"/>
  <c r="DU104" i="21" s="1"/>
  <c r="T104" i="21"/>
  <c r="BL93" i="21"/>
  <c r="BN93" i="21" s="1"/>
  <c r="BM93" i="21"/>
  <c r="DT192" i="21"/>
  <c r="BI192" i="21"/>
  <c r="BH193" i="21"/>
  <c r="AZ193" i="21"/>
  <c r="DM216" i="21"/>
  <c r="ES216" i="21"/>
  <c r="ER216" i="21"/>
  <c r="BZ105" i="21"/>
  <c r="CB105" i="21" s="1"/>
  <c r="CI105" i="21" s="1"/>
  <c r="CK105" i="21" s="1"/>
  <c r="T105" i="21"/>
  <c r="BK105" i="21"/>
  <c r="BE105" i="21"/>
  <c r="BF105" i="21" s="1"/>
  <c r="AN105" i="21"/>
  <c r="AQ105" i="21" s="1"/>
  <c r="FX105" i="21"/>
  <c r="GA105" i="21" s="1"/>
  <c r="AT105" i="21"/>
  <c r="DU105" i="21" s="1"/>
  <c r="EM105" i="21" s="1"/>
  <c r="EP105" i="21" s="1"/>
  <c r="EQ105" i="21" s="1"/>
  <c r="DJ99" i="21"/>
  <c r="EY99" i="21" s="1"/>
  <c r="M99" i="21"/>
  <c r="AX99" i="21"/>
  <c r="BB99" i="21"/>
  <c r="BF47" i="21"/>
  <c r="CK47" i="21"/>
  <c r="CB80" i="21"/>
  <c r="CI80" i="21" s="1"/>
  <c r="CK80" i="21" s="1"/>
  <c r="CP80" i="21" s="1"/>
  <c r="AY65" i="21"/>
  <c r="AZ65" i="21" s="1"/>
  <c r="AM61" i="21"/>
  <c r="AL61" i="21"/>
  <c r="CK36" i="21"/>
  <c r="BC44" i="21"/>
  <c r="AM64" i="21"/>
  <c r="AL64" i="21"/>
  <c r="BC49" i="21"/>
  <c r="EG70" i="21"/>
  <c r="EH70" i="21"/>
  <c r="Y44" i="21"/>
  <c r="EL44" i="21"/>
  <c r="EK44" i="21" s="1"/>
  <c r="EL26" i="21"/>
  <c r="EK26" i="21" s="1"/>
  <c r="Y26" i="21"/>
  <c r="CB53" i="21"/>
  <c r="CI53" i="21" s="1"/>
  <c r="CK53" i="21" s="1"/>
  <c r="CP53" i="21" s="1"/>
  <c r="ER491" i="21"/>
  <c r="DM491" i="21"/>
  <c r="BJ468" i="21"/>
  <c r="DU490" i="21"/>
  <c r="EM490" i="21" s="1"/>
  <c r="EP490" i="21" s="1"/>
  <c r="EQ490" i="21" s="1"/>
  <c r="DI447" i="21"/>
  <c r="M447" i="21"/>
  <c r="BF447" i="21" s="1"/>
  <c r="CO447" i="21" s="1"/>
  <c r="BB447" i="21"/>
  <c r="AX447" i="21"/>
  <c r="CM447" i="21" s="1"/>
  <c r="DP474" i="21"/>
  <c r="DO474" i="21"/>
  <c r="DQ474" i="21" s="1"/>
  <c r="ED474" i="21"/>
  <c r="DI442" i="21"/>
  <c r="AX442" i="21"/>
  <c r="CM442" i="21" s="1"/>
  <c r="M442" i="21"/>
  <c r="BF442" i="21" s="1"/>
  <c r="CO442" i="21" s="1"/>
  <c r="DT400" i="21"/>
  <c r="BI400" i="21"/>
  <c r="T411" i="21"/>
  <c r="FY411" i="21"/>
  <c r="GA411" i="21" s="1"/>
  <c r="CS411" i="21" s="1"/>
  <c r="CA411" i="21"/>
  <c r="BZ411" i="21"/>
  <c r="CB411" i="21" s="1"/>
  <c r="CI411" i="21" s="1"/>
  <c r="CK411" i="21" s="1"/>
  <c r="CP411" i="21" s="1"/>
  <c r="BR411" i="21"/>
  <c r="DZ411" i="21" s="1"/>
  <c r="EB411" i="21" s="1"/>
  <c r="FY423" i="21"/>
  <c r="GA423" i="21" s="1"/>
  <c r="CS423" i="21" s="1"/>
  <c r="CA423" i="21"/>
  <c r="BZ423" i="21"/>
  <c r="CB423" i="21" s="1"/>
  <c r="CI423" i="21" s="1"/>
  <c r="CK423" i="21" s="1"/>
  <c r="CP423" i="21" s="1"/>
  <c r="BR423" i="21"/>
  <c r="DZ423" i="21" s="1"/>
  <c r="EB423" i="21" s="1"/>
  <c r="EH423" i="21" s="1"/>
  <c r="EG423" i="21"/>
  <c r="FY415" i="21"/>
  <c r="GA415" i="21" s="1"/>
  <c r="CS415" i="21" s="1"/>
  <c r="AY394" i="21"/>
  <c r="AZ394" i="21" s="1"/>
  <c r="ET394" i="21"/>
  <c r="EU394" i="21" s="1"/>
  <c r="EV394" i="21" s="1"/>
  <c r="EL383" i="21"/>
  <c r="EK383" i="21" s="1"/>
  <c r="Y383" i="21"/>
  <c r="BR377" i="21"/>
  <c r="DZ377" i="21" s="1"/>
  <c r="EB377" i="21" s="1"/>
  <c r="EH377" i="21" s="1"/>
  <c r="FY377" i="21"/>
  <c r="AL377" i="21"/>
  <c r="CA377" i="21"/>
  <c r="BZ377" i="21"/>
  <c r="CB377" i="21" s="1"/>
  <c r="CI377" i="21" s="1"/>
  <c r="CK377" i="21" s="1"/>
  <c r="CP377" i="21" s="1"/>
  <c r="M349" i="21"/>
  <c r="BF349" i="21" s="1"/>
  <c r="CO349" i="21" s="1"/>
  <c r="DI349" i="21"/>
  <c r="AX349" i="21"/>
  <c r="CM349" i="21" s="1"/>
  <c r="EH341" i="21"/>
  <c r="EG341" i="21"/>
  <c r="AY330" i="21"/>
  <c r="DI354" i="21"/>
  <c r="AX354" i="21"/>
  <c r="CM354" i="21" s="1"/>
  <c r="M354" i="21"/>
  <c r="BF354" i="21" s="1"/>
  <c r="CO354" i="21" s="1"/>
  <c r="BF314" i="21"/>
  <c r="CO314" i="21" s="1"/>
  <c r="ET365" i="21"/>
  <c r="EU365" i="21" s="1"/>
  <c r="EV365" i="21" s="1"/>
  <c r="CI315" i="21"/>
  <c r="CK315" i="21" s="1"/>
  <c r="CP315" i="21" s="1"/>
  <c r="EU315" i="21"/>
  <c r="EV315" i="21" s="1"/>
  <c r="AY334" i="21"/>
  <c r="ET284" i="21"/>
  <c r="EU284" i="21" s="1"/>
  <c r="EV284" i="21" s="1"/>
  <c r="EH266" i="21"/>
  <c r="CE309" i="21"/>
  <c r="CA279" i="21"/>
  <c r="BZ279" i="21"/>
  <c r="CB279" i="21" s="1"/>
  <c r="CI279" i="21" s="1"/>
  <c r="CK279" i="21" s="1"/>
  <c r="CP279" i="21" s="1"/>
  <c r="BR279" i="21"/>
  <c r="DZ279" i="21" s="1"/>
  <c r="EB279" i="21" s="1"/>
  <c r="FY279" i="21"/>
  <c r="GA279" i="21" s="1"/>
  <c r="CS279" i="21" s="1"/>
  <c r="AL279" i="21"/>
  <c r="DT279" i="21"/>
  <c r="BI279" i="21"/>
  <c r="BJ279" i="21" s="1"/>
  <c r="EU267" i="21"/>
  <c r="EV267" i="21" s="1"/>
  <c r="ET267" i="21"/>
  <c r="EH238" i="21"/>
  <c r="EG238" i="21"/>
  <c r="P205" i="21"/>
  <c r="M205" i="21"/>
  <c r="BF205" i="21" s="1"/>
  <c r="CO205" i="21" s="1"/>
  <c r="DI205" i="21"/>
  <c r="AX205" i="21"/>
  <c r="CM205" i="21" s="1"/>
  <c r="CX232" i="21"/>
  <c r="FI232" i="21"/>
  <c r="DT238" i="21"/>
  <c r="BI238" i="21"/>
  <c r="FI174" i="21"/>
  <c r="DD174" i="21"/>
  <c r="BM151" i="21"/>
  <c r="BL151" i="21"/>
  <c r="BN151" i="21" s="1"/>
  <c r="AT192" i="21"/>
  <c r="DU192" i="21" s="1"/>
  <c r="AJ192" i="21"/>
  <c r="AL172" i="21"/>
  <c r="EE172" i="21"/>
  <c r="ET207" i="21"/>
  <c r="FG247" i="21"/>
  <c r="DA247" i="21"/>
  <c r="DT199" i="21"/>
  <c r="GA198" i="21"/>
  <c r="CS198" i="21" s="1"/>
  <c r="BH210" i="21"/>
  <c r="AZ210" i="21"/>
  <c r="DM180" i="21"/>
  <c r="CB253" i="21"/>
  <c r="CI253" i="21" s="1"/>
  <c r="CK253" i="21" s="1"/>
  <c r="CP253" i="21" s="1"/>
  <c r="EL169" i="21"/>
  <c r="EK169" i="21" s="1"/>
  <c r="Y169" i="21"/>
  <c r="CI150" i="21"/>
  <c r="CK150" i="21" s="1"/>
  <c r="CP150" i="21" s="1"/>
  <c r="CB100" i="21"/>
  <c r="CI100" i="21" s="1"/>
  <c r="CK100" i="21" s="1"/>
  <c r="CP100" i="21" s="1"/>
  <c r="BC152" i="21"/>
  <c r="CN152" i="21" s="1"/>
  <c r="BK64" i="21"/>
  <c r="CA64" i="21"/>
  <c r="BZ64" i="21"/>
  <c r="CB64" i="21" s="1"/>
  <c r="CI64" i="21" s="1"/>
  <c r="CK64" i="21" s="1"/>
  <c r="CP64" i="21" s="1"/>
  <c r="BR64" i="21"/>
  <c r="DZ64" i="21" s="1"/>
  <c r="EB64" i="21" s="1"/>
  <c r="FX64" i="21"/>
  <c r="GA64" i="21" s="1"/>
  <c r="CS64" i="21" s="1"/>
  <c r="EE64" i="21"/>
  <c r="Y167" i="21"/>
  <c r="DN167" i="21" s="1"/>
  <c r="EL167" i="21"/>
  <c r="EK167" i="21" s="1"/>
  <c r="EM167" i="21" s="1"/>
  <c r="EP167" i="21" s="1"/>
  <c r="EQ167" i="21" s="1"/>
  <c r="FI132" i="21"/>
  <c r="CX132" i="21"/>
  <c r="AY134" i="21"/>
  <c r="ED190" i="21"/>
  <c r="CR190" i="21" s="1"/>
  <c r="DM141" i="21"/>
  <c r="FH130" i="21"/>
  <c r="CV130" i="21"/>
  <c r="ET99" i="21"/>
  <c r="EU99" i="21" s="1"/>
  <c r="EV99" i="21" s="1"/>
  <c r="EZ99" i="21"/>
  <c r="FI369" i="21"/>
  <c r="DD369" i="21"/>
  <c r="AM75" i="21"/>
  <c r="AL75" i="21"/>
  <c r="BO69" i="21"/>
  <c r="EL40" i="21"/>
  <c r="EK40" i="21" s="1"/>
  <c r="Y40" i="21"/>
  <c r="Y58" i="21"/>
  <c r="EL58" i="21"/>
  <c r="EK58" i="21" s="1"/>
  <c r="DM55" i="21"/>
  <c r="BL65" i="21"/>
  <c r="BN65" i="21" s="1"/>
  <c r="BM65" i="21"/>
  <c r="BO65" i="21" s="1"/>
  <c r="CB40" i="21"/>
  <c r="CI40" i="21" s="1"/>
  <c r="CK40" i="21" s="1"/>
  <c r="DO47" i="21"/>
  <c r="DP47" i="21"/>
  <c r="BO53" i="21"/>
  <c r="BP53" i="21" s="1"/>
  <c r="EI53" i="21" s="1"/>
  <c r="EL77" i="21"/>
  <c r="EK77" i="21" s="1"/>
  <c r="Y77" i="21"/>
  <c r="BP47" i="21"/>
  <c r="EI47" i="21" s="1"/>
  <c r="AL26" i="21"/>
  <c r="AM26" i="21"/>
  <c r="ER484" i="21"/>
  <c r="DM484" i="21"/>
  <c r="ES484" i="21"/>
  <c r="EW484" i="21" s="1"/>
  <c r="EM465" i="21"/>
  <c r="EP465" i="21" s="1"/>
  <c r="EQ465" i="21" s="1"/>
  <c r="AY440" i="21"/>
  <c r="ER474" i="21"/>
  <c r="DT434" i="21"/>
  <c r="BI434" i="21"/>
  <c r="CU411" i="21"/>
  <c r="FG411" i="21"/>
  <c r="BI430" i="21"/>
  <c r="BJ430" i="21" s="1"/>
  <c r="DT430" i="21"/>
  <c r="BH432" i="21"/>
  <c r="BJ432" i="21" s="1"/>
  <c r="AZ432" i="21"/>
  <c r="AY432" i="21"/>
  <c r="AX437" i="21"/>
  <c r="CM437" i="21" s="1"/>
  <c r="DI437" i="21"/>
  <c r="M437" i="21"/>
  <c r="BF437" i="21" s="1"/>
  <c r="CO437" i="21" s="1"/>
  <c r="CA420" i="21"/>
  <c r="BZ420" i="21"/>
  <c r="CB420" i="21" s="1"/>
  <c r="CI420" i="21" s="1"/>
  <c r="CK420" i="21" s="1"/>
  <c r="CP420" i="21" s="1"/>
  <c r="BR420" i="21"/>
  <c r="DZ420" i="21" s="1"/>
  <c r="EB420" i="21" s="1"/>
  <c r="EH420" i="21" s="1"/>
  <c r="FY420" i="21"/>
  <c r="GA420" i="21" s="1"/>
  <c r="CS420" i="21" s="1"/>
  <c r="AX435" i="21"/>
  <c r="CM435" i="21" s="1"/>
  <c r="DI435" i="21"/>
  <c r="M435" i="21"/>
  <c r="BF435" i="21" s="1"/>
  <c r="CO435" i="21" s="1"/>
  <c r="DA427" i="21"/>
  <c r="FG427" i="21"/>
  <c r="DT387" i="21"/>
  <c r="BI387" i="21"/>
  <c r="CA387" i="21"/>
  <c r="AL387" i="21"/>
  <c r="BZ387" i="21"/>
  <c r="CB387" i="21" s="1"/>
  <c r="CI387" i="21" s="1"/>
  <c r="CK387" i="21" s="1"/>
  <c r="CP387" i="21" s="1"/>
  <c r="BR387" i="21"/>
  <c r="DZ387" i="21" s="1"/>
  <c r="EB387" i="21" s="1"/>
  <c r="T387" i="21"/>
  <c r="BH378" i="21"/>
  <c r="AZ378" i="21"/>
  <c r="AX369" i="21"/>
  <c r="CM369" i="21" s="1"/>
  <c r="M369" i="21"/>
  <c r="BF369" i="21" s="1"/>
  <c r="CO369" i="21" s="1"/>
  <c r="DI369" i="21"/>
  <c r="CX344" i="21"/>
  <c r="FI344" i="21"/>
  <c r="EL360" i="21"/>
  <c r="EK360" i="21" s="1"/>
  <c r="Y360" i="21"/>
  <c r="BR329" i="21"/>
  <c r="DZ329" i="21" s="1"/>
  <c r="EB329" i="21" s="1"/>
  <c r="FY329" i="21"/>
  <c r="GA329" i="21" s="1"/>
  <c r="CS329" i="21" s="1"/>
  <c r="AL329" i="21"/>
  <c r="CA329" i="21"/>
  <c r="BZ329" i="21"/>
  <c r="CB329" i="21" s="1"/>
  <c r="CI329" i="21" s="1"/>
  <c r="CK329" i="21" s="1"/>
  <c r="CP329" i="21" s="1"/>
  <c r="M343" i="21"/>
  <c r="BF343" i="21" s="1"/>
  <c r="CO343" i="21" s="1"/>
  <c r="BB343" i="21"/>
  <c r="BC343" i="21" s="1"/>
  <c r="CN343" i="21" s="1"/>
  <c r="AX343" i="21"/>
  <c r="CM343" i="21" s="1"/>
  <c r="DI343" i="21"/>
  <c r="BI355" i="21"/>
  <c r="BJ355" i="21" s="1"/>
  <c r="DT355" i="21"/>
  <c r="FI333" i="21"/>
  <c r="CX333" i="21"/>
  <c r="AY318" i="21"/>
  <c r="ET312" i="21"/>
  <c r="EU312" i="21" s="1"/>
  <c r="EV312" i="21" s="1"/>
  <c r="DT296" i="21"/>
  <c r="BI296" i="21"/>
  <c r="CU283" i="21"/>
  <c r="FG283" i="21"/>
  <c r="BJ320" i="21"/>
  <c r="AY278" i="21"/>
  <c r="BH278" i="21" s="1"/>
  <c r="BJ278" i="21" s="1"/>
  <c r="BF284" i="21"/>
  <c r="CO284" i="21" s="1"/>
  <c r="EL299" i="21"/>
  <c r="EK299" i="21" s="1"/>
  <c r="Y299" i="21"/>
  <c r="AZ266" i="21"/>
  <c r="BB260" i="21"/>
  <c r="BC260" i="21" s="1"/>
  <c r="CN260" i="21" s="1"/>
  <c r="AZ287" i="21"/>
  <c r="CI278" i="21"/>
  <c r="CK278" i="21" s="1"/>
  <c r="CP278" i="21" s="1"/>
  <c r="FG238" i="21"/>
  <c r="CU238" i="21"/>
  <c r="DI200" i="21"/>
  <c r="AX200" i="21"/>
  <c r="CM200" i="21" s="1"/>
  <c r="P200" i="21"/>
  <c r="DY200" i="21" s="1"/>
  <c r="EH200" i="21" s="1"/>
  <c r="M200" i="21"/>
  <c r="BF200" i="21" s="1"/>
  <c r="CO200" i="21" s="1"/>
  <c r="BB200" i="21"/>
  <c r="EH231" i="21"/>
  <c r="EG231" i="21"/>
  <c r="BH230" i="21"/>
  <c r="BJ230" i="21" s="1"/>
  <c r="DI237" i="21"/>
  <c r="AX237" i="21"/>
  <c r="CM237" i="21" s="1"/>
  <c r="M237" i="21"/>
  <c r="BF237" i="21" s="1"/>
  <c r="CO237" i="21" s="1"/>
  <c r="FY255" i="21"/>
  <c r="CA255" i="21"/>
  <c r="BR255" i="21"/>
  <c r="DZ255" i="21" s="1"/>
  <c r="EB255" i="21" s="1"/>
  <c r="EH255" i="21" s="1"/>
  <c r="BZ255" i="21"/>
  <c r="CB255" i="21" s="1"/>
  <c r="CI255" i="21" s="1"/>
  <c r="CK255" i="21" s="1"/>
  <c r="CP255" i="21" s="1"/>
  <c r="AL255" i="21"/>
  <c r="DM214" i="21"/>
  <c r="BJ166" i="21"/>
  <c r="CE267" i="21"/>
  <c r="AJ213" i="21"/>
  <c r="AT213" i="21"/>
  <c r="DD225" i="21"/>
  <c r="FI225" i="21"/>
  <c r="BC118" i="21"/>
  <c r="CN118" i="21" s="1"/>
  <c r="EU150" i="21"/>
  <c r="EV150" i="21" s="1"/>
  <c r="ET150" i="21"/>
  <c r="FI129" i="21"/>
  <c r="CX129" i="21"/>
  <c r="BC131" i="21"/>
  <c r="CN131" i="21" s="1"/>
  <c r="CU93" i="21"/>
  <c r="FG93" i="21"/>
  <c r="DM93" i="21"/>
  <c r="BM52" i="21"/>
  <c r="BL52" i="21"/>
  <c r="BN52" i="21" s="1"/>
  <c r="DT76" i="21"/>
  <c r="BM78" i="21"/>
  <c r="BL78" i="21"/>
  <c r="BN78" i="21" s="1"/>
  <c r="Y74" i="21"/>
  <c r="EL74" i="21"/>
  <c r="EK74" i="21" s="1"/>
  <c r="DM49" i="21"/>
  <c r="FI73" i="21"/>
  <c r="CX73" i="21"/>
  <c r="BO47" i="21"/>
  <c r="EL494" i="21"/>
  <c r="EK494" i="21" s="1"/>
  <c r="EM494" i="21" s="1"/>
  <c r="EP494" i="21" s="1"/>
  <c r="EQ494" i="21" s="1"/>
  <c r="DN494" i="21" s="1"/>
  <c r="Y494" i="21"/>
  <c r="DP477" i="21"/>
  <c r="ED477" i="21"/>
  <c r="DO477" i="21"/>
  <c r="BJ436" i="21"/>
  <c r="ES474" i="21"/>
  <c r="AY445" i="21"/>
  <c r="BI437" i="21"/>
  <c r="BJ437" i="21" s="1"/>
  <c r="DT437" i="21"/>
  <c r="M421" i="21"/>
  <c r="BF421" i="21" s="1"/>
  <c r="CO421" i="21" s="1"/>
  <c r="DI421" i="21"/>
  <c r="AX421" i="21"/>
  <c r="CM421" i="21" s="1"/>
  <c r="CB432" i="21"/>
  <c r="CI432" i="21" s="1"/>
  <c r="AY396" i="21"/>
  <c r="BH396" i="21" s="1"/>
  <c r="AY414" i="21"/>
  <c r="AY403" i="21"/>
  <c r="ET414" i="21"/>
  <c r="EU414" i="21" s="1"/>
  <c r="EV414" i="21" s="1"/>
  <c r="DT416" i="21"/>
  <c r="BI416" i="21"/>
  <c r="AZ427" i="21"/>
  <c r="BH427" i="21"/>
  <c r="BH407" i="21"/>
  <c r="EG377" i="21"/>
  <c r="CU399" i="21"/>
  <c r="FG399" i="21"/>
  <c r="BR384" i="21"/>
  <c r="DZ384" i="21" s="1"/>
  <c r="EB384" i="21" s="1"/>
  <c r="CA384" i="21"/>
  <c r="BZ384" i="21"/>
  <c r="CB384" i="21" s="1"/>
  <c r="CI384" i="21" s="1"/>
  <c r="CK384" i="21" s="1"/>
  <c r="CP384" i="21" s="1"/>
  <c r="T384" i="21"/>
  <c r="DT386" i="21"/>
  <c r="BI386" i="21"/>
  <c r="BJ386" i="21" s="1"/>
  <c r="CE363" i="21"/>
  <c r="EG371" i="21"/>
  <c r="BI345" i="21"/>
  <c r="DT345" i="21"/>
  <c r="AY329" i="21"/>
  <c r="BH329" i="21" s="1"/>
  <c r="BJ329" i="21" s="1"/>
  <c r="FG359" i="21"/>
  <c r="DA359" i="21"/>
  <c r="FI372" i="21"/>
  <c r="CX372" i="21"/>
  <c r="BF342" i="21"/>
  <c r="CO342" i="21" s="1"/>
  <c r="CX326" i="21"/>
  <c r="FI326" i="21"/>
  <c r="BZ306" i="21"/>
  <c r="CB306" i="21" s="1"/>
  <c r="CI306" i="21" s="1"/>
  <c r="CK306" i="21" s="1"/>
  <c r="CP306" i="21" s="1"/>
  <c r="CA306" i="21"/>
  <c r="T306" i="21"/>
  <c r="BR306" i="21"/>
  <c r="DZ306" i="21" s="1"/>
  <c r="EB306" i="21" s="1"/>
  <c r="AL306" i="21"/>
  <c r="AY262" i="21"/>
  <c r="AZ262" i="21" s="1"/>
  <c r="FI321" i="21"/>
  <c r="DD321" i="21"/>
  <c r="FI278" i="21"/>
  <c r="DD278" i="21"/>
  <c r="EL262" i="21"/>
  <c r="EK262" i="21" s="1"/>
  <c r="Y262" i="21"/>
  <c r="AY266" i="21"/>
  <c r="BH266" i="21" s="1"/>
  <c r="ED344" i="21"/>
  <c r="CR344" i="21" s="1"/>
  <c r="EG279" i="21"/>
  <c r="AX232" i="21"/>
  <c r="CM232" i="21" s="1"/>
  <c r="DI232" i="21"/>
  <c r="M232" i="21"/>
  <c r="BF232" i="21" s="1"/>
  <c r="CO232" i="21" s="1"/>
  <c r="EG272" i="21"/>
  <c r="EH272" i="21"/>
  <c r="AZ238" i="21"/>
  <c r="BH238" i="21"/>
  <c r="BR259" i="21"/>
  <c r="DZ259" i="21" s="1"/>
  <c r="EB259" i="21" s="1"/>
  <c r="EH259" i="21" s="1"/>
  <c r="CA259" i="21"/>
  <c r="FY259" i="21"/>
  <c r="GA259" i="21" s="1"/>
  <c r="CS259" i="21" s="1"/>
  <c r="BZ259" i="21"/>
  <c r="DI227" i="21"/>
  <c r="BB227" i="21"/>
  <c r="M227" i="21"/>
  <c r="AX227" i="21"/>
  <c r="CM227" i="21" s="1"/>
  <c r="EH195" i="21"/>
  <c r="FG245" i="21"/>
  <c r="DA245" i="21"/>
  <c r="ED290" i="21"/>
  <c r="CR290" i="21" s="1"/>
  <c r="DM211" i="21"/>
  <c r="DN216" i="21"/>
  <c r="DT267" i="21"/>
  <c r="BI267" i="21"/>
  <c r="BJ267" i="21" s="1"/>
  <c r="ET184" i="21"/>
  <c r="EU184" i="21" s="1"/>
  <c r="EV184" i="21" s="1"/>
  <c r="EU263" i="21"/>
  <c r="EV263" i="21" s="1"/>
  <c r="ET263" i="21"/>
  <c r="BL114" i="21"/>
  <c r="BN114" i="21" s="1"/>
  <c r="BM114" i="21"/>
  <c r="BO114" i="21" s="1"/>
  <c r="CK179" i="21"/>
  <c r="CP179" i="21" s="1"/>
  <c r="BC150" i="21"/>
  <c r="CN150" i="21" s="1"/>
  <c r="AX150" i="21"/>
  <c r="CM150" i="21" s="1"/>
  <c r="DJ150" i="21"/>
  <c r="EY150" i="21" s="1"/>
  <c r="BB150" i="21"/>
  <c r="M150" i="21"/>
  <c r="BF150" i="21" s="1"/>
  <c r="CO150" i="21" s="1"/>
  <c r="AY98" i="21"/>
  <c r="AZ98" i="21" s="1"/>
  <c r="BR92" i="21"/>
  <c r="DZ92" i="21" s="1"/>
  <c r="EB92" i="21" s="1"/>
  <c r="BK92" i="21"/>
  <c r="CA92" i="21"/>
  <c r="AN92" i="21"/>
  <c r="BZ92" i="21"/>
  <c r="CB92" i="21" s="1"/>
  <c r="CI92" i="21" s="1"/>
  <c r="CK92" i="21" s="1"/>
  <c r="CP92" i="21" s="1"/>
  <c r="FX92" i="21"/>
  <c r="GA92" i="21" s="1"/>
  <c r="CS92" i="21" s="1"/>
  <c r="AZ129" i="21"/>
  <c r="BZ154" i="21"/>
  <c r="CB154" i="21" s="1"/>
  <c r="CI154" i="21" s="1"/>
  <c r="CK154" i="21" s="1"/>
  <c r="DY154" i="21"/>
  <c r="EH154" i="21" s="1"/>
  <c r="EE92" i="21"/>
  <c r="DY157" i="21"/>
  <c r="EH157" i="21" s="1"/>
  <c r="BZ157" i="21"/>
  <c r="CB157" i="21" s="1"/>
  <c r="CI157" i="21" s="1"/>
  <c r="CK157" i="21" s="1"/>
  <c r="DM173" i="21"/>
  <c r="CI162" i="21"/>
  <c r="CK162" i="21" s="1"/>
  <c r="FX63" i="21"/>
  <c r="GA63" i="21" s="1"/>
  <c r="BR63" i="21"/>
  <c r="DZ63" i="21" s="1"/>
  <c r="EB63" i="21" s="1"/>
  <c r="BK63" i="21"/>
  <c r="CA63" i="21"/>
  <c r="BZ63" i="21"/>
  <c r="CB63" i="21" s="1"/>
  <c r="CI63" i="21" s="1"/>
  <c r="CK63" i="21" s="1"/>
  <c r="AN63" i="21"/>
  <c r="BE63" i="21"/>
  <c r="BF63" i="21" s="1"/>
  <c r="EU35" i="21"/>
  <c r="EV35" i="21" s="1"/>
  <c r="ET35" i="21"/>
  <c r="EY85" i="21"/>
  <c r="EZ85" i="21" s="1"/>
  <c r="BM116" i="21"/>
  <c r="BO116" i="21" s="1"/>
  <c r="BL116" i="21"/>
  <c r="BN116" i="21" s="1"/>
  <c r="AM38" i="21"/>
  <c r="AL38" i="21"/>
  <c r="DM35" i="21"/>
  <c r="BC55" i="21"/>
  <c r="CN55" i="21" s="1"/>
  <c r="BM49" i="21"/>
  <c r="BO49" i="21" s="1"/>
  <c r="BL49" i="21"/>
  <c r="BN49" i="21" s="1"/>
  <c r="DP38" i="21"/>
  <c r="DQ38" i="21" s="1"/>
  <c r="DO38" i="21"/>
  <c r="CK46" i="21"/>
  <c r="DM45" i="21"/>
  <c r="CK41" i="21"/>
  <c r="DU483" i="21"/>
  <c r="EM483" i="21" s="1"/>
  <c r="EP483" i="21" s="1"/>
  <c r="EQ483" i="21" s="1"/>
  <c r="BI448" i="21"/>
  <c r="DT448" i="21"/>
  <c r="EX477" i="21"/>
  <c r="BI471" i="21"/>
  <c r="BJ471" i="21" s="1"/>
  <c r="DT471" i="21"/>
  <c r="AL445" i="21"/>
  <c r="BZ415" i="21"/>
  <c r="CA415" i="21"/>
  <c r="BR415" i="21"/>
  <c r="DZ415" i="21" s="1"/>
  <c r="EB415" i="21" s="1"/>
  <c r="T415" i="21"/>
  <c r="DP471" i="21"/>
  <c r="DO471" i="21"/>
  <c r="ED471" i="21"/>
  <c r="CU426" i="21"/>
  <c r="FG426" i="21"/>
  <c r="CU419" i="21"/>
  <c r="FG419" i="21"/>
  <c r="BH434" i="21"/>
  <c r="AL437" i="21"/>
  <c r="DA414" i="21"/>
  <c r="FG414" i="21"/>
  <c r="FY398" i="21"/>
  <c r="GA398" i="21" s="1"/>
  <c r="CS398" i="21" s="1"/>
  <c r="AL398" i="21"/>
  <c r="CA398" i="21"/>
  <c r="BZ398" i="21"/>
  <c r="BR398" i="21"/>
  <c r="DZ398" i="21" s="1"/>
  <c r="EB398" i="21" s="1"/>
  <c r="T398" i="21"/>
  <c r="BB442" i="21"/>
  <c r="EL376" i="21"/>
  <c r="EK376" i="21" s="1"/>
  <c r="Y376" i="21"/>
  <c r="FY419" i="21"/>
  <c r="GA419" i="21" s="1"/>
  <c r="CS419" i="21" s="1"/>
  <c r="BZ419" i="21"/>
  <c r="BR419" i="21"/>
  <c r="DZ419" i="21" s="1"/>
  <c r="EB419" i="21" s="1"/>
  <c r="EH419" i="21" s="1"/>
  <c r="AL419" i="21"/>
  <c r="CA419" i="21"/>
  <c r="BI393" i="21"/>
  <c r="DT393" i="21"/>
  <c r="EB369" i="21"/>
  <c r="BI368" i="21"/>
  <c r="DT368" i="21"/>
  <c r="BZ365" i="21"/>
  <c r="CB365" i="21" s="1"/>
  <c r="CI365" i="21" s="1"/>
  <c r="CK365" i="21" s="1"/>
  <c r="CP365" i="21" s="1"/>
  <c r="BR365" i="21"/>
  <c r="DZ365" i="21" s="1"/>
  <c r="EB365" i="21" s="1"/>
  <c r="EH365" i="21" s="1"/>
  <c r="CA365" i="21"/>
  <c r="FY365" i="21"/>
  <c r="GA365" i="21" s="1"/>
  <c r="CS365" i="21" s="1"/>
  <c r="DM328" i="21"/>
  <c r="BR317" i="21"/>
  <c r="DZ317" i="21" s="1"/>
  <c r="EB317" i="21" s="1"/>
  <c r="BZ317" i="21"/>
  <c r="CB317" i="21" s="1"/>
  <c r="CI317" i="21" s="1"/>
  <c r="CK317" i="21" s="1"/>
  <c r="CP317" i="21" s="1"/>
  <c r="T317" i="21"/>
  <c r="CA317" i="21"/>
  <c r="FY317" i="21"/>
  <c r="AL317" i="21"/>
  <c r="CK349" i="21"/>
  <c r="CP349" i="21" s="1"/>
  <c r="DA342" i="21"/>
  <c r="FG342" i="21"/>
  <c r="FY336" i="21"/>
  <c r="GA336" i="21" s="1"/>
  <c r="CS336" i="21" s="1"/>
  <c r="BZ336" i="21"/>
  <c r="BR336" i="21"/>
  <c r="DZ336" i="21" s="1"/>
  <c r="EB336" i="21" s="1"/>
  <c r="CA336" i="21"/>
  <c r="FI305" i="21"/>
  <c r="DD305" i="21"/>
  <c r="DM303" i="21"/>
  <c r="FG345" i="21"/>
  <c r="DA345" i="21"/>
  <c r="CA350" i="21"/>
  <c r="BR350" i="21"/>
  <c r="DZ350" i="21" s="1"/>
  <c r="EB350" i="21" s="1"/>
  <c r="AL350" i="21"/>
  <c r="BZ350" i="21"/>
  <c r="CB350" i="21" s="1"/>
  <c r="CI350" i="21" s="1"/>
  <c r="CK350" i="21" s="1"/>
  <c r="CP350" i="21" s="1"/>
  <c r="FY350" i="21"/>
  <c r="GA350" i="21" s="1"/>
  <c r="CS350" i="21" s="1"/>
  <c r="DI293" i="21"/>
  <c r="AX293" i="21"/>
  <c r="CM293" i="21" s="1"/>
  <c r="M293" i="21"/>
  <c r="BF293" i="21" s="1"/>
  <c r="CO293" i="21" s="1"/>
  <c r="BB299" i="21"/>
  <c r="AZ254" i="21"/>
  <c r="ET327" i="21"/>
  <c r="EU327" i="21"/>
  <c r="EV327" i="21" s="1"/>
  <c r="DM274" i="21"/>
  <c r="BZ305" i="21"/>
  <c r="CB305" i="21" s="1"/>
  <c r="CI305" i="21" s="1"/>
  <c r="CK305" i="21" s="1"/>
  <c r="CP305" i="21" s="1"/>
  <c r="BR305" i="21"/>
  <c r="DZ305" i="21" s="1"/>
  <c r="EB305" i="21" s="1"/>
  <c r="T305" i="21"/>
  <c r="CA305" i="21"/>
  <c r="FI267" i="21"/>
  <c r="DD267" i="21"/>
  <c r="FI275" i="21"/>
  <c r="CX275" i="21"/>
  <c r="BC230" i="21"/>
  <c r="EL208" i="21"/>
  <c r="EK208" i="21" s="1"/>
  <c r="Y208" i="21"/>
  <c r="FI189" i="21"/>
  <c r="CX189" i="21"/>
  <c r="EH227" i="21"/>
  <c r="M226" i="21"/>
  <c r="DI226" i="21"/>
  <c r="AX226" i="21"/>
  <c r="BB226" i="21"/>
  <c r="BC226" i="21" s="1"/>
  <c r="ET245" i="21"/>
  <c r="EU245" i="21" s="1"/>
  <c r="EV245" i="21" s="1"/>
  <c r="FJ211" i="21"/>
  <c r="CW211" i="21"/>
  <c r="AT217" i="21"/>
  <c r="DU217" i="21" s="1"/>
  <c r="AP218" i="21"/>
  <c r="DM189" i="21"/>
  <c r="DT263" i="21"/>
  <c r="BI263" i="21"/>
  <c r="AQ192" i="21"/>
  <c r="AL178" i="21"/>
  <c r="DD274" i="21"/>
  <c r="FI274" i="21"/>
  <c r="DM167" i="21"/>
  <c r="ES167" i="21"/>
  <c r="ER167" i="21"/>
  <c r="BM133" i="21"/>
  <c r="BL133" i="21"/>
  <c r="BN133" i="21" s="1"/>
  <c r="BL118" i="21"/>
  <c r="DT149" i="21"/>
  <c r="BE91" i="21"/>
  <c r="BF91" i="21" s="1"/>
  <c r="CO91" i="21" s="1"/>
  <c r="AY91" i="21"/>
  <c r="AZ91" i="21" s="1"/>
  <c r="ET154" i="21"/>
  <c r="EU154" i="21" s="1"/>
  <c r="EV154" i="21" s="1"/>
  <c r="DC122" i="21"/>
  <c r="FJ122" i="21"/>
  <c r="AM119" i="21"/>
  <c r="AL119" i="21"/>
  <c r="AM51" i="21"/>
  <c r="AL51" i="21"/>
  <c r="FI116" i="21"/>
  <c r="CX116" i="21"/>
  <c r="BC24" i="21"/>
  <c r="EH95" i="21"/>
  <c r="EG95" i="21"/>
  <c r="ET30" i="21"/>
  <c r="EZ30" i="21"/>
  <c r="EU30" i="21"/>
  <c r="EV30" i="21" s="1"/>
  <c r="BB97" i="21"/>
  <c r="M36" i="21"/>
  <c r="BF36" i="21" s="1"/>
  <c r="DJ36" i="21"/>
  <c r="EY36" i="21" s="1"/>
  <c r="AX36" i="21"/>
  <c r="BM45" i="21"/>
  <c r="BL45" i="21"/>
  <c r="BN45" i="21" s="1"/>
  <c r="ES487" i="21"/>
  <c r="ER487" i="21"/>
  <c r="EW487" i="21" s="1"/>
  <c r="DM487" i="21"/>
  <c r="DU466" i="21"/>
  <c r="AX446" i="21"/>
  <c r="CM446" i="21" s="1"/>
  <c r="M446" i="21"/>
  <c r="BF446" i="21" s="1"/>
  <c r="CO446" i="21" s="1"/>
  <c r="DI446" i="21"/>
  <c r="M449" i="21"/>
  <c r="BF449" i="21" s="1"/>
  <c r="CO449" i="21" s="1"/>
  <c r="AX449" i="21"/>
  <c r="CM449" i="21" s="1"/>
  <c r="DI449" i="21"/>
  <c r="DM494" i="21"/>
  <c r="ES494" i="21"/>
  <c r="ER494" i="21"/>
  <c r="ET479" i="21"/>
  <c r="EU479" i="21" s="1"/>
  <c r="EV479" i="21" s="1"/>
  <c r="EM479" i="21"/>
  <c r="EP479" i="21" s="1"/>
  <c r="EQ479" i="21" s="1"/>
  <c r="BI446" i="21"/>
  <c r="BJ446" i="21" s="1"/>
  <c r="DT446" i="21"/>
  <c r="FG443" i="21"/>
  <c r="CU443" i="21"/>
  <c r="DM386" i="21"/>
  <c r="BF448" i="21"/>
  <c r="CO448" i="21" s="1"/>
  <c r="M397" i="21"/>
  <c r="BF397" i="21" s="1"/>
  <c r="CO397" i="21" s="1"/>
  <c r="BB397" i="21"/>
  <c r="AX397" i="21"/>
  <c r="CM397" i="21" s="1"/>
  <c r="DI397" i="21"/>
  <c r="BI431" i="21"/>
  <c r="DT431" i="21"/>
  <c r="EL402" i="21"/>
  <c r="EK402" i="21" s="1"/>
  <c r="Y402" i="21"/>
  <c r="EU448" i="21"/>
  <c r="EV448" i="21" s="1"/>
  <c r="DT399" i="21"/>
  <c r="BI399" i="21"/>
  <c r="BJ399" i="21" s="1"/>
  <c r="FG391" i="21"/>
  <c r="CU391" i="21"/>
  <c r="AY370" i="21"/>
  <c r="DT405" i="21"/>
  <c r="BI405" i="21"/>
  <c r="BF419" i="21"/>
  <c r="CO419" i="21" s="1"/>
  <c r="Y377" i="21"/>
  <c r="EL377" i="21"/>
  <c r="EK377" i="21" s="1"/>
  <c r="CK369" i="21"/>
  <c r="CP369" i="21" s="1"/>
  <c r="AZ375" i="21"/>
  <c r="BH375" i="21"/>
  <c r="CI328" i="21"/>
  <c r="CK328" i="21" s="1"/>
  <c r="CP328" i="21" s="1"/>
  <c r="BC372" i="21"/>
  <c r="CN372" i="21" s="1"/>
  <c r="AX384" i="21"/>
  <c r="CM384" i="21" s="1"/>
  <c r="M384" i="21"/>
  <c r="BF384" i="21" s="1"/>
  <c r="CO384" i="21" s="1"/>
  <c r="DI384" i="21"/>
  <c r="EL390" i="21"/>
  <c r="EK390" i="21" s="1"/>
  <c r="Y390" i="21"/>
  <c r="CK370" i="21"/>
  <c r="CP370" i="21" s="1"/>
  <c r="BC309" i="21"/>
  <c r="CN309" i="21" s="1"/>
  <c r="DA323" i="21"/>
  <c r="FG323" i="21"/>
  <c r="CE382" i="21"/>
  <c r="BF367" i="21"/>
  <c r="CO367" i="21" s="1"/>
  <c r="BI310" i="21"/>
  <c r="DT310" i="21"/>
  <c r="BR307" i="21"/>
  <c r="DZ307" i="21" s="1"/>
  <c r="EB307" i="21" s="1"/>
  <c r="FY307" i="21"/>
  <c r="GA307" i="21" s="1"/>
  <c r="CS307" i="21" s="1"/>
  <c r="CA307" i="21"/>
  <c r="BZ307" i="21"/>
  <c r="AL307" i="21"/>
  <c r="T307" i="21"/>
  <c r="ET342" i="21"/>
  <c r="EU342" i="21"/>
  <c r="EV342" i="21" s="1"/>
  <c r="BI324" i="21"/>
  <c r="BJ324" i="21" s="1"/>
  <c r="DT324" i="21"/>
  <c r="BJ350" i="21"/>
  <c r="EU345" i="21"/>
  <c r="EV345" i="21" s="1"/>
  <c r="ET345" i="21"/>
  <c r="EL314" i="21"/>
  <c r="EK314" i="21" s="1"/>
  <c r="Y314" i="21"/>
  <c r="EL295" i="21"/>
  <c r="EK295" i="21" s="1"/>
  <c r="Y295" i="21"/>
  <c r="AY254" i="21"/>
  <c r="BH254" i="21" s="1"/>
  <c r="BJ254" i="21" s="1"/>
  <c r="BF327" i="21"/>
  <c r="CO327" i="21" s="1"/>
  <c r="CA272" i="21"/>
  <c r="BZ272" i="21"/>
  <c r="BR272" i="21"/>
  <c r="DZ272" i="21" s="1"/>
  <c r="EB272" i="21" s="1"/>
  <c r="FY272" i="21"/>
  <c r="GA272" i="21" s="1"/>
  <c r="CS272" i="21" s="1"/>
  <c r="AL272" i="21"/>
  <c r="M310" i="21"/>
  <c r="BF310" i="21" s="1"/>
  <c r="CO310" i="21" s="1"/>
  <c r="DI310" i="21"/>
  <c r="AX310" i="21"/>
  <c r="CM310" i="21" s="1"/>
  <c r="CB362" i="21"/>
  <c r="CI362" i="21" s="1"/>
  <c r="EG311" i="21"/>
  <c r="EH311" i="21"/>
  <c r="AL259" i="21"/>
  <c r="DI188" i="21"/>
  <c r="AX188" i="21"/>
  <c r="CM188" i="21" s="1"/>
  <c r="M188" i="21"/>
  <c r="BF188" i="21" s="1"/>
  <c r="CO188" i="21" s="1"/>
  <c r="CA204" i="21"/>
  <c r="BZ204" i="21"/>
  <c r="CB204" i="21" s="1"/>
  <c r="CI204" i="21" s="1"/>
  <c r="CK204" i="21" s="1"/>
  <c r="CP204" i="21" s="1"/>
  <c r="BR204" i="21"/>
  <c r="DZ204" i="21" s="1"/>
  <c r="EB204" i="21" s="1"/>
  <c r="T204" i="21"/>
  <c r="FY204" i="21"/>
  <c r="GA204" i="21" s="1"/>
  <c r="CS204" i="21" s="1"/>
  <c r="AL204" i="21"/>
  <c r="AJ204" i="21"/>
  <c r="DM179" i="21"/>
  <c r="DI257" i="21"/>
  <c r="M257" i="21"/>
  <c r="BF257" i="21" s="1"/>
  <c r="CO257" i="21" s="1"/>
  <c r="AX257" i="21"/>
  <c r="CM257" i="21" s="1"/>
  <c r="AY178" i="21"/>
  <c r="BH178" i="21" s="1"/>
  <c r="BJ178" i="21" s="1"/>
  <c r="BB237" i="21"/>
  <c r="FJ210" i="21"/>
  <c r="CW210" i="21"/>
  <c r="CX172" i="21"/>
  <c r="FI172" i="21"/>
  <c r="FG209" i="21"/>
  <c r="DA209" i="21"/>
  <c r="CX133" i="21"/>
  <c r="FI133" i="21"/>
  <c r="EL173" i="21"/>
  <c r="EK173" i="21" s="1"/>
  <c r="Y173" i="21"/>
  <c r="EL91" i="21"/>
  <c r="EK91" i="21" s="1"/>
  <c r="Y91" i="21"/>
  <c r="CB271" i="21"/>
  <c r="CI271" i="21" s="1"/>
  <c r="CK271" i="21" s="1"/>
  <c r="CP271" i="21" s="1"/>
  <c r="FX82" i="21"/>
  <c r="GA82" i="21" s="1"/>
  <c r="CS82" i="21" s="1"/>
  <c r="BK82" i="21"/>
  <c r="BR82" i="21"/>
  <c r="DZ82" i="21" s="1"/>
  <c r="EB82" i="21" s="1"/>
  <c r="AN82" i="21"/>
  <c r="CA82" i="21"/>
  <c r="BZ82" i="21"/>
  <c r="CB82" i="21" s="1"/>
  <c r="CI82" i="21" s="1"/>
  <c r="CK82" i="21" s="1"/>
  <c r="CP82" i="21" s="1"/>
  <c r="EE82" i="21"/>
  <c r="ET118" i="21"/>
  <c r="EU118" i="21" s="1"/>
  <c r="EV118" i="21" s="1"/>
  <c r="EY118" i="21"/>
  <c r="EZ118" i="21" s="1"/>
  <c r="EZ128" i="21"/>
  <c r="ET128" i="21"/>
  <c r="EU128" i="21" s="1"/>
  <c r="EV128" i="21" s="1"/>
  <c r="EY91" i="21"/>
  <c r="EZ91" i="21" s="1"/>
  <c r="BM101" i="21"/>
  <c r="BL101" i="21"/>
  <c r="BN101" i="21" s="1"/>
  <c r="M33" i="21"/>
  <c r="BF33" i="21" s="1"/>
  <c r="DJ33" i="21"/>
  <c r="AX33" i="21"/>
  <c r="DM32" i="21"/>
  <c r="CW123" i="21"/>
  <c r="FJ123" i="21"/>
  <c r="DM33" i="21"/>
  <c r="EL49" i="21"/>
  <c r="EK49" i="21" s="1"/>
  <c r="Y49" i="21"/>
  <c r="BM22" i="21"/>
  <c r="BO22" i="21" s="1"/>
  <c r="BL22" i="21"/>
  <c r="BN22" i="21" s="1"/>
  <c r="CK50" i="21"/>
  <c r="BP57" i="21"/>
  <c r="EI57" i="21" s="1"/>
  <c r="EL97" i="21"/>
  <c r="EK97" i="21" s="1"/>
  <c r="Y97" i="21"/>
  <c r="BP37" i="21"/>
  <c r="EI37" i="21" s="1"/>
  <c r="BF42" i="21"/>
  <c r="BI485" i="21"/>
  <c r="BJ485" i="21" s="1"/>
  <c r="DT485" i="21"/>
  <c r="CA448" i="21"/>
  <c r="BZ448" i="21"/>
  <c r="CB448" i="21" s="1"/>
  <c r="CI448" i="21" s="1"/>
  <c r="CK448" i="21" s="1"/>
  <c r="CP448" i="21" s="1"/>
  <c r="BR448" i="21"/>
  <c r="DZ448" i="21" s="1"/>
  <c r="EB448" i="21" s="1"/>
  <c r="EH448" i="21" s="1"/>
  <c r="AL448" i="21"/>
  <c r="FY448" i="21"/>
  <c r="GA448" i="21" s="1"/>
  <c r="CS448" i="21" s="1"/>
  <c r="BR431" i="21"/>
  <c r="DZ431" i="21" s="1"/>
  <c r="EB431" i="21" s="1"/>
  <c r="FY431" i="21"/>
  <c r="GA431" i="21" s="1"/>
  <c r="CS431" i="21" s="1"/>
  <c r="CA431" i="21"/>
  <c r="BZ431" i="21"/>
  <c r="CB431" i="21" s="1"/>
  <c r="CI431" i="21" s="1"/>
  <c r="T431" i="21"/>
  <c r="DI440" i="21"/>
  <c r="M440" i="21"/>
  <c r="BF440" i="21" s="1"/>
  <c r="CO440" i="21" s="1"/>
  <c r="AX440" i="21"/>
  <c r="CM440" i="21" s="1"/>
  <c r="BI479" i="21"/>
  <c r="BJ479" i="21" s="1"/>
  <c r="DT479" i="21"/>
  <c r="CA445" i="21"/>
  <c r="BZ445" i="21"/>
  <c r="BR445" i="21"/>
  <c r="DZ445" i="21" s="1"/>
  <c r="EB445" i="21" s="1"/>
  <c r="BI445" i="21"/>
  <c r="DT445" i="21"/>
  <c r="BF426" i="21"/>
  <c r="CO426" i="21" s="1"/>
  <c r="AX438" i="21"/>
  <c r="CM438" i="21" s="1"/>
  <c r="DI438" i="21"/>
  <c r="M438" i="21"/>
  <c r="BF438" i="21" s="1"/>
  <c r="CO438" i="21" s="1"/>
  <c r="ET443" i="21"/>
  <c r="EU443" i="21" s="1"/>
  <c r="EV443" i="21" s="1"/>
  <c r="CA437" i="21"/>
  <c r="BZ437" i="21"/>
  <c r="CB437" i="21" s="1"/>
  <c r="CI437" i="21" s="1"/>
  <c r="CK437" i="21" s="1"/>
  <c r="CP437" i="21" s="1"/>
  <c r="BR437" i="21"/>
  <c r="DZ437" i="21" s="1"/>
  <c r="EB437" i="21" s="1"/>
  <c r="EG437" i="21" s="1"/>
  <c r="FY437" i="21"/>
  <c r="GA437" i="21" s="1"/>
  <c r="CS437" i="21" s="1"/>
  <c r="FY416" i="21"/>
  <c r="GA416" i="21" s="1"/>
  <c r="CS416" i="21" s="1"/>
  <c r="CA416" i="21"/>
  <c r="BZ416" i="21"/>
  <c r="CB416" i="21" s="1"/>
  <c r="CI416" i="21" s="1"/>
  <c r="CK416" i="21" s="1"/>
  <c r="CP416" i="21" s="1"/>
  <c r="BR416" i="21"/>
  <c r="DZ416" i="21" s="1"/>
  <c r="EB416" i="21" s="1"/>
  <c r="EG435" i="21"/>
  <c r="EH435" i="21"/>
  <c r="EG399" i="21"/>
  <c r="DA404" i="21"/>
  <c r="FG404" i="21"/>
  <c r="BH380" i="21"/>
  <c r="AZ380" i="21"/>
  <c r="BI367" i="21"/>
  <c r="DT367" i="21"/>
  <c r="AL367" i="21"/>
  <c r="CA367" i="21"/>
  <c r="BZ367" i="21"/>
  <c r="BR367" i="21"/>
  <c r="DZ367" i="21" s="1"/>
  <c r="EB367" i="21" s="1"/>
  <c r="DI366" i="21"/>
  <c r="M366" i="21"/>
  <c r="BF366" i="21" s="1"/>
  <c r="CO366" i="21" s="1"/>
  <c r="AX366" i="21"/>
  <c r="CM366" i="21" s="1"/>
  <c r="FI349" i="21"/>
  <c r="CX349" i="21"/>
  <c r="BH323" i="21"/>
  <c r="AZ323" i="21"/>
  <c r="BI315" i="21"/>
  <c r="DT315" i="21"/>
  <c r="BJ363" i="21"/>
  <c r="BI343" i="21"/>
  <c r="BJ343" i="21" s="1"/>
  <c r="DT343" i="21"/>
  <c r="CA296" i="21"/>
  <c r="AL296" i="21"/>
  <c r="BR296" i="21"/>
  <c r="DZ296" i="21" s="1"/>
  <c r="EB296" i="21" s="1"/>
  <c r="EH296" i="21" s="1"/>
  <c r="BZ296" i="21"/>
  <c r="CB296" i="21" s="1"/>
  <c r="CI296" i="21" s="1"/>
  <c r="T296" i="21"/>
  <c r="DA306" i="21"/>
  <c r="FG306" i="21"/>
  <c r="AY365" i="21"/>
  <c r="BH365" i="21" s="1"/>
  <c r="BI306" i="21"/>
  <c r="DT306" i="21"/>
  <c r="BI287" i="21"/>
  <c r="BJ287" i="21" s="1"/>
  <c r="DT287" i="21"/>
  <c r="EH280" i="21"/>
  <c r="EG280" i="21"/>
  <c r="EH269" i="21"/>
  <c r="EG269" i="21"/>
  <c r="BC267" i="21"/>
  <c r="CN267" i="21" s="1"/>
  <c r="EH221" i="21"/>
  <c r="EG221" i="21"/>
  <c r="CA311" i="21"/>
  <c r="BZ311" i="21"/>
  <c r="BR311" i="21"/>
  <c r="DZ311" i="21" s="1"/>
  <c r="EB311" i="21" s="1"/>
  <c r="AL311" i="21"/>
  <c r="FY311" i="21"/>
  <c r="GA311" i="21" s="1"/>
  <c r="CS311" i="21" s="1"/>
  <c r="FG225" i="21"/>
  <c r="DA225" i="21"/>
  <c r="DI186" i="21"/>
  <c r="AX186" i="21"/>
  <c r="CM186" i="21" s="1"/>
  <c r="M186" i="21"/>
  <c r="BF186" i="21" s="1"/>
  <c r="CO186" i="21" s="1"/>
  <c r="EL228" i="21"/>
  <c r="EK228" i="21" s="1"/>
  <c r="Y228" i="21"/>
  <c r="AY204" i="21"/>
  <c r="EB252" i="21"/>
  <c r="EH252" i="21" s="1"/>
  <c r="FI211" i="21"/>
  <c r="CX211" i="21"/>
  <c r="CX285" i="21"/>
  <c r="FI285" i="21"/>
  <c r="BH168" i="21"/>
  <c r="BJ168" i="21" s="1"/>
  <c r="AZ168" i="21"/>
  <c r="BB291" i="21"/>
  <c r="DT147" i="21"/>
  <c r="ET209" i="21"/>
  <c r="EU209" i="21" s="1"/>
  <c r="EV209" i="21" s="1"/>
  <c r="CB188" i="21"/>
  <c r="CI188" i="21" s="1"/>
  <c r="BB257" i="21"/>
  <c r="FI151" i="21"/>
  <c r="DD151" i="21"/>
  <c r="DT166" i="21"/>
  <c r="ET80" i="21"/>
  <c r="EU80" i="21" s="1"/>
  <c r="EV80" i="21" s="1"/>
  <c r="EZ80" i="21"/>
  <c r="FG138" i="21"/>
  <c r="CU138" i="21"/>
  <c r="FY119" i="21"/>
  <c r="CD119" i="21"/>
  <c r="CE119" i="21" s="1"/>
  <c r="BP150" i="21"/>
  <c r="EI150" i="21" s="1"/>
  <c r="EH150" i="21" s="1"/>
  <c r="Y59" i="21"/>
  <c r="EL59" i="21"/>
  <c r="EK59" i="21" s="1"/>
  <c r="BP121" i="21"/>
  <c r="EI121" i="21" s="1"/>
  <c r="EH121" i="21" s="1"/>
  <c r="DP43" i="21"/>
  <c r="DO43" i="21"/>
  <c r="BC42" i="21"/>
  <c r="EH68" i="21"/>
  <c r="EG68" i="21"/>
  <c r="BI476" i="21"/>
  <c r="BJ476" i="21" s="1"/>
  <c r="DT476" i="21"/>
  <c r="BI493" i="21"/>
  <c r="BJ493" i="21" s="1"/>
  <c r="DT493" i="21"/>
  <c r="BI488" i="21"/>
  <c r="BJ488" i="21" s="1"/>
  <c r="DT488" i="21"/>
  <c r="FI436" i="21"/>
  <c r="DD436" i="21"/>
  <c r="BH436" i="21"/>
  <c r="AZ436" i="21"/>
  <c r="DI436" i="21"/>
  <c r="M436" i="21"/>
  <c r="BF436" i="21" s="1"/>
  <c r="CO436" i="21" s="1"/>
  <c r="AX436" i="21"/>
  <c r="CM436" i="21" s="1"/>
  <c r="AZ434" i="21"/>
  <c r="FY410" i="21"/>
  <c r="GA410" i="21" s="1"/>
  <c r="CS410" i="21" s="1"/>
  <c r="CA410" i="21"/>
  <c r="BZ410" i="21"/>
  <c r="CB410" i="21" s="1"/>
  <c r="CI410" i="21" s="1"/>
  <c r="CK410" i="21" s="1"/>
  <c r="CP410" i="21" s="1"/>
  <c r="BR410" i="21"/>
  <c r="DZ410" i="21" s="1"/>
  <c r="EB410" i="21" s="1"/>
  <c r="EU428" i="21"/>
  <c r="EV428" i="21" s="1"/>
  <c r="ET428" i="21"/>
  <c r="M402" i="21"/>
  <c r="BF402" i="21" s="1"/>
  <c r="CO402" i="21" s="1"/>
  <c r="AX402" i="21"/>
  <c r="CM402" i="21" s="1"/>
  <c r="DI402" i="21"/>
  <c r="BF429" i="21"/>
  <c r="CO429" i="21" s="1"/>
  <c r="BF420" i="21"/>
  <c r="CO420" i="21" s="1"/>
  <c r="AL420" i="21"/>
  <c r="BI427" i="21"/>
  <c r="BJ427" i="21" s="1"/>
  <c r="DT427" i="21"/>
  <c r="CA379" i="21"/>
  <c r="BZ379" i="21"/>
  <c r="CB379" i="21" s="1"/>
  <c r="CI379" i="21" s="1"/>
  <c r="CK379" i="21" s="1"/>
  <c r="CP379" i="21" s="1"/>
  <c r="BR379" i="21"/>
  <c r="DZ379" i="21" s="1"/>
  <c r="EB379" i="21" s="1"/>
  <c r="FY379" i="21"/>
  <c r="GA379" i="21" s="1"/>
  <c r="CS379" i="21" s="1"/>
  <c r="AY399" i="21"/>
  <c r="ET404" i="21"/>
  <c r="EU404" i="21" s="1"/>
  <c r="EV404" i="21" s="1"/>
  <c r="M395" i="21"/>
  <c r="BF395" i="21" s="1"/>
  <c r="CO395" i="21" s="1"/>
  <c r="AX395" i="21"/>
  <c r="CM395" i="21" s="1"/>
  <c r="DI395" i="21"/>
  <c r="ET419" i="21"/>
  <c r="EU419" i="21" s="1"/>
  <c r="EV419" i="21" s="1"/>
  <c r="BH381" i="21"/>
  <c r="AZ381" i="21"/>
  <c r="GA364" i="21"/>
  <c r="CS364" i="21" s="1"/>
  <c r="AY362" i="21"/>
  <c r="BH362" i="21" s="1"/>
  <c r="BJ362" i="21" s="1"/>
  <c r="AY375" i="21"/>
  <c r="CA339" i="21"/>
  <c r="BZ339" i="21"/>
  <c r="CB339" i="21" s="1"/>
  <c r="CI339" i="21" s="1"/>
  <c r="CK339" i="21" s="1"/>
  <c r="CP339" i="21" s="1"/>
  <c r="FY339" i="21"/>
  <c r="GA339" i="21" s="1"/>
  <c r="CS339" i="21" s="1"/>
  <c r="BR339" i="21"/>
  <c r="DZ339" i="21" s="1"/>
  <c r="EB339" i="21" s="1"/>
  <c r="AL339" i="21"/>
  <c r="T339" i="21"/>
  <c r="EB358" i="21"/>
  <c r="CB359" i="21"/>
  <c r="CI359" i="21" s="1"/>
  <c r="CK359" i="21" s="1"/>
  <c r="CP359" i="21" s="1"/>
  <c r="FG329" i="21"/>
  <c r="CU329" i="21"/>
  <c r="AY323" i="21"/>
  <c r="BI342" i="21"/>
  <c r="DT342" i="21"/>
  <c r="BI293" i="21"/>
  <c r="BJ293" i="21" s="1"/>
  <c r="DT293" i="21"/>
  <c r="BC269" i="21"/>
  <c r="CN269" i="21" s="1"/>
  <c r="DM268" i="21"/>
  <c r="DT309" i="21"/>
  <c r="BI309" i="21"/>
  <c r="ET329" i="21"/>
  <c r="EU329" i="21" s="1"/>
  <c r="EV329" i="21" s="1"/>
  <c r="EH279" i="21"/>
  <c r="AY352" i="21"/>
  <c r="DD256" i="21"/>
  <c r="FI256" i="21"/>
  <c r="BI311" i="21"/>
  <c r="DT311" i="21"/>
  <c r="EB297" i="21"/>
  <c r="AX185" i="21"/>
  <c r="CM185" i="21" s="1"/>
  <c r="DI185" i="21"/>
  <c r="M185" i="21"/>
  <c r="BF185" i="21" s="1"/>
  <c r="CO185" i="21" s="1"/>
  <c r="FJ224" i="21"/>
  <c r="CW224" i="21"/>
  <c r="CB252" i="21"/>
  <c r="CI252" i="21" s="1"/>
  <c r="CK252" i="21" s="1"/>
  <c r="CP252" i="21" s="1"/>
  <c r="BH192" i="21"/>
  <c r="AZ192" i="21"/>
  <c r="CB190" i="21"/>
  <c r="CI190" i="21" s="1"/>
  <c r="CK190" i="21" s="1"/>
  <c r="CP190" i="21" s="1"/>
  <c r="DT209" i="21"/>
  <c r="BI209" i="21"/>
  <c r="BJ209" i="21" s="1"/>
  <c r="DT81" i="21"/>
  <c r="AZ124" i="21"/>
  <c r="DJ128" i="21"/>
  <c r="EY128" i="21" s="1"/>
  <c r="AX128" i="21"/>
  <c r="CM128" i="21" s="1"/>
  <c r="BH161" i="21"/>
  <c r="BJ161" i="21" s="1"/>
  <c r="AZ161" i="21"/>
  <c r="BM139" i="21"/>
  <c r="BL139" i="21"/>
  <c r="BN139" i="21" s="1"/>
  <c r="EY80" i="21"/>
  <c r="EY138" i="21"/>
  <c r="EZ138" i="21" s="1"/>
  <c r="BM29" i="21"/>
  <c r="BL29" i="21"/>
  <c r="BN29" i="21" s="1"/>
  <c r="BP58" i="21"/>
  <c r="EI58" i="21" s="1"/>
  <c r="EY136" i="21"/>
  <c r="EZ136" i="21"/>
  <c r="BC33" i="21"/>
  <c r="CX94" i="21"/>
  <c r="FI94" i="21"/>
  <c r="BP84" i="21"/>
  <c r="EI84" i="21" s="1"/>
  <c r="BO20" i="21"/>
  <c r="BN20" i="21"/>
  <c r="BP20" i="21" s="1"/>
  <c r="EI20" i="21" s="1"/>
  <c r="AU19" i="21"/>
  <c r="AR19" i="21"/>
  <c r="BB49" i="21"/>
  <c r="BE61" i="21"/>
  <c r="BF61" i="21" s="1"/>
  <c r="CO61" i="21" s="1"/>
  <c r="AZ61" i="21"/>
  <c r="EL35" i="21"/>
  <c r="EK35" i="21" s="1"/>
  <c r="Y35" i="21"/>
  <c r="ET488" i="21"/>
  <c r="EU488" i="21" s="1"/>
  <c r="EV488" i="21" s="1"/>
  <c r="AY438" i="21"/>
  <c r="BH438" i="21" s="1"/>
  <c r="CA409" i="21"/>
  <c r="BZ409" i="21"/>
  <c r="CB409" i="21" s="1"/>
  <c r="CI409" i="21" s="1"/>
  <c r="CK409" i="21" s="1"/>
  <c r="CP409" i="21" s="1"/>
  <c r="BR409" i="21"/>
  <c r="DZ409" i="21" s="1"/>
  <c r="EB409" i="21" s="1"/>
  <c r="AL409" i="21"/>
  <c r="FY409" i="21"/>
  <c r="GA409" i="21" s="1"/>
  <c r="CS409" i="21" s="1"/>
  <c r="T409" i="21"/>
  <c r="BI421" i="21"/>
  <c r="BJ421" i="21" s="1"/>
  <c r="DT421" i="21"/>
  <c r="GA417" i="21"/>
  <c r="CS417" i="21" s="1"/>
  <c r="BJ472" i="21"/>
  <c r="EL407" i="21"/>
  <c r="EK407" i="21" s="1"/>
  <c r="Y407" i="21"/>
  <c r="EU429" i="21"/>
  <c r="EV429" i="21" s="1"/>
  <c r="ET429" i="21"/>
  <c r="EU420" i="21"/>
  <c r="EV420" i="21" s="1"/>
  <c r="ET420" i="21"/>
  <c r="BI396" i="21"/>
  <c r="BJ396" i="21" s="1"/>
  <c r="DT396" i="21"/>
  <c r="FI370" i="21"/>
  <c r="CX370" i="21"/>
  <c r="FG388" i="21"/>
  <c r="DA388" i="21"/>
  <c r="FG370" i="21"/>
  <c r="CU370" i="21"/>
  <c r="BH364" i="21"/>
  <c r="AZ364" i="21"/>
  <c r="CE359" i="21"/>
  <c r="CA383" i="21"/>
  <c r="AL383" i="21"/>
  <c r="T383" i="21"/>
  <c r="BZ383" i="21"/>
  <c r="CB383" i="21" s="1"/>
  <c r="CI383" i="21" s="1"/>
  <c r="CK383" i="21" s="1"/>
  <c r="CP383" i="21" s="1"/>
  <c r="BR383" i="21"/>
  <c r="DZ383" i="21" s="1"/>
  <c r="EB383" i="21" s="1"/>
  <c r="DM349" i="21"/>
  <c r="BH324" i="21"/>
  <c r="AZ324" i="21"/>
  <c r="AZ346" i="21"/>
  <c r="ET372" i="21"/>
  <c r="EU372" i="21"/>
  <c r="EV372" i="21" s="1"/>
  <c r="EB359" i="21"/>
  <c r="DM362" i="21"/>
  <c r="CB381" i="21"/>
  <c r="CI381" i="21" s="1"/>
  <c r="ET323" i="21"/>
  <c r="EU323" i="21"/>
  <c r="EV323" i="21" s="1"/>
  <c r="T336" i="21"/>
  <c r="BC300" i="21"/>
  <c r="CN300" i="21" s="1"/>
  <c r="DI316" i="21"/>
  <c r="M316" i="21"/>
  <c r="BF316" i="21" s="1"/>
  <c r="CO316" i="21" s="1"/>
  <c r="AX316" i="21"/>
  <c r="CM316" i="21" s="1"/>
  <c r="DD253" i="21"/>
  <c r="FI253" i="21"/>
  <c r="BF294" i="21"/>
  <c r="CO294" i="21" s="1"/>
  <c r="BF329" i="21"/>
  <c r="CO329" i="21" s="1"/>
  <c r="CE262" i="21"/>
  <c r="CI262" i="21" s="1"/>
  <c r="CK262" i="21" s="1"/>
  <c r="CP262" i="21" s="1"/>
  <c r="AX212" i="21"/>
  <c r="DI212" i="21"/>
  <c r="M212" i="21"/>
  <c r="BF212" i="21" s="1"/>
  <c r="DM261" i="21"/>
  <c r="CI297" i="21"/>
  <c r="CK297" i="21" s="1"/>
  <c r="CP297" i="21" s="1"/>
  <c r="CW220" i="21"/>
  <c r="FJ220" i="21"/>
  <c r="CK237" i="21"/>
  <c r="CP237" i="21" s="1"/>
  <c r="FG249" i="21"/>
  <c r="CU249" i="21"/>
  <c r="BH189" i="21"/>
  <c r="AZ189" i="21"/>
  <c r="ET169" i="21"/>
  <c r="EU169" i="21"/>
  <c r="EV169" i="21" s="1"/>
  <c r="FJ247" i="21"/>
  <c r="DC247" i="21"/>
  <c r="DU162" i="21"/>
  <c r="AU162" i="21"/>
  <c r="CB168" i="21"/>
  <c r="CI168" i="21" s="1"/>
  <c r="CK168" i="21" s="1"/>
  <c r="CP168" i="21" s="1"/>
  <c r="DM175" i="21"/>
  <c r="BO67" i="21"/>
  <c r="BP67" i="21" s="1"/>
  <c r="EI67" i="21" s="1"/>
  <c r="EY113" i="21"/>
  <c r="DM143" i="21"/>
  <c r="CX67" i="21"/>
  <c r="FI67" i="21"/>
  <c r="AX177" i="21"/>
  <c r="CM177" i="21" s="1"/>
  <c r="DI177" i="21"/>
  <c r="M177" i="21"/>
  <c r="BB177" i="21"/>
  <c r="BM98" i="21"/>
  <c r="BL98" i="21"/>
  <c r="BN98" i="21" s="1"/>
  <c r="AM128" i="21"/>
  <c r="AL128" i="21"/>
  <c r="ER161" i="21"/>
  <c r="DM161" i="21"/>
  <c r="CW112" i="21"/>
  <c r="FJ112" i="21"/>
  <c r="CK101" i="21"/>
  <c r="CP101" i="21" s="1"/>
  <c r="EY22" i="21"/>
  <c r="EZ22" i="21" s="1"/>
  <c r="CX87" i="21"/>
  <c r="FI87" i="21"/>
  <c r="EY58" i="21"/>
  <c r="EZ58" i="21" s="1"/>
  <c r="Y68" i="21"/>
  <c r="EL68" i="21"/>
  <c r="EK68" i="21" s="1"/>
  <c r="CU136" i="21"/>
  <c r="FG136" i="21"/>
  <c r="EL87" i="21"/>
  <c r="EK87" i="21" s="1"/>
  <c r="Y87" i="21"/>
  <c r="BO84" i="21"/>
  <c r="AM43" i="21"/>
  <c r="AL43" i="21"/>
  <c r="DM34" i="21"/>
  <c r="AL41" i="21"/>
  <c r="AM41" i="21"/>
  <c r="BZ86" i="21"/>
  <c r="BR86" i="21"/>
  <c r="DZ86" i="21" s="1"/>
  <c r="EB86" i="21" s="1"/>
  <c r="BK86" i="21"/>
  <c r="FX86" i="21"/>
  <c r="GA86" i="21" s="1"/>
  <c r="CS86" i="21" s="1"/>
  <c r="CA86" i="21"/>
  <c r="AN86" i="21"/>
  <c r="M352" i="21"/>
  <c r="BF352" i="21" s="1"/>
  <c r="CO352" i="21" s="1"/>
  <c r="AX352" i="21"/>
  <c r="CM352" i="21" s="1"/>
  <c r="DI352" i="21"/>
  <c r="AZ358" i="21"/>
  <c r="BI374" i="21"/>
  <c r="DT374" i="21"/>
  <c r="EH337" i="21"/>
  <c r="EG337" i="21"/>
  <c r="BB390" i="21"/>
  <c r="CA354" i="21"/>
  <c r="BZ354" i="21"/>
  <c r="CB354" i="21" s="1"/>
  <c r="CI354" i="21" s="1"/>
  <c r="CK354" i="21" s="1"/>
  <c r="CP354" i="21" s="1"/>
  <c r="FY354" i="21"/>
  <c r="GA354" i="21" s="1"/>
  <c r="CS354" i="21" s="1"/>
  <c r="BR354" i="21"/>
  <c r="DZ354" i="21" s="1"/>
  <c r="EB354" i="21" s="1"/>
  <c r="AY355" i="21"/>
  <c r="CU348" i="21"/>
  <c r="FG348" i="21"/>
  <c r="AZ320" i="21"/>
  <c r="DT325" i="21"/>
  <c r="BI325" i="21"/>
  <c r="CA332" i="21"/>
  <c r="BR332" i="21"/>
  <c r="DZ332" i="21" s="1"/>
  <c r="EB332" i="21" s="1"/>
  <c r="T332" i="21"/>
  <c r="BZ332" i="21"/>
  <c r="CB332" i="21" s="1"/>
  <c r="CI332" i="21" s="1"/>
  <c r="CK332" i="21" s="1"/>
  <c r="CP332" i="21" s="1"/>
  <c r="DM300" i="21"/>
  <c r="CA298" i="21"/>
  <c r="BR298" i="21"/>
  <c r="DZ298" i="21" s="1"/>
  <c r="EB298" i="21" s="1"/>
  <c r="BZ298" i="21"/>
  <c r="CB298" i="21" s="1"/>
  <c r="CI298" i="21" s="1"/>
  <c r="CK298" i="21" s="1"/>
  <c r="CP298" i="21" s="1"/>
  <c r="AL298" i="21"/>
  <c r="DI318" i="21"/>
  <c r="M318" i="21"/>
  <c r="BF318" i="21" s="1"/>
  <c r="CO318" i="21" s="1"/>
  <c r="AX318" i="21"/>
  <c r="CM318" i="21" s="1"/>
  <c r="AX303" i="21"/>
  <c r="CM303" i="21" s="1"/>
  <c r="M303" i="21"/>
  <c r="BF303" i="21" s="1"/>
  <c r="CO303" i="21" s="1"/>
  <c r="DI303" i="21"/>
  <c r="FI271" i="21"/>
  <c r="DD271" i="21"/>
  <c r="M296" i="21"/>
  <c r="BF296" i="21" s="1"/>
  <c r="CO296" i="21" s="1"/>
  <c r="AX296" i="21"/>
  <c r="CM296" i="21" s="1"/>
  <c r="DI296" i="21"/>
  <c r="EL275" i="21"/>
  <c r="EK275" i="21" s="1"/>
  <c r="Y275" i="21"/>
  <c r="AY294" i="21"/>
  <c r="CB338" i="21"/>
  <c r="CI338" i="21" s="1"/>
  <c r="CK338" i="21" s="1"/>
  <c r="CP338" i="21" s="1"/>
  <c r="ET294" i="21"/>
  <c r="EU294" i="21" s="1"/>
  <c r="EV294" i="21" s="1"/>
  <c r="BI302" i="21"/>
  <c r="DT302" i="21"/>
  <c r="EB295" i="21"/>
  <c r="EH295" i="21" s="1"/>
  <c r="DT305" i="21"/>
  <c r="BI305" i="21"/>
  <c r="CA287" i="21"/>
  <c r="BZ287" i="21"/>
  <c r="BR287" i="21"/>
  <c r="DZ287" i="21" s="1"/>
  <c r="EB287" i="21" s="1"/>
  <c r="FY287" i="21"/>
  <c r="GA287" i="21" s="1"/>
  <c r="CS287" i="21" s="1"/>
  <c r="CA265" i="21"/>
  <c r="BZ265" i="21"/>
  <c r="BR265" i="21"/>
  <c r="DZ265" i="21" s="1"/>
  <c r="EB265" i="21" s="1"/>
  <c r="CB293" i="21"/>
  <c r="CI293" i="21" s="1"/>
  <c r="GA246" i="21"/>
  <c r="CS246" i="21" s="1"/>
  <c r="AY257" i="21"/>
  <c r="AZ257" i="21" s="1"/>
  <c r="M280" i="21"/>
  <c r="DI280" i="21"/>
  <c r="AX280" i="21"/>
  <c r="CM280" i="21" s="1"/>
  <c r="CB241" i="21"/>
  <c r="CI241" i="21" s="1"/>
  <c r="CK241" i="21" s="1"/>
  <c r="CP241" i="21" s="1"/>
  <c r="BR196" i="21"/>
  <c r="DZ196" i="21" s="1"/>
  <c r="EB196" i="21" s="1"/>
  <c r="T196" i="21"/>
  <c r="FY196" i="21"/>
  <c r="GA196" i="21" s="1"/>
  <c r="CS196" i="21" s="1"/>
  <c r="CA196" i="21"/>
  <c r="AJ196" i="21"/>
  <c r="AL196" i="21"/>
  <c r="BH237" i="21"/>
  <c r="BJ237" i="21" s="1"/>
  <c r="AZ237" i="21"/>
  <c r="AY237" i="21"/>
  <c r="BH214" i="21"/>
  <c r="AZ214" i="21"/>
  <c r="AY214" i="21"/>
  <c r="CX227" i="21"/>
  <c r="FI227" i="21"/>
  <c r="GA187" i="21"/>
  <c r="CS187" i="21" s="1"/>
  <c r="CB256" i="21"/>
  <c r="CI256" i="21" s="1"/>
  <c r="CK256" i="21" s="1"/>
  <c r="CP256" i="21" s="1"/>
  <c r="CA309" i="21"/>
  <c r="BZ309" i="21"/>
  <c r="CB309" i="21" s="1"/>
  <c r="CI309" i="21" s="1"/>
  <c r="CK309" i="21" s="1"/>
  <c r="CP309" i="21" s="1"/>
  <c r="BR309" i="21"/>
  <c r="DZ309" i="21" s="1"/>
  <c r="EB309" i="21" s="1"/>
  <c r="AY203" i="21"/>
  <c r="M230" i="21"/>
  <c r="DI230" i="21"/>
  <c r="AX230" i="21"/>
  <c r="ET160" i="21"/>
  <c r="EU160" i="21" s="1"/>
  <c r="EV160" i="21" s="1"/>
  <c r="EU158" i="21"/>
  <c r="EV158" i="21" s="1"/>
  <c r="CE277" i="21"/>
  <c r="CI277" i="21" s="1"/>
  <c r="CH147" i="21"/>
  <c r="DJ140" i="21"/>
  <c r="AX140" i="21"/>
  <c r="CM140" i="21" s="1"/>
  <c r="BF202" i="21"/>
  <c r="CO202" i="21" s="1"/>
  <c r="AY113" i="21"/>
  <c r="AZ113" i="21" s="1"/>
  <c r="AZ144" i="21"/>
  <c r="CK169" i="21"/>
  <c r="CP169" i="21" s="1"/>
  <c r="BE73" i="21"/>
  <c r="BF73" i="21" s="1"/>
  <c r="CO73" i="21" s="1"/>
  <c r="AZ73" i="21"/>
  <c r="EB100" i="21"/>
  <c r="FY120" i="21"/>
  <c r="GA120" i="21" s="1"/>
  <c r="CS120" i="21" s="1"/>
  <c r="CD120" i="21"/>
  <c r="CE120" i="21" s="1"/>
  <c r="CI120" i="21" s="1"/>
  <c r="CK120" i="21" s="1"/>
  <c r="CP120" i="21" s="1"/>
  <c r="BE120" i="21"/>
  <c r="BF120" i="21" s="1"/>
  <c r="CO120" i="21" s="1"/>
  <c r="CO13" i="21" s="1"/>
  <c r="EH98" i="21"/>
  <c r="EG98" i="21"/>
  <c r="AY146" i="21"/>
  <c r="AZ146" i="21" s="1"/>
  <c r="CX77" i="21"/>
  <c r="FI77" i="21"/>
  <c r="CB357" i="21"/>
  <c r="CI357" i="21" s="1"/>
  <c r="CK357" i="21" s="1"/>
  <c r="CP357" i="21" s="1"/>
  <c r="AY193" i="21"/>
  <c r="BB125" i="21"/>
  <c r="EL108" i="21"/>
  <c r="EK108" i="21" s="1"/>
  <c r="Y108" i="21"/>
  <c r="BO122" i="21"/>
  <c r="AZ125" i="21"/>
  <c r="AM80" i="21"/>
  <c r="AL80" i="21"/>
  <c r="BC58" i="21"/>
  <c r="CN58" i="21" s="1"/>
  <c r="DJ35" i="21"/>
  <c r="AX35" i="21"/>
  <c r="M35" i="21"/>
  <c r="BF35" i="21" s="1"/>
  <c r="BL87" i="21"/>
  <c r="BN87" i="21" s="1"/>
  <c r="BM87" i="21"/>
  <c r="BO87" i="21" s="1"/>
  <c r="ER21" i="21"/>
  <c r="ES21" i="21"/>
  <c r="DM21" i="21"/>
  <c r="CW87" i="21"/>
  <c r="FJ87" i="21"/>
  <c r="DM67" i="21"/>
  <c r="EU21" i="21"/>
  <c r="EV21" i="21" s="1"/>
  <c r="ET21" i="21"/>
  <c r="AY71" i="21"/>
  <c r="EY116" i="21"/>
  <c r="EZ116" i="21" s="1"/>
  <c r="EZ43" i="21"/>
  <c r="EU43" i="21"/>
  <c r="EV43" i="21" s="1"/>
  <c r="ET43" i="21"/>
  <c r="DM37" i="21"/>
  <c r="AT23" i="21"/>
  <c r="DU23" i="21" s="1"/>
  <c r="EM23" i="21" s="1"/>
  <c r="EP23" i="21" s="1"/>
  <c r="EQ23" i="21" s="1"/>
  <c r="AP24" i="21"/>
  <c r="CK35" i="21"/>
  <c r="ET66" i="21"/>
  <c r="EU66" i="21" s="1"/>
  <c r="EV66" i="21" s="1"/>
  <c r="EZ66" i="21"/>
  <c r="BP23" i="21"/>
  <c r="EI23" i="21" s="1"/>
  <c r="BP24" i="21"/>
  <c r="EI24" i="21" s="1"/>
  <c r="AZ54" i="21"/>
  <c r="BE54" i="21"/>
  <c r="BF54" i="21" s="1"/>
  <c r="CO54" i="21" s="1"/>
  <c r="BL26" i="21"/>
  <c r="BN26" i="21" s="1"/>
  <c r="BM26" i="21"/>
  <c r="BO26" i="21" s="1"/>
  <c r="EY55" i="21"/>
  <c r="EZ55" i="21" s="1"/>
  <c r="EU55" i="21"/>
  <c r="EV55" i="21" s="1"/>
  <c r="FY346" i="21"/>
  <c r="GA346" i="21" s="1"/>
  <c r="CS346" i="21" s="1"/>
  <c r="BZ346" i="21"/>
  <c r="CB346" i="21" s="1"/>
  <c r="CI346" i="21" s="1"/>
  <c r="BR346" i="21"/>
  <c r="DZ346" i="21" s="1"/>
  <c r="EB346" i="21" s="1"/>
  <c r="CA346" i="21"/>
  <c r="EB333" i="21"/>
  <c r="AY322" i="21"/>
  <c r="BH322" i="21" s="1"/>
  <c r="EG296" i="21"/>
  <c r="AY261" i="21"/>
  <c r="DA301" i="21"/>
  <c r="FG301" i="21"/>
  <c r="AX276" i="21"/>
  <c r="CM276" i="21" s="1"/>
  <c r="M276" i="21"/>
  <c r="BF276" i="21" s="1"/>
  <c r="CO276" i="21" s="1"/>
  <c r="BB276" i="21"/>
  <c r="DI276" i="21"/>
  <c r="FY320" i="21"/>
  <c r="GA320" i="21" s="1"/>
  <c r="CS320" i="21" s="1"/>
  <c r="CA320" i="21"/>
  <c r="BZ320" i="21"/>
  <c r="CB320" i="21" s="1"/>
  <c r="CI320" i="21" s="1"/>
  <c r="BR320" i="21"/>
  <c r="DZ320" i="21" s="1"/>
  <c r="EB320" i="21" s="1"/>
  <c r="EG320" i="21" s="1"/>
  <c r="AL320" i="21"/>
  <c r="BC274" i="21"/>
  <c r="CN274" i="21" s="1"/>
  <c r="BI294" i="21"/>
  <c r="DT294" i="21"/>
  <c r="AZ286" i="21"/>
  <c r="BH286" i="21"/>
  <c r="BJ286" i="21" s="1"/>
  <c r="CB295" i="21"/>
  <c r="CI295" i="21" s="1"/>
  <c r="CK295" i="21" s="1"/>
  <c r="CP295" i="21" s="1"/>
  <c r="FG263" i="21"/>
  <c r="DA263" i="21"/>
  <c r="DM235" i="21"/>
  <c r="DT255" i="21"/>
  <c r="BI255" i="21"/>
  <c r="BJ255" i="21" s="1"/>
  <c r="EL297" i="21"/>
  <c r="EK297" i="21" s="1"/>
  <c r="Y297" i="21"/>
  <c r="AL258" i="21"/>
  <c r="T258" i="21"/>
  <c r="BR258" i="21"/>
  <c r="DZ258" i="21" s="1"/>
  <c r="EB258" i="21" s="1"/>
  <c r="BZ258" i="21"/>
  <c r="CB258" i="21" s="1"/>
  <c r="CI258" i="21" s="1"/>
  <c r="CK258" i="21" s="1"/>
  <c r="CP258" i="21" s="1"/>
  <c r="CA258" i="21"/>
  <c r="AY246" i="21"/>
  <c r="FG190" i="21"/>
  <c r="CU190" i="21"/>
  <c r="CB282" i="21"/>
  <c r="CI282" i="21" s="1"/>
  <c r="CK282" i="21" s="1"/>
  <c r="CP282" i="21" s="1"/>
  <c r="CB174" i="21"/>
  <c r="CI174" i="21" s="1"/>
  <c r="CK235" i="21"/>
  <c r="CP235" i="21" s="1"/>
  <c r="AY174" i="21"/>
  <c r="AZ174" i="21" s="1"/>
  <c r="CU220" i="21"/>
  <c r="FG220" i="21"/>
  <c r="AY187" i="21"/>
  <c r="AZ187" i="21" s="1"/>
  <c r="BO117" i="21"/>
  <c r="BP117" i="21" s="1"/>
  <c r="EI117" i="21" s="1"/>
  <c r="EH117" i="21" s="1"/>
  <c r="CK218" i="21"/>
  <c r="EH202" i="21"/>
  <c r="EL170" i="21"/>
  <c r="EK170" i="21" s="1"/>
  <c r="Y170" i="21"/>
  <c r="BM123" i="21"/>
  <c r="BL123" i="21"/>
  <c r="BN123" i="21" s="1"/>
  <c r="DC144" i="21"/>
  <c r="FJ144" i="21"/>
  <c r="DM97" i="21"/>
  <c r="BP142" i="21"/>
  <c r="EI142" i="21" s="1"/>
  <c r="EH142" i="21" s="1"/>
  <c r="AL146" i="21"/>
  <c r="CI137" i="21"/>
  <c r="CK137" i="21" s="1"/>
  <c r="CP137" i="21" s="1"/>
  <c r="EZ149" i="21"/>
  <c r="EU149" i="21"/>
  <c r="EV149" i="21" s="1"/>
  <c r="ET149" i="21"/>
  <c r="FJ140" i="21"/>
  <c r="DC140" i="21"/>
  <c r="BM125" i="21"/>
  <c r="BL125" i="21"/>
  <c r="BN125" i="21" s="1"/>
  <c r="AZ115" i="21"/>
  <c r="FJ88" i="21"/>
  <c r="CW88" i="21"/>
  <c r="AZ70" i="21"/>
  <c r="BE70" i="21"/>
  <c r="BF70" i="21" s="1"/>
  <c r="CO70" i="21" s="1"/>
  <c r="AU107" i="21"/>
  <c r="AR107" i="21"/>
  <c r="BC80" i="21"/>
  <c r="CN80" i="21" s="1"/>
  <c r="CK44" i="21"/>
  <c r="BL69" i="21"/>
  <c r="BN69" i="21" s="1"/>
  <c r="FG116" i="21"/>
  <c r="CU116" i="21"/>
  <c r="DT86" i="21"/>
  <c r="BP32" i="21"/>
  <c r="EI32" i="21" s="1"/>
  <c r="DM29" i="21"/>
  <c r="AY102" i="21"/>
  <c r="BL102" i="21"/>
  <c r="BN102" i="21" s="1"/>
  <c r="AZ59" i="21"/>
  <c r="BE59" i="21"/>
  <c r="BF59" i="21" s="1"/>
  <c r="CO59" i="21" s="1"/>
  <c r="DT54" i="21"/>
  <c r="EU321" i="21"/>
  <c r="EV321" i="21" s="1"/>
  <c r="ET321" i="21"/>
  <c r="CA330" i="21"/>
  <c r="BZ330" i="21"/>
  <c r="BR330" i="21"/>
  <c r="DZ330" i="21" s="1"/>
  <c r="EB330" i="21" s="1"/>
  <c r="T330" i="21"/>
  <c r="AL330" i="21"/>
  <c r="BH313" i="21"/>
  <c r="AZ313" i="21"/>
  <c r="DI277" i="21"/>
  <c r="AX277" i="21"/>
  <c r="CM277" i="21" s="1"/>
  <c r="M277" i="21"/>
  <c r="BF277" i="21" s="1"/>
  <c r="CO277" i="21" s="1"/>
  <c r="BF278" i="21"/>
  <c r="CO278" i="21" s="1"/>
  <c r="AX273" i="21"/>
  <c r="CM273" i="21" s="1"/>
  <c r="DI273" i="21"/>
  <c r="M273" i="21"/>
  <c r="BF273" i="21" s="1"/>
  <c r="CO273" i="21" s="1"/>
  <c r="BI347" i="21"/>
  <c r="DT347" i="21"/>
  <c r="FI244" i="21"/>
  <c r="DD244" i="21"/>
  <c r="EG233" i="21"/>
  <c r="AY311" i="21"/>
  <c r="BH311" i="21" s="1"/>
  <c r="BH244" i="21"/>
  <c r="AZ244" i="21"/>
  <c r="DM286" i="21"/>
  <c r="ET286" i="21"/>
  <c r="EU286" i="21" s="1"/>
  <c r="EV286" i="21" s="1"/>
  <c r="AX259" i="21"/>
  <c r="CM259" i="21" s="1"/>
  <c r="M259" i="21"/>
  <c r="BF259" i="21" s="1"/>
  <c r="CO259" i="21" s="1"/>
  <c r="DI259" i="21"/>
  <c r="CA257" i="21"/>
  <c r="BR257" i="21"/>
  <c r="DZ257" i="21" s="1"/>
  <c r="EB257" i="21" s="1"/>
  <c r="BZ257" i="21"/>
  <c r="BJ211" i="21"/>
  <c r="BI277" i="21"/>
  <c r="BJ277" i="21" s="1"/>
  <c r="DT277" i="21"/>
  <c r="AX231" i="21"/>
  <c r="CM231" i="21" s="1"/>
  <c r="M231" i="21"/>
  <c r="BF231" i="21" s="1"/>
  <c r="CO231" i="21" s="1"/>
  <c r="DI231" i="21"/>
  <c r="AY249" i="21"/>
  <c r="BH249" i="21" s="1"/>
  <c r="EU238" i="21"/>
  <c r="EV238" i="21" s="1"/>
  <c r="M173" i="21"/>
  <c r="BF173" i="21" s="1"/>
  <c r="CO173" i="21" s="1"/>
  <c r="AX173" i="21"/>
  <c r="CM173" i="21" s="1"/>
  <c r="DI173" i="21"/>
  <c r="AQ217" i="21"/>
  <c r="CB214" i="21"/>
  <c r="CI214" i="21" s="1"/>
  <c r="CK214" i="21" s="1"/>
  <c r="BJ280" i="21"/>
  <c r="EM163" i="21"/>
  <c r="EP163" i="21" s="1"/>
  <c r="EQ163" i="21" s="1"/>
  <c r="ET163" i="21"/>
  <c r="EU163" i="21" s="1"/>
  <c r="EV163" i="21" s="1"/>
  <c r="BH256" i="21"/>
  <c r="BJ256" i="21" s="1"/>
  <c r="BH309" i="21"/>
  <c r="FG191" i="21"/>
  <c r="CU191" i="21"/>
  <c r="AX290" i="21"/>
  <c r="CM290" i="21" s="1"/>
  <c r="M290" i="21"/>
  <c r="BF290" i="21" s="1"/>
  <c r="CO290" i="21" s="1"/>
  <c r="DI290" i="21"/>
  <c r="AZ143" i="21"/>
  <c r="M152" i="21"/>
  <c r="BF152" i="21" s="1"/>
  <c r="CO152" i="21" s="1"/>
  <c r="AX152" i="21"/>
  <c r="CM152" i="21" s="1"/>
  <c r="DJ152" i="21"/>
  <c r="AQ218" i="21"/>
  <c r="FJ134" i="21"/>
  <c r="CW134" i="21"/>
  <c r="ET202" i="21"/>
  <c r="EU202" i="21" s="1"/>
  <c r="EV202" i="21" s="1"/>
  <c r="BJ248" i="21"/>
  <c r="BI157" i="21"/>
  <c r="DR157" i="21"/>
  <c r="EL67" i="21"/>
  <c r="EK67" i="21" s="1"/>
  <c r="Y67" i="21"/>
  <c r="AY99" i="21"/>
  <c r="BH165" i="21"/>
  <c r="BJ165" i="21" s="1"/>
  <c r="AZ165" i="21"/>
  <c r="EU120" i="21"/>
  <c r="EV120" i="21" s="1"/>
  <c r="EZ120" i="21"/>
  <c r="ET120" i="21"/>
  <c r="DC142" i="21"/>
  <c r="FJ142" i="21"/>
  <c r="DT94" i="21"/>
  <c r="BL146" i="21"/>
  <c r="BN146" i="21" s="1"/>
  <c r="BO136" i="21"/>
  <c r="CB303" i="21"/>
  <c r="CI303" i="21" s="1"/>
  <c r="CK303" i="21" s="1"/>
  <c r="CP303" i="21" s="1"/>
  <c r="CB167" i="21"/>
  <c r="CI167" i="21" s="1"/>
  <c r="CK167" i="21" s="1"/>
  <c r="CP167" i="21" s="1"/>
  <c r="EU146" i="21"/>
  <c r="EV146" i="21" s="1"/>
  <c r="ET146" i="21"/>
  <c r="AM53" i="21"/>
  <c r="AL53" i="21"/>
  <c r="AZ112" i="21"/>
  <c r="ET96" i="21"/>
  <c r="EU96" i="21"/>
  <c r="EV96" i="21" s="1"/>
  <c r="EZ96" i="21"/>
  <c r="BB318" i="21"/>
  <c r="ET125" i="21"/>
  <c r="EU125" i="21" s="1"/>
  <c r="EV125" i="21" s="1"/>
  <c r="EZ125" i="21"/>
  <c r="Y69" i="21"/>
  <c r="EL69" i="21"/>
  <c r="EK69" i="21" s="1"/>
  <c r="AU20" i="21"/>
  <c r="AR20" i="21"/>
  <c r="BC63" i="21"/>
  <c r="CI24" i="21"/>
  <c r="BO32" i="21"/>
  <c r="BO80" i="21"/>
  <c r="EZ64" i="21"/>
  <c r="EU64" i="21"/>
  <c r="EV64" i="21" s="1"/>
  <c r="ET64" i="21"/>
  <c r="CB51" i="21"/>
  <c r="CI51" i="21" s="1"/>
  <c r="EL53" i="21"/>
  <c r="EK53" i="21" s="1"/>
  <c r="Y53" i="21"/>
  <c r="EL24" i="21"/>
  <c r="EK24" i="21" s="1"/>
  <c r="Y24" i="21"/>
  <c r="BL35" i="21"/>
  <c r="BN35" i="21" s="1"/>
  <c r="BM35" i="21"/>
  <c r="BO35" i="21" s="1"/>
  <c r="BM68" i="21"/>
  <c r="BL68" i="21"/>
  <c r="BN68" i="21" s="1"/>
  <c r="EL22" i="21"/>
  <c r="EK22" i="21" s="1"/>
  <c r="Y22" i="21"/>
  <c r="DT229" i="21"/>
  <c r="EU195" i="21"/>
  <c r="EV195" i="21" s="1"/>
  <c r="ET195" i="21"/>
  <c r="EL288" i="21"/>
  <c r="EK288" i="21" s="1"/>
  <c r="Y288" i="21"/>
  <c r="EH236" i="21"/>
  <c r="EG236" i="21"/>
  <c r="EL212" i="21"/>
  <c r="EK212" i="21" s="1"/>
  <c r="EM212" i="21" s="1"/>
  <c r="EP212" i="21" s="1"/>
  <c r="EQ212" i="21" s="1"/>
  <c r="Y212" i="21"/>
  <c r="EL207" i="21"/>
  <c r="EK207" i="21" s="1"/>
  <c r="Y207" i="21"/>
  <c r="DM187" i="21"/>
  <c r="BJ308" i="21"/>
  <c r="DM250" i="21"/>
  <c r="EU181" i="21"/>
  <c r="EV181" i="21" s="1"/>
  <c r="ET181" i="21"/>
  <c r="ET126" i="21"/>
  <c r="EU126" i="21" s="1"/>
  <c r="EV126" i="21" s="1"/>
  <c r="BF197" i="21"/>
  <c r="CO197" i="21" s="1"/>
  <c r="FJ184" i="21"/>
  <c r="CW184" i="21"/>
  <c r="EL159" i="21"/>
  <c r="EK159" i="21" s="1"/>
  <c r="EM159" i="21" s="1"/>
  <c r="EP159" i="21" s="1"/>
  <c r="EQ159" i="21" s="1"/>
  <c r="ES159" i="21" s="1"/>
  <c r="Y159" i="21"/>
  <c r="DD122" i="21"/>
  <c r="FI122" i="21"/>
  <c r="BO95" i="21"/>
  <c r="BP95" i="21" s="1"/>
  <c r="EI95" i="21" s="1"/>
  <c r="Y224" i="21"/>
  <c r="EL224" i="21"/>
  <c r="EK224" i="21" s="1"/>
  <c r="CB132" i="21"/>
  <c r="CI132" i="21" s="1"/>
  <c r="CK132" i="21" s="1"/>
  <c r="CP132" i="21" s="1"/>
  <c r="DM224" i="21"/>
  <c r="AJ165" i="21"/>
  <c r="AT165" i="21"/>
  <c r="DU165" i="21" s="1"/>
  <c r="BB230" i="21"/>
  <c r="AQ167" i="21"/>
  <c r="BO85" i="21"/>
  <c r="BP85" i="21" s="1"/>
  <c r="EI85" i="21" s="1"/>
  <c r="BB140" i="21"/>
  <c r="BO140" i="21"/>
  <c r="BP140" i="21" s="1"/>
  <c r="EI140" i="21" s="1"/>
  <c r="EH140" i="21" s="1"/>
  <c r="BP138" i="21"/>
  <c r="EI138" i="21" s="1"/>
  <c r="EH138" i="21" s="1"/>
  <c r="AY120" i="21"/>
  <c r="DM77" i="21"/>
  <c r="BO150" i="21"/>
  <c r="Y78" i="21"/>
  <c r="EL78" i="21"/>
  <c r="EK78" i="21" s="1"/>
  <c r="EY62" i="21"/>
  <c r="EZ62" i="21" s="1"/>
  <c r="CI102" i="21"/>
  <c r="CK102" i="21" s="1"/>
  <c r="CP102" i="21" s="1"/>
  <c r="CK33" i="21"/>
  <c r="AZ102" i="21"/>
  <c r="AX131" i="21"/>
  <c r="CM131" i="21" s="1"/>
  <c r="DJ131" i="21"/>
  <c r="EY131" i="21" s="1"/>
  <c r="BC48" i="21"/>
  <c r="FG112" i="21"/>
  <c r="CU112" i="21"/>
  <c r="Y19" i="21"/>
  <c r="EL19" i="21"/>
  <c r="EK19" i="21" s="1"/>
  <c r="EM19" i="21" s="1"/>
  <c r="EP19" i="21" s="1"/>
  <c r="EQ19" i="21" s="1"/>
  <c r="EL20" i="21"/>
  <c r="EK20" i="21" s="1"/>
  <c r="EM20" i="21" s="1"/>
  <c r="EP20" i="21" s="1"/>
  <c r="EQ20" i="21" s="1"/>
  <c r="Y20" i="21"/>
  <c r="AY157" i="21"/>
  <c r="ET36" i="21"/>
  <c r="EU36" i="21" s="1"/>
  <c r="EV36" i="21" s="1"/>
  <c r="EZ36" i="21"/>
  <c r="EL45" i="21"/>
  <c r="EK45" i="21" s="1"/>
  <c r="Y45" i="21"/>
  <c r="AM23" i="21"/>
  <c r="AL23" i="21"/>
  <c r="AQ23" i="21" s="1"/>
  <c r="AZ282" i="21"/>
  <c r="BH282" i="21"/>
  <c r="AX189" i="21"/>
  <c r="CM189" i="21" s="1"/>
  <c r="M189" i="21"/>
  <c r="BF189" i="21" s="1"/>
  <c r="CO189" i="21" s="1"/>
  <c r="DI189" i="21"/>
  <c r="DA267" i="21"/>
  <c r="FG267" i="21"/>
  <c r="EL232" i="21"/>
  <c r="EK232" i="21" s="1"/>
  <c r="Y232" i="21"/>
  <c r="FG278" i="21"/>
  <c r="DA278" i="21"/>
  <c r="DM153" i="21"/>
  <c r="ES153" i="21"/>
  <c r="ER153" i="21"/>
  <c r="AY206" i="21"/>
  <c r="FY192" i="21"/>
  <c r="GA192" i="21" s="1"/>
  <c r="CS192" i="21" s="1"/>
  <c r="BZ192" i="21"/>
  <c r="BR192" i="21"/>
  <c r="DZ192" i="21" s="1"/>
  <c r="EB192" i="21" s="1"/>
  <c r="EH192" i="21" s="1"/>
  <c r="CA192" i="21"/>
  <c r="DI233" i="21"/>
  <c r="M233" i="21"/>
  <c r="AX233" i="21"/>
  <c r="CM233" i="21" s="1"/>
  <c r="AY163" i="21"/>
  <c r="DT177" i="21"/>
  <c r="BI177" i="21"/>
  <c r="BJ177" i="21" s="1"/>
  <c r="BZ198" i="21"/>
  <c r="FY198" i="21"/>
  <c r="CA198" i="21"/>
  <c r="BR198" i="21"/>
  <c r="DZ198" i="21" s="1"/>
  <c r="EB198" i="21" s="1"/>
  <c r="EH198" i="21" s="1"/>
  <c r="AY282" i="21"/>
  <c r="EY105" i="21"/>
  <c r="EZ105" i="21" s="1"/>
  <c r="DM197" i="21"/>
  <c r="EL201" i="21"/>
  <c r="EK201" i="21" s="1"/>
  <c r="Y201" i="21"/>
  <c r="FY207" i="21"/>
  <c r="GA207" i="21" s="1"/>
  <c r="CS207" i="21" s="1"/>
  <c r="CA207" i="21"/>
  <c r="BR207" i="21"/>
  <c r="DZ207" i="21" s="1"/>
  <c r="EB207" i="21" s="1"/>
  <c r="EH207" i="21" s="1"/>
  <c r="BZ207" i="21"/>
  <c r="CB207" i="21" s="1"/>
  <c r="CI207" i="21" s="1"/>
  <c r="CK207" i="21" s="1"/>
  <c r="CP207" i="21" s="1"/>
  <c r="BC156" i="21"/>
  <c r="AV156" i="21"/>
  <c r="AW156" i="21" s="1"/>
  <c r="DJ130" i="21"/>
  <c r="EY130" i="21" s="1"/>
  <c r="AX130" i="21"/>
  <c r="CM130" i="21" s="1"/>
  <c r="AY159" i="21"/>
  <c r="AZ159" i="21" s="1"/>
  <c r="AY132" i="21"/>
  <c r="AY137" i="21"/>
  <c r="BE56" i="21"/>
  <c r="BF56" i="21" s="1"/>
  <c r="CO56" i="21" s="1"/>
  <c r="AZ56" i="21"/>
  <c r="AQ165" i="21"/>
  <c r="AM132" i="21"/>
  <c r="AL132" i="21"/>
  <c r="AL140" i="21"/>
  <c r="FI140" i="21"/>
  <c r="DD140" i="21"/>
  <c r="EB302" i="21"/>
  <c r="BM73" i="21"/>
  <c r="BL73" i="21"/>
  <c r="BN73" i="21" s="1"/>
  <c r="DJ24" i="21"/>
  <c r="AX24" i="21"/>
  <c r="M24" i="21"/>
  <c r="BF24" i="21" s="1"/>
  <c r="BO110" i="21"/>
  <c r="BP110" i="21" s="1"/>
  <c r="EI110" i="21" s="1"/>
  <c r="EH110" i="21" s="1"/>
  <c r="AZ83" i="21"/>
  <c r="BE83" i="21"/>
  <c r="BF83" i="21" s="1"/>
  <c r="CO83" i="21" s="1"/>
  <c r="ET37" i="21"/>
  <c r="EU37" i="21" s="1"/>
  <c r="EV37" i="21" s="1"/>
  <c r="EN37" i="21"/>
  <c r="EZ37" i="21"/>
  <c r="BC75" i="21"/>
  <c r="CN75" i="21" s="1"/>
  <c r="DM193" i="21"/>
  <c r="BL21" i="21"/>
  <c r="BN21" i="21" s="1"/>
  <c r="BM21" i="21"/>
  <c r="BO21" i="21" s="1"/>
  <c r="ET62" i="21"/>
  <c r="EU62" i="21" s="1"/>
  <c r="EV62" i="21" s="1"/>
  <c r="AY145" i="21"/>
  <c r="AZ145" i="21" s="1"/>
  <c r="FI131" i="21"/>
  <c r="CX131" i="21"/>
  <c r="BP27" i="21"/>
  <c r="EI27" i="21" s="1"/>
  <c r="EY111" i="21"/>
  <c r="EZ111" i="21" s="1"/>
  <c r="AX40" i="21"/>
  <c r="M40" i="21"/>
  <c r="BF40" i="21" s="1"/>
  <c r="DJ40" i="21"/>
  <c r="EU79" i="21"/>
  <c r="EV79" i="21" s="1"/>
  <c r="BC19" i="21"/>
  <c r="ET50" i="21"/>
  <c r="EU50" i="21" s="1"/>
  <c r="EV50" i="21" s="1"/>
  <c r="CW57" i="21"/>
  <c r="FJ57" i="21"/>
  <c r="AZ97" i="21"/>
  <c r="BE97" i="21"/>
  <c r="BB30" i="21"/>
  <c r="BB45" i="21"/>
  <c r="CU84" i="21"/>
  <c r="FG84" i="21"/>
  <c r="DM24" i="21"/>
  <c r="FI68" i="21"/>
  <c r="CX68" i="21"/>
  <c r="BP28" i="21"/>
  <c r="EI28" i="21" s="1"/>
  <c r="M234" i="21"/>
  <c r="BF234" i="21" s="1"/>
  <c r="CO234" i="21" s="1"/>
  <c r="AX234" i="21"/>
  <c r="CM234" i="21" s="1"/>
  <c r="DI234" i="21"/>
  <c r="CB244" i="21"/>
  <c r="CI244" i="21" s="1"/>
  <c r="CK244" i="21" s="1"/>
  <c r="CP244" i="21" s="1"/>
  <c r="DT304" i="21"/>
  <c r="BI304" i="21"/>
  <c r="BJ304" i="21" s="1"/>
  <c r="EH223" i="21"/>
  <c r="EG223" i="21"/>
  <c r="M228" i="21"/>
  <c r="BF228" i="21" s="1"/>
  <c r="DI228" i="21"/>
  <c r="AX228" i="21"/>
  <c r="BP152" i="21"/>
  <c r="EI152" i="21" s="1"/>
  <c r="EH152" i="21" s="1"/>
  <c r="BO152" i="21"/>
  <c r="DM233" i="21"/>
  <c r="DI229" i="21"/>
  <c r="M229" i="21"/>
  <c r="BB229" i="21"/>
  <c r="AX229" i="21"/>
  <c r="DR161" i="21"/>
  <c r="EM161" i="21"/>
  <c r="EP161" i="21" s="1"/>
  <c r="EQ161" i="21" s="1"/>
  <c r="ES161" i="21" s="1"/>
  <c r="BH247" i="21"/>
  <c r="AZ247" i="21"/>
  <c r="GA247" i="21"/>
  <c r="CS247" i="21" s="1"/>
  <c r="AZ250" i="21"/>
  <c r="BH250" i="21"/>
  <c r="BJ250" i="21" s="1"/>
  <c r="T198" i="21"/>
  <c r="Y155" i="21"/>
  <c r="EL155" i="21"/>
  <c r="EK155" i="21" s="1"/>
  <c r="EM155" i="21" s="1"/>
  <c r="EP155" i="21" s="1"/>
  <c r="EQ155" i="21" s="1"/>
  <c r="M175" i="21"/>
  <c r="BF175" i="21" s="1"/>
  <c r="CO175" i="21" s="1"/>
  <c r="AX175" i="21"/>
  <c r="CM175" i="21" s="1"/>
  <c r="DI175" i="21"/>
  <c r="BB175" i="21"/>
  <c r="DT284" i="21"/>
  <c r="BI284" i="21"/>
  <c r="BJ160" i="21"/>
  <c r="CB133" i="21"/>
  <c r="CI133" i="21" s="1"/>
  <c r="CK133" i="21" s="1"/>
  <c r="CP133" i="21" s="1"/>
  <c r="T207" i="21"/>
  <c r="FI147" i="21"/>
  <c r="DD147" i="21"/>
  <c r="EH206" i="21"/>
  <c r="EU130" i="21"/>
  <c r="EV130" i="21" s="1"/>
  <c r="ET130" i="21"/>
  <c r="BE72" i="21"/>
  <c r="BF72" i="21" s="1"/>
  <c r="CO72" i="21" s="1"/>
  <c r="AY72" i="21"/>
  <c r="AZ72" i="21" s="1"/>
  <c r="AZ52" i="21"/>
  <c r="BE52" i="21"/>
  <c r="BF52" i="21" s="1"/>
  <c r="CO52" i="21" s="1"/>
  <c r="AX132" i="21"/>
  <c r="CM132" i="21" s="1"/>
  <c r="DJ132" i="21"/>
  <c r="BZ197" i="21"/>
  <c r="CB197" i="21" s="1"/>
  <c r="CI197" i="21" s="1"/>
  <c r="CK197" i="21" s="1"/>
  <c r="CP197" i="21" s="1"/>
  <c r="AY140" i="21"/>
  <c r="AZ140" i="21" s="1"/>
  <c r="DI179" i="21"/>
  <c r="M179" i="21"/>
  <c r="BF179" i="21" s="1"/>
  <c r="CO179" i="21" s="1"/>
  <c r="AX179" i="21"/>
  <c r="CM179" i="21" s="1"/>
  <c r="FI138" i="21"/>
  <c r="CX138" i="21"/>
  <c r="Y115" i="21"/>
  <c r="EL115" i="21"/>
  <c r="EK115" i="21" s="1"/>
  <c r="BH264" i="21"/>
  <c r="BB179" i="21"/>
  <c r="AY139" i="21"/>
  <c r="AZ139" i="21" s="1"/>
  <c r="AQ110" i="21"/>
  <c r="FG70" i="21"/>
  <c r="CU70" i="21"/>
  <c r="Y249" i="21"/>
  <c r="CB85" i="21"/>
  <c r="CI85" i="21" s="1"/>
  <c r="CK85" i="21" s="1"/>
  <c r="CP85" i="21" s="1"/>
  <c r="Y116" i="21"/>
  <c r="EL116" i="21"/>
  <c r="EK116" i="21" s="1"/>
  <c r="EU116" i="21" s="1"/>
  <c r="EV116" i="21" s="1"/>
  <c r="BM41" i="21"/>
  <c r="BL41" i="21"/>
  <c r="BN41" i="21" s="1"/>
  <c r="CA75" i="21"/>
  <c r="BZ75" i="21"/>
  <c r="BR75" i="21"/>
  <c r="DZ75" i="21" s="1"/>
  <c r="EB75" i="21" s="1"/>
  <c r="FX75" i="21"/>
  <c r="GA75" i="21" s="1"/>
  <c r="CS75" i="21" s="1"/>
  <c r="BK75" i="21"/>
  <c r="BE75" i="21"/>
  <c r="BF75" i="21" s="1"/>
  <c r="CO75" i="21" s="1"/>
  <c r="EE75" i="21"/>
  <c r="GA112" i="21"/>
  <c r="CS112" i="21" s="1"/>
  <c r="CB193" i="21"/>
  <c r="CI193" i="21" s="1"/>
  <c r="CK193" i="21" s="1"/>
  <c r="CP193" i="21" s="1"/>
  <c r="BF44" i="21"/>
  <c r="EB102" i="21"/>
  <c r="ET131" i="21"/>
  <c r="EU131" i="21"/>
  <c r="EV131" i="21" s="1"/>
  <c r="EZ131" i="21"/>
  <c r="CA90" i="21"/>
  <c r="BZ90" i="21"/>
  <c r="CB90" i="21" s="1"/>
  <c r="CI90" i="21" s="1"/>
  <c r="CK90" i="21" s="1"/>
  <c r="CP90" i="21" s="1"/>
  <c r="BR90" i="21"/>
  <c r="DZ90" i="21" s="1"/>
  <c r="EB90" i="21" s="1"/>
  <c r="FX90" i="21"/>
  <c r="GA90" i="21" s="1"/>
  <c r="CS90" i="21" s="1"/>
  <c r="BK90" i="21"/>
  <c r="BO27" i="21"/>
  <c r="EY112" i="21"/>
  <c r="FI78" i="21"/>
  <c r="CX78" i="21"/>
  <c r="BE95" i="21"/>
  <c r="AZ95" i="21"/>
  <c r="DT79" i="21"/>
  <c r="AM50" i="21"/>
  <c r="AL50" i="21"/>
  <c r="EL30" i="21"/>
  <c r="EK30" i="21" s="1"/>
  <c r="Y30" i="21"/>
  <c r="DP42" i="21"/>
  <c r="DO42" i="21"/>
  <c r="DQ42" i="21" s="1"/>
  <c r="EY84" i="21"/>
  <c r="EZ84" i="21" s="1"/>
  <c r="EY21" i="21"/>
  <c r="EZ21" i="21" s="1"/>
  <c r="CB68" i="21"/>
  <c r="CI68" i="21" s="1"/>
  <c r="CK68" i="21" s="1"/>
  <c r="CP68" i="21" s="1"/>
  <c r="BO28" i="21"/>
  <c r="DP31" i="21"/>
  <c r="DO31" i="21"/>
  <c r="DQ31" i="21" s="1"/>
  <c r="DT257" i="21"/>
  <c r="BI257" i="21"/>
  <c r="DM218" i="21"/>
  <c r="EH242" i="21"/>
  <c r="EG242" i="21"/>
  <c r="BB232" i="21"/>
  <c r="EB151" i="21"/>
  <c r="CX199" i="21"/>
  <c r="FI199" i="21"/>
  <c r="CU203" i="21"/>
  <c r="FG203" i="21"/>
  <c r="CK189" i="21"/>
  <c r="CP189" i="21" s="1"/>
  <c r="FI243" i="21"/>
  <c r="CX243" i="21"/>
  <c r="DM220" i="21"/>
  <c r="EE171" i="21"/>
  <c r="AL171" i="21"/>
  <c r="FG243" i="21"/>
  <c r="CU243" i="21"/>
  <c r="EU148" i="21"/>
  <c r="EV148" i="21" s="1"/>
  <c r="ET148" i="21"/>
  <c r="CB232" i="21"/>
  <c r="CI232" i="21" s="1"/>
  <c r="EL189" i="21"/>
  <c r="EK189" i="21" s="1"/>
  <c r="Y189" i="21"/>
  <c r="BB218" i="21"/>
  <c r="AM147" i="21"/>
  <c r="AL147" i="21"/>
  <c r="ET206" i="21"/>
  <c r="EU206" i="21" s="1"/>
  <c r="EV206" i="21" s="1"/>
  <c r="FI130" i="21"/>
  <c r="CX130" i="21"/>
  <c r="EU94" i="21"/>
  <c r="EV94" i="21" s="1"/>
  <c r="ET94" i="21"/>
  <c r="EZ94" i="21"/>
  <c r="AY67" i="21"/>
  <c r="AZ149" i="21"/>
  <c r="BC188" i="21"/>
  <c r="CN188" i="21" s="1"/>
  <c r="Y193" i="21"/>
  <c r="DN193" i="21" s="1"/>
  <c r="EL193" i="21"/>
  <c r="EK193" i="21" s="1"/>
  <c r="BM135" i="21"/>
  <c r="BL135" i="21"/>
  <c r="BN135" i="21" s="1"/>
  <c r="BF289" i="21"/>
  <c r="CO289" i="21" s="1"/>
  <c r="AX165" i="21"/>
  <c r="CM165" i="21" s="1"/>
  <c r="DI165" i="21"/>
  <c r="M165" i="21"/>
  <c r="BF165" i="21" s="1"/>
  <c r="CO165" i="21" s="1"/>
  <c r="EY127" i="21"/>
  <c r="EZ127" i="21" s="1"/>
  <c r="BM128" i="21"/>
  <c r="BL128" i="21"/>
  <c r="BN128" i="21" s="1"/>
  <c r="DT178" i="21"/>
  <c r="M340" i="21"/>
  <c r="BF340" i="21" s="1"/>
  <c r="CO340" i="21" s="1"/>
  <c r="AX340" i="21"/>
  <c r="CM340" i="21" s="1"/>
  <c r="DI340" i="21"/>
  <c r="EU151" i="21"/>
  <c r="EV151" i="21" s="1"/>
  <c r="ET151" i="21"/>
  <c r="CI264" i="21"/>
  <c r="CK264" i="21" s="1"/>
  <c r="CP264" i="21" s="1"/>
  <c r="AY173" i="21"/>
  <c r="Q111" i="21"/>
  <c r="FG139" i="21"/>
  <c r="DA139" i="21"/>
  <c r="Y73" i="21"/>
  <c r="EL73" i="21"/>
  <c r="EK73" i="21" s="1"/>
  <c r="M46" i="21"/>
  <c r="BF46" i="21" s="1"/>
  <c r="AX46" i="21"/>
  <c r="DJ46" i="21"/>
  <c r="AQ193" i="21"/>
  <c r="BO115" i="21"/>
  <c r="BP115" i="21" s="1"/>
  <c r="EI115" i="21" s="1"/>
  <c r="EH115" i="21" s="1"/>
  <c r="BC43" i="21"/>
  <c r="FJ69" i="21"/>
  <c r="CW69" i="21"/>
  <c r="BE90" i="21"/>
  <c r="BF90" i="21" s="1"/>
  <c r="CO90" i="21" s="1"/>
  <c r="CB95" i="21"/>
  <c r="CI95" i="21" s="1"/>
  <c r="CK95" i="21" s="1"/>
  <c r="CP95" i="21" s="1"/>
  <c r="DM74" i="21"/>
  <c r="FI74" i="21"/>
  <c r="CX74" i="21"/>
  <c r="AZ57" i="21"/>
  <c r="BE57" i="21"/>
  <c r="BF57" i="21" s="1"/>
  <c r="CO57" i="21" s="1"/>
  <c r="M19" i="21"/>
  <c r="AX19" i="21"/>
  <c r="DJ19" i="21"/>
  <c r="FG284" i="21"/>
  <c r="DA284" i="21"/>
  <c r="DJ32" i="21"/>
  <c r="EY32" i="21" s="1"/>
  <c r="M32" i="21"/>
  <c r="BF32" i="21" s="1"/>
  <c r="AX32" i="21"/>
  <c r="BE53" i="21"/>
  <c r="BF53" i="21" s="1"/>
  <c r="CO53" i="21" s="1"/>
  <c r="AZ53" i="21"/>
  <c r="CU124" i="21"/>
  <c r="FG124" i="21"/>
  <c r="BO24" i="21"/>
  <c r="DI240" i="21"/>
  <c r="M240" i="21"/>
  <c r="BF240" i="21" s="1"/>
  <c r="CO240" i="21" s="1"/>
  <c r="BB240" i="21"/>
  <c r="BC240" i="21" s="1"/>
  <c r="CN240" i="21" s="1"/>
  <c r="AX240" i="21"/>
  <c r="CM240" i="21" s="1"/>
  <c r="BH297" i="21"/>
  <c r="BZ249" i="21"/>
  <c r="BR249" i="21"/>
  <c r="DZ249" i="21" s="1"/>
  <c r="EB249" i="21" s="1"/>
  <c r="CA249" i="21"/>
  <c r="AL249" i="21"/>
  <c r="FY249" i="21"/>
  <c r="GA249" i="21" s="1"/>
  <c r="CS249" i="21" s="1"/>
  <c r="BZ245" i="21"/>
  <c r="CB245" i="21" s="1"/>
  <c r="CI245" i="21" s="1"/>
  <c r="CK245" i="21" s="1"/>
  <c r="CP245" i="21" s="1"/>
  <c r="BI274" i="21"/>
  <c r="BJ274" i="21" s="1"/>
  <c r="DT274" i="21"/>
  <c r="M222" i="21"/>
  <c r="BF222" i="21" s="1"/>
  <c r="DI222" i="21"/>
  <c r="AX222" i="21"/>
  <c r="BH243" i="21"/>
  <c r="BJ243" i="21" s="1"/>
  <c r="AZ243" i="21"/>
  <c r="AX170" i="21"/>
  <c r="CM170" i="21" s="1"/>
  <c r="M170" i="21"/>
  <c r="DI170" i="21"/>
  <c r="EU243" i="21"/>
  <c r="EV243" i="21" s="1"/>
  <c r="ET243" i="21"/>
  <c r="EL175" i="21"/>
  <c r="EK175" i="21" s="1"/>
  <c r="Y175" i="21"/>
  <c r="ET213" i="21"/>
  <c r="EU213" i="21" s="1"/>
  <c r="EV213" i="21" s="1"/>
  <c r="EB267" i="21"/>
  <c r="AY114" i="21"/>
  <c r="AZ114" i="21" s="1"/>
  <c r="AX126" i="21"/>
  <c r="CM126" i="21" s="1"/>
  <c r="DJ126" i="21"/>
  <c r="DC146" i="21"/>
  <c r="FJ146" i="21"/>
  <c r="AZ142" i="21"/>
  <c r="BH159" i="21"/>
  <c r="BK72" i="21"/>
  <c r="FX72" i="21"/>
  <c r="GA72" i="21" s="1"/>
  <c r="CS72" i="21" s="1"/>
  <c r="CA72" i="21"/>
  <c r="AN72" i="21"/>
  <c r="BZ72" i="21"/>
  <c r="CB72" i="21" s="1"/>
  <c r="CI72" i="21" s="1"/>
  <c r="CK72" i="21" s="1"/>
  <c r="CP72" i="21" s="1"/>
  <c r="BR72" i="21"/>
  <c r="DZ72" i="21" s="1"/>
  <c r="EB72" i="21" s="1"/>
  <c r="CU127" i="21"/>
  <c r="FG127" i="21"/>
  <c r="BJ425" i="21"/>
  <c r="FJ138" i="21"/>
  <c r="CW138" i="21"/>
  <c r="DT102" i="21"/>
  <c r="GA173" i="21"/>
  <c r="CS173" i="21" s="1"/>
  <c r="GA347" i="21"/>
  <c r="CS347" i="21" s="1"/>
  <c r="AY104" i="21"/>
  <c r="BJ480" i="21"/>
  <c r="DT62" i="21"/>
  <c r="Y75" i="21"/>
  <c r="EL75" i="21"/>
  <c r="EK75" i="21" s="1"/>
  <c r="ET75" i="21" s="1"/>
  <c r="EY139" i="21"/>
  <c r="BP80" i="21"/>
  <c r="EI80" i="21" s="1"/>
  <c r="DT64" i="21"/>
  <c r="AZ110" i="21"/>
  <c r="BC110" i="21" s="1"/>
  <c r="BB41" i="21"/>
  <c r="BC41" i="21" s="1"/>
  <c r="AL191" i="21"/>
  <c r="EE191" i="21"/>
  <c r="BO102" i="21"/>
  <c r="CB116" i="21"/>
  <c r="CI116" i="21" s="1"/>
  <c r="CK116" i="21" s="1"/>
  <c r="CP116" i="21" s="1"/>
  <c r="DM69" i="21"/>
  <c r="AY90" i="21"/>
  <c r="AZ90" i="21" s="1"/>
  <c r="EU111" i="21"/>
  <c r="EV111" i="21" s="1"/>
  <c r="EL92" i="21"/>
  <c r="EK92" i="21" s="1"/>
  <c r="Y92" i="21"/>
  <c r="AM49" i="21"/>
  <c r="AL49" i="21"/>
  <c r="BM51" i="21"/>
  <c r="BL51" i="21"/>
  <c r="BN51" i="21" s="1"/>
  <c r="CA66" i="21"/>
  <c r="BZ66" i="21"/>
  <c r="BR66" i="21"/>
  <c r="DZ66" i="21" s="1"/>
  <c r="EB66" i="21" s="1"/>
  <c r="BK66" i="21"/>
  <c r="FX66" i="21"/>
  <c r="GA66" i="21" s="1"/>
  <c r="CS66" i="21" s="1"/>
  <c r="Y89" i="21"/>
  <c r="EL89" i="21"/>
  <c r="EK89" i="21" s="1"/>
  <c r="ET86" i="21"/>
  <c r="EU86" i="21" s="1"/>
  <c r="EV86" i="21" s="1"/>
  <c r="FX59" i="21"/>
  <c r="GA59" i="21" s="1"/>
  <c r="CS59" i="21" s="1"/>
  <c r="AN59" i="21"/>
  <c r="BK59" i="21"/>
  <c r="CA59" i="21"/>
  <c r="BZ59" i="21"/>
  <c r="BR59" i="21"/>
  <c r="DZ59" i="21" s="1"/>
  <c r="EB59" i="21" s="1"/>
  <c r="DQ44" i="21"/>
  <c r="DP44" i="21"/>
  <c r="DO44" i="21"/>
  <c r="M236" i="21"/>
  <c r="BF236" i="21" s="1"/>
  <c r="CO236" i="21" s="1"/>
  <c r="DI236" i="21"/>
  <c r="AX236" i="21"/>
  <c r="CM236" i="21" s="1"/>
  <c r="DI279" i="21"/>
  <c r="M279" i="21"/>
  <c r="BF279" i="21" s="1"/>
  <c r="CO279" i="21" s="1"/>
  <c r="BB279" i="21"/>
  <c r="BC279" i="21" s="1"/>
  <c r="CN279" i="21" s="1"/>
  <c r="AX279" i="21"/>
  <c r="CM279" i="21" s="1"/>
  <c r="EL316" i="21"/>
  <c r="EK316" i="21" s="1"/>
  <c r="Y316" i="21"/>
  <c r="Y253" i="21"/>
  <c r="EL253" i="21"/>
  <c r="EK253" i="21" s="1"/>
  <c r="DI187" i="21"/>
  <c r="M187" i="21"/>
  <c r="BF187" i="21" s="1"/>
  <c r="CO187" i="21" s="1"/>
  <c r="AX187" i="21"/>
  <c r="CM187" i="21" s="1"/>
  <c r="DD188" i="21"/>
  <c r="FI188" i="21"/>
  <c r="EG245" i="21"/>
  <c r="EH245" i="21"/>
  <c r="DM213" i="21"/>
  <c r="EH160" i="21"/>
  <c r="BH229" i="21"/>
  <c r="BJ229" i="21" s="1"/>
  <c r="AZ229" i="21"/>
  <c r="AY229" i="21"/>
  <c r="EH243" i="21"/>
  <c r="EG243" i="21"/>
  <c r="AU216" i="21"/>
  <c r="AR216" i="21"/>
  <c r="CB187" i="21"/>
  <c r="CI187" i="21" s="1"/>
  <c r="AT168" i="21"/>
  <c r="DU168" i="21" s="1"/>
  <c r="AP169" i="21"/>
  <c r="ET274" i="21"/>
  <c r="EU274" i="21" s="1"/>
  <c r="EV274" i="21" s="1"/>
  <c r="M174" i="21"/>
  <c r="BF174" i="21" s="1"/>
  <c r="CO174" i="21" s="1"/>
  <c r="DI174" i="21"/>
  <c r="BB174" i="21"/>
  <c r="AX174" i="21"/>
  <c r="CM174" i="21" s="1"/>
  <c r="FJ130" i="21"/>
  <c r="CW130" i="21"/>
  <c r="AZ232" i="21"/>
  <c r="BH232" i="21"/>
  <c r="CB147" i="21"/>
  <c r="BB231" i="21"/>
  <c r="AJ198" i="21"/>
  <c r="BH169" i="21"/>
  <c r="AZ169" i="21"/>
  <c r="CB267" i="21"/>
  <c r="DM107" i="21"/>
  <c r="ER107" i="21"/>
  <c r="FG180" i="21"/>
  <c r="DA180" i="21"/>
  <c r="AY123" i="21"/>
  <c r="AZ123" i="21" s="1"/>
  <c r="CW171" i="21"/>
  <c r="FJ171" i="21"/>
  <c r="Y218" i="21"/>
  <c r="EL218" i="21"/>
  <c r="EK218" i="21" s="1"/>
  <c r="BO144" i="21"/>
  <c r="BP144" i="21" s="1"/>
  <c r="EI144" i="21" s="1"/>
  <c r="EH144" i="21" s="1"/>
  <c r="BM127" i="21"/>
  <c r="BL127" i="21"/>
  <c r="BN127" i="21" s="1"/>
  <c r="EZ112" i="21"/>
  <c r="ET112" i="21"/>
  <c r="EU112" i="21" s="1"/>
  <c r="EV112" i="21" s="1"/>
  <c r="BB188" i="21"/>
  <c r="AZ64" i="21"/>
  <c r="BE64" i="21"/>
  <c r="BF64" i="21" s="1"/>
  <c r="CO64" i="21" s="1"/>
  <c r="CA99" i="21"/>
  <c r="BR99" i="21"/>
  <c r="DZ99" i="21" s="1"/>
  <c r="EB99" i="21" s="1"/>
  <c r="BK99" i="21"/>
  <c r="BZ99" i="21"/>
  <c r="CB99" i="21" s="1"/>
  <c r="CI99" i="21" s="1"/>
  <c r="CK99" i="21" s="1"/>
  <c r="CP99" i="21" s="1"/>
  <c r="FY99" i="21"/>
  <c r="GA99" i="21" s="1"/>
  <c r="T99" i="21"/>
  <c r="EM158" i="21"/>
  <c r="EP158" i="21" s="1"/>
  <c r="EQ158" i="21" s="1"/>
  <c r="AZ183" i="21"/>
  <c r="BH183" i="21"/>
  <c r="FG289" i="21"/>
  <c r="CU289" i="21"/>
  <c r="DM159" i="21"/>
  <c r="ER159" i="21"/>
  <c r="ET191" i="21"/>
  <c r="EU191" i="21" s="1"/>
  <c r="EV191" i="21" s="1"/>
  <c r="EL261" i="21"/>
  <c r="EK261" i="21" s="1"/>
  <c r="Y261" i="21"/>
  <c r="AY128" i="21"/>
  <c r="AZ128" i="21" s="1"/>
  <c r="BF166" i="21"/>
  <c r="CO166" i="21" s="1"/>
  <c r="CA340" i="21"/>
  <c r="FY340" i="21"/>
  <c r="GA340" i="21" s="1"/>
  <c r="CS340" i="21" s="1"/>
  <c r="BR340" i="21"/>
  <c r="DZ340" i="21" s="1"/>
  <c r="EB340" i="21" s="1"/>
  <c r="EG340" i="21" s="1"/>
  <c r="BZ340" i="21"/>
  <c r="CB340" i="21" s="1"/>
  <c r="CI340" i="21" s="1"/>
  <c r="DM203" i="21"/>
  <c r="EH253" i="21"/>
  <c r="AQ104" i="21"/>
  <c r="EG103" i="21"/>
  <c r="EH103" i="21"/>
  <c r="BC60" i="21"/>
  <c r="CN60" i="21" s="1"/>
  <c r="CB58" i="21"/>
  <c r="CI58" i="21" s="1"/>
  <c r="CK58" i="21" s="1"/>
  <c r="CP58" i="21" s="1"/>
  <c r="CE330" i="21"/>
  <c r="AZ191" i="21"/>
  <c r="BH191" i="21"/>
  <c r="BJ191" i="21" s="1"/>
  <c r="M25" i="21"/>
  <c r="AX25" i="21"/>
  <c r="DJ25" i="21"/>
  <c r="AZ116" i="21"/>
  <c r="M38" i="21"/>
  <c r="BF38" i="21" s="1"/>
  <c r="AX38" i="21"/>
  <c r="DJ38" i="21"/>
  <c r="BB38" i="21"/>
  <c r="BC38" i="21" s="1"/>
  <c r="BP100" i="21"/>
  <c r="EI100" i="21" s="1"/>
  <c r="CA76" i="21"/>
  <c r="BZ76" i="21"/>
  <c r="BR76" i="21"/>
  <c r="DZ76" i="21" s="1"/>
  <c r="EB76" i="21" s="1"/>
  <c r="BK76" i="21"/>
  <c r="FX76" i="21"/>
  <c r="GA76" i="21" s="1"/>
  <c r="CS76" i="21" s="1"/>
  <c r="BL48" i="21"/>
  <c r="BN48" i="21" s="1"/>
  <c r="BM48" i="21"/>
  <c r="ET34" i="21"/>
  <c r="EU34" i="21" s="1"/>
  <c r="EV34" i="21" s="1"/>
  <c r="CB74" i="21"/>
  <c r="CI74" i="21" s="1"/>
  <c r="CK74" i="21" s="1"/>
  <c r="CP74" i="21" s="1"/>
  <c r="AY74" i="21"/>
  <c r="AZ74" i="21" s="1"/>
  <c r="AZ66" i="21"/>
  <c r="BE66" i="21"/>
  <c r="BF66" i="21" s="1"/>
  <c r="CO66" i="21" s="1"/>
  <c r="EK52" i="21"/>
  <c r="CU86" i="21"/>
  <c r="FG86" i="21"/>
  <c r="AM86" i="21"/>
  <c r="AL86" i="21"/>
  <c r="AL36" i="21"/>
  <c r="AM36" i="21"/>
  <c r="BE89" i="21"/>
  <c r="BF89" i="21" s="1"/>
  <c r="CO89" i="21" s="1"/>
  <c r="AZ89" i="21"/>
  <c r="EZ32" i="21"/>
  <c r="ET32" i="21"/>
  <c r="EU32" i="21" s="1"/>
  <c r="EV32" i="21" s="1"/>
  <c r="EY59" i="21"/>
  <c r="EZ59" i="21" s="1"/>
  <c r="BF251" i="21"/>
  <c r="CO251" i="21" s="1"/>
  <c r="CE319" i="21"/>
  <c r="CI319" i="21" s="1"/>
  <c r="BH208" i="21"/>
  <c r="AZ208" i="21"/>
  <c r="GA245" i="21"/>
  <c r="CS245" i="21" s="1"/>
  <c r="FY208" i="21"/>
  <c r="GA208" i="21" s="1"/>
  <c r="CS208" i="21" s="1"/>
  <c r="AL208" i="21"/>
  <c r="CA208" i="21"/>
  <c r="BR208" i="21"/>
  <c r="DZ208" i="21" s="1"/>
  <c r="EB208" i="21" s="1"/>
  <c r="EH208" i="21" s="1"/>
  <c r="BZ208" i="21"/>
  <c r="CB208" i="21" s="1"/>
  <c r="CI208" i="21" s="1"/>
  <c r="CK208" i="21" s="1"/>
  <c r="CP208" i="21" s="1"/>
  <c r="EL269" i="21"/>
  <c r="EK269" i="21" s="1"/>
  <c r="Y269" i="21"/>
  <c r="BJ213" i="21"/>
  <c r="AL174" i="21"/>
  <c r="EE174" i="21"/>
  <c r="DM212" i="21"/>
  <c r="ES212" i="21"/>
  <c r="ER212" i="21"/>
  <c r="CW243" i="21"/>
  <c r="FJ243" i="21"/>
  <c r="CK185" i="21"/>
  <c r="CP185" i="21" s="1"/>
  <c r="Y164" i="21"/>
  <c r="EL164" i="21"/>
  <c r="EK164" i="21" s="1"/>
  <c r="BF274" i="21"/>
  <c r="CO274" i="21" s="1"/>
  <c r="BJ223" i="21"/>
  <c r="AZ190" i="21"/>
  <c r="AZ147" i="21"/>
  <c r="FG192" i="21"/>
  <c r="CU192" i="21"/>
  <c r="AJ166" i="21"/>
  <c r="AT166" i="21"/>
  <c r="EL176" i="21"/>
  <c r="EK176" i="21" s="1"/>
  <c r="Y176" i="21"/>
  <c r="CU167" i="21"/>
  <c r="FG167" i="21"/>
  <c r="Y188" i="21"/>
  <c r="EL188" i="21"/>
  <c r="EK188" i="21" s="1"/>
  <c r="DR158" i="21"/>
  <c r="BI158" i="21"/>
  <c r="BJ158" i="21" s="1"/>
  <c r="Y66" i="21"/>
  <c r="EL66" i="21"/>
  <c r="EK66" i="21" s="1"/>
  <c r="ET289" i="21"/>
  <c r="EU289" i="21" s="1"/>
  <c r="EV289" i="21" s="1"/>
  <c r="DM188" i="21"/>
  <c r="BB261" i="21"/>
  <c r="BB233" i="21"/>
  <c r="FG166" i="21"/>
  <c r="DA166" i="21"/>
  <c r="Y101" i="21"/>
  <c r="EL101" i="21"/>
  <c r="EK101" i="21" s="1"/>
  <c r="BE101" i="21"/>
  <c r="AZ101" i="21"/>
  <c r="FY330" i="21"/>
  <c r="GA330" i="21" s="1"/>
  <c r="CS330" i="21" s="1"/>
  <c r="BM34" i="21"/>
  <c r="BL34" i="21"/>
  <c r="BN34" i="21" s="1"/>
  <c r="DJ51" i="21"/>
  <c r="AX51" i="21"/>
  <c r="M51" i="21"/>
  <c r="BF51" i="21" s="1"/>
  <c r="EU220" i="21"/>
  <c r="EV220" i="21" s="1"/>
  <c r="ET220" i="21"/>
  <c r="BE76" i="21"/>
  <c r="BF76" i="21" s="1"/>
  <c r="CO76" i="21" s="1"/>
  <c r="AZ76" i="21"/>
  <c r="DM48" i="21"/>
  <c r="FJ73" i="21"/>
  <c r="CW73" i="21"/>
  <c r="DC91" i="21"/>
  <c r="FJ91" i="21"/>
  <c r="DA9" i="21"/>
  <c r="DA8" i="21"/>
  <c r="DA6" i="21"/>
  <c r="DA7" i="21" s="1"/>
  <c r="BE74" i="21"/>
  <c r="BF74" i="21" s="1"/>
  <c r="CO74" i="21" s="1"/>
  <c r="BC30" i="21"/>
  <c r="BB51" i="21"/>
  <c r="EY86" i="21"/>
  <c r="EZ86" i="21" s="1"/>
  <c r="BZ89" i="21"/>
  <c r="CB89" i="21" s="1"/>
  <c r="CI89" i="21" s="1"/>
  <c r="CK89" i="21" s="1"/>
  <c r="CP89" i="21" s="1"/>
  <c r="CA89" i="21"/>
  <c r="BK89" i="21"/>
  <c r="BR89" i="21"/>
  <c r="DZ89" i="21" s="1"/>
  <c r="EB89" i="21" s="1"/>
  <c r="FX89" i="21"/>
  <c r="GA89" i="21" s="1"/>
  <c r="CS89" i="21" s="1"/>
  <c r="FG59" i="21"/>
  <c r="CU59" i="21"/>
  <c r="AZ265" i="21"/>
  <c r="BB316" i="21"/>
  <c r="AZ245" i="21"/>
  <c r="BH245" i="21"/>
  <c r="BJ245" i="21" s="1"/>
  <c r="DT292" i="21"/>
  <c r="BI292" i="21"/>
  <c r="P204" i="21"/>
  <c r="DY204" i="21" s="1"/>
  <c r="M204" i="21"/>
  <c r="BF204" i="21" s="1"/>
  <c r="CO204" i="21" s="1"/>
  <c r="DI204" i="21"/>
  <c r="AX204" i="21"/>
  <c r="CM204" i="21" s="1"/>
  <c r="EE169" i="21"/>
  <c r="AL169" i="21"/>
  <c r="AQ169" i="21" s="1"/>
  <c r="DI285" i="21"/>
  <c r="M285" i="21"/>
  <c r="BF285" i="21" s="1"/>
  <c r="CO285" i="21" s="1"/>
  <c r="AX285" i="21"/>
  <c r="CM285" i="21" s="1"/>
  <c r="BB285" i="21"/>
  <c r="AV212" i="21"/>
  <c r="AW212" i="21" s="1"/>
  <c r="BC212" i="21"/>
  <c r="DM225" i="21"/>
  <c r="DA274" i="21"/>
  <c r="FG274" i="21"/>
  <c r="FG239" i="21"/>
  <c r="CU239" i="21"/>
  <c r="CB175" i="21"/>
  <c r="CI175" i="21" s="1"/>
  <c r="CK175" i="21" s="1"/>
  <c r="CP175" i="21" s="1"/>
  <c r="AX218" i="21"/>
  <c r="M218" i="21"/>
  <c r="BF218" i="21" s="1"/>
  <c r="DI218" i="21"/>
  <c r="DJ148" i="21"/>
  <c r="EY148" i="21" s="1"/>
  <c r="BB148" i="21"/>
  <c r="BC148" i="21" s="1"/>
  <c r="CN148" i="21" s="1"/>
  <c r="M148" i="21"/>
  <c r="BF148" i="21" s="1"/>
  <c r="CO148" i="21" s="1"/>
  <c r="AX148" i="21"/>
  <c r="CM148" i="21" s="1"/>
  <c r="AY190" i="21"/>
  <c r="BH190" i="21" s="1"/>
  <c r="BJ190" i="21" s="1"/>
  <c r="BO147" i="21"/>
  <c r="BP147" i="21" s="1"/>
  <c r="EI147" i="21" s="1"/>
  <c r="EH147" i="21" s="1"/>
  <c r="FI171" i="21"/>
  <c r="CX171" i="21"/>
  <c r="AQ213" i="21"/>
  <c r="AQ166" i="21"/>
  <c r="BH197" i="21"/>
  <c r="BJ197" i="21" s="1"/>
  <c r="AZ197" i="21"/>
  <c r="BB170" i="21"/>
  <c r="BC170" i="21" s="1"/>
  <c r="CN170" i="21" s="1"/>
  <c r="ET167" i="21"/>
  <c r="EU167" i="21" s="1"/>
  <c r="EV167" i="21" s="1"/>
  <c r="EW167" i="21" s="1"/>
  <c r="BB201" i="21"/>
  <c r="AX133" i="21"/>
  <c r="CM133" i="21" s="1"/>
  <c r="DJ133" i="21"/>
  <c r="CB119" i="21"/>
  <c r="FY141" i="21"/>
  <c r="GA141" i="21" s="1"/>
  <c r="CS141" i="21" s="1"/>
  <c r="AJ141" i="21"/>
  <c r="CD141" i="21"/>
  <c r="CE141" i="21" s="1"/>
  <c r="CI141" i="21" s="1"/>
  <c r="CK141" i="21" s="1"/>
  <c r="CP141" i="21" s="1"/>
  <c r="BE141" i="21"/>
  <c r="BF141" i="21" s="1"/>
  <c r="CO141" i="21" s="1"/>
  <c r="DT183" i="21"/>
  <c r="CK98" i="21"/>
  <c r="CP98" i="21" s="1"/>
  <c r="AY177" i="21"/>
  <c r="AZ177" i="21" s="1"/>
  <c r="BZ263" i="21"/>
  <c r="BR263" i="21"/>
  <c r="DZ263" i="21" s="1"/>
  <c r="EB263" i="21" s="1"/>
  <c r="FY263" i="21"/>
  <c r="AL263" i="21"/>
  <c r="CA263" i="21"/>
  <c r="T263" i="21"/>
  <c r="AX146" i="21"/>
  <c r="CM146" i="21" s="1"/>
  <c r="BB146" i="21"/>
  <c r="DJ146" i="21"/>
  <c r="CB128" i="21"/>
  <c r="CI128" i="21" s="1"/>
  <c r="CK128" i="21" s="1"/>
  <c r="CP128" i="21" s="1"/>
  <c r="BO112" i="21"/>
  <c r="BH173" i="21"/>
  <c r="AZ173" i="21"/>
  <c r="DM91" i="21"/>
  <c r="BB133" i="21"/>
  <c r="DM174" i="21"/>
  <c r="CX93" i="21"/>
  <c r="FI93" i="21"/>
  <c r="CB110" i="21"/>
  <c r="CI110" i="21" s="1"/>
  <c r="CK110" i="21" s="1"/>
  <c r="CK191" i="21"/>
  <c r="CP191" i="21" s="1"/>
  <c r="AX45" i="21"/>
  <c r="DJ45" i="21"/>
  <c r="M45" i="21"/>
  <c r="Y109" i="21"/>
  <c r="EL109" i="21"/>
  <c r="EK109" i="21" s="1"/>
  <c r="BE84" i="21"/>
  <c r="BF84" i="21" s="1"/>
  <c r="CO84" i="21" s="1"/>
  <c r="AZ84" i="21"/>
  <c r="AU21" i="21"/>
  <c r="AR21" i="21"/>
  <c r="FY96" i="21"/>
  <c r="GA96" i="21" s="1"/>
  <c r="BK96" i="21"/>
  <c r="T96" i="21"/>
  <c r="CA96" i="21"/>
  <c r="BZ96" i="21"/>
  <c r="CB96" i="21" s="1"/>
  <c r="CI96" i="21" s="1"/>
  <c r="CK96" i="21" s="1"/>
  <c r="CP96" i="21" s="1"/>
  <c r="BR96" i="21"/>
  <c r="DZ96" i="21" s="1"/>
  <c r="EB96" i="21" s="1"/>
  <c r="AY76" i="21"/>
  <c r="FJ79" i="21"/>
  <c r="CW79" i="21"/>
  <c r="AM34" i="21"/>
  <c r="AL34" i="21"/>
  <c r="BP55" i="21"/>
  <c r="EI55" i="21" s="1"/>
  <c r="BO57" i="21"/>
  <c r="BM40" i="21"/>
  <c r="BL40" i="21"/>
  <c r="BN40" i="21" s="1"/>
  <c r="EH65" i="21"/>
  <c r="EG65" i="21"/>
  <c r="BK61" i="21"/>
  <c r="FX61" i="21"/>
  <c r="GA61" i="21" s="1"/>
  <c r="CS61" i="21" s="1"/>
  <c r="CS6" i="21" s="1"/>
  <c r="CS7" i="21" s="1"/>
  <c r="CA61" i="21"/>
  <c r="BR61" i="21"/>
  <c r="DZ61" i="21" s="1"/>
  <c r="EB61" i="21" s="1"/>
  <c r="BZ61" i="21"/>
  <c r="CB61" i="21" s="1"/>
  <c r="CI61" i="21" s="1"/>
  <c r="CK61" i="21" s="1"/>
  <c r="CP61" i="21" s="1"/>
  <c r="BE68" i="21"/>
  <c r="BF68" i="21" s="1"/>
  <c r="CO68" i="21" s="1"/>
  <c r="AZ68" i="21"/>
  <c r="DP20" i="21"/>
  <c r="DO20" i="21"/>
  <c r="DQ20" i="21"/>
  <c r="AZ155" i="20"/>
  <c r="AZ213" i="20"/>
  <c r="BH213" i="20"/>
  <c r="CX410" i="20"/>
  <c r="FI410" i="20"/>
  <c r="FI54" i="20"/>
  <c r="CX54" i="20"/>
  <c r="EH234" i="20"/>
  <c r="BH217" i="20"/>
  <c r="AX199" i="20"/>
  <c r="CM199" i="20" s="1"/>
  <c r="CB185" i="20"/>
  <c r="CI185" i="20" s="1"/>
  <c r="CK185" i="20" s="1"/>
  <c r="CP185" i="20" s="1"/>
  <c r="GA173" i="20"/>
  <c r="CS173" i="20" s="1"/>
  <c r="AY143" i="20"/>
  <c r="BB167" i="20"/>
  <c r="AL75" i="20"/>
  <c r="EL119" i="20"/>
  <c r="EK119" i="20" s="1"/>
  <c r="ET119" i="20" s="1"/>
  <c r="EH375" i="20"/>
  <c r="DM375" i="20" s="1"/>
  <c r="AY263" i="20"/>
  <c r="AZ263" i="20" s="1"/>
  <c r="CB172" i="20"/>
  <c r="CI172" i="20" s="1"/>
  <c r="CK172" i="20" s="1"/>
  <c r="CP172" i="20" s="1"/>
  <c r="DR156" i="20"/>
  <c r="P199" i="20"/>
  <c r="DY199" i="20" s="1"/>
  <c r="BC484" i="20"/>
  <c r="BF410" i="20"/>
  <c r="CO410" i="20" s="1"/>
  <c r="BZ368" i="20"/>
  <c r="BR351" i="20"/>
  <c r="DZ351" i="20" s="1"/>
  <c r="M317" i="20"/>
  <c r="BF317" i="20" s="1"/>
  <c r="CO317" i="20" s="1"/>
  <c r="FY317" i="20"/>
  <c r="Y310" i="20"/>
  <c r="BF265" i="20"/>
  <c r="CO265" i="20" s="1"/>
  <c r="BB282" i="20"/>
  <c r="CB226" i="20"/>
  <c r="CI226" i="20" s="1"/>
  <c r="AX233" i="20"/>
  <c r="CM233" i="20" s="1"/>
  <c r="AY145" i="20"/>
  <c r="Y152" i="20"/>
  <c r="DT152" i="20" s="1"/>
  <c r="BB136" i="20"/>
  <c r="BE142" i="20"/>
  <c r="BF142" i="20" s="1"/>
  <c r="CO142" i="20" s="1"/>
  <c r="EG91" i="20"/>
  <c r="DU484" i="20"/>
  <c r="CI482" i="20"/>
  <c r="CK482" i="20" s="1"/>
  <c r="BF314" i="20"/>
  <c r="CO314" i="20" s="1"/>
  <c r="BZ205" i="20"/>
  <c r="AY166" i="20"/>
  <c r="CB151" i="20"/>
  <c r="GA191" i="20"/>
  <c r="CS191" i="20" s="1"/>
  <c r="CX191" i="20" s="1"/>
  <c r="GA183" i="20"/>
  <c r="CS183" i="20" s="1"/>
  <c r="Y168" i="20"/>
  <c r="CD142" i="20"/>
  <c r="CE142" i="20" s="1"/>
  <c r="CI142" i="20" s="1"/>
  <c r="CK142" i="20" s="1"/>
  <c r="CP142" i="20" s="1"/>
  <c r="BF493" i="20"/>
  <c r="EE92" i="20"/>
  <c r="BE92" i="20"/>
  <c r="BF92" i="20" s="1"/>
  <c r="CO92" i="20" s="1"/>
  <c r="Y350" i="20"/>
  <c r="BF279" i="20"/>
  <c r="CO279" i="20" s="1"/>
  <c r="M282" i="20"/>
  <c r="BF282" i="20" s="1"/>
  <c r="CO282" i="20" s="1"/>
  <c r="M243" i="20"/>
  <c r="BF243" i="20" s="1"/>
  <c r="CO243" i="20" s="1"/>
  <c r="M233" i="20"/>
  <c r="BF233" i="20" s="1"/>
  <c r="CO233" i="20" s="1"/>
  <c r="AX167" i="20"/>
  <c r="CM167" i="20" s="1"/>
  <c r="M149" i="20"/>
  <c r="CK149" i="20" s="1"/>
  <c r="CP149" i="20" s="1"/>
  <c r="FY142" i="20"/>
  <c r="GA142" i="20" s="1"/>
  <c r="CS142" i="20" s="1"/>
  <c r="ET109" i="20"/>
  <c r="EU109" i="20" s="1"/>
  <c r="EV109" i="20" s="1"/>
  <c r="AY70" i="20"/>
  <c r="CX65" i="20"/>
  <c r="CI221" i="20"/>
  <c r="BF266" i="20"/>
  <c r="CO266" i="20" s="1"/>
  <c r="BB149" i="20"/>
  <c r="GA116" i="20"/>
  <c r="CS116" i="20" s="1"/>
  <c r="FI116" i="20" s="1"/>
  <c r="AY155" i="20"/>
  <c r="BH155" i="20" s="1"/>
  <c r="BJ155" i="20" s="1"/>
  <c r="BH475" i="20"/>
  <c r="BB436" i="20"/>
  <c r="BZ425" i="20"/>
  <c r="FY427" i="20"/>
  <c r="GA427" i="20" s="1"/>
  <c r="CS427" i="20" s="1"/>
  <c r="AL343" i="20"/>
  <c r="FY342" i="20"/>
  <c r="AX263" i="20"/>
  <c r="CM263" i="20" s="1"/>
  <c r="AL198" i="20"/>
  <c r="AY201" i="20"/>
  <c r="BH201" i="20" s="1"/>
  <c r="AJ198" i="20"/>
  <c r="M167" i="20"/>
  <c r="AX136" i="20"/>
  <c r="CM136" i="20" s="1"/>
  <c r="AX149" i="20"/>
  <c r="CM149" i="20" s="1"/>
  <c r="CB117" i="20"/>
  <c r="AZ477" i="20"/>
  <c r="DU477" i="20" s="1"/>
  <c r="FY198" i="20"/>
  <c r="GA198" i="20" s="1"/>
  <c r="CS198" i="20" s="1"/>
  <c r="FI198" i="20" s="1"/>
  <c r="CA92" i="20"/>
  <c r="AU156" i="20"/>
  <c r="BB99" i="20"/>
  <c r="CK484" i="20"/>
  <c r="BH473" i="20"/>
  <c r="BZ427" i="20"/>
  <c r="FY425" i="20"/>
  <c r="BF429" i="20"/>
  <c r="CO429" i="20" s="1"/>
  <c r="AL425" i="20"/>
  <c r="Y349" i="20"/>
  <c r="AY359" i="20"/>
  <c r="AZ359" i="20" s="1"/>
  <c r="DI314" i="20"/>
  <c r="FY327" i="20"/>
  <c r="GA327" i="20" s="1"/>
  <c r="CS327" i="20" s="1"/>
  <c r="BF245" i="20"/>
  <c r="CO245" i="20" s="1"/>
  <c r="BB226" i="20"/>
  <c r="ET243" i="20"/>
  <c r="EU243" i="20" s="1"/>
  <c r="EV243" i="20" s="1"/>
  <c r="BB199" i="20"/>
  <c r="BR198" i="20"/>
  <c r="DZ198" i="20" s="1"/>
  <c r="EB198" i="20" s="1"/>
  <c r="CI175" i="20"/>
  <c r="CB146" i="20"/>
  <c r="CI146" i="20" s="1"/>
  <c r="CK146" i="20" s="1"/>
  <c r="CP146" i="20" s="1"/>
  <c r="BL145" i="20"/>
  <c r="BN145" i="20" s="1"/>
  <c r="BF151" i="20"/>
  <c r="CO151" i="20" s="1"/>
  <c r="Y28" i="20"/>
  <c r="Y391" i="20"/>
  <c r="BB314" i="20"/>
  <c r="AY266" i="20"/>
  <c r="AZ266" i="20" s="1"/>
  <c r="BF264" i="20"/>
  <c r="CO264" i="20" s="1"/>
  <c r="BB424" i="20"/>
  <c r="CB150" i="20"/>
  <c r="CI150" i="20" s="1"/>
  <c r="CK150" i="20" s="1"/>
  <c r="CP150" i="20" s="1"/>
  <c r="FX92" i="20"/>
  <c r="GA92" i="20" s="1"/>
  <c r="CS92" i="20" s="1"/>
  <c r="BH484" i="20"/>
  <c r="T425" i="20"/>
  <c r="CA425" i="20"/>
  <c r="CB425" i="20" s="1"/>
  <c r="CI425" i="20" s="1"/>
  <c r="CK425" i="20" s="1"/>
  <c r="CP425" i="20" s="1"/>
  <c r="GA396" i="20"/>
  <c r="CS396" i="20" s="1"/>
  <c r="BR368" i="20"/>
  <c r="DZ368" i="20" s="1"/>
  <c r="EB368" i="20" s="1"/>
  <c r="EH368" i="20" s="1"/>
  <c r="AX314" i="20"/>
  <c r="CM314" i="20" s="1"/>
  <c r="CA198" i="20"/>
  <c r="CI144" i="20"/>
  <c r="CK144" i="20" s="1"/>
  <c r="CP144" i="20" s="1"/>
  <c r="CU185" i="20"/>
  <c r="CI155" i="20"/>
  <c r="BZ92" i="20"/>
  <c r="CB92" i="20" s="1"/>
  <c r="CI92" i="20" s="1"/>
  <c r="CK92" i="20" s="1"/>
  <c r="CP92" i="20" s="1"/>
  <c r="AM29" i="20"/>
  <c r="EB325" i="20"/>
  <c r="EG325" i="20" s="1"/>
  <c r="GA266" i="20"/>
  <c r="CS266" i="20" s="1"/>
  <c r="Y318" i="20"/>
  <c r="BI318" i="20" s="1"/>
  <c r="AN92" i="20"/>
  <c r="BK92" i="20"/>
  <c r="BC21" i="20"/>
  <c r="BF147" i="20"/>
  <c r="CO147" i="20" s="1"/>
  <c r="AY140" i="20"/>
  <c r="CB60" i="20"/>
  <c r="BK62" i="20"/>
  <c r="BL62" i="20" s="1"/>
  <c r="BN62" i="20" s="1"/>
  <c r="AX102" i="20"/>
  <c r="AY71" i="20"/>
  <c r="CA102" i="20"/>
  <c r="BA37" i="20"/>
  <c r="CI475" i="20"/>
  <c r="CK475" i="20" s="1"/>
  <c r="AL318" i="20"/>
  <c r="AX152" i="20"/>
  <c r="CM152" i="20" s="1"/>
  <c r="ET91" i="20"/>
  <c r="EU91" i="20" s="1"/>
  <c r="EV91" i="20" s="1"/>
  <c r="EL74" i="20"/>
  <c r="EK74" i="20" s="1"/>
  <c r="ET74" i="20" s="1"/>
  <c r="EU74" i="20" s="1"/>
  <c r="EV74" i="20" s="1"/>
  <c r="AJ192" i="20"/>
  <c r="EY60" i="20"/>
  <c r="AY127" i="20"/>
  <c r="AZ127" i="20" s="1"/>
  <c r="CI468" i="20"/>
  <c r="CK468" i="20" s="1"/>
  <c r="AL423" i="20"/>
  <c r="BZ399" i="20"/>
  <c r="AL371" i="20"/>
  <c r="AL301" i="20"/>
  <c r="CB302" i="20"/>
  <c r="Y259" i="20"/>
  <c r="BR270" i="20"/>
  <c r="DZ270" i="20" s="1"/>
  <c r="EB270" i="20" s="1"/>
  <c r="AX264" i="20"/>
  <c r="CM264" i="20" s="1"/>
  <c r="M242" i="20"/>
  <c r="BF242" i="20" s="1"/>
  <c r="DI192" i="20"/>
  <c r="BZ159" i="20"/>
  <c r="CB159" i="20" s="1"/>
  <c r="AY123" i="20"/>
  <c r="AZ123" i="20" s="1"/>
  <c r="ET96" i="20"/>
  <c r="CX76" i="20"/>
  <c r="AL199" i="20"/>
  <c r="CI40" i="20"/>
  <c r="CK40" i="20" s="1"/>
  <c r="CI24" i="20"/>
  <c r="ET493" i="20"/>
  <c r="EU493" i="20" s="1"/>
  <c r="EV493" i="20" s="1"/>
  <c r="EH354" i="20"/>
  <c r="DM354" i="20" s="1"/>
  <c r="CB229" i="20"/>
  <c r="CI229" i="20" s="1"/>
  <c r="AY162" i="20"/>
  <c r="BH162" i="20" s="1"/>
  <c r="BB233" i="20"/>
  <c r="BF417" i="20"/>
  <c r="CO417" i="20" s="1"/>
  <c r="BR301" i="20"/>
  <c r="DZ301" i="20" s="1"/>
  <c r="EB301" i="20" s="1"/>
  <c r="FY301" i="20"/>
  <c r="GA301" i="20" s="1"/>
  <c r="CS301" i="20" s="1"/>
  <c r="BB275" i="20"/>
  <c r="M232" i="20"/>
  <c r="BF232" i="20" s="1"/>
  <c r="CO232" i="20" s="1"/>
  <c r="GA201" i="20"/>
  <c r="CS201" i="20" s="1"/>
  <c r="FI201" i="20" s="1"/>
  <c r="AU162" i="20"/>
  <c r="M102" i="20"/>
  <c r="FX62" i="20"/>
  <c r="GA62" i="20" s="1"/>
  <c r="AN62" i="20"/>
  <c r="CI470" i="20"/>
  <c r="CK473" i="20"/>
  <c r="BR199" i="20"/>
  <c r="DZ199" i="20" s="1"/>
  <c r="EB199" i="20" s="1"/>
  <c r="BC471" i="20"/>
  <c r="BR399" i="20"/>
  <c r="DZ399" i="20" s="1"/>
  <c r="FY270" i="20"/>
  <c r="T270" i="20"/>
  <c r="DI275" i="20"/>
  <c r="BR252" i="20"/>
  <c r="DZ252" i="20" s="1"/>
  <c r="BB232" i="20"/>
  <c r="AZ219" i="20"/>
  <c r="GA208" i="20"/>
  <c r="CS208" i="20" s="1"/>
  <c r="FI208" i="20" s="1"/>
  <c r="M193" i="20"/>
  <c r="CB174" i="20"/>
  <c r="CI174" i="20" s="1"/>
  <c r="DI193" i="20"/>
  <c r="M192" i="20"/>
  <c r="BF192" i="20" s="1"/>
  <c r="CO192" i="20" s="1"/>
  <c r="EH163" i="20"/>
  <c r="DM163" i="20" s="1"/>
  <c r="Y120" i="20"/>
  <c r="BM117" i="20"/>
  <c r="AL130" i="20"/>
  <c r="AL95" i="20"/>
  <c r="AY89" i="20"/>
  <c r="AZ89" i="20" s="1"/>
  <c r="Y83" i="20"/>
  <c r="CB51" i="20"/>
  <c r="CI51" i="20" s="1"/>
  <c r="CK51" i="20" s="1"/>
  <c r="GA100" i="20"/>
  <c r="BR62" i="20"/>
  <c r="DZ62" i="20" s="1"/>
  <c r="EB62" i="20" s="1"/>
  <c r="EG62" i="20" s="1"/>
  <c r="BF40" i="20"/>
  <c r="FY102" i="20"/>
  <c r="GA102" i="20" s="1"/>
  <c r="AZ471" i="20"/>
  <c r="DU471" i="20" s="1"/>
  <c r="BZ401" i="20"/>
  <c r="CB365" i="20"/>
  <c r="ET263" i="20"/>
  <c r="EU263" i="20" s="1"/>
  <c r="EV263" i="20" s="1"/>
  <c r="CA199" i="20"/>
  <c r="Y85" i="20"/>
  <c r="DT85" i="20" s="1"/>
  <c r="ET73" i="20"/>
  <c r="EU73" i="20" s="1"/>
  <c r="EV73" i="20" s="1"/>
  <c r="BF254" i="20"/>
  <c r="CO254" i="20" s="1"/>
  <c r="CI36" i="20"/>
  <c r="CK36" i="20" s="1"/>
  <c r="T389" i="20"/>
  <c r="BR389" i="20"/>
  <c r="DZ389" i="20" s="1"/>
  <c r="EB389" i="20" s="1"/>
  <c r="FY325" i="20"/>
  <c r="GA325" i="20" s="1"/>
  <c r="CS325" i="20" s="1"/>
  <c r="AL325" i="20"/>
  <c r="Y315" i="20"/>
  <c r="T301" i="20"/>
  <c r="BZ301" i="20"/>
  <c r="M275" i="20"/>
  <c r="BF275" i="20" s="1"/>
  <c r="CO275" i="20" s="1"/>
  <c r="CA275" i="20"/>
  <c r="BF248" i="20"/>
  <c r="CO248" i="20" s="1"/>
  <c r="AL252" i="20"/>
  <c r="BH219" i="20"/>
  <c r="EG214" i="20"/>
  <c r="GA171" i="20"/>
  <c r="CS171" i="20" s="1"/>
  <c r="CX171" i="20" s="1"/>
  <c r="AX193" i="20"/>
  <c r="CM193" i="20" s="1"/>
  <c r="AL170" i="20"/>
  <c r="CB153" i="20"/>
  <c r="CI153" i="20" s="1"/>
  <c r="CK153" i="20" s="1"/>
  <c r="BZ62" i="20"/>
  <c r="CB62" i="20" s="1"/>
  <c r="CI62" i="20" s="1"/>
  <c r="CK62" i="20" s="1"/>
  <c r="Y80" i="20"/>
  <c r="BR102" i="20"/>
  <c r="DZ102" i="20" s="1"/>
  <c r="CA401" i="20"/>
  <c r="AL265" i="20"/>
  <c r="AJ210" i="20"/>
  <c r="CI156" i="20"/>
  <c r="AL389" i="20"/>
  <c r="BZ389" i="20"/>
  <c r="CA325" i="20"/>
  <c r="CI307" i="20"/>
  <c r="AL270" i="20"/>
  <c r="BZ275" i="20"/>
  <c r="DI232" i="20"/>
  <c r="CA252" i="20"/>
  <c r="CB252" i="20" s="1"/>
  <c r="FY199" i="20"/>
  <c r="GA199" i="20" s="1"/>
  <c r="CS199" i="20" s="1"/>
  <c r="FI199" i="20" s="1"/>
  <c r="BB192" i="20"/>
  <c r="EH220" i="20"/>
  <c r="P192" i="20"/>
  <c r="BZ192" i="20" s="1"/>
  <c r="BB150" i="20"/>
  <c r="CI139" i="20"/>
  <c r="CK139" i="20" s="1"/>
  <c r="CP139" i="20" s="1"/>
  <c r="T102" i="20"/>
  <c r="AY102" i="20" s="1"/>
  <c r="AZ102" i="20" s="1"/>
  <c r="Y297" i="20"/>
  <c r="GA193" i="20"/>
  <c r="CS193" i="20" s="1"/>
  <c r="CX193" i="20" s="1"/>
  <c r="AY75" i="20"/>
  <c r="AZ75" i="20" s="1"/>
  <c r="EY110" i="20"/>
  <c r="EZ110" i="20" s="1"/>
  <c r="AZ466" i="20"/>
  <c r="DU466" i="20" s="1"/>
  <c r="Y434" i="20"/>
  <c r="AL432" i="20"/>
  <c r="CA399" i="20"/>
  <c r="Y400" i="20"/>
  <c r="FY389" i="20"/>
  <c r="GA389" i="20" s="1"/>
  <c r="CS389" i="20" s="1"/>
  <c r="FI389" i="20" s="1"/>
  <c r="T325" i="20"/>
  <c r="AL275" i="20"/>
  <c r="FY275" i="20"/>
  <c r="GA275" i="20" s="1"/>
  <c r="CS275" i="20" s="1"/>
  <c r="CX275" i="20" s="1"/>
  <c r="BB239" i="20"/>
  <c r="BH221" i="20"/>
  <c r="CI117" i="20"/>
  <c r="CK117" i="20" s="1"/>
  <c r="CB80" i="20"/>
  <c r="CI80" i="20" s="1"/>
  <c r="CK80" i="20" s="1"/>
  <c r="CP80" i="20" s="1"/>
  <c r="CW80" i="20" s="1"/>
  <c r="EE62" i="20"/>
  <c r="GA37" i="20"/>
  <c r="BM149" i="20"/>
  <c r="BB289" i="20"/>
  <c r="BI208" i="20"/>
  <c r="DT208" i="20"/>
  <c r="CI495" i="20"/>
  <c r="CK495" i="20" s="1"/>
  <c r="T448" i="20"/>
  <c r="AY448" i="20" s="1"/>
  <c r="FY436" i="20"/>
  <c r="GA436" i="20" s="1"/>
  <c r="CS436" i="20" s="1"/>
  <c r="BF409" i="20"/>
  <c r="CO409" i="20" s="1"/>
  <c r="BR378" i="20"/>
  <c r="DZ378" i="20" s="1"/>
  <c r="EB378" i="20" s="1"/>
  <c r="BB357" i="20"/>
  <c r="CA336" i="20"/>
  <c r="BF348" i="20"/>
  <c r="CO348" i="20" s="1"/>
  <c r="T342" i="20"/>
  <c r="Y324" i="20"/>
  <c r="AL333" i="20"/>
  <c r="BZ333" i="20"/>
  <c r="Y282" i="20"/>
  <c r="AL281" i="20"/>
  <c r="T289" i="20"/>
  <c r="M262" i="20"/>
  <c r="EB284" i="20"/>
  <c r="Y272" i="20"/>
  <c r="CA253" i="20"/>
  <c r="CB253" i="20" s="1"/>
  <c r="CI253" i="20" s="1"/>
  <c r="CK253" i="20" s="1"/>
  <c r="CP253" i="20" s="1"/>
  <c r="T209" i="20"/>
  <c r="AY209" i="20" s="1"/>
  <c r="CI184" i="20"/>
  <c r="BF155" i="20"/>
  <c r="BO150" i="20"/>
  <c r="ET148" i="20"/>
  <c r="EU148" i="20" s="1"/>
  <c r="EV148" i="20" s="1"/>
  <c r="FX104" i="20"/>
  <c r="GA104" i="20" s="1"/>
  <c r="T104" i="20"/>
  <c r="AY104" i="20" s="1"/>
  <c r="BR52" i="20"/>
  <c r="DZ52" i="20" s="1"/>
  <c r="EB52" i="20" s="1"/>
  <c r="EG52" i="20" s="1"/>
  <c r="AX306" i="20"/>
  <c r="CM306" i="20" s="1"/>
  <c r="AL311" i="20"/>
  <c r="AL195" i="20"/>
  <c r="AQ195" i="20" s="1"/>
  <c r="AR195" i="20" s="1"/>
  <c r="BL27" i="20"/>
  <c r="BN27" i="20" s="1"/>
  <c r="AX424" i="20"/>
  <c r="CM424" i="20" s="1"/>
  <c r="BB190" i="20"/>
  <c r="FY192" i="20"/>
  <c r="GA192" i="20" s="1"/>
  <c r="CS192" i="20" s="1"/>
  <c r="M306" i="20"/>
  <c r="BF306" i="20" s="1"/>
  <c r="CO306" i="20" s="1"/>
  <c r="BR448" i="20"/>
  <c r="DZ448" i="20" s="1"/>
  <c r="EB448" i="20" s="1"/>
  <c r="GA416" i="20"/>
  <c r="CS416" i="20" s="1"/>
  <c r="CX416" i="20" s="1"/>
  <c r="BF402" i="20"/>
  <c r="CO402" i="20" s="1"/>
  <c r="CA378" i="20"/>
  <c r="CB378" i="20" s="1"/>
  <c r="CI378" i="20" s="1"/>
  <c r="BB369" i="20"/>
  <c r="CI367" i="20"/>
  <c r="BR380" i="20"/>
  <c r="DZ380" i="20" s="1"/>
  <c r="M357" i="20"/>
  <c r="BF357" i="20" s="1"/>
  <c r="CO357" i="20" s="1"/>
  <c r="CA349" i="20"/>
  <c r="FY333" i="20"/>
  <c r="GA333" i="20" s="1"/>
  <c r="CS333" i="20" s="1"/>
  <c r="CX333" i="20" s="1"/>
  <c r="DT318" i="20"/>
  <c r="BB270" i="20"/>
  <c r="BR263" i="20"/>
  <c r="DZ263" i="20" s="1"/>
  <c r="EH286" i="20"/>
  <c r="Y263" i="20"/>
  <c r="AJ193" i="20"/>
  <c r="EH232" i="20"/>
  <c r="EL219" i="20"/>
  <c r="EK219" i="20" s="1"/>
  <c r="Y204" i="20"/>
  <c r="BI204" i="20" s="1"/>
  <c r="FY209" i="20"/>
  <c r="GA209" i="20" s="1"/>
  <c r="CS209" i="20" s="1"/>
  <c r="O108" i="20"/>
  <c r="BK52" i="20"/>
  <c r="BM52" i="20" s="1"/>
  <c r="Y283" i="20"/>
  <c r="EL208" i="20"/>
  <c r="EK208" i="20" s="1"/>
  <c r="CB137" i="20"/>
  <c r="CI137" i="20" s="1"/>
  <c r="CK137" i="20" s="1"/>
  <c r="CP137" i="20" s="1"/>
  <c r="FJ137" i="20" s="1"/>
  <c r="M195" i="20"/>
  <c r="BF195" i="20" s="1"/>
  <c r="CO195" i="20" s="1"/>
  <c r="BE104" i="20"/>
  <c r="BF104" i="20" s="1"/>
  <c r="EL56" i="20"/>
  <c r="EK56" i="20" s="1"/>
  <c r="AJ211" i="20"/>
  <c r="Y268" i="20"/>
  <c r="AJ199" i="20"/>
  <c r="EZ60" i="20"/>
  <c r="CI239" i="20"/>
  <c r="AY336" i="20"/>
  <c r="BH336" i="20" s="1"/>
  <c r="EH325" i="20"/>
  <c r="DM325" i="20" s="1"/>
  <c r="CA333" i="20"/>
  <c r="EB273" i="20"/>
  <c r="BF251" i="20"/>
  <c r="CO251" i="20" s="1"/>
  <c r="BR209" i="20"/>
  <c r="DZ209" i="20" s="1"/>
  <c r="EB209" i="20" s="1"/>
  <c r="T193" i="20"/>
  <c r="DI174" i="20"/>
  <c r="BJ201" i="20"/>
  <c r="CI168" i="20"/>
  <c r="CK168" i="20" s="1"/>
  <c r="CP168" i="20" s="1"/>
  <c r="CW168" i="20" s="1"/>
  <c r="BF153" i="20"/>
  <c r="CI161" i="20"/>
  <c r="CK161" i="20" s="1"/>
  <c r="AN104" i="20"/>
  <c r="AN52" i="20"/>
  <c r="EE104" i="20"/>
  <c r="CA52" i="20"/>
  <c r="CB52" i="20" s="1"/>
  <c r="CI52" i="20" s="1"/>
  <c r="CK52" i="20" s="1"/>
  <c r="CP52" i="20" s="1"/>
  <c r="ET60" i="20"/>
  <c r="EU60" i="20" s="1"/>
  <c r="EV60" i="20" s="1"/>
  <c r="EB102" i="20"/>
  <c r="EG102" i="20" s="1"/>
  <c r="BZ349" i="20"/>
  <c r="P195" i="20"/>
  <c r="Y389" i="20"/>
  <c r="ET473" i="20"/>
  <c r="BR436" i="20"/>
  <c r="DZ436" i="20" s="1"/>
  <c r="EB436" i="20" s="1"/>
  <c r="GA421" i="20"/>
  <c r="CS421" i="20" s="1"/>
  <c r="CU405" i="20"/>
  <c r="AL378" i="20"/>
  <c r="T349" i="20"/>
  <c r="BF335" i="20"/>
  <c r="CO335" i="20" s="1"/>
  <c r="AL336" i="20"/>
  <c r="FY297" i="20"/>
  <c r="GA297" i="20" s="1"/>
  <c r="CS297" i="20" s="1"/>
  <c r="BR296" i="20"/>
  <c r="DZ296" i="20" s="1"/>
  <c r="EB296" i="20" s="1"/>
  <c r="EH296" i="20" s="1"/>
  <c r="DM296" i="20" s="1"/>
  <c r="BR313" i="20"/>
  <c r="DZ313" i="20" s="1"/>
  <c r="EB313" i="20" s="1"/>
  <c r="M270" i="20"/>
  <c r="BF270" i="20" s="1"/>
  <c r="CO270" i="20" s="1"/>
  <c r="AL209" i="20"/>
  <c r="CK179" i="20"/>
  <c r="CP179" i="20" s="1"/>
  <c r="CW179" i="20" s="1"/>
  <c r="EL178" i="20"/>
  <c r="EK178" i="20" s="1"/>
  <c r="CI159" i="20"/>
  <c r="CK159" i="20" s="1"/>
  <c r="CB166" i="20"/>
  <c r="AU164" i="20"/>
  <c r="GA143" i="20"/>
  <c r="CS143" i="20" s="1"/>
  <c r="DD143" i="20" s="1"/>
  <c r="Y73" i="20"/>
  <c r="EY73" i="20"/>
  <c r="FX52" i="20"/>
  <c r="GA52" i="20" s="1"/>
  <c r="CS52" i="20" s="1"/>
  <c r="FI52" i="20" s="1"/>
  <c r="EH56" i="20"/>
  <c r="DM56" i="20" s="1"/>
  <c r="BO58" i="20"/>
  <c r="DJ48" i="20"/>
  <c r="BF44" i="20"/>
  <c r="BM24" i="20"/>
  <c r="BO24" i="20" s="1"/>
  <c r="BP24" i="20" s="1"/>
  <c r="EI24" i="20" s="1"/>
  <c r="FY349" i="20"/>
  <c r="GA349" i="20" s="1"/>
  <c r="CS349" i="20" s="1"/>
  <c r="CX349" i="20" s="1"/>
  <c r="T368" i="20"/>
  <c r="AY368" i="20" s="1"/>
  <c r="AZ368" i="20" s="1"/>
  <c r="CI230" i="20"/>
  <c r="AT192" i="20"/>
  <c r="DU192" i="20" s="1"/>
  <c r="AL211" i="20"/>
  <c r="T378" i="20"/>
  <c r="CB142" i="20"/>
  <c r="CA448" i="20"/>
  <c r="AZ495" i="20"/>
  <c r="DU495" i="20" s="1"/>
  <c r="BC486" i="20"/>
  <c r="AZ478" i="20"/>
  <c r="BB433" i="20"/>
  <c r="CA436" i="20"/>
  <c r="Y415" i="20"/>
  <c r="FY412" i="20"/>
  <c r="GA378" i="20"/>
  <c r="CS378" i="20" s="1"/>
  <c r="FY355" i="20"/>
  <c r="GA355" i="20" s="1"/>
  <c r="CS355" i="20" s="1"/>
  <c r="FI355" i="20" s="1"/>
  <c r="BR336" i="20"/>
  <c r="DZ336" i="20" s="1"/>
  <c r="CA313" i="20"/>
  <c r="DI270" i="20"/>
  <c r="CI219" i="20"/>
  <c r="FY253" i="20"/>
  <c r="GA253" i="20" s="1"/>
  <c r="CS253" i="20" s="1"/>
  <c r="FI253" i="20" s="1"/>
  <c r="AY248" i="20"/>
  <c r="AQ213" i="20"/>
  <c r="CA192" i="20"/>
  <c r="DI190" i="20"/>
  <c r="AY168" i="20"/>
  <c r="AZ168" i="20" s="1"/>
  <c r="AL73" i="20"/>
  <c r="M48" i="20"/>
  <c r="AL192" i="20"/>
  <c r="Y322" i="20"/>
  <c r="CI20" i="20"/>
  <c r="GA32" i="20"/>
  <c r="BJ161" i="20"/>
  <c r="CB125" i="20"/>
  <c r="CI125" i="20" s="1"/>
  <c r="CK125" i="20" s="1"/>
  <c r="CP125" i="20" s="1"/>
  <c r="CW125" i="20" s="1"/>
  <c r="EB391" i="20"/>
  <c r="EG391" i="20" s="1"/>
  <c r="DU486" i="20"/>
  <c r="FY373" i="20"/>
  <c r="GA373" i="20" s="1"/>
  <c r="CS373" i="20" s="1"/>
  <c r="DD373" i="20" s="1"/>
  <c r="AL349" i="20"/>
  <c r="Y493" i="20"/>
  <c r="FY448" i="20"/>
  <c r="GA448" i="20" s="1"/>
  <c r="CS448" i="20" s="1"/>
  <c r="FI448" i="20" s="1"/>
  <c r="T436" i="20"/>
  <c r="AY436" i="20" s="1"/>
  <c r="BH436" i="20" s="1"/>
  <c r="BF399" i="20"/>
  <c r="CO399" i="20" s="1"/>
  <c r="BF371" i="20"/>
  <c r="CO371" i="20" s="1"/>
  <c r="EG354" i="20"/>
  <c r="DI357" i="20"/>
  <c r="BZ336" i="20"/>
  <c r="AL297" i="20"/>
  <c r="T297" i="20"/>
  <c r="AY297" i="20" s="1"/>
  <c r="BZ313" i="20"/>
  <c r="FY211" i="20"/>
  <c r="GA211" i="20" s="1"/>
  <c r="CS211" i="20" s="1"/>
  <c r="DI195" i="20"/>
  <c r="M190" i="20"/>
  <c r="BF190" i="20" s="1"/>
  <c r="CO190" i="20" s="1"/>
  <c r="GA166" i="20"/>
  <c r="CS166" i="20" s="1"/>
  <c r="BI178" i="20"/>
  <c r="AL151" i="20"/>
  <c r="BF149" i="20"/>
  <c r="CO149" i="20" s="1"/>
  <c r="AY118" i="20"/>
  <c r="CB119" i="20"/>
  <c r="AY91" i="20"/>
  <c r="BB48" i="20"/>
  <c r="BC48" i="20" s="1"/>
  <c r="CU68" i="20"/>
  <c r="GA24" i="20"/>
  <c r="EB319" i="20"/>
  <c r="EH319" i="20" s="1"/>
  <c r="DM319" i="20" s="1"/>
  <c r="AY154" i="20"/>
  <c r="BH154" i="20" s="1"/>
  <c r="T192" i="20"/>
  <c r="AY192" i="20" s="1"/>
  <c r="BH192" i="20" s="1"/>
  <c r="BB132" i="20"/>
  <c r="CI490" i="20"/>
  <c r="CK490" i="20" s="1"/>
  <c r="Y335" i="20"/>
  <c r="CK477" i="20"/>
  <c r="Y416" i="20"/>
  <c r="BI416" i="20" s="1"/>
  <c r="AY401" i="20"/>
  <c r="FY336" i="20"/>
  <c r="GA336" i="20" s="1"/>
  <c r="CS336" i="20" s="1"/>
  <c r="CX336" i="20" s="1"/>
  <c r="BR297" i="20"/>
  <c r="DZ297" i="20" s="1"/>
  <c r="EB297" i="20" s="1"/>
  <c r="EH297" i="20" s="1"/>
  <c r="CI266" i="20"/>
  <c r="CK266" i="20" s="1"/>
  <c r="CP266" i="20" s="1"/>
  <c r="FJ266" i="20" s="1"/>
  <c r="BR253" i="20"/>
  <c r="DZ253" i="20" s="1"/>
  <c r="BB209" i="20"/>
  <c r="T211" i="20"/>
  <c r="AY211" i="20" s="1"/>
  <c r="AZ211" i="20" s="1"/>
  <c r="AX195" i="20"/>
  <c r="CM195" i="20" s="1"/>
  <c r="EH154" i="20"/>
  <c r="ES154" i="20" s="1"/>
  <c r="AX166" i="20"/>
  <c r="CM166" i="20" s="1"/>
  <c r="AX132" i="20"/>
  <c r="CM132" i="20" s="1"/>
  <c r="GA128" i="20"/>
  <c r="CS128" i="20" s="1"/>
  <c r="CX128" i="20" s="1"/>
  <c r="ET65" i="20"/>
  <c r="CB23" i="20"/>
  <c r="CI23" i="20" s="1"/>
  <c r="Y333" i="20"/>
  <c r="CA211" i="20"/>
  <c r="EH161" i="20"/>
  <c r="DM161" i="20" s="1"/>
  <c r="DT216" i="20"/>
  <c r="BI216" i="20"/>
  <c r="AZ163" i="20"/>
  <c r="BC163" i="20" s="1"/>
  <c r="BH163" i="20"/>
  <c r="BJ163" i="20" s="1"/>
  <c r="DD151" i="20"/>
  <c r="FI151" i="20"/>
  <c r="CU289" i="20"/>
  <c r="FG289" i="20"/>
  <c r="AL204" i="20"/>
  <c r="EY58" i="20"/>
  <c r="ET356" i="20"/>
  <c r="EU356" i="20" s="1"/>
  <c r="EV356" i="20" s="1"/>
  <c r="GA145" i="20"/>
  <c r="CS145" i="20" s="1"/>
  <c r="CI152" i="20"/>
  <c r="CK152" i="20" s="1"/>
  <c r="CP152" i="20" s="1"/>
  <c r="BB213" i="20"/>
  <c r="AY81" i="20"/>
  <c r="AZ81" i="20" s="1"/>
  <c r="AY84" i="20"/>
  <c r="AZ84" i="20" s="1"/>
  <c r="BC84" i="20" s="1"/>
  <c r="CN84" i="20" s="1"/>
  <c r="DR161" i="20"/>
  <c r="AY176" i="20"/>
  <c r="EH292" i="20"/>
  <c r="AT194" i="20"/>
  <c r="DU194" i="20" s="1"/>
  <c r="AX177" i="20"/>
  <c r="CM177" i="20" s="1"/>
  <c r="FG177" i="20" s="1"/>
  <c r="BB166" i="20"/>
  <c r="AL147" i="20"/>
  <c r="BM135" i="20"/>
  <c r="BO135" i="20" s="1"/>
  <c r="BP135" i="20" s="1"/>
  <c r="EI135" i="20" s="1"/>
  <c r="EH135" i="20" s="1"/>
  <c r="DM135" i="20" s="1"/>
  <c r="AL105" i="20"/>
  <c r="BL65" i="20"/>
  <c r="BN65" i="20" s="1"/>
  <c r="AL65" i="20"/>
  <c r="GA48" i="20"/>
  <c r="CI37" i="20"/>
  <c r="T304" i="20"/>
  <c r="AY304" i="20" s="1"/>
  <c r="Y348" i="20"/>
  <c r="FY271" i="20"/>
  <c r="GA271" i="20" s="1"/>
  <c r="CS271" i="20" s="1"/>
  <c r="EH203" i="20"/>
  <c r="GA33" i="20"/>
  <c r="DR154" i="20"/>
  <c r="EL161" i="20"/>
  <c r="EK161" i="20" s="1"/>
  <c r="EM161" i="20" s="1"/>
  <c r="EP161" i="20" s="1"/>
  <c r="EQ161" i="20" s="1"/>
  <c r="AL397" i="20"/>
  <c r="Y285" i="20"/>
  <c r="BZ199" i="20"/>
  <c r="CB199" i="20" s="1"/>
  <c r="CI199" i="20" s="1"/>
  <c r="CK199" i="20" s="1"/>
  <c r="CP199" i="20" s="1"/>
  <c r="AY147" i="20"/>
  <c r="AZ147" i="20" s="1"/>
  <c r="BC147" i="20" s="1"/>
  <c r="CN147" i="20" s="1"/>
  <c r="T105" i="20"/>
  <c r="AY105" i="20" s="1"/>
  <c r="AZ105" i="20" s="1"/>
  <c r="BC105" i="20" s="1"/>
  <c r="BL56" i="20"/>
  <c r="BN56" i="20" s="1"/>
  <c r="EY111" i="20"/>
  <c r="EZ111" i="20" s="1"/>
  <c r="BL81" i="20"/>
  <c r="BN81" i="20" s="1"/>
  <c r="AL76" i="20"/>
  <c r="CB44" i="20"/>
  <c r="CI44" i="20" s="1"/>
  <c r="CK44" i="20" s="1"/>
  <c r="CI31" i="20"/>
  <c r="BB415" i="20"/>
  <c r="AL304" i="20"/>
  <c r="Y247" i="20"/>
  <c r="BI218" i="20"/>
  <c r="AU154" i="20"/>
  <c r="AY131" i="20"/>
  <c r="AZ131" i="20" s="1"/>
  <c r="EL163" i="20"/>
  <c r="EK163" i="20" s="1"/>
  <c r="ET163" i="20" s="1"/>
  <c r="EU163" i="20" s="1"/>
  <c r="EV163" i="20" s="1"/>
  <c r="Y254" i="20"/>
  <c r="AL172" i="20"/>
  <c r="M166" i="20"/>
  <c r="BF166" i="20" s="1"/>
  <c r="CO166" i="20" s="1"/>
  <c r="GA140" i="20"/>
  <c r="CS140" i="20" s="1"/>
  <c r="AL131" i="20"/>
  <c r="BM138" i="20"/>
  <c r="CB130" i="20"/>
  <c r="CI130" i="20" s="1"/>
  <c r="CK130" i="20" s="1"/>
  <c r="CP130" i="20" s="1"/>
  <c r="CW130" i="20" s="1"/>
  <c r="CI34" i="20"/>
  <c r="M213" i="20"/>
  <c r="BF213" i="20" s="1"/>
  <c r="CI69" i="20"/>
  <c r="CK69" i="20" s="1"/>
  <c r="CP69" i="20" s="1"/>
  <c r="CK491" i="20"/>
  <c r="AY428" i="20"/>
  <c r="BH428" i="20" s="1"/>
  <c r="FY371" i="20"/>
  <c r="GA371" i="20" s="1"/>
  <c r="CS371" i="20" s="1"/>
  <c r="BF355" i="20"/>
  <c r="CO355" i="20" s="1"/>
  <c r="FY330" i="20"/>
  <c r="CH280" i="20"/>
  <c r="Y210" i="20"/>
  <c r="BI210" i="20" s="1"/>
  <c r="BZ157" i="20"/>
  <c r="CB157" i="20" s="1"/>
  <c r="CI157" i="20" s="1"/>
  <c r="CK157" i="20" s="1"/>
  <c r="EH157" i="20"/>
  <c r="DM157" i="20" s="1"/>
  <c r="DR163" i="20"/>
  <c r="AL129" i="20"/>
  <c r="AY132" i="20"/>
  <c r="EY69" i="20"/>
  <c r="BF50" i="20"/>
  <c r="CB38" i="20"/>
  <c r="CI38" i="20" s="1"/>
  <c r="CW114" i="20"/>
  <c r="BF465" i="20"/>
  <c r="CI231" i="20"/>
  <c r="AX213" i="20"/>
  <c r="BL121" i="20"/>
  <c r="BN121" i="20" s="1"/>
  <c r="CI112" i="20"/>
  <c r="CK112" i="20" s="1"/>
  <c r="CP112" i="20" s="1"/>
  <c r="FJ112" i="20" s="1"/>
  <c r="EY83" i="20"/>
  <c r="EZ83" i="20" s="1"/>
  <c r="BB341" i="20"/>
  <c r="T309" i="20"/>
  <c r="AY309" i="20" s="1"/>
  <c r="AZ309" i="20" s="1"/>
  <c r="BM74" i="20"/>
  <c r="GA47" i="20"/>
  <c r="AL74" i="20"/>
  <c r="EL216" i="20"/>
  <c r="EK216" i="20" s="1"/>
  <c r="CK476" i="20"/>
  <c r="FY277" i="20"/>
  <c r="GA277" i="20" s="1"/>
  <c r="CS277" i="20" s="1"/>
  <c r="DD277" i="20" s="1"/>
  <c r="Y229" i="20"/>
  <c r="BI229" i="20" s="1"/>
  <c r="CB189" i="20"/>
  <c r="CI189" i="20" s="1"/>
  <c r="BF168" i="20"/>
  <c r="CO168" i="20" s="1"/>
  <c r="EH155" i="20"/>
  <c r="DM155" i="20" s="1"/>
  <c r="AY149" i="20"/>
  <c r="AZ149" i="20" s="1"/>
  <c r="CB123" i="20"/>
  <c r="CI123" i="20" s="1"/>
  <c r="CK123" i="20" s="1"/>
  <c r="CP123" i="20" s="1"/>
  <c r="CW123" i="20" s="1"/>
  <c r="BB35" i="20"/>
  <c r="BB434" i="20"/>
  <c r="Y354" i="20"/>
  <c r="DR153" i="20"/>
  <c r="BJ489" i="20"/>
  <c r="BB307" i="20"/>
  <c r="CI151" i="20"/>
  <c r="CX210" i="20"/>
  <c r="FI210" i="20"/>
  <c r="CI492" i="20"/>
  <c r="CK492" i="20" s="1"/>
  <c r="T415" i="20"/>
  <c r="FY384" i="20"/>
  <c r="AL379" i="20"/>
  <c r="BJ206" i="20"/>
  <c r="AL183" i="20"/>
  <c r="EG80" i="20"/>
  <c r="AX150" i="20"/>
  <c r="CM150" i="20" s="1"/>
  <c r="DA150" i="20" s="1"/>
  <c r="CA210" i="20"/>
  <c r="ET304" i="20"/>
  <c r="EU304" i="20" s="1"/>
  <c r="EV304" i="20" s="1"/>
  <c r="CI471" i="20"/>
  <c r="CI474" i="20"/>
  <c r="CK474" i="20" s="1"/>
  <c r="DU480" i="20"/>
  <c r="AU19" i="20"/>
  <c r="EG273" i="20"/>
  <c r="BJ230" i="20"/>
  <c r="BB200" i="20"/>
  <c r="GA129" i="20"/>
  <c r="CS129" i="20" s="1"/>
  <c r="FI129" i="20" s="1"/>
  <c r="ET42" i="20"/>
  <c r="BF385" i="20"/>
  <c r="CO385" i="20" s="1"/>
  <c r="T321" i="20"/>
  <c r="AZ302" i="20"/>
  <c r="BC302" i="20" s="1"/>
  <c r="CN302" i="20" s="1"/>
  <c r="CB259" i="20"/>
  <c r="CB148" i="20"/>
  <c r="DJ150" i="20"/>
  <c r="EY150" i="20" s="1"/>
  <c r="EZ150" i="20" s="1"/>
  <c r="CB129" i="20"/>
  <c r="CI129" i="20" s="1"/>
  <c r="CK129" i="20" s="1"/>
  <c r="CP129" i="20" s="1"/>
  <c r="GA180" i="20"/>
  <c r="CS180" i="20" s="1"/>
  <c r="FI180" i="20" s="1"/>
  <c r="BF415" i="20"/>
  <c r="CO415" i="20" s="1"/>
  <c r="EG89" i="20"/>
  <c r="EY32" i="20"/>
  <c r="Y296" i="20"/>
  <c r="AY244" i="20"/>
  <c r="AZ244" i="20" s="1"/>
  <c r="CI28" i="20"/>
  <c r="CK28" i="20" s="1"/>
  <c r="EY52" i="20"/>
  <c r="CB223" i="20"/>
  <c r="CI223" i="20" s="1"/>
  <c r="CE315" i="20"/>
  <c r="BF156" i="20"/>
  <c r="CW137" i="20"/>
  <c r="AY411" i="20"/>
  <c r="AZ411" i="20" s="1"/>
  <c r="AY125" i="20"/>
  <c r="FY415" i="20"/>
  <c r="GA415" i="20" s="1"/>
  <c r="CS415" i="20" s="1"/>
  <c r="FI415" i="20" s="1"/>
  <c r="AY148" i="20"/>
  <c r="AZ148" i="20" s="1"/>
  <c r="BC148" i="20" s="1"/>
  <c r="CN148" i="20" s="1"/>
  <c r="ET83" i="20"/>
  <c r="EU83" i="20" s="1"/>
  <c r="EV83" i="20" s="1"/>
  <c r="CI48" i="20"/>
  <c r="CK48" i="20" s="1"/>
  <c r="EY130" i="20"/>
  <c r="EZ130" i="20" s="1"/>
  <c r="EY152" i="20"/>
  <c r="EZ152" i="20" s="1"/>
  <c r="AU157" i="20"/>
  <c r="GA391" i="20"/>
  <c r="CS391" i="20" s="1"/>
  <c r="FI391" i="20" s="1"/>
  <c r="CB388" i="20"/>
  <c r="CI388" i="20" s="1"/>
  <c r="CK388" i="20" s="1"/>
  <c r="CP388" i="20" s="1"/>
  <c r="EB369" i="20"/>
  <c r="FY341" i="20"/>
  <c r="AY126" i="20"/>
  <c r="AZ126" i="20" s="1"/>
  <c r="BF365" i="20"/>
  <c r="CO365" i="20" s="1"/>
  <c r="GA368" i="20"/>
  <c r="CS368" i="20" s="1"/>
  <c r="CB354" i="20"/>
  <c r="CI354" i="20" s="1"/>
  <c r="CK354" i="20" s="1"/>
  <c r="CP354" i="20" s="1"/>
  <c r="BF162" i="20"/>
  <c r="CB213" i="20"/>
  <c r="CI213" i="20" s="1"/>
  <c r="T210" i="20"/>
  <c r="AY210" i="20" s="1"/>
  <c r="AZ210" i="20" s="1"/>
  <c r="Y446" i="20"/>
  <c r="GA146" i="20"/>
  <c r="CS146" i="20" s="1"/>
  <c r="EG73" i="20"/>
  <c r="DR155" i="20"/>
  <c r="DA246" i="20"/>
  <c r="FG246" i="20"/>
  <c r="AZ235" i="20"/>
  <c r="BH235" i="20"/>
  <c r="T409" i="20"/>
  <c r="AY409" i="20" s="1"/>
  <c r="BH409" i="20" s="1"/>
  <c r="CA409" i="20"/>
  <c r="CB409" i="20" s="1"/>
  <c r="CI409" i="20" s="1"/>
  <c r="CK409" i="20" s="1"/>
  <c r="CP409" i="20" s="1"/>
  <c r="CA398" i="20"/>
  <c r="M388" i="20"/>
  <c r="BF388" i="20" s="1"/>
  <c r="CO388" i="20" s="1"/>
  <c r="CB389" i="20"/>
  <c r="AL380" i="20"/>
  <c r="BB317" i="20"/>
  <c r="AL338" i="20"/>
  <c r="EB333" i="20"/>
  <c r="EG333" i="20" s="1"/>
  <c r="AL296" i="20"/>
  <c r="BZ296" i="20"/>
  <c r="EB294" i="20"/>
  <c r="EH294" i="20" s="1"/>
  <c r="CA319" i="20"/>
  <c r="AY289" i="20"/>
  <c r="BH289" i="20" s="1"/>
  <c r="BJ289" i="20" s="1"/>
  <c r="AL289" i="20"/>
  <c r="BR289" i="20"/>
  <c r="DZ289" i="20" s="1"/>
  <c r="AX266" i="20"/>
  <c r="CM266" i="20" s="1"/>
  <c r="BF247" i="20"/>
  <c r="CO247" i="20" s="1"/>
  <c r="EL233" i="20"/>
  <c r="EK233" i="20" s="1"/>
  <c r="ET233" i="20" s="1"/>
  <c r="AZ226" i="20"/>
  <c r="M184" i="20"/>
  <c r="BF184" i="20" s="1"/>
  <c r="CO184" i="20" s="1"/>
  <c r="AQ166" i="20"/>
  <c r="AR166" i="20" s="1"/>
  <c r="BM89" i="20"/>
  <c r="BO89" i="20" s="1"/>
  <c r="AL70" i="20"/>
  <c r="BC50" i="20"/>
  <c r="EB275" i="20"/>
  <c r="CB173" i="20"/>
  <c r="CI173" i="20" s="1"/>
  <c r="AX181" i="20"/>
  <c r="CM181" i="20" s="1"/>
  <c r="CB81" i="20"/>
  <c r="CI81" i="20" s="1"/>
  <c r="CK81" i="20" s="1"/>
  <c r="CP81" i="20" s="1"/>
  <c r="FJ81" i="20" s="1"/>
  <c r="EY56" i="20"/>
  <c r="EZ56" i="20" s="1"/>
  <c r="BB304" i="20"/>
  <c r="CI472" i="20"/>
  <c r="CK472" i="20" s="1"/>
  <c r="FY449" i="20"/>
  <c r="GA431" i="20"/>
  <c r="CS431" i="20" s="1"/>
  <c r="FI431" i="20" s="1"/>
  <c r="CA417" i="20"/>
  <c r="CB417" i="20" s="1"/>
  <c r="CI417" i="20" s="1"/>
  <c r="CK417" i="20" s="1"/>
  <c r="CP417" i="20" s="1"/>
  <c r="BB408" i="20"/>
  <c r="T395" i="20"/>
  <c r="AY395" i="20" s="1"/>
  <c r="EB398" i="20"/>
  <c r="EG398" i="20" s="1"/>
  <c r="FY395" i="20"/>
  <c r="GA395" i="20" s="1"/>
  <c r="CS395" i="20" s="1"/>
  <c r="FI395" i="20" s="1"/>
  <c r="FY403" i="20"/>
  <c r="DI388" i="20"/>
  <c r="ET388" i="20" s="1"/>
  <c r="EU388" i="20" s="1"/>
  <c r="EV388" i="20" s="1"/>
  <c r="CA380" i="20"/>
  <c r="DT371" i="20"/>
  <c r="AL323" i="20"/>
  <c r="BZ322" i="20"/>
  <c r="CB322" i="20" s="1"/>
  <c r="CI322" i="20" s="1"/>
  <c r="BR338" i="20"/>
  <c r="DZ338" i="20" s="1"/>
  <c r="EB338" i="20" s="1"/>
  <c r="BR322" i="20"/>
  <c r="DZ322" i="20" s="1"/>
  <c r="EB322" i="20" s="1"/>
  <c r="EG322" i="20" s="1"/>
  <c r="DI317" i="20"/>
  <c r="AX304" i="20"/>
  <c r="CM304" i="20" s="1"/>
  <c r="FG304" i="20" s="1"/>
  <c r="M304" i="20"/>
  <c r="BF304" i="20" s="1"/>
  <c r="CO304" i="20" s="1"/>
  <c r="GA292" i="20"/>
  <c r="CS292" i="20" s="1"/>
  <c r="BF283" i="20"/>
  <c r="CO283" i="20" s="1"/>
  <c r="CA296" i="20"/>
  <c r="BZ289" i="20"/>
  <c r="EG293" i="20"/>
  <c r="GA274" i="20"/>
  <c r="CS274" i="20" s="1"/>
  <c r="BF284" i="20"/>
  <c r="CO284" i="20" s="1"/>
  <c r="CB234" i="20"/>
  <c r="CI234" i="20" s="1"/>
  <c r="BJ216" i="20"/>
  <c r="AQ214" i="20"/>
  <c r="CB176" i="20"/>
  <c r="CI176" i="20" s="1"/>
  <c r="CK176" i="20" s="1"/>
  <c r="CP176" i="20" s="1"/>
  <c r="AX184" i="20"/>
  <c r="CM184" i="20" s="1"/>
  <c r="FG184" i="20" s="1"/>
  <c r="Y167" i="20"/>
  <c r="BI167" i="20" s="1"/>
  <c r="AU158" i="20"/>
  <c r="CK46" i="20"/>
  <c r="AM45" i="20"/>
  <c r="DJ27" i="20"/>
  <c r="CK27" i="20"/>
  <c r="CK465" i="20"/>
  <c r="CE332" i="20"/>
  <c r="AU153" i="20"/>
  <c r="AL58" i="20"/>
  <c r="EL71" i="20"/>
  <c r="EK71" i="20" s="1"/>
  <c r="BC483" i="20"/>
  <c r="BF418" i="20"/>
  <c r="CO418" i="20" s="1"/>
  <c r="FY398" i="20"/>
  <c r="GA398" i="20" s="1"/>
  <c r="CS398" i="20" s="1"/>
  <c r="FI398" i="20" s="1"/>
  <c r="CA395" i="20"/>
  <c r="CB395" i="20" s="1"/>
  <c r="CI395" i="20" s="1"/>
  <c r="CK395" i="20" s="1"/>
  <c r="CP395" i="20" s="1"/>
  <c r="AL395" i="20"/>
  <c r="Y383" i="20"/>
  <c r="M383" i="20"/>
  <c r="BF383" i="20" s="1"/>
  <c r="CO383" i="20" s="1"/>
  <c r="BZ380" i="20"/>
  <c r="AL363" i="20"/>
  <c r="BF353" i="20"/>
  <c r="CO353" i="20" s="1"/>
  <c r="T338" i="20"/>
  <c r="AY338" i="20" s="1"/>
  <c r="AZ338" i="20" s="1"/>
  <c r="BC338" i="20" s="1"/>
  <c r="CN338" i="20" s="1"/>
  <c r="BB332" i="20"/>
  <c r="T319" i="20"/>
  <c r="BI303" i="20"/>
  <c r="BR323" i="20"/>
  <c r="DZ323" i="20" s="1"/>
  <c r="EB323" i="20" s="1"/>
  <c r="T316" i="20"/>
  <c r="T285" i="20"/>
  <c r="AY285" i="20" s="1"/>
  <c r="BZ285" i="20"/>
  <c r="EH273" i="20"/>
  <c r="DM273" i="20" s="1"/>
  <c r="GA247" i="20"/>
  <c r="CS247" i="20" s="1"/>
  <c r="AZ230" i="20"/>
  <c r="BF244" i="20"/>
  <c r="CO244" i="20" s="1"/>
  <c r="BF181" i="20"/>
  <c r="CO181" i="20" s="1"/>
  <c r="BF150" i="20"/>
  <c r="CO150" i="20" s="1"/>
  <c r="EY64" i="20"/>
  <c r="BC467" i="20"/>
  <c r="BF177" i="20"/>
  <c r="CO177" i="20" s="1"/>
  <c r="BC485" i="20"/>
  <c r="BC487" i="20"/>
  <c r="AY416" i="20"/>
  <c r="BH416" i="20" s="1"/>
  <c r="DI420" i="20"/>
  <c r="AL409" i="20"/>
  <c r="BR395" i="20"/>
  <c r="DZ395" i="20" s="1"/>
  <c r="EB395" i="20" s="1"/>
  <c r="BB383" i="20"/>
  <c r="DI383" i="20"/>
  <c r="ET383" i="20" s="1"/>
  <c r="EU383" i="20" s="1"/>
  <c r="EV383" i="20" s="1"/>
  <c r="FY363" i="20"/>
  <c r="GA363" i="20" s="1"/>
  <c r="CS363" i="20" s="1"/>
  <c r="DD363" i="20" s="1"/>
  <c r="FY380" i="20"/>
  <c r="GA380" i="20" s="1"/>
  <c r="CS380" i="20" s="1"/>
  <c r="CA338" i="20"/>
  <c r="BZ316" i="20"/>
  <c r="AL322" i="20"/>
  <c r="BZ323" i="20"/>
  <c r="CB323" i="20" s="1"/>
  <c r="CI323" i="20" s="1"/>
  <c r="CK323" i="20" s="1"/>
  <c r="CP323" i="20" s="1"/>
  <c r="FY296" i="20"/>
  <c r="FY285" i="20"/>
  <c r="GA285" i="20" s="1"/>
  <c r="CS285" i="20" s="1"/>
  <c r="CX285" i="20" s="1"/>
  <c r="CB246" i="20"/>
  <c r="CI246" i="20" s="1"/>
  <c r="CK246" i="20" s="1"/>
  <c r="CP246" i="20" s="1"/>
  <c r="FJ246" i="20" s="1"/>
  <c r="EH226" i="20"/>
  <c r="GA197" i="20"/>
  <c r="CS197" i="20" s="1"/>
  <c r="FI197" i="20" s="1"/>
  <c r="GA175" i="20"/>
  <c r="CS175" i="20" s="1"/>
  <c r="FI175" i="20" s="1"/>
  <c r="BI156" i="20"/>
  <c r="BJ156" i="20" s="1"/>
  <c r="AY115" i="20"/>
  <c r="AZ115" i="20" s="1"/>
  <c r="CB113" i="20"/>
  <c r="CI113" i="20" s="1"/>
  <c r="CK113" i="20" s="1"/>
  <c r="CP113" i="20" s="1"/>
  <c r="FJ113" i="20" s="1"/>
  <c r="EY87" i="20"/>
  <c r="EZ87" i="20" s="1"/>
  <c r="EY65" i="20"/>
  <c r="AX125" i="20"/>
  <c r="CM125" i="20" s="1"/>
  <c r="EZ52" i="20"/>
  <c r="CU57" i="20"/>
  <c r="DU469" i="20"/>
  <c r="DU493" i="20"/>
  <c r="EM493" i="20" s="1"/>
  <c r="EP493" i="20" s="1"/>
  <c r="EQ493" i="20" s="1"/>
  <c r="DN493" i="20" s="1"/>
  <c r="T322" i="20"/>
  <c r="AY322" i="20" s="1"/>
  <c r="BH322" i="20" s="1"/>
  <c r="AJ205" i="20"/>
  <c r="BC489" i="20"/>
  <c r="BB123" i="20"/>
  <c r="CB121" i="20"/>
  <c r="BC493" i="20"/>
  <c r="BH480" i="20"/>
  <c r="BC476" i="20"/>
  <c r="AX420" i="20"/>
  <c r="CM420" i="20" s="1"/>
  <c r="T417" i="20"/>
  <c r="AY417" i="20" s="1"/>
  <c r="AZ417" i="20" s="1"/>
  <c r="BZ363" i="20"/>
  <c r="FY323" i="20"/>
  <c r="GA323" i="20" s="1"/>
  <c r="CS323" i="20" s="1"/>
  <c r="AL316" i="20"/>
  <c r="M311" i="20"/>
  <c r="BF311" i="20" s="1"/>
  <c r="CO311" i="20" s="1"/>
  <c r="Y308" i="20"/>
  <c r="FY319" i="20"/>
  <c r="GA319" i="20" s="1"/>
  <c r="CS319" i="20" s="1"/>
  <c r="DI266" i="20"/>
  <c r="CI270" i="20"/>
  <c r="CK270" i="20" s="1"/>
  <c r="CP270" i="20" s="1"/>
  <c r="AL285" i="20"/>
  <c r="DT260" i="20"/>
  <c r="EB252" i="20"/>
  <c r="CB191" i="20"/>
  <c r="CI191" i="20" s="1"/>
  <c r="AX178" i="20"/>
  <c r="CM178" i="20" s="1"/>
  <c r="FG178" i="20" s="1"/>
  <c r="CB165" i="20"/>
  <c r="CI165" i="20" s="1"/>
  <c r="CK165" i="20" s="1"/>
  <c r="CP165" i="20" s="1"/>
  <c r="CW165" i="20" s="1"/>
  <c r="EM153" i="20"/>
  <c r="EP153" i="20" s="1"/>
  <c r="EQ153" i="20" s="1"/>
  <c r="CI133" i="20"/>
  <c r="CK133" i="20" s="1"/>
  <c r="CP133" i="20" s="1"/>
  <c r="FJ133" i="20" s="1"/>
  <c r="Y96" i="20"/>
  <c r="DT96" i="20" s="1"/>
  <c r="AY114" i="20"/>
  <c r="BL73" i="20"/>
  <c r="BN73" i="20" s="1"/>
  <c r="GA113" i="20"/>
  <c r="CS113" i="20" s="1"/>
  <c r="EN52" i="20"/>
  <c r="BF27" i="20"/>
  <c r="BB27" i="20"/>
  <c r="BC27" i="20" s="1"/>
  <c r="CI479" i="20"/>
  <c r="BI281" i="20"/>
  <c r="DI181" i="20"/>
  <c r="AM102" i="20"/>
  <c r="Y271" i="20"/>
  <c r="BB242" i="20"/>
  <c r="BC480" i="20"/>
  <c r="GA429" i="20"/>
  <c r="CS429" i="20" s="1"/>
  <c r="FI429" i="20" s="1"/>
  <c r="FY413" i="20"/>
  <c r="DI417" i="20"/>
  <c r="T413" i="20"/>
  <c r="AY413" i="20" s="1"/>
  <c r="AY410" i="20"/>
  <c r="BH410" i="20" s="1"/>
  <c r="BB412" i="20"/>
  <c r="AL406" i="20"/>
  <c r="FY409" i="20"/>
  <c r="GA409" i="20" s="1"/>
  <c r="CS409" i="20" s="1"/>
  <c r="BI395" i="20"/>
  <c r="BZ398" i="20"/>
  <c r="EB392" i="20"/>
  <c r="EG392" i="20" s="1"/>
  <c r="EG375" i="20"/>
  <c r="T363" i="20"/>
  <c r="AY363" i="20" s="1"/>
  <c r="Y357" i="20"/>
  <c r="BR363" i="20"/>
  <c r="DZ363" i="20" s="1"/>
  <c r="EB363" i="20" s="1"/>
  <c r="CA316" i="20"/>
  <c r="CB316" i="20" s="1"/>
  <c r="CI316" i="20" s="1"/>
  <c r="CK316" i="20" s="1"/>
  <c r="CP316" i="20" s="1"/>
  <c r="BB319" i="20"/>
  <c r="BB311" i="20"/>
  <c r="BZ319" i="20"/>
  <c r="Y278" i="20"/>
  <c r="DT278" i="20" s="1"/>
  <c r="BB266" i="20"/>
  <c r="BC266" i="20" s="1"/>
  <c r="CN266" i="20" s="1"/>
  <c r="CA285" i="20"/>
  <c r="EB251" i="20"/>
  <c r="AY247" i="20"/>
  <c r="AZ247" i="20" s="1"/>
  <c r="CB218" i="20"/>
  <c r="CI218" i="20" s="1"/>
  <c r="M178" i="20"/>
  <c r="BF178" i="20" s="1"/>
  <c r="CO178" i="20" s="1"/>
  <c r="CK181" i="20"/>
  <c r="CP181" i="20" s="1"/>
  <c r="FJ181" i="20" s="1"/>
  <c r="ET178" i="20"/>
  <c r="EU178" i="20" s="1"/>
  <c r="EV178" i="20" s="1"/>
  <c r="AX123" i="20"/>
  <c r="CM123" i="20" s="1"/>
  <c r="AL126" i="20"/>
  <c r="Y106" i="20"/>
  <c r="Q106" i="20" s="1"/>
  <c r="EY91" i="20"/>
  <c r="EZ91" i="20" s="1"/>
  <c r="CB45" i="20"/>
  <c r="CI45" i="20" s="1"/>
  <c r="CB49" i="20"/>
  <c r="CI49" i="20" s="1"/>
  <c r="CI243" i="20"/>
  <c r="CK243" i="20" s="1"/>
  <c r="CP243" i="20" s="1"/>
  <c r="FY338" i="20"/>
  <c r="GA338" i="20" s="1"/>
  <c r="CS338" i="20" s="1"/>
  <c r="EB316" i="20"/>
  <c r="EH316" i="20" s="1"/>
  <c r="DM316" i="20" s="1"/>
  <c r="CK478" i="20"/>
  <c r="BF434" i="20"/>
  <c r="CO434" i="20" s="1"/>
  <c r="CB432" i="20"/>
  <c r="BB420" i="20"/>
  <c r="FY417" i="20"/>
  <c r="GA417" i="20" s="1"/>
  <c r="CS417" i="20" s="1"/>
  <c r="FI417" i="20" s="1"/>
  <c r="AX417" i="20"/>
  <c r="CM417" i="20" s="1"/>
  <c r="T398" i="20"/>
  <c r="AY398" i="20" s="1"/>
  <c r="BR409" i="20"/>
  <c r="DZ409" i="20" s="1"/>
  <c r="EB409" i="20" s="1"/>
  <c r="AL398" i="20"/>
  <c r="Y386" i="20"/>
  <c r="DT386" i="20" s="1"/>
  <c r="EH389" i="20"/>
  <c r="BF387" i="20"/>
  <c r="CO387" i="20" s="1"/>
  <c r="AY370" i="20"/>
  <c r="BH370" i="20" s="1"/>
  <c r="EH369" i="20"/>
  <c r="EB329" i="20"/>
  <c r="EG329" i="20" s="1"/>
  <c r="T334" i="20"/>
  <c r="AY334" i="20" s="1"/>
  <c r="DI311" i="20"/>
  <c r="ET311" i="20" s="1"/>
  <c r="EU311" i="20" s="1"/>
  <c r="EV311" i="20" s="1"/>
  <c r="AL319" i="20"/>
  <c r="GA296" i="20"/>
  <c r="CS296" i="20" s="1"/>
  <c r="CA289" i="20"/>
  <c r="CB301" i="20"/>
  <c r="CB282" i="20"/>
  <c r="CI282" i="20" s="1"/>
  <c r="CK282" i="20" s="1"/>
  <c r="CP282" i="20" s="1"/>
  <c r="AY191" i="20"/>
  <c r="AZ191" i="20" s="1"/>
  <c r="EL156" i="20"/>
  <c r="EK156" i="20" s="1"/>
  <c r="EM156" i="20" s="1"/>
  <c r="EP156" i="20" s="1"/>
  <c r="EQ156" i="20" s="1"/>
  <c r="ES156" i="20" s="1"/>
  <c r="AY158" i="20"/>
  <c r="CI60" i="20"/>
  <c r="CK60" i="20" s="1"/>
  <c r="CP60" i="20" s="1"/>
  <c r="FJ60" i="20" s="1"/>
  <c r="AY56" i="20"/>
  <c r="EH65" i="20"/>
  <c r="DM65" i="20" s="1"/>
  <c r="Y368" i="20"/>
  <c r="DT368" i="20" s="1"/>
  <c r="AU155" i="20"/>
  <c r="AX27" i="20"/>
  <c r="ET64" i="20"/>
  <c r="EU64" i="20" s="1"/>
  <c r="EV64" i="20" s="1"/>
  <c r="AZ314" i="20"/>
  <c r="BH314" i="20"/>
  <c r="CU190" i="20"/>
  <c r="FG190" i="20"/>
  <c r="AZ184" i="20"/>
  <c r="BH184" i="20"/>
  <c r="AZ470" i="20"/>
  <c r="BC470" i="20" s="1"/>
  <c r="BR443" i="20"/>
  <c r="DZ443" i="20" s="1"/>
  <c r="EB443" i="20" s="1"/>
  <c r="EG443" i="20" s="1"/>
  <c r="CE433" i="20"/>
  <c r="EB410" i="20"/>
  <c r="EG410" i="20" s="1"/>
  <c r="FY315" i="20"/>
  <c r="GA315" i="20" s="1"/>
  <c r="CS315" i="20" s="1"/>
  <c r="CB293" i="20"/>
  <c r="AY283" i="20"/>
  <c r="AZ283" i="20" s="1"/>
  <c r="FY276" i="20"/>
  <c r="GA276" i="20" s="1"/>
  <c r="CS276" i="20" s="1"/>
  <c r="DD276" i="20" s="1"/>
  <c r="CB275" i="20"/>
  <c r="CB284" i="20"/>
  <c r="Y251" i="20"/>
  <c r="BI251" i="20" s="1"/>
  <c r="AJ194" i="20"/>
  <c r="AL182" i="20"/>
  <c r="AZ201" i="20"/>
  <c r="DI189" i="20"/>
  <c r="AL113" i="20"/>
  <c r="EY122" i="20"/>
  <c r="EY101" i="20"/>
  <c r="EZ101" i="20" s="1"/>
  <c r="BO114" i="20"/>
  <c r="BP114" i="20" s="1"/>
  <c r="EI114" i="20" s="1"/>
  <c r="EH114" i="20" s="1"/>
  <c r="BL76" i="20"/>
  <c r="BN76" i="20" s="1"/>
  <c r="AL72" i="20"/>
  <c r="AL57" i="20"/>
  <c r="BR100" i="20"/>
  <c r="DZ100" i="20" s="1"/>
  <c r="EB100" i="20" s="1"/>
  <c r="EH100" i="20" s="1"/>
  <c r="DM100" i="20" s="1"/>
  <c r="BC44" i="20"/>
  <c r="Y320" i="20"/>
  <c r="AU159" i="20"/>
  <c r="BO23" i="20"/>
  <c r="BP23" i="20" s="1"/>
  <c r="EI23" i="20" s="1"/>
  <c r="AY92" i="20"/>
  <c r="AZ92" i="20" s="1"/>
  <c r="CB122" i="20"/>
  <c r="AY63" i="20"/>
  <c r="AZ63" i="20" s="1"/>
  <c r="BC63" i="20" s="1"/>
  <c r="CB35" i="20"/>
  <c r="EL183" i="20"/>
  <c r="EK183" i="20" s="1"/>
  <c r="Y183" i="20"/>
  <c r="BB181" i="20"/>
  <c r="AX183" i="20"/>
  <c r="CM183" i="20" s="1"/>
  <c r="M183" i="20"/>
  <c r="BF183" i="20" s="1"/>
  <c r="CO183" i="20" s="1"/>
  <c r="CK486" i="20"/>
  <c r="T443" i="20"/>
  <c r="AY443" i="20" s="1"/>
  <c r="BH443" i="20" s="1"/>
  <c r="FY443" i="20"/>
  <c r="GA443" i="20" s="1"/>
  <c r="CS443" i="20" s="1"/>
  <c r="CX443" i="20" s="1"/>
  <c r="AY445" i="20"/>
  <c r="BH445" i="20" s="1"/>
  <c r="GA425" i="20"/>
  <c r="CS425" i="20" s="1"/>
  <c r="DD425" i="20" s="1"/>
  <c r="FY394" i="20"/>
  <c r="GA394" i="20" s="1"/>
  <c r="CS394" i="20" s="1"/>
  <c r="AL411" i="20"/>
  <c r="GA384" i="20"/>
  <c r="CS384" i="20" s="1"/>
  <c r="EB365" i="20"/>
  <c r="EH365" i="20" s="1"/>
  <c r="BI368" i="20"/>
  <c r="EH357" i="20"/>
  <c r="AL331" i="20"/>
  <c r="CB351" i="20"/>
  <c r="GA300" i="20"/>
  <c r="CS300" i="20" s="1"/>
  <c r="CX300" i="20" s="1"/>
  <c r="EB265" i="20"/>
  <c r="EH265" i="20" s="1"/>
  <c r="DM265" i="20" s="1"/>
  <c r="EH244" i="20"/>
  <c r="CB248" i="20"/>
  <c r="EG218" i="20"/>
  <c r="AL91" i="20"/>
  <c r="FY118" i="20"/>
  <c r="GC118" i="20" s="1"/>
  <c r="BB42" i="20"/>
  <c r="CK23" i="20"/>
  <c r="T367" i="20"/>
  <c r="AY367" i="20" s="1"/>
  <c r="BH367" i="20" s="1"/>
  <c r="CB147" i="20"/>
  <c r="CI147" i="20" s="1"/>
  <c r="CK147" i="20" s="1"/>
  <c r="CP147" i="20" s="1"/>
  <c r="GA139" i="20"/>
  <c r="CS139" i="20" s="1"/>
  <c r="BB335" i="20"/>
  <c r="ET56" i="20"/>
  <c r="EU56" i="20" s="1"/>
  <c r="EV56" i="20" s="1"/>
  <c r="EY132" i="20"/>
  <c r="EZ132" i="20" s="1"/>
  <c r="AY153" i="20"/>
  <c r="BC35" i="20"/>
  <c r="CB32" i="20"/>
  <c r="CI32" i="20" s="1"/>
  <c r="BR441" i="20"/>
  <c r="DZ441" i="20" s="1"/>
  <c r="EB441" i="20" s="1"/>
  <c r="CA441" i="20"/>
  <c r="DJ44" i="20"/>
  <c r="AX44" i="20"/>
  <c r="DI215" i="20"/>
  <c r="ET215" i="20" s="1"/>
  <c r="EU215" i="20" s="1"/>
  <c r="EV215" i="20" s="1"/>
  <c r="M215" i="20"/>
  <c r="BF215" i="20" s="1"/>
  <c r="CI21" i="20"/>
  <c r="CK21" i="20" s="1"/>
  <c r="AL261" i="20"/>
  <c r="CI493" i="20"/>
  <c r="CK493" i="20" s="1"/>
  <c r="DU467" i="20"/>
  <c r="BH398" i="20"/>
  <c r="AY332" i="20"/>
  <c r="AZ332" i="20" s="1"/>
  <c r="CB325" i="20"/>
  <c r="CB300" i="20"/>
  <c r="CI300" i="20" s="1"/>
  <c r="CK300" i="20" s="1"/>
  <c r="CP300" i="20" s="1"/>
  <c r="CW300" i="20" s="1"/>
  <c r="AY282" i="20"/>
  <c r="BH282" i="20" s="1"/>
  <c r="AY245" i="20"/>
  <c r="AZ245" i="20" s="1"/>
  <c r="BH234" i="20"/>
  <c r="EG221" i="20"/>
  <c r="T194" i="20"/>
  <c r="CU189" i="20"/>
  <c r="BB24" i="20"/>
  <c r="BC24" i="20" s="1"/>
  <c r="BB28" i="20"/>
  <c r="BC28" i="20" s="1"/>
  <c r="FY433" i="20"/>
  <c r="GA433" i="20" s="1"/>
  <c r="CS433" i="20" s="1"/>
  <c r="BH421" i="20"/>
  <c r="EG316" i="20"/>
  <c r="EG318" i="20"/>
  <c r="EH237" i="20"/>
  <c r="AL152" i="20"/>
  <c r="AZ162" i="20"/>
  <c r="EZ73" i="20"/>
  <c r="EL115" i="20"/>
  <c r="EK115" i="20" s="1"/>
  <c r="EY115" i="20" s="1"/>
  <c r="EZ115" i="20" s="1"/>
  <c r="CB58" i="20"/>
  <c r="CI58" i="20" s="1"/>
  <c r="CK58" i="20" s="1"/>
  <c r="CP58" i="20" s="1"/>
  <c r="BL66" i="20"/>
  <c r="BN66" i="20" s="1"/>
  <c r="AX23" i="20"/>
  <c r="BH467" i="20"/>
  <c r="CB401" i="20"/>
  <c r="CI401" i="20" s="1"/>
  <c r="CK401" i="20" s="1"/>
  <c r="CP401" i="20" s="1"/>
  <c r="Y346" i="20"/>
  <c r="Y309" i="20"/>
  <c r="BB263" i="20"/>
  <c r="CB19" i="20"/>
  <c r="AX126" i="20"/>
  <c r="CM126" i="20" s="1"/>
  <c r="DJ126" i="20"/>
  <c r="EY126" i="20" s="1"/>
  <c r="EZ126" i="20" s="1"/>
  <c r="EL174" i="20"/>
  <c r="EK174" i="20" s="1"/>
  <c r="Y174" i="20"/>
  <c r="M32" i="20"/>
  <c r="BF32" i="20" s="1"/>
  <c r="AX32" i="20"/>
  <c r="CB224" i="20"/>
  <c r="CI224" i="20" s="1"/>
  <c r="P197" i="20"/>
  <c r="M197" i="20"/>
  <c r="BF197" i="20" s="1"/>
  <c r="CO197" i="20" s="1"/>
  <c r="BC236" i="20"/>
  <c r="CN236" i="20" s="1"/>
  <c r="BC472" i="20"/>
  <c r="DU475" i="20"/>
  <c r="EM475" i="20" s="1"/>
  <c r="EP475" i="20" s="1"/>
  <c r="EQ475" i="20" s="1"/>
  <c r="DN475" i="20" s="1"/>
  <c r="EB437" i="20"/>
  <c r="BF421" i="20"/>
  <c r="CO421" i="20" s="1"/>
  <c r="EG417" i="20"/>
  <c r="GA342" i="20"/>
  <c r="CS342" i="20" s="1"/>
  <c r="AY350" i="20"/>
  <c r="BH350" i="20" s="1"/>
  <c r="BF298" i="20"/>
  <c r="CO298" i="20" s="1"/>
  <c r="BB299" i="20"/>
  <c r="EB283" i="20"/>
  <c r="EG283" i="20" s="1"/>
  <c r="AL176" i="20"/>
  <c r="CI148" i="20"/>
  <c r="CK148" i="20" s="1"/>
  <c r="CP148" i="20" s="1"/>
  <c r="FJ148" i="20" s="1"/>
  <c r="EY121" i="20"/>
  <c r="AL137" i="20"/>
  <c r="Y101" i="20"/>
  <c r="DT101" i="20" s="1"/>
  <c r="CB93" i="20"/>
  <c r="CI93" i="20" s="1"/>
  <c r="CK93" i="20" s="1"/>
  <c r="CP93" i="20" s="1"/>
  <c r="CW93" i="20" s="1"/>
  <c r="CB118" i="20"/>
  <c r="CI118" i="20" s="1"/>
  <c r="CK118" i="20" s="1"/>
  <c r="CP118" i="20" s="1"/>
  <c r="AY79" i="20"/>
  <c r="EH81" i="20"/>
  <c r="DM81" i="20" s="1"/>
  <c r="FY264" i="20"/>
  <c r="GA264" i="20" s="1"/>
  <c r="CS264" i="20" s="1"/>
  <c r="DD264" i="20" s="1"/>
  <c r="CI50" i="20"/>
  <c r="CK50" i="20" s="1"/>
  <c r="EY128" i="20"/>
  <c r="EZ128" i="20" s="1"/>
  <c r="EE78" i="20"/>
  <c r="AX174" i="20"/>
  <c r="CM174" i="20" s="1"/>
  <c r="M174" i="20"/>
  <c r="BF174" i="20" s="1"/>
  <c r="CO174" i="20" s="1"/>
  <c r="BC494" i="20"/>
  <c r="FY444" i="20"/>
  <c r="GA444" i="20" s="1"/>
  <c r="CS444" i="20" s="1"/>
  <c r="FI444" i="20" s="1"/>
  <c r="AL407" i="20"/>
  <c r="Y387" i="20"/>
  <c r="CB336" i="20"/>
  <c r="AY333" i="20"/>
  <c r="EU328" i="20"/>
  <c r="EV328" i="20" s="1"/>
  <c r="Y325" i="20"/>
  <c r="FY298" i="20"/>
  <c r="GA298" i="20" s="1"/>
  <c r="CS298" i="20" s="1"/>
  <c r="DD298" i="20" s="1"/>
  <c r="BF289" i="20"/>
  <c r="CO289" i="20" s="1"/>
  <c r="CI273" i="20"/>
  <c r="BF285" i="20"/>
  <c r="CO285" i="20" s="1"/>
  <c r="AL165" i="20"/>
  <c r="AQ165" i="20" s="1"/>
  <c r="EY136" i="20"/>
  <c r="CB41" i="20"/>
  <c r="CI41" i="20" s="1"/>
  <c r="EB348" i="20"/>
  <c r="EY139" i="20"/>
  <c r="BF161" i="20"/>
  <c r="CB131" i="20"/>
  <c r="CI131" i="20" s="1"/>
  <c r="CK131" i="20" s="1"/>
  <c r="CP131" i="20" s="1"/>
  <c r="BH469" i="20"/>
  <c r="CA443" i="20"/>
  <c r="CB441" i="20"/>
  <c r="CI441" i="20" s="1"/>
  <c r="EH401" i="20"/>
  <c r="DM401" i="20" s="1"/>
  <c r="CB391" i="20"/>
  <c r="CE387" i="20"/>
  <c r="AL277" i="20"/>
  <c r="T287" i="20"/>
  <c r="CI252" i="20"/>
  <c r="GA169" i="20"/>
  <c r="CS169" i="20" s="1"/>
  <c r="FI169" i="20" s="1"/>
  <c r="BF169" i="20"/>
  <c r="CO169" i="20" s="1"/>
  <c r="BF167" i="20"/>
  <c r="CO167" i="20" s="1"/>
  <c r="EB151" i="20"/>
  <c r="BB144" i="20"/>
  <c r="EY85" i="20"/>
  <c r="EZ76" i="20"/>
  <c r="AL78" i="20"/>
  <c r="BC39" i="20"/>
  <c r="CU89" i="20"/>
  <c r="DJ23" i="20"/>
  <c r="BB23" i="20"/>
  <c r="BC23" i="20" s="1"/>
  <c r="GA265" i="20"/>
  <c r="CS265" i="20" s="1"/>
  <c r="AZ154" i="20"/>
  <c r="AL71" i="20"/>
  <c r="CB232" i="20"/>
  <c r="CI232" i="20" s="1"/>
  <c r="CK232" i="20" s="1"/>
  <c r="CP232" i="20" s="1"/>
  <c r="AL55" i="20"/>
  <c r="AY129" i="20"/>
  <c r="AZ129" i="20" s="1"/>
  <c r="BB183" i="20"/>
  <c r="AY444" i="20"/>
  <c r="AZ444" i="20" s="1"/>
  <c r="BC444" i="20" s="1"/>
  <c r="CN444" i="20" s="1"/>
  <c r="AZ440" i="20"/>
  <c r="BH440" i="20"/>
  <c r="AZ365" i="20"/>
  <c r="BH365" i="20"/>
  <c r="BJ365" i="20" s="1"/>
  <c r="EG307" i="20"/>
  <c r="EH307" i="20"/>
  <c r="DM307" i="20" s="1"/>
  <c r="EL360" i="20"/>
  <c r="EK360" i="20" s="1"/>
  <c r="Y360" i="20"/>
  <c r="EG311" i="20"/>
  <c r="EH311" i="20"/>
  <c r="DM311" i="20" s="1"/>
  <c r="T280" i="20"/>
  <c r="AL280" i="20"/>
  <c r="DM493" i="20"/>
  <c r="BF438" i="20"/>
  <c r="CO438" i="20" s="1"/>
  <c r="BF428" i="20"/>
  <c r="CO428" i="20" s="1"/>
  <c r="AY382" i="20"/>
  <c r="AZ382" i="20" s="1"/>
  <c r="EH383" i="20"/>
  <c r="DM383" i="20" s="1"/>
  <c r="EG383" i="20"/>
  <c r="EG365" i="20"/>
  <c r="EB259" i="20"/>
  <c r="EH259" i="20" s="1"/>
  <c r="DM259" i="20" s="1"/>
  <c r="GA413" i="20"/>
  <c r="CS413" i="20" s="1"/>
  <c r="DD413" i="20" s="1"/>
  <c r="EE191" i="20"/>
  <c r="AL191" i="20"/>
  <c r="DU487" i="20"/>
  <c r="EM487" i="20" s="1"/>
  <c r="EP487" i="20" s="1"/>
  <c r="EQ487" i="20" s="1"/>
  <c r="DN487" i="20" s="1"/>
  <c r="BH483" i="20"/>
  <c r="AZ468" i="20"/>
  <c r="BC468" i="20" s="1"/>
  <c r="EH418" i="20"/>
  <c r="DM418" i="20" s="1"/>
  <c r="Y393" i="20"/>
  <c r="AY372" i="20"/>
  <c r="AZ372" i="20" s="1"/>
  <c r="ET374" i="20"/>
  <c r="EU374" i="20" s="1"/>
  <c r="EV374" i="20" s="1"/>
  <c r="EH377" i="20"/>
  <c r="DM377" i="20" s="1"/>
  <c r="EG377" i="20"/>
  <c r="BH368" i="20"/>
  <c r="BF361" i="20"/>
  <c r="CO361" i="20" s="1"/>
  <c r="T340" i="20"/>
  <c r="AY340" i="20" s="1"/>
  <c r="AL340" i="20"/>
  <c r="EG304" i="20"/>
  <c r="EH304" i="20"/>
  <c r="BF297" i="20"/>
  <c r="CO297" i="20" s="1"/>
  <c r="EY99" i="20"/>
  <c r="EZ99" i="20" s="1"/>
  <c r="FI266" i="20"/>
  <c r="CX266" i="20"/>
  <c r="BJ487" i="20"/>
  <c r="BL80" i="20"/>
  <c r="BN80" i="20" s="1"/>
  <c r="BM80" i="20"/>
  <c r="BH396" i="20"/>
  <c r="AZ304" i="20"/>
  <c r="BC304" i="20" s="1"/>
  <c r="CN304" i="20" s="1"/>
  <c r="BH304" i="20"/>
  <c r="AL373" i="20"/>
  <c r="T373" i="20"/>
  <c r="AY373" i="20" s="1"/>
  <c r="BH373" i="20" s="1"/>
  <c r="CK469" i="20"/>
  <c r="BH437" i="20"/>
  <c r="AZ432" i="20"/>
  <c r="EH402" i="20"/>
  <c r="DM402" i="20" s="1"/>
  <c r="EG402" i="20"/>
  <c r="EL397" i="20"/>
  <c r="EK397" i="20" s="1"/>
  <c r="Y397" i="20"/>
  <c r="DT397" i="20" s="1"/>
  <c r="AL352" i="20"/>
  <c r="Y299" i="20"/>
  <c r="EG272" i="20"/>
  <c r="EH272" i="20"/>
  <c r="AL148" i="20"/>
  <c r="AM148" i="20"/>
  <c r="EH363" i="20"/>
  <c r="EG363" i="20"/>
  <c r="AY381" i="20"/>
  <c r="BH381" i="20" s="1"/>
  <c r="BF422" i="20"/>
  <c r="CO422" i="20" s="1"/>
  <c r="FY420" i="20"/>
  <c r="GA420" i="20" s="1"/>
  <c r="CS420" i="20" s="1"/>
  <c r="FI420" i="20" s="1"/>
  <c r="BH401" i="20"/>
  <c r="CB392" i="20"/>
  <c r="CI392" i="20" s="1"/>
  <c r="CK392" i="20" s="1"/>
  <c r="CP392" i="20" s="1"/>
  <c r="AY383" i="20"/>
  <c r="AZ383" i="20" s="1"/>
  <c r="BC383" i="20" s="1"/>
  <c r="CN383" i="20" s="1"/>
  <c r="BB378" i="20"/>
  <c r="EB300" i="20"/>
  <c r="EG300" i="20" s="1"/>
  <c r="EG286" i="20"/>
  <c r="EL252" i="20"/>
  <c r="EK252" i="20" s="1"/>
  <c r="Y252" i="20"/>
  <c r="BI252" i="20" s="1"/>
  <c r="EH251" i="20"/>
  <c r="EG251" i="20"/>
  <c r="AM116" i="20"/>
  <c r="AL116" i="20"/>
  <c r="T390" i="20"/>
  <c r="AY390" i="20" s="1"/>
  <c r="AZ390" i="20" s="1"/>
  <c r="AL390" i="20"/>
  <c r="CK485" i="20"/>
  <c r="BC482" i="20"/>
  <c r="BF442" i="20"/>
  <c r="CO442" i="20" s="1"/>
  <c r="CB448" i="20"/>
  <c r="CI336" i="20"/>
  <c r="BF315" i="20"/>
  <c r="CO315" i="20" s="1"/>
  <c r="BF303" i="20"/>
  <c r="CO303" i="20" s="1"/>
  <c r="AL288" i="20"/>
  <c r="EG270" i="20"/>
  <c r="EH270" i="20"/>
  <c r="DM270" i="20" s="1"/>
  <c r="EH231" i="20"/>
  <c r="DM231" i="20" s="1"/>
  <c r="AY200" i="20"/>
  <c r="BL118" i="20"/>
  <c r="BN118" i="20" s="1"/>
  <c r="BM118" i="20"/>
  <c r="AZ224" i="20"/>
  <c r="BC224" i="20" s="1"/>
  <c r="CN224" i="20" s="1"/>
  <c r="CV224" i="20" s="1"/>
  <c r="BH224" i="20"/>
  <c r="CI222" i="20"/>
  <c r="CK151" i="20"/>
  <c r="CP151" i="20" s="1"/>
  <c r="DC151" i="20" s="1"/>
  <c r="DI432" i="20"/>
  <c r="M432" i="20"/>
  <c r="BF432" i="20" s="1"/>
  <c r="CO432" i="20" s="1"/>
  <c r="BZ375" i="20"/>
  <c r="FY375" i="20"/>
  <c r="GA375" i="20" s="1"/>
  <c r="CS375" i="20" s="1"/>
  <c r="CX375" i="20" s="1"/>
  <c r="CA375" i="20"/>
  <c r="EL290" i="20"/>
  <c r="EK290" i="20" s="1"/>
  <c r="Y290" i="20"/>
  <c r="FY324" i="20"/>
  <c r="GA324" i="20" s="1"/>
  <c r="CS324" i="20" s="1"/>
  <c r="CX324" i="20" s="1"/>
  <c r="BZ324" i="20"/>
  <c r="CB324" i="20" s="1"/>
  <c r="CA263" i="20"/>
  <c r="BZ263" i="20"/>
  <c r="FY263" i="20"/>
  <c r="GA263" i="20" s="1"/>
  <c r="CS263" i="20" s="1"/>
  <c r="DD263" i="20" s="1"/>
  <c r="DJ129" i="20"/>
  <c r="EY129" i="20" s="1"/>
  <c r="EZ129" i="20" s="1"/>
  <c r="AX129" i="20"/>
  <c r="CM129" i="20" s="1"/>
  <c r="AM32" i="20"/>
  <c r="AL32" i="20"/>
  <c r="BB176" i="20"/>
  <c r="AJ141" i="20"/>
  <c r="FY141" i="20"/>
  <c r="GA141" i="20" s="1"/>
  <c r="CS141" i="20" s="1"/>
  <c r="CD141" i="20"/>
  <c r="CE141" i="20" s="1"/>
  <c r="CA96" i="20"/>
  <c r="BR96" i="20"/>
  <c r="DZ96" i="20" s="1"/>
  <c r="EB96" i="20" s="1"/>
  <c r="EH96" i="20" s="1"/>
  <c r="CA208" i="20"/>
  <c r="BR208" i="20"/>
  <c r="DZ208" i="20" s="1"/>
  <c r="EB208" i="20" s="1"/>
  <c r="DI211" i="20"/>
  <c r="ET211" i="20" s="1"/>
  <c r="EU211" i="20" s="1"/>
  <c r="EV211" i="20" s="1"/>
  <c r="M211" i="20"/>
  <c r="BF211" i="20" s="1"/>
  <c r="CO211" i="20" s="1"/>
  <c r="P211" i="20"/>
  <c r="Y184" i="20"/>
  <c r="EL184" i="20"/>
  <c r="EK184" i="20" s="1"/>
  <c r="ET184" i="20" s="1"/>
  <c r="EU184" i="20" s="1"/>
  <c r="EV184" i="20" s="1"/>
  <c r="AN71" i="20"/>
  <c r="FX77" i="20"/>
  <c r="GA77" i="20" s="1"/>
  <c r="CS77" i="20" s="1"/>
  <c r="FI77" i="20" s="1"/>
  <c r="BR71" i="20"/>
  <c r="DZ71" i="20" s="1"/>
  <c r="EB71" i="20" s="1"/>
  <c r="Y38" i="20"/>
  <c r="AX31" i="20"/>
  <c r="EY24" i="20"/>
  <c r="EZ24" i="20" s="1"/>
  <c r="AY72" i="20"/>
  <c r="AZ72" i="20" s="1"/>
  <c r="BC72" i="20" s="1"/>
  <c r="CN72" i="20" s="1"/>
  <c r="CK31" i="20"/>
  <c r="DT421" i="20"/>
  <c r="BI421" i="20"/>
  <c r="CI487" i="20"/>
  <c r="CK487" i="20" s="1"/>
  <c r="DI445" i="20"/>
  <c r="ET445" i="20" s="1"/>
  <c r="EU445" i="20" s="1"/>
  <c r="EV445" i="20" s="1"/>
  <c r="M445" i="20"/>
  <c r="BF445" i="20" s="1"/>
  <c r="CO445" i="20" s="1"/>
  <c r="CA350" i="20"/>
  <c r="CB350" i="20" s="1"/>
  <c r="CI350" i="20" s="1"/>
  <c r="CK350" i="20" s="1"/>
  <c r="CP350" i="20" s="1"/>
  <c r="AL350" i="20"/>
  <c r="AL263" i="20"/>
  <c r="Y248" i="20"/>
  <c r="BB283" i="20"/>
  <c r="BC283" i="20" s="1"/>
  <c r="CN283" i="20" s="1"/>
  <c r="BH226" i="20"/>
  <c r="CA264" i="20"/>
  <c r="BZ264" i="20"/>
  <c r="AJ213" i="20"/>
  <c r="AT213" i="20"/>
  <c r="DU213" i="20" s="1"/>
  <c r="AZ237" i="20"/>
  <c r="EL181" i="20"/>
  <c r="EK181" i="20" s="1"/>
  <c r="Y181" i="20"/>
  <c r="BF405" i="20"/>
  <c r="CO405" i="20" s="1"/>
  <c r="AM141" i="20"/>
  <c r="AL141" i="20"/>
  <c r="AM38" i="20"/>
  <c r="AL38" i="20"/>
  <c r="AL22" i="20"/>
  <c r="AM22" i="20"/>
  <c r="T208" i="20"/>
  <c r="AY208" i="20" s="1"/>
  <c r="CB127" i="20"/>
  <c r="CI127" i="20" s="1"/>
  <c r="CK127" i="20" s="1"/>
  <c r="CP127" i="20" s="1"/>
  <c r="BR55" i="20"/>
  <c r="DZ55" i="20" s="1"/>
  <c r="EB55" i="20" s="1"/>
  <c r="FX55" i="20"/>
  <c r="GA55" i="20" s="1"/>
  <c r="CS55" i="20" s="1"/>
  <c r="CA55" i="20"/>
  <c r="CB55" i="20" s="1"/>
  <c r="CI55" i="20" s="1"/>
  <c r="CK55" i="20" s="1"/>
  <c r="CP55" i="20" s="1"/>
  <c r="BK55" i="20"/>
  <c r="AN55" i="20"/>
  <c r="BB38" i="20"/>
  <c r="BC38" i="20" s="1"/>
  <c r="AY57" i="20"/>
  <c r="AZ57" i="20" s="1"/>
  <c r="BC57" i="20" s="1"/>
  <c r="CN57" i="20" s="1"/>
  <c r="BE141" i="20"/>
  <c r="BF141" i="20" s="1"/>
  <c r="CO141" i="20" s="1"/>
  <c r="ET166" i="20"/>
  <c r="EU166" i="20" s="1"/>
  <c r="EV166" i="20" s="1"/>
  <c r="CI35" i="20"/>
  <c r="EG429" i="20"/>
  <c r="BB423" i="20"/>
  <c r="Y394" i="20"/>
  <c r="CE384" i="20"/>
  <c r="CB377" i="20"/>
  <c r="CI377" i="20" s="1"/>
  <c r="CK377" i="20" s="1"/>
  <c r="CP377" i="20" s="1"/>
  <c r="FJ377" i="20" s="1"/>
  <c r="AY371" i="20"/>
  <c r="BH371" i="20" s="1"/>
  <c r="BJ371" i="20" s="1"/>
  <c r="EB332" i="20"/>
  <c r="BF323" i="20"/>
  <c r="CO323" i="20" s="1"/>
  <c r="EG297" i="20"/>
  <c r="BF263" i="20"/>
  <c r="CO263" i="20" s="1"/>
  <c r="EB264" i="20"/>
  <c r="EG264" i="20" s="1"/>
  <c r="EU251" i="20"/>
  <c r="EV251" i="20" s="1"/>
  <c r="BZ247" i="20"/>
  <c r="CB247" i="20" s="1"/>
  <c r="CI247" i="20" s="1"/>
  <c r="CK247" i="20" s="1"/>
  <c r="CP247" i="20" s="1"/>
  <c r="FJ247" i="20" s="1"/>
  <c r="BB231" i="20"/>
  <c r="AY189" i="20"/>
  <c r="BH189" i="20" s="1"/>
  <c r="BF205" i="20"/>
  <c r="CO205" i="20" s="1"/>
  <c r="AJ202" i="20"/>
  <c r="AJ200" i="20"/>
  <c r="CB160" i="20"/>
  <c r="CI160" i="20" s="1"/>
  <c r="CK160" i="20" s="1"/>
  <c r="CB167" i="20"/>
  <c r="CI167" i="20" s="1"/>
  <c r="CK167" i="20" s="1"/>
  <c r="CP167" i="20" s="1"/>
  <c r="FJ167" i="20" s="1"/>
  <c r="BB129" i="20"/>
  <c r="BO117" i="20"/>
  <c r="BL136" i="20"/>
  <c r="BN136" i="20" s="1"/>
  <c r="CA108" i="20"/>
  <c r="CB88" i="20"/>
  <c r="CI88" i="20" s="1"/>
  <c r="CK88" i="20" s="1"/>
  <c r="CP88" i="20" s="1"/>
  <c r="FJ88" i="20" s="1"/>
  <c r="BZ96" i="20"/>
  <c r="AT105" i="20"/>
  <c r="DU105" i="20" s="1"/>
  <c r="BE72" i="20"/>
  <c r="BF72" i="20" s="1"/>
  <c r="CO72" i="20" s="1"/>
  <c r="AL62" i="20"/>
  <c r="BB102" i="20"/>
  <c r="AY119" i="20"/>
  <c r="AY53" i="20"/>
  <c r="AZ53" i="20" s="1"/>
  <c r="BF46" i="20"/>
  <c r="BB25" i="20"/>
  <c r="BE77" i="20"/>
  <c r="BF77" i="20" s="1"/>
  <c r="CO77" i="20" s="1"/>
  <c r="BZ71" i="20"/>
  <c r="CB71" i="20" s="1"/>
  <c r="CI71" i="20" s="1"/>
  <c r="CK71" i="20" s="1"/>
  <c r="CP71" i="20" s="1"/>
  <c r="FJ71" i="20" s="1"/>
  <c r="BB29" i="20"/>
  <c r="CA440" i="20"/>
  <c r="CB440" i="20" s="1"/>
  <c r="CI440" i="20" s="1"/>
  <c r="BR440" i="20"/>
  <c r="DZ440" i="20" s="1"/>
  <c r="EB440" i="20" s="1"/>
  <c r="AL440" i="20"/>
  <c r="AX337" i="20"/>
  <c r="CM337" i="20" s="1"/>
  <c r="DA337" i="20" s="1"/>
  <c r="M337" i="20"/>
  <c r="BF337" i="20" s="1"/>
  <c r="CO337" i="20" s="1"/>
  <c r="DI337" i="20"/>
  <c r="ET337" i="20" s="1"/>
  <c r="EU337" i="20" s="1"/>
  <c r="EV337" i="20" s="1"/>
  <c r="Y361" i="20"/>
  <c r="T375" i="20"/>
  <c r="AY375" i="20" s="1"/>
  <c r="AZ375" i="20" s="1"/>
  <c r="BC375" i="20" s="1"/>
  <c r="CN375" i="20" s="1"/>
  <c r="T275" i="20"/>
  <c r="Y238" i="20"/>
  <c r="EL238" i="20"/>
  <c r="EK238" i="20" s="1"/>
  <c r="Y224" i="20"/>
  <c r="EL224" i="20"/>
  <c r="EK224" i="20" s="1"/>
  <c r="CB237" i="20"/>
  <c r="CI237" i="20" s="1"/>
  <c r="FY195" i="20"/>
  <c r="GA195" i="20" s="1"/>
  <c r="CS195" i="20" s="1"/>
  <c r="CX195" i="20" s="1"/>
  <c r="CA195" i="20"/>
  <c r="BR195" i="20"/>
  <c r="DZ195" i="20" s="1"/>
  <c r="EB195" i="20" s="1"/>
  <c r="AY195" i="20"/>
  <c r="AJ195" i="20"/>
  <c r="GA144" i="20"/>
  <c r="CS144" i="20" s="1"/>
  <c r="AL66" i="20"/>
  <c r="AM53" i="20"/>
  <c r="AL53" i="20"/>
  <c r="BE84" i="20"/>
  <c r="BF84" i="20" s="1"/>
  <c r="CO84" i="20" s="1"/>
  <c r="CB42" i="20"/>
  <c r="CI42" i="20" s="1"/>
  <c r="BO121" i="20"/>
  <c r="BP121" i="20" s="1"/>
  <c r="EI121" i="20" s="1"/>
  <c r="EH121" i="20" s="1"/>
  <c r="Y113" i="20"/>
  <c r="DT113" i="20" s="1"/>
  <c r="EL113" i="20"/>
  <c r="EK113" i="20" s="1"/>
  <c r="EY113" i="20" s="1"/>
  <c r="EZ113" i="20" s="1"/>
  <c r="AY259" i="20"/>
  <c r="CI251" i="20"/>
  <c r="CK251" i="20" s="1"/>
  <c r="CP251" i="20" s="1"/>
  <c r="FJ251" i="20" s="1"/>
  <c r="EH164" i="20"/>
  <c r="DM164" i="20" s="1"/>
  <c r="BB146" i="20"/>
  <c r="BC75" i="20"/>
  <c r="CN75" i="20" s="1"/>
  <c r="CV75" i="20" s="1"/>
  <c r="CB22" i="20"/>
  <c r="CI22" i="20" s="1"/>
  <c r="BR403" i="20"/>
  <c r="DZ403" i="20" s="1"/>
  <c r="EB403" i="20" s="1"/>
  <c r="EH403" i="20" s="1"/>
  <c r="CA403" i="20"/>
  <c r="CB403" i="20" s="1"/>
  <c r="AL403" i="20"/>
  <c r="AX449" i="20"/>
  <c r="CM449" i="20" s="1"/>
  <c r="DA449" i="20" s="1"/>
  <c r="M449" i="20"/>
  <c r="BF449" i="20" s="1"/>
  <c r="CO449" i="20" s="1"/>
  <c r="DI449" i="20"/>
  <c r="Y401" i="20"/>
  <c r="EL401" i="20"/>
  <c r="EK401" i="20" s="1"/>
  <c r="M38" i="20"/>
  <c r="AX38" i="20"/>
  <c r="DI226" i="20"/>
  <c r="AX226" i="20"/>
  <c r="M226" i="20"/>
  <c r="BF226" i="20" s="1"/>
  <c r="EL182" i="20"/>
  <c r="EK182" i="20" s="1"/>
  <c r="Y182" i="20"/>
  <c r="M250" i="20"/>
  <c r="BF250" i="20" s="1"/>
  <c r="CO250" i="20" s="1"/>
  <c r="DI250" i="20"/>
  <c r="ET250" i="20" s="1"/>
  <c r="EU250" i="20" s="1"/>
  <c r="EV250" i="20" s="1"/>
  <c r="BL125" i="20"/>
  <c r="BN125" i="20" s="1"/>
  <c r="BM125" i="20"/>
  <c r="BL19" i="20"/>
  <c r="BN19" i="20" s="1"/>
  <c r="BM19" i="20"/>
  <c r="AY407" i="20"/>
  <c r="AZ407" i="20" s="1"/>
  <c r="CE403" i="20"/>
  <c r="BF356" i="20"/>
  <c r="CO356" i="20" s="1"/>
  <c r="EB360" i="20"/>
  <c r="EG360" i="20" s="1"/>
  <c r="EB351" i="20"/>
  <c r="EG351" i="20" s="1"/>
  <c r="CB292" i="20"/>
  <c r="CI292" i="20" s="1"/>
  <c r="CE301" i="20"/>
  <c r="CI301" i="20" s="1"/>
  <c r="EB278" i="20"/>
  <c r="EH278" i="20" s="1"/>
  <c r="DM278" i="20" s="1"/>
  <c r="BH266" i="20"/>
  <c r="CK242" i="20"/>
  <c r="BB171" i="20"/>
  <c r="EH219" i="20"/>
  <c r="AY169" i="20"/>
  <c r="AZ169" i="20" s="1"/>
  <c r="EB150" i="20"/>
  <c r="AT166" i="20"/>
  <c r="DU166" i="20" s="1"/>
  <c r="DN166" i="20" s="1"/>
  <c r="BH170" i="20"/>
  <c r="AY141" i="20"/>
  <c r="BL144" i="20"/>
  <c r="BN144" i="20" s="1"/>
  <c r="EY97" i="20"/>
  <c r="EZ97" i="20" s="1"/>
  <c r="AL82" i="20"/>
  <c r="BZ77" i="20"/>
  <c r="CB77" i="20" s="1"/>
  <c r="CI77" i="20" s="1"/>
  <c r="CK77" i="20" s="1"/>
  <c r="CP77" i="20" s="1"/>
  <c r="FJ77" i="20" s="1"/>
  <c r="EU65" i="20"/>
  <c r="EV65" i="20" s="1"/>
  <c r="AY68" i="20"/>
  <c r="BB37" i="20"/>
  <c r="BC37" i="20" s="1"/>
  <c r="BF48" i="20"/>
  <c r="BC46" i="20"/>
  <c r="DA401" i="20"/>
  <c r="FG401" i="20"/>
  <c r="DI362" i="20"/>
  <c r="ET362" i="20" s="1"/>
  <c r="EU362" i="20" s="1"/>
  <c r="EV362" i="20" s="1"/>
  <c r="M362" i="20"/>
  <c r="BF362" i="20" s="1"/>
  <c r="CO362" i="20" s="1"/>
  <c r="AX362" i="20"/>
  <c r="CM362" i="20" s="1"/>
  <c r="BB432" i="20"/>
  <c r="EL342" i="20"/>
  <c r="EK342" i="20" s="1"/>
  <c r="Y342" i="20"/>
  <c r="DT300" i="20"/>
  <c r="BI300" i="20"/>
  <c r="BI189" i="20"/>
  <c r="BH236" i="20"/>
  <c r="EL222" i="20"/>
  <c r="EK222" i="20" s="1"/>
  <c r="Y222" i="20"/>
  <c r="CB145" i="20"/>
  <c r="CI145" i="20" s="1"/>
  <c r="CK145" i="20" s="1"/>
  <c r="CP145" i="20" s="1"/>
  <c r="EH199" i="20"/>
  <c r="DM199" i="20" s="1"/>
  <c r="ED199" i="20" s="1"/>
  <c r="CR199" i="20" s="1"/>
  <c r="M35" i="20"/>
  <c r="BF35" i="20" s="1"/>
  <c r="AX35" i="20"/>
  <c r="DJ42" i="20"/>
  <c r="M42" i="20"/>
  <c r="BF42" i="20" s="1"/>
  <c r="M24" i="20"/>
  <c r="CK24" i="20" s="1"/>
  <c r="AX24" i="20"/>
  <c r="CA64" i="20"/>
  <c r="BZ64" i="20"/>
  <c r="FX64" i="20"/>
  <c r="GA64" i="20" s="1"/>
  <c r="CS64" i="20" s="1"/>
  <c r="CX64" i="20" s="1"/>
  <c r="EY120" i="20"/>
  <c r="EZ120" i="20" s="1"/>
  <c r="EL213" i="20"/>
  <c r="EK213" i="20" s="1"/>
  <c r="Y213" i="20"/>
  <c r="AZ156" i="20"/>
  <c r="BO48" i="20"/>
  <c r="BP48" i="20" s="1"/>
  <c r="EI48" i="20" s="1"/>
  <c r="EL102" i="20"/>
  <c r="EK102" i="20" s="1"/>
  <c r="Y102" i="20"/>
  <c r="DT102" i="20" s="1"/>
  <c r="AM144" i="20"/>
  <c r="AL144" i="20"/>
  <c r="BZ84" i="20"/>
  <c r="CA84" i="20"/>
  <c r="BR84" i="20"/>
  <c r="DZ84" i="20" s="1"/>
  <c r="EB84" i="20" s="1"/>
  <c r="BK84" i="20"/>
  <c r="AL97" i="20"/>
  <c r="AY422" i="20"/>
  <c r="AZ422" i="20" s="1"/>
  <c r="BC422" i="20" s="1"/>
  <c r="CN422" i="20" s="1"/>
  <c r="CI391" i="20"/>
  <c r="CK391" i="20" s="1"/>
  <c r="CP391" i="20" s="1"/>
  <c r="CW391" i="20" s="1"/>
  <c r="Y376" i="20"/>
  <c r="EB380" i="20"/>
  <c r="AY345" i="20"/>
  <c r="BH345" i="20" s="1"/>
  <c r="CB360" i="20"/>
  <c r="CI360" i="20" s="1"/>
  <c r="AY323" i="20"/>
  <c r="AZ323" i="20" s="1"/>
  <c r="CE317" i="20"/>
  <c r="CE314" i="20"/>
  <c r="CB304" i="20"/>
  <c r="CI304" i="20" s="1"/>
  <c r="T320" i="20"/>
  <c r="AY320" i="20" s="1"/>
  <c r="GA294" i="20"/>
  <c r="CS294" i="20" s="1"/>
  <c r="CE302" i="20"/>
  <c r="CI302" i="20" s="1"/>
  <c r="AZ282" i="20"/>
  <c r="BC282" i="20" s="1"/>
  <c r="CN282" i="20" s="1"/>
  <c r="AY284" i="20"/>
  <c r="AZ284" i="20" s="1"/>
  <c r="CE276" i="20"/>
  <c r="AY253" i="20"/>
  <c r="AZ253" i="20" s="1"/>
  <c r="BC253" i="20" s="1"/>
  <c r="CN253" i="20" s="1"/>
  <c r="GA246" i="20"/>
  <c r="CS246" i="20" s="1"/>
  <c r="EG239" i="20"/>
  <c r="BB188" i="20"/>
  <c r="AL184" i="20"/>
  <c r="BH168" i="20"/>
  <c r="BK108" i="20"/>
  <c r="BL108" i="20" s="1"/>
  <c r="BN108" i="20" s="1"/>
  <c r="AY86" i="20"/>
  <c r="AZ86" i="20" s="1"/>
  <c r="GA50" i="20"/>
  <c r="AN77" i="20"/>
  <c r="CW81" i="20"/>
  <c r="BC31" i="20"/>
  <c r="AL50" i="20"/>
  <c r="BB362" i="20"/>
  <c r="DI273" i="20"/>
  <c r="M273" i="20"/>
  <c r="BF273" i="20" s="1"/>
  <c r="CO273" i="20" s="1"/>
  <c r="AX286" i="20"/>
  <c r="CM286" i="20" s="1"/>
  <c r="DI286" i="20"/>
  <c r="M286" i="20"/>
  <c r="BF286" i="20" s="1"/>
  <c r="CO286" i="20" s="1"/>
  <c r="AX312" i="20"/>
  <c r="CM312" i="20" s="1"/>
  <c r="M312" i="20"/>
  <c r="BF312" i="20" s="1"/>
  <c r="CO312" i="20" s="1"/>
  <c r="CA416" i="20"/>
  <c r="CB416" i="20" s="1"/>
  <c r="CI416" i="20" s="1"/>
  <c r="CK416" i="20" s="1"/>
  <c r="CP416" i="20" s="1"/>
  <c r="BR416" i="20"/>
  <c r="DZ416" i="20" s="1"/>
  <c r="EB416" i="20" s="1"/>
  <c r="EH416" i="20" s="1"/>
  <c r="DI287" i="20"/>
  <c r="M287" i="20"/>
  <c r="BF287" i="20" s="1"/>
  <c r="CO287" i="20" s="1"/>
  <c r="CB233" i="20"/>
  <c r="CI233" i="20" s="1"/>
  <c r="Y314" i="20"/>
  <c r="FY205" i="20"/>
  <c r="GA205" i="20" s="1"/>
  <c r="CS205" i="20" s="1"/>
  <c r="CX205" i="20" s="1"/>
  <c r="CA205" i="20"/>
  <c r="CB205" i="20" s="1"/>
  <c r="CI205" i="20" s="1"/>
  <c r="CK205" i="20" s="1"/>
  <c r="CP205" i="20" s="1"/>
  <c r="BR205" i="20"/>
  <c r="DZ205" i="20" s="1"/>
  <c r="EB205" i="20" s="1"/>
  <c r="EH205" i="20" s="1"/>
  <c r="DM205" i="20" s="1"/>
  <c r="AL205" i="20"/>
  <c r="T196" i="20"/>
  <c r="AY196" i="20" s="1"/>
  <c r="AN192" i="20"/>
  <c r="EL177" i="20"/>
  <c r="EK177" i="20" s="1"/>
  <c r="ET177" i="20" s="1"/>
  <c r="EU177" i="20" s="1"/>
  <c r="EV177" i="20" s="1"/>
  <c r="Y177" i="20"/>
  <c r="BB177" i="20"/>
  <c r="AX217" i="20"/>
  <c r="M217" i="20"/>
  <c r="BF217" i="20" s="1"/>
  <c r="DI217" i="20"/>
  <c r="BB178" i="20"/>
  <c r="EY123" i="20"/>
  <c r="EZ123" i="20" s="1"/>
  <c r="BH185" i="20"/>
  <c r="BJ185" i="20" s="1"/>
  <c r="BO27" i="20"/>
  <c r="BP27" i="20" s="1"/>
  <c r="EI27" i="20" s="1"/>
  <c r="EE71" i="20"/>
  <c r="CB240" i="20"/>
  <c r="CI240" i="20" s="1"/>
  <c r="BB139" i="20"/>
  <c r="ET52" i="20"/>
  <c r="BL42" i="20"/>
  <c r="BN42" i="20" s="1"/>
  <c r="BM42" i="20"/>
  <c r="BM35" i="20"/>
  <c r="BL35" i="20"/>
  <c r="BN35" i="20" s="1"/>
  <c r="BF425" i="20"/>
  <c r="CO425" i="20" s="1"/>
  <c r="Y417" i="20"/>
  <c r="BI417" i="20" s="1"/>
  <c r="GA412" i="20"/>
  <c r="CS412" i="20" s="1"/>
  <c r="DD412" i="20" s="1"/>
  <c r="GA401" i="20"/>
  <c r="CS401" i="20" s="1"/>
  <c r="DD401" i="20" s="1"/>
  <c r="Y382" i="20"/>
  <c r="DT382" i="20" s="1"/>
  <c r="BF380" i="20"/>
  <c r="CO380" i="20" s="1"/>
  <c r="FY353" i="20"/>
  <c r="GA353" i="20" s="1"/>
  <c r="CS353" i="20" s="1"/>
  <c r="CI345" i="20"/>
  <c r="CK345" i="20" s="1"/>
  <c r="CP345" i="20" s="1"/>
  <c r="AY335" i="20"/>
  <c r="AZ335" i="20" s="1"/>
  <c r="CK307" i="20"/>
  <c r="CP307" i="20" s="1"/>
  <c r="CW307" i="20" s="1"/>
  <c r="CI297" i="20"/>
  <c r="CK297" i="20" s="1"/>
  <c r="CP297" i="20" s="1"/>
  <c r="AJ207" i="20"/>
  <c r="EG248" i="20"/>
  <c r="BH244" i="20"/>
  <c r="CB227" i="20"/>
  <c r="CI227" i="20" s="1"/>
  <c r="CB187" i="20"/>
  <c r="CI187" i="20" s="1"/>
  <c r="CK187" i="20" s="1"/>
  <c r="CP187" i="20" s="1"/>
  <c r="BZ164" i="20"/>
  <c r="CB164" i="20" s="1"/>
  <c r="CI164" i="20" s="1"/>
  <c r="CK164" i="20" s="1"/>
  <c r="BF193" i="20"/>
  <c r="CO193" i="20" s="1"/>
  <c r="M189" i="20"/>
  <c r="CK189" i="20" s="1"/>
  <c r="CP189" i="20" s="1"/>
  <c r="EB152" i="20"/>
  <c r="AY150" i="20"/>
  <c r="AZ150" i="20" s="1"/>
  <c r="BC150" i="20" s="1"/>
  <c r="CN150" i="20" s="1"/>
  <c r="BZ105" i="20"/>
  <c r="BL141" i="20"/>
  <c r="BN141" i="20" s="1"/>
  <c r="CB132" i="20"/>
  <c r="CI132" i="20" s="1"/>
  <c r="CK132" i="20" s="1"/>
  <c r="CP132" i="20" s="1"/>
  <c r="CW132" i="20" s="1"/>
  <c r="CB115" i="20"/>
  <c r="CI115" i="20" s="1"/>
  <c r="CK115" i="20" s="1"/>
  <c r="CP115" i="20" s="1"/>
  <c r="FJ115" i="20" s="1"/>
  <c r="AY138" i="20"/>
  <c r="AZ138" i="20" s="1"/>
  <c r="CB126" i="20"/>
  <c r="CI126" i="20" s="1"/>
  <c r="CK126" i="20" s="1"/>
  <c r="CP126" i="20" s="1"/>
  <c r="CW126" i="20" s="1"/>
  <c r="BK96" i="20"/>
  <c r="BL96" i="20" s="1"/>
  <c r="BN96" i="20" s="1"/>
  <c r="AL89" i="20"/>
  <c r="BE118" i="20"/>
  <c r="BF118" i="20" s="1"/>
  <c r="CO118" i="20" s="1"/>
  <c r="AN105" i="20"/>
  <c r="BM60" i="20"/>
  <c r="GA39" i="20"/>
  <c r="EG77" i="20"/>
  <c r="CB56" i="20"/>
  <c r="CI56" i="20" s="1"/>
  <c r="CK56" i="20" s="1"/>
  <c r="CP56" i="20" s="1"/>
  <c r="CW56" i="20" s="1"/>
  <c r="BK77" i="20"/>
  <c r="BK71" i="20"/>
  <c r="DJ38" i="20"/>
  <c r="EY38" i="20" s="1"/>
  <c r="CB47" i="20"/>
  <c r="BM32" i="20"/>
  <c r="BO32" i="20" s="1"/>
  <c r="BP32" i="20" s="1"/>
  <c r="EI32" i="20" s="1"/>
  <c r="DI431" i="20"/>
  <c r="M431" i="20"/>
  <c r="BF431" i="20" s="1"/>
  <c r="CO431" i="20" s="1"/>
  <c r="FY402" i="20"/>
  <c r="GA402" i="20" s="1"/>
  <c r="CS402" i="20" s="1"/>
  <c r="BZ402" i="20"/>
  <c r="CB402" i="20" s="1"/>
  <c r="CI402" i="20" s="1"/>
  <c r="CK402" i="20" s="1"/>
  <c r="CP402" i="20" s="1"/>
  <c r="T403" i="20"/>
  <c r="BB337" i="20"/>
  <c r="DI264" i="20"/>
  <c r="BB264" i="20"/>
  <c r="M238" i="20"/>
  <c r="BF238" i="20" s="1"/>
  <c r="CO238" i="20" s="1"/>
  <c r="AX238" i="20"/>
  <c r="CM238" i="20" s="1"/>
  <c r="AZ231" i="20"/>
  <c r="T205" i="20"/>
  <c r="M227" i="20"/>
  <c r="BF227" i="20" s="1"/>
  <c r="CO227" i="20" s="1"/>
  <c r="AX227" i="20"/>
  <c r="CM227" i="20" s="1"/>
  <c r="EU128" i="20"/>
  <c r="EV128" i="20" s="1"/>
  <c r="AZ161" i="20"/>
  <c r="AV161" i="20" s="1"/>
  <c r="AW161" i="20" s="1"/>
  <c r="DJ40" i="20"/>
  <c r="AX40" i="20"/>
  <c r="BH232" i="20"/>
  <c r="BJ232" i="20" s="1"/>
  <c r="AM24" i="20"/>
  <c r="AL24" i="20"/>
  <c r="EE64" i="20"/>
  <c r="AM138" i="20"/>
  <c r="AL138" i="20"/>
  <c r="ET123" i="20"/>
  <c r="EU123" i="20" s="1"/>
  <c r="EV123" i="20" s="1"/>
  <c r="BE55" i="20"/>
  <c r="BF55" i="20" s="1"/>
  <c r="CO55" i="20" s="1"/>
  <c r="BM31" i="20"/>
  <c r="BL31" i="20"/>
  <c r="BN31" i="20" s="1"/>
  <c r="CB116" i="20"/>
  <c r="CI116" i="20" s="1"/>
  <c r="CK116" i="20" s="1"/>
  <c r="CP116" i="20" s="1"/>
  <c r="FJ116" i="20" s="1"/>
  <c r="AL88" i="20"/>
  <c r="BB40" i="20"/>
  <c r="BC40" i="20" s="1"/>
  <c r="EU419" i="20"/>
  <c r="EV419" i="20" s="1"/>
  <c r="CB421" i="20"/>
  <c r="CI421" i="20" s="1"/>
  <c r="CK421" i="20" s="1"/>
  <c r="CP421" i="20" s="1"/>
  <c r="DC421" i="20" s="1"/>
  <c r="GA403" i="20"/>
  <c r="CS403" i="20" s="1"/>
  <c r="FI403" i="20" s="1"/>
  <c r="AY391" i="20"/>
  <c r="AZ391" i="20" s="1"/>
  <c r="AY380" i="20"/>
  <c r="AZ380" i="20" s="1"/>
  <c r="BC380" i="20" s="1"/>
  <c r="CN380" i="20" s="1"/>
  <c r="CK367" i="20"/>
  <c r="CP367" i="20" s="1"/>
  <c r="FJ367" i="20" s="1"/>
  <c r="BF349" i="20"/>
  <c r="CO349" i="20" s="1"/>
  <c r="GA341" i="20"/>
  <c r="CS341" i="20" s="1"/>
  <c r="DD341" i="20" s="1"/>
  <c r="EB336" i="20"/>
  <c r="EG336" i="20" s="1"/>
  <c r="BH333" i="20"/>
  <c r="BF328" i="20"/>
  <c r="CO328" i="20" s="1"/>
  <c r="BB313" i="20"/>
  <c r="EG294" i="20"/>
  <c r="EB289" i="20"/>
  <c r="CB313" i="20"/>
  <c r="CI294" i="20"/>
  <c r="CB258" i="20"/>
  <c r="CI258" i="20" s="1"/>
  <c r="EG246" i="20"/>
  <c r="AY251" i="20"/>
  <c r="AZ251" i="20" s="1"/>
  <c r="BC251" i="20" s="1"/>
  <c r="CN251" i="20" s="1"/>
  <c r="EU244" i="20"/>
  <c r="EV244" i="20" s="1"/>
  <c r="CB238" i="20"/>
  <c r="CI238" i="20" s="1"/>
  <c r="CB212" i="20"/>
  <c r="CI212" i="20" s="1"/>
  <c r="CB178" i="20"/>
  <c r="CI178" i="20" s="1"/>
  <c r="CK178" i="20" s="1"/>
  <c r="CP178" i="20" s="1"/>
  <c r="AL181" i="20"/>
  <c r="GA178" i="20"/>
  <c r="CS178" i="20" s="1"/>
  <c r="FI178" i="20" s="1"/>
  <c r="GA174" i="20"/>
  <c r="CS174" i="20" s="1"/>
  <c r="DD174" i="20" s="1"/>
  <c r="BF164" i="20"/>
  <c r="BO138" i="20"/>
  <c r="BK105" i="20"/>
  <c r="BM105" i="20" s="1"/>
  <c r="AX139" i="20"/>
  <c r="CM139" i="20" s="1"/>
  <c r="FG139" i="20" s="1"/>
  <c r="CB134" i="20"/>
  <c r="CI134" i="20" s="1"/>
  <c r="CK134" i="20" s="1"/>
  <c r="CP134" i="20" s="1"/>
  <c r="FJ134" i="20" s="1"/>
  <c r="CB136" i="20"/>
  <c r="CI136" i="20" s="1"/>
  <c r="CK136" i="20" s="1"/>
  <c r="CP136" i="20" s="1"/>
  <c r="CW136" i="20" s="1"/>
  <c r="CB85" i="20"/>
  <c r="CI85" i="20" s="1"/>
  <c r="CK85" i="20" s="1"/>
  <c r="CP85" i="20" s="1"/>
  <c r="CW85" i="20" s="1"/>
  <c r="EE108" i="20"/>
  <c r="BO126" i="20"/>
  <c r="CA105" i="20"/>
  <c r="AY76" i="20"/>
  <c r="BE63" i="20"/>
  <c r="BF63" i="20" s="1"/>
  <c r="BE57" i="20"/>
  <c r="BF57" i="20" s="1"/>
  <c r="CO57" i="20" s="1"/>
  <c r="EY105" i="20"/>
  <c r="EZ105" i="20" s="1"/>
  <c r="BO56" i="20"/>
  <c r="BP56" i="20" s="1"/>
  <c r="EI56" i="20" s="1"/>
  <c r="BB33" i="20"/>
  <c r="EU42" i="20"/>
  <c r="EV42" i="20" s="1"/>
  <c r="CI33" i="20"/>
  <c r="CB43" i="20"/>
  <c r="CI43" i="20" s="1"/>
  <c r="DT437" i="20"/>
  <c r="BI437" i="20"/>
  <c r="BJ437" i="20" s="1"/>
  <c r="Y427" i="20"/>
  <c r="CA408" i="20"/>
  <c r="BZ408" i="20"/>
  <c r="FY408" i="20"/>
  <c r="GA408" i="20" s="1"/>
  <c r="CS408" i="20" s="1"/>
  <c r="CA427" i="20"/>
  <c r="CB427" i="20" s="1"/>
  <c r="CI427" i="20" s="1"/>
  <c r="BR427" i="20"/>
  <c r="DZ427" i="20" s="1"/>
  <c r="EB427" i="20" s="1"/>
  <c r="AL396" i="20"/>
  <c r="CA396" i="20"/>
  <c r="CB396" i="20" s="1"/>
  <c r="CI396" i="20" s="1"/>
  <c r="CK396" i="20" s="1"/>
  <c r="CP396" i="20" s="1"/>
  <c r="BR396" i="20"/>
  <c r="DZ396" i="20" s="1"/>
  <c r="EB396" i="20" s="1"/>
  <c r="EG396" i="20" s="1"/>
  <c r="AZ322" i="20"/>
  <c r="BC322" i="20" s="1"/>
  <c r="CN322" i="20" s="1"/>
  <c r="T399" i="20"/>
  <c r="AY399" i="20" s="1"/>
  <c r="M252" i="20"/>
  <c r="BF252" i="20" s="1"/>
  <c r="CO252" i="20" s="1"/>
  <c r="DI252" i="20"/>
  <c r="ET252" i="20" s="1"/>
  <c r="DI262" i="20"/>
  <c r="ET262" i="20" s="1"/>
  <c r="EU262" i="20" s="1"/>
  <c r="EV262" i="20" s="1"/>
  <c r="BB262" i="20"/>
  <c r="BB191" i="20"/>
  <c r="BC191" i="20" s="1"/>
  <c r="CN191" i="20" s="1"/>
  <c r="M191" i="20"/>
  <c r="BF191" i="20" s="1"/>
  <c r="CO191" i="20" s="1"/>
  <c r="DI191" i="20"/>
  <c r="ET191" i="20" s="1"/>
  <c r="CA265" i="20"/>
  <c r="BZ265" i="20"/>
  <c r="Y241" i="20"/>
  <c r="EL241" i="20"/>
  <c r="EK241" i="20" s="1"/>
  <c r="AX229" i="20"/>
  <c r="DI229" i="20"/>
  <c r="M229" i="20"/>
  <c r="BF229" i="20" s="1"/>
  <c r="T274" i="20"/>
  <c r="AY274" i="20" s="1"/>
  <c r="CB170" i="20"/>
  <c r="CI170" i="20" s="1"/>
  <c r="CK170" i="20" s="1"/>
  <c r="CP170" i="20" s="1"/>
  <c r="CA193" i="20"/>
  <c r="AL193" i="20"/>
  <c r="AQ193" i="20" s="1"/>
  <c r="BR193" i="20"/>
  <c r="DZ193" i="20" s="1"/>
  <c r="EB193" i="20" s="1"/>
  <c r="EH193" i="20" s="1"/>
  <c r="EL186" i="20"/>
  <c r="EK186" i="20" s="1"/>
  <c r="ET186" i="20" s="1"/>
  <c r="EU186" i="20" s="1"/>
  <c r="EV186" i="20" s="1"/>
  <c r="Y186" i="20"/>
  <c r="BB130" i="20"/>
  <c r="EE52" i="20"/>
  <c r="DJ142" i="20"/>
  <c r="AX142" i="20"/>
  <c r="CM142" i="20" s="1"/>
  <c r="BZ89" i="20"/>
  <c r="CB89" i="20" s="1"/>
  <c r="CI89" i="20" s="1"/>
  <c r="CK89" i="20" s="1"/>
  <c r="CP89" i="20" s="1"/>
  <c r="CW89" i="20" s="1"/>
  <c r="EE89" i="20"/>
  <c r="GA31" i="20"/>
  <c r="AL125" i="20"/>
  <c r="CI122" i="20"/>
  <c r="CK122" i="20" s="1"/>
  <c r="CP122" i="20" s="1"/>
  <c r="BB184" i="20"/>
  <c r="N363" i="5"/>
  <c r="N295" i="5"/>
  <c r="S325" i="5"/>
  <c r="S304" i="5"/>
  <c r="FS388" i="5"/>
  <c r="FU388" i="5" s="1"/>
  <c r="CM388" i="5" s="1"/>
  <c r="FU386" i="5"/>
  <c r="CM386" i="5" s="1"/>
  <c r="BI150" i="5"/>
  <c r="BY419" i="5"/>
  <c r="FU51" i="5"/>
  <c r="CC474" i="5"/>
  <c r="CC486" i="5"/>
  <c r="N386" i="5"/>
  <c r="S475" i="5"/>
  <c r="S493" i="5"/>
  <c r="BY341" i="5"/>
  <c r="CC490" i="5"/>
  <c r="CE490" i="5" s="1"/>
  <c r="CC478" i="5"/>
  <c r="N418" i="5"/>
  <c r="N280" i="5"/>
  <c r="N254" i="5"/>
  <c r="N419" i="5"/>
  <c r="N288" i="5"/>
  <c r="N421" i="5"/>
  <c r="N391" i="5"/>
  <c r="N365" i="5"/>
  <c r="S323" i="5"/>
  <c r="S256" i="5"/>
  <c r="S95" i="5"/>
  <c r="DN95" i="5" s="1"/>
  <c r="AF103" i="5"/>
  <c r="N441" i="5"/>
  <c r="N361" i="5"/>
  <c r="N445" i="5"/>
  <c r="N367" i="5"/>
  <c r="N350" i="5"/>
  <c r="S257" i="5"/>
  <c r="FS261" i="5"/>
  <c r="S482" i="5"/>
  <c r="FU363" i="5"/>
  <c r="CM363" i="5" s="1"/>
  <c r="BY290" i="5"/>
  <c r="BY298" i="5"/>
  <c r="N444" i="5"/>
  <c r="N281" i="5"/>
  <c r="AS281" i="5" s="1"/>
  <c r="AT281" i="5" s="1"/>
  <c r="N323" i="5"/>
  <c r="N329" i="5"/>
  <c r="N266" i="5"/>
  <c r="N297" i="5"/>
  <c r="N257" i="5"/>
  <c r="N296" i="5"/>
  <c r="AF95" i="5"/>
  <c r="FS327" i="5"/>
  <c r="CC470" i="5"/>
  <c r="CE470" i="5" s="1"/>
  <c r="N449" i="5"/>
  <c r="N388" i="5"/>
  <c r="S252" i="5"/>
  <c r="S253" i="5"/>
  <c r="S258" i="5"/>
  <c r="DN258" i="5" s="1"/>
  <c r="S421" i="5"/>
  <c r="FS404" i="5"/>
  <c r="S279" i="5"/>
  <c r="S498" i="5"/>
  <c r="S489" i="5"/>
  <c r="BY394" i="5"/>
  <c r="BY327" i="5"/>
  <c r="BY405" i="5"/>
  <c r="BY263" i="5"/>
  <c r="N422" i="5"/>
  <c r="N355" i="5"/>
  <c r="AS355" i="5" s="1"/>
  <c r="N380" i="5"/>
  <c r="N332" i="5"/>
  <c r="N425" i="5"/>
  <c r="N359" i="5"/>
  <c r="N327" i="5"/>
  <c r="AS327" i="5" s="1"/>
  <c r="BB327" i="5" s="1"/>
  <c r="N404" i="5"/>
  <c r="N322" i="5"/>
  <c r="FS357" i="5"/>
  <c r="BY433" i="5"/>
  <c r="S396" i="5"/>
  <c r="BY268" i="5"/>
  <c r="CC481" i="5"/>
  <c r="CE481" i="5" s="1"/>
  <c r="AF99" i="5"/>
  <c r="BV37" i="5"/>
  <c r="CC37" i="5" s="1"/>
  <c r="BY297" i="5"/>
  <c r="BY336" i="5"/>
  <c r="CC495" i="5"/>
  <c r="CE495" i="5" s="1"/>
  <c r="BY363" i="5"/>
  <c r="FU29" i="5"/>
  <c r="BV49" i="5"/>
  <c r="CC49" i="5" s="1"/>
  <c r="AF288" i="5"/>
  <c r="AG101" i="5"/>
  <c r="FU23" i="5"/>
  <c r="BY345" i="5"/>
  <c r="BG148" i="5"/>
  <c r="BY388" i="5"/>
  <c r="FS431" i="5"/>
  <c r="FS399" i="5"/>
  <c r="BG152" i="5"/>
  <c r="BI152" i="5" s="1"/>
  <c r="BJ152" i="5" s="1"/>
  <c r="EC152" i="5" s="1"/>
  <c r="EB152" i="5" s="1"/>
  <c r="FU49" i="5"/>
  <c r="S268" i="5"/>
  <c r="FS392" i="5"/>
  <c r="FU392" i="5" s="1"/>
  <c r="CM392" i="5" s="1"/>
  <c r="S491" i="5"/>
  <c r="S99" i="5"/>
  <c r="DN99" i="5" s="1"/>
  <c r="BY286" i="5"/>
  <c r="CC476" i="5"/>
  <c r="CC492" i="5"/>
  <c r="CE492" i="5" s="1"/>
  <c r="FS375" i="5"/>
  <c r="FU375" i="5" s="1"/>
  <c r="CM375" i="5" s="1"/>
  <c r="FU327" i="5"/>
  <c r="CM327" i="5" s="1"/>
  <c r="BY319" i="5"/>
  <c r="BV50" i="5"/>
  <c r="CC50" i="5" s="1"/>
  <c r="FU153" i="5"/>
  <c r="CM153" i="5" s="1"/>
  <c r="BV48" i="5"/>
  <c r="CC48" i="5" s="1"/>
  <c r="BV51" i="5"/>
  <c r="CC51" i="5" s="1"/>
  <c r="BV23" i="5"/>
  <c r="CC23" i="5" s="1"/>
  <c r="CE23" i="5" s="1"/>
  <c r="S148" i="5"/>
  <c r="DN148" i="5" s="1"/>
  <c r="AF152" i="5"/>
  <c r="FS329" i="5"/>
  <c r="FU329" i="5" s="1"/>
  <c r="CM329" i="5" s="1"/>
  <c r="FC329" i="5" s="1"/>
  <c r="FU43" i="5"/>
  <c r="FU25" i="5"/>
  <c r="FU44" i="5"/>
  <c r="BV28" i="5"/>
  <c r="CC28" i="5" s="1"/>
  <c r="AS252" i="5"/>
  <c r="BB252" i="5" s="1"/>
  <c r="S270" i="5"/>
  <c r="DN270" i="5" s="1"/>
  <c r="S102" i="5"/>
  <c r="DN102" i="5" s="1"/>
  <c r="BY377" i="5"/>
  <c r="BV24" i="5"/>
  <c r="FU151" i="5"/>
  <c r="CM151" i="5" s="1"/>
  <c r="BY271" i="5"/>
  <c r="S409" i="5"/>
  <c r="BB337" i="5"/>
  <c r="AS326" i="5"/>
  <c r="AT326" i="5" s="1"/>
  <c r="AW489" i="5"/>
  <c r="AF150" i="5"/>
  <c r="BY288" i="5"/>
  <c r="S264" i="5"/>
  <c r="FS274" i="5"/>
  <c r="FU50" i="5"/>
  <c r="BY444" i="5"/>
  <c r="BV38" i="5"/>
  <c r="CC38" i="5" s="1"/>
  <c r="BV42" i="5"/>
  <c r="BV41" i="5"/>
  <c r="S288" i="5"/>
  <c r="BC288" i="5" s="1"/>
  <c r="AG149" i="5"/>
  <c r="FS367" i="5"/>
  <c r="FU367" i="5" s="1"/>
  <c r="CM367" i="5" s="1"/>
  <c r="FU24" i="5"/>
  <c r="BY254" i="5"/>
  <c r="CC487" i="5"/>
  <c r="CE487" i="5" s="1"/>
  <c r="FS398" i="5"/>
  <c r="FU398" i="5" s="1"/>
  <c r="CM398" i="5" s="1"/>
  <c r="FU149" i="5"/>
  <c r="CM149" i="5" s="1"/>
  <c r="CX149" i="5" s="1"/>
  <c r="S300" i="5"/>
  <c r="S433" i="5"/>
  <c r="DN433" i="5" s="1"/>
  <c r="S338" i="5"/>
  <c r="AS334" i="5"/>
  <c r="AT334" i="5" s="1"/>
  <c r="AW334" i="5" s="1"/>
  <c r="CH334" i="5" s="1"/>
  <c r="AS388" i="5"/>
  <c r="AS304" i="5"/>
  <c r="BB304" i="5" s="1"/>
  <c r="AS291" i="5"/>
  <c r="BB291" i="5" s="1"/>
  <c r="BB272" i="5"/>
  <c r="BB273" i="5"/>
  <c r="FS282" i="5"/>
  <c r="AT153" i="5"/>
  <c r="FU404" i="5"/>
  <c r="CM404" i="5" s="1"/>
  <c r="FC404" i="5" s="1"/>
  <c r="AZ341" i="5"/>
  <c r="CI341" i="5" s="1"/>
  <c r="BY365" i="5"/>
  <c r="AZ416" i="5"/>
  <c r="CI416" i="5" s="1"/>
  <c r="BV33" i="5"/>
  <c r="CC33" i="5" s="1"/>
  <c r="BG149" i="5"/>
  <c r="BI149" i="5" s="1"/>
  <c r="BV39" i="5"/>
  <c r="CC469" i="5"/>
  <c r="CE469" i="5" s="1"/>
  <c r="S425" i="5"/>
  <c r="DN425" i="5" s="1"/>
  <c r="S298" i="5"/>
  <c r="DN298" i="5" s="1"/>
  <c r="AS338" i="5"/>
  <c r="BB338" i="5" s="1"/>
  <c r="BB325" i="5"/>
  <c r="AS151" i="5"/>
  <c r="AT151" i="5" s="1"/>
  <c r="AW151" i="5" s="1"/>
  <c r="CH151" i="5" s="1"/>
  <c r="AF327" i="5"/>
  <c r="BV25" i="5"/>
  <c r="CC25" i="5" s="1"/>
  <c r="BV22" i="5"/>
  <c r="CC22" i="5" s="1"/>
  <c r="DO487" i="5"/>
  <c r="EG487" i="5" s="1"/>
  <c r="EJ487" i="5" s="1"/>
  <c r="EK487" i="5" s="1"/>
  <c r="EM487" i="5" s="1"/>
  <c r="AS330" i="5"/>
  <c r="BB330" i="5" s="1"/>
  <c r="S319" i="5"/>
  <c r="S292" i="5"/>
  <c r="S259" i="5"/>
  <c r="BC259" i="5" s="1"/>
  <c r="S405" i="5"/>
  <c r="AS305" i="5"/>
  <c r="BB305" i="5" s="1"/>
  <c r="FU399" i="5"/>
  <c r="CM399" i="5" s="1"/>
  <c r="AW473" i="5"/>
  <c r="S480" i="5"/>
  <c r="AK22" i="5"/>
  <c r="BY302" i="5"/>
  <c r="AZ350" i="5"/>
  <c r="CI350" i="5" s="1"/>
  <c r="FU33" i="5"/>
  <c r="AS277" i="5"/>
  <c r="BB277" i="5" s="1"/>
  <c r="FS440" i="5"/>
  <c r="FU440" i="5" s="1"/>
  <c r="CM440" i="5" s="1"/>
  <c r="CX440" i="5" s="1"/>
  <c r="FS309" i="5"/>
  <c r="FU309" i="5" s="1"/>
  <c r="CM309" i="5" s="1"/>
  <c r="BG151" i="5"/>
  <c r="BY404" i="5"/>
  <c r="AS263" i="5"/>
  <c r="BB263" i="5" s="1"/>
  <c r="AS397" i="5"/>
  <c r="BB397" i="5" s="1"/>
  <c r="BB324" i="5"/>
  <c r="AZ340" i="5"/>
  <c r="CI340" i="5" s="1"/>
  <c r="S388" i="5"/>
  <c r="BC388" i="5" s="1"/>
  <c r="AS318" i="5"/>
  <c r="AT318" i="5" s="1"/>
  <c r="AW318" i="5" s="1"/>
  <c r="CH318" i="5" s="1"/>
  <c r="AS297" i="5"/>
  <c r="AT297" i="5" s="1"/>
  <c r="AS258" i="5"/>
  <c r="FS413" i="5"/>
  <c r="BB299" i="5"/>
  <c r="S486" i="5"/>
  <c r="BC486" i="5" s="1"/>
  <c r="AS149" i="5"/>
  <c r="AT149" i="5" s="1"/>
  <c r="AW149" i="5" s="1"/>
  <c r="CH149" i="5" s="1"/>
  <c r="AG148" i="5"/>
  <c r="AZ366" i="5"/>
  <c r="CI366" i="5" s="1"/>
  <c r="CE496" i="5"/>
  <c r="BV27" i="5"/>
  <c r="BY301" i="5"/>
  <c r="CC497" i="5"/>
  <c r="CE497" i="5" s="1"/>
  <c r="BV52" i="5"/>
  <c r="CC52" i="5" s="1"/>
  <c r="BY453" i="5"/>
  <c r="FU150" i="5"/>
  <c r="CM150" i="5" s="1"/>
  <c r="FU47" i="5"/>
  <c r="BI148" i="5"/>
  <c r="S441" i="5"/>
  <c r="S281" i="5"/>
  <c r="AS259" i="5"/>
  <c r="BB259" i="5" s="1"/>
  <c r="AS255" i="5"/>
  <c r="BB255" i="5" s="1"/>
  <c r="BB258" i="5"/>
  <c r="FS373" i="5"/>
  <c r="AZ353" i="5"/>
  <c r="CI353" i="5" s="1"/>
  <c r="AZ497" i="5"/>
  <c r="BY380" i="5"/>
  <c r="FU45" i="5"/>
  <c r="BY393" i="5"/>
  <c r="FU281" i="5"/>
  <c r="CM281" i="5" s="1"/>
  <c r="CX281" i="5" s="1"/>
  <c r="BV46" i="5"/>
  <c r="FU254" i="5"/>
  <c r="CM254" i="5" s="1"/>
  <c r="BV148" i="5"/>
  <c r="CC148" i="5" s="1"/>
  <c r="CE148" i="5" s="1"/>
  <c r="CJ148" i="5" s="1"/>
  <c r="AZ437" i="5"/>
  <c r="CI437" i="5" s="1"/>
  <c r="BY429" i="5"/>
  <c r="FU52" i="5"/>
  <c r="CE500" i="5"/>
  <c r="CE473" i="5"/>
  <c r="CE477" i="5"/>
  <c r="DN490" i="20"/>
  <c r="DP490" i="20" s="1"/>
  <c r="ES490" i="20"/>
  <c r="ER490" i="20"/>
  <c r="EW490" i="20" s="1"/>
  <c r="FI418" i="20"/>
  <c r="DD418" i="20"/>
  <c r="BC496" i="20"/>
  <c r="DU496" i="20"/>
  <c r="FG444" i="20"/>
  <c r="DA444" i="20"/>
  <c r="DD384" i="20"/>
  <c r="FI384" i="20"/>
  <c r="FI357" i="20"/>
  <c r="DD357" i="20"/>
  <c r="AY449" i="20"/>
  <c r="AZ449" i="20" s="1"/>
  <c r="FG448" i="20"/>
  <c r="DA448" i="20"/>
  <c r="FI425" i="20"/>
  <c r="FG432" i="20"/>
  <c r="CU432" i="20"/>
  <c r="AY435" i="20"/>
  <c r="BH435" i="20" s="1"/>
  <c r="BJ435" i="20" s="1"/>
  <c r="DM496" i="20"/>
  <c r="FI392" i="20"/>
  <c r="CX392" i="20"/>
  <c r="DD444" i="20"/>
  <c r="DD355" i="20"/>
  <c r="DP489" i="20"/>
  <c r="DO489" i="20"/>
  <c r="ED489" i="20"/>
  <c r="ED488" i="20"/>
  <c r="BH496" i="20"/>
  <c r="AZ481" i="20"/>
  <c r="EU474" i="20"/>
  <c r="EV474" i="20" s="1"/>
  <c r="ED468" i="20"/>
  <c r="FY446" i="20"/>
  <c r="GA446" i="20" s="1"/>
  <c r="CS446" i="20" s="1"/>
  <c r="CA446" i="20"/>
  <c r="BR446" i="20"/>
  <c r="DZ446" i="20" s="1"/>
  <c r="EB446" i="20" s="1"/>
  <c r="BZ446" i="20"/>
  <c r="T446" i="20"/>
  <c r="DT440" i="20"/>
  <c r="BI440" i="20"/>
  <c r="BJ440" i="20" s="1"/>
  <c r="GA449" i="20"/>
  <c r="CS449" i="20" s="1"/>
  <c r="CU438" i="20"/>
  <c r="FG438" i="20"/>
  <c r="DA431" i="20"/>
  <c r="FG431" i="20"/>
  <c r="EH437" i="20"/>
  <c r="EG437" i="20"/>
  <c r="AX437" i="20"/>
  <c r="CM437" i="20" s="1"/>
  <c r="M437" i="20"/>
  <c r="BF437" i="20" s="1"/>
  <c r="CO437" i="20" s="1"/>
  <c r="DI437" i="20"/>
  <c r="EL424" i="20"/>
  <c r="EK424" i="20" s="1"/>
  <c r="Y424" i="20"/>
  <c r="EH429" i="20"/>
  <c r="DA424" i="20"/>
  <c r="FG424" i="20"/>
  <c r="Y410" i="20"/>
  <c r="AY408" i="20"/>
  <c r="AZ408" i="20" s="1"/>
  <c r="BI422" i="20"/>
  <c r="DT422" i="20"/>
  <c r="CA412" i="20"/>
  <c r="BZ412" i="20"/>
  <c r="BR412" i="20"/>
  <c r="DZ412" i="20" s="1"/>
  <c r="EB412" i="20" s="1"/>
  <c r="T412" i="20"/>
  <c r="AL412" i="20"/>
  <c r="AX403" i="20"/>
  <c r="CM403" i="20" s="1"/>
  <c r="DI403" i="20"/>
  <c r="M403" i="20"/>
  <c r="BF403" i="20" s="1"/>
  <c r="CO403" i="20" s="1"/>
  <c r="BI392" i="20"/>
  <c r="DT392" i="20"/>
  <c r="Y404" i="20"/>
  <c r="EL404" i="20"/>
  <c r="EK404" i="20" s="1"/>
  <c r="FI396" i="20"/>
  <c r="CX396" i="20"/>
  <c r="FY386" i="20"/>
  <c r="GA386" i="20" s="1"/>
  <c r="CS386" i="20" s="1"/>
  <c r="BZ386" i="20"/>
  <c r="BR386" i="20"/>
  <c r="DZ386" i="20" s="1"/>
  <c r="EB386" i="20" s="1"/>
  <c r="CA386" i="20"/>
  <c r="T386" i="20"/>
  <c r="AL386" i="20"/>
  <c r="BI373" i="20"/>
  <c r="DT373" i="20"/>
  <c r="DI363" i="20"/>
  <c r="M363" i="20"/>
  <c r="BF363" i="20" s="1"/>
  <c r="CO363" i="20" s="1"/>
  <c r="AX363" i="20"/>
  <c r="CM363" i="20" s="1"/>
  <c r="FI332" i="20"/>
  <c r="DD332" i="20"/>
  <c r="AY339" i="20"/>
  <c r="AZ339" i="20" s="1"/>
  <c r="FI334" i="20"/>
  <c r="DD334" i="20"/>
  <c r="FI324" i="20"/>
  <c r="FI313" i="20"/>
  <c r="CX313" i="20"/>
  <c r="FJ307" i="20"/>
  <c r="DD297" i="20"/>
  <c r="FI297" i="20"/>
  <c r="DC297" i="20"/>
  <c r="FJ297" i="20"/>
  <c r="FI284" i="20"/>
  <c r="DD284" i="20"/>
  <c r="GA270" i="20"/>
  <c r="CS270" i="20" s="1"/>
  <c r="DD265" i="20"/>
  <c r="FI265" i="20"/>
  <c r="CU248" i="20"/>
  <c r="FG248" i="20"/>
  <c r="DA252" i="20"/>
  <c r="FG252" i="20"/>
  <c r="DM218" i="20"/>
  <c r="DM173" i="20"/>
  <c r="DA187" i="20"/>
  <c r="FG187" i="20"/>
  <c r="DM179" i="20"/>
  <c r="FG170" i="20"/>
  <c r="CU170" i="20"/>
  <c r="CX93" i="20"/>
  <c r="FI93" i="20"/>
  <c r="FJ74" i="20"/>
  <c r="CW74" i="20"/>
  <c r="DM44" i="20"/>
  <c r="EL494" i="20"/>
  <c r="EK494" i="20" s="1"/>
  <c r="EM494" i="20" s="1"/>
  <c r="EP494" i="20" s="1"/>
  <c r="EQ494" i="20" s="1"/>
  <c r="Y494" i="20"/>
  <c r="BI490" i="20"/>
  <c r="BJ490" i="20" s="1"/>
  <c r="DT490" i="20"/>
  <c r="Y479" i="20"/>
  <c r="EL479" i="20"/>
  <c r="EK479" i="20" s="1"/>
  <c r="EM479" i="20" s="1"/>
  <c r="EP479" i="20" s="1"/>
  <c r="EQ479" i="20" s="1"/>
  <c r="Y486" i="20"/>
  <c r="EL486" i="20"/>
  <c r="EK486" i="20" s="1"/>
  <c r="Y482" i="20"/>
  <c r="EL482" i="20"/>
  <c r="EK482" i="20" s="1"/>
  <c r="ET482" i="20" s="1"/>
  <c r="EU482" i="20" s="1"/>
  <c r="EV482" i="20" s="1"/>
  <c r="ER489" i="20"/>
  <c r="CK479" i="20"/>
  <c r="EL467" i="20"/>
  <c r="EK467" i="20" s="1"/>
  <c r="Y467" i="20"/>
  <c r="EU473" i="20"/>
  <c r="EV473" i="20" s="1"/>
  <c r="FG449" i="20"/>
  <c r="EU475" i="20"/>
  <c r="EV475" i="20" s="1"/>
  <c r="ED477" i="20"/>
  <c r="CE449" i="20"/>
  <c r="EU472" i="20"/>
  <c r="EV472" i="20" s="1"/>
  <c r="BI439" i="20"/>
  <c r="DT439" i="20"/>
  <c r="GA440" i="20"/>
  <c r="CS440" i="20" s="1"/>
  <c r="CB443" i="20"/>
  <c r="CI443" i="20" s="1"/>
  <c r="BZ438" i="20"/>
  <c r="FY438" i="20"/>
  <c r="GA438" i="20" s="1"/>
  <c r="CS438" i="20" s="1"/>
  <c r="CA438" i="20"/>
  <c r="BR438" i="20"/>
  <c r="DZ438" i="20" s="1"/>
  <c r="EB438" i="20" s="1"/>
  <c r="T438" i="20"/>
  <c r="AY438" i="20" s="1"/>
  <c r="AL438" i="20"/>
  <c r="AY441" i="20"/>
  <c r="BH441" i="20" s="1"/>
  <c r="BJ441" i="20" s="1"/>
  <c r="BF424" i="20"/>
  <c r="CO424" i="20" s="1"/>
  <c r="AY431" i="20"/>
  <c r="BH431" i="20" s="1"/>
  <c r="AY425" i="20"/>
  <c r="AZ425" i="20" s="1"/>
  <c r="AY419" i="20"/>
  <c r="AZ419" i="20" s="1"/>
  <c r="Y420" i="20"/>
  <c r="ET416" i="20"/>
  <c r="EU416" i="20" s="1"/>
  <c r="EV416" i="20" s="1"/>
  <c r="EL405" i="20"/>
  <c r="EK405" i="20" s="1"/>
  <c r="Y405" i="20"/>
  <c r="BC411" i="20"/>
  <c r="CN411" i="20" s="1"/>
  <c r="ET401" i="20"/>
  <c r="EU401" i="20" s="1"/>
  <c r="EV401" i="20" s="1"/>
  <c r="AZ401" i="20"/>
  <c r="BH382" i="20"/>
  <c r="Y367" i="20"/>
  <c r="DT385" i="20"/>
  <c r="BI385" i="20"/>
  <c r="DM365" i="20"/>
  <c r="BC365" i="20"/>
  <c r="CN365" i="20" s="1"/>
  <c r="ET355" i="20"/>
  <c r="EU355" i="20" s="1"/>
  <c r="EV355" i="20" s="1"/>
  <c r="AY361" i="20"/>
  <c r="DA345" i="20"/>
  <c r="FG345" i="20"/>
  <c r="CU348" i="20"/>
  <c r="FG348" i="20"/>
  <c r="CX350" i="20"/>
  <c r="FI350" i="20"/>
  <c r="FI314" i="20"/>
  <c r="DD314" i="20"/>
  <c r="FI283" i="20"/>
  <c r="CX283" i="20"/>
  <c r="DA270" i="20"/>
  <c r="FG270" i="20"/>
  <c r="FI237" i="20"/>
  <c r="CX237" i="20"/>
  <c r="DB236" i="20"/>
  <c r="FH236" i="20"/>
  <c r="BC190" i="20"/>
  <c r="CN190" i="20" s="1"/>
  <c r="DM187" i="20"/>
  <c r="BC187" i="20"/>
  <c r="CN187" i="20" s="1"/>
  <c r="DD183" i="20"/>
  <c r="FI183" i="20"/>
  <c r="DM169" i="20"/>
  <c r="DM64" i="20"/>
  <c r="CW52" i="20"/>
  <c r="FJ52" i="20"/>
  <c r="DM43" i="20"/>
  <c r="CX58" i="20"/>
  <c r="FI58" i="20"/>
  <c r="DM491" i="20"/>
  <c r="ET487" i="20"/>
  <c r="EU487" i="20" s="1"/>
  <c r="EV487" i="20" s="1"/>
  <c r="DM492" i="20"/>
  <c r="EL495" i="20"/>
  <c r="EK495" i="20" s="1"/>
  <c r="ET495" i="20" s="1"/>
  <c r="EU495" i="20" s="1"/>
  <c r="EV495" i="20" s="1"/>
  <c r="Y495" i="20"/>
  <c r="BI493" i="20"/>
  <c r="BJ493" i="20" s="1"/>
  <c r="DT493" i="20"/>
  <c r="EL484" i="20"/>
  <c r="EK484" i="20" s="1"/>
  <c r="EM484" i="20" s="1"/>
  <c r="EP484" i="20" s="1"/>
  <c r="EQ484" i="20" s="1"/>
  <c r="Y484" i="20"/>
  <c r="ED494" i="20"/>
  <c r="BC478" i="20"/>
  <c r="EL488" i="20"/>
  <c r="EK488" i="20" s="1"/>
  <c r="Y488" i="20"/>
  <c r="BI473" i="20"/>
  <c r="BJ473" i="20" s="1"/>
  <c r="DT473" i="20"/>
  <c r="BC465" i="20"/>
  <c r="DU465" i="20"/>
  <c r="EM465" i="20" s="1"/>
  <c r="EP465" i="20" s="1"/>
  <c r="EQ465" i="20" s="1"/>
  <c r="BI472" i="20"/>
  <c r="BJ472" i="20" s="1"/>
  <c r="DT472" i="20"/>
  <c r="CK467" i="20"/>
  <c r="EL468" i="20"/>
  <c r="EK468" i="20" s="1"/>
  <c r="Y468" i="20"/>
  <c r="ED476" i="20"/>
  <c r="BI475" i="20"/>
  <c r="BJ475" i="20" s="1"/>
  <c r="DT475" i="20"/>
  <c r="AX441" i="20"/>
  <c r="CM441" i="20" s="1"/>
  <c r="M441" i="20"/>
  <c r="BF441" i="20" s="1"/>
  <c r="CO441" i="20" s="1"/>
  <c r="DI441" i="20"/>
  <c r="BR439" i="20"/>
  <c r="DZ439" i="20" s="1"/>
  <c r="EB439" i="20" s="1"/>
  <c r="CA439" i="20"/>
  <c r="FY439" i="20"/>
  <c r="GA439" i="20" s="1"/>
  <c r="CS439" i="20" s="1"/>
  <c r="BZ439" i="20"/>
  <c r="AL439" i="20"/>
  <c r="DI435" i="20"/>
  <c r="M435" i="20"/>
  <c r="BF435" i="20" s="1"/>
  <c r="CO435" i="20" s="1"/>
  <c r="AX435" i="20"/>
  <c r="CM435" i="20" s="1"/>
  <c r="DT447" i="20"/>
  <c r="BI447" i="20"/>
  <c r="CU442" i="20"/>
  <c r="FG442" i="20"/>
  <c r="BZ433" i="20"/>
  <c r="BR433" i="20"/>
  <c r="DZ433" i="20" s="1"/>
  <c r="EB433" i="20" s="1"/>
  <c r="CA433" i="20"/>
  <c r="AL433" i="20"/>
  <c r="T433" i="20"/>
  <c r="AY433" i="20" s="1"/>
  <c r="BI430" i="20"/>
  <c r="DT430" i="20"/>
  <c r="CU428" i="20"/>
  <c r="FG428" i="20"/>
  <c r="EG432" i="20"/>
  <c r="EH432" i="20"/>
  <c r="AY427" i="20"/>
  <c r="BH427" i="20" s="1"/>
  <c r="FG425" i="20"/>
  <c r="DA425" i="20"/>
  <c r="DA417" i="20"/>
  <c r="FG417" i="20"/>
  <c r="CU416" i="20"/>
  <c r="FG416" i="20"/>
  <c r="FG422" i="20"/>
  <c r="CU422" i="20"/>
  <c r="AX414" i="20"/>
  <c r="CM414" i="20" s="1"/>
  <c r="DI414" i="20"/>
  <c r="M414" i="20"/>
  <c r="BF414" i="20" s="1"/>
  <c r="CO414" i="20" s="1"/>
  <c r="DA420" i="20"/>
  <c r="FG420" i="20"/>
  <c r="DM417" i="20"/>
  <c r="BI413" i="20"/>
  <c r="DT413" i="20"/>
  <c r="ET409" i="20"/>
  <c r="EU409" i="20" s="1"/>
  <c r="EV409" i="20" s="1"/>
  <c r="AY418" i="20"/>
  <c r="AZ418" i="20" s="1"/>
  <c r="DD398" i="20"/>
  <c r="DD395" i="20"/>
  <c r="AZ402" i="20"/>
  <c r="EL384" i="20"/>
  <c r="EK384" i="20" s="1"/>
  <c r="Y384" i="20"/>
  <c r="FG384" i="20"/>
  <c r="DA384" i="20"/>
  <c r="BR387" i="20"/>
  <c r="DZ387" i="20" s="1"/>
  <c r="EB387" i="20" s="1"/>
  <c r="EH387" i="20" s="1"/>
  <c r="BZ387" i="20"/>
  <c r="AL387" i="20"/>
  <c r="CA387" i="20"/>
  <c r="T387" i="20"/>
  <c r="FY387" i="20"/>
  <c r="GA387" i="20" s="1"/>
  <c r="CS387" i="20" s="1"/>
  <c r="CA385" i="20"/>
  <c r="BR385" i="20"/>
  <c r="DZ385" i="20" s="1"/>
  <c r="EB385" i="20" s="1"/>
  <c r="FY385" i="20"/>
  <c r="GA385" i="20" s="1"/>
  <c r="CS385" i="20" s="1"/>
  <c r="BZ385" i="20"/>
  <c r="T385" i="20"/>
  <c r="AY385" i="20" s="1"/>
  <c r="CU385" i="20"/>
  <c r="FG385" i="20"/>
  <c r="ET392" i="20"/>
  <c r="EU392" i="20" s="1"/>
  <c r="EV392" i="20" s="1"/>
  <c r="DM389" i="20"/>
  <c r="ET380" i="20"/>
  <c r="EU380" i="20" s="1"/>
  <c r="EV380" i="20" s="1"/>
  <c r="DM363" i="20"/>
  <c r="ET367" i="20"/>
  <c r="EU367" i="20" s="1"/>
  <c r="EV367" i="20" s="1"/>
  <c r="DA355" i="20"/>
  <c r="FG355" i="20"/>
  <c r="CU304" i="20"/>
  <c r="DD292" i="20"/>
  <c r="FI292" i="20"/>
  <c r="DA282" i="20"/>
  <c r="FG282" i="20"/>
  <c r="DC246" i="20"/>
  <c r="FI241" i="20"/>
  <c r="CX241" i="20"/>
  <c r="FI224" i="20"/>
  <c r="CX224" i="20"/>
  <c r="FI240" i="20"/>
  <c r="CX240" i="20"/>
  <c r="FI206" i="20"/>
  <c r="CX206" i="20"/>
  <c r="FI171" i="20"/>
  <c r="FG195" i="20"/>
  <c r="CU195" i="20"/>
  <c r="DM191" i="20"/>
  <c r="BC77" i="20"/>
  <c r="CN77" i="20" s="1"/>
  <c r="BC66" i="20"/>
  <c r="CN66" i="20" s="1"/>
  <c r="DM28" i="20"/>
  <c r="ED490" i="20"/>
  <c r="ET485" i="20"/>
  <c r="EU485" i="20" s="1"/>
  <c r="EV485" i="20" s="1"/>
  <c r="Y483" i="20"/>
  <c r="EL483" i="20"/>
  <c r="EK483" i="20" s="1"/>
  <c r="ET483" i="20" s="1"/>
  <c r="EU483" i="20" s="1"/>
  <c r="EV483" i="20" s="1"/>
  <c r="EL477" i="20"/>
  <c r="EK477" i="20" s="1"/>
  <c r="Y477" i="20"/>
  <c r="ED484" i="20"/>
  <c r="DU485" i="20"/>
  <c r="EM485" i="20" s="1"/>
  <c r="EP485" i="20" s="1"/>
  <c r="EQ485" i="20" s="1"/>
  <c r="DN485" i="20" s="1"/>
  <c r="EL471" i="20"/>
  <c r="EK471" i="20" s="1"/>
  <c r="Y471" i="20"/>
  <c r="BR449" i="20"/>
  <c r="DZ449" i="20" s="1"/>
  <c r="EB449" i="20" s="1"/>
  <c r="EG449" i="20" s="1"/>
  <c r="CA449" i="20"/>
  <c r="AL449" i="20"/>
  <c r="BZ449" i="20"/>
  <c r="DT445" i="20"/>
  <c r="BI445" i="20"/>
  <c r="EL470" i="20"/>
  <c r="EK470" i="20" s="1"/>
  <c r="Y470" i="20"/>
  <c r="EL448" i="20"/>
  <c r="EK448" i="20" s="1"/>
  <c r="Y448" i="20"/>
  <c r="CK471" i="20"/>
  <c r="DT438" i="20"/>
  <c r="BI438" i="20"/>
  <c r="DT444" i="20"/>
  <c r="BI444" i="20"/>
  <c r="AZ436" i="20"/>
  <c r="FI432" i="20"/>
  <c r="CX432" i="20"/>
  <c r="EL425" i="20"/>
  <c r="EK425" i="20" s="1"/>
  <c r="Y425" i="20"/>
  <c r="DA429" i="20"/>
  <c r="FG429" i="20"/>
  <c r="FI427" i="20"/>
  <c r="DD427" i="20"/>
  <c r="CA426" i="20"/>
  <c r="BR426" i="20"/>
  <c r="DZ426" i="20" s="1"/>
  <c r="EB426" i="20" s="1"/>
  <c r="FY426" i="20"/>
  <c r="GA426" i="20" s="1"/>
  <c r="CS426" i="20" s="1"/>
  <c r="BZ426" i="20"/>
  <c r="AL426" i="20"/>
  <c r="M426" i="20"/>
  <c r="BF426" i="20" s="1"/>
  <c r="CO426" i="20" s="1"/>
  <c r="DI426" i="20"/>
  <c r="AX426" i="20"/>
  <c r="CM426" i="20" s="1"/>
  <c r="BB426" i="20"/>
  <c r="CA420" i="20"/>
  <c r="BR420" i="20"/>
  <c r="DZ420" i="20" s="1"/>
  <c r="EB420" i="20" s="1"/>
  <c r="BZ420" i="20"/>
  <c r="AL420" i="20"/>
  <c r="T420" i="20"/>
  <c r="FI421" i="20"/>
  <c r="DD421" i="20"/>
  <c r="DA409" i="20"/>
  <c r="FG409" i="20"/>
  <c r="AX413" i="20"/>
  <c r="CM413" i="20" s="1"/>
  <c r="M413" i="20"/>
  <c r="BF413" i="20" s="1"/>
  <c r="CO413" i="20" s="1"/>
  <c r="DI413" i="20"/>
  <c r="BB413" i="20"/>
  <c r="CA405" i="20"/>
  <c r="FY405" i="20"/>
  <c r="GA405" i="20" s="1"/>
  <c r="CS405" i="20" s="1"/>
  <c r="BZ405" i="20"/>
  <c r="BR405" i="20"/>
  <c r="DZ405" i="20" s="1"/>
  <c r="EB405" i="20" s="1"/>
  <c r="T405" i="20"/>
  <c r="AL405" i="20"/>
  <c r="CX402" i="20"/>
  <c r="FI402" i="20"/>
  <c r="FI388" i="20"/>
  <c r="DD388" i="20"/>
  <c r="CX399" i="20"/>
  <c r="FI399" i="20"/>
  <c r="FI378" i="20"/>
  <c r="DD378" i="20"/>
  <c r="CU391" i="20"/>
  <c r="FG391" i="20"/>
  <c r="FI354" i="20"/>
  <c r="CX354" i="20"/>
  <c r="AY364" i="20"/>
  <c r="AZ364" i="20" s="1"/>
  <c r="DM369" i="20"/>
  <c r="BR366" i="20"/>
  <c r="DZ366" i="20" s="1"/>
  <c r="EB366" i="20" s="1"/>
  <c r="EG366" i="20" s="1"/>
  <c r="FY366" i="20"/>
  <c r="BZ366" i="20"/>
  <c r="CA366" i="20"/>
  <c r="AL366" i="20"/>
  <c r="T366" i="20"/>
  <c r="BC359" i="20"/>
  <c r="CN359" i="20" s="1"/>
  <c r="FI318" i="20"/>
  <c r="DD318" i="20"/>
  <c r="FG309" i="20"/>
  <c r="DA309" i="20"/>
  <c r="CX303" i="20"/>
  <c r="FI303" i="20"/>
  <c r="CU285" i="20"/>
  <c r="FG285" i="20"/>
  <c r="FI221" i="20"/>
  <c r="CX221" i="20"/>
  <c r="CU243" i="20"/>
  <c r="FG243" i="20"/>
  <c r="DD208" i="20"/>
  <c r="FI182" i="20"/>
  <c r="CX182" i="20"/>
  <c r="FI173" i="20"/>
  <c r="DD173" i="20"/>
  <c r="CX176" i="20"/>
  <c r="FI176" i="20"/>
  <c r="DM76" i="20"/>
  <c r="DM38" i="20"/>
  <c r="DM66" i="20"/>
  <c r="L16" i="20"/>
  <c r="CK483" i="20"/>
  <c r="DU482" i="20"/>
  <c r="BI476" i="20"/>
  <c r="BJ476" i="20" s="1"/>
  <c r="DT476" i="20"/>
  <c r="DM467" i="20"/>
  <c r="ET447" i="20"/>
  <c r="EU447" i="20" s="1"/>
  <c r="EV447" i="20" s="1"/>
  <c r="CK470" i="20"/>
  <c r="ED470" i="20"/>
  <c r="DU474" i="20"/>
  <c r="EM474" i="20" s="1"/>
  <c r="EP474" i="20" s="1"/>
  <c r="EQ474" i="20" s="1"/>
  <c r="T439" i="20"/>
  <c r="ED472" i="20"/>
  <c r="AY442" i="20"/>
  <c r="AZ442" i="20" s="1"/>
  <c r="FI441" i="20"/>
  <c r="DD441" i="20"/>
  <c r="FY447" i="20"/>
  <c r="GA447" i="20" s="1"/>
  <c r="CS447" i="20" s="1"/>
  <c r="BZ447" i="20"/>
  <c r="AL447" i="20"/>
  <c r="CA447" i="20"/>
  <c r="BR447" i="20"/>
  <c r="DZ447" i="20" s="1"/>
  <c r="EB447" i="20" s="1"/>
  <c r="Y442" i="20"/>
  <c r="BH407" i="20"/>
  <c r="DI412" i="20"/>
  <c r="M412" i="20"/>
  <c r="BF412" i="20" s="1"/>
  <c r="CO412" i="20" s="1"/>
  <c r="AX412" i="20"/>
  <c r="CM412" i="20" s="1"/>
  <c r="ET410" i="20"/>
  <c r="EU410" i="20" s="1"/>
  <c r="EV410" i="20" s="1"/>
  <c r="DA400" i="20"/>
  <c r="FG400" i="20"/>
  <c r="DT407" i="20"/>
  <c r="BI407" i="20"/>
  <c r="DA395" i="20"/>
  <c r="FG395" i="20"/>
  <c r="BC391" i="20"/>
  <c r="CN391" i="20" s="1"/>
  <c r="DA367" i="20"/>
  <c r="FG367" i="20"/>
  <c r="CU380" i="20"/>
  <c r="FG380" i="20"/>
  <c r="AX339" i="20"/>
  <c r="CM339" i="20" s="1"/>
  <c r="M339" i="20"/>
  <c r="BF339" i="20" s="1"/>
  <c r="CO339" i="20" s="1"/>
  <c r="DI339" i="20"/>
  <c r="BB339" i="20"/>
  <c r="FI346" i="20"/>
  <c r="DD346" i="20"/>
  <c r="FI322" i="20"/>
  <c r="CX322" i="20"/>
  <c r="FI273" i="20"/>
  <c r="DD273" i="20"/>
  <c r="FI259" i="20"/>
  <c r="DD259" i="20"/>
  <c r="FI264" i="20"/>
  <c r="FI260" i="20"/>
  <c r="CX260" i="20"/>
  <c r="DM222" i="20"/>
  <c r="FI251" i="20"/>
  <c r="DD251" i="20"/>
  <c r="CX231" i="20"/>
  <c r="FI231" i="20"/>
  <c r="FI211" i="20"/>
  <c r="CX211" i="20"/>
  <c r="FJ199" i="20"/>
  <c r="CW199" i="20"/>
  <c r="FG197" i="20"/>
  <c r="CU197" i="20"/>
  <c r="CX185" i="20"/>
  <c r="FI185" i="20"/>
  <c r="DM183" i="20"/>
  <c r="DA178" i="20"/>
  <c r="DD186" i="20"/>
  <c r="FI186" i="20"/>
  <c r="DM172" i="20"/>
  <c r="BC144" i="20"/>
  <c r="CN144" i="20" s="1"/>
  <c r="FI148" i="20"/>
  <c r="DD148" i="20"/>
  <c r="FG151" i="20"/>
  <c r="DA151" i="20"/>
  <c r="FJ124" i="20"/>
  <c r="CW124" i="20"/>
  <c r="CX85" i="20"/>
  <c r="FI85" i="20"/>
  <c r="DM32" i="20"/>
  <c r="BC491" i="20"/>
  <c r="DU491" i="20"/>
  <c r="EM491" i="20" s="1"/>
  <c r="EP491" i="20" s="1"/>
  <c r="EQ491" i="20" s="1"/>
  <c r="DN491" i="20" s="1"/>
  <c r="EL492" i="20"/>
  <c r="EK492" i="20" s="1"/>
  <c r="Y492" i="20"/>
  <c r="ER485" i="20"/>
  <c r="DM485" i="20"/>
  <c r="BC492" i="20"/>
  <c r="DM482" i="20"/>
  <c r="DM487" i="20"/>
  <c r="ED483" i="20"/>
  <c r="EL478" i="20"/>
  <c r="EK478" i="20" s="1"/>
  <c r="ET478" i="20" s="1"/>
  <c r="EU478" i="20" s="1"/>
  <c r="EV478" i="20" s="1"/>
  <c r="Y478" i="20"/>
  <c r="DU492" i="20"/>
  <c r="EL481" i="20"/>
  <c r="EK481" i="20" s="1"/>
  <c r="ET481" i="20" s="1"/>
  <c r="EU481" i="20" s="1"/>
  <c r="EV481" i="20" s="1"/>
  <c r="Y481" i="20"/>
  <c r="ED493" i="20"/>
  <c r="ED478" i="20"/>
  <c r="ED486" i="20"/>
  <c r="ED479" i="20"/>
  <c r="DU478" i="20"/>
  <c r="DU468" i="20"/>
  <c r="FG447" i="20"/>
  <c r="CU447" i="20"/>
  <c r="EG448" i="20"/>
  <c r="AY447" i="20"/>
  <c r="BH447" i="20" s="1"/>
  <c r="DU476" i="20"/>
  <c r="EM476" i="20" s="1"/>
  <c r="EP476" i="20" s="1"/>
  <c r="EQ476" i="20" s="1"/>
  <c r="BI465" i="20"/>
  <c r="BJ465" i="20" s="1"/>
  <c r="DT465" i="20"/>
  <c r="DU472" i="20"/>
  <c r="EM472" i="20" s="1"/>
  <c r="EP472" i="20" s="1"/>
  <c r="EQ472" i="20" s="1"/>
  <c r="EH448" i="20"/>
  <c r="DU473" i="20"/>
  <c r="EM473" i="20" s="1"/>
  <c r="EP473" i="20" s="1"/>
  <c r="EQ473" i="20" s="1"/>
  <c r="ET442" i="20"/>
  <c r="EU442" i="20" s="1"/>
  <c r="EV442" i="20" s="1"/>
  <c r="M439" i="20"/>
  <c r="BF439" i="20" s="1"/>
  <c r="CO439" i="20" s="1"/>
  <c r="DI439" i="20"/>
  <c r="BB439" i="20"/>
  <c r="AX439" i="20"/>
  <c r="CM439" i="20" s="1"/>
  <c r="FY434" i="20"/>
  <c r="GA434" i="20" s="1"/>
  <c r="CS434" i="20" s="1"/>
  <c r="CA434" i="20"/>
  <c r="AL434" i="20"/>
  <c r="BZ434" i="20"/>
  <c r="BR434" i="20"/>
  <c r="DZ434" i="20" s="1"/>
  <c r="EB434" i="20" s="1"/>
  <c r="AX430" i="20"/>
  <c r="CM430" i="20" s="1"/>
  <c r="M430" i="20"/>
  <c r="BF430" i="20" s="1"/>
  <c r="CO430" i="20" s="1"/>
  <c r="DI430" i="20"/>
  <c r="BB430" i="20"/>
  <c r="ET428" i="20"/>
  <c r="EU428" i="20" s="1"/>
  <c r="EV428" i="20" s="1"/>
  <c r="DA421" i="20"/>
  <c r="FG421" i="20"/>
  <c r="AY415" i="20"/>
  <c r="AZ415" i="20" s="1"/>
  <c r="AZ428" i="20"/>
  <c r="GA406" i="20"/>
  <c r="CS406" i="20" s="1"/>
  <c r="EH421" i="20"/>
  <c r="EG421" i="20"/>
  <c r="BI412" i="20"/>
  <c r="DT412" i="20"/>
  <c r="BC421" i="20"/>
  <c r="CN421" i="20" s="1"/>
  <c r="BC396" i="20"/>
  <c r="CN396" i="20" s="1"/>
  <c r="BB403" i="20"/>
  <c r="ET400" i="20"/>
  <c r="EU400" i="20" s="1"/>
  <c r="EV400" i="20" s="1"/>
  <c r="EL381" i="20"/>
  <c r="EK381" i="20" s="1"/>
  <c r="Y381" i="20"/>
  <c r="DT389" i="20"/>
  <c r="BI389" i="20"/>
  <c r="FG371" i="20"/>
  <c r="DA371" i="20"/>
  <c r="EL378" i="20"/>
  <c r="EK378" i="20" s="1"/>
  <c r="Y378" i="20"/>
  <c r="EG369" i="20"/>
  <c r="CU358" i="20"/>
  <c r="FG358" i="20"/>
  <c r="CX370" i="20"/>
  <c r="FI370" i="20"/>
  <c r="DA361" i="20"/>
  <c r="FG361" i="20"/>
  <c r="CU354" i="20"/>
  <c r="FG354" i="20"/>
  <c r="DI329" i="20"/>
  <c r="AX329" i="20"/>
  <c r="CM329" i="20" s="1"/>
  <c r="M329" i="20"/>
  <c r="BF329" i="20" s="1"/>
  <c r="CO329" i="20" s="1"/>
  <c r="BB329" i="20"/>
  <c r="FI345" i="20"/>
  <c r="DD345" i="20"/>
  <c r="FI348" i="20"/>
  <c r="CX348" i="20"/>
  <c r="FI311" i="20"/>
  <c r="CX311" i="20"/>
  <c r="EH271" i="20"/>
  <c r="EG271" i="20"/>
  <c r="FI248" i="20"/>
  <c r="CX248" i="20"/>
  <c r="DC251" i="20"/>
  <c r="CU211" i="20"/>
  <c r="FG211" i="20"/>
  <c r="FJ182" i="20"/>
  <c r="CW182" i="20"/>
  <c r="DM182" i="20"/>
  <c r="DM171" i="20"/>
  <c r="CW181" i="20"/>
  <c r="CX172" i="20"/>
  <c r="FI172" i="20"/>
  <c r="CX181" i="20"/>
  <c r="FI181" i="20"/>
  <c r="DD177" i="20"/>
  <c r="FI177" i="20"/>
  <c r="BC172" i="20"/>
  <c r="CN172" i="20" s="1"/>
  <c r="FI152" i="20"/>
  <c r="DD152" i="20"/>
  <c r="DC139" i="20"/>
  <c r="FJ139" i="20"/>
  <c r="DM51" i="20"/>
  <c r="FH75" i="20"/>
  <c r="DM39" i="20"/>
  <c r="DT491" i="20"/>
  <c r="BI491" i="20"/>
  <c r="BJ491" i="20" s="1"/>
  <c r="EM496" i="20"/>
  <c r="EP496" i="20" s="1"/>
  <c r="EQ496" i="20" s="1"/>
  <c r="DN496" i="20" s="1"/>
  <c r="DU483" i="20"/>
  <c r="CK481" i="20"/>
  <c r="ED480" i="20"/>
  <c r="DM469" i="20"/>
  <c r="EL466" i="20"/>
  <c r="EK466" i="20" s="1"/>
  <c r="Y466" i="20"/>
  <c r="DA445" i="20"/>
  <c r="FG445" i="20"/>
  <c r="BI443" i="20"/>
  <c r="DT443" i="20"/>
  <c r="Y449" i="20"/>
  <c r="EL449" i="20"/>
  <c r="EK449" i="20" s="1"/>
  <c r="DI446" i="20"/>
  <c r="M446" i="20"/>
  <c r="BF446" i="20" s="1"/>
  <c r="CO446" i="20" s="1"/>
  <c r="AX446" i="20"/>
  <c r="CM446" i="20" s="1"/>
  <c r="BB446" i="20"/>
  <c r="ED471" i="20"/>
  <c r="CE448" i="20"/>
  <c r="ED474" i="20"/>
  <c r="M433" i="20"/>
  <c r="BF433" i="20" s="1"/>
  <c r="CO433" i="20" s="1"/>
  <c r="AX433" i="20"/>
  <c r="CM433" i="20" s="1"/>
  <c r="DI433" i="20"/>
  <c r="BF444" i="20"/>
  <c r="CO444" i="20" s="1"/>
  <c r="ET396" i="20"/>
  <c r="EU396" i="20" s="1"/>
  <c r="EV396" i="20" s="1"/>
  <c r="FG392" i="20"/>
  <c r="CU392" i="20"/>
  <c r="CA384" i="20"/>
  <c r="BZ384" i="20"/>
  <c r="BR384" i="20"/>
  <c r="DZ384" i="20" s="1"/>
  <c r="EB384" i="20" s="1"/>
  <c r="T384" i="20"/>
  <c r="AY384" i="20" s="1"/>
  <c r="AL384" i="20"/>
  <c r="AZ388" i="20"/>
  <c r="BH388" i="20"/>
  <c r="DA388" i="20"/>
  <c r="FG388" i="20"/>
  <c r="FG383" i="20"/>
  <c r="DA383" i="20"/>
  <c r="DA382" i="20"/>
  <c r="FG382" i="20"/>
  <c r="DT380" i="20"/>
  <c r="BI380" i="20"/>
  <c r="DD369" i="20"/>
  <c r="FI369" i="20"/>
  <c r="DI373" i="20"/>
  <c r="M373" i="20"/>
  <c r="BF373" i="20" s="1"/>
  <c r="CO373" i="20" s="1"/>
  <c r="AX373" i="20"/>
  <c r="CM373" i="20" s="1"/>
  <c r="AX368" i="20"/>
  <c r="CM368" i="20" s="1"/>
  <c r="M368" i="20"/>
  <c r="BF368" i="20" s="1"/>
  <c r="CO368" i="20" s="1"/>
  <c r="DI368" i="20"/>
  <c r="AX336" i="20"/>
  <c r="CM336" i="20" s="1"/>
  <c r="M336" i="20"/>
  <c r="BF336" i="20" s="1"/>
  <c r="CO336" i="20" s="1"/>
  <c r="DI336" i="20"/>
  <c r="DA353" i="20"/>
  <c r="FG353" i="20"/>
  <c r="BI358" i="20"/>
  <c r="DT358" i="20"/>
  <c r="FG346" i="20"/>
  <c r="DA346" i="20"/>
  <c r="CX304" i="20"/>
  <c r="FI304" i="20"/>
  <c r="FI271" i="20"/>
  <c r="DD271" i="20"/>
  <c r="DM260" i="20"/>
  <c r="FI258" i="20"/>
  <c r="DD258" i="20"/>
  <c r="CX235" i="20"/>
  <c r="FI235" i="20"/>
  <c r="CX239" i="20"/>
  <c r="FI239" i="20"/>
  <c r="CU233" i="20"/>
  <c r="FG233" i="20"/>
  <c r="BC214" i="20"/>
  <c r="DM215" i="20"/>
  <c r="FG199" i="20"/>
  <c r="CU199" i="20"/>
  <c r="CX165" i="20"/>
  <c r="FI165" i="20"/>
  <c r="FI150" i="20"/>
  <c r="DD150" i="20"/>
  <c r="DD142" i="20"/>
  <c r="FI142" i="20"/>
  <c r="FI84" i="20"/>
  <c r="CX84" i="20"/>
  <c r="DT496" i="20"/>
  <c r="BI496" i="20"/>
  <c r="BJ496" i="20" s="1"/>
  <c r="ED495" i="20"/>
  <c r="ET491" i="20"/>
  <c r="EU491" i="20" s="1"/>
  <c r="EV491" i="20" s="1"/>
  <c r="ET496" i="20"/>
  <c r="EU496" i="20" s="1"/>
  <c r="EV496" i="20" s="1"/>
  <c r="ES489" i="20"/>
  <c r="ET479" i="20"/>
  <c r="EU479" i="20" s="1"/>
  <c r="EV479" i="20" s="1"/>
  <c r="CK480" i="20"/>
  <c r="EL480" i="20"/>
  <c r="EK480" i="20" s="1"/>
  <c r="EM480" i="20" s="1"/>
  <c r="EP480" i="20" s="1"/>
  <c r="EQ480" i="20" s="1"/>
  <c r="Y480" i="20"/>
  <c r="EL469" i="20"/>
  <c r="EK469" i="20" s="1"/>
  <c r="Y469" i="20"/>
  <c r="BI474" i="20"/>
  <c r="BJ474" i="20" s="1"/>
  <c r="DT474" i="20"/>
  <c r="DM466" i="20"/>
  <c r="ET465" i="20"/>
  <c r="EU465" i="20" s="1"/>
  <c r="EV465" i="20" s="1"/>
  <c r="ED475" i="20"/>
  <c r="DT436" i="20"/>
  <c r="BI436" i="20"/>
  <c r="BJ436" i="20" s="1"/>
  <c r="ED473" i="20"/>
  <c r="CI466" i="20"/>
  <c r="CK466" i="20" s="1"/>
  <c r="AL446" i="20"/>
  <c r="AZ448" i="20"/>
  <c r="BH448" i="20"/>
  <c r="AX440" i="20"/>
  <c r="CM440" i="20" s="1"/>
  <c r="M440" i="20"/>
  <c r="BF440" i="20" s="1"/>
  <c r="CO440" i="20" s="1"/>
  <c r="DI440" i="20"/>
  <c r="BB440" i="20"/>
  <c r="BC440" i="20" s="1"/>
  <c r="CN440" i="20" s="1"/>
  <c r="AZ437" i="20"/>
  <c r="AX443" i="20"/>
  <c r="CM443" i="20" s="1"/>
  <c r="M443" i="20"/>
  <c r="BF443" i="20" s="1"/>
  <c r="CO443" i="20" s="1"/>
  <c r="DI443" i="20"/>
  <c r="DT434" i="20"/>
  <c r="BI434" i="20"/>
  <c r="BI433" i="20"/>
  <c r="DT433" i="20"/>
  <c r="FI437" i="20"/>
  <c r="DD437" i="20"/>
  <c r="CA435" i="20"/>
  <c r="BR435" i="20"/>
  <c r="DZ435" i="20" s="1"/>
  <c r="EB435" i="20" s="1"/>
  <c r="FY435" i="20"/>
  <c r="GA435" i="20" s="1"/>
  <c r="CS435" i="20" s="1"/>
  <c r="BZ435" i="20"/>
  <c r="AL435" i="20"/>
  <c r="AY423" i="20"/>
  <c r="AZ423" i="20" s="1"/>
  <c r="DM403" i="20"/>
  <c r="EH408" i="20"/>
  <c r="DA394" i="20"/>
  <c r="FG394" i="20"/>
  <c r="AX393" i="20"/>
  <c r="CM393" i="20" s="1"/>
  <c r="DI393" i="20"/>
  <c r="M393" i="20"/>
  <c r="BF393" i="20" s="1"/>
  <c r="CO393" i="20" s="1"/>
  <c r="DA387" i="20"/>
  <c r="FG387" i="20"/>
  <c r="BB368" i="20"/>
  <c r="BC368" i="20" s="1"/>
  <c r="CN368" i="20" s="1"/>
  <c r="FI377" i="20"/>
  <c r="DD377" i="20"/>
  <c r="BB373" i="20"/>
  <c r="FG374" i="20"/>
  <c r="CU374" i="20"/>
  <c r="GA366" i="20"/>
  <c r="CS366" i="20" s="1"/>
  <c r="CA362" i="20"/>
  <c r="AL362" i="20"/>
  <c r="FY362" i="20"/>
  <c r="GA362" i="20" s="1"/>
  <c r="CS362" i="20" s="1"/>
  <c r="BZ362" i="20"/>
  <c r="BR362" i="20"/>
  <c r="DZ362" i="20" s="1"/>
  <c r="EB362" i="20" s="1"/>
  <c r="T362" i="20"/>
  <c r="FI316" i="20"/>
  <c r="DD316" i="20"/>
  <c r="FI307" i="20"/>
  <c r="CX307" i="20"/>
  <c r="FG307" i="20"/>
  <c r="CU307" i="20"/>
  <c r="GA302" i="20"/>
  <c r="CS302" i="20" s="1"/>
  <c r="DD294" i="20"/>
  <c r="FI294" i="20"/>
  <c r="FI296" i="20"/>
  <c r="DD296" i="20"/>
  <c r="DD274" i="20"/>
  <c r="FI274" i="20"/>
  <c r="BC271" i="20"/>
  <c r="CN271" i="20" s="1"/>
  <c r="BC263" i="20"/>
  <c r="CN263" i="20" s="1"/>
  <c r="FI250" i="20"/>
  <c r="DD250" i="20"/>
  <c r="DA250" i="20"/>
  <c r="FG250" i="20"/>
  <c r="FI236" i="20"/>
  <c r="DD236" i="20"/>
  <c r="DM190" i="20"/>
  <c r="FI188" i="20"/>
  <c r="DD188" i="20"/>
  <c r="FI184" i="20"/>
  <c r="CX184" i="20"/>
  <c r="DM181" i="20"/>
  <c r="CX170" i="20"/>
  <c r="FI170" i="20"/>
  <c r="DM170" i="20"/>
  <c r="FG179" i="20"/>
  <c r="CU179" i="20"/>
  <c r="BC168" i="20"/>
  <c r="CN168" i="20" s="1"/>
  <c r="DD140" i="20"/>
  <c r="FI140" i="20"/>
  <c r="DM139" i="20"/>
  <c r="DM24" i="20"/>
  <c r="AY434" i="20"/>
  <c r="AZ434" i="20" s="1"/>
  <c r="BB435" i="20"/>
  <c r="BI432" i="20"/>
  <c r="BJ432" i="20" s="1"/>
  <c r="DT432" i="20"/>
  <c r="FG434" i="20"/>
  <c r="CU434" i="20"/>
  <c r="ET444" i="20"/>
  <c r="EU444" i="20" s="1"/>
  <c r="EV444" i="20" s="1"/>
  <c r="AY426" i="20"/>
  <c r="AZ426" i="20" s="1"/>
  <c r="CB436" i="20"/>
  <c r="CI436" i="20" s="1"/>
  <c r="FY430" i="20"/>
  <c r="GA430" i="20" s="1"/>
  <c r="CS430" i="20" s="1"/>
  <c r="CA430" i="20"/>
  <c r="BR430" i="20"/>
  <c r="DZ430" i="20" s="1"/>
  <c r="EB430" i="20" s="1"/>
  <c r="BZ430" i="20"/>
  <c r="DI427" i="20"/>
  <c r="M427" i="20"/>
  <c r="BF427" i="20" s="1"/>
  <c r="CO427" i="20" s="1"/>
  <c r="AX427" i="20"/>
  <c r="CM427" i="20" s="1"/>
  <c r="DA418" i="20"/>
  <c r="FG418" i="20"/>
  <c r="BZ422" i="20"/>
  <c r="AL422" i="20"/>
  <c r="FY422" i="20"/>
  <c r="GA422" i="20" s="1"/>
  <c r="CS422" i="20" s="1"/>
  <c r="CA422" i="20"/>
  <c r="BR422" i="20"/>
  <c r="DZ422" i="20" s="1"/>
  <c r="EB422" i="20" s="1"/>
  <c r="EH422" i="20" s="1"/>
  <c r="AZ404" i="20"/>
  <c r="CA414" i="20"/>
  <c r="FY414" i="20"/>
  <c r="GA414" i="20" s="1"/>
  <c r="CS414" i="20" s="1"/>
  <c r="BZ414" i="20"/>
  <c r="BR414" i="20"/>
  <c r="DZ414" i="20" s="1"/>
  <c r="EB414" i="20" s="1"/>
  <c r="EG414" i="20" s="1"/>
  <c r="BH404" i="20"/>
  <c r="T414" i="20"/>
  <c r="AY414" i="20" s="1"/>
  <c r="BH411" i="20"/>
  <c r="CA411" i="20"/>
  <c r="FY411" i="20"/>
  <c r="GA411" i="20" s="1"/>
  <c r="CS411" i="20" s="1"/>
  <c r="BZ411" i="20"/>
  <c r="BR411" i="20"/>
  <c r="DZ411" i="20" s="1"/>
  <c r="EB411" i="20" s="1"/>
  <c r="BR413" i="20"/>
  <c r="DZ413" i="20" s="1"/>
  <c r="EB413" i="20" s="1"/>
  <c r="BZ413" i="20"/>
  <c r="CA413" i="20"/>
  <c r="EG403" i="20"/>
  <c r="BF401" i="20"/>
  <c r="CO401" i="20" s="1"/>
  <c r="BI399" i="20"/>
  <c r="DT399" i="20"/>
  <c r="CA394" i="20"/>
  <c r="BR394" i="20"/>
  <c r="DZ394" i="20" s="1"/>
  <c r="EB394" i="20" s="1"/>
  <c r="BZ394" i="20"/>
  <c r="T394" i="20"/>
  <c r="AY394" i="20" s="1"/>
  <c r="AZ398" i="20"/>
  <c r="CB399" i="20"/>
  <c r="CI399" i="20" s="1"/>
  <c r="CK399" i="20" s="1"/>
  <c r="CP399" i="20" s="1"/>
  <c r="BF397" i="20"/>
  <c r="CO397" i="20" s="1"/>
  <c r="ET385" i="20"/>
  <c r="EU385" i="20" s="1"/>
  <c r="EV385" i="20" s="1"/>
  <c r="BH383" i="20"/>
  <c r="DI379" i="20"/>
  <c r="M379" i="20"/>
  <c r="BF379" i="20" s="1"/>
  <c r="CO379" i="20" s="1"/>
  <c r="AX379" i="20"/>
  <c r="CM379" i="20" s="1"/>
  <c r="CB368" i="20"/>
  <c r="CI368" i="20" s="1"/>
  <c r="BF391" i="20"/>
  <c r="CO391" i="20" s="1"/>
  <c r="CA373" i="20"/>
  <c r="BZ373" i="20"/>
  <c r="BR373" i="20"/>
  <c r="DZ373" i="20" s="1"/>
  <c r="EB373" i="20" s="1"/>
  <c r="CB383" i="20"/>
  <c r="CI383" i="20" s="1"/>
  <c r="AY379" i="20"/>
  <c r="AZ379" i="20" s="1"/>
  <c r="EB367" i="20"/>
  <c r="CI365" i="20"/>
  <c r="CK365" i="20" s="1"/>
  <c r="CP365" i="20" s="1"/>
  <c r="EL363" i="20"/>
  <c r="EK363" i="20" s="1"/>
  <c r="Y363" i="20"/>
  <c r="FY374" i="20"/>
  <c r="GA374" i="20" s="1"/>
  <c r="CS374" i="20" s="1"/>
  <c r="BZ374" i="20"/>
  <c r="BR374" i="20"/>
  <c r="DZ374" i="20" s="1"/>
  <c r="EB374" i="20" s="1"/>
  <c r="AL374" i="20"/>
  <c r="CA374" i="20"/>
  <c r="T374" i="20"/>
  <c r="AY374" i="20" s="1"/>
  <c r="DA357" i="20"/>
  <c r="FG357" i="20"/>
  <c r="Y374" i="20"/>
  <c r="BI357" i="20"/>
  <c r="DT357" i="20"/>
  <c r="EB370" i="20"/>
  <c r="BF367" i="20"/>
  <c r="CO367" i="20" s="1"/>
  <c r="BH360" i="20"/>
  <c r="BR381" i="20"/>
  <c r="DZ381" i="20" s="1"/>
  <c r="EB381" i="20" s="1"/>
  <c r="EH381" i="20" s="1"/>
  <c r="FY381" i="20"/>
  <c r="GA381" i="20" s="1"/>
  <c r="CS381" i="20" s="1"/>
  <c r="BZ381" i="20"/>
  <c r="CA381" i="20"/>
  <c r="AL381" i="20"/>
  <c r="BZ371" i="20"/>
  <c r="BR371" i="20"/>
  <c r="DZ371" i="20" s="1"/>
  <c r="EB371" i="20" s="1"/>
  <c r="EH371" i="20" s="1"/>
  <c r="CA371" i="20"/>
  <c r="ET370" i="20"/>
  <c r="EU370" i="20" s="1"/>
  <c r="EV370" i="20" s="1"/>
  <c r="BH380" i="20"/>
  <c r="CB370" i="20"/>
  <c r="CI370" i="20" s="1"/>
  <c r="CK370" i="20" s="1"/>
  <c r="CP370" i="20" s="1"/>
  <c r="FG365" i="20"/>
  <c r="DA365" i="20"/>
  <c r="AY354" i="20"/>
  <c r="AZ354" i="20" s="1"/>
  <c r="AY343" i="20"/>
  <c r="BH343" i="20" s="1"/>
  <c r="CA352" i="20"/>
  <c r="FY352" i="20"/>
  <c r="GA352" i="20" s="1"/>
  <c r="CS352" i="20" s="1"/>
  <c r="BZ352" i="20"/>
  <c r="BR352" i="20"/>
  <c r="DZ352" i="20" s="1"/>
  <c r="EB352" i="20" s="1"/>
  <c r="DA338" i="20"/>
  <c r="FG338" i="20"/>
  <c r="AY349" i="20"/>
  <c r="AZ349" i="20" s="1"/>
  <c r="BH359" i="20"/>
  <c r="CU328" i="20"/>
  <c r="FG328" i="20"/>
  <c r="ET338" i="20"/>
  <c r="EU338" i="20" s="1"/>
  <c r="EV338" i="20" s="1"/>
  <c r="CI329" i="20"/>
  <c r="ET348" i="20"/>
  <c r="EU348" i="20" s="1"/>
  <c r="EV348" i="20" s="1"/>
  <c r="CA343" i="20"/>
  <c r="FY343" i="20"/>
  <c r="GA343" i="20" s="1"/>
  <c r="CS343" i="20" s="1"/>
  <c r="BZ343" i="20"/>
  <c r="BR343" i="20"/>
  <c r="DZ343" i="20" s="1"/>
  <c r="EB343" i="20" s="1"/>
  <c r="BB340" i="20"/>
  <c r="BI323" i="20"/>
  <c r="DT323" i="20"/>
  <c r="EB350" i="20"/>
  <c r="BZ342" i="20"/>
  <c r="BR342" i="20"/>
  <c r="DZ342" i="20" s="1"/>
  <c r="EB342" i="20" s="1"/>
  <c r="AL342" i="20"/>
  <c r="CA342" i="20"/>
  <c r="AY329" i="20"/>
  <c r="AZ329" i="20" s="1"/>
  <c r="BI325" i="20"/>
  <c r="DT325" i="20"/>
  <c r="ET346" i="20"/>
  <c r="EU346" i="20" s="1"/>
  <c r="EV346" i="20" s="1"/>
  <c r="AY324" i="20"/>
  <c r="AZ324" i="20" s="1"/>
  <c r="CA321" i="20"/>
  <c r="FY321" i="20"/>
  <c r="GA321" i="20" s="1"/>
  <c r="CS321" i="20" s="1"/>
  <c r="BZ321" i="20"/>
  <c r="BR321" i="20"/>
  <c r="DZ321" i="20" s="1"/>
  <c r="EB321" i="20" s="1"/>
  <c r="CA320" i="20"/>
  <c r="FY320" i="20"/>
  <c r="GA320" i="20" s="1"/>
  <c r="CS320" i="20" s="1"/>
  <c r="BZ320" i="20"/>
  <c r="BR320" i="20"/>
  <c r="DZ320" i="20" s="1"/>
  <c r="EB320" i="20" s="1"/>
  <c r="AX322" i="20"/>
  <c r="CM322" i="20" s="1"/>
  <c r="M322" i="20"/>
  <c r="BF322" i="20" s="1"/>
  <c r="CO322" i="20" s="1"/>
  <c r="DI322" i="20"/>
  <c r="CB346" i="20"/>
  <c r="CI346" i="20" s="1"/>
  <c r="CK346" i="20" s="1"/>
  <c r="CP346" i="20" s="1"/>
  <c r="AY316" i="20"/>
  <c r="ET314" i="20"/>
  <c r="EU314" i="20" s="1"/>
  <c r="EV314" i="20" s="1"/>
  <c r="AY308" i="20"/>
  <c r="AZ308" i="20" s="1"/>
  <c r="CA327" i="20"/>
  <c r="BZ327" i="20"/>
  <c r="BR327" i="20"/>
  <c r="DZ327" i="20" s="1"/>
  <c r="EB327" i="20" s="1"/>
  <c r="AZ313" i="20"/>
  <c r="EH322" i="20"/>
  <c r="FG315" i="20"/>
  <c r="DA315" i="20"/>
  <c r="T299" i="20"/>
  <c r="EH293" i="20"/>
  <c r="ET316" i="20"/>
  <c r="EU316" i="20" s="1"/>
  <c r="EV316" i="20" s="1"/>
  <c r="CA309" i="20"/>
  <c r="BZ309" i="20"/>
  <c r="BR309" i="20"/>
  <c r="DZ309" i="20" s="1"/>
  <c r="EB309" i="20" s="1"/>
  <c r="EH309" i="20" s="1"/>
  <c r="AZ318" i="20"/>
  <c r="FG311" i="20"/>
  <c r="CU311" i="20"/>
  <c r="AL291" i="20"/>
  <c r="BF300" i="20"/>
  <c r="CO300" i="20" s="1"/>
  <c r="EG296" i="20"/>
  <c r="CU290" i="20"/>
  <c r="FG290" i="20"/>
  <c r="AY290" i="20"/>
  <c r="BH290" i="20" s="1"/>
  <c r="BH283" i="20"/>
  <c r="CA280" i="20"/>
  <c r="FY280" i="20"/>
  <c r="GA280" i="20" s="1"/>
  <c r="CS280" i="20" s="1"/>
  <c r="BZ280" i="20"/>
  <c r="BR280" i="20"/>
  <c r="DZ280" i="20" s="1"/>
  <c r="EB280" i="20" s="1"/>
  <c r="FG297" i="20"/>
  <c r="DA297" i="20"/>
  <c r="AY291" i="20"/>
  <c r="BH291" i="20" s="1"/>
  <c r="AX299" i="20"/>
  <c r="CM299" i="20" s="1"/>
  <c r="DI299" i="20"/>
  <c r="M299" i="20"/>
  <c r="BF299" i="20" s="1"/>
  <c r="CO299" i="20" s="1"/>
  <c r="AY273" i="20"/>
  <c r="AZ273" i="20" s="1"/>
  <c r="EL273" i="20"/>
  <c r="EK273" i="20" s="1"/>
  <c r="Y273" i="20"/>
  <c r="CA269" i="20"/>
  <c r="BR269" i="20"/>
  <c r="DZ269" i="20" s="1"/>
  <c r="EB269" i="20" s="1"/>
  <c r="FY269" i="20"/>
  <c r="GA269" i="20" s="1"/>
  <c r="CS269" i="20" s="1"/>
  <c r="BZ269" i="20"/>
  <c r="BF262" i="20"/>
  <c r="CO262" i="20" s="1"/>
  <c r="EB263" i="20"/>
  <c r="DI261" i="20"/>
  <c r="AX261" i="20"/>
  <c r="CM261" i="20" s="1"/>
  <c r="M261" i="20"/>
  <c r="BF261" i="20" s="1"/>
  <c r="CO261" i="20" s="1"/>
  <c r="BB261" i="20"/>
  <c r="BI256" i="20"/>
  <c r="DT256" i="20"/>
  <c r="AZ265" i="20"/>
  <c r="CI272" i="20"/>
  <c r="EB266" i="20"/>
  <c r="AY276" i="20"/>
  <c r="AZ276" i="20" s="1"/>
  <c r="BI272" i="20"/>
  <c r="DT272" i="20"/>
  <c r="EB282" i="20"/>
  <c r="ET253" i="20"/>
  <c r="EU253" i="20" s="1"/>
  <c r="EV253" i="20" s="1"/>
  <c r="EH250" i="20"/>
  <c r="AY261" i="20"/>
  <c r="AZ261" i="20" s="1"/>
  <c r="DM244" i="20"/>
  <c r="FI244" i="20"/>
  <c r="DD244" i="20"/>
  <c r="AY238" i="20"/>
  <c r="AZ238" i="20" s="1"/>
  <c r="BI255" i="20"/>
  <c r="DT255" i="20"/>
  <c r="EB253" i="20"/>
  <c r="CX232" i="20"/>
  <c r="FI232" i="20"/>
  <c r="BH240" i="20"/>
  <c r="BJ240" i="20" s="1"/>
  <c r="EH229" i="20"/>
  <c r="AR212" i="20"/>
  <c r="CU232" i="20"/>
  <c r="FG232" i="20"/>
  <c r="CB225" i="20"/>
  <c r="CI225" i="20" s="1"/>
  <c r="CK225" i="20" s="1"/>
  <c r="CP225" i="20" s="1"/>
  <c r="AZ220" i="20"/>
  <c r="BH220" i="20"/>
  <c r="BJ220" i="20" s="1"/>
  <c r="AQ215" i="20"/>
  <c r="M204" i="20"/>
  <c r="BF204" i="20" s="1"/>
  <c r="CO204" i="20" s="1"/>
  <c r="DI204" i="20"/>
  <c r="BB204" i="20"/>
  <c r="P204" i="20"/>
  <c r="DY204" i="20" s="1"/>
  <c r="AX204" i="20"/>
  <c r="CM204" i="20" s="1"/>
  <c r="EH225" i="20"/>
  <c r="EG222" i="20"/>
  <c r="DM243" i="20"/>
  <c r="AX210" i="20"/>
  <c r="CM210" i="20" s="1"/>
  <c r="P210" i="20"/>
  <c r="M210" i="20"/>
  <c r="BF210" i="20" s="1"/>
  <c r="CO210" i="20" s="1"/>
  <c r="DI210" i="20"/>
  <c r="BB210" i="20"/>
  <c r="ED214" i="20"/>
  <c r="DT202" i="20"/>
  <c r="AY194" i="20"/>
  <c r="AZ194" i="20" s="1"/>
  <c r="EG215" i="20"/>
  <c r="FI190" i="20"/>
  <c r="CX190" i="20"/>
  <c r="AL187" i="20"/>
  <c r="EE187" i="20"/>
  <c r="BB173" i="20"/>
  <c r="BC217" i="20"/>
  <c r="AT214" i="20"/>
  <c r="DU214" i="20" s="1"/>
  <c r="DN214" i="20" s="1"/>
  <c r="DP214" i="20" s="1"/>
  <c r="FG186" i="20"/>
  <c r="DA186" i="20"/>
  <c r="AX216" i="20"/>
  <c r="M216" i="20"/>
  <c r="BF216" i="20" s="1"/>
  <c r="DI216" i="20"/>
  <c r="CA204" i="20"/>
  <c r="BR204" i="20"/>
  <c r="DZ204" i="20" s="1"/>
  <c r="EB204" i="20" s="1"/>
  <c r="FY204" i="20"/>
  <c r="GA204" i="20" s="1"/>
  <c r="CS204" i="20" s="1"/>
  <c r="CX192" i="20"/>
  <c r="FI192" i="20"/>
  <c r="ET185" i="20"/>
  <c r="EU185" i="20" s="1"/>
  <c r="EV185" i="20" s="1"/>
  <c r="T204" i="20"/>
  <c r="AY204" i="20" s="1"/>
  <c r="EG228" i="20"/>
  <c r="BH187" i="20"/>
  <c r="BJ187" i="20" s="1"/>
  <c r="AX202" i="20"/>
  <c r="CM202" i="20" s="1"/>
  <c r="P202" i="20"/>
  <c r="DY202" i="20" s="1"/>
  <c r="M202" i="20"/>
  <c r="BF202" i="20" s="1"/>
  <c r="CO202" i="20" s="1"/>
  <c r="DI202" i="20"/>
  <c r="BB202" i="20"/>
  <c r="Y160" i="20"/>
  <c r="EL160" i="20"/>
  <c r="EK160" i="20" s="1"/>
  <c r="AM150" i="20"/>
  <c r="ET162" i="20"/>
  <c r="EU162" i="20" s="1"/>
  <c r="EV162" i="20" s="1"/>
  <c r="EB148" i="20"/>
  <c r="EH153" i="20"/>
  <c r="ET144" i="20"/>
  <c r="EU144" i="20" s="1"/>
  <c r="EV144" i="20" s="1"/>
  <c r="EZ136" i="20"/>
  <c r="ET136" i="20"/>
  <c r="EU136" i="20" s="1"/>
  <c r="EV136" i="20" s="1"/>
  <c r="AY160" i="20"/>
  <c r="BH160" i="20" s="1"/>
  <c r="ET142" i="20"/>
  <c r="EU142" i="20" s="1"/>
  <c r="EV142" i="20" s="1"/>
  <c r="DM165" i="20"/>
  <c r="ET161" i="20"/>
  <c r="EU161" i="20" s="1"/>
  <c r="EV161" i="20" s="1"/>
  <c r="BO152" i="20"/>
  <c r="AL149" i="20"/>
  <c r="FG150" i="20"/>
  <c r="BM127" i="20"/>
  <c r="BL127" i="20"/>
  <c r="BN127" i="20" s="1"/>
  <c r="CB143" i="20"/>
  <c r="CI143" i="20" s="1"/>
  <c r="CK143" i="20" s="1"/>
  <c r="CP143" i="20" s="1"/>
  <c r="CU138" i="20"/>
  <c r="FG138" i="20"/>
  <c r="AY121" i="20"/>
  <c r="AZ121" i="20" s="1"/>
  <c r="DJ94" i="20"/>
  <c r="M94" i="20"/>
  <c r="BF94" i="20" s="1"/>
  <c r="AX94" i="20"/>
  <c r="BO149" i="20"/>
  <c r="BP149" i="20" s="1"/>
  <c r="EI149" i="20" s="1"/>
  <c r="EH149" i="20" s="1"/>
  <c r="FI147" i="20"/>
  <c r="DD147" i="20"/>
  <c r="AY130" i="20"/>
  <c r="AZ130" i="20" s="1"/>
  <c r="ET118" i="20"/>
  <c r="EU118" i="20" s="1"/>
  <c r="EV118" i="20" s="1"/>
  <c r="BO147" i="20"/>
  <c r="AZ132" i="20"/>
  <c r="EM162" i="20"/>
  <c r="EP162" i="20" s="1"/>
  <c r="EQ162" i="20" s="1"/>
  <c r="CB140" i="20"/>
  <c r="CI140" i="20" s="1"/>
  <c r="CK140" i="20" s="1"/>
  <c r="CP140" i="20" s="1"/>
  <c r="BO129" i="20"/>
  <c r="BP129" i="20" s="1"/>
  <c r="EI129" i="20" s="1"/>
  <c r="EH129" i="20" s="1"/>
  <c r="GD121" i="20"/>
  <c r="CD121" i="20"/>
  <c r="CE121" i="20" s="1"/>
  <c r="CI121" i="20" s="1"/>
  <c r="CK121" i="20" s="1"/>
  <c r="CP121" i="20" s="1"/>
  <c r="FY121" i="20"/>
  <c r="GA121" i="20" s="1"/>
  <c r="CS121" i="20" s="1"/>
  <c r="BJ154" i="20"/>
  <c r="CK154" i="20"/>
  <c r="DA122" i="20"/>
  <c r="FG122" i="20"/>
  <c r="BM85" i="20"/>
  <c r="BL85" i="20"/>
  <c r="BN85" i="20" s="1"/>
  <c r="AY80" i="20"/>
  <c r="AZ80" i="20" s="1"/>
  <c r="BE86" i="20"/>
  <c r="BF86" i="20" s="1"/>
  <c r="CO86" i="20" s="1"/>
  <c r="BL115" i="20"/>
  <c r="BN115" i="20" s="1"/>
  <c r="FX108" i="20"/>
  <c r="GA108" i="20" s="1"/>
  <c r="O109" i="20"/>
  <c r="BR108" i="20"/>
  <c r="DZ108" i="20" s="1"/>
  <c r="EB108" i="20" s="1"/>
  <c r="BE108" i="20"/>
  <c r="BF108" i="20" s="1"/>
  <c r="CI94" i="20"/>
  <c r="BL123" i="20"/>
  <c r="BN123" i="20" s="1"/>
  <c r="AZ118" i="20"/>
  <c r="EU96" i="20"/>
  <c r="EV96" i="20" s="1"/>
  <c r="BE67" i="20"/>
  <c r="BF67" i="20" s="1"/>
  <c r="CO67" i="20" s="1"/>
  <c r="AY67" i="20"/>
  <c r="AZ67" i="20" s="1"/>
  <c r="AM40" i="20"/>
  <c r="AL40" i="20"/>
  <c r="AL122" i="20"/>
  <c r="EY108" i="20"/>
  <c r="EZ108" i="20" s="1"/>
  <c r="AM92" i="20"/>
  <c r="AL92" i="20"/>
  <c r="BC81" i="20"/>
  <c r="CN81" i="20" s="1"/>
  <c r="CX123" i="20"/>
  <c r="FI123" i="20"/>
  <c r="CB100" i="20"/>
  <c r="CI100" i="20" s="1"/>
  <c r="BO74" i="20"/>
  <c r="BP74" i="20" s="1"/>
  <c r="EI74" i="20" s="1"/>
  <c r="AL109" i="20"/>
  <c r="DM88" i="20"/>
  <c r="AZ83" i="20"/>
  <c r="BE83" i="20"/>
  <c r="BF83" i="20" s="1"/>
  <c r="CO83" i="20" s="1"/>
  <c r="AY58" i="20"/>
  <c r="AZ58" i="20" s="1"/>
  <c r="AL110" i="20"/>
  <c r="AL107" i="20"/>
  <c r="AQ107" i="20" s="1"/>
  <c r="AM96" i="20"/>
  <c r="DD91" i="20"/>
  <c r="FI91" i="20"/>
  <c r="EL84" i="20"/>
  <c r="EK84" i="20" s="1"/>
  <c r="Y84" i="20"/>
  <c r="EL75" i="20"/>
  <c r="EK75" i="20" s="1"/>
  <c r="EY75" i="20" s="1"/>
  <c r="EZ75" i="20" s="1"/>
  <c r="Y75" i="20"/>
  <c r="CA70" i="20"/>
  <c r="BK70" i="20"/>
  <c r="AN70" i="20"/>
  <c r="BZ70" i="20"/>
  <c r="BR70" i="20"/>
  <c r="DZ70" i="20" s="1"/>
  <c r="EB70" i="20" s="1"/>
  <c r="FX70" i="20"/>
  <c r="GA70" i="20" s="1"/>
  <c r="CS70" i="20" s="1"/>
  <c r="FX59" i="20"/>
  <c r="GA59" i="20" s="1"/>
  <c r="CS59" i="20" s="1"/>
  <c r="CA59" i="20"/>
  <c r="BK59" i="20"/>
  <c r="AN59" i="20"/>
  <c r="BZ59" i="20"/>
  <c r="BR59" i="20"/>
  <c r="DZ59" i="20" s="1"/>
  <c r="EB59" i="20" s="1"/>
  <c r="AY60" i="20"/>
  <c r="AX49" i="20"/>
  <c r="M49" i="20"/>
  <c r="BF49" i="20" s="1"/>
  <c r="DJ49" i="20"/>
  <c r="BM21" i="20"/>
  <c r="BL21" i="20"/>
  <c r="BN21" i="20" s="1"/>
  <c r="Y49" i="20"/>
  <c r="EL49" i="20"/>
  <c r="EK49" i="20" s="1"/>
  <c r="ET49" i="20" s="1"/>
  <c r="EU49" i="20" s="1"/>
  <c r="EV49" i="20" s="1"/>
  <c r="CX71" i="20"/>
  <c r="FI71" i="20"/>
  <c r="BR61" i="20"/>
  <c r="DZ61" i="20" s="1"/>
  <c r="EB61" i="20" s="1"/>
  <c r="FX61" i="20"/>
  <c r="GA61" i="20" s="1"/>
  <c r="CS61" i="20" s="1"/>
  <c r="CA61" i="20"/>
  <c r="BK61" i="20"/>
  <c r="AN61" i="20"/>
  <c r="BZ61" i="20"/>
  <c r="BB45" i="20"/>
  <c r="BC45" i="20" s="1"/>
  <c r="AX51" i="20"/>
  <c r="M51" i="20"/>
  <c r="BF51" i="20" s="1"/>
  <c r="DJ51" i="20"/>
  <c r="BB43" i="20"/>
  <c r="BC43" i="20" s="1"/>
  <c r="L15" i="20"/>
  <c r="BO81" i="20"/>
  <c r="BP81" i="20" s="1"/>
  <c r="EI81" i="20" s="1"/>
  <c r="BL69" i="20"/>
  <c r="BN69" i="20" s="1"/>
  <c r="EG66" i="20"/>
  <c r="BL64" i="20"/>
  <c r="BN64" i="20" s="1"/>
  <c r="EL51" i="20"/>
  <c r="EK51" i="20" s="1"/>
  <c r="Y51" i="20"/>
  <c r="BM47" i="20"/>
  <c r="BL47" i="20"/>
  <c r="BN47" i="20" s="1"/>
  <c r="BF28" i="20"/>
  <c r="DJ20" i="20"/>
  <c r="AX20" i="20"/>
  <c r="M20" i="20"/>
  <c r="EL34" i="20"/>
  <c r="EK34" i="20" s="1"/>
  <c r="Y34" i="20"/>
  <c r="EL30" i="20"/>
  <c r="EK30" i="20" s="1"/>
  <c r="Y30" i="20"/>
  <c r="EL35" i="20"/>
  <c r="EK35" i="20" s="1"/>
  <c r="EY35" i="20" s="1"/>
  <c r="EZ35" i="20" s="1"/>
  <c r="Y35" i="20"/>
  <c r="BB22" i="20"/>
  <c r="BB414" i="20"/>
  <c r="T406" i="20"/>
  <c r="EG420" i="20"/>
  <c r="DT415" i="20"/>
  <c r="BI415" i="20"/>
  <c r="DT402" i="20"/>
  <c r="BI402" i="20"/>
  <c r="BJ402" i="20" s="1"/>
  <c r="CU399" i="20"/>
  <c r="FG399" i="20"/>
  <c r="BI396" i="20"/>
  <c r="BJ396" i="20" s="1"/>
  <c r="DT396" i="20"/>
  <c r="BH377" i="20"/>
  <c r="BB393" i="20"/>
  <c r="CA379" i="20"/>
  <c r="FY379" i="20"/>
  <c r="GA379" i="20" s="1"/>
  <c r="CS379" i="20" s="1"/>
  <c r="BZ379" i="20"/>
  <c r="BR379" i="20"/>
  <c r="DZ379" i="20" s="1"/>
  <c r="EB379" i="20" s="1"/>
  <c r="DI372" i="20"/>
  <c r="M372" i="20"/>
  <c r="BF372" i="20" s="1"/>
  <c r="CO372" i="20" s="1"/>
  <c r="AX372" i="20"/>
  <c r="CM372" i="20" s="1"/>
  <c r="ET382" i="20"/>
  <c r="EU382" i="20" s="1"/>
  <c r="EV382" i="20" s="1"/>
  <c r="DT376" i="20"/>
  <c r="BI376" i="20"/>
  <c r="DT369" i="20"/>
  <c r="BI369" i="20"/>
  <c r="AX366" i="20"/>
  <c r="CM366" i="20" s="1"/>
  <c r="M366" i="20"/>
  <c r="BF366" i="20" s="1"/>
  <c r="CO366" i="20" s="1"/>
  <c r="DI366" i="20"/>
  <c r="AX360" i="20"/>
  <c r="CM360" i="20" s="1"/>
  <c r="DI360" i="20"/>
  <c r="M360" i="20"/>
  <c r="BF360" i="20" s="1"/>
  <c r="CO360" i="20" s="1"/>
  <c r="DA359" i="20"/>
  <c r="FG359" i="20"/>
  <c r="CU356" i="20"/>
  <c r="FG356" i="20"/>
  <c r="CA372" i="20"/>
  <c r="AL372" i="20"/>
  <c r="BR372" i="20"/>
  <c r="DZ372" i="20" s="1"/>
  <c r="EB372" i="20" s="1"/>
  <c r="FY372" i="20"/>
  <c r="GA372" i="20" s="1"/>
  <c r="CS372" i="20" s="1"/>
  <c r="BZ372" i="20"/>
  <c r="AZ360" i="20"/>
  <c r="ET354" i="20"/>
  <c r="EU354" i="20" s="1"/>
  <c r="EV354" i="20" s="1"/>
  <c r="BB372" i="20"/>
  <c r="CE353" i="20"/>
  <c r="ET358" i="20"/>
  <c r="EU358" i="20" s="1"/>
  <c r="EV358" i="20" s="1"/>
  <c r="DI352" i="20"/>
  <c r="AX352" i="20"/>
  <c r="CM352" i="20" s="1"/>
  <c r="M352" i="20"/>
  <c r="BF352" i="20" s="1"/>
  <c r="CO352" i="20" s="1"/>
  <c r="Y351" i="20"/>
  <c r="AX330" i="20"/>
  <c r="CM330" i="20" s="1"/>
  <c r="M330" i="20"/>
  <c r="BF330" i="20" s="1"/>
  <c r="CO330" i="20" s="1"/>
  <c r="DI330" i="20"/>
  <c r="M342" i="20"/>
  <c r="BF342" i="20" s="1"/>
  <c r="CO342" i="20" s="1"/>
  <c r="AX342" i="20"/>
  <c r="CM342" i="20" s="1"/>
  <c r="DI342" i="20"/>
  <c r="BF358" i="20"/>
  <c r="CO358" i="20" s="1"/>
  <c r="CX329" i="20"/>
  <c r="FI329" i="20"/>
  <c r="AZ333" i="20"/>
  <c r="CA326" i="20"/>
  <c r="FY326" i="20"/>
  <c r="GA326" i="20" s="1"/>
  <c r="CS326" i="20" s="1"/>
  <c r="BZ326" i="20"/>
  <c r="BR326" i="20"/>
  <c r="DZ326" i="20" s="1"/>
  <c r="EB326" i="20" s="1"/>
  <c r="BB331" i="20"/>
  <c r="AZ327" i="20"/>
  <c r="CB348" i="20"/>
  <c r="CI348" i="20" s="1"/>
  <c r="CK348" i="20" s="1"/>
  <c r="CP348" i="20" s="1"/>
  <c r="AY321" i="20"/>
  <c r="BH321" i="20" s="1"/>
  <c r="BB352" i="20"/>
  <c r="AL347" i="20"/>
  <c r="CA334" i="20"/>
  <c r="AL334" i="20"/>
  <c r="BZ334" i="20"/>
  <c r="BR334" i="20"/>
  <c r="DZ334" i="20" s="1"/>
  <c r="EB334" i="20" s="1"/>
  <c r="EH334" i="20" s="1"/>
  <c r="DT355" i="20"/>
  <c r="BI355" i="20"/>
  <c r="AY352" i="20"/>
  <c r="BH352" i="20" s="1"/>
  <c r="CE334" i="20"/>
  <c r="AY331" i="20"/>
  <c r="AZ331" i="20" s="1"/>
  <c r="BI328" i="20"/>
  <c r="DT328" i="20"/>
  <c r="BB342" i="20"/>
  <c r="CI324" i="20"/>
  <c r="CK324" i="20" s="1"/>
  <c r="CP324" i="20" s="1"/>
  <c r="ET317" i="20"/>
  <c r="EU317" i="20" s="1"/>
  <c r="EV317" i="20" s="1"/>
  <c r="CI318" i="20"/>
  <c r="CK318" i="20" s="1"/>
  <c r="CP318" i="20" s="1"/>
  <c r="AY310" i="20"/>
  <c r="AZ310" i="20" s="1"/>
  <c r="GA317" i="20"/>
  <c r="CS317" i="20" s="1"/>
  <c r="FY306" i="20"/>
  <c r="GA306" i="20" s="1"/>
  <c r="CS306" i="20" s="1"/>
  <c r="CA306" i="20"/>
  <c r="AL306" i="20"/>
  <c r="BZ306" i="20"/>
  <c r="BR306" i="20"/>
  <c r="DZ306" i="20" s="1"/>
  <c r="EB306" i="20" s="1"/>
  <c r="FY308" i="20"/>
  <c r="GA308" i="20" s="1"/>
  <c r="CS308" i="20" s="1"/>
  <c r="CA308" i="20"/>
  <c r="AL308" i="20"/>
  <c r="BZ308" i="20"/>
  <c r="BR308" i="20"/>
  <c r="DZ308" i="20" s="1"/>
  <c r="EB308" i="20" s="1"/>
  <c r="DT317" i="20"/>
  <c r="BI317" i="20"/>
  <c r="FG316" i="20"/>
  <c r="DA316" i="20"/>
  <c r="ET312" i="20"/>
  <c r="EU312" i="20" s="1"/>
  <c r="EV312" i="20" s="1"/>
  <c r="ET298" i="20"/>
  <c r="EU298" i="20" s="1"/>
  <c r="EV298" i="20" s="1"/>
  <c r="DI301" i="20"/>
  <c r="M301" i="20"/>
  <c r="BF301" i="20" s="1"/>
  <c r="CO301" i="20" s="1"/>
  <c r="AX301" i="20"/>
  <c r="CM301" i="20" s="1"/>
  <c r="FY291" i="20"/>
  <c r="GA291" i="20" s="1"/>
  <c r="CS291" i="20" s="1"/>
  <c r="AY288" i="20"/>
  <c r="BH288" i="20" s="1"/>
  <c r="FI289" i="20"/>
  <c r="CX289" i="20"/>
  <c r="BI284" i="20"/>
  <c r="DT284" i="20"/>
  <c r="AX276" i="20"/>
  <c r="CM276" i="20" s="1"/>
  <c r="DI276" i="20"/>
  <c r="M276" i="20"/>
  <c r="BF276" i="20" s="1"/>
  <c r="CO276" i="20" s="1"/>
  <c r="FY309" i="20"/>
  <c r="GA309" i="20" s="1"/>
  <c r="CS309" i="20" s="1"/>
  <c r="BH297" i="20"/>
  <c r="CA288" i="20"/>
  <c r="FY288" i="20"/>
  <c r="GA288" i="20" s="1"/>
  <c r="CS288" i="20" s="1"/>
  <c r="BZ288" i="20"/>
  <c r="BR288" i="20"/>
  <c r="DZ288" i="20" s="1"/>
  <c r="EB288" i="20" s="1"/>
  <c r="DI280" i="20"/>
  <c r="M280" i="20"/>
  <c r="BF280" i="20" s="1"/>
  <c r="CO280" i="20" s="1"/>
  <c r="AX280" i="20"/>
  <c r="CM280" i="20" s="1"/>
  <c r="EL286" i="20"/>
  <c r="EK286" i="20" s="1"/>
  <c r="Y286" i="20"/>
  <c r="FG279" i="20"/>
  <c r="CU279" i="20"/>
  <c r="CE277" i="20"/>
  <c r="AX269" i="20"/>
  <c r="CM269" i="20" s="1"/>
  <c r="DI269" i="20"/>
  <c r="M269" i="20"/>
  <c r="BF269" i="20" s="1"/>
  <c r="CO269" i="20" s="1"/>
  <c r="DT288" i="20"/>
  <c r="BI288" i="20"/>
  <c r="CA254" i="20"/>
  <c r="BR254" i="20"/>
  <c r="DZ254" i="20" s="1"/>
  <c r="EB254" i="20" s="1"/>
  <c r="BZ254" i="20"/>
  <c r="FY254" i="20"/>
  <c r="GA254" i="20" s="1"/>
  <c r="CS254" i="20" s="1"/>
  <c r="AY281" i="20"/>
  <c r="AZ281" i="20" s="1"/>
  <c r="CA267" i="20"/>
  <c r="FY267" i="20"/>
  <c r="GA267" i="20" s="1"/>
  <c r="CS267" i="20" s="1"/>
  <c r="BZ267" i="20"/>
  <c r="BR267" i="20"/>
  <c r="DZ267" i="20" s="1"/>
  <c r="EB267" i="20" s="1"/>
  <c r="DA264" i="20"/>
  <c r="FG264" i="20"/>
  <c r="DA262" i="20"/>
  <c r="FG262" i="20"/>
  <c r="BH260" i="20"/>
  <c r="BJ260" i="20" s="1"/>
  <c r="AZ260" i="20"/>
  <c r="AY256" i="20"/>
  <c r="AZ256" i="20" s="1"/>
  <c r="BB269" i="20"/>
  <c r="EU254" i="20"/>
  <c r="EV254" i="20" s="1"/>
  <c r="BH253" i="20"/>
  <c r="FG247" i="20"/>
  <c r="DA247" i="20"/>
  <c r="CB244" i="20"/>
  <c r="CI244" i="20" s="1"/>
  <c r="CK244" i="20" s="1"/>
  <c r="CP244" i="20" s="1"/>
  <c r="AY250" i="20"/>
  <c r="AZ250" i="20" s="1"/>
  <c r="CI248" i="20"/>
  <c r="CK248" i="20" s="1"/>
  <c r="CP248" i="20" s="1"/>
  <c r="BR249" i="20"/>
  <c r="DZ249" i="20" s="1"/>
  <c r="EB249" i="20" s="1"/>
  <c r="EG249" i="20" s="1"/>
  <c r="FY249" i="20"/>
  <c r="GA249" i="20" s="1"/>
  <c r="CS249" i="20" s="1"/>
  <c r="CA249" i="20"/>
  <c r="BZ249" i="20"/>
  <c r="AL249" i="20"/>
  <c r="EG223" i="20"/>
  <c r="EH223" i="20"/>
  <c r="AZ248" i="20"/>
  <c r="BH248" i="20"/>
  <c r="BI234" i="20"/>
  <c r="BJ234" i="20" s="1"/>
  <c r="DT234" i="20"/>
  <c r="AX231" i="20"/>
  <c r="CM231" i="20" s="1"/>
  <c r="M231" i="20"/>
  <c r="DI231" i="20"/>
  <c r="AY270" i="20"/>
  <c r="AZ270" i="20" s="1"/>
  <c r="EG260" i="20"/>
  <c r="DI259" i="20"/>
  <c r="M259" i="20"/>
  <c r="BF259" i="20" s="1"/>
  <c r="CO259" i="20" s="1"/>
  <c r="AX259" i="20"/>
  <c r="CM259" i="20" s="1"/>
  <c r="CU254" i="20"/>
  <c r="FG254" i="20"/>
  <c r="BH239" i="20"/>
  <c r="BJ239" i="20" s="1"/>
  <c r="AZ239" i="20"/>
  <c r="EL237" i="20"/>
  <c r="EK237" i="20" s="1"/>
  <c r="Y237" i="20"/>
  <c r="DM228" i="20"/>
  <c r="EH224" i="20"/>
  <c r="EU233" i="20"/>
  <c r="EV233" i="20" s="1"/>
  <c r="AL189" i="20"/>
  <c r="AT212" i="20"/>
  <c r="DU212" i="20" s="1"/>
  <c r="AJ212" i="20"/>
  <c r="DT232" i="20"/>
  <c r="AX218" i="20"/>
  <c r="DI218" i="20"/>
  <c r="M218" i="20"/>
  <c r="BF218" i="20" s="1"/>
  <c r="BB218" i="20"/>
  <c r="AY215" i="20"/>
  <c r="BH215" i="20" s="1"/>
  <c r="BJ215" i="20" s="1"/>
  <c r="DT243" i="20"/>
  <c r="AX214" i="20"/>
  <c r="M214" i="20"/>
  <c r="DI214" i="20"/>
  <c r="P201" i="20"/>
  <c r="DI201" i="20"/>
  <c r="M201" i="20"/>
  <c r="BF201" i="20" s="1"/>
  <c r="CO201" i="20" s="1"/>
  <c r="AX201" i="20"/>
  <c r="CM201" i="20" s="1"/>
  <c r="AY179" i="20"/>
  <c r="AZ179" i="20" s="1"/>
  <c r="AP216" i="20"/>
  <c r="AQ216" i="20" s="1"/>
  <c r="AT215" i="20"/>
  <c r="DU215" i="20" s="1"/>
  <c r="AY193" i="20"/>
  <c r="BH193" i="20" s="1"/>
  <c r="DT190" i="20"/>
  <c r="EL188" i="20"/>
  <c r="EK188" i="20" s="1"/>
  <c r="Y188" i="20"/>
  <c r="AY178" i="20"/>
  <c r="AZ178" i="20" s="1"/>
  <c r="DM220" i="20"/>
  <c r="P196" i="20"/>
  <c r="M196" i="20"/>
  <c r="BF196" i="20" s="1"/>
  <c r="CO196" i="20" s="1"/>
  <c r="DI196" i="20"/>
  <c r="AX196" i="20"/>
  <c r="CM196" i="20" s="1"/>
  <c r="AL168" i="20"/>
  <c r="AQ168" i="20" s="1"/>
  <c r="EE168" i="20"/>
  <c r="AU163" i="20"/>
  <c r="BF170" i="20"/>
  <c r="CO170" i="20" s="1"/>
  <c r="DM166" i="20"/>
  <c r="DM159" i="20"/>
  <c r="AY152" i="20"/>
  <c r="AZ152" i="20" s="1"/>
  <c r="AR193" i="20"/>
  <c r="DM167" i="20"/>
  <c r="FJ144" i="20"/>
  <c r="DC144" i="20"/>
  <c r="AY159" i="20"/>
  <c r="BH159" i="20" s="1"/>
  <c r="AY165" i="20"/>
  <c r="BH165" i="20" s="1"/>
  <c r="BJ165" i="20" s="1"/>
  <c r="AZ206" i="20"/>
  <c r="BF172" i="20"/>
  <c r="CO172" i="20" s="1"/>
  <c r="DT167" i="20"/>
  <c r="ET165" i="20"/>
  <c r="EU165" i="20" s="1"/>
  <c r="EV165" i="20" s="1"/>
  <c r="ET145" i="20"/>
  <c r="EU145" i="20" s="1"/>
  <c r="EV145" i="20" s="1"/>
  <c r="EZ145" i="20"/>
  <c r="ET155" i="20"/>
  <c r="EU155" i="20" s="1"/>
  <c r="EV155" i="20" s="1"/>
  <c r="BP150" i="20"/>
  <c r="EI150" i="20" s="1"/>
  <c r="EH150" i="20" s="1"/>
  <c r="DA148" i="20"/>
  <c r="FG148" i="20"/>
  <c r="EY138" i="20"/>
  <c r="BE120" i="20"/>
  <c r="BF120" i="20" s="1"/>
  <c r="CO120" i="20" s="1"/>
  <c r="FY120" i="20"/>
  <c r="GA120" i="20" s="1"/>
  <c r="CS120" i="20" s="1"/>
  <c r="CD120" i="20"/>
  <c r="CE120" i="20" s="1"/>
  <c r="CI120" i="20" s="1"/>
  <c r="CK120" i="20" s="1"/>
  <c r="CP120" i="20" s="1"/>
  <c r="FG97" i="20"/>
  <c r="CU97" i="20"/>
  <c r="CU93" i="20"/>
  <c r="FG93" i="20"/>
  <c r="AY134" i="20"/>
  <c r="BP126" i="20"/>
  <c r="EI126" i="20" s="1"/>
  <c r="EH126" i="20" s="1"/>
  <c r="FI122" i="20"/>
  <c r="DD122" i="20"/>
  <c r="DT116" i="20"/>
  <c r="DT112" i="20"/>
  <c r="DT103" i="20"/>
  <c r="ET97" i="20"/>
  <c r="EU97" i="20" s="1"/>
  <c r="EV97" i="20" s="1"/>
  <c r="AX133" i="20"/>
  <c r="CM133" i="20" s="1"/>
  <c r="DJ133" i="20"/>
  <c r="BP138" i="20"/>
  <c r="EI138" i="20" s="1"/>
  <c r="EH138" i="20" s="1"/>
  <c r="FG120" i="20"/>
  <c r="DA120" i="20"/>
  <c r="ET95" i="20"/>
  <c r="EU95" i="20" s="1"/>
  <c r="EV95" i="20" s="1"/>
  <c r="CU77" i="20"/>
  <c r="FG77" i="20"/>
  <c r="DT118" i="20"/>
  <c r="M100" i="20"/>
  <c r="DJ100" i="20"/>
  <c r="EY100" i="20" s="1"/>
  <c r="AX100" i="20"/>
  <c r="BB100" i="20"/>
  <c r="EH85" i="20"/>
  <c r="EL82" i="20"/>
  <c r="EK82" i="20" s="1"/>
  <c r="Y82" i="20"/>
  <c r="DT73" i="20"/>
  <c r="AL134" i="20"/>
  <c r="EZ122" i="20"/>
  <c r="EU106" i="20"/>
  <c r="EV106" i="20" s="1"/>
  <c r="DT87" i="20"/>
  <c r="EB118" i="20"/>
  <c r="BR103" i="20"/>
  <c r="DZ103" i="20" s="1"/>
  <c r="EB103" i="20" s="1"/>
  <c r="T103" i="20"/>
  <c r="FY103" i="20"/>
  <c r="GA103" i="20" s="1"/>
  <c r="CA103" i="20"/>
  <c r="BK103" i="20"/>
  <c r="BZ103" i="20"/>
  <c r="AM93" i="20"/>
  <c r="AL93" i="20"/>
  <c r="BE54" i="20"/>
  <c r="BF54" i="20" s="1"/>
  <c r="CO54" i="20" s="1"/>
  <c r="EY142" i="20"/>
  <c r="EZ142" i="20" s="1"/>
  <c r="FI92" i="20"/>
  <c r="CX92" i="20"/>
  <c r="ET85" i="20"/>
  <c r="EU85" i="20" s="1"/>
  <c r="EV85" i="20" s="1"/>
  <c r="EZ85" i="20"/>
  <c r="EG76" i="20"/>
  <c r="CB67" i="20"/>
  <c r="CI67" i="20" s="1"/>
  <c r="CK67" i="20" s="1"/>
  <c r="CP67" i="20" s="1"/>
  <c r="FI125" i="20"/>
  <c r="CX125" i="20"/>
  <c r="AZ91" i="20"/>
  <c r="BE91" i="20"/>
  <c r="BF91" i="20" s="1"/>
  <c r="CO91" i="20" s="1"/>
  <c r="Y88" i="20"/>
  <c r="EL88" i="20"/>
  <c r="EK88" i="20" s="1"/>
  <c r="EY88" i="20" s="1"/>
  <c r="EZ88" i="20" s="1"/>
  <c r="DT80" i="20"/>
  <c r="DT69" i="20"/>
  <c r="AZ56" i="20"/>
  <c r="BE56" i="20"/>
  <c r="BF56" i="20" s="1"/>
  <c r="CO56" i="20" s="1"/>
  <c r="BE52" i="20"/>
  <c r="BF52" i="20" s="1"/>
  <c r="CO52" i="20" s="1"/>
  <c r="AL135" i="20"/>
  <c r="EY118" i="20"/>
  <c r="EZ118" i="20" s="1"/>
  <c r="AM94" i="20"/>
  <c r="BL88" i="20"/>
  <c r="BN88" i="20" s="1"/>
  <c r="CB65" i="20"/>
  <c r="CI65" i="20" s="1"/>
  <c r="CK65" i="20" s="1"/>
  <c r="CP65" i="20" s="1"/>
  <c r="AZ107" i="20"/>
  <c r="BC107" i="20" s="1"/>
  <c r="DJ95" i="20"/>
  <c r="EY95" i="20" s="1"/>
  <c r="AX95" i="20"/>
  <c r="CM95" i="20" s="1"/>
  <c r="M95" i="20"/>
  <c r="BB95" i="20"/>
  <c r="DT78" i="20"/>
  <c r="ET62" i="20"/>
  <c r="EU62" i="20" s="1"/>
  <c r="EV62" i="20" s="1"/>
  <c r="FI66" i="20"/>
  <c r="CX66" i="20"/>
  <c r="DP48" i="20"/>
  <c r="DO48" i="20"/>
  <c r="ET25" i="20"/>
  <c r="EU25" i="20" s="1"/>
  <c r="EV25" i="20" s="1"/>
  <c r="EG64" i="20"/>
  <c r="EL44" i="20"/>
  <c r="EK44" i="20" s="1"/>
  <c r="Y44" i="20"/>
  <c r="BC41" i="20"/>
  <c r="ET36" i="20"/>
  <c r="EU36" i="20" s="1"/>
  <c r="EV36" i="20" s="1"/>
  <c r="DM41" i="20"/>
  <c r="BM25" i="20"/>
  <c r="BL25" i="20"/>
  <c r="BN25" i="20" s="1"/>
  <c r="DM80" i="20"/>
  <c r="AM25" i="20"/>
  <c r="AL25" i="20"/>
  <c r="BO66" i="20"/>
  <c r="BP66" i="20" s="1"/>
  <c r="EI66" i="20" s="1"/>
  <c r="EY48" i="20"/>
  <c r="EZ48" i="20" s="1"/>
  <c r="EN37" i="20"/>
  <c r="ET37" i="20"/>
  <c r="EU37" i="20" s="1"/>
  <c r="EV37" i="20" s="1"/>
  <c r="EZ32" i="20"/>
  <c r="ET32" i="20"/>
  <c r="EU32" i="20" s="1"/>
  <c r="EV32" i="20" s="1"/>
  <c r="DJ30" i="20"/>
  <c r="AX30" i="20"/>
  <c r="M30" i="20"/>
  <c r="BF30" i="20" s="1"/>
  <c r="Y21" i="20"/>
  <c r="EL21" i="20"/>
  <c r="EK21" i="20" s="1"/>
  <c r="EY21" i="20" s="1"/>
  <c r="EZ21" i="20" s="1"/>
  <c r="DP42" i="20"/>
  <c r="DO42" i="20"/>
  <c r="BC33" i="20"/>
  <c r="EL23" i="20"/>
  <c r="EK23" i="20" s="1"/>
  <c r="Y23" i="20"/>
  <c r="Y20" i="20"/>
  <c r="EL20" i="20"/>
  <c r="EK20" i="20" s="1"/>
  <c r="DM36" i="20"/>
  <c r="DO31" i="20"/>
  <c r="DP31" i="20"/>
  <c r="DP19" i="20"/>
  <c r="DO19" i="20"/>
  <c r="CA406" i="20"/>
  <c r="BZ406" i="20"/>
  <c r="BR406" i="20"/>
  <c r="DZ406" i="20" s="1"/>
  <c r="EB406" i="20" s="1"/>
  <c r="DI390" i="20"/>
  <c r="M390" i="20"/>
  <c r="BF390" i="20" s="1"/>
  <c r="CO390" i="20" s="1"/>
  <c r="AX390" i="20"/>
  <c r="CM390" i="20" s="1"/>
  <c r="FY393" i="20"/>
  <c r="GA393" i="20" s="1"/>
  <c r="CS393" i="20" s="1"/>
  <c r="BZ393" i="20"/>
  <c r="CA393" i="20"/>
  <c r="BR393" i="20"/>
  <c r="DZ393" i="20" s="1"/>
  <c r="EB393" i="20" s="1"/>
  <c r="EH393" i="20" s="1"/>
  <c r="AL393" i="20"/>
  <c r="DT383" i="20"/>
  <c r="BI383" i="20"/>
  <c r="BI390" i="20"/>
  <c r="DT390" i="20"/>
  <c r="CA376" i="20"/>
  <c r="BR376" i="20"/>
  <c r="DZ376" i="20" s="1"/>
  <c r="EB376" i="20" s="1"/>
  <c r="EG376" i="20" s="1"/>
  <c r="BZ376" i="20"/>
  <c r="DT372" i="20"/>
  <c r="BI372" i="20"/>
  <c r="AY387" i="20"/>
  <c r="DI378" i="20"/>
  <c r="AX378" i="20"/>
  <c r="CM378" i="20" s="1"/>
  <c r="M378" i="20"/>
  <c r="BF378" i="20" s="1"/>
  <c r="CO378" i="20" s="1"/>
  <c r="ET371" i="20"/>
  <c r="EU371" i="20" s="1"/>
  <c r="EV371" i="20" s="1"/>
  <c r="BF374" i="20"/>
  <c r="CO374" i="20" s="1"/>
  <c r="BI362" i="20"/>
  <c r="DT362" i="20"/>
  <c r="BI370" i="20"/>
  <c r="DT370" i="20"/>
  <c r="CA353" i="20"/>
  <c r="BZ353" i="20"/>
  <c r="BR353" i="20"/>
  <c r="DZ353" i="20" s="1"/>
  <c r="EB353" i="20" s="1"/>
  <c r="AL353" i="20"/>
  <c r="T353" i="20"/>
  <c r="CE355" i="20"/>
  <c r="BF345" i="20"/>
  <c r="CO345" i="20" s="1"/>
  <c r="CX351" i="20"/>
  <c r="FI351" i="20"/>
  <c r="CA344" i="20"/>
  <c r="FY344" i="20"/>
  <c r="GA344" i="20" s="1"/>
  <c r="CS344" i="20" s="1"/>
  <c r="BZ344" i="20"/>
  <c r="BR344" i="20"/>
  <c r="DZ344" i="20" s="1"/>
  <c r="EB344" i="20" s="1"/>
  <c r="DI326" i="20"/>
  <c r="AX326" i="20"/>
  <c r="CM326" i="20" s="1"/>
  <c r="M326" i="20"/>
  <c r="BF326" i="20" s="1"/>
  <c r="CO326" i="20" s="1"/>
  <c r="BF334" i="20"/>
  <c r="CO334" i="20" s="1"/>
  <c r="EG350" i="20"/>
  <c r="Y336" i="20"/>
  <c r="Y329" i="20"/>
  <c r="DI327" i="20"/>
  <c r="M327" i="20"/>
  <c r="BF327" i="20" s="1"/>
  <c r="CO327" i="20" s="1"/>
  <c r="AX327" i="20"/>
  <c r="CM327" i="20" s="1"/>
  <c r="CU324" i="20"/>
  <c r="FG324" i="20"/>
  <c r="CX360" i="20"/>
  <c r="FI360" i="20"/>
  <c r="BB327" i="20"/>
  <c r="FJ300" i="20"/>
  <c r="CI325" i="20"/>
  <c r="CK325" i="20" s="1"/>
  <c r="CP325" i="20" s="1"/>
  <c r="DT316" i="20"/>
  <c r="BI316" i="20"/>
  <c r="CA305" i="20"/>
  <c r="AL305" i="20"/>
  <c r="BZ305" i="20"/>
  <c r="BR305" i="20"/>
  <c r="DZ305" i="20" s="1"/>
  <c r="EB305" i="20" s="1"/>
  <c r="CA310" i="20"/>
  <c r="AL310" i="20"/>
  <c r="BZ310" i="20"/>
  <c r="BR310" i="20"/>
  <c r="DZ310" i="20" s="1"/>
  <c r="EB310" i="20" s="1"/>
  <c r="AX308" i="20"/>
  <c r="CM308" i="20" s="1"/>
  <c r="M308" i="20"/>
  <c r="BF308" i="20" s="1"/>
  <c r="CO308" i="20" s="1"/>
  <c r="DI308" i="20"/>
  <c r="BI293" i="20"/>
  <c r="DT293" i="20"/>
  <c r="CE309" i="20"/>
  <c r="AY296" i="20"/>
  <c r="BH296" i="20" s="1"/>
  <c r="FY310" i="20"/>
  <c r="GA310" i="20" s="1"/>
  <c r="CS310" i="20" s="1"/>
  <c r="CI293" i="20"/>
  <c r="CA279" i="20"/>
  <c r="FY279" i="20"/>
  <c r="GA279" i="20" s="1"/>
  <c r="CS279" i="20" s="1"/>
  <c r="BZ279" i="20"/>
  <c r="BR279" i="20"/>
  <c r="DZ279" i="20" s="1"/>
  <c r="EB279" i="20" s="1"/>
  <c r="AY295" i="20"/>
  <c r="BH295" i="20" s="1"/>
  <c r="BJ295" i="20" s="1"/>
  <c r="ET289" i="20"/>
  <c r="EU289" i="20" s="1"/>
  <c r="EV289" i="20" s="1"/>
  <c r="M288" i="20"/>
  <c r="BF288" i="20" s="1"/>
  <c r="CO288" i="20" s="1"/>
  <c r="DI288" i="20"/>
  <c r="AX288" i="20"/>
  <c r="CM288" i="20" s="1"/>
  <c r="DA273" i="20"/>
  <c r="FG273" i="20"/>
  <c r="EB314" i="20"/>
  <c r="M294" i="20"/>
  <c r="BF294" i="20" s="1"/>
  <c r="CO294" i="20" s="1"/>
  <c r="AX294" i="20"/>
  <c r="CM294" i="20" s="1"/>
  <c r="DI294" i="20"/>
  <c r="DD278" i="20"/>
  <c r="FI278" i="20"/>
  <c r="DT298" i="20"/>
  <c r="BI298" i="20"/>
  <c r="CI313" i="20"/>
  <c r="AY287" i="20"/>
  <c r="AZ287" i="20" s="1"/>
  <c r="CI275" i="20"/>
  <c r="CK275" i="20" s="1"/>
  <c r="CP275" i="20" s="1"/>
  <c r="BI259" i="20"/>
  <c r="DT259" i="20"/>
  <c r="CA262" i="20"/>
  <c r="BR262" i="20"/>
  <c r="DZ262" i="20" s="1"/>
  <c r="EB262" i="20" s="1"/>
  <c r="FY262" i="20"/>
  <c r="GA262" i="20" s="1"/>
  <c r="CS262" i="20" s="1"/>
  <c r="BZ262" i="20"/>
  <c r="FI247" i="20"/>
  <c r="DD247" i="20"/>
  <c r="EB274" i="20"/>
  <c r="FY257" i="20"/>
  <c r="GA257" i="20" s="1"/>
  <c r="CS257" i="20" s="1"/>
  <c r="DI267" i="20"/>
  <c r="M267" i="20"/>
  <c r="BF267" i="20" s="1"/>
  <c r="CO267" i="20" s="1"/>
  <c r="BB267" i="20"/>
  <c r="AX267" i="20"/>
  <c r="CM267" i="20" s="1"/>
  <c r="DA253" i="20"/>
  <c r="FG253" i="20"/>
  <c r="FI272" i="20"/>
  <c r="CX272" i="20"/>
  <c r="EB258" i="20"/>
  <c r="DM246" i="20"/>
  <c r="DI237" i="20"/>
  <c r="AX237" i="20"/>
  <c r="CM237" i="20" s="1"/>
  <c r="M237" i="20"/>
  <c r="DM242" i="20"/>
  <c r="ET236" i="20"/>
  <c r="EU236" i="20" s="1"/>
  <c r="EV236" i="20" s="1"/>
  <c r="AY267" i="20"/>
  <c r="AZ267" i="20" s="1"/>
  <c r="DA245" i="20"/>
  <c r="FG245" i="20"/>
  <c r="AL269" i="20"/>
  <c r="AY228" i="20"/>
  <c r="BH228" i="20" s="1"/>
  <c r="BJ228" i="20" s="1"/>
  <c r="AY243" i="20"/>
  <c r="AZ243" i="20" s="1"/>
  <c r="EL203" i="20"/>
  <c r="EK203" i="20" s="1"/>
  <c r="Y203" i="20"/>
  <c r="CB215" i="20"/>
  <c r="CI215" i="20" s="1"/>
  <c r="CK215" i="20" s="1"/>
  <c r="DT223" i="20"/>
  <c r="BI223" i="20"/>
  <c r="M220" i="20"/>
  <c r="BF220" i="20" s="1"/>
  <c r="CO220" i="20" s="1"/>
  <c r="BB220" i="20"/>
  <c r="AX220" i="20"/>
  <c r="CM220" i="20" s="1"/>
  <c r="DI220" i="20"/>
  <c r="AY199" i="20"/>
  <c r="AZ199" i="20" s="1"/>
  <c r="Y207" i="20"/>
  <c r="EL207" i="20"/>
  <c r="EK207" i="20" s="1"/>
  <c r="DT225" i="20"/>
  <c r="EH227" i="20"/>
  <c r="EG227" i="20"/>
  <c r="DT200" i="20"/>
  <c r="BI200" i="20"/>
  <c r="AY203" i="20"/>
  <c r="AZ203" i="20" s="1"/>
  <c r="AT196" i="20"/>
  <c r="DU196" i="20" s="1"/>
  <c r="DN196" i="20" s="1"/>
  <c r="AP197" i="20"/>
  <c r="DT191" i="20"/>
  <c r="M194" i="20"/>
  <c r="BF194" i="20" s="1"/>
  <c r="CO194" i="20" s="1"/>
  <c r="P194" i="20"/>
  <c r="DY194" i="20" s="1"/>
  <c r="AX194" i="20"/>
  <c r="CM194" i="20" s="1"/>
  <c r="DI194" i="20"/>
  <c r="BB194" i="20"/>
  <c r="AL185" i="20"/>
  <c r="EE185" i="20"/>
  <c r="ED185" i="20" s="1"/>
  <c r="CR185" i="20" s="1"/>
  <c r="BC213" i="20"/>
  <c r="T202" i="20"/>
  <c r="AY202" i="20" s="1"/>
  <c r="AZ180" i="20"/>
  <c r="BH180" i="20"/>
  <c r="BJ180" i="20" s="1"/>
  <c r="AY171" i="20"/>
  <c r="BH171" i="20" s="1"/>
  <c r="BB201" i="20"/>
  <c r="BC201" i="20" s="1"/>
  <c r="CN201" i="20" s="1"/>
  <c r="BI225" i="20"/>
  <c r="DT196" i="20"/>
  <c r="BF189" i="20"/>
  <c r="CO189" i="20" s="1"/>
  <c r="CB177" i="20"/>
  <c r="CI177" i="20" s="1"/>
  <c r="CK177" i="20" s="1"/>
  <c r="CP177" i="20" s="1"/>
  <c r="Y159" i="20"/>
  <c r="EL159" i="20"/>
  <c r="EK159" i="20" s="1"/>
  <c r="ET146" i="20"/>
  <c r="EU146" i="20" s="1"/>
  <c r="EV146" i="20" s="1"/>
  <c r="AY182" i="20"/>
  <c r="AZ182" i="20" s="1"/>
  <c r="DT168" i="20"/>
  <c r="DT171" i="20"/>
  <c r="BI171" i="20"/>
  <c r="DT151" i="20"/>
  <c r="FG149" i="20"/>
  <c r="DA149" i="20"/>
  <c r="CU165" i="20"/>
  <c r="FG165" i="20"/>
  <c r="BF165" i="20"/>
  <c r="CO165" i="20" s="1"/>
  <c r="DM186" i="20"/>
  <c r="AL169" i="20"/>
  <c r="EM163" i="20"/>
  <c r="EP163" i="20" s="1"/>
  <c r="EQ163" i="20" s="1"/>
  <c r="ET154" i="20"/>
  <c r="EU154" i="20" s="1"/>
  <c r="EV154" i="20" s="1"/>
  <c r="BM143" i="20"/>
  <c r="BL143" i="20"/>
  <c r="BN143" i="20" s="1"/>
  <c r="DJ140" i="20"/>
  <c r="EY140" i="20" s="1"/>
  <c r="AX140" i="20"/>
  <c r="CM140" i="20" s="1"/>
  <c r="BM122" i="20"/>
  <c r="BL122" i="20"/>
  <c r="BN122" i="20" s="1"/>
  <c r="BE87" i="20"/>
  <c r="BF87" i="20" s="1"/>
  <c r="CO87" i="20" s="1"/>
  <c r="FI149" i="20"/>
  <c r="DD149" i="20"/>
  <c r="FG118" i="20"/>
  <c r="DA118" i="20"/>
  <c r="BO133" i="20"/>
  <c r="BP133" i="20" s="1"/>
  <c r="EI133" i="20" s="1"/>
  <c r="EH133" i="20" s="1"/>
  <c r="FI131" i="20"/>
  <c r="CX131" i="20"/>
  <c r="AT104" i="20"/>
  <c r="DU104" i="20" s="1"/>
  <c r="AM104" i="20"/>
  <c r="BL134" i="20"/>
  <c r="BN134" i="20" s="1"/>
  <c r="Q111" i="20"/>
  <c r="AY139" i="20"/>
  <c r="AZ139" i="20" s="1"/>
  <c r="AZ141" i="20"/>
  <c r="BL137" i="20"/>
  <c r="BN137" i="20" s="1"/>
  <c r="FJ136" i="20"/>
  <c r="BM124" i="20"/>
  <c r="BL124" i="20"/>
  <c r="BN124" i="20" s="1"/>
  <c r="AT106" i="20"/>
  <c r="DU106" i="20" s="1"/>
  <c r="CU66" i="20"/>
  <c r="FG66" i="20"/>
  <c r="GA136" i="20"/>
  <c r="CS136" i="20" s="1"/>
  <c r="FI124" i="20"/>
  <c r="CX124" i="20"/>
  <c r="GA117" i="20"/>
  <c r="BE88" i="20"/>
  <c r="BF88" i="20" s="1"/>
  <c r="CO88" i="20" s="1"/>
  <c r="FI80" i="20"/>
  <c r="CX80" i="20"/>
  <c r="BB131" i="20"/>
  <c r="BC131" i="20" s="1"/>
  <c r="CN131" i="20" s="1"/>
  <c r="AQ105" i="20"/>
  <c r="FG101" i="20"/>
  <c r="CU101" i="20"/>
  <c r="AL112" i="20"/>
  <c r="BE93" i="20"/>
  <c r="BF93" i="20" s="1"/>
  <c r="CO93" i="20" s="1"/>
  <c r="AY93" i="20"/>
  <c r="AZ93" i="20" s="1"/>
  <c r="EL53" i="20"/>
  <c r="Y53" i="20"/>
  <c r="BO140" i="20"/>
  <c r="BP140" i="20" s="1"/>
  <c r="EI140" i="20" s="1"/>
  <c r="EH140" i="20" s="1"/>
  <c r="AZ114" i="20"/>
  <c r="AY73" i="20"/>
  <c r="AZ73" i="20" s="1"/>
  <c r="EZ65" i="20"/>
  <c r="CB54" i="20"/>
  <c r="CI54" i="20" s="1"/>
  <c r="CK54" i="20" s="1"/>
  <c r="CP54" i="20" s="1"/>
  <c r="CA99" i="20"/>
  <c r="BK99" i="20"/>
  <c r="BR99" i="20"/>
  <c r="DZ99" i="20" s="1"/>
  <c r="EB99" i="20" s="1"/>
  <c r="T99" i="20"/>
  <c r="AY99" i="20" s="1"/>
  <c r="FY99" i="20"/>
  <c r="GA99" i="20" s="1"/>
  <c r="BZ99" i="20"/>
  <c r="BL91" i="20"/>
  <c r="BN91" i="20" s="1"/>
  <c r="BE65" i="20"/>
  <c r="BF65" i="20" s="1"/>
  <c r="CO65" i="20" s="1"/>
  <c r="FI55" i="20"/>
  <c r="CX55" i="20"/>
  <c r="BL132" i="20"/>
  <c r="BN132" i="20" s="1"/>
  <c r="ET87" i="20"/>
  <c r="EU87" i="20" s="1"/>
  <c r="EV87" i="20" s="1"/>
  <c r="AY74" i="20"/>
  <c r="BB137" i="20"/>
  <c r="BL119" i="20"/>
  <c r="BN119" i="20" s="1"/>
  <c r="BM110" i="20"/>
  <c r="BO110" i="20" s="1"/>
  <c r="BP110" i="20" s="1"/>
  <c r="EI110" i="20" s="1"/>
  <c r="EH110" i="20" s="1"/>
  <c r="BM107" i="20"/>
  <c r="BO107" i="20" s="1"/>
  <c r="BP107" i="20" s="1"/>
  <c r="EI107" i="20" s="1"/>
  <c r="EH107" i="20" s="1"/>
  <c r="EL98" i="20"/>
  <c r="EK98" i="20" s="1"/>
  <c r="Y98" i="20"/>
  <c r="EB94" i="20"/>
  <c r="EH94" i="20" s="1"/>
  <c r="EL72" i="20"/>
  <c r="EK72" i="20" s="1"/>
  <c r="EY72" i="20" s="1"/>
  <c r="EZ72" i="20" s="1"/>
  <c r="Y72" i="20"/>
  <c r="EH69" i="20"/>
  <c r="DM73" i="20"/>
  <c r="DT65" i="20"/>
  <c r="ET54" i="20"/>
  <c r="EU54" i="20" s="1"/>
  <c r="EV54" i="20" s="1"/>
  <c r="FX53" i="20"/>
  <c r="GA53" i="20" s="1"/>
  <c r="CS53" i="20" s="1"/>
  <c r="CA53" i="20"/>
  <c r="BK53" i="20"/>
  <c r="AN53" i="20"/>
  <c r="BZ53" i="20"/>
  <c r="BR53" i="20"/>
  <c r="DZ53" i="20" s="1"/>
  <c r="EB53" i="20" s="1"/>
  <c r="BM37" i="20"/>
  <c r="BL37" i="20"/>
  <c r="BN37" i="20" s="1"/>
  <c r="BM43" i="20"/>
  <c r="BL43" i="20"/>
  <c r="BN43" i="20" s="1"/>
  <c r="EH54" i="20"/>
  <c r="DM37" i="20"/>
  <c r="EH74" i="20"/>
  <c r="AX43" i="20"/>
  <c r="M43" i="20"/>
  <c r="BF43" i="20" s="1"/>
  <c r="DJ43" i="20"/>
  <c r="BM30" i="20"/>
  <c r="BL30" i="20"/>
  <c r="BN30" i="20" s="1"/>
  <c r="AY87" i="20"/>
  <c r="AZ87" i="20" s="1"/>
  <c r="EZ69" i="20"/>
  <c r="DM47" i="20"/>
  <c r="AX29" i="20"/>
  <c r="M29" i="20"/>
  <c r="BF29" i="20" s="1"/>
  <c r="DJ29" i="20"/>
  <c r="EY29" i="20" s="1"/>
  <c r="FG59" i="20"/>
  <c r="CU59" i="20"/>
  <c r="DM50" i="20"/>
  <c r="BM78" i="20"/>
  <c r="BO78" i="20" s="1"/>
  <c r="BP78" i="20" s="1"/>
  <c r="EI78" i="20" s="1"/>
  <c r="EH58" i="20"/>
  <c r="DT54" i="20"/>
  <c r="BF36" i="20"/>
  <c r="BO36" i="20"/>
  <c r="BP36" i="20" s="1"/>
  <c r="EI36" i="20" s="1"/>
  <c r="BB30" i="20"/>
  <c r="BC30" i="20" s="1"/>
  <c r="AU20" i="20"/>
  <c r="DT428" i="20"/>
  <c r="BI428" i="20"/>
  <c r="BJ428" i="20" s="1"/>
  <c r="AX423" i="20"/>
  <c r="CM423" i="20" s="1"/>
  <c r="DI423" i="20"/>
  <c r="M423" i="20"/>
  <c r="BF423" i="20" s="1"/>
  <c r="CO423" i="20" s="1"/>
  <c r="DA415" i="20"/>
  <c r="FG415" i="20"/>
  <c r="EH425" i="20"/>
  <c r="EG425" i="20"/>
  <c r="FY419" i="20"/>
  <c r="GA419" i="20" s="1"/>
  <c r="CS419" i="20" s="1"/>
  <c r="BZ419" i="20"/>
  <c r="AL419" i="20"/>
  <c r="CA419" i="20"/>
  <c r="BR419" i="20"/>
  <c r="DZ419" i="20" s="1"/>
  <c r="EB419" i="20" s="1"/>
  <c r="EG419" i="20" s="1"/>
  <c r="BR424" i="20"/>
  <c r="DZ424" i="20" s="1"/>
  <c r="EB424" i="20" s="1"/>
  <c r="AL424" i="20"/>
  <c r="T424" i="20"/>
  <c r="AY424" i="20" s="1"/>
  <c r="FY424" i="20"/>
  <c r="GA424" i="20" s="1"/>
  <c r="CS424" i="20" s="1"/>
  <c r="CA424" i="20"/>
  <c r="BZ424" i="20"/>
  <c r="FY423" i="20"/>
  <c r="GA423" i="20" s="1"/>
  <c r="CS423" i="20" s="1"/>
  <c r="BZ423" i="20"/>
  <c r="BR423" i="20"/>
  <c r="DZ423" i="20" s="1"/>
  <c r="EB423" i="20" s="1"/>
  <c r="EH423" i="20" s="1"/>
  <c r="CA423" i="20"/>
  <c r="BI411" i="20"/>
  <c r="DT411" i="20"/>
  <c r="FI408" i="20"/>
  <c r="CX408" i="20"/>
  <c r="BJ398" i="20"/>
  <c r="EB399" i="20"/>
  <c r="BI400" i="20"/>
  <c r="DT400" i="20"/>
  <c r="ET398" i="20"/>
  <c r="EU398" i="20" s="1"/>
  <c r="EV398" i="20" s="1"/>
  <c r="FI383" i="20"/>
  <c r="DD383" i="20"/>
  <c r="DT377" i="20"/>
  <c r="BI377" i="20"/>
  <c r="CA390" i="20"/>
  <c r="BZ390" i="20"/>
  <c r="BR390" i="20"/>
  <c r="DZ390" i="20" s="1"/>
  <c r="EB390" i="20" s="1"/>
  <c r="EH390" i="20" s="1"/>
  <c r="EG389" i="20"/>
  <c r="AX381" i="20"/>
  <c r="CM381" i="20" s="1"/>
  <c r="M381" i="20"/>
  <c r="BF381" i="20" s="1"/>
  <c r="CO381" i="20" s="1"/>
  <c r="DI381" i="20"/>
  <c r="DD367" i="20"/>
  <c r="FI367" i="20"/>
  <c r="AZ377" i="20"/>
  <c r="Y366" i="20"/>
  <c r="FI365" i="20"/>
  <c r="DD365" i="20"/>
  <c r="BF370" i="20"/>
  <c r="CO370" i="20" s="1"/>
  <c r="CB363" i="20"/>
  <c r="CI363" i="20" s="1"/>
  <c r="T376" i="20"/>
  <c r="FY376" i="20"/>
  <c r="GA376" i="20" s="1"/>
  <c r="CS376" i="20" s="1"/>
  <c r="EH366" i="20"/>
  <c r="AZ357" i="20"/>
  <c r="CI357" i="20"/>
  <c r="CK357" i="20" s="1"/>
  <c r="CP357" i="20" s="1"/>
  <c r="BR358" i="20"/>
  <c r="DZ358" i="20" s="1"/>
  <c r="EB358" i="20" s="1"/>
  <c r="FY358" i="20"/>
  <c r="GA358" i="20" s="1"/>
  <c r="CS358" i="20" s="1"/>
  <c r="BZ358" i="20"/>
  <c r="CA358" i="20"/>
  <c r="T358" i="20"/>
  <c r="AL358" i="20"/>
  <c r="DT345" i="20"/>
  <c r="BI345" i="20"/>
  <c r="BB360" i="20"/>
  <c r="BH357" i="20"/>
  <c r="BI356" i="20"/>
  <c r="DT356" i="20"/>
  <c r="ET357" i="20"/>
  <c r="EU357" i="20" s="1"/>
  <c r="EV357" i="20" s="1"/>
  <c r="ET353" i="20"/>
  <c r="EU353" i="20" s="1"/>
  <c r="EV353" i="20" s="1"/>
  <c r="CA341" i="20"/>
  <c r="BZ341" i="20"/>
  <c r="BR341" i="20"/>
  <c r="DZ341" i="20" s="1"/>
  <c r="EB341" i="20" s="1"/>
  <c r="BF338" i="20"/>
  <c r="CO338" i="20" s="1"/>
  <c r="BI338" i="20"/>
  <c r="DT338" i="20"/>
  <c r="ET334" i="20"/>
  <c r="EU334" i="20" s="1"/>
  <c r="EV334" i="20" s="1"/>
  <c r="BI350" i="20"/>
  <c r="DT350" i="20"/>
  <c r="BH332" i="20"/>
  <c r="BJ332" i="20" s="1"/>
  <c r="DT343" i="20"/>
  <c r="BI343" i="20"/>
  <c r="CB338" i="20"/>
  <c r="CI338" i="20" s="1"/>
  <c r="CK338" i="20" s="1"/>
  <c r="CP338" i="20" s="1"/>
  <c r="AX333" i="20"/>
  <c r="CM333" i="20" s="1"/>
  <c r="M333" i="20"/>
  <c r="BF333" i="20" s="1"/>
  <c r="CO333" i="20" s="1"/>
  <c r="DI333" i="20"/>
  <c r="BB330" i="20"/>
  <c r="AY326" i="20"/>
  <c r="BH326" i="20" s="1"/>
  <c r="AY319" i="20"/>
  <c r="AZ319" i="20" s="1"/>
  <c r="AY325" i="20"/>
  <c r="AZ325" i="20" s="1"/>
  <c r="DI321" i="20"/>
  <c r="M321" i="20"/>
  <c r="BF321" i="20" s="1"/>
  <c r="CO321" i="20" s="1"/>
  <c r="AX321" i="20"/>
  <c r="CM321" i="20" s="1"/>
  <c r="DA317" i="20"/>
  <c r="FG317" i="20"/>
  <c r="DI310" i="20"/>
  <c r="M310" i="20"/>
  <c r="BF310" i="20" s="1"/>
  <c r="CO310" i="20" s="1"/>
  <c r="AX310" i="20"/>
  <c r="CM310" i="20" s="1"/>
  <c r="DM292" i="20"/>
  <c r="AY312" i="20"/>
  <c r="EL305" i="20"/>
  <c r="EK305" i="20" s="1"/>
  <c r="Y305" i="20"/>
  <c r="AY293" i="20"/>
  <c r="AZ293" i="20" s="1"/>
  <c r="DD293" i="20"/>
  <c r="FI293" i="20"/>
  <c r="AY311" i="20"/>
  <c r="BH311" i="20" s="1"/>
  <c r="BJ311" i="20" s="1"/>
  <c r="CA287" i="20"/>
  <c r="FY287" i="20"/>
  <c r="GA287" i="20" s="1"/>
  <c r="CS287" i="20" s="1"/>
  <c r="BZ287" i="20"/>
  <c r="BR287" i="20"/>
  <c r="DZ287" i="20" s="1"/>
  <c r="EB287" i="20" s="1"/>
  <c r="BF295" i="20"/>
  <c r="CO295" i="20" s="1"/>
  <c r="Y275" i="20"/>
  <c r="BI299" i="20"/>
  <c r="DT299" i="20"/>
  <c r="AX302" i="20"/>
  <c r="CM302" i="20" s="1"/>
  <c r="DI302" i="20"/>
  <c r="M302" i="20"/>
  <c r="BF302" i="20" s="1"/>
  <c r="CO302" i="20" s="1"/>
  <c r="FG287" i="20"/>
  <c r="CU287" i="20"/>
  <c r="EB303" i="20"/>
  <c r="ET284" i="20"/>
  <c r="EU284" i="20" s="1"/>
  <c r="EV284" i="20" s="1"/>
  <c r="AY277" i="20"/>
  <c r="AZ277" i="20" s="1"/>
  <c r="DT267" i="20"/>
  <c r="BI267" i="20"/>
  <c r="BZ277" i="20"/>
  <c r="CA277" i="20"/>
  <c r="BR277" i="20"/>
  <c r="DZ277" i="20" s="1"/>
  <c r="EB277" i="20" s="1"/>
  <c r="Y274" i="20"/>
  <c r="EL274" i="20"/>
  <c r="EK274" i="20" s="1"/>
  <c r="BI277" i="20"/>
  <c r="DT277" i="20"/>
  <c r="T262" i="20"/>
  <c r="EB285" i="20"/>
  <c r="AL279" i="20"/>
  <c r="CI284" i="20"/>
  <c r="CK284" i="20" s="1"/>
  <c r="CP284" i="20" s="1"/>
  <c r="BH265" i="20"/>
  <c r="BH263" i="20"/>
  <c r="CB286" i="20"/>
  <c r="CI286" i="20" s="1"/>
  <c r="BZ276" i="20"/>
  <c r="CA276" i="20"/>
  <c r="BR276" i="20"/>
  <c r="DZ276" i="20" s="1"/>
  <c r="EB276" i="20" s="1"/>
  <c r="EH276" i="20" s="1"/>
  <c r="DT266" i="20"/>
  <c r="BI266" i="20"/>
  <c r="BI264" i="20"/>
  <c r="DT264" i="20"/>
  <c r="BI262" i="20"/>
  <c r="DT262" i="20"/>
  <c r="BH259" i="20"/>
  <c r="DM251" i="20"/>
  <c r="Y250" i="20"/>
  <c r="AX272" i="20"/>
  <c r="CM272" i="20" s="1"/>
  <c r="M272" i="20"/>
  <c r="BF272" i="20" s="1"/>
  <c r="CO272" i="20" s="1"/>
  <c r="DI272" i="20"/>
  <c r="AY252" i="20"/>
  <c r="BH252" i="20" s="1"/>
  <c r="EH247" i="20"/>
  <c r="EG247" i="20"/>
  <c r="AY242" i="20"/>
  <c r="BH242" i="20" s="1"/>
  <c r="T254" i="20"/>
  <c r="AZ246" i="20"/>
  <c r="BH246" i="20"/>
  <c r="FI243" i="20"/>
  <c r="CX243" i="20"/>
  <c r="M240" i="20"/>
  <c r="DI240" i="20"/>
  <c r="AX240" i="20"/>
  <c r="CM240" i="20" s="1"/>
  <c r="AY269" i="20"/>
  <c r="BH269" i="20" s="1"/>
  <c r="CA256" i="20"/>
  <c r="BZ256" i="20"/>
  <c r="BR256" i="20"/>
  <c r="DZ256" i="20" s="1"/>
  <c r="EB256" i="20" s="1"/>
  <c r="AX239" i="20"/>
  <c r="CM239" i="20" s="1"/>
  <c r="M239" i="20"/>
  <c r="BF239" i="20" s="1"/>
  <c r="CO239" i="20" s="1"/>
  <c r="DI239" i="20"/>
  <c r="DA225" i="20"/>
  <c r="FG225" i="20"/>
  <c r="DM221" i="20"/>
  <c r="AL267" i="20"/>
  <c r="DM239" i="20"/>
  <c r="CB228" i="20"/>
  <c r="CI228" i="20" s="1"/>
  <c r="EH241" i="20"/>
  <c r="ET238" i="20"/>
  <c r="EU238" i="20" s="1"/>
  <c r="EV238" i="20" s="1"/>
  <c r="EH235" i="20"/>
  <c r="AY225" i="20"/>
  <c r="AZ225" i="20" s="1"/>
  <c r="DT206" i="20"/>
  <c r="DM233" i="20"/>
  <c r="DT210" i="20"/>
  <c r="DC236" i="20"/>
  <c r="FJ236" i="20"/>
  <c r="BC226" i="20"/>
  <c r="AZ209" i="20"/>
  <c r="BH209" i="20"/>
  <c r="BJ209" i="20" s="1"/>
  <c r="BB237" i="20"/>
  <c r="BC237" i="20" s="1"/>
  <c r="CN237" i="20" s="1"/>
  <c r="BI231" i="20"/>
  <c r="BJ231" i="20" s="1"/>
  <c r="DT231" i="20"/>
  <c r="M223" i="20"/>
  <c r="AX223" i="20"/>
  <c r="CM223" i="20" s="1"/>
  <c r="DI223" i="20"/>
  <c r="BB223" i="20"/>
  <c r="BC223" i="20" s="1"/>
  <c r="CN223" i="20" s="1"/>
  <c r="EH217" i="20"/>
  <c r="EG236" i="20"/>
  <c r="DT212" i="20"/>
  <c r="BI212" i="20"/>
  <c r="DI188" i="20"/>
  <c r="AX188" i="20"/>
  <c r="CM188" i="20" s="1"/>
  <c r="M188" i="20"/>
  <c r="BF188" i="20" s="1"/>
  <c r="CO188" i="20" s="1"/>
  <c r="AY212" i="20"/>
  <c r="BH212" i="20" s="1"/>
  <c r="BI191" i="20"/>
  <c r="AZ222" i="20"/>
  <c r="EL195" i="20"/>
  <c r="EK195" i="20" s="1"/>
  <c r="EM195" i="20" s="1"/>
  <c r="EP195" i="20" s="1"/>
  <c r="EQ195" i="20" s="1"/>
  <c r="Y195" i="20"/>
  <c r="DN195" i="20" s="1"/>
  <c r="CU176" i="20"/>
  <c r="FG176" i="20"/>
  <c r="DT215" i="20"/>
  <c r="BF203" i="20"/>
  <c r="CO203" i="20" s="1"/>
  <c r="AQ194" i="20"/>
  <c r="BZ193" i="20"/>
  <c r="CB193" i="20" s="1"/>
  <c r="CI193" i="20" s="1"/>
  <c r="CK193" i="20" s="1"/>
  <c r="CP193" i="20" s="1"/>
  <c r="AZ200" i="20"/>
  <c r="BH200" i="20"/>
  <c r="DI180" i="20"/>
  <c r="M180" i="20"/>
  <c r="BF180" i="20" s="1"/>
  <c r="CO180" i="20" s="1"/>
  <c r="AX180" i="20"/>
  <c r="CM180" i="20" s="1"/>
  <c r="DI173" i="20"/>
  <c r="M173" i="20"/>
  <c r="AX173" i="20"/>
  <c r="CM173" i="20" s="1"/>
  <c r="DI171" i="20"/>
  <c r="M171" i="20"/>
  <c r="BF171" i="20" s="1"/>
  <c r="CO171" i="20" s="1"/>
  <c r="AX171" i="20"/>
  <c r="CM171" i="20" s="1"/>
  <c r="DM189" i="20"/>
  <c r="AT193" i="20"/>
  <c r="DU193" i="20" s="1"/>
  <c r="CX168" i="20"/>
  <c r="FI168" i="20"/>
  <c r="BH198" i="20"/>
  <c r="BJ198" i="20" s="1"/>
  <c r="DM177" i="20"/>
  <c r="FJ146" i="20"/>
  <c r="DC146" i="20"/>
  <c r="DT173" i="20"/>
  <c r="DM158" i="20"/>
  <c r="CI166" i="20"/>
  <c r="CK166" i="20" s="1"/>
  <c r="CP166" i="20" s="1"/>
  <c r="AY173" i="20"/>
  <c r="AZ173" i="20" s="1"/>
  <c r="ED175" i="20"/>
  <c r="CR175" i="20" s="1"/>
  <c r="AY151" i="20"/>
  <c r="AZ151" i="20" s="1"/>
  <c r="AY177" i="20"/>
  <c r="AZ177" i="20" s="1"/>
  <c r="BH169" i="20"/>
  <c r="BJ169" i="20" s="1"/>
  <c r="ET153" i="20"/>
  <c r="EU153" i="20" s="1"/>
  <c r="EV153" i="20" s="1"/>
  <c r="BL146" i="20"/>
  <c r="BN146" i="20" s="1"/>
  <c r="FG143" i="20"/>
  <c r="DA143" i="20"/>
  <c r="AU160" i="20"/>
  <c r="BO151" i="20"/>
  <c r="BP151" i="20" s="1"/>
  <c r="EI151" i="20" s="1"/>
  <c r="EH151" i="20" s="1"/>
  <c r="CX133" i="20"/>
  <c r="FI133" i="20"/>
  <c r="ET125" i="20"/>
  <c r="EU125" i="20" s="1"/>
  <c r="EV125" i="20" s="1"/>
  <c r="AL104" i="20"/>
  <c r="EY149" i="20"/>
  <c r="EZ149" i="20" s="1"/>
  <c r="BB140" i="20"/>
  <c r="AY113" i="20"/>
  <c r="AZ113" i="20" s="1"/>
  <c r="DJ98" i="20"/>
  <c r="AX98" i="20"/>
  <c r="CM98" i="20" s="1"/>
  <c r="M98" i="20"/>
  <c r="EY147" i="20"/>
  <c r="EZ147" i="20" s="1"/>
  <c r="EZ135" i="20"/>
  <c r="ET135" i="20"/>
  <c r="EU135" i="20" s="1"/>
  <c r="EV135" i="20" s="1"/>
  <c r="EI117" i="20"/>
  <c r="EH117" i="20" s="1"/>
  <c r="CX132" i="20"/>
  <c r="FI132" i="20"/>
  <c r="BL105" i="20"/>
  <c r="BN105" i="20" s="1"/>
  <c r="AM84" i="20"/>
  <c r="AL84" i="20"/>
  <c r="DT122" i="20"/>
  <c r="AM85" i="20"/>
  <c r="AL85" i="20"/>
  <c r="EU101" i="20"/>
  <c r="EV101" i="20" s="1"/>
  <c r="BM93" i="20"/>
  <c r="BL93" i="20"/>
  <c r="BN93" i="20" s="1"/>
  <c r="AL98" i="20"/>
  <c r="FG88" i="20"/>
  <c r="CU88" i="20"/>
  <c r="FG78" i="20"/>
  <c r="CU78" i="20"/>
  <c r="EL68" i="20"/>
  <c r="EK68" i="20" s="1"/>
  <c r="ET68" i="20" s="1"/>
  <c r="EU68" i="20" s="1"/>
  <c r="EV68" i="20" s="1"/>
  <c r="Y68" i="20"/>
  <c r="AZ62" i="20"/>
  <c r="BE62" i="20"/>
  <c r="BF62" i="20" s="1"/>
  <c r="BM51" i="20"/>
  <c r="BL51" i="20"/>
  <c r="BN51" i="20" s="1"/>
  <c r="BE59" i="20"/>
  <c r="BF59" i="20" s="1"/>
  <c r="CO59" i="20" s="1"/>
  <c r="DJ127" i="20"/>
  <c r="EY127" i="20" s="1"/>
  <c r="AX127" i="20"/>
  <c r="CM127" i="20" s="1"/>
  <c r="AL106" i="20"/>
  <c r="AQ106" i="20" s="1"/>
  <c r="FY101" i="20"/>
  <c r="GA101" i="20" s="1"/>
  <c r="CS101" i="20" s="1"/>
  <c r="BZ101" i="20"/>
  <c r="T101" i="20"/>
  <c r="CA101" i="20"/>
  <c r="BR101" i="20"/>
  <c r="DZ101" i="20" s="1"/>
  <c r="EB101" i="20" s="1"/>
  <c r="EH101" i="20" s="1"/>
  <c r="BK101" i="20"/>
  <c r="AL87" i="20"/>
  <c r="DT60" i="20"/>
  <c r="EL55" i="20"/>
  <c r="EK55" i="20" s="1"/>
  <c r="Y55" i="20"/>
  <c r="BB127" i="20"/>
  <c r="BC127" i="20" s="1"/>
  <c r="CN127" i="20" s="1"/>
  <c r="EZ93" i="20"/>
  <c r="ET93" i="20"/>
  <c r="EU93" i="20" s="1"/>
  <c r="EV93" i="20" s="1"/>
  <c r="CB73" i="20"/>
  <c r="CI73" i="20" s="1"/>
  <c r="CK73" i="20" s="1"/>
  <c r="CP73" i="20" s="1"/>
  <c r="EG88" i="20"/>
  <c r="BZ82" i="20"/>
  <c r="BR82" i="20"/>
  <c r="DZ82" i="20" s="1"/>
  <c r="EB82" i="20" s="1"/>
  <c r="FX82" i="20"/>
  <c r="GA82" i="20" s="1"/>
  <c r="CS82" i="20" s="1"/>
  <c r="BK82" i="20"/>
  <c r="CA82" i="20"/>
  <c r="AN82" i="20"/>
  <c r="EE63" i="20"/>
  <c r="EY62" i="20"/>
  <c r="EZ62" i="20" s="1"/>
  <c r="EL50" i="20"/>
  <c r="EK50" i="20" s="1"/>
  <c r="Y50" i="20"/>
  <c r="ET48" i="20"/>
  <c r="EU48" i="20" s="1"/>
  <c r="EV48" i="20" s="1"/>
  <c r="BM54" i="20"/>
  <c r="BO54" i="20" s="1"/>
  <c r="BP54" i="20" s="1"/>
  <c r="EI54" i="20" s="1"/>
  <c r="AX45" i="20"/>
  <c r="M45" i="20"/>
  <c r="BF45" i="20" s="1"/>
  <c r="DJ45" i="20"/>
  <c r="BE68" i="20"/>
  <c r="BF68" i="20" s="1"/>
  <c r="CO68" i="20" s="1"/>
  <c r="AZ68" i="20"/>
  <c r="BM62" i="20"/>
  <c r="BO62" i="20" s="1"/>
  <c r="BP62" i="20" s="1"/>
  <c r="EI62" i="20" s="1"/>
  <c r="M34" i="20"/>
  <c r="BF34" i="20" s="1"/>
  <c r="DJ34" i="20"/>
  <c r="AX34" i="20"/>
  <c r="ET28" i="20"/>
  <c r="EU28" i="20" s="1"/>
  <c r="EV28" i="20" s="1"/>
  <c r="BE102" i="20"/>
  <c r="BF102" i="20" s="1"/>
  <c r="AL51" i="20"/>
  <c r="AM51" i="20"/>
  <c r="BM33" i="20"/>
  <c r="BL33" i="20"/>
  <c r="BN33" i="20" s="1"/>
  <c r="AM33" i="20"/>
  <c r="AL33" i="20"/>
  <c r="AX41" i="20"/>
  <c r="M41" i="20"/>
  <c r="BF41" i="20" s="1"/>
  <c r="DJ41" i="20"/>
  <c r="AM36" i="20"/>
  <c r="AL36" i="20"/>
  <c r="DM25" i="20"/>
  <c r="EL40" i="20"/>
  <c r="EK40" i="20" s="1"/>
  <c r="Y40" i="20"/>
  <c r="BC32" i="20"/>
  <c r="EY36" i="20"/>
  <c r="EZ36" i="20" s="1"/>
  <c r="DP22" i="20"/>
  <c r="DO22" i="20"/>
  <c r="BB20" i="20"/>
  <c r="BC20" i="20" s="1"/>
  <c r="BC29" i="20"/>
  <c r="AP23" i="20"/>
  <c r="AQ23" i="20" s="1"/>
  <c r="AT22" i="20"/>
  <c r="DU22" i="20" s="1"/>
  <c r="CB437" i="20"/>
  <c r="CI437" i="20" s="1"/>
  <c r="BI431" i="20"/>
  <c r="BJ431" i="20" s="1"/>
  <c r="DT431" i="20"/>
  <c r="CI432" i="20"/>
  <c r="BR445" i="20"/>
  <c r="DZ445" i="20" s="1"/>
  <c r="EB445" i="20" s="1"/>
  <c r="CA445" i="20"/>
  <c r="AL445" i="20"/>
  <c r="BZ445" i="20"/>
  <c r="FY445" i="20"/>
  <c r="GA445" i="20" s="1"/>
  <c r="CS445" i="20" s="1"/>
  <c r="BR444" i="20"/>
  <c r="DZ444" i="20" s="1"/>
  <c r="EB444" i="20" s="1"/>
  <c r="BZ444" i="20"/>
  <c r="AL444" i="20"/>
  <c r="CA444" i="20"/>
  <c r="T430" i="20"/>
  <c r="ET429" i="20"/>
  <c r="EU429" i="20" s="1"/>
  <c r="EV429" i="20" s="1"/>
  <c r="CU419" i="20"/>
  <c r="FG419" i="20"/>
  <c r="CB429" i="20"/>
  <c r="CI429" i="20" s="1"/>
  <c r="CK429" i="20" s="1"/>
  <c r="CP429" i="20" s="1"/>
  <c r="DT426" i="20"/>
  <c r="BI426" i="20"/>
  <c r="ET421" i="20"/>
  <c r="EU421" i="20" s="1"/>
  <c r="EV421" i="20" s="1"/>
  <c r="EH420" i="20"/>
  <c r="ET420" i="20"/>
  <c r="EU420" i="20" s="1"/>
  <c r="EV420" i="20" s="1"/>
  <c r="BI409" i="20"/>
  <c r="DT409" i="20"/>
  <c r="CB418" i="20"/>
  <c r="CI418" i="20" s="1"/>
  <c r="CK418" i="20" s="1"/>
  <c r="CP418" i="20" s="1"/>
  <c r="AX408" i="20"/>
  <c r="CM408" i="20" s="1"/>
  <c r="M408" i="20"/>
  <c r="BF408" i="20" s="1"/>
  <c r="CO408" i="20" s="1"/>
  <c r="DI408" i="20"/>
  <c r="CB410" i="20"/>
  <c r="CI410" i="20" s="1"/>
  <c r="CK410" i="20" s="1"/>
  <c r="CP410" i="20" s="1"/>
  <c r="EU411" i="20"/>
  <c r="EV411" i="20" s="1"/>
  <c r="BI406" i="20"/>
  <c r="DT406" i="20"/>
  <c r="DA397" i="20"/>
  <c r="FG397" i="20"/>
  <c r="FG402" i="20"/>
  <c r="CU402" i="20"/>
  <c r="DA398" i="20"/>
  <c r="FG398" i="20"/>
  <c r="EL403" i="20"/>
  <c r="EK403" i="20" s="1"/>
  <c r="Y403" i="20"/>
  <c r="BR404" i="20"/>
  <c r="DZ404" i="20" s="1"/>
  <c r="EB404" i="20" s="1"/>
  <c r="AL404" i="20"/>
  <c r="FY404" i="20"/>
  <c r="GA404" i="20" s="1"/>
  <c r="CS404" i="20" s="1"/>
  <c r="CA404" i="20"/>
  <c r="BZ404" i="20"/>
  <c r="DT394" i="20"/>
  <c r="BI394" i="20"/>
  <c r="ET394" i="20"/>
  <c r="EU394" i="20" s="1"/>
  <c r="EV394" i="20" s="1"/>
  <c r="CB398" i="20"/>
  <c r="CI398" i="20" s="1"/>
  <c r="CK398" i="20" s="1"/>
  <c r="CP398" i="20" s="1"/>
  <c r="AY386" i="20"/>
  <c r="BH391" i="20"/>
  <c r="CA382" i="20"/>
  <c r="BR382" i="20"/>
  <c r="DZ382" i="20" s="1"/>
  <c r="EB382" i="20" s="1"/>
  <c r="FY382" i="20"/>
  <c r="GA382" i="20" s="1"/>
  <c r="CS382" i="20" s="1"/>
  <c r="BZ382" i="20"/>
  <c r="T393" i="20"/>
  <c r="DA376" i="20"/>
  <c r="FG376" i="20"/>
  <c r="FY390" i="20"/>
  <c r="GA390" i="20" s="1"/>
  <c r="CS390" i="20" s="1"/>
  <c r="AL382" i="20"/>
  <c r="M375" i="20"/>
  <c r="BF375" i="20" s="1"/>
  <c r="CO375" i="20" s="1"/>
  <c r="AX375" i="20"/>
  <c r="CM375" i="20" s="1"/>
  <c r="DI375" i="20"/>
  <c r="EB388" i="20"/>
  <c r="DA377" i="20"/>
  <c r="FG377" i="20"/>
  <c r="EH376" i="20"/>
  <c r="DT387" i="20"/>
  <c r="BI387" i="20"/>
  <c r="EG381" i="20"/>
  <c r="M364" i="20"/>
  <c r="BF364" i="20" s="1"/>
  <c r="CO364" i="20" s="1"/>
  <c r="DI364" i="20"/>
  <c r="AX364" i="20"/>
  <c r="CM364" i="20" s="1"/>
  <c r="BB366" i="20"/>
  <c r="EG374" i="20"/>
  <c r="EH374" i="20"/>
  <c r="CE371" i="20"/>
  <c r="BI359" i="20"/>
  <c r="DT359" i="20"/>
  <c r="CB369" i="20"/>
  <c r="CI369" i="20" s="1"/>
  <c r="CE376" i="20"/>
  <c r="FI368" i="20"/>
  <c r="CX368" i="20"/>
  <c r="BI349" i="20"/>
  <c r="DT349" i="20"/>
  <c r="EH349" i="20"/>
  <c r="T344" i="20"/>
  <c r="DD338" i="20"/>
  <c r="FI338" i="20"/>
  <c r="T341" i="20"/>
  <c r="AY341" i="20" s="1"/>
  <c r="CU335" i="20"/>
  <c r="FG335" i="20"/>
  <c r="DT321" i="20"/>
  <c r="BI321" i="20"/>
  <c r="GA330" i="20"/>
  <c r="CS330" i="20" s="1"/>
  <c r="ET350" i="20"/>
  <c r="EU350" i="20" s="1"/>
  <c r="EV350" i="20" s="1"/>
  <c r="AY342" i="20"/>
  <c r="AZ342" i="20" s="1"/>
  <c r="BI337" i="20"/>
  <c r="DT337" i="20"/>
  <c r="CB332" i="20"/>
  <c r="CI332" i="20" s="1"/>
  <c r="BR359" i="20"/>
  <c r="DZ359" i="20" s="1"/>
  <c r="EB359" i="20" s="1"/>
  <c r="AL359" i="20"/>
  <c r="CA359" i="20"/>
  <c r="BZ359" i="20"/>
  <c r="FY359" i="20"/>
  <c r="GA359" i="20" s="1"/>
  <c r="CS359" i="20" s="1"/>
  <c r="Y326" i="20"/>
  <c r="M320" i="20"/>
  <c r="BF320" i="20" s="1"/>
  <c r="CO320" i="20" s="1"/>
  <c r="DI320" i="20"/>
  <c r="AX320" i="20"/>
  <c r="CM320" i="20" s="1"/>
  <c r="BF350" i="20"/>
  <c r="CO350" i="20" s="1"/>
  <c r="CA340" i="20"/>
  <c r="FY340" i="20"/>
  <c r="GA340" i="20" s="1"/>
  <c r="CS340" i="20" s="1"/>
  <c r="BZ340" i="20"/>
  <c r="BR340" i="20"/>
  <c r="DZ340" i="20" s="1"/>
  <c r="EB340" i="20" s="1"/>
  <c r="Y339" i="20"/>
  <c r="BI335" i="20"/>
  <c r="DT335" i="20"/>
  <c r="AL326" i="20"/>
  <c r="DT315" i="20"/>
  <c r="BI315" i="20"/>
  <c r="CI311" i="20"/>
  <c r="CB333" i="20"/>
  <c r="CI333" i="20" s="1"/>
  <c r="CK333" i="20" s="1"/>
  <c r="CP333" i="20" s="1"/>
  <c r="BF325" i="20"/>
  <c r="CO325" i="20" s="1"/>
  <c r="FY312" i="20"/>
  <c r="GA312" i="20" s="1"/>
  <c r="CS312" i="20" s="1"/>
  <c r="CA312" i="20"/>
  <c r="BZ312" i="20"/>
  <c r="BR312" i="20"/>
  <c r="DZ312" i="20" s="1"/>
  <c r="EB312" i="20" s="1"/>
  <c r="AL312" i="20"/>
  <c r="DI319" i="20"/>
  <c r="M319" i="20"/>
  <c r="BF319" i="20" s="1"/>
  <c r="CO319" i="20" s="1"/>
  <c r="AX319" i="20"/>
  <c r="CM319" i="20" s="1"/>
  <c r="DT307" i="20"/>
  <c r="BI307" i="20"/>
  <c r="DT304" i="20"/>
  <c r="BI304" i="20"/>
  <c r="BJ304" i="20" s="1"/>
  <c r="CA315" i="20"/>
  <c r="AL315" i="20"/>
  <c r="BZ315" i="20"/>
  <c r="BR315" i="20"/>
  <c r="DZ315" i="20" s="1"/>
  <c r="EB315" i="20" s="1"/>
  <c r="AY303" i="20"/>
  <c r="BH303" i="20" s="1"/>
  <c r="BJ303" i="20" s="1"/>
  <c r="ET296" i="20"/>
  <c r="EU296" i="20" s="1"/>
  <c r="EV296" i="20" s="1"/>
  <c r="DM297" i="20"/>
  <c r="EB302" i="20"/>
  <c r="EG302" i="20" s="1"/>
  <c r="CE298" i="20"/>
  <c r="DT291" i="20"/>
  <c r="BI291" i="20"/>
  <c r="ET295" i="20"/>
  <c r="EU295" i="20" s="1"/>
  <c r="EV295" i="20" s="1"/>
  <c r="FI282" i="20"/>
  <c r="DD282" i="20"/>
  <c r="CB314" i="20"/>
  <c r="DI293" i="20"/>
  <c r="M293" i="20"/>
  <c r="BF293" i="20" s="1"/>
  <c r="CO293" i="20" s="1"/>
  <c r="BB293" i="20"/>
  <c r="AX293" i="20"/>
  <c r="CM293" i="20" s="1"/>
  <c r="EL287" i="20"/>
  <c r="EK287" i="20" s="1"/>
  <c r="Y287" i="20"/>
  <c r="AY272" i="20"/>
  <c r="BH272" i="20" s="1"/>
  <c r="CB303" i="20"/>
  <c r="CI303" i="20" s="1"/>
  <c r="CK303" i="20" s="1"/>
  <c r="CP303" i="20" s="1"/>
  <c r="BH284" i="20"/>
  <c r="AL276" i="20"/>
  <c r="BB288" i="20"/>
  <c r="BB276" i="20"/>
  <c r="CB271" i="20"/>
  <c r="CI271" i="20" s="1"/>
  <c r="CK271" i="20" s="1"/>
  <c r="CP271" i="20" s="1"/>
  <c r="ET270" i="20"/>
  <c r="EU270" i="20" s="1"/>
  <c r="EV270" i="20" s="1"/>
  <c r="BI258" i="20"/>
  <c r="DT258" i="20"/>
  <c r="EL279" i="20"/>
  <c r="EK279" i="20" s="1"/>
  <c r="Y279" i="20"/>
  <c r="CI278" i="20"/>
  <c r="Y261" i="20"/>
  <c r="FY256" i="20"/>
  <c r="GA256" i="20" s="1"/>
  <c r="CS256" i="20" s="1"/>
  <c r="BI280" i="20"/>
  <c r="DT280" i="20"/>
  <c r="Y253" i="20"/>
  <c r="DA251" i="20"/>
  <c r="FG251" i="20"/>
  <c r="ET285" i="20"/>
  <c r="EU285" i="20" s="1"/>
  <c r="EV285" i="20" s="1"/>
  <c r="AZ259" i="20"/>
  <c r="CB260" i="20"/>
  <c r="CI260" i="20" s="1"/>
  <c r="ET247" i="20"/>
  <c r="EU247" i="20" s="1"/>
  <c r="EV247" i="20" s="1"/>
  <c r="DT239" i="20"/>
  <c r="DI258" i="20"/>
  <c r="M258" i="20"/>
  <c r="BF258" i="20" s="1"/>
  <c r="CO258" i="20" s="1"/>
  <c r="AX258" i="20"/>
  <c r="CM258" i="20" s="1"/>
  <c r="AX260" i="20"/>
  <c r="CM260" i="20" s="1"/>
  <c r="M260" i="20"/>
  <c r="BF260" i="20" s="1"/>
  <c r="CO260" i="20" s="1"/>
  <c r="DI260" i="20"/>
  <c r="EL242" i="20"/>
  <c r="EK242" i="20" s="1"/>
  <c r="ET242" i="20" s="1"/>
  <c r="EU242" i="20" s="1"/>
  <c r="EV242" i="20" s="1"/>
  <c r="Y242" i="20"/>
  <c r="DT229" i="20"/>
  <c r="ET225" i="20"/>
  <c r="EU225" i="20" s="1"/>
  <c r="EV225" i="20" s="1"/>
  <c r="CX238" i="20"/>
  <c r="FI238" i="20"/>
  <c r="DA236" i="20"/>
  <c r="FG236" i="20"/>
  <c r="ET227" i="20"/>
  <c r="EU227" i="20" s="1"/>
  <c r="EV227" i="20" s="1"/>
  <c r="BH223" i="20"/>
  <c r="DM226" i="20"/>
  <c r="AX222" i="20"/>
  <c r="DI222" i="20"/>
  <c r="M222" i="20"/>
  <c r="BF222" i="20" s="1"/>
  <c r="BB222" i="20"/>
  <c r="EG242" i="20"/>
  <c r="DT233" i="20"/>
  <c r="DT228" i="20"/>
  <c r="DI209" i="20"/>
  <c r="M209" i="20"/>
  <c r="BF209" i="20" s="1"/>
  <c r="CO209" i="20" s="1"/>
  <c r="AX209" i="20"/>
  <c r="CM209" i="20" s="1"/>
  <c r="P209" i="20"/>
  <c r="BH214" i="20"/>
  <c r="BJ214" i="20" s="1"/>
  <c r="CA207" i="20"/>
  <c r="AL207" i="20"/>
  <c r="BZ207" i="20"/>
  <c r="BR207" i="20"/>
  <c r="DZ207" i="20" s="1"/>
  <c r="EB207" i="20" s="1"/>
  <c r="EH207" i="20" s="1"/>
  <c r="FY207" i="20"/>
  <c r="GA207" i="20" s="1"/>
  <c r="CS207" i="20" s="1"/>
  <c r="AL190" i="20"/>
  <c r="CA194" i="20"/>
  <c r="BR194" i="20"/>
  <c r="DZ194" i="20" s="1"/>
  <c r="EB194" i="20" s="1"/>
  <c r="FY194" i="20"/>
  <c r="GA194" i="20" s="1"/>
  <c r="CS194" i="20" s="1"/>
  <c r="EG212" i="20"/>
  <c r="EH212" i="20"/>
  <c r="AZ197" i="20"/>
  <c r="BH197" i="20"/>
  <c r="CB203" i="20"/>
  <c r="CI203" i="20" s="1"/>
  <c r="CK203" i="20" s="1"/>
  <c r="CP203" i="20" s="1"/>
  <c r="P198" i="20"/>
  <c r="M198" i="20"/>
  <c r="BF198" i="20" s="1"/>
  <c r="CO198" i="20" s="1"/>
  <c r="DI198" i="20"/>
  <c r="AX198" i="20"/>
  <c r="CM198" i="20" s="1"/>
  <c r="BB198" i="20"/>
  <c r="BC198" i="20" s="1"/>
  <c r="CN198" i="20" s="1"/>
  <c r="CB190" i="20"/>
  <c r="CI190" i="20" s="1"/>
  <c r="CK190" i="20" s="1"/>
  <c r="CP190" i="20" s="1"/>
  <c r="AL167" i="20"/>
  <c r="AQ167" i="20" s="1"/>
  <c r="DT214" i="20"/>
  <c r="AZ192" i="20"/>
  <c r="ET174" i="20"/>
  <c r="EU174" i="20" s="1"/>
  <c r="EV174" i="20" s="1"/>
  <c r="FG172" i="20"/>
  <c r="CU172" i="20"/>
  <c r="FY200" i="20"/>
  <c r="GA200" i="20" s="1"/>
  <c r="CS200" i="20" s="1"/>
  <c r="CA200" i="20"/>
  <c r="BR200" i="20"/>
  <c r="DZ200" i="20" s="1"/>
  <c r="EB200" i="20" s="1"/>
  <c r="AL200" i="20"/>
  <c r="BI243" i="20"/>
  <c r="CK233" i="20"/>
  <c r="CP233" i="20" s="1"/>
  <c r="BB216" i="20"/>
  <c r="EL205" i="20"/>
  <c r="EK205" i="20" s="1"/>
  <c r="ET205" i="20" s="1"/>
  <c r="EU205" i="20" s="1"/>
  <c r="EV205" i="20" s="1"/>
  <c r="Y205" i="20"/>
  <c r="Y193" i="20"/>
  <c r="EL193" i="20"/>
  <c r="EK193" i="20" s="1"/>
  <c r="AX200" i="20"/>
  <c r="CM200" i="20" s="1"/>
  <c r="P200" i="20"/>
  <c r="DY200" i="20" s="1"/>
  <c r="DI200" i="20"/>
  <c r="M200" i="20"/>
  <c r="BF200" i="20" s="1"/>
  <c r="CO200" i="20" s="1"/>
  <c r="AY188" i="20"/>
  <c r="BH188" i="20" s="1"/>
  <c r="CB186" i="20"/>
  <c r="CI186" i="20" s="1"/>
  <c r="CK186" i="20" s="1"/>
  <c r="CP186" i="20" s="1"/>
  <c r="AL177" i="20"/>
  <c r="EE177" i="20"/>
  <c r="AL175" i="20"/>
  <c r="BH190" i="20"/>
  <c r="BJ190" i="20" s="1"/>
  <c r="BI168" i="20"/>
  <c r="Y158" i="20"/>
  <c r="EL158" i="20"/>
  <c r="EK158" i="20" s="1"/>
  <c r="DJ144" i="20"/>
  <c r="EY144" i="20" s="1"/>
  <c r="AX144" i="20"/>
  <c r="CM144" i="20" s="1"/>
  <c r="EL164" i="20"/>
  <c r="EK164" i="20" s="1"/>
  <c r="EM164" i="20" s="1"/>
  <c r="EP164" i="20" s="1"/>
  <c r="EQ164" i="20" s="1"/>
  <c r="ES164" i="20" s="1"/>
  <c r="Y164" i="20"/>
  <c r="ED176" i="20"/>
  <c r="CR176" i="20" s="1"/>
  <c r="BH166" i="20"/>
  <c r="BJ166" i="20" s="1"/>
  <c r="AZ166" i="20"/>
  <c r="ES155" i="20"/>
  <c r="DT149" i="20"/>
  <c r="FG147" i="20"/>
  <c r="DA147" i="20"/>
  <c r="BH172" i="20"/>
  <c r="AY167" i="20"/>
  <c r="BH167" i="20" s="1"/>
  <c r="BJ167" i="20" s="1"/>
  <c r="FI146" i="20"/>
  <c r="DD146" i="20"/>
  <c r="AY186" i="20"/>
  <c r="AZ186" i="20" s="1"/>
  <c r="CU167" i="20"/>
  <c r="FG167" i="20"/>
  <c r="EU191" i="20"/>
  <c r="EV191" i="20" s="1"/>
  <c r="BO148" i="20"/>
  <c r="BP148" i="20" s="1"/>
  <c r="EI148" i="20" s="1"/>
  <c r="EH148" i="20" s="1"/>
  <c r="ET168" i="20"/>
  <c r="EU168" i="20" s="1"/>
  <c r="EV168" i="20" s="1"/>
  <c r="AT165" i="20"/>
  <c r="DU165" i="20" s="1"/>
  <c r="DN165" i="20" s="1"/>
  <c r="AJ165" i="20"/>
  <c r="DJ146" i="20"/>
  <c r="EY146" i="20" s="1"/>
  <c r="AX146" i="20"/>
  <c r="CM146" i="20" s="1"/>
  <c r="AZ137" i="20"/>
  <c r="AY142" i="20"/>
  <c r="AZ142" i="20" s="1"/>
  <c r="AM140" i="20"/>
  <c r="AL140" i="20"/>
  <c r="FY119" i="20"/>
  <c r="CD119" i="20"/>
  <c r="CE119" i="20" s="1"/>
  <c r="CI119" i="20" s="1"/>
  <c r="CK119" i="20" s="1"/>
  <c r="CP119" i="20" s="1"/>
  <c r="CK156" i="20"/>
  <c r="AY157" i="20"/>
  <c r="BH157" i="20" s="1"/>
  <c r="AY146" i="20"/>
  <c r="AZ146" i="20" s="1"/>
  <c r="ET139" i="20"/>
  <c r="EU139" i="20" s="1"/>
  <c r="EV139" i="20" s="1"/>
  <c r="EZ139" i="20"/>
  <c r="AL133" i="20"/>
  <c r="AZ125" i="20"/>
  <c r="AM114" i="20"/>
  <c r="AL114" i="20"/>
  <c r="DJ96" i="20"/>
  <c r="M96" i="20"/>
  <c r="AX96" i="20"/>
  <c r="EL86" i="20"/>
  <c r="EK86" i="20" s="1"/>
  <c r="Y86" i="20"/>
  <c r="BO115" i="20"/>
  <c r="FI112" i="20"/>
  <c r="CX112" i="20"/>
  <c r="Y89" i="20"/>
  <c r="EL89" i="20"/>
  <c r="EK89" i="20" s="1"/>
  <c r="BO120" i="20"/>
  <c r="BP120" i="20" s="1"/>
  <c r="EI120" i="20" s="1"/>
  <c r="EH120" i="20" s="1"/>
  <c r="CB141" i="20"/>
  <c r="CI141" i="20" s="1"/>
  <c r="CK141" i="20" s="1"/>
  <c r="CP141" i="20" s="1"/>
  <c r="BO131" i="20"/>
  <c r="BP131" i="20" s="1"/>
  <c r="EI131" i="20" s="1"/>
  <c r="EH131" i="20" s="1"/>
  <c r="BO116" i="20"/>
  <c r="BP116" i="20" s="1"/>
  <c r="EI116" i="20" s="1"/>
  <c r="EH116" i="20" s="1"/>
  <c r="ET137" i="20"/>
  <c r="EU137" i="20" s="1"/>
  <c r="EV137" i="20" s="1"/>
  <c r="BE119" i="20"/>
  <c r="BF119" i="20" s="1"/>
  <c r="CO119" i="20" s="1"/>
  <c r="BL104" i="20"/>
  <c r="BN104" i="20" s="1"/>
  <c r="BB98" i="20"/>
  <c r="EH92" i="20"/>
  <c r="EG92" i="20"/>
  <c r="ET100" i="20"/>
  <c r="EU100" i="20" s="1"/>
  <c r="EV100" i="20" s="1"/>
  <c r="DA9" i="20"/>
  <c r="DA8" i="20"/>
  <c r="DA6" i="20"/>
  <c r="DA7" i="20" s="1"/>
  <c r="AY88" i="20"/>
  <c r="AZ88" i="20" s="1"/>
  <c r="AZ85" i="20"/>
  <c r="BE85" i="20"/>
  <c r="BF85" i="20" s="1"/>
  <c r="CO85" i="20" s="1"/>
  <c r="BL130" i="20"/>
  <c r="BN130" i="20" s="1"/>
  <c r="BO80" i="20"/>
  <c r="BP80" i="20" s="1"/>
  <c r="EI80" i="20" s="1"/>
  <c r="ET108" i="20"/>
  <c r="EU108" i="20" s="1"/>
  <c r="EV108" i="20" s="1"/>
  <c r="BE96" i="20"/>
  <c r="AY96" i="20"/>
  <c r="AZ96" i="20" s="1"/>
  <c r="DT83" i="20"/>
  <c r="EL61" i="20"/>
  <c r="EK61" i="20" s="1"/>
  <c r="Y61" i="20"/>
  <c r="AM48" i="20"/>
  <c r="AL48" i="20"/>
  <c r="BC92" i="20"/>
  <c r="CN92" i="20" s="1"/>
  <c r="AY65" i="20"/>
  <c r="AZ65" i="20" s="1"/>
  <c r="BB47" i="20"/>
  <c r="FI127" i="20"/>
  <c r="CX127" i="20"/>
  <c r="BL113" i="20"/>
  <c r="BN113" i="20" s="1"/>
  <c r="BZ98" i="20"/>
  <c r="FY98" i="20"/>
  <c r="GA98" i="20" s="1"/>
  <c r="CS98" i="20" s="1"/>
  <c r="BR98" i="20"/>
  <c r="DZ98" i="20" s="1"/>
  <c r="EB98" i="20" s="1"/>
  <c r="EH98" i="20" s="1"/>
  <c r="T98" i="20"/>
  <c r="BK98" i="20"/>
  <c r="CA98" i="20"/>
  <c r="BB94" i="20"/>
  <c r="BP89" i="20"/>
  <c r="EI89" i="20" s="1"/>
  <c r="AZ76" i="20"/>
  <c r="BE76" i="20"/>
  <c r="BF76" i="20" s="1"/>
  <c r="CO76" i="20" s="1"/>
  <c r="AL67" i="20"/>
  <c r="DT64" i="20"/>
  <c r="AL111" i="20"/>
  <c r="BE79" i="20"/>
  <c r="BF79" i="20" s="1"/>
  <c r="CO79" i="20" s="1"/>
  <c r="AZ79" i="20"/>
  <c r="FI60" i="20"/>
  <c r="CX60" i="20"/>
  <c r="BL128" i="20"/>
  <c r="BN128" i="20" s="1"/>
  <c r="CX113" i="20"/>
  <c r="FI113" i="20"/>
  <c r="EE87" i="20"/>
  <c r="FG74" i="20"/>
  <c r="CU74" i="20"/>
  <c r="FG71" i="20"/>
  <c r="CU71" i="20"/>
  <c r="DT67" i="20"/>
  <c r="EY54" i="20"/>
  <c r="EZ54" i="20" s="1"/>
  <c r="DJ33" i="20"/>
  <c r="EY33" i="20" s="1"/>
  <c r="AX33" i="20"/>
  <c r="M33" i="20"/>
  <c r="BF33" i="20" s="1"/>
  <c r="FI56" i="20"/>
  <c r="CX56" i="20"/>
  <c r="ET33" i="20"/>
  <c r="EU33" i="20" s="1"/>
  <c r="EV33" i="20" s="1"/>
  <c r="CB102" i="20"/>
  <c r="CI102" i="20" s="1"/>
  <c r="CK102" i="20" s="1"/>
  <c r="EL46" i="20"/>
  <c r="EK46" i="20" s="1"/>
  <c r="Y46" i="20"/>
  <c r="AX37" i="20"/>
  <c r="M37" i="20"/>
  <c r="BF37" i="20" s="1"/>
  <c r="DJ37" i="20"/>
  <c r="EY37" i="20" s="1"/>
  <c r="AL86" i="20"/>
  <c r="EH78" i="20"/>
  <c r="EH67" i="20"/>
  <c r="EZ64" i="20"/>
  <c r="EL43" i="20"/>
  <c r="EK43" i="20" s="1"/>
  <c r="Y43" i="20"/>
  <c r="BM39" i="20"/>
  <c r="BL39" i="20"/>
  <c r="BN39" i="20" s="1"/>
  <c r="GA29" i="20"/>
  <c r="AY110" i="20"/>
  <c r="AZ110" i="20" s="1"/>
  <c r="BC110" i="20" s="1"/>
  <c r="EZ58" i="20"/>
  <c r="BM26" i="20"/>
  <c r="BL26" i="20"/>
  <c r="BN26" i="20" s="1"/>
  <c r="DP35" i="20"/>
  <c r="DO35" i="20"/>
  <c r="BB26" i="20"/>
  <c r="BC26" i="20" s="1"/>
  <c r="DP21" i="20"/>
  <c r="DO21" i="20"/>
  <c r="EY28" i="20"/>
  <c r="EZ28" i="20" s="1"/>
  <c r="DP26" i="20"/>
  <c r="DO26" i="20"/>
  <c r="DP40" i="20"/>
  <c r="DO40" i="20"/>
  <c r="EL31" i="20"/>
  <c r="EK31" i="20" s="1"/>
  <c r="EY31" i="20" s="1"/>
  <c r="EZ31" i="20" s="1"/>
  <c r="Y31" i="20"/>
  <c r="BR356" i="20"/>
  <c r="DZ356" i="20" s="1"/>
  <c r="EB356" i="20" s="1"/>
  <c r="EH356" i="20" s="1"/>
  <c r="FY356" i="20"/>
  <c r="GA356" i="20" s="1"/>
  <c r="CS356" i="20" s="1"/>
  <c r="AL356" i="20"/>
  <c r="CA356" i="20"/>
  <c r="BZ356" i="20"/>
  <c r="T356" i="20"/>
  <c r="AY356" i="20" s="1"/>
  <c r="AY346" i="20"/>
  <c r="AZ346" i="20" s="1"/>
  <c r="FY347" i="20"/>
  <c r="GA347" i="20" s="1"/>
  <c r="CS347" i="20" s="1"/>
  <c r="CA347" i="20"/>
  <c r="BZ347" i="20"/>
  <c r="BR347" i="20"/>
  <c r="DZ347" i="20" s="1"/>
  <c r="EB347" i="20" s="1"/>
  <c r="BR337" i="20"/>
  <c r="DZ337" i="20" s="1"/>
  <c r="EB337" i="20" s="1"/>
  <c r="FY337" i="20"/>
  <c r="GA337" i="20" s="1"/>
  <c r="CS337" i="20" s="1"/>
  <c r="CA337" i="20"/>
  <c r="BZ337" i="20"/>
  <c r="AL337" i="20"/>
  <c r="AX344" i="20"/>
  <c r="CM344" i="20" s="1"/>
  <c r="M344" i="20"/>
  <c r="BF344" i="20" s="1"/>
  <c r="CO344" i="20" s="1"/>
  <c r="DI344" i="20"/>
  <c r="AY330" i="20"/>
  <c r="AZ330" i="20" s="1"/>
  <c r="DD342" i="20"/>
  <c r="FI342" i="20"/>
  <c r="BI324" i="20"/>
  <c r="DT324" i="20"/>
  <c r="FY339" i="20"/>
  <c r="GA339" i="20" s="1"/>
  <c r="CS339" i="20" s="1"/>
  <c r="BZ339" i="20"/>
  <c r="BR339" i="20"/>
  <c r="DZ339" i="20" s="1"/>
  <c r="EB339" i="20" s="1"/>
  <c r="EH339" i="20" s="1"/>
  <c r="AL339" i="20"/>
  <c r="CA339" i="20"/>
  <c r="FI323" i="20"/>
  <c r="DD323" i="20"/>
  <c r="CU350" i="20"/>
  <c r="FG350" i="20"/>
  <c r="AY292" i="20"/>
  <c r="BH292" i="20" s="1"/>
  <c r="BJ292" i="20" s="1"/>
  <c r="EB324" i="20"/>
  <c r="DA298" i="20"/>
  <c r="FG298" i="20"/>
  <c r="ET325" i="20"/>
  <c r="EU325" i="20" s="1"/>
  <c r="EV325" i="20" s="1"/>
  <c r="EL319" i="20"/>
  <c r="EK319" i="20" s="1"/>
  <c r="Y319" i="20"/>
  <c r="ET318" i="20"/>
  <c r="EU318" i="20" s="1"/>
  <c r="EV318" i="20" s="1"/>
  <c r="CU300" i="20"/>
  <c r="FG300" i="20"/>
  <c r="DT312" i="20"/>
  <c r="BI312" i="20"/>
  <c r="DT308" i="20"/>
  <c r="BI308" i="20"/>
  <c r="DM304" i="20"/>
  <c r="DD301" i="20"/>
  <c r="FI301" i="20"/>
  <c r="DA296" i="20"/>
  <c r="FG296" i="20"/>
  <c r="DT282" i="20"/>
  <c r="BI282" i="20"/>
  <c r="BJ282" i="20" s="1"/>
  <c r="DM318" i="20"/>
  <c r="ET303" i="20"/>
  <c r="EU303" i="20" s="1"/>
  <c r="EV303" i="20" s="1"/>
  <c r="CA298" i="20"/>
  <c r="AL298" i="20"/>
  <c r="BZ298" i="20"/>
  <c r="BR298" i="20"/>
  <c r="DZ298" i="20" s="1"/>
  <c r="EB298" i="20" s="1"/>
  <c r="EH298" i="20" s="1"/>
  <c r="BI285" i="20"/>
  <c r="DT285" i="20"/>
  <c r="BI302" i="20"/>
  <c r="BJ302" i="20" s="1"/>
  <c r="DT302" i="20"/>
  <c r="DA295" i="20"/>
  <c r="FG295" i="20"/>
  <c r="BI294" i="20"/>
  <c r="DT294" i="20"/>
  <c r="AX278" i="20"/>
  <c r="CM278" i="20" s="1"/>
  <c r="M278" i="20"/>
  <c r="BF278" i="20" s="1"/>
  <c r="CO278" i="20" s="1"/>
  <c r="DI278" i="20"/>
  <c r="DA274" i="20"/>
  <c r="FG274" i="20"/>
  <c r="DT270" i="20"/>
  <c r="BI270" i="20"/>
  <c r="DA286" i="20"/>
  <c r="FG286" i="20"/>
  <c r="CA281" i="20"/>
  <c r="FY281" i="20"/>
  <c r="GA281" i="20" s="1"/>
  <c r="CS281" i="20" s="1"/>
  <c r="BZ281" i="20"/>
  <c r="BR281" i="20"/>
  <c r="DZ281" i="20" s="1"/>
  <c r="EB281" i="20" s="1"/>
  <c r="DD286" i="20"/>
  <c r="FI286" i="20"/>
  <c r="BI301" i="20"/>
  <c r="DT301" i="20"/>
  <c r="CA295" i="20"/>
  <c r="BR295" i="20"/>
  <c r="DZ295" i="20" s="1"/>
  <c r="EB295" i="20" s="1"/>
  <c r="FY295" i="20"/>
  <c r="GA295" i="20" s="1"/>
  <c r="CS295" i="20" s="1"/>
  <c r="BZ295" i="20"/>
  <c r="FY290" i="20"/>
  <c r="GA290" i="20" s="1"/>
  <c r="CS290" i="20" s="1"/>
  <c r="CA290" i="20"/>
  <c r="AL290" i="20"/>
  <c r="BZ290" i="20"/>
  <c r="BR290" i="20"/>
  <c r="DZ290" i="20" s="1"/>
  <c r="EB290" i="20" s="1"/>
  <c r="EH290" i="20" s="1"/>
  <c r="BH268" i="20"/>
  <c r="AZ268" i="20"/>
  <c r="CI274" i="20"/>
  <c r="CK274" i="20" s="1"/>
  <c r="CP274" i="20" s="1"/>
  <c r="FG265" i="20"/>
  <c r="DA265" i="20"/>
  <c r="DA263" i="20"/>
  <c r="FG263" i="20"/>
  <c r="AY258" i="20"/>
  <c r="AZ258" i="20" s="1"/>
  <c r="M255" i="20"/>
  <c r="BF255" i="20" s="1"/>
  <c r="CO255" i="20" s="1"/>
  <c r="DI255" i="20"/>
  <c r="AX255" i="20"/>
  <c r="CM255" i="20" s="1"/>
  <c r="BI276" i="20"/>
  <c r="DT276" i="20"/>
  <c r="FJ270" i="20"/>
  <c r="DC270" i="20"/>
  <c r="FI246" i="20"/>
  <c r="DD246" i="20"/>
  <c r="AX230" i="20"/>
  <c r="M230" i="20"/>
  <c r="DI230" i="20"/>
  <c r="BB255" i="20"/>
  <c r="AY264" i="20"/>
  <c r="BH264" i="20" s="1"/>
  <c r="EL246" i="20"/>
  <c r="EK246" i="20" s="1"/>
  <c r="Y246" i="20"/>
  <c r="AX249" i="20"/>
  <c r="CM249" i="20" s="1"/>
  <c r="M249" i="20"/>
  <c r="BF249" i="20" s="1"/>
  <c r="CO249" i="20" s="1"/>
  <c r="BB249" i="20"/>
  <c r="DI249" i="20"/>
  <c r="DI234" i="20"/>
  <c r="AX234" i="20"/>
  <c r="CM234" i="20" s="1"/>
  <c r="M234" i="20"/>
  <c r="BF234" i="20" s="1"/>
  <c r="CO234" i="20" s="1"/>
  <c r="FI227" i="20"/>
  <c r="CX227" i="20"/>
  <c r="BH218" i="20"/>
  <c r="BJ218" i="20" s="1"/>
  <c r="AZ218" i="20"/>
  <c r="DI212" i="20"/>
  <c r="BB212" i="20"/>
  <c r="AX212" i="20"/>
  <c r="M212" i="20"/>
  <c r="BF212" i="20" s="1"/>
  <c r="AY233" i="20"/>
  <c r="AZ233" i="20" s="1"/>
  <c r="DT236" i="20"/>
  <c r="BI236" i="20"/>
  <c r="BJ236" i="20" s="1"/>
  <c r="FI220" i="20"/>
  <c r="CX220" i="20"/>
  <c r="AR213" i="20"/>
  <c r="AU213" i="20"/>
  <c r="DT221" i="20"/>
  <c r="BI221" i="20"/>
  <c r="BJ221" i="20" s="1"/>
  <c r="DT219" i="20"/>
  <c r="BI219" i="20"/>
  <c r="BJ219" i="20" s="1"/>
  <c r="EL217" i="20"/>
  <c r="EK217" i="20" s="1"/>
  <c r="Y217" i="20"/>
  <c r="FI205" i="20"/>
  <c r="EL192" i="20"/>
  <c r="EK192" i="20" s="1"/>
  <c r="EM192" i="20" s="1"/>
  <c r="EP192" i="20" s="1"/>
  <c r="EQ192" i="20" s="1"/>
  <c r="Y192" i="20"/>
  <c r="AY164" i="20"/>
  <c r="BH164" i="20" s="1"/>
  <c r="AZ216" i="20"/>
  <c r="DM188" i="20"/>
  <c r="FI187" i="20"/>
  <c r="DD187" i="20"/>
  <c r="FJ178" i="20"/>
  <c r="DC178" i="20"/>
  <c r="DI175" i="20"/>
  <c r="M175" i="20"/>
  <c r="BF175" i="20" s="1"/>
  <c r="CO175" i="20" s="1"/>
  <c r="AX175" i="20"/>
  <c r="CM175" i="20" s="1"/>
  <c r="ET190" i="20"/>
  <c r="EU190" i="20" s="1"/>
  <c r="EV190" i="20" s="1"/>
  <c r="FI167" i="20"/>
  <c r="CX167" i="20"/>
  <c r="DM219" i="20"/>
  <c r="DT194" i="20"/>
  <c r="FI196" i="20"/>
  <c r="CX196" i="20"/>
  <c r="ET189" i="20"/>
  <c r="EU189" i="20" s="1"/>
  <c r="EV189" i="20" s="1"/>
  <c r="BC185" i="20"/>
  <c r="CN185" i="20" s="1"/>
  <c r="CX179" i="20"/>
  <c r="FI179" i="20"/>
  <c r="DM216" i="20"/>
  <c r="AZ207" i="20"/>
  <c r="BH207" i="20"/>
  <c r="CU192" i="20"/>
  <c r="FG192" i="20"/>
  <c r="AZ143" i="20"/>
  <c r="FG169" i="20"/>
  <c r="DA169" i="20"/>
  <c r="DD166" i="20"/>
  <c r="FI166" i="20"/>
  <c r="BP147" i="20"/>
  <c r="EI147" i="20" s="1"/>
  <c r="EH147" i="20" s="1"/>
  <c r="EZ141" i="20"/>
  <c r="ET141" i="20"/>
  <c r="EU141" i="20" s="1"/>
  <c r="EV141" i="20" s="1"/>
  <c r="AZ160" i="20"/>
  <c r="BH191" i="20"/>
  <c r="AL142" i="20"/>
  <c r="ET140" i="20"/>
  <c r="EU140" i="20" s="1"/>
  <c r="EV140" i="20" s="1"/>
  <c r="EZ140" i="20"/>
  <c r="DJ134" i="20"/>
  <c r="EY134" i="20" s="1"/>
  <c r="AX134" i="20"/>
  <c r="CM134" i="20" s="1"/>
  <c r="CU136" i="20"/>
  <c r="FG136" i="20"/>
  <c r="FI145" i="20"/>
  <c r="DD145" i="20"/>
  <c r="AZ133" i="20"/>
  <c r="CX135" i="20"/>
  <c r="FI135" i="20"/>
  <c r="FG128" i="20"/>
  <c r="CU128" i="20"/>
  <c r="CW128" i="20"/>
  <c r="FJ128" i="20"/>
  <c r="DJ124" i="20"/>
  <c r="AX124" i="20"/>
  <c r="CM124" i="20" s="1"/>
  <c r="DT120" i="20"/>
  <c r="ET117" i="20"/>
  <c r="EU117" i="20" s="1"/>
  <c r="EV117" i="20" s="1"/>
  <c r="DT114" i="20"/>
  <c r="BO145" i="20"/>
  <c r="BP145" i="20" s="1"/>
  <c r="EI145" i="20" s="1"/>
  <c r="EH145" i="20" s="1"/>
  <c r="DJ131" i="20"/>
  <c r="AX131" i="20"/>
  <c r="CM131" i="20" s="1"/>
  <c r="CX134" i="20"/>
  <c r="FI134" i="20"/>
  <c r="DT121" i="20"/>
  <c r="EL90" i="20"/>
  <c r="EK90" i="20" s="1"/>
  <c r="EY90" i="20" s="1"/>
  <c r="EZ90" i="20" s="1"/>
  <c r="Y90" i="20"/>
  <c r="CU87" i="20"/>
  <c r="FG87" i="20"/>
  <c r="BE80" i="20"/>
  <c r="BF80" i="20" s="1"/>
  <c r="CO80" i="20" s="1"/>
  <c r="BE69" i="20"/>
  <c r="BF69" i="20" s="1"/>
  <c r="CO69" i="20" s="1"/>
  <c r="CU60" i="20"/>
  <c r="FG60" i="20"/>
  <c r="BM94" i="20"/>
  <c r="BL94" i="20"/>
  <c r="BN94" i="20" s="1"/>
  <c r="AY120" i="20"/>
  <c r="AZ120" i="20" s="1"/>
  <c r="DC91" i="20"/>
  <c r="FJ91" i="20"/>
  <c r="BE78" i="20"/>
  <c r="BF78" i="20" s="1"/>
  <c r="CO78" i="20" s="1"/>
  <c r="AB99" i="20"/>
  <c r="AB103" i="20"/>
  <c r="AB96" i="20"/>
  <c r="AB94" i="20"/>
  <c r="AB102" i="20"/>
  <c r="AB100" i="20"/>
  <c r="EL92" i="20"/>
  <c r="EK92" i="20" s="1"/>
  <c r="EY92" i="20" s="1"/>
  <c r="EZ92" i="20" s="1"/>
  <c r="Y92" i="20"/>
  <c r="DM89" i="20"/>
  <c r="BE73" i="20"/>
  <c r="BF73" i="20" s="1"/>
  <c r="CO73" i="20" s="1"/>
  <c r="EL66" i="20"/>
  <c r="EK66" i="20" s="1"/>
  <c r="Y66" i="20"/>
  <c r="BZ63" i="20"/>
  <c r="FX63" i="20"/>
  <c r="GA63" i="20" s="1"/>
  <c r="BR63" i="20"/>
  <c r="DZ63" i="20" s="1"/>
  <c r="EB63" i="20" s="1"/>
  <c r="CA63" i="20"/>
  <c r="BK63" i="20"/>
  <c r="AN63" i="20"/>
  <c r="ET115" i="20"/>
  <c r="EU115" i="20" s="1"/>
  <c r="EV115" i="20" s="1"/>
  <c r="EY102" i="20"/>
  <c r="EZ102" i="20" s="1"/>
  <c r="EY84" i="20"/>
  <c r="EZ84" i="20" s="1"/>
  <c r="CX78" i="20"/>
  <c r="FI78" i="20"/>
  <c r="FJ135" i="20"/>
  <c r="CW135" i="20"/>
  <c r="CU125" i="20"/>
  <c r="FG125" i="20"/>
  <c r="AL108" i="20"/>
  <c r="EM105" i="20"/>
  <c r="EP105" i="20" s="1"/>
  <c r="EQ105" i="20" s="1"/>
  <c r="Y63" i="20"/>
  <c r="EL63" i="20"/>
  <c r="EK63" i="20" s="1"/>
  <c r="BE58" i="20"/>
  <c r="BF58" i="20" s="1"/>
  <c r="CO58" i="20" s="1"/>
  <c r="AM44" i="20"/>
  <c r="AL44" i="20"/>
  <c r="BO60" i="20"/>
  <c r="BP60" i="20" s="1"/>
  <c r="EI60" i="20" s="1"/>
  <c r="BM29" i="20"/>
  <c r="BL29" i="20"/>
  <c r="BN29" i="20" s="1"/>
  <c r="Y59" i="20"/>
  <c r="EL59" i="20"/>
  <c r="EK59" i="20" s="1"/>
  <c r="EY59" i="20" s="1"/>
  <c r="EZ59" i="20" s="1"/>
  <c r="BE61" i="20"/>
  <c r="BF61" i="20" s="1"/>
  <c r="CO61" i="20" s="1"/>
  <c r="BM22" i="20"/>
  <c r="BL22" i="20"/>
  <c r="BN22" i="20" s="1"/>
  <c r="BM102" i="20"/>
  <c r="BL102" i="20"/>
  <c r="BN102" i="20" s="1"/>
  <c r="ET51" i="20"/>
  <c r="EU51" i="20" s="1"/>
  <c r="EV51" i="20" s="1"/>
  <c r="EL45" i="20"/>
  <c r="EK45" i="20" s="1"/>
  <c r="Y45" i="20"/>
  <c r="BM41" i="20"/>
  <c r="BL41" i="20"/>
  <c r="BN41" i="20" s="1"/>
  <c r="EY107" i="20"/>
  <c r="EZ107" i="20" s="1"/>
  <c r="AY78" i="20"/>
  <c r="AZ78" i="20" s="1"/>
  <c r="AL64" i="20"/>
  <c r="AY52" i="20"/>
  <c r="AZ52" i="20" s="1"/>
  <c r="ET29" i="20"/>
  <c r="EU29" i="20" s="1"/>
  <c r="EV29" i="20" s="1"/>
  <c r="BM67" i="20"/>
  <c r="BO67" i="20" s="1"/>
  <c r="BP67" i="20" s="1"/>
  <c r="EI67" i="20" s="1"/>
  <c r="DJ22" i="20"/>
  <c r="AX22" i="20"/>
  <c r="M22" i="20"/>
  <c r="BF22" i="20" s="1"/>
  <c r="EL26" i="20"/>
  <c r="EK26" i="20" s="1"/>
  <c r="Y26" i="20"/>
  <c r="DP34" i="20"/>
  <c r="DO34" i="20"/>
  <c r="EL27" i="20"/>
  <c r="EK27" i="20" s="1"/>
  <c r="EY27" i="20" s="1"/>
  <c r="EZ27" i="20" s="1"/>
  <c r="Y27" i="20"/>
  <c r="DP27" i="20"/>
  <c r="DO27" i="20"/>
  <c r="AY54" i="20"/>
  <c r="AZ54" i="20" s="1"/>
  <c r="BC332" i="20"/>
  <c r="CN332" i="20" s="1"/>
  <c r="DT340" i="20"/>
  <c r="BI340" i="20"/>
  <c r="DT334" i="20"/>
  <c r="BI334" i="20"/>
  <c r="EL331" i="20"/>
  <c r="EK331" i="20" s="1"/>
  <c r="Y331" i="20"/>
  <c r="BH327" i="20"/>
  <c r="DA323" i="20"/>
  <c r="FG323" i="20"/>
  <c r="BB344" i="20"/>
  <c r="BB336" i="20"/>
  <c r="BI341" i="20"/>
  <c r="DT341" i="20"/>
  <c r="DA325" i="20"/>
  <c r="FG325" i="20"/>
  <c r="CI351" i="20"/>
  <c r="EL330" i="20"/>
  <c r="EK330" i="20" s="1"/>
  <c r="Y330" i="20"/>
  <c r="ET323" i="20"/>
  <c r="EU323" i="20" s="1"/>
  <c r="EV323" i="20" s="1"/>
  <c r="AZ307" i="20"/>
  <c r="BH307" i="20"/>
  <c r="FI315" i="20"/>
  <c r="DD315" i="20"/>
  <c r="ET324" i="20"/>
  <c r="EU324" i="20" s="1"/>
  <c r="EV324" i="20" s="1"/>
  <c r="FG318" i="20"/>
  <c r="DA318" i="20"/>
  <c r="AX313" i="20"/>
  <c r="CM313" i="20" s="1"/>
  <c r="DI313" i="20"/>
  <c r="M313" i="20"/>
  <c r="BF313" i="20" s="1"/>
  <c r="CO313" i="20" s="1"/>
  <c r="FG303" i="20"/>
  <c r="CU303" i="20"/>
  <c r="BI327" i="20"/>
  <c r="DT327" i="20"/>
  <c r="AZ316" i="20"/>
  <c r="FG314" i="20"/>
  <c r="DA314" i="20"/>
  <c r="EL306" i="20"/>
  <c r="EK306" i="20" s="1"/>
  <c r="Y306" i="20"/>
  <c r="CA299" i="20"/>
  <c r="FY299" i="20"/>
  <c r="GA299" i="20" s="1"/>
  <c r="CS299" i="20" s="1"/>
  <c r="BZ299" i="20"/>
  <c r="BR299" i="20"/>
  <c r="DZ299" i="20" s="1"/>
  <c r="EB299" i="20" s="1"/>
  <c r="AZ297" i="20"/>
  <c r="BR291" i="20"/>
  <c r="DZ291" i="20" s="1"/>
  <c r="EB291" i="20" s="1"/>
  <c r="CA291" i="20"/>
  <c r="BZ291" i="20"/>
  <c r="DA271" i="20"/>
  <c r="FG271" i="20"/>
  <c r="EG298" i="20"/>
  <c r="ET283" i="20"/>
  <c r="EU283" i="20" s="1"/>
  <c r="EV283" i="20" s="1"/>
  <c r="M281" i="20"/>
  <c r="BF281" i="20" s="1"/>
  <c r="CO281" i="20" s="1"/>
  <c r="DI281" i="20"/>
  <c r="AX281" i="20"/>
  <c r="CM281" i="20" s="1"/>
  <c r="AY300" i="20"/>
  <c r="DI292" i="20"/>
  <c r="M292" i="20"/>
  <c r="BF292" i="20" s="1"/>
  <c r="CO292" i="20" s="1"/>
  <c r="BB292" i="20"/>
  <c r="AX292" i="20"/>
  <c r="CM292" i="20" s="1"/>
  <c r="BI278" i="20"/>
  <c r="BC284" i="20"/>
  <c r="CN284" i="20" s="1"/>
  <c r="DT269" i="20"/>
  <c r="BI269" i="20"/>
  <c r="BI257" i="20"/>
  <c r="DT257" i="20"/>
  <c r="DM286" i="20"/>
  <c r="DM272" i="20"/>
  <c r="T279" i="20"/>
  <c r="CA268" i="20"/>
  <c r="AL268" i="20"/>
  <c r="FY268" i="20"/>
  <c r="GA268" i="20" s="1"/>
  <c r="CS268" i="20" s="1"/>
  <c r="BZ268" i="20"/>
  <c r="BR268" i="20"/>
  <c r="DZ268" i="20" s="1"/>
  <c r="EB268" i="20" s="1"/>
  <c r="CA255" i="20"/>
  <c r="FY255" i="20"/>
  <c r="GA255" i="20" s="1"/>
  <c r="CS255" i="20" s="1"/>
  <c r="BZ255" i="20"/>
  <c r="BR255" i="20"/>
  <c r="DZ255" i="20" s="1"/>
  <c r="EB255" i="20" s="1"/>
  <c r="DI241" i="20"/>
  <c r="BB241" i="20"/>
  <c r="BC241" i="20" s="1"/>
  <c r="CN241" i="20" s="1"/>
  <c r="AX241" i="20"/>
  <c r="CM241" i="20" s="1"/>
  <c r="M241" i="20"/>
  <c r="DI257" i="20"/>
  <c r="M257" i="20"/>
  <c r="BF257" i="20" s="1"/>
  <c r="CO257" i="20" s="1"/>
  <c r="AX257" i="20"/>
  <c r="CM257" i="20" s="1"/>
  <c r="FI252" i="20"/>
  <c r="DD252" i="20"/>
  <c r="ET248" i="20"/>
  <c r="EU248" i="20" s="1"/>
  <c r="EV248" i="20" s="1"/>
  <c r="EG245" i="20"/>
  <c r="EH245" i="20"/>
  <c r="CU266" i="20"/>
  <c r="FG266" i="20"/>
  <c r="DD245" i="20"/>
  <c r="FI245" i="20"/>
  <c r="BI249" i="20"/>
  <c r="DT249" i="20"/>
  <c r="CA257" i="20"/>
  <c r="BZ257" i="20"/>
  <c r="BR257" i="20"/>
  <c r="DZ257" i="20" s="1"/>
  <c r="EB257" i="20" s="1"/>
  <c r="BC232" i="20"/>
  <c r="CN232" i="20" s="1"/>
  <c r="DI256" i="20"/>
  <c r="M256" i="20"/>
  <c r="BF256" i="20" s="1"/>
  <c r="CO256" i="20" s="1"/>
  <c r="AX256" i="20"/>
  <c r="CM256" i="20" s="1"/>
  <c r="DM234" i="20"/>
  <c r="DM248" i="20"/>
  <c r="DT198" i="20"/>
  <c r="BI235" i="20"/>
  <c r="BJ235" i="20" s="1"/>
  <c r="DT235" i="20"/>
  <c r="FI223" i="20"/>
  <c r="CX223" i="20"/>
  <c r="M221" i="20"/>
  <c r="BF221" i="20" s="1"/>
  <c r="CO221" i="20" s="1"/>
  <c r="AX221" i="20"/>
  <c r="CM221" i="20" s="1"/>
  <c r="BB221" i="20"/>
  <c r="BC221" i="20" s="1"/>
  <c r="CN221" i="20" s="1"/>
  <c r="DI221" i="20"/>
  <c r="AX208" i="20"/>
  <c r="CM208" i="20" s="1"/>
  <c r="P208" i="20"/>
  <c r="DI208" i="20"/>
  <c r="M208" i="20"/>
  <c r="BF208" i="20" s="1"/>
  <c r="CO208" i="20" s="1"/>
  <c r="BH227" i="20"/>
  <c r="BJ227" i="20" s="1"/>
  <c r="AZ227" i="20"/>
  <c r="CX203" i="20"/>
  <c r="FI203" i="20"/>
  <c r="FJ187" i="20"/>
  <c r="DC187" i="20"/>
  <c r="AR214" i="20"/>
  <c r="DN194" i="20"/>
  <c r="EL199" i="20"/>
  <c r="EK199" i="20" s="1"/>
  <c r="Y199" i="20"/>
  <c r="EM194" i="20"/>
  <c r="EP194" i="20" s="1"/>
  <c r="EQ194" i="20" s="1"/>
  <c r="EL179" i="20"/>
  <c r="EK179" i="20" s="1"/>
  <c r="Y179" i="20"/>
  <c r="ET176" i="20"/>
  <c r="EU176" i="20" s="1"/>
  <c r="EV176" i="20" s="1"/>
  <c r="P206" i="20"/>
  <c r="M206" i="20"/>
  <c r="BF206" i="20" s="1"/>
  <c r="CO206" i="20" s="1"/>
  <c r="DI206" i="20"/>
  <c r="AX206" i="20"/>
  <c r="CM206" i="20" s="1"/>
  <c r="BR202" i="20"/>
  <c r="DZ202" i="20" s="1"/>
  <c r="EB202" i="20" s="1"/>
  <c r="CA202" i="20"/>
  <c r="FY202" i="20"/>
  <c r="GA202" i="20" s="1"/>
  <c r="CS202" i="20" s="1"/>
  <c r="AQ196" i="20"/>
  <c r="AL186" i="20"/>
  <c r="EE186" i="20"/>
  <c r="DM180" i="20"/>
  <c r="ET187" i="20"/>
  <c r="EU187" i="20" s="1"/>
  <c r="EV187" i="20" s="1"/>
  <c r="AT167" i="20"/>
  <c r="DU167" i="20" s="1"/>
  <c r="DN167" i="20" s="1"/>
  <c r="Y157" i="20"/>
  <c r="EL157" i="20"/>
  <c r="EK157" i="20" s="1"/>
  <c r="BC149" i="20"/>
  <c r="CN149" i="20" s="1"/>
  <c r="DT147" i="20"/>
  <c r="DM184" i="20"/>
  <c r="FG145" i="20"/>
  <c r="DA145" i="20"/>
  <c r="BH175" i="20"/>
  <c r="BJ175" i="20" s="1"/>
  <c r="BC170" i="20"/>
  <c r="CN170" i="20" s="1"/>
  <c r="DA166" i="20"/>
  <c r="FG166" i="20"/>
  <c r="BC162" i="20"/>
  <c r="AV162" i="20"/>
  <c r="AW162" i="20" s="1"/>
  <c r="DM168" i="20"/>
  <c r="BJ162" i="20"/>
  <c r="DA152" i="20"/>
  <c r="FG152" i="20"/>
  <c r="FI138" i="20"/>
  <c r="CX138" i="20"/>
  <c r="EY151" i="20"/>
  <c r="EZ151" i="20" s="1"/>
  <c r="FI139" i="20"/>
  <c r="DD139" i="20"/>
  <c r="AY122" i="20"/>
  <c r="AZ122" i="20" s="1"/>
  <c r="CU85" i="20"/>
  <c r="FG85" i="20"/>
  <c r="FG130" i="20"/>
  <c r="CU130" i="20"/>
  <c r="ET102" i="20"/>
  <c r="EU102" i="20" s="1"/>
  <c r="EV102" i="20" s="1"/>
  <c r="CA87" i="20"/>
  <c r="BK87" i="20"/>
  <c r="BR87" i="20"/>
  <c r="DZ87" i="20" s="1"/>
  <c r="EB87" i="20" s="1"/>
  <c r="BZ87" i="20"/>
  <c r="FX87" i="20"/>
  <c r="GA87" i="20" s="1"/>
  <c r="CS87" i="20" s="1"/>
  <c r="CK155" i="20"/>
  <c r="AZ140" i="20"/>
  <c r="DJ137" i="20"/>
  <c r="EY137" i="20" s="1"/>
  <c r="AX137" i="20"/>
  <c r="CM137" i="20" s="1"/>
  <c r="AZ134" i="20"/>
  <c r="Y81" i="20"/>
  <c r="EL81" i="20"/>
  <c r="EK81" i="20" s="1"/>
  <c r="EY81" i="20" s="1"/>
  <c r="EZ81" i="20" s="1"/>
  <c r="BR79" i="20"/>
  <c r="DZ79" i="20" s="1"/>
  <c r="EB79" i="20" s="1"/>
  <c r="FX79" i="20"/>
  <c r="GA79" i="20" s="1"/>
  <c r="CS79" i="20" s="1"/>
  <c r="CA79" i="20"/>
  <c r="BK79" i="20"/>
  <c r="AN79" i="20"/>
  <c r="BZ79" i="20"/>
  <c r="AL68" i="20"/>
  <c r="AM68" i="20"/>
  <c r="AT108" i="20"/>
  <c r="DU108" i="20" s="1"/>
  <c r="EM108" i="20" s="1"/>
  <c r="EP108" i="20" s="1"/>
  <c r="EQ108" i="20" s="1"/>
  <c r="AP109" i="20"/>
  <c r="BZ104" i="20"/>
  <c r="CB104" i="20" s="1"/>
  <c r="CI104" i="20" s="1"/>
  <c r="CK104" i="20" s="1"/>
  <c r="AY101" i="20"/>
  <c r="ET80" i="20"/>
  <c r="EU80" i="20" s="1"/>
  <c r="EV80" i="20" s="1"/>
  <c r="AM77" i="20"/>
  <c r="AL77" i="20"/>
  <c r="Y47" i="20"/>
  <c r="EL47" i="20"/>
  <c r="EK47" i="20" s="1"/>
  <c r="BE82" i="20"/>
  <c r="BF82" i="20" s="1"/>
  <c r="CO82" i="20" s="1"/>
  <c r="ET78" i="20"/>
  <c r="EU78" i="20" s="1"/>
  <c r="EV78" i="20" s="1"/>
  <c r="BE70" i="20"/>
  <c r="BF70" i="20" s="1"/>
  <c r="CO70" i="20" s="1"/>
  <c r="AZ70" i="20"/>
  <c r="AY135" i="20"/>
  <c r="AZ135" i="20" s="1"/>
  <c r="ET127" i="20"/>
  <c r="EU127" i="20" s="1"/>
  <c r="EV127" i="20" s="1"/>
  <c r="Y104" i="20"/>
  <c r="EL104" i="20"/>
  <c r="EK104" i="20" s="1"/>
  <c r="EY104" i="20" s="1"/>
  <c r="EZ104" i="20" s="1"/>
  <c r="CX89" i="20"/>
  <c r="FI89" i="20"/>
  <c r="FX75" i="20"/>
  <c r="GA75" i="20" s="1"/>
  <c r="CS75" i="20" s="1"/>
  <c r="EE75" i="20"/>
  <c r="CA75" i="20"/>
  <c r="BK75" i="20"/>
  <c r="AN75" i="20"/>
  <c r="BZ75" i="20"/>
  <c r="BR75" i="20"/>
  <c r="DZ75" i="20" s="1"/>
  <c r="EB75" i="20" s="1"/>
  <c r="BZ57" i="20"/>
  <c r="BR57" i="20"/>
  <c r="DZ57" i="20" s="1"/>
  <c r="EB57" i="20" s="1"/>
  <c r="CA57" i="20"/>
  <c r="FX57" i="20"/>
  <c r="GA57" i="20" s="1"/>
  <c r="CS57" i="20" s="1"/>
  <c r="BK57" i="20"/>
  <c r="AN57" i="20"/>
  <c r="EE57" i="20"/>
  <c r="DT119" i="20"/>
  <c r="ET105" i="20"/>
  <c r="EU105" i="20" s="1"/>
  <c r="EV105" i="20" s="1"/>
  <c r="BZ90" i="20"/>
  <c r="BR90" i="20"/>
  <c r="DZ90" i="20" s="1"/>
  <c r="EB90" i="20" s="1"/>
  <c r="CA90" i="20"/>
  <c r="FX90" i="20"/>
  <c r="GA90" i="20" s="1"/>
  <c r="CS90" i="20" s="1"/>
  <c r="BK90" i="20"/>
  <c r="AN90" i="20"/>
  <c r="EY125" i="20"/>
  <c r="EZ125" i="20" s="1"/>
  <c r="BO112" i="20"/>
  <c r="BP112" i="20" s="1"/>
  <c r="EI112" i="20" s="1"/>
  <c r="EH112" i="20" s="1"/>
  <c r="AZ104" i="20"/>
  <c r="BC104" i="20" s="1"/>
  <c r="ET84" i="20"/>
  <c r="EU84" i="20" s="1"/>
  <c r="EV84" i="20" s="1"/>
  <c r="AM81" i="20"/>
  <c r="AL81" i="20"/>
  <c r="BE74" i="20"/>
  <c r="BF74" i="20" s="1"/>
  <c r="CO74" i="20" s="1"/>
  <c r="AZ74" i="20"/>
  <c r="BE71" i="20"/>
  <c r="BF71" i="20" s="1"/>
  <c r="CO71" i="20" s="1"/>
  <c r="AZ71" i="20"/>
  <c r="AL60" i="20"/>
  <c r="BC55" i="20"/>
  <c r="CN55" i="20" s="1"/>
  <c r="DM45" i="20"/>
  <c r="EL41" i="20"/>
  <c r="EK41" i="20" s="1"/>
  <c r="Y41" i="20"/>
  <c r="DM77" i="20"/>
  <c r="BC22" i="20"/>
  <c r="EY78" i="20"/>
  <c r="EZ78" i="20" s="1"/>
  <c r="BR68" i="20"/>
  <c r="DZ68" i="20" s="1"/>
  <c r="EB68" i="20" s="1"/>
  <c r="FX68" i="20"/>
  <c r="GA68" i="20" s="1"/>
  <c r="CS68" i="20" s="1"/>
  <c r="CA68" i="20"/>
  <c r="BK68" i="20"/>
  <c r="AN68" i="20"/>
  <c r="BZ68" i="20"/>
  <c r="M26" i="20"/>
  <c r="BF26" i="20" s="1"/>
  <c r="DJ26" i="20"/>
  <c r="AX26" i="20"/>
  <c r="AL80" i="20"/>
  <c r="Y70" i="20"/>
  <c r="EL70" i="20"/>
  <c r="EK70" i="20" s="1"/>
  <c r="EY70" i="20" s="1"/>
  <c r="EZ70" i="20" s="1"/>
  <c r="CX67" i="20"/>
  <c r="FI67" i="20"/>
  <c r="AL69" i="20"/>
  <c r="AY94" i="20"/>
  <c r="AZ94" i="20" s="1"/>
  <c r="BE64" i="20"/>
  <c r="BF64" i="20" s="1"/>
  <c r="CO64" i="20" s="1"/>
  <c r="BL52" i="20"/>
  <c r="BN52" i="20" s="1"/>
  <c r="DM49" i="20"/>
  <c r="CI47" i="20"/>
  <c r="M39" i="20"/>
  <c r="BF39" i="20" s="1"/>
  <c r="AX39" i="20"/>
  <c r="DJ39" i="20"/>
  <c r="BM34" i="20"/>
  <c r="BL34" i="20"/>
  <c r="BN34" i="20" s="1"/>
  <c r="ET24" i="20"/>
  <c r="EU24" i="20" s="1"/>
  <c r="EV24" i="20" s="1"/>
  <c r="DP20" i="20"/>
  <c r="DO20" i="20"/>
  <c r="DP46" i="20"/>
  <c r="DO46" i="20"/>
  <c r="BC25" i="20"/>
  <c r="DO23" i="20"/>
  <c r="DP23" i="20"/>
  <c r="BB51" i="20"/>
  <c r="BC51" i="20" s="1"/>
  <c r="AU21" i="20"/>
  <c r="DP30" i="20"/>
  <c r="DO30" i="20"/>
  <c r="EL22" i="20"/>
  <c r="EK22" i="20" s="1"/>
  <c r="Y22" i="20"/>
  <c r="Y19" i="20"/>
  <c r="EL19" i="20"/>
  <c r="EK19" i="20" s="1"/>
  <c r="AY429" i="20"/>
  <c r="BH429" i="20" s="1"/>
  <c r="BR442" i="20"/>
  <c r="DZ442" i="20" s="1"/>
  <c r="EB442" i="20" s="1"/>
  <c r="EH442" i="20" s="1"/>
  <c r="BZ442" i="20"/>
  <c r="AL442" i="20"/>
  <c r="CA442" i="20"/>
  <c r="FY442" i="20"/>
  <c r="GA442" i="20" s="1"/>
  <c r="CS442" i="20" s="1"/>
  <c r="ED465" i="20"/>
  <c r="AX436" i="20"/>
  <c r="CM436" i="20" s="1"/>
  <c r="M436" i="20"/>
  <c r="BF436" i="20" s="1"/>
  <c r="CO436" i="20" s="1"/>
  <c r="DI436" i="20"/>
  <c r="DT429" i="20"/>
  <c r="BI429" i="20"/>
  <c r="BR431" i="20"/>
  <c r="DZ431" i="20" s="1"/>
  <c r="EB431" i="20" s="1"/>
  <c r="BZ431" i="20"/>
  <c r="AL431" i="20"/>
  <c r="CA431" i="20"/>
  <c r="CA428" i="20"/>
  <c r="FY428" i="20"/>
  <c r="GA428" i="20" s="1"/>
  <c r="CS428" i="20" s="1"/>
  <c r="BZ428" i="20"/>
  <c r="BR428" i="20"/>
  <c r="DZ428" i="20" s="1"/>
  <c r="EB428" i="20" s="1"/>
  <c r="EH428" i="20" s="1"/>
  <c r="AL428" i="20"/>
  <c r="AY420" i="20"/>
  <c r="BI419" i="20"/>
  <c r="DT419" i="20"/>
  <c r="ET418" i="20"/>
  <c r="EU418" i="20" s="1"/>
  <c r="EV418" i="20" s="1"/>
  <c r="ET415" i="20"/>
  <c r="EU415" i="20" s="1"/>
  <c r="EV415" i="20" s="1"/>
  <c r="ET417" i="20"/>
  <c r="EU417" i="20" s="1"/>
  <c r="EV417" i="20" s="1"/>
  <c r="CU410" i="20"/>
  <c r="FG410" i="20"/>
  <c r="BI414" i="20"/>
  <c r="DT414" i="20"/>
  <c r="Y423" i="20"/>
  <c r="BF420" i="20"/>
  <c r="CO420" i="20" s="1"/>
  <c r="CA415" i="20"/>
  <c r="BZ415" i="20"/>
  <c r="BR415" i="20"/>
  <c r="DZ415" i="20" s="1"/>
  <c r="EB415" i="20" s="1"/>
  <c r="EH415" i="20" s="1"/>
  <c r="CA407" i="20"/>
  <c r="FY407" i="20"/>
  <c r="GA407" i="20" s="1"/>
  <c r="CS407" i="20" s="1"/>
  <c r="BZ407" i="20"/>
  <c r="BR407" i="20"/>
  <c r="DZ407" i="20" s="1"/>
  <c r="EB407" i="20" s="1"/>
  <c r="DI406" i="20"/>
  <c r="M406" i="20"/>
  <c r="BF406" i="20" s="1"/>
  <c r="CO406" i="20" s="1"/>
  <c r="AX406" i="20"/>
  <c r="CM406" i="20" s="1"/>
  <c r="M407" i="20"/>
  <c r="BF407" i="20" s="1"/>
  <c r="CO407" i="20" s="1"/>
  <c r="DI407" i="20"/>
  <c r="AX407" i="20"/>
  <c r="CM407" i="20" s="1"/>
  <c r="AY393" i="20"/>
  <c r="ET404" i="20"/>
  <c r="EU404" i="20" s="1"/>
  <c r="EV404" i="20" s="1"/>
  <c r="ET397" i="20"/>
  <c r="EU397" i="20" s="1"/>
  <c r="EV397" i="20" s="1"/>
  <c r="DT388" i="20"/>
  <c r="BI388" i="20"/>
  <c r="CA400" i="20"/>
  <c r="BR400" i="20"/>
  <c r="DZ400" i="20" s="1"/>
  <c r="EB400" i="20" s="1"/>
  <c r="FY400" i="20"/>
  <c r="GA400" i="20" s="1"/>
  <c r="CS400" i="20" s="1"/>
  <c r="BZ400" i="20"/>
  <c r="T400" i="20"/>
  <c r="BB390" i="20"/>
  <c r="AY397" i="20"/>
  <c r="BH397" i="20" s="1"/>
  <c r="AY392" i="20"/>
  <c r="AZ392" i="20" s="1"/>
  <c r="CA397" i="20"/>
  <c r="BR397" i="20"/>
  <c r="DZ397" i="20" s="1"/>
  <c r="EB397" i="20" s="1"/>
  <c r="EH397" i="20" s="1"/>
  <c r="FY397" i="20"/>
  <c r="GA397" i="20" s="1"/>
  <c r="CS397" i="20" s="1"/>
  <c r="BZ397" i="20"/>
  <c r="AX386" i="20"/>
  <c r="CM386" i="20" s="1"/>
  <c r="M386" i="20"/>
  <c r="BF386" i="20" s="1"/>
  <c r="CO386" i="20" s="1"/>
  <c r="DI386" i="20"/>
  <c r="BI393" i="20"/>
  <c r="DT393" i="20"/>
  <c r="AY369" i="20"/>
  <c r="AZ369" i="20" s="1"/>
  <c r="BI375" i="20"/>
  <c r="DT375" i="20"/>
  <c r="ET391" i="20"/>
  <c r="EU391" i="20" s="1"/>
  <c r="EV391" i="20" s="1"/>
  <c r="AZ373" i="20"/>
  <c r="AX369" i="20"/>
  <c r="CM369" i="20" s="1"/>
  <c r="M369" i="20"/>
  <c r="BF369" i="20" s="1"/>
  <c r="CO369" i="20" s="1"/>
  <c r="DI369" i="20"/>
  <c r="DI389" i="20"/>
  <c r="M389" i="20"/>
  <c r="BF389" i="20" s="1"/>
  <c r="CO389" i="20" s="1"/>
  <c r="AX389" i="20"/>
  <c r="CM389" i="20" s="1"/>
  <c r="BF392" i="20"/>
  <c r="CO392" i="20" s="1"/>
  <c r="CI389" i="20"/>
  <c r="ET376" i="20"/>
  <c r="EU376" i="20" s="1"/>
  <c r="EV376" i="20" s="1"/>
  <c r="BJ368" i="20"/>
  <c r="BB363" i="20"/>
  <c r="DM357" i="20"/>
  <c r="BI360" i="20"/>
  <c r="DT360" i="20"/>
  <c r="CA364" i="20"/>
  <c r="BR364" i="20"/>
  <c r="DZ364" i="20" s="1"/>
  <c r="EB364" i="20" s="1"/>
  <c r="FY364" i="20"/>
  <c r="GA364" i="20" s="1"/>
  <c r="CS364" i="20" s="1"/>
  <c r="BZ364" i="20"/>
  <c r="AY366" i="20"/>
  <c r="FG370" i="20"/>
  <c r="CU370" i="20"/>
  <c r="AY389" i="20"/>
  <c r="AZ389" i="20" s="1"/>
  <c r="ET365" i="20"/>
  <c r="EU365" i="20" s="1"/>
  <c r="EV365" i="20" s="1"/>
  <c r="AZ352" i="20"/>
  <c r="AX351" i="20"/>
  <c r="CM351" i="20" s="1"/>
  <c r="M351" i="20"/>
  <c r="BF351" i="20" s="1"/>
  <c r="CO351" i="20" s="1"/>
  <c r="DI351" i="20"/>
  <c r="AZ343" i="20"/>
  <c r="DA334" i="20"/>
  <c r="FG334" i="20"/>
  <c r="AY347" i="20"/>
  <c r="AZ347" i="20" s="1"/>
  <c r="DI343" i="20"/>
  <c r="M343" i="20"/>
  <c r="BF343" i="20" s="1"/>
  <c r="CO343" i="20" s="1"/>
  <c r="AX343" i="20"/>
  <c r="CM343" i="20" s="1"/>
  <c r="DI340" i="20"/>
  <c r="AX340" i="20"/>
  <c r="CM340" i="20" s="1"/>
  <c r="M340" i="20"/>
  <c r="BF340" i="20" s="1"/>
  <c r="CO340" i="20" s="1"/>
  <c r="DI331" i="20"/>
  <c r="M331" i="20"/>
  <c r="BF331" i="20" s="1"/>
  <c r="CO331" i="20" s="1"/>
  <c r="AX331" i="20"/>
  <c r="CM331" i="20" s="1"/>
  <c r="BR361" i="20"/>
  <c r="DZ361" i="20" s="1"/>
  <c r="EB361" i="20" s="1"/>
  <c r="FY361" i="20"/>
  <c r="GA361" i="20" s="1"/>
  <c r="CS361" i="20" s="1"/>
  <c r="BZ361" i="20"/>
  <c r="AL361" i="20"/>
  <c r="CA361" i="20"/>
  <c r="CA355" i="20"/>
  <c r="BZ355" i="20"/>
  <c r="BR355" i="20"/>
  <c r="DZ355" i="20" s="1"/>
  <c r="EB355" i="20" s="1"/>
  <c r="EG355" i="20" s="1"/>
  <c r="EB345" i="20"/>
  <c r="DT353" i="20"/>
  <c r="BI353" i="20"/>
  <c r="ET349" i="20"/>
  <c r="EU349" i="20" s="1"/>
  <c r="EV349" i="20" s="1"/>
  <c r="DI332" i="20"/>
  <c r="M332" i="20"/>
  <c r="BF332" i="20" s="1"/>
  <c r="CO332" i="20" s="1"/>
  <c r="AX332" i="20"/>
  <c r="CM332" i="20" s="1"/>
  <c r="AL328" i="20"/>
  <c r="CA328" i="20"/>
  <c r="FY328" i="20"/>
  <c r="GA328" i="20" s="1"/>
  <c r="CS328" i="20" s="1"/>
  <c r="BZ328" i="20"/>
  <c r="BR328" i="20"/>
  <c r="DZ328" i="20" s="1"/>
  <c r="EB328" i="20" s="1"/>
  <c r="EH328" i="20" s="1"/>
  <c r="AY351" i="20"/>
  <c r="AZ351" i="20" s="1"/>
  <c r="AL344" i="20"/>
  <c r="AY348" i="20"/>
  <c r="BH348" i="20" s="1"/>
  <c r="FY335" i="20"/>
  <c r="GA335" i="20" s="1"/>
  <c r="CS335" i="20" s="1"/>
  <c r="CA335" i="20"/>
  <c r="BZ335" i="20"/>
  <c r="AL335" i="20"/>
  <c r="BR335" i="20"/>
  <c r="DZ335" i="20" s="1"/>
  <c r="EB335" i="20" s="1"/>
  <c r="EH335" i="20" s="1"/>
  <c r="BZ330" i="20"/>
  <c r="BR330" i="20"/>
  <c r="DZ330" i="20" s="1"/>
  <c r="EB330" i="20" s="1"/>
  <c r="AL330" i="20"/>
  <c r="CA330" i="20"/>
  <c r="EH350" i="20"/>
  <c r="DI341" i="20"/>
  <c r="M341" i="20"/>
  <c r="BF341" i="20" s="1"/>
  <c r="CO341" i="20" s="1"/>
  <c r="AX341" i="20"/>
  <c r="CM341" i="20" s="1"/>
  <c r="Y352" i="20"/>
  <c r="EL352" i="20"/>
  <c r="EK352" i="20" s="1"/>
  <c r="AX347" i="20"/>
  <c r="CM347" i="20" s="1"/>
  <c r="M347" i="20"/>
  <c r="BF347" i="20" s="1"/>
  <c r="CO347" i="20" s="1"/>
  <c r="DI347" i="20"/>
  <c r="T355" i="20"/>
  <c r="AY355" i="20" s="1"/>
  <c r="DT347" i="20"/>
  <c r="BI347" i="20"/>
  <c r="T328" i="20"/>
  <c r="AY315" i="20"/>
  <c r="AZ315" i="20" s="1"/>
  <c r="DT313" i="20"/>
  <c r="BI313" i="20"/>
  <c r="BJ313" i="20" s="1"/>
  <c r="AY306" i="20"/>
  <c r="AZ306" i="20" s="1"/>
  <c r="EB346" i="20"/>
  <c r="CA317" i="20"/>
  <c r="AL317" i="20"/>
  <c r="BZ317" i="20"/>
  <c r="BR317" i="20"/>
  <c r="DZ317" i="20" s="1"/>
  <c r="EB317" i="20" s="1"/>
  <c r="EH317" i="20" s="1"/>
  <c r="T317" i="20"/>
  <c r="AY317" i="20" s="1"/>
  <c r="T305" i="20"/>
  <c r="T337" i="20"/>
  <c r="AY337" i="20" s="1"/>
  <c r="CA331" i="20"/>
  <c r="FY331" i="20"/>
  <c r="GA331" i="20" s="1"/>
  <c r="CS331" i="20" s="1"/>
  <c r="BZ331" i="20"/>
  <c r="BR331" i="20"/>
  <c r="DZ331" i="20" s="1"/>
  <c r="EB331" i="20" s="1"/>
  <c r="ET315" i="20"/>
  <c r="EU315" i="20" s="1"/>
  <c r="EV315" i="20" s="1"/>
  <c r="BF324" i="20"/>
  <c r="CO324" i="20" s="1"/>
  <c r="BH318" i="20"/>
  <c r="BJ318" i="20" s="1"/>
  <c r="BH316" i="20"/>
  <c r="BF316" i="20"/>
  <c r="CO316" i="20" s="1"/>
  <c r="AZ320" i="20"/>
  <c r="BH320" i="20"/>
  <c r="BI310" i="20"/>
  <c r="DT310" i="20"/>
  <c r="AY294" i="20"/>
  <c r="AZ294" i="20" s="1"/>
  <c r="T298" i="20"/>
  <c r="DI291" i="20"/>
  <c r="M291" i="20"/>
  <c r="BF291" i="20" s="1"/>
  <c r="CO291" i="20" s="1"/>
  <c r="AX291" i="20"/>
  <c r="CM291" i="20" s="1"/>
  <c r="AY278" i="20"/>
  <c r="BH278" i="20" s="1"/>
  <c r="BB308" i="20"/>
  <c r="ET300" i="20"/>
  <c r="EU300" i="20" s="1"/>
  <c r="EV300" i="20" s="1"/>
  <c r="AZ288" i="20"/>
  <c r="DA284" i="20"/>
  <c r="FG284" i="20"/>
  <c r="BB294" i="20"/>
  <c r="DM294" i="20"/>
  <c r="AX277" i="20"/>
  <c r="CM277" i="20" s="1"/>
  <c r="DI277" i="20"/>
  <c r="M277" i="20"/>
  <c r="BF277" i="20" s="1"/>
  <c r="CO277" i="20" s="1"/>
  <c r="ET297" i="20"/>
  <c r="EU297" i="20" s="1"/>
  <c r="EV297" i="20" s="1"/>
  <c r="CI283" i="20"/>
  <c r="CK283" i="20" s="1"/>
  <c r="CP283" i="20" s="1"/>
  <c r="FG275" i="20"/>
  <c r="CU275" i="20"/>
  <c r="FY305" i="20"/>
  <c r="GA305" i="20" s="1"/>
  <c r="CS305" i="20" s="1"/>
  <c r="AY286" i="20"/>
  <c r="BH286" i="20" s="1"/>
  <c r="BH271" i="20"/>
  <c r="BB291" i="20"/>
  <c r="BB280" i="20"/>
  <c r="ET271" i="20"/>
  <c r="EU271" i="20" s="1"/>
  <c r="EV271" i="20" s="1"/>
  <c r="ET275" i="20"/>
  <c r="EU275" i="20" s="1"/>
  <c r="EV275" i="20" s="1"/>
  <c r="ET266" i="20"/>
  <c r="EU266" i="20" s="1"/>
  <c r="EV266" i="20" s="1"/>
  <c r="CA261" i="20"/>
  <c r="BR261" i="20"/>
  <c r="DZ261" i="20" s="1"/>
  <c r="EB261" i="20" s="1"/>
  <c r="BZ261" i="20"/>
  <c r="FY261" i="20"/>
  <c r="GA261" i="20" s="1"/>
  <c r="CS261" i="20" s="1"/>
  <c r="ET282" i="20"/>
  <c r="EU282" i="20" s="1"/>
  <c r="EV282" i="20" s="1"/>
  <c r="AX268" i="20"/>
  <c r="CM268" i="20" s="1"/>
  <c r="M268" i="20"/>
  <c r="BF268" i="20" s="1"/>
  <c r="CO268" i="20" s="1"/>
  <c r="DI268" i="20"/>
  <c r="BI265" i="20"/>
  <c r="DT265" i="20"/>
  <c r="BI263" i="20"/>
  <c r="DT263" i="20"/>
  <c r="T257" i="20"/>
  <c r="BI254" i="20"/>
  <c r="DT254" i="20"/>
  <c r="AY249" i="20"/>
  <c r="AZ249" i="20" s="1"/>
  <c r="CI250" i="20"/>
  <c r="CK250" i="20" s="1"/>
  <c r="CP250" i="20" s="1"/>
  <c r="BH245" i="20"/>
  <c r="EH238" i="20"/>
  <c r="EG238" i="20"/>
  <c r="BZ245" i="20"/>
  <c r="CB245" i="20" s="1"/>
  <c r="CI245" i="20" s="1"/>
  <c r="CK245" i="20" s="1"/>
  <c r="CP245" i="20" s="1"/>
  <c r="FI233" i="20"/>
  <c r="CX233" i="20"/>
  <c r="AZ229" i="20"/>
  <c r="BH229" i="20"/>
  <c r="BJ229" i="20" s="1"/>
  <c r="CI259" i="20"/>
  <c r="EH240" i="20"/>
  <c r="EG240" i="20"/>
  <c r="DM236" i="20"/>
  <c r="ET232" i="20"/>
  <c r="EU232" i="20" s="1"/>
  <c r="EV232" i="20" s="1"/>
  <c r="AX228" i="20"/>
  <c r="M228" i="20"/>
  <c r="BF228" i="20" s="1"/>
  <c r="DI228" i="20"/>
  <c r="EL245" i="20"/>
  <c r="EK245" i="20" s="1"/>
  <c r="Y245" i="20"/>
  <c r="AX235" i="20"/>
  <c r="CM235" i="20" s="1"/>
  <c r="M235" i="20"/>
  <c r="DI235" i="20"/>
  <c r="T255" i="20"/>
  <c r="DM237" i="20"/>
  <c r="BB235" i="20"/>
  <c r="BC235" i="20" s="1"/>
  <c r="CN235" i="20" s="1"/>
  <c r="DM230" i="20"/>
  <c r="BB234" i="20"/>
  <c r="BC234" i="20" s="1"/>
  <c r="CN234" i="20" s="1"/>
  <c r="BJ244" i="20"/>
  <c r="BB230" i="20"/>
  <c r="BC230" i="20" s="1"/>
  <c r="EL226" i="20"/>
  <c r="EK226" i="20" s="1"/>
  <c r="Y226" i="20"/>
  <c r="AX224" i="20"/>
  <c r="CM224" i="20" s="1"/>
  <c r="M224" i="20"/>
  <c r="BF224" i="20" s="1"/>
  <c r="CO224" i="20" s="1"/>
  <c r="DI224" i="20"/>
  <c r="CX234" i="20"/>
  <c r="FI234" i="20"/>
  <c r="DD225" i="20"/>
  <c r="FI225" i="20"/>
  <c r="FG205" i="20"/>
  <c r="CU205" i="20"/>
  <c r="BC244" i="20"/>
  <c r="CN244" i="20" s="1"/>
  <c r="DM232" i="20"/>
  <c r="DI219" i="20"/>
  <c r="M219" i="20"/>
  <c r="BF219" i="20" s="1"/>
  <c r="AX219" i="20"/>
  <c r="BB219" i="20"/>
  <c r="BC219" i="20" s="1"/>
  <c r="CU207" i="20"/>
  <c r="FG207" i="20"/>
  <c r="DT220" i="20"/>
  <c r="DM203" i="20"/>
  <c r="CU203" i="20"/>
  <c r="FG203" i="20"/>
  <c r="AL178" i="20"/>
  <c r="EE178" i="20"/>
  <c r="ED178" i="20" s="1"/>
  <c r="CR178" i="20" s="1"/>
  <c r="DM213" i="20"/>
  <c r="BI194" i="20"/>
  <c r="FG193" i="20"/>
  <c r="CU193" i="20"/>
  <c r="EL197" i="20"/>
  <c r="EK197" i="20" s="1"/>
  <c r="ET197" i="20" s="1"/>
  <c r="Y197" i="20"/>
  <c r="ET183" i="20"/>
  <c r="EU183" i="20" s="1"/>
  <c r="EV183" i="20" s="1"/>
  <c r="EL172" i="20"/>
  <c r="EK172" i="20" s="1"/>
  <c r="Y172" i="20"/>
  <c r="EL170" i="20"/>
  <c r="EK170" i="20" s="1"/>
  <c r="Y170" i="20"/>
  <c r="DT211" i="20"/>
  <c r="BI211" i="20"/>
  <c r="BB240" i="20"/>
  <c r="BC240" i="20" s="1"/>
  <c r="CN240" i="20" s="1"/>
  <c r="CU191" i="20"/>
  <c r="FG191" i="20"/>
  <c r="BH174" i="20"/>
  <c r="AZ174" i="20"/>
  <c r="CK169" i="20"/>
  <c r="CP169" i="20" s="1"/>
  <c r="AP169" i="20"/>
  <c r="AT168" i="20"/>
  <c r="DU168" i="20" s="1"/>
  <c r="DM160" i="20"/>
  <c r="BB175" i="20"/>
  <c r="BC175" i="20" s="1"/>
  <c r="CN175" i="20" s="1"/>
  <c r="DA141" i="20"/>
  <c r="FG141" i="20"/>
  <c r="DM174" i="20"/>
  <c r="ET169" i="20"/>
  <c r="EU169" i="20" s="1"/>
  <c r="EV169" i="20" s="1"/>
  <c r="AM146" i="20"/>
  <c r="AL146" i="20"/>
  <c r="EZ138" i="20"/>
  <c r="ET138" i="20"/>
  <c r="EU138" i="20" s="1"/>
  <c r="EV138" i="20" s="1"/>
  <c r="AY183" i="20"/>
  <c r="BH183" i="20" s="1"/>
  <c r="DT180" i="20"/>
  <c r="ET167" i="20"/>
  <c r="EU167" i="20" s="1"/>
  <c r="EV167" i="20" s="1"/>
  <c r="AZ158" i="20"/>
  <c r="BH158" i="20"/>
  <c r="DY162" i="20"/>
  <c r="EH162" i="20" s="1"/>
  <c r="BZ162" i="20"/>
  <c r="CB162" i="20" s="1"/>
  <c r="CI162" i="20" s="1"/>
  <c r="CK162" i="20" s="1"/>
  <c r="AY181" i="20"/>
  <c r="BH181" i="20" s="1"/>
  <c r="BP152" i="20"/>
  <c r="EI152" i="20" s="1"/>
  <c r="EH152" i="20" s="1"/>
  <c r="AZ145" i="20"/>
  <c r="AV163" i="20"/>
  <c r="AW163" i="20" s="1"/>
  <c r="BO142" i="20"/>
  <c r="BP142" i="20" s="1"/>
  <c r="EI142" i="20" s="1"/>
  <c r="EH142" i="20" s="1"/>
  <c r="ET134" i="20"/>
  <c r="EU134" i="20" s="1"/>
  <c r="EV134" i="20" s="1"/>
  <c r="EZ121" i="20"/>
  <c r="ET121" i="20"/>
  <c r="EU121" i="20" s="1"/>
  <c r="EV121" i="20" s="1"/>
  <c r="FG132" i="20"/>
  <c r="CU132" i="20"/>
  <c r="AY128" i="20"/>
  <c r="AZ128" i="20" s="1"/>
  <c r="FG123" i="20"/>
  <c r="CU123" i="20"/>
  <c r="FI114" i="20"/>
  <c r="CX114" i="20"/>
  <c r="DC147" i="20"/>
  <c r="FJ147" i="20"/>
  <c r="FG135" i="20"/>
  <c r="CU135" i="20"/>
  <c r="AZ117" i="20"/>
  <c r="BC117" i="20" s="1"/>
  <c r="CW134" i="20"/>
  <c r="FI137" i="20"/>
  <c r="CX137" i="20"/>
  <c r="AY136" i="20"/>
  <c r="AZ136" i="20" s="1"/>
  <c r="AL127" i="20"/>
  <c r="BC116" i="20"/>
  <c r="CN116" i="20" s="1"/>
  <c r="CU113" i="20"/>
  <c r="FG113" i="20"/>
  <c r="CA95" i="20"/>
  <c r="BK95" i="20"/>
  <c r="BZ95" i="20"/>
  <c r="BR95" i="20"/>
  <c r="DZ95" i="20" s="1"/>
  <c r="EB95" i="20" s="1"/>
  <c r="T95" i="20"/>
  <c r="AY95" i="20" s="1"/>
  <c r="FY95" i="20"/>
  <c r="GA95" i="20" s="1"/>
  <c r="CS95" i="20" s="1"/>
  <c r="FX83" i="20"/>
  <c r="GA83" i="20" s="1"/>
  <c r="CS83" i="20" s="1"/>
  <c r="BK83" i="20"/>
  <c r="CA83" i="20"/>
  <c r="BZ83" i="20"/>
  <c r="BR83" i="20"/>
  <c r="DZ83" i="20" s="1"/>
  <c r="EB83" i="20" s="1"/>
  <c r="AN83" i="20"/>
  <c r="DT76" i="20"/>
  <c r="BB124" i="20"/>
  <c r="BC124" i="20" s="1"/>
  <c r="CN124" i="20" s="1"/>
  <c r="EZ117" i="20"/>
  <c r="AT107" i="20"/>
  <c r="DU107" i="20" s="1"/>
  <c r="BC89" i="20"/>
  <c r="CN89" i="20" s="1"/>
  <c r="FI126" i="20"/>
  <c r="CX126" i="20"/>
  <c r="FY97" i="20"/>
  <c r="GA97" i="20" s="1"/>
  <c r="CS97" i="20" s="1"/>
  <c r="CA97" i="20"/>
  <c r="BK97" i="20"/>
  <c r="BZ97" i="20"/>
  <c r="T97" i="20"/>
  <c r="BR97" i="20"/>
  <c r="DZ97" i="20" s="1"/>
  <c r="EB97" i="20" s="1"/>
  <c r="EH93" i="20"/>
  <c r="BE90" i="20"/>
  <c r="BF90" i="20" s="1"/>
  <c r="CO90" i="20" s="1"/>
  <c r="EL79" i="20"/>
  <c r="EK79" i="20" s="1"/>
  <c r="Y79" i="20"/>
  <c r="FG67" i="20"/>
  <c r="CU67" i="20"/>
  <c r="M47" i="20"/>
  <c r="BF47" i="20" s="1"/>
  <c r="DJ47" i="20"/>
  <c r="AX47" i="20"/>
  <c r="CX130" i="20"/>
  <c r="FI130" i="20"/>
  <c r="CX115" i="20"/>
  <c r="FI115" i="20"/>
  <c r="FX105" i="20"/>
  <c r="GA105" i="20" s="1"/>
  <c r="BR105" i="20"/>
  <c r="DZ105" i="20" s="1"/>
  <c r="EB105" i="20" s="1"/>
  <c r="BE105" i="20"/>
  <c r="BF105" i="20" s="1"/>
  <c r="FX86" i="20"/>
  <c r="GA86" i="20" s="1"/>
  <c r="CS86" i="20" s="1"/>
  <c r="CA86" i="20"/>
  <c r="BZ86" i="20"/>
  <c r="BR86" i="20"/>
  <c r="DZ86" i="20" s="1"/>
  <c r="EB86" i="20" s="1"/>
  <c r="BK86" i="20"/>
  <c r="AN86" i="20"/>
  <c r="CX81" i="20"/>
  <c r="FI81" i="20"/>
  <c r="CB78" i="20"/>
  <c r="CI78" i="20" s="1"/>
  <c r="CK78" i="20" s="1"/>
  <c r="CP78" i="20" s="1"/>
  <c r="FI69" i="20"/>
  <c r="CX69" i="20"/>
  <c r="BE100" i="20"/>
  <c r="AZ100" i="20"/>
  <c r="EL77" i="20"/>
  <c r="EK77" i="20" s="1"/>
  <c r="Y77" i="20"/>
  <c r="FI74" i="20"/>
  <c r="CX74" i="20"/>
  <c r="FX72" i="20"/>
  <c r="GA72" i="20" s="1"/>
  <c r="CS72" i="20" s="1"/>
  <c r="EE72" i="20"/>
  <c r="BZ72" i="20"/>
  <c r="BR72" i="20"/>
  <c r="DZ72" i="20" s="1"/>
  <c r="EB72" i="20" s="1"/>
  <c r="AN72" i="20"/>
  <c r="CA72" i="20"/>
  <c r="BK72" i="20"/>
  <c r="CU56" i="20"/>
  <c r="FG56" i="20"/>
  <c r="CU52" i="20"/>
  <c r="FG52" i="20"/>
  <c r="BC47" i="20"/>
  <c r="EU119" i="20"/>
  <c r="EV119" i="20" s="1"/>
  <c r="CU115" i="20"/>
  <c r="FG115" i="20"/>
  <c r="AY90" i="20"/>
  <c r="AZ90" i="20" s="1"/>
  <c r="EE83" i="20"/>
  <c r="CB76" i="20"/>
  <c r="CI76" i="20" s="1"/>
  <c r="CK76" i="20" s="1"/>
  <c r="CP76" i="20" s="1"/>
  <c r="BP58" i="20"/>
  <c r="EI58" i="20" s="1"/>
  <c r="CB138" i="20"/>
  <c r="CI138" i="20" s="1"/>
  <c r="CK138" i="20" s="1"/>
  <c r="CP138" i="20" s="1"/>
  <c r="BB133" i="20"/>
  <c r="AZ119" i="20"/>
  <c r="AZ112" i="20"/>
  <c r="BM108" i="20"/>
  <c r="BO108" i="20" s="1"/>
  <c r="BP108" i="20" s="1"/>
  <c r="EI108" i="20" s="1"/>
  <c r="EH108" i="20" s="1"/>
  <c r="EY80" i="20"/>
  <c r="EZ80" i="20" s="1"/>
  <c r="DT62" i="20"/>
  <c r="EL57" i="20"/>
  <c r="EK57" i="20" s="1"/>
  <c r="Y57" i="20"/>
  <c r="BE60" i="20"/>
  <c r="BF60" i="20" s="1"/>
  <c r="CO60" i="20" s="1"/>
  <c r="AZ60" i="20"/>
  <c r="BE53" i="20"/>
  <c r="BF53" i="20" s="1"/>
  <c r="CO53" i="20" s="1"/>
  <c r="CX52" i="20"/>
  <c r="BM45" i="20"/>
  <c r="BL45" i="20"/>
  <c r="BN45" i="20" s="1"/>
  <c r="DJ25" i="20"/>
  <c r="EY25" i="20" s="1"/>
  <c r="AX25" i="20"/>
  <c r="M25" i="20"/>
  <c r="BF25" i="20" s="1"/>
  <c r="DM91" i="20"/>
  <c r="FG70" i="20"/>
  <c r="CU70" i="20"/>
  <c r="Y39" i="20"/>
  <c r="EL39" i="20"/>
  <c r="EK39" i="20" s="1"/>
  <c r="DM29" i="20"/>
  <c r="AY61" i="20"/>
  <c r="AZ61" i="20" s="1"/>
  <c r="FJ58" i="20"/>
  <c r="CW58" i="20"/>
  <c r="EY106" i="20"/>
  <c r="EZ106" i="20" s="1"/>
  <c r="BM96" i="20"/>
  <c r="BO96" i="20" s="1"/>
  <c r="BP96" i="20" s="1"/>
  <c r="EI96" i="20" s="1"/>
  <c r="ET67" i="20"/>
  <c r="EU67" i="20" s="1"/>
  <c r="EV67" i="20" s="1"/>
  <c r="EZ67" i="20"/>
  <c r="CB30" i="20"/>
  <c r="CI30" i="20" s="1"/>
  <c r="BM20" i="20"/>
  <c r="BL20" i="20"/>
  <c r="BN20" i="20" s="1"/>
  <c r="AY69" i="20"/>
  <c r="AZ69" i="20" s="1"/>
  <c r="AY59" i="20"/>
  <c r="AZ59" i="20" s="1"/>
  <c r="CB66" i="20"/>
  <c r="CI66" i="20" s="1"/>
  <c r="CK66" i="20" s="1"/>
  <c r="CP66" i="20" s="1"/>
  <c r="AY64" i="20"/>
  <c r="AZ64" i="20" s="1"/>
  <c r="BM49" i="20"/>
  <c r="BL49" i="20"/>
  <c r="BN49" i="20" s="1"/>
  <c r="BC42" i="20"/>
  <c r="DM33" i="20"/>
  <c r="AM28" i="20"/>
  <c r="AL28" i="20"/>
  <c r="AY82" i="20"/>
  <c r="AZ82" i="20" s="1"/>
  <c r="EH60" i="20"/>
  <c r="BB34" i="20"/>
  <c r="BC34" i="20" s="1"/>
  <c r="BO28" i="20"/>
  <c r="BP28" i="20" s="1"/>
  <c r="EI28" i="20" s="1"/>
  <c r="BB49" i="20"/>
  <c r="BC49" i="20" s="1"/>
  <c r="AW486" i="5"/>
  <c r="DO486" i="5"/>
  <c r="FA436" i="5"/>
  <c r="CO436" i="5"/>
  <c r="CU361" i="5"/>
  <c r="FA361" i="5"/>
  <c r="FC444" i="5"/>
  <c r="CX444" i="5"/>
  <c r="FC421" i="5"/>
  <c r="CX421" i="5"/>
  <c r="CX398" i="5"/>
  <c r="FC398" i="5"/>
  <c r="FC361" i="5"/>
  <c r="CX361" i="5"/>
  <c r="CX399" i="5"/>
  <c r="FC399" i="5"/>
  <c r="CX257" i="5"/>
  <c r="FC257" i="5"/>
  <c r="AW477" i="5"/>
  <c r="DO477" i="5"/>
  <c r="FC327" i="5"/>
  <c r="CX327" i="5"/>
  <c r="CU377" i="5"/>
  <c r="FA377" i="5"/>
  <c r="FA416" i="5"/>
  <c r="CU416" i="5"/>
  <c r="CO409" i="5"/>
  <c r="FA409" i="5"/>
  <c r="CU334" i="5"/>
  <c r="FA334" i="5"/>
  <c r="FC149" i="5"/>
  <c r="FC309" i="5"/>
  <c r="CX309" i="5"/>
  <c r="FC449" i="5"/>
  <c r="CX449" i="5"/>
  <c r="FC388" i="5"/>
  <c r="CX388" i="5"/>
  <c r="FC392" i="5"/>
  <c r="CX392" i="5"/>
  <c r="CX391" i="5"/>
  <c r="FC391" i="5"/>
  <c r="AW476" i="5"/>
  <c r="DO476" i="5"/>
  <c r="AW153" i="5"/>
  <c r="CH153" i="5" s="1"/>
  <c r="CX329" i="5"/>
  <c r="FA352" i="5"/>
  <c r="CO352" i="5"/>
  <c r="FA330" i="5"/>
  <c r="CO330" i="5"/>
  <c r="FU282" i="5"/>
  <c r="CM282" i="5" s="1"/>
  <c r="FA441" i="5"/>
  <c r="CU441" i="5"/>
  <c r="FA344" i="5"/>
  <c r="CO344" i="5"/>
  <c r="FA290" i="5"/>
  <c r="CU290" i="5"/>
  <c r="CU393" i="5"/>
  <c r="FA393" i="5"/>
  <c r="CO347" i="5"/>
  <c r="FA347" i="5"/>
  <c r="FA356" i="5"/>
  <c r="CO356" i="5"/>
  <c r="EG486" i="5"/>
  <c r="EJ486" i="5" s="1"/>
  <c r="EK486" i="5" s="1"/>
  <c r="FC445" i="5"/>
  <c r="CX445" i="5"/>
  <c r="AW483" i="5"/>
  <c r="DO483" i="5"/>
  <c r="AL20" i="5"/>
  <c r="AO20" i="5"/>
  <c r="FA366" i="5"/>
  <c r="CO366" i="5"/>
  <c r="CX153" i="5"/>
  <c r="FC153" i="5"/>
  <c r="FA384" i="5"/>
  <c r="CO384" i="5"/>
  <c r="FA358" i="5"/>
  <c r="CO358" i="5"/>
  <c r="FU431" i="5"/>
  <c r="CM431" i="5" s="1"/>
  <c r="FA354" i="5"/>
  <c r="CO354" i="5"/>
  <c r="CU298" i="5"/>
  <c r="FA298" i="5"/>
  <c r="FC425" i="5"/>
  <c r="CX425" i="5"/>
  <c r="FA258" i="5"/>
  <c r="CO258" i="5"/>
  <c r="CX441" i="5"/>
  <c r="FC441" i="5"/>
  <c r="FC380" i="5"/>
  <c r="CX380" i="5"/>
  <c r="FC350" i="5"/>
  <c r="CX350" i="5"/>
  <c r="CX280" i="5"/>
  <c r="FC280" i="5"/>
  <c r="CX386" i="5"/>
  <c r="FC386" i="5"/>
  <c r="CX422" i="5"/>
  <c r="FC422" i="5"/>
  <c r="FC323" i="5"/>
  <c r="CX323" i="5"/>
  <c r="FU413" i="5"/>
  <c r="CM413" i="5" s="1"/>
  <c r="FA345" i="5"/>
  <c r="CU345" i="5"/>
  <c r="FA286" i="5"/>
  <c r="CU286" i="5"/>
  <c r="FA153" i="5"/>
  <c r="CU153" i="5"/>
  <c r="FU373" i="5"/>
  <c r="CM373" i="5" s="1"/>
  <c r="FU274" i="5"/>
  <c r="CM274" i="5" s="1"/>
  <c r="FU419" i="5"/>
  <c r="CM419" i="5" s="1"/>
  <c r="FA437" i="5"/>
  <c r="CU437" i="5"/>
  <c r="FC150" i="5"/>
  <c r="CX150" i="5"/>
  <c r="AW496" i="5"/>
  <c r="DO496" i="5"/>
  <c r="AW472" i="5"/>
  <c r="DO472" i="5"/>
  <c r="EG472" i="5" s="1"/>
  <c r="EJ472" i="5" s="1"/>
  <c r="EK472" i="5" s="1"/>
  <c r="EG483" i="5"/>
  <c r="EJ483" i="5" s="1"/>
  <c r="EK483" i="5" s="1"/>
  <c r="CX363" i="5"/>
  <c r="FC363" i="5"/>
  <c r="FA452" i="5"/>
  <c r="CU452" i="5"/>
  <c r="CX152" i="5"/>
  <c r="FC152" i="5"/>
  <c r="FA394" i="5"/>
  <c r="CU394" i="5"/>
  <c r="CO446" i="5"/>
  <c r="FA446" i="5"/>
  <c r="CU401" i="5"/>
  <c r="FA401" i="5"/>
  <c r="FU261" i="5"/>
  <c r="CM261" i="5" s="1"/>
  <c r="FA420" i="5"/>
  <c r="CO420" i="5"/>
  <c r="FA340" i="5"/>
  <c r="CO340" i="5"/>
  <c r="CU346" i="5"/>
  <c r="FA346" i="5"/>
  <c r="FC297" i="5"/>
  <c r="CX297" i="5"/>
  <c r="AW480" i="5"/>
  <c r="DO480" i="5"/>
  <c r="EG480" i="5" s="1"/>
  <c r="EJ480" i="5" s="1"/>
  <c r="EK480" i="5" s="1"/>
  <c r="CX367" i="5"/>
  <c r="FC367" i="5"/>
  <c r="AO21" i="5"/>
  <c r="AL21" i="5"/>
  <c r="FU365" i="5"/>
  <c r="CM365" i="5" s="1"/>
  <c r="CO362" i="5"/>
  <c r="FA362" i="5"/>
  <c r="FU296" i="5"/>
  <c r="CM296" i="5" s="1"/>
  <c r="CU425" i="5"/>
  <c r="FA425" i="5"/>
  <c r="FA348" i="5"/>
  <c r="CO348" i="5"/>
  <c r="FA380" i="5"/>
  <c r="CU380" i="5"/>
  <c r="CX151" i="5"/>
  <c r="FC151" i="5"/>
  <c r="FA404" i="5"/>
  <c r="CU404" i="5"/>
  <c r="CU386" i="5"/>
  <c r="FA386" i="5"/>
  <c r="FA306" i="5"/>
  <c r="CU306" i="5"/>
  <c r="AW478" i="5"/>
  <c r="DO478" i="5"/>
  <c r="EG478" i="5" s="1"/>
  <c r="EJ478" i="5" s="1"/>
  <c r="EK478" i="5" s="1"/>
  <c r="CX254" i="5"/>
  <c r="FC254" i="5"/>
  <c r="FC266" i="5"/>
  <c r="CX266" i="5"/>
  <c r="CX418" i="5"/>
  <c r="FC418" i="5"/>
  <c r="AW494" i="5"/>
  <c r="DO494" i="5"/>
  <c r="EG494" i="5" s="1"/>
  <c r="EJ494" i="5" s="1"/>
  <c r="EK494" i="5" s="1"/>
  <c r="AW479" i="5"/>
  <c r="DO479" i="5"/>
  <c r="EG479" i="5" s="1"/>
  <c r="EJ479" i="5" s="1"/>
  <c r="EK479" i="5" s="1"/>
  <c r="AL22" i="5"/>
  <c r="FU322" i="5"/>
  <c r="CM322" i="5" s="1"/>
  <c r="FU295" i="5"/>
  <c r="CM295" i="5" s="1"/>
  <c r="FU288" i="5"/>
  <c r="CM288" i="5" s="1"/>
  <c r="FU357" i="5"/>
  <c r="CM357" i="5" s="1"/>
  <c r="FA424" i="5"/>
  <c r="CU424" i="5"/>
  <c r="AU81" i="5"/>
  <c r="AU60" i="5"/>
  <c r="AU92" i="5"/>
  <c r="AU134" i="5"/>
  <c r="AU71" i="5"/>
  <c r="AU113" i="5"/>
  <c r="AU145" i="5"/>
  <c r="AU78" i="5"/>
  <c r="AU132" i="5"/>
  <c r="DD51" i="5"/>
  <c r="AR51" i="5"/>
  <c r="AR43" i="5"/>
  <c r="DD43" i="5"/>
  <c r="DD27" i="5"/>
  <c r="AR27" i="5"/>
  <c r="AR31" i="5"/>
  <c r="DD31" i="5"/>
  <c r="R38" i="5"/>
  <c r="EF38" i="5" s="1"/>
  <c r="EE38" i="5" s="1"/>
  <c r="EN38" i="5" s="1"/>
  <c r="EO38" i="5" s="1"/>
  <c r="EP38" i="5" s="1"/>
  <c r="AU38" i="5"/>
  <c r="AV38" i="5" s="1"/>
  <c r="AW38" i="5" s="1"/>
  <c r="R50" i="5"/>
  <c r="AU50" i="5"/>
  <c r="AV50" i="5" s="1"/>
  <c r="AW50" i="5" s="1"/>
  <c r="AR25" i="5"/>
  <c r="DD25" i="5"/>
  <c r="AZ39" i="5"/>
  <c r="DD39" i="5"/>
  <c r="AR39" i="5"/>
  <c r="R42" i="5"/>
  <c r="AU42" i="5"/>
  <c r="AV42" i="5" s="1"/>
  <c r="AW42" i="5" s="1"/>
  <c r="DC443" i="5"/>
  <c r="AR443" i="5"/>
  <c r="CG443" i="5" s="1"/>
  <c r="DC411" i="5"/>
  <c r="AR411" i="5"/>
  <c r="CG411" i="5" s="1"/>
  <c r="DC371" i="5"/>
  <c r="AR371" i="5"/>
  <c r="CG371" i="5" s="1"/>
  <c r="DC303" i="5"/>
  <c r="AR303" i="5"/>
  <c r="CG303" i="5" s="1"/>
  <c r="DC271" i="5"/>
  <c r="AR271" i="5"/>
  <c r="CG271" i="5" s="1"/>
  <c r="BC317" i="5"/>
  <c r="DN317" i="5"/>
  <c r="DC288" i="5"/>
  <c r="AR288" i="5"/>
  <c r="CG288" i="5" s="1"/>
  <c r="AR260" i="5"/>
  <c r="CG260" i="5" s="1"/>
  <c r="DC260" i="5"/>
  <c r="BC300" i="5"/>
  <c r="DN300" i="5"/>
  <c r="DN284" i="5"/>
  <c r="BC284" i="5"/>
  <c r="BC268" i="5"/>
  <c r="DN268" i="5"/>
  <c r="DN267" i="5"/>
  <c r="BC267" i="5"/>
  <c r="BC257" i="5"/>
  <c r="DN257" i="5"/>
  <c r="DN338" i="5"/>
  <c r="BC338" i="5"/>
  <c r="AS306" i="5"/>
  <c r="BB306" i="5" s="1"/>
  <c r="AS254" i="5"/>
  <c r="AT254" i="5" s="1"/>
  <c r="DN252" i="5"/>
  <c r="BC252" i="5"/>
  <c r="AS312" i="5"/>
  <c r="BB312" i="5" s="1"/>
  <c r="BL428" i="5"/>
  <c r="DT428" i="5" s="1"/>
  <c r="DV428" i="5" s="1"/>
  <c r="BT428" i="5"/>
  <c r="BU428" i="5"/>
  <c r="AF389" i="5"/>
  <c r="BL389" i="5"/>
  <c r="DT389" i="5" s="1"/>
  <c r="DV389" i="5" s="1"/>
  <c r="EB389" i="5" s="1"/>
  <c r="BT389" i="5"/>
  <c r="BU389" i="5"/>
  <c r="FS389" i="5"/>
  <c r="FU389" i="5" s="1"/>
  <c r="CM389" i="5" s="1"/>
  <c r="BL349" i="5"/>
  <c r="DT349" i="5" s="1"/>
  <c r="DV349" i="5" s="1"/>
  <c r="BT349" i="5"/>
  <c r="BU349" i="5"/>
  <c r="BU275" i="5"/>
  <c r="BL275" i="5"/>
  <c r="DT275" i="5" s="1"/>
  <c r="DV275" i="5" s="1"/>
  <c r="EB275" i="5" s="1"/>
  <c r="BT275" i="5"/>
  <c r="BT437" i="5"/>
  <c r="BU437" i="5"/>
  <c r="BL437" i="5"/>
  <c r="DT437" i="5" s="1"/>
  <c r="DV437" i="5" s="1"/>
  <c r="BL405" i="5"/>
  <c r="DT405" i="5" s="1"/>
  <c r="DV405" i="5" s="1"/>
  <c r="EB405" i="5" s="1"/>
  <c r="BT405" i="5"/>
  <c r="BU405" i="5"/>
  <c r="AF376" i="5"/>
  <c r="BT376" i="5"/>
  <c r="FS376" i="5"/>
  <c r="FU376" i="5" s="1"/>
  <c r="CM376" i="5" s="1"/>
  <c r="BU376" i="5"/>
  <c r="BL376" i="5"/>
  <c r="DT376" i="5" s="1"/>
  <c r="DV376" i="5" s="1"/>
  <c r="BU346" i="5"/>
  <c r="BT346" i="5"/>
  <c r="BL346" i="5"/>
  <c r="DT346" i="5" s="1"/>
  <c r="DV346" i="5" s="1"/>
  <c r="EB346" i="5" s="1"/>
  <c r="BL318" i="5"/>
  <c r="DT318" i="5" s="1"/>
  <c r="DV318" i="5" s="1"/>
  <c r="EB318" i="5" s="1"/>
  <c r="BT318" i="5"/>
  <c r="BU318" i="5"/>
  <c r="AF276" i="5"/>
  <c r="BL276" i="5"/>
  <c r="DT276" i="5" s="1"/>
  <c r="DV276" i="5" s="1"/>
  <c r="EB276" i="5" s="1"/>
  <c r="BT276" i="5"/>
  <c r="FS276" i="5"/>
  <c r="FU276" i="5" s="1"/>
  <c r="CM276" i="5" s="1"/>
  <c r="BU276" i="5"/>
  <c r="AF430" i="5"/>
  <c r="BL430" i="5"/>
  <c r="DT430" i="5" s="1"/>
  <c r="DV430" i="5" s="1"/>
  <c r="EA430" i="5" s="1"/>
  <c r="BU430" i="5"/>
  <c r="BT430" i="5"/>
  <c r="FS430" i="5"/>
  <c r="FU430" i="5" s="1"/>
  <c r="CM430" i="5" s="1"/>
  <c r="AF447" i="5"/>
  <c r="BL447" i="5"/>
  <c r="DT447" i="5" s="1"/>
  <c r="DV447" i="5" s="1"/>
  <c r="BT447" i="5"/>
  <c r="FS447" i="5"/>
  <c r="FU447" i="5" s="1"/>
  <c r="CM447" i="5" s="1"/>
  <c r="BU447" i="5"/>
  <c r="AF415" i="5"/>
  <c r="BL415" i="5"/>
  <c r="DT415" i="5" s="1"/>
  <c r="DV415" i="5" s="1"/>
  <c r="BT415" i="5"/>
  <c r="FS415" i="5"/>
  <c r="FU415" i="5" s="1"/>
  <c r="CM415" i="5" s="1"/>
  <c r="BU415" i="5"/>
  <c r="BL382" i="5"/>
  <c r="DT382" i="5" s="1"/>
  <c r="DV382" i="5" s="1"/>
  <c r="EB382" i="5" s="1"/>
  <c r="BT382" i="5"/>
  <c r="BU382" i="5"/>
  <c r="AF336" i="5"/>
  <c r="BL336" i="5"/>
  <c r="DT336" i="5" s="1"/>
  <c r="DV336" i="5" s="1"/>
  <c r="BT336" i="5"/>
  <c r="BU336" i="5"/>
  <c r="AF273" i="5"/>
  <c r="BL273" i="5"/>
  <c r="DT273" i="5" s="1"/>
  <c r="DV273" i="5" s="1"/>
  <c r="EB273" i="5" s="1"/>
  <c r="BT273" i="5"/>
  <c r="BU273" i="5"/>
  <c r="AZ434" i="5"/>
  <c r="CI434" i="5" s="1"/>
  <c r="AR434" i="5"/>
  <c r="CG434" i="5" s="1"/>
  <c r="DC434" i="5"/>
  <c r="AZ396" i="5"/>
  <c r="CI396" i="5" s="1"/>
  <c r="DC396" i="5"/>
  <c r="AR396" i="5"/>
  <c r="CG396" i="5" s="1"/>
  <c r="AS371" i="5"/>
  <c r="BB371" i="5" s="1"/>
  <c r="AZ376" i="5"/>
  <c r="CI376" i="5" s="1"/>
  <c r="DC376" i="5"/>
  <c r="AR376" i="5"/>
  <c r="CG376" i="5" s="1"/>
  <c r="AZ365" i="5"/>
  <c r="CI365" i="5" s="1"/>
  <c r="AR365" i="5"/>
  <c r="CG365" i="5" s="1"/>
  <c r="DC365" i="5"/>
  <c r="AZ339" i="5"/>
  <c r="CI339" i="5" s="1"/>
  <c r="AR339" i="5"/>
  <c r="CG339" i="5" s="1"/>
  <c r="DC339" i="5"/>
  <c r="AR321" i="5"/>
  <c r="CG321" i="5" s="1"/>
  <c r="DC321" i="5"/>
  <c r="BL407" i="5"/>
  <c r="DT407" i="5" s="1"/>
  <c r="DV407" i="5" s="1"/>
  <c r="BT407" i="5"/>
  <c r="BU407" i="5"/>
  <c r="AF362" i="5"/>
  <c r="BL362" i="5"/>
  <c r="DT362" i="5" s="1"/>
  <c r="DV362" i="5" s="1"/>
  <c r="BT362" i="5"/>
  <c r="BU362" i="5"/>
  <c r="FS362" i="5"/>
  <c r="FU362" i="5" s="1"/>
  <c r="CM362" i="5" s="1"/>
  <c r="AF301" i="5"/>
  <c r="BL301" i="5"/>
  <c r="DT301" i="5" s="1"/>
  <c r="DV301" i="5" s="1"/>
  <c r="BT301" i="5"/>
  <c r="BU301" i="5"/>
  <c r="BT319" i="5"/>
  <c r="BU319" i="5"/>
  <c r="BL319" i="5"/>
  <c r="DT319" i="5" s="1"/>
  <c r="DV319" i="5" s="1"/>
  <c r="EB319" i="5" s="1"/>
  <c r="AF305" i="5"/>
  <c r="BL305" i="5"/>
  <c r="DT305" i="5" s="1"/>
  <c r="DV305" i="5" s="1"/>
  <c r="BT305" i="5"/>
  <c r="BU305" i="5"/>
  <c r="BC500" i="5"/>
  <c r="BD500" i="5" s="1"/>
  <c r="DN500" i="5"/>
  <c r="DN470" i="5"/>
  <c r="BC470" i="5"/>
  <c r="BD470" i="5" s="1"/>
  <c r="AZ148" i="5"/>
  <c r="CI148" i="5" s="1"/>
  <c r="DD148" i="5"/>
  <c r="ES148" i="5" s="1"/>
  <c r="AR148" i="5"/>
  <c r="CG148" i="5" s="1"/>
  <c r="BL272" i="5"/>
  <c r="DT272" i="5" s="1"/>
  <c r="DV272" i="5" s="1"/>
  <c r="BT272" i="5"/>
  <c r="FS272" i="5"/>
  <c r="FU272" i="5" s="1"/>
  <c r="CM272" i="5" s="1"/>
  <c r="BU272" i="5"/>
  <c r="BL452" i="5"/>
  <c r="DT452" i="5" s="1"/>
  <c r="DV452" i="5" s="1"/>
  <c r="BT452" i="5"/>
  <c r="BU452" i="5"/>
  <c r="DN494" i="5"/>
  <c r="BC494" i="5"/>
  <c r="AF331" i="5"/>
  <c r="BT331" i="5"/>
  <c r="BU331" i="5"/>
  <c r="BL331" i="5"/>
  <c r="DT331" i="5" s="1"/>
  <c r="DV331" i="5" s="1"/>
  <c r="AS359" i="5"/>
  <c r="AT359" i="5" s="1"/>
  <c r="DD42" i="5"/>
  <c r="AR42" i="5"/>
  <c r="AS380" i="5"/>
  <c r="BB380" i="5" s="1"/>
  <c r="DG20" i="5"/>
  <c r="DG31" i="5"/>
  <c r="DG38" i="5"/>
  <c r="DG51" i="5"/>
  <c r="CU357" i="5"/>
  <c r="FA357" i="5"/>
  <c r="CO397" i="5"/>
  <c r="FA397" i="5"/>
  <c r="FA429" i="5"/>
  <c r="CU429" i="5"/>
  <c r="AV277" i="5"/>
  <c r="EN381" i="5"/>
  <c r="EO381" i="5" s="1"/>
  <c r="EP381" i="5" s="1"/>
  <c r="S273" i="5"/>
  <c r="EF273" i="5"/>
  <c r="EE273" i="5" s="1"/>
  <c r="EN153" i="5"/>
  <c r="EO153" i="5" s="1"/>
  <c r="EP153" i="5" s="1"/>
  <c r="FA278" i="5"/>
  <c r="CU278" i="5"/>
  <c r="CU350" i="5"/>
  <c r="FA350" i="5"/>
  <c r="FA374" i="5"/>
  <c r="CO374" i="5"/>
  <c r="BY257" i="5"/>
  <c r="EN425" i="5"/>
  <c r="EO425" i="5" s="1"/>
  <c r="EP425" i="5" s="1"/>
  <c r="EN401" i="5"/>
  <c r="EO401" i="5" s="1"/>
  <c r="EP401" i="5" s="1"/>
  <c r="EN358" i="5"/>
  <c r="EO358" i="5" s="1"/>
  <c r="EP358" i="5" s="1"/>
  <c r="AV267" i="5"/>
  <c r="BV34" i="5"/>
  <c r="CC34" i="5" s="1"/>
  <c r="CE34" i="5" s="1"/>
  <c r="AT474" i="5"/>
  <c r="AS364" i="5"/>
  <c r="BB364" i="5" s="1"/>
  <c r="BB297" i="5"/>
  <c r="FA335" i="5"/>
  <c r="CO335" i="5"/>
  <c r="BY256" i="5"/>
  <c r="AZ420" i="5"/>
  <c r="CI420" i="5" s="1"/>
  <c r="EN380" i="5"/>
  <c r="EO380" i="5" s="1"/>
  <c r="EP380" i="5" s="1"/>
  <c r="EN290" i="5"/>
  <c r="EO290" i="5" s="1"/>
  <c r="EP290" i="5" s="1"/>
  <c r="S271" i="5"/>
  <c r="EF271" i="5"/>
  <c r="EE271" i="5" s="1"/>
  <c r="BV21" i="5"/>
  <c r="CC21" i="5" s="1"/>
  <c r="FA432" i="5"/>
  <c r="CO432" i="5"/>
  <c r="AZ354" i="5"/>
  <c r="CI354" i="5" s="1"/>
  <c r="AV339" i="5"/>
  <c r="EN302" i="5"/>
  <c r="EO302" i="5" s="1"/>
  <c r="EP302" i="5" s="1"/>
  <c r="BF30" i="5"/>
  <c r="BH30" i="5" s="1"/>
  <c r="BG30" i="5"/>
  <c r="AT263" i="5"/>
  <c r="BG42" i="5"/>
  <c r="BF42" i="5"/>
  <c r="BH42" i="5" s="1"/>
  <c r="EN481" i="5"/>
  <c r="EO481" i="5" s="1"/>
  <c r="EP481" i="5" s="1"/>
  <c r="DG498" i="5"/>
  <c r="BJ148" i="5"/>
  <c r="EC148" i="5" s="1"/>
  <c r="EB148" i="5" s="1"/>
  <c r="CO385" i="5"/>
  <c r="FA385" i="5"/>
  <c r="AV371" i="5"/>
  <c r="AZ262" i="5"/>
  <c r="CI262" i="5" s="1"/>
  <c r="BF41" i="5"/>
  <c r="BH41" i="5" s="1"/>
  <c r="BG41" i="5"/>
  <c r="BJ149" i="5"/>
  <c r="EC149" i="5" s="1"/>
  <c r="EB149" i="5" s="1"/>
  <c r="AT491" i="5"/>
  <c r="AT499" i="5"/>
  <c r="EN364" i="5"/>
  <c r="EO364" i="5" s="1"/>
  <c r="EP364" i="5" s="1"/>
  <c r="EN327" i="5"/>
  <c r="EO327" i="5" s="1"/>
  <c r="EP327" i="5" s="1"/>
  <c r="EN487" i="5"/>
  <c r="EO487" i="5" s="1"/>
  <c r="EP487" i="5" s="1"/>
  <c r="AV101" i="5"/>
  <c r="BY382" i="5"/>
  <c r="AS384" i="5"/>
  <c r="AT384" i="5" s="1"/>
  <c r="EN349" i="5"/>
  <c r="EO349" i="5" s="1"/>
  <c r="EP349" i="5" s="1"/>
  <c r="BV47" i="5"/>
  <c r="CC47" i="5" s="1"/>
  <c r="BF23" i="5"/>
  <c r="BH23" i="5" s="1"/>
  <c r="BG23" i="5"/>
  <c r="BB479" i="5"/>
  <c r="BB478" i="5"/>
  <c r="AT471" i="5"/>
  <c r="EO476" i="5"/>
  <c r="EP476" i="5" s="1"/>
  <c r="DX483" i="5"/>
  <c r="EG477" i="5"/>
  <c r="EJ477" i="5" s="1"/>
  <c r="EK477" i="5" s="1"/>
  <c r="DO489" i="5"/>
  <c r="DO473" i="5"/>
  <c r="EG473" i="5" s="1"/>
  <c r="EJ473" i="5" s="1"/>
  <c r="EK473" i="5" s="1"/>
  <c r="EG476" i="5"/>
  <c r="EJ476" i="5" s="1"/>
  <c r="EK476" i="5" s="1"/>
  <c r="EN452" i="5"/>
  <c r="EO452" i="5" s="1"/>
  <c r="EP452" i="5" s="1"/>
  <c r="EG496" i="5"/>
  <c r="EJ496" i="5" s="1"/>
  <c r="EK496" i="5" s="1"/>
  <c r="DH496" i="5" s="1"/>
  <c r="FS452" i="5"/>
  <c r="FU452" i="5" s="1"/>
  <c r="CM452" i="5" s="1"/>
  <c r="DX479" i="5"/>
  <c r="BB483" i="5"/>
  <c r="EN488" i="5"/>
  <c r="EO488" i="5" s="1"/>
  <c r="EP488" i="5" s="1"/>
  <c r="CE478" i="5"/>
  <c r="DX494" i="5"/>
  <c r="AT484" i="5"/>
  <c r="DX472" i="5"/>
  <c r="AU85" i="5"/>
  <c r="AU64" i="5"/>
  <c r="AU106" i="5"/>
  <c r="AU138" i="5"/>
  <c r="AU75" i="5"/>
  <c r="AU117" i="5"/>
  <c r="R53" i="5"/>
  <c r="EF53" i="5" s="1"/>
  <c r="AU53" i="5"/>
  <c r="AU94" i="5"/>
  <c r="DD37" i="5"/>
  <c r="AR37" i="5"/>
  <c r="AU24" i="5"/>
  <c r="AV24" i="5" s="1"/>
  <c r="AW24" i="5" s="1"/>
  <c r="R32" i="5"/>
  <c r="AU32" i="5"/>
  <c r="AV32" i="5" s="1"/>
  <c r="AW32" i="5" s="1"/>
  <c r="AU49" i="5"/>
  <c r="AV49" i="5" s="1"/>
  <c r="AW49" i="5" s="1"/>
  <c r="AU52" i="5"/>
  <c r="AV52" i="5" s="1"/>
  <c r="AW52" i="5" s="1"/>
  <c r="R37" i="5"/>
  <c r="EF37" i="5" s="1"/>
  <c r="EE37" i="5" s="1"/>
  <c r="EN37" i="5" s="1"/>
  <c r="EO37" i="5" s="1"/>
  <c r="EP37" i="5" s="1"/>
  <c r="AU37" i="5"/>
  <c r="AV37" i="5" s="1"/>
  <c r="AW37" i="5" s="1"/>
  <c r="R41" i="5"/>
  <c r="EF41" i="5" s="1"/>
  <c r="EE41" i="5" s="1"/>
  <c r="AU41" i="5"/>
  <c r="AV41" i="5" s="1"/>
  <c r="AW41" i="5" s="1"/>
  <c r="AR44" i="5"/>
  <c r="DD44" i="5"/>
  <c r="AR439" i="5"/>
  <c r="CG439" i="5" s="1"/>
  <c r="DC439" i="5"/>
  <c r="DC407" i="5"/>
  <c r="AR407" i="5"/>
  <c r="CG407" i="5" s="1"/>
  <c r="DC359" i="5"/>
  <c r="AR359" i="5"/>
  <c r="CG359" i="5" s="1"/>
  <c r="AR299" i="5"/>
  <c r="CG299" i="5" s="1"/>
  <c r="DC299" i="5"/>
  <c r="DC267" i="5"/>
  <c r="AR267" i="5"/>
  <c r="CG267" i="5" s="1"/>
  <c r="DC326" i="5"/>
  <c r="AR326" i="5"/>
  <c r="CG326" i="5" s="1"/>
  <c r="AR316" i="5"/>
  <c r="CG316" i="5" s="1"/>
  <c r="DC316" i="5"/>
  <c r="DC284" i="5"/>
  <c r="AR284" i="5"/>
  <c r="CG284" i="5" s="1"/>
  <c r="AR256" i="5"/>
  <c r="CG256" i="5" s="1"/>
  <c r="DC256" i="5"/>
  <c r="DC297" i="5"/>
  <c r="AR297" i="5"/>
  <c r="CG297" i="5" s="1"/>
  <c r="DC281" i="5"/>
  <c r="AR281" i="5"/>
  <c r="CG281" i="5" s="1"/>
  <c r="DC265" i="5"/>
  <c r="AR265" i="5"/>
  <c r="CG265" i="5" s="1"/>
  <c r="DN263" i="5"/>
  <c r="BC263" i="5"/>
  <c r="DN253" i="5"/>
  <c r="BC253" i="5"/>
  <c r="AZ414" i="5"/>
  <c r="CI414" i="5" s="1"/>
  <c r="AR414" i="5"/>
  <c r="CG414" i="5" s="1"/>
  <c r="DC414" i="5"/>
  <c r="AS335" i="5"/>
  <c r="BB335" i="5" s="1"/>
  <c r="AS300" i="5"/>
  <c r="AT300" i="5" s="1"/>
  <c r="AS322" i="5"/>
  <c r="AT322" i="5" s="1"/>
  <c r="AS308" i="5"/>
  <c r="BB308" i="5" s="1"/>
  <c r="AS284" i="5"/>
  <c r="BB284" i="5" s="1"/>
  <c r="BT424" i="5"/>
  <c r="BU424" i="5"/>
  <c r="BL424" i="5"/>
  <c r="DT424" i="5" s="1"/>
  <c r="DV424" i="5" s="1"/>
  <c r="EB424" i="5" s="1"/>
  <c r="BL394" i="5"/>
  <c r="DT394" i="5" s="1"/>
  <c r="DV394" i="5" s="1"/>
  <c r="EB394" i="5" s="1"/>
  <c r="BT394" i="5"/>
  <c r="BU394" i="5"/>
  <c r="BL345" i="5"/>
  <c r="DT345" i="5" s="1"/>
  <c r="DV345" i="5" s="1"/>
  <c r="EB345" i="5" s="1"/>
  <c r="BT345" i="5"/>
  <c r="BU345" i="5"/>
  <c r="AS410" i="5"/>
  <c r="BB410" i="5" s="1"/>
  <c r="BU263" i="5"/>
  <c r="BL263" i="5"/>
  <c r="DT263" i="5" s="1"/>
  <c r="DV263" i="5" s="1"/>
  <c r="EA263" i="5" s="1"/>
  <c r="BT263" i="5"/>
  <c r="BT433" i="5"/>
  <c r="BU433" i="5"/>
  <c r="BL433" i="5"/>
  <c r="DT433" i="5" s="1"/>
  <c r="DV433" i="5" s="1"/>
  <c r="EB433" i="5" s="1"/>
  <c r="BL401" i="5"/>
  <c r="DT401" i="5" s="1"/>
  <c r="DV401" i="5" s="1"/>
  <c r="EB401" i="5" s="1"/>
  <c r="BT401" i="5"/>
  <c r="BU401" i="5"/>
  <c r="BT372" i="5"/>
  <c r="FS372" i="5"/>
  <c r="FU372" i="5" s="1"/>
  <c r="CM372" i="5" s="1"/>
  <c r="BU372" i="5"/>
  <c r="BL372" i="5"/>
  <c r="DT372" i="5" s="1"/>
  <c r="DV372" i="5" s="1"/>
  <c r="EB372" i="5" s="1"/>
  <c r="AF342" i="5"/>
  <c r="BU342" i="5"/>
  <c r="BT342" i="5"/>
  <c r="BL342" i="5"/>
  <c r="DT342" i="5" s="1"/>
  <c r="DV342" i="5" s="1"/>
  <c r="BL314" i="5"/>
  <c r="DT314" i="5" s="1"/>
  <c r="DV314" i="5" s="1"/>
  <c r="EB314" i="5" s="1"/>
  <c r="BT314" i="5"/>
  <c r="BU314" i="5"/>
  <c r="AF270" i="5"/>
  <c r="BL270" i="5"/>
  <c r="DT270" i="5" s="1"/>
  <c r="DV270" i="5" s="1"/>
  <c r="EB270" i="5" s="1"/>
  <c r="BT270" i="5"/>
  <c r="FS270" i="5"/>
  <c r="FU270" i="5" s="1"/>
  <c r="CM270" i="5" s="1"/>
  <c r="BU270" i="5"/>
  <c r="AF426" i="5"/>
  <c r="BL426" i="5"/>
  <c r="DT426" i="5" s="1"/>
  <c r="DV426" i="5" s="1"/>
  <c r="EB426" i="5" s="1"/>
  <c r="BT426" i="5"/>
  <c r="BU426" i="5"/>
  <c r="FS426" i="5"/>
  <c r="FU426" i="5" s="1"/>
  <c r="CM426" i="5" s="1"/>
  <c r="AF443" i="5"/>
  <c r="BL443" i="5"/>
  <c r="DT443" i="5" s="1"/>
  <c r="DV443" i="5" s="1"/>
  <c r="BT443" i="5"/>
  <c r="FS443" i="5"/>
  <c r="FU443" i="5" s="1"/>
  <c r="CM443" i="5" s="1"/>
  <c r="BU443" i="5"/>
  <c r="BL411" i="5"/>
  <c r="DT411" i="5" s="1"/>
  <c r="DV411" i="5" s="1"/>
  <c r="BT411" i="5"/>
  <c r="FS411" i="5"/>
  <c r="FU411" i="5" s="1"/>
  <c r="CM411" i="5" s="1"/>
  <c r="BU411" i="5"/>
  <c r="AF378" i="5"/>
  <c r="BL378" i="5"/>
  <c r="DT378" i="5" s="1"/>
  <c r="DV378" i="5" s="1"/>
  <c r="EB378" i="5" s="1"/>
  <c r="BT378" i="5"/>
  <c r="FS378" i="5"/>
  <c r="FU378" i="5" s="1"/>
  <c r="CM378" i="5" s="1"/>
  <c r="BU378" i="5"/>
  <c r="BL289" i="5"/>
  <c r="DT289" i="5" s="1"/>
  <c r="DV289" i="5" s="1"/>
  <c r="BT289" i="5"/>
  <c r="FS289" i="5"/>
  <c r="FU289" i="5" s="1"/>
  <c r="CM289" i="5" s="1"/>
  <c r="BU289" i="5"/>
  <c r="AZ442" i="5"/>
  <c r="CI442" i="5" s="1"/>
  <c r="DC442" i="5"/>
  <c r="AR442" i="5"/>
  <c r="CG442" i="5" s="1"/>
  <c r="BL307" i="5"/>
  <c r="DT307" i="5" s="1"/>
  <c r="DV307" i="5" s="1"/>
  <c r="EB307" i="5" s="1"/>
  <c r="BT307" i="5"/>
  <c r="BU307" i="5"/>
  <c r="FS307" i="5"/>
  <c r="FU307" i="5" s="1"/>
  <c r="CM307" i="5" s="1"/>
  <c r="AF304" i="5"/>
  <c r="BL304" i="5"/>
  <c r="DT304" i="5" s="1"/>
  <c r="DV304" i="5" s="1"/>
  <c r="BT304" i="5"/>
  <c r="BU304" i="5"/>
  <c r="FS304" i="5"/>
  <c r="FU304" i="5" s="1"/>
  <c r="CM304" i="5" s="1"/>
  <c r="BU271" i="5"/>
  <c r="BL271" i="5"/>
  <c r="DT271" i="5" s="1"/>
  <c r="DV271" i="5" s="1"/>
  <c r="BT271" i="5"/>
  <c r="AZ314" i="5"/>
  <c r="CI314" i="5" s="1"/>
  <c r="DC314" i="5"/>
  <c r="AR314" i="5"/>
  <c r="CG314" i="5" s="1"/>
  <c r="AZ270" i="5"/>
  <c r="CI270" i="5" s="1"/>
  <c r="DC270" i="5"/>
  <c r="AR270" i="5"/>
  <c r="CG270" i="5" s="1"/>
  <c r="DD99" i="5"/>
  <c r="ES99" i="5" s="1"/>
  <c r="AR99" i="5"/>
  <c r="CG99" i="5" s="1"/>
  <c r="BL402" i="5"/>
  <c r="DT402" i="5" s="1"/>
  <c r="DV402" i="5" s="1"/>
  <c r="BT402" i="5"/>
  <c r="BU402" i="5"/>
  <c r="AF358" i="5"/>
  <c r="BL358" i="5"/>
  <c r="DT358" i="5" s="1"/>
  <c r="DV358" i="5" s="1"/>
  <c r="BT358" i="5"/>
  <c r="FS358" i="5"/>
  <c r="FU358" i="5" s="1"/>
  <c r="CM358" i="5" s="1"/>
  <c r="BU358" i="5"/>
  <c r="BU297" i="5"/>
  <c r="BL297" i="5"/>
  <c r="DT297" i="5" s="1"/>
  <c r="DV297" i="5" s="1"/>
  <c r="EB297" i="5" s="1"/>
  <c r="BT297" i="5"/>
  <c r="BT315" i="5"/>
  <c r="FS315" i="5"/>
  <c r="FU315" i="5" s="1"/>
  <c r="CM315" i="5" s="1"/>
  <c r="BU315" i="5"/>
  <c r="BL315" i="5"/>
  <c r="DT315" i="5" s="1"/>
  <c r="DV315" i="5" s="1"/>
  <c r="EB315" i="5" s="1"/>
  <c r="AF299" i="5"/>
  <c r="BL299" i="5"/>
  <c r="DT299" i="5" s="1"/>
  <c r="DV299" i="5" s="1"/>
  <c r="BT299" i="5"/>
  <c r="BU299" i="5"/>
  <c r="DN473" i="5"/>
  <c r="BC473" i="5"/>
  <c r="BL334" i="5"/>
  <c r="DT334" i="5" s="1"/>
  <c r="DV334" i="5" s="1"/>
  <c r="BU334" i="5"/>
  <c r="BT334" i="5"/>
  <c r="BL347" i="5"/>
  <c r="DT347" i="5" s="1"/>
  <c r="DV347" i="5" s="1"/>
  <c r="EB347" i="5" s="1"/>
  <c r="BT347" i="5"/>
  <c r="FS347" i="5"/>
  <c r="FU347" i="5" s="1"/>
  <c r="CM347" i="5" s="1"/>
  <c r="BU347" i="5"/>
  <c r="BE95" i="5"/>
  <c r="BU95" i="5"/>
  <c r="FS95" i="5"/>
  <c r="FU95" i="5" s="1"/>
  <c r="CM95" i="5" s="1"/>
  <c r="BL95" i="5"/>
  <c r="DT95" i="5" s="1"/>
  <c r="DV95" i="5" s="1"/>
  <c r="EB95" i="5" s="1"/>
  <c r="BT95" i="5"/>
  <c r="BV95" i="5" s="1"/>
  <c r="CC95" i="5" s="1"/>
  <c r="AR34" i="5"/>
  <c r="DD34" i="5"/>
  <c r="AS441" i="5"/>
  <c r="AT441" i="5" s="1"/>
  <c r="DG23" i="5"/>
  <c r="DG34" i="5"/>
  <c r="DG41" i="5"/>
  <c r="DG217" i="5"/>
  <c r="EN445" i="5"/>
  <c r="EO445" i="5" s="1"/>
  <c r="EP445" i="5" s="1"/>
  <c r="EN485" i="5"/>
  <c r="EO485" i="5" s="1"/>
  <c r="EP485" i="5" s="1"/>
  <c r="EN101" i="5"/>
  <c r="EO101" i="5" s="1"/>
  <c r="EP101" i="5" s="1"/>
  <c r="FS428" i="5"/>
  <c r="FU428" i="5" s="1"/>
  <c r="CM428" i="5" s="1"/>
  <c r="FS319" i="5"/>
  <c r="FU319" i="5" s="1"/>
  <c r="CM319" i="5" s="1"/>
  <c r="FS305" i="5"/>
  <c r="FU305" i="5" s="1"/>
  <c r="CM305" i="5" s="1"/>
  <c r="CO389" i="5"/>
  <c r="FA389" i="5"/>
  <c r="EN421" i="5"/>
  <c r="EO421" i="5" s="1"/>
  <c r="EP421" i="5" s="1"/>
  <c r="EN341" i="5"/>
  <c r="EO341" i="5" s="1"/>
  <c r="EP341" i="5" s="1"/>
  <c r="S277" i="5"/>
  <c r="EF277" i="5"/>
  <c r="EE277" i="5" s="1"/>
  <c r="BV20" i="5"/>
  <c r="CC20" i="5" s="1"/>
  <c r="EN480" i="5"/>
  <c r="EO480" i="5" s="1"/>
  <c r="EP480" i="5" s="1"/>
  <c r="EA437" i="5"/>
  <c r="EB437" i="5"/>
  <c r="AT397" i="5"/>
  <c r="AS420" i="5"/>
  <c r="AT420" i="5" s="1"/>
  <c r="FS318" i="5"/>
  <c r="FU318" i="5" s="1"/>
  <c r="CM318" i="5" s="1"/>
  <c r="CU342" i="5"/>
  <c r="FA342" i="5"/>
  <c r="FA390" i="5"/>
  <c r="CO390" i="5"/>
  <c r="EN384" i="5"/>
  <c r="EO384" i="5" s="1"/>
  <c r="EP384" i="5" s="1"/>
  <c r="AV102" i="5"/>
  <c r="EN449" i="5"/>
  <c r="EO449" i="5" s="1"/>
  <c r="EP449" i="5" s="1"/>
  <c r="AT490" i="5"/>
  <c r="EG489" i="5"/>
  <c r="EJ489" i="5" s="1"/>
  <c r="EK489" i="5" s="1"/>
  <c r="FA327" i="5"/>
  <c r="CU327" i="5"/>
  <c r="EN409" i="5"/>
  <c r="EO409" i="5" s="1"/>
  <c r="EP409" i="5" s="1"/>
  <c r="AZ380" i="5"/>
  <c r="CI380" i="5" s="1"/>
  <c r="EN340" i="5"/>
  <c r="EO340" i="5" s="1"/>
  <c r="EP340" i="5" s="1"/>
  <c r="EN48" i="5"/>
  <c r="EO48" i="5" s="1"/>
  <c r="EP48" i="5" s="1"/>
  <c r="EN398" i="5"/>
  <c r="EO398" i="5" s="1"/>
  <c r="EP398" i="5" s="1"/>
  <c r="AT469" i="5"/>
  <c r="AT485" i="5"/>
  <c r="EA415" i="5"/>
  <c r="BY386" i="5"/>
  <c r="AT259" i="5"/>
  <c r="EN413" i="5"/>
  <c r="EO413" i="5" s="1"/>
  <c r="EP413" i="5" s="1"/>
  <c r="EN393" i="5"/>
  <c r="EO393" i="5" s="1"/>
  <c r="EP393" i="5" s="1"/>
  <c r="AZ372" i="5"/>
  <c r="CI372" i="5" s="1"/>
  <c r="DC372" i="5"/>
  <c r="AR372" i="5"/>
  <c r="CG372" i="5" s="1"/>
  <c r="EN298" i="5"/>
  <c r="EO298" i="5" s="1"/>
  <c r="EP298" i="5" s="1"/>
  <c r="AV270" i="5"/>
  <c r="BF38" i="5"/>
  <c r="BH38" i="5" s="1"/>
  <c r="BG38" i="5"/>
  <c r="CC42" i="5"/>
  <c r="CE42" i="5" s="1"/>
  <c r="AV99" i="5"/>
  <c r="AT291" i="5"/>
  <c r="FS271" i="5"/>
  <c r="FU271" i="5" s="1"/>
  <c r="CM271" i="5" s="1"/>
  <c r="AV396" i="5"/>
  <c r="AV288" i="5"/>
  <c r="CC41" i="5"/>
  <c r="AT475" i="5"/>
  <c r="EN492" i="5"/>
  <c r="EO492" i="5" s="1"/>
  <c r="EP492" i="5" s="1"/>
  <c r="AV100" i="5"/>
  <c r="AT284" i="5"/>
  <c r="FS263" i="5"/>
  <c r="FU263" i="5" s="1"/>
  <c r="CM263" i="5" s="1"/>
  <c r="AZ364" i="5"/>
  <c r="CI364" i="5" s="1"/>
  <c r="EN342" i="5"/>
  <c r="EO342" i="5" s="1"/>
  <c r="EP342" i="5" s="1"/>
  <c r="S278" i="5"/>
  <c r="EF278" i="5"/>
  <c r="EE278" i="5" s="1"/>
  <c r="EN278" i="5" s="1"/>
  <c r="EO278" i="5" s="1"/>
  <c r="EP278" i="5" s="1"/>
  <c r="EN41" i="5"/>
  <c r="BF36" i="5"/>
  <c r="BH36" i="5" s="1"/>
  <c r="BG36" i="5"/>
  <c r="DG28" i="5"/>
  <c r="BY261" i="5"/>
  <c r="BV217" i="5"/>
  <c r="CC217" i="5" s="1"/>
  <c r="EN103" i="5"/>
  <c r="EO103" i="5" s="1"/>
  <c r="EP103" i="5" s="1"/>
  <c r="FS382" i="5"/>
  <c r="FU382" i="5" s="1"/>
  <c r="CM382" i="5" s="1"/>
  <c r="BY367" i="5"/>
  <c r="AT355" i="5"/>
  <c r="AS412" i="5"/>
  <c r="BB412" i="5" s="1"/>
  <c r="BY274" i="5"/>
  <c r="EN422" i="5"/>
  <c r="EO422" i="5" s="1"/>
  <c r="EP422" i="5" s="1"/>
  <c r="AZ402" i="5"/>
  <c r="CI402" i="5" s="1"/>
  <c r="EN378" i="5"/>
  <c r="EO378" i="5" s="1"/>
  <c r="EP378" i="5" s="1"/>
  <c r="EN360" i="5"/>
  <c r="EO360" i="5" s="1"/>
  <c r="EP360" i="5" s="1"/>
  <c r="BF39" i="5"/>
  <c r="BH39" i="5" s="1"/>
  <c r="BG39" i="5"/>
  <c r="BY331" i="5"/>
  <c r="BY310" i="5"/>
  <c r="BB486" i="5"/>
  <c r="CE489" i="5"/>
  <c r="CE476" i="5"/>
  <c r="BB472" i="5"/>
  <c r="EO477" i="5"/>
  <c r="EP477" i="5" s="1"/>
  <c r="DX470" i="5"/>
  <c r="AV442" i="5"/>
  <c r="EO496" i="5"/>
  <c r="EP496" i="5" s="1"/>
  <c r="AT492" i="5"/>
  <c r="EN489" i="5"/>
  <c r="EO489" i="5" s="1"/>
  <c r="EP489" i="5" s="1"/>
  <c r="DX493" i="5"/>
  <c r="AU123" i="5"/>
  <c r="AU127" i="5"/>
  <c r="AU57" i="5"/>
  <c r="AU89" i="5"/>
  <c r="AU131" i="5"/>
  <c r="AU68" i="5"/>
  <c r="AU110" i="5"/>
  <c r="AU142" i="5"/>
  <c r="AU79" i="5"/>
  <c r="AU121" i="5"/>
  <c r="AU66" i="5"/>
  <c r="AU120" i="5"/>
  <c r="AR49" i="5"/>
  <c r="DD49" i="5"/>
  <c r="ES49" i="5" s="1"/>
  <c r="AR23" i="5"/>
  <c r="DD23" i="5"/>
  <c r="DD24" i="5"/>
  <c r="AR24" i="5"/>
  <c r="DD26" i="5"/>
  <c r="AR26" i="5"/>
  <c r="AU28" i="5"/>
  <c r="AV28" i="5" s="1"/>
  <c r="AW28" i="5" s="1"/>
  <c r="AU44" i="5"/>
  <c r="AV44" i="5" s="1"/>
  <c r="AW44" i="5" s="1"/>
  <c r="AR52" i="5"/>
  <c r="DD52" i="5"/>
  <c r="AU29" i="5"/>
  <c r="AV29" i="5" s="1"/>
  <c r="AW29" i="5" s="1"/>
  <c r="AU33" i="5"/>
  <c r="AV33" i="5" s="1"/>
  <c r="AW33" i="5" s="1"/>
  <c r="AR435" i="5"/>
  <c r="CG435" i="5" s="1"/>
  <c r="DC435" i="5"/>
  <c r="DC403" i="5"/>
  <c r="AR403" i="5"/>
  <c r="CG403" i="5" s="1"/>
  <c r="DC379" i="5"/>
  <c r="AR379" i="5"/>
  <c r="CG379" i="5" s="1"/>
  <c r="DN323" i="5"/>
  <c r="BC323" i="5"/>
  <c r="DC295" i="5"/>
  <c r="AR295" i="5"/>
  <c r="CG295" i="5" s="1"/>
  <c r="DC263" i="5"/>
  <c r="AR263" i="5"/>
  <c r="CG263" i="5" s="1"/>
  <c r="BC325" i="5"/>
  <c r="BD325" i="5" s="1"/>
  <c r="DN325" i="5"/>
  <c r="AR312" i="5"/>
  <c r="CG312" i="5" s="1"/>
  <c r="DC312" i="5"/>
  <c r="AR280" i="5"/>
  <c r="CG280" i="5" s="1"/>
  <c r="DC280" i="5"/>
  <c r="DC313" i="5"/>
  <c r="AR313" i="5"/>
  <c r="CG313" i="5" s="1"/>
  <c r="DN296" i="5"/>
  <c r="BC296" i="5"/>
  <c r="BC280" i="5"/>
  <c r="DN280" i="5"/>
  <c r="BC264" i="5"/>
  <c r="DN264" i="5"/>
  <c r="DN259" i="5"/>
  <c r="DN405" i="5"/>
  <c r="BC405" i="5"/>
  <c r="AS331" i="5"/>
  <c r="AT331" i="5" s="1"/>
  <c r="AS285" i="5"/>
  <c r="BB285" i="5" s="1"/>
  <c r="AS319" i="5"/>
  <c r="BB319" i="5" s="1"/>
  <c r="AS279" i="5"/>
  <c r="BB279" i="5" s="1"/>
  <c r="AS280" i="5"/>
  <c r="BB280" i="5" s="1"/>
  <c r="AF420" i="5"/>
  <c r="BT420" i="5"/>
  <c r="FS420" i="5"/>
  <c r="FU420" i="5" s="1"/>
  <c r="CM420" i="5" s="1"/>
  <c r="BU420" i="5"/>
  <c r="BL420" i="5"/>
  <c r="DT420" i="5" s="1"/>
  <c r="DV420" i="5" s="1"/>
  <c r="EB420" i="5" s="1"/>
  <c r="BL387" i="5"/>
  <c r="DT387" i="5" s="1"/>
  <c r="DV387" i="5" s="1"/>
  <c r="EB387" i="5" s="1"/>
  <c r="BT387" i="5"/>
  <c r="BU387" i="5"/>
  <c r="BL341" i="5"/>
  <c r="DT341" i="5" s="1"/>
  <c r="DV341" i="5" s="1"/>
  <c r="EA341" i="5" s="1"/>
  <c r="BT341" i="5"/>
  <c r="BU341" i="5"/>
  <c r="BL321" i="5"/>
  <c r="DT321" i="5" s="1"/>
  <c r="DV321" i="5" s="1"/>
  <c r="EB321" i="5" s="1"/>
  <c r="BT321" i="5"/>
  <c r="BU321" i="5"/>
  <c r="AF259" i="5"/>
  <c r="BU259" i="5"/>
  <c r="BL259" i="5"/>
  <c r="DT259" i="5" s="1"/>
  <c r="DV259" i="5" s="1"/>
  <c r="EB259" i="5" s="1"/>
  <c r="BT259" i="5"/>
  <c r="FS259" i="5"/>
  <c r="FU259" i="5" s="1"/>
  <c r="CM259" i="5" s="1"/>
  <c r="BT429" i="5"/>
  <c r="BU429" i="5"/>
  <c r="BL429" i="5"/>
  <c r="DT429" i="5" s="1"/>
  <c r="DV429" i="5" s="1"/>
  <c r="EB429" i="5" s="1"/>
  <c r="AF390" i="5"/>
  <c r="BL390" i="5"/>
  <c r="DT390" i="5" s="1"/>
  <c r="DV390" i="5" s="1"/>
  <c r="EB390" i="5" s="1"/>
  <c r="BT390" i="5"/>
  <c r="FS390" i="5"/>
  <c r="FU390" i="5" s="1"/>
  <c r="CM390" i="5" s="1"/>
  <c r="BU390" i="5"/>
  <c r="BL369" i="5"/>
  <c r="DT369" i="5" s="1"/>
  <c r="DV369" i="5" s="1"/>
  <c r="BU369" i="5"/>
  <c r="BT369" i="5"/>
  <c r="BV369" i="5" s="1"/>
  <c r="AS405" i="5"/>
  <c r="BB405" i="5" s="1"/>
  <c r="BL310" i="5"/>
  <c r="DT310" i="5" s="1"/>
  <c r="DV310" i="5" s="1"/>
  <c r="EB310" i="5" s="1"/>
  <c r="BT310" i="5"/>
  <c r="BU310" i="5"/>
  <c r="BL266" i="5"/>
  <c r="DT266" i="5" s="1"/>
  <c r="DV266" i="5" s="1"/>
  <c r="BT266" i="5"/>
  <c r="BU266" i="5"/>
  <c r="BL418" i="5"/>
  <c r="DT418" i="5" s="1"/>
  <c r="DV418" i="5" s="1"/>
  <c r="EB418" i="5" s="1"/>
  <c r="BT418" i="5"/>
  <c r="BU418" i="5"/>
  <c r="AF439" i="5"/>
  <c r="BL439" i="5"/>
  <c r="DT439" i="5" s="1"/>
  <c r="DV439" i="5" s="1"/>
  <c r="EB439" i="5" s="1"/>
  <c r="BT439" i="5"/>
  <c r="BV439" i="5" s="1"/>
  <c r="CC439" i="5" s="1"/>
  <c r="FS439" i="5"/>
  <c r="FU439" i="5" s="1"/>
  <c r="CM439" i="5" s="1"/>
  <c r="BU439" i="5"/>
  <c r="BL406" i="5"/>
  <c r="DT406" i="5" s="1"/>
  <c r="DV406" i="5" s="1"/>
  <c r="EA406" i="5" s="1"/>
  <c r="BT406" i="5"/>
  <c r="FS406" i="5"/>
  <c r="FU406" i="5" s="1"/>
  <c r="CM406" i="5" s="1"/>
  <c r="BU406" i="5"/>
  <c r="AF374" i="5"/>
  <c r="BL374" i="5"/>
  <c r="DT374" i="5" s="1"/>
  <c r="DV374" i="5" s="1"/>
  <c r="EB374" i="5" s="1"/>
  <c r="BT374" i="5"/>
  <c r="FS374" i="5"/>
  <c r="FU374" i="5" s="1"/>
  <c r="CM374" i="5" s="1"/>
  <c r="BU374" i="5"/>
  <c r="AF282" i="5"/>
  <c r="BL282" i="5"/>
  <c r="DT282" i="5" s="1"/>
  <c r="DV282" i="5" s="1"/>
  <c r="EA282" i="5" s="1"/>
  <c r="BT282" i="5"/>
  <c r="BU282" i="5"/>
  <c r="BL252" i="5"/>
  <c r="DT252" i="5" s="1"/>
  <c r="DV252" i="5" s="1"/>
  <c r="EA252" i="5" s="1"/>
  <c r="BT252" i="5"/>
  <c r="BU252" i="5"/>
  <c r="FS252" i="5"/>
  <c r="FU252" i="5" s="1"/>
  <c r="CM252" i="5" s="1"/>
  <c r="BU303" i="5"/>
  <c r="BL303" i="5"/>
  <c r="DT303" i="5" s="1"/>
  <c r="DV303" i="5" s="1"/>
  <c r="BT303" i="5"/>
  <c r="FS303" i="5"/>
  <c r="FU303" i="5" s="1"/>
  <c r="CM303" i="5" s="1"/>
  <c r="AF302" i="5"/>
  <c r="BT302" i="5"/>
  <c r="BU302" i="5"/>
  <c r="BL302" i="5"/>
  <c r="DT302" i="5" s="1"/>
  <c r="DV302" i="5" s="1"/>
  <c r="BU267" i="5"/>
  <c r="BL267" i="5"/>
  <c r="DT267" i="5" s="1"/>
  <c r="DV267" i="5" s="1"/>
  <c r="BT267" i="5"/>
  <c r="AZ266" i="5"/>
  <c r="CI266" i="5" s="1"/>
  <c r="DC266" i="5"/>
  <c r="AR266" i="5"/>
  <c r="CG266" i="5" s="1"/>
  <c r="BL397" i="5"/>
  <c r="DT397" i="5" s="1"/>
  <c r="DV397" i="5" s="1"/>
  <c r="EB397" i="5" s="1"/>
  <c r="BT397" i="5"/>
  <c r="FS397" i="5"/>
  <c r="FU397" i="5" s="1"/>
  <c r="CM397" i="5" s="1"/>
  <c r="BU397" i="5"/>
  <c r="BL351" i="5"/>
  <c r="DT351" i="5" s="1"/>
  <c r="DV351" i="5" s="1"/>
  <c r="BT351" i="5"/>
  <c r="BU351" i="5"/>
  <c r="FS351" i="5"/>
  <c r="FU351" i="5" s="1"/>
  <c r="CM351" i="5" s="1"/>
  <c r="BL293" i="5"/>
  <c r="DT293" i="5" s="1"/>
  <c r="DV293" i="5" s="1"/>
  <c r="BT293" i="5"/>
  <c r="BU293" i="5"/>
  <c r="FS293" i="5"/>
  <c r="FU293" i="5" s="1"/>
  <c r="CM293" i="5" s="1"/>
  <c r="BT311" i="5"/>
  <c r="FS311" i="5"/>
  <c r="FU311" i="5" s="1"/>
  <c r="CM311" i="5" s="1"/>
  <c r="BL311" i="5"/>
  <c r="DT311" i="5" s="1"/>
  <c r="DV311" i="5" s="1"/>
  <c r="EB311" i="5" s="1"/>
  <c r="BU311" i="5"/>
  <c r="AF295" i="5"/>
  <c r="BL295" i="5"/>
  <c r="DT295" i="5" s="1"/>
  <c r="DV295" i="5" s="1"/>
  <c r="BT295" i="5"/>
  <c r="BU295" i="5"/>
  <c r="DN490" i="5"/>
  <c r="BC490" i="5"/>
  <c r="BD490" i="5" s="1"/>
  <c r="DN469" i="5"/>
  <c r="BC469" i="5"/>
  <c r="BD469" i="5" s="1"/>
  <c r="DN491" i="5"/>
  <c r="BC491" i="5"/>
  <c r="BD491" i="5" s="1"/>
  <c r="AF338" i="5"/>
  <c r="BU338" i="5"/>
  <c r="BT338" i="5"/>
  <c r="BL338" i="5"/>
  <c r="DT338" i="5" s="1"/>
  <c r="DV338" i="5" s="1"/>
  <c r="AS148" i="5"/>
  <c r="AT148" i="5" s="1"/>
  <c r="BL325" i="5"/>
  <c r="DT325" i="5" s="1"/>
  <c r="DV325" i="5" s="1"/>
  <c r="BT325" i="5"/>
  <c r="BU325" i="5"/>
  <c r="AF363" i="5"/>
  <c r="BL363" i="5"/>
  <c r="DT363" i="5" s="1"/>
  <c r="DV363" i="5" s="1"/>
  <c r="BT363" i="5"/>
  <c r="BU363" i="5"/>
  <c r="DG26" i="5"/>
  <c r="DG37" i="5"/>
  <c r="CX148" i="5"/>
  <c r="FC148" i="5"/>
  <c r="EN152" i="5"/>
  <c r="EO152" i="5" s="1"/>
  <c r="EP152" i="5" s="1"/>
  <c r="AT337" i="5"/>
  <c r="AT273" i="5"/>
  <c r="CU381" i="5"/>
  <c r="FA381" i="5"/>
  <c r="EN377" i="5"/>
  <c r="EO377" i="5" s="1"/>
  <c r="EP377" i="5" s="1"/>
  <c r="AV295" i="5"/>
  <c r="BI151" i="5"/>
  <c r="BJ151" i="5" s="1"/>
  <c r="EC151" i="5" s="1"/>
  <c r="EB151" i="5" s="1"/>
  <c r="FS345" i="5"/>
  <c r="FU345" i="5" s="1"/>
  <c r="CM345" i="5" s="1"/>
  <c r="FA294" i="5"/>
  <c r="CO294" i="5"/>
  <c r="FA422" i="5"/>
  <c r="CU422" i="5"/>
  <c r="AV263" i="5"/>
  <c r="BF40" i="5"/>
  <c r="BH40" i="5" s="1"/>
  <c r="BG40" i="5"/>
  <c r="BI40" i="5" s="1"/>
  <c r="BF32" i="5"/>
  <c r="BH32" i="5" s="1"/>
  <c r="BG32" i="5"/>
  <c r="CC24" i="5"/>
  <c r="BY306" i="5"/>
  <c r="EN416" i="5"/>
  <c r="EO416" i="5" s="1"/>
  <c r="EP416" i="5" s="1"/>
  <c r="EN475" i="5"/>
  <c r="EO475" i="5" s="1"/>
  <c r="EP475" i="5" s="1"/>
  <c r="FS325" i="5"/>
  <c r="FU325" i="5" s="1"/>
  <c r="CM325" i="5" s="1"/>
  <c r="AV376" i="5"/>
  <c r="BF43" i="5"/>
  <c r="BH43" i="5" s="1"/>
  <c r="BG43" i="5"/>
  <c r="BG35" i="5"/>
  <c r="BF35" i="5"/>
  <c r="BH35" i="5" s="1"/>
  <c r="FA433" i="5"/>
  <c r="CU433" i="5"/>
  <c r="BG153" i="5"/>
  <c r="BI153" i="5" s="1"/>
  <c r="BJ153" i="5" s="1"/>
  <c r="EC153" i="5" s="1"/>
  <c r="EB153" i="5" s="1"/>
  <c r="EA407" i="5"/>
  <c r="BY278" i="5"/>
  <c r="FA262" i="5"/>
  <c r="CU262" i="5"/>
  <c r="EN350" i="5"/>
  <c r="EO350" i="5" s="1"/>
  <c r="EP350" i="5" s="1"/>
  <c r="S254" i="5"/>
  <c r="EF254" i="5"/>
  <c r="EE254" i="5" s="1"/>
  <c r="CC46" i="5"/>
  <c r="CE46" i="5" s="1"/>
  <c r="EN356" i="5"/>
  <c r="EO356" i="5" s="1"/>
  <c r="EP356" i="5" s="1"/>
  <c r="DG42" i="5"/>
  <c r="FS402" i="5"/>
  <c r="FU402" i="5" s="1"/>
  <c r="CM402" i="5" s="1"/>
  <c r="AS347" i="5"/>
  <c r="BB347" i="5" s="1"/>
  <c r="FS338" i="5"/>
  <c r="FU338" i="5" s="1"/>
  <c r="CM338" i="5" s="1"/>
  <c r="AT325" i="5"/>
  <c r="AT258" i="5"/>
  <c r="EN389" i="5"/>
  <c r="EO389" i="5" s="1"/>
  <c r="EP389" i="5" s="1"/>
  <c r="EN368" i="5"/>
  <c r="EO368" i="5"/>
  <c r="EP368" i="5" s="1"/>
  <c r="AV316" i="5"/>
  <c r="EN258" i="5"/>
  <c r="EO258" i="5" s="1"/>
  <c r="EP258" i="5" s="1"/>
  <c r="DG25" i="5"/>
  <c r="FS429" i="5"/>
  <c r="FU429" i="5" s="1"/>
  <c r="CM429" i="5" s="1"/>
  <c r="FA448" i="5"/>
  <c r="CU448" i="5"/>
  <c r="AJ23" i="5"/>
  <c r="AN22" i="5"/>
  <c r="DO22" i="5" s="1"/>
  <c r="BY273" i="5"/>
  <c r="EN149" i="5"/>
  <c r="EO149" i="5" s="1"/>
  <c r="EP149" i="5" s="1"/>
  <c r="S100" i="5"/>
  <c r="EF100" i="5"/>
  <c r="EE100" i="5" s="1"/>
  <c r="EN100" i="5" s="1"/>
  <c r="EN104" i="5"/>
  <c r="EO104" i="5" s="1"/>
  <c r="EP104" i="5" s="1"/>
  <c r="FS433" i="5"/>
  <c r="FU433" i="5" s="1"/>
  <c r="CM433" i="5" s="1"/>
  <c r="FS336" i="5"/>
  <c r="FU336" i="5" s="1"/>
  <c r="CM336" i="5" s="1"/>
  <c r="AT324" i="5"/>
  <c r="AT304" i="5"/>
  <c r="FA402" i="5"/>
  <c r="CU402" i="5"/>
  <c r="AZ342" i="5"/>
  <c r="CI342" i="5" s="1"/>
  <c r="BV36" i="5"/>
  <c r="CC36" i="5" s="1"/>
  <c r="EN388" i="5"/>
  <c r="EO388" i="5" s="1"/>
  <c r="EP388" i="5" s="1"/>
  <c r="EN446" i="5"/>
  <c r="EO446" i="5" s="1"/>
  <c r="EP446" i="5" s="1"/>
  <c r="FA453" i="5"/>
  <c r="CU453" i="5"/>
  <c r="BB476" i="5"/>
  <c r="EN150" i="5"/>
  <c r="EO150" i="5" s="1"/>
  <c r="EP150" i="5" s="1"/>
  <c r="BY431" i="5"/>
  <c r="EA420" i="5"/>
  <c r="BB355" i="5"/>
  <c r="AT312" i="5"/>
  <c r="EN282" i="5"/>
  <c r="EO282" i="5" s="1"/>
  <c r="EP282" i="5" s="1"/>
  <c r="CC39" i="5"/>
  <c r="CE39" i="5" s="1"/>
  <c r="FS331" i="5"/>
  <c r="FU331" i="5" s="1"/>
  <c r="CM331" i="5" s="1"/>
  <c r="FS310" i="5"/>
  <c r="FU310" i="5" s="1"/>
  <c r="CM310" i="5" s="1"/>
  <c r="DX480" i="5"/>
  <c r="BB494" i="5"/>
  <c r="DX481" i="5"/>
  <c r="CE494" i="5"/>
  <c r="AW487" i="5"/>
  <c r="DX476" i="5"/>
  <c r="BB480" i="5"/>
  <c r="BB473" i="5"/>
  <c r="EN478" i="5"/>
  <c r="EO478" i="5" s="1"/>
  <c r="EP478" i="5" s="1"/>
  <c r="EO498" i="5"/>
  <c r="EP498" i="5" s="1"/>
  <c r="AV435" i="5"/>
  <c r="DX478" i="5"/>
  <c r="AT500" i="5"/>
  <c r="BB477" i="5"/>
  <c r="AU93" i="5"/>
  <c r="AU135" i="5"/>
  <c r="AU72" i="5"/>
  <c r="AU114" i="5"/>
  <c r="AU146" i="5"/>
  <c r="AU83" i="5"/>
  <c r="AU125" i="5"/>
  <c r="AU82" i="5"/>
  <c r="AU136" i="5"/>
  <c r="AR40" i="5"/>
  <c r="DD40" i="5"/>
  <c r="AU36" i="5"/>
  <c r="AV36" i="5" s="1"/>
  <c r="AW36" i="5" s="1"/>
  <c r="DD22" i="5"/>
  <c r="AR22" i="5"/>
  <c r="AU26" i="5"/>
  <c r="AV26" i="5" s="1"/>
  <c r="AW26" i="5" s="1"/>
  <c r="R43" i="5"/>
  <c r="EF43" i="5" s="1"/>
  <c r="EE43" i="5" s="1"/>
  <c r="AU43" i="5"/>
  <c r="AV43" i="5" s="1"/>
  <c r="AW43" i="5" s="1"/>
  <c r="AR50" i="5"/>
  <c r="DD50" i="5"/>
  <c r="AU27" i="5"/>
  <c r="AV27" i="5" s="1"/>
  <c r="AW27" i="5" s="1"/>
  <c r="AU56" i="5"/>
  <c r="AR431" i="5"/>
  <c r="CG431" i="5" s="1"/>
  <c r="DC431" i="5"/>
  <c r="DC399" i="5"/>
  <c r="AR399" i="5"/>
  <c r="CG399" i="5" s="1"/>
  <c r="DC367" i="5"/>
  <c r="AR367" i="5"/>
  <c r="CG367" i="5" s="1"/>
  <c r="DN319" i="5"/>
  <c r="BC319" i="5"/>
  <c r="DC291" i="5"/>
  <c r="AR291" i="5"/>
  <c r="CG291" i="5" s="1"/>
  <c r="DC259" i="5"/>
  <c r="AR259" i="5"/>
  <c r="CG259" i="5" s="1"/>
  <c r="DC323" i="5"/>
  <c r="AR323" i="5"/>
  <c r="CG323" i="5" s="1"/>
  <c r="DC308" i="5"/>
  <c r="AR308" i="5"/>
  <c r="CG308" i="5" s="1"/>
  <c r="AR276" i="5"/>
  <c r="CG276" i="5" s="1"/>
  <c r="DC276" i="5"/>
  <c r="DC309" i="5"/>
  <c r="AR309" i="5"/>
  <c r="CG309" i="5" s="1"/>
  <c r="AR293" i="5"/>
  <c r="CG293" i="5" s="1"/>
  <c r="DC293" i="5"/>
  <c r="DC277" i="5"/>
  <c r="AR277" i="5"/>
  <c r="CG277" i="5" s="1"/>
  <c r="DC261" i="5"/>
  <c r="AR261" i="5"/>
  <c r="CG261" i="5" s="1"/>
  <c r="DN255" i="5"/>
  <c r="BC255" i="5"/>
  <c r="DN266" i="5"/>
  <c r="BC266" i="5"/>
  <c r="DN396" i="5"/>
  <c r="BC396" i="5"/>
  <c r="AS315" i="5"/>
  <c r="BB315" i="5" s="1"/>
  <c r="AS275" i="5"/>
  <c r="AT275" i="5" s="1"/>
  <c r="AS276" i="5"/>
  <c r="BB276" i="5" s="1"/>
  <c r="BL451" i="5"/>
  <c r="DT451" i="5" s="1"/>
  <c r="DV451" i="5" s="1"/>
  <c r="BT451" i="5"/>
  <c r="FS451" i="5"/>
  <c r="FU451" i="5" s="1"/>
  <c r="CM451" i="5" s="1"/>
  <c r="BU451" i="5"/>
  <c r="BT416" i="5"/>
  <c r="BU416" i="5"/>
  <c r="BL416" i="5"/>
  <c r="DT416" i="5" s="1"/>
  <c r="DV416" i="5" s="1"/>
  <c r="EB416" i="5" s="1"/>
  <c r="BL383" i="5"/>
  <c r="DT383" i="5" s="1"/>
  <c r="DV383" i="5" s="1"/>
  <c r="EB383" i="5" s="1"/>
  <c r="BT383" i="5"/>
  <c r="BU383" i="5"/>
  <c r="BL317" i="5"/>
  <c r="DT317" i="5" s="1"/>
  <c r="DV317" i="5" s="1"/>
  <c r="BT317" i="5"/>
  <c r="FS317" i="5"/>
  <c r="FU317" i="5" s="1"/>
  <c r="CM317" i="5" s="1"/>
  <c r="BU317" i="5"/>
  <c r="AF255" i="5"/>
  <c r="BT255" i="5"/>
  <c r="BU255" i="5"/>
  <c r="BL255" i="5"/>
  <c r="DT255" i="5" s="1"/>
  <c r="DV255" i="5" s="1"/>
  <c r="EB255" i="5" s="1"/>
  <c r="BL425" i="5"/>
  <c r="DT425" i="5" s="1"/>
  <c r="DV425" i="5" s="1"/>
  <c r="EA425" i="5" s="1"/>
  <c r="BU425" i="5"/>
  <c r="BT425" i="5"/>
  <c r="AS393" i="5"/>
  <c r="BL393" i="5"/>
  <c r="DT393" i="5" s="1"/>
  <c r="DV393" i="5" s="1"/>
  <c r="EB393" i="5" s="1"/>
  <c r="BT393" i="5"/>
  <c r="BU393" i="5"/>
  <c r="BL365" i="5"/>
  <c r="DT365" i="5" s="1"/>
  <c r="DV365" i="5" s="1"/>
  <c r="EA365" i="5" s="1"/>
  <c r="BU365" i="5"/>
  <c r="BT365" i="5"/>
  <c r="BL306" i="5"/>
  <c r="DT306" i="5" s="1"/>
  <c r="DV306" i="5" s="1"/>
  <c r="BU306" i="5"/>
  <c r="BT306" i="5"/>
  <c r="BL260" i="5"/>
  <c r="DT260" i="5" s="1"/>
  <c r="DV260" i="5" s="1"/>
  <c r="EA260" i="5" s="1"/>
  <c r="BT260" i="5"/>
  <c r="BU260" i="5"/>
  <c r="AS261" i="5"/>
  <c r="BB261" i="5" s="1"/>
  <c r="AF414" i="5"/>
  <c r="BL414" i="5"/>
  <c r="DT414" i="5" s="1"/>
  <c r="DV414" i="5" s="1"/>
  <c r="EB414" i="5" s="1"/>
  <c r="BT414" i="5"/>
  <c r="FS414" i="5"/>
  <c r="FU414" i="5" s="1"/>
  <c r="CM414" i="5" s="1"/>
  <c r="BU414" i="5"/>
  <c r="AS435" i="5"/>
  <c r="BT435" i="5"/>
  <c r="BU435" i="5"/>
  <c r="BL435" i="5"/>
  <c r="DT435" i="5" s="1"/>
  <c r="DV435" i="5" s="1"/>
  <c r="EA435" i="5" s="1"/>
  <c r="AF403" i="5"/>
  <c r="BL403" i="5"/>
  <c r="DT403" i="5" s="1"/>
  <c r="DV403" i="5" s="1"/>
  <c r="EB403" i="5" s="1"/>
  <c r="BT403" i="5"/>
  <c r="FS403" i="5"/>
  <c r="FU403" i="5" s="1"/>
  <c r="CM403" i="5" s="1"/>
  <c r="BU403" i="5"/>
  <c r="BL348" i="5"/>
  <c r="DT348" i="5" s="1"/>
  <c r="DV348" i="5" s="1"/>
  <c r="EB348" i="5" s="1"/>
  <c r="BT348" i="5"/>
  <c r="FS348" i="5"/>
  <c r="FU348" i="5" s="1"/>
  <c r="CM348" i="5" s="1"/>
  <c r="BU348" i="5"/>
  <c r="BL320" i="5"/>
  <c r="DT320" i="5" s="1"/>
  <c r="DV320" i="5" s="1"/>
  <c r="EB320" i="5" s="1"/>
  <c r="BT320" i="5"/>
  <c r="BU320" i="5"/>
  <c r="AF278" i="5"/>
  <c r="BL278" i="5"/>
  <c r="DT278" i="5" s="1"/>
  <c r="DV278" i="5" s="1"/>
  <c r="EA278" i="5" s="1"/>
  <c r="BT278" i="5"/>
  <c r="BU278" i="5"/>
  <c r="AZ426" i="5"/>
  <c r="CI426" i="5" s="1"/>
  <c r="AR426" i="5"/>
  <c r="CG426" i="5" s="1"/>
  <c r="DC426" i="5"/>
  <c r="DN279" i="5"/>
  <c r="BC279" i="5"/>
  <c r="BU284" i="5"/>
  <c r="BL284" i="5"/>
  <c r="DT284" i="5" s="1"/>
  <c r="DV284" i="5" s="1"/>
  <c r="BT284" i="5"/>
  <c r="BC270" i="5"/>
  <c r="BL298" i="5"/>
  <c r="DT298" i="5" s="1"/>
  <c r="DV298" i="5" s="1"/>
  <c r="EA298" i="5" s="1"/>
  <c r="BT298" i="5"/>
  <c r="BU298" i="5"/>
  <c r="BL261" i="5"/>
  <c r="DT261" i="5" s="1"/>
  <c r="DV261" i="5" s="1"/>
  <c r="BT261" i="5"/>
  <c r="BU261" i="5"/>
  <c r="AZ310" i="5"/>
  <c r="CI310" i="5" s="1"/>
  <c r="AR310" i="5"/>
  <c r="CG310" i="5" s="1"/>
  <c r="DC310" i="5"/>
  <c r="AZ382" i="5"/>
  <c r="CI382" i="5" s="1"/>
  <c r="AR382" i="5"/>
  <c r="CG382" i="5" s="1"/>
  <c r="DC382" i="5"/>
  <c r="AS350" i="5"/>
  <c r="AT350" i="5" s="1"/>
  <c r="BL343" i="5"/>
  <c r="DT343" i="5" s="1"/>
  <c r="DV343" i="5" s="1"/>
  <c r="BT343" i="5"/>
  <c r="FS343" i="5"/>
  <c r="FU343" i="5" s="1"/>
  <c r="CM343" i="5" s="1"/>
  <c r="BU343" i="5"/>
  <c r="BU308" i="5"/>
  <c r="FS308" i="5"/>
  <c r="FU308" i="5" s="1"/>
  <c r="CM308" i="5" s="1"/>
  <c r="BL308" i="5"/>
  <c r="DT308" i="5" s="1"/>
  <c r="DV308" i="5" s="1"/>
  <c r="BT308" i="5"/>
  <c r="BL291" i="5"/>
  <c r="DT291" i="5" s="1"/>
  <c r="DV291" i="5" s="1"/>
  <c r="BT291" i="5"/>
  <c r="FS291" i="5"/>
  <c r="FU291" i="5" s="1"/>
  <c r="CM291" i="5" s="1"/>
  <c r="BU291" i="5"/>
  <c r="DN472" i="5"/>
  <c r="BC472" i="5"/>
  <c r="BD472" i="5" s="1"/>
  <c r="DN499" i="5"/>
  <c r="BC499" i="5"/>
  <c r="BD499" i="5" s="1"/>
  <c r="DN482" i="5"/>
  <c r="BC482" i="5"/>
  <c r="BD482" i="5" s="1"/>
  <c r="BL330" i="5"/>
  <c r="DT330" i="5" s="1"/>
  <c r="DV330" i="5" s="1"/>
  <c r="BT330" i="5"/>
  <c r="FS330" i="5"/>
  <c r="FU330" i="5" s="1"/>
  <c r="CM330" i="5" s="1"/>
  <c r="BU330" i="5"/>
  <c r="BL102" i="5"/>
  <c r="DT102" i="5" s="1"/>
  <c r="DV102" i="5" s="1"/>
  <c r="EB102" i="5" s="1"/>
  <c r="BT102" i="5"/>
  <c r="BU102" i="5"/>
  <c r="FS102" i="5"/>
  <c r="FU102" i="5" s="1"/>
  <c r="CM102" i="5" s="1"/>
  <c r="BE102" i="5"/>
  <c r="BL410" i="5"/>
  <c r="DT410" i="5" s="1"/>
  <c r="DV410" i="5" s="1"/>
  <c r="EA410" i="5" s="1"/>
  <c r="BT410" i="5"/>
  <c r="BU410" i="5"/>
  <c r="FS99" i="5"/>
  <c r="FU99" i="5" s="1"/>
  <c r="CM99" i="5" s="1"/>
  <c r="BL99" i="5"/>
  <c r="DT99" i="5" s="1"/>
  <c r="DV99" i="5" s="1"/>
  <c r="EB99" i="5" s="1"/>
  <c r="BT99" i="5"/>
  <c r="BE99" i="5"/>
  <c r="BU99" i="5"/>
  <c r="BL98" i="5"/>
  <c r="DT98" i="5" s="1"/>
  <c r="DV98" i="5" s="1"/>
  <c r="EA98" i="5" s="1"/>
  <c r="BT98" i="5"/>
  <c r="BE98" i="5"/>
  <c r="BU98" i="5"/>
  <c r="FS98" i="5"/>
  <c r="FU98" i="5" s="1"/>
  <c r="CM98" i="5" s="1"/>
  <c r="BL367" i="5"/>
  <c r="DT367" i="5" s="1"/>
  <c r="DV367" i="5" s="1"/>
  <c r="BT367" i="5"/>
  <c r="BU367" i="5"/>
  <c r="FS101" i="5"/>
  <c r="FU101" i="5" s="1"/>
  <c r="CM101" i="5" s="1"/>
  <c r="BL101" i="5"/>
  <c r="DT101" i="5" s="1"/>
  <c r="DV101" i="5" s="1"/>
  <c r="BT101" i="5"/>
  <c r="BE101" i="5"/>
  <c r="BU101" i="5"/>
  <c r="AS342" i="5"/>
  <c r="BB342" i="5" s="1"/>
  <c r="DG22" i="5"/>
  <c r="DG33" i="5"/>
  <c r="EN493" i="5"/>
  <c r="EO493" i="5" s="1"/>
  <c r="EP493" i="5" s="1"/>
  <c r="DD101" i="5"/>
  <c r="ES101" i="5" s="1"/>
  <c r="AR101" i="5"/>
  <c r="CG101" i="5" s="1"/>
  <c r="AS356" i="5"/>
  <c r="BB356" i="5" s="1"/>
  <c r="FA325" i="5"/>
  <c r="CU325" i="5"/>
  <c r="FA333" i="5"/>
  <c r="CO333" i="5"/>
  <c r="FA349" i="5"/>
  <c r="CU349" i="5"/>
  <c r="CU373" i="5"/>
  <c r="FA373" i="5"/>
  <c r="EN352" i="5"/>
  <c r="EO352" i="5" s="1"/>
  <c r="EP352" i="5" s="1"/>
  <c r="AZ337" i="5"/>
  <c r="CI337" i="5" s="1"/>
  <c r="AR337" i="5"/>
  <c r="CG337" i="5" s="1"/>
  <c r="DC337" i="5"/>
  <c r="AV256" i="5"/>
  <c r="BV29" i="5"/>
  <c r="CC29" i="5" s="1"/>
  <c r="EA439" i="5"/>
  <c r="FS320" i="5"/>
  <c r="FU320" i="5" s="1"/>
  <c r="CM320" i="5" s="1"/>
  <c r="FA428" i="5"/>
  <c r="CU428" i="5"/>
  <c r="AV359" i="5"/>
  <c r="FA440" i="5"/>
  <c r="CU440" i="5"/>
  <c r="EA402" i="5"/>
  <c r="EB402" i="5"/>
  <c r="EA349" i="5"/>
  <c r="EA315" i="5"/>
  <c r="AV414" i="5"/>
  <c r="AZ355" i="5"/>
  <c r="CI355" i="5" s="1"/>
  <c r="DC355" i="5"/>
  <c r="AR355" i="5"/>
  <c r="CG355" i="5" s="1"/>
  <c r="BV32" i="5"/>
  <c r="CC32" i="5" s="1"/>
  <c r="CE32" i="5" s="1"/>
  <c r="DG24" i="5"/>
  <c r="FS306" i="5"/>
  <c r="FU306" i="5" s="1"/>
  <c r="CM306" i="5" s="1"/>
  <c r="BV150" i="5"/>
  <c r="CC150" i="5" s="1"/>
  <c r="AT96" i="5"/>
  <c r="EN333" i="5"/>
  <c r="EO333" i="5" s="1"/>
  <c r="EP333" i="5" s="1"/>
  <c r="AV280" i="5"/>
  <c r="BV43" i="5"/>
  <c r="CC43" i="5" s="1"/>
  <c r="FA364" i="5"/>
  <c r="CO364" i="5"/>
  <c r="EN470" i="5"/>
  <c r="EO470" i="5" s="1"/>
  <c r="EP470" i="5" s="1"/>
  <c r="BV151" i="5"/>
  <c r="CC151" i="5" s="1"/>
  <c r="FS437" i="5"/>
  <c r="FU437" i="5" s="1"/>
  <c r="CM437" i="5" s="1"/>
  <c r="BY357" i="5"/>
  <c r="AS343" i="5"/>
  <c r="BB343" i="5" s="1"/>
  <c r="FS301" i="5"/>
  <c r="FU301" i="5" s="1"/>
  <c r="CM301" i="5" s="1"/>
  <c r="FS278" i="5"/>
  <c r="FU278" i="5" s="1"/>
  <c r="CM278" i="5" s="1"/>
  <c r="AZ413" i="5"/>
  <c r="CI413" i="5" s="1"/>
  <c r="AZ393" i="5"/>
  <c r="CI393" i="5" s="1"/>
  <c r="EN317" i="5"/>
  <c r="EO317" i="5" s="1"/>
  <c r="EP317" i="5" s="1"/>
  <c r="AV266" i="5"/>
  <c r="BV30" i="5"/>
  <c r="CC30" i="5" s="1"/>
  <c r="EN151" i="5"/>
  <c r="EO151" i="5" s="1"/>
  <c r="EP151" i="5" s="1"/>
  <c r="EN102" i="5"/>
  <c r="EO102" i="5" s="1"/>
  <c r="EP102" i="5" s="1"/>
  <c r="FA449" i="5"/>
  <c r="CU449" i="5"/>
  <c r="AT488" i="5"/>
  <c r="EA376" i="5"/>
  <c r="EB415" i="5"/>
  <c r="BY321" i="5"/>
  <c r="AT285" i="5"/>
  <c r="AV310" i="5"/>
  <c r="BF33" i="5"/>
  <c r="BH33" i="5" s="1"/>
  <c r="BG33" i="5"/>
  <c r="FA412" i="5"/>
  <c r="CO412" i="5"/>
  <c r="DV149" i="5"/>
  <c r="FS273" i="5"/>
  <c r="FU273" i="5" s="1"/>
  <c r="CM273" i="5" s="1"/>
  <c r="FS299" i="5"/>
  <c r="FU299" i="5" s="1"/>
  <c r="CM299" i="5" s="1"/>
  <c r="FS275" i="5"/>
  <c r="FU275" i="5" s="1"/>
  <c r="CM275" i="5" s="1"/>
  <c r="EN433" i="5"/>
  <c r="EO433" i="5" s="1"/>
  <c r="EP433" i="5" s="1"/>
  <c r="AV382" i="5"/>
  <c r="AZ388" i="5"/>
  <c r="CI388" i="5" s="1"/>
  <c r="BY416" i="5"/>
  <c r="EB407" i="5"/>
  <c r="AT352" i="5"/>
  <c r="BY313" i="5"/>
  <c r="FS298" i="5"/>
  <c r="FU298" i="5" s="1"/>
  <c r="CM298" i="5" s="1"/>
  <c r="BY269" i="5"/>
  <c r="AZ422" i="5"/>
  <c r="CI422" i="5" s="1"/>
  <c r="AZ378" i="5"/>
  <c r="CI378" i="5" s="1"/>
  <c r="AZ360" i="5"/>
  <c r="CI360" i="5" s="1"/>
  <c r="EN331" i="5"/>
  <c r="EO331" i="5" s="1"/>
  <c r="EP331" i="5" s="1"/>
  <c r="DG39" i="5"/>
  <c r="EB349" i="5"/>
  <c r="DX474" i="5"/>
  <c r="DX497" i="5"/>
  <c r="CE498" i="5"/>
  <c r="AT495" i="5"/>
  <c r="DX482" i="5"/>
  <c r="DX491" i="5"/>
  <c r="BB481" i="5"/>
  <c r="AS453" i="5"/>
  <c r="BB453" i="5" s="1"/>
  <c r="DG500" i="5"/>
  <c r="AV431" i="5"/>
  <c r="DG495" i="5"/>
  <c r="AU65" i="5"/>
  <c r="AU139" i="5"/>
  <c r="AU118" i="5"/>
  <c r="AV118" i="5" s="1"/>
  <c r="AU54" i="5"/>
  <c r="AU87" i="5"/>
  <c r="AU129" i="5"/>
  <c r="AU108" i="5"/>
  <c r="AU58" i="5"/>
  <c r="AR33" i="5"/>
  <c r="DD33" i="5"/>
  <c r="AU31" i="5"/>
  <c r="AV31" i="5" s="1"/>
  <c r="AW31" i="5" s="1"/>
  <c r="DD35" i="5"/>
  <c r="ES35" i="5" s="1"/>
  <c r="AR35" i="5"/>
  <c r="DD20" i="5"/>
  <c r="AR20" i="5"/>
  <c r="AU23" i="5"/>
  <c r="AV23" i="5" s="1"/>
  <c r="AW23" i="5" s="1"/>
  <c r="AU35" i="5"/>
  <c r="AV35" i="5" s="1"/>
  <c r="AW35" i="5" s="1"/>
  <c r="AZ45" i="5"/>
  <c r="DD45" i="5"/>
  <c r="AR45" i="5"/>
  <c r="AU22" i="5"/>
  <c r="AV22" i="5" s="1"/>
  <c r="AW22" i="5" s="1"/>
  <c r="DC427" i="5"/>
  <c r="AR427" i="5"/>
  <c r="CG427" i="5" s="1"/>
  <c r="DC395" i="5"/>
  <c r="AR395" i="5"/>
  <c r="CG395" i="5" s="1"/>
  <c r="DC287" i="5"/>
  <c r="AR287" i="5"/>
  <c r="CG287" i="5" s="1"/>
  <c r="DC255" i="5"/>
  <c r="AR255" i="5"/>
  <c r="CG255" i="5" s="1"/>
  <c r="DC322" i="5"/>
  <c r="AR322" i="5"/>
  <c r="CG322" i="5" s="1"/>
  <c r="AR304" i="5"/>
  <c r="CG304" i="5" s="1"/>
  <c r="DC304" i="5"/>
  <c r="AR272" i="5"/>
  <c r="CG272" i="5" s="1"/>
  <c r="DC272" i="5"/>
  <c r="DN308" i="5"/>
  <c r="BC308" i="5"/>
  <c r="DN292" i="5"/>
  <c r="BC292" i="5"/>
  <c r="BC276" i="5"/>
  <c r="DN276" i="5"/>
  <c r="BC260" i="5"/>
  <c r="DN260" i="5"/>
  <c r="DN262" i="5"/>
  <c r="BC262" i="5"/>
  <c r="AZ392" i="5"/>
  <c r="CI392" i="5" s="1"/>
  <c r="DC392" i="5"/>
  <c r="AR392" i="5"/>
  <c r="CG392" i="5" s="1"/>
  <c r="AS333" i="5"/>
  <c r="BB333" i="5" s="1"/>
  <c r="AS260" i="5"/>
  <c r="BB260" i="5" s="1"/>
  <c r="AS311" i="5"/>
  <c r="BB311" i="5" s="1"/>
  <c r="AS262" i="5"/>
  <c r="AT262" i="5" s="1"/>
  <c r="BT444" i="5"/>
  <c r="BU444" i="5"/>
  <c r="BL444" i="5"/>
  <c r="DT444" i="5" s="1"/>
  <c r="DV444" i="5" s="1"/>
  <c r="AF412" i="5"/>
  <c r="BT412" i="5"/>
  <c r="FS412" i="5"/>
  <c r="FU412" i="5" s="1"/>
  <c r="CM412" i="5" s="1"/>
  <c r="BU412" i="5"/>
  <c r="BL412" i="5"/>
  <c r="DT412" i="5" s="1"/>
  <c r="DV412" i="5" s="1"/>
  <c r="EB412" i="5" s="1"/>
  <c r="BL379" i="5"/>
  <c r="DT379" i="5" s="1"/>
  <c r="DV379" i="5" s="1"/>
  <c r="EB379" i="5" s="1"/>
  <c r="BT379" i="5"/>
  <c r="FS379" i="5"/>
  <c r="FU379" i="5" s="1"/>
  <c r="CM379" i="5" s="1"/>
  <c r="BU379" i="5"/>
  <c r="BL313" i="5"/>
  <c r="DT313" i="5" s="1"/>
  <c r="DV313" i="5" s="1"/>
  <c r="EB313" i="5" s="1"/>
  <c r="BT313" i="5"/>
  <c r="BU313" i="5"/>
  <c r="BL421" i="5"/>
  <c r="DT421" i="5" s="1"/>
  <c r="DV421" i="5" s="1"/>
  <c r="EB421" i="5" s="1"/>
  <c r="BU421" i="5"/>
  <c r="BT421" i="5"/>
  <c r="BL398" i="5"/>
  <c r="DT398" i="5" s="1"/>
  <c r="DV398" i="5" s="1"/>
  <c r="EB398" i="5" s="1"/>
  <c r="BT398" i="5"/>
  <c r="BU398" i="5"/>
  <c r="BU361" i="5"/>
  <c r="BL361" i="5"/>
  <c r="DT361" i="5" s="1"/>
  <c r="DV361" i="5" s="1"/>
  <c r="BT361" i="5"/>
  <c r="AS340" i="5"/>
  <c r="BB340" i="5" s="1"/>
  <c r="BL300" i="5"/>
  <c r="DT300" i="5" s="1"/>
  <c r="DV300" i="5" s="1"/>
  <c r="BT300" i="5"/>
  <c r="BU300" i="5"/>
  <c r="AF256" i="5"/>
  <c r="BL256" i="5"/>
  <c r="DT256" i="5" s="1"/>
  <c r="DV256" i="5" s="1"/>
  <c r="EB256" i="5" s="1"/>
  <c r="BT256" i="5"/>
  <c r="BU256" i="5"/>
  <c r="AS253" i="5"/>
  <c r="AT253" i="5" s="1"/>
  <c r="AF396" i="5"/>
  <c r="BT396" i="5"/>
  <c r="FS396" i="5"/>
  <c r="FU396" i="5" s="1"/>
  <c r="CM396" i="5" s="1"/>
  <c r="BU396" i="5"/>
  <c r="BL396" i="5"/>
  <c r="DT396" i="5" s="1"/>
  <c r="DV396" i="5" s="1"/>
  <c r="BT431" i="5"/>
  <c r="BU431" i="5"/>
  <c r="BL431" i="5"/>
  <c r="DT431" i="5" s="1"/>
  <c r="DV431" i="5" s="1"/>
  <c r="EB431" i="5" s="1"/>
  <c r="BL399" i="5"/>
  <c r="DT399" i="5" s="1"/>
  <c r="DV399" i="5" s="1"/>
  <c r="EB399" i="5" s="1"/>
  <c r="BT399" i="5"/>
  <c r="BU399" i="5"/>
  <c r="BL344" i="5"/>
  <c r="DT344" i="5" s="1"/>
  <c r="DV344" i="5" s="1"/>
  <c r="EB344" i="5" s="1"/>
  <c r="BT344" i="5"/>
  <c r="FS344" i="5"/>
  <c r="FU344" i="5" s="1"/>
  <c r="CM344" i="5" s="1"/>
  <c r="BU344" i="5"/>
  <c r="BL316" i="5"/>
  <c r="DT316" i="5" s="1"/>
  <c r="DV316" i="5" s="1"/>
  <c r="EB316" i="5" s="1"/>
  <c r="BT316" i="5"/>
  <c r="FS316" i="5"/>
  <c r="FU316" i="5" s="1"/>
  <c r="CM316" i="5" s="1"/>
  <c r="BU316" i="5"/>
  <c r="AF274" i="5"/>
  <c r="BL274" i="5"/>
  <c r="DT274" i="5" s="1"/>
  <c r="DV274" i="5" s="1"/>
  <c r="EB274" i="5" s="1"/>
  <c r="BT274" i="5"/>
  <c r="BU274" i="5"/>
  <c r="AR96" i="5"/>
  <c r="CG96" i="5" s="1"/>
  <c r="DD96" i="5"/>
  <c r="ES96" i="5" s="1"/>
  <c r="AZ418" i="5"/>
  <c r="CI418" i="5" s="1"/>
  <c r="AR418" i="5"/>
  <c r="CG418" i="5" s="1"/>
  <c r="DC418" i="5"/>
  <c r="DN275" i="5"/>
  <c r="BC275" i="5"/>
  <c r="BL294" i="5"/>
  <c r="DT294" i="5" s="1"/>
  <c r="DV294" i="5" s="1"/>
  <c r="BT294" i="5"/>
  <c r="BU294" i="5"/>
  <c r="FS294" i="5"/>
  <c r="FU294" i="5" s="1"/>
  <c r="CM294" i="5" s="1"/>
  <c r="AF257" i="5"/>
  <c r="BL257" i="5"/>
  <c r="DT257" i="5" s="1"/>
  <c r="DV257" i="5" s="1"/>
  <c r="EB257" i="5" s="1"/>
  <c r="BT257" i="5"/>
  <c r="BU257" i="5"/>
  <c r="AS346" i="5"/>
  <c r="BB346" i="5" s="1"/>
  <c r="AZ336" i="5"/>
  <c r="CI336" i="5" s="1"/>
  <c r="AR336" i="5"/>
  <c r="CG336" i="5" s="1"/>
  <c r="DC336" i="5"/>
  <c r="DD97" i="5"/>
  <c r="ES97" i="5" s="1"/>
  <c r="AR97" i="5"/>
  <c r="AF385" i="5"/>
  <c r="BL385" i="5"/>
  <c r="DT385" i="5" s="1"/>
  <c r="DV385" i="5" s="1"/>
  <c r="EB385" i="5" s="1"/>
  <c r="BU385" i="5"/>
  <c r="FS385" i="5"/>
  <c r="FU385" i="5" s="1"/>
  <c r="CM385" i="5" s="1"/>
  <c r="BT385" i="5"/>
  <c r="BL339" i="5"/>
  <c r="DT339" i="5" s="1"/>
  <c r="DV339" i="5" s="1"/>
  <c r="EA339" i="5" s="1"/>
  <c r="BT339" i="5"/>
  <c r="FS339" i="5"/>
  <c r="FU339" i="5" s="1"/>
  <c r="CM339" i="5" s="1"/>
  <c r="BU339" i="5"/>
  <c r="BL269" i="5"/>
  <c r="DT269" i="5" s="1"/>
  <c r="DV269" i="5" s="1"/>
  <c r="BT269" i="5"/>
  <c r="BU269" i="5"/>
  <c r="AF368" i="5"/>
  <c r="BT368" i="5"/>
  <c r="FS368" i="5"/>
  <c r="FU368" i="5" s="1"/>
  <c r="CM368" i="5" s="1"/>
  <c r="BU368" i="5"/>
  <c r="BL368" i="5"/>
  <c r="DT368" i="5" s="1"/>
  <c r="DV368" i="5" s="1"/>
  <c r="DN474" i="5"/>
  <c r="BC474" i="5"/>
  <c r="BD474" i="5" s="1"/>
  <c r="DN498" i="5"/>
  <c r="BC498" i="5"/>
  <c r="BD498" i="5" s="1"/>
  <c r="FS97" i="5"/>
  <c r="FU97" i="5" s="1"/>
  <c r="BL97" i="5"/>
  <c r="DT97" i="5" s="1"/>
  <c r="DV97" i="5" s="1"/>
  <c r="EB97" i="5" s="1"/>
  <c r="BT97" i="5"/>
  <c r="BE97" i="5"/>
  <c r="BU97" i="5"/>
  <c r="AS286" i="5"/>
  <c r="BL286" i="5"/>
  <c r="DT286" i="5" s="1"/>
  <c r="DV286" i="5" s="1"/>
  <c r="BT286" i="5"/>
  <c r="BU286" i="5"/>
  <c r="AF328" i="5"/>
  <c r="BL328" i="5"/>
  <c r="DT328" i="5" s="1"/>
  <c r="DV328" i="5" s="1"/>
  <c r="BT328" i="5"/>
  <c r="FS328" i="5"/>
  <c r="FU328" i="5" s="1"/>
  <c r="CM328" i="5" s="1"/>
  <c r="BU328" i="5"/>
  <c r="AS290" i="5"/>
  <c r="BL290" i="5"/>
  <c r="DT290" i="5" s="1"/>
  <c r="DV290" i="5" s="1"/>
  <c r="BT290" i="5"/>
  <c r="BU290" i="5"/>
  <c r="AF347" i="5"/>
  <c r="BL332" i="5"/>
  <c r="DT332" i="5" s="1"/>
  <c r="DV332" i="5" s="1"/>
  <c r="EA332" i="5" s="1"/>
  <c r="BT332" i="5"/>
  <c r="FS332" i="5"/>
  <c r="FU332" i="5" s="1"/>
  <c r="CM332" i="5" s="1"/>
  <c r="BU332" i="5"/>
  <c r="BL355" i="5"/>
  <c r="DT355" i="5" s="1"/>
  <c r="DV355" i="5" s="1"/>
  <c r="BU355" i="5"/>
  <c r="FS355" i="5"/>
  <c r="FU355" i="5" s="1"/>
  <c r="CM355" i="5" s="1"/>
  <c r="BT355" i="5"/>
  <c r="AS423" i="5"/>
  <c r="AT423" i="5" s="1"/>
  <c r="DG40" i="5"/>
  <c r="FS267" i="5"/>
  <c r="FU267" i="5" s="1"/>
  <c r="CM267" i="5" s="1"/>
  <c r="FA317" i="5"/>
  <c r="CO317" i="5"/>
  <c r="FA341" i="5"/>
  <c r="CU341" i="5"/>
  <c r="CU421" i="5"/>
  <c r="FA421" i="5"/>
  <c r="AZ410" i="5"/>
  <c r="CI410" i="5" s="1"/>
  <c r="AR410" i="5"/>
  <c r="CG410" i="5" s="1"/>
  <c r="DC410" i="5"/>
  <c r="EN366" i="5"/>
  <c r="EO366" i="5" s="1"/>
  <c r="EP366" i="5" s="1"/>
  <c r="EN286" i="5"/>
  <c r="EO286" i="5" s="1"/>
  <c r="EP286" i="5" s="1"/>
  <c r="BY320" i="5"/>
  <c r="BF50" i="5"/>
  <c r="BH50" i="5" s="1"/>
  <c r="BG50" i="5"/>
  <c r="BV153" i="5"/>
  <c r="CC153" i="5" s="1"/>
  <c r="CE153" i="5" s="1"/>
  <c r="CJ153" i="5" s="1"/>
  <c r="AR100" i="5"/>
  <c r="CG100" i="5" s="1"/>
  <c r="DD100" i="5"/>
  <c r="ES100" i="5" s="1"/>
  <c r="EA394" i="5"/>
  <c r="FA406" i="5"/>
  <c r="CO406" i="5"/>
  <c r="EN390" i="5"/>
  <c r="EO390" i="5" s="1"/>
  <c r="EP390" i="5" s="1"/>
  <c r="AV276" i="5"/>
  <c r="AV259" i="5"/>
  <c r="BF48" i="5"/>
  <c r="BH48" i="5" s="1"/>
  <c r="BG48" i="5"/>
  <c r="DG32" i="5"/>
  <c r="BF24" i="5"/>
  <c r="BH24" i="5" s="1"/>
  <c r="BG24" i="5"/>
  <c r="BL96" i="5"/>
  <c r="DT96" i="5" s="1"/>
  <c r="DV96" i="5" s="1"/>
  <c r="EB96" i="5" s="1"/>
  <c r="BT96" i="5"/>
  <c r="BE96" i="5"/>
  <c r="BU96" i="5"/>
  <c r="FS96" i="5"/>
  <c r="FU96" i="5" s="1"/>
  <c r="CM96" i="5" s="1"/>
  <c r="FA388" i="5"/>
  <c r="CU388" i="5"/>
  <c r="EN148" i="5"/>
  <c r="EO148" i="5" s="1"/>
  <c r="EP148" i="5" s="1"/>
  <c r="ET148" i="5"/>
  <c r="EA428" i="5"/>
  <c r="EA416" i="5"/>
  <c r="BB359" i="5"/>
  <c r="BY281" i="5"/>
  <c r="EN428" i="5"/>
  <c r="EO428" i="5" s="1"/>
  <c r="EP428" i="5" s="1"/>
  <c r="EN397" i="5"/>
  <c r="EO397" i="5" s="1"/>
  <c r="EP397" i="5" s="1"/>
  <c r="AV365" i="5"/>
  <c r="BG27" i="5"/>
  <c r="BF27" i="5"/>
  <c r="BH27" i="5" s="1"/>
  <c r="DG21" i="5"/>
  <c r="AV260" i="5"/>
  <c r="AT493" i="5"/>
  <c r="BY408" i="5"/>
  <c r="FS341" i="5"/>
  <c r="FU341" i="5" s="1"/>
  <c r="CM341" i="5" s="1"/>
  <c r="AS367" i="5"/>
  <c r="AT367" i="5" s="1"/>
  <c r="AT272" i="5"/>
  <c r="FA368" i="5"/>
  <c r="CO368" i="5"/>
  <c r="EN361" i="5"/>
  <c r="EO361" i="5" s="1"/>
  <c r="EP361" i="5" s="1"/>
  <c r="EN347" i="5"/>
  <c r="EO347" i="5" s="1"/>
  <c r="EP347" i="5" s="1"/>
  <c r="AV293" i="5"/>
  <c r="DG30" i="5"/>
  <c r="EB298" i="5"/>
  <c r="AR103" i="5"/>
  <c r="CG103" i="5" s="1"/>
  <c r="DD103" i="5"/>
  <c r="ES103" i="5" s="1"/>
  <c r="BY435" i="5"/>
  <c r="EA414" i="5"/>
  <c r="EA345" i="5"/>
  <c r="FS321" i="5"/>
  <c r="FU321" i="5" s="1"/>
  <c r="CM321" i="5" s="1"/>
  <c r="AZ389" i="5"/>
  <c r="CI389" i="5" s="1"/>
  <c r="EN357" i="5"/>
  <c r="EO357" i="5" s="1"/>
  <c r="EP357" i="5" s="1"/>
  <c r="S274" i="5"/>
  <c r="EF274" i="5"/>
  <c r="EE274" i="5" s="1"/>
  <c r="EN274" i="5" s="1"/>
  <c r="DG49" i="5"/>
  <c r="EH38" i="5"/>
  <c r="BF25" i="5"/>
  <c r="BH25" i="5" s="1"/>
  <c r="BG25" i="5"/>
  <c r="BF26" i="5"/>
  <c r="BH26" i="5" s="1"/>
  <c r="BG26" i="5"/>
  <c r="BY383" i="5"/>
  <c r="FS369" i="5"/>
  <c r="FU369" i="5" s="1"/>
  <c r="CM369" i="5" s="1"/>
  <c r="BY314" i="5"/>
  <c r="BY299" i="5"/>
  <c r="BY275" i="5"/>
  <c r="AZ433" i="5"/>
  <c r="CI433" i="5" s="1"/>
  <c r="EN412" i="5"/>
  <c r="EO412" i="5" s="1"/>
  <c r="EP412" i="5" s="1"/>
  <c r="EN338" i="5"/>
  <c r="EO338" i="5" s="1"/>
  <c r="EP338" i="5" s="1"/>
  <c r="AZ274" i="5"/>
  <c r="CI274" i="5" s="1"/>
  <c r="BG52" i="5"/>
  <c r="BI52" i="5" s="1"/>
  <c r="BF52" i="5"/>
  <c r="BH52" i="5" s="1"/>
  <c r="BF28" i="5"/>
  <c r="BH28" i="5" s="1"/>
  <c r="BG28" i="5"/>
  <c r="EN429" i="5"/>
  <c r="EO429" i="5" s="1"/>
  <c r="EP429" i="5" s="1"/>
  <c r="EN370" i="5"/>
  <c r="EO370" i="5" s="1"/>
  <c r="EP370" i="5" s="1"/>
  <c r="EN95" i="5"/>
  <c r="EO95" i="5" s="1"/>
  <c r="EP95" i="5" s="1"/>
  <c r="FS416" i="5"/>
  <c r="FU416" i="5" s="1"/>
  <c r="CM416" i="5" s="1"/>
  <c r="EA405" i="5"/>
  <c r="AS358" i="5"/>
  <c r="AT358" i="5" s="1"/>
  <c r="AS351" i="5"/>
  <c r="BB351" i="5" s="1"/>
  <c r="BB352" i="5"/>
  <c r="FS334" i="5"/>
  <c r="FU334" i="5" s="1"/>
  <c r="CM334" i="5" s="1"/>
  <c r="FS313" i="5"/>
  <c r="FU313" i="5" s="1"/>
  <c r="CM313" i="5" s="1"/>
  <c r="BB318" i="5"/>
  <c r="FS269" i="5"/>
  <c r="FU269" i="5" s="1"/>
  <c r="CM269" i="5" s="1"/>
  <c r="FA331" i="5"/>
  <c r="CU331" i="5"/>
  <c r="EN374" i="5"/>
  <c r="EO374" i="5" s="1"/>
  <c r="EP374" i="5" s="1"/>
  <c r="AZ331" i="5"/>
  <c r="CI331" i="5" s="1"/>
  <c r="AZ282" i="5"/>
  <c r="CI282" i="5" s="1"/>
  <c r="AV148" i="5"/>
  <c r="EB425" i="5"/>
  <c r="AS446" i="5"/>
  <c r="AT446" i="5" s="1"/>
  <c r="DX489" i="5"/>
  <c r="BB496" i="5"/>
  <c r="AV443" i="5"/>
  <c r="DO497" i="5"/>
  <c r="EG497" i="5" s="1"/>
  <c r="EJ497" i="5" s="1"/>
  <c r="EK497" i="5" s="1"/>
  <c r="DO481" i="5"/>
  <c r="EG481" i="5" s="1"/>
  <c r="EJ481" i="5" s="1"/>
  <c r="EK481" i="5" s="1"/>
  <c r="BB489" i="5"/>
  <c r="EN486" i="5"/>
  <c r="EO486" i="5" s="1"/>
  <c r="EP486" i="5" s="1"/>
  <c r="DX477" i="5"/>
  <c r="DX490" i="5"/>
  <c r="AU61" i="5"/>
  <c r="AU107" i="5"/>
  <c r="AU76" i="5"/>
  <c r="AU69" i="5"/>
  <c r="AU111" i="5"/>
  <c r="AU143" i="5"/>
  <c r="AU80" i="5"/>
  <c r="AU122" i="5"/>
  <c r="AU59" i="5"/>
  <c r="AU91" i="5"/>
  <c r="AU133" i="5"/>
  <c r="AU124" i="5"/>
  <c r="AU74" i="5"/>
  <c r="AU30" i="5"/>
  <c r="AV30" i="5" s="1"/>
  <c r="AW30" i="5" s="1"/>
  <c r="AR30" i="5"/>
  <c r="DD30" i="5"/>
  <c r="R47" i="5"/>
  <c r="EF47" i="5" s="1"/>
  <c r="EE47" i="5" s="1"/>
  <c r="EN47" i="5" s="1"/>
  <c r="EO47" i="5" s="1"/>
  <c r="EP47" i="5" s="1"/>
  <c r="AU47" i="5"/>
  <c r="AV47" i="5" s="1"/>
  <c r="AW47" i="5" s="1"/>
  <c r="R21" i="5"/>
  <c r="EF21" i="5" s="1"/>
  <c r="EE21" i="5" s="1"/>
  <c r="EG21" i="5" s="1"/>
  <c r="EJ21" i="5" s="1"/>
  <c r="EK21" i="5" s="1"/>
  <c r="AU21" i="5"/>
  <c r="AV21" i="5" s="1"/>
  <c r="AW21" i="5" s="1"/>
  <c r="AU34" i="5"/>
  <c r="AV34" i="5" s="1"/>
  <c r="AW34" i="5" s="1"/>
  <c r="AZ44" i="5"/>
  <c r="AU48" i="5"/>
  <c r="AV48" i="5" s="1"/>
  <c r="AW48" i="5" s="1"/>
  <c r="DC423" i="5"/>
  <c r="AR423" i="5"/>
  <c r="CG423" i="5" s="1"/>
  <c r="DC391" i="5"/>
  <c r="AR391" i="5"/>
  <c r="CG391" i="5" s="1"/>
  <c r="DC375" i="5"/>
  <c r="AR375" i="5"/>
  <c r="CG375" i="5" s="1"/>
  <c r="DC315" i="5"/>
  <c r="AR315" i="5"/>
  <c r="CG315" i="5" s="1"/>
  <c r="DC283" i="5"/>
  <c r="AR283" i="5"/>
  <c r="CG283" i="5" s="1"/>
  <c r="BC321" i="5"/>
  <c r="DN321" i="5"/>
  <c r="DC300" i="5"/>
  <c r="AR300" i="5"/>
  <c r="CG300" i="5" s="1"/>
  <c r="AR305" i="5"/>
  <c r="CG305" i="5" s="1"/>
  <c r="DC305" i="5"/>
  <c r="AR289" i="5"/>
  <c r="CG289" i="5" s="1"/>
  <c r="DC289" i="5"/>
  <c r="DC273" i="5"/>
  <c r="AR273" i="5"/>
  <c r="CG273" i="5" s="1"/>
  <c r="DC257" i="5"/>
  <c r="AR257" i="5"/>
  <c r="CG257" i="5" s="1"/>
  <c r="BC269" i="5"/>
  <c r="DN269" i="5"/>
  <c r="BC441" i="5"/>
  <c r="DN441" i="5"/>
  <c r="DN409" i="5"/>
  <c r="BC409" i="5"/>
  <c r="DN384" i="5"/>
  <c r="BC384" i="5"/>
  <c r="BC281" i="5"/>
  <c r="DN281" i="5"/>
  <c r="AS328" i="5"/>
  <c r="BB328" i="5" s="1"/>
  <c r="S346" i="5"/>
  <c r="EF346" i="5"/>
  <c r="EE346" i="5" s="1"/>
  <c r="AS329" i="5"/>
  <c r="BB329" i="5" s="1"/>
  <c r="AS268" i="5"/>
  <c r="BB268" i="5" s="1"/>
  <c r="AS301" i="5"/>
  <c r="AT301" i="5" s="1"/>
  <c r="AS294" i="5"/>
  <c r="AT294" i="5" s="1"/>
  <c r="BL440" i="5"/>
  <c r="DT440" i="5" s="1"/>
  <c r="DV440" i="5" s="1"/>
  <c r="EB440" i="5" s="1"/>
  <c r="BT440" i="5"/>
  <c r="BU440" i="5"/>
  <c r="BT408" i="5"/>
  <c r="BU408" i="5"/>
  <c r="BL408" i="5"/>
  <c r="DT408" i="5" s="1"/>
  <c r="DV408" i="5" s="1"/>
  <c r="EA408" i="5" s="1"/>
  <c r="AF375" i="5"/>
  <c r="BL375" i="5"/>
  <c r="DT375" i="5" s="1"/>
  <c r="DV375" i="5" s="1"/>
  <c r="EB375" i="5" s="1"/>
  <c r="BT375" i="5"/>
  <c r="BU375" i="5"/>
  <c r="BL309" i="5"/>
  <c r="DT309" i="5" s="1"/>
  <c r="DV309" i="5" s="1"/>
  <c r="EB309" i="5" s="1"/>
  <c r="BT309" i="5"/>
  <c r="BU309" i="5"/>
  <c r="BL449" i="5"/>
  <c r="DT449" i="5" s="1"/>
  <c r="DV449" i="5" s="1"/>
  <c r="BT449" i="5"/>
  <c r="BU449" i="5"/>
  <c r="BL417" i="5"/>
  <c r="DT417" i="5" s="1"/>
  <c r="DV417" i="5" s="1"/>
  <c r="EB417" i="5" s="1"/>
  <c r="BT417" i="5"/>
  <c r="BV417" i="5" s="1"/>
  <c r="CC417" i="5" s="1"/>
  <c r="BU417" i="5"/>
  <c r="BT388" i="5"/>
  <c r="BU388" i="5"/>
  <c r="BL388" i="5"/>
  <c r="DT388" i="5" s="1"/>
  <c r="DV388" i="5" s="1"/>
  <c r="EB388" i="5" s="1"/>
  <c r="BL357" i="5"/>
  <c r="DT357" i="5" s="1"/>
  <c r="DV357" i="5" s="1"/>
  <c r="EB357" i="5" s="1"/>
  <c r="BU357" i="5"/>
  <c r="BT357" i="5"/>
  <c r="AS344" i="5"/>
  <c r="BB344" i="5" s="1"/>
  <c r="BL296" i="5"/>
  <c r="DT296" i="5" s="1"/>
  <c r="DV296" i="5" s="1"/>
  <c r="BT296" i="5"/>
  <c r="BU296" i="5"/>
  <c r="AF442" i="5"/>
  <c r="BL442" i="5"/>
  <c r="DT442" i="5" s="1"/>
  <c r="DV442" i="5" s="1"/>
  <c r="BT442" i="5"/>
  <c r="BU442" i="5"/>
  <c r="FS442" i="5"/>
  <c r="FU442" i="5" s="1"/>
  <c r="CM442" i="5" s="1"/>
  <c r="BT392" i="5"/>
  <c r="BU392" i="5"/>
  <c r="BL392" i="5"/>
  <c r="DT392" i="5" s="1"/>
  <c r="DV392" i="5" s="1"/>
  <c r="EB392" i="5" s="1"/>
  <c r="AF427" i="5"/>
  <c r="BL427" i="5"/>
  <c r="DT427" i="5" s="1"/>
  <c r="DV427" i="5" s="1"/>
  <c r="EB427" i="5" s="1"/>
  <c r="BT427" i="5"/>
  <c r="FS427" i="5"/>
  <c r="FU427" i="5" s="1"/>
  <c r="CM427" i="5" s="1"/>
  <c r="BU427" i="5"/>
  <c r="BU391" i="5"/>
  <c r="BL391" i="5"/>
  <c r="DT391" i="5" s="1"/>
  <c r="DV391" i="5" s="1"/>
  <c r="EA391" i="5" s="1"/>
  <c r="BT391" i="5"/>
  <c r="BL340" i="5"/>
  <c r="DT340" i="5" s="1"/>
  <c r="DV340" i="5" s="1"/>
  <c r="EA340" i="5" s="1"/>
  <c r="BT340" i="5"/>
  <c r="FS340" i="5"/>
  <c r="FU340" i="5" s="1"/>
  <c r="CM340" i="5" s="1"/>
  <c r="BU340" i="5"/>
  <c r="AF312" i="5"/>
  <c r="BL312" i="5"/>
  <c r="DT312" i="5" s="1"/>
  <c r="DV312" i="5" s="1"/>
  <c r="BT312" i="5"/>
  <c r="BU312" i="5"/>
  <c r="FS312" i="5"/>
  <c r="FU312" i="5" s="1"/>
  <c r="CM312" i="5" s="1"/>
  <c r="AF262" i="5"/>
  <c r="BL262" i="5"/>
  <c r="DT262" i="5" s="1"/>
  <c r="DV262" i="5" s="1"/>
  <c r="BT262" i="5"/>
  <c r="BU262" i="5"/>
  <c r="AR104" i="5"/>
  <c r="CG104" i="5" s="1"/>
  <c r="DD104" i="5"/>
  <c r="ES104" i="5" s="1"/>
  <c r="BL448" i="5"/>
  <c r="DT448" i="5" s="1"/>
  <c r="DV448" i="5" s="1"/>
  <c r="BT448" i="5"/>
  <c r="BU448" i="5"/>
  <c r="AZ438" i="5"/>
  <c r="CI438" i="5" s="1"/>
  <c r="AR438" i="5"/>
  <c r="CG438" i="5" s="1"/>
  <c r="DC438" i="5"/>
  <c r="AR102" i="5"/>
  <c r="CG102" i="5" s="1"/>
  <c r="DD102" i="5"/>
  <c r="ES102" i="5" s="1"/>
  <c r="BL285" i="5"/>
  <c r="DT285" i="5" s="1"/>
  <c r="DV285" i="5" s="1"/>
  <c r="BT285" i="5"/>
  <c r="FS285" i="5"/>
  <c r="FU285" i="5" s="1"/>
  <c r="CM285" i="5" s="1"/>
  <c r="BU285" i="5"/>
  <c r="AF253" i="5"/>
  <c r="BL253" i="5"/>
  <c r="DT253" i="5" s="1"/>
  <c r="DV253" i="5" s="1"/>
  <c r="BT253" i="5"/>
  <c r="FS253" i="5"/>
  <c r="FU253" i="5" s="1"/>
  <c r="CM253" i="5" s="1"/>
  <c r="BU253" i="5"/>
  <c r="AZ351" i="5"/>
  <c r="CI351" i="5" s="1"/>
  <c r="AR351" i="5"/>
  <c r="CG351" i="5" s="1"/>
  <c r="DC351" i="5"/>
  <c r="AR332" i="5"/>
  <c r="CG332" i="5" s="1"/>
  <c r="DC332" i="5"/>
  <c r="BU450" i="5"/>
  <c r="FS450" i="5"/>
  <c r="FU450" i="5" s="1"/>
  <c r="CM450" i="5" s="1"/>
  <c r="BL450" i="5"/>
  <c r="DT450" i="5" s="1"/>
  <c r="DV450" i="5" s="1"/>
  <c r="BT450" i="5"/>
  <c r="BL381" i="5"/>
  <c r="DT381" i="5" s="1"/>
  <c r="DV381" i="5" s="1"/>
  <c r="BU381" i="5"/>
  <c r="BT381" i="5"/>
  <c r="AF265" i="5"/>
  <c r="BL265" i="5"/>
  <c r="DT265" i="5" s="1"/>
  <c r="DV265" i="5" s="1"/>
  <c r="BT265" i="5"/>
  <c r="FS265" i="5"/>
  <c r="FU265" i="5" s="1"/>
  <c r="CM265" i="5" s="1"/>
  <c r="BU265" i="5"/>
  <c r="AF364" i="5"/>
  <c r="BT364" i="5"/>
  <c r="FS364" i="5"/>
  <c r="FU364" i="5" s="1"/>
  <c r="CM364" i="5" s="1"/>
  <c r="BU364" i="5"/>
  <c r="BL364" i="5"/>
  <c r="DT364" i="5" s="1"/>
  <c r="DV364" i="5" s="1"/>
  <c r="EA364" i="5" s="1"/>
  <c r="BC479" i="5"/>
  <c r="BD479" i="5" s="1"/>
  <c r="DN479" i="5"/>
  <c r="BC471" i="5"/>
  <c r="BD471" i="5" s="1"/>
  <c r="DN471" i="5"/>
  <c r="DN497" i="5"/>
  <c r="BC497" i="5"/>
  <c r="AF453" i="5"/>
  <c r="BL453" i="5"/>
  <c r="DT453" i="5" s="1"/>
  <c r="DV453" i="5" s="1"/>
  <c r="BT453" i="5"/>
  <c r="BU453" i="5"/>
  <c r="BT359" i="5"/>
  <c r="BU359" i="5"/>
  <c r="BL359" i="5"/>
  <c r="DT359" i="5" s="1"/>
  <c r="DV359" i="5" s="1"/>
  <c r="BL103" i="5"/>
  <c r="DT103" i="5" s="1"/>
  <c r="DV103" i="5" s="1"/>
  <c r="EB103" i="5" s="1"/>
  <c r="BT103" i="5"/>
  <c r="BE103" i="5"/>
  <c r="BU103" i="5"/>
  <c r="FS103" i="5"/>
  <c r="FU103" i="5" s="1"/>
  <c r="CM103" i="5" s="1"/>
  <c r="AF335" i="5"/>
  <c r="BT335" i="5"/>
  <c r="FS335" i="5"/>
  <c r="FU335" i="5" s="1"/>
  <c r="CM335" i="5" s="1"/>
  <c r="BU335" i="5"/>
  <c r="BL335" i="5"/>
  <c r="DT335" i="5" s="1"/>
  <c r="DV335" i="5" s="1"/>
  <c r="AS381" i="5"/>
  <c r="BB381" i="5" s="1"/>
  <c r="DG27" i="5"/>
  <c r="DG47" i="5"/>
  <c r="EA388" i="5"/>
  <c r="EN330" i="5"/>
  <c r="EO330" i="5" s="1"/>
  <c r="EP330" i="5" s="1"/>
  <c r="DG45" i="5"/>
  <c r="BF29" i="5"/>
  <c r="BH29" i="5" s="1"/>
  <c r="BG29" i="5"/>
  <c r="EN334" i="5"/>
  <c r="EO334" i="5" s="1"/>
  <c r="EP334" i="5" s="1"/>
  <c r="DG50" i="5"/>
  <c r="EN432" i="5"/>
  <c r="EO432" i="5" s="1"/>
  <c r="EP432" i="5" s="1"/>
  <c r="ES153" i="5"/>
  <c r="ET153" i="5" s="1"/>
  <c r="AT405" i="5"/>
  <c r="EA276" i="5"/>
  <c r="FA302" i="5"/>
  <c r="CU302" i="5"/>
  <c r="FA398" i="5"/>
  <c r="CU398" i="5"/>
  <c r="CO430" i="5"/>
  <c r="FA430" i="5"/>
  <c r="EA259" i="5"/>
  <c r="EN405" i="5"/>
  <c r="EO405" i="5" s="1"/>
  <c r="EP405" i="5" s="1"/>
  <c r="EN373" i="5"/>
  <c r="EO373" i="5" s="1"/>
  <c r="EP373" i="5" s="1"/>
  <c r="AV95" i="5"/>
  <c r="AT482" i="5"/>
  <c r="FS424" i="5"/>
  <c r="FU424" i="5" s="1"/>
  <c r="CM424" i="5" s="1"/>
  <c r="EA401" i="5"/>
  <c r="BY359" i="5"/>
  <c r="FS342" i="5"/>
  <c r="FU342" i="5" s="1"/>
  <c r="CM342" i="5" s="1"/>
  <c r="AT335" i="5"/>
  <c r="FS302" i="5"/>
  <c r="FU302" i="5" s="1"/>
  <c r="CM302" i="5" s="1"/>
  <c r="AZ333" i="5"/>
  <c r="CI333" i="5" s="1"/>
  <c r="EN294" i="5"/>
  <c r="EO294" i="5" s="1"/>
  <c r="EP294" i="5" s="1"/>
  <c r="AV275" i="5"/>
  <c r="BF51" i="5"/>
  <c r="BH51" i="5" s="1"/>
  <c r="BG51" i="5"/>
  <c r="CC27" i="5"/>
  <c r="EN98" i="5"/>
  <c r="EO98" i="5" s="1"/>
  <c r="EP98" i="5" s="1"/>
  <c r="FS408" i="5"/>
  <c r="FU408" i="5" s="1"/>
  <c r="CM408" i="5" s="1"/>
  <c r="FS255" i="5"/>
  <c r="FU255" i="5" s="1"/>
  <c r="CM255" i="5" s="1"/>
  <c r="AV289" i="5"/>
  <c r="BG46" i="5"/>
  <c r="BF46" i="5"/>
  <c r="BH46" i="5" s="1"/>
  <c r="EN35" i="5"/>
  <c r="EO35" i="5" s="1"/>
  <c r="EP35" i="5" s="1"/>
  <c r="ET35" i="5"/>
  <c r="EN21" i="5"/>
  <c r="BY349" i="5"/>
  <c r="FS417" i="5"/>
  <c r="FU417" i="5" s="1"/>
  <c r="CM417" i="5" s="1"/>
  <c r="AS152" i="5"/>
  <c r="AT152" i="5" s="1"/>
  <c r="FS435" i="5"/>
  <c r="FU435" i="5" s="1"/>
  <c r="CM435" i="5" s="1"/>
  <c r="EN408" i="5"/>
  <c r="EO408" i="5" s="1"/>
  <c r="EP408" i="5" s="1"/>
  <c r="EN386" i="5"/>
  <c r="EO386" i="5" s="1"/>
  <c r="EP386" i="5" s="1"/>
  <c r="EN306" i="5"/>
  <c r="EO306" i="5" s="1"/>
  <c r="EP306" i="5" s="1"/>
  <c r="EN254" i="5"/>
  <c r="EO254" i="5" s="1"/>
  <c r="EP254" i="5" s="1"/>
  <c r="EN484" i="5"/>
  <c r="EO484" i="5" s="1"/>
  <c r="EP484" i="5" s="1"/>
  <c r="FS401" i="5"/>
  <c r="FU401" i="5" s="1"/>
  <c r="CM401" i="5" s="1"/>
  <c r="EA398" i="5"/>
  <c r="FS383" i="5"/>
  <c r="FU383" i="5" s="1"/>
  <c r="CM383" i="5" s="1"/>
  <c r="BY369" i="5"/>
  <c r="FS314" i="5"/>
  <c r="FU314" i="5" s="1"/>
  <c r="CM314" i="5" s="1"/>
  <c r="AT276" i="5"/>
  <c r="FA274" i="5"/>
  <c r="CU274" i="5"/>
  <c r="FA282" i="5"/>
  <c r="CU282" i="5"/>
  <c r="FA378" i="5"/>
  <c r="CO378" i="5"/>
  <c r="EN430" i="5"/>
  <c r="EO430" i="5" s="1"/>
  <c r="EP430" i="5" s="1"/>
  <c r="AZ412" i="5"/>
  <c r="CI412" i="5" s="1"/>
  <c r="AV269" i="5"/>
  <c r="ET49" i="5"/>
  <c r="EN49" i="5"/>
  <c r="EO49" i="5" s="1"/>
  <c r="EP49" i="5" s="1"/>
  <c r="BG44" i="5"/>
  <c r="BF44" i="5"/>
  <c r="BH44" i="5" s="1"/>
  <c r="AS385" i="5"/>
  <c r="BB385" i="5" s="1"/>
  <c r="AZ429" i="5"/>
  <c r="CI429" i="5" s="1"/>
  <c r="AT470" i="5"/>
  <c r="EA397" i="5"/>
  <c r="BY334" i="5"/>
  <c r="BY262" i="5"/>
  <c r="AZ440" i="5"/>
  <c r="CI440" i="5" s="1"/>
  <c r="AV411" i="5"/>
  <c r="EN385" i="5"/>
  <c r="EO385" i="5"/>
  <c r="EP385" i="5" s="1"/>
  <c r="AV321" i="5"/>
  <c r="BF31" i="5"/>
  <c r="BH31" i="5" s="1"/>
  <c r="BG31" i="5"/>
  <c r="BI31" i="5" s="1"/>
  <c r="EN441" i="5"/>
  <c r="EO441" i="5" s="1"/>
  <c r="EP441" i="5" s="1"/>
  <c r="DX473" i="5"/>
  <c r="DX475" i="5"/>
  <c r="EN491" i="5"/>
  <c r="EO491" i="5" s="1"/>
  <c r="EP491" i="5" s="1"/>
  <c r="DX499" i="5"/>
  <c r="EN440" i="5"/>
  <c r="EO440" i="5" s="1"/>
  <c r="EP440" i="5" s="1"/>
  <c r="DX484" i="5"/>
  <c r="BB497" i="5"/>
  <c r="CE491" i="5"/>
  <c r="DX485" i="5"/>
  <c r="DX487" i="5"/>
  <c r="FS448" i="5"/>
  <c r="FU448" i="5" s="1"/>
  <c r="CM448" i="5" s="1"/>
  <c r="EO482" i="5"/>
  <c r="EP482" i="5" s="1"/>
  <c r="AU73" i="5"/>
  <c r="AU115" i="5"/>
  <c r="AU147" i="5"/>
  <c r="AU84" i="5"/>
  <c r="AU126" i="5"/>
  <c r="AU63" i="5"/>
  <c r="AU105" i="5"/>
  <c r="AU137" i="5"/>
  <c r="AU140" i="5"/>
  <c r="AU90" i="5"/>
  <c r="DD47" i="5"/>
  <c r="ES47" i="5" s="1"/>
  <c r="AR47" i="5"/>
  <c r="AR38" i="5"/>
  <c r="DD38" i="5"/>
  <c r="ES38" i="5" s="1"/>
  <c r="AR29" i="5"/>
  <c r="DD29" i="5"/>
  <c r="AR36" i="5"/>
  <c r="DD36" i="5"/>
  <c r="R45" i="5"/>
  <c r="EF45" i="5" s="1"/>
  <c r="EE45" i="5" s="1"/>
  <c r="EN45" i="5" s="1"/>
  <c r="AU45" i="5"/>
  <c r="AV45" i="5" s="1"/>
  <c r="AW45" i="5" s="1"/>
  <c r="EF20" i="5"/>
  <c r="EE20" i="5" s="1"/>
  <c r="EG20" i="5" s="1"/>
  <c r="EJ20" i="5" s="1"/>
  <c r="EK20" i="5" s="1"/>
  <c r="AU20" i="5"/>
  <c r="AV20" i="5" s="1"/>
  <c r="AW20" i="5" s="1"/>
  <c r="AR41" i="5"/>
  <c r="DD41" i="5"/>
  <c r="ES41" i="5" s="1"/>
  <c r="R46" i="5"/>
  <c r="EF46" i="5" s="1"/>
  <c r="EE46" i="5" s="1"/>
  <c r="EN46" i="5" s="1"/>
  <c r="AU46" i="5"/>
  <c r="AV46" i="5" s="1"/>
  <c r="AW46" i="5" s="1"/>
  <c r="DD48" i="5"/>
  <c r="ES48" i="5" s="1"/>
  <c r="AR48" i="5"/>
  <c r="AR451" i="5"/>
  <c r="CG451" i="5" s="1"/>
  <c r="DC451" i="5"/>
  <c r="DC419" i="5"/>
  <c r="AR419" i="5"/>
  <c r="CG419" i="5" s="1"/>
  <c r="DC387" i="5"/>
  <c r="AR387" i="5"/>
  <c r="CG387" i="5" s="1"/>
  <c r="AR363" i="5"/>
  <c r="CG363" i="5" s="1"/>
  <c r="DC363" i="5"/>
  <c r="AR311" i="5"/>
  <c r="CG311" i="5" s="1"/>
  <c r="DC311" i="5"/>
  <c r="DC279" i="5"/>
  <c r="AR279" i="5"/>
  <c r="CG279" i="5" s="1"/>
  <c r="DC319" i="5"/>
  <c r="AR319" i="5"/>
  <c r="CG319" i="5" s="1"/>
  <c r="DC296" i="5"/>
  <c r="AR296" i="5"/>
  <c r="CG296" i="5" s="1"/>
  <c r="AR268" i="5"/>
  <c r="CG268" i="5" s="1"/>
  <c r="DC268" i="5"/>
  <c r="BC304" i="5"/>
  <c r="DN304" i="5"/>
  <c r="DN288" i="5"/>
  <c r="BC272" i="5"/>
  <c r="BD272" i="5" s="1"/>
  <c r="DN272" i="5"/>
  <c r="BC256" i="5"/>
  <c r="DN256" i="5"/>
  <c r="BC265" i="5"/>
  <c r="DN265" i="5"/>
  <c r="DN421" i="5"/>
  <c r="BC421" i="5"/>
  <c r="S392" i="5"/>
  <c r="EF392" i="5"/>
  <c r="EE392" i="5" s="1"/>
  <c r="AS264" i="5"/>
  <c r="BB264" i="5" s="1"/>
  <c r="AS323" i="5"/>
  <c r="BB323" i="5" s="1"/>
  <c r="AF436" i="5"/>
  <c r="BL436" i="5"/>
  <c r="DT436" i="5" s="1"/>
  <c r="DV436" i="5" s="1"/>
  <c r="BT436" i="5"/>
  <c r="FS436" i="5"/>
  <c r="FU436" i="5" s="1"/>
  <c r="CM436" i="5" s="1"/>
  <c r="BU436" i="5"/>
  <c r="BT404" i="5"/>
  <c r="BU404" i="5"/>
  <c r="BL404" i="5"/>
  <c r="DT404" i="5" s="1"/>
  <c r="DV404" i="5" s="1"/>
  <c r="AF371" i="5"/>
  <c r="BL371" i="5"/>
  <c r="DT371" i="5" s="1"/>
  <c r="DV371" i="5" s="1"/>
  <c r="BT371" i="5"/>
  <c r="BU371" i="5"/>
  <c r="BL287" i="5"/>
  <c r="DT287" i="5" s="1"/>
  <c r="DV287" i="5" s="1"/>
  <c r="BT287" i="5"/>
  <c r="FS287" i="5"/>
  <c r="FU287" i="5" s="1"/>
  <c r="CM287" i="5" s="1"/>
  <c r="BU287" i="5"/>
  <c r="BU445" i="5"/>
  <c r="BL445" i="5"/>
  <c r="DT445" i="5" s="1"/>
  <c r="DV445" i="5" s="1"/>
  <c r="BT445" i="5"/>
  <c r="BL413" i="5"/>
  <c r="DT413" i="5" s="1"/>
  <c r="DV413" i="5" s="1"/>
  <c r="EB413" i="5" s="1"/>
  <c r="BT413" i="5"/>
  <c r="BV413" i="5" s="1"/>
  <c r="CC413" i="5" s="1"/>
  <c r="CE413" i="5" s="1"/>
  <c r="CJ413" i="5" s="1"/>
  <c r="BU413" i="5"/>
  <c r="AF384" i="5"/>
  <c r="BT384" i="5"/>
  <c r="FS384" i="5"/>
  <c r="FU384" i="5" s="1"/>
  <c r="CM384" i="5" s="1"/>
  <c r="BU384" i="5"/>
  <c r="BL384" i="5"/>
  <c r="DT384" i="5" s="1"/>
  <c r="DV384" i="5" s="1"/>
  <c r="EB384" i="5" s="1"/>
  <c r="AF354" i="5"/>
  <c r="BT354" i="5"/>
  <c r="BV354" i="5" s="1"/>
  <c r="CC354" i="5" s="1"/>
  <c r="CE354" i="5" s="1"/>
  <c r="CJ354" i="5" s="1"/>
  <c r="BU354" i="5"/>
  <c r="FS354" i="5"/>
  <c r="FU354" i="5" s="1"/>
  <c r="CM354" i="5" s="1"/>
  <c r="BL354" i="5"/>
  <c r="DT354" i="5" s="1"/>
  <c r="DV354" i="5" s="1"/>
  <c r="AF324" i="5"/>
  <c r="BL324" i="5"/>
  <c r="DT324" i="5" s="1"/>
  <c r="DV324" i="5" s="1"/>
  <c r="EB324" i="5" s="1"/>
  <c r="BT324" i="5"/>
  <c r="FS324" i="5"/>
  <c r="FU324" i="5" s="1"/>
  <c r="CM324" i="5" s="1"/>
  <c r="BU324" i="5"/>
  <c r="AF292" i="5"/>
  <c r="BU292" i="5"/>
  <c r="BL292" i="5"/>
  <c r="DT292" i="5" s="1"/>
  <c r="DV292" i="5" s="1"/>
  <c r="BT292" i="5"/>
  <c r="FS292" i="5"/>
  <c r="FU292" i="5" s="1"/>
  <c r="CM292" i="5" s="1"/>
  <c r="AF438" i="5"/>
  <c r="BL438" i="5"/>
  <c r="DT438" i="5" s="1"/>
  <c r="DV438" i="5" s="1"/>
  <c r="EA438" i="5" s="1"/>
  <c r="BU438" i="5"/>
  <c r="FS438" i="5"/>
  <c r="FU438" i="5" s="1"/>
  <c r="CM438" i="5" s="1"/>
  <c r="BT438" i="5"/>
  <c r="BL377" i="5"/>
  <c r="DT377" i="5" s="1"/>
  <c r="DV377" i="5" s="1"/>
  <c r="EA377" i="5" s="1"/>
  <c r="BU377" i="5"/>
  <c r="BT377" i="5"/>
  <c r="BL423" i="5"/>
  <c r="DT423" i="5" s="1"/>
  <c r="DV423" i="5" s="1"/>
  <c r="BT423" i="5"/>
  <c r="BV423" i="5" s="1"/>
  <c r="CC423" i="5" s="1"/>
  <c r="FS423" i="5"/>
  <c r="FU423" i="5" s="1"/>
  <c r="CM423" i="5" s="1"/>
  <c r="BU423" i="5"/>
  <c r="AF395" i="5"/>
  <c r="BL395" i="5"/>
  <c r="DT395" i="5" s="1"/>
  <c r="DV395" i="5" s="1"/>
  <c r="EA395" i="5" s="1"/>
  <c r="BT395" i="5"/>
  <c r="FS395" i="5"/>
  <c r="FU395" i="5" s="1"/>
  <c r="CM395" i="5" s="1"/>
  <c r="BU395" i="5"/>
  <c r="AR320" i="5"/>
  <c r="CG320" i="5" s="1"/>
  <c r="DC320" i="5"/>
  <c r="AF258" i="5"/>
  <c r="BL258" i="5"/>
  <c r="DT258" i="5" s="1"/>
  <c r="DV258" i="5" s="1"/>
  <c r="EB258" i="5" s="1"/>
  <c r="BT258" i="5"/>
  <c r="FS258" i="5"/>
  <c r="FU258" i="5" s="1"/>
  <c r="CM258" i="5" s="1"/>
  <c r="BU258" i="5"/>
  <c r="BU283" i="5"/>
  <c r="FS283" i="5"/>
  <c r="FU283" i="5" s="1"/>
  <c r="CM283" i="5" s="1"/>
  <c r="BL283" i="5"/>
  <c r="DT283" i="5" s="1"/>
  <c r="DV283" i="5" s="1"/>
  <c r="BT283" i="5"/>
  <c r="AF360" i="5"/>
  <c r="BT360" i="5"/>
  <c r="FS360" i="5"/>
  <c r="FU360" i="5" s="1"/>
  <c r="CM360" i="5" s="1"/>
  <c r="BL360" i="5"/>
  <c r="DT360" i="5" s="1"/>
  <c r="DV360" i="5" s="1"/>
  <c r="BU360" i="5"/>
  <c r="AF281" i="5"/>
  <c r="BT281" i="5"/>
  <c r="BV281" i="5" s="1"/>
  <c r="BU281" i="5"/>
  <c r="BL281" i="5"/>
  <c r="DT281" i="5" s="1"/>
  <c r="DV281" i="5" s="1"/>
  <c r="EB281" i="5" s="1"/>
  <c r="AZ400" i="5"/>
  <c r="CI400" i="5" s="1"/>
  <c r="DC400" i="5"/>
  <c r="AR400" i="5"/>
  <c r="CG400" i="5" s="1"/>
  <c r="AS379" i="5"/>
  <c r="AT379" i="5" s="1"/>
  <c r="AZ328" i="5"/>
  <c r="CI328" i="5" s="1"/>
  <c r="AR328" i="5"/>
  <c r="CG328" i="5" s="1"/>
  <c r="DC328" i="5"/>
  <c r="AF446" i="5"/>
  <c r="BL446" i="5"/>
  <c r="DT446" i="5" s="1"/>
  <c r="DV446" i="5" s="1"/>
  <c r="BT446" i="5"/>
  <c r="BU446" i="5"/>
  <c r="FS446" i="5"/>
  <c r="FU446" i="5" s="1"/>
  <c r="CM446" i="5" s="1"/>
  <c r="BL370" i="5"/>
  <c r="DT370" i="5" s="1"/>
  <c r="DV370" i="5" s="1"/>
  <c r="BT370" i="5"/>
  <c r="FS370" i="5"/>
  <c r="FU370" i="5" s="1"/>
  <c r="CM370" i="5" s="1"/>
  <c r="BU370" i="5"/>
  <c r="AF326" i="5"/>
  <c r="BL326" i="5"/>
  <c r="DT326" i="5" s="1"/>
  <c r="DV326" i="5" s="1"/>
  <c r="BT326" i="5"/>
  <c r="FS326" i="5"/>
  <c r="FU326" i="5" s="1"/>
  <c r="CM326" i="5" s="1"/>
  <c r="BU326" i="5"/>
  <c r="DN475" i="5"/>
  <c r="BC475" i="5"/>
  <c r="BD475" i="5" s="1"/>
  <c r="BC487" i="5"/>
  <c r="BD487" i="5" s="1"/>
  <c r="DN487" i="5"/>
  <c r="AR150" i="5"/>
  <c r="CG150" i="5" s="1"/>
  <c r="DD150" i="5"/>
  <c r="ES150" i="5" s="1"/>
  <c r="AR152" i="5"/>
  <c r="CG152" i="5" s="1"/>
  <c r="DD152" i="5"/>
  <c r="ES152" i="5" s="1"/>
  <c r="AF264" i="5"/>
  <c r="BL264" i="5"/>
  <c r="DT264" i="5" s="1"/>
  <c r="DV264" i="5" s="1"/>
  <c r="BT264" i="5"/>
  <c r="FS264" i="5"/>
  <c r="FU264" i="5" s="1"/>
  <c r="CM264" i="5" s="1"/>
  <c r="BU264" i="5"/>
  <c r="AF334" i="5"/>
  <c r="BL333" i="5"/>
  <c r="DT333" i="5" s="1"/>
  <c r="DV333" i="5" s="1"/>
  <c r="BT333" i="5"/>
  <c r="FS333" i="5"/>
  <c r="FU333" i="5" s="1"/>
  <c r="CM333" i="5" s="1"/>
  <c r="BU333" i="5"/>
  <c r="BT327" i="5"/>
  <c r="BU327" i="5"/>
  <c r="BL327" i="5"/>
  <c r="DT327" i="5" s="1"/>
  <c r="DV327" i="5" s="1"/>
  <c r="AF268" i="5"/>
  <c r="BL268" i="5"/>
  <c r="DT268" i="5" s="1"/>
  <c r="DV268" i="5" s="1"/>
  <c r="BT268" i="5"/>
  <c r="BU268" i="5"/>
  <c r="BL100" i="5"/>
  <c r="DT100" i="5" s="1"/>
  <c r="DV100" i="5" s="1"/>
  <c r="EB100" i="5" s="1"/>
  <c r="BT100" i="5"/>
  <c r="BE100" i="5"/>
  <c r="BU100" i="5"/>
  <c r="FS100" i="5"/>
  <c r="FU100" i="5" s="1"/>
  <c r="CM100" i="5" s="1"/>
  <c r="DD32" i="5"/>
  <c r="AR32" i="5"/>
  <c r="AS374" i="5"/>
  <c r="BB374" i="5" s="1"/>
  <c r="DG35" i="5"/>
  <c r="DG52" i="5"/>
  <c r="BJ150" i="5"/>
  <c r="EC150" i="5" s="1"/>
  <c r="EB150" i="5" s="1"/>
  <c r="EA100" i="5"/>
  <c r="FS346" i="5"/>
  <c r="FU346" i="5" s="1"/>
  <c r="CM346" i="5" s="1"/>
  <c r="AT342" i="5"/>
  <c r="FS284" i="5"/>
  <c r="FU284" i="5" s="1"/>
  <c r="CM284" i="5" s="1"/>
  <c r="EA270" i="5"/>
  <c r="CU413" i="5"/>
  <c r="FA413" i="5"/>
  <c r="FS260" i="5"/>
  <c r="FU260" i="5" s="1"/>
  <c r="CM260" i="5" s="1"/>
  <c r="EN394" i="5"/>
  <c r="EO394" i="5" s="1"/>
  <c r="EP394" i="5" s="1"/>
  <c r="AV326" i="5"/>
  <c r="AV281" i="5"/>
  <c r="BF45" i="5"/>
  <c r="BH45" i="5" s="1"/>
  <c r="BG45" i="5"/>
  <c r="DG29" i="5"/>
  <c r="AT343" i="5"/>
  <c r="AV313" i="5"/>
  <c r="EN444" i="5"/>
  <c r="EO444" i="5" s="1"/>
  <c r="EP444" i="5" s="1"/>
  <c r="EA424" i="5"/>
  <c r="FS393" i="5"/>
  <c r="FU393" i="5" s="1"/>
  <c r="CM393" i="5" s="1"/>
  <c r="EA371" i="5"/>
  <c r="AT280" i="5"/>
  <c r="EN348" i="5"/>
  <c r="EO348" i="5" s="1"/>
  <c r="EP348" i="5" s="1"/>
  <c r="AV312" i="5"/>
  <c r="AV272" i="5"/>
  <c r="AV255" i="5"/>
  <c r="DG48" i="5"/>
  <c r="BV40" i="5"/>
  <c r="CC40" i="5" s="1"/>
  <c r="EN483" i="5"/>
  <c r="EO483" i="5" s="1"/>
  <c r="EP483" i="5" s="1"/>
  <c r="AT498" i="5"/>
  <c r="ET99" i="5"/>
  <c r="EN99" i="5"/>
  <c r="EO99" i="5" s="1"/>
  <c r="EP99" i="5" s="1"/>
  <c r="EB428" i="5"/>
  <c r="FS405" i="5"/>
  <c r="FU405" i="5" s="1"/>
  <c r="CM405" i="5" s="1"/>
  <c r="EA393" i="5"/>
  <c r="FS359" i="5"/>
  <c r="FU359" i="5" s="1"/>
  <c r="CM359" i="5" s="1"/>
  <c r="AT308" i="5"/>
  <c r="AT279" i="5"/>
  <c r="AZ397" i="5"/>
  <c r="CI397" i="5" s="1"/>
  <c r="EN344" i="5"/>
  <c r="EO344" i="5" s="1"/>
  <c r="EP344" i="5" s="1"/>
  <c r="AZ329" i="5"/>
  <c r="CI329" i="5" s="1"/>
  <c r="AR329" i="5"/>
  <c r="CG329" i="5" s="1"/>
  <c r="DC329" i="5"/>
  <c r="BG21" i="5"/>
  <c r="BF21" i="5"/>
  <c r="BH21" i="5" s="1"/>
  <c r="FS268" i="5"/>
  <c r="FU268" i="5" s="1"/>
  <c r="CM268" i="5" s="1"/>
  <c r="EN448" i="5"/>
  <c r="EO448" i="5" s="1"/>
  <c r="EP448" i="5" s="1"/>
  <c r="AV152" i="5"/>
  <c r="EB435" i="5"/>
  <c r="AT410" i="5"/>
  <c r="EB282" i="5"/>
  <c r="FA360" i="5"/>
  <c r="CO360" i="5"/>
  <c r="FA254" i="5"/>
  <c r="CU254" i="5"/>
  <c r="BY255" i="5"/>
  <c r="EN424" i="5"/>
  <c r="EO424" i="5" s="1"/>
  <c r="EP424" i="5" s="1"/>
  <c r="EN404" i="5"/>
  <c r="EO404" i="5" s="1"/>
  <c r="EP404" i="5" s="1"/>
  <c r="AZ347" i="5"/>
  <c r="CI347" i="5" s="1"/>
  <c r="AV284" i="5"/>
  <c r="FS349" i="5"/>
  <c r="FU349" i="5" s="1"/>
  <c r="CM349" i="5" s="1"/>
  <c r="EN436" i="5"/>
  <c r="EO436" i="5" s="1"/>
  <c r="EP436" i="5" s="1"/>
  <c r="DV148" i="5"/>
  <c r="EN97" i="5"/>
  <c r="EO97" i="5" s="1"/>
  <c r="EP97" i="5" s="1"/>
  <c r="BY407" i="5"/>
  <c r="FS371" i="5"/>
  <c r="FU371" i="5" s="1"/>
  <c r="CM371" i="5" s="1"/>
  <c r="AS450" i="5"/>
  <c r="BB450" i="5" s="1"/>
  <c r="AT299" i="5"/>
  <c r="BY300" i="5"/>
  <c r="BY277" i="5"/>
  <c r="AZ306" i="5"/>
  <c r="CI306" i="5" s="1"/>
  <c r="AZ254" i="5"/>
  <c r="CI254" i="5" s="1"/>
  <c r="FS381" i="5"/>
  <c r="FU381" i="5" s="1"/>
  <c r="CM381" i="5" s="1"/>
  <c r="AT338" i="5"/>
  <c r="BV26" i="5"/>
  <c r="CC26" i="5" s="1"/>
  <c r="CE26" i="5" s="1"/>
  <c r="DG469" i="5"/>
  <c r="EN96" i="5"/>
  <c r="EO96" i="5" s="1"/>
  <c r="EP96" i="5" s="1"/>
  <c r="ET96" i="5"/>
  <c r="EA421" i="5"/>
  <c r="BY401" i="5"/>
  <c r="EA390" i="5"/>
  <c r="EA319" i="5"/>
  <c r="FA370" i="5"/>
  <c r="CO370" i="5"/>
  <c r="AV407" i="5"/>
  <c r="AV367" i="5"/>
  <c r="EN346" i="5"/>
  <c r="EO346" i="5" s="1"/>
  <c r="EP346" i="5" s="1"/>
  <c r="EN335" i="5"/>
  <c r="EO335" i="5" s="1"/>
  <c r="EP335" i="5" s="1"/>
  <c r="AV287" i="5"/>
  <c r="BV44" i="5"/>
  <c r="CC44" i="5" s="1"/>
  <c r="CE44" i="5" s="1"/>
  <c r="EN406" i="5"/>
  <c r="EO406" i="5" s="1"/>
  <c r="EP406" i="5" s="1"/>
  <c r="AZ370" i="5"/>
  <c r="CI370" i="5" s="1"/>
  <c r="EN495" i="5"/>
  <c r="EO495" i="5" s="1"/>
  <c r="EP495" i="5" s="1"/>
  <c r="BV152" i="5"/>
  <c r="CC152" i="5" s="1"/>
  <c r="AV150" i="5"/>
  <c r="EB364" i="5"/>
  <c r="FS262" i="5"/>
  <c r="FU262" i="5" s="1"/>
  <c r="CM262" i="5" s="1"/>
  <c r="AZ374" i="5"/>
  <c r="CI374" i="5" s="1"/>
  <c r="EN353" i="5"/>
  <c r="EO353" i="5" s="1"/>
  <c r="EP353" i="5" s="1"/>
  <c r="AV314" i="5"/>
  <c r="BF47" i="5"/>
  <c r="BH47" i="5" s="1"/>
  <c r="BG47" i="5"/>
  <c r="BV31" i="5"/>
  <c r="CC31" i="5" s="1"/>
  <c r="EB365" i="5"/>
  <c r="AT351" i="5"/>
  <c r="CE488" i="5"/>
  <c r="AV438" i="5"/>
  <c r="CE486" i="5"/>
  <c r="AU77" i="5"/>
  <c r="AU119" i="5"/>
  <c r="AU55" i="5"/>
  <c r="AU88" i="5"/>
  <c r="AU130" i="5"/>
  <c r="AU67" i="5"/>
  <c r="AU109" i="5"/>
  <c r="AU141" i="5"/>
  <c r="AU62" i="5"/>
  <c r="AU116" i="5"/>
  <c r="AR28" i="5"/>
  <c r="DD28" i="5"/>
  <c r="R40" i="5"/>
  <c r="AU40" i="5"/>
  <c r="AV40" i="5" s="1"/>
  <c r="AW40" i="5" s="1"/>
  <c r="AU51" i="5"/>
  <c r="AV51" i="5" s="1"/>
  <c r="AW51" i="5" s="1"/>
  <c r="R25" i="5"/>
  <c r="AU25" i="5"/>
  <c r="AV25" i="5" s="1"/>
  <c r="AW25" i="5" s="1"/>
  <c r="R39" i="5"/>
  <c r="AU39" i="5"/>
  <c r="AV39" i="5" s="1"/>
  <c r="AW39" i="5" s="1"/>
  <c r="AR46" i="5"/>
  <c r="DD46" i="5"/>
  <c r="ES46" i="5" s="1"/>
  <c r="AR447" i="5"/>
  <c r="CG447" i="5" s="1"/>
  <c r="DC447" i="5"/>
  <c r="DC415" i="5"/>
  <c r="AR415" i="5"/>
  <c r="CG415" i="5" s="1"/>
  <c r="DC383" i="5"/>
  <c r="AR383" i="5"/>
  <c r="CG383" i="5" s="1"/>
  <c r="AR307" i="5"/>
  <c r="CG307" i="5" s="1"/>
  <c r="DC307" i="5"/>
  <c r="DC275" i="5"/>
  <c r="AR275" i="5"/>
  <c r="CG275" i="5" s="1"/>
  <c r="DC318" i="5"/>
  <c r="AR318" i="5"/>
  <c r="CG318" i="5" s="1"/>
  <c r="DC292" i="5"/>
  <c r="AR292" i="5"/>
  <c r="CG292" i="5" s="1"/>
  <c r="AR264" i="5"/>
  <c r="CG264" i="5" s="1"/>
  <c r="DC264" i="5"/>
  <c r="DC301" i="5"/>
  <c r="AR301" i="5"/>
  <c r="CG301" i="5" s="1"/>
  <c r="AR285" i="5"/>
  <c r="CG285" i="5" s="1"/>
  <c r="DC285" i="5"/>
  <c r="DC269" i="5"/>
  <c r="AR269" i="5"/>
  <c r="CG269" i="5" s="1"/>
  <c r="AR253" i="5"/>
  <c r="CG253" i="5" s="1"/>
  <c r="DC253" i="5"/>
  <c r="BC261" i="5"/>
  <c r="DN261" i="5"/>
  <c r="AS332" i="5"/>
  <c r="BB332" i="5" s="1"/>
  <c r="AZ417" i="5"/>
  <c r="CI417" i="5" s="1"/>
  <c r="AR417" i="5"/>
  <c r="CG417" i="5" s="1"/>
  <c r="DC417" i="5"/>
  <c r="AR252" i="5"/>
  <c r="CG252" i="5" s="1"/>
  <c r="DC252" i="5"/>
  <c r="AS269" i="5"/>
  <c r="BB269" i="5" s="1"/>
  <c r="AS303" i="5"/>
  <c r="BB303" i="5" s="1"/>
  <c r="AS288" i="5"/>
  <c r="AT288" i="5" s="1"/>
  <c r="BL432" i="5"/>
  <c r="DT432" i="5" s="1"/>
  <c r="DV432" i="5" s="1"/>
  <c r="BT432" i="5"/>
  <c r="FS432" i="5"/>
  <c r="FU432" i="5" s="1"/>
  <c r="CM432" i="5" s="1"/>
  <c r="BU432" i="5"/>
  <c r="AF400" i="5"/>
  <c r="BT400" i="5"/>
  <c r="FS400" i="5"/>
  <c r="FU400" i="5" s="1"/>
  <c r="CM400" i="5" s="1"/>
  <c r="BU400" i="5"/>
  <c r="BL400" i="5"/>
  <c r="DT400" i="5" s="1"/>
  <c r="DV400" i="5" s="1"/>
  <c r="EB400" i="5" s="1"/>
  <c r="AF353" i="5"/>
  <c r="BL353" i="5"/>
  <c r="DT353" i="5" s="1"/>
  <c r="DV353" i="5" s="1"/>
  <c r="BT353" i="5"/>
  <c r="BU353" i="5"/>
  <c r="FS353" i="5"/>
  <c r="FU353" i="5" s="1"/>
  <c r="CM353" i="5" s="1"/>
  <c r="BU279" i="5"/>
  <c r="BL279" i="5"/>
  <c r="DT279" i="5" s="1"/>
  <c r="DV279" i="5" s="1"/>
  <c r="FS279" i="5"/>
  <c r="FU279" i="5" s="1"/>
  <c r="CM279" i="5" s="1"/>
  <c r="BT279" i="5"/>
  <c r="BL441" i="5"/>
  <c r="DT441" i="5" s="1"/>
  <c r="DV441" i="5" s="1"/>
  <c r="BT441" i="5"/>
  <c r="BU441" i="5"/>
  <c r="BL409" i="5"/>
  <c r="DT409" i="5" s="1"/>
  <c r="DV409" i="5" s="1"/>
  <c r="EB409" i="5" s="1"/>
  <c r="BT409" i="5"/>
  <c r="FS409" i="5"/>
  <c r="FU409" i="5" s="1"/>
  <c r="CM409" i="5" s="1"/>
  <c r="BU409" i="5"/>
  <c r="AF380" i="5"/>
  <c r="BT380" i="5"/>
  <c r="BU380" i="5"/>
  <c r="BL380" i="5"/>
  <c r="DT380" i="5" s="1"/>
  <c r="DV380" i="5" s="1"/>
  <c r="EA380" i="5" s="1"/>
  <c r="BU350" i="5"/>
  <c r="BT350" i="5"/>
  <c r="BL350" i="5"/>
  <c r="DT350" i="5" s="1"/>
  <c r="DV350" i="5" s="1"/>
  <c r="EA350" i="5" s="1"/>
  <c r="BL322" i="5"/>
  <c r="DT322" i="5" s="1"/>
  <c r="DV322" i="5" s="1"/>
  <c r="EA322" i="5" s="1"/>
  <c r="BT322" i="5"/>
  <c r="BU322" i="5"/>
  <c r="AF280" i="5"/>
  <c r="BL280" i="5"/>
  <c r="DT280" i="5" s="1"/>
  <c r="DV280" i="5" s="1"/>
  <c r="EB280" i="5" s="1"/>
  <c r="BT280" i="5"/>
  <c r="BU280" i="5"/>
  <c r="AF434" i="5"/>
  <c r="BL434" i="5"/>
  <c r="DT434" i="5" s="1"/>
  <c r="DV434" i="5" s="1"/>
  <c r="EB434" i="5" s="1"/>
  <c r="BU434" i="5"/>
  <c r="FS434" i="5"/>
  <c r="FU434" i="5" s="1"/>
  <c r="CM434" i="5" s="1"/>
  <c r="BT434" i="5"/>
  <c r="BL373" i="5"/>
  <c r="DT373" i="5" s="1"/>
  <c r="DV373" i="5" s="1"/>
  <c r="BU373" i="5"/>
  <c r="BT373" i="5"/>
  <c r="BL419" i="5"/>
  <c r="DT419" i="5" s="1"/>
  <c r="DV419" i="5" s="1"/>
  <c r="BT419" i="5"/>
  <c r="BU419" i="5"/>
  <c r="BL386" i="5"/>
  <c r="DT386" i="5" s="1"/>
  <c r="DV386" i="5" s="1"/>
  <c r="EB386" i="5" s="1"/>
  <c r="BU386" i="5"/>
  <c r="BT386" i="5"/>
  <c r="BU254" i="5"/>
  <c r="BL254" i="5"/>
  <c r="DT254" i="5" s="1"/>
  <c r="DV254" i="5" s="1"/>
  <c r="BT254" i="5"/>
  <c r="AR95" i="5"/>
  <c r="CG95" i="5" s="1"/>
  <c r="DD95" i="5"/>
  <c r="ES95" i="5" s="1"/>
  <c r="DC450" i="5"/>
  <c r="AR450" i="5"/>
  <c r="CG450" i="5" s="1"/>
  <c r="BT356" i="5"/>
  <c r="FS356" i="5"/>
  <c r="FU356" i="5" s="1"/>
  <c r="CM356" i="5" s="1"/>
  <c r="BL356" i="5"/>
  <c r="DT356" i="5" s="1"/>
  <c r="DV356" i="5" s="1"/>
  <c r="EB356" i="5" s="1"/>
  <c r="BU356" i="5"/>
  <c r="AS408" i="5"/>
  <c r="BB408" i="5" s="1"/>
  <c r="AF277" i="5"/>
  <c r="BT277" i="5"/>
  <c r="BU277" i="5"/>
  <c r="BL277" i="5"/>
  <c r="DT277" i="5" s="1"/>
  <c r="DV277" i="5" s="1"/>
  <c r="EB277" i="5" s="1"/>
  <c r="AS375" i="5"/>
  <c r="BB375" i="5" s="1"/>
  <c r="AZ369" i="5"/>
  <c r="CI369" i="5" s="1"/>
  <c r="AR369" i="5"/>
  <c r="CG369" i="5" s="1"/>
  <c r="DC369" i="5"/>
  <c r="AZ343" i="5"/>
  <c r="CI343" i="5" s="1"/>
  <c r="AR343" i="5"/>
  <c r="CG343" i="5" s="1"/>
  <c r="DC343" i="5"/>
  <c r="AZ324" i="5"/>
  <c r="CI324" i="5" s="1"/>
  <c r="AR324" i="5"/>
  <c r="CG324" i="5" s="1"/>
  <c r="DC324" i="5"/>
  <c r="AF422" i="5"/>
  <c r="BL422" i="5"/>
  <c r="DT422" i="5" s="1"/>
  <c r="DV422" i="5" s="1"/>
  <c r="EB422" i="5" s="1"/>
  <c r="BT422" i="5"/>
  <c r="BU422" i="5"/>
  <c r="BL366" i="5"/>
  <c r="DT366" i="5" s="1"/>
  <c r="DV366" i="5" s="1"/>
  <c r="BT366" i="5"/>
  <c r="FS366" i="5"/>
  <c r="FU366" i="5" s="1"/>
  <c r="CM366" i="5" s="1"/>
  <c r="BU366" i="5"/>
  <c r="AF337" i="5"/>
  <c r="BL337" i="5"/>
  <c r="DT337" i="5" s="1"/>
  <c r="DV337" i="5" s="1"/>
  <c r="FS337" i="5"/>
  <c r="FU337" i="5" s="1"/>
  <c r="CM337" i="5" s="1"/>
  <c r="BT337" i="5"/>
  <c r="BU337" i="5"/>
  <c r="BT323" i="5"/>
  <c r="BU323" i="5"/>
  <c r="BL323" i="5"/>
  <c r="DT323" i="5" s="1"/>
  <c r="DV323" i="5" s="1"/>
  <c r="EA323" i="5" s="1"/>
  <c r="DN480" i="5"/>
  <c r="BC480" i="5"/>
  <c r="DN484" i="5"/>
  <c r="BC484" i="5"/>
  <c r="BD484" i="5" s="1"/>
  <c r="DN493" i="5"/>
  <c r="BC493" i="5"/>
  <c r="BD493" i="5" s="1"/>
  <c r="AZ149" i="5"/>
  <c r="CI149" i="5" s="1"/>
  <c r="AR149" i="5"/>
  <c r="CG149" i="5" s="1"/>
  <c r="DD149" i="5"/>
  <c r="ES149" i="5" s="1"/>
  <c r="AR151" i="5"/>
  <c r="CG151" i="5" s="1"/>
  <c r="DD151" i="5"/>
  <c r="ES151" i="5" s="1"/>
  <c r="CG97" i="5"/>
  <c r="CM97" i="5"/>
  <c r="DN489" i="5"/>
  <c r="BC489" i="5"/>
  <c r="BD489" i="5" s="1"/>
  <c r="BL352" i="5"/>
  <c r="DT352" i="5" s="1"/>
  <c r="DV352" i="5" s="1"/>
  <c r="BT352" i="5"/>
  <c r="BU352" i="5"/>
  <c r="FS352" i="5"/>
  <c r="FU352" i="5" s="1"/>
  <c r="CM352" i="5" s="1"/>
  <c r="BC495" i="5"/>
  <c r="BD495" i="5" s="1"/>
  <c r="DN495" i="5"/>
  <c r="BL329" i="5"/>
  <c r="DT329" i="5" s="1"/>
  <c r="DV329" i="5" s="1"/>
  <c r="BT329" i="5"/>
  <c r="BU329" i="5"/>
  <c r="BU288" i="5"/>
  <c r="BL288" i="5"/>
  <c r="DT288" i="5" s="1"/>
  <c r="DV288" i="5" s="1"/>
  <c r="BT288" i="5"/>
  <c r="FS104" i="5"/>
  <c r="FU104" i="5" s="1"/>
  <c r="CM104" i="5" s="1"/>
  <c r="BL104" i="5"/>
  <c r="DT104" i="5" s="1"/>
  <c r="DV104" i="5" s="1"/>
  <c r="EB104" i="5" s="1"/>
  <c r="BT104" i="5"/>
  <c r="BE104" i="5"/>
  <c r="BU104" i="5"/>
  <c r="AS339" i="5"/>
  <c r="BB339" i="5" s="1"/>
  <c r="DG43" i="5"/>
  <c r="DG46" i="5"/>
  <c r="FS394" i="5"/>
  <c r="FU394" i="5" s="1"/>
  <c r="CM394" i="5" s="1"/>
  <c r="AS362" i="5"/>
  <c r="AT362" i="5" s="1"/>
  <c r="BY296" i="5"/>
  <c r="CU405" i="5"/>
  <c r="FA405" i="5"/>
  <c r="BY260" i="5"/>
  <c r="AV439" i="5"/>
  <c r="EN362" i="5"/>
  <c r="EO362" i="5" s="1"/>
  <c r="EP362" i="5" s="1"/>
  <c r="EN345" i="5"/>
  <c r="EO345" i="5"/>
  <c r="EP345" i="5" s="1"/>
  <c r="AV319" i="5"/>
  <c r="BV45" i="5"/>
  <c r="CC45" i="5" s="1"/>
  <c r="CE45" i="5" s="1"/>
  <c r="BF37" i="5"/>
  <c r="BH37" i="5" s="1"/>
  <c r="BG37" i="5"/>
  <c r="BG20" i="5"/>
  <c r="BF20" i="5"/>
  <c r="BH20" i="5" s="1"/>
  <c r="AV273" i="5"/>
  <c r="EA99" i="5"/>
  <c r="EA417" i="5"/>
  <c r="FS377" i="5"/>
  <c r="FU377" i="5" s="1"/>
  <c r="CM377" i="5" s="1"/>
  <c r="BY361" i="5"/>
  <c r="EB371" i="5"/>
  <c r="AS363" i="5"/>
  <c r="AT363" i="5" s="1"/>
  <c r="BY295" i="5"/>
  <c r="BY282" i="5"/>
  <c r="AV387" i="5"/>
  <c r="AV369" i="5"/>
  <c r="AV303" i="5"/>
  <c r="EA431" i="5"/>
  <c r="BY398" i="5"/>
  <c r="BF34" i="5"/>
  <c r="BH34" i="5" s="1"/>
  <c r="BG34" i="5"/>
  <c r="CU445" i="5"/>
  <c r="FA445" i="5"/>
  <c r="EN499" i="5"/>
  <c r="EO499" i="5" s="1"/>
  <c r="EP499" i="5" s="1"/>
  <c r="FS410" i="5"/>
  <c r="FU410" i="5" s="1"/>
  <c r="CM410" i="5" s="1"/>
  <c r="FS387" i="5"/>
  <c r="FU387" i="5" s="1"/>
  <c r="CM387" i="5" s="1"/>
  <c r="FS290" i="5"/>
  <c r="FU290" i="5" s="1"/>
  <c r="CM290" i="5" s="1"/>
  <c r="FS256" i="5"/>
  <c r="FU256" i="5" s="1"/>
  <c r="CM256" i="5" s="1"/>
  <c r="EN420" i="5"/>
  <c r="EO420" i="5" s="1"/>
  <c r="EP420" i="5" s="1"/>
  <c r="EN325" i="5"/>
  <c r="EO325" i="5" s="1"/>
  <c r="EP325" i="5" s="1"/>
  <c r="AV271" i="5"/>
  <c r="FA444" i="5"/>
  <c r="CU444" i="5"/>
  <c r="AR98" i="5"/>
  <c r="CG98" i="5" s="1"/>
  <c r="DD98" i="5"/>
  <c r="ES98" i="5" s="1"/>
  <c r="FA408" i="5"/>
  <c r="CU408" i="5"/>
  <c r="AZ404" i="5"/>
  <c r="CI404" i="5" s="1"/>
  <c r="AV379" i="5"/>
  <c r="EN354" i="5"/>
  <c r="EO354" i="5" s="1"/>
  <c r="EP354" i="5" s="1"/>
  <c r="AV343" i="5"/>
  <c r="AV279" i="5"/>
  <c r="AR21" i="5"/>
  <c r="DD21" i="5"/>
  <c r="ES21" i="5" s="1"/>
  <c r="EN453" i="5"/>
  <c r="EO453" i="5" s="1"/>
  <c r="EP453" i="5" s="1"/>
  <c r="EA104" i="5"/>
  <c r="FS407" i="5"/>
  <c r="FU407" i="5" s="1"/>
  <c r="CM407" i="5" s="1"/>
  <c r="FS300" i="5"/>
  <c r="FU300" i="5" s="1"/>
  <c r="CM300" i="5" s="1"/>
  <c r="FS277" i="5"/>
  <c r="FU277" i="5" s="1"/>
  <c r="CM277" i="5" s="1"/>
  <c r="FA353" i="5"/>
  <c r="CO353" i="5"/>
  <c r="EA256" i="5"/>
  <c r="EN437" i="5"/>
  <c r="EO437" i="5" s="1"/>
  <c r="EP437" i="5" s="1"/>
  <c r="AV403" i="5"/>
  <c r="AZ386" i="5"/>
  <c r="CI386" i="5" s="1"/>
  <c r="AV332" i="5"/>
  <c r="AV297" i="5"/>
  <c r="EN262" i="5"/>
  <c r="EO262" i="5" s="1"/>
  <c r="EP262" i="5" s="1"/>
  <c r="AV252" i="5"/>
  <c r="BF49" i="5"/>
  <c r="BH49" i="5" s="1"/>
  <c r="BG49" i="5"/>
  <c r="BF22" i="5"/>
  <c r="BH22" i="5" s="1"/>
  <c r="BG22" i="5"/>
  <c r="BY381" i="5"/>
  <c r="FS286" i="5"/>
  <c r="FU286" i="5" s="1"/>
  <c r="CM286" i="5" s="1"/>
  <c r="BV149" i="5"/>
  <c r="CC149" i="5" s="1"/>
  <c r="EA103" i="5"/>
  <c r="AS348" i="5"/>
  <c r="AT348" i="5" s="1"/>
  <c r="EA310" i="5"/>
  <c r="CU338" i="5"/>
  <c r="FA338" i="5"/>
  <c r="AZ430" i="5"/>
  <c r="CI430" i="5" s="1"/>
  <c r="AZ346" i="5"/>
  <c r="CI346" i="5" s="1"/>
  <c r="AZ335" i="5"/>
  <c r="CI335" i="5" s="1"/>
  <c r="AV265" i="5"/>
  <c r="DG44" i="5"/>
  <c r="DG36" i="5"/>
  <c r="EN471" i="5"/>
  <c r="EO471" i="5" s="1"/>
  <c r="EP471" i="5" s="1"/>
  <c r="EM496" i="5"/>
  <c r="DG496" i="5"/>
  <c r="EL496" i="5"/>
  <c r="DV152" i="5"/>
  <c r="BY399" i="5"/>
  <c r="BY350" i="5"/>
  <c r="EB376" i="5"/>
  <c r="EN402" i="5"/>
  <c r="EO402" i="5" s="1"/>
  <c r="EP402" i="5" s="1"/>
  <c r="AZ385" i="5"/>
  <c r="CI385" i="5" s="1"/>
  <c r="AV309" i="5"/>
  <c r="AZ278" i="5"/>
  <c r="CI278" i="5" s="1"/>
  <c r="AV337" i="5"/>
  <c r="CE474" i="5"/>
  <c r="DX488" i="5"/>
  <c r="FS453" i="5"/>
  <c r="FU453" i="5" s="1"/>
  <c r="CM453" i="5" s="1"/>
  <c r="DX471" i="5"/>
  <c r="DX492" i="5"/>
  <c r="AV434" i="5"/>
  <c r="CE472" i="5"/>
  <c r="DX486" i="5"/>
  <c r="AF97" i="5"/>
  <c r="AZ41" i="5"/>
  <c r="R29" i="5"/>
  <c r="EF29" i="5" s="1"/>
  <c r="EE29" i="5" s="1"/>
  <c r="AF409" i="5"/>
  <c r="R52" i="5"/>
  <c r="EF52" i="5" s="1"/>
  <c r="EE52" i="5" s="1"/>
  <c r="EN52" i="5" s="1"/>
  <c r="AF287" i="5"/>
  <c r="AF341" i="5"/>
  <c r="AS369" i="5"/>
  <c r="AF369" i="5"/>
  <c r="AF289" i="5"/>
  <c r="R44" i="5"/>
  <c r="EF44" i="5" s="1"/>
  <c r="EE44" i="5" s="1"/>
  <c r="AF387" i="5"/>
  <c r="AF366" i="5"/>
  <c r="AF293" i="5"/>
  <c r="AF406" i="5"/>
  <c r="AF451" i="5"/>
  <c r="AS428" i="5"/>
  <c r="AF428" i="5"/>
  <c r="AF418" i="5"/>
  <c r="AF266" i="5"/>
  <c r="AF283" i="5"/>
  <c r="AZ450" i="5"/>
  <c r="CI450" i="5" s="1"/>
  <c r="AF298" i="5"/>
  <c r="AF267" i="5"/>
  <c r="AS394" i="5"/>
  <c r="AF394" i="5"/>
  <c r="AS345" i="5"/>
  <c r="AF345" i="5"/>
  <c r="AF413" i="5"/>
  <c r="AF372" i="5"/>
  <c r="AF340" i="5"/>
  <c r="AS271" i="5"/>
  <c r="AF271" i="5"/>
  <c r="AF370" i="5"/>
  <c r="AZ151" i="5"/>
  <c r="CI151" i="5" s="1"/>
  <c r="AF452" i="5"/>
  <c r="AF343" i="5"/>
  <c r="AF297" i="5"/>
  <c r="AF417" i="5"/>
  <c r="AF381" i="5"/>
  <c r="AF383" i="5"/>
  <c r="AF405" i="5"/>
  <c r="AS365" i="5"/>
  <c r="AF365" i="5"/>
  <c r="AS295" i="5"/>
  <c r="AS282" i="5"/>
  <c r="AF294" i="5"/>
  <c r="AF279" i="5"/>
  <c r="AF419" i="5"/>
  <c r="AF379" i="5"/>
  <c r="AF275" i="5"/>
  <c r="AS449" i="5"/>
  <c r="AF449" i="5"/>
  <c r="AF361" i="5"/>
  <c r="AF306" i="5"/>
  <c r="AF260" i="5"/>
  <c r="AS278" i="5"/>
  <c r="AF399" i="5"/>
  <c r="AF330" i="5"/>
  <c r="AF424" i="5"/>
  <c r="AS411" i="5"/>
  <c r="AF445" i="5"/>
  <c r="AS357" i="5"/>
  <c r="AF357" i="5"/>
  <c r="AF300" i="5"/>
  <c r="AS392" i="5"/>
  <c r="AF392" i="5"/>
  <c r="AF391" i="5"/>
  <c r="AF261" i="5"/>
  <c r="AF323" i="5"/>
  <c r="AS416" i="5"/>
  <c r="AF416" i="5"/>
  <c r="AF321" i="5"/>
  <c r="AF441" i="5"/>
  <c r="AF296" i="5"/>
  <c r="AZ96" i="5"/>
  <c r="CI96" i="5" s="1"/>
  <c r="AF307" i="5"/>
  <c r="AF402" i="5"/>
  <c r="AF351" i="5"/>
  <c r="AF322" i="5"/>
  <c r="AF317" i="5"/>
  <c r="AF437" i="5"/>
  <c r="AF398" i="5"/>
  <c r="AF350" i="5"/>
  <c r="AF386" i="5"/>
  <c r="AF320" i="5"/>
  <c r="AS422" i="5"/>
  <c r="AF397" i="5"/>
  <c r="AF269" i="5"/>
  <c r="AF291" i="5"/>
  <c r="AF315" i="5"/>
  <c r="AF313" i="5"/>
  <c r="AF263" i="5"/>
  <c r="AF433" i="5"/>
  <c r="AF346" i="5"/>
  <c r="AF377" i="5"/>
  <c r="AF431" i="5"/>
  <c r="AF382" i="5"/>
  <c r="AF316" i="5"/>
  <c r="AF285" i="5"/>
  <c r="AF339" i="5"/>
  <c r="S150" i="5"/>
  <c r="AF303" i="5"/>
  <c r="AF309" i="5"/>
  <c r="AS320" i="5"/>
  <c r="AF429" i="5"/>
  <c r="AS373" i="5"/>
  <c r="AF373" i="5"/>
  <c r="AF252" i="5"/>
  <c r="AF448" i="5"/>
  <c r="AF450" i="5"/>
  <c r="AS407" i="5"/>
  <c r="AF407" i="5"/>
  <c r="AF319" i="5"/>
  <c r="AF435" i="5"/>
  <c r="AF333" i="5"/>
  <c r="AS296" i="5"/>
  <c r="AS257" i="5"/>
  <c r="AS444" i="5"/>
  <c r="AF444" i="5"/>
  <c r="AF404" i="5"/>
  <c r="AF425" i="5"/>
  <c r="AF318" i="5"/>
  <c r="AF423" i="5"/>
  <c r="AF254" i="5"/>
  <c r="AF356" i="5"/>
  <c r="AF432" i="5"/>
  <c r="AF411" i="5"/>
  <c r="AF393" i="5"/>
  <c r="AG52" i="5"/>
  <c r="AF52" i="5"/>
  <c r="AG34" i="5"/>
  <c r="AF34" i="5"/>
  <c r="AF440" i="5"/>
  <c r="AF421" i="5"/>
  <c r="AF314" i="5"/>
  <c r="AF348" i="5"/>
  <c r="AF311" i="5"/>
  <c r="AZ150" i="5"/>
  <c r="CI150" i="5" s="1"/>
  <c r="AZ152" i="5"/>
  <c r="CI152" i="5" s="1"/>
  <c r="AF401" i="5"/>
  <c r="S312" i="5"/>
  <c r="AS349" i="5"/>
  <c r="AF349" i="5"/>
  <c r="AF310" i="5"/>
  <c r="AF344" i="5"/>
  <c r="AF284" i="5"/>
  <c r="AF308" i="5"/>
  <c r="AF408" i="5"/>
  <c r="AF388" i="5"/>
  <c r="AS100" i="5"/>
  <c r="AG35" i="5"/>
  <c r="AF35" i="5"/>
  <c r="AG43" i="5"/>
  <c r="AF43" i="5"/>
  <c r="AG45" i="5"/>
  <c r="AF45" i="5"/>
  <c r="AG27" i="5"/>
  <c r="AF27" i="5"/>
  <c r="AG44" i="5"/>
  <c r="AF44" i="5"/>
  <c r="AG26" i="5"/>
  <c r="AF26" i="5"/>
  <c r="AS99" i="5"/>
  <c r="AF272" i="5"/>
  <c r="AG42" i="5"/>
  <c r="AF42" i="5"/>
  <c r="AG24" i="5"/>
  <c r="AF24" i="5"/>
  <c r="AG96" i="5"/>
  <c r="AG46" i="5"/>
  <c r="AF46" i="5"/>
  <c r="AG28" i="5"/>
  <c r="AF28" i="5"/>
  <c r="AG29" i="5"/>
  <c r="AF29" i="5"/>
  <c r="AG37" i="5"/>
  <c r="AF37" i="5"/>
  <c r="S97" i="5"/>
  <c r="AF290" i="5"/>
  <c r="AG39" i="5"/>
  <c r="AF39" i="5"/>
  <c r="AG47" i="5"/>
  <c r="AF47" i="5"/>
  <c r="AG38" i="5"/>
  <c r="AF38" i="5"/>
  <c r="AF98" i="5"/>
  <c r="AG36" i="5"/>
  <c r="AF36" i="5"/>
  <c r="AG31" i="5"/>
  <c r="AF31" i="5"/>
  <c r="S488" i="5"/>
  <c r="AF352" i="5"/>
  <c r="AG40" i="5"/>
  <c r="AF40" i="5"/>
  <c r="AG23" i="5"/>
  <c r="AF23" i="5"/>
  <c r="S96" i="5"/>
  <c r="AG41" i="5"/>
  <c r="AF41" i="5"/>
  <c r="AS97" i="5"/>
  <c r="AF286" i="5"/>
  <c r="AG33" i="5"/>
  <c r="AF33" i="5"/>
  <c r="AG30" i="5"/>
  <c r="AF30" i="5"/>
  <c r="AG49" i="5"/>
  <c r="AF49" i="5"/>
  <c r="AG50" i="5"/>
  <c r="AF50" i="5"/>
  <c r="AG32" i="5"/>
  <c r="AF32" i="5"/>
  <c r="AF410" i="5"/>
  <c r="AG51" i="5"/>
  <c r="AF51" i="5"/>
  <c r="AG48" i="5"/>
  <c r="AF48" i="5"/>
  <c r="AG25" i="5"/>
  <c r="AF25" i="5"/>
  <c r="AJ109" i="5"/>
  <c r="AJ200" i="5"/>
  <c r="AJ219" i="5"/>
  <c r="AJ173" i="5"/>
  <c r="S151" i="5"/>
  <c r="S152" i="5"/>
  <c r="S153" i="5"/>
  <c r="S149" i="5"/>
  <c r="AS150" i="5"/>
  <c r="AT150" i="5" s="1"/>
  <c r="S476" i="5"/>
  <c r="S481" i="5"/>
  <c r="S496" i="5"/>
  <c r="S485" i="5"/>
  <c r="S483" i="5"/>
  <c r="S478" i="5"/>
  <c r="S477" i="5"/>
  <c r="S492" i="5"/>
  <c r="FV500" i="5"/>
  <c r="AS360" i="5"/>
  <c r="AS270" i="5"/>
  <c r="AS442" i="5"/>
  <c r="AS426" i="5"/>
  <c r="AS389" i="5"/>
  <c r="AS430" i="5"/>
  <c r="AS447" i="5"/>
  <c r="AS406" i="5"/>
  <c r="AS289" i="5"/>
  <c r="AS400" i="5"/>
  <c r="AS287" i="5"/>
  <c r="AS403" i="5"/>
  <c r="AS378" i="5"/>
  <c r="AS317" i="5"/>
  <c r="AS314" i="5"/>
  <c r="AS376" i="5"/>
  <c r="S386" i="5"/>
  <c r="S398" i="5"/>
  <c r="AS336" i="5"/>
  <c r="AS316" i="5"/>
  <c r="AS307" i="5"/>
  <c r="AZ451" i="5"/>
  <c r="CI451" i="5" s="1"/>
  <c r="AZ447" i="5"/>
  <c r="CI447" i="5" s="1"/>
  <c r="AZ435" i="5"/>
  <c r="CI435" i="5" s="1"/>
  <c r="AZ439" i="5"/>
  <c r="CI439" i="5" s="1"/>
  <c r="AZ443" i="5"/>
  <c r="CI443" i="5" s="1"/>
  <c r="AZ431" i="5"/>
  <c r="CI431" i="5" s="1"/>
  <c r="AZ427" i="5"/>
  <c r="CI427" i="5" s="1"/>
  <c r="AZ411" i="5"/>
  <c r="CI411" i="5" s="1"/>
  <c r="AZ415" i="5"/>
  <c r="CI415" i="5" s="1"/>
  <c r="AZ419" i="5"/>
  <c r="CI419" i="5" s="1"/>
  <c r="AZ423" i="5"/>
  <c r="CI423" i="5" s="1"/>
  <c r="AZ407" i="5"/>
  <c r="CI407" i="5" s="1"/>
  <c r="AZ399" i="5"/>
  <c r="CI399" i="5" s="1"/>
  <c r="AZ403" i="5"/>
  <c r="CI403" i="5" s="1"/>
  <c r="AZ391" i="5"/>
  <c r="CI391" i="5" s="1"/>
  <c r="AZ395" i="5"/>
  <c r="CI395" i="5" s="1"/>
  <c r="S394" i="5"/>
  <c r="S390" i="5"/>
  <c r="AZ383" i="5"/>
  <c r="CI383" i="5" s="1"/>
  <c r="AZ387" i="5"/>
  <c r="CI387" i="5" s="1"/>
  <c r="AZ379" i="5"/>
  <c r="CI379" i="5" s="1"/>
  <c r="AZ375" i="5"/>
  <c r="CI375" i="5" s="1"/>
  <c r="AZ371" i="5"/>
  <c r="CI371" i="5" s="1"/>
  <c r="AZ367" i="5"/>
  <c r="CI367" i="5" s="1"/>
  <c r="AZ363" i="5"/>
  <c r="CI363" i="5" s="1"/>
  <c r="AZ359" i="5"/>
  <c r="CI359" i="5" s="1"/>
  <c r="AZ326" i="5"/>
  <c r="CI326" i="5" s="1"/>
  <c r="AZ322" i="5"/>
  <c r="CI322" i="5" s="1"/>
  <c r="AZ318" i="5"/>
  <c r="CI318" i="5" s="1"/>
  <c r="AZ316" i="5"/>
  <c r="CI316" i="5" s="1"/>
  <c r="AZ315" i="5"/>
  <c r="CI315" i="5" s="1"/>
  <c r="AZ323" i="5"/>
  <c r="CI323" i="5" s="1"/>
  <c r="AZ319" i="5"/>
  <c r="CI319" i="5" s="1"/>
  <c r="AZ308" i="5"/>
  <c r="CI308" i="5" s="1"/>
  <c r="AZ312" i="5"/>
  <c r="CI312" i="5" s="1"/>
  <c r="AZ313" i="5"/>
  <c r="CI313" i="5" s="1"/>
  <c r="AZ311" i="5"/>
  <c r="CI311" i="5" s="1"/>
  <c r="AZ309" i="5"/>
  <c r="CI309" i="5" s="1"/>
  <c r="AZ304" i="5"/>
  <c r="CI304" i="5" s="1"/>
  <c r="AZ305" i="5"/>
  <c r="CI305" i="5" s="1"/>
  <c r="AZ303" i="5"/>
  <c r="CI303" i="5" s="1"/>
  <c r="AZ307" i="5"/>
  <c r="CI307" i="5" s="1"/>
  <c r="AZ292" i="5"/>
  <c r="CI292" i="5" s="1"/>
  <c r="AZ301" i="5"/>
  <c r="CI301" i="5" s="1"/>
  <c r="AZ291" i="5"/>
  <c r="CI291" i="5" s="1"/>
  <c r="AZ296" i="5"/>
  <c r="CI296" i="5" s="1"/>
  <c r="AZ297" i="5"/>
  <c r="CI297" i="5" s="1"/>
  <c r="AZ295" i="5"/>
  <c r="CI295" i="5" s="1"/>
  <c r="AZ300" i="5"/>
  <c r="CI300" i="5" s="1"/>
  <c r="AZ293" i="5"/>
  <c r="CI293" i="5" s="1"/>
  <c r="AZ299" i="5"/>
  <c r="CI299" i="5" s="1"/>
  <c r="AZ275" i="5"/>
  <c r="CI275" i="5" s="1"/>
  <c r="AZ280" i="5"/>
  <c r="CI280" i="5" s="1"/>
  <c r="AZ281" i="5"/>
  <c r="CI281" i="5" s="1"/>
  <c r="AZ279" i="5"/>
  <c r="CI279" i="5" s="1"/>
  <c r="AZ284" i="5"/>
  <c r="CI284" i="5" s="1"/>
  <c r="AZ277" i="5"/>
  <c r="CI277" i="5" s="1"/>
  <c r="AZ283" i="5"/>
  <c r="CI283" i="5" s="1"/>
  <c r="AZ288" i="5"/>
  <c r="CI288" i="5" s="1"/>
  <c r="AZ289" i="5"/>
  <c r="CI289" i="5" s="1"/>
  <c r="AZ273" i="5"/>
  <c r="CI273" i="5" s="1"/>
  <c r="AZ287" i="5"/>
  <c r="CI287" i="5" s="1"/>
  <c r="AZ276" i="5"/>
  <c r="CI276" i="5" s="1"/>
  <c r="AZ285" i="5"/>
  <c r="CI285" i="5" s="1"/>
  <c r="S448" i="5"/>
  <c r="S430" i="5"/>
  <c r="S439" i="5"/>
  <c r="S431" i="5"/>
  <c r="S423" i="5"/>
  <c r="S408" i="5"/>
  <c r="S406" i="5"/>
  <c r="S393" i="5"/>
  <c r="S385" i="5"/>
  <c r="S375" i="5"/>
  <c r="S370" i="5"/>
  <c r="S359" i="5"/>
  <c r="S355" i="5"/>
  <c r="S351" i="5"/>
  <c r="S343" i="5"/>
  <c r="S335" i="5"/>
  <c r="S329" i="5"/>
  <c r="S302" i="5"/>
  <c r="S295" i="5"/>
  <c r="S345" i="5"/>
  <c r="S453" i="5"/>
  <c r="S445" i="5"/>
  <c r="S429" i="5"/>
  <c r="S419" i="5"/>
  <c r="S404" i="5"/>
  <c r="S402" i="5"/>
  <c r="S379" i="5"/>
  <c r="S374" i="5"/>
  <c r="S363" i="5"/>
  <c r="S358" i="5"/>
  <c r="S350" i="5"/>
  <c r="S342" i="5"/>
  <c r="S332" i="5"/>
  <c r="S309" i="5"/>
  <c r="S307" i="5"/>
  <c r="S297" i="5"/>
  <c r="S282" i="5"/>
  <c r="S436" i="5"/>
  <c r="S416" i="5"/>
  <c r="S414" i="5"/>
  <c r="S400" i="5"/>
  <c r="S395" i="5"/>
  <c r="S387" i="5"/>
  <c r="S381" i="5"/>
  <c r="S368" i="5"/>
  <c r="S365" i="5"/>
  <c r="S333" i="5"/>
  <c r="S318" i="5"/>
  <c r="S316" i="5"/>
  <c r="S310" i="5"/>
  <c r="S286" i="5"/>
  <c r="S451" i="5"/>
  <c r="S443" i="5"/>
  <c r="S434" i="5"/>
  <c r="S426" i="5"/>
  <c r="S412" i="5"/>
  <c r="S410" i="5"/>
  <c r="S382" i="5"/>
  <c r="S371" i="5"/>
  <c r="S366" i="5"/>
  <c r="S352" i="5"/>
  <c r="S340" i="5"/>
  <c r="S336" i="5"/>
  <c r="S328" i="5"/>
  <c r="S326" i="5"/>
  <c r="S324" i="5"/>
  <c r="S322" i="5"/>
  <c r="S320" i="5"/>
  <c r="S314" i="5"/>
  <c r="S290" i="5"/>
  <c r="S450" i="5"/>
  <c r="S437" i="5"/>
  <c r="S401" i="5"/>
  <c r="S452" i="5"/>
  <c r="S444" i="5"/>
  <c r="S417" i="5"/>
  <c r="S440" i="5"/>
  <c r="S432" i="5"/>
  <c r="S424" i="5"/>
  <c r="S422" i="5"/>
  <c r="S407" i="5"/>
  <c r="S397" i="5"/>
  <c r="S389" i="5"/>
  <c r="S376" i="5"/>
  <c r="S373" i="5"/>
  <c r="S360" i="5"/>
  <c r="S357" i="5"/>
  <c r="S353" i="5"/>
  <c r="S349" i="5"/>
  <c r="S341" i="5"/>
  <c r="S334" i="5"/>
  <c r="S305" i="5"/>
  <c r="S303" i="5"/>
  <c r="S294" i="5"/>
  <c r="S413" i="5"/>
  <c r="S449" i="5"/>
  <c r="S438" i="5"/>
  <c r="S420" i="5"/>
  <c r="S418" i="5"/>
  <c r="S403" i="5"/>
  <c r="S380" i="5"/>
  <c r="S377" i="5"/>
  <c r="S364" i="5"/>
  <c r="S361" i="5"/>
  <c r="S354" i="5"/>
  <c r="S347" i="5"/>
  <c r="S339" i="5"/>
  <c r="S330" i="5"/>
  <c r="S306" i="5"/>
  <c r="S285" i="5"/>
  <c r="S283" i="5"/>
  <c r="S435" i="5"/>
  <c r="S415" i="5"/>
  <c r="S399" i="5"/>
  <c r="S391" i="5"/>
  <c r="S383" i="5"/>
  <c r="S378" i="5"/>
  <c r="S367" i="5"/>
  <c r="S362" i="5"/>
  <c r="S313" i="5"/>
  <c r="S311" i="5"/>
  <c r="S289" i="5"/>
  <c r="S287" i="5"/>
  <c r="S447" i="5"/>
  <c r="S442" i="5"/>
  <c r="S427" i="5"/>
  <c r="S411" i="5"/>
  <c r="S372" i="5"/>
  <c r="S369" i="5"/>
  <c r="S356" i="5"/>
  <c r="S348" i="5"/>
  <c r="S344" i="5"/>
  <c r="S331" i="5"/>
  <c r="S327" i="5"/>
  <c r="S315" i="5"/>
  <c r="S301" i="5"/>
  <c r="S299" i="5"/>
  <c r="S293" i="5"/>
  <c r="S291" i="5"/>
  <c r="S446" i="5"/>
  <c r="S428" i="5"/>
  <c r="S337" i="5"/>
  <c r="AZ272" i="5"/>
  <c r="CI272" i="5" s="1"/>
  <c r="AZ259" i="5"/>
  <c r="CI259" i="5" s="1"/>
  <c r="AZ260" i="5"/>
  <c r="CI260" i="5" s="1"/>
  <c r="AZ265" i="5"/>
  <c r="CI265" i="5" s="1"/>
  <c r="AZ263" i="5"/>
  <c r="CI263" i="5" s="1"/>
  <c r="AZ264" i="5"/>
  <c r="CI264" i="5" s="1"/>
  <c r="AZ261" i="5"/>
  <c r="CI261" i="5" s="1"/>
  <c r="AZ267" i="5"/>
  <c r="CI267" i="5" s="1"/>
  <c r="AZ268" i="5"/>
  <c r="CI268" i="5" s="1"/>
  <c r="AZ256" i="5"/>
  <c r="CI256" i="5" s="1"/>
  <c r="AZ257" i="5"/>
  <c r="CI257" i="5" s="1"/>
  <c r="AZ271" i="5"/>
  <c r="CI271" i="5" s="1"/>
  <c r="AZ255" i="5"/>
  <c r="CI255" i="5" s="1"/>
  <c r="AZ269" i="5"/>
  <c r="CI269" i="5" s="1"/>
  <c r="AZ253" i="5"/>
  <c r="CI253" i="5" s="1"/>
  <c r="S43" i="5"/>
  <c r="R27" i="5"/>
  <c r="EF27" i="5" s="1"/>
  <c r="EE27" i="5" s="1"/>
  <c r="EN27" i="5" s="1"/>
  <c r="R26" i="5"/>
  <c r="EF26" i="5" s="1"/>
  <c r="EE26" i="5" s="1"/>
  <c r="EN26" i="5" s="1"/>
  <c r="R23" i="5"/>
  <c r="EF23" i="5" s="1"/>
  <c r="EE23" i="5" s="1"/>
  <c r="EN23" i="5" s="1"/>
  <c r="R22" i="5"/>
  <c r="EF22" i="5" s="1"/>
  <c r="EE22" i="5" s="1"/>
  <c r="EG22" i="5" s="1"/>
  <c r="EJ22" i="5" s="1"/>
  <c r="EK22" i="5" s="1"/>
  <c r="AZ50" i="5"/>
  <c r="AZ25" i="5"/>
  <c r="AZ48" i="5"/>
  <c r="R34" i="5"/>
  <c r="EF34" i="5" s="1"/>
  <c r="EE34" i="5" s="1"/>
  <c r="EN34" i="5" s="1"/>
  <c r="R28" i="5"/>
  <c r="R51" i="5"/>
  <c r="EF51" i="5" s="1"/>
  <c r="EE51" i="5" s="1"/>
  <c r="AZ52" i="5"/>
  <c r="R33" i="5"/>
  <c r="EF33" i="5" s="1"/>
  <c r="EE33" i="5" s="1"/>
  <c r="S41" i="5"/>
  <c r="AZ49" i="5"/>
  <c r="S45" i="5"/>
  <c r="AZ33" i="5"/>
  <c r="R30" i="5"/>
  <c r="EF30" i="5" s="1"/>
  <c r="EE30" i="5" s="1"/>
  <c r="AZ29" i="5"/>
  <c r="AZ28" i="5"/>
  <c r="AZ27" i="5"/>
  <c r="AZ22" i="5"/>
  <c r="S37" i="5"/>
  <c r="AZ35" i="5"/>
  <c r="AZ31" i="5"/>
  <c r="AZ24" i="5"/>
  <c r="S21" i="5"/>
  <c r="S49" i="5"/>
  <c r="S29" i="5"/>
  <c r="AZ21" i="5"/>
  <c r="AZ26" i="5"/>
  <c r="AZ20" i="5"/>
  <c r="S48" i="5"/>
  <c r="AZ40" i="5"/>
  <c r="AZ38" i="5"/>
  <c r="AZ43" i="5"/>
  <c r="R36" i="5"/>
  <c r="EF36" i="5" s="1"/>
  <c r="EE36" i="5" s="1"/>
  <c r="AZ30" i="5"/>
  <c r="R24" i="5"/>
  <c r="EF24" i="5" s="1"/>
  <c r="EE24" i="5" s="1"/>
  <c r="AZ36" i="5"/>
  <c r="AZ47" i="5"/>
  <c r="AZ51" i="5"/>
  <c r="S35" i="5"/>
  <c r="AZ37" i="5"/>
  <c r="R31" i="5"/>
  <c r="EF31" i="5" s="1"/>
  <c r="EE31" i="5" s="1"/>
  <c r="AZ23" i="5"/>
  <c r="M134" i="5"/>
  <c r="Y119" i="5"/>
  <c r="E106" i="5"/>
  <c r="AV70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AF156" i="5"/>
  <c r="AG157" i="5"/>
  <c r="AG156" i="5"/>
  <c r="AF167" i="5"/>
  <c r="AH157" i="5"/>
  <c r="V210" i="5"/>
  <c r="V209" i="5"/>
  <c r="V208" i="5"/>
  <c r="V206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V167" i="5"/>
  <c r="V163" i="5"/>
  <c r="V247" i="5"/>
  <c r="V245" i="5"/>
  <c r="V244" i="5"/>
  <c r="V243" i="5"/>
  <c r="V242" i="5"/>
  <c r="V241" i="5"/>
  <c r="V240" i="5"/>
  <c r="V239" i="5"/>
  <c r="V238" i="5"/>
  <c r="V237" i="5"/>
  <c r="V236" i="5"/>
  <c r="V235" i="5"/>
  <c r="V231" i="5"/>
  <c r="V229" i="5"/>
  <c r="V228" i="5"/>
  <c r="V227" i="5"/>
  <c r="V225" i="5"/>
  <c r="V224" i="5"/>
  <c r="K227" i="5"/>
  <c r="N227" i="5" s="1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16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K218" i="5"/>
  <c r="N218" i="5" s="1"/>
  <c r="K219" i="5"/>
  <c r="N219" i="5" s="1"/>
  <c r="K220" i="5"/>
  <c r="N220" i="5" s="1"/>
  <c r="K221" i="5"/>
  <c r="N221" i="5" s="1"/>
  <c r="K222" i="5"/>
  <c r="N222" i="5" s="1"/>
  <c r="K223" i="5"/>
  <c r="N223" i="5" s="1"/>
  <c r="K224" i="5"/>
  <c r="N224" i="5" s="1"/>
  <c r="K225" i="5"/>
  <c r="N225" i="5" s="1"/>
  <c r="K226" i="5"/>
  <c r="N226" i="5" s="1"/>
  <c r="K228" i="5"/>
  <c r="N228" i="5" s="1"/>
  <c r="K229" i="5"/>
  <c r="N229" i="5" s="1"/>
  <c r="K230" i="5"/>
  <c r="N230" i="5" s="1"/>
  <c r="K231" i="5"/>
  <c r="N231" i="5" s="1"/>
  <c r="K232" i="5"/>
  <c r="N232" i="5" s="1"/>
  <c r="K233" i="5"/>
  <c r="N233" i="5" s="1"/>
  <c r="K234" i="5"/>
  <c r="N234" i="5" s="1"/>
  <c r="K235" i="5"/>
  <c r="N235" i="5" s="1"/>
  <c r="K236" i="5"/>
  <c r="N236" i="5" s="1"/>
  <c r="K237" i="5"/>
  <c r="N237" i="5" s="1"/>
  <c r="K238" i="5"/>
  <c r="N238" i="5" s="1"/>
  <c r="K239" i="5"/>
  <c r="N239" i="5" s="1"/>
  <c r="K240" i="5"/>
  <c r="N240" i="5" s="1"/>
  <c r="K241" i="5"/>
  <c r="N241" i="5" s="1"/>
  <c r="K242" i="5"/>
  <c r="N242" i="5" s="1"/>
  <c r="K243" i="5"/>
  <c r="N243" i="5" s="1"/>
  <c r="K244" i="5"/>
  <c r="N244" i="5" s="1"/>
  <c r="K245" i="5"/>
  <c r="N245" i="5" s="1"/>
  <c r="K246" i="5"/>
  <c r="N246" i="5" s="1"/>
  <c r="K247" i="5"/>
  <c r="N247" i="5" s="1"/>
  <c r="K216" i="5"/>
  <c r="N216" i="5" s="1"/>
  <c r="R236" i="5"/>
  <c r="EF236" i="5" s="1"/>
  <c r="EE236" i="5" s="1"/>
  <c r="V215" i="5"/>
  <c r="V214" i="5"/>
  <c r="V213" i="5"/>
  <c r="V212" i="5"/>
  <c r="V211" i="5"/>
  <c r="V207" i="5"/>
  <c r="V205" i="5"/>
  <c r="V204" i="5"/>
  <c r="V203" i="5"/>
  <c r="V202" i="5"/>
  <c r="V201" i="5"/>
  <c r="V200" i="5"/>
  <c r="V199" i="5"/>
  <c r="V198" i="5"/>
  <c r="V197" i="5"/>
  <c r="V196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83" i="5"/>
  <c r="K182" i="5"/>
  <c r="K181" i="5"/>
  <c r="K180" i="5"/>
  <c r="K179" i="5"/>
  <c r="K178" i="5"/>
  <c r="K177" i="5"/>
  <c r="K176" i="5"/>
  <c r="K175" i="5"/>
  <c r="K170" i="5"/>
  <c r="K171" i="5"/>
  <c r="K172" i="5"/>
  <c r="K173" i="5"/>
  <c r="K174" i="5"/>
  <c r="K169" i="5"/>
  <c r="J170" i="5"/>
  <c r="DS170" i="5" s="1"/>
  <c r="J171" i="5"/>
  <c r="DS171" i="5" s="1"/>
  <c r="J172" i="5"/>
  <c r="DS172" i="5" s="1"/>
  <c r="J173" i="5"/>
  <c r="DS173" i="5" s="1"/>
  <c r="J174" i="5"/>
  <c r="DS174" i="5" s="1"/>
  <c r="J175" i="5"/>
  <c r="DS175" i="5" s="1"/>
  <c r="J176" i="5"/>
  <c r="DS176" i="5" s="1"/>
  <c r="J177" i="5"/>
  <c r="DS177" i="5" s="1"/>
  <c r="J178" i="5"/>
  <c r="DS178" i="5" s="1"/>
  <c r="J179" i="5"/>
  <c r="DS179" i="5" s="1"/>
  <c r="J180" i="5"/>
  <c r="DS180" i="5" s="1"/>
  <c r="J181" i="5"/>
  <c r="DS181" i="5" s="1"/>
  <c r="J182" i="5"/>
  <c r="DS182" i="5" s="1"/>
  <c r="J183" i="5"/>
  <c r="DS183" i="5" s="1"/>
  <c r="J184" i="5"/>
  <c r="DS184" i="5" s="1"/>
  <c r="J185" i="5"/>
  <c r="DS185" i="5" s="1"/>
  <c r="J186" i="5"/>
  <c r="DS186" i="5" s="1"/>
  <c r="J187" i="5"/>
  <c r="DS187" i="5" s="1"/>
  <c r="J188" i="5"/>
  <c r="DS188" i="5" s="1"/>
  <c r="J189" i="5"/>
  <c r="DS189" i="5" s="1"/>
  <c r="J190" i="5"/>
  <c r="DS190" i="5" s="1"/>
  <c r="J191" i="5"/>
  <c r="DS191" i="5" s="1"/>
  <c r="J192" i="5"/>
  <c r="DS192" i="5" s="1"/>
  <c r="J193" i="5"/>
  <c r="DS193" i="5" s="1"/>
  <c r="J194" i="5"/>
  <c r="DS194" i="5" s="1"/>
  <c r="J195" i="5"/>
  <c r="DS195" i="5" s="1"/>
  <c r="J169" i="5"/>
  <c r="DS169" i="5" s="1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I195" i="5"/>
  <c r="I193" i="5"/>
  <c r="I182" i="5"/>
  <c r="I180" i="5"/>
  <c r="I178" i="5"/>
  <c r="I176" i="5"/>
  <c r="I170" i="5"/>
  <c r="I171" i="5"/>
  <c r="I172" i="5"/>
  <c r="I173" i="5"/>
  <c r="I174" i="5"/>
  <c r="I175" i="5"/>
  <c r="I177" i="5"/>
  <c r="I179" i="5"/>
  <c r="I181" i="5"/>
  <c r="I183" i="5"/>
  <c r="I184" i="5"/>
  <c r="I185" i="5"/>
  <c r="I186" i="5"/>
  <c r="I187" i="5"/>
  <c r="I188" i="5"/>
  <c r="I189" i="5"/>
  <c r="I190" i="5"/>
  <c r="I191" i="5"/>
  <c r="I192" i="5"/>
  <c r="I194" i="5"/>
  <c r="I169" i="5"/>
  <c r="I211" i="5"/>
  <c r="I210" i="5"/>
  <c r="I203" i="5"/>
  <c r="I202" i="5"/>
  <c r="I197" i="5"/>
  <c r="I198" i="5"/>
  <c r="I199" i="5"/>
  <c r="I200" i="5"/>
  <c r="I201" i="5"/>
  <c r="I204" i="5"/>
  <c r="I205" i="5"/>
  <c r="I206" i="5"/>
  <c r="I207" i="5"/>
  <c r="I208" i="5"/>
  <c r="I209" i="5"/>
  <c r="I212" i="5"/>
  <c r="I213" i="5"/>
  <c r="I214" i="5"/>
  <c r="I215" i="5"/>
  <c r="I196" i="5"/>
  <c r="E215" i="5"/>
  <c r="E214" i="5"/>
  <c r="E207" i="5"/>
  <c r="E206" i="5"/>
  <c r="E197" i="5"/>
  <c r="E198" i="5"/>
  <c r="E199" i="5"/>
  <c r="E200" i="5"/>
  <c r="E201" i="5"/>
  <c r="E202" i="5"/>
  <c r="E203" i="5"/>
  <c r="E204" i="5"/>
  <c r="E205" i="5"/>
  <c r="E208" i="5"/>
  <c r="E209" i="5"/>
  <c r="E210" i="5"/>
  <c r="E211" i="5"/>
  <c r="E212" i="5"/>
  <c r="E213" i="5"/>
  <c r="E196" i="5"/>
  <c r="M125" i="5"/>
  <c r="M126" i="5"/>
  <c r="M127" i="5"/>
  <c r="M128" i="5"/>
  <c r="M129" i="5"/>
  <c r="M130" i="5"/>
  <c r="M131" i="5"/>
  <c r="M132" i="5"/>
  <c r="M133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24" i="5"/>
  <c r="I132" i="5"/>
  <c r="I131" i="5"/>
  <c r="I130" i="5"/>
  <c r="I129" i="5"/>
  <c r="I128" i="5"/>
  <c r="I125" i="5"/>
  <c r="I126" i="5"/>
  <c r="I127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24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AE248" i="5"/>
  <c r="AE249" i="5"/>
  <c r="AE250" i="5"/>
  <c r="AE251" i="5"/>
  <c r="V251" i="5"/>
  <c r="V250" i="5"/>
  <c r="V249" i="5"/>
  <c r="V248" i="5"/>
  <c r="K249" i="5"/>
  <c r="K250" i="5"/>
  <c r="K251" i="5"/>
  <c r="K248" i="5"/>
  <c r="I249" i="5"/>
  <c r="I250" i="5"/>
  <c r="I251" i="5"/>
  <c r="I248" i="5"/>
  <c r="AD166" i="5"/>
  <c r="AD167" i="5"/>
  <c r="AG158" i="5"/>
  <c r="AH158" i="5"/>
  <c r="AG159" i="5"/>
  <c r="AH159" i="5"/>
  <c r="AG160" i="5"/>
  <c r="AH160" i="5"/>
  <c r="AG161" i="5"/>
  <c r="AH161" i="5"/>
  <c r="AG162" i="5"/>
  <c r="AH162" i="5"/>
  <c r="AG163" i="5"/>
  <c r="AH163" i="5"/>
  <c r="AG164" i="5"/>
  <c r="AH164" i="5"/>
  <c r="AG165" i="5"/>
  <c r="AH165" i="5"/>
  <c r="AG166" i="5"/>
  <c r="AH166" i="5"/>
  <c r="AG167" i="5"/>
  <c r="AH167" i="5"/>
  <c r="AH156" i="5"/>
  <c r="AF157" i="5"/>
  <c r="AF158" i="5"/>
  <c r="AF159" i="5"/>
  <c r="AF160" i="5"/>
  <c r="AF161" i="5"/>
  <c r="AF162" i="5"/>
  <c r="AF163" i="5"/>
  <c r="AF164" i="5"/>
  <c r="AF165" i="5"/>
  <c r="AF166" i="5"/>
  <c r="I157" i="5"/>
  <c r="I158" i="5"/>
  <c r="I159" i="5"/>
  <c r="I160" i="5"/>
  <c r="I161" i="5"/>
  <c r="I162" i="5"/>
  <c r="I163" i="5"/>
  <c r="I164" i="5"/>
  <c r="I165" i="5"/>
  <c r="I166" i="5"/>
  <c r="I167" i="5"/>
  <c r="I156" i="5"/>
  <c r="V159" i="5"/>
  <c r="AA123" i="5"/>
  <c r="E123" i="5"/>
  <c r="E122" i="5"/>
  <c r="E121" i="5"/>
  <c r="E120" i="5"/>
  <c r="E119" i="5"/>
  <c r="E107" i="5"/>
  <c r="E108" i="5"/>
  <c r="E109" i="5"/>
  <c r="E110" i="5"/>
  <c r="E111" i="5"/>
  <c r="E112" i="5"/>
  <c r="E113" i="5"/>
  <c r="E114" i="5"/>
  <c r="E115" i="5"/>
  <c r="E116" i="5"/>
  <c r="E117" i="5"/>
  <c r="E105" i="5"/>
  <c r="K123" i="5"/>
  <c r="N123" i="5" s="1"/>
  <c r="K122" i="5"/>
  <c r="K121" i="5"/>
  <c r="K120" i="5"/>
  <c r="K119" i="5"/>
  <c r="K118" i="5"/>
  <c r="N118" i="5" s="1"/>
  <c r="K117" i="5"/>
  <c r="N117" i="5" s="1"/>
  <c r="K116" i="5"/>
  <c r="K115" i="5"/>
  <c r="N115" i="5" s="1"/>
  <c r="K114" i="5"/>
  <c r="K113" i="5"/>
  <c r="K111" i="5"/>
  <c r="K110" i="5"/>
  <c r="K109" i="5"/>
  <c r="K108" i="5"/>
  <c r="N108" i="5" s="1"/>
  <c r="K106" i="5"/>
  <c r="K105" i="5"/>
  <c r="I107" i="5"/>
  <c r="O107" i="5" s="1"/>
  <c r="I108" i="5"/>
  <c r="I111" i="5"/>
  <c r="I112" i="5"/>
  <c r="O112" i="5" s="1"/>
  <c r="I113" i="5"/>
  <c r="I114" i="5"/>
  <c r="I115" i="5"/>
  <c r="I116" i="5"/>
  <c r="I117" i="5"/>
  <c r="I118" i="5"/>
  <c r="I119" i="5"/>
  <c r="I120" i="5"/>
  <c r="I121" i="5"/>
  <c r="I122" i="5"/>
  <c r="I123" i="5"/>
  <c r="M106" i="5"/>
  <c r="O106" i="5" s="1"/>
  <c r="M107" i="5"/>
  <c r="M108" i="5"/>
  <c r="O108" i="5" s="1"/>
  <c r="M109" i="5"/>
  <c r="O109" i="5" s="1"/>
  <c r="M110" i="5"/>
  <c r="O110" i="5" s="1"/>
  <c r="M111" i="5"/>
  <c r="O111" i="5" s="1"/>
  <c r="M112" i="5"/>
  <c r="M113" i="5"/>
  <c r="O113" i="5" s="1"/>
  <c r="M114" i="5"/>
  <c r="O114" i="5" s="1"/>
  <c r="M115" i="5"/>
  <c r="O115" i="5" s="1"/>
  <c r="M116" i="5"/>
  <c r="O116" i="5" s="1"/>
  <c r="M117" i="5"/>
  <c r="O117" i="5" s="1"/>
  <c r="M118" i="5"/>
  <c r="O118" i="5" s="1"/>
  <c r="M119" i="5"/>
  <c r="O119" i="5" s="1"/>
  <c r="M120" i="5"/>
  <c r="O120" i="5" s="1"/>
  <c r="M121" i="5"/>
  <c r="O121" i="5" s="1"/>
  <c r="M122" i="5"/>
  <c r="O122" i="5" s="1"/>
  <c r="M123" i="5"/>
  <c r="O123" i="5" s="1"/>
  <c r="M105" i="5"/>
  <c r="O105" i="5" s="1"/>
  <c r="H123" i="5"/>
  <c r="DY123" i="5" s="1"/>
  <c r="H122" i="5"/>
  <c r="H121" i="5"/>
  <c r="H120" i="5"/>
  <c r="H119" i="5"/>
  <c r="H118" i="5"/>
  <c r="H117" i="5"/>
  <c r="H116" i="5"/>
  <c r="H115" i="5"/>
  <c r="H114" i="5"/>
  <c r="H113" i="5"/>
  <c r="H112" i="5"/>
  <c r="H111" i="5"/>
  <c r="H108" i="5"/>
  <c r="H107" i="5"/>
  <c r="H106" i="5"/>
  <c r="H109" i="5"/>
  <c r="H110" i="5"/>
  <c r="H105" i="5"/>
  <c r="R107" i="5"/>
  <c r="EF107" i="5" s="1"/>
  <c r="EE107" i="5" s="1"/>
  <c r="R108" i="5"/>
  <c r="EF108" i="5" s="1"/>
  <c r="EE108" i="5" s="1"/>
  <c r="R109" i="5"/>
  <c r="EF109" i="5" s="1"/>
  <c r="EE109" i="5" s="1"/>
  <c r="R110" i="5"/>
  <c r="EF110" i="5" s="1"/>
  <c r="EE110" i="5" s="1"/>
  <c r="R111" i="5"/>
  <c r="EF111" i="5" s="1"/>
  <c r="EE111" i="5" s="1"/>
  <c r="R112" i="5"/>
  <c r="EF112" i="5" s="1"/>
  <c r="EE112" i="5" s="1"/>
  <c r="R113" i="5"/>
  <c r="EF113" i="5" s="1"/>
  <c r="EE113" i="5" s="1"/>
  <c r="R114" i="5"/>
  <c r="EF114" i="5" s="1"/>
  <c r="EE114" i="5" s="1"/>
  <c r="R115" i="5"/>
  <c r="EF115" i="5" s="1"/>
  <c r="EE115" i="5" s="1"/>
  <c r="R116" i="5"/>
  <c r="EF116" i="5" s="1"/>
  <c r="EE116" i="5" s="1"/>
  <c r="R117" i="5"/>
  <c r="EF117" i="5" s="1"/>
  <c r="EE117" i="5" s="1"/>
  <c r="R118" i="5"/>
  <c r="EF118" i="5" s="1"/>
  <c r="EE118" i="5" s="1"/>
  <c r="R119" i="5"/>
  <c r="EF119" i="5" s="1"/>
  <c r="EE119" i="5" s="1"/>
  <c r="R120" i="5"/>
  <c r="EF120" i="5" s="1"/>
  <c r="EE120" i="5" s="1"/>
  <c r="R121" i="5"/>
  <c r="EF121" i="5" s="1"/>
  <c r="EE121" i="5" s="1"/>
  <c r="R122" i="5"/>
  <c r="EF122" i="5" s="1"/>
  <c r="EE122" i="5" s="1"/>
  <c r="R123" i="5"/>
  <c r="EF123" i="5" s="1"/>
  <c r="EE123" i="5" s="1"/>
  <c r="R106" i="5"/>
  <c r="EF106" i="5" s="1"/>
  <c r="EE106" i="5" s="1"/>
  <c r="R105" i="5"/>
  <c r="EF105" i="5" s="1"/>
  <c r="EE105" i="5" s="1"/>
  <c r="R94" i="5"/>
  <c r="EF94" i="5" s="1"/>
  <c r="EE94" i="5" s="1"/>
  <c r="M94" i="5"/>
  <c r="J94" i="5"/>
  <c r="DS94" i="5" s="1"/>
  <c r="H94" i="5"/>
  <c r="R93" i="5"/>
  <c r="EF93" i="5" s="1"/>
  <c r="EE93" i="5" s="1"/>
  <c r="M93" i="5"/>
  <c r="J93" i="5"/>
  <c r="DS93" i="5" s="1"/>
  <c r="H93" i="5"/>
  <c r="R92" i="5"/>
  <c r="EF92" i="5" s="1"/>
  <c r="EE92" i="5" s="1"/>
  <c r="M92" i="5"/>
  <c r="J92" i="5"/>
  <c r="DS92" i="5" s="1"/>
  <c r="H92" i="5"/>
  <c r="R91" i="5"/>
  <c r="EF91" i="5" s="1"/>
  <c r="EE91" i="5" s="1"/>
  <c r="M91" i="5"/>
  <c r="J91" i="5"/>
  <c r="DS91" i="5" s="1"/>
  <c r="H91" i="5"/>
  <c r="R90" i="5"/>
  <c r="EF90" i="5" s="1"/>
  <c r="EE90" i="5" s="1"/>
  <c r="M90" i="5"/>
  <c r="J90" i="5"/>
  <c r="DS90" i="5" s="1"/>
  <c r="H90" i="5"/>
  <c r="R89" i="5"/>
  <c r="EF89" i="5" s="1"/>
  <c r="EE89" i="5" s="1"/>
  <c r="M89" i="5"/>
  <c r="J89" i="5"/>
  <c r="DS89" i="5" s="1"/>
  <c r="H89" i="5"/>
  <c r="R88" i="5"/>
  <c r="EF88" i="5" s="1"/>
  <c r="EE88" i="5" s="1"/>
  <c r="M88" i="5"/>
  <c r="J88" i="5"/>
  <c r="DS88" i="5" s="1"/>
  <c r="H88" i="5"/>
  <c r="R79" i="5"/>
  <c r="EF79" i="5" s="1"/>
  <c r="EE79" i="5" s="1"/>
  <c r="M79" i="5"/>
  <c r="J79" i="5"/>
  <c r="DS79" i="5" s="1"/>
  <c r="H79" i="5"/>
  <c r="R78" i="5"/>
  <c r="EF78" i="5" s="1"/>
  <c r="EE78" i="5" s="1"/>
  <c r="M78" i="5"/>
  <c r="J78" i="5"/>
  <c r="DS78" i="5" s="1"/>
  <c r="H78" i="5"/>
  <c r="R77" i="5"/>
  <c r="EF77" i="5" s="1"/>
  <c r="EE77" i="5" s="1"/>
  <c r="M77" i="5"/>
  <c r="J77" i="5"/>
  <c r="DS77" i="5" s="1"/>
  <c r="H77" i="5"/>
  <c r="R76" i="5"/>
  <c r="EF76" i="5" s="1"/>
  <c r="EE76" i="5" s="1"/>
  <c r="M76" i="5"/>
  <c r="J76" i="5"/>
  <c r="DS76" i="5" s="1"/>
  <c r="H76" i="5"/>
  <c r="M69" i="5"/>
  <c r="J69" i="5"/>
  <c r="DS69" i="5" s="1"/>
  <c r="H69" i="5"/>
  <c r="M66" i="5"/>
  <c r="J66" i="5"/>
  <c r="DS66" i="5" s="1"/>
  <c r="H66" i="5"/>
  <c r="R69" i="5"/>
  <c r="EF69" i="5" s="1"/>
  <c r="EE69" i="5" s="1"/>
  <c r="R66" i="5"/>
  <c r="EF66" i="5" s="1"/>
  <c r="EE66" i="5" s="1"/>
  <c r="R62" i="5"/>
  <c r="EF62" i="5" s="1"/>
  <c r="EE62" i="5" s="1"/>
  <c r="M62" i="5"/>
  <c r="J62" i="5"/>
  <c r="DS62" i="5" s="1"/>
  <c r="H62" i="5"/>
  <c r="R60" i="5"/>
  <c r="EF60" i="5" s="1"/>
  <c r="EE60" i="5" s="1"/>
  <c r="M60" i="5"/>
  <c r="J60" i="5"/>
  <c r="DS60" i="5" s="1"/>
  <c r="H60" i="5"/>
  <c r="R54" i="5"/>
  <c r="EF54" i="5" s="1"/>
  <c r="EE54" i="5" s="1"/>
  <c r="R55" i="5"/>
  <c r="EF55" i="5" s="1"/>
  <c r="EE55" i="5" s="1"/>
  <c r="R56" i="5"/>
  <c r="EF56" i="5" s="1"/>
  <c r="EE56" i="5" s="1"/>
  <c r="R57" i="5"/>
  <c r="EF57" i="5" s="1"/>
  <c r="EE57" i="5" s="1"/>
  <c r="R58" i="5"/>
  <c r="EF58" i="5" s="1"/>
  <c r="EE58" i="5" s="1"/>
  <c r="R59" i="5"/>
  <c r="EF59" i="5" s="1"/>
  <c r="EE59" i="5" s="1"/>
  <c r="R61" i="5"/>
  <c r="EF61" i="5" s="1"/>
  <c r="EE61" i="5" s="1"/>
  <c r="R63" i="5"/>
  <c r="EF63" i="5" s="1"/>
  <c r="EE63" i="5" s="1"/>
  <c r="R64" i="5"/>
  <c r="EF64" i="5" s="1"/>
  <c r="EE64" i="5" s="1"/>
  <c r="R65" i="5"/>
  <c r="EF65" i="5" s="1"/>
  <c r="EE65" i="5" s="1"/>
  <c r="R67" i="5"/>
  <c r="EF67" i="5" s="1"/>
  <c r="EE67" i="5" s="1"/>
  <c r="R68" i="5"/>
  <c r="EF68" i="5" s="1"/>
  <c r="EE68" i="5" s="1"/>
  <c r="R70" i="5"/>
  <c r="EF70" i="5" s="1"/>
  <c r="EE70" i="5" s="1"/>
  <c r="R71" i="5"/>
  <c r="EF71" i="5" s="1"/>
  <c r="EE71" i="5" s="1"/>
  <c r="R72" i="5"/>
  <c r="EF72" i="5" s="1"/>
  <c r="EE72" i="5" s="1"/>
  <c r="R73" i="5"/>
  <c r="EF73" i="5" s="1"/>
  <c r="EE73" i="5" s="1"/>
  <c r="R74" i="5"/>
  <c r="EF74" i="5" s="1"/>
  <c r="EE74" i="5" s="1"/>
  <c r="R75" i="5"/>
  <c r="EF75" i="5" s="1"/>
  <c r="EE75" i="5" s="1"/>
  <c r="R80" i="5"/>
  <c r="EF80" i="5" s="1"/>
  <c r="EE80" i="5" s="1"/>
  <c r="R81" i="5"/>
  <c r="EF81" i="5" s="1"/>
  <c r="EE81" i="5" s="1"/>
  <c r="R82" i="5"/>
  <c r="EF82" i="5" s="1"/>
  <c r="EE82" i="5" s="1"/>
  <c r="R83" i="5"/>
  <c r="EF83" i="5" s="1"/>
  <c r="EE83" i="5" s="1"/>
  <c r="R84" i="5"/>
  <c r="EF84" i="5" s="1"/>
  <c r="EE84" i="5" s="1"/>
  <c r="R85" i="5"/>
  <c r="EF85" i="5" s="1"/>
  <c r="EE85" i="5" s="1"/>
  <c r="R86" i="5"/>
  <c r="EF86" i="5" s="1"/>
  <c r="EE86" i="5" s="1"/>
  <c r="R87" i="5"/>
  <c r="EF87" i="5" s="1"/>
  <c r="EE87" i="5" s="1"/>
  <c r="BP383" i="20" l="1"/>
  <c r="BP292" i="20"/>
  <c r="FI443" i="20"/>
  <c r="FJ391" i="20"/>
  <c r="FI333" i="20"/>
  <c r="CX198" i="20"/>
  <c r="FI128" i="20"/>
  <c r="FJ126" i="20"/>
  <c r="CW112" i="20"/>
  <c r="CX116" i="20"/>
  <c r="FI64" i="20"/>
  <c r="CW185" i="20"/>
  <c r="FJ185" i="20"/>
  <c r="FJ179" i="20"/>
  <c r="CW167" i="20"/>
  <c r="ER154" i="20"/>
  <c r="DM154" i="20"/>
  <c r="FJ165" i="20"/>
  <c r="FJ130" i="20"/>
  <c r="FJ125" i="20"/>
  <c r="EG100" i="20"/>
  <c r="CW113" i="20"/>
  <c r="FJ89" i="20"/>
  <c r="EH62" i="20"/>
  <c r="FJ85" i="20"/>
  <c r="EG422" i="20"/>
  <c r="EH392" i="20"/>
  <c r="DM392" i="20" s="1"/>
  <c r="EH391" i="20"/>
  <c r="DM391" i="20" s="1"/>
  <c r="FI375" i="20"/>
  <c r="EG368" i="20"/>
  <c r="EH360" i="20"/>
  <c r="EH351" i="20"/>
  <c r="FI336" i="20"/>
  <c r="FI300" i="20"/>
  <c r="FI191" i="20"/>
  <c r="CX175" i="20"/>
  <c r="ES161" i="20"/>
  <c r="ES163" i="20"/>
  <c r="DC148" i="20"/>
  <c r="CX129" i="20"/>
  <c r="CW133" i="20"/>
  <c r="FJ132" i="20"/>
  <c r="FJ123" i="20"/>
  <c r="FJ80" i="20"/>
  <c r="DM120" i="21"/>
  <c r="BC179" i="21"/>
  <c r="CN179" i="21" s="1"/>
  <c r="FG352" i="21"/>
  <c r="CU352" i="21"/>
  <c r="EH339" i="21"/>
  <c r="EG339" i="21"/>
  <c r="FG341" i="21"/>
  <c r="DA341" i="21"/>
  <c r="AZ201" i="21"/>
  <c r="AY201" i="21"/>
  <c r="BH201" i="21" s="1"/>
  <c r="CU393" i="21"/>
  <c r="FG393" i="21"/>
  <c r="FJ413" i="21"/>
  <c r="DC413" i="21"/>
  <c r="EG312" i="21"/>
  <c r="EH312" i="21"/>
  <c r="FL209" i="21"/>
  <c r="DF209" i="21"/>
  <c r="ET393" i="21"/>
  <c r="EU393" i="21" s="1"/>
  <c r="EV393" i="21" s="1"/>
  <c r="BP119" i="21"/>
  <c r="EI119" i="21" s="1"/>
  <c r="EH119" i="21" s="1"/>
  <c r="DT63" i="21"/>
  <c r="BC275" i="21"/>
  <c r="CN275" i="21" s="1"/>
  <c r="BF233" i="21"/>
  <c r="CO233" i="21" s="1"/>
  <c r="CK233" i="21"/>
  <c r="CP233" i="21" s="1"/>
  <c r="DN479" i="21"/>
  <c r="ES479" i="21"/>
  <c r="EW479" i="21" s="1"/>
  <c r="ER479" i="21"/>
  <c r="BC378" i="21"/>
  <c r="CN378" i="21" s="1"/>
  <c r="CW312" i="21"/>
  <c r="FJ312" i="21"/>
  <c r="CW422" i="21"/>
  <c r="FJ422" i="21"/>
  <c r="ED166" i="21"/>
  <c r="CR166" i="21" s="1"/>
  <c r="EG408" i="21"/>
  <c r="EH408" i="21"/>
  <c r="EU24" i="21"/>
  <c r="EV24" i="21" s="1"/>
  <c r="ET24" i="21"/>
  <c r="EM24" i="21"/>
  <c r="EP24" i="21" s="1"/>
  <c r="EQ24" i="21" s="1"/>
  <c r="CV300" i="21"/>
  <c r="FH300" i="21"/>
  <c r="BJ368" i="21"/>
  <c r="DC273" i="21"/>
  <c r="FJ273" i="21"/>
  <c r="FG178" i="21"/>
  <c r="DA178" i="21"/>
  <c r="BC186" i="21"/>
  <c r="CN186" i="21" s="1"/>
  <c r="FI388" i="21"/>
  <c r="DD388" i="21"/>
  <c r="FG340" i="21"/>
  <c r="CU340" i="21"/>
  <c r="AT24" i="21"/>
  <c r="DU24" i="21" s="1"/>
  <c r="AP25" i="21"/>
  <c r="AQ24" i="21"/>
  <c r="AY332" i="21"/>
  <c r="BH332" i="21" s="1"/>
  <c r="BJ332" i="21" s="1"/>
  <c r="AY387" i="21"/>
  <c r="BH387" i="21" s="1"/>
  <c r="BJ387" i="21" s="1"/>
  <c r="DT336" i="21"/>
  <c r="BI336" i="21"/>
  <c r="DM445" i="21"/>
  <c r="EU178" i="21"/>
  <c r="EV178" i="21" s="1"/>
  <c r="ET178" i="21"/>
  <c r="DA444" i="21"/>
  <c r="FG444" i="21"/>
  <c r="ED271" i="21"/>
  <c r="CR271" i="21" s="1"/>
  <c r="ET432" i="21"/>
  <c r="EU432" i="21" s="1"/>
  <c r="EV432" i="21" s="1"/>
  <c r="CU223" i="21"/>
  <c r="FG223" i="21"/>
  <c r="FJ338" i="21"/>
  <c r="DC338" i="21"/>
  <c r="EG369" i="21"/>
  <c r="EH369" i="21"/>
  <c r="AZ233" i="21"/>
  <c r="EG401" i="21"/>
  <c r="EH401" i="21"/>
  <c r="ET328" i="21"/>
  <c r="EU328" i="21" s="1"/>
  <c r="EV328" i="21" s="1"/>
  <c r="CX283" i="21"/>
  <c r="FI283" i="21"/>
  <c r="DM331" i="21"/>
  <c r="DQ41" i="21"/>
  <c r="DM449" i="21"/>
  <c r="BI261" i="21"/>
  <c r="BJ261" i="21" s="1"/>
  <c r="DT261" i="21"/>
  <c r="DM279" i="21"/>
  <c r="BP151" i="21"/>
  <c r="EI151" i="21" s="1"/>
  <c r="EH151" i="21" s="1"/>
  <c r="DC334" i="21"/>
  <c r="FJ334" i="21"/>
  <c r="BC496" i="21"/>
  <c r="DU496" i="21"/>
  <c r="DA346" i="21"/>
  <c r="FG346" i="21"/>
  <c r="FG424" i="21"/>
  <c r="DA424" i="21"/>
  <c r="BC349" i="21"/>
  <c r="CN349" i="21" s="1"/>
  <c r="BC416" i="21"/>
  <c r="CN416" i="21" s="1"/>
  <c r="FH148" i="21"/>
  <c r="DB148" i="21"/>
  <c r="BO127" i="21"/>
  <c r="EY126" i="21"/>
  <c r="EZ126" i="21"/>
  <c r="EH64" i="21"/>
  <c r="EG64" i="21"/>
  <c r="CV328" i="21"/>
  <c r="FH328" i="21"/>
  <c r="EH395" i="21"/>
  <c r="EG395" i="21"/>
  <c r="CK223" i="21"/>
  <c r="CP223" i="21" s="1"/>
  <c r="EH90" i="21"/>
  <c r="EG90" i="21"/>
  <c r="ET229" i="21"/>
  <c r="EU229" i="21" s="1"/>
  <c r="EV229" i="21" s="1"/>
  <c r="FJ241" i="21"/>
  <c r="CW241" i="21"/>
  <c r="BC124" i="21"/>
  <c r="CN124" i="21" s="1"/>
  <c r="CX410" i="21"/>
  <c r="FI410" i="21"/>
  <c r="CX92" i="21"/>
  <c r="FI92" i="21"/>
  <c r="AZ445" i="21"/>
  <c r="BH445" i="21"/>
  <c r="BJ445" i="21" s="1"/>
  <c r="BL104" i="21"/>
  <c r="BN104" i="21" s="1"/>
  <c r="BM104" i="21"/>
  <c r="BO104" i="21" s="1"/>
  <c r="FH205" i="21"/>
  <c r="CV205" i="21"/>
  <c r="BH356" i="21"/>
  <c r="BJ356" i="21" s="1"/>
  <c r="AZ356" i="21"/>
  <c r="DB338" i="21"/>
  <c r="FH338" i="21"/>
  <c r="FG375" i="21"/>
  <c r="CU375" i="21"/>
  <c r="ED232" i="21"/>
  <c r="CR232" i="21" s="1"/>
  <c r="EG426" i="21"/>
  <c r="EH426" i="21"/>
  <c r="FI331" i="21"/>
  <c r="CX331" i="21"/>
  <c r="FI435" i="21"/>
  <c r="CX435" i="21"/>
  <c r="AZ420" i="21"/>
  <c r="BH420" i="21"/>
  <c r="BJ420" i="21" s="1"/>
  <c r="BC442" i="21"/>
  <c r="CN442" i="21" s="1"/>
  <c r="ED407" i="21"/>
  <c r="CR407" i="21" s="1"/>
  <c r="AU23" i="21"/>
  <c r="AR23" i="21"/>
  <c r="FI320" i="21"/>
  <c r="CX320" i="21"/>
  <c r="DM269" i="21"/>
  <c r="BC432" i="21"/>
  <c r="CN432" i="21" s="1"/>
  <c r="AY408" i="21"/>
  <c r="BH408" i="21" s="1"/>
  <c r="BJ408" i="21" s="1"/>
  <c r="BC232" i="21"/>
  <c r="CN232" i="21" s="1"/>
  <c r="BC113" i="21"/>
  <c r="CN113" i="21" s="1"/>
  <c r="FJ101" i="21"/>
  <c r="CW101" i="21"/>
  <c r="DA369" i="21"/>
  <c r="FG369" i="21"/>
  <c r="EG422" i="21"/>
  <c r="EH422" i="21"/>
  <c r="BC84" i="21"/>
  <c r="CN84" i="21" s="1"/>
  <c r="BF19" i="21"/>
  <c r="CK19" i="21"/>
  <c r="BC72" i="21"/>
  <c r="CN72" i="21" s="1"/>
  <c r="CV211" i="21"/>
  <c r="FH211" i="21"/>
  <c r="BC368" i="21"/>
  <c r="CN368" i="21" s="1"/>
  <c r="BF178" i="21"/>
  <c r="CO178" i="21" s="1"/>
  <c r="CK178" i="21"/>
  <c r="CP178" i="21" s="1"/>
  <c r="DR162" i="21"/>
  <c r="BI162" i="21"/>
  <c r="BJ162" i="21" s="1"/>
  <c r="ET63" i="21"/>
  <c r="EU63" i="21" s="1"/>
  <c r="EV63" i="21" s="1"/>
  <c r="EY63" i="21"/>
  <c r="EZ63" i="21" s="1"/>
  <c r="ED492" i="21"/>
  <c r="EU370" i="21"/>
  <c r="EV370" i="21" s="1"/>
  <c r="ET370" i="21"/>
  <c r="FI249" i="21"/>
  <c r="CX249" i="21"/>
  <c r="BC159" i="21"/>
  <c r="AV159" i="21"/>
  <c r="AW159" i="21" s="1"/>
  <c r="FJ332" i="21"/>
  <c r="DC332" i="21"/>
  <c r="EW157" i="21"/>
  <c r="ES157" i="21"/>
  <c r="ER157" i="21"/>
  <c r="DM157" i="21"/>
  <c r="BC65" i="21"/>
  <c r="CN65" i="21" s="1"/>
  <c r="CW439" i="21"/>
  <c r="FJ439" i="21"/>
  <c r="DM246" i="21"/>
  <c r="ED181" i="21"/>
  <c r="CR181" i="21" s="1"/>
  <c r="EH373" i="21"/>
  <c r="EG373" i="21"/>
  <c r="ET444" i="21"/>
  <c r="EU444" i="21" s="1"/>
  <c r="EV444" i="21" s="1"/>
  <c r="DT57" i="21"/>
  <c r="CU432" i="21"/>
  <c r="FG432" i="21"/>
  <c r="BC57" i="21"/>
  <c r="CN57" i="21" s="1"/>
  <c r="CZ199" i="21"/>
  <c r="FL199" i="21"/>
  <c r="FI401" i="21"/>
  <c r="DD401" i="21"/>
  <c r="FI408" i="21"/>
  <c r="CX408" i="21"/>
  <c r="FG250" i="21"/>
  <c r="DA250" i="21"/>
  <c r="FJ373" i="21"/>
  <c r="DC373" i="21"/>
  <c r="EY57" i="21"/>
  <c r="EZ57" i="21" s="1"/>
  <c r="ET57" i="21"/>
  <c r="EU57" i="21" s="1"/>
  <c r="EV57" i="21" s="1"/>
  <c r="FJ388" i="21"/>
  <c r="DC388" i="21"/>
  <c r="ED187" i="21"/>
  <c r="CR187" i="21" s="1"/>
  <c r="FG277" i="21"/>
  <c r="DA277" i="21"/>
  <c r="DN192" i="21"/>
  <c r="EM192" i="21"/>
  <c r="EP192" i="21" s="1"/>
  <c r="EQ192" i="21" s="1"/>
  <c r="ES192" i="21" s="1"/>
  <c r="DT114" i="21"/>
  <c r="EU424" i="21"/>
  <c r="EV424" i="21" s="1"/>
  <c r="ET424" i="21"/>
  <c r="BF45" i="21"/>
  <c r="CK45" i="21"/>
  <c r="EU174" i="21"/>
  <c r="EV174" i="21" s="1"/>
  <c r="ET174" i="21"/>
  <c r="EZ130" i="21"/>
  <c r="EU277" i="21"/>
  <c r="EV277" i="21" s="1"/>
  <c r="ET277" i="21"/>
  <c r="BH294" i="21"/>
  <c r="AZ294" i="21"/>
  <c r="AZ370" i="21"/>
  <c r="BH370" i="21"/>
  <c r="AY395" i="21"/>
  <c r="AZ395" i="21" s="1"/>
  <c r="BJ354" i="21"/>
  <c r="FJ331" i="21"/>
  <c r="CW331" i="21"/>
  <c r="ET210" i="21"/>
  <c r="EU210" i="21"/>
  <c r="EV210" i="21" s="1"/>
  <c r="BC249" i="21"/>
  <c r="CN249" i="21" s="1"/>
  <c r="CB249" i="21"/>
  <c r="CI249" i="21" s="1"/>
  <c r="CK249" i="21" s="1"/>
  <c r="CP249" i="21" s="1"/>
  <c r="DM206" i="21"/>
  <c r="DT275" i="21"/>
  <c r="BI275" i="21"/>
  <c r="BJ275" i="21" s="1"/>
  <c r="BC129" i="21"/>
  <c r="CN129" i="21" s="1"/>
  <c r="DD441" i="21"/>
  <c r="FI441" i="21"/>
  <c r="AY435" i="21"/>
  <c r="BH435" i="21" s="1"/>
  <c r="BJ435" i="21" s="1"/>
  <c r="ET380" i="21"/>
  <c r="EU380" i="21" s="1"/>
  <c r="EV380" i="21" s="1"/>
  <c r="ET251" i="21"/>
  <c r="EU251" i="21" s="1"/>
  <c r="EV251" i="21" s="1"/>
  <c r="DM346" i="21"/>
  <c r="CU126" i="21"/>
  <c r="FG126" i="21"/>
  <c r="BP128" i="21"/>
  <c r="EI128" i="21" s="1"/>
  <c r="EH128" i="21" s="1"/>
  <c r="DM150" i="21"/>
  <c r="EH336" i="21"/>
  <c r="EG336" i="21"/>
  <c r="DA382" i="21"/>
  <c r="FG382" i="21"/>
  <c r="CI395" i="21"/>
  <c r="CK395" i="21" s="1"/>
  <c r="CP395" i="21" s="1"/>
  <c r="BF23" i="21"/>
  <c r="CK23" i="21"/>
  <c r="BC114" i="21"/>
  <c r="CN114" i="21" s="1"/>
  <c r="DC90" i="21"/>
  <c r="FJ90" i="21"/>
  <c r="BC83" i="21"/>
  <c r="CN83" i="21" s="1"/>
  <c r="DM202" i="21"/>
  <c r="CB336" i="21"/>
  <c r="CI336" i="21" s="1"/>
  <c r="CK336" i="21" s="1"/>
  <c r="CP336" i="21" s="1"/>
  <c r="BE108" i="21"/>
  <c r="BF108" i="21" s="1"/>
  <c r="FX108" i="21"/>
  <c r="GA108" i="21" s="1"/>
  <c r="O109" i="21"/>
  <c r="CA108" i="21"/>
  <c r="BZ108" i="21"/>
  <c r="CB108" i="21" s="1"/>
  <c r="CI108" i="21" s="1"/>
  <c r="CK108" i="21" s="1"/>
  <c r="BR108" i="21"/>
  <c r="DZ108" i="21" s="1"/>
  <c r="EB108" i="21" s="1"/>
  <c r="T108" i="21"/>
  <c r="EE108" i="21"/>
  <c r="AN108" i="21"/>
  <c r="AQ108" i="21" s="1"/>
  <c r="AT108" i="21"/>
  <c r="DU108" i="21" s="1"/>
  <c r="BK108" i="21"/>
  <c r="ET264" i="21"/>
  <c r="EU264" i="21" s="1"/>
  <c r="EV264" i="21" s="1"/>
  <c r="ET433" i="21"/>
  <c r="EU433" i="21" s="1"/>
  <c r="EV433" i="21" s="1"/>
  <c r="FJ426" i="21"/>
  <c r="CW426" i="21"/>
  <c r="EW494" i="21"/>
  <c r="FG380" i="21"/>
  <c r="CU380" i="21"/>
  <c r="EG406" i="21"/>
  <c r="EH406" i="21"/>
  <c r="AZ449" i="21"/>
  <c r="BH449" i="21"/>
  <c r="AY449" i="21"/>
  <c r="AY291" i="21"/>
  <c r="AZ291" i="21" s="1"/>
  <c r="BC388" i="21"/>
  <c r="CN388" i="21" s="1"/>
  <c r="FJ141" i="21"/>
  <c r="DC141" i="21"/>
  <c r="BC116" i="21"/>
  <c r="CN116" i="21" s="1"/>
  <c r="CV279" i="21"/>
  <c r="FH279" i="21"/>
  <c r="EH267" i="21"/>
  <c r="EG267" i="21"/>
  <c r="BH207" i="21"/>
  <c r="AY207" i="21"/>
  <c r="AZ207" i="21" s="1"/>
  <c r="GA119" i="21"/>
  <c r="CS119" i="21" s="1"/>
  <c r="GC119" i="21"/>
  <c r="ED274" i="21"/>
  <c r="CR274" i="21" s="1"/>
  <c r="FI336" i="21"/>
  <c r="CX336" i="21"/>
  <c r="FG433" i="21"/>
  <c r="DA433" i="21"/>
  <c r="FG100" i="21"/>
  <c r="CU100" i="21"/>
  <c r="CM4" i="21"/>
  <c r="ET375" i="21"/>
  <c r="EU375" i="21"/>
  <c r="EV375" i="21" s="1"/>
  <c r="ED169" i="21"/>
  <c r="CR169" i="21" s="1"/>
  <c r="DP169" i="21"/>
  <c r="DB369" i="21"/>
  <c r="FH369" i="21"/>
  <c r="CB441" i="21"/>
  <c r="CI441" i="21" s="1"/>
  <c r="CK441" i="21" s="1"/>
  <c r="CP441" i="21" s="1"/>
  <c r="ED247" i="21"/>
  <c r="CR247" i="21" s="1"/>
  <c r="BC78" i="21"/>
  <c r="CN78" i="21" s="1"/>
  <c r="FJ406" i="21"/>
  <c r="DC406" i="21"/>
  <c r="BZ200" i="21"/>
  <c r="CB200" i="21" s="1"/>
  <c r="CI200" i="21" s="1"/>
  <c r="CK200" i="21" s="1"/>
  <c r="CP200" i="21" s="1"/>
  <c r="BJ384" i="21"/>
  <c r="EG291" i="21"/>
  <c r="EH291" i="21"/>
  <c r="ET259" i="21"/>
  <c r="EU259" i="21" s="1"/>
  <c r="EV259" i="21" s="1"/>
  <c r="BF230" i="21"/>
  <c r="CK230" i="21"/>
  <c r="DT492" i="21"/>
  <c r="BI492" i="21"/>
  <c r="BJ492" i="21" s="1"/>
  <c r="CU299" i="21"/>
  <c r="FG299" i="21"/>
  <c r="BF219" i="21"/>
  <c r="CK219" i="21"/>
  <c r="DD200" i="21"/>
  <c r="FI200" i="21"/>
  <c r="DC291" i="21"/>
  <c r="FJ291" i="21"/>
  <c r="DM314" i="21"/>
  <c r="DM122" i="21"/>
  <c r="BC245" i="21"/>
  <c r="CN245" i="21" s="1"/>
  <c r="DD173" i="21"/>
  <c r="DD16" i="21" s="1"/>
  <c r="FI173" i="21"/>
  <c r="CS17" i="21"/>
  <c r="CS16" i="21"/>
  <c r="CS14" i="21"/>
  <c r="CS15" i="21" s="1"/>
  <c r="FJ132" i="21"/>
  <c r="CW132" i="21"/>
  <c r="BC70" i="21"/>
  <c r="CN70" i="21" s="1"/>
  <c r="DM117" i="21"/>
  <c r="ED117" i="21" s="1"/>
  <c r="BH203" i="21"/>
  <c r="BJ203" i="21" s="1"/>
  <c r="AZ203" i="21"/>
  <c r="BC257" i="21"/>
  <c r="CN257" i="21" s="1"/>
  <c r="ET177" i="21"/>
  <c r="EU177" i="21"/>
  <c r="EV177" i="21" s="1"/>
  <c r="FI419" i="21"/>
  <c r="CX419" i="21"/>
  <c r="BM92" i="21"/>
  <c r="BL92" i="21"/>
  <c r="BN92" i="21" s="1"/>
  <c r="EH384" i="21"/>
  <c r="EG384" i="21"/>
  <c r="DB118" i="21"/>
  <c r="FH118" i="21"/>
  <c r="ET200" i="21"/>
  <c r="EU200" i="21" s="1"/>
  <c r="EV200" i="21" s="1"/>
  <c r="FH343" i="21"/>
  <c r="CV343" i="21"/>
  <c r="DB152" i="21"/>
  <c r="FH152" i="21"/>
  <c r="BH433" i="21"/>
  <c r="BJ433" i="21" s="1"/>
  <c r="AZ433" i="21"/>
  <c r="FH103" i="21"/>
  <c r="CV103" i="21"/>
  <c r="FH424" i="21"/>
  <c r="DB424" i="21"/>
  <c r="FH248" i="21"/>
  <c r="CV248" i="21"/>
  <c r="ED348" i="21"/>
  <c r="CR348" i="21" s="1"/>
  <c r="BP88" i="21"/>
  <c r="EI88" i="21" s="1"/>
  <c r="BC239" i="21"/>
  <c r="CN239" i="21" s="1"/>
  <c r="DC149" i="21"/>
  <c r="FJ149" i="21"/>
  <c r="AZ163" i="21"/>
  <c r="BH163" i="21"/>
  <c r="BJ163" i="21" s="1"/>
  <c r="FJ365" i="21"/>
  <c r="DC365" i="21"/>
  <c r="CV326" i="21"/>
  <c r="FH326" i="21"/>
  <c r="DM234" i="21"/>
  <c r="FI382" i="21"/>
  <c r="DD382" i="21"/>
  <c r="DM112" i="21"/>
  <c r="CU233" i="21"/>
  <c r="FG233" i="21"/>
  <c r="DM293" i="21"/>
  <c r="EU101" i="21"/>
  <c r="EV101" i="21" s="1"/>
  <c r="ET101" i="21"/>
  <c r="EY101" i="21"/>
  <c r="EZ101" i="21" s="1"/>
  <c r="DD273" i="21"/>
  <c r="FI273" i="21"/>
  <c r="ET233" i="21"/>
  <c r="EU233" i="21" s="1"/>
  <c r="EV233" i="21" s="1"/>
  <c r="BO52" i="21"/>
  <c r="BP52" i="21" s="1"/>
  <c r="EI52" i="21" s="1"/>
  <c r="CX206" i="21"/>
  <c r="FI206" i="21"/>
  <c r="DA174" i="21"/>
  <c r="DA17" i="21" s="1"/>
  <c r="FG174" i="21"/>
  <c r="DA276" i="21"/>
  <c r="FG276" i="21"/>
  <c r="CX86" i="21"/>
  <c r="FI86" i="21"/>
  <c r="BC189" i="21"/>
  <c r="CN189" i="21" s="1"/>
  <c r="DM95" i="21"/>
  <c r="ED303" i="21"/>
  <c r="CR303" i="21" s="1"/>
  <c r="CX422" i="21"/>
  <c r="FI422" i="21"/>
  <c r="BI328" i="21"/>
  <c r="BJ328" i="21" s="1"/>
  <c r="DT328" i="21"/>
  <c r="CX380" i="21"/>
  <c r="FI380" i="21"/>
  <c r="EW161" i="21"/>
  <c r="EX494" i="21"/>
  <c r="EH387" i="21"/>
  <c r="EG387" i="21"/>
  <c r="EH334" i="21"/>
  <c r="EG334" i="21"/>
  <c r="BC132" i="21"/>
  <c r="CN132" i="21" s="1"/>
  <c r="BF250" i="21"/>
  <c r="CO250" i="21" s="1"/>
  <c r="CK250" i="21"/>
  <c r="CP250" i="21" s="1"/>
  <c r="BP127" i="21"/>
  <c r="EI127" i="21" s="1"/>
  <c r="EH127" i="21" s="1"/>
  <c r="FJ387" i="21"/>
  <c r="DC387" i="21"/>
  <c r="DM283" i="21"/>
  <c r="AZ426" i="21"/>
  <c r="AY426" i="21"/>
  <c r="BH426" i="21" s="1"/>
  <c r="BJ426" i="21" s="1"/>
  <c r="DD90" i="21"/>
  <c r="FI90" i="21"/>
  <c r="BF229" i="21"/>
  <c r="CK229" i="21"/>
  <c r="AZ261" i="21"/>
  <c r="BH261" i="21"/>
  <c r="ET346" i="21"/>
  <c r="EU346" i="21" s="1"/>
  <c r="EV346" i="21" s="1"/>
  <c r="DM144" i="21"/>
  <c r="CW207" i="21"/>
  <c r="FJ207" i="21"/>
  <c r="EG331" i="21"/>
  <c r="EU275" i="21"/>
  <c r="EV275" i="21" s="1"/>
  <c r="ET275" i="21"/>
  <c r="EH305" i="21"/>
  <c r="EG305" i="21"/>
  <c r="CW64" i="21"/>
  <c r="FJ64" i="21"/>
  <c r="AR110" i="21"/>
  <c r="DM207" i="21"/>
  <c r="ED224" i="21"/>
  <c r="CR224" i="21" s="1"/>
  <c r="EG257" i="21"/>
  <c r="EH257" i="21"/>
  <c r="FG280" i="21"/>
  <c r="DA280" i="21"/>
  <c r="DC305" i="21"/>
  <c r="FJ305" i="21"/>
  <c r="CW92" i="21"/>
  <c r="FJ92" i="21"/>
  <c r="BH384" i="21"/>
  <c r="AZ384" i="21"/>
  <c r="BC394" i="21"/>
  <c r="CN394" i="21" s="1"/>
  <c r="BC417" i="21"/>
  <c r="CN417" i="21" s="1"/>
  <c r="BF375" i="21"/>
  <c r="CO375" i="21" s="1"/>
  <c r="CK375" i="21"/>
  <c r="CP375" i="21" s="1"/>
  <c r="CV351" i="21"/>
  <c r="FH351" i="21"/>
  <c r="EH441" i="21"/>
  <c r="EG441" i="21"/>
  <c r="BC139" i="21"/>
  <c r="CN139" i="21" s="1"/>
  <c r="DM110" i="21"/>
  <c r="ET230" i="21"/>
  <c r="EU230" i="21"/>
  <c r="EV230" i="21" s="1"/>
  <c r="ET280" i="21"/>
  <c r="EU280" i="21"/>
  <c r="EV280" i="21" s="1"/>
  <c r="DM419" i="21"/>
  <c r="DC384" i="21"/>
  <c r="FJ384" i="21"/>
  <c r="DM200" i="21"/>
  <c r="BL64" i="21"/>
  <c r="BN64" i="21" s="1"/>
  <c r="BM64" i="21"/>
  <c r="DM134" i="21"/>
  <c r="DT264" i="21"/>
  <c r="BI264" i="21"/>
  <c r="BJ264" i="21" s="1"/>
  <c r="EH425" i="21"/>
  <c r="EG425" i="21"/>
  <c r="EY25" i="21"/>
  <c r="EZ25" i="21"/>
  <c r="CX347" i="21"/>
  <c r="FI347" i="21"/>
  <c r="FJ133" i="21"/>
  <c r="CW133" i="21"/>
  <c r="FJ357" i="21"/>
  <c r="DC357" i="21"/>
  <c r="BF280" i="21"/>
  <c r="CO280" i="21" s="1"/>
  <c r="CK280" i="21"/>
  <c r="CP280" i="21" s="1"/>
  <c r="BF177" i="21"/>
  <c r="CO177" i="21" s="1"/>
  <c r="CK177" i="21"/>
  <c r="CP177" i="21" s="1"/>
  <c r="DA200" i="21"/>
  <c r="FG200" i="21"/>
  <c r="BC423" i="21"/>
  <c r="CN423" i="21" s="1"/>
  <c r="BF25" i="21"/>
  <c r="CK25" i="21"/>
  <c r="BC123" i="21"/>
  <c r="CN123" i="21" s="1"/>
  <c r="DM115" i="21"/>
  <c r="EZ24" i="21"/>
  <c r="EY24" i="21"/>
  <c r="ET224" i="21"/>
  <c r="EU224" i="21" s="1"/>
  <c r="EV224" i="21" s="1"/>
  <c r="DA259" i="21"/>
  <c r="FG259" i="21"/>
  <c r="BC187" i="21"/>
  <c r="CN187" i="21" s="1"/>
  <c r="EH309" i="21"/>
  <c r="EG309" i="21"/>
  <c r="DA177" i="21"/>
  <c r="FG177" i="21"/>
  <c r="BP22" i="21"/>
  <c r="EI22" i="21" s="1"/>
  <c r="FH309" i="21"/>
  <c r="DB309" i="21"/>
  <c r="EG289" i="21"/>
  <c r="CW100" i="21"/>
  <c r="FJ100" i="21"/>
  <c r="CW53" i="21"/>
  <c r="FJ53" i="21"/>
  <c r="CP8" i="21"/>
  <c r="AU105" i="21"/>
  <c r="AR105" i="21"/>
  <c r="BC141" i="21"/>
  <c r="CN141" i="21" s="1"/>
  <c r="CK430" i="21"/>
  <c r="CP430" i="21" s="1"/>
  <c r="BC303" i="21"/>
  <c r="CN303" i="21" s="1"/>
  <c r="DT236" i="21"/>
  <c r="BI236" i="21"/>
  <c r="BJ236" i="21" s="1"/>
  <c r="DB277" i="21"/>
  <c r="FH277" i="21"/>
  <c r="BC137" i="21"/>
  <c r="CN137" i="21" s="1"/>
  <c r="BP113" i="21"/>
  <c r="EI113" i="21" s="1"/>
  <c r="EH113" i="21" s="1"/>
  <c r="EU390" i="21"/>
  <c r="EV390" i="21" s="1"/>
  <c r="ET390" i="21"/>
  <c r="CB438" i="21"/>
  <c r="CI438" i="21" s="1"/>
  <c r="CK438" i="21" s="1"/>
  <c r="CP438" i="21" s="1"/>
  <c r="BH347" i="21"/>
  <c r="AY347" i="21"/>
  <c r="AZ347" i="21" s="1"/>
  <c r="AY310" i="21"/>
  <c r="BH310" i="21" s="1"/>
  <c r="BJ310" i="21" s="1"/>
  <c r="DM145" i="21"/>
  <c r="DM136" i="21"/>
  <c r="CW358" i="21"/>
  <c r="FJ358" i="21"/>
  <c r="BC265" i="21"/>
  <c r="CN265" i="21" s="1"/>
  <c r="DT269" i="21"/>
  <c r="BI269" i="21"/>
  <c r="BJ269" i="21" s="1"/>
  <c r="EY52" i="21"/>
  <c r="EZ52" i="21" s="1"/>
  <c r="ET52" i="21"/>
  <c r="BC191" i="21"/>
  <c r="CN191" i="21" s="1"/>
  <c r="EY46" i="21"/>
  <c r="EZ46" i="21" s="1"/>
  <c r="CU131" i="21"/>
  <c r="FG131" i="21"/>
  <c r="BC115" i="21"/>
  <c r="CN115" i="21" s="1"/>
  <c r="BI390" i="21"/>
  <c r="BJ390" i="21" s="1"/>
  <c r="DT390" i="21"/>
  <c r="BC91" i="21"/>
  <c r="CN91" i="21" s="1"/>
  <c r="AY306" i="21"/>
  <c r="BH306" i="21" s="1"/>
  <c r="BJ306" i="21" s="1"/>
  <c r="ET33" i="21"/>
  <c r="EU33" i="21" s="1"/>
  <c r="EV33" i="21" s="1"/>
  <c r="EU26" i="21"/>
  <c r="EV26" i="21" s="1"/>
  <c r="ET26" i="21"/>
  <c r="BL105" i="21"/>
  <c r="BN105" i="21" s="1"/>
  <c r="BM105" i="21"/>
  <c r="ET466" i="21"/>
  <c r="EU466" i="21" s="1"/>
  <c r="EV466" i="21" s="1"/>
  <c r="EM466" i="21"/>
  <c r="EP466" i="21" s="1"/>
  <c r="EQ466" i="21" s="1"/>
  <c r="CB428" i="21"/>
  <c r="CI428" i="21" s="1"/>
  <c r="CK428" i="21" s="1"/>
  <c r="CP428" i="21" s="1"/>
  <c r="CX438" i="21"/>
  <c r="FI438" i="21"/>
  <c r="ED183" i="21"/>
  <c r="CR183" i="21" s="1"/>
  <c r="CX289" i="21"/>
  <c r="FI289" i="21"/>
  <c r="DR486" i="21"/>
  <c r="ED370" i="21"/>
  <c r="CR370" i="21" s="1"/>
  <c r="EG347" i="21"/>
  <c r="EH347" i="21"/>
  <c r="CB310" i="21"/>
  <c r="CI310" i="21" s="1"/>
  <c r="CK310" i="21" s="1"/>
  <c r="CP310" i="21" s="1"/>
  <c r="CB62" i="21"/>
  <c r="CI62" i="21" s="1"/>
  <c r="CK62" i="21" s="1"/>
  <c r="ED343" i="21"/>
  <c r="CR343" i="21" s="1"/>
  <c r="ET269" i="21"/>
  <c r="EU269" i="21" s="1"/>
  <c r="EV269" i="21" s="1"/>
  <c r="EW107" i="21"/>
  <c r="BC90" i="21"/>
  <c r="CN90" i="21" s="1"/>
  <c r="BC102" i="21"/>
  <c r="CN102" i="21" s="1"/>
  <c r="AV165" i="21"/>
  <c r="AW165" i="21" s="1"/>
  <c r="BC165" i="21"/>
  <c r="CN165" i="21" s="1"/>
  <c r="ES163" i="21"/>
  <c r="ER163" i="21"/>
  <c r="EW163" i="21" s="1"/>
  <c r="BC174" i="21"/>
  <c r="CN174" i="21" s="1"/>
  <c r="DM98" i="21"/>
  <c r="FJ262" i="21"/>
  <c r="DC262" i="21"/>
  <c r="EH379" i="21"/>
  <c r="EG379" i="21"/>
  <c r="DM435" i="21"/>
  <c r="FG440" i="21"/>
  <c r="DA440" i="21"/>
  <c r="ET49" i="21"/>
  <c r="EU49" i="21" s="1"/>
  <c r="EV49" i="21" s="1"/>
  <c r="FJ204" i="21"/>
  <c r="CW204" i="21"/>
  <c r="DU213" i="21"/>
  <c r="AV213" i="21"/>
  <c r="AW213" i="21" s="1"/>
  <c r="EH411" i="21"/>
  <c r="EG411" i="21"/>
  <c r="EU44" i="21"/>
  <c r="EV44" i="21" s="1"/>
  <c r="ET44" i="21"/>
  <c r="EY44" i="21"/>
  <c r="EZ44" i="21" s="1"/>
  <c r="AZ105" i="21"/>
  <c r="BC105" i="21" s="1"/>
  <c r="AY105" i="21"/>
  <c r="BC295" i="21"/>
  <c r="CN295" i="21" s="1"/>
  <c r="BC126" i="21"/>
  <c r="CN126" i="21" s="1"/>
  <c r="BC386" i="21"/>
  <c r="CN386" i="21" s="1"/>
  <c r="CU430" i="21"/>
  <c r="FG430" i="21"/>
  <c r="DM289" i="21"/>
  <c r="AV154" i="21"/>
  <c r="AW154" i="21" s="1"/>
  <c r="BC154" i="21"/>
  <c r="EU42" i="21"/>
  <c r="EV42" i="21" s="1"/>
  <c r="ET42" i="21"/>
  <c r="EY42" i="21"/>
  <c r="EZ42" i="21" s="1"/>
  <c r="BC136" i="21"/>
  <c r="CN136" i="21" s="1"/>
  <c r="CV92" i="21"/>
  <c r="FH92" i="21"/>
  <c r="EH352" i="21"/>
  <c r="EG352" i="21"/>
  <c r="DC208" i="21"/>
  <c r="FJ208" i="21"/>
  <c r="DT69" i="21"/>
  <c r="DD417" i="21"/>
  <c r="FI417" i="21"/>
  <c r="DC379" i="21"/>
  <c r="FJ379" i="21"/>
  <c r="DD259" i="21"/>
  <c r="FI259" i="21"/>
  <c r="FJ306" i="21"/>
  <c r="DC306" i="21"/>
  <c r="CV260" i="21"/>
  <c r="FH260" i="21"/>
  <c r="ET354" i="21"/>
  <c r="EU354" i="21" s="1"/>
  <c r="EV354" i="21" s="1"/>
  <c r="CW411" i="21"/>
  <c r="FJ411" i="21"/>
  <c r="EH429" i="21"/>
  <c r="EG429" i="21"/>
  <c r="BF221" i="21"/>
  <c r="CO221" i="21" s="1"/>
  <c r="CK221" i="21"/>
  <c r="CP221" i="21" s="1"/>
  <c r="ET83" i="21"/>
  <c r="EU83" i="21" s="1"/>
  <c r="EV83" i="21" s="1"/>
  <c r="EY83" i="21"/>
  <c r="EZ83" i="21" s="1"/>
  <c r="CW289" i="21"/>
  <c r="FJ289" i="21"/>
  <c r="BC119" i="21"/>
  <c r="CN119" i="21" s="1"/>
  <c r="DB314" i="21"/>
  <c r="FH314" i="21"/>
  <c r="CK352" i="21"/>
  <c r="CP352" i="21" s="1"/>
  <c r="BC481" i="21"/>
  <c r="DU481" i="21"/>
  <c r="EM481" i="21" s="1"/>
  <c r="EP481" i="21" s="1"/>
  <c r="EQ481" i="21" s="1"/>
  <c r="DP28" i="21"/>
  <c r="DO28" i="21"/>
  <c r="DQ28" i="21" s="1"/>
  <c r="CM3" i="21"/>
  <c r="BI176" i="21"/>
  <c r="DT176" i="21"/>
  <c r="DM208" i="21"/>
  <c r="CW102" i="21"/>
  <c r="FJ102" i="21"/>
  <c r="DP21" i="21"/>
  <c r="DO21" i="21"/>
  <c r="DQ21" i="21" s="1"/>
  <c r="EH383" i="21"/>
  <c r="EG383" i="21"/>
  <c r="EU440" i="21"/>
  <c r="EV440" i="21" s="1"/>
  <c r="ET440" i="21"/>
  <c r="DM70" i="21"/>
  <c r="DD394" i="21"/>
  <c r="FI394" i="21"/>
  <c r="CU313" i="21"/>
  <c r="FG313" i="21"/>
  <c r="FI428" i="21"/>
  <c r="CX428" i="21"/>
  <c r="FI288" i="21"/>
  <c r="CX288" i="21"/>
  <c r="DC429" i="21"/>
  <c r="FJ429" i="21"/>
  <c r="DC251" i="21"/>
  <c r="FJ251" i="21"/>
  <c r="DT83" i="21"/>
  <c r="DC148" i="21"/>
  <c r="FJ148" i="21"/>
  <c r="BC176" i="21"/>
  <c r="CN176" i="21" s="1"/>
  <c r="FJ248" i="21"/>
  <c r="CW248" i="21"/>
  <c r="ET373" i="21"/>
  <c r="EU373" i="21" s="1"/>
  <c r="EV373" i="21" s="1"/>
  <c r="FI352" i="21"/>
  <c r="CX352" i="21"/>
  <c r="ET381" i="21"/>
  <c r="EU381" i="21"/>
  <c r="EV381" i="21" s="1"/>
  <c r="ET362" i="21"/>
  <c r="EU362" i="21" s="1"/>
  <c r="EV362" i="21" s="1"/>
  <c r="ED439" i="21"/>
  <c r="CR439" i="21" s="1"/>
  <c r="CW96" i="21"/>
  <c r="FJ96" i="21"/>
  <c r="FH170" i="21"/>
  <c r="CV170" i="21"/>
  <c r="ET176" i="21"/>
  <c r="EU176" i="21"/>
  <c r="EV176" i="21" s="1"/>
  <c r="BC74" i="21"/>
  <c r="CN74" i="21" s="1"/>
  <c r="EG59" i="21"/>
  <c r="EH59" i="21"/>
  <c r="DT67" i="21"/>
  <c r="FJ383" i="21"/>
  <c r="DC383" i="21"/>
  <c r="EH416" i="21"/>
  <c r="EG416" i="21"/>
  <c r="FG188" i="21"/>
  <c r="DA188" i="21"/>
  <c r="DN483" i="21"/>
  <c r="ES483" i="21"/>
  <c r="ER483" i="21"/>
  <c r="DM259" i="21"/>
  <c r="CX411" i="21"/>
  <c r="FI411" i="21"/>
  <c r="EH376" i="21"/>
  <c r="EG376" i="21"/>
  <c r="DM149" i="21"/>
  <c r="AZ202" i="21"/>
  <c r="ET313" i="21"/>
  <c r="EU313" i="21"/>
  <c r="EV313" i="21" s="1"/>
  <c r="BJ282" i="21"/>
  <c r="BC272" i="21"/>
  <c r="CN272" i="21" s="1"/>
  <c r="FI345" i="21"/>
  <c r="DD345" i="21"/>
  <c r="FG373" i="21"/>
  <c r="DA373" i="21"/>
  <c r="AY270" i="21"/>
  <c r="BH270" i="21" s="1"/>
  <c r="BJ270" i="21" s="1"/>
  <c r="DQ27" i="21"/>
  <c r="BC94" i="21"/>
  <c r="CN94" i="21" s="1"/>
  <c r="FJ128" i="21"/>
  <c r="CW128" i="21"/>
  <c r="ED225" i="21"/>
  <c r="CR225" i="21" s="1"/>
  <c r="DU166" i="21"/>
  <c r="AV166" i="21"/>
  <c r="AW166" i="21" s="1"/>
  <c r="FJ99" i="21"/>
  <c r="CW99" i="21"/>
  <c r="CB59" i="21"/>
  <c r="CI59" i="21" s="1"/>
  <c r="CK59" i="21" s="1"/>
  <c r="CP59" i="21" s="1"/>
  <c r="BC140" i="21"/>
  <c r="CN140" i="21" s="1"/>
  <c r="CU189" i="21"/>
  <c r="FG189" i="21"/>
  <c r="EU78" i="21"/>
  <c r="EV78" i="21" s="1"/>
  <c r="ET78" i="21"/>
  <c r="EY78" i="21"/>
  <c r="EZ78" i="21" s="1"/>
  <c r="ET67" i="21"/>
  <c r="EU67" i="21" s="1"/>
  <c r="EV67" i="21" s="1"/>
  <c r="EY67" i="21"/>
  <c r="EZ67" i="21" s="1"/>
  <c r="FB21" i="21"/>
  <c r="ED21" i="21" s="1"/>
  <c r="EX21" i="21"/>
  <c r="EW21" i="21"/>
  <c r="AY383" i="21"/>
  <c r="BH383" i="21" s="1"/>
  <c r="AY409" i="21"/>
  <c r="BH409" i="21"/>
  <c r="BJ409" i="21" s="1"/>
  <c r="AZ409" i="21"/>
  <c r="DC359" i="21"/>
  <c r="FJ359" i="21"/>
  <c r="DM221" i="21"/>
  <c r="BJ315" i="21"/>
  <c r="ET188" i="21"/>
  <c r="EU188" i="21" s="1"/>
  <c r="EV188" i="21" s="1"/>
  <c r="BN118" i="21"/>
  <c r="BP118" i="21" s="1"/>
  <c r="EI118" i="21" s="1"/>
  <c r="EH118" i="21" s="1"/>
  <c r="BO118" i="21"/>
  <c r="BH411" i="21"/>
  <c r="BJ411" i="21" s="1"/>
  <c r="AY411" i="21"/>
  <c r="AZ411" i="21" s="1"/>
  <c r="FI356" i="21"/>
  <c r="CX356" i="21"/>
  <c r="BC182" i="21"/>
  <c r="CN182" i="21" s="1"/>
  <c r="FJ376" i="21"/>
  <c r="DC376" i="21"/>
  <c r="ET84" i="21"/>
  <c r="EU84" i="21" s="1"/>
  <c r="EV84" i="21" s="1"/>
  <c r="BC281" i="21"/>
  <c r="CN281" i="21" s="1"/>
  <c r="ED485" i="21"/>
  <c r="DP485" i="21"/>
  <c r="DO485" i="21"/>
  <c r="DQ485" i="21"/>
  <c r="BH335" i="21"/>
  <c r="BJ335" i="21" s="1"/>
  <c r="AZ335" i="21"/>
  <c r="AY335" i="21"/>
  <c r="BC273" i="21"/>
  <c r="CN273" i="21" s="1"/>
  <c r="EG392" i="21"/>
  <c r="EH392" i="21"/>
  <c r="ED304" i="21"/>
  <c r="CR304" i="21" s="1"/>
  <c r="BH251" i="21"/>
  <c r="AZ251" i="21"/>
  <c r="ED240" i="21"/>
  <c r="CR240" i="21" s="1"/>
  <c r="FG381" i="21"/>
  <c r="CU381" i="21"/>
  <c r="CU362" i="21"/>
  <c r="FG362" i="21"/>
  <c r="EX156" i="21"/>
  <c r="DS156" i="21" s="1"/>
  <c r="EW156" i="21"/>
  <c r="EY146" i="21"/>
  <c r="EZ146" i="21" s="1"/>
  <c r="BC197" i="21"/>
  <c r="CN197" i="21" s="1"/>
  <c r="ED213" i="21"/>
  <c r="FJ189" i="21"/>
  <c r="CW189" i="21"/>
  <c r="FI409" i="21"/>
  <c r="DD409" i="21"/>
  <c r="EH358" i="21"/>
  <c r="EG358" i="21"/>
  <c r="DB267" i="21"/>
  <c r="FH267" i="21"/>
  <c r="BC323" i="21"/>
  <c r="CN323" i="21" s="1"/>
  <c r="FI398" i="21"/>
  <c r="DD398" i="21"/>
  <c r="DP45" i="21"/>
  <c r="DO45" i="21"/>
  <c r="DQ45" i="21" s="1"/>
  <c r="BC238" i="21"/>
  <c r="CN238" i="21" s="1"/>
  <c r="DQ47" i="21"/>
  <c r="DM341" i="21"/>
  <c r="BJ400" i="21"/>
  <c r="BH376" i="21"/>
  <c r="AZ376" i="21"/>
  <c r="AY376" i="21"/>
  <c r="DT84" i="21"/>
  <c r="DM99" i="21"/>
  <c r="EX485" i="21"/>
  <c r="EG335" i="21"/>
  <c r="EH335" i="21"/>
  <c r="ED493" i="21"/>
  <c r="FJ392" i="21"/>
  <c r="CW392" i="21"/>
  <c r="BJ447" i="21"/>
  <c r="DQ473" i="21"/>
  <c r="DR473" i="21" s="1"/>
  <c r="DS473" i="21" s="1"/>
  <c r="FI440" i="21"/>
  <c r="DD440" i="21"/>
  <c r="DM245" i="21"/>
  <c r="BM59" i="21"/>
  <c r="BO59" i="21" s="1"/>
  <c r="BL59" i="21"/>
  <c r="BN59" i="21" s="1"/>
  <c r="CU234" i="21"/>
  <c r="FG234" i="21"/>
  <c r="BC282" i="21"/>
  <c r="CN282" i="21" s="1"/>
  <c r="AZ339" i="21"/>
  <c r="BH339" i="21"/>
  <c r="AY339" i="21"/>
  <c r="FI416" i="21"/>
  <c r="CX416" i="21"/>
  <c r="BO133" i="21"/>
  <c r="BP133" i="21" s="1"/>
  <c r="EI133" i="21" s="1"/>
  <c r="EH133" i="21" s="1"/>
  <c r="DM272" i="21"/>
  <c r="BP78" i="21"/>
  <c r="EI78" i="21" s="1"/>
  <c r="CK234" i="21"/>
  <c r="CP234" i="21" s="1"/>
  <c r="FG349" i="21"/>
  <c r="CU349" i="21"/>
  <c r="CV100" i="21"/>
  <c r="FH100" i="21"/>
  <c r="FI376" i="21"/>
  <c r="DD376" i="21"/>
  <c r="DM433" i="21"/>
  <c r="FJ335" i="21"/>
  <c r="CW335" i="21"/>
  <c r="EU320" i="21"/>
  <c r="EV320" i="21" s="1"/>
  <c r="ET320" i="21"/>
  <c r="BC399" i="21"/>
  <c r="CN399" i="21" s="1"/>
  <c r="BC357" i="21"/>
  <c r="CN357" i="21" s="1"/>
  <c r="BC359" i="21"/>
  <c r="CN359" i="21" s="1"/>
  <c r="BO131" i="21"/>
  <c r="BP131" i="21" s="1"/>
  <c r="EI131" i="21" s="1"/>
  <c r="EH131" i="21" s="1"/>
  <c r="BC393" i="21"/>
  <c r="CN393" i="21" s="1"/>
  <c r="FH175" i="21"/>
  <c r="CV175" i="21"/>
  <c r="BP46" i="21"/>
  <c r="EI46" i="21" s="1"/>
  <c r="BC255" i="21"/>
  <c r="CN255" i="21" s="1"/>
  <c r="CD4" i="21"/>
  <c r="BP35" i="21"/>
  <c r="EI35" i="21" s="1"/>
  <c r="DM427" i="21"/>
  <c r="DM140" i="21"/>
  <c r="DM147" i="21"/>
  <c r="DT101" i="21"/>
  <c r="ET340" i="21"/>
  <c r="EU340" i="21"/>
  <c r="EV340" i="21" s="1"/>
  <c r="CX279" i="21"/>
  <c r="FI279" i="21"/>
  <c r="DC342" i="21"/>
  <c r="FJ342" i="21"/>
  <c r="CB408" i="21"/>
  <c r="CI408" i="21" s="1"/>
  <c r="CK408" i="21" s="1"/>
  <c r="CP408" i="21" s="1"/>
  <c r="EU109" i="21"/>
  <c r="EV109" i="21" s="1"/>
  <c r="ET109" i="21"/>
  <c r="EY109" i="21"/>
  <c r="EZ109" i="21" s="1"/>
  <c r="AY336" i="21"/>
  <c r="BH336" i="21" s="1"/>
  <c r="DQ475" i="21"/>
  <c r="DR475" i="21" s="1"/>
  <c r="FJ425" i="21"/>
  <c r="DC425" i="21"/>
  <c r="BC128" i="21"/>
  <c r="CN128" i="21" s="1"/>
  <c r="EH332" i="21"/>
  <c r="EG332" i="21"/>
  <c r="EH273" i="21"/>
  <c r="EG273" i="21"/>
  <c r="ET431" i="21"/>
  <c r="EU431" i="21" s="1"/>
  <c r="EV431" i="21" s="1"/>
  <c r="DN495" i="21"/>
  <c r="ER495" i="21"/>
  <c r="ES495" i="21"/>
  <c r="CW324" i="21"/>
  <c r="FJ324" i="21"/>
  <c r="BC177" i="21"/>
  <c r="CN177" i="21" s="1"/>
  <c r="EG249" i="21"/>
  <c r="EH249" i="21"/>
  <c r="BH196" i="21"/>
  <c r="BJ196" i="21" s="1"/>
  <c r="AZ196" i="21"/>
  <c r="AY196" i="21"/>
  <c r="BJ391" i="21"/>
  <c r="ET382" i="21"/>
  <c r="EU382" i="21" s="1"/>
  <c r="EV382" i="21" s="1"/>
  <c r="FJ151" i="21"/>
  <c r="DC151" i="21"/>
  <c r="ET114" i="21"/>
  <c r="EU114" i="21" s="1"/>
  <c r="EV114" i="21" s="1"/>
  <c r="EY114" i="21"/>
  <c r="EZ114" i="21" s="1"/>
  <c r="ET250" i="21"/>
  <c r="EU250" i="21"/>
  <c r="EV250" i="21" s="1"/>
  <c r="CV299" i="21"/>
  <c r="FH299" i="21"/>
  <c r="BC313" i="21"/>
  <c r="CN313" i="21" s="1"/>
  <c r="BC88" i="21"/>
  <c r="CN88" i="21" s="1"/>
  <c r="DT210" i="21"/>
  <c r="BI210" i="21"/>
  <c r="BJ210" i="21" s="1"/>
  <c r="EL9" i="21"/>
  <c r="EL8" i="21" s="1"/>
  <c r="EL7" i="21" s="1"/>
  <c r="ET92" i="21"/>
  <c r="EU92" i="21"/>
  <c r="EV92" i="21" s="1"/>
  <c r="EY92" i="21"/>
  <c r="EZ92" i="21" s="1"/>
  <c r="AR193" i="21"/>
  <c r="AU193" i="21"/>
  <c r="BI224" i="21"/>
  <c r="BJ224" i="21" s="1"/>
  <c r="DT224" i="21"/>
  <c r="BC146" i="21"/>
  <c r="CN146" i="21" s="1"/>
  <c r="FJ309" i="21"/>
  <c r="DC309" i="21"/>
  <c r="EU314" i="21"/>
  <c r="EV314" i="21" s="1"/>
  <c r="ET314" i="21"/>
  <c r="FJ370" i="21"/>
  <c r="CW370" i="21"/>
  <c r="BC98" i="21"/>
  <c r="CN98" i="21" s="1"/>
  <c r="EG306" i="21"/>
  <c r="EH306" i="21"/>
  <c r="BC184" i="21"/>
  <c r="CN184" i="21" s="1"/>
  <c r="ET430" i="21"/>
  <c r="EU430" i="21"/>
  <c r="EV430" i="21" s="1"/>
  <c r="BC222" i="21"/>
  <c r="AY289" i="21"/>
  <c r="BH289" i="21" s="1"/>
  <c r="BJ289" i="21" s="1"/>
  <c r="DT194" i="21"/>
  <c r="BI194" i="21"/>
  <c r="BJ194" i="21" s="1"/>
  <c r="EG310" i="21"/>
  <c r="EH310" i="21"/>
  <c r="BH352" i="21"/>
  <c r="AZ352" i="21"/>
  <c r="CX194" i="21"/>
  <c r="FI194" i="21"/>
  <c r="BC145" i="21"/>
  <c r="CN145" i="21" s="1"/>
  <c r="BO68" i="21"/>
  <c r="BP68" i="21" s="1"/>
  <c r="EI68" i="21" s="1"/>
  <c r="DQ29" i="21"/>
  <c r="DP29" i="21"/>
  <c r="DO29" i="21"/>
  <c r="ET352" i="21"/>
  <c r="EU352" i="21" s="1"/>
  <c r="EV352" i="21" s="1"/>
  <c r="ET316" i="21"/>
  <c r="EU316" i="21" s="1"/>
  <c r="EV316" i="21" s="1"/>
  <c r="AV168" i="21"/>
  <c r="AW168" i="21" s="1"/>
  <c r="BC168" i="21"/>
  <c r="CN168" i="21" s="1"/>
  <c r="BO78" i="21"/>
  <c r="DM255" i="21"/>
  <c r="FI255" i="21"/>
  <c r="CX255" i="21"/>
  <c r="AY312" i="21"/>
  <c r="AZ312" i="21" s="1"/>
  <c r="DM299" i="21"/>
  <c r="FG320" i="21"/>
  <c r="CU320" i="21"/>
  <c r="BH357" i="21"/>
  <c r="BJ357" i="21" s="1"/>
  <c r="FI263" i="21"/>
  <c r="DD263" i="21"/>
  <c r="BH382" i="21"/>
  <c r="AZ382" i="21"/>
  <c r="AY382" i="21"/>
  <c r="BJ365" i="21"/>
  <c r="EH413" i="21"/>
  <c r="EG413" i="21"/>
  <c r="DM437" i="21"/>
  <c r="EY45" i="21"/>
  <c r="EZ45" i="21"/>
  <c r="DA146" i="21"/>
  <c r="FG146" i="21"/>
  <c r="FI89" i="21"/>
  <c r="CX89" i="21"/>
  <c r="DP48" i="21"/>
  <c r="DO48" i="21"/>
  <c r="DQ48" i="21" s="1"/>
  <c r="BC66" i="21"/>
  <c r="CN66" i="21" s="1"/>
  <c r="FG187" i="21"/>
  <c r="DA187" i="21"/>
  <c r="CX59" i="21"/>
  <c r="FI59" i="21"/>
  <c r="BO128" i="21"/>
  <c r="ET115" i="21"/>
  <c r="EU115" i="21" s="1"/>
  <c r="EV115" i="21" s="1"/>
  <c r="EY115" i="21"/>
  <c r="EZ115" i="21" s="1"/>
  <c r="DO24" i="21"/>
  <c r="DP24" i="21"/>
  <c r="BO73" i="21"/>
  <c r="BP73" i="21" s="1"/>
  <c r="EI73" i="21" s="1"/>
  <c r="FI207" i="21"/>
  <c r="CX207" i="21"/>
  <c r="DT78" i="21"/>
  <c r="DT53" i="21"/>
  <c r="BO125" i="21"/>
  <c r="BP125" i="21" s="1"/>
  <c r="EI125" i="21" s="1"/>
  <c r="EH125" i="21" s="1"/>
  <c r="ED235" i="21"/>
  <c r="CR235" i="21" s="1"/>
  <c r="ER23" i="21"/>
  <c r="ES23" i="21"/>
  <c r="FJ256" i="21"/>
  <c r="DC256" i="21"/>
  <c r="ET296" i="21"/>
  <c r="EU296" i="21" s="1"/>
  <c r="EV296" i="21" s="1"/>
  <c r="BM86" i="21"/>
  <c r="BL86" i="21"/>
  <c r="BN86" i="21" s="1"/>
  <c r="FJ237" i="21"/>
  <c r="CW237" i="21"/>
  <c r="ET51" i="21"/>
  <c r="BJ309" i="21"/>
  <c r="FI339" i="21"/>
  <c r="CX339" i="21"/>
  <c r="DM252" i="21"/>
  <c r="CW416" i="21"/>
  <c r="FJ416" i="21"/>
  <c r="BH431" i="21"/>
  <c r="AZ431" i="21"/>
  <c r="AY431" i="21"/>
  <c r="ET384" i="21"/>
  <c r="EU384" i="21" s="1"/>
  <c r="EV384" i="21" s="1"/>
  <c r="DT402" i="21"/>
  <c r="BI402" i="21"/>
  <c r="BJ402" i="21" s="1"/>
  <c r="EH92" i="21"/>
  <c r="EG92" i="21"/>
  <c r="BP65" i="21"/>
  <c r="EI65" i="21" s="1"/>
  <c r="BO151" i="21"/>
  <c r="ET349" i="21"/>
  <c r="EU349" i="21" s="1"/>
  <c r="EV349" i="21" s="1"/>
  <c r="BC209" i="21"/>
  <c r="CN209" i="21" s="1"/>
  <c r="FJ400" i="21"/>
  <c r="DC400" i="21"/>
  <c r="DM239" i="21"/>
  <c r="CX312" i="21"/>
  <c r="FI312" i="21"/>
  <c r="BI466" i="21"/>
  <c r="BJ466" i="21" s="1"/>
  <c r="DT466" i="21"/>
  <c r="BP30" i="21"/>
  <c r="EI30" i="21" s="1"/>
  <c r="EY29" i="21"/>
  <c r="EZ29" i="21"/>
  <c r="CK380" i="21"/>
  <c r="CP380" i="21" s="1"/>
  <c r="FG431" i="21"/>
  <c r="DA431" i="21"/>
  <c r="EU261" i="21"/>
  <c r="EV261" i="21" s="1"/>
  <c r="ET261" i="21"/>
  <c r="FJ436" i="21"/>
  <c r="DC436" i="21"/>
  <c r="CU221" i="21"/>
  <c r="FG221" i="21"/>
  <c r="ET492" i="21"/>
  <c r="EU492" i="21" s="1"/>
  <c r="EV492" i="21" s="1"/>
  <c r="EM492" i="21"/>
  <c r="EP492" i="21" s="1"/>
  <c r="EQ492" i="21" s="1"/>
  <c r="BC234" i="21"/>
  <c r="CN234" i="21" s="1"/>
  <c r="BH345" i="21"/>
  <c r="AY345" i="21"/>
  <c r="AZ345" i="21"/>
  <c r="DA390" i="21"/>
  <c r="FG390" i="21"/>
  <c r="DT496" i="21"/>
  <c r="BI496" i="21"/>
  <c r="BJ496" i="21" s="1"/>
  <c r="DM323" i="21"/>
  <c r="ED489" i="21"/>
  <c r="DP489" i="21"/>
  <c r="DQ489" i="21" s="1"/>
  <c r="DO489" i="21"/>
  <c r="BP39" i="21"/>
  <c r="EI39" i="21" s="1"/>
  <c r="ED424" i="21"/>
  <c r="CR424" i="21" s="1"/>
  <c r="ET248" i="21"/>
  <c r="EU248" i="21" s="1"/>
  <c r="EV248" i="21" s="1"/>
  <c r="EU351" i="21"/>
  <c r="EV351" i="21" s="1"/>
  <c r="ET351" i="21"/>
  <c r="BC157" i="21"/>
  <c r="AV157" i="21"/>
  <c r="AW157" i="21" s="1"/>
  <c r="ET260" i="21"/>
  <c r="EU260" i="21"/>
  <c r="EV260" i="21" s="1"/>
  <c r="DC337" i="21"/>
  <c r="FJ337" i="21"/>
  <c r="FJ444" i="21"/>
  <c r="DC444" i="21"/>
  <c r="FI103" i="21"/>
  <c r="CX103" i="21"/>
  <c r="BJ318" i="21"/>
  <c r="BJ313" i="21"/>
  <c r="CW435" i="21"/>
  <c r="FJ435" i="21"/>
  <c r="EU194" i="21"/>
  <c r="EV194" i="21" s="1"/>
  <c r="ET194" i="21"/>
  <c r="EM194" i="21"/>
  <c r="EP194" i="21" s="1"/>
  <c r="EQ194" i="21" s="1"/>
  <c r="EH361" i="21"/>
  <c r="EG361" i="21"/>
  <c r="FG385" i="21"/>
  <c r="CU385" i="21"/>
  <c r="DM58" i="21"/>
  <c r="DT242" i="21"/>
  <c r="BI242" i="21"/>
  <c r="BJ242" i="21" s="1"/>
  <c r="DO22" i="21"/>
  <c r="DP22" i="21"/>
  <c r="ED230" i="21"/>
  <c r="FJ270" i="21"/>
  <c r="DC270" i="21"/>
  <c r="EU319" i="21"/>
  <c r="EV319" i="21" s="1"/>
  <c r="ET319" i="21"/>
  <c r="ET374" i="21"/>
  <c r="EU374" i="21"/>
  <c r="EV374" i="21" s="1"/>
  <c r="DM322" i="21"/>
  <c r="ET298" i="21"/>
  <c r="EU298" i="21" s="1"/>
  <c r="EV298" i="21" s="1"/>
  <c r="ET422" i="21"/>
  <c r="EU422" i="21"/>
  <c r="EV422" i="21" s="1"/>
  <c r="BC334" i="21"/>
  <c r="CN334" i="21" s="1"/>
  <c r="EH71" i="21"/>
  <c r="EG71" i="21"/>
  <c r="BJ200" i="21"/>
  <c r="ET338" i="21"/>
  <c r="EU338" i="21"/>
  <c r="EV338" i="21" s="1"/>
  <c r="BH447" i="21"/>
  <c r="ED217" i="21"/>
  <c r="DB406" i="21"/>
  <c r="FH406" i="21"/>
  <c r="FJ347" i="21"/>
  <c r="CW347" i="21"/>
  <c r="DD406" i="21"/>
  <c r="FI406" i="21"/>
  <c r="BC231" i="21"/>
  <c r="CN231" i="21" s="1"/>
  <c r="BC365" i="21"/>
  <c r="CN365" i="21" s="1"/>
  <c r="BJ418" i="21"/>
  <c r="EH270" i="21"/>
  <c r="EG270" i="21"/>
  <c r="CU374" i="21"/>
  <c r="FG374" i="21"/>
  <c r="BJ204" i="21"/>
  <c r="EX473" i="21"/>
  <c r="CU125" i="21"/>
  <c r="FG125" i="21"/>
  <c r="BI298" i="21"/>
  <c r="BJ298" i="21" s="1"/>
  <c r="DT298" i="21"/>
  <c r="FI317" i="21"/>
  <c r="DD317" i="21"/>
  <c r="EH388" i="21"/>
  <c r="EG388" i="21"/>
  <c r="BL71" i="21"/>
  <c r="BN71" i="21" s="1"/>
  <c r="BM71" i="21"/>
  <c r="FG338" i="21"/>
  <c r="DA338" i="21"/>
  <c r="BC373" i="21"/>
  <c r="CN373" i="21" s="1"/>
  <c r="EX167" i="21"/>
  <c r="AZ263" i="21"/>
  <c r="AU166" i="21"/>
  <c r="AR166" i="21"/>
  <c r="EH89" i="21"/>
  <c r="EG89" i="21"/>
  <c r="BC76" i="21"/>
  <c r="CN76" i="21" s="1"/>
  <c r="BC147" i="21"/>
  <c r="CN147" i="21" s="1"/>
  <c r="FJ58" i="21"/>
  <c r="CW58" i="21"/>
  <c r="DT218" i="21"/>
  <c r="BI218" i="21"/>
  <c r="BJ218" i="21" s="1"/>
  <c r="FJ116" i="21"/>
  <c r="CW116" i="21"/>
  <c r="CW10" i="21" s="1"/>
  <c r="CW11" i="21" s="1"/>
  <c r="BI175" i="21"/>
  <c r="BJ175" i="21" s="1"/>
  <c r="DT175" i="21"/>
  <c r="EH102" i="21"/>
  <c r="EG102" i="21"/>
  <c r="DT115" i="21"/>
  <c r="ED233" i="21"/>
  <c r="CR233" i="21" s="1"/>
  <c r="DM192" i="21"/>
  <c r="ET53" i="21"/>
  <c r="EU53" i="21" s="1"/>
  <c r="EV53" i="21" s="1"/>
  <c r="BJ157" i="21"/>
  <c r="AU217" i="21"/>
  <c r="AR217" i="21"/>
  <c r="BH330" i="21"/>
  <c r="AZ330" i="21"/>
  <c r="FJ120" i="21"/>
  <c r="DC120" i="21"/>
  <c r="FI187" i="21"/>
  <c r="DD187" i="21"/>
  <c r="DA296" i="21"/>
  <c r="FG296" i="21"/>
  <c r="EG86" i="21"/>
  <c r="EH86" i="21"/>
  <c r="CP10" i="21"/>
  <c r="CP11" i="21" s="1"/>
  <c r="EH409" i="21"/>
  <c r="EG409" i="21"/>
  <c r="EU51" i="21"/>
  <c r="EV51" i="21" s="1"/>
  <c r="CW339" i="21"/>
  <c r="FJ339" i="21"/>
  <c r="DM280" i="21"/>
  <c r="CK431" i="21"/>
  <c r="CP431" i="21" s="1"/>
  <c r="DM311" i="21"/>
  <c r="DP494" i="21"/>
  <c r="DO494" i="21"/>
  <c r="ED494" i="21"/>
  <c r="EU226" i="21"/>
  <c r="EV226" i="21" s="1"/>
  <c r="ET226" i="21"/>
  <c r="BJ393" i="21"/>
  <c r="DQ477" i="21"/>
  <c r="DR477" i="21" s="1"/>
  <c r="DS477" i="21" s="1"/>
  <c r="FJ278" i="21"/>
  <c r="DC278" i="21"/>
  <c r="EU343" i="21"/>
  <c r="EV343" i="21" s="1"/>
  <c r="ET343" i="21"/>
  <c r="FJ150" i="21"/>
  <c r="DC150" i="21"/>
  <c r="DM155" i="21"/>
  <c r="ER155" i="21"/>
  <c r="ES155" i="21"/>
  <c r="FI202" i="21"/>
  <c r="CX202" i="21"/>
  <c r="BF29" i="21"/>
  <c r="CK29" i="21"/>
  <c r="FG357" i="21"/>
  <c r="DA357" i="21"/>
  <c r="FG261" i="21"/>
  <c r="CU261" i="21"/>
  <c r="DC427" i="21"/>
  <c r="FJ427" i="21"/>
  <c r="ED282" i="21"/>
  <c r="CR282" i="21" s="1"/>
  <c r="DM78" i="21"/>
  <c r="BF390" i="21"/>
  <c r="CO390" i="21" s="1"/>
  <c r="CK390" i="21"/>
  <c r="CP390" i="21" s="1"/>
  <c r="EM496" i="21"/>
  <c r="EP496" i="21" s="1"/>
  <c r="EQ496" i="21" s="1"/>
  <c r="EU496" i="21"/>
  <c r="EV496" i="21" s="1"/>
  <c r="ET496" i="21"/>
  <c r="ET299" i="21"/>
  <c r="EU299" i="21" s="1"/>
  <c r="EV299" i="21" s="1"/>
  <c r="ET201" i="21"/>
  <c r="EU201" i="21" s="1"/>
  <c r="EV201" i="21" s="1"/>
  <c r="EX489" i="21"/>
  <c r="FJ236" i="21"/>
  <c r="DC236" i="21"/>
  <c r="BC422" i="21"/>
  <c r="CN422" i="21" s="1"/>
  <c r="EH438" i="21"/>
  <c r="EG438" i="21"/>
  <c r="FG248" i="21"/>
  <c r="CU248" i="21"/>
  <c r="CU351" i="21"/>
  <c r="FG351" i="21"/>
  <c r="FI426" i="21"/>
  <c r="CX426" i="21"/>
  <c r="FG260" i="21"/>
  <c r="CU260" i="21"/>
  <c r="FJ103" i="21"/>
  <c r="CW103" i="21"/>
  <c r="DT95" i="21"/>
  <c r="ES164" i="21"/>
  <c r="ER164" i="21"/>
  <c r="EW164" i="21" s="1"/>
  <c r="DM164" i="21"/>
  <c r="EY26" i="21"/>
  <c r="EG382" i="21"/>
  <c r="EH382" i="21"/>
  <c r="ET385" i="21"/>
  <c r="EU385" i="21" s="1"/>
  <c r="EV385" i="21" s="1"/>
  <c r="EU242" i="21"/>
  <c r="EV242" i="21" s="1"/>
  <c r="ET242" i="21"/>
  <c r="CK449" i="21"/>
  <c r="CP449" i="21" s="1"/>
  <c r="FG319" i="21"/>
  <c r="DA319" i="21"/>
  <c r="FI443" i="21"/>
  <c r="CX443" i="21"/>
  <c r="ED244" i="21"/>
  <c r="CR244" i="21" s="1"/>
  <c r="CW71" i="21"/>
  <c r="FJ71" i="21"/>
  <c r="CX447" i="21"/>
  <c r="FI447" i="21"/>
  <c r="BC134" i="21"/>
  <c r="CN134" i="21" s="1"/>
  <c r="ED326" i="21"/>
  <c r="CR326" i="21" s="1"/>
  <c r="FJ191" i="21"/>
  <c r="CW191" i="21"/>
  <c r="AR213" i="21"/>
  <c r="AU213" i="21"/>
  <c r="BM89" i="21"/>
  <c r="BO89" i="21" s="1"/>
  <c r="BL89" i="21"/>
  <c r="BN89" i="21" s="1"/>
  <c r="BC190" i="21"/>
  <c r="CN190" i="21" s="1"/>
  <c r="DD208" i="21"/>
  <c r="FI208" i="21"/>
  <c r="FJ74" i="21"/>
  <c r="CW74" i="21"/>
  <c r="EU187" i="21"/>
  <c r="EV187" i="21" s="1"/>
  <c r="ET187" i="21"/>
  <c r="CK212" i="21"/>
  <c r="CO12" i="21"/>
  <c r="ET19" i="21"/>
  <c r="EU19" i="21" s="1"/>
  <c r="EV19" i="21" s="1"/>
  <c r="EW19" i="21" s="1"/>
  <c r="EH302" i="21"/>
  <c r="EG302" i="21"/>
  <c r="DT201" i="21"/>
  <c r="BI201" i="21"/>
  <c r="CB192" i="21"/>
  <c r="CI192" i="21" s="1"/>
  <c r="CK192" i="21" s="1"/>
  <c r="CP192" i="21" s="1"/>
  <c r="ET45" i="21"/>
  <c r="EU45" i="21" s="1"/>
  <c r="EV45" i="21" s="1"/>
  <c r="CK51" i="21"/>
  <c r="BC112" i="21"/>
  <c r="CN112" i="21" s="1"/>
  <c r="ET173" i="21"/>
  <c r="EU173" i="21" s="1"/>
  <c r="EV173" i="21" s="1"/>
  <c r="EG330" i="21"/>
  <c r="EH330" i="21"/>
  <c r="EH333" i="21"/>
  <c r="EG333" i="21"/>
  <c r="BP87" i="21"/>
  <c r="EI87" i="21" s="1"/>
  <c r="FI120" i="21"/>
  <c r="DD120" i="21"/>
  <c r="FI246" i="21"/>
  <c r="DD246" i="21"/>
  <c r="CB86" i="21"/>
  <c r="CI86" i="21" s="1"/>
  <c r="CK86" i="21" s="1"/>
  <c r="CP86" i="21" s="1"/>
  <c r="CG4" i="21" s="1"/>
  <c r="CK381" i="21"/>
  <c r="CP381" i="21" s="1"/>
  <c r="BC364" i="21"/>
  <c r="CN364" i="21" s="1"/>
  <c r="FJ409" i="21"/>
  <c r="DC409" i="21"/>
  <c r="ED268" i="21"/>
  <c r="CR268" i="21" s="1"/>
  <c r="DP33" i="21"/>
  <c r="DO33" i="21"/>
  <c r="DQ33" i="21"/>
  <c r="CW82" i="21"/>
  <c r="FJ82" i="21"/>
  <c r="AZ178" i="21"/>
  <c r="DA384" i="21"/>
  <c r="FG384" i="21"/>
  <c r="ET449" i="21"/>
  <c r="EU449" i="21" s="1"/>
  <c r="EV449" i="21" s="1"/>
  <c r="BF226" i="21"/>
  <c r="CK226" i="21"/>
  <c r="BC254" i="21"/>
  <c r="CN254" i="21" s="1"/>
  <c r="DQ471" i="21"/>
  <c r="DR471" i="21" s="1"/>
  <c r="DS471" i="21" s="1"/>
  <c r="ET232" i="21"/>
  <c r="EU232" i="21"/>
  <c r="EV232" i="21" s="1"/>
  <c r="BC287" i="21"/>
  <c r="CN287" i="21" s="1"/>
  <c r="FG343" i="21"/>
  <c r="CU343" i="21"/>
  <c r="BJ434" i="21"/>
  <c r="CK173" i="21"/>
  <c r="CP173" i="21" s="1"/>
  <c r="CW279" i="21"/>
  <c r="FJ279" i="21"/>
  <c r="FJ377" i="21"/>
  <c r="DC377" i="21"/>
  <c r="CU442" i="21"/>
  <c r="FG442" i="21"/>
  <c r="DP216" i="21"/>
  <c r="DO216" i="21"/>
  <c r="DQ216" i="21" s="1"/>
  <c r="DR216" i="21" s="1"/>
  <c r="DS216" i="21" s="1"/>
  <c r="ED216" i="21"/>
  <c r="CW97" i="21"/>
  <c r="FJ97" i="21"/>
  <c r="CB202" i="21"/>
  <c r="CI202" i="21" s="1"/>
  <c r="CK202" i="21" s="1"/>
  <c r="CP202" i="21" s="1"/>
  <c r="CV430" i="21"/>
  <c r="FH430" i="21"/>
  <c r="BJ206" i="21"/>
  <c r="EU357" i="21"/>
  <c r="EV357" i="21" s="1"/>
  <c r="ET357" i="21"/>
  <c r="DA413" i="21"/>
  <c r="FG413" i="21"/>
  <c r="BC219" i="21"/>
  <c r="ED389" i="21"/>
  <c r="CR389" i="21" s="1"/>
  <c r="ED313" i="21"/>
  <c r="CR313" i="21" s="1"/>
  <c r="FI292" i="21"/>
  <c r="DD292" i="21"/>
  <c r="ET221" i="21"/>
  <c r="EU221" i="21" s="1"/>
  <c r="EV221" i="21" s="1"/>
  <c r="BJ423" i="21"/>
  <c r="DM378" i="21"/>
  <c r="EO37" i="21"/>
  <c r="AZ292" i="21"/>
  <c r="BH292" i="21"/>
  <c r="FJ361" i="21"/>
  <c r="DC361" i="21"/>
  <c r="ED482" i="21"/>
  <c r="DP482" i="21"/>
  <c r="DQ482" i="21"/>
  <c r="DO482" i="21"/>
  <c r="BH176" i="21"/>
  <c r="DB337" i="21"/>
  <c r="FH337" i="21"/>
  <c r="ET95" i="21"/>
  <c r="EU95" i="21" s="1"/>
  <c r="EV95" i="21" s="1"/>
  <c r="FI366" i="21"/>
  <c r="CX366" i="21"/>
  <c r="DN476" i="21"/>
  <c r="ES476" i="21"/>
  <c r="ER476" i="21"/>
  <c r="DM421" i="21"/>
  <c r="DM292" i="21"/>
  <c r="BI401" i="21"/>
  <c r="BJ401" i="21" s="1"/>
  <c r="DT401" i="21"/>
  <c r="ED327" i="21"/>
  <c r="CR327" i="21" s="1"/>
  <c r="EY95" i="21"/>
  <c r="EZ95" i="21" s="1"/>
  <c r="FG378" i="21"/>
  <c r="DA378" i="21"/>
  <c r="DD270" i="21"/>
  <c r="FI270" i="21"/>
  <c r="AY443" i="21"/>
  <c r="BH443" i="21"/>
  <c r="AZ443" i="21"/>
  <c r="EW468" i="21"/>
  <c r="EX468" i="21" s="1"/>
  <c r="BC259" i="21"/>
  <c r="CN259" i="21" s="1"/>
  <c r="DT93" i="21"/>
  <c r="CU422" i="21"/>
  <c r="FG422" i="21"/>
  <c r="FG135" i="21"/>
  <c r="CU135" i="21"/>
  <c r="FJ447" i="21"/>
  <c r="CW447" i="21"/>
  <c r="ET262" i="21"/>
  <c r="EU262" i="21" s="1"/>
  <c r="EV262" i="21" s="1"/>
  <c r="BC341" i="21"/>
  <c r="CN341" i="21" s="1"/>
  <c r="BC68" i="21"/>
  <c r="CN68" i="21" s="1"/>
  <c r="ED188" i="21"/>
  <c r="CR188" i="21" s="1"/>
  <c r="FI245" i="21"/>
  <c r="DD245" i="21"/>
  <c r="EZ34" i="21"/>
  <c r="FH60" i="21"/>
  <c r="CV60" i="21"/>
  <c r="AT169" i="21"/>
  <c r="DU169" i="21" s="1"/>
  <c r="DN169" i="21" s="1"/>
  <c r="DO169" i="21" s="1"/>
  <c r="AP170" i="21"/>
  <c r="ET253" i="21"/>
  <c r="EU253" i="21" s="1"/>
  <c r="EV253" i="21" s="1"/>
  <c r="CU240" i="21"/>
  <c r="FG240" i="21"/>
  <c r="CO10" i="21"/>
  <c r="CO11" i="21" s="1"/>
  <c r="DT189" i="21"/>
  <c r="BI189" i="21"/>
  <c r="BJ189" i="21" s="1"/>
  <c r="CW193" i="21"/>
  <c r="FJ193" i="21"/>
  <c r="FI192" i="21"/>
  <c r="CX192" i="21"/>
  <c r="DR159" i="21"/>
  <c r="BI159" i="21"/>
  <c r="BJ159" i="21" s="1"/>
  <c r="DT207" i="21"/>
  <c r="BI207" i="21"/>
  <c r="BJ207" i="21" s="1"/>
  <c r="DA173" i="21"/>
  <c r="FG173" i="21"/>
  <c r="CB330" i="21"/>
  <c r="CI330" i="21" s="1"/>
  <c r="CK330" i="21" s="1"/>
  <c r="CP330" i="21" s="1"/>
  <c r="EG100" i="21"/>
  <c r="EH100" i="21"/>
  <c r="CK293" i="21"/>
  <c r="CP293" i="21" s="1"/>
  <c r="BC320" i="21"/>
  <c r="CN320" i="21" s="1"/>
  <c r="DC297" i="21"/>
  <c r="FJ297" i="21"/>
  <c r="ED362" i="21"/>
  <c r="CR362" i="21" s="1"/>
  <c r="ET402" i="21"/>
  <c r="EU402" i="21" s="1"/>
  <c r="EV402" i="21" s="1"/>
  <c r="DT228" i="21"/>
  <c r="BI228" i="21"/>
  <c r="BJ228" i="21" s="1"/>
  <c r="FG366" i="21"/>
  <c r="CU366" i="21"/>
  <c r="FI437" i="21"/>
  <c r="DD437" i="21"/>
  <c r="DD431" i="21"/>
  <c r="FI431" i="21"/>
  <c r="CK362" i="21"/>
  <c r="CP362" i="21" s="1"/>
  <c r="FH372" i="21"/>
  <c r="CV372" i="21"/>
  <c r="BJ431" i="21"/>
  <c r="DA449" i="21"/>
  <c r="FG449" i="21"/>
  <c r="ED167" i="21"/>
  <c r="CR167" i="21" s="1"/>
  <c r="DO167" i="21"/>
  <c r="DP167" i="21"/>
  <c r="DQ167" i="21" s="1"/>
  <c r="DR167" i="21" s="1"/>
  <c r="DM227" i="21"/>
  <c r="ED211" i="21"/>
  <c r="CR211" i="21" s="1"/>
  <c r="CU232" i="21"/>
  <c r="FG232" i="21"/>
  <c r="DT169" i="21"/>
  <c r="BI169" i="21"/>
  <c r="BJ169" i="21" s="1"/>
  <c r="BJ238" i="21"/>
  <c r="ET442" i="21"/>
  <c r="EU442" i="21" s="1"/>
  <c r="EV442" i="21" s="1"/>
  <c r="ED191" i="21"/>
  <c r="CR191" i="21" s="1"/>
  <c r="BJ331" i="21"/>
  <c r="EL39" i="21"/>
  <c r="EK39" i="21" s="1"/>
  <c r="Y39" i="21"/>
  <c r="BC133" i="21"/>
  <c r="CN133" i="21" s="1"/>
  <c r="BJ283" i="21"/>
  <c r="ET333" i="21"/>
  <c r="EU333" i="21" s="1"/>
  <c r="EV333" i="21" s="1"/>
  <c r="EH380" i="21"/>
  <c r="EG380" i="21"/>
  <c r="ET413" i="21"/>
  <c r="EU413" i="21" s="1"/>
  <c r="EV413" i="21" s="1"/>
  <c r="BI346" i="21"/>
  <c r="BJ346" i="21" s="1"/>
  <c r="DT346" i="21"/>
  <c r="BC151" i="21"/>
  <c r="CN151" i="21" s="1"/>
  <c r="BJ438" i="21"/>
  <c r="EG345" i="21"/>
  <c r="EH345" i="21"/>
  <c r="BP38" i="21"/>
  <c r="EI38" i="21" s="1"/>
  <c r="BC315" i="21"/>
  <c r="CN315" i="21" s="1"/>
  <c r="BP126" i="21"/>
  <c r="EI126" i="21" s="1"/>
  <c r="EH126" i="21" s="1"/>
  <c r="AY316" i="21"/>
  <c r="BH316" i="21" s="1"/>
  <c r="DA201" i="21"/>
  <c r="FG201" i="21"/>
  <c r="DM278" i="21"/>
  <c r="DT449" i="21"/>
  <c r="BI449" i="21"/>
  <c r="BJ449" i="21" s="1"/>
  <c r="EX482" i="21"/>
  <c r="BC389" i="21"/>
  <c r="CN389" i="21" s="1"/>
  <c r="CK285" i="21"/>
  <c r="CP285" i="21" s="1"/>
  <c r="FJ286" i="21"/>
  <c r="DC286" i="21"/>
  <c r="EU75" i="21"/>
  <c r="EV75" i="21" s="1"/>
  <c r="ED182" i="21"/>
  <c r="CR182" i="21" s="1"/>
  <c r="ED446" i="21"/>
  <c r="CR446" i="21" s="1"/>
  <c r="FH199" i="21"/>
  <c r="CV199" i="21"/>
  <c r="DT406" i="21"/>
  <c r="BI406" i="21"/>
  <c r="BJ406" i="21" s="1"/>
  <c r="ET401" i="21"/>
  <c r="EU401" i="21" s="1"/>
  <c r="EV401" i="21" s="1"/>
  <c r="CV224" i="21"/>
  <c r="FH224" i="21"/>
  <c r="BC397" i="21"/>
  <c r="CN397" i="21" s="1"/>
  <c r="ED237" i="21"/>
  <c r="CR237" i="21" s="1"/>
  <c r="ET378" i="21"/>
  <c r="EU378" i="21" s="1"/>
  <c r="EV378" i="21" s="1"/>
  <c r="EH443" i="21"/>
  <c r="EG443" i="21"/>
  <c r="DP468" i="21"/>
  <c r="ED468" i="21"/>
  <c r="DO468" i="21"/>
  <c r="CW368" i="21"/>
  <c r="FJ368" i="21"/>
  <c r="EY93" i="21"/>
  <c r="EZ93" i="21" s="1"/>
  <c r="ET93" i="21"/>
  <c r="EU93" i="21" s="1"/>
  <c r="EV93" i="21" s="1"/>
  <c r="DM241" i="21"/>
  <c r="FH340" i="21"/>
  <c r="CV340" i="21"/>
  <c r="EG54" i="21"/>
  <c r="EH54" i="21"/>
  <c r="AV217" i="21"/>
  <c r="AW217" i="21" s="1"/>
  <c r="BC217" i="21"/>
  <c r="CK397" i="21"/>
  <c r="CP397" i="21" s="1"/>
  <c r="CX71" i="21"/>
  <c r="FI71" i="21"/>
  <c r="EG374" i="21"/>
  <c r="EH374" i="21"/>
  <c r="BH440" i="21"/>
  <c r="BJ440" i="21" s="1"/>
  <c r="AZ440" i="21"/>
  <c r="CK382" i="21"/>
  <c r="CP382" i="21" s="1"/>
  <c r="BC355" i="21"/>
  <c r="CN355" i="21" s="1"/>
  <c r="EG61" i="21"/>
  <c r="EH61" i="21"/>
  <c r="CB263" i="21"/>
  <c r="CI263" i="21" s="1"/>
  <c r="CK263" i="21" s="1"/>
  <c r="CP263" i="21" s="1"/>
  <c r="EU285" i="21"/>
  <c r="EV285" i="21" s="1"/>
  <c r="ET285" i="21"/>
  <c r="CK319" i="21"/>
  <c r="CP319" i="21" s="1"/>
  <c r="BO48" i="21"/>
  <c r="BP48" i="21" s="1"/>
  <c r="EI48" i="21" s="1"/>
  <c r="AR104" i="21"/>
  <c r="AU104" i="21"/>
  <c r="BF170" i="21"/>
  <c r="CO170" i="21" s="1"/>
  <c r="CO17" i="21" s="1"/>
  <c r="CK170" i="21"/>
  <c r="CP170" i="21" s="1"/>
  <c r="EU240" i="21"/>
  <c r="EV240" i="21" s="1"/>
  <c r="ET240" i="21"/>
  <c r="DT73" i="21"/>
  <c r="FG165" i="21"/>
  <c r="CU165" i="21"/>
  <c r="CM14" i="21"/>
  <c r="CM15" i="21" s="1"/>
  <c r="CM16" i="21"/>
  <c r="CM17" i="21"/>
  <c r="EZ148" i="21"/>
  <c r="ET179" i="21"/>
  <c r="EU179" i="21" s="1"/>
  <c r="EV179" i="21" s="1"/>
  <c r="FG175" i="21"/>
  <c r="CU175" i="21"/>
  <c r="EU228" i="21"/>
  <c r="EV228" i="21" s="1"/>
  <c r="ET228" i="21"/>
  <c r="BP21" i="21"/>
  <c r="EI21" i="21" s="1"/>
  <c r="ED197" i="21"/>
  <c r="CR197" i="21" s="1"/>
  <c r="CW137" i="21"/>
  <c r="FJ137" i="21"/>
  <c r="BC286" i="21"/>
  <c r="CN286" i="21" s="1"/>
  <c r="FI346" i="21"/>
  <c r="DD346" i="21"/>
  <c r="EY35" i="21"/>
  <c r="EZ35" i="21" s="1"/>
  <c r="DC169" i="21"/>
  <c r="FJ169" i="21"/>
  <c r="CB265" i="21"/>
  <c r="CI265" i="21" s="1"/>
  <c r="CK265" i="21" s="1"/>
  <c r="CP265" i="21" s="1"/>
  <c r="ED261" i="21"/>
  <c r="CR261" i="21" s="1"/>
  <c r="BC192" i="21"/>
  <c r="CN192" i="21" s="1"/>
  <c r="AV192" i="21"/>
  <c r="AW192" i="21" s="1"/>
  <c r="FH269" i="21"/>
  <c r="DB269" i="21"/>
  <c r="BC381" i="21"/>
  <c r="CN381" i="21" s="1"/>
  <c r="DM68" i="21"/>
  <c r="FG186" i="21"/>
  <c r="FP57" i="21" s="1"/>
  <c r="DA186" i="21"/>
  <c r="EH367" i="21"/>
  <c r="EG367" i="21"/>
  <c r="BM82" i="21"/>
  <c r="BL82" i="21"/>
  <c r="BN82" i="21" s="1"/>
  <c r="ET257" i="21"/>
  <c r="EU257" i="21" s="1"/>
  <c r="EV257" i="21" s="1"/>
  <c r="CB307" i="21"/>
  <c r="CI307" i="21" s="1"/>
  <c r="CK307" i="21" s="1"/>
  <c r="CP307" i="21" s="1"/>
  <c r="DT208" i="21"/>
  <c r="BI208" i="21"/>
  <c r="BJ208" i="21" s="1"/>
  <c r="FG293" i="21"/>
  <c r="DA293" i="21"/>
  <c r="CB419" i="21"/>
  <c r="CI419" i="21" s="1"/>
  <c r="CK419" i="21" s="1"/>
  <c r="CP419" i="21" s="1"/>
  <c r="BH415" i="21"/>
  <c r="BJ415" i="21" s="1"/>
  <c r="AY415" i="21"/>
  <c r="AZ415" i="21"/>
  <c r="FL344" i="21"/>
  <c r="CZ344" i="21"/>
  <c r="BJ416" i="21"/>
  <c r="EG448" i="21"/>
  <c r="ED180" i="21"/>
  <c r="CR180" i="21" s="1"/>
  <c r="DM377" i="21"/>
  <c r="BJ192" i="21"/>
  <c r="BJ322" i="21"/>
  <c r="EG295" i="21"/>
  <c r="ED402" i="21"/>
  <c r="CR402" i="21" s="1"/>
  <c r="BJ439" i="21"/>
  <c r="DB253" i="21"/>
  <c r="FH253" i="21"/>
  <c r="EY122" i="21"/>
  <c r="EZ122" i="21" s="1"/>
  <c r="ET122" i="21"/>
  <c r="EU122" i="21" s="1"/>
  <c r="EV122" i="21" s="1"/>
  <c r="BC215" i="21"/>
  <c r="AV215" i="21"/>
  <c r="AW215" i="21" s="1"/>
  <c r="CK351" i="21"/>
  <c r="CP351" i="21" s="1"/>
  <c r="ET196" i="21"/>
  <c r="EU196" i="21" s="1"/>
  <c r="EV196" i="21" s="1"/>
  <c r="CB417" i="21"/>
  <c r="CI417" i="21" s="1"/>
  <c r="CK417" i="21" s="1"/>
  <c r="CP417" i="21" s="1"/>
  <c r="BH283" i="21"/>
  <c r="AZ283" i="21"/>
  <c r="AY283" i="21"/>
  <c r="CB316" i="21"/>
  <c r="CI316" i="21" s="1"/>
  <c r="CK316" i="21" s="1"/>
  <c r="CP316" i="21" s="1"/>
  <c r="FG356" i="21"/>
  <c r="CU356" i="21"/>
  <c r="BH222" i="21"/>
  <c r="BJ222" i="21" s="1"/>
  <c r="BL83" i="21"/>
  <c r="BN83" i="21" s="1"/>
  <c r="BM83" i="21"/>
  <c r="ED177" i="21"/>
  <c r="CR177" i="21" s="1"/>
  <c r="ET235" i="21"/>
  <c r="EU235" i="21" s="1"/>
  <c r="EV235" i="21" s="1"/>
  <c r="FG265" i="21"/>
  <c r="DA265" i="21"/>
  <c r="AZ284" i="21"/>
  <c r="AY284" i="21"/>
  <c r="BH284" i="21" s="1"/>
  <c r="BJ284" i="21" s="1"/>
  <c r="ED372" i="21"/>
  <c r="CR372" i="21" s="1"/>
  <c r="BP25" i="21"/>
  <c r="EI25" i="21" s="1"/>
  <c r="ED355" i="21"/>
  <c r="CR355" i="21" s="1"/>
  <c r="BH257" i="21"/>
  <c r="BJ257" i="21" s="1"/>
  <c r="BH403" i="21"/>
  <c r="BJ403" i="21" s="1"/>
  <c r="AZ403" i="21"/>
  <c r="ET291" i="21"/>
  <c r="EU291" i="21" s="1"/>
  <c r="EV291" i="21" s="1"/>
  <c r="AZ448" i="21"/>
  <c r="BJ441" i="21"/>
  <c r="DM248" i="21"/>
  <c r="AZ402" i="21"/>
  <c r="CU423" i="21"/>
  <c r="FG423" i="21"/>
  <c r="EG405" i="21"/>
  <c r="EH405" i="21"/>
  <c r="EU155" i="21"/>
  <c r="EV155" i="21" s="1"/>
  <c r="EW155" i="21" s="1"/>
  <c r="FI201" i="21"/>
  <c r="DD201" i="21"/>
  <c r="BI344" i="21"/>
  <c r="BJ344" i="21" s="1"/>
  <c r="DT344" i="21"/>
  <c r="AZ221" i="21"/>
  <c r="BC470" i="21"/>
  <c r="DU470" i="21"/>
  <c r="EM470" i="21" s="1"/>
  <c r="EP470" i="21" s="1"/>
  <c r="EQ470" i="21" s="1"/>
  <c r="AZ439" i="21"/>
  <c r="ED480" i="21"/>
  <c r="DP480" i="21"/>
  <c r="DO480" i="21"/>
  <c r="CB374" i="21"/>
  <c r="CI374" i="21" s="1"/>
  <c r="CK374" i="21" s="1"/>
  <c r="CP374" i="21" s="1"/>
  <c r="DN472" i="21"/>
  <c r="ES472" i="21"/>
  <c r="ER472" i="21"/>
  <c r="FH412" i="21"/>
  <c r="DB412" i="21"/>
  <c r="CU285" i="21"/>
  <c r="FG285" i="21"/>
  <c r="FJ89" i="21"/>
  <c r="CW89" i="21"/>
  <c r="BC208" i="21"/>
  <c r="CN208" i="21" s="1"/>
  <c r="DM103" i="21"/>
  <c r="DN168" i="21"/>
  <c r="DP168" i="21" s="1"/>
  <c r="EM168" i="21"/>
  <c r="EP168" i="21" s="1"/>
  <c r="EQ168" i="21" s="1"/>
  <c r="BI253" i="21"/>
  <c r="BJ253" i="21" s="1"/>
  <c r="DT253" i="21"/>
  <c r="CV240" i="21"/>
  <c r="FH240" i="21"/>
  <c r="CO16" i="21"/>
  <c r="CX112" i="21"/>
  <c r="FI112" i="21"/>
  <c r="CS13" i="21"/>
  <c r="CS10" i="21"/>
  <c r="CS11" i="21" s="1"/>
  <c r="CS12" i="21"/>
  <c r="CU179" i="21"/>
  <c r="FG179" i="21"/>
  <c r="DM152" i="21"/>
  <c r="ED286" i="21"/>
  <c r="CR286" i="21" s="1"/>
  <c r="CW235" i="21"/>
  <c r="FJ235" i="21"/>
  <c r="DC295" i="21"/>
  <c r="FJ295" i="21"/>
  <c r="DO37" i="21"/>
  <c r="DQ37" i="21"/>
  <c r="DP37" i="21"/>
  <c r="BC73" i="21"/>
  <c r="CN73" i="21" s="1"/>
  <c r="CU402" i="21"/>
  <c r="FG402" i="21"/>
  <c r="EH431" i="21"/>
  <c r="EG431" i="21"/>
  <c r="DA257" i="21"/>
  <c r="FG257" i="21"/>
  <c r="FG310" i="21"/>
  <c r="DA310" i="21"/>
  <c r="AY307" i="21"/>
  <c r="AZ307" i="21"/>
  <c r="BH307" i="21"/>
  <c r="ET397" i="21"/>
  <c r="EU397" i="21" s="1"/>
  <c r="EV397" i="21" s="1"/>
  <c r="CW349" i="21"/>
  <c r="FJ349" i="21"/>
  <c r="BM63" i="21"/>
  <c r="BL63" i="21"/>
  <c r="BN63" i="21" s="1"/>
  <c r="BI494" i="21"/>
  <c r="BJ494" i="21" s="1"/>
  <c r="DT494" i="21"/>
  <c r="BC266" i="21"/>
  <c r="CN266" i="21" s="1"/>
  <c r="BC193" i="21"/>
  <c r="CN193" i="21" s="1"/>
  <c r="AV193" i="21"/>
  <c r="AW193" i="21" s="1"/>
  <c r="ED496" i="21"/>
  <c r="ED171" i="21"/>
  <c r="CR171" i="21" s="1"/>
  <c r="EG403" i="21"/>
  <c r="FG196" i="21"/>
  <c r="CU196" i="21"/>
  <c r="ET31" i="21"/>
  <c r="EY31" i="21"/>
  <c r="EZ31" i="21" s="1"/>
  <c r="EU31" i="21"/>
  <c r="EV31" i="21" s="1"/>
  <c r="FI335" i="21"/>
  <c r="CX335" i="21"/>
  <c r="DT100" i="21"/>
  <c r="FG99" i="21"/>
  <c r="CU99" i="21"/>
  <c r="FI418" i="21"/>
  <c r="DD418" i="21"/>
  <c r="FI316" i="21"/>
  <c r="DD316" i="21"/>
  <c r="DM201" i="21"/>
  <c r="BC488" i="21"/>
  <c r="DU488" i="21"/>
  <c r="EM488" i="21" s="1"/>
  <c r="EP488" i="21" s="1"/>
  <c r="EQ488" i="21" s="1"/>
  <c r="AV194" i="21"/>
  <c r="AW194" i="21" s="1"/>
  <c r="BC194" i="21"/>
  <c r="CN194" i="21" s="1"/>
  <c r="AT195" i="21"/>
  <c r="DU195" i="21" s="1"/>
  <c r="AP196" i="21"/>
  <c r="BC67" i="21"/>
  <c r="CN67" i="21" s="1"/>
  <c r="ED319" i="21"/>
  <c r="CR319" i="21" s="1"/>
  <c r="DP495" i="21"/>
  <c r="DO495" i="21"/>
  <c r="DQ495" i="21" s="1"/>
  <c r="ED495" i="21"/>
  <c r="DM340" i="21"/>
  <c r="ED178" i="21"/>
  <c r="CR178" i="21" s="1"/>
  <c r="BC127" i="21"/>
  <c r="CN127" i="21" s="1"/>
  <c r="CW402" i="21"/>
  <c r="FJ402" i="21"/>
  <c r="BC493" i="21"/>
  <c r="DU493" i="21"/>
  <c r="EM493" i="21" s="1"/>
  <c r="EP493" i="21" s="1"/>
  <c r="EQ493" i="21" s="1"/>
  <c r="DD258" i="21"/>
  <c r="FI258" i="21"/>
  <c r="BC391" i="21"/>
  <c r="CN391" i="21" s="1"/>
  <c r="CV87" i="21"/>
  <c r="FH87" i="21"/>
  <c r="CW54" i="21"/>
  <c r="FJ54" i="21"/>
  <c r="AV153" i="21"/>
  <c r="AW153" i="21" s="1"/>
  <c r="BC153" i="21"/>
  <c r="DA262" i="21"/>
  <c r="FG262" i="21"/>
  <c r="BC301" i="21"/>
  <c r="CN301" i="21" s="1"/>
  <c r="CW61" i="21"/>
  <c r="FJ61" i="21"/>
  <c r="EH263" i="21"/>
  <c r="EG263" i="21"/>
  <c r="CK187" i="21"/>
  <c r="CP187" i="21" s="1"/>
  <c r="BI316" i="21"/>
  <c r="DT316" i="21"/>
  <c r="DT89" i="21"/>
  <c r="ET170" i="21"/>
  <c r="EU170" i="21" s="1"/>
  <c r="EV170" i="21" s="1"/>
  <c r="EY73" i="21"/>
  <c r="EZ73" i="21" s="1"/>
  <c r="ET73" i="21"/>
  <c r="EU73" i="21" s="1"/>
  <c r="EV73" i="21" s="1"/>
  <c r="ET165" i="21"/>
  <c r="EU165" i="21" s="1"/>
  <c r="EV165" i="21" s="1"/>
  <c r="CK232" i="21"/>
  <c r="CP232" i="21" s="1"/>
  <c r="DM242" i="21"/>
  <c r="ET175" i="21"/>
  <c r="EU175" i="21" s="1"/>
  <c r="EV175" i="21" s="1"/>
  <c r="EX153" i="21"/>
  <c r="DS153" i="21" s="1"/>
  <c r="DT212" i="21"/>
  <c r="BI212" i="21"/>
  <c r="BJ212" i="21" s="1"/>
  <c r="BC244" i="21"/>
  <c r="CN244" i="21" s="1"/>
  <c r="CK174" i="21"/>
  <c r="CP174" i="21" s="1"/>
  <c r="CK346" i="21"/>
  <c r="CP346" i="21" s="1"/>
  <c r="EG265" i="21"/>
  <c r="EH265" i="21"/>
  <c r="ET303" i="21"/>
  <c r="EU303" i="21" s="1"/>
  <c r="EV303" i="21" s="1"/>
  <c r="DP34" i="21"/>
  <c r="DO34" i="21"/>
  <c r="DQ34" i="21" s="1"/>
  <c r="FJ190" i="21"/>
  <c r="CW190" i="21"/>
  <c r="FI364" i="21"/>
  <c r="CX364" i="21"/>
  <c r="ET366" i="21"/>
  <c r="EU366" i="21" s="1"/>
  <c r="EV366" i="21" s="1"/>
  <c r="DC437" i="21"/>
  <c r="FJ437" i="21"/>
  <c r="FI448" i="21"/>
  <c r="DD448" i="21"/>
  <c r="EH82" i="21"/>
  <c r="EG82" i="21"/>
  <c r="ET310" i="21"/>
  <c r="EU310" i="21" s="1"/>
  <c r="EV310" i="21" s="1"/>
  <c r="FG397" i="21"/>
  <c r="DA397" i="21"/>
  <c r="ET446" i="21"/>
  <c r="EU446" i="21" s="1"/>
  <c r="EV446" i="21" s="1"/>
  <c r="EH63" i="21"/>
  <c r="EG63" i="21"/>
  <c r="DA150" i="21"/>
  <c r="FG150" i="21"/>
  <c r="BC427" i="21"/>
  <c r="CN427" i="21" s="1"/>
  <c r="ED214" i="21"/>
  <c r="DP214" i="21"/>
  <c r="DO214" i="21"/>
  <c r="DT299" i="21"/>
  <c r="BI299" i="21"/>
  <c r="BJ299" i="21" s="1"/>
  <c r="FJ329" i="21"/>
  <c r="CW329" i="21"/>
  <c r="DC253" i="21"/>
  <c r="FJ253" i="21"/>
  <c r="DM266" i="21"/>
  <c r="DR474" i="21"/>
  <c r="BC223" i="21"/>
  <c r="CN223" i="21" s="1"/>
  <c r="AY447" i="21"/>
  <c r="AZ447" i="21" s="1"/>
  <c r="ET305" i="21"/>
  <c r="EU305" i="21" s="1"/>
  <c r="EV305" i="21" s="1"/>
  <c r="FG333" i="21"/>
  <c r="CU333" i="21"/>
  <c r="FJ290" i="21"/>
  <c r="CW290" i="21"/>
  <c r="EH196" i="21"/>
  <c r="BC401" i="21"/>
  <c r="CN401" i="21" s="1"/>
  <c r="ED275" i="21"/>
  <c r="CR275" i="21" s="1"/>
  <c r="EH417" i="21"/>
  <c r="EG417" i="21"/>
  <c r="BC285" i="21"/>
  <c r="CN285" i="21" s="1"/>
  <c r="CB345" i="21"/>
  <c r="CI345" i="21" s="1"/>
  <c r="CK345" i="21" s="1"/>
  <c r="CP345" i="21" s="1"/>
  <c r="DC412" i="21"/>
  <c r="FJ412" i="21"/>
  <c r="EG316" i="21"/>
  <c r="EH316" i="21"/>
  <c r="CM8" i="21"/>
  <c r="FG235" i="21"/>
  <c r="CU235" i="21"/>
  <c r="ED264" i="21"/>
  <c r="CR264" i="21" s="1"/>
  <c r="DN194" i="21"/>
  <c r="FI284" i="21"/>
  <c r="DD284" i="21"/>
  <c r="FG103" i="21"/>
  <c r="CU103" i="21"/>
  <c r="BC246" i="21"/>
  <c r="CN246" i="21" s="1"/>
  <c r="CK231" i="21"/>
  <c r="CP231" i="21" s="1"/>
  <c r="BC360" i="21"/>
  <c r="CN360" i="21" s="1"/>
  <c r="BC353" i="21"/>
  <c r="CN353" i="21" s="1"/>
  <c r="ET423" i="21"/>
  <c r="EU423" i="21" s="1"/>
  <c r="EV423" i="21" s="1"/>
  <c r="FH264" i="21"/>
  <c r="DB264" i="21"/>
  <c r="BC321" i="21"/>
  <c r="CN321" i="21" s="1"/>
  <c r="ET155" i="21"/>
  <c r="CB443" i="21"/>
  <c r="CI443" i="21" s="1"/>
  <c r="CK443" i="21" s="1"/>
  <c r="CP443" i="21" s="1"/>
  <c r="EU307" i="21"/>
  <c r="EV307" i="21" s="1"/>
  <c r="ET307" i="21"/>
  <c r="DM393" i="21"/>
  <c r="CX374" i="21"/>
  <c r="FI374" i="21"/>
  <c r="ED357" i="21"/>
  <c r="CR357" i="21" s="1"/>
  <c r="DM281" i="21"/>
  <c r="CK440" i="21"/>
  <c r="CP440" i="21" s="1"/>
  <c r="FG148" i="21"/>
  <c r="DA148" i="21"/>
  <c r="AU169" i="21"/>
  <c r="AR169" i="21"/>
  <c r="EY51" i="21"/>
  <c r="EZ51" i="21" s="1"/>
  <c r="EU164" i="21"/>
  <c r="EV164" i="21" s="1"/>
  <c r="ET164" i="21"/>
  <c r="EM164" i="21"/>
  <c r="EP164" i="21" s="1"/>
  <c r="EQ164" i="21" s="1"/>
  <c r="DM253" i="21"/>
  <c r="BC183" i="21"/>
  <c r="CN183" i="21" s="1"/>
  <c r="FI66" i="21"/>
  <c r="CX66" i="21"/>
  <c r="EG72" i="21"/>
  <c r="EH72" i="21"/>
  <c r="FG170" i="21"/>
  <c r="CU170" i="21"/>
  <c r="ED218" i="21"/>
  <c r="BL75" i="21"/>
  <c r="BN75" i="21" s="1"/>
  <c r="BM75" i="21"/>
  <c r="EW153" i="21"/>
  <c r="DM138" i="21"/>
  <c r="BP69" i="21"/>
  <c r="EI69" i="21" s="1"/>
  <c r="FJ282" i="21"/>
  <c r="DC282" i="21"/>
  <c r="FH58" i="21"/>
  <c r="CV58" i="21"/>
  <c r="BC144" i="21"/>
  <c r="CN144" i="21" s="1"/>
  <c r="CU303" i="21"/>
  <c r="FG303" i="21"/>
  <c r="EG359" i="21"/>
  <c r="EH359" i="21"/>
  <c r="ET186" i="21"/>
  <c r="EU186" i="21" s="1"/>
  <c r="EV186" i="21" s="1"/>
  <c r="CB367" i="21"/>
  <c r="CI367" i="21" s="1"/>
  <c r="CK367" i="21" s="1"/>
  <c r="CP367" i="21" s="1"/>
  <c r="DM448" i="21"/>
  <c r="CX82" i="21"/>
  <c r="FI82" i="21"/>
  <c r="EG353" i="21"/>
  <c r="CU446" i="21"/>
  <c r="FG446" i="21"/>
  <c r="CK34" i="21"/>
  <c r="ET208" i="21"/>
  <c r="EU208" i="21"/>
  <c r="EV208" i="21" s="1"/>
  <c r="ET293" i="21"/>
  <c r="EU293" i="21" s="1"/>
  <c r="EV293" i="21" s="1"/>
  <c r="EG415" i="21"/>
  <c r="EH415" i="21"/>
  <c r="BP49" i="21"/>
  <c r="EI49" i="21" s="1"/>
  <c r="FH150" i="21"/>
  <c r="DB150" i="21"/>
  <c r="FL290" i="21"/>
  <c r="CZ290" i="21"/>
  <c r="DN465" i="21"/>
  <c r="ER465" i="21"/>
  <c r="ES465" i="21"/>
  <c r="DT58" i="21"/>
  <c r="DT383" i="21"/>
  <c r="BI383" i="21"/>
  <c r="EM217" i="21"/>
  <c r="EP217" i="21" s="1"/>
  <c r="EQ217" i="21" s="1"/>
  <c r="DM277" i="21"/>
  <c r="FH333" i="21"/>
  <c r="CV333" i="21"/>
  <c r="EZ135" i="21"/>
  <c r="FG305" i="21"/>
  <c r="DA305" i="21"/>
  <c r="BC290" i="21"/>
  <c r="CN290" i="21" s="1"/>
  <c r="CB391" i="21"/>
  <c r="CI391" i="21" s="1"/>
  <c r="CK391" i="21" s="1"/>
  <c r="CP391" i="21" s="1"/>
  <c r="EW465" i="21"/>
  <c r="DT122" i="21"/>
  <c r="BH281" i="21"/>
  <c r="CK424" i="21"/>
  <c r="CP424" i="21" s="1"/>
  <c r="BC86" i="21"/>
  <c r="CN86" i="21" s="1"/>
  <c r="BJ323" i="21"/>
  <c r="BC425" i="21"/>
  <c r="CN425" i="21" s="1"/>
  <c r="DM436" i="21"/>
  <c r="ET356" i="21"/>
  <c r="EU356" i="21" s="1"/>
  <c r="EV356" i="21" s="1"/>
  <c r="EU406" i="21"/>
  <c r="EV406" i="21" s="1"/>
  <c r="EH83" i="21"/>
  <c r="EG83" i="21"/>
  <c r="BC62" i="21"/>
  <c r="CD3" i="21"/>
  <c r="EH284" i="21"/>
  <c r="EG284" i="21"/>
  <c r="DM385" i="21"/>
  <c r="BC227" i="21"/>
  <c r="CN227" i="21" s="1"/>
  <c r="CB442" i="21"/>
  <c r="CI442" i="21" s="1"/>
  <c r="CK442" i="21" s="1"/>
  <c r="CP442" i="21" s="1"/>
  <c r="DT185" i="21"/>
  <c r="BI185" i="21"/>
  <c r="BJ185" i="21" s="1"/>
  <c r="FI403" i="21"/>
  <c r="DD403" i="21"/>
  <c r="BC410" i="21"/>
  <c r="CN410" i="21" s="1"/>
  <c r="CK152" i="21"/>
  <c r="CP152" i="21" s="1"/>
  <c r="BO106" i="21"/>
  <c r="BP106" i="21" s="1"/>
  <c r="EI106" i="21" s="1"/>
  <c r="EH106" i="21" s="1"/>
  <c r="ED351" i="21"/>
  <c r="CR351" i="21" s="1"/>
  <c r="AP111" i="21"/>
  <c r="AT110" i="21"/>
  <c r="DU110" i="21" s="1"/>
  <c r="CB405" i="21"/>
  <c r="CI405" i="21" s="1"/>
  <c r="CK405" i="21" s="1"/>
  <c r="CP405" i="21" s="1"/>
  <c r="BF49" i="21"/>
  <c r="CK49" i="21"/>
  <c r="ET344" i="21"/>
  <c r="EU344" i="21" s="1"/>
  <c r="EV344" i="21" s="1"/>
  <c r="ED186" i="21"/>
  <c r="CR186" i="21" s="1"/>
  <c r="CU307" i="21"/>
  <c r="FG307" i="21"/>
  <c r="CX54" i="21"/>
  <c r="CX6" i="21" s="1"/>
  <c r="CX7" i="21" s="1"/>
  <c r="FI54" i="21"/>
  <c r="BJ281" i="21"/>
  <c r="EX480" i="21"/>
  <c r="BJ397" i="21"/>
  <c r="EH440" i="21"/>
  <c r="EG440" i="21"/>
  <c r="CK341" i="21"/>
  <c r="CP341" i="21" s="1"/>
  <c r="FI75" i="21"/>
  <c r="CX75" i="21"/>
  <c r="DM236" i="21"/>
  <c r="EG410" i="21"/>
  <c r="EH410" i="21"/>
  <c r="FJ271" i="21"/>
  <c r="DC271" i="21"/>
  <c r="BI339" i="21"/>
  <c r="BJ339" i="21" s="1"/>
  <c r="DT339" i="21"/>
  <c r="FJ185" i="21"/>
  <c r="CW185" i="21"/>
  <c r="BM76" i="21"/>
  <c r="BL76" i="21"/>
  <c r="BN76" i="21" s="1"/>
  <c r="BE99" i="21"/>
  <c r="BF99" i="21" s="1"/>
  <c r="CO99" i="21" s="1"/>
  <c r="AZ99" i="21"/>
  <c r="DM243" i="21"/>
  <c r="EH66" i="21"/>
  <c r="EG66" i="21"/>
  <c r="BO135" i="21"/>
  <c r="EH75" i="21"/>
  <c r="EG75" i="21"/>
  <c r="DR155" i="21"/>
  <c r="BI155" i="21"/>
  <c r="BJ155" i="21" s="1"/>
  <c r="DT288" i="21"/>
  <c r="BI288" i="21"/>
  <c r="CW303" i="21"/>
  <c r="FJ303" i="21"/>
  <c r="EY152" i="21"/>
  <c r="EZ152" i="21" s="1"/>
  <c r="EZ26" i="21"/>
  <c r="EH287" i="21"/>
  <c r="EG287" i="21"/>
  <c r="CW354" i="21"/>
  <c r="FJ354" i="21"/>
  <c r="ET212" i="21"/>
  <c r="EU212" i="21" s="1"/>
  <c r="EV212" i="21" s="1"/>
  <c r="EW212" i="21" s="1"/>
  <c r="BO29" i="21"/>
  <c r="CW410" i="21"/>
  <c r="FJ410" i="21"/>
  <c r="DO32" i="21"/>
  <c r="DQ32" i="21" s="1"/>
  <c r="DP32" i="21"/>
  <c r="EH307" i="21"/>
  <c r="EG307" i="21"/>
  <c r="ED487" i="21"/>
  <c r="DP487" i="21"/>
  <c r="DO487" i="21"/>
  <c r="DQ487" i="21" s="1"/>
  <c r="CW350" i="21"/>
  <c r="FJ350" i="21"/>
  <c r="FJ317" i="21"/>
  <c r="DC317" i="21"/>
  <c r="ET376" i="21"/>
  <c r="EU376" i="21" s="1"/>
  <c r="EV376" i="21" s="1"/>
  <c r="CB415" i="21"/>
  <c r="CI415" i="21" s="1"/>
  <c r="CK415" i="21" s="1"/>
  <c r="CP415" i="21" s="1"/>
  <c r="ED173" i="21"/>
  <c r="CR173" i="21" s="1"/>
  <c r="FH131" i="21"/>
  <c r="CV131" i="21"/>
  <c r="EG329" i="21"/>
  <c r="EH329" i="21"/>
  <c r="FG435" i="21"/>
  <c r="CU435" i="21"/>
  <c r="ED484" i="21"/>
  <c r="DP484" i="21"/>
  <c r="DO484" i="21"/>
  <c r="EU40" i="21"/>
  <c r="EV40" i="21" s="1"/>
  <c r="ET40" i="21"/>
  <c r="CU205" i="21"/>
  <c r="FG205" i="21"/>
  <c r="FJ80" i="21"/>
  <c r="CW80" i="21"/>
  <c r="DM148" i="21"/>
  <c r="EG396" i="21"/>
  <c r="EH396" i="21"/>
  <c r="DQ25" i="21"/>
  <c r="FH138" i="21"/>
  <c r="CV138" i="21"/>
  <c r="EU180" i="21"/>
  <c r="EV180" i="21" s="1"/>
  <c r="ET180" i="21"/>
  <c r="ED412" i="21"/>
  <c r="CR412" i="21" s="1"/>
  <c r="BC181" i="21"/>
  <c r="CN181" i="21" s="1"/>
  <c r="DM338" i="21"/>
  <c r="FJ321" i="21"/>
  <c r="DC321" i="21"/>
  <c r="FI391" i="21"/>
  <c r="CX391" i="21"/>
  <c r="CW70" i="21"/>
  <c r="FJ70" i="21"/>
  <c r="EH325" i="21"/>
  <c r="EG325" i="21"/>
  <c r="DM94" i="21"/>
  <c r="BO70" i="21"/>
  <c r="FI281" i="21"/>
  <c r="CX281" i="21"/>
  <c r="DB390" i="21"/>
  <c r="FH390" i="21"/>
  <c r="EU117" i="21"/>
  <c r="EV117" i="21" s="1"/>
  <c r="ET117" i="21"/>
  <c r="EZ117" i="21"/>
  <c r="FH308" i="21"/>
  <c r="CV308" i="21"/>
  <c r="DM342" i="21"/>
  <c r="FJ399" i="21"/>
  <c r="CW399" i="21"/>
  <c r="DP40" i="21"/>
  <c r="DO40" i="21"/>
  <c r="DQ40" i="21" s="1"/>
  <c r="EH442" i="21"/>
  <c r="EG442" i="21"/>
  <c r="BC311" i="21"/>
  <c r="CN311" i="21" s="1"/>
  <c r="BJ444" i="21"/>
  <c r="FJ403" i="21"/>
  <c r="DC403" i="21"/>
  <c r="DM354" i="21"/>
  <c r="CW446" i="21"/>
  <c r="FJ446" i="21"/>
  <c r="ED229" i="21"/>
  <c r="AY263" i="21"/>
  <c r="BH263" i="21" s="1"/>
  <c r="BJ263" i="21" s="1"/>
  <c r="FG272" i="21"/>
  <c r="CU272" i="21"/>
  <c r="CS9" i="21"/>
  <c r="AZ242" i="21"/>
  <c r="BH405" i="21"/>
  <c r="AY405" i="21"/>
  <c r="AZ405" i="21"/>
  <c r="EY49" i="21"/>
  <c r="EY97" i="21"/>
  <c r="EZ97" i="21"/>
  <c r="EH447" i="21"/>
  <c r="AY366" i="21"/>
  <c r="BH366" i="21" s="1"/>
  <c r="BJ366" i="21" s="1"/>
  <c r="DM53" i="21"/>
  <c r="ED444" i="21"/>
  <c r="CR444" i="21" s="1"/>
  <c r="BC344" i="21"/>
  <c r="CN344" i="21" s="1"/>
  <c r="AZ322" i="21"/>
  <c r="EW486" i="21"/>
  <c r="EX486" i="21" s="1"/>
  <c r="EH76" i="21"/>
  <c r="EG76" i="21"/>
  <c r="ED203" i="21"/>
  <c r="CR203" i="21" s="1"/>
  <c r="ED107" i="21"/>
  <c r="CB66" i="21"/>
  <c r="CI66" i="21" s="1"/>
  <c r="CK66" i="21" s="1"/>
  <c r="CP66" i="21" s="1"/>
  <c r="BC53" i="21"/>
  <c r="CN53" i="21" s="1"/>
  <c r="EM193" i="21"/>
  <c r="EP193" i="21" s="1"/>
  <c r="EQ193" i="21" s="1"/>
  <c r="ET193" i="21"/>
  <c r="EU193" i="21" s="1"/>
  <c r="EV193" i="21" s="1"/>
  <c r="CB75" i="21"/>
  <c r="CI75" i="21" s="1"/>
  <c r="CK75" i="21" s="1"/>
  <c r="CP75" i="21" s="1"/>
  <c r="FG132" i="21"/>
  <c r="CU132" i="21"/>
  <c r="CU12" i="21" s="1"/>
  <c r="AZ198" i="21"/>
  <c r="AY198" i="21"/>
  <c r="BH198" i="21" s="1"/>
  <c r="BJ198" i="21" s="1"/>
  <c r="DM223" i="21"/>
  <c r="ED193" i="21"/>
  <c r="CR193" i="21" s="1"/>
  <c r="DO193" i="21"/>
  <c r="DP193" i="21"/>
  <c r="AU165" i="21"/>
  <c r="AR165" i="21"/>
  <c r="DQ19" i="21"/>
  <c r="ET288" i="21"/>
  <c r="EU288" i="21"/>
  <c r="EV288" i="21" s="1"/>
  <c r="DA152" i="21"/>
  <c r="FG152" i="21"/>
  <c r="FG231" i="21"/>
  <c r="CU231" i="21"/>
  <c r="DB274" i="21"/>
  <c r="FH274" i="21"/>
  <c r="DA140" i="21"/>
  <c r="DA13" i="21" s="1"/>
  <c r="FG140" i="21"/>
  <c r="CB287" i="21"/>
  <c r="CI287" i="21" s="1"/>
  <c r="CK287" i="21" s="1"/>
  <c r="CP287" i="21" s="1"/>
  <c r="ET318" i="21"/>
  <c r="EU318" i="21"/>
  <c r="EV318" i="21" s="1"/>
  <c r="ED175" i="21"/>
  <c r="CR175" i="21" s="1"/>
  <c r="ET438" i="21"/>
  <c r="EU438" i="21"/>
  <c r="EV438" i="21" s="1"/>
  <c r="DT91" i="21"/>
  <c r="ED179" i="21"/>
  <c r="CR179" i="21" s="1"/>
  <c r="CB272" i="21"/>
  <c r="CI272" i="21" s="1"/>
  <c r="CK272" i="21" s="1"/>
  <c r="CP272" i="21" s="1"/>
  <c r="BC375" i="21"/>
  <c r="CN375" i="21" s="1"/>
  <c r="EG317" i="21"/>
  <c r="EH317" i="21"/>
  <c r="FH55" i="21"/>
  <c r="CV55" i="21"/>
  <c r="BP114" i="21"/>
  <c r="EI114" i="21" s="1"/>
  <c r="EH114" i="21" s="1"/>
  <c r="DT262" i="21"/>
  <c r="BI262" i="21"/>
  <c r="BI360" i="21"/>
  <c r="BJ360" i="21" s="1"/>
  <c r="DT360" i="21"/>
  <c r="EX484" i="21"/>
  <c r="BC210" i="21"/>
  <c r="CN210" i="21" s="1"/>
  <c r="ET205" i="21"/>
  <c r="EU205" i="21" s="1"/>
  <c r="EV205" i="21" s="1"/>
  <c r="BH262" i="21"/>
  <c r="FI266" i="21"/>
  <c r="CX266" i="21"/>
  <c r="EH356" i="21"/>
  <c r="EG356" i="21"/>
  <c r="ET159" i="21"/>
  <c r="EX159" i="21" s="1"/>
  <c r="DM353" i="21"/>
  <c r="CV82" i="21"/>
  <c r="FH82" i="21"/>
  <c r="DC302" i="21"/>
  <c r="FJ302" i="21"/>
  <c r="BI375" i="21"/>
  <c r="BJ375" i="21" s="1"/>
  <c r="DT375" i="21"/>
  <c r="EH391" i="21"/>
  <c r="EG391" i="21"/>
  <c r="BJ273" i="21"/>
  <c r="BH295" i="21"/>
  <c r="ET309" i="21"/>
  <c r="EU309" i="21" s="1"/>
  <c r="EV309" i="21" s="1"/>
  <c r="DD373" i="21"/>
  <c r="FI373" i="21"/>
  <c r="ED210" i="21"/>
  <c r="CR210" i="21" s="1"/>
  <c r="DM360" i="21"/>
  <c r="FH446" i="21"/>
  <c r="CV446" i="21"/>
  <c r="CB283" i="21"/>
  <c r="CI283" i="21" s="1"/>
  <c r="CK283" i="21" s="1"/>
  <c r="CP283" i="21" s="1"/>
  <c r="DM222" i="21"/>
  <c r="AZ418" i="21"/>
  <c r="BP36" i="21"/>
  <c r="EI36" i="21" s="1"/>
  <c r="EH301" i="21"/>
  <c r="EG301" i="21"/>
  <c r="EG283" i="21"/>
  <c r="AZ302" i="21"/>
  <c r="BJ371" i="21"/>
  <c r="DT216" i="21"/>
  <c r="BI216" i="21"/>
  <c r="BJ216" i="21" s="1"/>
  <c r="AQ195" i="21"/>
  <c r="FG102" i="21"/>
  <c r="CU102" i="21"/>
  <c r="FG151" i="21"/>
  <c r="DA151" i="21"/>
  <c r="FH293" i="21"/>
  <c r="DB293" i="21"/>
  <c r="BC469" i="21"/>
  <c r="DU469" i="21"/>
  <c r="EM469" i="21" s="1"/>
  <c r="EP469" i="21" s="1"/>
  <c r="EQ469" i="21" s="1"/>
  <c r="EG400" i="21"/>
  <c r="EH400" i="21"/>
  <c r="CS4" i="21"/>
  <c r="CX405" i="21"/>
  <c r="FI405" i="21"/>
  <c r="BF97" i="21"/>
  <c r="CO97" i="21" s="1"/>
  <c r="FI257" i="21"/>
  <c r="DD257" i="21"/>
  <c r="DB297" i="21"/>
  <c r="FH297" i="21"/>
  <c r="BJ361" i="21"/>
  <c r="AZ438" i="21"/>
  <c r="DT66" i="21"/>
  <c r="CW72" i="21"/>
  <c r="FJ72" i="21"/>
  <c r="FJ197" i="21"/>
  <c r="CW197" i="21"/>
  <c r="BC214" i="21"/>
  <c r="AV214" i="21"/>
  <c r="AW214" i="21" s="1"/>
  <c r="BP29" i="21"/>
  <c r="EI29" i="21" s="1"/>
  <c r="FJ448" i="21"/>
  <c r="DC448" i="21"/>
  <c r="BI376" i="21"/>
  <c r="DT376" i="21"/>
  <c r="FL190" i="21"/>
  <c r="CZ190" i="21"/>
  <c r="DT217" i="21"/>
  <c r="BI217" i="21"/>
  <c r="BJ217" i="21" s="1"/>
  <c r="BC437" i="21"/>
  <c r="CN437" i="21" s="1"/>
  <c r="DM65" i="21"/>
  <c r="EG96" i="21"/>
  <c r="EH96" i="21"/>
  <c r="ET218" i="21"/>
  <c r="EU218" i="21" s="1"/>
  <c r="EV218" i="21" s="1"/>
  <c r="CU204" i="21"/>
  <c r="FG204" i="21"/>
  <c r="FI330" i="21"/>
  <c r="DD330" i="21"/>
  <c r="CB76" i="21"/>
  <c r="CI76" i="21" s="1"/>
  <c r="CK76" i="21" s="1"/>
  <c r="CP76" i="21" s="1"/>
  <c r="CI267" i="21"/>
  <c r="CK267" i="21" s="1"/>
  <c r="CP267" i="21" s="1"/>
  <c r="BC229" i="21"/>
  <c r="ET279" i="21"/>
  <c r="EU279" i="21" s="1"/>
  <c r="EV279" i="21" s="1"/>
  <c r="EY20" i="21"/>
  <c r="EZ20" i="21" s="1"/>
  <c r="CX72" i="21"/>
  <c r="FI72" i="21"/>
  <c r="CA111" i="21"/>
  <c r="BR111" i="21"/>
  <c r="DZ111" i="21" s="1"/>
  <c r="EB111" i="21" s="1"/>
  <c r="BZ111" i="21"/>
  <c r="CB111" i="21" s="1"/>
  <c r="CI111" i="21" s="1"/>
  <c r="CK111" i="21" s="1"/>
  <c r="FY111" i="21"/>
  <c r="GA111" i="21" s="1"/>
  <c r="BK111" i="21"/>
  <c r="T111" i="21"/>
  <c r="BE111" i="21"/>
  <c r="BF111" i="21" s="1"/>
  <c r="DT193" i="21"/>
  <c r="BI193" i="21"/>
  <c r="BJ193" i="21" s="1"/>
  <c r="BC95" i="21"/>
  <c r="CN95" i="21" s="1"/>
  <c r="BC56" i="21"/>
  <c r="CN56" i="21" s="1"/>
  <c r="DT232" i="21"/>
  <c r="BI232" i="21"/>
  <c r="BJ232" i="21" s="1"/>
  <c r="CM10" i="21"/>
  <c r="CM11" i="21" s="1"/>
  <c r="CK24" i="21"/>
  <c r="EY140" i="21"/>
  <c r="EZ140" i="21" s="1"/>
  <c r="BC237" i="21"/>
  <c r="CN237" i="21" s="1"/>
  <c r="BC346" i="21"/>
  <c r="CN346" i="21" s="1"/>
  <c r="ET395" i="21"/>
  <c r="EU395" i="21" s="1"/>
  <c r="EV395" i="21" s="1"/>
  <c r="DQ43" i="21"/>
  <c r="FI311" i="21"/>
  <c r="CX311" i="21"/>
  <c r="AY296" i="21"/>
  <c r="BH296" i="21" s="1"/>
  <c r="BJ296" i="21" s="1"/>
  <c r="CU438" i="21"/>
  <c r="FG438" i="21"/>
  <c r="DC369" i="21"/>
  <c r="FJ369" i="21"/>
  <c r="EX487" i="21"/>
  <c r="EH350" i="21"/>
  <c r="EG350" i="21"/>
  <c r="ED328" i="21"/>
  <c r="CR328" i="21" s="1"/>
  <c r="DM195" i="21"/>
  <c r="BJ345" i="21"/>
  <c r="FI420" i="21"/>
  <c r="DD420" i="21"/>
  <c r="ET447" i="21"/>
  <c r="EU447" i="21" s="1"/>
  <c r="EV447" i="21" s="1"/>
  <c r="BO93" i="21"/>
  <c r="BP93" i="21" s="1"/>
  <c r="EI93" i="21" s="1"/>
  <c r="CB356" i="21"/>
  <c r="CI356" i="21" s="1"/>
  <c r="CK356" i="21" s="1"/>
  <c r="CP356" i="21" s="1"/>
  <c r="CK37" i="21"/>
  <c r="EU159" i="21"/>
  <c r="EV159" i="21" s="1"/>
  <c r="EW159" i="21" s="1"/>
  <c r="EH254" i="21"/>
  <c r="EG254" i="21"/>
  <c r="CB353" i="21"/>
  <c r="CI353" i="21" s="1"/>
  <c r="CK353" i="21" s="1"/>
  <c r="CP353" i="21" s="1"/>
  <c r="EG294" i="21"/>
  <c r="EH294" i="21"/>
  <c r="BI247" i="21"/>
  <c r="BJ247" i="21" s="1"/>
  <c r="DT247" i="21"/>
  <c r="CW326" i="21"/>
  <c r="FJ326" i="21"/>
  <c r="BC419" i="21"/>
  <c r="CN419" i="21" s="1"/>
  <c r="BP124" i="21"/>
  <c r="EI124" i="21" s="1"/>
  <c r="EH124" i="21" s="1"/>
  <c r="AZ414" i="21"/>
  <c r="BH414" i="21"/>
  <c r="BJ414" i="21" s="1"/>
  <c r="EG418" i="21"/>
  <c r="EH418" i="21"/>
  <c r="CX83" i="21"/>
  <c r="FI83" i="21"/>
  <c r="DD301" i="21"/>
  <c r="FI301" i="21"/>
  <c r="CM9" i="21"/>
  <c r="BH318" i="21"/>
  <c r="AZ318" i="21"/>
  <c r="EY88" i="21"/>
  <c r="EZ88" i="21" s="1"/>
  <c r="EU88" i="21"/>
  <c r="EV88" i="21" s="1"/>
  <c r="ET88" i="21"/>
  <c r="CK260" i="21"/>
  <c r="CP260" i="21" s="1"/>
  <c r="CK299" i="21"/>
  <c r="CP299" i="21" s="1"/>
  <c r="DP467" i="21"/>
  <c r="DO467" i="21"/>
  <c r="ED467" i="21"/>
  <c r="AZ429" i="21"/>
  <c r="BC185" i="21"/>
  <c r="CN185" i="21" s="1"/>
  <c r="DA330" i="21"/>
  <c r="FG330" i="21"/>
  <c r="EG252" i="21"/>
  <c r="BH417" i="21"/>
  <c r="BJ417" i="21" s="1"/>
  <c r="FH93" i="21"/>
  <c r="CV93" i="21"/>
  <c r="CS3" i="21"/>
  <c r="EU216" i="21"/>
  <c r="EV216" i="21" s="1"/>
  <c r="EW216" i="21" s="1"/>
  <c r="AZ396" i="21"/>
  <c r="CU97" i="21"/>
  <c r="CU6" i="21" s="1"/>
  <c r="CU7" i="21" s="1"/>
  <c r="FG97" i="21"/>
  <c r="FP59" i="21" s="1"/>
  <c r="DM262" i="21"/>
  <c r="DM434" i="21"/>
  <c r="BC71" i="21"/>
  <c r="CN71" i="21" s="1"/>
  <c r="EH366" i="21"/>
  <c r="EG366" i="21"/>
  <c r="EW475" i="21"/>
  <c r="EX475" i="21" s="1"/>
  <c r="FJ98" i="21"/>
  <c r="CW98" i="21"/>
  <c r="BC97" i="21"/>
  <c r="CN97" i="21" s="1"/>
  <c r="ET231" i="21"/>
  <c r="EU231" i="21" s="1"/>
  <c r="EV231" i="21" s="1"/>
  <c r="EX161" i="21"/>
  <c r="DS161" i="21" s="1"/>
  <c r="AU192" i="21"/>
  <c r="AR192" i="21"/>
  <c r="CW179" i="21"/>
  <c r="FJ179" i="21"/>
  <c r="DT180" i="21"/>
  <c r="BI180" i="21"/>
  <c r="BJ180" i="21" s="1"/>
  <c r="DP36" i="21"/>
  <c r="DO36" i="21"/>
  <c r="DQ36" i="21"/>
  <c r="FI99" i="21"/>
  <c r="CX99" i="21"/>
  <c r="BC180" i="21"/>
  <c r="CN180" i="21" s="1"/>
  <c r="AU168" i="21"/>
  <c r="AR168" i="21"/>
  <c r="DC201" i="21"/>
  <c r="FJ201" i="21"/>
  <c r="ED228" i="21"/>
  <c r="BC135" i="21"/>
  <c r="CN135" i="21" s="1"/>
  <c r="BM61" i="21"/>
  <c r="BL61" i="21"/>
  <c r="BN61" i="21" s="1"/>
  <c r="ES19" i="21"/>
  <c r="ER19" i="21"/>
  <c r="ET204" i="21"/>
  <c r="EU204" i="21" s="1"/>
  <c r="EV204" i="21" s="1"/>
  <c r="BC101" i="21"/>
  <c r="CN101" i="21" s="1"/>
  <c r="BC89" i="21"/>
  <c r="CN89" i="21" s="1"/>
  <c r="CK340" i="21"/>
  <c r="CP340" i="21" s="1"/>
  <c r="BM99" i="21"/>
  <c r="BO99" i="21" s="1"/>
  <c r="BL99" i="21"/>
  <c r="BN99" i="21" s="1"/>
  <c r="BC169" i="21"/>
  <c r="CN169" i="21" s="1"/>
  <c r="FG236" i="21"/>
  <c r="DA236" i="21"/>
  <c r="BP51" i="21"/>
  <c r="EI51" i="21" s="1"/>
  <c r="BL72" i="21"/>
  <c r="BN72" i="21" s="1"/>
  <c r="BM72" i="21"/>
  <c r="BO72" i="21" s="1"/>
  <c r="ET222" i="21"/>
  <c r="EU222" i="21" s="1"/>
  <c r="EV222" i="21" s="1"/>
  <c r="FH188" i="21"/>
  <c r="DB188" i="21"/>
  <c r="BC52" i="21"/>
  <c r="CN52" i="21" s="1"/>
  <c r="BC250" i="21"/>
  <c r="CN250" i="21" s="1"/>
  <c r="EZ50" i="21"/>
  <c r="CV75" i="21"/>
  <c r="FH75" i="21"/>
  <c r="DM198" i="21"/>
  <c r="AU167" i="21"/>
  <c r="AR167" i="21"/>
  <c r="BC143" i="21"/>
  <c r="CN143" i="21" s="1"/>
  <c r="ET20" i="21"/>
  <c r="FJ258" i="21"/>
  <c r="DC258" i="21"/>
  <c r="BC125" i="21"/>
  <c r="CN125" i="21" s="1"/>
  <c r="DC298" i="21"/>
  <c r="FJ298" i="21"/>
  <c r="DT87" i="21"/>
  <c r="BC324" i="21"/>
  <c r="CN324" i="21" s="1"/>
  <c r="EU185" i="21"/>
  <c r="EV185" i="21" s="1"/>
  <c r="ET185" i="21"/>
  <c r="EG338" i="21"/>
  <c r="DA395" i="21"/>
  <c r="FG395" i="21"/>
  <c r="BC434" i="21"/>
  <c r="CN434" i="21" s="1"/>
  <c r="CK296" i="21"/>
  <c r="CP296" i="21" s="1"/>
  <c r="BJ367" i="21"/>
  <c r="EY33" i="21"/>
  <c r="EZ33" i="21" s="1"/>
  <c r="DT173" i="21"/>
  <c r="BI173" i="21"/>
  <c r="BJ173" i="21" s="1"/>
  <c r="ET377" i="21"/>
  <c r="EU377" i="21" s="1"/>
  <c r="EV377" i="21" s="1"/>
  <c r="ED386" i="21"/>
  <c r="CR386" i="21" s="1"/>
  <c r="AZ398" i="21"/>
  <c r="BH398" i="21"/>
  <c r="BJ398" i="21" s="1"/>
  <c r="AY398" i="21"/>
  <c r="CK186" i="21"/>
  <c r="CP186" i="21" s="1"/>
  <c r="DM420" i="21"/>
  <c r="EY53" i="21"/>
  <c r="EZ53" i="21" s="1"/>
  <c r="FI198" i="21"/>
  <c r="CX198" i="21"/>
  <c r="DY205" i="21"/>
  <c r="EH205" i="21" s="1"/>
  <c r="BZ205" i="21"/>
  <c r="CB205" i="21" s="1"/>
  <c r="CI205" i="21" s="1"/>
  <c r="CK205" i="21" s="1"/>
  <c r="CP205" i="21" s="1"/>
  <c r="DC315" i="21"/>
  <c r="FJ315" i="21"/>
  <c r="FI415" i="21"/>
  <c r="DD415" i="21"/>
  <c r="DN490" i="21"/>
  <c r="ES490" i="21"/>
  <c r="ER490" i="21"/>
  <c r="EY89" i="21"/>
  <c r="EZ89" i="21" s="1"/>
  <c r="BH206" i="21"/>
  <c r="AZ206" i="21"/>
  <c r="FJ266" i="21"/>
  <c r="CW266" i="21"/>
  <c r="CK421" i="21"/>
  <c r="CP421" i="21" s="1"/>
  <c r="BC121" i="21"/>
  <c r="CN121" i="21" s="1"/>
  <c r="FJ281" i="21"/>
  <c r="CW281" i="21"/>
  <c r="FJ254" i="21"/>
  <c r="CW254" i="21"/>
  <c r="DC294" i="21"/>
  <c r="FJ294" i="21"/>
  <c r="BC298" i="21"/>
  <c r="CN298" i="21" s="1"/>
  <c r="FJ364" i="21"/>
  <c r="CW364" i="21"/>
  <c r="DC394" i="21"/>
  <c r="FJ394" i="21"/>
  <c r="FH319" i="21"/>
  <c r="DB319" i="21"/>
  <c r="DD334" i="21"/>
  <c r="FI334" i="21"/>
  <c r="BC271" i="21"/>
  <c r="CN271" i="21" s="1"/>
  <c r="FH280" i="21"/>
  <c r="DB280" i="21"/>
  <c r="DD371" i="21"/>
  <c r="FI371" i="21"/>
  <c r="DC325" i="21"/>
  <c r="FJ325" i="21"/>
  <c r="AY288" i="21"/>
  <c r="AZ288" i="21" s="1"/>
  <c r="CX393" i="21"/>
  <c r="FI393" i="21"/>
  <c r="ED466" i="21"/>
  <c r="DB122" i="21"/>
  <c r="FH122" i="21"/>
  <c r="DA292" i="21"/>
  <c r="FG292" i="21"/>
  <c r="BJ341" i="21"/>
  <c r="BJ285" i="21"/>
  <c r="FJ418" i="21"/>
  <c r="DC418" i="21"/>
  <c r="CD1" i="21"/>
  <c r="ED256" i="21"/>
  <c r="CR256" i="21" s="1"/>
  <c r="BH276" i="21"/>
  <c r="BJ276" i="21" s="1"/>
  <c r="AY276" i="21"/>
  <c r="AZ276" i="21" s="1"/>
  <c r="FJ389" i="21"/>
  <c r="DC389" i="21"/>
  <c r="AZ278" i="21"/>
  <c r="ED285" i="21"/>
  <c r="CR285" i="21" s="1"/>
  <c r="DT88" i="21"/>
  <c r="BC385" i="21"/>
  <c r="CN385" i="21" s="1"/>
  <c r="FI399" i="21"/>
  <c r="CX399" i="21"/>
  <c r="CX100" i="21"/>
  <c r="FI100" i="21"/>
  <c r="DP30" i="21"/>
  <c r="DO30" i="21"/>
  <c r="DC355" i="21"/>
  <c r="FJ355" i="21"/>
  <c r="AZ195" i="21"/>
  <c r="AY195" i="21"/>
  <c r="BH195" i="21" s="1"/>
  <c r="BJ195" i="21" s="1"/>
  <c r="ET330" i="21"/>
  <c r="EU330" i="21" s="1"/>
  <c r="EV330" i="21" s="1"/>
  <c r="EH414" i="21"/>
  <c r="CK165" i="21"/>
  <c r="CP165" i="21" s="1"/>
  <c r="ET272" i="21"/>
  <c r="EU272" i="21" s="1"/>
  <c r="EV272" i="21" s="1"/>
  <c r="CS8" i="21"/>
  <c r="ET216" i="21"/>
  <c r="EX216" i="21" s="1"/>
  <c r="CK292" i="21"/>
  <c r="CP292" i="21" s="1"/>
  <c r="AZ241" i="21"/>
  <c r="DP51" i="21"/>
  <c r="DO51" i="21"/>
  <c r="CB366" i="21"/>
  <c r="CI366" i="21" s="1"/>
  <c r="CK366" i="21" s="1"/>
  <c r="CP366" i="21" s="1"/>
  <c r="BC441" i="21"/>
  <c r="CN441" i="21" s="1"/>
  <c r="BI164" i="21"/>
  <c r="BJ164" i="21" s="1"/>
  <c r="DR164" i="21"/>
  <c r="CU279" i="21"/>
  <c r="FG279" i="21"/>
  <c r="BP135" i="21"/>
  <c r="EI135" i="21" s="1"/>
  <c r="EH135" i="21" s="1"/>
  <c r="AR218" i="21"/>
  <c r="CX287" i="21"/>
  <c r="FI287" i="21"/>
  <c r="CX350" i="21"/>
  <c r="FI350" i="21"/>
  <c r="FJ255" i="21"/>
  <c r="CW255" i="21"/>
  <c r="EH321" i="21"/>
  <c r="EG321" i="21"/>
  <c r="DA309" i="21"/>
  <c r="FG309" i="21"/>
  <c r="DT307" i="21"/>
  <c r="BI307" i="21"/>
  <c r="BP70" i="21"/>
  <c r="EI70" i="21" s="1"/>
  <c r="CX442" i="21"/>
  <c r="FI442" i="21"/>
  <c r="DC378" i="21"/>
  <c r="FJ378" i="21"/>
  <c r="BC220" i="21"/>
  <c r="CN220" i="21" s="1"/>
  <c r="BJ443" i="21"/>
  <c r="CM6" i="21"/>
  <c r="CM7" i="21" s="1"/>
  <c r="BO40" i="21"/>
  <c r="BP40" i="21" s="1"/>
  <c r="EI40" i="21" s="1"/>
  <c r="ES160" i="21"/>
  <c r="ER160" i="21"/>
  <c r="DM160" i="21"/>
  <c r="EU236" i="21"/>
  <c r="EV236" i="21" s="1"/>
  <c r="ET236" i="21"/>
  <c r="BO51" i="21"/>
  <c r="FJ95" i="21"/>
  <c r="CW95" i="21"/>
  <c r="BO41" i="21"/>
  <c r="BP41" i="21" s="1"/>
  <c r="EI41" i="21" s="1"/>
  <c r="DD247" i="21"/>
  <c r="FI247" i="21"/>
  <c r="ET290" i="21"/>
  <c r="EU290" i="21" s="1"/>
  <c r="EV290" i="21" s="1"/>
  <c r="BJ347" i="21"/>
  <c r="CK26" i="21"/>
  <c r="EU20" i="21"/>
  <c r="EV20" i="21" s="1"/>
  <c r="EW20" i="21" s="1"/>
  <c r="EH258" i="21"/>
  <c r="EG258" i="21"/>
  <c r="CK320" i="21"/>
  <c r="CP320" i="21" s="1"/>
  <c r="BP26" i="21"/>
  <c r="EI26" i="21" s="1"/>
  <c r="CK277" i="21"/>
  <c r="CP277" i="21" s="1"/>
  <c r="EG298" i="21"/>
  <c r="EH298" i="21"/>
  <c r="DM337" i="21"/>
  <c r="ET87" i="21"/>
  <c r="EU87" i="21" s="1"/>
  <c r="EV87" i="21" s="1"/>
  <c r="EY87" i="21"/>
  <c r="EZ87" i="21" s="1"/>
  <c r="FJ168" i="21"/>
  <c r="CW168" i="21"/>
  <c r="BP139" i="21"/>
  <c r="EI139" i="21" s="1"/>
  <c r="EH139" i="21" s="1"/>
  <c r="CU185" i="21"/>
  <c r="FG185" i="21"/>
  <c r="FG436" i="21"/>
  <c r="DA436" i="21"/>
  <c r="DM121" i="21"/>
  <c r="DM296" i="21"/>
  <c r="DT377" i="21"/>
  <c r="BI377" i="21"/>
  <c r="BJ377" i="21" s="1"/>
  <c r="BP45" i="21"/>
  <c r="EI45" i="21" s="1"/>
  <c r="ED189" i="21"/>
  <c r="CR189" i="21" s="1"/>
  <c r="EH398" i="21"/>
  <c r="EG398" i="21"/>
  <c r="FG227" i="21"/>
  <c r="CU227" i="21"/>
  <c r="DP49" i="21"/>
  <c r="DO49" i="21"/>
  <c r="DQ49" i="21" s="1"/>
  <c r="FG237" i="21"/>
  <c r="CU237" i="21"/>
  <c r="FJ420" i="21"/>
  <c r="DC420" i="21"/>
  <c r="AZ104" i="21"/>
  <c r="BC104" i="21" s="1"/>
  <c r="FG137" i="21"/>
  <c r="CU137" i="21"/>
  <c r="BI424" i="21"/>
  <c r="BJ424" i="21" s="1"/>
  <c r="DT424" i="21"/>
  <c r="ED469" i="21"/>
  <c r="EH368" i="21"/>
  <c r="EG368" i="21"/>
  <c r="EG364" i="21"/>
  <c r="EH364" i="21"/>
  <c r="EG394" i="21"/>
  <c r="EH394" i="21"/>
  <c r="DT382" i="21"/>
  <c r="BI382" i="21"/>
  <c r="BJ382" i="21" s="1"/>
  <c r="CW94" i="21"/>
  <c r="FJ94" i="21"/>
  <c r="BH371" i="21"/>
  <c r="AZ371" i="21"/>
  <c r="DM52" i="21"/>
  <c r="CK393" i="21"/>
  <c r="CP393" i="21" s="1"/>
  <c r="AZ172" i="21"/>
  <c r="DC301" i="21"/>
  <c r="FJ301" i="21"/>
  <c r="CM1" i="21"/>
  <c r="FI318" i="21"/>
  <c r="DD318" i="21"/>
  <c r="CK333" i="21"/>
  <c r="CP333" i="21" s="1"/>
  <c r="BJ184" i="21"/>
  <c r="EH276" i="21"/>
  <c r="EG276" i="21"/>
  <c r="BI380" i="21"/>
  <c r="BJ380" i="21" s="1"/>
  <c r="DT380" i="21"/>
  <c r="BC120" i="21"/>
  <c r="CN120" i="21" s="1"/>
  <c r="FG337" i="21"/>
  <c r="DA337" i="21"/>
  <c r="BH186" i="21"/>
  <c r="BJ186" i="21" s="1"/>
  <c r="CX195" i="21"/>
  <c r="CX17" i="21" s="1"/>
  <c r="FI195" i="21"/>
  <c r="CU416" i="21"/>
  <c r="FG416" i="21"/>
  <c r="BC400" i="21"/>
  <c r="CN400" i="21" s="1"/>
  <c r="CK30" i="21"/>
  <c r="ED470" i="21"/>
  <c r="CV304" i="21"/>
  <c r="FH304" i="21"/>
  <c r="ED165" i="21"/>
  <c r="CR165" i="21" s="1"/>
  <c r="DT219" i="21"/>
  <c r="BI219" i="21"/>
  <c r="BJ219" i="21" s="1"/>
  <c r="BC377" i="21"/>
  <c r="CN377" i="21" s="1"/>
  <c r="DM219" i="21"/>
  <c r="AY413" i="21"/>
  <c r="AZ413" i="21" s="1"/>
  <c r="DA295" i="21"/>
  <c r="FG295" i="21"/>
  <c r="CX322" i="21"/>
  <c r="FI322" i="21"/>
  <c r="FH407" i="21"/>
  <c r="CV407" i="21"/>
  <c r="EX471" i="21"/>
  <c r="ED176" i="21"/>
  <c r="CR176" i="21" s="1"/>
  <c r="ES158" i="21"/>
  <c r="ER158" i="21"/>
  <c r="BC243" i="21"/>
  <c r="CN243" i="21" s="1"/>
  <c r="DM142" i="21"/>
  <c r="CX307" i="21"/>
  <c r="FI307" i="21"/>
  <c r="CX329" i="21"/>
  <c r="FI329" i="21"/>
  <c r="BC363" i="21"/>
  <c r="CN363" i="21" s="1"/>
  <c r="FJ269" i="21"/>
  <c r="DC269" i="21"/>
  <c r="ET265" i="21"/>
  <c r="EU265" i="21"/>
  <c r="EV265" i="21" s="1"/>
  <c r="DM399" i="21"/>
  <c r="CW396" i="21"/>
  <c r="FJ396" i="21"/>
  <c r="DD377" i="21"/>
  <c r="FI377" i="21"/>
  <c r="ED174" i="21"/>
  <c r="CR174" i="21" s="1"/>
  <c r="EX467" i="21"/>
  <c r="AY96" i="21"/>
  <c r="AZ96" i="21" s="1"/>
  <c r="BE96" i="21"/>
  <c r="BF96" i="21" s="1"/>
  <c r="CO96" i="21" s="1"/>
  <c r="CO9" i="21" s="1"/>
  <c r="FI141" i="21"/>
  <c r="DD141" i="21"/>
  <c r="EH204" i="21"/>
  <c r="ET89" i="21"/>
  <c r="EU89" i="21" s="1"/>
  <c r="EV89" i="21" s="1"/>
  <c r="CX340" i="21"/>
  <c r="FI340" i="21"/>
  <c r="DT75" i="21"/>
  <c r="FJ264" i="21"/>
  <c r="DC264" i="21"/>
  <c r="BC149" i="21"/>
  <c r="CN149" i="21" s="1"/>
  <c r="CK261" i="21"/>
  <c r="CP261" i="21" s="1"/>
  <c r="EN1" i="21"/>
  <c r="EN3" i="21"/>
  <c r="EN4" i="21"/>
  <c r="CM13" i="21"/>
  <c r="DN165" i="21"/>
  <c r="DP165" i="21" s="1"/>
  <c r="EM165" i="21"/>
  <c r="EP165" i="21" s="1"/>
  <c r="EQ165" i="21" s="1"/>
  <c r="ED250" i="21"/>
  <c r="CR250" i="21" s="1"/>
  <c r="FH80" i="21"/>
  <c r="CV80" i="21"/>
  <c r="BH258" i="21"/>
  <c r="BJ258" i="21" s="1"/>
  <c r="AZ258" i="21"/>
  <c r="BZ196" i="21"/>
  <c r="CB196" i="21" s="1"/>
  <c r="CI196" i="21" s="1"/>
  <c r="CK196" i="21" s="1"/>
  <c r="CP196" i="21" s="1"/>
  <c r="DM295" i="21"/>
  <c r="BC61" i="21"/>
  <c r="CN61" i="21" s="1"/>
  <c r="BO139" i="21"/>
  <c r="BJ342" i="21"/>
  <c r="CK32" i="21"/>
  <c r="CB311" i="21"/>
  <c r="CI311" i="21" s="1"/>
  <c r="CK311" i="21" s="1"/>
  <c r="CP311" i="21" s="1"/>
  <c r="BC380" i="21"/>
  <c r="CN380" i="21" s="1"/>
  <c r="BI295" i="21"/>
  <c r="BJ295" i="21" s="1"/>
  <c r="DT295" i="21"/>
  <c r="BO45" i="21"/>
  <c r="CB398" i="21"/>
  <c r="CI398" i="21" s="1"/>
  <c r="CK398" i="21" s="1"/>
  <c r="CP398" i="21" s="1"/>
  <c r="DP35" i="21"/>
  <c r="DO35" i="21"/>
  <c r="DQ35" i="21"/>
  <c r="BF227" i="21"/>
  <c r="CO227" i="21" s="1"/>
  <c r="CK227" i="21"/>
  <c r="CP227" i="21" s="1"/>
  <c r="AZ362" i="21"/>
  <c r="CK432" i="21"/>
  <c r="CP432" i="21" s="1"/>
  <c r="EU237" i="21"/>
  <c r="EV237" i="21" s="1"/>
  <c r="ET237" i="21"/>
  <c r="DN212" i="21"/>
  <c r="DM423" i="21"/>
  <c r="DP491" i="21"/>
  <c r="ED491" i="21"/>
  <c r="DO491" i="21"/>
  <c r="EM104" i="21"/>
  <c r="EP104" i="21" s="1"/>
  <c r="EQ104" i="21" s="1"/>
  <c r="EY137" i="21"/>
  <c r="EZ137" i="21" s="1"/>
  <c r="BH182" i="21"/>
  <c r="BJ182" i="21" s="1"/>
  <c r="FI254" i="21"/>
  <c r="CX254" i="21"/>
  <c r="ET361" i="21"/>
  <c r="EU361" i="21" s="1"/>
  <c r="EV361" i="21" s="1"/>
  <c r="ED172" i="21"/>
  <c r="CR172" i="21" s="1"/>
  <c r="CK343" i="21"/>
  <c r="CP343" i="21" s="1"/>
  <c r="BH361" i="21"/>
  <c r="AZ361" i="21"/>
  <c r="DD427" i="21"/>
  <c r="FI427" i="21"/>
  <c r="ED315" i="21"/>
  <c r="CR315" i="21" s="1"/>
  <c r="DM371" i="21"/>
  <c r="CK433" i="21"/>
  <c r="CP433" i="21" s="1"/>
  <c r="DM308" i="21"/>
  <c r="EH288" i="21"/>
  <c r="EG288" i="21"/>
  <c r="ED185" i="21"/>
  <c r="CR185" i="21" s="1"/>
  <c r="ET292" i="21"/>
  <c r="EU292" i="21"/>
  <c r="EV292" i="21" s="1"/>
  <c r="DC414" i="21"/>
  <c r="FJ414" i="21"/>
  <c r="BH331" i="21"/>
  <c r="AZ331" i="21"/>
  <c r="DT301" i="21"/>
  <c r="BI301" i="21"/>
  <c r="BJ301" i="21" s="1"/>
  <c r="CK318" i="21"/>
  <c r="CP318" i="21" s="1"/>
  <c r="DA418" i="21"/>
  <c r="FG418" i="21"/>
  <c r="FJ181" i="21"/>
  <c r="CW181" i="21"/>
  <c r="ET416" i="21"/>
  <c r="EU416" i="21"/>
  <c r="EV416" i="21" s="1"/>
  <c r="AZ329" i="21"/>
  <c r="AZ374" i="21"/>
  <c r="BH374" i="21"/>
  <c r="BJ374" i="21" s="1"/>
  <c r="BI412" i="21"/>
  <c r="BJ412" i="21" s="1"/>
  <c r="DT412" i="21"/>
  <c r="CS1" i="21"/>
  <c r="CS2" i="21" s="1"/>
  <c r="AZ327" i="21"/>
  <c r="EG404" i="21"/>
  <c r="EH404" i="21"/>
  <c r="ED432" i="21"/>
  <c r="CR432" i="21" s="1"/>
  <c r="ET295" i="21"/>
  <c r="EU295" i="21"/>
  <c r="EV295" i="21" s="1"/>
  <c r="BJ410" i="21"/>
  <c r="FI357" i="21"/>
  <c r="DD357" i="21"/>
  <c r="CX76" i="21"/>
  <c r="FI76" i="21"/>
  <c r="BM66" i="21"/>
  <c r="BO66" i="21" s="1"/>
  <c r="BL66" i="21"/>
  <c r="BN66" i="21" s="1"/>
  <c r="FJ167" i="21"/>
  <c r="CW167" i="21"/>
  <c r="FI354" i="21"/>
  <c r="CX354" i="21"/>
  <c r="FJ252" i="21"/>
  <c r="DC252" i="21"/>
  <c r="CW328" i="21"/>
  <c r="FJ328" i="21"/>
  <c r="FG447" i="21"/>
  <c r="CU447" i="21"/>
  <c r="AY325" i="21"/>
  <c r="AZ325" i="21" s="1"/>
  <c r="FJ284" i="21"/>
  <c r="DC284" i="21"/>
  <c r="BL96" i="21"/>
  <c r="BN96" i="21" s="1"/>
  <c r="BM96" i="21"/>
  <c r="CI119" i="21"/>
  <c r="CK119" i="21" s="1"/>
  <c r="CP119" i="21" s="1"/>
  <c r="CW175" i="21"/>
  <c r="FJ175" i="21"/>
  <c r="BJ292" i="21"/>
  <c r="DT188" i="21"/>
  <c r="BI188" i="21"/>
  <c r="BJ188" i="21" s="1"/>
  <c r="ED212" i="21"/>
  <c r="DO212" i="21"/>
  <c r="DP212" i="21"/>
  <c r="DQ212" i="21" s="1"/>
  <c r="EY38" i="21"/>
  <c r="EZ38" i="21"/>
  <c r="BC142" i="21"/>
  <c r="CN142" i="21" s="1"/>
  <c r="DT116" i="21"/>
  <c r="BC247" i="21"/>
  <c r="CN247" i="21" s="1"/>
  <c r="CB198" i="21"/>
  <c r="CI198" i="21" s="1"/>
  <c r="CK198" i="21" s="1"/>
  <c r="CP198" i="21" s="1"/>
  <c r="CM12" i="21"/>
  <c r="CU290" i="21"/>
  <c r="FG290" i="21"/>
  <c r="BC59" i="21"/>
  <c r="CN59" i="21" s="1"/>
  <c r="EY108" i="21"/>
  <c r="EZ108" i="21" s="1"/>
  <c r="ET108" i="21"/>
  <c r="EU108" i="21" s="1"/>
  <c r="EV108" i="21" s="1"/>
  <c r="ED300" i="21"/>
  <c r="CR300" i="21" s="1"/>
  <c r="BP98" i="21"/>
  <c r="EI98" i="21" s="1"/>
  <c r="BC161" i="21"/>
  <c r="AV161" i="21"/>
  <c r="AW161" i="21" s="1"/>
  <c r="EG297" i="21"/>
  <c r="EH297" i="21"/>
  <c r="ET436" i="21"/>
  <c r="EU436" i="21" s="1"/>
  <c r="EV436" i="21" s="1"/>
  <c r="BP101" i="21"/>
  <c r="EI101" i="21" s="1"/>
  <c r="EH320" i="21"/>
  <c r="BJ405" i="21"/>
  <c r="FI365" i="21"/>
  <c r="DD365" i="21"/>
  <c r="DA421" i="21"/>
  <c r="FG421" i="21"/>
  <c r="DT77" i="21"/>
  <c r="DT167" i="21"/>
  <c r="BI167" i="21"/>
  <c r="BJ167" i="21" s="1"/>
  <c r="CW423" i="21"/>
  <c r="FJ423" i="21"/>
  <c r="CK313" i="21"/>
  <c r="CP313" i="21" s="1"/>
  <c r="BJ272" i="21"/>
  <c r="BJ429" i="21"/>
  <c r="DC371" i="21"/>
  <c r="FJ371" i="21"/>
  <c r="DM397" i="21"/>
  <c r="FJ288" i="21"/>
  <c r="CW288" i="21"/>
  <c r="EY100" i="21"/>
  <c r="EZ100" i="21" s="1"/>
  <c r="ED375" i="21"/>
  <c r="CR375" i="21" s="1"/>
  <c r="ED194" i="21"/>
  <c r="CR194" i="21" s="1"/>
  <c r="DP194" i="21"/>
  <c r="DO194" i="21"/>
  <c r="EX478" i="21"/>
  <c r="DD414" i="21"/>
  <c r="FI414" i="21"/>
  <c r="DT352" i="21"/>
  <c r="BI352" i="21"/>
  <c r="BJ352" i="21" s="1"/>
  <c r="EG420" i="21"/>
  <c r="ET301" i="21"/>
  <c r="EU301" i="21"/>
  <c r="EV301" i="21" s="1"/>
  <c r="EG318" i="21"/>
  <c r="EH318" i="21"/>
  <c r="ED381" i="21"/>
  <c r="CR381" i="21" s="1"/>
  <c r="CX96" i="21"/>
  <c r="FI96" i="21"/>
  <c r="DT379" i="21"/>
  <c r="BI379" i="21"/>
  <c r="BJ379" i="21" s="1"/>
  <c r="EU418" i="21"/>
  <c r="EV418" i="21" s="1"/>
  <c r="ET418" i="21"/>
  <c r="ET337" i="21"/>
  <c r="EU337" i="21" s="1"/>
  <c r="EV337" i="21" s="1"/>
  <c r="ED168" i="21"/>
  <c r="CR168" i="21" s="1"/>
  <c r="BC379" i="21"/>
  <c r="CN379" i="21" s="1"/>
  <c r="EU91" i="21"/>
  <c r="EV91" i="21" s="1"/>
  <c r="FJ195" i="21"/>
  <c r="CW195" i="21"/>
  <c r="ET336" i="21"/>
  <c r="EU336" i="21" s="1"/>
  <c r="EV336" i="21" s="1"/>
  <c r="FH421" i="21"/>
  <c r="DB421" i="21"/>
  <c r="CX102" i="21"/>
  <c r="FI102" i="21"/>
  <c r="CU326" i="21"/>
  <c r="FG326" i="21"/>
  <c r="EG255" i="21"/>
  <c r="EG12" i="21" s="1"/>
  <c r="BJ271" i="21"/>
  <c r="AY404" i="21"/>
  <c r="BH404" i="21" s="1"/>
  <c r="BJ404" i="21" s="1"/>
  <c r="BC69" i="21"/>
  <c r="CN69" i="21" s="1"/>
  <c r="FJ322" i="21"/>
  <c r="CW322" i="21"/>
  <c r="DT171" i="21"/>
  <c r="BI171" i="21"/>
  <c r="BJ171" i="21" s="1"/>
  <c r="BL62" i="21"/>
  <c r="BN62" i="21" s="1"/>
  <c r="BM62" i="21"/>
  <c r="BO62" i="21" s="1"/>
  <c r="CX61" i="21"/>
  <c r="FI61" i="21"/>
  <c r="BP34" i="21"/>
  <c r="EI34" i="21" s="1"/>
  <c r="FB107" i="21"/>
  <c r="DR107" i="21" s="1"/>
  <c r="EX107" i="21"/>
  <c r="BJ294" i="21"/>
  <c r="DA318" i="21"/>
  <c r="FG318" i="21"/>
  <c r="EU435" i="21"/>
  <c r="EV435" i="21" s="1"/>
  <c r="ET435" i="21"/>
  <c r="DD421" i="21"/>
  <c r="FI421" i="21"/>
  <c r="BJ330" i="21"/>
  <c r="DM251" i="21"/>
  <c r="FJ83" i="21"/>
  <c r="CW83" i="21"/>
  <c r="BC236" i="21"/>
  <c r="CN236" i="21" s="1"/>
  <c r="CK385" i="21"/>
  <c r="CP385" i="21" s="1"/>
  <c r="FH342" i="21"/>
  <c r="DB342" i="21"/>
  <c r="DM403" i="21"/>
  <c r="DA291" i="21"/>
  <c r="FG291" i="21"/>
  <c r="BC350" i="21"/>
  <c r="CN350" i="21" s="1"/>
  <c r="BL54" i="21"/>
  <c r="BN54" i="21" s="1"/>
  <c r="BM54" i="21"/>
  <c r="BO54" i="21" s="1"/>
  <c r="ES215" i="21"/>
  <c r="ER215" i="21"/>
  <c r="DM215" i="21"/>
  <c r="EW215" i="21"/>
  <c r="BO34" i="21"/>
  <c r="EY132" i="21"/>
  <c r="EZ132" i="21"/>
  <c r="EY133" i="21"/>
  <c r="EZ133" i="21"/>
  <c r="BO146" i="21"/>
  <c r="BP146" i="21" s="1"/>
  <c r="EI146" i="21" s="1"/>
  <c r="EH146" i="21" s="1"/>
  <c r="BC64" i="21"/>
  <c r="CN64" i="21" s="1"/>
  <c r="CI147" i="21"/>
  <c r="CK147" i="21" s="1"/>
  <c r="CP147" i="21" s="1"/>
  <c r="EZ151" i="21"/>
  <c r="ED220" i="21"/>
  <c r="CR220" i="21" s="1"/>
  <c r="FJ85" i="21"/>
  <c r="CW85" i="21"/>
  <c r="FJ244" i="21"/>
  <c r="DC244" i="21"/>
  <c r="ET273" i="21"/>
  <c r="EU273" i="21" s="1"/>
  <c r="EV273" i="21" s="1"/>
  <c r="BP102" i="21"/>
  <c r="EI102" i="21" s="1"/>
  <c r="BO123" i="21"/>
  <c r="BP123" i="21" s="1"/>
  <c r="EI123" i="21" s="1"/>
  <c r="EH123" i="21" s="1"/>
  <c r="ET276" i="21"/>
  <c r="EU276" i="21" s="1"/>
  <c r="EV276" i="21" s="1"/>
  <c r="BC54" i="21"/>
  <c r="CN54" i="21" s="1"/>
  <c r="BC358" i="21"/>
  <c r="CN358" i="21" s="1"/>
  <c r="ET68" i="21"/>
  <c r="EU68" i="21" s="1"/>
  <c r="EV68" i="21" s="1"/>
  <c r="EY68" i="21"/>
  <c r="EZ68" i="21" s="1"/>
  <c r="BO98" i="21"/>
  <c r="DA316" i="21"/>
  <c r="FG316" i="21"/>
  <c r="BI407" i="21"/>
  <c r="BJ407" i="21" s="1"/>
  <c r="DT407" i="21"/>
  <c r="BC436" i="21"/>
  <c r="CN436" i="21" s="1"/>
  <c r="ET59" i="21"/>
  <c r="EU59" i="21" s="1"/>
  <c r="EV59" i="21" s="1"/>
  <c r="CB445" i="21"/>
  <c r="CI445" i="21" s="1"/>
  <c r="CK445" i="21" s="1"/>
  <c r="CP445" i="21" s="1"/>
  <c r="DT97" i="21"/>
  <c r="BO101" i="21"/>
  <c r="CX204" i="21"/>
  <c r="FI204" i="21"/>
  <c r="AP219" i="21"/>
  <c r="AT218" i="21"/>
  <c r="BJ448" i="21"/>
  <c r="ES154" i="21"/>
  <c r="ER154" i="21"/>
  <c r="DM154" i="21"/>
  <c r="ET227" i="21"/>
  <c r="EU227" i="21" s="1"/>
  <c r="EV227" i="21" s="1"/>
  <c r="EU421" i="21"/>
  <c r="EV421" i="21" s="1"/>
  <c r="ET421" i="21"/>
  <c r="ET74" i="21"/>
  <c r="EU74" i="21"/>
  <c r="EV74" i="21" s="1"/>
  <c r="EZ150" i="21"/>
  <c r="ET369" i="21"/>
  <c r="EU369" i="21" s="1"/>
  <c r="EV369" i="21" s="1"/>
  <c r="ET437" i="21"/>
  <c r="EU437" i="21" s="1"/>
  <c r="EV437" i="21" s="1"/>
  <c r="EY77" i="21"/>
  <c r="EZ77" i="21" s="1"/>
  <c r="ET77" i="21"/>
  <c r="EU77" i="21" s="1"/>
  <c r="EV77" i="21" s="1"/>
  <c r="DM238" i="21"/>
  <c r="ES491" i="21"/>
  <c r="EW491" i="21" s="1"/>
  <c r="EX491" i="21" s="1"/>
  <c r="ET331" i="21"/>
  <c r="EU331" i="21" s="1"/>
  <c r="EV331" i="21" s="1"/>
  <c r="ET341" i="21"/>
  <c r="EU341" i="21" s="1"/>
  <c r="EV341" i="21" s="1"/>
  <c r="DA361" i="21"/>
  <c r="FG361" i="21"/>
  <c r="AU214" i="21"/>
  <c r="AR214" i="21"/>
  <c r="DP26" i="21"/>
  <c r="DO26" i="21"/>
  <c r="AR194" i="21"/>
  <c r="AU194" i="21"/>
  <c r="AY428" i="21"/>
  <c r="BH428" i="21" s="1"/>
  <c r="BJ428" i="21" s="1"/>
  <c r="AZ367" i="21"/>
  <c r="FH235" i="21"/>
  <c r="CV235" i="21"/>
  <c r="CK276" i="21"/>
  <c r="CP276" i="21" s="1"/>
  <c r="DM390" i="21"/>
  <c r="FG96" i="21"/>
  <c r="FP54" i="21" s="1"/>
  <c r="CU96" i="21"/>
  <c r="CU8" i="21" s="1"/>
  <c r="FI392" i="21"/>
  <c r="CX392" i="21"/>
  <c r="BI214" i="21"/>
  <c r="BJ214" i="21" s="1"/>
  <c r="DT214" i="21"/>
  <c r="FG336" i="21"/>
  <c r="CU336" i="21"/>
  <c r="FG409" i="21"/>
  <c r="DA409" i="21"/>
  <c r="CV171" i="21"/>
  <c r="FH171" i="21"/>
  <c r="FH252" i="21"/>
  <c r="DB252" i="21"/>
  <c r="ED170" i="21"/>
  <c r="CR170" i="21" s="1"/>
  <c r="CB404" i="21"/>
  <c r="CI404" i="21" s="1"/>
  <c r="CK404" i="21" s="1"/>
  <c r="CP404" i="21" s="1"/>
  <c r="CK240" i="21"/>
  <c r="CP240" i="21" s="1"/>
  <c r="ET58" i="21"/>
  <c r="EU58" i="21" s="1"/>
  <c r="EV58" i="21" s="1"/>
  <c r="BJ266" i="21"/>
  <c r="EU363" i="21"/>
  <c r="EV363" i="21" s="1"/>
  <c r="ET363" i="21"/>
  <c r="EH62" i="21"/>
  <c r="EG62" i="21"/>
  <c r="DM363" i="21"/>
  <c r="BH368" i="21"/>
  <c r="ES20" i="21"/>
  <c r="ER20" i="21"/>
  <c r="CK188" i="21"/>
  <c r="CP188" i="21" s="1"/>
  <c r="FI272" i="21"/>
  <c r="CX272" i="21"/>
  <c r="AZ317" i="21"/>
  <c r="AY317" i="21"/>
  <c r="BH317" i="21" s="1"/>
  <c r="BJ317" i="21" s="1"/>
  <c r="ET383" i="21"/>
  <c r="EU383" i="21" s="1"/>
  <c r="EV383" i="21" s="1"/>
  <c r="EZ49" i="21"/>
  <c r="BC173" i="21"/>
  <c r="CN173" i="21" s="1"/>
  <c r="CU133" i="21"/>
  <c r="FG133" i="21"/>
  <c r="DT92" i="21"/>
  <c r="FJ245" i="21"/>
  <c r="DC245" i="21"/>
  <c r="EY19" i="21"/>
  <c r="EZ19" i="21" s="1"/>
  <c r="FJ68" i="21"/>
  <c r="CW68" i="21"/>
  <c r="BM90" i="21"/>
  <c r="BL90" i="21"/>
  <c r="BN90" i="21" s="1"/>
  <c r="DT249" i="21"/>
  <c r="BI249" i="21"/>
  <c r="BJ249" i="21" s="1"/>
  <c r="ET234" i="21"/>
  <c r="EU234" i="21" s="1"/>
  <c r="EV234" i="21" s="1"/>
  <c r="EY40" i="21"/>
  <c r="EZ40" i="21" s="1"/>
  <c r="FG130" i="21"/>
  <c r="CU130" i="21"/>
  <c r="ET189" i="21"/>
  <c r="EU189" i="21" s="1"/>
  <c r="EV189" i="21" s="1"/>
  <c r="EU22" i="21"/>
  <c r="EV22" i="21" s="1"/>
  <c r="ET22" i="21"/>
  <c r="EM22" i="21"/>
  <c r="EP22" i="21" s="1"/>
  <c r="EQ22" i="21" s="1"/>
  <c r="EU69" i="21"/>
  <c r="EV69" i="21" s="1"/>
  <c r="ET69" i="21"/>
  <c r="EY69" i="21"/>
  <c r="EZ69" i="21" s="1"/>
  <c r="CB257" i="21"/>
  <c r="CI257" i="21" s="1"/>
  <c r="CK257" i="21" s="1"/>
  <c r="CP257" i="21" s="1"/>
  <c r="DA273" i="21"/>
  <c r="FG273" i="21"/>
  <c r="BI170" i="21"/>
  <c r="BJ170" i="21" s="1"/>
  <c r="DT170" i="21"/>
  <c r="BI297" i="21"/>
  <c r="BJ297" i="21" s="1"/>
  <c r="DT297" i="21"/>
  <c r="FI196" i="21"/>
  <c r="CX196" i="21"/>
  <c r="BJ302" i="21"/>
  <c r="DT68" i="21"/>
  <c r="ED349" i="21"/>
  <c r="CR349" i="21" s="1"/>
  <c r="ET407" i="21"/>
  <c r="EU407" i="21"/>
  <c r="EV407" i="21" s="1"/>
  <c r="FG128" i="21"/>
  <c r="CU128" i="21"/>
  <c r="BJ311" i="21"/>
  <c r="DD379" i="21"/>
  <c r="FI379" i="21"/>
  <c r="DT59" i="21"/>
  <c r="ET97" i="21"/>
  <c r="EU97" i="21" s="1"/>
  <c r="EV97" i="21" s="1"/>
  <c r="BH204" i="21"/>
  <c r="AZ204" i="21"/>
  <c r="BI314" i="21"/>
  <c r="BJ314" i="21" s="1"/>
  <c r="DT314" i="21"/>
  <c r="DN217" i="21"/>
  <c r="DP217" i="21" s="1"/>
  <c r="AY305" i="21"/>
  <c r="AZ305" i="21" s="1"/>
  <c r="DM365" i="21"/>
  <c r="BP116" i="21"/>
  <c r="EI116" i="21" s="1"/>
  <c r="EH116" i="21" s="1"/>
  <c r="CB259" i="21"/>
  <c r="CI259" i="21" s="1"/>
  <c r="CK259" i="21" s="1"/>
  <c r="CP259" i="21" s="1"/>
  <c r="BC262" i="21"/>
  <c r="CN262" i="21" s="1"/>
  <c r="DT74" i="21"/>
  <c r="DM231" i="21"/>
  <c r="FG437" i="21"/>
  <c r="DA437" i="21"/>
  <c r="CX64" i="21"/>
  <c r="CX8" i="21" s="1"/>
  <c r="FI64" i="21"/>
  <c r="EU207" i="21"/>
  <c r="EV207" i="21" s="1"/>
  <c r="FG354" i="21"/>
  <c r="CU354" i="21"/>
  <c r="CX423" i="21"/>
  <c r="FI423" i="21"/>
  <c r="CB206" i="21"/>
  <c r="CI206" i="21" s="1"/>
  <c r="CK206" i="21" s="1"/>
  <c r="CP206" i="21" s="1"/>
  <c r="CU331" i="21"/>
  <c r="FG331" i="21"/>
  <c r="AQ25" i="21"/>
  <c r="BI326" i="21"/>
  <c r="BJ326" i="21" s="1"/>
  <c r="DT326" i="21"/>
  <c r="FH167" i="21"/>
  <c r="CV167" i="21"/>
  <c r="DC314" i="21"/>
  <c r="FJ314" i="21"/>
  <c r="BJ394" i="21"/>
  <c r="EW474" i="21"/>
  <c r="EX474" i="21" s="1"/>
  <c r="EG428" i="21"/>
  <c r="EH428" i="21"/>
  <c r="BC444" i="21"/>
  <c r="CN444" i="21" s="1"/>
  <c r="DO478" i="21"/>
  <c r="DP478" i="21"/>
  <c r="EY23" i="21"/>
  <c r="EZ23" i="21"/>
  <c r="ET219" i="21"/>
  <c r="EU219" i="21"/>
  <c r="EV219" i="21" s="1"/>
  <c r="BI333" i="21"/>
  <c r="BJ333" i="21" s="1"/>
  <c r="DT333" i="21"/>
  <c r="BC79" i="21"/>
  <c r="CN79" i="21" s="1"/>
  <c r="AZ392" i="21"/>
  <c r="BH392" i="21"/>
  <c r="BJ392" i="21" s="1"/>
  <c r="ET91" i="21"/>
  <c r="ET214" i="21"/>
  <c r="EU214" i="21" s="1"/>
  <c r="EV214" i="21" s="1"/>
  <c r="EM214" i="21"/>
  <c r="EP214" i="21" s="1"/>
  <c r="EQ214" i="21" s="1"/>
  <c r="BJ353" i="21"/>
  <c r="ET409" i="21"/>
  <c r="EU409" i="21" s="1"/>
  <c r="EV409" i="21" s="1"/>
  <c r="EM162" i="21"/>
  <c r="EP162" i="21" s="1"/>
  <c r="EQ162" i="21" s="1"/>
  <c r="ET326" i="21"/>
  <c r="EU326" i="21" s="1"/>
  <c r="EV326" i="21" s="1"/>
  <c r="EY28" i="21"/>
  <c r="EZ28" i="21" s="1"/>
  <c r="EU48" i="21"/>
  <c r="EV48" i="21" s="1"/>
  <c r="ET48" i="21"/>
  <c r="AZ200" i="21"/>
  <c r="BH200" i="21"/>
  <c r="DT120" i="21"/>
  <c r="DD310" i="21"/>
  <c r="FI310" i="21"/>
  <c r="BJ378" i="21"/>
  <c r="DM84" i="21"/>
  <c r="FH256" i="21"/>
  <c r="DB256" i="21"/>
  <c r="FI291" i="21"/>
  <c r="DD291" i="21"/>
  <c r="ED260" i="21"/>
  <c r="CR260" i="21" s="1"/>
  <c r="DT251" i="21"/>
  <c r="BI251" i="21"/>
  <c r="BJ251" i="21" s="1"/>
  <c r="DT337" i="21"/>
  <c r="BI337" i="21"/>
  <c r="BJ337" i="21" s="1"/>
  <c r="ET223" i="21"/>
  <c r="EU223" i="21" s="1"/>
  <c r="EV223" i="21" s="1"/>
  <c r="DT370" i="21"/>
  <c r="BI370" i="21"/>
  <c r="BJ370" i="21" s="1"/>
  <c r="FI413" i="21"/>
  <c r="DD413" i="21"/>
  <c r="AV155" i="21"/>
  <c r="AW155" i="21" s="1"/>
  <c r="BC155" i="21"/>
  <c r="FJ363" i="21"/>
  <c r="DC363" i="21"/>
  <c r="BC354" i="21"/>
  <c r="CN354" i="21" s="1"/>
  <c r="FG363" i="21"/>
  <c r="DA363" i="21"/>
  <c r="DM430" i="21"/>
  <c r="ED184" i="21"/>
  <c r="CR184" i="21" s="1"/>
  <c r="ED324" i="21"/>
  <c r="CR324" i="21" s="1"/>
  <c r="FJ150" i="20"/>
  <c r="DC150" i="20"/>
  <c r="FI327" i="20"/>
  <c r="DD327" i="20"/>
  <c r="FJ142" i="20"/>
  <c r="DC142" i="20"/>
  <c r="DD209" i="20"/>
  <c r="FI209" i="20"/>
  <c r="FI325" i="20"/>
  <c r="DD325" i="20"/>
  <c r="EH301" i="20"/>
  <c r="DM301" i="20" s="1"/>
  <c r="EG301" i="20"/>
  <c r="FJ92" i="20"/>
  <c r="CW92" i="20"/>
  <c r="FJ425" i="20"/>
  <c r="DC425" i="20"/>
  <c r="FJ253" i="20"/>
  <c r="DC253" i="20"/>
  <c r="DD436" i="20"/>
  <c r="FI436" i="20"/>
  <c r="DC149" i="20"/>
  <c r="FJ149" i="20"/>
  <c r="DC247" i="20"/>
  <c r="CX77" i="20"/>
  <c r="EH52" i="20"/>
  <c r="DM52" i="20" s="1"/>
  <c r="BC314" i="20"/>
  <c r="CN314" i="20" s="1"/>
  <c r="DT391" i="20"/>
  <c r="BI391" i="20"/>
  <c r="BJ345" i="20"/>
  <c r="CW115" i="20"/>
  <c r="EG278" i="20"/>
  <c r="CB433" i="20"/>
  <c r="CI433" i="20" s="1"/>
  <c r="FI193" i="20"/>
  <c r="BO65" i="20"/>
  <c r="BP65" i="20" s="1"/>
  <c r="EI65" i="20" s="1"/>
  <c r="BM92" i="20"/>
  <c r="BL92" i="20"/>
  <c r="BN92" i="20" s="1"/>
  <c r="BC477" i="20"/>
  <c r="EZ134" i="20"/>
  <c r="BJ360" i="20"/>
  <c r="CK29" i="20"/>
  <c r="CW71" i="20"/>
  <c r="DD389" i="20"/>
  <c r="AY378" i="20"/>
  <c r="BH378" i="20" s="1"/>
  <c r="BJ411" i="20"/>
  <c r="EH336" i="20"/>
  <c r="DC377" i="20"/>
  <c r="CW60" i="20"/>
  <c r="DD420" i="20"/>
  <c r="AZ159" i="20"/>
  <c r="BZ202" i="20"/>
  <c r="CK220" i="20"/>
  <c r="CP220" i="20" s="1"/>
  <c r="CB290" i="20"/>
  <c r="CI290" i="20" s="1"/>
  <c r="CK290" i="20" s="1"/>
  <c r="CP290" i="20" s="1"/>
  <c r="CX199" i="20"/>
  <c r="FI298" i="20"/>
  <c r="FI363" i="20"/>
  <c r="EY119" i="20"/>
  <c r="EZ119" i="20" s="1"/>
  <c r="CB192" i="20"/>
  <c r="CI192" i="20" s="1"/>
  <c r="CK192" i="20" s="1"/>
  <c r="CP192" i="20" s="1"/>
  <c r="FJ192" i="20" s="1"/>
  <c r="BI386" i="20"/>
  <c r="DD415" i="20"/>
  <c r="BJ391" i="20"/>
  <c r="CK43" i="20"/>
  <c r="EG387" i="20"/>
  <c r="EG371" i="20"/>
  <c r="DD253" i="20"/>
  <c r="BC155" i="20"/>
  <c r="AV155" i="20"/>
  <c r="AW155" i="20" s="1"/>
  <c r="AZ285" i="20"/>
  <c r="BH285" i="20"/>
  <c r="BJ285" i="20" s="1"/>
  <c r="FJ152" i="20"/>
  <c r="DC152" i="20"/>
  <c r="FJ388" i="20"/>
  <c r="DC388" i="20"/>
  <c r="FI371" i="20"/>
  <c r="DD371" i="20"/>
  <c r="BJ327" i="20"/>
  <c r="ER155" i="20"/>
  <c r="DY192" i="20"/>
  <c r="EH192" i="20" s="1"/>
  <c r="AU166" i="20"/>
  <c r="BC495" i="20"/>
  <c r="EH102" i="20"/>
  <c r="DM102" i="20" s="1"/>
  <c r="AZ445" i="20"/>
  <c r="BC445" i="20" s="1"/>
  <c r="CN445" i="20" s="1"/>
  <c r="BC466" i="20"/>
  <c r="BH247" i="20"/>
  <c r="AY301" i="20"/>
  <c r="AZ301" i="20" s="1"/>
  <c r="FI276" i="20"/>
  <c r="DD201" i="20"/>
  <c r="DT416" i="20"/>
  <c r="EM495" i="20"/>
  <c r="EP495" i="20" s="1"/>
  <c r="EQ495" i="20" s="1"/>
  <c r="AZ289" i="20"/>
  <c r="BC289" i="20" s="1"/>
  <c r="CN289" i="20" s="1"/>
  <c r="ER161" i="20"/>
  <c r="CK184" i="20"/>
  <c r="CP184" i="20" s="1"/>
  <c r="FJ184" i="20" s="1"/>
  <c r="CU184" i="20"/>
  <c r="CW88" i="20"/>
  <c r="ER156" i="20"/>
  <c r="EH398" i="20"/>
  <c r="DM398" i="20" s="1"/>
  <c r="DT204" i="20"/>
  <c r="CK171" i="20"/>
  <c r="CP171" i="20" s="1"/>
  <c r="FJ171" i="20" s="1"/>
  <c r="EG319" i="20"/>
  <c r="FI349" i="20"/>
  <c r="FJ93" i="20"/>
  <c r="FI285" i="20"/>
  <c r="AZ427" i="20"/>
  <c r="BC427" i="20" s="1"/>
  <c r="CN427" i="20" s="1"/>
  <c r="BF24" i="20"/>
  <c r="FI275" i="20"/>
  <c r="BJ168" i="20"/>
  <c r="ET156" i="20"/>
  <c r="EU156" i="20" s="1"/>
  <c r="EV156" i="20" s="1"/>
  <c r="DU470" i="20"/>
  <c r="DD180" i="20"/>
  <c r="BI297" i="20"/>
  <c r="BJ297" i="20" s="1"/>
  <c r="DT297" i="20"/>
  <c r="BO144" i="20"/>
  <c r="BP144" i="20" s="1"/>
  <c r="EI144" i="20" s="1"/>
  <c r="EH144" i="20" s="1"/>
  <c r="DM144" i="20" s="1"/>
  <c r="DA177" i="20"/>
  <c r="CB289" i="20"/>
  <c r="CI289" i="20" s="1"/>
  <c r="CK289" i="20" s="1"/>
  <c r="CP289" i="20" s="1"/>
  <c r="CW289" i="20" s="1"/>
  <c r="GA118" i="20"/>
  <c r="CS118" i="20" s="1"/>
  <c r="FI118" i="20" s="1"/>
  <c r="EY74" i="20"/>
  <c r="EZ74" i="20" s="1"/>
  <c r="EH313" i="20"/>
  <c r="DM313" i="20" s="1"/>
  <c r="EG313" i="20"/>
  <c r="FI380" i="20"/>
  <c r="CX380" i="20"/>
  <c r="FI401" i="20"/>
  <c r="BH425" i="20"/>
  <c r="FI143" i="20"/>
  <c r="AQ192" i="20"/>
  <c r="EH333" i="20"/>
  <c r="DM333" i="20" s="1"/>
  <c r="ED333" i="20" s="1"/>
  <c r="CR333" i="20" s="1"/>
  <c r="DT322" i="20"/>
  <c r="BI322" i="20"/>
  <c r="BJ322" i="20" s="1"/>
  <c r="EH378" i="20"/>
  <c r="DM378" i="20" s="1"/>
  <c r="EG378" i="20"/>
  <c r="CK259" i="20"/>
  <c r="CP259" i="20" s="1"/>
  <c r="FJ259" i="20" s="1"/>
  <c r="CK363" i="20"/>
  <c r="CP363" i="20" s="1"/>
  <c r="BI397" i="20"/>
  <c r="BH444" i="20"/>
  <c r="BJ444" i="20" s="1"/>
  <c r="EH443" i="20"/>
  <c r="DM443" i="20" s="1"/>
  <c r="ED443" i="20" s="1"/>
  <c r="CR443" i="20" s="1"/>
  <c r="CB349" i="20"/>
  <c r="CI349" i="20" s="1"/>
  <c r="CK349" i="20" s="1"/>
  <c r="CP349" i="20" s="1"/>
  <c r="CW349" i="20" s="1"/>
  <c r="DA306" i="20"/>
  <c r="FG306" i="20"/>
  <c r="DD403" i="20"/>
  <c r="DD429" i="20"/>
  <c r="CK38" i="20"/>
  <c r="CK213" i="20"/>
  <c r="EG101" i="20"/>
  <c r="BJ377" i="20"/>
  <c r="AZ371" i="20"/>
  <c r="BJ383" i="20"/>
  <c r="BI283" i="20"/>
  <c r="BJ283" i="20" s="1"/>
  <c r="DT283" i="20"/>
  <c r="BO134" i="20"/>
  <c r="BP134" i="20" s="1"/>
  <c r="EI134" i="20" s="1"/>
  <c r="EH134" i="20" s="1"/>
  <c r="FJ151" i="20"/>
  <c r="CW266" i="20"/>
  <c r="FI416" i="20"/>
  <c r="FI277" i="20"/>
  <c r="FI373" i="20"/>
  <c r="CB285" i="20"/>
  <c r="CI285" i="20" s="1"/>
  <c r="CK285" i="20" s="1"/>
  <c r="CP285" i="20" s="1"/>
  <c r="CW285" i="20" s="1"/>
  <c r="CB296" i="20"/>
  <c r="CI296" i="20" s="1"/>
  <c r="CK296" i="20" s="1"/>
  <c r="CP296" i="20" s="1"/>
  <c r="DT268" i="20"/>
  <c r="BI268" i="20"/>
  <c r="BJ268" i="20" s="1"/>
  <c r="EG284" i="20"/>
  <c r="EH284" i="20"/>
  <c r="DM284" i="20" s="1"/>
  <c r="BH270" i="20"/>
  <c r="BJ270" i="20" s="1"/>
  <c r="CK437" i="20"/>
  <c r="CP437" i="20" s="1"/>
  <c r="CB310" i="20"/>
  <c r="CI310" i="20" s="1"/>
  <c r="FJ56" i="20"/>
  <c r="FJ168" i="20"/>
  <c r="AZ336" i="20"/>
  <c r="BC336" i="20" s="1"/>
  <c r="CN336" i="20" s="1"/>
  <c r="DT333" i="20"/>
  <c r="BI333" i="20"/>
  <c r="BJ333" i="20" s="1"/>
  <c r="DY195" i="20"/>
  <c r="EH195" i="20" s="1"/>
  <c r="DM195" i="20" s="1"/>
  <c r="ED195" i="20" s="1"/>
  <c r="CR195" i="20" s="1"/>
  <c r="CZ195" i="20" s="1"/>
  <c r="BZ195" i="20"/>
  <c r="CB195" i="20" s="1"/>
  <c r="CI195" i="20" s="1"/>
  <c r="CK195" i="20" s="1"/>
  <c r="CP195" i="20" s="1"/>
  <c r="T108" i="20"/>
  <c r="AY108" i="20" s="1"/>
  <c r="AZ108" i="20" s="1"/>
  <c r="BC108" i="20" s="1"/>
  <c r="AN108" i="20"/>
  <c r="AQ108" i="20" s="1"/>
  <c r="BZ108" i="20"/>
  <c r="CB108" i="20" s="1"/>
  <c r="CI108" i="20" s="1"/>
  <c r="CK108" i="20" s="1"/>
  <c r="CK188" i="20"/>
  <c r="CP188" i="20" s="1"/>
  <c r="BZ194" i="20"/>
  <c r="EH249" i="20"/>
  <c r="BJ409" i="20"/>
  <c r="BH408" i="20"/>
  <c r="BJ408" i="20" s="1"/>
  <c r="AR165" i="20"/>
  <c r="AU165" i="20"/>
  <c r="AZ334" i="20"/>
  <c r="BC334" i="20" s="1"/>
  <c r="CN334" i="20" s="1"/>
  <c r="BH334" i="20"/>
  <c r="CK49" i="20"/>
  <c r="CK94" i="20"/>
  <c r="CP94" i="20" s="1"/>
  <c r="CB408" i="20"/>
  <c r="CI408" i="20" s="1"/>
  <c r="CK408" i="20" s="1"/>
  <c r="CP408" i="20" s="1"/>
  <c r="BJ421" i="20"/>
  <c r="CK227" i="20"/>
  <c r="CP227" i="20" s="1"/>
  <c r="CW227" i="20" s="1"/>
  <c r="BI247" i="20"/>
  <c r="BJ247" i="20" s="1"/>
  <c r="DT247" i="20"/>
  <c r="CB326" i="20"/>
  <c r="CI326" i="20" s="1"/>
  <c r="CK326" i="20" s="1"/>
  <c r="CP326" i="20" s="1"/>
  <c r="AZ395" i="20"/>
  <c r="BC395" i="20" s="1"/>
  <c r="CN395" i="20" s="1"/>
  <c r="FH395" i="20" s="1"/>
  <c r="BI354" i="20"/>
  <c r="DT354" i="20"/>
  <c r="FJ69" i="20"/>
  <c r="CW69" i="20"/>
  <c r="BH176" i="20"/>
  <c r="BJ176" i="20" s="1"/>
  <c r="AZ176" i="20"/>
  <c r="BC176" i="20" s="1"/>
  <c r="CN176" i="20" s="1"/>
  <c r="BO22" i="20"/>
  <c r="BP22" i="20" s="1"/>
  <c r="EI22" i="20" s="1"/>
  <c r="CK368" i="20"/>
  <c r="CP368" i="20" s="1"/>
  <c r="CW368" i="20" s="1"/>
  <c r="DT417" i="20"/>
  <c r="CK389" i="20"/>
  <c r="CP389" i="20" s="1"/>
  <c r="BI348" i="20"/>
  <c r="BJ348" i="20" s="1"/>
  <c r="DT348" i="20"/>
  <c r="CW176" i="20"/>
  <c r="FJ176" i="20"/>
  <c r="CW354" i="20"/>
  <c r="FJ354" i="20"/>
  <c r="FI141" i="20"/>
  <c r="DD141" i="20"/>
  <c r="DD118" i="20"/>
  <c r="BC210" i="20"/>
  <c r="CN210" i="20" s="1"/>
  <c r="CV210" i="20" s="1"/>
  <c r="DQ489" i="20"/>
  <c r="BO42" i="20"/>
  <c r="BO118" i="20"/>
  <c r="BP118" i="20" s="1"/>
  <c r="EI118" i="20" s="1"/>
  <c r="EH118" i="20" s="1"/>
  <c r="DM118" i="20" s="1"/>
  <c r="CB319" i="20"/>
  <c r="CI319" i="20" s="1"/>
  <c r="CK319" i="20" s="1"/>
  <c r="CP319" i="20" s="1"/>
  <c r="DC319" i="20" s="1"/>
  <c r="AZ321" i="20"/>
  <c r="BO136" i="20"/>
  <c r="BP136" i="20" s="1"/>
  <c r="EI136" i="20" s="1"/>
  <c r="EH136" i="20" s="1"/>
  <c r="DM136" i="20" s="1"/>
  <c r="BH413" i="20"/>
  <c r="BC129" i="20"/>
  <c r="CN129" i="20" s="1"/>
  <c r="CV129" i="20" s="1"/>
  <c r="BC432" i="20"/>
  <c r="CN432" i="20" s="1"/>
  <c r="FH432" i="20" s="1"/>
  <c r="FJ129" i="20"/>
  <c r="CW129" i="20"/>
  <c r="BH329" i="20"/>
  <c r="CK360" i="20"/>
  <c r="CP360" i="20" s="1"/>
  <c r="CW360" i="20" s="1"/>
  <c r="EZ29" i="20"/>
  <c r="CK218" i="20"/>
  <c r="AZ409" i="20"/>
  <c r="BC409" i="20" s="1"/>
  <c r="CN409" i="20" s="1"/>
  <c r="DB409" i="20" s="1"/>
  <c r="BH390" i="20"/>
  <c r="BJ390" i="20" s="1"/>
  <c r="ER493" i="20"/>
  <c r="CB380" i="20"/>
  <c r="CI380" i="20" s="1"/>
  <c r="CK380" i="20" s="1"/>
  <c r="CP380" i="20" s="1"/>
  <c r="CW380" i="20" s="1"/>
  <c r="ET75" i="20"/>
  <c r="EU75" i="20" s="1"/>
  <c r="EV75" i="20" s="1"/>
  <c r="DQ34" i="20"/>
  <c r="AZ164" i="20"/>
  <c r="AV164" i="20" s="1"/>
  <c r="AW164" i="20" s="1"/>
  <c r="BH309" i="20"/>
  <c r="BJ370" i="20"/>
  <c r="CB103" i="20"/>
  <c r="CI103" i="20" s="1"/>
  <c r="CK103" i="20" s="1"/>
  <c r="CP103" i="20" s="1"/>
  <c r="CX391" i="20"/>
  <c r="BO73" i="20"/>
  <c r="BP73" i="20" s="1"/>
  <c r="EI73" i="20" s="1"/>
  <c r="ES493" i="20"/>
  <c r="EW493" i="20" s="1"/>
  <c r="EX493" i="20" s="1"/>
  <c r="BI446" i="20"/>
  <c r="DT446" i="20"/>
  <c r="CK216" i="20"/>
  <c r="FI195" i="20"/>
  <c r="BO141" i="20"/>
  <c r="BP141" i="20" s="1"/>
  <c r="EI141" i="20" s="1"/>
  <c r="EH141" i="20" s="1"/>
  <c r="DM141" i="20" s="1"/>
  <c r="CK311" i="20"/>
  <c r="CP311" i="20" s="1"/>
  <c r="CW311" i="20" s="1"/>
  <c r="CB262" i="20"/>
  <c r="CI262" i="20" s="1"/>
  <c r="CK262" i="20" s="1"/>
  <c r="CP262" i="20" s="1"/>
  <c r="DC262" i="20" s="1"/>
  <c r="ES475" i="20"/>
  <c r="BH395" i="20"/>
  <c r="BJ395" i="20" s="1"/>
  <c r="ET181" i="20"/>
  <c r="EU181" i="20" s="1"/>
  <c r="EV181" i="20" s="1"/>
  <c r="CK174" i="20"/>
  <c r="CP174" i="20" s="1"/>
  <c r="DT296" i="20"/>
  <c r="BI296" i="20"/>
  <c r="BJ296" i="20" s="1"/>
  <c r="CW116" i="20"/>
  <c r="DT251" i="20"/>
  <c r="BH210" i="20"/>
  <c r="BJ210" i="20" s="1"/>
  <c r="CB366" i="20"/>
  <c r="CI366" i="20" s="1"/>
  <c r="CK366" i="20" s="1"/>
  <c r="CP366" i="20" s="1"/>
  <c r="DD417" i="20"/>
  <c r="DD448" i="20"/>
  <c r="CB95" i="20"/>
  <c r="CI95" i="20" s="1"/>
  <c r="CK95" i="20" s="1"/>
  <c r="CP95" i="20" s="1"/>
  <c r="FJ95" i="20" s="1"/>
  <c r="BJ263" i="20"/>
  <c r="BJ388" i="20"/>
  <c r="AZ413" i="20"/>
  <c r="BC413" i="20" s="1"/>
  <c r="CN413" i="20" s="1"/>
  <c r="BJ334" i="20"/>
  <c r="CK286" i="20"/>
  <c r="CP286" i="20" s="1"/>
  <c r="DP493" i="20"/>
  <c r="EY23" i="20"/>
  <c r="EZ23" i="20" s="1"/>
  <c r="DD319" i="20"/>
  <c r="FI319" i="20"/>
  <c r="FJ243" i="20"/>
  <c r="CW243" i="20"/>
  <c r="AZ363" i="20"/>
  <c r="BC363" i="20" s="1"/>
  <c r="CN363" i="20" s="1"/>
  <c r="BH363" i="20"/>
  <c r="DP475" i="20"/>
  <c r="DO475" i="20"/>
  <c r="CB86" i="20"/>
  <c r="CI86" i="20" s="1"/>
  <c r="CK86" i="20" s="1"/>
  <c r="CP86" i="20" s="1"/>
  <c r="CW86" i="20" s="1"/>
  <c r="BH179" i="20"/>
  <c r="EG409" i="20"/>
  <c r="EH409" i="20"/>
  <c r="DM409" i="20" s="1"/>
  <c r="ED409" i="20" s="1"/>
  <c r="CR409" i="20" s="1"/>
  <c r="EH323" i="20"/>
  <c r="DM323" i="20" s="1"/>
  <c r="ED323" i="20" s="1"/>
  <c r="CR323" i="20" s="1"/>
  <c r="EG323" i="20"/>
  <c r="EG275" i="20"/>
  <c r="EH275" i="20"/>
  <c r="DM275" i="20" s="1"/>
  <c r="ED275" i="20" s="1"/>
  <c r="CR275" i="20" s="1"/>
  <c r="BI382" i="20"/>
  <c r="BJ382" i="20" s="1"/>
  <c r="CB394" i="20"/>
  <c r="CI394" i="20" s="1"/>
  <c r="CK394" i="20" s="1"/>
  <c r="CP394" i="20" s="1"/>
  <c r="CB64" i="20"/>
  <c r="CI64" i="20" s="1"/>
  <c r="CK64" i="20" s="1"/>
  <c r="CP64" i="20" s="1"/>
  <c r="CW64" i="20" s="1"/>
  <c r="BC184" i="20"/>
  <c r="CN184" i="20" s="1"/>
  <c r="FH184" i="20" s="1"/>
  <c r="CB335" i="20"/>
  <c r="CI335" i="20" s="1"/>
  <c r="CK335" i="20" s="1"/>
  <c r="CP335" i="20" s="1"/>
  <c r="CW335" i="20" s="1"/>
  <c r="CI314" i="20"/>
  <c r="CK314" i="20" s="1"/>
  <c r="CP314" i="20" s="1"/>
  <c r="BO122" i="20"/>
  <c r="BP122" i="20" s="1"/>
  <c r="EI122" i="20" s="1"/>
  <c r="EH122" i="20" s="1"/>
  <c r="EH283" i="20"/>
  <c r="DM283" i="20" s="1"/>
  <c r="EG334" i="20"/>
  <c r="DQ48" i="20"/>
  <c r="ER475" i="20"/>
  <c r="CK301" i="20"/>
  <c r="CP301" i="20" s="1"/>
  <c r="DC301" i="20" s="1"/>
  <c r="BI271" i="20"/>
  <c r="BJ271" i="20" s="1"/>
  <c r="DT271" i="20"/>
  <c r="BH267" i="20"/>
  <c r="BJ267" i="20" s="1"/>
  <c r="BC390" i="20"/>
  <c r="CN390" i="20" s="1"/>
  <c r="BO102" i="20"/>
  <c r="BP102" i="20" s="1"/>
  <c r="EI102" i="20" s="1"/>
  <c r="AZ165" i="20"/>
  <c r="AV165" i="20" s="1"/>
  <c r="AW165" i="20" s="1"/>
  <c r="EH300" i="20"/>
  <c r="DM300" i="20" s="1"/>
  <c r="EM196" i="20"/>
  <c r="EP196" i="20" s="1"/>
  <c r="EQ196" i="20" s="1"/>
  <c r="BJ266" i="20"/>
  <c r="BH199" i="20"/>
  <c r="CW77" i="20"/>
  <c r="EG259" i="20"/>
  <c r="CX197" i="20"/>
  <c r="DO493" i="20"/>
  <c r="ES487" i="20"/>
  <c r="BJ373" i="20"/>
  <c r="DD431" i="20"/>
  <c r="CI403" i="20"/>
  <c r="CK403" i="20" s="1"/>
  <c r="CP403" i="20" s="1"/>
  <c r="CB375" i="20"/>
  <c r="CI375" i="20" s="1"/>
  <c r="CK375" i="20" s="1"/>
  <c r="CP375" i="20" s="1"/>
  <c r="AZ416" i="20"/>
  <c r="BC416" i="20" s="1"/>
  <c r="CN416" i="20" s="1"/>
  <c r="CV416" i="20" s="1"/>
  <c r="BO123" i="20"/>
  <c r="BP123" i="20" s="1"/>
  <c r="EI123" i="20" s="1"/>
  <c r="EH123" i="20" s="1"/>
  <c r="BH178" i="20"/>
  <c r="BJ178" i="20" s="1"/>
  <c r="DQ21" i="20"/>
  <c r="BH194" i="20"/>
  <c r="BJ194" i="20" s="1"/>
  <c r="DD178" i="20"/>
  <c r="CB386" i="20"/>
  <c r="CI386" i="20" s="1"/>
  <c r="CK386" i="20" s="1"/>
  <c r="CP386" i="20" s="1"/>
  <c r="AZ410" i="20"/>
  <c r="BC410" i="20" s="1"/>
  <c r="CN410" i="20" s="1"/>
  <c r="CV410" i="20" s="1"/>
  <c r="EG252" i="20"/>
  <c r="EH252" i="20"/>
  <c r="DM252" i="20" s="1"/>
  <c r="EG395" i="20"/>
  <c r="EH395" i="20"/>
  <c r="DM395" i="20" s="1"/>
  <c r="CK30" i="20"/>
  <c r="EG96" i="20"/>
  <c r="AZ292" i="20"/>
  <c r="BO146" i="20"/>
  <c r="BP146" i="20" s="1"/>
  <c r="EI146" i="20" s="1"/>
  <c r="EH146" i="20" s="1"/>
  <c r="CO12" i="20"/>
  <c r="DA139" i="20"/>
  <c r="BO93" i="20"/>
  <c r="BP93" i="20" s="1"/>
  <c r="EI93" i="20" s="1"/>
  <c r="AQ104" i="20"/>
  <c r="AU104" i="20" s="1"/>
  <c r="CB358" i="20"/>
  <c r="CI358" i="20" s="1"/>
  <c r="CK358" i="20" s="1"/>
  <c r="CP358" i="20" s="1"/>
  <c r="CW358" i="20" s="1"/>
  <c r="BO43" i="20"/>
  <c r="BP43" i="20" s="1"/>
  <c r="EI43" i="20" s="1"/>
  <c r="ER487" i="20"/>
  <c r="BC335" i="20"/>
  <c r="CN335" i="20" s="1"/>
  <c r="CV335" i="20" s="1"/>
  <c r="CB84" i="20"/>
  <c r="CI84" i="20" s="1"/>
  <c r="CK84" i="20" s="1"/>
  <c r="CP84" i="20" s="1"/>
  <c r="FJ84" i="20" s="1"/>
  <c r="EH410" i="20"/>
  <c r="DM410" i="20" s="1"/>
  <c r="EH329" i="20"/>
  <c r="DM329" i="20" s="1"/>
  <c r="ED329" i="20" s="1"/>
  <c r="CR329" i="20" s="1"/>
  <c r="CU181" i="20"/>
  <c r="FG181" i="20"/>
  <c r="BJ265" i="20"/>
  <c r="EM166" i="20"/>
  <c r="EP166" i="20" s="1"/>
  <c r="EQ166" i="20" s="1"/>
  <c r="ER166" i="20" s="1"/>
  <c r="EG94" i="20"/>
  <c r="DQ42" i="20"/>
  <c r="AZ381" i="20"/>
  <c r="CK383" i="20"/>
  <c r="CP383" i="20" s="1"/>
  <c r="DC383" i="20" s="1"/>
  <c r="BJ416" i="20"/>
  <c r="CK304" i="20"/>
  <c r="CP304" i="20" s="1"/>
  <c r="CB96" i="20"/>
  <c r="CI96" i="20" s="1"/>
  <c r="CK96" i="20" s="1"/>
  <c r="CP96" i="20" s="1"/>
  <c r="AZ370" i="20"/>
  <c r="BC370" i="20" s="1"/>
  <c r="CN370" i="20" s="1"/>
  <c r="EY71" i="20"/>
  <c r="EZ71" i="20" s="1"/>
  <c r="ET71" i="20"/>
  <c r="EU71" i="20" s="1"/>
  <c r="EV71" i="20" s="1"/>
  <c r="AZ340" i="20"/>
  <c r="BH340" i="20"/>
  <c r="BJ340" i="20" s="1"/>
  <c r="AZ208" i="20"/>
  <c r="BC208" i="20" s="1"/>
  <c r="CN208" i="20" s="1"/>
  <c r="DB208" i="20" s="1"/>
  <c r="BH208" i="20"/>
  <c r="BJ208" i="20" s="1"/>
  <c r="EH441" i="20"/>
  <c r="DM441" i="20" s="1"/>
  <c r="EG441" i="20"/>
  <c r="DC401" i="20"/>
  <c r="FJ401" i="20"/>
  <c r="CW55" i="20"/>
  <c r="FJ55" i="20"/>
  <c r="FI394" i="20"/>
  <c r="DD394" i="20"/>
  <c r="DT346" i="20"/>
  <c r="BI346" i="20"/>
  <c r="EH302" i="20"/>
  <c r="DM302" i="20" s="1"/>
  <c r="EG335" i="20"/>
  <c r="ET81" i="20"/>
  <c r="CM13" i="20"/>
  <c r="CB295" i="20"/>
  <c r="CI295" i="20" s="1"/>
  <c r="CK295" i="20" s="1"/>
  <c r="CP295" i="20" s="1"/>
  <c r="FJ295" i="20" s="1"/>
  <c r="EG309" i="20"/>
  <c r="AZ212" i="20"/>
  <c r="BH225" i="20"/>
  <c r="CB280" i="20"/>
  <c r="CI280" i="20" s="1"/>
  <c r="CK280" i="20" s="1"/>
  <c r="CP280" i="20" s="1"/>
  <c r="CB309" i="20"/>
  <c r="CI309" i="20" s="1"/>
  <c r="CK309" i="20" s="1"/>
  <c r="CP309" i="20" s="1"/>
  <c r="CB384" i="20"/>
  <c r="CI384" i="20" s="1"/>
  <c r="CK384" i="20" s="1"/>
  <c r="CP384" i="20" s="1"/>
  <c r="BH372" i="20"/>
  <c r="BJ372" i="20" s="1"/>
  <c r="AZ441" i="20"/>
  <c r="EG348" i="20"/>
  <c r="EH348" i="20"/>
  <c r="DM348" i="20" s="1"/>
  <c r="DT174" i="20"/>
  <c r="BI174" i="20"/>
  <c r="BJ174" i="20" s="1"/>
  <c r="BH153" i="20"/>
  <c r="BJ153" i="20" s="1"/>
  <c r="AZ153" i="20"/>
  <c r="DA183" i="20"/>
  <c r="FG183" i="20"/>
  <c r="AZ350" i="20"/>
  <c r="BC350" i="20" s="1"/>
  <c r="CN350" i="20" s="1"/>
  <c r="CV350" i="20" s="1"/>
  <c r="CB57" i="20"/>
  <c r="CI57" i="20" s="1"/>
  <c r="CK57" i="20" s="1"/>
  <c r="CP57" i="20" s="1"/>
  <c r="CW57" i="20" s="1"/>
  <c r="BH258" i="20"/>
  <c r="BH346" i="20"/>
  <c r="EY68" i="20"/>
  <c r="EZ68" i="20" s="1"/>
  <c r="FI412" i="20"/>
  <c r="CI448" i="20"/>
  <c r="CK448" i="20" s="1"/>
  <c r="CP448" i="20" s="1"/>
  <c r="DC448" i="20" s="1"/>
  <c r="ES485" i="20"/>
  <c r="EW485" i="20" s="1"/>
  <c r="BJ445" i="20"/>
  <c r="CB412" i="20"/>
  <c r="CI412" i="20" s="1"/>
  <c r="CK252" i="20"/>
  <c r="CP252" i="20" s="1"/>
  <c r="DC252" i="20" s="1"/>
  <c r="AV154" i="20"/>
  <c r="AW154" i="20" s="1"/>
  <c r="BC154" i="20"/>
  <c r="AZ296" i="20"/>
  <c r="BC296" i="20" s="1"/>
  <c r="CN296" i="20" s="1"/>
  <c r="BH273" i="20"/>
  <c r="AZ367" i="20"/>
  <c r="DO490" i="20"/>
  <c r="DQ490" i="20" s="1"/>
  <c r="DR490" i="20" s="1"/>
  <c r="FI263" i="20"/>
  <c r="DT183" i="20"/>
  <c r="BI183" i="20"/>
  <c r="BJ183" i="20" s="1"/>
  <c r="DT320" i="20"/>
  <c r="BI320" i="20"/>
  <c r="BJ320" i="20" s="1"/>
  <c r="BO34" i="20"/>
  <c r="BP34" i="20" s="1"/>
  <c r="EI34" i="20" s="1"/>
  <c r="DQ27" i="20"/>
  <c r="BO51" i="20"/>
  <c r="CB305" i="20"/>
  <c r="CI305" i="20" s="1"/>
  <c r="CK305" i="20" s="1"/>
  <c r="CP305" i="20" s="1"/>
  <c r="EG265" i="20"/>
  <c r="BH335" i="20"/>
  <c r="BJ335" i="20" s="1"/>
  <c r="FG337" i="20"/>
  <c r="CB413" i="20"/>
  <c r="CI413" i="20" s="1"/>
  <c r="CK413" i="20" s="1"/>
  <c r="CP413" i="20" s="1"/>
  <c r="FJ413" i="20" s="1"/>
  <c r="FH224" i="20"/>
  <c r="BH449" i="20"/>
  <c r="FJ131" i="20"/>
  <c r="CW131" i="20"/>
  <c r="FG126" i="20"/>
  <c r="CU126" i="20"/>
  <c r="ER163" i="20"/>
  <c r="AV213" i="20"/>
  <c r="AW213" i="20" s="1"/>
  <c r="CB342" i="20"/>
  <c r="CI342" i="20" s="1"/>
  <c r="CK342" i="20" s="1"/>
  <c r="CP342" i="20" s="1"/>
  <c r="CB435" i="20"/>
  <c r="CI435" i="20" s="1"/>
  <c r="DD169" i="20"/>
  <c r="BO76" i="20"/>
  <c r="BP76" i="20" s="1"/>
  <c r="EI76" i="20" s="1"/>
  <c r="CK217" i="20"/>
  <c r="DA174" i="20"/>
  <c r="FG174" i="20"/>
  <c r="DY197" i="20"/>
  <c r="EH197" i="20" s="1"/>
  <c r="DM197" i="20" s="1"/>
  <c r="ED197" i="20" s="1"/>
  <c r="CR197" i="20" s="1"/>
  <c r="BZ197" i="20"/>
  <c r="CB197" i="20" s="1"/>
  <c r="CI197" i="20" s="1"/>
  <c r="CK197" i="20" s="1"/>
  <c r="CP197" i="20" s="1"/>
  <c r="CB97" i="20"/>
  <c r="CI97" i="20" s="1"/>
  <c r="CK97" i="20" s="1"/>
  <c r="CP97" i="20" s="1"/>
  <c r="FJ97" i="20" s="1"/>
  <c r="AU214" i="20"/>
  <c r="BO39" i="20"/>
  <c r="BJ350" i="20"/>
  <c r="CB419" i="20"/>
  <c r="CI419" i="20" s="1"/>
  <c r="CK419" i="20" s="1"/>
  <c r="CP419" i="20" s="1"/>
  <c r="FJ419" i="20" s="1"/>
  <c r="CB99" i="20"/>
  <c r="CI99" i="20" s="1"/>
  <c r="CK99" i="20" s="1"/>
  <c r="CP99" i="20" s="1"/>
  <c r="BJ288" i="20"/>
  <c r="EH396" i="20"/>
  <c r="DM396" i="20" s="1"/>
  <c r="BO127" i="20"/>
  <c r="DC367" i="20"/>
  <c r="ET494" i="20"/>
  <c r="CK273" i="20"/>
  <c r="CP273" i="20" s="1"/>
  <c r="DC273" i="20" s="1"/>
  <c r="BF38" i="20"/>
  <c r="BJ189" i="20"/>
  <c r="EG423" i="20"/>
  <c r="CB207" i="20"/>
  <c r="CI207" i="20" s="1"/>
  <c r="CK207" i="20" s="1"/>
  <c r="CP207" i="20" s="1"/>
  <c r="CW207" i="20" s="1"/>
  <c r="CB445" i="20"/>
  <c r="CI445" i="20" s="1"/>
  <c r="CK445" i="20" s="1"/>
  <c r="CP445" i="20" s="1"/>
  <c r="DC445" i="20" s="1"/>
  <c r="AZ228" i="20"/>
  <c r="BC228" i="20" s="1"/>
  <c r="AZ252" i="20"/>
  <c r="EZ38" i="20"/>
  <c r="AU195" i="20"/>
  <c r="BJ407" i="20"/>
  <c r="CK229" i="20"/>
  <c r="BO19" i="20"/>
  <c r="CK191" i="20"/>
  <c r="CP191" i="20" s="1"/>
  <c r="DT309" i="20"/>
  <c r="BI309" i="20"/>
  <c r="BJ309" i="20" s="1"/>
  <c r="CK32" i="20"/>
  <c r="CK183" i="20"/>
  <c r="CP183" i="20" s="1"/>
  <c r="BH399" i="20"/>
  <c r="BJ399" i="20" s="1"/>
  <c r="AZ399" i="20"/>
  <c r="BC399" i="20" s="1"/>
  <c r="CN399" i="20" s="1"/>
  <c r="CV322" i="20"/>
  <c r="FH322" i="20"/>
  <c r="AZ196" i="20"/>
  <c r="BH196" i="20"/>
  <c r="BJ196" i="20" s="1"/>
  <c r="FJ189" i="20"/>
  <c r="CW189" i="20"/>
  <c r="FI353" i="20"/>
  <c r="DD353" i="20"/>
  <c r="CW205" i="20"/>
  <c r="FJ205" i="20"/>
  <c r="EG440" i="20"/>
  <c r="EH440" i="20"/>
  <c r="DM440" i="20" s="1"/>
  <c r="ET431" i="20"/>
  <c r="EU431" i="20" s="1"/>
  <c r="EV431" i="20" s="1"/>
  <c r="EU52" i="20"/>
  <c r="EV52" i="20" s="1"/>
  <c r="BO49" i="20"/>
  <c r="BO20" i="20"/>
  <c r="BP20" i="20" s="1"/>
  <c r="EI20" i="20" s="1"/>
  <c r="CB317" i="20"/>
  <c r="CI317" i="20" s="1"/>
  <c r="CK317" i="20" s="1"/>
  <c r="CP317" i="20" s="1"/>
  <c r="FJ317" i="20" s="1"/>
  <c r="CB442" i="20"/>
  <c r="CI442" i="20" s="1"/>
  <c r="CK442" i="20" s="1"/>
  <c r="CP442" i="20" s="1"/>
  <c r="FJ442" i="20" s="1"/>
  <c r="DQ30" i="20"/>
  <c r="DM193" i="20"/>
  <c r="ED193" i="20" s="1"/>
  <c r="CR193" i="20" s="1"/>
  <c r="CM12" i="20"/>
  <c r="EM193" i="20"/>
  <c r="EP193" i="20" s="1"/>
  <c r="EQ193" i="20" s="1"/>
  <c r="ES193" i="20" s="1"/>
  <c r="BJ321" i="20"/>
  <c r="DQ40" i="20"/>
  <c r="AZ242" i="20"/>
  <c r="BC242" i="20" s="1"/>
  <c r="BH308" i="20"/>
  <c r="BJ308" i="20" s="1"/>
  <c r="EZ95" i="20"/>
  <c r="FJ421" i="20"/>
  <c r="DT427" i="20"/>
  <c r="BI427" i="20"/>
  <c r="BJ427" i="20" s="1"/>
  <c r="EG289" i="20"/>
  <c r="EH289" i="20"/>
  <c r="DM289" i="20" s="1"/>
  <c r="FG238" i="20"/>
  <c r="CU238" i="20"/>
  <c r="BI361" i="20"/>
  <c r="DT361" i="20"/>
  <c r="CK35" i="20"/>
  <c r="CB264" i="20"/>
  <c r="CI264" i="20" s="1"/>
  <c r="CK264" i="20" s="1"/>
  <c r="CP264" i="20" s="1"/>
  <c r="DC264" i="20" s="1"/>
  <c r="CB263" i="20"/>
  <c r="CI263" i="20" s="1"/>
  <c r="CK263" i="20" s="1"/>
  <c r="CP263" i="20" s="1"/>
  <c r="AZ345" i="20"/>
  <c r="BC345" i="20" s="1"/>
  <c r="CN345" i="20" s="1"/>
  <c r="FH345" i="20" s="1"/>
  <c r="BC161" i="20"/>
  <c r="BH211" i="20"/>
  <c r="DQ20" i="20"/>
  <c r="ET43" i="20"/>
  <c r="EU43" i="20" s="1"/>
  <c r="EV43" i="20" s="1"/>
  <c r="DQ26" i="20"/>
  <c r="BO29" i="20"/>
  <c r="BP29" i="20" s="1"/>
  <c r="EI29" i="20" s="1"/>
  <c r="EZ100" i="20"/>
  <c r="BF96" i="20"/>
  <c r="BZ200" i="20"/>
  <c r="CB200" i="20" s="1"/>
  <c r="CI200" i="20" s="1"/>
  <c r="BJ359" i="20"/>
  <c r="CK432" i="20"/>
  <c r="CP432" i="20" s="1"/>
  <c r="CW432" i="20" s="1"/>
  <c r="CB277" i="20"/>
  <c r="CI277" i="20" s="1"/>
  <c r="CK277" i="20" s="1"/>
  <c r="CP277" i="20" s="1"/>
  <c r="BO143" i="20"/>
  <c r="BP143" i="20" s="1"/>
  <c r="EI143" i="20" s="1"/>
  <c r="EH143" i="20" s="1"/>
  <c r="BJ259" i="20"/>
  <c r="BO85" i="20"/>
  <c r="EM466" i="20"/>
  <c r="EP466" i="20" s="1"/>
  <c r="EQ466" i="20" s="1"/>
  <c r="BH418" i="20"/>
  <c r="BJ418" i="20" s="1"/>
  <c r="CB439" i="20"/>
  <c r="CI439" i="20" s="1"/>
  <c r="CK439" i="20" s="1"/>
  <c r="CP439" i="20" s="1"/>
  <c r="FJ145" i="20"/>
  <c r="DC145" i="20"/>
  <c r="FI144" i="20"/>
  <c r="DD144" i="20"/>
  <c r="FJ127" i="20"/>
  <c r="CW127" i="20"/>
  <c r="EG71" i="20"/>
  <c r="EH71" i="20"/>
  <c r="DM71" i="20" s="1"/>
  <c r="ET113" i="20"/>
  <c r="EU113" i="20" s="1"/>
  <c r="EV113" i="20" s="1"/>
  <c r="ET432" i="20"/>
  <c r="EU432" i="20" s="1"/>
  <c r="EV432" i="20" s="1"/>
  <c r="EU252" i="20"/>
  <c r="EV252" i="20" s="1"/>
  <c r="BH251" i="20"/>
  <c r="BJ251" i="20" s="1"/>
  <c r="DT186" i="20"/>
  <c r="BI186" i="20"/>
  <c r="BH323" i="20"/>
  <c r="BJ323" i="20" s="1"/>
  <c r="CB83" i="20"/>
  <c r="CI83" i="20" s="1"/>
  <c r="CK83" i="20" s="1"/>
  <c r="CP83" i="20" s="1"/>
  <c r="CS17" i="20"/>
  <c r="CB330" i="20"/>
  <c r="CI330" i="20" s="1"/>
  <c r="CK330" i="20" s="1"/>
  <c r="CP330" i="20" s="1"/>
  <c r="FJ330" i="20" s="1"/>
  <c r="CB364" i="20"/>
  <c r="CI364" i="20" s="1"/>
  <c r="CK364" i="20" s="1"/>
  <c r="CP364" i="20" s="1"/>
  <c r="FJ364" i="20" s="1"/>
  <c r="CB431" i="20"/>
  <c r="CI431" i="20" s="1"/>
  <c r="CK431" i="20" s="1"/>
  <c r="CP431" i="20" s="1"/>
  <c r="FJ431" i="20" s="1"/>
  <c r="CB79" i="20"/>
  <c r="CI79" i="20" s="1"/>
  <c r="CK79" i="20" s="1"/>
  <c r="CP79" i="20" s="1"/>
  <c r="FJ79" i="20" s="1"/>
  <c r="CK212" i="20"/>
  <c r="EG290" i="20"/>
  <c r="CB194" i="20"/>
  <c r="CI194" i="20" s="1"/>
  <c r="CK194" i="20" s="1"/>
  <c r="CP194" i="20" s="1"/>
  <c r="CB340" i="20"/>
  <c r="CI340" i="20" s="1"/>
  <c r="CK340" i="20" s="1"/>
  <c r="CP340" i="20" s="1"/>
  <c r="CB341" i="20"/>
  <c r="CI341" i="20" s="1"/>
  <c r="CK341" i="20" s="1"/>
  <c r="CP341" i="20" s="1"/>
  <c r="BH261" i="20"/>
  <c r="BH182" i="20"/>
  <c r="CB372" i="20"/>
  <c r="CI372" i="20" s="1"/>
  <c r="CK372" i="20" s="1"/>
  <c r="CP372" i="20" s="1"/>
  <c r="CW372" i="20" s="1"/>
  <c r="CB320" i="20"/>
  <c r="CI320" i="20" s="1"/>
  <c r="CK320" i="20" s="1"/>
  <c r="CP320" i="20" s="1"/>
  <c r="CB373" i="20"/>
  <c r="CI373" i="20" s="1"/>
  <c r="CK373" i="20" s="1"/>
  <c r="CP373" i="20" s="1"/>
  <c r="BH331" i="20"/>
  <c r="BH419" i="20"/>
  <c r="BJ419" i="20" s="1"/>
  <c r="CB387" i="20"/>
  <c r="CI387" i="20" s="1"/>
  <c r="CK387" i="20" s="1"/>
  <c r="CP387" i="20" s="1"/>
  <c r="DC387" i="20" s="1"/>
  <c r="EG427" i="20"/>
  <c r="EH427" i="20"/>
  <c r="DM427" i="20" s="1"/>
  <c r="ED427" i="20" s="1"/>
  <c r="CR427" i="20" s="1"/>
  <c r="ET264" i="20"/>
  <c r="EU264" i="20" s="1"/>
  <c r="EV264" i="20" s="1"/>
  <c r="BM84" i="20"/>
  <c r="BL84" i="20"/>
  <c r="BN84" i="20" s="1"/>
  <c r="DT222" i="20"/>
  <c r="BI222" i="20"/>
  <c r="BJ222" i="20" s="1"/>
  <c r="DT182" i="20"/>
  <c r="BI182" i="20"/>
  <c r="DT224" i="20"/>
  <c r="BI224" i="20"/>
  <c r="BJ224" i="20" s="1"/>
  <c r="DT181" i="20"/>
  <c r="BI181" i="20"/>
  <c r="BJ181" i="20" s="1"/>
  <c r="AY280" i="20"/>
  <c r="AZ280" i="20" s="1"/>
  <c r="BC280" i="20" s="1"/>
  <c r="CN280" i="20" s="1"/>
  <c r="BI342" i="20"/>
  <c r="DT342" i="20"/>
  <c r="CB397" i="20"/>
  <c r="CI397" i="20" s="1"/>
  <c r="CK397" i="20" s="1"/>
  <c r="CP397" i="20" s="1"/>
  <c r="FJ397" i="20" s="1"/>
  <c r="CB68" i="20"/>
  <c r="CI68" i="20" s="1"/>
  <c r="CK68" i="20" s="1"/>
  <c r="CP68" i="20" s="1"/>
  <c r="CW68" i="20" s="1"/>
  <c r="CB87" i="20"/>
  <c r="CI87" i="20" s="1"/>
  <c r="CK87" i="20" s="1"/>
  <c r="CP87" i="20" s="1"/>
  <c r="FJ87" i="20" s="1"/>
  <c r="CB255" i="20"/>
  <c r="CI255" i="20" s="1"/>
  <c r="CK255" i="20" s="1"/>
  <c r="CP255" i="20" s="1"/>
  <c r="FJ255" i="20" s="1"/>
  <c r="CK336" i="20"/>
  <c r="CP336" i="20" s="1"/>
  <c r="BH203" i="20"/>
  <c r="BH243" i="20"/>
  <c r="BJ243" i="20" s="1"/>
  <c r="EW155" i="20"/>
  <c r="EX155" i="20" s="1"/>
  <c r="DS155" i="20" s="1"/>
  <c r="AZ215" i="20"/>
  <c r="DT252" i="20"/>
  <c r="EH264" i="20"/>
  <c r="EM214" i="20"/>
  <c r="EP214" i="20" s="1"/>
  <c r="EQ214" i="20" s="1"/>
  <c r="ES214" i="20" s="1"/>
  <c r="FI413" i="20"/>
  <c r="FI341" i="20"/>
  <c r="FG142" i="20"/>
  <c r="DA142" i="20"/>
  <c r="DT241" i="20"/>
  <c r="BI241" i="20"/>
  <c r="BJ241" i="20" s="1"/>
  <c r="FG227" i="20"/>
  <c r="CU227" i="20"/>
  <c r="CU312" i="20"/>
  <c r="FG312" i="20"/>
  <c r="EG84" i="20"/>
  <c r="EH84" i="20"/>
  <c r="DM84" i="20" s="1"/>
  <c r="BC156" i="20"/>
  <c r="AV156" i="20"/>
  <c r="AW156" i="20" s="1"/>
  <c r="FG362" i="20"/>
  <c r="CU362" i="20"/>
  <c r="ET182" i="20"/>
  <c r="EU182" i="20" s="1"/>
  <c r="EV182" i="20" s="1"/>
  <c r="BI401" i="20"/>
  <c r="BJ401" i="20" s="1"/>
  <c r="DT401" i="20"/>
  <c r="DT248" i="20"/>
  <c r="BI248" i="20"/>
  <c r="BJ248" i="20" s="1"/>
  <c r="BI290" i="20"/>
  <c r="BJ290" i="20" s="1"/>
  <c r="DT290" i="20"/>
  <c r="ET229" i="20"/>
  <c r="EU229" i="20" s="1"/>
  <c r="EV229" i="20" s="1"/>
  <c r="EG416" i="20"/>
  <c r="CB407" i="20"/>
  <c r="CI407" i="20" s="1"/>
  <c r="CK407" i="20" s="1"/>
  <c r="CP407" i="20" s="1"/>
  <c r="FJ407" i="20" s="1"/>
  <c r="CB428" i="20"/>
  <c r="CI428" i="20" s="1"/>
  <c r="CK428" i="20" s="1"/>
  <c r="CP428" i="20" s="1"/>
  <c r="CW428" i="20" s="1"/>
  <c r="DQ23" i="20"/>
  <c r="CB90" i="20"/>
  <c r="CI90" i="20" s="1"/>
  <c r="CK90" i="20" s="1"/>
  <c r="CP90" i="20" s="1"/>
  <c r="FJ90" i="20" s="1"/>
  <c r="CB299" i="20"/>
  <c r="CI299" i="20" s="1"/>
  <c r="CK299" i="20" s="1"/>
  <c r="CP299" i="20" s="1"/>
  <c r="CW299" i="20" s="1"/>
  <c r="BH233" i="20"/>
  <c r="BJ233" i="20" s="1"/>
  <c r="FJ273" i="20"/>
  <c r="CB298" i="20"/>
  <c r="CI298" i="20" s="1"/>
  <c r="CK298" i="20" s="1"/>
  <c r="CP298" i="20" s="1"/>
  <c r="CB339" i="20"/>
  <c r="CI339" i="20" s="1"/>
  <c r="CK339" i="20" s="1"/>
  <c r="CP339" i="20" s="1"/>
  <c r="CW339" i="20" s="1"/>
  <c r="CB356" i="20"/>
  <c r="CI356" i="20" s="1"/>
  <c r="CK356" i="20" s="1"/>
  <c r="CP356" i="20" s="1"/>
  <c r="FJ356" i="20" s="1"/>
  <c r="DQ35" i="20"/>
  <c r="CB315" i="20"/>
  <c r="CI315" i="20" s="1"/>
  <c r="CK315" i="20" s="1"/>
  <c r="CP315" i="20" s="1"/>
  <c r="CB312" i="20"/>
  <c r="CI312" i="20" s="1"/>
  <c r="CK312" i="20" s="1"/>
  <c r="CP312" i="20" s="1"/>
  <c r="FJ312" i="20" s="1"/>
  <c r="CB359" i="20"/>
  <c r="CI359" i="20" s="1"/>
  <c r="CK359" i="20" s="1"/>
  <c r="CP359" i="20" s="1"/>
  <c r="DC359" i="20" s="1"/>
  <c r="CB82" i="20"/>
  <c r="CI82" i="20" s="1"/>
  <c r="CK82" i="20" s="1"/>
  <c r="CP82" i="20" s="1"/>
  <c r="CW82" i="20" s="1"/>
  <c r="BO88" i="20"/>
  <c r="BO30" i="20"/>
  <c r="BP30" i="20" s="1"/>
  <c r="EI30" i="20" s="1"/>
  <c r="BJ200" i="20"/>
  <c r="CB344" i="20"/>
  <c r="CI344" i="20" s="1"/>
  <c r="CK344" i="20" s="1"/>
  <c r="CP344" i="20" s="1"/>
  <c r="CB306" i="20"/>
  <c r="CI306" i="20" s="1"/>
  <c r="CK306" i="20" s="1"/>
  <c r="CP306" i="20" s="1"/>
  <c r="DO214" i="20"/>
  <c r="DQ214" i="20" s="1"/>
  <c r="DR214" i="20" s="1"/>
  <c r="FI174" i="20"/>
  <c r="AZ431" i="20"/>
  <c r="BC431" i="20" s="1"/>
  <c r="CN431" i="20" s="1"/>
  <c r="CB265" i="20"/>
  <c r="CI265" i="20" s="1"/>
  <c r="CK265" i="20" s="1"/>
  <c r="CP265" i="20" s="1"/>
  <c r="BO35" i="20"/>
  <c r="BP35" i="20" s="1"/>
  <c r="EI35" i="20" s="1"/>
  <c r="DT177" i="20"/>
  <c r="BI177" i="20"/>
  <c r="DT314" i="20"/>
  <c r="BI314" i="20"/>
  <c r="BJ314" i="20" s="1"/>
  <c r="EG380" i="20"/>
  <c r="EH380" i="20"/>
  <c r="DM380" i="20" s="1"/>
  <c r="ED380" i="20" s="1"/>
  <c r="CR380" i="20" s="1"/>
  <c r="DT213" i="20"/>
  <c r="BI213" i="20"/>
  <c r="BJ213" i="20" s="1"/>
  <c r="CK42" i="20"/>
  <c r="AZ195" i="20"/>
  <c r="BH195" i="20"/>
  <c r="BI238" i="20"/>
  <c r="DT238" i="20"/>
  <c r="BC231" i="20"/>
  <c r="CN231" i="20" s="1"/>
  <c r="AQ22" i="20"/>
  <c r="AR22" i="20" s="1"/>
  <c r="FG129" i="20"/>
  <c r="CU129" i="20"/>
  <c r="ET290" i="20"/>
  <c r="EU290" i="20" s="1"/>
  <c r="EV290" i="20" s="1"/>
  <c r="BH338" i="20"/>
  <c r="BJ338" i="20" s="1"/>
  <c r="BO132" i="20"/>
  <c r="BO128" i="20"/>
  <c r="CK260" i="20"/>
  <c r="CP260" i="20" s="1"/>
  <c r="CW260" i="20" s="1"/>
  <c r="CB404" i="20"/>
  <c r="CI404" i="20" s="1"/>
  <c r="CK404" i="20" s="1"/>
  <c r="CP404" i="20" s="1"/>
  <c r="FJ404" i="20" s="1"/>
  <c r="CB390" i="20"/>
  <c r="CI390" i="20" s="1"/>
  <c r="CK390" i="20" s="1"/>
  <c r="CP390" i="20" s="1"/>
  <c r="CB376" i="20"/>
  <c r="CI376" i="20" s="1"/>
  <c r="CK376" i="20" s="1"/>
  <c r="CP376" i="20" s="1"/>
  <c r="FJ376" i="20" s="1"/>
  <c r="CB267" i="20"/>
  <c r="CI267" i="20" s="1"/>
  <c r="CK267" i="20" s="1"/>
  <c r="CP267" i="20" s="1"/>
  <c r="CB288" i="20"/>
  <c r="CI288" i="20" s="1"/>
  <c r="CK288" i="20" s="1"/>
  <c r="CP288" i="20" s="1"/>
  <c r="CB70" i="20"/>
  <c r="CI70" i="20" s="1"/>
  <c r="CK70" i="20" s="1"/>
  <c r="CP70" i="20" s="1"/>
  <c r="FJ70" i="20" s="1"/>
  <c r="AZ189" i="20"/>
  <c r="BC189" i="20" s="1"/>
  <c r="CN189" i="20" s="1"/>
  <c r="CB269" i="20"/>
  <c r="CI269" i="20" s="1"/>
  <c r="CK269" i="20" s="1"/>
  <c r="CP269" i="20" s="1"/>
  <c r="CB371" i="20"/>
  <c r="CI371" i="20" s="1"/>
  <c r="CK371" i="20" s="1"/>
  <c r="CP371" i="20" s="1"/>
  <c r="CB362" i="20"/>
  <c r="CI362" i="20" s="1"/>
  <c r="CK362" i="20" s="1"/>
  <c r="CP362" i="20" s="1"/>
  <c r="CW362" i="20" s="1"/>
  <c r="FJ252" i="20"/>
  <c r="CB405" i="20"/>
  <c r="CI405" i="20" s="1"/>
  <c r="CK405" i="20" s="1"/>
  <c r="CP405" i="20" s="1"/>
  <c r="CW405" i="20" s="1"/>
  <c r="CB426" i="20"/>
  <c r="CI426" i="20" s="1"/>
  <c r="CK426" i="20" s="1"/>
  <c r="CP426" i="20" s="1"/>
  <c r="FJ426" i="20" s="1"/>
  <c r="AY205" i="20"/>
  <c r="AZ205" i="20" s="1"/>
  <c r="BC205" i="20" s="1"/>
  <c r="CN205" i="20" s="1"/>
  <c r="BL71" i="20"/>
  <c r="BN71" i="20" s="1"/>
  <c r="BM71" i="20"/>
  <c r="AY403" i="20"/>
  <c r="AZ403" i="20" s="1"/>
  <c r="BC403" i="20" s="1"/>
  <c r="CN403" i="20" s="1"/>
  <c r="EM213" i="20"/>
  <c r="EP213" i="20" s="1"/>
  <c r="EQ213" i="20" s="1"/>
  <c r="ET213" i="20"/>
  <c r="EU213" i="20" s="1"/>
  <c r="EV213" i="20" s="1"/>
  <c r="EY42" i="20"/>
  <c r="EZ42" i="20" s="1"/>
  <c r="CK226" i="20"/>
  <c r="AY275" i="20"/>
  <c r="AZ275" i="20" s="1"/>
  <c r="BC275" i="20" s="1"/>
  <c r="CN275" i="20" s="1"/>
  <c r="EG332" i="20"/>
  <c r="EH332" i="20"/>
  <c r="DM332" i="20" s="1"/>
  <c r="ED332" i="20" s="1"/>
  <c r="CR332" i="20" s="1"/>
  <c r="BM55" i="20"/>
  <c r="BL55" i="20"/>
  <c r="BN55" i="20" s="1"/>
  <c r="DN213" i="20"/>
  <c r="DO213" i="20" s="1"/>
  <c r="BI184" i="20"/>
  <c r="BJ184" i="20" s="1"/>
  <c r="DT184" i="20"/>
  <c r="EH55" i="20"/>
  <c r="DM55" i="20" s="1"/>
  <c r="EG55" i="20"/>
  <c r="EU197" i="20"/>
  <c r="EV197" i="20" s="1"/>
  <c r="CB261" i="20"/>
  <c r="CI261" i="20" s="1"/>
  <c r="CK261" i="20" s="1"/>
  <c r="CP261" i="20" s="1"/>
  <c r="FJ261" i="20" s="1"/>
  <c r="CB328" i="20"/>
  <c r="CI328" i="20" s="1"/>
  <c r="CK328" i="20" s="1"/>
  <c r="CP328" i="20" s="1"/>
  <c r="CW328" i="20" s="1"/>
  <c r="EZ127" i="20"/>
  <c r="BO130" i="20"/>
  <c r="BP130" i="20" s="1"/>
  <c r="EI130" i="20" s="1"/>
  <c r="EH130" i="20" s="1"/>
  <c r="CP12" i="20"/>
  <c r="CB59" i="20"/>
  <c r="CI59" i="20" s="1"/>
  <c r="CK59" i="20" s="1"/>
  <c r="CP59" i="20" s="1"/>
  <c r="CW59" i="20" s="1"/>
  <c r="BZ204" i="20"/>
  <c r="CB204" i="20" s="1"/>
  <c r="CI204" i="20" s="1"/>
  <c r="CK204" i="20" s="1"/>
  <c r="CP204" i="20" s="1"/>
  <c r="CB321" i="20"/>
  <c r="CI321" i="20" s="1"/>
  <c r="CB411" i="20"/>
  <c r="CI411" i="20" s="1"/>
  <c r="CK411" i="20" s="1"/>
  <c r="CP411" i="20" s="1"/>
  <c r="CW411" i="20" s="1"/>
  <c r="BH422" i="20"/>
  <c r="BO64" i="20"/>
  <c r="CB449" i="20"/>
  <c r="CI449" i="20" s="1"/>
  <c r="CK449" i="20" s="1"/>
  <c r="CP449" i="20" s="1"/>
  <c r="FJ449" i="20" s="1"/>
  <c r="FJ122" i="20"/>
  <c r="DC122" i="20"/>
  <c r="AZ274" i="20"/>
  <c r="BC274" i="20" s="1"/>
  <c r="CN274" i="20" s="1"/>
  <c r="DB274" i="20" s="1"/>
  <c r="BH274" i="20"/>
  <c r="CK238" i="20"/>
  <c r="CP238" i="20" s="1"/>
  <c r="BO31" i="20"/>
  <c r="BP31" i="20" s="1"/>
  <c r="EI31" i="20" s="1"/>
  <c r="BM77" i="20"/>
  <c r="BL77" i="20"/>
  <c r="BN77" i="20" s="1"/>
  <c r="CB105" i="20"/>
  <c r="CI105" i="20" s="1"/>
  <c r="CK105" i="20" s="1"/>
  <c r="BP42" i="20"/>
  <c r="EI42" i="20" s="1"/>
  <c r="BO125" i="20"/>
  <c r="BP125" i="20" s="1"/>
  <c r="EI125" i="20" s="1"/>
  <c r="EH125" i="20" s="1"/>
  <c r="DM125" i="20" s="1"/>
  <c r="BH375" i="20"/>
  <c r="BJ375" i="20" s="1"/>
  <c r="DY211" i="20"/>
  <c r="EH211" i="20" s="1"/>
  <c r="DM211" i="20" s="1"/>
  <c r="ED211" i="20" s="1"/>
  <c r="CR211" i="20" s="1"/>
  <c r="BZ211" i="20"/>
  <c r="CB211" i="20" s="1"/>
  <c r="CI211" i="20" s="1"/>
  <c r="CK211" i="20" s="1"/>
  <c r="CP211" i="20" s="1"/>
  <c r="N164" i="5"/>
  <c r="O164" i="5"/>
  <c r="O200" i="5"/>
  <c r="N91" i="5"/>
  <c r="O91" i="5"/>
  <c r="O141" i="5"/>
  <c r="N141" i="5"/>
  <c r="O212" i="5"/>
  <c r="O69" i="5"/>
  <c r="N69" i="5"/>
  <c r="N116" i="5"/>
  <c r="N163" i="5"/>
  <c r="O163" i="5"/>
  <c r="N248" i="5"/>
  <c r="O248" i="5"/>
  <c r="O124" i="5"/>
  <c r="N124" i="5"/>
  <c r="O140" i="5"/>
  <c r="N140" i="5"/>
  <c r="O131" i="5"/>
  <c r="N131" i="5"/>
  <c r="O209" i="5"/>
  <c r="O199" i="5"/>
  <c r="N194" i="5"/>
  <c r="O194" i="5"/>
  <c r="N185" i="5"/>
  <c r="O185" i="5"/>
  <c r="N173" i="5"/>
  <c r="O173" i="5"/>
  <c r="N193" i="5"/>
  <c r="O193" i="5"/>
  <c r="EA383" i="5"/>
  <c r="BV361" i="5"/>
  <c r="BI35" i="5"/>
  <c r="BV394" i="5"/>
  <c r="CC394" i="5" s="1"/>
  <c r="CE394" i="5" s="1"/>
  <c r="CJ394" i="5" s="1"/>
  <c r="AT252" i="5"/>
  <c r="N62" i="5"/>
  <c r="O62" i="5"/>
  <c r="N93" i="5"/>
  <c r="O93" i="5"/>
  <c r="N162" i="5"/>
  <c r="O162" i="5"/>
  <c r="N251" i="5"/>
  <c r="O251" i="5"/>
  <c r="O147" i="5"/>
  <c r="N147" i="5"/>
  <c r="O139" i="5"/>
  <c r="N139" i="5"/>
  <c r="O130" i="5"/>
  <c r="N130" i="5"/>
  <c r="O208" i="5"/>
  <c r="O198" i="5"/>
  <c r="N192" i="5"/>
  <c r="O192" i="5"/>
  <c r="N184" i="5"/>
  <c r="O184" i="5"/>
  <c r="N172" i="5"/>
  <c r="O172" i="5"/>
  <c r="N195" i="5"/>
  <c r="O195" i="5"/>
  <c r="EA379" i="5"/>
  <c r="BC258" i="5"/>
  <c r="N77" i="5"/>
  <c r="O77" i="5"/>
  <c r="O132" i="5"/>
  <c r="N132" i="5"/>
  <c r="N174" i="5"/>
  <c r="O174" i="5"/>
  <c r="O146" i="5"/>
  <c r="N146" i="5"/>
  <c r="O138" i="5"/>
  <c r="N138" i="5"/>
  <c r="O129" i="5"/>
  <c r="N129" i="5"/>
  <c r="O197" i="5"/>
  <c r="N183" i="5"/>
  <c r="O183" i="5"/>
  <c r="EA307" i="5"/>
  <c r="N161" i="5"/>
  <c r="O161" i="5"/>
  <c r="N191" i="5"/>
  <c r="O191" i="5"/>
  <c r="N60" i="5"/>
  <c r="O60" i="5"/>
  <c r="N76" i="5"/>
  <c r="O76" i="5"/>
  <c r="N78" i="5"/>
  <c r="O78" i="5"/>
  <c r="O88" i="5"/>
  <c r="N88" i="5"/>
  <c r="N90" i="5"/>
  <c r="O90" i="5"/>
  <c r="N92" i="5"/>
  <c r="O92" i="5"/>
  <c r="N94" i="5"/>
  <c r="O94" i="5"/>
  <c r="N119" i="5"/>
  <c r="N156" i="5"/>
  <c r="O156" i="5"/>
  <c r="N160" i="5"/>
  <c r="O160" i="5"/>
  <c r="N249" i="5"/>
  <c r="O249" i="5"/>
  <c r="O145" i="5"/>
  <c r="N145" i="5"/>
  <c r="O137" i="5"/>
  <c r="N137" i="5"/>
  <c r="O128" i="5"/>
  <c r="N128" i="5"/>
  <c r="O196" i="5"/>
  <c r="O206" i="5"/>
  <c r="O202" i="5"/>
  <c r="N190" i="5"/>
  <c r="O190" i="5"/>
  <c r="N181" i="5"/>
  <c r="O181" i="5"/>
  <c r="N170" i="5"/>
  <c r="O170" i="5"/>
  <c r="EB260" i="5"/>
  <c r="BB334" i="5"/>
  <c r="BI27" i="5"/>
  <c r="N186" i="5"/>
  <c r="O186" i="5"/>
  <c r="N171" i="5"/>
  <c r="O171" i="5"/>
  <c r="N111" i="5"/>
  <c r="N120" i="5"/>
  <c r="N167" i="5"/>
  <c r="O167" i="5"/>
  <c r="N159" i="5"/>
  <c r="O159" i="5"/>
  <c r="O144" i="5"/>
  <c r="N144" i="5"/>
  <c r="O136" i="5"/>
  <c r="N136" i="5"/>
  <c r="O127" i="5"/>
  <c r="N127" i="5"/>
  <c r="O215" i="5"/>
  <c r="O205" i="5"/>
  <c r="O203" i="5"/>
  <c r="N189" i="5"/>
  <c r="O189" i="5"/>
  <c r="N179" i="5"/>
  <c r="O179" i="5"/>
  <c r="N176" i="5"/>
  <c r="O176" i="5"/>
  <c r="EA413" i="5"/>
  <c r="BV432" i="5"/>
  <c r="CC432" i="5" s="1"/>
  <c r="CE432" i="5" s="1"/>
  <c r="CJ432" i="5" s="1"/>
  <c r="BV339" i="5"/>
  <c r="CC339" i="5" s="1"/>
  <c r="CE339" i="5" s="1"/>
  <c r="CJ339" i="5" s="1"/>
  <c r="BV424" i="5"/>
  <c r="CC424" i="5" s="1"/>
  <c r="CE424" i="5" s="1"/>
  <c r="CJ424" i="5" s="1"/>
  <c r="N79" i="5"/>
  <c r="O79" i="5"/>
  <c r="N182" i="5"/>
  <c r="O182" i="5"/>
  <c r="O134" i="5"/>
  <c r="N134" i="5"/>
  <c r="N250" i="5"/>
  <c r="O250" i="5"/>
  <c r="O207" i="5"/>
  <c r="N66" i="5"/>
  <c r="O66" i="5"/>
  <c r="N113" i="5"/>
  <c r="N121" i="5"/>
  <c r="N166" i="5"/>
  <c r="O166" i="5"/>
  <c r="N158" i="5"/>
  <c r="O158" i="5"/>
  <c r="O143" i="5"/>
  <c r="N143" i="5"/>
  <c r="O135" i="5"/>
  <c r="N135" i="5"/>
  <c r="O126" i="5"/>
  <c r="N126" i="5"/>
  <c r="O214" i="5"/>
  <c r="O204" i="5"/>
  <c r="O210" i="5"/>
  <c r="N188" i="5"/>
  <c r="O188" i="5"/>
  <c r="N177" i="5"/>
  <c r="O177" i="5"/>
  <c r="N178" i="5"/>
  <c r="O178" i="5"/>
  <c r="AW252" i="5"/>
  <c r="CH252" i="5" s="1"/>
  <c r="BD480" i="5"/>
  <c r="BV408" i="5"/>
  <c r="BB384" i="5"/>
  <c r="BC425" i="5"/>
  <c r="EL487" i="5"/>
  <c r="N89" i="5"/>
  <c r="O89" i="5"/>
  <c r="N169" i="5"/>
  <c r="O169" i="5"/>
  <c r="N114" i="5"/>
  <c r="N122" i="5"/>
  <c r="N165" i="5"/>
  <c r="O165" i="5"/>
  <c r="N157" i="5"/>
  <c r="O157" i="5"/>
  <c r="O142" i="5"/>
  <c r="N142" i="5"/>
  <c r="O133" i="5"/>
  <c r="N133" i="5"/>
  <c r="O125" i="5"/>
  <c r="N125" i="5"/>
  <c r="O213" i="5"/>
  <c r="O201" i="5"/>
  <c r="O211" i="5"/>
  <c r="N187" i="5"/>
  <c r="O187" i="5"/>
  <c r="N175" i="5"/>
  <c r="O175" i="5"/>
  <c r="N180" i="5"/>
  <c r="O180" i="5"/>
  <c r="CC281" i="5"/>
  <c r="EA427" i="5"/>
  <c r="EB430" i="5"/>
  <c r="DN486" i="5"/>
  <c r="AK161" i="5"/>
  <c r="BV333" i="5"/>
  <c r="CC333" i="5" s="1"/>
  <c r="CE333" i="5" s="1"/>
  <c r="CJ333" i="5" s="1"/>
  <c r="BV375" i="5"/>
  <c r="CC375" i="5" s="1"/>
  <c r="BV320" i="5"/>
  <c r="BI20" i="5"/>
  <c r="AT374" i="5"/>
  <c r="EA313" i="5"/>
  <c r="AW326" i="5"/>
  <c r="CH326" i="5" s="1"/>
  <c r="EA321" i="5"/>
  <c r="BV398" i="5"/>
  <c r="EA297" i="5"/>
  <c r="BV304" i="5"/>
  <c r="CC304" i="5" s="1"/>
  <c r="BB326" i="5"/>
  <c r="DY108" i="5"/>
  <c r="EA346" i="5"/>
  <c r="AT412" i="5"/>
  <c r="AK157" i="5"/>
  <c r="BV258" i="5"/>
  <c r="CC258" i="5" s="1"/>
  <c r="CE258" i="5" s="1"/>
  <c r="CJ258" i="5" s="1"/>
  <c r="BV102" i="5"/>
  <c r="CC102" i="5" s="1"/>
  <c r="BV348" i="5"/>
  <c r="CC348" i="5" s="1"/>
  <c r="CE348" i="5" s="1"/>
  <c r="CJ348" i="5" s="1"/>
  <c r="BV310" i="5"/>
  <c r="CC310" i="5" s="1"/>
  <c r="AT305" i="5"/>
  <c r="BV342" i="5"/>
  <c r="CC342" i="5" s="1"/>
  <c r="CE342" i="5" s="1"/>
  <c r="CJ342" i="5" s="1"/>
  <c r="EA382" i="5"/>
  <c r="AT277" i="5"/>
  <c r="BV264" i="5"/>
  <c r="CC264" i="5" s="1"/>
  <c r="EA273" i="5"/>
  <c r="AT306" i="5"/>
  <c r="EA426" i="5"/>
  <c r="EA320" i="5"/>
  <c r="EA316" i="5"/>
  <c r="BV269" i="5"/>
  <c r="CC269" i="5" s="1"/>
  <c r="BV295" i="5"/>
  <c r="BV418" i="5"/>
  <c r="CC418" i="5" s="1"/>
  <c r="BC298" i="5"/>
  <c r="AT330" i="5"/>
  <c r="EB340" i="5"/>
  <c r="EB339" i="5"/>
  <c r="AT333" i="5"/>
  <c r="BV332" i="5"/>
  <c r="CC332" i="5" s="1"/>
  <c r="CE332" i="5" s="1"/>
  <c r="CJ332" i="5" s="1"/>
  <c r="BV397" i="5"/>
  <c r="CC397" i="5" s="1"/>
  <c r="CE397" i="5" s="1"/>
  <c r="CJ397" i="5" s="1"/>
  <c r="BV358" i="5"/>
  <c r="CC358" i="5" s="1"/>
  <c r="CE358" i="5" s="1"/>
  <c r="CJ358" i="5" s="1"/>
  <c r="BB388" i="5"/>
  <c r="AT388" i="5"/>
  <c r="AK164" i="5"/>
  <c r="BV279" i="5"/>
  <c r="CC279" i="5" s="1"/>
  <c r="EA309" i="5"/>
  <c r="EA311" i="5"/>
  <c r="EA357" i="5"/>
  <c r="AT364" i="5"/>
  <c r="AW364" i="5" s="1"/>
  <c r="CH364" i="5" s="1"/>
  <c r="BV381" i="5"/>
  <c r="AT380" i="5"/>
  <c r="EA433" i="5"/>
  <c r="BV367" i="5"/>
  <c r="CC367" i="5" s="1"/>
  <c r="BV425" i="5"/>
  <c r="CC425" i="5" s="1"/>
  <c r="CE425" i="5" s="1"/>
  <c r="CJ425" i="5" s="1"/>
  <c r="BV319" i="5"/>
  <c r="CC319" i="5" s="1"/>
  <c r="BV382" i="5"/>
  <c r="FC440" i="5"/>
  <c r="DH487" i="5"/>
  <c r="BB322" i="5"/>
  <c r="EA403" i="5"/>
  <c r="BV266" i="5"/>
  <c r="CC266" i="5" s="1"/>
  <c r="BV447" i="5"/>
  <c r="CC447" i="5" s="1"/>
  <c r="BV359" i="5"/>
  <c r="BV450" i="5"/>
  <c r="CC450" i="5" s="1"/>
  <c r="BV448" i="5"/>
  <c r="CC448" i="5" s="1"/>
  <c r="CE448" i="5" s="1"/>
  <c r="CJ448" i="5" s="1"/>
  <c r="FD448" i="5" s="1"/>
  <c r="BV449" i="5"/>
  <c r="CC449" i="5" s="1"/>
  <c r="CE449" i="5" s="1"/>
  <c r="CJ449" i="5" s="1"/>
  <c r="BD384" i="5"/>
  <c r="EB252" i="5"/>
  <c r="BV451" i="5"/>
  <c r="CC451" i="5" s="1"/>
  <c r="BI43" i="5"/>
  <c r="EO41" i="5"/>
  <c r="EP41" i="5" s="1"/>
  <c r="EQ487" i="5"/>
  <c r="BV305" i="5"/>
  <c r="CC305" i="5" s="1"/>
  <c r="BV407" i="5"/>
  <c r="BV349" i="5"/>
  <c r="BV428" i="5"/>
  <c r="CC428" i="5" s="1"/>
  <c r="CE428" i="5" s="1"/>
  <c r="CJ428" i="5" s="1"/>
  <c r="AK160" i="5"/>
  <c r="S38" i="5"/>
  <c r="S46" i="5"/>
  <c r="EA372" i="5"/>
  <c r="BV400" i="5"/>
  <c r="CC400" i="5" s="1"/>
  <c r="CE400" i="5" s="1"/>
  <c r="CJ400" i="5" s="1"/>
  <c r="FD400" i="5" s="1"/>
  <c r="BI21" i="5"/>
  <c r="EA314" i="5"/>
  <c r="BV391" i="5"/>
  <c r="CC391" i="5" s="1"/>
  <c r="BV415" i="5"/>
  <c r="CC415" i="5" s="1"/>
  <c r="BC433" i="5"/>
  <c r="BV323" i="5"/>
  <c r="CC323" i="5" s="1"/>
  <c r="DY113" i="5"/>
  <c r="BV434" i="5"/>
  <c r="CC434" i="5" s="1"/>
  <c r="CE434" i="5" s="1"/>
  <c r="CJ434" i="5" s="1"/>
  <c r="ET97" i="5"/>
  <c r="EA347" i="5"/>
  <c r="BB281" i="5"/>
  <c r="BD281" i="5" s="1"/>
  <c r="BI33" i="5"/>
  <c r="BV298" i="5"/>
  <c r="CC298" i="5" s="1"/>
  <c r="CE298" i="5" s="1"/>
  <c r="CJ298" i="5" s="1"/>
  <c r="BV393" i="5"/>
  <c r="CC393" i="5" s="1"/>
  <c r="CE393" i="5" s="1"/>
  <c r="CJ393" i="5" s="1"/>
  <c r="BV255" i="5"/>
  <c r="AT255" i="5"/>
  <c r="BV430" i="5"/>
  <c r="CC430" i="5" s="1"/>
  <c r="CE430" i="5" s="1"/>
  <c r="CJ430" i="5" s="1"/>
  <c r="CX404" i="5"/>
  <c r="S47" i="5"/>
  <c r="EA97" i="5"/>
  <c r="BI37" i="5"/>
  <c r="BV422" i="5"/>
  <c r="CC422" i="5" s="1"/>
  <c r="CE422" i="5" s="1"/>
  <c r="CJ422" i="5" s="1"/>
  <c r="AW281" i="5"/>
  <c r="CH281" i="5" s="1"/>
  <c r="FB281" i="5" s="1"/>
  <c r="CC408" i="5"/>
  <c r="CE408" i="5" s="1"/>
  <c r="CJ408" i="5" s="1"/>
  <c r="BI26" i="5"/>
  <c r="BV330" i="5"/>
  <c r="CC330" i="5" s="1"/>
  <c r="CE330" i="5" s="1"/>
  <c r="CJ330" i="5" s="1"/>
  <c r="BV403" i="5"/>
  <c r="CC403" i="5" s="1"/>
  <c r="BV306" i="5"/>
  <c r="CC306" i="5" s="1"/>
  <c r="CE306" i="5" s="1"/>
  <c r="CJ306" i="5" s="1"/>
  <c r="BV406" i="5"/>
  <c r="CC406" i="5" s="1"/>
  <c r="CE406" i="5" s="1"/>
  <c r="CJ406" i="5" s="1"/>
  <c r="BI28" i="5"/>
  <c r="BI48" i="5"/>
  <c r="BJ48" i="5" s="1"/>
  <c r="EC48" i="5" s="1"/>
  <c r="EA387" i="5"/>
  <c r="DN388" i="5"/>
  <c r="EB98" i="5"/>
  <c r="EA275" i="5"/>
  <c r="BD259" i="5"/>
  <c r="BV297" i="5"/>
  <c r="CC297" i="5" s="1"/>
  <c r="BI23" i="5"/>
  <c r="BI30" i="5"/>
  <c r="BJ30" i="5" s="1"/>
  <c r="EC30" i="5" s="1"/>
  <c r="BV362" i="5"/>
  <c r="CC362" i="5" s="1"/>
  <c r="CE362" i="5" s="1"/>
  <c r="CJ362" i="5" s="1"/>
  <c r="DY115" i="5"/>
  <c r="DY116" i="5"/>
  <c r="S44" i="5"/>
  <c r="EB263" i="5"/>
  <c r="EQ496" i="5"/>
  <c r="EA255" i="5"/>
  <c r="EA348" i="5"/>
  <c r="BV373" i="5"/>
  <c r="CC373" i="5" s="1"/>
  <c r="CE373" i="5" s="1"/>
  <c r="CJ373" i="5" s="1"/>
  <c r="EB406" i="5"/>
  <c r="EB408" i="5"/>
  <c r="EA378" i="5"/>
  <c r="BV287" i="5"/>
  <c r="CC287" i="5" s="1"/>
  <c r="BV312" i="5"/>
  <c r="CC312" i="5" s="1"/>
  <c r="BV296" i="5"/>
  <c r="CC296" i="5" s="1"/>
  <c r="CE296" i="5" s="1"/>
  <c r="CJ296" i="5" s="1"/>
  <c r="EA440" i="5"/>
  <c r="BV328" i="5"/>
  <c r="CC328" i="5" s="1"/>
  <c r="BV260" i="5"/>
  <c r="BV383" i="5"/>
  <c r="BV325" i="5"/>
  <c r="CC325" i="5" s="1"/>
  <c r="CE325" i="5" s="1"/>
  <c r="CJ325" i="5" s="1"/>
  <c r="BV321" i="5"/>
  <c r="BV401" i="5"/>
  <c r="CE264" i="5"/>
  <c r="CJ264" i="5" s="1"/>
  <c r="FD264" i="5" s="1"/>
  <c r="DY107" i="5"/>
  <c r="AK159" i="5"/>
  <c r="AW297" i="5"/>
  <c r="CH297" i="5" s="1"/>
  <c r="BV366" i="5"/>
  <c r="CC366" i="5" s="1"/>
  <c r="CE366" i="5" s="1"/>
  <c r="CJ366" i="5" s="1"/>
  <c r="BI29" i="5"/>
  <c r="BB300" i="5"/>
  <c r="BI25" i="5"/>
  <c r="BV412" i="5"/>
  <c r="CC412" i="5" s="1"/>
  <c r="CE412" i="5" s="1"/>
  <c r="CJ412" i="5" s="1"/>
  <c r="FD412" i="5" s="1"/>
  <c r="BD255" i="5"/>
  <c r="BV374" i="5"/>
  <c r="CC374" i="5" s="1"/>
  <c r="CE374" i="5" s="1"/>
  <c r="CJ374" i="5" s="1"/>
  <c r="BV429" i="5"/>
  <c r="CC429" i="5" s="1"/>
  <c r="CE429" i="5" s="1"/>
  <c r="CJ429" i="5" s="1"/>
  <c r="BV270" i="5"/>
  <c r="CC270" i="5" s="1"/>
  <c r="CE270" i="5" s="1"/>
  <c r="CJ270" i="5" s="1"/>
  <c r="BV301" i="5"/>
  <c r="CC301" i="5" s="1"/>
  <c r="BD338" i="5"/>
  <c r="EA400" i="5"/>
  <c r="EA418" i="5"/>
  <c r="EA434" i="5"/>
  <c r="BB254" i="5"/>
  <c r="AT371" i="5"/>
  <c r="EB410" i="5"/>
  <c r="BD263" i="5"/>
  <c r="DY111" i="5"/>
  <c r="DY119" i="5"/>
  <c r="AK165" i="5"/>
  <c r="S23" i="5"/>
  <c r="EA281" i="5"/>
  <c r="BV277" i="5"/>
  <c r="EA389" i="5"/>
  <c r="BV436" i="5"/>
  <c r="CC436" i="5" s="1"/>
  <c r="CE436" i="5" s="1"/>
  <c r="CJ436" i="5" s="1"/>
  <c r="BV262" i="5"/>
  <c r="BV357" i="5"/>
  <c r="CC357" i="5" s="1"/>
  <c r="CE357" i="5" s="1"/>
  <c r="CJ357" i="5" s="1"/>
  <c r="BI24" i="5"/>
  <c r="BJ24" i="5" s="1"/>
  <c r="EC24" i="5" s="1"/>
  <c r="BV399" i="5"/>
  <c r="BV396" i="5"/>
  <c r="CC396" i="5" s="1"/>
  <c r="CE396" i="5" s="1"/>
  <c r="CJ396" i="5" s="1"/>
  <c r="BV300" i="5"/>
  <c r="EA429" i="5"/>
  <c r="BV351" i="5"/>
  <c r="CC351" i="5" s="1"/>
  <c r="BV341" i="5"/>
  <c r="CC341" i="5" s="1"/>
  <c r="CE341" i="5" s="1"/>
  <c r="CJ341" i="5" s="1"/>
  <c r="BV307" i="5"/>
  <c r="CC307" i="5" s="1"/>
  <c r="BV336" i="5"/>
  <c r="CC336" i="5" s="1"/>
  <c r="CE336" i="5" s="1"/>
  <c r="CJ336" i="5" s="1"/>
  <c r="DY112" i="5"/>
  <c r="DY120" i="5"/>
  <c r="EA385" i="5"/>
  <c r="BV288" i="5"/>
  <c r="CC288" i="5" s="1"/>
  <c r="BV441" i="5"/>
  <c r="CC441" i="5" s="1"/>
  <c r="CE441" i="5" s="1"/>
  <c r="CJ441" i="5" s="1"/>
  <c r="BV326" i="5"/>
  <c r="CC326" i="5" s="1"/>
  <c r="EA318" i="5"/>
  <c r="BI44" i="5"/>
  <c r="BJ44" i="5" s="1"/>
  <c r="EC44" i="5" s="1"/>
  <c r="BI46" i="5"/>
  <c r="BV427" i="5"/>
  <c r="CC427" i="5" s="1"/>
  <c r="AT311" i="5"/>
  <c r="BV379" i="5"/>
  <c r="CC379" i="5" s="1"/>
  <c r="BV291" i="5"/>
  <c r="CC291" i="5" s="1"/>
  <c r="BV343" i="5"/>
  <c r="CC343" i="5" s="1"/>
  <c r="EO100" i="5"/>
  <c r="EP100" i="5" s="1"/>
  <c r="BV363" i="5"/>
  <c r="CC363" i="5" s="1"/>
  <c r="CE363" i="5" s="1"/>
  <c r="CJ363" i="5" s="1"/>
  <c r="BV338" i="5"/>
  <c r="CC338" i="5" s="1"/>
  <c r="CE338" i="5" s="1"/>
  <c r="CJ338" i="5" s="1"/>
  <c r="BV311" i="5"/>
  <c r="CC311" i="5" s="1"/>
  <c r="BV267" i="5"/>
  <c r="CC267" i="5" s="1"/>
  <c r="BV303" i="5"/>
  <c r="CC303" i="5" s="1"/>
  <c r="BD258" i="5"/>
  <c r="BV426" i="5"/>
  <c r="CC426" i="5" s="1"/>
  <c r="FC281" i="5"/>
  <c r="DY118" i="5"/>
  <c r="DY121" i="5"/>
  <c r="AK163" i="5"/>
  <c r="S20" i="5"/>
  <c r="EA392" i="5"/>
  <c r="CE152" i="5"/>
  <c r="CJ152" i="5" s="1"/>
  <c r="AT332" i="5"/>
  <c r="BV292" i="5"/>
  <c r="CC292" i="5" s="1"/>
  <c r="BD304" i="5"/>
  <c r="BI51" i="5"/>
  <c r="BI50" i="5"/>
  <c r="BV284" i="5"/>
  <c r="CC284" i="5" s="1"/>
  <c r="BV365" i="5"/>
  <c r="CC365" i="5" s="1"/>
  <c r="CE365" i="5" s="1"/>
  <c r="CJ365" i="5" s="1"/>
  <c r="BV317" i="5"/>
  <c r="CC317" i="5" s="1"/>
  <c r="CE317" i="5" s="1"/>
  <c r="CJ317" i="5" s="1"/>
  <c r="BV347" i="5"/>
  <c r="CC347" i="5" s="1"/>
  <c r="CE347" i="5" s="1"/>
  <c r="CJ347" i="5" s="1"/>
  <c r="BC64" i="20"/>
  <c r="CN64" i="20" s="1"/>
  <c r="BC61" i="20"/>
  <c r="CN61" i="20" s="1"/>
  <c r="FH241" i="20"/>
  <c r="CV241" i="20"/>
  <c r="FI347" i="20"/>
  <c r="CX347" i="20"/>
  <c r="DM356" i="20"/>
  <c r="BC177" i="20"/>
  <c r="CN177" i="20" s="1"/>
  <c r="CV223" i="20"/>
  <c r="FH223" i="20"/>
  <c r="BC319" i="20"/>
  <c r="CN319" i="20" s="1"/>
  <c r="DM140" i="20"/>
  <c r="BC261" i="20"/>
  <c r="CN261" i="20" s="1"/>
  <c r="BC276" i="20"/>
  <c r="CN276" i="20" s="1"/>
  <c r="FI343" i="20"/>
  <c r="CX343" i="20"/>
  <c r="BC434" i="20"/>
  <c r="CN434" i="20" s="1"/>
  <c r="BC82" i="20"/>
  <c r="CN82" i="20" s="1"/>
  <c r="BC136" i="20"/>
  <c r="CN136" i="20" s="1"/>
  <c r="FH234" i="20"/>
  <c r="CV234" i="20"/>
  <c r="FH390" i="20"/>
  <c r="DB390" i="20"/>
  <c r="BC54" i="20"/>
  <c r="CN54" i="20" s="1"/>
  <c r="BC142" i="20"/>
  <c r="CN142" i="20" s="1"/>
  <c r="DM148" i="20"/>
  <c r="DM107" i="20"/>
  <c r="DB201" i="20"/>
  <c r="FH201" i="20"/>
  <c r="BC267" i="20"/>
  <c r="CN267" i="20" s="1"/>
  <c r="BC281" i="20"/>
  <c r="CN281" i="20" s="1"/>
  <c r="BC331" i="20"/>
  <c r="CN331" i="20" s="1"/>
  <c r="FI374" i="20"/>
  <c r="CX374" i="20"/>
  <c r="BC426" i="20"/>
  <c r="CN426" i="20" s="1"/>
  <c r="CV368" i="20"/>
  <c r="FH368" i="20"/>
  <c r="CV240" i="20"/>
  <c r="FH240" i="20"/>
  <c r="DD305" i="20"/>
  <c r="FI305" i="20"/>
  <c r="BC294" i="20"/>
  <c r="CN294" i="20" s="1"/>
  <c r="BC347" i="20"/>
  <c r="CN347" i="20" s="1"/>
  <c r="DM145" i="20"/>
  <c r="DD337" i="20"/>
  <c r="FI337" i="20"/>
  <c r="BC346" i="20"/>
  <c r="CN346" i="20" s="1"/>
  <c r="DM116" i="20"/>
  <c r="BC146" i="20"/>
  <c r="CN146" i="20" s="1"/>
  <c r="DD200" i="20"/>
  <c r="FI200" i="20"/>
  <c r="DM151" i="20"/>
  <c r="BC87" i="20"/>
  <c r="CN87" i="20" s="1"/>
  <c r="BC203" i="20"/>
  <c r="CN203" i="20" s="1"/>
  <c r="BC310" i="20"/>
  <c r="CN310" i="20" s="1"/>
  <c r="BC238" i="20"/>
  <c r="CN238" i="20" s="1"/>
  <c r="BC52" i="20"/>
  <c r="CN52" i="20" s="1"/>
  <c r="DM298" i="20"/>
  <c r="BC88" i="20"/>
  <c r="CN88" i="20" s="1"/>
  <c r="DM131" i="20"/>
  <c r="FI340" i="20"/>
  <c r="CX340" i="20"/>
  <c r="BC173" i="20"/>
  <c r="CN173" i="20" s="1"/>
  <c r="DD376" i="20"/>
  <c r="FI376" i="20"/>
  <c r="BC93" i="20"/>
  <c r="CN93" i="20" s="1"/>
  <c r="BC243" i="20"/>
  <c r="CN243" i="20" s="1"/>
  <c r="BC152" i="20"/>
  <c r="CN152" i="20" s="1"/>
  <c r="DM309" i="20"/>
  <c r="DB440" i="20"/>
  <c r="FH440" i="20"/>
  <c r="BC59" i="20"/>
  <c r="CN59" i="20" s="1"/>
  <c r="ES108" i="20"/>
  <c r="ER108" i="20"/>
  <c r="DM108" i="20"/>
  <c r="BC369" i="20"/>
  <c r="CN369" i="20" s="1"/>
  <c r="FI397" i="20"/>
  <c r="DD397" i="20"/>
  <c r="FI400" i="20"/>
  <c r="DD400" i="20"/>
  <c r="CX442" i="20"/>
  <c r="FI442" i="20"/>
  <c r="CX255" i="20"/>
  <c r="FI255" i="20"/>
  <c r="BC258" i="20"/>
  <c r="CN258" i="20" s="1"/>
  <c r="BC65" i="20"/>
  <c r="CN65" i="20" s="1"/>
  <c r="BC96" i="20"/>
  <c r="CN96" i="20" s="1"/>
  <c r="DM390" i="20"/>
  <c r="BC270" i="20"/>
  <c r="CN270" i="20" s="1"/>
  <c r="BC250" i="20"/>
  <c r="CN250" i="20" s="1"/>
  <c r="DN473" i="20"/>
  <c r="ES473" i="20"/>
  <c r="EW473" i="20" s="1"/>
  <c r="ER473" i="20"/>
  <c r="BC69" i="20"/>
  <c r="CN69" i="20" s="1"/>
  <c r="BC249" i="20"/>
  <c r="CN249" i="20" s="1"/>
  <c r="DM328" i="20"/>
  <c r="BC389" i="20"/>
  <c r="CN389" i="20" s="1"/>
  <c r="FI407" i="20"/>
  <c r="CX407" i="20"/>
  <c r="FI428" i="20"/>
  <c r="CX428" i="20"/>
  <c r="BC78" i="20"/>
  <c r="CN78" i="20" s="1"/>
  <c r="DM98" i="20"/>
  <c r="DM120" i="20"/>
  <c r="DC119" i="20"/>
  <c r="FJ119" i="20"/>
  <c r="FI344" i="20"/>
  <c r="CX344" i="20"/>
  <c r="BC415" i="20"/>
  <c r="CN415" i="20" s="1"/>
  <c r="FH124" i="20"/>
  <c r="CV124" i="20"/>
  <c r="BC128" i="20"/>
  <c r="CN128" i="20" s="1"/>
  <c r="DM142" i="20"/>
  <c r="FH175" i="20"/>
  <c r="CV175" i="20"/>
  <c r="DF178" i="20"/>
  <c r="FL178" i="20"/>
  <c r="BC315" i="20"/>
  <c r="CN315" i="20" s="1"/>
  <c r="DM423" i="20"/>
  <c r="DM94" i="20"/>
  <c r="BC423" i="20"/>
  <c r="CN423" i="20" s="1"/>
  <c r="DN472" i="20"/>
  <c r="ES472" i="20"/>
  <c r="ER472" i="20"/>
  <c r="EW472" i="20" s="1"/>
  <c r="BC364" i="20"/>
  <c r="CN364" i="20" s="1"/>
  <c r="DD361" i="20"/>
  <c r="FI361" i="20"/>
  <c r="BC392" i="20"/>
  <c r="CN392" i="20" s="1"/>
  <c r="DM290" i="20"/>
  <c r="BC186" i="20"/>
  <c r="CN186" i="20" s="1"/>
  <c r="CV198" i="20"/>
  <c r="FH198" i="20"/>
  <c r="DD390" i="20"/>
  <c r="FI390" i="20"/>
  <c r="BC225" i="20"/>
  <c r="CN225" i="20" s="1"/>
  <c r="BC417" i="20"/>
  <c r="CN417" i="20" s="1"/>
  <c r="DM393" i="20"/>
  <c r="AR216" i="20"/>
  <c r="DM334" i="20"/>
  <c r="BC301" i="20"/>
  <c r="CN301" i="20" s="1"/>
  <c r="BC379" i="20"/>
  <c r="CN379" i="20" s="1"/>
  <c r="BC339" i="20"/>
  <c r="CN339" i="20" s="1"/>
  <c r="DP33" i="20"/>
  <c r="DO33" i="20"/>
  <c r="CW66" i="20"/>
  <c r="FJ66" i="20"/>
  <c r="DT77" i="20"/>
  <c r="BE97" i="20"/>
  <c r="BF97" i="20" s="1"/>
  <c r="CO97" i="20" s="1"/>
  <c r="AY97" i="20"/>
  <c r="AZ97" i="20" s="1"/>
  <c r="FH89" i="20"/>
  <c r="CV89" i="20"/>
  <c r="EH83" i="20"/>
  <c r="EG83" i="20"/>
  <c r="FH116" i="20"/>
  <c r="CV116" i="20"/>
  <c r="BC174" i="20"/>
  <c r="CN174" i="20" s="1"/>
  <c r="BI172" i="20"/>
  <c r="BJ172" i="20" s="1"/>
  <c r="DT172" i="20"/>
  <c r="ED232" i="20"/>
  <c r="CR232" i="20" s="1"/>
  <c r="ET224" i="20"/>
  <c r="EU224" i="20" s="1"/>
  <c r="EV224" i="20" s="1"/>
  <c r="FI281" i="20"/>
  <c r="CX281" i="20"/>
  <c r="EH261" i="20"/>
  <c r="EG261" i="20"/>
  <c r="FG277" i="20"/>
  <c r="DA277" i="20"/>
  <c r="DM317" i="20"/>
  <c r="CU347" i="20"/>
  <c r="FG347" i="20"/>
  <c r="CW350" i="20"/>
  <c r="FJ350" i="20"/>
  <c r="FJ328" i="20"/>
  <c r="FG340" i="20"/>
  <c r="CU340" i="20"/>
  <c r="EG364" i="20"/>
  <c r="EH364" i="20"/>
  <c r="ED357" i="20"/>
  <c r="CR357" i="20" s="1"/>
  <c r="ET369" i="20"/>
  <c r="EU369" i="20" s="1"/>
  <c r="EV369" i="20" s="1"/>
  <c r="CU407" i="20"/>
  <c r="FG407" i="20"/>
  <c r="DM416" i="20"/>
  <c r="DM428" i="20"/>
  <c r="EG431" i="20"/>
  <c r="EH431" i="20"/>
  <c r="CK47" i="20"/>
  <c r="DT70" i="20"/>
  <c r="BC71" i="20"/>
  <c r="CN71" i="20" s="1"/>
  <c r="EH75" i="20"/>
  <c r="EG75" i="20"/>
  <c r="DM96" i="20"/>
  <c r="DM110" i="20"/>
  <c r="ET157" i="20"/>
  <c r="EU157" i="20" s="1"/>
  <c r="EV157" i="20" s="1"/>
  <c r="EM157" i="20"/>
  <c r="EP157" i="20" s="1"/>
  <c r="EQ157" i="20" s="1"/>
  <c r="BC178" i="20"/>
  <c r="CN178" i="20" s="1"/>
  <c r="BC227" i="20"/>
  <c r="CN227" i="20" s="1"/>
  <c r="ET221" i="20"/>
  <c r="EU221" i="20" s="1"/>
  <c r="EV221" i="20" s="1"/>
  <c r="CV232" i="20"/>
  <c r="FH232" i="20"/>
  <c r="ET257" i="20"/>
  <c r="EU257" i="20" s="1"/>
  <c r="EV257" i="20" s="1"/>
  <c r="CW255" i="20"/>
  <c r="ED252" i="20"/>
  <c r="CR252" i="20" s="1"/>
  <c r="FI288" i="20"/>
  <c r="CX288" i="20"/>
  <c r="ET306" i="20"/>
  <c r="EU306" i="20" s="1"/>
  <c r="EV306" i="20" s="1"/>
  <c r="ET26" i="20"/>
  <c r="EU26" i="20" s="1"/>
  <c r="EV26" i="20" s="1"/>
  <c r="DM112" i="20"/>
  <c r="CS96" i="20"/>
  <c r="CO96" i="20"/>
  <c r="CM96" i="20"/>
  <c r="EU81" i="20"/>
  <c r="EV81" i="20" s="1"/>
  <c r="EY124" i="20"/>
  <c r="EZ124" i="20" s="1"/>
  <c r="FH148" i="20"/>
  <c r="DB148" i="20"/>
  <c r="BC143" i="20"/>
  <c r="CN143" i="20" s="1"/>
  <c r="AZ181" i="20"/>
  <c r="CW220" i="20"/>
  <c r="FJ220" i="20"/>
  <c r="BH294" i="20"/>
  <c r="BJ294" i="20" s="1"/>
  <c r="BC323" i="20"/>
  <c r="CN323" i="20" s="1"/>
  <c r="ET344" i="20"/>
  <c r="EU344" i="20" s="1"/>
  <c r="EV344" i="20" s="1"/>
  <c r="DM67" i="20"/>
  <c r="FI98" i="20"/>
  <c r="CX98" i="20"/>
  <c r="ET61" i="20"/>
  <c r="EU61" i="20" s="1"/>
  <c r="EV61" i="20" s="1"/>
  <c r="EY61" i="20"/>
  <c r="EZ61" i="20" s="1"/>
  <c r="BC125" i="20"/>
  <c r="CN125" i="20" s="1"/>
  <c r="DR164" i="20"/>
  <c r="BI164" i="20"/>
  <c r="BJ164" i="20" s="1"/>
  <c r="ET200" i="20"/>
  <c r="EU200" i="20" s="1"/>
  <c r="EV200" i="20" s="1"/>
  <c r="FJ233" i="20"/>
  <c r="CW233" i="20"/>
  <c r="BC192" i="20"/>
  <c r="CN192" i="20" s="1"/>
  <c r="AV192" i="20"/>
  <c r="AW192" i="20" s="1"/>
  <c r="DM212" i="20"/>
  <c r="DT242" i="20"/>
  <c r="BI242" i="20"/>
  <c r="BJ242" i="20" s="1"/>
  <c r="ET279" i="20"/>
  <c r="EU279" i="20" s="1"/>
  <c r="EV279" i="20" s="1"/>
  <c r="ED297" i="20"/>
  <c r="CR297" i="20" s="1"/>
  <c r="FJ333" i="20"/>
  <c r="CW333" i="20"/>
  <c r="EH355" i="20"/>
  <c r="BC342" i="20"/>
  <c r="CN342" i="20" s="1"/>
  <c r="FI445" i="20"/>
  <c r="DD445" i="20"/>
  <c r="EY40" i="20"/>
  <c r="EZ40" i="20" s="1"/>
  <c r="ET40" i="20"/>
  <c r="EU40" i="20" s="1"/>
  <c r="EV40" i="20" s="1"/>
  <c r="BO33" i="20"/>
  <c r="DT55" i="20"/>
  <c r="DM101" i="20"/>
  <c r="BC62" i="20"/>
  <c r="EY98" i="20"/>
  <c r="EZ98" i="20" s="1"/>
  <c r="ED177" i="20"/>
  <c r="CR177" i="20" s="1"/>
  <c r="CU171" i="20"/>
  <c r="FG171" i="20"/>
  <c r="ET180" i="20"/>
  <c r="EU180" i="20" s="1"/>
  <c r="EV180" i="20" s="1"/>
  <c r="BC222" i="20"/>
  <c r="ET188" i="20"/>
  <c r="EU188" i="20" s="1"/>
  <c r="EV188" i="20" s="1"/>
  <c r="DM217" i="20"/>
  <c r="ED233" i="20"/>
  <c r="CR233" i="20" s="1"/>
  <c r="ED231" i="20"/>
  <c r="CR231" i="20" s="1"/>
  <c r="CU240" i="20"/>
  <c r="FG240" i="20"/>
  <c r="ET272" i="20"/>
  <c r="EU272" i="20" s="1"/>
  <c r="EV272" i="20" s="1"/>
  <c r="EH303" i="20"/>
  <c r="EG303" i="20"/>
  <c r="ET305" i="20"/>
  <c r="EU305" i="20" s="1"/>
  <c r="EV305" i="20" s="1"/>
  <c r="BC325" i="20"/>
  <c r="CN325" i="20" s="1"/>
  <c r="BC357" i="20"/>
  <c r="CN357" i="20" s="1"/>
  <c r="FJ390" i="20"/>
  <c r="DC390" i="20"/>
  <c r="ET41" i="20"/>
  <c r="DO47" i="20"/>
  <c r="DP47" i="20"/>
  <c r="EY43" i="20"/>
  <c r="EZ43" i="20" s="1"/>
  <c r="DP37" i="20"/>
  <c r="DO37" i="20"/>
  <c r="FI53" i="20"/>
  <c r="CX53" i="20"/>
  <c r="BC114" i="20"/>
  <c r="CN114" i="20" s="1"/>
  <c r="BC141" i="20"/>
  <c r="CN141" i="20" s="1"/>
  <c r="CM16" i="20"/>
  <c r="BJ171" i="20"/>
  <c r="ET170" i="20"/>
  <c r="EU170" i="20" s="1"/>
  <c r="EV170" i="20" s="1"/>
  <c r="AT197" i="20"/>
  <c r="DU197" i="20" s="1"/>
  <c r="DN197" i="20" s="1"/>
  <c r="AP198" i="20"/>
  <c r="BF237" i="20"/>
  <c r="CO237" i="20" s="1"/>
  <c r="CK237" i="20"/>
  <c r="CP237" i="20" s="1"/>
  <c r="EH258" i="20"/>
  <c r="EG258" i="20"/>
  <c r="ET294" i="20"/>
  <c r="EU294" i="20" s="1"/>
  <c r="EV294" i="20" s="1"/>
  <c r="ET288" i="20"/>
  <c r="EU288" i="20" s="1"/>
  <c r="EV288" i="20" s="1"/>
  <c r="ET327" i="20"/>
  <c r="EU327" i="20" s="1"/>
  <c r="EV327" i="20" s="1"/>
  <c r="EH344" i="20"/>
  <c r="EG344" i="20"/>
  <c r="EN3" i="20"/>
  <c r="EN4" i="20"/>
  <c r="EN1" i="20"/>
  <c r="CW65" i="20"/>
  <c r="FJ65" i="20"/>
  <c r="EG103" i="20"/>
  <c r="EH103" i="20"/>
  <c r="BF100" i="20"/>
  <c r="CO100" i="20" s="1"/>
  <c r="FJ120" i="20"/>
  <c r="DC120" i="20"/>
  <c r="AU193" i="20"/>
  <c r="ED166" i="20"/>
  <c r="CR166" i="20" s="1"/>
  <c r="DP166" i="20"/>
  <c r="DO166" i="20"/>
  <c r="ED220" i="20"/>
  <c r="CR220" i="20" s="1"/>
  <c r="BC182" i="20"/>
  <c r="CN182" i="20" s="1"/>
  <c r="BC248" i="20"/>
  <c r="CN248" i="20" s="1"/>
  <c r="FI249" i="20"/>
  <c r="CX249" i="20"/>
  <c r="EG288" i="20"/>
  <c r="EH288" i="20"/>
  <c r="FG276" i="20"/>
  <c r="DA276" i="20"/>
  <c r="DA301" i="20"/>
  <c r="FG301" i="20"/>
  <c r="CW324" i="20"/>
  <c r="FJ324" i="20"/>
  <c r="BC327" i="20"/>
  <c r="CN327" i="20" s="1"/>
  <c r="ET330" i="20"/>
  <c r="EU330" i="20" s="1"/>
  <c r="EV330" i="20" s="1"/>
  <c r="ED354" i="20"/>
  <c r="CR354" i="20" s="1"/>
  <c r="DM62" i="20"/>
  <c r="EG70" i="20"/>
  <c r="EH70" i="20"/>
  <c r="AU107" i="20"/>
  <c r="AR107" i="20"/>
  <c r="DM114" i="20"/>
  <c r="ET72" i="20"/>
  <c r="T106" i="20"/>
  <c r="CA106" i="20"/>
  <c r="BK106" i="20"/>
  <c r="BZ106" i="20"/>
  <c r="BR106" i="20"/>
  <c r="DZ106" i="20" s="1"/>
  <c r="EB106" i="20" s="1"/>
  <c r="BE106" i="20"/>
  <c r="BF106" i="20" s="1"/>
  <c r="FY106" i="20"/>
  <c r="GA106" i="20" s="1"/>
  <c r="AZ157" i="20"/>
  <c r="EZ144" i="20"/>
  <c r="EM160" i="20"/>
  <c r="EP160" i="20" s="1"/>
  <c r="EQ160" i="20" s="1"/>
  <c r="ET160" i="20"/>
  <c r="EU160" i="20" s="1"/>
  <c r="EV160" i="20" s="1"/>
  <c r="ET204" i="20"/>
  <c r="EU204" i="20" s="1"/>
  <c r="EV204" i="20" s="1"/>
  <c r="EG266" i="20"/>
  <c r="EH266" i="20"/>
  <c r="EG280" i="20"/>
  <c r="EH280" i="20"/>
  <c r="BC318" i="20"/>
  <c r="CN318" i="20" s="1"/>
  <c r="CK321" i="20"/>
  <c r="CP321" i="20" s="1"/>
  <c r="DC373" i="20"/>
  <c r="FJ373" i="20"/>
  <c r="FG379" i="20"/>
  <c r="DA379" i="20"/>
  <c r="EH394" i="20"/>
  <c r="EG394" i="20"/>
  <c r="FI422" i="20"/>
  <c r="CX422" i="20"/>
  <c r="FH168" i="20"/>
  <c r="CV168" i="20"/>
  <c r="FH271" i="20"/>
  <c r="DB271" i="20"/>
  <c r="CX362" i="20"/>
  <c r="FI362" i="20"/>
  <c r="CS16" i="20"/>
  <c r="ED215" i="20"/>
  <c r="CK378" i="20"/>
  <c r="CP378" i="20" s="1"/>
  <c r="BH417" i="20"/>
  <c r="FH444" i="20"/>
  <c r="DB444" i="20"/>
  <c r="DN465" i="20"/>
  <c r="ES465" i="20"/>
  <c r="ER465" i="20"/>
  <c r="BI466" i="20"/>
  <c r="BJ466" i="20" s="1"/>
  <c r="DT466" i="20"/>
  <c r="ER214" i="20"/>
  <c r="DM271" i="20"/>
  <c r="DD406" i="20"/>
  <c r="FI406" i="20"/>
  <c r="CX434" i="20"/>
  <c r="FI434" i="20"/>
  <c r="DN476" i="20"/>
  <c r="ES476" i="20"/>
  <c r="ER476" i="20"/>
  <c r="EM492" i="20"/>
  <c r="EP492" i="20" s="1"/>
  <c r="EQ492" i="20" s="1"/>
  <c r="ET492" i="20"/>
  <c r="EU492" i="20" s="1"/>
  <c r="EV492" i="20" s="1"/>
  <c r="AZ286" i="20"/>
  <c r="ED410" i="20"/>
  <c r="CR410" i="20" s="1"/>
  <c r="CV283" i="20"/>
  <c r="FH283" i="20"/>
  <c r="AY405" i="20"/>
  <c r="BH405" i="20" s="1"/>
  <c r="DA413" i="20"/>
  <c r="FG413" i="20"/>
  <c r="BI425" i="20"/>
  <c r="DT425" i="20"/>
  <c r="ET470" i="20"/>
  <c r="EU470" i="20" s="1"/>
  <c r="EV470" i="20" s="1"/>
  <c r="EM470" i="20"/>
  <c r="EP470" i="20" s="1"/>
  <c r="EQ470" i="20" s="1"/>
  <c r="EG385" i="20"/>
  <c r="EH385" i="20"/>
  <c r="ET384" i="20"/>
  <c r="EU384" i="20" s="1"/>
  <c r="EV384" i="20" s="1"/>
  <c r="BC402" i="20"/>
  <c r="CN402" i="20" s="1"/>
  <c r="EH414" i="20"/>
  <c r="BC418" i="20"/>
  <c r="CN418" i="20" s="1"/>
  <c r="DM432" i="20"/>
  <c r="FI433" i="20"/>
  <c r="DD433" i="20"/>
  <c r="DN484" i="20"/>
  <c r="ER484" i="20"/>
  <c r="ES484" i="20"/>
  <c r="CK45" i="20"/>
  <c r="CV289" i="20"/>
  <c r="FH289" i="20"/>
  <c r="ED377" i="20"/>
  <c r="CR377" i="20" s="1"/>
  <c r="DT367" i="20"/>
  <c r="BI367" i="20"/>
  <c r="BJ367" i="20" s="1"/>
  <c r="BI420" i="20"/>
  <c r="DT420" i="20"/>
  <c r="DD440" i="20"/>
  <c r="FI440" i="20"/>
  <c r="DT486" i="20"/>
  <c r="BI486" i="20"/>
  <c r="BJ486" i="20" s="1"/>
  <c r="DN494" i="20"/>
  <c r="ER494" i="20"/>
  <c r="ES494" i="20"/>
  <c r="EM165" i="20"/>
  <c r="EP165" i="20" s="1"/>
  <c r="EQ165" i="20" s="1"/>
  <c r="BH281" i="20"/>
  <c r="BJ281" i="20" s="1"/>
  <c r="FG363" i="20"/>
  <c r="DA363" i="20"/>
  <c r="ET403" i="20"/>
  <c r="EU403" i="20" s="1"/>
  <c r="EV403" i="20" s="1"/>
  <c r="FG437" i="20"/>
  <c r="DA437" i="20"/>
  <c r="ED496" i="20"/>
  <c r="DP496" i="20"/>
  <c r="DO496" i="20"/>
  <c r="BM72" i="20"/>
  <c r="BL72" i="20"/>
  <c r="BN72" i="20" s="1"/>
  <c r="BO45" i="20"/>
  <c r="BP45" i="20" s="1"/>
  <c r="EI45" i="20" s="1"/>
  <c r="DT57" i="20"/>
  <c r="BC112" i="20"/>
  <c r="CN112" i="20" s="1"/>
  <c r="CW76" i="20"/>
  <c r="FJ76" i="20"/>
  <c r="EY77" i="20"/>
  <c r="EZ77" i="20" s="1"/>
  <c r="ET77" i="20"/>
  <c r="EU77" i="20" s="1"/>
  <c r="EV77" i="20" s="1"/>
  <c r="CW78" i="20"/>
  <c r="FJ78" i="20"/>
  <c r="FI86" i="20"/>
  <c r="CX86" i="20"/>
  <c r="CW83" i="20"/>
  <c r="FJ83" i="20"/>
  <c r="BL95" i="20"/>
  <c r="BN95" i="20" s="1"/>
  <c r="BM95" i="20"/>
  <c r="CW170" i="20"/>
  <c r="FJ170" i="20"/>
  <c r="CZ199" i="20"/>
  <c r="FL199" i="20"/>
  <c r="CX202" i="20"/>
  <c r="FI202" i="20"/>
  <c r="ED213" i="20"/>
  <c r="ED203" i="20"/>
  <c r="CR203" i="20" s="1"/>
  <c r="ED230" i="20"/>
  <c r="ET228" i="20"/>
  <c r="EU228" i="20" s="1"/>
  <c r="EV228" i="20" s="1"/>
  <c r="ED236" i="20"/>
  <c r="CR236" i="20" s="1"/>
  <c r="CW283" i="20"/>
  <c r="FJ283" i="20"/>
  <c r="BC288" i="20"/>
  <c r="CN288" i="20" s="1"/>
  <c r="ET291" i="20"/>
  <c r="EU291" i="20" s="1"/>
  <c r="EV291" i="20" s="1"/>
  <c r="EH331" i="20"/>
  <c r="EG331" i="20"/>
  <c r="DC317" i="20"/>
  <c r="CX335" i="20"/>
  <c r="FI335" i="20"/>
  <c r="CX328" i="20"/>
  <c r="FI328" i="20"/>
  <c r="CB361" i="20"/>
  <c r="CI361" i="20" s="1"/>
  <c r="CK361" i="20" s="1"/>
  <c r="CP361" i="20" s="1"/>
  <c r="ET340" i="20"/>
  <c r="EU340" i="20" s="1"/>
  <c r="EV340" i="20" s="1"/>
  <c r="CU386" i="20"/>
  <c r="FG386" i="20"/>
  <c r="ET407" i="20"/>
  <c r="EU407" i="20" s="1"/>
  <c r="EV407" i="20" s="1"/>
  <c r="DQ46" i="20"/>
  <c r="CV57" i="20"/>
  <c r="FH57" i="20"/>
  <c r="DO45" i="20"/>
  <c r="DP45" i="20"/>
  <c r="BL90" i="20"/>
  <c r="BN90" i="20" s="1"/>
  <c r="BM90" i="20"/>
  <c r="CB75" i="20"/>
  <c r="CI75" i="20" s="1"/>
  <c r="CK75" i="20" s="1"/>
  <c r="CP75" i="20" s="1"/>
  <c r="EG87" i="20"/>
  <c r="EH87" i="20"/>
  <c r="DR157" i="20"/>
  <c r="BI157" i="20"/>
  <c r="BJ157" i="20" s="1"/>
  <c r="AU196" i="20"/>
  <c r="AR196" i="20"/>
  <c r="DY206" i="20"/>
  <c r="EH206" i="20" s="1"/>
  <c r="BZ206" i="20"/>
  <c r="CB206" i="20" s="1"/>
  <c r="CI206" i="20" s="1"/>
  <c r="CK206" i="20" s="1"/>
  <c r="CP206" i="20" s="1"/>
  <c r="DT199" i="20"/>
  <c r="BI199" i="20"/>
  <c r="BJ199" i="20" s="1"/>
  <c r="ED234" i="20"/>
  <c r="CR234" i="20" s="1"/>
  <c r="BF241" i="20"/>
  <c r="CO241" i="20" s="1"/>
  <c r="CK241" i="20"/>
  <c r="CP241" i="20" s="1"/>
  <c r="DB284" i="20"/>
  <c r="FH284" i="20"/>
  <c r="ET292" i="20"/>
  <c r="EU292" i="20" s="1"/>
  <c r="EV292" i="20" s="1"/>
  <c r="ED307" i="20"/>
  <c r="CR307" i="20" s="1"/>
  <c r="BC316" i="20"/>
  <c r="CN316" i="20" s="1"/>
  <c r="ET313" i="20"/>
  <c r="EU313" i="20" s="1"/>
  <c r="EV313" i="20" s="1"/>
  <c r="BC292" i="20"/>
  <c r="CN292" i="20" s="1"/>
  <c r="BI330" i="20"/>
  <c r="DT330" i="20"/>
  <c r="BC58" i="20"/>
  <c r="CN58" i="20" s="1"/>
  <c r="CB63" i="20"/>
  <c r="CI63" i="20" s="1"/>
  <c r="CK63" i="20" s="1"/>
  <c r="CS103" i="20"/>
  <c r="CM103" i="20"/>
  <c r="CU134" i="20"/>
  <c r="FG134" i="20"/>
  <c r="ED219" i="20"/>
  <c r="BC216" i="20"/>
  <c r="ET212" i="20"/>
  <c r="EU212" i="20" s="1"/>
  <c r="EV212" i="20" s="1"/>
  <c r="FG234" i="20"/>
  <c r="CU234" i="20"/>
  <c r="FI295" i="20"/>
  <c r="DD295" i="20"/>
  <c r="EH281" i="20"/>
  <c r="EG281" i="20"/>
  <c r="EG324" i="20"/>
  <c r="EH324" i="20"/>
  <c r="CX339" i="20"/>
  <c r="FI339" i="20"/>
  <c r="EG337" i="20"/>
  <c r="EH337" i="20"/>
  <c r="AR23" i="20"/>
  <c r="DM78" i="20"/>
  <c r="ET46" i="20"/>
  <c r="EU46" i="20" s="1"/>
  <c r="EV46" i="20" s="1"/>
  <c r="BC76" i="20"/>
  <c r="CN76" i="20" s="1"/>
  <c r="CB98" i="20"/>
  <c r="CI98" i="20" s="1"/>
  <c r="CK98" i="20" s="1"/>
  <c r="CP98" i="20" s="1"/>
  <c r="FH92" i="20"/>
  <c r="CV92" i="20"/>
  <c r="DM92" i="20"/>
  <c r="DT89" i="20"/>
  <c r="DT86" i="20"/>
  <c r="GC119" i="20"/>
  <c r="GA119" i="20"/>
  <c r="CS119" i="20" s="1"/>
  <c r="BC166" i="20"/>
  <c r="CN166" i="20" s="1"/>
  <c r="AV166" i="20"/>
  <c r="AW166" i="20" s="1"/>
  <c r="EH200" i="20"/>
  <c r="ET195" i="20"/>
  <c r="EU195" i="20" s="1"/>
  <c r="EV195" i="20" s="1"/>
  <c r="CU198" i="20"/>
  <c r="FG198" i="20"/>
  <c r="ET258" i="20"/>
  <c r="EU258" i="20" s="1"/>
  <c r="EV258" i="20" s="1"/>
  <c r="BC259" i="20"/>
  <c r="CN259" i="20" s="1"/>
  <c r="BC309" i="20"/>
  <c r="CN309" i="20" s="1"/>
  <c r="BC321" i="20"/>
  <c r="CN321" i="20" s="1"/>
  <c r="DM349" i="20"/>
  <c r="CU364" i="20"/>
  <c r="FG364" i="20"/>
  <c r="DM376" i="20"/>
  <c r="FJ445" i="20"/>
  <c r="FJ437" i="20"/>
  <c r="DC437" i="20"/>
  <c r="DP25" i="20"/>
  <c r="DO25" i="20"/>
  <c r="BC68" i="20"/>
  <c r="CN68" i="20" s="1"/>
  <c r="EY55" i="20"/>
  <c r="EZ55" i="20" s="1"/>
  <c r="ET55" i="20"/>
  <c r="EU55" i="20" s="1"/>
  <c r="EV55" i="20" s="1"/>
  <c r="DT68" i="20"/>
  <c r="BJ191" i="20"/>
  <c r="FH237" i="20"/>
  <c r="CV237" i="20"/>
  <c r="ED221" i="20"/>
  <c r="CR221" i="20" s="1"/>
  <c r="CU239" i="20"/>
  <c r="FG239" i="20"/>
  <c r="ET240" i="20"/>
  <c r="EU240" i="20" s="1"/>
  <c r="EV240" i="20" s="1"/>
  <c r="BI275" i="20"/>
  <c r="DT275" i="20"/>
  <c r="CK292" i="20"/>
  <c r="CP292" i="20" s="1"/>
  <c r="BH312" i="20"/>
  <c r="BJ312" i="20" s="1"/>
  <c r="AZ312" i="20"/>
  <c r="ET310" i="20"/>
  <c r="EU310" i="20" s="1"/>
  <c r="EV310" i="20" s="1"/>
  <c r="ET333" i="20"/>
  <c r="EU333" i="20" s="1"/>
  <c r="EV333" i="20" s="1"/>
  <c r="EG328" i="20"/>
  <c r="DM366" i="20"/>
  <c r="DT366" i="20"/>
  <c r="BI366" i="20"/>
  <c r="FI424" i="20"/>
  <c r="DD424" i="20"/>
  <c r="CX419" i="20"/>
  <c r="FI419" i="20"/>
  <c r="BO37" i="20"/>
  <c r="BP37" i="20" s="1"/>
  <c r="EI37" i="20" s="1"/>
  <c r="BC130" i="20"/>
  <c r="CN130" i="20" s="1"/>
  <c r="FG140" i="20"/>
  <c r="DA140" i="20"/>
  <c r="AQ169" i="20"/>
  <c r="CM17" i="20"/>
  <c r="DO195" i="20"/>
  <c r="AZ171" i="20"/>
  <c r="ET203" i="20"/>
  <c r="EU203" i="20" s="1"/>
  <c r="EV203" i="20" s="1"/>
  <c r="ET220" i="20"/>
  <c r="EU220" i="20" s="1"/>
  <c r="EV220" i="20" s="1"/>
  <c r="CU237" i="20"/>
  <c r="FG237" i="20"/>
  <c r="DD262" i="20"/>
  <c r="FI262" i="20"/>
  <c r="CW275" i="20"/>
  <c r="FJ275" i="20"/>
  <c r="DA294" i="20"/>
  <c r="FG294" i="20"/>
  <c r="EH279" i="20"/>
  <c r="EG279" i="20"/>
  <c r="ED289" i="20"/>
  <c r="CR289" i="20" s="1"/>
  <c r="CU308" i="20"/>
  <c r="FG308" i="20"/>
  <c r="DB302" i="20"/>
  <c r="FH302" i="20"/>
  <c r="BI329" i="20"/>
  <c r="DT329" i="20"/>
  <c r="FG326" i="20"/>
  <c r="CU326" i="20"/>
  <c r="BC371" i="20"/>
  <c r="CN371" i="20" s="1"/>
  <c r="DA378" i="20"/>
  <c r="FG378" i="20"/>
  <c r="CB393" i="20"/>
  <c r="CI393" i="20" s="1"/>
  <c r="CK393" i="20" s="1"/>
  <c r="CP393" i="20" s="1"/>
  <c r="DQ19" i="20"/>
  <c r="EY30" i="20"/>
  <c r="EZ30" i="20" s="1"/>
  <c r="EY89" i="20"/>
  <c r="EZ89" i="20" s="1"/>
  <c r="BC56" i="20"/>
  <c r="CN56" i="20" s="1"/>
  <c r="BC91" i="20"/>
  <c r="CN91" i="20" s="1"/>
  <c r="CP10" i="20"/>
  <c r="CP11" i="20" s="1"/>
  <c r="FH129" i="20"/>
  <c r="FI120" i="20"/>
  <c r="DD120" i="20"/>
  <c r="DM150" i="20"/>
  <c r="ES166" i="20"/>
  <c r="EW166" i="20" s="1"/>
  <c r="CW192" i="20"/>
  <c r="ET201" i="20"/>
  <c r="EU201" i="20" s="1"/>
  <c r="EV201" i="20" s="1"/>
  <c r="ED228" i="20"/>
  <c r="ET231" i="20"/>
  <c r="EU231" i="20" s="1"/>
  <c r="EV231" i="20" s="1"/>
  <c r="CX254" i="20"/>
  <c r="FI254" i="20"/>
  <c r="FI308" i="20"/>
  <c r="CX308" i="20"/>
  <c r="FI372" i="20"/>
  <c r="CX372" i="20"/>
  <c r="CU372" i="20"/>
  <c r="FG372" i="20"/>
  <c r="EG393" i="20"/>
  <c r="AY406" i="20"/>
  <c r="BH406" i="20" s="1"/>
  <c r="BJ406" i="20" s="1"/>
  <c r="ET30" i="20"/>
  <c r="EU30" i="20" s="1"/>
  <c r="EV30" i="20" s="1"/>
  <c r="FI61" i="20"/>
  <c r="CX61" i="20"/>
  <c r="EG59" i="20"/>
  <c r="EH59" i="20"/>
  <c r="ET79" i="20"/>
  <c r="EU79" i="20" s="1"/>
  <c r="EV79" i="20" s="1"/>
  <c r="EU72" i="20"/>
  <c r="EV72" i="20" s="1"/>
  <c r="BP115" i="20"/>
  <c r="EI115" i="20" s="1"/>
  <c r="EH115" i="20" s="1"/>
  <c r="BC123" i="20"/>
  <c r="CN123" i="20" s="1"/>
  <c r="DM153" i="20"/>
  <c r="ES153" i="20"/>
  <c r="ER153" i="20"/>
  <c r="DR160" i="20"/>
  <c r="BI160" i="20"/>
  <c r="BJ160" i="20" s="1"/>
  <c r="ET202" i="20"/>
  <c r="EU202" i="20" s="1"/>
  <c r="EV202" i="20" s="1"/>
  <c r="DM264" i="20"/>
  <c r="CK272" i="20"/>
  <c r="CP272" i="20" s="1"/>
  <c r="AZ303" i="20"/>
  <c r="CU322" i="20"/>
  <c r="FG322" i="20"/>
  <c r="FI321" i="20"/>
  <c r="DD321" i="20"/>
  <c r="CW370" i="20"/>
  <c r="FJ370" i="20"/>
  <c r="EH370" i="20"/>
  <c r="EG370" i="20"/>
  <c r="AZ374" i="20"/>
  <c r="BH374" i="20"/>
  <c r="EG413" i="20"/>
  <c r="EH413" i="20"/>
  <c r="ET427" i="20"/>
  <c r="EU427" i="20" s="1"/>
  <c r="EV427" i="20" s="1"/>
  <c r="BH369" i="20"/>
  <c r="BJ369" i="20" s="1"/>
  <c r="BH426" i="20"/>
  <c r="BJ426" i="20" s="1"/>
  <c r="ET440" i="20"/>
  <c r="EU440" i="20" s="1"/>
  <c r="EV440" i="20" s="1"/>
  <c r="BH277" i="20"/>
  <c r="BJ277" i="20" s="1"/>
  <c r="FH251" i="20"/>
  <c r="DB251" i="20"/>
  <c r="ET449" i="20"/>
  <c r="EU449" i="20" s="1"/>
  <c r="EV449" i="20" s="1"/>
  <c r="ED182" i="20"/>
  <c r="CR182" i="20" s="1"/>
  <c r="AZ290" i="20"/>
  <c r="FG329" i="20"/>
  <c r="CU329" i="20"/>
  <c r="BI381" i="20"/>
  <c r="BJ381" i="20" s="1"/>
  <c r="DT381" i="20"/>
  <c r="DB421" i="20"/>
  <c r="FH421" i="20"/>
  <c r="BC428" i="20"/>
  <c r="CN428" i="20" s="1"/>
  <c r="ET430" i="20"/>
  <c r="EU430" i="20" s="1"/>
  <c r="EV430" i="20" s="1"/>
  <c r="CK427" i="20"/>
  <c r="CP427" i="20" s="1"/>
  <c r="DT481" i="20"/>
  <c r="BI481" i="20"/>
  <c r="BJ481" i="20" s="1"/>
  <c r="DP32" i="20"/>
  <c r="DO32" i="20"/>
  <c r="BH392" i="20"/>
  <c r="BJ392" i="20" s="1"/>
  <c r="ET412" i="20"/>
  <c r="EU412" i="20" s="1"/>
  <c r="EV412" i="20" s="1"/>
  <c r="AZ269" i="20"/>
  <c r="BH347" i="20"/>
  <c r="BJ347" i="20" s="1"/>
  <c r="BH364" i="20"/>
  <c r="BJ364" i="20" s="1"/>
  <c r="EG405" i="20"/>
  <c r="EH405" i="20"/>
  <c r="FI426" i="20"/>
  <c r="CX426" i="20"/>
  <c r="ET425" i="20"/>
  <c r="EU425" i="20" s="1"/>
  <c r="EV425" i="20" s="1"/>
  <c r="EU494" i="20"/>
  <c r="EV494" i="20" s="1"/>
  <c r="FH66" i="20"/>
  <c r="CV66" i="20"/>
  <c r="ED191" i="20"/>
  <c r="CR191" i="20" s="1"/>
  <c r="ED265" i="20"/>
  <c r="CR265" i="20" s="1"/>
  <c r="DM387" i="20"/>
  <c r="FJ395" i="20"/>
  <c r="DC395" i="20"/>
  <c r="BH415" i="20"/>
  <c r="ET414" i="20"/>
  <c r="EU414" i="20" s="1"/>
  <c r="EV414" i="20" s="1"/>
  <c r="CK440" i="20"/>
  <c r="CP440" i="20" s="1"/>
  <c r="ET435" i="20"/>
  <c r="EU435" i="20" s="1"/>
  <c r="EV435" i="20" s="1"/>
  <c r="FG441" i="20"/>
  <c r="DA441" i="20"/>
  <c r="EH449" i="20"/>
  <c r="ED187" i="20"/>
  <c r="CR187" i="20" s="1"/>
  <c r="ED365" i="20"/>
  <c r="CR365" i="20" s="1"/>
  <c r="BC401" i="20"/>
  <c r="CN401" i="20" s="1"/>
  <c r="ET466" i="20"/>
  <c r="EU466" i="20" s="1"/>
  <c r="EV466" i="20" s="1"/>
  <c r="DN479" i="20"/>
  <c r="ES479" i="20"/>
  <c r="ER479" i="20"/>
  <c r="ED173" i="20"/>
  <c r="CR173" i="20" s="1"/>
  <c r="ED218" i="20"/>
  <c r="BH339" i="20"/>
  <c r="CX386" i="20"/>
  <c r="FI386" i="20"/>
  <c r="FG403" i="20"/>
  <c r="DA403" i="20"/>
  <c r="DD449" i="20"/>
  <c r="FI449" i="20"/>
  <c r="FI446" i="20"/>
  <c r="CX446" i="20"/>
  <c r="ER496" i="20"/>
  <c r="ET57" i="20"/>
  <c r="EU57" i="20" s="1"/>
  <c r="EV57" i="20" s="1"/>
  <c r="EY57" i="20"/>
  <c r="EZ57" i="20" s="1"/>
  <c r="EH72" i="20"/>
  <c r="EG72" i="20"/>
  <c r="BC94" i="20"/>
  <c r="CN94" i="20" s="1"/>
  <c r="DT79" i="20"/>
  <c r="BL97" i="20"/>
  <c r="BN97" i="20" s="1"/>
  <c r="BM97" i="20"/>
  <c r="DM162" i="20"/>
  <c r="ER162" i="20"/>
  <c r="ES162" i="20"/>
  <c r="FI204" i="20"/>
  <c r="CX204" i="20"/>
  <c r="FH244" i="20"/>
  <c r="DB244" i="20"/>
  <c r="CU224" i="20"/>
  <c r="FG224" i="20"/>
  <c r="DC245" i="20"/>
  <c r="FJ245" i="20"/>
  <c r="ED311" i="20"/>
  <c r="CR311" i="20" s="1"/>
  <c r="CB331" i="20"/>
  <c r="CI331" i="20" s="1"/>
  <c r="CK331" i="20" s="1"/>
  <c r="CP331" i="20" s="1"/>
  <c r="DT352" i="20"/>
  <c r="BI352" i="20"/>
  <c r="BJ352" i="20" s="1"/>
  <c r="FG343" i="20"/>
  <c r="CU343" i="20"/>
  <c r="BC343" i="20"/>
  <c r="CN343" i="20" s="1"/>
  <c r="ED375" i="20"/>
  <c r="CR375" i="20" s="1"/>
  <c r="DA369" i="20"/>
  <c r="FG369" i="20"/>
  <c r="DM415" i="20"/>
  <c r="ET436" i="20"/>
  <c r="EU436" i="20" s="1"/>
  <c r="EV436" i="20" s="1"/>
  <c r="EM22" i="20"/>
  <c r="EP22" i="20" s="1"/>
  <c r="EQ22" i="20" s="1"/>
  <c r="ET22" i="20"/>
  <c r="EU22" i="20" s="1"/>
  <c r="EV22" i="20" s="1"/>
  <c r="BC74" i="20"/>
  <c r="CN74" i="20" s="1"/>
  <c r="FI90" i="20"/>
  <c r="DD90" i="20"/>
  <c r="BC134" i="20"/>
  <c r="CN134" i="20" s="1"/>
  <c r="BL87" i="20"/>
  <c r="BN87" i="20" s="1"/>
  <c r="BM87" i="20"/>
  <c r="BC122" i="20"/>
  <c r="CN122" i="20" s="1"/>
  <c r="ED168" i="20"/>
  <c r="CR168" i="20" s="1"/>
  <c r="BC159" i="20"/>
  <c r="AV159" i="20"/>
  <c r="AW159" i="20" s="1"/>
  <c r="ET199" i="20"/>
  <c r="EU199" i="20" s="1"/>
  <c r="EV199" i="20" s="1"/>
  <c r="CU221" i="20"/>
  <c r="FG221" i="20"/>
  <c r="EG257" i="20"/>
  <c r="EH257" i="20"/>
  <c r="CU241" i="20"/>
  <c r="FG241" i="20"/>
  <c r="EG268" i="20"/>
  <c r="EH268" i="20"/>
  <c r="AZ300" i="20"/>
  <c r="BH300" i="20"/>
  <c r="BJ300" i="20" s="1"/>
  <c r="FG313" i="20"/>
  <c r="CU313" i="20"/>
  <c r="FH332" i="20"/>
  <c r="DB332" i="20"/>
  <c r="ET27" i="20"/>
  <c r="EU27" i="20" s="1"/>
  <c r="EV27" i="20" s="1"/>
  <c r="CK39" i="20"/>
  <c r="DT66" i="20"/>
  <c r="CM99" i="20"/>
  <c r="CS99" i="20"/>
  <c r="DT90" i="20"/>
  <c r="FG175" i="20"/>
  <c r="CU175" i="20"/>
  <c r="ET234" i="20"/>
  <c r="EU234" i="20" s="1"/>
  <c r="EV234" i="20" s="1"/>
  <c r="ET230" i="20"/>
  <c r="EU230" i="20" s="1"/>
  <c r="EV230" i="20" s="1"/>
  <c r="EG295" i="20"/>
  <c r="EH295" i="20"/>
  <c r="CB281" i="20"/>
  <c r="CI281" i="20" s="1"/>
  <c r="CK281" i="20" s="1"/>
  <c r="CP281" i="20" s="1"/>
  <c r="ED318" i="20"/>
  <c r="CR318" i="20" s="1"/>
  <c r="CU344" i="20"/>
  <c r="FG344" i="20"/>
  <c r="AZ348" i="20"/>
  <c r="ET86" i="20"/>
  <c r="EU86" i="20" s="1"/>
  <c r="EV86" i="20" s="1"/>
  <c r="EY86" i="20"/>
  <c r="EZ86" i="20" s="1"/>
  <c r="DA144" i="20"/>
  <c r="FG144" i="20"/>
  <c r="FG200" i="20"/>
  <c r="DA200" i="20"/>
  <c r="ET198" i="20"/>
  <c r="EU198" i="20" s="1"/>
  <c r="EV198" i="20" s="1"/>
  <c r="FI207" i="20"/>
  <c r="CX207" i="20"/>
  <c r="DY209" i="20"/>
  <c r="EH209" i="20" s="1"/>
  <c r="BZ209" i="20"/>
  <c r="CB209" i="20" s="1"/>
  <c r="CI209" i="20" s="1"/>
  <c r="CK209" i="20" s="1"/>
  <c r="CP209" i="20" s="1"/>
  <c r="DM249" i="20"/>
  <c r="BJ258" i="20"/>
  <c r="CW303" i="20"/>
  <c r="FJ303" i="20"/>
  <c r="ET293" i="20"/>
  <c r="EU293" i="20" s="1"/>
  <c r="EV293" i="20" s="1"/>
  <c r="BI339" i="20"/>
  <c r="DT339" i="20"/>
  <c r="BH341" i="20"/>
  <c r="BJ341" i="20" s="1"/>
  <c r="AZ341" i="20"/>
  <c r="ET364" i="20"/>
  <c r="EU364" i="20" s="1"/>
  <c r="EV364" i="20" s="1"/>
  <c r="EG442" i="20"/>
  <c r="BE101" i="20"/>
  <c r="BF101" i="20" s="1"/>
  <c r="CO101" i="20" s="1"/>
  <c r="AZ101" i="20"/>
  <c r="BC115" i="20"/>
  <c r="CN115" i="20" s="1"/>
  <c r="BC139" i="20"/>
  <c r="CN139" i="20" s="1"/>
  <c r="ED189" i="20"/>
  <c r="CR189" i="20" s="1"/>
  <c r="ET171" i="20"/>
  <c r="EU171" i="20" s="1"/>
  <c r="EV171" i="20" s="1"/>
  <c r="BC200" i="20"/>
  <c r="CN200" i="20" s="1"/>
  <c r="DM235" i="20"/>
  <c r="ED239" i="20"/>
  <c r="CR239" i="20" s="1"/>
  <c r="ET246" i="20"/>
  <c r="EU246" i="20" s="1"/>
  <c r="EV246" i="20" s="1"/>
  <c r="BF240" i="20"/>
  <c r="CO240" i="20" s="1"/>
  <c r="CK240" i="20"/>
  <c r="CP240" i="20" s="1"/>
  <c r="CU272" i="20"/>
  <c r="FG272" i="20"/>
  <c r="DC284" i="20"/>
  <c r="FJ284" i="20"/>
  <c r="AZ272" i="20"/>
  <c r="DM351" i="20"/>
  <c r="AY358" i="20"/>
  <c r="BH358" i="20" s="1"/>
  <c r="BJ358" i="20" s="1"/>
  <c r="BC377" i="20"/>
  <c r="CN377" i="20" s="1"/>
  <c r="CB423" i="20"/>
  <c r="CI423" i="20" s="1"/>
  <c r="CK423" i="20" s="1"/>
  <c r="CP423" i="20" s="1"/>
  <c r="AZ424" i="20"/>
  <c r="BH424" i="20"/>
  <c r="ET423" i="20"/>
  <c r="EU423" i="20" s="1"/>
  <c r="EV423" i="20" s="1"/>
  <c r="EU41" i="20"/>
  <c r="EV41" i="20" s="1"/>
  <c r="CK33" i="20"/>
  <c r="DM69" i="20"/>
  <c r="CO10" i="20"/>
  <c r="CO11" i="20" s="1"/>
  <c r="DT53" i="20"/>
  <c r="AU105" i="20"/>
  <c r="AR105" i="20"/>
  <c r="EM167" i="20"/>
  <c r="EP167" i="20" s="1"/>
  <c r="EQ167" i="20" s="1"/>
  <c r="DC177" i="20"/>
  <c r="FJ177" i="20"/>
  <c r="BJ225" i="20"/>
  <c r="BH173" i="20"/>
  <c r="BJ173" i="20" s="1"/>
  <c r="DM227" i="20"/>
  <c r="CU220" i="20"/>
  <c r="FG220" i="20"/>
  <c r="ET237" i="20"/>
  <c r="EU237" i="20" s="1"/>
  <c r="EV237" i="20" s="1"/>
  <c r="ET267" i="20"/>
  <c r="EU267" i="20" s="1"/>
  <c r="EV267" i="20" s="1"/>
  <c r="EG262" i="20"/>
  <c r="EH262" i="20"/>
  <c r="BC287" i="20"/>
  <c r="CN287" i="20" s="1"/>
  <c r="ET274" i="20"/>
  <c r="CB279" i="20"/>
  <c r="CI279" i="20" s="1"/>
  <c r="CK279" i="20" s="1"/>
  <c r="CP279" i="20" s="1"/>
  <c r="EG310" i="20"/>
  <c r="EH310" i="20"/>
  <c r="BJ316" i="20"/>
  <c r="BI336" i="20"/>
  <c r="BJ336" i="20" s="1"/>
  <c r="DT336" i="20"/>
  <c r="ET326" i="20"/>
  <c r="EU326" i="20" s="1"/>
  <c r="EV326" i="20" s="1"/>
  <c r="EG353" i="20"/>
  <c r="EH353" i="20"/>
  <c r="ET378" i="20"/>
  <c r="EU378" i="20" s="1"/>
  <c r="EV378" i="20" s="1"/>
  <c r="FI393" i="20"/>
  <c r="CX393" i="20"/>
  <c r="ED401" i="20"/>
  <c r="CR401" i="20" s="1"/>
  <c r="CK37" i="20"/>
  <c r="BP88" i="20"/>
  <c r="EI88" i="20" s="1"/>
  <c r="CP13" i="20"/>
  <c r="EM106" i="20"/>
  <c r="EP106" i="20" s="1"/>
  <c r="EQ106" i="20" s="1"/>
  <c r="DT82" i="20"/>
  <c r="EY133" i="20"/>
  <c r="EZ133" i="20" s="1"/>
  <c r="ER192" i="20"/>
  <c r="ES192" i="20"/>
  <c r="DM192" i="20"/>
  <c r="AZ193" i="20"/>
  <c r="DY201" i="20"/>
  <c r="EH201" i="20" s="1"/>
  <c r="BZ201" i="20"/>
  <c r="CB201" i="20" s="1"/>
  <c r="CI201" i="20" s="1"/>
  <c r="CK201" i="20" s="1"/>
  <c r="CP201" i="20" s="1"/>
  <c r="AV215" i="20"/>
  <c r="AW215" i="20" s="1"/>
  <c r="BC215" i="20"/>
  <c r="DT237" i="20"/>
  <c r="BI237" i="20"/>
  <c r="BJ237" i="20" s="1"/>
  <c r="DA259" i="20"/>
  <c r="FG259" i="20"/>
  <c r="BF231" i="20"/>
  <c r="CO231" i="20" s="1"/>
  <c r="CK231" i="20"/>
  <c r="CP231" i="20" s="1"/>
  <c r="BJ252" i="20"/>
  <c r="CB254" i="20"/>
  <c r="CI254" i="20" s="1"/>
  <c r="CK254" i="20" s="1"/>
  <c r="CP254" i="20" s="1"/>
  <c r="ET269" i="20"/>
  <c r="EU269" i="20" s="1"/>
  <c r="EV269" i="20" s="1"/>
  <c r="BI286" i="20"/>
  <c r="BJ286" i="20" s="1"/>
  <c r="DT286" i="20"/>
  <c r="BJ284" i="20"/>
  <c r="ET301" i="20"/>
  <c r="EU301" i="20" s="1"/>
  <c r="EV301" i="20" s="1"/>
  <c r="EH306" i="20"/>
  <c r="EG306" i="20"/>
  <c r="FI309" i="20"/>
  <c r="DD309" i="20"/>
  <c r="CK322" i="20"/>
  <c r="CP322" i="20" s="1"/>
  <c r="FG330" i="20"/>
  <c r="DA330" i="20"/>
  <c r="CU352" i="20"/>
  <c r="FG352" i="20"/>
  <c r="EH372" i="20"/>
  <c r="EG372" i="20"/>
  <c r="ET360" i="20"/>
  <c r="EU360" i="20" s="1"/>
  <c r="EV360" i="20" s="1"/>
  <c r="EG390" i="20"/>
  <c r="BO47" i="20"/>
  <c r="BP47" i="20" s="1"/>
  <c r="EI47" i="20" s="1"/>
  <c r="EH61" i="20"/>
  <c r="EG61" i="20"/>
  <c r="BO21" i="20"/>
  <c r="BP21" i="20" s="1"/>
  <c r="EI21" i="20" s="1"/>
  <c r="BC126" i="20"/>
  <c r="CN126" i="20" s="1"/>
  <c r="BC132" i="20"/>
  <c r="CN132" i="20" s="1"/>
  <c r="DO165" i="20"/>
  <c r="DP165" i="20"/>
  <c r="ED165" i="20"/>
  <c r="CR165" i="20" s="1"/>
  <c r="CW172" i="20"/>
  <c r="FJ172" i="20"/>
  <c r="AZ167" i="20"/>
  <c r="AZ204" i="20"/>
  <c r="BH204" i="20"/>
  <c r="BJ204" i="20" s="1"/>
  <c r="ET210" i="20"/>
  <c r="EU210" i="20" s="1"/>
  <c r="EV210" i="20" s="1"/>
  <c r="ED243" i="20"/>
  <c r="CR243" i="20" s="1"/>
  <c r="AU215" i="20"/>
  <c r="AR215" i="20"/>
  <c r="CK239" i="20"/>
  <c r="CP239" i="20" s="1"/>
  <c r="ED244" i="20"/>
  <c r="CR244" i="20" s="1"/>
  <c r="EG282" i="20"/>
  <c r="EH282" i="20"/>
  <c r="EG276" i="20"/>
  <c r="DD280" i="20"/>
  <c r="FI280" i="20"/>
  <c r="BC308" i="20"/>
  <c r="CN308" i="20" s="1"/>
  <c r="CK329" i="20"/>
  <c r="CP329" i="20" s="1"/>
  <c r="BC349" i="20"/>
  <c r="CN349" i="20" s="1"/>
  <c r="CB381" i="20"/>
  <c r="CI381" i="20" s="1"/>
  <c r="CK381" i="20" s="1"/>
  <c r="CP381" i="20" s="1"/>
  <c r="DC365" i="20"/>
  <c r="FJ365" i="20"/>
  <c r="ET379" i="20"/>
  <c r="EU379" i="20" s="1"/>
  <c r="EV379" i="20" s="1"/>
  <c r="EG411" i="20"/>
  <c r="EH411" i="20"/>
  <c r="CB414" i="20"/>
  <c r="CI414" i="20" s="1"/>
  <c r="CK414" i="20" s="1"/>
  <c r="CP414" i="20" s="1"/>
  <c r="CB422" i="20"/>
  <c r="CI422" i="20" s="1"/>
  <c r="CK422" i="20" s="1"/>
  <c r="CP422" i="20" s="1"/>
  <c r="CB430" i="20"/>
  <c r="CI430" i="20" s="1"/>
  <c r="CK430" i="20" s="1"/>
  <c r="CP430" i="20" s="1"/>
  <c r="DP24" i="20"/>
  <c r="DO24" i="20"/>
  <c r="BO119" i="20"/>
  <c r="BP119" i="20" s="1"/>
  <c r="EI119" i="20" s="1"/>
  <c r="EH119" i="20" s="1"/>
  <c r="BJ397" i="20"/>
  <c r="ED403" i="20"/>
  <c r="CR403" i="20" s="1"/>
  <c r="ET336" i="20"/>
  <c r="EU336" i="20" s="1"/>
  <c r="EV336" i="20" s="1"/>
  <c r="ET368" i="20"/>
  <c r="EU368" i="20" s="1"/>
  <c r="EV368" i="20" s="1"/>
  <c r="ED383" i="20"/>
  <c r="CR383" i="20" s="1"/>
  <c r="CK441" i="20"/>
  <c r="CP441" i="20" s="1"/>
  <c r="AZ443" i="20"/>
  <c r="BI449" i="20"/>
  <c r="BJ449" i="20" s="1"/>
  <c r="DT449" i="20"/>
  <c r="FH191" i="20"/>
  <c r="CV191" i="20"/>
  <c r="ET329" i="20"/>
  <c r="EU329" i="20" s="1"/>
  <c r="EV329" i="20" s="1"/>
  <c r="ED172" i="20"/>
  <c r="CR172" i="20" s="1"/>
  <c r="ED183" i="20"/>
  <c r="CR183" i="20" s="1"/>
  <c r="CW416" i="20"/>
  <c r="FJ416" i="20"/>
  <c r="DT442" i="20"/>
  <c r="BI442" i="20"/>
  <c r="CB447" i="20"/>
  <c r="CI447" i="20" s="1"/>
  <c r="CK447" i="20" s="1"/>
  <c r="CP447" i="20" s="1"/>
  <c r="BH423" i="20"/>
  <c r="EG426" i="20"/>
  <c r="EH426" i="20"/>
  <c r="FH77" i="20"/>
  <c r="CV77" i="20"/>
  <c r="BH315" i="20"/>
  <c r="BJ315" i="20" s="1"/>
  <c r="ED363" i="20"/>
  <c r="CR363" i="20" s="1"/>
  <c r="FH380" i="20"/>
  <c r="CV380" i="20"/>
  <c r="FH383" i="20"/>
  <c r="DB383" i="20"/>
  <c r="DC409" i="20"/>
  <c r="FJ409" i="20"/>
  <c r="DA414" i="20"/>
  <c r="FG414" i="20"/>
  <c r="BI468" i="20"/>
  <c r="BJ468" i="20" s="1"/>
  <c r="DT468" i="20"/>
  <c r="FH365" i="20"/>
  <c r="DB365" i="20"/>
  <c r="FH370" i="20"/>
  <c r="CV370" i="20"/>
  <c r="FI409" i="20"/>
  <c r="DD409" i="20"/>
  <c r="BC419" i="20"/>
  <c r="CN419" i="20" s="1"/>
  <c r="AZ438" i="20"/>
  <c r="BH438" i="20"/>
  <c r="BJ438" i="20" s="1"/>
  <c r="BI479" i="20"/>
  <c r="BJ479" i="20" s="1"/>
  <c r="DT479" i="20"/>
  <c r="AZ291" i="20"/>
  <c r="BH310" i="20"/>
  <c r="BJ310" i="20" s="1"/>
  <c r="BH330" i="20"/>
  <c r="ET363" i="20"/>
  <c r="EU363" i="20" s="1"/>
  <c r="EV363" i="20" s="1"/>
  <c r="AY412" i="20"/>
  <c r="BH412" i="20" s="1"/>
  <c r="BJ412" i="20" s="1"/>
  <c r="BJ422" i="20"/>
  <c r="BH434" i="20"/>
  <c r="BJ434" i="20" s="1"/>
  <c r="ES496" i="20"/>
  <c r="BH442" i="20"/>
  <c r="DP29" i="20"/>
  <c r="DO29" i="20"/>
  <c r="CB72" i="20"/>
  <c r="CI72" i="20" s="1"/>
  <c r="CK72" i="20" s="1"/>
  <c r="CP72" i="20" s="1"/>
  <c r="BC100" i="20"/>
  <c r="CN100" i="20" s="1"/>
  <c r="EY47" i="20"/>
  <c r="EZ47" i="20" s="1"/>
  <c r="BM83" i="20"/>
  <c r="BL83" i="20"/>
  <c r="BN83" i="20" s="1"/>
  <c r="CM10" i="20"/>
  <c r="CM11" i="20" s="1"/>
  <c r="BJ211" i="20"/>
  <c r="ET219" i="20"/>
  <c r="EU219" i="20" s="1"/>
  <c r="EV219" i="20" s="1"/>
  <c r="CV221" i="20"/>
  <c r="FH221" i="20"/>
  <c r="CW232" i="20"/>
  <c r="FJ232" i="20"/>
  <c r="AY255" i="20"/>
  <c r="AZ255" i="20" s="1"/>
  <c r="DM240" i="20"/>
  <c r="ED294" i="20"/>
  <c r="CR294" i="20" s="1"/>
  <c r="FI331" i="20"/>
  <c r="CX331" i="20"/>
  <c r="FG341" i="20"/>
  <c r="DA341" i="20"/>
  <c r="EH330" i="20"/>
  <c r="EG330" i="20"/>
  <c r="EH345" i="20"/>
  <c r="EG345" i="20"/>
  <c r="EG361" i="20"/>
  <c r="EH361" i="20"/>
  <c r="ET351" i="20"/>
  <c r="EU351" i="20" s="1"/>
  <c r="EV351" i="20" s="1"/>
  <c r="BC373" i="20"/>
  <c r="CN373" i="20" s="1"/>
  <c r="CB400" i="20"/>
  <c r="CI400" i="20" s="1"/>
  <c r="CK400" i="20" s="1"/>
  <c r="CP400" i="20" s="1"/>
  <c r="FG406" i="20"/>
  <c r="DA406" i="20"/>
  <c r="CB415" i="20"/>
  <c r="CI415" i="20" s="1"/>
  <c r="CK415" i="20" s="1"/>
  <c r="CP415" i="20" s="1"/>
  <c r="DO49" i="20"/>
  <c r="DP49" i="20"/>
  <c r="EY26" i="20"/>
  <c r="EZ26" i="20" s="1"/>
  <c r="BM57" i="20"/>
  <c r="BL57" i="20"/>
  <c r="BN57" i="20" s="1"/>
  <c r="BM75" i="20"/>
  <c r="BL75" i="20"/>
  <c r="BN75" i="20" s="1"/>
  <c r="CU137" i="20"/>
  <c r="FG137" i="20"/>
  <c r="CB202" i="20"/>
  <c r="CI202" i="20" s="1"/>
  <c r="CK202" i="20" s="1"/>
  <c r="CP202" i="20" s="1"/>
  <c r="CB257" i="20"/>
  <c r="CI257" i="20" s="1"/>
  <c r="CK257" i="20" s="1"/>
  <c r="CP257" i="20" s="1"/>
  <c r="CB268" i="20"/>
  <c r="CI268" i="20" s="1"/>
  <c r="CK268" i="20" s="1"/>
  <c r="CP268" i="20" s="1"/>
  <c r="BJ269" i="20"/>
  <c r="CU281" i="20"/>
  <c r="FG281" i="20"/>
  <c r="ED284" i="20"/>
  <c r="CR284" i="20" s="1"/>
  <c r="CB291" i="20"/>
  <c r="CI291" i="20" s="1"/>
  <c r="CK291" i="20" s="1"/>
  <c r="CP291" i="20" s="1"/>
  <c r="EH299" i="20"/>
  <c r="EG299" i="20"/>
  <c r="CK351" i="20"/>
  <c r="CP351" i="20" s="1"/>
  <c r="CK22" i="20"/>
  <c r="EY63" i="20"/>
  <c r="EZ63" i="20" s="1"/>
  <c r="ET63" i="20"/>
  <c r="EU63" i="20" s="1"/>
  <c r="EV63" i="20" s="1"/>
  <c r="EY66" i="20"/>
  <c r="EZ66" i="20" s="1"/>
  <c r="ET66" i="20"/>
  <c r="EU66" i="20" s="1"/>
  <c r="EV66" i="20" s="1"/>
  <c r="DT92" i="20"/>
  <c r="FH131" i="20"/>
  <c r="CV131" i="20"/>
  <c r="DM133" i="20"/>
  <c r="DM147" i="20"/>
  <c r="ED216" i="20"/>
  <c r="BI217" i="20"/>
  <c r="BJ217" i="20" s="1"/>
  <c r="DT217" i="20"/>
  <c r="ET249" i="20"/>
  <c r="EU249" i="20" s="1"/>
  <c r="EV249" i="20" s="1"/>
  <c r="DT246" i="20"/>
  <c r="BI246" i="20"/>
  <c r="BJ246" i="20" s="1"/>
  <c r="BF230" i="20"/>
  <c r="CK230" i="20"/>
  <c r="FJ298" i="20"/>
  <c r="DC298" i="20"/>
  <c r="ED325" i="20"/>
  <c r="CR325" i="20" s="1"/>
  <c r="DB334" i="20"/>
  <c r="FH334" i="20"/>
  <c r="BH351" i="20"/>
  <c r="BH356" i="20"/>
  <c r="BJ356" i="20" s="1"/>
  <c r="AZ356" i="20"/>
  <c r="ET31" i="20"/>
  <c r="EU31" i="20" s="1"/>
  <c r="EV31" i="20" s="1"/>
  <c r="BO26" i="20"/>
  <c r="BP26" i="20" s="1"/>
  <c r="EI26" i="20" s="1"/>
  <c r="BP39" i="20"/>
  <c r="EI39" i="20" s="1"/>
  <c r="ET59" i="20"/>
  <c r="EU59" i="20" s="1"/>
  <c r="EV59" i="20" s="1"/>
  <c r="FJ141" i="20"/>
  <c r="DC141" i="20"/>
  <c r="DC186" i="20"/>
  <c r="FJ186" i="20"/>
  <c r="DM207" i="20"/>
  <c r="DA209" i="20"/>
  <c r="FG209" i="20"/>
  <c r="ED226" i="20"/>
  <c r="ET260" i="20"/>
  <c r="EU260" i="20" s="1"/>
  <c r="EV260" i="20" s="1"/>
  <c r="DD256" i="20"/>
  <c r="FI256" i="20"/>
  <c r="FJ314" i="20"/>
  <c r="DC314" i="20"/>
  <c r="EH315" i="20"/>
  <c r="EG315" i="20"/>
  <c r="BJ307" i="20"/>
  <c r="EH312" i="20"/>
  <c r="EG312" i="20"/>
  <c r="EH340" i="20"/>
  <c r="EG340" i="20"/>
  <c r="CU320" i="20"/>
  <c r="FG320" i="20"/>
  <c r="EG359" i="20"/>
  <c r="EH359" i="20"/>
  <c r="DD330" i="20"/>
  <c r="FI330" i="20"/>
  <c r="FJ398" i="20"/>
  <c r="DC398" i="20"/>
  <c r="CW410" i="20"/>
  <c r="FJ410" i="20"/>
  <c r="AY430" i="20"/>
  <c r="BH430" i="20" s="1"/>
  <c r="BJ430" i="20" s="1"/>
  <c r="DQ22" i="20"/>
  <c r="EY45" i="20"/>
  <c r="EZ45" i="20" s="1"/>
  <c r="CW73" i="20"/>
  <c r="FJ73" i="20"/>
  <c r="CB101" i="20"/>
  <c r="CI101" i="20" s="1"/>
  <c r="CK101" i="20" s="1"/>
  <c r="CP101" i="20" s="1"/>
  <c r="CZ175" i="20"/>
  <c r="FL175" i="20"/>
  <c r="DA173" i="20"/>
  <c r="FG173" i="20"/>
  <c r="BH186" i="20"/>
  <c r="ET223" i="20"/>
  <c r="EU223" i="20" s="1"/>
  <c r="EV223" i="20" s="1"/>
  <c r="BC209" i="20"/>
  <c r="CN209" i="20" s="1"/>
  <c r="CK234" i="20"/>
  <c r="CP234" i="20" s="1"/>
  <c r="DM276" i="20"/>
  <c r="DT274" i="20"/>
  <c r="BI274" i="20"/>
  <c r="BJ274" i="20" s="1"/>
  <c r="EG317" i="20"/>
  <c r="CU333" i="20"/>
  <c r="FG333" i="20"/>
  <c r="EH341" i="20"/>
  <c r="EG341" i="20"/>
  <c r="ET381" i="20"/>
  <c r="EU381" i="20" s="1"/>
  <c r="EV381" i="20" s="1"/>
  <c r="EG397" i="20"/>
  <c r="FI423" i="20"/>
  <c r="CX423" i="20"/>
  <c r="FG423" i="20"/>
  <c r="CU423" i="20"/>
  <c r="ET45" i="20"/>
  <c r="EU45" i="20" s="1"/>
  <c r="EV45" i="20" s="1"/>
  <c r="EH53" i="20"/>
  <c r="EG53" i="20"/>
  <c r="DT72" i="20"/>
  <c r="CO13" i="20"/>
  <c r="BP132" i="20"/>
  <c r="EI132" i="20" s="1"/>
  <c r="EH132" i="20" s="1"/>
  <c r="BE99" i="20"/>
  <c r="BF99" i="20" s="1"/>
  <c r="CO99" i="20" s="1"/>
  <c r="AZ99" i="20"/>
  <c r="EK53" i="20"/>
  <c r="EL9" i="20"/>
  <c r="EL8" i="20" s="1"/>
  <c r="EL7" i="20" s="1"/>
  <c r="BO124" i="20"/>
  <c r="BP124" i="20" s="1"/>
  <c r="EI124" i="20" s="1"/>
  <c r="EH124" i="20" s="1"/>
  <c r="ET90" i="20"/>
  <c r="EU90" i="20" s="1"/>
  <c r="EV90" i="20" s="1"/>
  <c r="ED186" i="20"/>
  <c r="CR186" i="20" s="1"/>
  <c r="ET172" i="20"/>
  <c r="EU172" i="20" s="1"/>
  <c r="EV172" i="20" s="1"/>
  <c r="BH177" i="20"/>
  <c r="AZ188" i="20"/>
  <c r="ET207" i="20"/>
  <c r="EU207" i="20" s="1"/>
  <c r="EV207" i="20" s="1"/>
  <c r="DT203" i="20"/>
  <c r="BI203" i="20"/>
  <c r="CK313" i="20"/>
  <c r="CP313" i="20" s="1"/>
  <c r="EU274" i="20"/>
  <c r="EV274" i="20" s="1"/>
  <c r="CX279" i="20"/>
  <c r="FI279" i="20"/>
  <c r="CK302" i="20"/>
  <c r="CP302" i="20" s="1"/>
  <c r="CK310" i="20"/>
  <c r="CP310" i="20" s="1"/>
  <c r="ED348" i="20"/>
  <c r="CR348" i="20" s="1"/>
  <c r="CB353" i="20"/>
  <c r="CI353" i="20" s="1"/>
  <c r="CK353" i="20" s="1"/>
  <c r="CP353" i="20" s="1"/>
  <c r="ED391" i="20"/>
  <c r="CR391" i="20" s="1"/>
  <c r="FG390" i="20"/>
  <c r="DA390" i="20"/>
  <c r="CW396" i="20"/>
  <c r="FJ396" i="20"/>
  <c r="DP36" i="20"/>
  <c r="DO36" i="20"/>
  <c r="BO25" i="20"/>
  <c r="BP25" i="20" s="1"/>
  <c r="EI25" i="20" s="1"/>
  <c r="ET82" i="20"/>
  <c r="EU82" i="20" s="1"/>
  <c r="EV82" i="20" s="1"/>
  <c r="FG133" i="20"/>
  <c r="CU133" i="20"/>
  <c r="AU168" i="20"/>
  <c r="AR168" i="20"/>
  <c r="CU196" i="20"/>
  <c r="FG196" i="20"/>
  <c r="ER164" i="20"/>
  <c r="ET214" i="20"/>
  <c r="EU214" i="20" s="1"/>
  <c r="EV214" i="20" s="1"/>
  <c r="CU231" i="20"/>
  <c r="FG231" i="20"/>
  <c r="DM223" i="20"/>
  <c r="CW248" i="20"/>
  <c r="FJ248" i="20"/>
  <c r="BH256" i="20"/>
  <c r="BJ256" i="20" s="1"/>
  <c r="EG267" i="20"/>
  <c r="EH267" i="20"/>
  <c r="EH254" i="20"/>
  <c r="EG254" i="20"/>
  <c r="DA269" i="20"/>
  <c r="FG269" i="20"/>
  <c r="ET286" i="20"/>
  <c r="EU286" i="20" s="1"/>
  <c r="EV286" i="20" s="1"/>
  <c r="DC306" i="20"/>
  <c r="FJ306" i="20"/>
  <c r="AY328" i="20"/>
  <c r="AZ328" i="20" s="1"/>
  <c r="EH326" i="20"/>
  <c r="EG326" i="20"/>
  <c r="FJ345" i="20"/>
  <c r="DC345" i="20"/>
  <c r="ET352" i="20"/>
  <c r="EU352" i="20" s="1"/>
  <c r="EV352" i="20" s="1"/>
  <c r="BC360" i="20"/>
  <c r="CN360" i="20" s="1"/>
  <c r="FG360" i="20"/>
  <c r="CU360" i="20"/>
  <c r="ET372" i="20"/>
  <c r="EU372" i="20" s="1"/>
  <c r="EV372" i="20" s="1"/>
  <c r="ET34" i="20"/>
  <c r="EU34" i="20" s="1"/>
  <c r="EV34" i="20" s="1"/>
  <c r="EY49" i="20"/>
  <c r="EZ49" i="20" s="1"/>
  <c r="BM70" i="20"/>
  <c r="BL70" i="20"/>
  <c r="BN70" i="20" s="1"/>
  <c r="DT84" i="20"/>
  <c r="FH81" i="20"/>
  <c r="CV81" i="20"/>
  <c r="EY82" i="20"/>
  <c r="EZ82" i="20" s="1"/>
  <c r="FI121" i="20"/>
  <c r="DD121" i="20"/>
  <c r="FJ143" i="20"/>
  <c r="DC143" i="20"/>
  <c r="CK180" i="20"/>
  <c r="CP180" i="20" s="1"/>
  <c r="EH202" i="20"/>
  <c r="AU212" i="20"/>
  <c r="BH238" i="20"/>
  <c r="FH266" i="20"/>
  <c r="CV266" i="20"/>
  <c r="BC265" i="20"/>
  <c r="CN265" i="20" s="1"/>
  <c r="DD269" i="20"/>
  <c r="FI269" i="20"/>
  <c r="ET299" i="20"/>
  <c r="EU299" i="20" s="1"/>
  <c r="EV299" i="20" s="1"/>
  <c r="DM322" i="20"/>
  <c r="EG320" i="20"/>
  <c r="EH320" i="20"/>
  <c r="BC329" i="20"/>
  <c r="CN329" i="20" s="1"/>
  <c r="FI381" i="20"/>
  <c r="CX381" i="20"/>
  <c r="EG367" i="20"/>
  <c r="EH367" i="20"/>
  <c r="BH389" i="20"/>
  <c r="BJ389" i="20" s="1"/>
  <c r="FI414" i="20"/>
  <c r="DD414" i="20"/>
  <c r="EH430" i="20"/>
  <c r="EG430" i="20"/>
  <c r="BH325" i="20"/>
  <c r="BJ325" i="20" s="1"/>
  <c r="FI366" i="20"/>
  <c r="CX366" i="20"/>
  <c r="CK435" i="20"/>
  <c r="CP435" i="20" s="1"/>
  <c r="ET443" i="20"/>
  <c r="EU443" i="20" s="1"/>
  <c r="EV443" i="20" s="1"/>
  <c r="FG440" i="20"/>
  <c r="DA440" i="20"/>
  <c r="ED273" i="20"/>
  <c r="CR273" i="20" s="1"/>
  <c r="DP51" i="20"/>
  <c r="DO51" i="20"/>
  <c r="CV172" i="20"/>
  <c r="FH172" i="20"/>
  <c r="FG430" i="20"/>
  <c r="CU430" i="20"/>
  <c r="CU439" i="20"/>
  <c r="FG439" i="20"/>
  <c r="DM448" i="20"/>
  <c r="DP485" i="20"/>
  <c r="ED485" i="20"/>
  <c r="DO485" i="20"/>
  <c r="FH208" i="20"/>
  <c r="BH276" i="20"/>
  <c r="BJ276" i="20" s="1"/>
  <c r="FH253" i="20"/>
  <c r="DB253" i="20"/>
  <c r="ET339" i="20"/>
  <c r="EU339" i="20" s="1"/>
  <c r="EV339" i="20" s="1"/>
  <c r="AZ397" i="20"/>
  <c r="FI447" i="20"/>
  <c r="CX447" i="20"/>
  <c r="DB359" i="20"/>
  <c r="FH359" i="20"/>
  <c r="CX405" i="20"/>
  <c r="FI405" i="20"/>
  <c r="CU426" i="20"/>
  <c r="FG426" i="20"/>
  <c r="ET480" i="20"/>
  <c r="EU480" i="20" s="1"/>
  <c r="EV480" i="20" s="1"/>
  <c r="AZ326" i="20"/>
  <c r="BJ413" i="20"/>
  <c r="EH419" i="20"/>
  <c r="ED440" i="20"/>
  <c r="CR440" i="20" s="1"/>
  <c r="AZ433" i="20"/>
  <c r="BH433" i="20"/>
  <c r="BJ433" i="20" s="1"/>
  <c r="EM468" i="20"/>
  <c r="EP468" i="20" s="1"/>
  <c r="EQ468" i="20" s="1"/>
  <c r="ET468" i="20"/>
  <c r="EU468" i="20" s="1"/>
  <c r="EV468" i="20" s="1"/>
  <c r="BO105" i="20"/>
  <c r="BP105" i="20" s="1"/>
  <c r="EI105" i="20" s="1"/>
  <c r="EH105" i="20" s="1"/>
  <c r="ED169" i="20"/>
  <c r="CR169" i="20" s="1"/>
  <c r="FH190" i="20"/>
  <c r="CV190" i="20"/>
  <c r="FH422" i="20"/>
  <c r="CV422" i="20"/>
  <c r="EG438" i="20"/>
  <c r="EH438" i="20"/>
  <c r="DM368" i="20"/>
  <c r="ED395" i="20"/>
  <c r="CR395" i="20" s="1"/>
  <c r="EH412" i="20"/>
  <c r="EG412" i="20"/>
  <c r="DM429" i="20"/>
  <c r="DM437" i="20"/>
  <c r="DM60" i="20"/>
  <c r="BC119" i="20"/>
  <c r="CN119" i="20" s="1"/>
  <c r="BC90" i="20"/>
  <c r="CN90" i="20" s="1"/>
  <c r="CX97" i="20"/>
  <c r="FI97" i="20"/>
  <c r="FI83" i="20"/>
  <c r="CX83" i="20"/>
  <c r="BC113" i="20"/>
  <c r="CN113" i="20" s="1"/>
  <c r="BC158" i="20"/>
  <c r="AV158" i="20"/>
  <c r="AW158" i="20" s="1"/>
  <c r="ED174" i="20"/>
  <c r="CR174" i="20" s="1"/>
  <c r="FH147" i="20"/>
  <c r="DB147" i="20"/>
  <c r="DN168" i="20"/>
  <c r="DP168" i="20" s="1"/>
  <c r="EM168" i="20"/>
  <c r="EP168" i="20" s="1"/>
  <c r="EQ168" i="20" s="1"/>
  <c r="DT226" i="20"/>
  <c r="BI226" i="20"/>
  <c r="BJ226" i="20" s="1"/>
  <c r="ET235" i="20"/>
  <c r="EU235" i="20" s="1"/>
  <c r="EV235" i="20" s="1"/>
  <c r="DC259" i="20"/>
  <c r="DM238" i="20"/>
  <c r="FH304" i="20"/>
  <c r="CV304" i="20"/>
  <c r="EG346" i="20"/>
  <c r="EH346" i="20"/>
  <c r="AZ355" i="20"/>
  <c r="BH355" i="20"/>
  <c r="BJ355" i="20" s="1"/>
  <c r="FG332" i="20"/>
  <c r="DA332" i="20"/>
  <c r="FG331" i="20"/>
  <c r="CU331" i="20"/>
  <c r="ET343" i="20"/>
  <c r="EU343" i="20" s="1"/>
  <c r="EV343" i="20" s="1"/>
  <c r="DM371" i="20"/>
  <c r="DM397" i="20"/>
  <c r="ED418" i="20"/>
  <c r="CR418" i="20" s="1"/>
  <c r="FG436" i="20"/>
  <c r="DA436" i="20"/>
  <c r="BM68" i="20"/>
  <c r="BL68" i="20"/>
  <c r="BN68" i="20" s="1"/>
  <c r="EH90" i="20"/>
  <c r="EG90" i="20"/>
  <c r="FI57" i="20"/>
  <c r="CX57" i="20"/>
  <c r="BM79" i="20"/>
  <c r="BL79" i="20"/>
  <c r="BN79" i="20" s="1"/>
  <c r="CV170" i="20"/>
  <c r="FH170" i="20"/>
  <c r="ED184" i="20"/>
  <c r="CR184" i="20" s="1"/>
  <c r="ET208" i="20"/>
  <c r="EU208" i="20" s="1"/>
  <c r="EV208" i="20" s="1"/>
  <c r="ET241" i="20"/>
  <c r="EU241" i="20" s="1"/>
  <c r="EV241" i="20" s="1"/>
  <c r="FI268" i="20"/>
  <c r="CX268" i="20"/>
  <c r="ED272" i="20"/>
  <c r="CR272" i="20" s="1"/>
  <c r="ET281" i="20"/>
  <c r="EU281" i="20" s="1"/>
  <c r="EV281" i="20" s="1"/>
  <c r="DT63" i="20"/>
  <c r="FG131" i="20"/>
  <c r="CU131" i="20"/>
  <c r="BC133" i="20"/>
  <c r="CN133" i="20" s="1"/>
  <c r="AV160" i="20"/>
  <c r="AW160" i="20" s="1"/>
  <c r="BC160" i="20"/>
  <c r="ET175" i="20"/>
  <c r="EU175" i="20" s="1"/>
  <c r="EV175" i="20" s="1"/>
  <c r="ED188" i="20"/>
  <c r="CR188" i="20" s="1"/>
  <c r="ET217" i="20"/>
  <c r="EU217" i="20" s="1"/>
  <c r="EV217" i="20" s="1"/>
  <c r="BC218" i="20"/>
  <c r="CU255" i="20"/>
  <c r="FG255" i="20"/>
  <c r="CW290" i="20"/>
  <c r="FJ290" i="20"/>
  <c r="ED304" i="20"/>
  <c r="CR304" i="20" s="1"/>
  <c r="EH347" i="20"/>
  <c r="EG347" i="20"/>
  <c r="BP128" i="20"/>
  <c r="EI128" i="20" s="1"/>
  <c r="EH128" i="20" s="1"/>
  <c r="EM107" i="20"/>
  <c r="EP107" i="20" s="1"/>
  <c r="EQ107" i="20" s="1"/>
  <c r="ES107" i="20" s="1"/>
  <c r="BC85" i="20"/>
  <c r="CN85" i="20" s="1"/>
  <c r="ET158" i="20"/>
  <c r="EU158" i="20" s="1"/>
  <c r="EV158" i="20" s="1"/>
  <c r="EM158" i="20"/>
  <c r="EP158" i="20" s="1"/>
  <c r="EQ158" i="20" s="1"/>
  <c r="DT193" i="20"/>
  <c r="BI193" i="20"/>
  <c r="BJ193" i="20" s="1"/>
  <c r="DY198" i="20"/>
  <c r="EH198" i="20" s="1"/>
  <c r="BZ198" i="20"/>
  <c r="CB198" i="20" s="1"/>
  <c r="CI198" i="20" s="1"/>
  <c r="CK198" i="20" s="1"/>
  <c r="CP198" i="20" s="1"/>
  <c r="BI261" i="20"/>
  <c r="DT261" i="20"/>
  <c r="BI287" i="20"/>
  <c r="DT287" i="20"/>
  <c r="BJ291" i="20"/>
  <c r="FJ315" i="20"/>
  <c r="DC315" i="20"/>
  <c r="DC316" i="20"/>
  <c r="FJ316" i="20"/>
  <c r="ET320" i="20"/>
  <c r="EU320" i="20" s="1"/>
  <c r="EV320" i="20" s="1"/>
  <c r="CK332" i="20"/>
  <c r="CP332" i="20" s="1"/>
  <c r="BC340" i="20"/>
  <c r="CN340" i="20" s="1"/>
  <c r="CK369" i="20"/>
  <c r="CP369" i="20" s="1"/>
  <c r="EH388" i="20"/>
  <c r="EG388" i="20"/>
  <c r="AZ393" i="20"/>
  <c r="BH393" i="20"/>
  <c r="DD404" i="20"/>
  <c r="FI404" i="20"/>
  <c r="ET408" i="20"/>
  <c r="EU408" i="20" s="1"/>
  <c r="EV408" i="20" s="1"/>
  <c r="EG415" i="20"/>
  <c r="EG445" i="20"/>
  <c r="EH445" i="20"/>
  <c r="CV72" i="20"/>
  <c r="FH72" i="20"/>
  <c r="FI101" i="20"/>
  <c r="CX101" i="20"/>
  <c r="DM117" i="20"/>
  <c r="ED117" i="20" s="1"/>
  <c r="BF173" i="20"/>
  <c r="CO173" i="20" s="1"/>
  <c r="CK173" i="20"/>
  <c r="CP173" i="20" s="1"/>
  <c r="CW193" i="20"/>
  <c r="FJ193" i="20"/>
  <c r="AV212" i="20"/>
  <c r="AW212" i="20" s="1"/>
  <c r="BC212" i="20"/>
  <c r="BJ212" i="20"/>
  <c r="CU223" i="20"/>
  <c r="FG223" i="20"/>
  <c r="EH256" i="20"/>
  <c r="EG256" i="20"/>
  <c r="DM247" i="20"/>
  <c r="BI250" i="20"/>
  <c r="DT250" i="20"/>
  <c r="EG285" i="20"/>
  <c r="EH285" i="20"/>
  <c r="EH277" i="20"/>
  <c r="EG277" i="20"/>
  <c r="BC277" i="20"/>
  <c r="CN277" i="20" s="1"/>
  <c r="ET302" i="20"/>
  <c r="EU302" i="20" s="1"/>
  <c r="EV302" i="20" s="1"/>
  <c r="EH287" i="20"/>
  <c r="EG287" i="20"/>
  <c r="BC293" i="20"/>
  <c r="CN293" i="20" s="1"/>
  <c r="ED292" i="20"/>
  <c r="CR292" i="20" s="1"/>
  <c r="DA321" i="20"/>
  <c r="FG321" i="20"/>
  <c r="DC338" i="20"/>
  <c r="FJ338" i="20"/>
  <c r="DC363" i="20"/>
  <c r="FJ363" i="20"/>
  <c r="ED378" i="20"/>
  <c r="CR378" i="20" s="1"/>
  <c r="DC417" i="20"/>
  <c r="FJ417" i="20"/>
  <c r="EG424" i="20"/>
  <c r="EH424" i="20"/>
  <c r="CK26" i="20"/>
  <c r="CB53" i="20"/>
  <c r="CI53" i="20" s="1"/>
  <c r="CK53" i="20" s="1"/>
  <c r="CP53" i="20" s="1"/>
  <c r="EG99" i="20"/>
  <c r="EH99" i="20"/>
  <c r="ET92" i="20"/>
  <c r="EU92" i="20" s="1"/>
  <c r="EV92" i="20" s="1"/>
  <c r="FI136" i="20"/>
  <c r="CX136" i="20"/>
  <c r="CX12" i="20" s="1"/>
  <c r="DT207" i="20"/>
  <c r="BI207" i="20"/>
  <c r="BJ207" i="20" s="1"/>
  <c r="FI257" i="20"/>
  <c r="DD257" i="20"/>
  <c r="EH314" i="20"/>
  <c r="EG314" i="20"/>
  <c r="AZ278" i="20"/>
  <c r="DC325" i="20"/>
  <c r="FJ325" i="20"/>
  <c r="BH319" i="20"/>
  <c r="EH406" i="20"/>
  <c r="EG406" i="20"/>
  <c r="ET20" i="20"/>
  <c r="EU20" i="20" s="1"/>
  <c r="EV20" i="20" s="1"/>
  <c r="EM20" i="20"/>
  <c r="EP20" i="20" s="1"/>
  <c r="EQ20" i="20" s="1"/>
  <c r="CU95" i="20"/>
  <c r="FG95" i="20"/>
  <c r="CW67" i="20"/>
  <c r="FJ67" i="20"/>
  <c r="BL103" i="20"/>
  <c r="BN103" i="20" s="1"/>
  <c r="BM103" i="20"/>
  <c r="DM85" i="20"/>
  <c r="BC206" i="20"/>
  <c r="CN206" i="20" s="1"/>
  <c r="ED167" i="20"/>
  <c r="CR167" i="20" s="1"/>
  <c r="DP167" i="20"/>
  <c r="DO167" i="20"/>
  <c r="AZ183" i="20"/>
  <c r="ET196" i="20"/>
  <c r="EU196" i="20" s="1"/>
  <c r="EV196" i="20" s="1"/>
  <c r="BF214" i="20"/>
  <c r="CK214" i="20"/>
  <c r="BC239" i="20"/>
  <c r="CN239" i="20" s="1"/>
  <c r="ET259" i="20"/>
  <c r="EU259" i="20" s="1"/>
  <c r="EV259" i="20" s="1"/>
  <c r="BC256" i="20"/>
  <c r="CN256" i="20" s="1"/>
  <c r="FJ318" i="20"/>
  <c r="DC318" i="20"/>
  <c r="BI351" i="20"/>
  <c r="DT351" i="20"/>
  <c r="ET366" i="20"/>
  <c r="EU366" i="20" s="1"/>
  <c r="EV366" i="20" s="1"/>
  <c r="EH379" i="20"/>
  <c r="EG379" i="20"/>
  <c r="BF20" i="20"/>
  <c r="CK20" i="20"/>
  <c r="BL59" i="20"/>
  <c r="BN59" i="20" s="1"/>
  <c r="BM59" i="20"/>
  <c r="ET89" i="20"/>
  <c r="EU89" i="20" s="1"/>
  <c r="EV89" i="20" s="1"/>
  <c r="FJ121" i="20"/>
  <c r="DC121" i="20"/>
  <c r="ET179" i="20"/>
  <c r="EU179" i="20" s="1"/>
  <c r="EV179" i="20" s="1"/>
  <c r="CU202" i="20"/>
  <c r="FG202" i="20"/>
  <c r="ET216" i="20"/>
  <c r="EU216" i="20" s="1"/>
  <c r="EV216" i="20" s="1"/>
  <c r="DY210" i="20"/>
  <c r="EH210" i="20" s="1"/>
  <c r="BZ210" i="20"/>
  <c r="CB210" i="20" s="1"/>
  <c r="CI210" i="20" s="1"/>
  <c r="CK210" i="20" s="1"/>
  <c r="CP210" i="20" s="1"/>
  <c r="DM225" i="20"/>
  <c r="BC220" i="20"/>
  <c r="CN220" i="20" s="1"/>
  <c r="CU261" i="20"/>
  <c r="FG261" i="20"/>
  <c r="EG269" i="20"/>
  <c r="EH269" i="20"/>
  <c r="FG299" i="20"/>
  <c r="CU299" i="20"/>
  <c r="DC296" i="20"/>
  <c r="FJ296" i="20"/>
  <c r="EH343" i="20"/>
  <c r="EG343" i="20"/>
  <c r="DM381" i="20"/>
  <c r="CW399" i="20"/>
  <c r="FJ399" i="20"/>
  <c r="CX411" i="20"/>
  <c r="FI411" i="20"/>
  <c r="ED181" i="20"/>
  <c r="CR181" i="20" s="1"/>
  <c r="FH282" i="20"/>
  <c r="DB282" i="20"/>
  <c r="FI435" i="20"/>
  <c r="CX435" i="20"/>
  <c r="CX438" i="20"/>
  <c r="FI438" i="20"/>
  <c r="BI469" i="20"/>
  <c r="BJ469" i="20" s="1"/>
  <c r="DT469" i="20"/>
  <c r="AV214" i="20"/>
  <c r="AW214" i="20" s="1"/>
  <c r="BH287" i="20"/>
  <c r="FG336" i="20"/>
  <c r="CU336" i="20"/>
  <c r="FG368" i="20"/>
  <c r="CU368" i="20"/>
  <c r="BJ380" i="20"/>
  <c r="BC425" i="20"/>
  <c r="CN425" i="20" s="1"/>
  <c r="ET433" i="20"/>
  <c r="EU433" i="20" s="1"/>
  <c r="EV433" i="20" s="1"/>
  <c r="FG446" i="20"/>
  <c r="CU446" i="20"/>
  <c r="BJ443" i="20"/>
  <c r="ED469" i="20"/>
  <c r="BH379" i="20"/>
  <c r="BJ379" i="20" s="1"/>
  <c r="EH434" i="20"/>
  <c r="EG434" i="20"/>
  <c r="BI478" i="20"/>
  <c r="BJ478" i="20" s="1"/>
  <c r="DT478" i="20"/>
  <c r="DP487" i="20"/>
  <c r="DO487" i="20"/>
  <c r="ED487" i="20"/>
  <c r="DB144" i="20"/>
  <c r="FH144" i="20"/>
  <c r="AY439" i="20"/>
  <c r="AZ439" i="20" s="1"/>
  <c r="ET426" i="20"/>
  <c r="EU426" i="20" s="1"/>
  <c r="EV426" i="20" s="1"/>
  <c r="BI477" i="20"/>
  <c r="BJ477" i="20" s="1"/>
  <c r="DT477" i="20"/>
  <c r="ED259" i="20"/>
  <c r="CR259" i="20" s="1"/>
  <c r="FI387" i="20"/>
  <c r="DD387" i="20"/>
  <c r="CX439" i="20"/>
  <c r="FI439" i="20"/>
  <c r="BI495" i="20"/>
  <c r="BJ495" i="20" s="1"/>
  <c r="DT495" i="20"/>
  <c r="DP491" i="20"/>
  <c r="DO491" i="20"/>
  <c r="ED491" i="20"/>
  <c r="DO43" i="20"/>
  <c r="DP43" i="20"/>
  <c r="BO91" i="20"/>
  <c r="BP91" i="20" s="1"/>
  <c r="EI91" i="20" s="1"/>
  <c r="DB187" i="20"/>
  <c r="FH187" i="20"/>
  <c r="CK294" i="20"/>
  <c r="CP294" i="20" s="1"/>
  <c r="BH349" i="20"/>
  <c r="BJ349" i="20" s="1"/>
  <c r="BC382" i="20"/>
  <c r="CN382" i="20" s="1"/>
  <c r="DP44" i="20"/>
  <c r="DO44" i="20"/>
  <c r="DD270" i="20"/>
  <c r="FI270" i="20"/>
  <c r="ED296" i="20"/>
  <c r="CR296" i="20" s="1"/>
  <c r="CK412" i="20"/>
  <c r="CP412" i="20" s="1"/>
  <c r="BI410" i="20"/>
  <c r="BJ410" i="20" s="1"/>
  <c r="DT410" i="20"/>
  <c r="BI424" i="20"/>
  <c r="BJ424" i="20" s="1"/>
  <c r="DT424" i="20"/>
  <c r="BP49" i="20"/>
  <c r="EI49" i="20" s="1"/>
  <c r="FI72" i="20"/>
  <c r="CX72" i="20"/>
  <c r="BM86" i="20"/>
  <c r="BL86" i="20"/>
  <c r="BN86" i="20" s="1"/>
  <c r="CX95" i="20"/>
  <c r="FI95" i="20"/>
  <c r="AP170" i="20"/>
  <c r="AT169" i="20"/>
  <c r="DU169" i="20" s="1"/>
  <c r="BI197" i="20"/>
  <c r="BJ197" i="20" s="1"/>
  <c r="DT197" i="20"/>
  <c r="ET226" i="20"/>
  <c r="EU226" i="20" s="1"/>
  <c r="EV226" i="20" s="1"/>
  <c r="CV235" i="20"/>
  <c r="FH235" i="20"/>
  <c r="BF235" i="20"/>
  <c r="CO235" i="20" s="1"/>
  <c r="CK235" i="20"/>
  <c r="CP235" i="20" s="1"/>
  <c r="BC245" i="20"/>
  <c r="CN245" i="20" s="1"/>
  <c r="ET268" i="20"/>
  <c r="EU268" i="20" s="1"/>
  <c r="EV268" i="20" s="1"/>
  <c r="BH337" i="20"/>
  <c r="BJ337" i="20" s="1"/>
  <c r="AZ337" i="20"/>
  <c r="BC306" i="20"/>
  <c r="CN306" i="20" s="1"/>
  <c r="ET341" i="20"/>
  <c r="EU341" i="20" s="1"/>
  <c r="EV341" i="20" s="1"/>
  <c r="DM335" i="20"/>
  <c r="CB355" i="20"/>
  <c r="CI355" i="20" s="1"/>
  <c r="CK355" i="20" s="1"/>
  <c r="CP355" i="20" s="1"/>
  <c r="CU351" i="20"/>
  <c r="FG351" i="20"/>
  <c r="FG389" i="20"/>
  <c r="DA389" i="20"/>
  <c r="EG400" i="20"/>
  <c r="EH400" i="20"/>
  <c r="ET406" i="20"/>
  <c r="EU406" i="20" s="1"/>
  <c r="EV406" i="20" s="1"/>
  <c r="BJ429" i="20"/>
  <c r="DM442" i="20"/>
  <c r="EY39" i="20"/>
  <c r="EZ39" i="20" s="1"/>
  <c r="BC70" i="20"/>
  <c r="CN70" i="20" s="1"/>
  <c r="DT81" i="20"/>
  <c r="BC140" i="20"/>
  <c r="CN140" i="20" s="1"/>
  <c r="EW154" i="20"/>
  <c r="EX154" i="20" s="1"/>
  <c r="DS154" i="20" s="1"/>
  <c r="ED180" i="20"/>
  <c r="CR180" i="20" s="1"/>
  <c r="DY208" i="20"/>
  <c r="EH208" i="20" s="1"/>
  <c r="BZ208" i="20"/>
  <c r="CB208" i="20" s="1"/>
  <c r="CI208" i="20" s="1"/>
  <c r="CK208" i="20" s="1"/>
  <c r="CP208" i="20" s="1"/>
  <c r="DA256" i="20"/>
  <c r="FG256" i="20"/>
  <c r="BJ278" i="20"/>
  <c r="EH291" i="20"/>
  <c r="EG291" i="20"/>
  <c r="FI299" i="20"/>
  <c r="CX299" i="20"/>
  <c r="BC307" i="20"/>
  <c r="CN307" i="20" s="1"/>
  <c r="CW336" i="20"/>
  <c r="FJ336" i="20"/>
  <c r="EY22" i="20"/>
  <c r="EZ22" i="20" s="1"/>
  <c r="BO41" i="20"/>
  <c r="BP41" i="20" s="1"/>
  <c r="EI41" i="20" s="1"/>
  <c r="BM63" i="20"/>
  <c r="BL63" i="20"/>
  <c r="BN63" i="20" s="1"/>
  <c r="BC73" i="20"/>
  <c r="CN73" i="20" s="1"/>
  <c r="CM100" i="20"/>
  <c r="CS100" i="20"/>
  <c r="BO94" i="20"/>
  <c r="BP94" i="20" s="1"/>
  <c r="EI94" i="20" s="1"/>
  <c r="EY131" i="20"/>
  <c r="EZ131" i="20" s="1"/>
  <c r="DP197" i="20"/>
  <c r="DT192" i="20"/>
  <c r="BI192" i="20"/>
  <c r="BJ192" i="20" s="1"/>
  <c r="DN192" i="20"/>
  <c r="ET255" i="20"/>
  <c r="EU255" i="20" s="1"/>
  <c r="EV255" i="20" s="1"/>
  <c r="FJ274" i="20"/>
  <c r="DC274" i="20"/>
  <c r="ET278" i="20"/>
  <c r="EU278" i="20" s="1"/>
  <c r="EV278" i="20" s="1"/>
  <c r="CB347" i="20"/>
  <c r="CI347" i="20" s="1"/>
  <c r="CK347" i="20" s="1"/>
  <c r="CP347" i="20" s="1"/>
  <c r="BL98" i="20"/>
  <c r="BN98" i="20" s="1"/>
  <c r="BM98" i="20"/>
  <c r="EY96" i="20"/>
  <c r="EZ96" i="20" s="1"/>
  <c r="BC137" i="20"/>
  <c r="CN137" i="20" s="1"/>
  <c r="ET164" i="20"/>
  <c r="EU164" i="20" s="1"/>
  <c r="EV164" i="20" s="1"/>
  <c r="EW164" i="20" s="1"/>
  <c r="FL176" i="20"/>
  <c r="CZ176" i="20"/>
  <c r="DR158" i="20"/>
  <c r="BI158" i="20"/>
  <c r="BJ158" i="20" s="1"/>
  <c r="BI205" i="20"/>
  <c r="DT205" i="20"/>
  <c r="CW203" i="20"/>
  <c r="FJ203" i="20"/>
  <c r="ET209" i="20"/>
  <c r="EU209" i="20" s="1"/>
  <c r="EV209" i="20" s="1"/>
  <c r="CU260" i="20"/>
  <c r="FG260" i="20"/>
  <c r="DC271" i="20"/>
  <c r="FJ271" i="20"/>
  <c r="ET287" i="20"/>
  <c r="EU287" i="20" s="1"/>
  <c r="EV287" i="20" s="1"/>
  <c r="FG319" i="20"/>
  <c r="DA319" i="20"/>
  <c r="AY353" i="20"/>
  <c r="BH353" i="20" s="1"/>
  <c r="BJ353" i="20" s="1"/>
  <c r="ET375" i="20"/>
  <c r="EU375" i="20" s="1"/>
  <c r="EV375" i="20" s="1"/>
  <c r="CB382" i="20"/>
  <c r="CI382" i="20" s="1"/>
  <c r="CK382" i="20" s="1"/>
  <c r="CP382" i="20" s="1"/>
  <c r="FJ429" i="20"/>
  <c r="DC429" i="20"/>
  <c r="AT23" i="20"/>
  <c r="DU23" i="20" s="1"/>
  <c r="EM23" i="20" s="1"/>
  <c r="EP23" i="20" s="1"/>
  <c r="EQ23" i="20" s="1"/>
  <c r="AP24" i="20"/>
  <c r="EY50" i="20"/>
  <c r="EZ50" i="20" s="1"/>
  <c r="ET50" i="20"/>
  <c r="EU50" i="20" s="1"/>
  <c r="EV50" i="20" s="1"/>
  <c r="BM82" i="20"/>
  <c r="BL82" i="20"/>
  <c r="BN82" i="20" s="1"/>
  <c r="AU106" i="20"/>
  <c r="AR106" i="20"/>
  <c r="BP51" i="20"/>
  <c r="EI51" i="20" s="1"/>
  <c r="BC169" i="20"/>
  <c r="CN169" i="20" s="1"/>
  <c r="DM149" i="20"/>
  <c r="ET193" i="20"/>
  <c r="ET173" i="20"/>
  <c r="EU173" i="20" s="1"/>
  <c r="EV173" i="20" s="1"/>
  <c r="AU194" i="20"/>
  <c r="AR194" i="20"/>
  <c r="BF223" i="20"/>
  <c r="CO223" i="20" s="1"/>
  <c r="CK223" i="20"/>
  <c r="CP223" i="20" s="1"/>
  <c r="BC247" i="20"/>
  <c r="CN247" i="20" s="1"/>
  <c r="CB256" i="20"/>
  <c r="CI256" i="20" s="1"/>
  <c r="CK256" i="20" s="1"/>
  <c r="CP256" i="20" s="1"/>
  <c r="CB276" i="20"/>
  <c r="CI276" i="20" s="1"/>
  <c r="CK276" i="20" s="1"/>
  <c r="CP276" i="20" s="1"/>
  <c r="AZ264" i="20"/>
  <c r="DA302" i="20"/>
  <c r="FG302" i="20"/>
  <c r="CB287" i="20"/>
  <c r="CI287" i="20" s="1"/>
  <c r="CK287" i="20" s="1"/>
  <c r="CP287" i="20" s="1"/>
  <c r="BH293" i="20"/>
  <c r="BJ293" i="20" s="1"/>
  <c r="BJ343" i="20"/>
  <c r="CX358" i="20"/>
  <c r="FI358" i="20"/>
  <c r="CU381" i="20"/>
  <c r="FG381" i="20"/>
  <c r="DM74" i="20"/>
  <c r="DM54" i="20"/>
  <c r="BL99" i="20"/>
  <c r="BN99" i="20" s="1"/>
  <c r="BM99" i="20"/>
  <c r="DC118" i="20"/>
  <c r="FJ118" i="20"/>
  <c r="EZ146" i="20"/>
  <c r="BC180" i="20"/>
  <c r="CN180" i="20" s="1"/>
  <c r="ET194" i="20"/>
  <c r="EU194" i="20" s="1"/>
  <c r="EV194" i="20" s="1"/>
  <c r="CK222" i="20"/>
  <c r="ED242" i="20"/>
  <c r="ED246" i="20"/>
  <c r="CR246" i="20" s="1"/>
  <c r="EH274" i="20"/>
  <c r="EG274" i="20"/>
  <c r="BC285" i="20"/>
  <c r="CN285" i="20" s="1"/>
  <c r="CK293" i="20"/>
  <c r="CP293" i="20" s="1"/>
  <c r="ET390" i="20"/>
  <c r="EU390" i="20" s="1"/>
  <c r="EV390" i="20" s="1"/>
  <c r="CB406" i="20"/>
  <c r="CI406" i="20" s="1"/>
  <c r="CK406" i="20" s="1"/>
  <c r="CP406" i="20" s="1"/>
  <c r="DQ31" i="20"/>
  <c r="ET21" i="20"/>
  <c r="EU21" i="20" s="1"/>
  <c r="EV21" i="20" s="1"/>
  <c r="EM21" i="20"/>
  <c r="EP21" i="20" s="1"/>
  <c r="EQ21" i="20" s="1"/>
  <c r="EZ37" i="20"/>
  <c r="EO37" i="20" s="1"/>
  <c r="EZ25" i="20"/>
  <c r="BO104" i="20"/>
  <c r="BP104" i="20" s="1"/>
  <c r="EI104" i="20" s="1"/>
  <c r="EH104" i="20" s="1"/>
  <c r="DN212" i="20"/>
  <c r="EM212" i="20"/>
  <c r="EP212" i="20" s="1"/>
  <c r="EQ212" i="20" s="1"/>
  <c r="ER212" i="20" s="1"/>
  <c r="DM224" i="20"/>
  <c r="BC260" i="20"/>
  <c r="CN260" i="20" s="1"/>
  <c r="FI267" i="20"/>
  <c r="DD267" i="20"/>
  <c r="FG280" i="20"/>
  <c r="DA280" i="20"/>
  <c r="EH308" i="20"/>
  <c r="EG308" i="20"/>
  <c r="AZ311" i="20"/>
  <c r="CB334" i="20"/>
  <c r="CI334" i="20" s="1"/>
  <c r="CK334" i="20" s="1"/>
  <c r="CP334" i="20" s="1"/>
  <c r="DM336" i="20"/>
  <c r="CX326" i="20"/>
  <c r="FI326" i="20"/>
  <c r="ET342" i="20"/>
  <c r="EU342" i="20" s="1"/>
  <c r="EV342" i="20" s="1"/>
  <c r="BC367" i="20"/>
  <c r="CN367" i="20" s="1"/>
  <c r="CB379" i="20"/>
  <c r="CI379" i="20" s="1"/>
  <c r="CK379" i="20" s="1"/>
  <c r="CP379" i="20" s="1"/>
  <c r="ET35" i="20"/>
  <c r="EU35" i="20" s="1"/>
  <c r="EV35" i="20" s="1"/>
  <c r="EY51" i="20"/>
  <c r="EZ51" i="20" s="1"/>
  <c r="CB61" i="20"/>
  <c r="CI61" i="20" s="1"/>
  <c r="CK61" i="20" s="1"/>
  <c r="CP61" i="20" s="1"/>
  <c r="EY46" i="20"/>
  <c r="EZ46" i="20" s="1"/>
  <c r="BC83" i="20"/>
  <c r="CN83" i="20" s="1"/>
  <c r="FX109" i="20"/>
  <c r="GA109" i="20" s="1"/>
  <c r="BR109" i="20"/>
  <c r="DZ109" i="20" s="1"/>
  <c r="EB109" i="20" s="1"/>
  <c r="BE109" i="20"/>
  <c r="BF109" i="20" s="1"/>
  <c r="BK109" i="20"/>
  <c r="AN109" i="20"/>
  <c r="AQ109" i="20" s="1"/>
  <c r="CA109" i="20"/>
  <c r="T109" i="20"/>
  <c r="EE109" i="20"/>
  <c r="EE4" i="20" s="1"/>
  <c r="BZ109" i="20"/>
  <c r="BP85" i="20"/>
  <c r="EI85" i="20" s="1"/>
  <c r="BP127" i="20"/>
  <c r="EI127" i="20" s="1"/>
  <c r="EH127" i="20" s="1"/>
  <c r="CV176" i="20"/>
  <c r="FH176" i="20"/>
  <c r="FG210" i="20"/>
  <c r="CU210" i="20"/>
  <c r="CU204" i="20"/>
  <c r="FG204" i="20"/>
  <c r="FJ225" i="20"/>
  <c r="DC225" i="20"/>
  <c r="DM229" i="20"/>
  <c r="EG253" i="20"/>
  <c r="EH253" i="20"/>
  <c r="ET261" i="20"/>
  <c r="EU261" i="20" s="1"/>
  <c r="EV261" i="20" s="1"/>
  <c r="BC313" i="20"/>
  <c r="CN313" i="20" s="1"/>
  <c r="BC324" i="20"/>
  <c r="CN324" i="20" s="1"/>
  <c r="CB343" i="20"/>
  <c r="CI343" i="20" s="1"/>
  <c r="CK343" i="20" s="1"/>
  <c r="CP343" i="20" s="1"/>
  <c r="EG352" i="20"/>
  <c r="EH352" i="20"/>
  <c r="BJ357" i="20"/>
  <c r="CB374" i="20"/>
  <c r="CI374" i="20" s="1"/>
  <c r="CK374" i="20" s="1"/>
  <c r="CP374" i="20" s="1"/>
  <c r="BC398" i="20"/>
  <c r="CN398" i="20" s="1"/>
  <c r="BC404" i="20"/>
  <c r="CN404" i="20" s="1"/>
  <c r="CX430" i="20"/>
  <c r="FI430" i="20"/>
  <c r="ED170" i="20"/>
  <c r="CR170" i="20" s="1"/>
  <c r="BH250" i="20"/>
  <c r="DD302" i="20"/>
  <c r="FI302" i="20"/>
  <c r="AY362" i="20"/>
  <c r="AZ362" i="20" s="1"/>
  <c r="ET393" i="20"/>
  <c r="EU393" i="20" s="1"/>
  <c r="EV393" i="20" s="1"/>
  <c r="EG435" i="20"/>
  <c r="EH435" i="20"/>
  <c r="FG443" i="20"/>
  <c r="CU443" i="20"/>
  <c r="ES466" i="20"/>
  <c r="EM469" i="20"/>
  <c r="EP469" i="20" s="1"/>
  <c r="EQ469" i="20" s="1"/>
  <c r="ET469" i="20"/>
  <c r="EU469" i="20" s="1"/>
  <c r="EV469" i="20" s="1"/>
  <c r="FG373" i="20"/>
  <c r="DA373" i="20"/>
  <c r="FG433" i="20"/>
  <c r="DA433" i="20"/>
  <c r="DO39" i="20"/>
  <c r="DP39" i="20"/>
  <c r="FH150" i="20"/>
  <c r="DB150" i="20"/>
  <c r="ED171" i="20"/>
  <c r="CR171" i="20" s="1"/>
  <c r="CK219" i="20"/>
  <c r="CB434" i="20"/>
  <c r="CI434" i="20" s="1"/>
  <c r="CK434" i="20" s="1"/>
  <c r="CP434" i="20" s="1"/>
  <c r="ET439" i="20"/>
  <c r="EU439" i="20" s="1"/>
  <c r="EV439" i="20" s="1"/>
  <c r="EM478" i="20"/>
  <c r="EP478" i="20" s="1"/>
  <c r="EQ478" i="20" s="1"/>
  <c r="ED222" i="20"/>
  <c r="BH324" i="20"/>
  <c r="BJ324" i="20" s="1"/>
  <c r="FG339" i="20"/>
  <c r="CU339" i="20"/>
  <c r="AY376" i="20"/>
  <c r="AZ376" i="20" s="1"/>
  <c r="BC407" i="20"/>
  <c r="CN407" i="20" s="1"/>
  <c r="EH436" i="20"/>
  <c r="EG436" i="20"/>
  <c r="DN474" i="20"/>
  <c r="ER474" i="20"/>
  <c r="ES474" i="20"/>
  <c r="BH249" i="20"/>
  <c r="BJ249" i="20" s="1"/>
  <c r="BH306" i="20"/>
  <c r="AZ366" i="20"/>
  <c r="BH366" i="20"/>
  <c r="ED369" i="20"/>
  <c r="CR369" i="20" s="1"/>
  <c r="BH420" i="20"/>
  <c r="AZ420" i="20"/>
  <c r="BC436" i="20"/>
  <c r="CN436" i="20" s="1"/>
  <c r="BI448" i="20"/>
  <c r="BJ448" i="20" s="1"/>
  <c r="DT448" i="20"/>
  <c r="BI471" i="20"/>
  <c r="BJ471" i="20" s="1"/>
  <c r="DT471" i="20"/>
  <c r="EM477" i="20"/>
  <c r="EP477" i="20" s="1"/>
  <c r="EQ477" i="20" s="1"/>
  <c r="ET477" i="20"/>
  <c r="EU477" i="20" s="1"/>
  <c r="EV477" i="20" s="1"/>
  <c r="DP28" i="20"/>
  <c r="DO28" i="20"/>
  <c r="ED389" i="20"/>
  <c r="CR389" i="20" s="1"/>
  <c r="AZ385" i="20"/>
  <c r="BH385" i="20"/>
  <c r="BJ385" i="20" s="1"/>
  <c r="AZ387" i="20"/>
  <c r="BH387" i="20"/>
  <c r="BJ387" i="20" s="1"/>
  <c r="AZ429" i="20"/>
  <c r="BJ447" i="20"/>
  <c r="DN495" i="20"/>
  <c r="ES495" i="20"/>
  <c r="ER495" i="20"/>
  <c r="ES491" i="20"/>
  <c r="ED301" i="20"/>
  <c r="CR301" i="20" s="1"/>
  <c r="BH342" i="20"/>
  <c r="CV375" i="20"/>
  <c r="FH375" i="20"/>
  <c r="FH411" i="20"/>
  <c r="CV411" i="20"/>
  <c r="EM482" i="20"/>
  <c r="EP482" i="20" s="1"/>
  <c r="EQ482" i="20" s="1"/>
  <c r="CK41" i="20"/>
  <c r="ED179" i="20"/>
  <c r="CR179" i="20" s="1"/>
  <c r="AZ295" i="20"/>
  <c r="AZ386" i="20"/>
  <c r="BH386" i="20"/>
  <c r="BJ386" i="20" s="1"/>
  <c r="ET424" i="20"/>
  <c r="EU424" i="20" s="1"/>
  <c r="EV424" i="20" s="1"/>
  <c r="AY446" i="20"/>
  <c r="AZ446" i="20" s="1"/>
  <c r="AZ435" i="20"/>
  <c r="EX490" i="20"/>
  <c r="BC53" i="20"/>
  <c r="CN53" i="20" s="1"/>
  <c r="CW138" i="20"/>
  <c r="FJ138" i="20"/>
  <c r="EH86" i="20"/>
  <c r="EG86" i="20"/>
  <c r="DM93" i="20"/>
  <c r="BE95" i="20"/>
  <c r="BF95" i="20" s="1"/>
  <c r="CO95" i="20" s="1"/>
  <c r="AZ95" i="20"/>
  <c r="BC145" i="20"/>
  <c r="CN145" i="20" s="1"/>
  <c r="ED205" i="20"/>
  <c r="CR205" i="20" s="1"/>
  <c r="BI170" i="20"/>
  <c r="BJ170" i="20" s="1"/>
  <c r="DT170" i="20"/>
  <c r="EM197" i="20"/>
  <c r="EP197" i="20" s="1"/>
  <c r="EQ197" i="20" s="1"/>
  <c r="FI194" i="20"/>
  <c r="CX194" i="20"/>
  <c r="ED237" i="20"/>
  <c r="CR237" i="20" s="1"/>
  <c r="CU235" i="20"/>
  <c r="FG235" i="20"/>
  <c r="AY257" i="20"/>
  <c r="BH257" i="20" s="1"/>
  <c r="BJ257" i="20" s="1"/>
  <c r="CX261" i="20"/>
  <c r="FI261" i="20"/>
  <c r="BC320" i="20"/>
  <c r="CN320" i="20" s="1"/>
  <c r="AY305" i="20"/>
  <c r="BH305" i="20" s="1"/>
  <c r="ET347" i="20"/>
  <c r="EU347" i="20" s="1"/>
  <c r="EV347" i="20" s="1"/>
  <c r="DM350" i="20"/>
  <c r="BC351" i="20"/>
  <c r="CN351" i="20" s="1"/>
  <c r="ET332" i="20"/>
  <c r="EU332" i="20" s="1"/>
  <c r="EV332" i="20" s="1"/>
  <c r="ET331" i="20"/>
  <c r="EU331" i="20" s="1"/>
  <c r="EV331" i="20" s="1"/>
  <c r="BC352" i="20"/>
  <c r="CN352" i="20" s="1"/>
  <c r="BJ393" i="20"/>
  <c r="EG407" i="20"/>
  <c r="EH407" i="20"/>
  <c r="BI423" i="20"/>
  <c r="DT423" i="20"/>
  <c r="EG428" i="20"/>
  <c r="FI68" i="20"/>
  <c r="CX68" i="20"/>
  <c r="FH55" i="20"/>
  <c r="CV55" i="20"/>
  <c r="ET47" i="20"/>
  <c r="EU47" i="20" s="1"/>
  <c r="EV47" i="20" s="1"/>
  <c r="EH57" i="20"/>
  <c r="EG57" i="20"/>
  <c r="FI75" i="20"/>
  <c r="CX75" i="20"/>
  <c r="ET104" i="20"/>
  <c r="EU104" i="20" s="1"/>
  <c r="EV104" i="20" s="1"/>
  <c r="EM104" i="20"/>
  <c r="EP104" i="20" s="1"/>
  <c r="EQ104" i="20" s="1"/>
  <c r="AT109" i="20"/>
  <c r="DU109" i="20" s="1"/>
  <c r="AP110" i="20"/>
  <c r="FI79" i="20"/>
  <c r="CX79" i="20"/>
  <c r="FJ188" i="20"/>
  <c r="DC188" i="20"/>
  <c r="FH149" i="20"/>
  <c r="DB149" i="20"/>
  <c r="CU206" i="20"/>
  <c r="FG206" i="20"/>
  <c r="BI179" i="20"/>
  <c r="DT179" i="20"/>
  <c r="DA208" i="20"/>
  <c r="FG208" i="20"/>
  <c r="ED248" i="20"/>
  <c r="CR248" i="20" s="1"/>
  <c r="DA257" i="20"/>
  <c r="FG257" i="20"/>
  <c r="DA292" i="20"/>
  <c r="FG292" i="20"/>
  <c r="BC297" i="20"/>
  <c r="CN297" i="20" s="1"/>
  <c r="ET39" i="20"/>
  <c r="EU39" i="20" s="1"/>
  <c r="EV39" i="20" s="1"/>
  <c r="CS102" i="20"/>
  <c r="CP102" i="20"/>
  <c r="CO102" i="20"/>
  <c r="CM102" i="20"/>
  <c r="FL185" i="20"/>
  <c r="CZ185" i="20"/>
  <c r="CV185" i="20"/>
  <c r="FH185" i="20"/>
  <c r="CU249" i="20"/>
  <c r="FG249" i="20"/>
  <c r="BC268" i="20"/>
  <c r="CN268" i="20" s="1"/>
  <c r="BI319" i="20"/>
  <c r="DT319" i="20"/>
  <c r="CB337" i="20"/>
  <c r="CI337" i="20" s="1"/>
  <c r="CK337" i="20" s="1"/>
  <c r="CP337" i="20" s="1"/>
  <c r="EZ33" i="20"/>
  <c r="BE98" i="20"/>
  <c r="BF98" i="20" s="1"/>
  <c r="CO98" i="20" s="1"/>
  <c r="AY98" i="20"/>
  <c r="AZ98" i="20" s="1"/>
  <c r="EZ137" i="20"/>
  <c r="DA146" i="20"/>
  <c r="FG146" i="20"/>
  <c r="ET192" i="20"/>
  <c r="EU192" i="20" s="1"/>
  <c r="EV192" i="20" s="1"/>
  <c r="CK200" i="20"/>
  <c r="CP200" i="20" s="1"/>
  <c r="AU167" i="20"/>
  <c r="AR167" i="20"/>
  <c r="CK221" i="20"/>
  <c r="CP221" i="20" s="1"/>
  <c r="ET222" i="20"/>
  <c r="EU222" i="20" s="1"/>
  <c r="EV222" i="20" s="1"/>
  <c r="BI253" i="20"/>
  <c r="BJ253" i="20" s="1"/>
  <c r="DT253" i="20"/>
  <c r="CK278" i="20"/>
  <c r="CP278" i="20" s="1"/>
  <c r="FI312" i="20"/>
  <c r="CX312" i="20"/>
  <c r="BI326" i="20"/>
  <c r="BJ326" i="20" s="1"/>
  <c r="DT326" i="20"/>
  <c r="DM374" i="20"/>
  <c r="FG375" i="20"/>
  <c r="CU375" i="20"/>
  <c r="DD382" i="20"/>
  <c r="FI382" i="20"/>
  <c r="EG404" i="20"/>
  <c r="EH404" i="20"/>
  <c r="CU408" i="20"/>
  <c r="FG408" i="20"/>
  <c r="CB444" i="20"/>
  <c r="CI444" i="20" s="1"/>
  <c r="CK444" i="20" s="1"/>
  <c r="CP444" i="20" s="1"/>
  <c r="EY79" i="20"/>
  <c r="EZ79" i="20" s="1"/>
  <c r="EY34" i="20"/>
  <c r="EZ34" i="20" s="1"/>
  <c r="FI82" i="20"/>
  <c r="CX82" i="20"/>
  <c r="CU127" i="20"/>
  <c r="FG127" i="20"/>
  <c r="FH84" i="20"/>
  <c r="CV84" i="20"/>
  <c r="DC166" i="20"/>
  <c r="FJ166" i="20"/>
  <c r="DN193" i="20"/>
  <c r="DA180" i="20"/>
  <c r="FG180" i="20"/>
  <c r="DT195" i="20"/>
  <c r="BI195" i="20"/>
  <c r="DM241" i="20"/>
  <c r="BC246" i="20"/>
  <c r="CN246" i="20" s="1"/>
  <c r="CK258" i="20"/>
  <c r="CP258" i="20" s="1"/>
  <c r="DC286" i="20"/>
  <c r="FJ286" i="20"/>
  <c r="AY262" i="20"/>
  <c r="BH262" i="20" s="1"/>
  <c r="BJ262" i="20" s="1"/>
  <c r="CX287" i="20"/>
  <c r="FI287" i="20"/>
  <c r="AY298" i="20"/>
  <c r="BH298" i="20" s="1"/>
  <c r="BJ298" i="20" s="1"/>
  <c r="ET321" i="20"/>
  <c r="EU321" i="20" s="1"/>
  <c r="EV321" i="20" s="1"/>
  <c r="EG358" i="20"/>
  <c r="EH358" i="20"/>
  <c r="DM425" i="20"/>
  <c r="DM58" i="20"/>
  <c r="DP50" i="20"/>
  <c r="DO50" i="20"/>
  <c r="BM53" i="20"/>
  <c r="BL53" i="20"/>
  <c r="BN53" i="20" s="1"/>
  <c r="DT98" i="20"/>
  <c r="T111" i="20"/>
  <c r="CA111" i="20"/>
  <c r="BK111" i="20"/>
  <c r="BZ111" i="20"/>
  <c r="BR111" i="20"/>
  <c r="DZ111" i="20" s="1"/>
  <c r="EB111" i="20" s="1"/>
  <c r="BE111" i="20"/>
  <c r="BF111" i="20" s="1"/>
  <c r="FY111" i="20"/>
  <c r="GA111" i="20" s="1"/>
  <c r="ET159" i="20"/>
  <c r="EU159" i="20" s="1"/>
  <c r="EV159" i="20" s="1"/>
  <c r="EM159" i="20"/>
  <c r="EP159" i="20" s="1"/>
  <c r="EQ159" i="20" s="1"/>
  <c r="CU194" i="20"/>
  <c r="FG194" i="20"/>
  <c r="BJ223" i="20"/>
  <c r="ED270" i="20"/>
  <c r="CR270" i="20" s="1"/>
  <c r="DD310" i="20"/>
  <c r="FI310" i="20"/>
  <c r="EH305" i="20"/>
  <c r="EG305" i="20"/>
  <c r="FG327" i="20"/>
  <c r="DA327" i="20"/>
  <c r="EG356" i="20"/>
  <c r="FJ392" i="20"/>
  <c r="CW392" i="20"/>
  <c r="DO41" i="20"/>
  <c r="DP41" i="20"/>
  <c r="ET88" i="20"/>
  <c r="EU88" i="20" s="1"/>
  <c r="EV88" i="20" s="1"/>
  <c r="BO113" i="20"/>
  <c r="BP113" i="20" s="1"/>
  <c r="EI113" i="20" s="1"/>
  <c r="EH113" i="20" s="1"/>
  <c r="CV184" i="20"/>
  <c r="AQ197" i="20"/>
  <c r="DY196" i="20"/>
  <c r="EH196" i="20" s="1"/>
  <c r="BZ196" i="20"/>
  <c r="CB196" i="20" s="1"/>
  <c r="CI196" i="20" s="1"/>
  <c r="CK196" i="20" s="1"/>
  <c r="CP196" i="20" s="1"/>
  <c r="DN215" i="20"/>
  <c r="DP215" i="20" s="1"/>
  <c r="EM215" i="20"/>
  <c r="EP215" i="20" s="1"/>
  <c r="EQ215" i="20" s="1"/>
  <c r="BC179" i="20"/>
  <c r="CN179" i="20" s="1"/>
  <c r="CB249" i="20"/>
  <c r="CI249" i="20" s="1"/>
  <c r="CK249" i="20" s="1"/>
  <c r="CP249" i="20" s="1"/>
  <c r="AY279" i="20"/>
  <c r="AZ279" i="20" s="1"/>
  <c r="CB308" i="20"/>
  <c r="CI308" i="20" s="1"/>
  <c r="CK308" i="20" s="1"/>
  <c r="CP308" i="20" s="1"/>
  <c r="DD306" i="20"/>
  <c r="FI306" i="20"/>
  <c r="EH338" i="20"/>
  <c r="EG338" i="20"/>
  <c r="FG342" i="20"/>
  <c r="DA342" i="20"/>
  <c r="BC372" i="20"/>
  <c r="CN372" i="20" s="1"/>
  <c r="CU366" i="20"/>
  <c r="FG366" i="20"/>
  <c r="DD379" i="20"/>
  <c r="FI379" i="20"/>
  <c r="BJ415" i="20"/>
  <c r="EY20" i="20"/>
  <c r="EZ20" i="20" s="1"/>
  <c r="BP64" i="20"/>
  <c r="EI64" i="20" s="1"/>
  <c r="CX59" i="20"/>
  <c r="FI59" i="20"/>
  <c r="DT75" i="20"/>
  <c r="BC86" i="20"/>
  <c r="CN86" i="20" s="1"/>
  <c r="EY94" i="20"/>
  <c r="EZ94" i="20" s="1"/>
  <c r="EH204" i="20"/>
  <c r="BJ272" i="20"/>
  <c r="EH263" i="20"/>
  <c r="EG263" i="20"/>
  <c r="BI273" i="20"/>
  <c r="DT273" i="20"/>
  <c r="DM293" i="20"/>
  <c r="EG327" i="20"/>
  <c r="EH327" i="20"/>
  <c r="DC346" i="20"/>
  <c r="FJ346" i="20"/>
  <c r="EH342" i="20"/>
  <c r="EG342" i="20"/>
  <c r="CB352" i="20"/>
  <c r="CI352" i="20" s="1"/>
  <c r="CK352" i="20" s="1"/>
  <c r="CP352" i="20" s="1"/>
  <c r="BC354" i="20"/>
  <c r="CN354" i="20" s="1"/>
  <c r="DT374" i="20"/>
  <c r="BI374" i="20"/>
  <c r="BJ374" i="20" s="1"/>
  <c r="FJ383" i="20"/>
  <c r="AZ394" i="20"/>
  <c r="BH394" i="20"/>
  <c r="BJ394" i="20" s="1"/>
  <c r="DM422" i="20"/>
  <c r="CK436" i="20"/>
  <c r="CP436" i="20" s="1"/>
  <c r="ED190" i="20"/>
  <c r="CR190" i="20" s="1"/>
  <c r="EH362" i="20"/>
  <c r="EG362" i="20"/>
  <c r="FG393" i="20"/>
  <c r="CU393" i="20"/>
  <c r="DM408" i="20"/>
  <c r="BC448" i="20"/>
  <c r="CN448" i="20" s="1"/>
  <c r="DT480" i="20"/>
  <c r="BI480" i="20"/>
  <c r="BJ480" i="20" s="1"/>
  <c r="ET484" i="20"/>
  <c r="EU484" i="20" s="1"/>
  <c r="EV484" i="20" s="1"/>
  <c r="ED278" i="20"/>
  <c r="CR278" i="20" s="1"/>
  <c r="BH354" i="20"/>
  <c r="BH384" i="20"/>
  <c r="AZ384" i="20"/>
  <c r="ET446" i="20"/>
  <c r="EU446" i="20" s="1"/>
  <c r="EV446" i="20" s="1"/>
  <c r="CV396" i="20"/>
  <c r="FH396" i="20"/>
  <c r="ED482" i="20"/>
  <c r="CV391" i="20"/>
  <c r="FH391" i="20"/>
  <c r="BC442" i="20"/>
  <c r="CN442" i="20" s="1"/>
  <c r="CK34" i="20"/>
  <c r="DP38" i="20"/>
  <c r="DO38" i="20"/>
  <c r="ET413" i="20"/>
  <c r="EU413" i="20" s="1"/>
  <c r="EV413" i="20" s="1"/>
  <c r="ET448" i="20"/>
  <c r="EU448" i="20" s="1"/>
  <c r="EV448" i="20" s="1"/>
  <c r="EM471" i="20"/>
  <c r="EP471" i="20" s="1"/>
  <c r="EQ471" i="20" s="1"/>
  <c r="ET471" i="20"/>
  <c r="EU471" i="20" s="1"/>
  <c r="EV471" i="20" s="1"/>
  <c r="EM483" i="20"/>
  <c r="EP483" i="20" s="1"/>
  <c r="EQ483" i="20" s="1"/>
  <c r="CB385" i="20"/>
  <c r="CI385" i="20" s="1"/>
  <c r="CK385" i="20" s="1"/>
  <c r="CP385" i="20" s="1"/>
  <c r="EG433" i="20"/>
  <c r="EH433" i="20"/>
  <c r="EG439" i="20"/>
  <c r="EH439" i="20"/>
  <c r="BI488" i="20"/>
  <c r="BJ488" i="20" s="1"/>
  <c r="DT488" i="20"/>
  <c r="BI405" i="20"/>
  <c r="DT405" i="20"/>
  <c r="CB438" i="20"/>
  <c r="CI438" i="20" s="1"/>
  <c r="CK438" i="20" s="1"/>
  <c r="CP438" i="20" s="1"/>
  <c r="BI467" i="20"/>
  <c r="BJ467" i="20" s="1"/>
  <c r="DT467" i="20"/>
  <c r="DT482" i="20"/>
  <c r="BI482" i="20"/>
  <c r="BJ482" i="20" s="1"/>
  <c r="BO52" i="20"/>
  <c r="BP52" i="20" s="1"/>
  <c r="EI52" i="20" s="1"/>
  <c r="BO69" i="20"/>
  <c r="BP69" i="20" s="1"/>
  <c r="EI69" i="20" s="1"/>
  <c r="ED402" i="20"/>
  <c r="CR402" i="20" s="1"/>
  <c r="ET437" i="20"/>
  <c r="EU437" i="20" s="1"/>
  <c r="EV437" i="20" s="1"/>
  <c r="CB446" i="20"/>
  <c r="CI446" i="20" s="1"/>
  <c r="CK446" i="20" s="1"/>
  <c r="CP446" i="20" s="1"/>
  <c r="DR489" i="20"/>
  <c r="BC449" i="20"/>
  <c r="CN449" i="20" s="1"/>
  <c r="AZ447" i="20"/>
  <c r="BC60" i="20"/>
  <c r="CN60" i="20" s="1"/>
  <c r="EG97" i="20"/>
  <c r="EH97" i="20"/>
  <c r="EH95" i="20"/>
  <c r="EG95" i="20"/>
  <c r="DM152" i="20"/>
  <c r="FJ169" i="20"/>
  <c r="DC169" i="20"/>
  <c r="BC211" i="20"/>
  <c r="CN211" i="20" s="1"/>
  <c r="BI245" i="20"/>
  <c r="BJ245" i="20" s="1"/>
  <c r="DT245" i="20"/>
  <c r="BC229" i="20"/>
  <c r="DC250" i="20"/>
  <c r="FJ250" i="20"/>
  <c r="CU268" i="20"/>
  <c r="FG268" i="20"/>
  <c r="ET277" i="20"/>
  <c r="EU277" i="20" s="1"/>
  <c r="EV277" i="20" s="1"/>
  <c r="DA291" i="20"/>
  <c r="FG291" i="20"/>
  <c r="AZ317" i="20"/>
  <c r="BH317" i="20"/>
  <c r="BJ317" i="20" s="1"/>
  <c r="CX364" i="20"/>
  <c r="FI364" i="20"/>
  <c r="DC389" i="20"/>
  <c r="FJ389" i="20"/>
  <c r="ET389" i="20"/>
  <c r="EU389" i="20" s="1"/>
  <c r="EV389" i="20" s="1"/>
  <c r="ET386" i="20"/>
  <c r="EU386" i="20" s="1"/>
  <c r="EV386" i="20" s="1"/>
  <c r="ET19" i="20"/>
  <c r="EU19" i="20" s="1"/>
  <c r="EV19" i="20" s="1"/>
  <c r="EM19" i="20"/>
  <c r="EP19" i="20" s="1"/>
  <c r="EQ19" i="20" s="1"/>
  <c r="ET70" i="20"/>
  <c r="EU70" i="20" s="1"/>
  <c r="EV70" i="20" s="1"/>
  <c r="EH68" i="20"/>
  <c r="EG68" i="20"/>
  <c r="BC138" i="20"/>
  <c r="CN138" i="20" s="1"/>
  <c r="EH79" i="20"/>
  <c r="EG79" i="20"/>
  <c r="FI87" i="20"/>
  <c r="CX87" i="20"/>
  <c r="BC121" i="20"/>
  <c r="CN121" i="20" s="1"/>
  <c r="ET206" i="20"/>
  <c r="EU206" i="20" s="1"/>
  <c r="EV206" i="20" s="1"/>
  <c r="ET256" i="20"/>
  <c r="EU256" i="20" s="1"/>
  <c r="EV256" i="20" s="1"/>
  <c r="DM245" i="20"/>
  <c r="EG255" i="20"/>
  <c r="EH255" i="20"/>
  <c r="ED286" i="20"/>
  <c r="CR286" i="20" s="1"/>
  <c r="ED319" i="20"/>
  <c r="CR319" i="20" s="1"/>
  <c r="ED316" i="20"/>
  <c r="CR316" i="20" s="1"/>
  <c r="BI306" i="20"/>
  <c r="DT306" i="20"/>
  <c r="FI320" i="20"/>
  <c r="CX320" i="20"/>
  <c r="DT331" i="20"/>
  <c r="BI331" i="20"/>
  <c r="DT59" i="20"/>
  <c r="EG63" i="20"/>
  <c r="EH63" i="20"/>
  <c r="CS94" i="20"/>
  <c r="CO94" i="20"/>
  <c r="CM94" i="20"/>
  <c r="BC80" i="20"/>
  <c r="CN80" i="20" s="1"/>
  <c r="DM129" i="20"/>
  <c r="FG124" i="20"/>
  <c r="CU124" i="20"/>
  <c r="BC135" i="20"/>
  <c r="CN135" i="20" s="1"/>
  <c r="BC207" i="20"/>
  <c r="CN207" i="20" s="1"/>
  <c r="BC233" i="20"/>
  <c r="CN233" i="20" s="1"/>
  <c r="CX290" i="20"/>
  <c r="FI290" i="20"/>
  <c r="DA278" i="20"/>
  <c r="FG278" i="20"/>
  <c r="DM339" i="20"/>
  <c r="BC330" i="20"/>
  <c r="CN330" i="20" s="1"/>
  <c r="CX356" i="20"/>
  <c r="FI356" i="20"/>
  <c r="BC79" i="20"/>
  <c r="CN79" i="20" s="1"/>
  <c r="DT61" i="20"/>
  <c r="EG98" i="20"/>
  <c r="CW190" i="20"/>
  <c r="FJ190" i="20"/>
  <c r="AV197" i="20"/>
  <c r="AW197" i="20" s="1"/>
  <c r="BC197" i="20"/>
  <c r="CN197" i="20" s="1"/>
  <c r="DA258" i="20"/>
  <c r="FG258" i="20"/>
  <c r="BI279" i="20"/>
  <c r="DT279" i="20"/>
  <c r="DA293" i="20"/>
  <c r="FG293" i="20"/>
  <c r="DC323" i="20"/>
  <c r="FJ323" i="20"/>
  <c r="ET319" i="20"/>
  <c r="EU319" i="20" s="1"/>
  <c r="EV319" i="20" s="1"/>
  <c r="DD359" i="20"/>
  <c r="FI359" i="20"/>
  <c r="EG382" i="20"/>
  <c r="EH382" i="20"/>
  <c r="DT403" i="20"/>
  <c r="BI403" i="20"/>
  <c r="FJ418" i="20"/>
  <c r="DC418" i="20"/>
  <c r="DM420" i="20"/>
  <c r="EH444" i="20"/>
  <c r="EG444" i="20"/>
  <c r="EY41" i="20"/>
  <c r="EZ41" i="20" s="1"/>
  <c r="BP33" i="20"/>
  <c r="EI33" i="20" s="1"/>
  <c r="BC102" i="20"/>
  <c r="CN102" i="20" s="1"/>
  <c r="EH82" i="20"/>
  <c r="EG82" i="20"/>
  <c r="FH127" i="20"/>
  <c r="CV127" i="20"/>
  <c r="BM101" i="20"/>
  <c r="BL101" i="20"/>
  <c r="BN101" i="20" s="1"/>
  <c r="FG98" i="20"/>
  <c r="CU98" i="20"/>
  <c r="BC120" i="20"/>
  <c r="CN120" i="20" s="1"/>
  <c r="BC151" i="20"/>
  <c r="CN151" i="20" s="1"/>
  <c r="DA188" i="20"/>
  <c r="FG188" i="20"/>
  <c r="CK228" i="20"/>
  <c r="ET239" i="20"/>
  <c r="EU239" i="20" s="1"/>
  <c r="EV239" i="20" s="1"/>
  <c r="AZ254" i="20"/>
  <c r="AY254" i="20"/>
  <c r="BH254" i="20" s="1"/>
  <c r="BJ254" i="20" s="1"/>
  <c r="ED251" i="20"/>
  <c r="CR251" i="20" s="1"/>
  <c r="BJ264" i="20"/>
  <c r="BI305" i="20"/>
  <c r="DT305" i="20"/>
  <c r="FG310" i="20"/>
  <c r="DA310" i="20"/>
  <c r="EG339" i="20"/>
  <c r="DC357" i="20"/>
  <c r="FJ357" i="20"/>
  <c r="EG399" i="20"/>
  <c r="EH399" i="20"/>
  <c r="CB424" i="20"/>
  <c r="CI424" i="20" s="1"/>
  <c r="CK424" i="20" s="1"/>
  <c r="CP424" i="20" s="1"/>
  <c r="ET98" i="20"/>
  <c r="EU98" i="20" s="1"/>
  <c r="EV98" i="20" s="1"/>
  <c r="CW54" i="20"/>
  <c r="FJ54" i="20"/>
  <c r="CM14" i="20"/>
  <c r="CM15" i="20" s="1"/>
  <c r="DR159" i="20"/>
  <c r="BI159" i="20"/>
  <c r="BJ159" i="20" s="1"/>
  <c r="BC194" i="20"/>
  <c r="CN194" i="20" s="1"/>
  <c r="AV194" i="20"/>
  <c r="AW194" i="20" s="1"/>
  <c r="BH202" i="20"/>
  <c r="BJ202" i="20" s="1"/>
  <c r="AZ202" i="20"/>
  <c r="EH194" i="20"/>
  <c r="BC199" i="20"/>
  <c r="CN199" i="20" s="1"/>
  <c r="BC252" i="20"/>
  <c r="CN252" i="20" s="1"/>
  <c r="DA267" i="20"/>
  <c r="FG267" i="20"/>
  <c r="CU288" i="20"/>
  <c r="FG288" i="20"/>
  <c r="BC273" i="20"/>
  <c r="CN273" i="20" s="1"/>
  <c r="ET308" i="20"/>
  <c r="EU308" i="20" s="1"/>
  <c r="EV308" i="20" s="1"/>
  <c r="DC305" i="20"/>
  <c r="FJ305" i="20"/>
  <c r="DM360" i="20"/>
  <c r="ET23" i="20"/>
  <c r="EU23" i="20" s="1"/>
  <c r="EV23" i="20" s="1"/>
  <c r="ET44" i="20"/>
  <c r="EU44" i="20" s="1"/>
  <c r="EV44" i="20" s="1"/>
  <c r="EY44" i="20"/>
  <c r="EZ44" i="20" s="1"/>
  <c r="DT88" i="20"/>
  <c r="BE103" i="20"/>
  <c r="BF103" i="20" s="1"/>
  <c r="CO103" i="20" s="1"/>
  <c r="AY103" i="20"/>
  <c r="AZ103" i="20" s="1"/>
  <c r="DM121" i="20"/>
  <c r="DM138" i="20"/>
  <c r="DM126" i="20"/>
  <c r="DT188" i="20"/>
  <c r="BI188" i="20"/>
  <c r="BJ188" i="20" s="1"/>
  <c r="AP217" i="20"/>
  <c r="AT216" i="20"/>
  <c r="DU216" i="20" s="1"/>
  <c r="FG201" i="20"/>
  <c r="DA201" i="20"/>
  <c r="ET218" i="20"/>
  <c r="EU218" i="20" s="1"/>
  <c r="EV218" i="20" s="1"/>
  <c r="ET245" i="20"/>
  <c r="EU245" i="20" s="1"/>
  <c r="EV245" i="20" s="1"/>
  <c r="FJ244" i="20"/>
  <c r="DC244" i="20"/>
  <c r="FJ282" i="20"/>
  <c r="DC282" i="20"/>
  <c r="ET280" i="20"/>
  <c r="EU280" i="20" s="1"/>
  <c r="EV280" i="20" s="1"/>
  <c r="ET276" i="20"/>
  <c r="EU276" i="20" s="1"/>
  <c r="EV276" i="20" s="1"/>
  <c r="DD291" i="20"/>
  <c r="FI291" i="20"/>
  <c r="DD317" i="20"/>
  <c r="FI317" i="20"/>
  <c r="CW348" i="20"/>
  <c r="FJ348" i="20"/>
  <c r="BC333" i="20"/>
  <c r="CN333" i="20" s="1"/>
  <c r="BC381" i="20"/>
  <c r="CN381" i="20" s="1"/>
  <c r="AY400" i="20"/>
  <c r="AZ400" i="20" s="1"/>
  <c r="CK25" i="20"/>
  <c r="BM61" i="20"/>
  <c r="BL61" i="20"/>
  <c r="BN61" i="20" s="1"/>
  <c r="CX70" i="20"/>
  <c r="FI70" i="20"/>
  <c r="CK100" i="20"/>
  <c r="CP100" i="20" s="1"/>
  <c r="BC67" i="20"/>
  <c r="CN67" i="20" s="1"/>
  <c r="BC118" i="20"/>
  <c r="CN118" i="20" s="1"/>
  <c r="FJ140" i="20"/>
  <c r="DC140" i="20"/>
  <c r="DM250" i="20"/>
  <c r="ET273" i="20"/>
  <c r="EU273" i="20" s="1"/>
  <c r="EV273" i="20" s="1"/>
  <c r="AY299" i="20"/>
  <c r="AZ299" i="20" s="1"/>
  <c r="CB327" i="20"/>
  <c r="CI327" i="20" s="1"/>
  <c r="CK327" i="20" s="1"/>
  <c r="CP327" i="20" s="1"/>
  <c r="ET322" i="20"/>
  <c r="EU322" i="20" s="1"/>
  <c r="EV322" i="20" s="1"/>
  <c r="EH321" i="20"/>
  <c r="EG321" i="20"/>
  <c r="CX352" i="20"/>
  <c r="FI352" i="20"/>
  <c r="BI363" i="20"/>
  <c r="BJ363" i="20" s="1"/>
  <c r="DT363" i="20"/>
  <c r="EG373" i="20"/>
  <c r="EH373" i="20"/>
  <c r="FJ394" i="20"/>
  <c r="DC394" i="20"/>
  <c r="BH414" i="20"/>
  <c r="BJ414" i="20" s="1"/>
  <c r="AZ414" i="20"/>
  <c r="FG427" i="20"/>
  <c r="DA427" i="20"/>
  <c r="AV168" i="20"/>
  <c r="AW168" i="20" s="1"/>
  <c r="CK175" i="20"/>
  <c r="CP175" i="20" s="1"/>
  <c r="FH263" i="20"/>
  <c r="DB263" i="20"/>
  <c r="DB314" i="20"/>
  <c r="FH314" i="20"/>
  <c r="FH409" i="20"/>
  <c r="BC437" i="20"/>
  <c r="CN437" i="20" s="1"/>
  <c r="ED466" i="20"/>
  <c r="DN480" i="20"/>
  <c r="ES480" i="20"/>
  <c r="ER480" i="20"/>
  <c r="CS14" i="20"/>
  <c r="CS15" i="20" s="1"/>
  <c r="ED260" i="20"/>
  <c r="CR260" i="20" s="1"/>
  <c r="AY344" i="20"/>
  <c r="BH344" i="20" s="1"/>
  <c r="BJ344" i="20" s="1"/>
  <c r="ET373" i="20"/>
  <c r="EU373" i="20" s="1"/>
  <c r="EV373" i="20" s="1"/>
  <c r="BC388" i="20"/>
  <c r="CN388" i="20" s="1"/>
  <c r="EG384" i="20"/>
  <c r="EH384" i="20"/>
  <c r="DT378" i="20"/>
  <c r="BI378" i="20"/>
  <c r="BJ378" i="20" s="1"/>
  <c r="DM421" i="20"/>
  <c r="BI492" i="20"/>
  <c r="BJ492" i="20" s="1"/>
  <c r="DT492" i="20"/>
  <c r="BO137" i="20"/>
  <c r="BP137" i="20" s="1"/>
  <c r="EI137" i="20" s="1"/>
  <c r="EH137" i="20" s="1"/>
  <c r="DB338" i="20"/>
  <c r="FH338" i="20"/>
  <c r="CW402" i="20"/>
  <c r="FJ402" i="20"/>
  <c r="FG412" i="20"/>
  <c r="DA412" i="20"/>
  <c r="EH447" i="20"/>
  <c r="EG447" i="20"/>
  <c r="BC441" i="20"/>
  <c r="CN441" i="20" s="1"/>
  <c r="ED467" i="20"/>
  <c r="BC408" i="20"/>
  <c r="CN408" i="20" s="1"/>
  <c r="CB420" i="20"/>
  <c r="CI420" i="20" s="1"/>
  <c r="CK420" i="20" s="1"/>
  <c r="CP420" i="20" s="1"/>
  <c r="BI470" i="20"/>
  <c r="BJ470" i="20" s="1"/>
  <c r="DT470" i="20"/>
  <c r="DT483" i="20"/>
  <c r="BI483" i="20"/>
  <c r="BJ483" i="20" s="1"/>
  <c r="FI385" i="20"/>
  <c r="CX385" i="20"/>
  <c r="BI384" i="20"/>
  <c r="DT384" i="20"/>
  <c r="ED398" i="20"/>
  <c r="CR398" i="20" s="1"/>
  <c r="ED417" i="20"/>
  <c r="CR417" i="20" s="1"/>
  <c r="CK433" i="20"/>
  <c r="CP433" i="20" s="1"/>
  <c r="CU435" i="20"/>
  <c r="FG435" i="20"/>
  <c r="ET441" i="20"/>
  <c r="EU441" i="20" s="1"/>
  <c r="EV441" i="20" s="1"/>
  <c r="EM488" i="20"/>
  <c r="EP488" i="20" s="1"/>
  <c r="EQ488" i="20" s="1"/>
  <c r="ET488" i="20"/>
  <c r="EU488" i="20" s="1"/>
  <c r="EV488" i="20" s="1"/>
  <c r="DT484" i="20"/>
  <c r="BI484" i="20"/>
  <c r="BJ484" i="20" s="1"/>
  <c r="ED492" i="20"/>
  <c r="ER491" i="20"/>
  <c r="CK224" i="20"/>
  <c r="CP224" i="20" s="1"/>
  <c r="AZ361" i="20"/>
  <c r="BH361" i="20"/>
  <c r="ET405" i="20"/>
  <c r="EU405" i="20" s="1"/>
  <c r="EV405" i="20" s="1"/>
  <c r="BJ417" i="20"/>
  <c r="CK443" i="20"/>
  <c r="CP443" i="20" s="1"/>
  <c r="EM467" i="20"/>
  <c r="EP467" i="20" s="1"/>
  <c r="EQ467" i="20" s="1"/>
  <c r="ET467" i="20"/>
  <c r="EU467" i="20" s="1"/>
  <c r="EV467" i="20" s="1"/>
  <c r="ET486" i="20"/>
  <c r="EU486" i="20" s="1"/>
  <c r="EV486" i="20" s="1"/>
  <c r="EM486" i="20"/>
  <c r="EP486" i="20" s="1"/>
  <c r="EQ486" i="20" s="1"/>
  <c r="BI494" i="20"/>
  <c r="BJ494" i="20" s="1"/>
  <c r="DT494" i="20"/>
  <c r="EG386" i="20"/>
  <c r="EH386" i="20"/>
  <c r="DT404" i="20"/>
  <c r="BI404" i="20"/>
  <c r="BJ404" i="20" s="1"/>
  <c r="EH446" i="20"/>
  <c r="EG446" i="20"/>
  <c r="BC481" i="20"/>
  <c r="DU481" i="20"/>
  <c r="EM481" i="20" s="1"/>
  <c r="EP481" i="20" s="1"/>
  <c r="EQ481" i="20" s="1"/>
  <c r="FH445" i="20"/>
  <c r="DB445" i="20"/>
  <c r="EW489" i="20"/>
  <c r="EX489" i="20" s="1"/>
  <c r="CR104" i="5"/>
  <c r="FC104" i="5"/>
  <c r="DG386" i="5"/>
  <c r="FB326" i="5"/>
  <c r="CP326" i="5"/>
  <c r="FC346" i="5"/>
  <c r="CX346" i="5"/>
  <c r="AW379" i="5"/>
  <c r="CH379" i="5" s="1"/>
  <c r="FC314" i="5"/>
  <c r="CX314" i="5"/>
  <c r="CX435" i="5"/>
  <c r="FC435" i="5"/>
  <c r="CR427" i="5"/>
  <c r="FC427" i="5"/>
  <c r="DG417" i="5"/>
  <c r="DG398" i="5"/>
  <c r="CX273" i="5"/>
  <c r="FC273" i="5"/>
  <c r="CR343" i="5"/>
  <c r="FC343" i="5"/>
  <c r="DG320" i="5"/>
  <c r="DG403" i="5"/>
  <c r="CR311" i="5"/>
  <c r="FC311" i="5"/>
  <c r="DG439" i="5"/>
  <c r="AW441" i="5"/>
  <c r="CH441" i="5" s="1"/>
  <c r="DG372" i="5"/>
  <c r="AW384" i="5"/>
  <c r="CH384" i="5" s="1"/>
  <c r="FC430" i="5"/>
  <c r="CR430" i="5"/>
  <c r="DG276" i="5"/>
  <c r="AW348" i="5"/>
  <c r="CH348" i="5" s="1"/>
  <c r="CR352" i="5"/>
  <c r="FC352" i="5"/>
  <c r="FC434" i="5"/>
  <c r="CR434" i="5"/>
  <c r="CX268" i="5"/>
  <c r="FC268" i="5"/>
  <c r="FC100" i="5"/>
  <c r="CR100" i="5"/>
  <c r="CR395" i="5"/>
  <c r="FC395" i="5"/>
  <c r="DG324" i="5"/>
  <c r="AW152" i="5"/>
  <c r="CH152" i="5" s="1"/>
  <c r="CR340" i="5"/>
  <c r="FC340" i="5"/>
  <c r="AW446" i="5"/>
  <c r="CH446" i="5" s="1"/>
  <c r="AW358" i="5"/>
  <c r="CH358" i="5" s="1"/>
  <c r="CX321" i="5"/>
  <c r="FC321" i="5"/>
  <c r="DG399" i="5"/>
  <c r="DG259" i="5"/>
  <c r="CR347" i="5"/>
  <c r="FC347" i="5"/>
  <c r="FC315" i="5"/>
  <c r="CR315" i="5"/>
  <c r="DG307" i="5"/>
  <c r="AW359" i="5"/>
  <c r="CH359" i="5" s="1"/>
  <c r="CO95" i="5"/>
  <c r="FA95" i="5"/>
  <c r="CR432" i="5"/>
  <c r="FC432" i="5"/>
  <c r="CX260" i="5"/>
  <c r="FC260" i="5"/>
  <c r="FC258" i="5"/>
  <c r="CR258" i="5"/>
  <c r="DG357" i="5"/>
  <c r="DG375" i="5"/>
  <c r="AW294" i="5"/>
  <c r="CH294" i="5" s="1"/>
  <c r="DG316" i="5"/>
  <c r="DG431" i="5"/>
  <c r="AW253" i="5"/>
  <c r="CH253" i="5" s="1"/>
  <c r="DG379" i="5"/>
  <c r="FC293" i="5"/>
  <c r="CR293" i="5"/>
  <c r="FC263" i="5"/>
  <c r="CX263" i="5"/>
  <c r="DG426" i="5"/>
  <c r="FC372" i="5"/>
  <c r="CR372" i="5"/>
  <c r="AW150" i="5"/>
  <c r="CH150" i="5" s="1"/>
  <c r="FB252" i="5"/>
  <c r="CP252" i="5"/>
  <c r="DG434" i="5"/>
  <c r="FC255" i="5"/>
  <c r="CX255" i="5"/>
  <c r="CR312" i="5"/>
  <c r="FC312" i="5"/>
  <c r="DG388" i="5"/>
  <c r="AW301" i="5"/>
  <c r="CH301" i="5" s="1"/>
  <c r="CX269" i="5"/>
  <c r="FC269" i="5"/>
  <c r="FC332" i="5"/>
  <c r="CR332" i="5"/>
  <c r="AW262" i="5"/>
  <c r="CH262" i="5" s="1"/>
  <c r="AW350" i="5"/>
  <c r="CH350" i="5" s="1"/>
  <c r="DG153" i="5"/>
  <c r="FC397" i="5"/>
  <c r="CR397" i="5"/>
  <c r="CX382" i="5"/>
  <c r="FC382" i="5"/>
  <c r="FC271" i="5"/>
  <c r="CX271" i="5"/>
  <c r="DG347" i="5"/>
  <c r="DG314" i="5"/>
  <c r="AW322" i="5"/>
  <c r="CH322" i="5" s="1"/>
  <c r="EL22" i="5"/>
  <c r="EM22" i="5"/>
  <c r="AW362" i="5"/>
  <c r="CH362" i="5" s="1"/>
  <c r="DG356" i="5"/>
  <c r="DG400" i="5"/>
  <c r="FC262" i="5"/>
  <c r="CX262" i="5"/>
  <c r="FC349" i="5"/>
  <c r="CX349" i="5"/>
  <c r="CR354" i="5"/>
  <c r="FC354" i="5"/>
  <c r="EL20" i="5"/>
  <c r="EM20" i="5"/>
  <c r="FC401" i="5"/>
  <c r="CX401" i="5"/>
  <c r="CR103" i="5"/>
  <c r="FC103" i="5"/>
  <c r="DG392" i="5"/>
  <c r="DH481" i="5"/>
  <c r="EL481" i="5"/>
  <c r="EM481" i="5"/>
  <c r="AW367" i="5"/>
  <c r="CH367" i="5" s="1"/>
  <c r="CR344" i="5"/>
  <c r="FC344" i="5"/>
  <c r="DG348" i="5"/>
  <c r="DG255" i="5"/>
  <c r="FC338" i="5"/>
  <c r="CX338" i="5"/>
  <c r="FC252" i="5"/>
  <c r="CR252" i="5"/>
  <c r="DG418" i="5"/>
  <c r="DG387" i="5"/>
  <c r="CX318" i="5"/>
  <c r="FC318" i="5"/>
  <c r="DG378" i="5"/>
  <c r="AW300" i="5"/>
  <c r="CH300" i="5" s="1"/>
  <c r="DG275" i="5"/>
  <c r="AW254" i="5"/>
  <c r="CH254" i="5" s="1"/>
  <c r="DH478" i="5"/>
  <c r="EL478" i="5"/>
  <c r="EQ478" i="5" s="1"/>
  <c r="EM478" i="5"/>
  <c r="AW363" i="5"/>
  <c r="CH363" i="5" s="1"/>
  <c r="CR366" i="5"/>
  <c r="FC366" i="5"/>
  <c r="FC356" i="5"/>
  <c r="CR356" i="5"/>
  <c r="AW288" i="5"/>
  <c r="CH288" i="5" s="1"/>
  <c r="DG100" i="5"/>
  <c r="FC253" i="5"/>
  <c r="CR253" i="5"/>
  <c r="EL21" i="5"/>
  <c r="EM21" i="5"/>
  <c r="CX313" i="5"/>
  <c r="FC313" i="5"/>
  <c r="AW423" i="5"/>
  <c r="CH423" i="5" s="1"/>
  <c r="FC412" i="5"/>
  <c r="CR412" i="5"/>
  <c r="FC275" i="5"/>
  <c r="CX275" i="5"/>
  <c r="FA101" i="5"/>
  <c r="CO101" i="5"/>
  <c r="CR374" i="5"/>
  <c r="FC374" i="5"/>
  <c r="AW420" i="5"/>
  <c r="CH420" i="5" s="1"/>
  <c r="FC270" i="5"/>
  <c r="CR270" i="5"/>
  <c r="DG346" i="5"/>
  <c r="FB297" i="5"/>
  <c r="CV297" i="5"/>
  <c r="CX394" i="5"/>
  <c r="FC394" i="5"/>
  <c r="DG277" i="5"/>
  <c r="FC400" i="5"/>
  <c r="CR400" i="5"/>
  <c r="FC393" i="5"/>
  <c r="CX393" i="5"/>
  <c r="FC333" i="5"/>
  <c r="CR333" i="5"/>
  <c r="FA104" i="5"/>
  <c r="CO104" i="5"/>
  <c r="CX334" i="5"/>
  <c r="FC334" i="5"/>
  <c r="CR339" i="5"/>
  <c r="FC339" i="5"/>
  <c r="DG313" i="5"/>
  <c r="CR330" i="5"/>
  <c r="FC330" i="5"/>
  <c r="CR403" i="5"/>
  <c r="FC403" i="5"/>
  <c r="FC331" i="5"/>
  <c r="CX331" i="5"/>
  <c r="CX402" i="5"/>
  <c r="FC402" i="5"/>
  <c r="FC345" i="5"/>
  <c r="CX345" i="5"/>
  <c r="DG321" i="5"/>
  <c r="AW331" i="5"/>
  <c r="CH331" i="5" s="1"/>
  <c r="FC307" i="5"/>
  <c r="CR307" i="5"/>
  <c r="CR289" i="5"/>
  <c r="FC289" i="5"/>
  <c r="CX452" i="5"/>
  <c r="FC452" i="5"/>
  <c r="CR276" i="5"/>
  <c r="FC276" i="5"/>
  <c r="CX410" i="5"/>
  <c r="FC410" i="5"/>
  <c r="CR353" i="5"/>
  <c r="FC353" i="5"/>
  <c r="FC283" i="5"/>
  <c r="CR283" i="5"/>
  <c r="FC324" i="5"/>
  <c r="CR324" i="5"/>
  <c r="CR436" i="5"/>
  <c r="FC436" i="5"/>
  <c r="CO103" i="5"/>
  <c r="FA103" i="5"/>
  <c r="CO100" i="5"/>
  <c r="FA100" i="5"/>
  <c r="FC355" i="5"/>
  <c r="CR355" i="5"/>
  <c r="FC396" i="5"/>
  <c r="CR396" i="5"/>
  <c r="CR101" i="5"/>
  <c r="FC101" i="5"/>
  <c r="CR414" i="5"/>
  <c r="FC414" i="5"/>
  <c r="DG416" i="5"/>
  <c r="AW275" i="5"/>
  <c r="CH275" i="5" s="1"/>
  <c r="FC433" i="5"/>
  <c r="CX433" i="5"/>
  <c r="AW148" i="5"/>
  <c r="CH148" i="5" s="1"/>
  <c r="FC259" i="5"/>
  <c r="CR259" i="5"/>
  <c r="FC420" i="5"/>
  <c r="CR420" i="5"/>
  <c r="DG315" i="5"/>
  <c r="CR411" i="5"/>
  <c r="FC411" i="5"/>
  <c r="DG270" i="5"/>
  <c r="CQ354" i="5"/>
  <c r="FD354" i="5"/>
  <c r="FD413" i="5"/>
  <c r="CW413" i="5"/>
  <c r="EB287" i="5"/>
  <c r="EA287" i="5"/>
  <c r="FA319" i="5"/>
  <c r="CU319" i="5"/>
  <c r="FA387" i="5"/>
  <c r="CU387" i="5"/>
  <c r="CX448" i="5"/>
  <c r="FC448" i="5"/>
  <c r="DG340" i="5"/>
  <c r="EN33" i="5"/>
  <c r="EO33" i="5" s="1"/>
  <c r="EP33" i="5" s="1"/>
  <c r="CW148" i="5"/>
  <c r="FD148" i="5"/>
  <c r="CE27" i="5"/>
  <c r="EA386" i="5"/>
  <c r="EA356" i="5"/>
  <c r="DI27" i="5"/>
  <c r="DJ27" i="5"/>
  <c r="FC364" i="5"/>
  <c r="CR364" i="5"/>
  <c r="CC381" i="5"/>
  <c r="CE381" i="5" s="1"/>
  <c r="CJ381" i="5" s="1"/>
  <c r="CO332" i="5"/>
  <c r="FA332" i="5"/>
  <c r="CE312" i="5"/>
  <c r="CJ312" i="5" s="1"/>
  <c r="EB449" i="5"/>
  <c r="EA449" i="5"/>
  <c r="EN305" i="5"/>
  <c r="EO305" i="5" s="1"/>
  <c r="EP305" i="5" s="1"/>
  <c r="FA315" i="5"/>
  <c r="CO315" i="5"/>
  <c r="AV59" i="5"/>
  <c r="AV111" i="5"/>
  <c r="AV61" i="5"/>
  <c r="EB377" i="5"/>
  <c r="ET38" i="5"/>
  <c r="EI38" i="5" s="1"/>
  <c r="AW311" i="5"/>
  <c r="CH311" i="5" s="1"/>
  <c r="DI32" i="5"/>
  <c r="DJ32" i="5"/>
  <c r="AW412" i="5"/>
  <c r="CH412" i="5" s="1"/>
  <c r="FA410" i="5"/>
  <c r="CU410" i="5"/>
  <c r="EB355" i="5"/>
  <c r="EA355" i="5"/>
  <c r="CE328" i="5"/>
  <c r="CJ328" i="5" s="1"/>
  <c r="BF97" i="5"/>
  <c r="BH97" i="5" s="1"/>
  <c r="BG97" i="5"/>
  <c r="CE269" i="5"/>
  <c r="CJ269" i="5" s="1"/>
  <c r="CR294" i="5"/>
  <c r="FC294" i="5"/>
  <c r="FC316" i="5"/>
  <c r="CR316" i="5"/>
  <c r="CC399" i="5"/>
  <c r="CE399" i="5" s="1"/>
  <c r="CJ399" i="5" s="1"/>
  <c r="FD396" i="5"/>
  <c r="CQ396" i="5"/>
  <c r="CC300" i="5"/>
  <c r="CE300" i="5" s="1"/>
  <c r="CJ300" i="5" s="1"/>
  <c r="CC398" i="5"/>
  <c r="CE398" i="5" s="1"/>
  <c r="CJ398" i="5" s="1"/>
  <c r="EN322" i="5"/>
  <c r="EO322" i="5" s="1"/>
  <c r="EP322" i="5" s="1"/>
  <c r="EN427" i="5"/>
  <c r="EO427" i="5" s="1"/>
  <c r="EP427" i="5" s="1"/>
  <c r="ES33" i="5"/>
  <c r="ET33" i="5" s="1"/>
  <c r="DG252" i="5"/>
  <c r="ET151" i="5"/>
  <c r="DG98" i="5"/>
  <c r="EN24" i="5"/>
  <c r="DG402" i="5"/>
  <c r="DI33" i="5"/>
  <c r="DJ33" i="5"/>
  <c r="BF99" i="5"/>
  <c r="BH99" i="5" s="1"/>
  <c r="BG99" i="5"/>
  <c r="BG102" i="5"/>
  <c r="BF102" i="5"/>
  <c r="BH102" i="5" s="1"/>
  <c r="EB291" i="5"/>
  <c r="EA291" i="5"/>
  <c r="EB343" i="5"/>
  <c r="EA343" i="5"/>
  <c r="EN310" i="5"/>
  <c r="EO310" i="5" s="1"/>
  <c r="EP310" i="5" s="1"/>
  <c r="EN426" i="5"/>
  <c r="EO426" i="5" s="1"/>
  <c r="EP426" i="5" s="1"/>
  <c r="CC320" i="5"/>
  <c r="CE320" i="5" s="1"/>
  <c r="CJ320" i="5" s="1"/>
  <c r="CE403" i="5"/>
  <c r="CJ403" i="5" s="1"/>
  <c r="FD306" i="5"/>
  <c r="CW306" i="5"/>
  <c r="FD393" i="5"/>
  <c r="CW393" i="5"/>
  <c r="CC255" i="5"/>
  <c r="CE255" i="5" s="1"/>
  <c r="CJ255" i="5" s="1"/>
  <c r="CC383" i="5"/>
  <c r="CE383" i="5" s="1"/>
  <c r="CJ383" i="5" s="1"/>
  <c r="EB451" i="5"/>
  <c r="EA451" i="5"/>
  <c r="EN277" i="5"/>
  <c r="EO277" i="5" s="1"/>
  <c r="EP277" i="5" s="1"/>
  <c r="EN308" i="5"/>
  <c r="EO308" i="5" s="1"/>
  <c r="EP308" i="5" s="1"/>
  <c r="AV56" i="5"/>
  <c r="DG410" i="5"/>
  <c r="ET152" i="5"/>
  <c r="DI37" i="5"/>
  <c r="DK37" i="5" s="1"/>
  <c r="DJ37" i="5"/>
  <c r="EA363" i="5"/>
  <c r="EB363" i="5"/>
  <c r="CE351" i="5"/>
  <c r="CJ351" i="5" s="1"/>
  <c r="CQ406" i="5"/>
  <c r="FD406" i="5"/>
  <c r="CE418" i="5"/>
  <c r="CJ418" i="5" s="1"/>
  <c r="BD405" i="5"/>
  <c r="EN312" i="5"/>
  <c r="EO312" i="5" s="1"/>
  <c r="EP312" i="5" s="1"/>
  <c r="BD323" i="5"/>
  <c r="AT450" i="5"/>
  <c r="AW305" i="5"/>
  <c r="CH305" i="5" s="1"/>
  <c r="EN372" i="5"/>
  <c r="EO372" i="5" s="1"/>
  <c r="EP372" i="5" s="1"/>
  <c r="AW397" i="5"/>
  <c r="CH397" i="5" s="1"/>
  <c r="EB341" i="5"/>
  <c r="FC428" i="5"/>
  <c r="CX428" i="5"/>
  <c r="BF95" i="5"/>
  <c r="BH95" i="5" s="1"/>
  <c r="BG95" i="5"/>
  <c r="EA334" i="5"/>
  <c r="EB334" i="5"/>
  <c r="BD473" i="5"/>
  <c r="FD358" i="5"/>
  <c r="CQ358" i="5"/>
  <c r="FA270" i="5"/>
  <c r="CO270" i="5"/>
  <c r="CE307" i="5"/>
  <c r="CJ307" i="5" s="1"/>
  <c r="FD270" i="5"/>
  <c r="CQ270" i="5"/>
  <c r="FD342" i="5"/>
  <c r="CW342" i="5"/>
  <c r="CC401" i="5"/>
  <c r="CE401" i="5" s="1"/>
  <c r="CJ401" i="5" s="1"/>
  <c r="FA265" i="5"/>
  <c r="CO265" i="5"/>
  <c r="CU284" i="5"/>
  <c r="FA284" i="5"/>
  <c r="EN299" i="5"/>
  <c r="EO299" i="5" s="1"/>
  <c r="EP299" i="5" s="1"/>
  <c r="ES44" i="5"/>
  <c r="ET44" i="5" s="1"/>
  <c r="AV117" i="5"/>
  <c r="AV64" i="5"/>
  <c r="AW484" i="5"/>
  <c r="DO484" i="5"/>
  <c r="EG484" i="5" s="1"/>
  <c r="EJ484" i="5" s="1"/>
  <c r="EK484" i="5" s="1"/>
  <c r="DH473" i="5"/>
  <c r="EL473" i="5"/>
  <c r="EM473" i="5"/>
  <c r="AW499" i="5"/>
  <c r="DO499" i="5"/>
  <c r="EG499" i="5" s="1"/>
  <c r="EJ499" i="5" s="1"/>
  <c r="EK499" i="5" s="1"/>
  <c r="ET46" i="5"/>
  <c r="AT264" i="5"/>
  <c r="EN29" i="5"/>
  <c r="EO29" i="5" s="1"/>
  <c r="EP29" i="5" s="1"/>
  <c r="EA409" i="5"/>
  <c r="CE319" i="5"/>
  <c r="CJ319" i="5" s="1"/>
  <c r="EB362" i="5"/>
  <c r="EA362" i="5"/>
  <c r="EN339" i="5"/>
  <c r="EO339" i="5" s="1"/>
  <c r="EP339" i="5" s="1"/>
  <c r="FD430" i="5"/>
  <c r="CQ430" i="5"/>
  <c r="CC349" i="5"/>
  <c r="CE349" i="5" s="1"/>
  <c r="CJ349" i="5" s="1"/>
  <c r="FD428" i="5"/>
  <c r="CW428" i="5"/>
  <c r="EN411" i="5"/>
  <c r="EO411" i="5" s="1"/>
  <c r="EP411" i="5" s="1"/>
  <c r="ES51" i="5"/>
  <c r="ET51" i="5" s="1"/>
  <c r="AV113" i="5"/>
  <c r="AV60" i="5"/>
  <c r="BB301" i="5"/>
  <c r="BB441" i="5"/>
  <c r="AT328" i="5"/>
  <c r="AT347" i="5"/>
  <c r="CX375" i="5"/>
  <c r="FC375" i="5"/>
  <c r="BB362" i="5"/>
  <c r="BB262" i="5"/>
  <c r="ER487" i="5"/>
  <c r="CV149" i="5"/>
  <c r="FB149" i="5"/>
  <c r="AT375" i="5"/>
  <c r="FR198" i="5"/>
  <c r="AY198" i="5"/>
  <c r="CE288" i="5"/>
  <c r="CJ288" i="5" s="1"/>
  <c r="EN369" i="5"/>
  <c r="EO369" i="5" s="1"/>
  <c r="EP369" i="5" s="1"/>
  <c r="CQ333" i="5"/>
  <c r="FD333" i="5"/>
  <c r="AR110" i="5"/>
  <c r="DD110" i="5"/>
  <c r="DD119" i="5"/>
  <c r="AR119" i="5"/>
  <c r="CG119" i="5" s="1"/>
  <c r="FR121" i="5"/>
  <c r="AY113" i="5"/>
  <c r="AZ113" i="5" s="1"/>
  <c r="CI113" i="5" s="1"/>
  <c r="FR113" i="5"/>
  <c r="FS109" i="5"/>
  <c r="BT118" i="5"/>
  <c r="BU118" i="5"/>
  <c r="BE118" i="5"/>
  <c r="FS118" i="5"/>
  <c r="BL118" i="5"/>
  <c r="DT118" i="5" s="1"/>
  <c r="DV118" i="5" s="1"/>
  <c r="DF116" i="5"/>
  <c r="DC116" i="5"/>
  <c r="DC108" i="5"/>
  <c r="DF108" i="5"/>
  <c r="J156" i="5"/>
  <c r="DS156" i="5" s="1"/>
  <c r="DC156" i="5"/>
  <c r="AR156" i="5"/>
  <c r="J160" i="5"/>
  <c r="DS160" i="5" s="1"/>
  <c r="AR160" i="5"/>
  <c r="DC160" i="5"/>
  <c r="AU157" i="5"/>
  <c r="AV157" i="5" s="1"/>
  <c r="AU165" i="5"/>
  <c r="AV165" i="5" s="1"/>
  <c r="BL161" i="5"/>
  <c r="DT161" i="5" s="1"/>
  <c r="DV161" i="5" s="1"/>
  <c r="FR161" i="5"/>
  <c r="FU161" i="5" s="1"/>
  <c r="BU161" i="5"/>
  <c r="AY161" i="5"/>
  <c r="AZ161" i="5" s="1"/>
  <c r="AN161" i="5"/>
  <c r="DO161" i="5" s="1"/>
  <c r="FR250" i="5"/>
  <c r="AY250" i="5"/>
  <c r="DY250" i="5"/>
  <c r="DY126" i="5"/>
  <c r="DF126" i="5"/>
  <c r="DC126" i="5"/>
  <c r="DC134" i="5"/>
  <c r="DY134" i="5"/>
  <c r="DF134" i="5"/>
  <c r="DC142" i="5"/>
  <c r="DY142" i="5"/>
  <c r="DF142" i="5"/>
  <c r="DN145" i="5"/>
  <c r="DN137" i="5"/>
  <c r="DN129" i="5"/>
  <c r="FR146" i="5"/>
  <c r="AY146" i="5"/>
  <c r="AZ146" i="5" s="1"/>
  <c r="CI146" i="5" s="1"/>
  <c r="BE146" i="5"/>
  <c r="BU146" i="5"/>
  <c r="BT146" i="5"/>
  <c r="BL146" i="5"/>
  <c r="DT146" i="5" s="1"/>
  <c r="DV146" i="5" s="1"/>
  <c r="AY138" i="5"/>
  <c r="AZ138" i="5" s="1"/>
  <c r="CI138" i="5" s="1"/>
  <c r="FR138" i="5"/>
  <c r="FU138" i="5" s="1"/>
  <c r="CM138" i="5" s="1"/>
  <c r="BU138" i="5"/>
  <c r="BL138" i="5"/>
  <c r="DT138" i="5" s="1"/>
  <c r="DV138" i="5" s="1"/>
  <c r="BT138" i="5"/>
  <c r="BE138" i="5"/>
  <c r="BF138" i="5" s="1"/>
  <c r="BH138" i="5" s="1"/>
  <c r="FR125" i="5"/>
  <c r="AY125" i="5"/>
  <c r="BL125" i="5"/>
  <c r="DT125" i="5" s="1"/>
  <c r="DV125" i="5" s="1"/>
  <c r="BT125" i="5"/>
  <c r="BV125" i="5" s="1"/>
  <c r="CC125" i="5" s="1"/>
  <c r="CE125" i="5" s="1"/>
  <c r="CJ125" i="5" s="1"/>
  <c r="BE125" i="5"/>
  <c r="BU125" i="5"/>
  <c r="BF146" i="5"/>
  <c r="BH146" i="5" s="1"/>
  <c r="BG146" i="5"/>
  <c r="DY211" i="5"/>
  <c r="DF211" i="5"/>
  <c r="DF201" i="5"/>
  <c r="DY201" i="5"/>
  <c r="DY215" i="5"/>
  <c r="DF215" i="5"/>
  <c r="FR207" i="5"/>
  <c r="AY207" i="5"/>
  <c r="AY197" i="5"/>
  <c r="FR197" i="5"/>
  <c r="AU212" i="5"/>
  <c r="AU204" i="5"/>
  <c r="AU196" i="5"/>
  <c r="FR188" i="5"/>
  <c r="AY188" i="5"/>
  <c r="AY177" i="5"/>
  <c r="FR177" i="5"/>
  <c r="FR178" i="5"/>
  <c r="AY178" i="5"/>
  <c r="DF170" i="5"/>
  <c r="DF178" i="5"/>
  <c r="DF186" i="5"/>
  <c r="DF194" i="5"/>
  <c r="AU192" i="5"/>
  <c r="AV192" i="5" s="1"/>
  <c r="AU184" i="5"/>
  <c r="AU176" i="5"/>
  <c r="FS170" i="5"/>
  <c r="BL170" i="5"/>
  <c r="DT170" i="5" s="1"/>
  <c r="DV170" i="5" s="1"/>
  <c r="EB170" i="5" s="1"/>
  <c r="BT170" i="5"/>
  <c r="BU170" i="5"/>
  <c r="FS182" i="5"/>
  <c r="BL182" i="5"/>
  <c r="DT182" i="5" s="1"/>
  <c r="DV182" i="5" s="1"/>
  <c r="BT182" i="5"/>
  <c r="BU182" i="5"/>
  <c r="BU189" i="5"/>
  <c r="FS189" i="5"/>
  <c r="BL189" i="5"/>
  <c r="DT189" i="5" s="1"/>
  <c r="DV189" i="5" s="1"/>
  <c r="BT189" i="5"/>
  <c r="AU226" i="5"/>
  <c r="AU224" i="5"/>
  <c r="AU233" i="5"/>
  <c r="AU241" i="5"/>
  <c r="BL247" i="5"/>
  <c r="DT247" i="5" s="1"/>
  <c r="DV247" i="5" s="1"/>
  <c r="FS247" i="5"/>
  <c r="FU247" i="5" s="1"/>
  <c r="CM247" i="5" s="1"/>
  <c r="BT247" i="5"/>
  <c r="BU247" i="5"/>
  <c r="BL239" i="5"/>
  <c r="DT239" i="5" s="1"/>
  <c r="DV239" i="5" s="1"/>
  <c r="FS239" i="5"/>
  <c r="BT239" i="5"/>
  <c r="BU239" i="5"/>
  <c r="BL231" i="5"/>
  <c r="DT231" i="5" s="1"/>
  <c r="DV231" i="5" s="1"/>
  <c r="FS231" i="5"/>
  <c r="FU231" i="5" s="1"/>
  <c r="CM231" i="5" s="1"/>
  <c r="BT231" i="5"/>
  <c r="BU231" i="5"/>
  <c r="BL222" i="5"/>
  <c r="DT222" i="5" s="1"/>
  <c r="DV222" i="5" s="1"/>
  <c r="BT222" i="5"/>
  <c r="BV222" i="5" s="1"/>
  <c r="CC222" i="5" s="1"/>
  <c r="BU222" i="5"/>
  <c r="FS222" i="5"/>
  <c r="DY219" i="5"/>
  <c r="DF219" i="5"/>
  <c r="DY227" i="5"/>
  <c r="DF227" i="5"/>
  <c r="DY235" i="5"/>
  <c r="DF235" i="5"/>
  <c r="DY243" i="5"/>
  <c r="DF243" i="5"/>
  <c r="DC59" i="5"/>
  <c r="DF59" i="5"/>
  <c r="DC67" i="5"/>
  <c r="DF67" i="5"/>
  <c r="DF75" i="5"/>
  <c r="DC75" i="5"/>
  <c r="DC83" i="5"/>
  <c r="DF83" i="5"/>
  <c r="DF91" i="5"/>
  <c r="DC91" i="5"/>
  <c r="AR90" i="5"/>
  <c r="CG90" i="5" s="1"/>
  <c r="DD90" i="5"/>
  <c r="ES90" i="5" s="1"/>
  <c r="AR82" i="5"/>
  <c r="CG82" i="5" s="1"/>
  <c r="DD82" i="5"/>
  <c r="AR74" i="5"/>
  <c r="CG74" i="5" s="1"/>
  <c r="DD74" i="5"/>
  <c r="AR66" i="5"/>
  <c r="CG66" i="5" s="1"/>
  <c r="DD66" i="5"/>
  <c r="AR58" i="5"/>
  <c r="CG58" i="5" s="1"/>
  <c r="DD58" i="5"/>
  <c r="ES58" i="5" s="1"/>
  <c r="S52" i="5"/>
  <c r="BC293" i="5"/>
  <c r="DN293" i="5"/>
  <c r="DN356" i="5"/>
  <c r="BC356" i="5"/>
  <c r="BD356" i="5" s="1"/>
  <c r="BC289" i="5"/>
  <c r="DN289" i="5"/>
  <c r="DN399" i="5"/>
  <c r="BC399" i="5"/>
  <c r="BC347" i="5"/>
  <c r="BD347" i="5" s="1"/>
  <c r="DN347" i="5"/>
  <c r="DN420" i="5"/>
  <c r="BC420" i="5"/>
  <c r="DN341" i="5"/>
  <c r="BC341" i="5"/>
  <c r="DN397" i="5"/>
  <c r="BC397" i="5"/>
  <c r="BD397" i="5" s="1"/>
  <c r="BC452" i="5"/>
  <c r="DN452" i="5"/>
  <c r="DN324" i="5"/>
  <c r="BC324" i="5"/>
  <c r="BD324" i="5" s="1"/>
  <c r="BC382" i="5"/>
  <c r="DN382" i="5"/>
  <c r="BC310" i="5"/>
  <c r="DN310" i="5"/>
  <c r="DN395" i="5"/>
  <c r="BC395" i="5"/>
  <c r="DN309" i="5"/>
  <c r="BC309" i="5"/>
  <c r="BC402" i="5"/>
  <c r="DN402" i="5"/>
  <c r="DN302" i="5"/>
  <c r="BC302" i="5"/>
  <c r="DN375" i="5"/>
  <c r="BC375" i="5"/>
  <c r="BD375" i="5" s="1"/>
  <c r="DN430" i="5"/>
  <c r="BC430" i="5"/>
  <c r="BC390" i="5"/>
  <c r="DN390" i="5"/>
  <c r="BB403" i="5"/>
  <c r="AT403" i="5"/>
  <c r="DN478" i="5"/>
  <c r="BC478" i="5"/>
  <c r="BD478" i="5" s="1"/>
  <c r="DN153" i="5"/>
  <c r="AS433" i="5"/>
  <c r="BB433" i="5" s="1"/>
  <c r="BD433" i="5" s="1"/>
  <c r="BB416" i="5"/>
  <c r="AT416" i="5"/>
  <c r="AS391" i="5"/>
  <c r="AT391" i="5" s="1"/>
  <c r="AS445" i="5"/>
  <c r="BB445" i="5" s="1"/>
  <c r="DG152" i="5"/>
  <c r="DI46" i="5"/>
  <c r="DJ46" i="5"/>
  <c r="EB288" i="5"/>
  <c r="EA288" i="5"/>
  <c r="FA97" i="5"/>
  <c r="CO97" i="5"/>
  <c r="EN324" i="5"/>
  <c r="EO324" i="5" s="1"/>
  <c r="EP324" i="5" s="1"/>
  <c r="CU369" i="5"/>
  <c r="FA369" i="5"/>
  <c r="BV419" i="5"/>
  <c r="CC419" i="5" s="1"/>
  <c r="CE419" i="5" s="1"/>
  <c r="CJ419" i="5" s="1"/>
  <c r="BV322" i="5"/>
  <c r="CC322" i="5" s="1"/>
  <c r="CE322" i="5" s="1"/>
  <c r="CJ322" i="5" s="1"/>
  <c r="BV380" i="5"/>
  <c r="CC380" i="5" s="1"/>
  <c r="CE380" i="5" s="1"/>
  <c r="CJ380" i="5" s="1"/>
  <c r="EB441" i="5"/>
  <c r="EA441" i="5"/>
  <c r="EN417" i="5"/>
  <c r="EO417" i="5" s="1"/>
  <c r="EP417" i="5" s="1"/>
  <c r="FA269" i="5"/>
  <c r="CU269" i="5"/>
  <c r="CO292" i="5"/>
  <c r="FA292" i="5"/>
  <c r="FA383" i="5"/>
  <c r="CU383" i="5"/>
  <c r="AV62" i="5"/>
  <c r="AV77" i="5"/>
  <c r="CE31" i="5"/>
  <c r="AW338" i="5"/>
  <c r="CH338" i="5" s="1"/>
  <c r="FA329" i="5"/>
  <c r="CU329" i="5"/>
  <c r="CX359" i="5"/>
  <c r="FC359" i="5"/>
  <c r="AW498" i="5"/>
  <c r="DO498" i="5"/>
  <c r="EG498" i="5" s="1"/>
  <c r="EJ498" i="5" s="1"/>
  <c r="EK498" i="5" s="1"/>
  <c r="DG150" i="5"/>
  <c r="BF100" i="5"/>
  <c r="BH100" i="5" s="1"/>
  <c r="BG100" i="5"/>
  <c r="EB333" i="5"/>
  <c r="EA333" i="5"/>
  <c r="EB264" i="5"/>
  <c r="EA264" i="5"/>
  <c r="EA326" i="5"/>
  <c r="EB326" i="5"/>
  <c r="BV446" i="5"/>
  <c r="CC446" i="5" s="1"/>
  <c r="CE446" i="5" s="1"/>
  <c r="CJ446" i="5" s="1"/>
  <c r="FA400" i="5"/>
  <c r="CO400" i="5"/>
  <c r="EB360" i="5"/>
  <c r="EA360" i="5"/>
  <c r="BV324" i="5"/>
  <c r="CC324" i="5" s="1"/>
  <c r="CE324" i="5" s="1"/>
  <c r="CJ324" i="5" s="1"/>
  <c r="DG413" i="5"/>
  <c r="BV404" i="5"/>
  <c r="CC404" i="5" s="1"/>
  <c r="CE404" i="5" s="1"/>
  <c r="CJ404" i="5" s="1"/>
  <c r="EN319" i="5"/>
  <c r="EO319" i="5" s="1"/>
  <c r="EP319" i="5" s="1"/>
  <c r="EN387" i="5"/>
  <c r="EO387" i="5" s="1"/>
  <c r="EP387" i="5" s="1"/>
  <c r="BJ31" i="5"/>
  <c r="EC31" i="5" s="1"/>
  <c r="BB363" i="5"/>
  <c r="AW276" i="5"/>
  <c r="CH276" i="5" s="1"/>
  <c r="FC417" i="5"/>
  <c r="CX417" i="5"/>
  <c r="CE38" i="5"/>
  <c r="CE48" i="5"/>
  <c r="DI50" i="5"/>
  <c r="DJ50" i="5"/>
  <c r="BF103" i="5"/>
  <c r="BH103" i="5" s="1"/>
  <c r="BG103" i="5"/>
  <c r="BV364" i="5"/>
  <c r="CC364" i="5" s="1"/>
  <c r="CE364" i="5" s="1"/>
  <c r="CJ364" i="5" s="1"/>
  <c r="BV253" i="5"/>
  <c r="CC253" i="5" s="1"/>
  <c r="CE253" i="5" s="1"/>
  <c r="CJ253" i="5" s="1"/>
  <c r="CO102" i="5"/>
  <c r="FA102" i="5"/>
  <c r="EA312" i="5"/>
  <c r="EB312" i="5"/>
  <c r="BV392" i="5"/>
  <c r="CC392" i="5" s="1"/>
  <c r="CE392" i="5" s="1"/>
  <c r="CJ392" i="5" s="1"/>
  <c r="EB296" i="5"/>
  <c r="EA296" i="5"/>
  <c r="BV388" i="5"/>
  <c r="CC388" i="5" s="1"/>
  <c r="CE388" i="5" s="1"/>
  <c r="CJ388" i="5" s="1"/>
  <c r="BD269" i="5"/>
  <c r="FA305" i="5"/>
  <c r="CU305" i="5"/>
  <c r="EN315" i="5"/>
  <c r="EO315" i="5" s="1"/>
  <c r="EP315" i="5" s="1"/>
  <c r="ET47" i="5"/>
  <c r="DI21" i="5"/>
  <c r="DJ21" i="5"/>
  <c r="FC267" i="5"/>
  <c r="CX267" i="5"/>
  <c r="DI40" i="5"/>
  <c r="DJ40" i="5"/>
  <c r="EA328" i="5"/>
  <c r="EB328" i="5"/>
  <c r="BV97" i="5"/>
  <c r="CC97" i="5" s="1"/>
  <c r="CE97" i="5" s="1"/>
  <c r="CJ97" i="5" s="1"/>
  <c r="EB269" i="5"/>
  <c r="EA269" i="5"/>
  <c r="DG385" i="5"/>
  <c r="BV316" i="5"/>
  <c r="CC316" i="5" s="1"/>
  <c r="CE316" i="5" s="1"/>
  <c r="CJ316" i="5" s="1"/>
  <c r="EB300" i="5"/>
  <c r="EA300" i="5"/>
  <c r="BD262" i="5"/>
  <c r="BD308" i="5"/>
  <c r="CU255" i="5"/>
  <c r="FA255" i="5"/>
  <c r="AV87" i="5"/>
  <c r="AV65" i="5"/>
  <c r="DX500" i="5"/>
  <c r="DG349" i="5"/>
  <c r="FC298" i="5"/>
  <c r="CX298" i="5"/>
  <c r="EO274" i="5"/>
  <c r="EP274" i="5" s="1"/>
  <c r="BJ33" i="5"/>
  <c r="EC33" i="5" s="1"/>
  <c r="EA422" i="5"/>
  <c r="FC278" i="5"/>
  <c r="CX278" i="5"/>
  <c r="CE151" i="5"/>
  <c r="CJ151" i="5" s="1"/>
  <c r="CE35" i="5"/>
  <c r="FC320" i="5"/>
  <c r="CX320" i="5"/>
  <c r="DG430" i="5"/>
  <c r="BF101" i="5"/>
  <c r="BH101" i="5" s="1"/>
  <c r="BG101" i="5"/>
  <c r="BV99" i="5"/>
  <c r="CC99" i="5" s="1"/>
  <c r="CE99" i="5" s="1"/>
  <c r="CJ99" i="5" s="1"/>
  <c r="CR102" i="5"/>
  <c r="FC102" i="5"/>
  <c r="BV308" i="5"/>
  <c r="CC308" i="5" s="1"/>
  <c r="CE308" i="5" s="1"/>
  <c r="CJ308" i="5" s="1"/>
  <c r="AS383" i="5"/>
  <c r="AT383" i="5" s="1"/>
  <c r="CU310" i="5"/>
  <c r="FA310" i="5"/>
  <c r="FA426" i="5"/>
  <c r="CO426" i="5"/>
  <c r="BV414" i="5"/>
  <c r="CC414" i="5" s="1"/>
  <c r="CE414" i="5" s="1"/>
  <c r="CJ414" i="5" s="1"/>
  <c r="DG393" i="5"/>
  <c r="DG383" i="5"/>
  <c r="EN293" i="5"/>
  <c r="EO293" i="5" s="1"/>
  <c r="EP293" i="5" s="1"/>
  <c r="FA323" i="5"/>
  <c r="CU323" i="5"/>
  <c r="FA367" i="5"/>
  <c r="CU367" i="5"/>
  <c r="AV93" i="5"/>
  <c r="EO52" i="5"/>
  <c r="EP52" i="5" s="1"/>
  <c r="AW304" i="5"/>
  <c r="CH304" i="5" s="1"/>
  <c r="AJ24" i="5"/>
  <c r="AK24" i="5" s="1"/>
  <c r="AN23" i="5"/>
  <c r="DO23" i="5" s="1"/>
  <c r="EG23" i="5" s="1"/>
  <c r="EJ23" i="5" s="1"/>
  <c r="EK23" i="5" s="1"/>
  <c r="AW258" i="5"/>
  <c r="CH258" i="5" s="1"/>
  <c r="AW306" i="5"/>
  <c r="CH306" i="5" s="1"/>
  <c r="CE24" i="5"/>
  <c r="CE311" i="5"/>
  <c r="CJ311" i="5" s="1"/>
  <c r="EB351" i="5"/>
  <c r="EA351" i="5"/>
  <c r="FA266" i="5"/>
  <c r="CU266" i="5"/>
  <c r="BV302" i="5"/>
  <c r="CC302" i="5" s="1"/>
  <c r="CE302" i="5" s="1"/>
  <c r="CJ302" i="5" s="1"/>
  <c r="CC369" i="5"/>
  <c r="CE369" i="5" s="1"/>
  <c r="CJ369" i="5" s="1"/>
  <c r="DG429" i="5"/>
  <c r="BV387" i="5"/>
  <c r="CC387" i="5" s="1"/>
  <c r="CE387" i="5" s="1"/>
  <c r="CJ387" i="5" s="1"/>
  <c r="BD280" i="5"/>
  <c r="FA312" i="5"/>
  <c r="CO312" i="5"/>
  <c r="AV79" i="5"/>
  <c r="AV123" i="5"/>
  <c r="EA374" i="5"/>
  <c r="EB278" i="5"/>
  <c r="AW284" i="5"/>
  <c r="CH284" i="5" s="1"/>
  <c r="CE22" i="5"/>
  <c r="AS415" i="5"/>
  <c r="BB415" i="5" s="1"/>
  <c r="AT327" i="5"/>
  <c r="AT261" i="5"/>
  <c r="BB420" i="5"/>
  <c r="EA358" i="5"/>
  <c r="EB358" i="5"/>
  <c r="EN270" i="5"/>
  <c r="EO270" i="5" s="1"/>
  <c r="EP270" i="5" s="1"/>
  <c r="FC304" i="5"/>
  <c r="CR304" i="5"/>
  <c r="BV289" i="5"/>
  <c r="CC289" i="5" s="1"/>
  <c r="CE289" i="5" s="1"/>
  <c r="CJ289" i="5" s="1"/>
  <c r="CR426" i="5"/>
  <c r="FC426" i="5"/>
  <c r="DG401" i="5"/>
  <c r="DG424" i="5"/>
  <c r="EN265" i="5"/>
  <c r="EO265" i="5" s="1"/>
  <c r="EP265" i="5" s="1"/>
  <c r="EN284" i="5"/>
  <c r="EO284" i="5" s="1"/>
  <c r="EP284" i="5" s="1"/>
  <c r="CU299" i="5"/>
  <c r="FA299" i="5"/>
  <c r="AW471" i="5"/>
  <c r="DO471" i="5"/>
  <c r="EG471" i="5" s="1"/>
  <c r="EJ471" i="5" s="1"/>
  <c r="EK471" i="5" s="1"/>
  <c r="EA102" i="5"/>
  <c r="CE52" i="5"/>
  <c r="AW491" i="5"/>
  <c r="DO491" i="5"/>
  <c r="EG491" i="5" s="1"/>
  <c r="EJ491" i="5" s="1"/>
  <c r="EK491" i="5" s="1"/>
  <c r="EO46" i="5"/>
  <c r="EP46" i="5" s="1"/>
  <c r="EA96" i="5"/>
  <c r="EA274" i="5"/>
  <c r="AT268" i="5"/>
  <c r="BB423" i="5"/>
  <c r="DJ20" i="5"/>
  <c r="DI20" i="5"/>
  <c r="BV331" i="5"/>
  <c r="CC331" i="5" s="1"/>
  <c r="CE331" i="5" s="1"/>
  <c r="CJ331" i="5" s="1"/>
  <c r="BV452" i="5"/>
  <c r="CC452" i="5" s="1"/>
  <c r="CE452" i="5" s="1"/>
  <c r="CJ452" i="5" s="1"/>
  <c r="FA148" i="5"/>
  <c r="CU148" i="5"/>
  <c r="CO339" i="5"/>
  <c r="FA339" i="5"/>
  <c r="BV273" i="5"/>
  <c r="CC273" i="5" s="1"/>
  <c r="CE273" i="5" s="1"/>
  <c r="CJ273" i="5" s="1"/>
  <c r="FC376" i="5"/>
  <c r="CR376" i="5"/>
  <c r="BV437" i="5"/>
  <c r="CC437" i="5" s="1"/>
  <c r="CE437" i="5" s="1"/>
  <c r="CJ437" i="5" s="1"/>
  <c r="CU271" i="5"/>
  <c r="FA271" i="5"/>
  <c r="FA443" i="5"/>
  <c r="CO443" i="5"/>
  <c r="ES31" i="5"/>
  <c r="ET31" i="5" s="1"/>
  <c r="EB395" i="5"/>
  <c r="BB379" i="5"/>
  <c r="DH480" i="5"/>
  <c r="EM480" i="5"/>
  <c r="EL480" i="5"/>
  <c r="CX419" i="5"/>
  <c r="FC419" i="5"/>
  <c r="AT381" i="5"/>
  <c r="DH486" i="5"/>
  <c r="EL486" i="5"/>
  <c r="EM486" i="5"/>
  <c r="BB358" i="5"/>
  <c r="AY114" i="5"/>
  <c r="AZ114" i="5" s="1"/>
  <c r="CI114" i="5" s="1"/>
  <c r="FR114" i="5"/>
  <c r="DF109" i="5"/>
  <c r="DC109" i="5"/>
  <c r="AU166" i="5"/>
  <c r="AV166" i="5" s="1"/>
  <c r="DY251" i="5"/>
  <c r="AY251" i="5"/>
  <c r="FR251" i="5"/>
  <c r="AY147" i="5"/>
  <c r="FR147" i="5"/>
  <c r="FU147" i="5" s="1"/>
  <c r="CM147" i="5" s="1"/>
  <c r="BT147" i="5"/>
  <c r="BE147" i="5"/>
  <c r="BU147" i="5"/>
  <c r="BL147" i="5"/>
  <c r="DT147" i="5" s="1"/>
  <c r="DV147" i="5" s="1"/>
  <c r="AU213" i="5"/>
  <c r="AY179" i="5"/>
  <c r="FR179" i="5"/>
  <c r="DF193" i="5"/>
  <c r="AU185" i="5"/>
  <c r="AU240" i="5"/>
  <c r="BL232" i="5"/>
  <c r="DT232" i="5" s="1"/>
  <c r="DV232" i="5" s="1"/>
  <c r="BT232" i="5"/>
  <c r="BU232" i="5"/>
  <c r="FS232" i="5"/>
  <c r="DY226" i="5"/>
  <c r="DF226" i="5"/>
  <c r="AR83" i="5"/>
  <c r="CG83" i="5" s="1"/>
  <c r="DD83" i="5"/>
  <c r="ES83" i="5" s="1"/>
  <c r="BC348" i="5"/>
  <c r="DN348" i="5"/>
  <c r="DN334" i="5"/>
  <c r="BC334" i="5"/>
  <c r="BD334" i="5" s="1"/>
  <c r="BC286" i="5"/>
  <c r="DN286" i="5"/>
  <c r="BC295" i="5"/>
  <c r="DN295" i="5"/>
  <c r="AY101" i="5"/>
  <c r="AZ101" i="5" s="1"/>
  <c r="CI101" i="5" s="1"/>
  <c r="AY104" i="5"/>
  <c r="FA253" i="5"/>
  <c r="CO253" i="5"/>
  <c r="AR111" i="5"/>
  <c r="DD111" i="5"/>
  <c r="ES111" i="5" s="1"/>
  <c r="AR120" i="5"/>
  <c r="CG120" i="5" s="1"/>
  <c r="DD120" i="5"/>
  <c r="DY114" i="5"/>
  <c r="DY122" i="5"/>
  <c r="BF118" i="5"/>
  <c r="BH118" i="5" s="1"/>
  <c r="BG118" i="5"/>
  <c r="FR120" i="5"/>
  <c r="FR112" i="5"/>
  <c r="FS110" i="5"/>
  <c r="BL119" i="5"/>
  <c r="DT119" i="5" s="1"/>
  <c r="BT119" i="5"/>
  <c r="BU119" i="5"/>
  <c r="BE119" i="5"/>
  <c r="BF119" i="5" s="1"/>
  <c r="BH119" i="5" s="1"/>
  <c r="DF115" i="5"/>
  <c r="DC115" i="5"/>
  <c r="DC107" i="5"/>
  <c r="DF107" i="5"/>
  <c r="DC167" i="5"/>
  <c r="AR167" i="5"/>
  <c r="AR159" i="5"/>
  <c r="DC159" i="5"/>
  <c r="AU160" i="5"/>
  <c r="AV160" i="5" s="1"/>
  <c r="BL156" i="5"/>
  <c r="DT156" i="5" s="1"/>
  <c r="DV156" i="5" s="1"/>
  <c r="EB156" i="5" s="1"/>
  <c r="BU156" i="5"/>
  <c r="AY156" i="5"/>
  <c r="FR156" i="5"/>
  <c r="FU156" i="5" s="1"/>
  <c r="BT156" i="5"/>
  <c r="AN156" i="5"/>
  <c r="DO156" i="5" s="1"/>
  <c r="AY160" i="5"/>
  <c r="FR160" i="5"/>
  <c r="FU160" i="5" s="1"/>
  <c r="BL160" i="5"/>
  <c r="DT160" i="5" s="1"/>
  <c r="DV160" i="5" s="1"/>
  <c r="BU160" i="5"/>
  <c r="AN160" i="5"/>
  <c r="DO160" i="5" s="1"/>
  <c r="AK166" i="5"/>
  <c r="AK158" i="5"/>
  <c r="DY249" i="5"/>
  <c r="AY249" i="5"/>
  <c r="FR249" i="5"/>
  <c r="DC127" i="5"/>
  <c r="DY127" i="5"/>
  <c r="DF127" i="5"/>
  <c r="DC135" i="5"/>
  <c r="DY135" i="5"/>
  <c r="DF135" i="5"/>
  <c r="DF143" i="5"/>
  <c r="DY143" i="5"/>
  <c r="DC143" i="5"/>
  <c r="DN144" i="5"/>
  <c r="DN136" i="5"/>
  <c r="DN128" i="5"/>
  <c r="AY145" i="5"/>
  <c r="AZ145" i="5" s="1"/>
  <c r="CI145" i="5" s="1"/>
  <c r="FR145" i="5"/>
  <c r="BT145" i="5"/>
  <c r="BE145" i="5"/>
  <c r="BG145" i="5" s="1"/>
  <c r="BU145" i="5"/>
  <c r="BL145" i="5"/>
  <c r="DT145" i="5" s="1"/>
  <c r="DV145" i="5" s="1"/>
  <c r="AY137" i="5"/>
  <c r="AZ137" i="5" s="1"/>
  <c r="CI137" i="5" s="1"/>
  <c r="FR137" i="5"/>
  <c r="BL137" i="5"/>
  <c r="DT137" i="5" s="1"/>
  <c r="DV137" i="5" s="1"/>
  <c r="BT137" i="5"/>
  <c r="BE137" i="5"/>
  <c r="BG137" i="5" s="1"/>
  <c r="BU137" i="5"/>
  <c r="FR128" i="5"/>
  <c r="FU128" i="5" s="1"/>
  <c r="CM128" i="5" s="1"/>
  <c r="AY128" i="5"/>
  <c r="BT128" i="5"/>
  <c r="BE128" i="5"/>
  <c r="BG128" i="5" s="1"/>
  <c r="BU128" i="5"/>
  <c r="BL128" i="5"/>
  <c r="DT128" i="5" s="1"/>
  <c r="DV128" i="5" s="1"/>
  <c r="BF137" i="5"/>
  <c r="BH137" i="5" s="1"/>
  <c r="DY210" i="5"/>
  <c r="DF210" i="5"/>
  <c r="DY200" i="5"/>
  <c r="DF200" i="5"/>
  <c r="FR196" i="5"/>
  <c r="AY196" i="5"/>
  <c r="AY206" i="5"/>
  <c r="FR206" i="5"/>
  <c r="FR202" i="5"/>
  <c r="AY202" i="5"/>
  <c r="AU211" i="5"/>
  <c r="AU203" i="5"/>
  <c r="AY169" i="5"/>
  <c r="FR169" i="5"/>
  <c r="AY187" i="5"/>
  <c r="FR187" i="5"/>
  <c r="AY175" i="5"/>
  <c r="FR175" i="5"/>
  <c r="FR180" i="5"/>
  <c r="AY180" i="5"/>
  <c r="DF171" i="5"/>
  <c r="DF179" i="5"/>
  <c r="DF187" i="5"/>
  <c r="DF195" i="5"/>
  <c r="R191" i="5"/>
  <c r="EF191" i="5" s="1"/>
  <c r="EE191" i="5" s="1"/>
  <c r="AU191" i="5"/>
  <c r="R183" i="5"/>
  <c r="EF183" i="5" s="1"/>
  <c r="EE183" i="5" s="1"/>
  <c r="AU183" i="5"/>
  <c r="AU175" i="5"/>
  <c r="BT175" i="5"/>
  <c r="BL175" i="5"/>
  <c r="DT175" i="5" s="1"/>
  <c r="DV175" i="5" s="1"/>
  <c r="BU175" i="5"/>
  <c r="FS175" i="5"/>
  <c r="BU183" i="5"/>
  <c r="FS183" i="5"/>
  <c r="BL183" i="5"/>
  <c r="DT183" i="5" s="1"/>
  <c r="DV183" i="5" s="1"/>
  <c r="BT183" i="5"/>
  <c r="FS188" i="5"/>
  <c r="BL188" i="5"/>
  <c r="DT188" i="5" s="1"/>
  <c r="DV188" i="5" s="1"/>
  <c r="EB188" i="5" s="1"/>
  <c r="BT188" i="5"/>
  <c r="BU188" i="5"/>
  <c r="AU222" i="5"/>
  <c r="AU225" i="5"/>
  <c r="AU234" i="5"/>
  <c r="AU242" i="5"/>
  <c r="FS246" i="5"/>
  <c r="FU246" i="5" s="1"/>
  <c r="BL246" i="5"/>
  <c r="DT246" i="5" s="1"/>
  <c r="DV246" i="5" s="1"/>
  <c r="BT246" i="5"/>
  <c r="BU246" i="5"/>
  <c r="BL238" i="5"/>
  <c r="DT238" i="5" s="1"/>
  <c r="DV238" i="5" s="1"/>
  <c r="FS238" i="5"/>
  <c r="FU238" i="5" s="1"/>
  <c r="CM238" i="5" s="1"/>
  <c r="BT238" i="5"/>
  <c r="BU238" i="5"/>
  <c r="FS230" i="5"/>
  <c r="FU230" i="5" s="1"/>
  <c r="BL230" i="5"/>
  <c r="DT230" i="5" s="1"/>
  <c r="DV230" i="5" s="1"/>
  <c r="BT230" i="5"/>
  <c r="BU230" i="5"/>
  <c r="BT221" i="5"/>
  <c r="BU221" i="5"/>
  <c r="FS221" i="5"/>
  <c r="BL221" i="5"/>
  <c r="DT221" i="5" s="1"/>
  <c r="DV221" i="5" s="1"/>
  <c r="DY220" i="5"/>
  <c r="DF220" i="5"/>
  <c r="DY228" i="5"/>
  <c r="DF228" i="5"/>
  <c r="DY236" i="5"/>
  <c r="DF236" i="5"/>
  <c r="DY244" i="5"/>
  <c r="DF244" i="5"/>
  <c r="DF60" i="5"/>
  <c r="DC60" i="5"/>
  <c r="DF68" i="5"/>
  <c r="DC68" i="5"/>
  <c r="DC76" i="5"/>
  <c r="DF76" i="5"/>
  <c r="DC84" i="5"/>
  <c r="DF84" i="5"/>
  <c r="DC92" i="5"/>
  <c r="DF92" i="5"/>
  <c r="DD89" i="5"/>
  <c r="AR89" i="5"/>
  <c r="CG89" i="5" s="1"/>
  <c r="AR81" i="5"/>
  <c r="CG81" i="5" s="1"/>
  <c r="DD81" i="5"/>
  <c r="AR73" i="5"/>
  <c r="CG73" i="5" s="1"/>
  <c r="DD73" i="5"/>
  <c r="ES73" i="5" s="1"/>
  <c r="AR65" i="5"/>
  <c r="CG65" i="5" s="1"/>
  <c r="DD65" i="5"/>
  <c r="AR57" i="5"/>
  <c r="CG57" i="5" s="1"/>
  <c r="DD57" i="5"/>
  <c r="BC299" i="5"/>
  <c r="BD299" i="5" s="1"/>
  <c r="DN299" i="5"/>
  <c r="DN369" i="5"/>
  <c r="BC369" i="5"/>
  <c r="BC311" i="5"/>
  <c r="BD311" i="5" s="1"/>
  <c r="DN311" i="5"/>
  <c r="DN415" i="5"/>
  <c r="BC415" i="5"/>
  <c r="DN354" i="5"/>
  <c r="BC354" i="5"/>
  <c r="DN438" i="5"/>
  <c r="BC438" i="5"/>
  <c r="DN349" i="5"/>
  <c r="BC349" i="5"/>
  <c r="DN407" i="5"/>
  <c r="BC407" i="5"/>
  <c r="DN401" i="5"/>
  <c r="BC401" i="5"/>
  <c r="DN326" i="5"/>
  <c r="BC326" i="5"/>
  <c r="BD326" i="5" s="1"/>
  <c r="BC410" i="5"/>
  <c r="BD410" i="5" s="1"/>
  <c r="DN410" i="5"/>
  <c r="DN316" i="5"/>
  <c r="BC316" i="5"/>
  <c r="DN400" i="5"/>
  <c r="BC400" i="5"/>
  <c r="DN332" i="5"/>
  <c r="BC332" i="5"/>
  <c r="BD332" i="5" s="1"/>
  <c r="DN404" i="5"/>
  <c r="BC404" i="5"/>
  <c r="BC329" i="5"/>
  <c r="BD329" i="5" s="1"/>
  <c r="DN329" i="5"/>
  <c r="DN385" i="5"/>
  <c r="BC385" i="5"/>
  <c r="BD385" i="5" s="1"/>
  <c r="DN448" i="5"/>
  <c r="BC448" i="5"/>
  <c r="BC394" i="5"/>
  <c r="DN394" i="5"/>
  <c r="BB430" i="5"/>
  <c r="AT430" i="5"/>
  <c r="DN483" i="5"/>
  <c r="BC483" i="5"/>
  <c r="BD483" i="5" s="1"/>
  <c r="DN152" i="5"/>
  <c r="AK23" i="5"/>
  <c r="AS448" i="5"/>
  <c r="AT448" i="5" s="1"/>
  <c r="AT411" i="5"/>
  <c r="BB411" i="5"/>
  <c r="AS451" i="5"/>
  <c r="AT451" i="5" s="1"/>
  <c r="CX453" i="5"/>
  <c r="FC453" i="5"/>
  <c r="BI22" i="5"/>
  <c r="BJ22" i="5" s="1"/>
  <c r="EC22" i="5" s="1"/>
  <c r="DG371" i="5"/>
  <c r="BJ20" i="5"/>
  <c r="EC20" i="5" s="1"/>
  <c r="AS101" i="5"/>
  <c r="AT101" i="5" s="1"/>
  <c r="CO324" i="5"/>
  <c r="FA324" i="5"/>
  <c r="BV254" i="5"/>
  <c r="CC254" i="5" s="1"/>
  <c r="CE254" i="5" s="1"/>
  <c r="CJ254" i="5" s="1"/>
  <c r="EB419" i="5"/>
  <c r="EA419" i="5"/>
  <c r="CE279" i="5"/>
  <c r="CJ279" i="5" s="1"/>
  <c r="BV353" i="5"/>
  <c r="CC353" i="5" s="1"/>
  <c r="CE353" i="5" s="1"/>
  <c r="CJ353" i="5" s="1"/>
  <c r="AS293" i="5"/>
  <c r="BB293" i="5" s="1"/>
  <c r="CU417" i="5"/>
  <c r="FA417" i="5"/>
  <c r="EN269" i="5"/>
  <c r="EO269" i="5" s="1"/>
  <c r="EP269" i="5" s="1"/>
  <c r="EN292" i="5"/>
  <c r="EO292" i="5" s="1"/>
  <c r="EP292" i="5" s="1"/>
  <c r="EN383" i="5"/>
  <c r="EO383" i="5" s="1"/>
  <c r="EP383" i="5" s="1"/>
  <c r="BI47" i="5"/>
  <c r="FC381" i="5"/>
  <c r="CX381" i="5"/>
  <c r="AW299" i="5"/>
  <c r="CH299" i="5" s="1"/>
  <c r="BJ21" i="5"/>
  <c r="EC21" i="5" s="1"/>
  <c r="DI48" i="5"/>
  <c r="DJ48" i="5"/>
  <c r="AW343" i="5"/>
  <c r="CH343" i="5" s="1"/>
  <c r="FC284" i="5"/>
  <c r="CX284" i="5"/>
  <c r="BV100" i="5"/>
  <c r="CC100" i="5" s="1"/>
  <c r="CE100" i="5" s="1"/>
  <c r="CJ100" i="5" s="1"/>
  <c r="BV327" i="5"/>
  <c r="CC327" i="5" s="1"/>
  <c r="CE327" i="5" s="1"/>
  <c r="CJ327" i="5" s="1"/>
  <c r="EB446" i="5"/>
  <c r="EA446" i="5"/>
  <c r="EN400" i="5"/>
  <c r="EO400" i="5" s="1"/>
  <c r="EP400" i="5" s="1"/>
  <c r="CR360" i="5"/>
  <c r="FC360" i="5"/>
  <c r="BV395" i="5"/>
  <c r="CC395" i="5" s="1"/>
  <c r="CE395" i="5" s="1"/>
  <c r="CJ395" i="5" s="1"/>
  <c r="BV377" i="5"/>
  <c r="CC377" i="5" s="1"/>
  <c r="CE377" i="5" s="1"/>
  <c r="CJ377" i="5" s="1"/>
  <c r="FC292" i="5"/>
  <c r="CR292" i="5"/>
  <c r="DG384" i="5"/>
  <c r="BV445" i="5"/>
  <c r="CC445" i="5" s="1"/>
  <c r="CE445" i="5" s="1"/>
  <c r="CJ445" i="5" s="1"/>
  <c r="CO279" i="5"/>
  <c r="FA279" i="5"/>
  <c r="FA419" i="5"/>
  <c r="CU419" i="5"/>
  <c r="AV105" i="5"/>
  <c r="BJ46" i="5"/>
  <c r="EC46" i="5" s="1"/>
  <c r="FC302" i="5"/>
  <c r="CX302" i="5"/>
  <c r="AW405" i="5"/>
  <c r="CH405" i="5" s="1"/>
  <c r="EA335" i="5"/>
  <c r="EB335" i="5"/>
  <c r="BV103" i="5"/>
  <c r="CC103" i="5" s="1"/>
  <c r="CE103" i="5" s="1"/>
  <c r="CJ103" i="5" s="1"/>
  <c r="BV453" i="5"/>
  <c r="CC453" i="5" s="1"/>
  <c r="CE453" i="5" s="1"/>
  <c r="CJ453" i="5" s="1"/>
  <c r="EB381" i="5"/>
  <c r="EA381" i="5"/>
  <c r="EN351" i="5"/>
  <c r="EO351" i="5" s="1"/>
  <c r="EP351" i="5" s="1"/>
  <c r="EA253" i="5"/>
  <c r="EB253" i="5"/>
  <c r="EN438" i="5"/>
  <c r="EO438" i="5" s="1"/>
  <c r="EP438" i="5" s="1"/>
  <c r="CR442" i="5"/>
  <c r="FC442" i="5"/>
  <c r="BV309" i="5"/>
  <c r="CC309" i="5" s="1"/>
  <c r="CE309" i="5" s="1"/>
  <c r="CJ309" i="5" s="1"/>
  <c r="FA257" i="5"/>
  <c r="CU257" i="5"/>
  <c r="FA300" i="5"/>
  <c r="CU300" i="5"/>
  <c r="FA375" i="5"/>
  <c r="CU375" i="5"/>
  <c r="AV122" i="5"/>
  <c r="AV69" i="5"/>
  <c r="DG425" i="5"/>
  <c r="EN22" i="5"/>
  <c r="EO22" i="5" s="1"/>
  <c r="EP22" i="5" s="1"/>
  <c r="EQ22" i="5" s="1"/>
  <c r="BJ26" i="5"/>
  <c r="EC26" i="5" s="1"/>
  <c r="DG298" i="5"/>
  <c r="FC341" i="5"/>
  <c r="CX341" i="5"/>
  <c r="EN20" i="5"/>
  <c r="EO20" i="5" s="1"/>
  <c r="EP20" i="5" s="1"/>
  <c r="BV290" i="5"/>
  <c r="CC290" i="5" s="1"/>
  <c r="CE290" i="5" s="1"/>
  <c r="CJ290" i="5" s="1"/>
  <c r="DG97" i="5"/>
  <c r="EB368" i="5"/>
  <c r="EA368" i="5"/>
  <c r="BV294" i="5"/>
  <c r="CC294" i="5" s="1"/>
  <c r="CE294" i="5" s="1"/>
  <c r="CJ294" i="5" s="1"/>
  <c r="CO96" i="5"/>
  <c r="FA96" i="5"/>
  <c r="AS425" i="5"/>
  <c r="BB425" i="5" s="1"/>
  <c r="BD425" i="5" s="1"/>
  <c r="BV421" i="5"/>
  <c r="CC421" i="5" s="1"/>
  <c r="CE421" i="5" s="1"/>
  <c r="CJ421" i="5" s="1"/>
  <c r="CR379" i="5"/>
  <c r="FC379" i="5"/>
  <c r="EA444" i="5"/>
  <c r="EB444" i="5"/>
  <c r="EN255" i="5"/>
  <c r="EO255" i="5" s="1"/>
  <c r="EP255" i="5" s="1"/>
  <c r="AV58" i="5"/>
  <c r="CE49" i="5"/>
  <c r="AW488" i="5"/>
  <c r="DO488" i="5"/>
  <c r="EG488" i="5" s="1"/>
  <c r="EJ488" i="5" s="1"/>
  <c r="EK488" i="5" s="1"/>
  <c r="FC301" i="5"/>
  <c r="CX301" i="5"/>
  <c r="CE43" i="5"/>
  <c r="AW96" i="5"/>
  <c r="CH96" i="5" s="1"/>
  <c r="FA355" i="5"/>
  <c r="CO355" i="5"/>
  <c r="BV101" i="5"/>
  <c r="CC101" i="5" s="1"/>
  <c r="CE101" i="5" s="1"/>
  <c r="CJ101" i="5" s="1"/>
  <c r="FC98" i="5"/>
  <c r="CR98" i="5"/>
  <c r="EB308" i="5"/>
  <c r="EA308" i="5"/>
  <c r="DG414" i="5"/>
  <c r="EA306" i="5"/>
  <c r="EB306" i="5"/>
  <c r="BB393" i="5"/>
  <c r="AT393" i="5"/>
  <c r="CO293" i="5"/>
  <c r="FA293" i="5"/>
  <c r="EN323" i="5"/>
  <c r="EO323" i="5" s="1"/>
  <c r="EP323" i="5" s="1"/>
  <c r="EN367" i="5"/>
  <c r="EO367" i="5" s="1"/>
  <c r="EP367" i="5" s="1"/>
  <c r="AV82" i="5"/>
  <c r="AW324" i="5"/>
  <c r="CH324" i="5" s="1"/>
  <c r="AW325" i="5"/>
  <c r="CH325" i="5" s="1"/>
  <c r="DN254" i="5"/>
  <c r="BC254" i="5"/>
  <c r="BD254" i="5" s="1"/>
  <c r="BJ43" i="5"/>
  <c r="EC43" i="5" s="1"/>
  <c r="BI32" i="5"/>
  <c r="BJ32" i="5" s="1"/>
  <c r="EC32" i="5" s="1"/>
  <c r="ET100" i="5"/>
  <c r="EN266" i="5"/>
  <c r="EO266" i="5" s="1"/>
  <c r="EP266" i="5" s="1"/>
  <c r="BV252" i="5"/>
  <c r="CC252" i="5" s="1"/>
  <c r="CE252" i="5" s="1"/>
  <c r="CJ252" i="5" s="1"/>
  <c r="CC321" i="5"/>
  <c r="CE321" i="5" s="1"/>
  <c r="CJ321" i="5" s="1"/>
  <c r="FA379" i="5"/>
  <c r="CO379" i="5"/>
  <c r="BI39" i="5"/>
  <c r="ET41" i="5"/>
  <c r="AT356" i="5"/>
  <c r="CE25" i="5"/>
  <c r="AT346" i="5"/>
  <c r="EN43" i="5"/>
  <c r="EO43" i="5" s="1"/>
  <c r="EP43" i="5" s="1"/>
  <c r="AW485" i="5"/>
  <c r="DO485" i="5"/>
  <c r="EG485" i="5" s="1"/>
  <c r="EJ485" i="5" s="1"/>
  <c r="EK485" i="5" s="1"/>
  <c r="DH489" i="5"/>
  <c r="EL489" i="5"/>
  <c r="EM489" i="5"/>
  <c r="DG437" i="5"/>
  <c r="CE20" i="5"/>
  <c r="ES34" i="5"/>
  <c r="ET34" i="5" s="1"/>
  <c r="AS104" i="5"/>
  <c r="AT104" i="5" s="1"/>
  <c r="BV315" i="5"/>
  <c r="CC315" i="5" s="1"/>
  <c r="CE315" i="5" s="1"/>
  <c r="CJ315" i="5" s="1"/>
  <c r="FA442" i="5"/>
  <c r="CO442" i="5"/>
  <c r="EA289" i="5"/>
  <c r="EB289" i="5"/>
  <c r="BV411" i="5"/>
  <c r="CC411" i="5" s="1"/>
  <c r="CE411" i="5" s="1"/>
  <c r="CJ411" i="5" s="1"/>
  <c r="FA281" i="5"/>
  <c r="CU281" i="5"/>
  <c r="EN316" i="5"/>
  <c r="EO316" i="5" s="1"/>
  <c r="EP316" i="5" s="1"/>
  <c r="FA359" i="5"/>
  <c r="CU359" i="5"/>
  <c r="ES37" i="5"/>
  <c r="ET37" i="5" s="1"/>
  <c r="BB446" i="5"/>
  <c r="BB331" i="5"/>
  <c r="DG148" i="5"/>
  <c r="BI42" i="5"/>
  <c r="BJ42" i="5" s="1"/>
  <c r="EC42" i="5" s="1"/>
  <c r="EO26" i="5"/>
  <c r="EP26" i="5" s="1"/>
  <c r="DI31" i="5"/>
  <c r="DJ31" i="5"/>
  <c r="EB452" i="5"/>
  <c r="EA452" i="5"/>
  <c r="CE301" i="5"/>
  <c r="CJ301" i="5" s="1"/>
  <c r="FA396" i="5"/>
  <c r="CO396" i="5"/>
  <c r="DG273" i="5"/>
  <c r="BV318" i="5"/>
  <c r="CC318" i="5" s="1"/>
  <c r="CE318" i="5" s="1"/>
  <c r="CJ318" i="5" s="1"/>
  <c r="BV376" i="5"/>
  <c r="CC376" i="5" s="1"/>
  <c r="CE376" i="5" s="1"/>
  <c r="CJ376" i="5" s="1"/>
  <c r="BV275" i="5"/>
  <c r="CC275" i="5" s="1"/>
  <c r="CE275" i="5" s="1"/>
  <c r="CJ275" i="5" s="1"/>
  <c r="FC389" i="5"/>
  <c r="CR389" i="5"/>
  <c r="BD300" i="5"/>
  <c r="EN271" i="5"/>
  <c r="EO271" i="5" s="1"/>
  <c r="EP271" i="5" s="1"/>
  <c r="EN443" i="5"/>
  <c r="EO443" i="5" s="1"/>
  <c r="EP443" i="5" s="1"/>
  <c r="AV71" i="5"/>
  <c r="AV81" i="5"/>
  <c r="FC357" i="5"/>
  <c r="CX357" i="5"/>
  <c r="AT385" i="5"/>
  <c r="AT453" i="5"/>
  <c r="BB348" i="5"/>
  <c r="FC282" i="5"/>
  <c r="CX282" i="5"/>
  <c r="EB380" i="5"/>
  <c r="BB275" i="5"/>
  <c r="BD275" i="5" s="1"/>
  <c r="AR117" i="5"/>
  <c r="CG117" i="5" s="1"/>
  <c r="DD117" i="5"/>
  <c r="FR122" i="5"/>
  <c r="AZ147" i="5"/>
  <c r="CI147" i="5" s="1"/>
  <c r="DF185" i="5"/>
  <c r="AU244" i="5"/>
  <c r="DC82" i="5"/>
  <c r="DF82" i="5"/>
  <c r="DN371" i="5"/>
  <c r="BC371" i="5"/>
  <c r="BD371" i="5" s="1"/>
  <c r="DG376" i="5"/>
  <c r="FD441" i="5"/>
  <c r="CW441" i="5"/>
  <c r="CO307" i="5"/>
  <c r="FA307" i="5"/>
  <c r="EB423" i="5"/>
  <c r="EA423" i="5"/>
  <c r="AR112" i="5"/>
  <c r="DD112" i="5"/>
  <c r="AR121" i="5"/>
  <c r="CG121" i="5" s="1"/>
  <c r="DD121" i="5"/>
  <c r="ES121" i="5" s="1"/>
  <c r="FR119" i="5"/>
  <c r="FR111" i="5"/>
  <c r="FU111" i="5" s="1"/>
  <c r="AY111" i="5"/>
  <c r="AZ111" i="5" s="1"/>
  <c r="BE111" i="5"/>
  <c r="BF111" i="5" s="1"/>
  <c r="BH111" i="5" s="1"/>
  <c r="BU111" i="5"/>
  <c r="FS111" i="5"/>
  <c r="BL111" i="5"/>
  <c r="DT111" i="5" s="1"/>
  <c r="DV111" i="5" s="1"/>
  <c r="BT111" i="5"/>
  <c r="BT120" i="5"/>
  <c r="BE120" i="5"/>
  <c r="BF120" i="5" s="1"/>
  <c r="BH120" i="5" s="1"/>
  <c r="BU120" i="5"/>
  <c r="BL120" i="5"/>
  <c r="DT120" i="5" s="1"/>
  <c r="DV120" i="5" s="1"/>
  <c r="DC114" i="5"/>
  <c r="DF114" i="5"/>
  <c r="DF119" i="5"/>
  <c r="DC119" i="5"/>
  <c r="DC166" i="5"/>
  <c r="AR166" i="5"/>
  <c r="J158" i="5"/>
  <c r="DS158" i="5" s="1"/>
  <c r="DC158" i="5"/>
  <c r="AR158" i="5"/>
  <c r="AU163" i="5"/>
  <c r="AV163" i="5" s="1"/>
  <c r="BL167" i="5"/>
  <c r="DT167" i="5" s="1"/>
  <c r="DV167" i="5" s="1"/>
  <c r="BU167" i="5"/>
  <c r="AY167" i="5"/>
  <c r="FR167" i="5"/>
  <c r="FU167" i="5" s="1"/>
  <c r="AN167" i="5"/>
  <c r="DO167" i="5" s="1"/>
  <c r="BU159" i="5"/>
  <c r="AY159" i="5"/>
  <c r="FR159" i="5"/>
  <c r="FU159" i="5" s="1"/>
  <c r="BL159" i="5"/>
  <c r="DT159" i="5" s="1"/>
  <c r="DV159" i="5" s="1"/>
  <c r="AN159" i="5"/>
  <c r="DO159" i="5" s="1"/>
  <c r="DC248" i="5"/>
  <c r="AR248" i="5"/>
  <c r="CG248" i="5" s="1"/>
  <c r="AU248" i="5"/>
  <c r="AV248" i="5" s="1"/>
  <c r="DC128" i="5"/>
  <c r="DY128" i="5"/>
  <c r="DF128" i="5"/>
  <c r="DF136" i="5"/>
  <c r="DC136" i="5"/>
  <c r="DY136" i="5"/>
  <c r="DC144" i="5"/>
  <c r="DY144" i="5"/>
  <c r="DF144" i="5"/>
  <c r="AZ128" i="5"/>
  <c r="CI128" i="5" s="1"/>
  <c r="DN143" i="5"/>
  <c r="DN135" i="5"/>
  <c r="DN127" i="5"/>
  <c r="AY144" i="5"/>
  <c r="AZ144" i="5" s="1"/>
  <c r="CI144" i="5" s="1"/>
  <c r="FR144" i="5"/>
  <c r="FU144" i="5" s="1"/>
  <c r="CM144" i="5" s="1"/>
  <c r="BL144" i="5"/>
  <c r="DT144" i="5" s="1"/>
  <c r="DV144" i="5" s="1"/>
  <c r="BT144" i="5"/>
  <c r="BV144" i="5" s="1"/>
  <c r="CC144" i="5" s="1"/>
  <c r="CE144" i="5" s="1"/>
  <c r="CJ144" i="5" s="1"/>
  <c r="BE144" i="5"/>
  <c r="BF144" i="5" s="1"/>
  <c r="BH144" i="5" s="1"/>
  <c r="BU144" i="5"/>
  <c r="FR136" i="5"/>
  <c r="FU136" i="5" s="1"/>
  <c r="CM136" i="5" s="1"/>
  <c r="AY136" i="5"/>
  <c r="AZ136" i="5" s="1"/>
  <c r="CI136" i="5" s="1"/>
  <c r="BL136" i="5"/>
  <c r="DT136" i="5" s="1"/>
  <c r="DV136" i="5" s="1"/>
  <c r="BT136" i="5"/>
  <c r="BE136" i="5"/>
  <c r="BG136" i="5" s="1"/>
  <c r="BU136" i="5"/>
  <c r="AY129" i="5"/>
  <c r="AZ129" i="5" s="1"/>
  <c r="CI129" i="5" s="1"/>
  <c r="FR129" i="5"/>
  <c r="BL129" i="5"/>
  <c r="DT129" i="5" s="1"/>
  <c r="DV129" i="5" s="1"/>
  <c r="BT129" i="5"/>
  <c r="BE129" i="5"/>
  <c r="BF129" i="5" s="1"/>
  <c r="BH129" i="5" s="1"/>
  <c r="BU129" i="5"/>
  <c r="DY209" i="5"/>
  <c r="DF209" i="5"/>
  <c r="DF199" i="5"/>
  <c r="DY199" i="5"/>
  <c r="AY215" i="5"/>
  <c r="FR215" i="5"/>
  <c r="AY205" i="5"/>
  <c r="FR205" i="5"/>
  <c r="AY203" i="5"/>
  <c r="FR203" i="5"/>
  <c r="AU210" i="5"/>
  <c r="AU202" i="5"/>
  <c r="FR186" i="5"/>
  <c r="AY186" i="5"/>
  <c r="AY174" i="5"/>
  <c r="FR174" i="5"/>
  <c r="FR182" i="5"/>
  <c r="AY182" i="5"/>
  <c r="DF172" i="5"/>
  <c r="DF180" i="5"/>
  <c r="DF188" i="5"/>
  <c r="AU190" i="5"/>
  <c r="AU182" i="5"/>
  <c r="AU174" i="5"/>
  <c r="BT176" i="5"/>
  <c r="BU176" i="5"/>
  <c r="FS176" i="5"/>
  <c r="BL176" i="5"/>
  <c r="DT176" i="5" s="1"/>
  <c r="DV176" i="5" s="1"/>
  <c r="EB176" i="5" s="1"/>
  <c r="BU195" i="5"/>
  <c r="FS195" i="5"/>
  <c r="BL195" i="5"/>
  <c r="DT195" i="5" s="1"/>
  <c r="DV195" i="5" s="1"/>
  <c r="EB195" i="5" s="1"/>
  <c r="BT195" i="5"/>
  <c r="BU187" i="5"/>
  <c r="FS187" i="5"/>
  <c r="BL187" i="5"/>
  <c r="DT187" i="5" s="1"/>
  <c r="DV187" i="5" s="1"/>
  <c r="EB187" i="5" s="1"/>
  <c r="BT187" i="5"/>
  <c r="AU221" i="5"/>
  <c r="AU227" i="5"/>
  <c r="AU235" i="5"/>
  <c r="AU243" i="5"/>
  <c r="BT245" i="5"/>
  <c r="BV245" i="5" s="1"/>
  <c r="CC245" i="5" s="1"/>
  <c r="BU245" i="5"/>
  <c r="BL245" i="5"/>
  <c r="DT245" i="5" s="1"/>
  <c r="DV245" i="5" s="1"/>
  <c r="FS245" i="5"/>
  <c r="FU245" i="5" s="1"/>
  <c r="CM245" i="5" s="1"/>
  <c r="BT237" i="5"/>
  <c r="BU237" i="5"/>
  <c r="BL237" i="5"/>
  <c r="DT237" i="5" s="1"/>
  <c r="DV237" i="5" s="1"/>
  <c r="FS237" i="5"/>
  <c r="BT229" i="5"/>
  <c r="BV229" i="5" s="1"/>
  <c r="CC229" i="5" s="1"/>
  <c r="BU229" i="5"/>
  <c r="BL229" i="5"/>
  <c r="DT229" i="5" s="1"/>
  <c r="DV229" i="5" s="1"/>
  <c r="FS229" i="5"/>
  <c r="FU229" i="5" s="1"/>
  <c r="CM229" i="5" s="1"/>
  <c r="BU220" i="5"/>
  <c r="FS220" i="5"/>
  <c r="FU220" i="5" s="1"/>
  <c r="BL220" i="5"/>
  <c r="DT220" i="5" s="1"/>
  <c r="DV220" i="5" s="1"/>
  <c r="BT220" i="5"/>
  <c r="DY221" i="5"/>
  <c r="DF221" i="5"/>
  <c r="FU221" i="5"/>
  <c r="DY229" i="5"/>
  <c r="DF229" i="5"/>
  <c r="DY237" i="5"/>
  <c r="DF237" i="5"/>
  <c r="FU237" i="5"/>
  <c r="DY245" i="5"/>
  <c r="DF245" i="5"/>
  <c r="DC53" i="5"/>
  <c r="DF53" i="5"/>
  <c r="DC61" i="5"/>
  <c r="DF61" i="5"/>
  <c r="DF69" i="5"/>
  <c r="DC69" i="5"/>
  <c r="DF77" i="5"/>
  <c r="DC77" i="5"/>
  <c r="DF85" i="5"/>
  <c r="DC85" i="5"/>
  <c r="DF93" i="5"/>
  <c r="DC93" i="5"/>
  <c r="DD88" i="5"/>
  <c r="AR88" i="5"/>
  <c r="CG88" i="5" s="1"/>
  <c r="AR80" i="5"/>
  <c r="CG80" i="5" s="1"/>
  <c r="DD80" i="5"/>
  <c r="AR72" i="5"/>
  <c r="CG72" i="5" s="1"/>
  <c r="DD72" i="5"/>
  <c r="AR64" i="5"/>
  <c r="DD64" i="5"/>
  <c r="AR56" i="5"/>
  <c r="CG56" i="5" s="1"/>
  <c r="DD56" i="5"/>
  <c r="S28" i="5"/>
  <c r="EF28" i="5"/>
  <c r="EE28" i="5" s="1"/>
  <c r="DN301" i="5"/>
  <c r="BC301" i="5"/>
  <c r="DN372" i="5"/>
  <c r="BC372" i="5"/>
  <c r="BC313" i="5"/>
  <c r="DN313" i="5"/>
  <c r="BC435" i="5"/>
  <c r="DN435" i="5"/>
  <c r="DN361" i="5"/>
  <c r="BC361" i="5"/>
  <c r="DN449" i="5"/>
  <c r="BC449" i="5"/>
  <c r="BC353" i="5"/>
  <c r="DN353" i="5"/>
  <c r="BC422" i="5"/>
  <c r="DN422" i="5"/>
  <c r="DN437" i="5"/>
  <c r="BC437" i="5"/>
  <c r="DN328" i="5"/>
  <c r="BC328" i="5"/>
  <c r="BD328" i="5" s="1"/>
  <c r="DN412" i="5"/>
  <c r="BC412" i="5"/>
  <c r="BD412" i="5" s="1"/>
  <c r="DN318" i="5"/>
  <c r="BC318" i="5"/>
  <c r="BD318" i="5" s="1"/>
  <c r="BC414" i="5"/>
  <c r="DN414" i="5"/>
  <c r="DN342" i="5"/>
  <c r="BC342" i="5"/>
  <c r="BD342" i="5" s="1"/>
  <c r="DN419" i="5"/>
  <c r="BC419" i="5"/>
  <c r="BC335" i="5"/>
  <c r="BD335" i="5" s="1"/>
  <c r="DN335" i="5"/>
  <c r="DN393" i="5"/>
  <c r="BC393" i="5"/>
  <c r="BD393" i="5" s="1"/>
  <c r="BB307" i="5"/>
  <c r="AT307" i="5"/>
  <c r="AS390" i="5"/>
  <c r="BB390" i="5" s="1"/>
  <c r="BB360" i="5"/>
  <c r="AT360" i="5"/>
  <c r="DN485" i="5"/>
  <c r="BC485" i="5"/>
  <c r="BD485" i="5" s="1"/>
  <c r="DN151" i="5"/>
  <c r="AY95" i="5"/>
  <c r="AZ95" i="5" s="1"/>
  <c r="CI95" i="5" s="1"/>
  <c r="AT282" i="5"/>
  <c r="BB282" i="5"/>
  <c r="AS395" i="5"/>
  <c r="BB395" i="5" s="1"/>
  <c r="AS413" i="5"/>
  <c r="BB413" i="5" s="1"/>
  <c r="CX277" i="5"/>
  <c r="FC277" i="5"/>
  <c r="CO98" i="5"/>
  <c r="FA98" i="5"/>
  <c r="CE323" i="5"/>
  <c r="CJ323" i="5" s="1"/>
  <c r="CQ366" i="5"/>
  <c r="FD366" i="5"/>
  <c r="AS386" i="5"/>
  <c r="BB386" i="5" s="1"/>
  <c r="EB254" i="5"/>
  <c r="EA254" i="5"/>
  <c r="FC279" i="5"/>
  <c r="CR279" i="5"/>
  <c r="EB353" i="5"/>
  <c r="EA353" i="5"/>
  <c r="AS274" i="5"/>
  <c r="BB274" i="5" s="1"/>
  <c r="EN285" i="5"/>
  <c r="EO285" i="5" s="1"/>
  <c r="EP285" i="5" s="1"/>
  <c r="FA318" i="5"/>
  <c r="CU318" i="5"/>
  <c r="FA415" i="5"/>
  <c r="CO415" i="5"/>
  <c r="EF39" i="5"/>
  <c r="EE39" i="5" s="1"/>
  <c r="S39" i="5"/>
  <c r="S40" i="5"/>
  <c r="EF40" i="5"/>
  <c r="EE40" i="5" s="1"/>
  <c r="AV88" i="5"/>
  <c r="BJ47" i="5"/>
  <c r="EC47" i="5" s="1"/>
  <c r="DG364" i="5"/>
  <c r="AW332" i="5"/>
  <c r="CH332" i="5" s="1"/>
  <c r="AW410" i="5"/>
  <c r="CH410" i="5" s="1"/>
  <c r="AW342" i="5"/>
  <c r="CH342" i="5" s="1"/>
  <c r="AS409" i="5"/>
  <c r="BB409" i="5" s="1"/>
  <c r="BD409" i="5" s="1"/>
  <c r="BV360" i="5"/>
  <c r="CC360" i="5" s="1"/>
  <c r="CE360" i="5" s="1"/>
  <c r="CJ360" i="5" s="1"/>
  <c r="FD258" i="5"/>
  <c r="CQ258" i="5"/>
  <c r="CE292" i="5"/>
  <c r="CJ292" i="5" s="1"/>
  <c r="EA445" i="5"/>
  <c r="EB445" i="5"/>
  <c r="EN279" i="5"/>
  <c r="EO279" i="5" s="1"/>
  <c r="EP279" i="5" s="1"/>
  <c r="EN419" i="5"/>
  <c r="EO419" i="5" s="1"/>
  <c r="EP419" i="5" s="1"/>
  <c r="ES36" i="5"/>
  <c r="ET36" i="5" s="1"/>
  <c r="AV90" i="5"/>
  <c r="AV63" i="5"/>
  <c r="EN36" i="5"/>
  <c r="EO36" i="5" s="1"/>
  <c r="EP36" i="5" s="1"/>
  <c r="AW470" i="5"/>
  <c r="DO470" i="5"/>
  <c r="EG470" i="5" s="1"/>
  <c r="EJ470" i="5" s="1"/>
  <c r="EK470" i="5" s="1"/>
  <c r="FC408" i="5"/>
  <c r="CX408" i="5"/>
  <c r="FC424" i="5"/>
  <c r="CX424" i="5"/>
  <c r="DJ45" i="5"/>
  <c r="DI45" i="5"/>
  <c r="DG103" i="5"/>
  <c r="EB453" i="5"/>
  <c r="EA453" i="5"/>
  <c r="CE450" i="5"/>
  <c r="CJ450" i="5" s="1"/>
  <c r="CO351" i="5"/>
  <c r="FA351" i="5"/>
  <c r="CO438" i="5"/>
  <c r="FA438" i="5"/>
  <c r="CC262" i="5"/>
  <c r="CE262" i="5" s="1"/>
  <c r="CJ262" i="5" s="1"/>
  <c r="CE417" i="5"/>
  <c r="CJ417" i="5" s="1"/>
  <c r="DG309" i="5"/>
  <c r="FD408" i="5"/>
  <c r="CW408" i="5"/>
  <c r="AS321" i="5"/>
  <c r="AT321" i="5" s="1"/>
  <c r="EN257" i="5"/>
  <c r="EO257" i="5" s="1"/>
  <c r="EP257" i="5" s="1"/>
  <c r="EN300" i="5"/>
  <c r="EO300" i="5" s="1"/>
  <c r="EP300" i="5" s="1"/>
  <c r="EN375" i="5"/>
  <c r="EO375" i="5" s="1"/>
  <c r="EP375" i="5" s="1"/>
  <c r="ES30" i="5"/>
  <c r="AV80" i="5"/>
  <c r="AV76" i="5"/>
  <c r="ET95" i="5"/>
  <c r="DI49" i="5"/>
  <c r="DJ49" i="5"/>
  <c r="DK49" i="5" s="1"/>
  <c r="DI30" i="5"/>
  <c r="DJ30" i="5"/>
  <c r="FC96" i="5"/>
  <c r="CR96" i="5"/>
  <c r="AT323" i="5"/>
  <c r="EA277" i="5"/>
  <c r="FD332" i="5"/>
  <c r="CQ332" i="5"/>
  <c r="EB290" i="5"/>
  <c r="EA290" i="5"/>
  <c r="EB294" i="5"/>
  <c r="EA294" i="5"/>
  <c r="CE379" i="5"/>
  <c r="CJ379" i="5" s="1"/>
  <c r="FA392" i="5"/>
  <c r="CU392" i="5"/>
  <c r="EN272" i="5"/>
  <c r="EO272" i="5" s="1"/>
  <c r="EP272" i="5" s="1"/>
  <c r="FA287" i="5"/>
  <c r="CO287" i="5"/>
  <c r="ES20" i="5"/>
  <c r="ET20" i="5" s="1"/>
  <c r="AV54" i="5"/>
  <c r="AW352" i="5"/>
  <c r="CH352" i="5" s="1"/>
  <c r="CE30" i="5"/>
  <c r="CE150" i="5"/>
  <c r="CJ150" i="5" s="1"/>
  <c r="EN355" i="5"/>
  <c r="EO355" i="5" s="1"/>
  <c r="EP355" i="5" s="1"/>
  <c r="DG151" i="5"/>
  <c r="EB101" i="5"/>
  <c r="EA101" i="5"/>
  <c r="CR99" i="5"/>
  <c r="FC99" i="5"/>
  <c r="CE102" i="5"/>
  <c r="CJ102" i="5" s="1"/>
  <c r="FD330" i="5"/>
  <c r="CQ330" i="5"/>
  <c r="CR308" i="5"/>
  <c r="FC308" i="5"/>
  <c r="CE284" i="5"/>
  <c r="CJ284" i="5" s="1"/>
  <c r="CR348" i="5"/>
  <c r="FC348" i="5"/>
  <c r="AS421" i="5"/>
  <c r="BB421" i="5" s="1"/>
  <c r="BD421" i="5" s="1"/>
  <c r="FD425" i="5"/>
  <c r="CW425" i="5"/>
  <c r="CR317" i="5"/>
  <c r="FC317" i="5"/>
  <c r="FA309" i="5"/>
  <c r="CU309" i="5"/>
  <c r="CO259" i="5"/>
  <c r="FA259" i="5"/>
  <c r="FA399" i="5"/>
  <c r="CU399" i="5"/>
  <c r="ES22" i="5"/>
  <c r="ET22" i="5" s="1"/>
  <c r="AV114" i="5"/>
  <c r="AW500" i="5"/>
  <c r="DO500" i="5"/>
  <c r="EG500" i="5" s="1"/>
  <c r="EJ500" i="5" s="1"/>
  <c r="EK500" i="5" s="1"/>
  <c r="CX336" i="5"/>
  <c r="FC336" i="5"/>
  <c r="DN100" i="5"/>
  <c r="AW273" i="5"/>
  <c r="CH273" i="5" s="1"/>
  <c r="CW325" i="5"/>
  <c r="FD325" i="5"/>
  <c r="EA338" i="5"/>
  <c r="EB338" i="5"/>
  <c r="CC295" i="5"/>
  <c r="CE295" i="5" s="1"/>
  <c r="CJ295" i="5" s="1"/>
  <c r="FC303" i="5"/>
  <c r="CR303" i="5"/>
  <c r="CQ374" i="5"/>
  <c r="FD374" i="5"/>
  <c r="FC439" i="5"/>
  <c r="CR439" i="5"/>
  <c r="CE266" i="5"/>
  <c r="CJ266" i="5" s="1"/>
  <c r="EA369" i="5"/>
  <c r="EB369" i="5"/>
  <c r="CW429" i="5"/>
  <c r="FD429" i="5"/>
  <c r="DG420" i="5"/>
  <c r="EN379" i="5"/>
  <c r="EO379" i="5" s="1"/>
  <c r="EP379" i="5" s="1"/>
  <c r="ES26" i="5"/>
  <c r="AV120" i="5"/>
  <c r="AV89" i="5"/>
  <c r="BJ39" i="5"/>
  <c r="EC39" i="5" s="1"/>
  <c r="DJ28" i="5"/>
  <c r="DI28" i="5"/>
  <c r="CE41" i="5"/>
  <c r="EA399" i="5"/>
  <c r="AW469" i="5"/>
  <c r="DO469" i="5"/>
  <c r="EG469" i="5" s="1"/>
  <c r="EJ469" i="5" s="1"/>
  <c r="EK469" i="5" s="1"/>
  <c r="AW490" i="5"/>
  <c r="DO490" i="5"/>
  <c r="EG490" i="5" s="1"/>
  <c r="EJ490" i="5" s="1"/>
  <c r="EK490" i="5" s="1"/>
  <c r="CE37" i="5"/>
  <c r="ET101" i="5"/>
  <c r="DI34" i="5"/>
  <c r="DJ34" i="5"/>
  <c r="FD347" i="5"/>
  <c r="CQ347" i="5"/>
  <c r="CE297" i="5"/>
  <c r="CJ297" i="5" s="1"/>
  <c r="FA314" i="5"/>
  <c r="CU314" i="5"/>
  <c r="CE304" i="5"/>
  <c r="CJ304" i="5" s="1"/>
  <c r="EN442" i="5"/>
  <c r="EO442" i="5" s="1"/>
  <c r="EP442" i="5" s="1"/>
  <c r="EB411" i="5"/>
  <c r="EA411" i="5"/>
  <c r="CE426" i="5"/>
  <c r="CJ426" i="5" s="1"/>
  <c r="DG433" i="5"/>
  <c r="FD424" i="5"/>
  <c r="CW424" i="5"/>
  <c r="EN281" i="5"/>
  <c r="EO281" i="5" s="1"/>
  <c r="EP281" i="5" s="1"/>
  <c r="CO316" i="5"/>
  <c r="FA316" i="5"/>
  <c r="EN359" i="5"/>
  <c r="EO359" i="5" s="1"/>
  <c r="EP359" i="5" s="1"/>
  <c r="AV94" i="5"/>
  <c r="AV75" i="5"/>
  <c r="AV85" i="5"/>
  <c r="DH477" i="5"/>
  <c r="EL477" i="5"/>
  <c r="EM477" i="5"/>
  <c r="CR95" i="5"/>
  <c r="FC95" i="5"/>
  <c r="EN31" i="5"/>
  <c r="EO31" i="5" s="1"/>
  <c r="EP31" i="5" s="1"/>
  <c r="AW263" i="5"/>
  <c r="CH263" i="5" s="1"/>
  <c r="EO45" i="5"/>
  <c r="EP45" i="5" s="1"/>
  <c r="CE305" i="5"/>
  <c r="CJ305" i="5" s="1"/>
  <c r="EA301" i="5"/>
  <c r="EB301" i="5"/>
  <c r="CC407" i="5"/>
  <c r="CE407" i="5" s="1"/>
  <c r="CJ407" i="5" s="1"/>
  <c r="EN365" i="5"/>
  <c r="EO365" i="5"/>
  <c r="EP365" i="5" s="1"/>
  <c r="EN396" i="5"/>
  <c r="EO396" i="5" s="1"/>
  <c r="EP396" i="5" s="1"/>
  <c r="CC382" i="5"/>
  <c r="CE382" i="5" s="1"/>
  <c r="CJ382" i="5" s="1"/>
  <c r="CR447" i="5"/>
  <c r="FC447" i="5"/>
  <c r="DG318" i="5"/>
  <c r="EN260" i="5"/>
  <c r="EO260" i="5" s="1"/>
  <c r="EP260" i="5" s="1"/>
  <c r="CO303" i="5"/>
  <c r="FA303" i="5"/>
  <c r="AV78" i="5"/>
  <c r="AO22" i="5"/>
  <c r="DH479" i="5"/>
  <c r="EL479" i="5"/>
  <c r="EM479" i="5"/>
  <c r="BB350" i="5"/>
  <c r="EB391" i="5"/>
  <c r="EB332" i="5"/>
  <c r="CX261" i="5"/>
  <c r="FC261" i="5"/>
  <c r="FC274" i="5"/>
  <c r="CX274" i="5"/>
  <c r="FB153" i="5"/>
  <c r="CV153" i="5"/>
  <c r="AT260" i="5"/>
  <c r="BE108" i="5"/>
  <c r="BF108" i="5" s="1"/>
  <c r="BH108" i="5" s="1"/>
  <c r="BU108" i="5"/>
  <c r="FS108" i="5"/>
  <c r="BL108" i="5"/>
  <c r="DT108" i="5" s="1"/>
  <c r="DV108" i="5" s="1"/>
  <c r="BT108" i="5"/>
  <c r="BX123" i="5"/>
  <c r="BY123" i="5" s="1"/>
  <c r="FS123" i="5"/>
  <c r="DC133" i="5"/>
  <c r="DY133" i="5"/>
  <c r="DF133" i="5"/>
  <c r="DN146" i="5"/>
  <c r="FR139" i="5"/>
  <c r="FU139" i="5" s="1"/>
  <c r="CM139" i="5" s="1"/>
  <c r="AY139" i="5"/>
  <c r="AZ139" i="5" s="1"/>
  <c r="CI139" i="5" s="1"/>
  <c r="BE139" i="5"/>
  <c r="BF139" i="5" s="1"/>
  <c r="BH139" i="5" s="1"/>
  <c r="BU139" i="5"/>
  <c r="BL139" i="5"/>
  <c r="DT139" i="5" s="1"/>
  <c r="DV139" i="5" s="1"/>
  <c r="BT139" i="5"/>
  <c r="DY212" i="5"/>
  <c r="DF212" i="5"/>
  <c r="AU205" i="5"/>
  <c r="AY176" i="5"/>
  <c r="FR176" i="5"/>
  <c r="EB189" i="5"/>
  <c r="FS190" i="5"/>
  <c r="BL190" i="5"/>
  <c r="DT190" i="5" s="1"/>
  <c r="DV190" i="5" s="1"/>
  <c r="EB190" i="5" s="1"/>
  <c r="BT190" i="5"/>
  <c r="BU190" i="5"/>
  <c r="AU232" i="5"/>
  <c r="BL223" i="5"/>
  <c r="DT223" i="5" s="1"/>
  <c r="DV223" i="5" s="1"/>
  <c r="BT223" i="5"/>
  <c r="BU223" i="5"/>
  <c r="FS223" i="5"/>
  <c r="DF66" i="5"/>
  <c r="DC66" i="5"/>
  <c r="AR91" i="5"/>
  <c r="CG91" i="5" s="1"/>
  <c r="DD91" i="5"/>
  <c r="ES91" i="5" s="1"/>
  <c r="AR59" i="5"/>
  <c r="CG59" i="5" s="1"/>
  <c r="DD59" i="5"/>
  <c r="ES59" i="5" s="1"/>
  <c r="DN287" i="5"/>
  <c r="BC287" i="5"/>
  <c r="BC418" i="5"/>
  <c r="DN418" i="5"/>
  <c r="DN322" i="5"/>
  <c r="BC322" i="5"/>
  <c r="BD322" i="5" s="1"/>
  <c r="DN379" i="5"/>
  <c r="BC379" i="5"/>
  <c r="BD379" i="5" s="1"/>
  <c r="BC439" i="5"/>
  <c r="DN439" i="5"/>
  <c r="BC386" i="5"/>
  <c r="DN386" i="5"/>
  <c r="AS432" i="5"/>
  <c r="AT432" i="5" s="1"/>
  <c r="AT320" i="5"/>
  <c r="BB320" i="5"/>
  <c r="DG99" i="5"/>
  <c r="AW280" i="5"/>
  <c r="CH280" i="5" s="1"/>
  <c r="CE326" i="5"/>
  <c r="CJ326" i="5" s="1"/>
  <c r="AR105" i="5"/>
  <c r="DD105" i="5"/>
  <c r="AR113" i="5"/>
  <c r="CG113" i="5" s="1"/>
  <c r="DD113" i="5"/>
  <c r="DD122" i="5"/>
  <c r="AR122" i="5"/>
  <c r="CG122" i="5" s="1"/>
  <c r="AY118" i="5"/>
  <c r="AZ118" i="5" s="1"/>
  <c r="FR118" i="5"/>
  <c r="FU118" i="5" s="1"/>
  <c r="FR108" i="5"/>
  <c r="FU108" i="5" s="1"/>
  <c r="AY108" i="5"/>
  <c r="AZ108" i="5" s="1"/>
  <c r="BL113" i="5"/>
  <c r="DT113" i="5" s="1"/>
  <c r="DV113" i="5" s="1"/>
  <c r="BT113" i="5"/>
  <c r="FS113" i="5"/>
  <c r="FU113" i="5" s="1"/>
  <c r="CM113" i="5" s="1"/>
  <c r="BU113" i="5"/>
  <c r="BE113" i="5"/>
  <c r="BL121" i="5"/>
  <c r="DT121" i="5" s="1"/>
  <c r="DV121" i="5" s="1"/>
  <c r="BT121" i="5"/>
  <c r="BE121" i="5"/>
  <c r="BF121" i="5" s="1"/>
  <c r="BH121" i="5" s="1"/>
  <c r="BU121" i="5"/>
  <c r="DC113" i="5"/>
  <c r="DF113" i="5"/>
  <c r="DC120" i="5"/>
  <c r="DF120" i="5"/>
  <c r="AR165" i="5"/>
  <c r="DC165" i="5"/>
  <c r="DC157" i="5"/>
  <c r="AR157" i="5"/>
  <c r="AU162" i="5"/>
  <c r="AV162" i="5" s="1"/>
  <c r="BL166" i="5"/>
  <c r="DT166" i="5" s="1"/>
  <c r="DV166" i="5" s="1"/>
  <c r="BU166" i="5"/>
  <c r="AY166" i="5"/>
  <c r="FR166" i="5"/>
  <c r="FU166" i="5" s="1"/>
  <c r="AN166" i="5"/>
  <c r="DO166" i="5" s="1"/>
  <c r="BT158" i="5"/>
  <c r="BU158" i="5"/>
  <c r="BL158" i="5"/>
  <c r="DT158" i="5" s="1"/>
  <c r="DV158" i="5" s="1"/>
  <c r="EB158" i="5" s="1"/>
  <c r="AY158" i="5"/>
  <c r="FR158" i="5"/>
  <c r="FU158" i="5" s="1"/>
  <c r="AN158" i="5"/>
  <c r="DO158" i="5" s="1"/>
  <c r="DC249" i="5"/>
  <c r="AR249" i="5"/>
  <c r="CG249" i="5" s="1"/>
  <c r="BL248" i="5"/>
  <c r="DT248" i="5" s="1"/>
  <c r="DV248" i="5" s="1"/>
  <c r="FS248" i="5"/>
  <c r="BU248" i="5"/>
  <c r="AU249" i="5"/>
  <c r="AV249" i="5" s="1"/>
  <c r="FU129" i="5"/>
  <c r="CM129" i="5" s="1"/>
  <c r="DC129" i="5"/>
  <c r="DY129" i="5"/>
  <c r="DF129" i="5"/>
  <c r="DC137" i="5"/>
  <c r="DY137" i="5"/>
  <c r="DF137" i="5"/>
  <c r="FU137" i="5"/>
  <c r="CM137" i="5" s="1"/>
  <c r="FU145" i="5"/>
  <c r="CM145" i="5" s="1"/>
  <c r="DC145" i="5"/>
  <c r="DY145" i="5"/>
  <c r="DF145" i="5"/>
  <c r="DN142" i="5"/>
  <c r="DN134" i="5"/>
  <c r="DN126" i="5"/>
  <c r="FR143" i="5"/>
  <c r="BE143" i="5"/>
  <c r="BG143" i="5" s="1"/>
  <c r="BL143" i="5"/>
  <c r="DT143" i="5" s="1"/>
  <c r="DV143" i="5" s="1"/>
  <c r="BU143" i="5"/>
  <c r="BT143" i="5"/>
  <c r="AY135" i="5"/>
  <c r="AZ135" i="5" s="1"/>
  <c r="CI135" i="5" s="1"/>
  <c r="FR135" i="5"/>
  <c r="FU135" i="5" s="1"/>
  <c r="CM135" i="5" s="1"/>
  <c r="BU135" i="5"/>
  <c r="BL135" i="5"/>
  <c r="DT135" i="5" s="1"/>
  <c r="DV135" i="5" s="1"/>
  <c r="BT135" i="5"/>
  <c r="BE135" i="5"/>
  <c r="AY130" i="5"/>
  <c r="AZ130" i="5" s="1"/>
  <c r="CI130" i="5" s="1"/>
  <c r="FR130" i="5"/>
  <c r="FU130" i="5" s="1"/>
  <c r="CM130" i="5" s="1"/>
  <c r="BE130" i="5"/>
  <c r="BF130" i="5" s="1"/>
  <c r="BH130" i="5" s="1"/>
  <c r="BL130" i="5"/>
  <c r="DT130" i="5" s="1"/>
  <c r="DV130" i="5" s="1"/>
  <c r="BT130" i="5"/>
  <c r="BU130" i="5"/>
  <c r="BF143" i="5"/>
  <c r="BH143" i="5" s="1"/>
  <c r="BF135" i="5"/>
  <c r="BH135" i="5" s="1"/>
  <c r="BG135" i="5"/>
  <c r="BI135" i="5" s="1"/>
  <c r="DY208" i="5"/>
  <c r="DF208" i="5"/>
  <c r="DY198" i="5"/>
  <c r="DF198" i="5"/>
  <c r="AY214" i="5"/>
  <c r="FR214" i="5"/>
  <c r="FR204" i="5"/>
  <c r="AY204" i="5"/>
  <c r="AY210" i="5"/>
  <c r="FR210" i="5"/>
  <c r="AU209" i="5"/>
  <c r="AU201" i="5"/>
  <c r="FR194" i="5"/>
  <c r="AY194" i="5"/>
  <c r="AY185" i="5"/>
  <c r="FR185" i="5"/>
  <c r="AY173" i="5"/>
  <c r="FR173" i="5"/>
  <c r="AY193" i="5"/>
  <c r="FR193" i="5"/>
  <c r="DF173" i="5"/>
  <c r="DF181" i="5"/>
  <c r="DF189" i="5"/>
  <c r="AU189" i="5"/>
  <c r="AU181" i="5"/>
  <c r="AU173" i="5"/>
  <c r="BL169" i="5"/>
  <c r="DT169" i="5" s="1"/>
  <c r="DV169" i="5" s="1"/>
  <c r="EB169" i="5" s="1"/>
  <c r="BT169" i="5"/>
  <c r="BU169" i="5"/>
  <c r="FS169" i="5"/>
  <c r="BT177" i="5"/>
  <c r="FS177" i="5"/>
  <c r="BL177" i="5"/>
  <c r="DT177" i="5" s="1"/>
  <c r="DV177" i="5" s="1"/>
  <c r="EB177" i="5" s="1"/>
  <c r="BU177" i="5"/>
  <c r="FS194" i="5"/>
  <c r="BL194" i="5"/>
  <c r="DT194" i="5" s="1"/>
  <c r="DV194" i="5" s="1"/>
  <c r="EB194" i="5" s="1"/>
  <c r="BT194" i="5"/>
  <c r="BU194" i="5"/>
  <c r="FS186" i="5"/>
  <c r="BL186" i="5"/>
  <c r="DT186" i="5" s="1"/>
  <c r="DV186" i="5" s="1"/>
  <c r="EB186" i="5" s="1"/>
  <c r="BT186" i="5"/>
  <c r="BV186" i="5" s="1"/>
  <c r="CC186" i="5" s="1"/>
  <c r="BU186" i="5"/>
  <c r="AU220" i="5"/>
  <c r="AU228" i="5"/>
  <c r="AU236" i="5"/>
  <c r="AU245" i="5"/>
  <c r="BL244" i="5"/>
  <c r="DT244" i="5" s="1"/>
  <c r="DV244" i="5" s="1"/>
  <c r="FS244" i="5"/>
  <c r="FU244" i="5" s="1"/>
  <c r="CM244" i="5" s="1"/>
  <c r="BT244" i="5"/>
  <c r="BU244" i="5"/>
  <c r="BL236" i="5"/>
  <c r="DT236" i="5" s="1"/>
  <c r="DV236" i="5" s="1"/>
  <c r="FS236" i="5"/>
  <c r="FU236" i="5" s="1"/>
  <c r="CM236" i="5" s="1"/>
  <c r="BT236" i="5"/>
  <c r="BU236" i="5"/>
  <c r="BL228" i="5"/>
  <c r="DT228" i="5" s="1"/>
  <c r="DV228" i="5" s="1"/>
  <c r="FS228" i="5"/>
  <c r="FU228" i="5" s="1"/>
  <c r="CM228" i="5" s="1"/>
  <c r="BT228" i="5"/>
  <c r="BU228" i="5"/>
  <c r="FS219" i="5"/>
  <c r="FU219" i="5" s="1"/>
  <c r="BL219" i="5"/>
  <c r="DT219" i="5" s="1"/>
  <c r="DV219" i="5" s="1"/>
  <c r="BT219" i="5"/>
  <c r="BU219" i="5"/>
  <c r="DY222" i="5"/>
  <c r="DF222" i="5"/>
  <c r="FU222" i="5"/>
  <c r="DY230" i="5"/>
  <c r="DF230" i="5"/>
  <c r="DY238" i="5"/>
  <c r="DF238" i="5"/>
  <c r="DY246" i="5"/>
  <c r="DF246" i="5"/>
  <c r="AK167" i="5"/>
  <c r="AO167" i="5" s="1"/>
  <c r="DC54" i="5"/>
  <c r="DF54" i="5"/>
  <c r="DC62" i="5"/>
  <c r="DF62" i="5"/>
  <c r="DC70" i="5"/>
  <c r="DF70" i="5"/>
  <c r="DC78" i="5"/>
  <c r="DF78" i="5"/>
  <c r="DC86" i="5"/>
  <c r="DF86" i="5"/>
  <c r="DC94" i="5"/>
  <c r="DF94" i="5"/>
  <c r="AR87" i="5"/>
  <c r="CG87" i="5" s="1"/>
  <c r="DD87" i="5"/>
  <c r="ES87" i="5" s="1"/>
  <c r="AR79" i="5"/>
  <c r="CG79" i="5" s="1"/>
  <c r="DD79" i="5"/>
  <c r="AR71" i="5"/>
  <c r="CG71" i="5" s="1"/>
  <c r="DD71" i="5"/>
  <c r="AR63" i="5"/>
  <c r="DD63" i="5"/>
  <c r="AR55" i="5"/>
  <c r="CG55" i="5" s="1"/>
  <c r="DD55" i="5"/>
  <c r="DN315" i="5"/>
  <c r="BC315" i="5"/>
  <c r="BD315" i="5" s="1"/>
  <c r="DN411" i="5"/>
  <c r="BC411" i="5"/>
  <c r="BD411" i="5" s="1"/>
  <c r="DN362" i="5"/>
  <c r="BC362" i="5"/>
  <c r="BC283" i="5"/>
  <c r="DN283" i="5"/>
  <c r="DN364" i="5"/>
  <c r="BC364" i="5"/>
  <c r="BD364" i="5" s="1"/>
  <c r="DN413" i="5"/>
  <c r="BC413" i="5"/>
  <c r="DN357" i="5"/>
  <c r="BC357" i="5"/>
  <c r="DN424" i="5"/>
  <c r="BC424" i="5"/>
  <c r="DN450" i="5"/>
  <c r="BC450" i="5"/>
  <c r="BD450" i="5" s="1"/>
  <c r="BC336" i="5"/>
  <c r="DN336" i="5"/>
  <c r="BC426" i="5"/>
  <c r="DN426" i="5"/>
  <c r="BC333" i="5"/>
  <c r="BD333" i="5" s="1"/>
  <c r="DN333" i="5"/>
  <c r="DN416" i="5"/>
  <c r="BC416" i="5"/>
  <c r="DN350" i="5"/>
  <c r="BC350" i="5"/>
  <c r="DN429" i="5"/>
  <c r="BC429" i="5"/>
  <c r="BC343" i="5"/>
  <c r="BD343" i="5" s="1"/>
  <c r="DN343" i="5"/>
  <c r="BC406" i="5"/>
  <c r="DN406" i="5"/>
  <c r="BB287" i="5"/>
  <c r="AT287" i="5"/>
  <c r="AS368" i="5"/>
  <c r="BB368" i="5" s="1"/>
  <c r="DN496" i="5"/>
  <c r="BC496" i="5"/>
  <c r="BD496" i="5" s="1"/>
  <c r="AS431" i="5"/>
  <c r="BB431" i="5" s="1"/>
  <c r="BB392" i="5"/>
  <c r="AT392" i="5"/>
  <c r="AT449" i="5"/>
  <c r="BB449" i="5"/>
  <c r="AT295" i="5"/>
  <c r="BB295" i="5"/>
  <c r="BB369" i="5"/>
  <c r="AT369" i="5"/>
  <c r="DJ36" i="5"/>
  <c r="DI36" i="5"/>
  <c r="CE33" i="5"/>
  <c r="CX300" i="5"/>
  <c r="FC300" i="5"/>
  <c r="CX256" i="5"/>
  <c r="FC256" i="5"/>
  <c r="FC377" i="5"/>
  <c r="CX377" i="5"/>
  <c r="BG104" i="5"/>
  <c r="BF104" i="5"/>
  <c r="BH104" i="5" s="1"/>
  <c r="BV329" i="5"/>
  <c r="CC329" i="5" s="1"/>
  <c r="CE329" i="5" s="1"/>
  <c r="CJ329" i="5" s="1"/>
  <c r="CR97" i="5"/>
  <c r="FC97" i="5"/>
  <c r="FA151" i="5"/>
  <c r="CU151" i="5"/>
  <c r="EA366" i="5"/>
  <c r="EB366" i="5"/>
  <c r="FD373" i="5"/>
  <c r="CW373" i="5"/>
  <c r="FC409" i="5"/>
  <c r="CR409" i="5"/>
  <c r="EB279" i="5"/>
  <c r="EA279" i="5"/>
  <c r="FD432" i="5"/>
  <c r="CQ432" i="5"/>
  <c r="AS310" i="5"/>
  <c r="BB310" i="5" s="1"/>
  <c r="CO285" i="5"/>
  <c r="FA285" i="5"/>
  <c r="EN318" i="5"/>
  <c r="EO318" i="5" s="1"/>
  <c r="EP318" i="5" s="1"/>
  <c r="EN415" i="5"/>
  <c r="EO415" i="5" s="1"/>
  <c r="EP415" i="5" s="1"/>
  <c r="ES28" i="5"/>
  <c r="ET28" i="5" s="1"/>
  <c r="AW374" i="5"/>
  <c r="CH374" i="5" s="1"/>
  <c r="EN30" i="5"/>
  <c r="EO30" i="5" s="1"/>
  <c r="EP30" i="5" s="1"/>
  <c r="DG435" i="5"/>
  <c r="FC405" i="5"/>
  <c r="CX405" i="5"/>
  <c r="EB323" i="5"/>
  <c r="DI52" i="5"/>
  <c r="DJ52" i="5"/>
  <c r="CR370" i="5"/>
  <c r="FC370" i="5"/>
  <c r="EN328" i="5"/>
  <c r="EO328" i="5" s="1"/>
  <c r="EP328" i="5" s="1"/>
  <c r="DG281" i="5"/>
  <c r="DG258" i="5"/>
  <c r="EB292" i="5"/>
  <c r="EA292" i="5"/>
  <c r="FC384" i="5"/>
  <c r="CR384" i="5"/>
  <c r="BV371" i="5"/>
  <c r="CC371" i="5" s="1"/>
  <c r="CE371" i="5" s="1"/>
  <c r="CJ371" i="5" s="1"/>
  <c r="FD436" i="5"/>
  <c r="CQ436" i="5"/>
  <c r="EN268" i="5"/>
  <c r="EO268" i="5" s="1"/>
  <c r="EP268" i="5" s="1"/>
  <c r="EN311" i="5"/>
  <c r="EO311" i="5" s="1"/>
  <c r="EP311" i="5" s="1"/>
  <c r="EN451" i="5"/>
  <c r="EO451" i="5" s="1"/>
  <c r="EP451" i="5" s="1"/>
  <c r="AV115" i="5"/>
  <c r="ET21" i="5"/>
  <c r="AW335" i="5"/>
  <c r="CH335" i="5" s="1"/>
  <c r="AW482" i="5"/>
  <c r="DO482" i="5"/>
  <c r="EG482" i="5" s="1"/>
  <c r="EJ482" i="5" s="1"/>
  <c r="EK482" i="5" s="1"/>
  <c r="AS419" i="5"/>
  <c r="BB419" i="5" s="1"/>
  <c r="FC335" i="5"/>
  <c r="CR335" i="5"/>
  <c r="EA359" i="5"/>
  <c r="EB359" i="5"/>
  <c r="CR265" i="5"/>
  <c r="FC265" i="5"/>
  <c r="EA450" i="5"/>
  <c r="EB450" i="5"/>
  <c r="EB262" i="5"/>
  <c r="EA262" i="5"/>
  <c r="CE427" i="5"/>
  <c r="CJ427" i="5" s="1"/>
  <c r="BV442" i="5"/>
  <c r="CC442" i="5" s="1"/>
  <c r="CE442" i="5" s="1"/>
  <c r="CJ442" i="5" s="1"/>
  <c r="CW357" i="5"/>
  <c r="FD357" i="5"/>
  <c r="FA273" i="5"/>
  <c r="CU273" i="5"/>
  <c r="CU391" i="5"/>
  <c r="FA391" i="5"/>
  <c r="AW380" i="5"/>
  <c r="CH380" i="5" s="1"/>
  <c r="BJ25" i="5"/>
  <c r="EC25" i="5" s="1"/>
  <c r="AW333" i="5"/>
  <c r="CH333" i="5" s="1"/>
  <c r="EA258" i="5"/>
  <c r="FD153" i="5"/>
  <c r="CW153" i="5"/>
  <c r="BB290" i="5"/>
  <c r="AT290" i="5"/>
  <c r="BV286" i="5"/>
  <c r="CC286" i="5" s="1"/>
  <c r="CE286" i="5" s="1"/>
  <c r="CJ286" i="5" s="1"/>
  <c r="FC368" i="5"/>
  <c r="CR368" i="5"/>
  <c r="FD339" i="5"/>
  <c r="CQ339" i="5"/>
  <c r="BV274" i="5"/>
  <c r="CC274" i="5" s="1"/>
  <c r="CE274" i="5" s="1"/>
  <c r="CJ274" i="5" s="1"/>
  <c r="BV431" i="5"/>
  <c r="CC431" i="5" s="1"/>
  <c r="CE431" i="5" s="1"/>
  <c r="CJ431" i="5" s="1"/>
  <c r="BV256" i="5"/>
  <c r="CC256" i="5" s="1"/>
  <c r="CE256" i="5" s="1"/>
  <c r="CJ256" i="5" s="1"/>
  <c r="CC361" i="5"/>
  <c r="CE361" i="5" s="1"/>
  <c r="CJ361" i="5" s="1"/>
  <c r="DG421" i="5"/>
  <c r="BV444" i="5"/>
  <c r="CC444" i="5" s="1"/>
  <c r="CE444" i="5" s="1"/>
  <c r="CJ444" i="5" s="1"/>
  <c r="EN392" i="5"/>
  <c r="EO392" i="5" s="1"/>
  <c r="EP392" i="5" s="1"/>
  <c r="BD260" i="5"/>
  <c r="CO272" i="5"/>
  <c r="FA272" i="5"/>
  <c r="EN287" i="5"/>
  <c r="EO287" i="5" s="1"/>
  <c r="EP287" i="5" s="1"/>
  <c r="ES45" i="5"/>
  <c r="DG407" i="5"/>
  <c r="AW285" i="5"/>
  <c r="CH285" i="5" s="1"/>
  <c r="AT339" i="5"/>
  <c r="CX306" i="5"/>
  <c r="FC306" i="5"/>
  <c r="CE29" i="5"/>
  <c r="BG98" i="5"/>
  <c r="BF98" i="5"/>
  <c r="BH98" i="5" s="1"/>
  <c r="DG102" i="5"/>
  <c r="EA330" i="5"/>
  <c r="EB330" i="5"/>
  <c r="EN382" i="5"/>
  <c r="EO382" i="5" s="1"/>
  <c r="EP382" i="5" s="1"/>
  <c r="BV261" i="5"/>
  <c r="CC261" i="5" s="1"/>
  <c r="CE261" i="5" s="1"/>
  <c r="CJ261" i="5" s="1"/>
  <c r="EA284" i="5"/>
  <c r="EB284" i="5"/>
  <c r="BV278" i="5"/>
  <c r="CC278" i="5" s="1"/>
  <c r="CE278" i="5" s="1"/>
  <c r="CJ278" i="5" s="1"/>
  <c r="CQ348" i="5"/>
  <c r="FD348" i="5"/>
  <c r="FD365" i="5"/>
  <c r="CW365" i="5"/>
  <c r="CQ317" i="5"/>
  <c r="FD317" i="5"/>
  <c r="BV416" i="5"/>
  <c r="CC416" i="5" s="1"/>
  <c r="CE416" i="5" s="1"/>
  <c r="CJ416" i="5" s="1"/>
  <c r="AS292" i="5"/>
  <c r="BB292" i="5" s="1"/>
  <c r="BD292" i="5" s="1"/>
  <c r="EN309" i="5"/>
  <c r="EO309" i="5" s="1"/>
  <c r="EP309" i="5" s="1"/>
  <c r="EN259" i="5"/>
  <c r="EO259" i="5" s="1"/>
  <c r="EP259" i="5" s="1"/>
  <c r="EN399" i="5"/>
  <c r="EO399" i="5" s="1"/>
  <c r="EP399" i="5" s="1"/>
  <c r="AV72" i="5"/>
  <c r="CX310" i="5"/>
  <c r="FC310" i="5"/>
  <c r="ET150" i="5"/>
  <c r="EA344" i="5"/>
  <c r="FC429" i="5"/>
  <c r="CX429" i="5"/>
  <c r="DI42" i="5"/>
  <c r="DJ42" i="5"/>
  <c r="AW337" i="5"/>
  <c r="CH337" i="5" s="1"/>
  <c r="DI26" i="5"/>
  <c r="DJ26" i="5"/>
  <c r="EB325" i="5"/>
  <c r="EA325" i="5"/>
  <c r="FD338" i="5"/>
  <c r="CW338" i="5"/>
  <c r="EB295" i="5"/>
  <c r="EA295" i="5"/>
  <c r="BV293" i="5"/>
  <c r="CC293" i="5" s="1"/>
  <c r="CE293" i="5" s="1"/>
  <c r="CJ293" i="5" s="1"/>
  <c r="FD397" i="5"/>
  <c r="CQ397" i="5"/>
  <c r="CE267" i="5"/>
  <c r="CJ267" i="5" s="1"/>
  <c r="CE303" i="5"/>
  <c r="CJ303" i="5" s="1"/>
  <c r="DG374" i="5"/>
  <c r="CE439" i="5"/>
  <c r="CJ439" i="5" s="1"/>
  <c r="EA266" i="5"/>
  <c r="EB266" i="5"/>
  <c r="AS414" i="5"/>
  <c r="AT414" i="5" s="1"/>
  <c r="FA313" i="5"/>
  <c r="CU313" i="5"/>
  <c r="CU263" i="5"/>
  <c r="FA263" i="5"/>
  <c r="FA403" i="5"/>
  <c r="CO403" i="5"/>
  <c r="ES52" i="5"/>
  <c r="ET52" i="5" s="1"/>
  <c r="AV66" i="5"/>
  <c r="AV57" i="5"/>
  <c r="DN278" i="5"/>
  <c r="BC278" i="5"/>
  <c r="EQ480" i="5"/>
  <c r="FC305" i="5"/>
  <c r="CX305" i="5"/>
  <c r="CE95" i="5"/>
  <c r="CJ95" i="5" s="1"/>
  <c r="BD486" i="5"/>
  <c r="BV299" i="5"/>
  <c r="CC299" i="5" s="1"/>
  <c r="CE299" i="5" s="1"/>
  <c r="CJ299" i="5" s="1"/>
  <c r="BV402" i="5"/>
  <c r="CC402" i="5" s="1"/>
  <c r="CE402" i="5" s="1"/>
  <c r="CJ402" i="5" s="1"/>
  <c r="EN314" i="5"/>
  <c r="EO314" i="5" s="1"/>
  <c r="EP314" i="5" s="1"/>
  <c r="EA304" i="5"/>
  <c r="EB304" i="5"/>
  <c r="CR378" i="5"/>
  <c r="FC378" i="5"/>
  <c r="BV314" i="5"/>
  <c r="CC314" i="5" s="1"/>
  <c r="CE314" i="5" s="1"/>
  <c r="CJ314" i="5" s="1"/>
  <c r="BV345" i="5"/>
  <c r="CC345" i="5" s="1"/>
  <c r="CE345" i="5" s="1"/>
  <c r="CJ345" i="5" s="1"/>
  <c r="FA297" i="5"/>
  <c r="CU297" i="5"/>
  <c r="FA326" i="5"/>
  <c r="CO326" i="5"/>
  <c r="FA407" i="5"/>
  <c r="CU407" i="5"/>
  <c r="AW330" i="5"/>
  <c r="CH330" i="5" s="1"/>
  <c r="AT344" i="5"/>
  <c r="AT319" i="5"/>
  <c r="AW474" i="5"/>
  <c r="DO474" i="5"/>
  <c r="EG474" i="5" s="1"/>
  <c r="EJ474" i="5" s="1"/>
  <c r="EK474" i="5" s="1"/>
  <c r="ET26" i="5"/>
  <c r="BD494" i="5"/>
  <c r="CR272" i="5"/>
  <c r="FC272" i="5"/>
  <c r="EA305" i="5"/>
  <c r="EB305" i="5"/>
  <c r="CU365" i="5"/>
  <c r="FA365" i="5"/>
  <c r="DG382" i="5"/>
  <c r="CE447" i="5"/>
  <c r="CJ447" i="5" s="1"/>
  <c r="BV389" i="5"/>
  <c r="CC389" i="5" s="1"/>
  <c r="CE389" i="5" s="1"/>
  <c r="CJ389" i="5" s="1"/>
  <c r="BD252" i="5"/>
  <c r="CU260" i="5"/>
  <c r="FA260" i="5"/>
  <c r="EN303" i="5"/>
  <c r="EO303" i="5" s="1"/>
  <c r="EP303" i="5" s="1"/>
  <c r="ES27" i="5"/>
  <c r="ET27" i="5" s="1"/>
  <c r="AT269" i="5"/>
  <c r="BB367" i="5"/>
  <c r="FC365" i="5"/>
  <c r="CX365" i="5"/>
  <c r="AT329" i="5"/>
  <c r="BB288" i="5"/>
  <c r="BD288" i="5" s="1"/>
  <c r="AO160" i="5"/>
  <c r="DY202" i="5"/>
  <c r="DF202" i="5"/>
  <c r="AY100" i="5"/>
  <c r="AZ100" i="5" s="1"/>
  <c r="CI100" i="5" s="1"/>
  <c r="AT100" i="5"/>
  <c r="BB296" i="5"/>
  <c r="BD296" i="5" s="1"/>
  <c r="AT296" i="5"/>
  <c r="CO264" i="5"/>
  <c r="FA264" i="5"/>
  <c r="DG408" i="5"/>
  <c r="EN329" i="5"/>
  <c r="EO329" i="5" s="1"/>
  <c r="EP329" i="5" s="1"/>
  <c r="EA327" i="5"/>
  <c r="EB327" i="5"/>
  <c r="AR106" i="5"/>
  <c r="DD106" i="5"/>
  <c r="AR114" i="5"/>
  <c r="CG114" i="5" s="1"/>
  <c r="DD114" i="5"/>
  <c r="ES114" i="5" s="1"/>
  <c r="AR123" i="5"/>
  <c r="CG123" i="5" s="1"/>
  <c r="DD123" i="5"/>
  <c r="ET118" i="5"/>
  <c r="EN118" i="5"/>
  <c r="EO118" i="5" s="1"/>
  <c r="EP118" i="5" s="1"/>
  <c r="DY117" i="5"/>
  <c r="AY117" i="5"/>
  <c r="AZ117" i="5" s="1"/>
  <c r="CI117" i="5" s="1"/>
  <c r="FR117" i="5"/>
  <c r="FR107" i="5"/>
  <c r="BL114" i="5"/>
  <c r="DT114" i="5" s="1"/>
  <c r="DV114" i="5" s="1"/>
  <c r="BT114" i="5"/>
  <c r="FS114" i="5"/>
  <c r="BE114" i="5"/>
  <c r="BF114" i="5" s="1"/>
  <c r="BH114" i="5" s="1"/>
  <c r="BU114" i="5"/>
  <c r="BL122" i="5"/>
  <c r="DT122" i="5" s="1"/>
  <c r="DV122" i="5" s="1"/>
  <c r="BT122" i="5"/>
  <c r="BE122" i="5"/>
  <c r="BF122" i="5" s="1"/>
  <c r="BH122" i="5" s="1"/>
  <c r="BU122" i="5"/>
  <c r="DF112" i="5"/>
  <c r="DC112" i="5"/>
  <c r="DC121" i="5"/>
  <c r="DF121" i="5"/>
  <c r="DC164" i="5"/>
  <c r="AR164" i="5"/>
  <c r="AU161" i="5"/>
  <c r="AV161" i="5" s="1"/>
  <c r="BL165" i="5"/>
  <c r="DT165" i="5" s="1"/>
  <c r="DV165" i="5" s="1"/>
  <c r="BU165" i="5"/>
  <c r="AY165" i="5"/>
  <c r="FR165" i="5"/>
  <c r="FU165" i="5" s="1"/>
  <c r="AN165" i="5"/>
  <c r="DO165" i="5" s="1"/>
  <c r="BL157" i="5"/>
  <c r="DT157" i="5" s="1"/>
  <c r="DV157" i="5" s="1"/>
  <c r="AY157" i="5"/>
  <c r="FR157" i="5"/>
  <c r="FU157" i="5" s="1"/>
  <c r="BU157" i="5"/>
  <c r="AN157" i="5"/>
  <c r="DO157" i="5" s="1"/>
  <c r="AR250" i="5"/>
  <c r="CG250" i="5" s="1"/>
  <c r="DC250" i="5"/>
  <c r="BL251" i="5"/>
  <c r="DT251" i="5" s="1"/>
  <c r="DV251" i="5" s="1"/>
  <c r="FS251" i="5"/>
  <c r="BU251" i="5"/>
  <c r="AU250" i="5"/>
  <c r="AV250" i="5" s="1"/>
  <c r="DC130" i="5"/>
  <c r="DF130" i="5"/>
  <c r="DY130" i="5"/>
  <c r="DC138" i="5"/>
  <c r="DY138" i="5"/>
  <c r="DF138" i="5"/>
  <c r="DY146" i="5"/>
  <c r="DF146" i="5"/>
  <c r="FU146" i="5"/>
  <c r="CM146" i="5" s="1"/>
  <c r="DC146" i="5"/>
  <c r="DN141" i="5"/>
  <c r="DN133" i="5"/>
  <c r="DN125" i="5"/>
  <c r="FR142" i="5"/>
  <c r="BE142" i="5"/>
  <c r="BG142" i="5" s="1"/>
  <c r="BU142" i="5"/>
  <c r="BL142" i="5"/>
  <c r="DT142" i="5" s="1"/>
  <c r="DV142" i="5" s="1"/>
  <c r="BT142" i="5"/>
  <c r="FR134" i="5"/>
  <c r="FU134" i="5" s="1"/>
  <c r="CM134" i="5" s="1"/>
  <c r="AY134" i="5"/>
  <c r="AZ134" i="5" s="1"/>
  <c r="CI134" i="5" s="1"/>
  <c r="BT134" i="5"/>
  <c r="BE134" i="5"/>
  <c r="BF134" i="5" s="1"/>
  <c r="BH134" i="5" s="1"/>
  <c r="BU134" i="5"/>
  <c r="BL134" i="5"/>
  <c r="DT134" i="5" s="1"/>
  <c r="DV134" i="5" s="1"/>
  <c r="FR131" i="5"/>
  <c r="AY131" i="5"/>
  <c r="AZ131" i="5" s="1"/>
  <c r="CI131" i="5" s="1"/>
  <c r="BE131" i="5"/>
  <c r="BU131" i="5"/>
  <c r="BL131" i="5"/>
  <c r="DT131" i="5" s="1"/>
  <c r="DV131" i="5" s="1"/>
  <c r="BT131" i="5"/>
  <c r="BF142" i="5"/>
  <c r="BH142" i="5" s="1"/>
  <c r="BF125" i="5"/>
  <c r="BH125" i="5" s="1"/>
  <c r="BG125" i="5"/>
  <c r="DF205" i="5"/>
  <c r="DY205" i="5"/>
  <c r="DF197" i="5"/>
  <c r="DY197" i="5"/>
  <c r="AY213" i="5"/>
  <c r="FR213" i="5"/>
  <c r="AY201" i="5"/>
  <c r="FR201" i="5"/>
  <c r="AY211" i="5"/>
  <c r="FR211" i="5"/>
  <c r="AU208" i="5"/>
  <c r="AU200" i="5"/>
  <c r="FR192" i="5"/>
  <c r="AY192" i="5"/>
  <c r="FR184" i="5"/>
  <c r="AY184" i="5"/>
  <c r="FR172" i="5"/>
  <c r="AY172" i="5"/>
  <c r="AY195" i="5"/>
  <c r="AZ195" i="5" s="1"/>
  <c r="CI195" i="5" s="1"/>
  <c r="FR195" i="5"/>
  <c r="FU195" i="5" s="1"/>
  <c r="CM195" i="5" s="1"/>
  <c r="DF174" i="5"/>
  <c r="FU182" i="5"/>
  <c r="CM182" i="5" s="1"/>
  <c r="DF182" i="5"/>
  <c r="DF190" i="5"/>
  <c r="AU188" i="5"/>
  <c r="AU180" i="5"/>
  <c r="AU172" i="5"/>
  <c r="BL174" i="5"/>
  <c r="DT174" i="5" s="1"/>
  <c r="DV174" i="5" s="1"/>
  <c r="EB174" i="5" s="1"/>
  <c r="BT174" i="5"/>
  <c r="FS174" i="5"/>
  <c r="FU174" i="5" s="1"/>
  <c r="CM174" i="5" s="1"/>
  <c r="BU174" i="5"/>
  <c r="FS178" i="5"/>
  <c r="BL178" i="5"/>
  <c r="DT178" i="5" s="1"/>
  <c r="DV178" i="5" s="1"/>
  <c r="EB178" i="5" s="1"/>
  <c r="BT178" i="5"/>
  <c r="BU178" i="5"/>
  <c r="BU193" i="5"/>
  <c r="FS193" i="5"/>
  <c r="BL193" i="5"/>
  <c r="DT193" i="5" s="1"/>
  <c r="DV193" i="5" s="1"/>
  <c r="EB193" i="5" s="1"/>
  <c r="BT193" i="5"/>
  <c r="BU185" i="5"/>
  <c r="FS185" i="5"/>
  <c r="BL185" i="5"/>
  <c r="DT185" i="5" s="1"/>
  <c r="DV185" i="5" s="1"/>
  <c r="EB185" i="5" s="1"/>
  <c r="BT185" i="5"/>
  <c r="AU217" i="5"/>
  <c r="AU229" i="5"/>
  <c r="AU237" i="5"/>
  <c r="AU246" i="5"/>
  <c r="BL243" i="5"/>
  <c r="DT243" i="5" s="1"/>
  <c r="DV243" i="5" s="1"/>
  <c r="FS243" i="5"/>
  <c r="FU243" i="5" s="1"/>
  <c r="CM243" i="5" s="1"/>
  <c r="BT243" i="5"/>
  <c r="BU243" i="5"/>
  <c r="BL235" i="5"/>
  <c r="DT235" i="5" s="1"/>
  <c r="DV235" i="5" s="1"/>
  <c r="FS235" i="5"/>
  <c r="FU235" i="5" s="1"/>
  <c r="CM235" i="5" s="1"/>
  <c r="BT235" i="5"/>
  <c r="BV235" i="5" s="1"/>
  <c r="CC235" i="5" s="1"/>
  <c r="BU235" i="5"/>
  <c r="FS226" i="5"/>
  <c r="FU226" i="5" s="1"/>
  <c r="BL226" i="5"/>
  <c r="DT226" i="5" s="1"/>
  <c r="DV226" i="5" s="1"/>
  <c r="BT226" i="5"/>
  <c r="BU226" i="5"/>
  <c r="FS218" i="5"/>
  <c r="BL218" i="5"/>
  <c r="DT218" i="5" s="1"/>
  <c r="DV218" i="5" s="1"/>
  <c r="BT218" i="5"/>
  <c r="BV218" i="5" s="1"/>
  <c r="CC218" i="5" s="1"/>
  <c r="BU218" i="5"/>
  <c r="DY223" i="5"/>
  <c r="DF223" i="5"/>
  <c r="FU223" i="5"/>
  <c r="DY231" i="5"/>
  <c r="DF231" i="5"/>
  <c r="DY239" i="5"/>
  <c r="DF239" i="5"/>
  <c r="FU239" i="5"/>
  <c r="CM239" i="5" s="1"/>
  <c r="DY247" i="5"/>
  <c r="DF247" i="5"/>
  <c r="DC55" i="5"/>
  <c r="DF55" i="5"/>
  <c r="DC63" i="5"/>
  <c r="DF63" i="5"/>
  <c r="DF71" i="5"/>
  <c r="DC71" i="5"/>
  <c r="DC79" i="5"/>
  <c r="DF79" i="5"/>
  <c r="DC87" i="5"/>
  <c r="DF87" i="5"/>
  <c r="AR94" i="5"/>
  <c r="CG94" i="5" s="1"/>
  <c r="DD94" i="5"/>
  <c r="ES94" i="5" s="1"/>
  <c r="AR86" i="5"/>
  <c r="CG86" i="5" s="1"/>
  <c r="DD86" i="5"/>
  <c r="ES86" i="5" s="1"/>
  <c r="AR78" i="5"/>
  <c r="CG78" i="5" s="1"/>
  <c r="DD78" i="5"/>
  <c r="ES78" i="5" s="1"/>
  <c r="AR70" i="5"/>
  <c r="CG70" i="5" s="1"/>
  <c r="DD70" i="5"/>
  <c r="ES70" i="5" s="1"/>
  <c r="AR62" i="5"/>
  <c r="CG62" i="5" s="1"/>
  <c r="DD62" i="5"/>
  <c r="ES62" i="5" s="1"/>
  <c r="AR54" i="5"/>
  <c r="CG54" i="5" s="1"/>
  <c r="DD54" i="5"/>
  <c r="ES54" i="5" s="1"/>
  <c r="BC337" i="5"/>
  <c r="BD337" i="5" s="1"/>
  <c r="DN337" i="5"/>
  <c r="DN327" i="5"/>
  <c r="BC327" i="5"/>
  <c r="BD327" i="5" s="1"/>
  <c r="BC427" i="5"/>
  <c r="DN427" i="5"/>
  <c r="DN367" i="5"/>
  <c r="BC367" i="5"/>
  <c r="BD367" i="5" s="1"/>
  <c r="BC285" i="5"/>
  <c r="BD285" i="5" s="1"/>
  <c r="DN285" i="5"/>
  <c r="DN377" i="5"/>
  <c r="BC377" i="5"/>
  <c r="BC294" i="5"/>
  <c r="DN294" i="5"/>
  <c r="BC360" i="5"/>
  <c r="BD360" i="5" s="1"/>
  <c r="DN360" i="5"/>
  <c r="DN432" i="5"/>
  <c r="BC432" i="5"/>
  <c r="BC290" i="5"/>
  <c r="BD290" i="5" s="1"/>
  <c r="DN290" i="5"/>
  <c r="BC340" i="5"/>
  <c r="BD340" i="5" s="1"/>
  <c r="DN340" i="5"/>
  <c r="DN434" i="5"/>
  <c r="BC434" i="5"/>
  <c r="DN365" i="5"/>
  <c r="BC365" i="5"/>
  <c r="DN436" i="5"/>
  <c r="BC436" i="5"/>
  <c r="BC358" i="5"/>
  <c r="BD358" i="5" s="1"/>
  <c r="DN358" i="5"/>
  <c r="DN445" i="5"/>
  <c r="BC445" i="5"/>
  <c r="BC351" i="5"/>
  <c r="BD351" i="5" s="1"/>
  <c r="DN351" i="5"/>
  <c r="DN408" i="5"/>
  <c r="BC408" i="5"/>
  <c r="BD408" i="5" s="1"/>
  <c r="BB316" i="5"/>
  <c r="AT316" i="5"/>
  <c r="BB376" i="5"/>
  <c r="AT376" i="5"/>
  <c r="BB400" i="5"/>
  <c r="AT400" i="5"/>
  <c r="BB389" i="5"/>
  <c r="AT389" i="5"/>
  <c r="BB426" i="5"/>
  <c r="AT426" i="5"/>
  <c r="DN481" i="5"/>
  <c r="BC481" i="5"/>
  <c r="BD481" i="5" s="1"/>
  <c r="AY98" i="5"/>
  <c r="AZ98" i="5" s="1"/>
  <c r="CI98" i="5" s="1"/>
  <c r="AY99" i="5"/>
  <c r="AZ99" i="5" s="1"/>
  <c r="CI99" i="5" s="1"/>
  <c r="AT99" i="5"/>
  <c r="AY102" i="5"/>
  <c r="AZ102" i="5" s="1"/>
  <c r="CI102" i="5" s="1"/>
  <c r="BB349" i="5"/>
  <c r="AT349" i="5"/>
  <c r="BB373" i="5"/>
  <c r="AT373" i="5"/>
  <c r="DN150" i="5"/>
  <c r="AS398" i="5"/>
  <c r="AT398" i="5" s="1"/>
  <c r="AS399" i="5"/>
  <c r="BB399" i="5" s="1"/>
  <c r="BB345" i="5"/>
  <c r="AT345" i="5"/>
  <c r="ER496" i="5"/>
  <c r="BI49" i="5"/>
  <c r="CX290" i="5"/>
  <c r="FC290" i="5"/>
  <c r="DG394" i="5"/>
  <c r="BJ37" i="5"/>
  <c r="EC37" i="5" s="1"/>
  <c r="DJ43" i="5"/>
  <c r="DI43" i="5"/>
  <c r="BV104" i="5"/>
  <c r="CC104" i="5" s="1"/>
  <c r="CE104" i="5" s="1"/>
  <c r="CJ104" i="5" s="1"/>
  <c r="EB329" i="5"/>
  <c r="EA329" i="5"/>
  <c r="BV352" i="5"/>
  <c r="CC352" i="5" s="1"/>
  <c r="CE352" i="5" s="1"/>
  <c r="CJ352" i="5" s="1"/>
  <c r="BV337" i="5"/>
  <c r="CC337" i="5" s="1"/>
  <c r="CE337" i="5" s="1"/>
  <c r="CJ337" i="5" s="1"/>
  <c r="EN343" i="5"/>
  <c r="EO343" i="5" s="1"/>
  <c r="EP343" i="5" s="1"/>
  <c r="BV356" i="5"/>
  <c r="CC356" i="5" s="1"/>
  <c r="CE356" i="5" s="1"/>
  <c r="CJ356" i="5" s="1"/>
  <c r="BV386" i="5"/>
  <c r="CC386" i="5" s="1"/>
  <c r="CE386" i="5" s="1"/>
  <c r="CJ386" i="5" s="1"/>
  <c r="BV280" i="5"/>
  <c r="CC280" i="5" s="1"/>
  <c r="CE280" i="5" s="1"/>
  <c r="CJ280" i="5" s="1"/>
  <c r="BV350" i="5"/>
  <c r="CC350" i="5" s="1"/>
  <c r="CE350" i="5" s="1"/>
  <c r="CJ350" i="5" s="1"/>
  <c r="BV409" i="5"/>
  <c r="CC409" i="5" s="1"/>
  <c r="CE409" i="5" s="1"/>
  <c r="CJ409" i="5" s="1"/>
  <c r="EA432" i="5"/>
  <c r="EB432" i="5"/>
  <c r="EN252" i="5"/>
  <c r="EO252" i="5" s="1"/>
  <c r="EP252" i="5" s="1"/>
  <c r="FA301" i="5"/>
  <c r="CU301" i="5"/>
  <c r="CU275" i="5"/>
  <c r="FA275" i="5"/>
  <c r="EN447" i="5"/>
  <c r="EO447" i="5" s="1"/>
  <c r="EP447" i="5" s="1"/>
  <c r="AV109" i="5"/>
  <c r="AV55" i="5"/>
  <c r="ET30" i="5"/>
  <c r="DG282" i="5"/>
  <c r="DG428" i="5"/>
  <c r="BV268" i="5"/>
  <c r="CC268" i="5" s="1"/>
  <c r="CE268" i="5" s="1"/>
  <c r="CJ268" i="5" s="1"/>
  <c r="AS102" i="5"/>
  <c r="AT102" i="5" s="1"/>
  <c r="CU152" i="5"/>
  <c r="FA152" i="5"/>
  <c r="BV370" i="5"/>
  <c r="CC370" i="5" s="1"/>
  <c r="CE370" i="5" s="1"/>
  <c r="CJ370" i="5" s="1"/>
  <c r="CO328" i="5"/>
  <c r="FA328" i="5"/>
  <c r="BV283" i="5"/>
  <c r="CC283" i="5" s="1"/>
  <c r="CE283" i="5" s="1"/>
  <c r="CJ283" i="5" s="1"/>
  <c r="BV438" i="5"/>
  <c r="CC438" i="5" s="1"/>
  <c r="CE438" i="5" s="1"/>
  <c r="CJ438" i="5" s="1"/>
  <c r="EB354" i="5"/>
  <c r="EA354" i="5"/>
  <c r="BV384" i="5"/>
  <c r="CC384" i="5" s="1"/>
  <c r="CE384" i="5" s="1"/>
  <c r="CJ384" i="5" s="1"/>
  <c r="EA436" i="5"/>
  <c r="EB436" i="5"/>
  <c r="AS256" i="5"/>
  <c r="BB256" i="5" s="1"/>
  <c r="BD256" i="5" s="1"/>
  <c r="CU268" i="5"/>
  <c r="FA268" i="5"/>
  <c r="FA311" i="5"/>
  <c r="CO311" i="5"/>
  <c r="CO451" i="5"/>
  <c r="FA451" i="5"/>
  <c r="ES29" i="5"/>
  <c r="ET29" i="5" s="1"/>
  <c r="EA375" i="5"/>
  <c r="EO21" i="5"/>
  <c r="EP21" i="5" s="1"/>
  <c r="ET98" i="5"/>
  <c r="BJ51" i="5"/>
  <c r="EC51" i="5" s="1"/>
  <c r="BJ29" i="5"/>
  <c r="EC29" i="5" s="1"/>
  <c r="AS404" i="5"/>
  <c r="AT404" i="5" s="1"/>
  <c r="BV335" i="5"/>
  <c r="CC335" i="5" s="1"/>
  <c r="CE335" i="5" s="1"/>
  <c r="CJ335" i="5" s="1"/>
  <c r="BD497" i="5"/>
  <c r="BV265" i="5"/>
  <c r="CC265" i="5" s="1"/>
  <c r="CE265" i="5" s="1"/>
  <c r="CJ265" i="5" s="1"/>
  <c r="FC450" i="5"/>
  <c r="CR450" i="5"/>
  <c r="AS366" i="5"/>
  <c r="AT366" i="5" s="1"/>
  <c r="CR285" i="5"/>
  <c r="FC285" i="5"/>
  <c r="BV340" i="5"/>
  <c r="CC340" i="5" s="1"/>
  <c r="CE340" i="5" s="1"/>
  <c r="CJ340" i="5" s="1"/>
  <c r="DG427" i="5"/>
  <c r="EA442" i="5"/>
  <c r="EB442" i="5"/>
  <c r="BV440" i="5"/>
  <c r="CC440" i="5" s="1"/>
  <c r="CE440" i="5" s="1"/>
  <c r="CJ440" i="5" s="1"/>
  <c r="EN273" i="5"/>
  <c r="EO273" i="5" s="1"/>
  <c r="EP273" i="5" s="1"/>
  <c r="EN391" i="5"/>
  <c r="EO391" i="5" s="1"/>
  <c r="EP391" i="5" s="1"/>
  <c r="EB322" i="5"/>
  <c r="BJ28" i="5"/>
  <c r="EC28" i="5" s="1"/>
  <c r="DG339" i="5"/>
  <c r="BJ27" i="5"/>
  <c r="EC27" i="5" s="1"/>
  <c r="BG96" i="5"/>
  <c r="BF96" i="5"/>
  <c r="BH96" i="5" s="1"/>
  <c r="EA324" i="5"/>
  <c r="BV355" i="5"/>
  <c r="CC355" i="5" s="1"/>
  <c r="CE355" i="5" s="1"/>
  <c r="CJ355" i="5" s="1"/>
  <c r="AS354" i="5"/>
  <c r="AT354" i="5" s="1"/>
  <c r="EA286" i="5"/>
  <c r="EB286" i="5"/>
  <c r="BV368" i="5"/>
  <c r="CC368" i="5" s="1"/>
  <c r="CE368" i="5" s="1"/>
  <c r="CJ368" i="5" s="1"/>
  <c r="EN336" i="5"/>
  <c r="EO336" i="5" s="1"/>
  <c r="EP336" i="5" s="1"/>
  <c r="BV257" i="5"/>
  <c r="CC257" i="5" s="1"/>
  <c r="CE257" i="5" s="1"/>
  <c r="CJ257" i="5" s="1"/>
  <c r="DG274" i="5"/>
  <c r="BV344" i="5"/>
  <c r="CC344" i="5" s="1"/>
  <c r="CE344" i="5" s="1"/>
  <c r="CJ344" i="5" s="1"/>
  <c r="EB396" i="5"/>
  <c r="EA396" i="5"/>
  <c r="DG256" i="5"/>
  <c r="EB361" i="5"/>
  <c r="EA361" i="5"/>
  <c r="DG412" i="5"/>
  <c r="AS298" i="5"/>
  <c r="BB298" i="5" s="1"/>
  <c r="BD298" i="5" s="1"/>
  <c r="EN304" i="5"/>
  <c r="EO304" i="5" s="1"/>
  <c r="EP304" i="5" s="1"/>
  <c r="FA395" i="5"/>
  <c r="CO395" i="5"/>
  <c r="AV108" i="5"/>
  <c r="DX495" i="5"/>
  <c r="DI39" i="5"/>
  <c r="DJ39" i="5"/>
  <c r="EA412" i="5"/>
  <c r="EA280" i="5"/>
  <c r="ET102" i="5"/>
  <c r="DI22" i="5"/>
  <c r="DJ22" i="5"/>
  <c r="BV98" i="5"/>
  <c r="CC98" i="5" s="1"/>
  <c r="CE98" i="5" s="1"/>
  <c r="CJ98" i="5" s="1"/>
  <c r="BV410" i="5"/>
  <c r="CC410" i="5" s="1"/>
  <c r="CE410" i="5" s="1"/>
  <c r="CJ410" i="5" s="1"/>
  <c r="FA382" i="5"/>
  <c r="CU382" i="5"/>
  <c r="EB261" i="5"/>
  <c r="EA261" i="5"/>
  <c r="BV435" i="5"/>
  <c r="CC435" i="5" s="1"/>
  <c r="CE435" i="5" s="1"/>
  <c r="CJ435" i="5" s="1"/>
  <c r="EB317" i="5"/>
  <c r="EA317" i="5"/>
  <c r="AS309" i="5"/>
  <c r="AT309" i="5" s="1"/>
  <c r="FA261" i="5"/>
  <c r="CU261" i="5"/>
  <c r="EN276" i="5"/>
  <c r="EO276" i="5" s="1"/>
  <c r="EP276" i="5" s="1"/>
  <c r="FA291" i="5"/>
  <c r="CO291" i="5"/>
  <c r="EN431" i="5"/>
  <c r="EO431" i="5" s="1"/>
  <c r="EP431" i="5" s="1"/>
  <c r="AT303" i="5"/>
  <c r="CE36" i="5"/>
  <c r="AV86" i="5"/>
  <c r="EA384" i="5"/>
  <c r="EA257" i="5"/>
  <c r="CX325" i="5"/>
  <c r="FC325" i="5"/>
  <c r="BJ40" i="5"/>
  <c r="EC40" i="5" s="1"/>
  <c r="AS439" i="5"/>
  <c r="AT439" i="5" s="1"/>
  <c r="AS427" i="5"/>
  <c r="BB427" i="5" s="1"/>
  <c r="AS440" i="5"/>
  <c r="AT440" i="5" s="1"/>
  <c r="EA293" i="5"/>
  <c r="EB293" i="5"/>
  <c r="DG397" i="5"/>
  <c r="EA267" i="5"/>
  <c r="EB267" i="5"/>
  <c r="EA303" i="5"/>
  <c r="EB303" i="5"/>
  <c r="BV282" i="5"/>
  <c r="CC282" i="5" s="1"/>
  <c r="CE282" i="5" s="1"/>
  <c r="CJ282" i="5" s="1"/>
  <c r="CR390" i="5"/>
  <c r="FC390" i="5"/>
  <c r="BV259" i="5"/>
  <c r="CC259" i="5" s="1"/>
  <c r="CE259" i="5" s="1"/>
  <c r="CJ259" i="5" s="1"/>
  <c r="AS313" i="5"/>
  <c r="AT313" i="5" s="1"/>
  <c r="EN313" i="5"/>
  <c r="EO313" i="5" s="1"/>
  <c r="EP313" i="5" s="1"/>
  <c r="EN263" i="5"/>
  <c r="EO263" i="5" s="1"/>
  <c r="EP263" i="5" s="1"/>
  <c r="EN403" i="5"/>
  <c r="EO403" i="5" s="1"/>
  <c r="EP403" i="5" s="1"/>
  <c r="ES24" i="5"/>
  <c r="ET24" i="5" s="1"/>
  <c r="AV110" i="5"/>
  <c r="ET103" i="5"/>
  <c r="BC277" i="5"/>
  <c r="BD277" i="5" s="1"/>
  <c r="DN277" i="5"/>
  <c r="FC319" i="5"/>
  <c r="CX319" i="5"/>
  <c r="DG95" i="5"/>
  <c r="AS424" i="5"/>
  <c r="AT424" i="5" s="1"/>
  <c r="EB299" i="5"/>
  <c r="EA299" i="5"/>
  <c r="BV378" i="5"/>
  <c r="CC378" i="5" s="1"/>
  <c r="CE378" i="5" s="1"/>
  <c r="CJ378" i="5" s="1"/>
  <c r="CR443" i="5"/>
  <c r="FC443" i="5"/>
  <c r="BV433" i="5"/>
  <c r="CC433" i="5" s="1"/>
  <c r="CE433" i="5" s="1"/>
  <c r="CJ433" i="5" s="1"/>
  <c r="DG345" i="5"/>
  <c r="AS266" i="5"/>
  <c r="BB266" i="5" s="1"/>
  <c r="BD266" i="5" s="1"/>
  <c r="EN414" i="5"/>
  <c r="EO414" i="5" s="1"/>
  <c r="EP414" i="5" s="1"/>
  <c r="EN297" i="5"/>
  <c r="EO297" i="5" s="1"/>
  <c r="EP297" i="5" s="1"/>
  <c r="EN326" i="5"/>
  <c r="EO326" i="5" s="1"/>
  <c r="EP326" i="5" s="1"/>
  <c r="EN407" i="5"/>
  <c r="EO407" i="5" s="1"/>
  <c r="EP407" i="5" s="1"/>
  <c r="AW388" i="5"/>
  <c r="CH388" i="5" s="1"/>
  <c r="AV112" i="5"/>
  <c r="DG149" i="5"/>
  <c r="CE21" i="5"/>
  <c r="ET45" i="5"/>
  <c r="AT315" i="5"/>
  <c r="DI51" i="5"/>
  <c r="DJ51" i="5"/>
  <c r="AS402" i="5"/>
  <c r="BB402" i="5" s="1"/>
  <c r="BV272" i="5"/>
  <c r="CC272" i="5" s="1"/>
  <c r="CE272" i="5" s="1"/>
  <c r="CJ272" i="5" s="1"/>
  <c r="CR362" i="5"/>
  <c r="FC362" i="5"/>
  <c r="EN321" i="5"/>
  <c r="EO321" i="5" s="1"/>
  <c r="EP321" i="5" s="1"/>
  <c r="EN434" i="5"/>
  <c r="EO434" i="5" s="1"/>
  <c r="EP434" i="5" s="1"/>
  <c r="EA447" i="5"/>
  <c r="EB447" i="5"/>
  <c r="BV346" i="5"/>
  <c r="CC346" i="5" s="1"/>
  <c r="CE346" i="5" s="1"/>
  <c r="CJ346" i="5" s="1"/>
  <c r="BV405" i="5"/>
  <c r="CC405" i="5" s="1"/>
  <c r="CE405" i="5" s="1"/>
  <c r="CJ405" i="5" s="1"/>
  <c r="AS438" i="5"/>
  <c r="BB438" i="5" s="1"/>
  <c r="DG389" i="5"/>
  <c r="CU288" i="5"/>
  <c r="FA288" i="5"/>
  <c r="FA371" i="5"/>
  <c r="CU371" i="5"/>
  <c r="EF42" i="5"/>
  <c r="EE42" i="5" s="1"/>
  <c r="S42" i="5"/>
  <c r="S50" i="5"/>
  <c r="EF50" i="5"/>
  <c r="EE50" i="5" s="1"/>
  <c r="ES43" i="5"/>
  <c r="ET43" i="5" s="1"/>
  <c r="AV92" i="5"/>
  <c r="CX295" i="5"/>
  <c r="FC295" i="5"/>
  <c r="DH494" i="5"/>
  <c r="EL494" i="5"/>
  <c r="EM494" i="5"/>
  <c r="DH483" i="5"/>
  <c r="EL483" i="5"/>
  <c r="EM483" i="5"/>
  <c r="FC373" i="5"/>
  <c r="CX373" i="5"/>
  <c r="AR109" i="5"/>
  <c r="DD109" i="5"/>
  <c r="ES109" i="5" s="1"/>
  <c r="DF117" i="5"/>
  <c r="DC117" i="5"/>
  <c r="AU158" i="5"/>
  <c r="AV158" i="5" s="1"/>
  <c r="DY125" i="5"/>
  <c r="DF125" i="5"/>
  <c r="FU125" i="5"/>
  <c r="CM125" i="5" s="1"/>
  <c r="DC125" i="5"/>
  <c r="DN138" i="5"/>
  <c r="AY126" i="5"/>
  <c r="AZ126" i="5" s="1"/>
  <c r="CI126" i="5" s="1"/>
  <c r="FR126" i="5"/>
  <c r="FU126" i="5" s="1"/>
  <c r="CM126" i="5" s="1"/>
  <c r="BT126" i="5"/>
  <c r="BL126" i="5"/>
  <c r="DT126" i="5" s="1"/>
  <c r="DV126" i="5" s="1"/>
  <c r="BE126" i="5"/>
  <c r="BG126" i="5" s="1"/>
  <c r="BU126" i="5"/>
  <c r="DY214" i="5"/>
  <c r="DF214" i="5"/>
  <c r="AU197" i="5"/>
  <c r="FU169" i="5"/>
  <c r="CM169" i="5" s="1"/>
  <c r="DF169" i="5"/>
  <c r="AU193" i="5"/>
  <c r="BL171" i="5"/>
  <c r="DT171" i="5" s="1"/>
  <c r="DV171" i="5" s="1"/>
  <c r="EB171" i="5" s="1"/>
  <c r="BT171" i="5"/>
  <c r="BU171" i="5"/>
  <c r="FS171" i="5"/>
  <c r="BL216" i="5"/>
  <c r="DT216" i="5" s="1"/>
  <c r="DV216" i="5" s="1"/>
  <c r="BT216" i="5"/>
  <c r="BU216" i="5"/>
  <c r="FS216" i="5"/>
  <c r="FU216" i="5" s="1"/>
  <c r="DY218" i="5"/>
  <c r="DF218" i="5"/>
  <c r="FU218" i="5"/>
  <c r="DY242" i="5"/>
  <c r="DF242" i="5"/>
  <c r="DC74" i="5"/>
  <c r="DF74" i="5"/>
  <c r="AR75" i="5"/>
  <c r="CG75" i="5" s="1"/>
  <c r="DD75" i="5"/>
  <c r="ES75" i="5" s="1"/>
  <c r="BC391" i="5"/>
  <c r="DN391" i="5"/>
  <c r="DN389" i="5"/>
  <c r="BC389" i="5"/>
  <c r="BD389" i="5" s="1"/>
  <c r="BC387" i="5"/>
  <c r="DN387" i="5"/>
  <c r="BC370" i="5"/>
  <c r="DN370" i="5"/>
  <c r="BB447" i="5"/>
  <c r="AT447" i="5"/>
  <c r="DN149" i="5"/>
  <c r="BB428" i="5"/>
  <c r="AT428" i="5"/>
  <c r="CW152" i="5"/>
  <c r="FD152" i="5"/>
  <c r="AW308" i="5"/>
  <c r="CH308" i="5" s="1"/>
  <c r="AR107" i="5"/>
  <c r="DD107" i="5"/>
  <c r="ES107" i="5" s="1"/>
  <c r="AR115" i="5"/>
  <c r="CG115" i="5" s="1"/>
  <c r="DD115" i="5"/>
  <c r="ES115" i="5" s="1"/>
  <c r="FR116" i="5"/>
  <c r="AY116" i="5"/>
  <c r="AZ116" i="5" s="1"/>
  <c r="CI116" i="5" s="1"/>
  <c r="FS105" i="5"/>
  <c r="BE115" i="5"/>
  <c r="BG115" i="5" s="1"/>
  <c r="BU115" i="5"/>
  <c r="BL115" i="5"/>
  <c r="DT115" i="5" s="1"/>
  <c r="DV115" i="5" s="1"/>
  <c r="BT115" i="5"/>
  <c r="FS115" i="5"/>
  <c r="BL123" i="5"/>
  <c r="DT123" i="5" s="1"/>
  <c r="DV123" i="5" s="1"/>
  <c r="BT123" i="5"/>
  <c r="BE123" i="5"/>
  <c r="BF123" i="5" s="1"/>
  <c r="BH123" i="5" s="1"/>
  <c r="BU123" i="5"/>
  <c r="DF111" i="5"/>
  <c r="DC111" i="5"/>
  <c r="DF122" i="5"/>
  <c r="DC122" i="5"/>
  <c r="DC163" i="5"/>
  <c r="AR163" i="5"/>
  <c r="AU156" i="5"/>
  <c r="AV156" i="5" s="1"/>
  <c r="AU164" i="5"/>
  <c r="AV164" i="5" s="1"/>
  <c r="BL164" i="5"/>
  <c r="DT164" i="5" s="1"/>
  <c r="DV164" i="5" s="1"/>
  <c r="BU164" i="5"/>
  <c r="AY164" i="5"/>
  <c r="FR164" i="5"/>
  <c r="FU164" i="5" s="1"/>
  <c r="AN164" i="5"/>
  <c r="DO164" i="5" s="1"/>
  <c r="AK162" i="5"/>
  <c r="DC251" i="5"/>
  <c r="AR251" i="5"/>
  <c r="CG251" i="5" s="1"/>
  <c r="BL250" i="5"/>
  <c r="DT250" i="5" s="1"/>
  <c r="DV250" i="5" s="1"/>
  <c r="FS250" i="5"/>
  <c r="BU250" i="5"/>
  <c r="AU251" i="5"/>
  <c r="AV251" i="5" s="1"/>
  <c r="DY131" i="5"/>
  <c r="DF131" i="5"/>
  <c r="FU131" i="5"/>
  <c r="CM131" i="5" s="1"/>
  <c r="DC131" i="5"/>
  <c r="DY139" i="5"/>
  <c r="DF139" i="5"/>
  <c r="DC139" i="5"/>
  <c r="DC147" i="5"/>
  <c r="DY147" i="5"/>
  <c r="DF147" i="5"/>
  <c r="AZ125" i="5"/>
  <c r="CI125" i="5" s="1"/>
  <c r="DN140" i="5"/>
  <c r="DN132" i="5"/>
  <c r="DN124" i="5"/>
  <c r="AY141" i="5"/>
  <c r="AZ141" i="5" s="1"/>
  <c r="CI141" i="5" s="1"/>
  <c r="FR141" i="5"/>
  <c r="FU141" i="5" s="1"/>
  <c r="CM141" i="5" s="1"/>
  <c r="BL141" i="5"/>
  <c r="DT141" i="5" s="1"/>
  <c r="DV141" i="5" s="1"/>
  <c r="BE141" i="5"/>
  <c r="BG141" i="5" s="1"/>
  <c r="BU141" i="5"/>
  <c r="BT141" i="5"/>
  <c r="AY133" i="5"/>
  <c r="AZ133" i="5" s="1"/>
  <c r="CI133" i="5" s="1"/>
  <c r="FR133" i="5"/>
  <c r="FU133" i="5" s="1"/>
  <c r="CM133" i="5" s="1"/>
  <c r="BL133" i="5"/>
  <c r="DT133" i="5" s="1"/>
  <c r="DV133" i="5" s="1"/>
  <c r="BT133" i="5"/>
  <c r="BE133" i="5"/>
  <c r="BG133" i="5" s="1"/>
  <c r="BU133" i="5"/>
  <c r="AY132" i="5"/>
  <c r="AZ132" i="5" s="1"/>
  <c r="CI132" i="5" s="1"/>
  <c r="FR132" i="5"/>
  <c r="BL132" i="5"/>
  <c r="DT132" i="5" s="1"/>
  <c r="DV132" i="5" s="1"/>
  <c r="BT132" i="5"/>
  <c r="BE132" i="5"/>
  <c r="BG132" i="5" s="1"/>
  <c r="BU132" i="5"/>
  <c r="DY196" i="5"/>
  <c r="DF196" i="5"/>
  <c r="DY204" i="5"/>
  <c r="DF204" i="5"/>
  <c r="DY206" i="5"/>
  <c r="DF206" i="5"/>
  <c r="AY212" i="5"/>
  <c r="FR212" i="5"/>
  <c r="FR200" i="5"/>
  <c r="AY200" i="5"/>
  <c r="AU215" i="5"/>
  <c r="AV215" i="5" s="1"/>
  <c r="AU207" i="5"/>
  <c r="AU199" i="5"/>
  <c r="AY191" i="5"/>
  <c r="FR191" i="5"/>
  <c r="AY183" i="5"/>
  <c r="FR183" i="5"/>
  <c r="FU183" i="5" s="1"/>
  <c r="CM183" i="5" s="1"/>
  <c r="AY171" i="5"/>
  <c r="FR171" i="5"/>
  <c r="AR195" i="5"/>
  <c r="CG195" i="5" s="1"/>
  <c r="DC195" i="5"/>
  <c r="DF175" i="5"/>
  <c r="DF183" i="5"/>
  <c r="DF191" i="5"/>
  <c r="AU195" i="5"/>
  <c r="AV195" i="5" s="1"/>
  <c r="R187" i="5"/>
  <c r="EF187" i="5" s="1"/>
  <c r="EE187" i="5" s="1"/>
  <c r="AU187" i="5"/>
  <c r="R179" i="5"/>
  <c r="EF179" i="5" s="1"/>
  <c r="EE179" i="5" s="1"/>
  <c r="AU179" i="5"/>
  <c r="AV179" i="5" s="1"/>
  <c r="R171" i="5"/>
  <c r="EF171" i="5" s="1"/>
  <c r="EE171" i="5" s="1"/>
  <c r="AU171" i="5"/>
  <c r="EB183" i="5"/>
  <c r="EB175" i="5"/>
  <c r="BL173" i="5"/>
  <c r="DT173" i="5" s="1"/>
  <c r="DV173" i="5" s="1"/>
  <c r="EB173" i="5" s="1"/>
  <c r="BT173" i="5"/>
  <c r="BU173" i="5"/>
  <c r="FS173" i="5"/>
  <c r="BU179" i="5"/>
  <c r="FS179" i="5"/>
  <c r="FU179" i="5" s="1"/>
  <c r="CM179" i="5" s="1"/>
  <c r="BL179" i="5"/>
  <c r="DT179" i="5" s="1"/>
  <c r="DV179" i="5" s="1"/>
  <c r="EB179" i="5" s="1"/>
  <c r="BT179" i="5"/>
  <c r="FS192" i="5"/>
  <c r="FU192" i="5" s="1"/>
  <c r="CM192" i="5" s="1"/>
  <c r="BL192" i="5"/>
  <c r="DT192" i="5" s="1"/>
  <c r="DV192" i="5" s="1"/>
  <c r="EB192" i="5" s="1"/>
  <c r="BT192" i="5"/>
  <c r="BU192" i="5"/>
  <c r="FS184" i="5"/>
  <c r="FU184" i="5" s="1"/>
  <c r="CM184" i="5" s="1"/>
  <c r="BL184" i="5"/>
  <c r="DT184" i="5" s="1"/>
  <c r="DV184" i="5" s="1"/>
  <c r="EB184" i="5" s="1"/>
  <c r="BT184" i="5"/>
  <c r="BU184" i="5"/>
  <c r="AU218" i="5"/>
  <c r="AU230" i="5"/>
  <c r="AU238" i="5"/>
  <c r="AU247" i="5"/>
  <c r="BL242" i="5"/>
  <c r="DT242" i="5" s="1"/>
  <c r="DV242" i="5" s="1"/>
  <c r="FS242" i="5"/>
  <c r="FU242" i="5" s="1"/>
  <c r="CM242" i="5" s="1"/>
  <c r="BT242" i="5"/>
  <c r="BU242" i="5"/>
  <c r="FS234" i="5"/>
  <c r="FU234" i="5" s="1"/>
  <c r="BL234" i="5"/>
  <c r="DT234" i="5" s="1"/>
  <c r="DV234" i="5" s="1"/>
  <c r="BT234" i="5"/>
  <c r="BU234" i="5"/>
  <c r="BT225" i="5"/>
  <c r="BU225" i="5"/>
  <c r="BL225" i="5"/>
  <c r="DT225" i="5" s="1"/>
  <c r="DV225" i="5" s="1"/>
  <c r="FS225" i="5"/>
  <c r="FU225" i="5" s="1"/>
  <c r="CM225" i="5" s="1"/>
  <c r="DF216" i="5"/>
  <c r="DY216" i="5"/>
  <c r="DY224" i="5"/>
  <c r="DF224" i="5"/>
  <c r="FU232" i="5"/>
  <c r="DY232" i="5"/>
  <c r="DF232" i="5"/>
  <c r="DF240" i="5"/>
  <c r="DY240" i="5"/>
  <c r="BL227" i="5"/>
  <c r="DT227" i="5" s="1"/>
  <c r="DV227" i="5" s="1"/>
  <c r="FS227" i="5"/>
  <c r="FU227" i="5" s="1"/>
  <c r="CM227" i="5" s="1"/>
  <c r="BT227" i="5"/>
  <c r="BU227" i="5"/>
  <c r="DF56" i="5"/>
  <c r="DC56" i="5"/>
  <c r="DC64" i="5"/>
  <c r="DF64" i="5"/>
  <c r="DC72" i="5"/>
  <c r="DF72" i="5"/>
  <c r="DC80" i="5"/>
  <c r="DF80" i="5"/>
  <c r="DC88" i="5"/>
  <c r="DF88" i="5"/>
  <c r="AR93" i="5"/>
  <c r="CG93" i="5" s="1"/>
  <c r="DD93" i="5"/>
  <c r="ES93" i="5" s="1"/>
  <c r="AR85" i="5"/>
  <c r="CG85" i="5" s="1"/>
  <c r="DD85" i="5"/>
  <c r="ES85" i="5" s="1"/>
  <c r="AR77" i="5"/>
  <c r="CG77" i="5" s="1"/>
  <c r="DD77" i="5"/>
  <c r="AR69" i="5"/>
  <c r="CG69" i="5" s="1"/>
  <c r="DD69" i="5"/>
  <c r="ES69" i="5" s="1"/>
  <c r="DD61" i="5"/>
  <c r="AR61" i="5"/>
  <c r="CG61" i="5" s="1"/>
  <c r="AR53" i="5"/>
  <c r="CG53" i="5" s="1"/>
  <c r="DD53" i="5"/>
  <c r="ES53" i="5" s="1"/>
  <c r="DN428" i="5"/>
  <c r="BC428" i="5"/>
  <c r="BD428" i="5" s="1"/>
  <c r="DN331" i="5"/>
  <c r="BC331" i="5"/>
  <c r="BD331" i="5" s="1"/>
  <c r="BC442" i="5"/>
  <c r="DN442" i="5"/>
  <c r="BC378" i="5"/>
  <c r="DN378" i="5"/>
  <c r="DN306" i="5"/>
  <c r="BC306" i="5"/>
  <c r="BD306" i="5" s="1"/>
  <c r="DN380" i="5"/>
  <c r="BC380" i="5"/>
  <c r="BD380" i="5" s="1"/>
  <c r="DN303" i="5"/>
  <c r="BC303" i="5"/>
  <c r="BD303" i="5" s="1"/>
  <c r="DN373" i="5"/>
  <c r="BC373" i="5"/>
  <c r="BD373" i="5" s="1"/>
  <c r="BC440" i="5"/>
  <c r="DN440" i="5"/>
  <c r="DN314" i="5"/>
  <c r="BC314" i="5"/>
  <c r="BC352" i="5"/>
  <c r="BD352" i="5" s="1"/>
  <c r="DN352" i="5"/>
  <c r="DN443" i="5"/>
  <c r="BC443" i="5"/>
  <c r="DN368" i="5"/>
  <c r="BC368" i="5"/>
  <c r="DN282" i="5"/>
  <c r="BC282" i="5"/>
  <c r="BD282" i="5" s="1"/>
  <c r="BC363" i="5"/>
  <c r="BD363" i="5" s="1"/>
  <c r="DN363" i="5"/>
  <c r="BC453" i="5"/>
  <c r="BD453" i="5" s="1"/>
  <c r="DN453" i="5"/>
  <c r="DN355" i="5"/>
  <c r="BC355" i="5"/>
  <c r="BD355" i="5" s="1"/>
  <c r="DN423" i="5"/>
  <c r="BC423" i="5"/>
  <c r="BD423" i="5" s="1"/>
  <c r="AT336" i="5"/>
  <c r="BB336" i="5"/>
  <c r="BB314" i="5"/>
  <c r="AT314" i="5"/>
  <c r="BB289" i="5"/>
  <c r="AT289" i="5"/>
  <c r="AS436" i="5"/>
  <c r="BB436" i="5" s="1"/>
  <c r="BB442" i="5"/>
  <c r="AT442" i="5"/>
  <c r="DN476" i="5"/>
  <c r="BC476" i="5"/>
  <c r="BD476" i="5" s="1"/>
  <c r="AY97" i="5"/>
  <c r="AZ97" i="5" s="1"/>
  <c r="CI97" i="5" s="1"/>
  <c r="AT97" i="5"/>
  <c r="AY103" i="5"/>
  <c r="AZ103" i="5" s="1"/>
  <c r="CI103" i="5" s="1"/>
  <c r="BB444" i="5"/>
  <c r="AT444" i="5"/>
  <c r="AT407" i="5"/>
  <c r="BB407" i="5"/>
  <c r="BB422" i="5"/>
  <c r="AT422" i="5"/>
  <c r="BB278" i="5"/>
  <c r="AT278" i="5"/>
  <c r="BB365" i="5"/>
  <c r="AT365" i="5"/>
  <c r="BB271" i="5"/>
  <c r="AT271" i="5"/>
  <c r="DG263" i="5"/>
  <c r="CE149" i="5"/>
  <c r="CJ149" i="5" s="1"/>
  <c r="BJ49" i="5"/>
  <c r="EC49" i="5" s="1"/>
  <c r="CX407" i="5"/>
  <c r="FC407" i="5"/>
  <c r="BI34" i="5"/>
  <c r="DG104" i="5"/>
  <c r="EB352" i="5"/>
  <c r="EA352" i="5"/>
  <c r="CU149" i="5"/>
  <c r="FA149" i="5"/>
  <c r="FC337" i="5"/>
  <c r="CR337" i="5"/>
  <c r="CW422" i="5"/>
  <c r="FD422" i="5"/>
  <c r="CO343" i="5"/>
  <c r="FA343" i="5"/>
  <c r="FA450" i="5"/>
  <c r="CO450" i="5"/>
  <c r="EA373" i="5"/>
  <c r="EB373" i="5"/>
  <c r="DG280" i="5"/>
  <c r="DG409" i="5"/>
  <c r="AS434" i="5"/>
  <c r="BB434" i="5" s="1"/>
  <c r="FA252" i="5"/>
  <c r="CO252" i="5"/>
  <c r="BD261" i="5"/>
  <c r="EN301" i="5"/>
  <c r="EO301" i="5" s="1"/>
  <c r="EP301" i="5" s="1"/>
  <c r="EN275" i="5"/>
  <c r="EO275" i="5" s="1"/>
  <c r="EP275" i="5" s="1"/>
  <c r="FA447" i="5"/>
  <c r="CO447" i="5"/>
  <c r="S25" i="5"/>
  <c r="EF25" i="5"/>
  <c r="EE25" i="5" s="1"/>
  <c r="AV116" i="5"/>
  <c r="AV119" i="5"/>
  <c r="AW351" i="5"/>
  <c r="CH351" i="5" s="1"/>
  <c r="AS452" i="5"/>
  <c r="BB452" i="5" s="1"/>
  <c r="DG406" i="5"/>
  <c r="CX371" i="5"/>
  <c r="FC371" i="5"/>
  <c r="CE40" i="5"/>
  <c r="DI29" i="5"/>
  <c r="DJ29" i="5"/>
  <c r="DK29" i="5" s="1"/>
  <c r="DJ35" i="5"/>
  <c r="DI35" i="5"/>
  <c r="EA268" i="5"/>
  <c r="EB268" i="5"/>
  <c r="EA370" i="5"/>
  <c r="EB370" i="5"/>
  <c r="CE281" i="5"/>
  <c r="CJ281" i="5" s="1"/>
  <c r="EA283" i="5"/>
  <c r="EB283" i="5"/>
  <c r="EN320" i="5"/>
  <c r="EO320" i="5" s="1"/>
  <c r="EP320" i="5" s="1"/>
  <c r="CR423" i="5"/>
  <c r="FC423" i="5"/>
  <c r="FC438" i="5"/>
  <c r="CR438" i="5"/>
  <c r="FC287" i="5"/>
  <c r="CR287" i="5"/>
  <c r="FA296" i="5"/>
  <c r="CU296" i="5"/>
  <c r="EN363" i="5"/>
  <c r="EO363" i="5" s="1"/>
  <c r="EP363" i="5" s="1"/>
  <c r="AV73" i="5"/>
  <c r="CE28" i="5"/>
  <c r="CX383" i="5"/>
  <c r="FC383" i="5"/>
  <c r="EN51" i="5"/>
  <c r="EO51" i="5" s="1"/>
  <c r="EP51" i="5" s="1"/>
  <c r="FC342" i="5"/>
  <c r="CX342" i="5"/>
  <c r="EO34" i="5"/>
  <c r="EP34" i="5" s="1"/>
  <c r="AS98" i="5"/>
  <c r="AT98" i="5" s="1"/>
  <c r="CC359" i="5"/>
  <c r="CE359" i="5" s="1"/>
  <c r="CJ359" i="5" s="1"/>
  <c r="EB265" i="5"/>
  <c r="EA265" i="5"/>
  <c r="AS387" i="5"/>
  <c r="BB387" i="5" s="1"/>
  <c r="BV285" i="5"/>
  <c r="CC285" i="5" s="1"/>
  <c r="CE285" i="5" s="1"/>
  <c r="CJ285" i="5" s="1"/>
  <c r="CE375" i="5"/>
  <c r="CJ375" i="5" s="1"/>
  <c r="DG440" i="5"/>
  <c r="DN346" i="5"/>
  <c r="BC346" i="5"/>
  <c r="BD346" i="5" s="1"/>
  <c r="EN289" i="5"/>
  <c r="EO289" i="5" s="1"/>
  <c r="EP289" i="5" s="1"/>
  <c r="FA283" i="5"/>
  <c r="CO283" i="5"/>
  <c r="FA423" i="5"/>
  <c r="CO423" i="5"/>
  <c r="AV91" i="5"/>
  <c r="AV107" i="5"/>
  <c r="DH497" i="5"/>
  <c r="EL497" i="5"/>
  <c r="EM497" i="5"/>
  <c r="BJ52" i="5"/>
  <c r="EC52" i="5" s="1"/>
  <c r="FC369" i="5"/>
  <c r="CX369" i="5"/>
  <c r="DN274" i="5"/>
  <c r="BC274" i="5"/>
  <c r="AW272" i="5"/>
  <c r="CH272" i="5" s="1"/>
  <c r="AW493" i="5"/>
  <c r="DO493" i="5"/>
  <c r="EG493" i="5" s="1"/>
  <c r="EJ493" i="5" s="1"/>
  <c r="EK493" i="5" s="1"/>
  <c r="EO23" i="5"/>
  <c r="EP23" i="5" s="1"/>
  <c r="BV96" i="5"/>
  <c r="CC96" i="5" s="1"/>
  <c r="CE96" i="5" s="1"/>
  <c r="CJ96" i="5" s="1"/>
  <c r="BJ50" i="5"/>
  <c r="EC50" i="5" s="1"/>
  <c r="BB286" i="5"/>
  <c r="AT286" i="5"/>
  <c r="BV385" i="5"/>
  <c r="CC385" i="5" s="1"/>
  <c r="CE385" i="5" s="1"/>
  <c r="CJ385" i="5" s="1"/>
  <c r="CU336" i="5"/>
  <c r="FA336" i="5"/>
  <c r="DG257" i="5"/>
  <c r="EN418" i="5"/>
  <c r="EO418" i="5" s="1"/>
  <c r="EP418" i="5" s="1"/>
  <c r="DG344" i="5"/>
  <c r="BV313" i="5"/>
  <c r="CC313" i="5" s="1"/>
  <c r="CE313" i="5" s="1"/>
  <c r="CJ313" i="5" s="1"/>
  <c r="AS370" i="5"/>
  <c r="BB370" i="5" s="1"/>
  <c r="BD276" i="5"/>
  <c r="CO304" i="5"/>
  <c r="FA304" i="5"/>
  <c r="EN395" i="5"/>
  <c r="EO395" i="5" s="1"/>
  <c r="EP395" i="5" s="1"/>
  <c r="AW495" i="5"/>
  <c r="DO495" i="5"/>
  <c r="EG495" i="5" s="1"/>
  <c r="EJ495" i="5" s="1"/>
  <c r="EK495" i="5" s="1"/>
  <c r="DI24" i="5"/>
  <c r="DJ24" i="5"/>
  <c r="EN337" i="5"/>
  <c r="EO337" i="5" s="1"/>
  <c r="EP337" i="5" s="1"/>
  <c r="EB350" i="5"/>
  <c r="CE367" i="5"/>
  <c r="CJ367" i="5" s="1"/>
  <c r="AS103" i="5"/>
  <c r="AT103" i="5" s="1"/>
  <c r="FC291" i="5"/>
  <c r="CR291" i="5"/>
  <c r="BD279" i="5"/>
  <c r="AT435" i="5"/>
  <c r="BB435" i="5"/>
  <c r="CC260" i="5"/>
  <c r="CE260" i="5" s="1"/>
  <c r="CJ260" i="5" s="1"/>
  <c r="AS418" i="5"/>
  <c r="BB418" i="5" s="1"/>
  <c r="FC451" i="5"/>
  <c r="CR451" i="5"/>
  <c r="EN261" i="5"/>
  <c r="EO261" i="5" s="1"/>
  <c r="EP261" i="5" s="1"/>
  <c r="CO276" i="5"/>
  <c r="FA276" i="5"/>
  <c r="EN291" i="5"/>
  <c r="EO291" i="5" s="1"/>
  <c r="EP291" i="5" s="1"/>
  <c r="FA431" i="5"/>
  <c r="CU431" i="5"/>
  <c r="ES40" i="5"/>
  <c r="ET40" i="5" s="1"/>
  <c r="AW371" i="5"/>
  <c r="CH371" i="5" s="1"/>
  <c r="AW312" i="5"/>
  <c r="CH312" i="5" s="1"/>
  <c r="ET149" i="5"/>
  <c r="FC351" i="5"/>
  <c r="CR351" i="5"/>
  <c r="AS341" i="5"/>
  <c r="BB341" i="5" s="1"/>
  <c r="CE310" i="5"/>
  <c r="CJ310" i="5" s="1"/>
  <c r="BV390" i="5"/>
  <c r="CC390" i="5" s="1"/>
  <c r="CE390" i="5" s="1"/>
  <c r="CJ390" i="5" s="1"/>
  <c r="FD341" i="5"/>
  <c r="CW341" i="5"/>
  <c r="BV420" i="5"/>
  <c r="CC420" i="5" s="1"/>
  <c r="CE420" i="5" s="1"/>
  <c r="CJ420" i="5" s="1"/>
  <c r="EN280" i="5"/>
  <c r="EO280" i="5" s="1"/>
  <c r="EP280" i="5" s="1"/>
  <c r="FA295" i="5"/>
  <c r="CU295" i="5"/>
  <c r="EN435" i="5"/>
  <c r="EO435" i="5" s="1"/>
  <c r="EP435" i="5" s="1"/>
  <c r="ES23" i="5"/>
  <c r="ET23" i="5" s="1"/>
  <c r="AV121" i="5"/>
  <c r="AV68" i="5"/>
  <c r="AW355" i="5"/>
  <c r="CH355" i="5" s="1"/>
  <c r="BI36" i="5"/>
  <c r="AW259" i="5"/>
  <c r="CH259" i="5" s="1"/>
  <c r="ET48" i="5"/>
  <c r="CE50" i="5"/>
  <c r="AS417" i="5"/>
  <c r="BB417" i="5" s="1"/>
  <c r="DI23" i="5"/>
  <c r="DJ23" i="5"/>
  <c r="BV334" i="5"/>
  <c r="CC334" i="5" s="1"/>
  <c r="CE334" i="5" s="1"/>
  <c r="CJ334" i="5" s="1"/>
  <c r="FA99" i="5"/>
  <c r="CO99" i="5"/>
  <c r="BV271" i="5"/>
  <c r="CC271" i="5" s="1"/>
  <c r="CE271" i="5" s="1"/>
  <c r="CJ271" i="5" s="1"/>
  <c r="AS267" i="5"/>
  <c r="AT267" i="5" s="1"/>
  <c r="BV443" i="5"/>
  <c r="CC443" i="5" s="1"/>
  <c r="CE443" i="5" s="1"/>
  <c r="CJ443" i="5" s="1"/>
  <c r="AS401" i="5"/>
  <c r="AT401" i="5" s="1"/>
  <c r="BV372" i="5"/>
  <c r="CC372" i="5" s="1"/>
  <c r="CE372" i="5" s="1"/>
  <c r="CJ372" i="5" s="1"/>
  <c r="BV263" i="5"/>
  <c r="CC263" i="5" s="1"/>
  <c r="CE263" i="5" s="1"/>
  <c r="CJ263" i="5" s="1"/>
  <c r="FA414" i="5"/>
  <c r="CO414" i="5"/>
  <c r="EN256" i="5"/>
  <c r="EO256" i="5" s="1"/>
  <c r="EP256" i="5" s="1"/>
  <c r="CU267" i="5"/>
  <c r="FA267" i="5"/>
  <c r="EN439" i="5"/>
  <c r="EO439" i="5" s="1"/>
  <c r="EP439" i="5" s="1"/>
  <c r="S32" i="5"/>
  <c r="EF32" i="5"/>
  <c r="EE32" i="5" s="1"/>
  <c r="AV53" i="5"/>
  <c r="BJ23" i="5"/>
  <c r="EC23" i="5" s="1"/>
  <c r="AT408" i="5"/>
  <c r="BI41" i="5"/>
  <c r="DX498" i="5"/>
  <c r="EO27" i="5"/>
  <c r="EP27" i="5" s="1"/>
  <c r="AW255" i="5"/>
  <c r="CH255" i="5" s="1"/>
  <c r="BC273" i="5"/>
  <c r="BD273" i="5" s="1"/>
  <c r="DN273" i="5"/>
  <c r="DI38" i="5"/>
  <c r="DJ38" i="5"/>
  <c r="EB272" i="5"/>
  <c r="EA272" i="5"/>
  <c r="DG319" i="5"/>
  <c r="FA321" i="5"/>
  <c r="CU321" i="5"/>
  <c r="FA376" i="5"/>
  <c r="CO376" i="5"/>
  <c r="CO434" i="5"/>
  <c r="FA434" i="5"/>
  <c r="CR415" i="5"/>
  <c r="FC415" i="5"/>
  <c r="BV276" i="5"/>
  <c r="CC276" i="5" s="1"/>
  <c r="CE276" i="5" s="1"/>
  <c r="CJ276" i="5" s="1"/>
  <c r="DG405" i="5"/>
  <c r="BD268" i="5"/>
  <c r="EN288" i="5"/>
  <c r="EO288" i="5" s="1"/>
  <c r="EP288" i="5" s="1"/>
  <c r="EN371" i="5"/>
  <c r="EO371" i="5" s="1"/>
  <c r="EP371" i="5" s="1"/>
  <c r="FC288" i="5"/>
  <c r="CX288" i="5"/>
  <c r="CX322" i="5"/>
  <c r="FC322" i="5"/>
  <c r="BB253" i="5"/>
  <c r="BD253" i="5" s="1"/>
  <c r="FB318" i="5"/>
  <c r="CV318" i="5"/>
  <c r="BB294" i="5"/>
  <c r="DH472" i="5"/>
  <c r="EL472" i="5"/>
  <c r="EM472" i="5"/>
  <c r="FC413" i="5"/>
  <c r="CX413" i="5"/>
  <c r="AT340" i="5"/>
  <c r="CX431" i="5"/>
  <c r="FC431" i="5"/>
  <c r="FB334" i="5"/>
  <c r="CV334" i="5"/>
  <c r="FS117" i="5"/>
  <c r="FU117" i="5" s="1"/>
  <c r="CM117" i="5" s="1"/>
  <c r="BL117" i="5"/>
  <c r="DT117" i="5" s="1"/>
  <c r="DV117" i="5" s="1"/>
  <c r="BT117" i="5"/>
  <c r="BU117" i="5"/>
  <c r="BE117" i="5"/>
  <c r="BG117" i="5" s="1"/>
  <c r="DC161" i="5"/>
  <c r="AR161" i="5"/>
  <c r="BU162" i="5"/>
  <c r="FR162" i="5"/>
  <c r="FU162" i="5" s="1"/>
  <c r="AY162" i="5"/>
  <c r="BL162" i="5"/>
  <c r="DT162" i="5" s="1"/>
  <c r="DV162" i="5" s="1"/>
  <c r="AN162" i="5"/>
  <c r="DO162" i="5" s="1"/>
  <c r="DF141" i="5"/>
  <c r="DY141" i="5"/>
  <c r="DC141" i="5"/>
  <c r="DN130" i="5"/>
  <c r="BF147" i="5"/>
  <c r="BH147" i="5" s="1"/>
  <c r="BG147" i="5"/>
  <c r="AY208" i="5"/>
  <c r="FR208" i="5"/>
  <c r="AY189" i="5"/>
  <c r="FR189" i="5"/>
  <c r="DF177" i="5"/>
  <c r="FU177" i="5"/>
  <c r="CM177" i="5" s="1"/>
  <c r="AU177" i="5"/>
  <c r="AU169" i="5"/>
  <c r="BU181" i="5"/>
  <c r="FS181" i="5"/>
  <c r="BL181" i="5"/>
  <c r="DT181" i="5" s="1"/>
  <c r="DV181" i="5" s="1"/>
  <c r="EB181" i="5" s="1"/>
  <c r="BT181" i="5"/>
  <c r="AU223" i="5"/>
  <c r="BU240" i="5"/>
  <c r="BL240" i="5"/>
  <c r="DT240" i="5" s="1"/>
  <c r="DV240" i="5" s="1"/>
  <c r="FS240" i="5"/>
  <c r="FU240" i="5" s="1"/>
  <c r="CM240" i="5" s="1"/>
  <c r="BT240" i="5"/>
  <c r="DY234" i="5"/>
  <c r="DF234" i="5"/>
  <c r="DC58" i="5"/>
  <c r="DF58" i="5"/>
  <c r="DC90" i="5"/>
  <c r="DF90" i="5"/>
  <c r="AR67" i="5"/>
  <c r="CG67" i="5" s="1"/>
  <c r="DD67" i="5"/>
  <c r="ES67" i="5" s="1"/>
  <c r="FT119" i="5"/>
  <c r="DU119" i="5"/>
  <c r="DN291" i="5"/>
  <c r="BC291" i="5"/>
  <c r="BD291" i="5" s="1"/>
  <c r="BC339" i="5"/>
  <c r="BD339" i="5" s="1"/>
  <c r="DN339" i="5"/>
  <c r="DN444" i="5"/>
  <c r="BC444" i="5"/>
  <c r="DN307" i="5"/>
  <c r="BC307" i="5"/>
  <c r="BD307" i="5" s="1"/>
  <c r="BB378" i="5"/>
  <c r="AT378" i="5"/>
  <c r="DN477" i="5"/>
  <c r="BC477" i="5"/>
  <c r="BD477" i="5" s="1"/>
  <c r="DI44" i="5"/>
  <c r="DJ44" i="5"/>
  <c r="AR108" i="5"/>
  <c r="DD108" i="5"/>
  <c r="ES108" i="5" s="1"/>
  <c r="DD116" i="5"/>
  <c r="AR116" i="5"/>
  <c r="CG116" i="5" s="1"/>
  <c r="BF113" i="5"/>
  <c r="BH113" i="5" s="1"/>
  <c r="BG113" i="5"/>
  <c r="AY123" i="5"/>
  <c r="AZ123" i="5" s="1"/>
  <c r="CI123" i="5" s="1"/>
  <c r="FR123" i="5"/>
  <c r="FU123" i="5" s="1"/>
  <c r="CM123" i="5" s="1"/>
  <c r="AY115" i="5"/>
  <c r="AZ115" i="5" s="1"/>
  <c r="CI115" i="5" s="1"/>
  <c r="FR115" i="5"/>
  <c r="FU115" i="5" s="1"/>
  <c r="CM115" i="5" s="1"/>
  <c r="FS106" i="5"/>
  <c r="FS116" i="5"/>
  <c r="BE116" i="5"/>
  <c r="BF116" i="5" s="1"/>
  <c r="BH116" i="5" s="1"/>
  <c r="BL116" i="5"/>
  <c r="DT116" i="5" s="1"/>
  <c r="DV116" i="5" s="1"/>
  <c r="BT116" i="5"/>
  <c r="BU116" i="5"/>
  <c r="DC105" i="5"/>
  <c r="DF105" i="5"/>
  <c r="DF110" i="5"/>
  <c r="DC110" i="5"/>
  <c r="DC123" i="5"/>
  <c r="DF123" i="5"/>
  <c r="J162" i="5"/>
  <c r="DS162" i="5" s="1"/>
  <c r="AR162" i="5"/>
  <c r="DC162" i="5"/>
  <c r="AU159" i="5"/>
  <c r="AV159" i="5" s="1"/>
  <c r="AU167" i="5"/>
  <c r="AV167" i="5" s="1"/>
  <c r="AY163" i="5"/>
  <c r="FR163" i="5"/>
  <c r="FU163" i="5" s="1"/>
  <c r="BL163" i="5"/>
  <c r="DT163" i="5" s="1"/>
  <c r="DV163" i="5" s="1"/>
  <c r="BU163" i="5"/>
  <c r="AN163" i="5"/>
  <c r="DO163" i="5" s="1"/>
  <c r="AO161" i="5"/>
  <c r="FR248" i="5"/>
  <c r="FU248" i="5" s="1"/>
  <c r="CM248" i="5" s="1"/>
  <c r="DY248" i="5"/>
  <c r="AY248" i="5"/>
  <c r="BU249" i="5"/>
  <c r="BL249" i="5"/>
  <c r="DT249" i="5" s="1"/>
  <c r="DV249" i="5" s="1"/>
  <c r="FS249" i="5"/>
  <c r="DC124" i="5"/>
  <c r="DY124" i="5"/>
  <c r="DF124" i="5"/>
  <c r="DC132" i="5"/>
  <c r="DY132" i="5"/>
  <c r="DF132" i="5"/>
  <c r="FU132" i="5"/>
  <c r="CM132" i="5" s="1"/>
  <c r="DC140" i="5"/>
  <c r="DY140" i="5"/>
  <c r="DF140" i="5"/>
  <c r="DN147" i="5"/>
  <c r="DN139" i="5"/>
  <c r="DN131" i="5"/>
  <c r="AY124" i="5"/>
  <c r="AZ124" i="5" s="1"/>
  <c r="CI124" i="5" s="1"/>
  <c r="FR124" i="5"/>
  <c r="FU124" i="5" s="1"/>
  <c r="CM124" i="5" s="1"/>
  <c r="BT124" i="5"/>
  <c r="BE124" i="5"/>
  <c r="BF124" i="5" s="1"/>
  <c r="BH124" i="5" s="1"/>
  <c r="BU124" i="5"/>
  <c r="BL124" i="5"/>
  <c r="DT124" i="5" s="1"/>
  <c r="DV124" i="5" s="1"/>
  <c r="AY140" i="5"/>
  <c r="AZ140" i="5" s="1"/>
  <c r="CI140" i="5" s="1"/>
  <c r="FR140" i="5"/>
  <c r="FU140" i="5" s="1"/>
  <c r="CM140" i="5" s="1"/>
  <c r="BL140" i="5"/>
  <c r="DT140" i="5" s="1"/>
  <c r="DV140" i="5" s="1"/>
  <c r="BT140" i="5"/>
  <c r="BE140" i="5"/>
  <c r="BG140" i="5" s="1"/>
  <c r="BU140" i="5"/>
  <c r="AY127" i="5"/>
  <c r="AZ127" i="5" s="1"/>
  <c r="CI127" i="5" s="1"/>
  <c r="FR127" i="5"/>
  <c r="FU127" i="5" s="1"/>
  <c r="CM127" i="5" s="1"/>
  <c r="BL127" i="5"/>
  <c r="DT127" i="5" s="1"/>
  <c r="DV127" i="5" s="1"/>
  <c r="BT127" i="5"/>
  <c r="BE127" i="5"/>
  <c r="BG127" i="5" s="1"/>
  <c r="BU127" i="5"/>
  <c r="BF131" i="5"/>
  <c r="BH131" i="5" s="1"/>
  <c r="BG131" i="5"/>
  <c r="DY213" i="5"/>
  <c r="DF213" i="5"/>
  <c r="DF203" i="5"/>
  <c r="DY203" i="5"/>
  <c r="DY207" i="5"/>
  <c r="DF207" i="5"/>
  <c r="AY209" i="5"/>
  <c r="FR209" i="5"/>
  <c r="AY199" i="5"/>
  <c r="FR199" i="5"/>
  <c r="AU214" i="5"/>
  <c r="AV214" i="5" s="1"/>
  <c r="AU206" i="5"/>
  <c r="AU198" i="5"/>
  <c r="FR190" i="5"/>
  <c r="FU190" i="5" s="1"/>
  <c r="CM190" i="5" s="1"/>
  <c r="AY190" i="5"/>
  <c r="AY181" i="5"/>
  <c r="FR181" i="5"/>
  <c r="FR170" i="5"/>
  <c r="AY170" i="5"/>
  <c r="DC192" i="5"/>
  <c r="AR192" i="5"/>
  <c r="CG192" i="5" s="1"/>
  <c r="DF176" i="5"/>
  <c r="DF184" i="5"/>
  <c r="DF192" i="5"/>
  <c r="AU194" i="5"/>
  <c r="AU186" i="5"/>
  <c r="AU178" i="5"/>
  <c r="AU170" i="5"/>
  <c r="AV170" i="5" s="1"/>
  <c r="EB182" i="5"/>
  <c r="BL172" i="5"/>
  <c r="DT172" i="5" s="1"/>
  <c r="DV172" i="5" s="1"/>
  <c r="EB172" i="5" s="1"/>
  <c r="BT172" i="5"/>
  <c r="BU172" i="5"/>
  <c r="FS172" i="5"/>
  <c r="FS180" i="5"/>
  <c r="FU180" i="5" s="1"/>
  <c r="CM180" i="5" s="1"/>
  <c r="BL180" i="5"/>
  <c r="DT180" i="5" s="1"/>
  <c r="DV180" i="5" s="1"/>
  <c r="EB180" i="5" s="1"/>
  <c r="BT180" i="5"/>
  <c r="BU180" i="5"/>
  <c r="BU191" i="5"/>
  <c r="FS191" i="5"/>
  <c r="FU191" i="5" s="1"/>
  <c r="CM191" i="5" s="1"/>
  <c r="BL191" i="5"/>
  <c r="DT191" i="5" s="1"/>
  <c r="DV191" i="5" s="1"/>
  <c r="EB191" i="5" s="1"/>
  <c r="BT191" i="5"/>
  <c r="AU219" i="5"/>
  <c r="R231" i="5"/>
  <c r="EF231" i="5" s="1"/>
  <c r="EE231" i="5" s="1"/>
  <c r="AU231" i="5"/>
  <c r="R239" i="5"/>
  <c r="EF239" i="5" s="1"/>
  <c r="EE239" i="5" s="1"/>
  <c r="AU239" i="5"/>
  <c r="BL241" i="5"/>
  <c r="DT241" i="5" s="1"/>
  <c r="DV241" i="5" s="1"/>
  <c r="FS241" i="5"/>
  <c r="FU241" i="5" s="1"/>
  <c r="CM241" i="5" s="1"/>
  <c r="BT241" i="5"/>
  <c r="BU241" i="5"/>
  <c r="BL233" i="5"/>
  <c r="DT233" i="5" s="1"/>
  <c r="DV233" i="5" s="1"/>
  <c r="BT233" i="5"/>
  <c r="BU233" i="5"/>
  <c r="FS233" i="5"/>
  <c r="FU233" i="5" s="1"/>
  <c r="BL224" i="5"/>
  <c r="DT224" i="5" s="1"/>
  <c r="DV224" i="5" s="1"/>
  <c r="FS224" i="5"/>
  <c r="FU224" i="5" s="1"/>
  <c r="CM224" i="5" s="1"/>
  <c r="BT224" i="5"/>
  <c r="BU224" i="5"/>
  <c r="DF217" i="5"/>
  <c r="FU217" i="5"/>
  <c r="DY217" i="5"/>
  <c r="DX217" i="5" s="1"/>
  <c r="DY225" i="5"/>
  <c r="DF225" i="5"/>
  <c r="DF233" i="5"/>
  <c r="DY233" i="5"/>
  <c r="DY241" i="5"/>
  <c r="DF241" i="5"/>
  <c r="CM237" i="5"/>
  <c r="AK156" i="5"/>
  <c r="DC57" i="5"/>
  <c r="DF57" i="5"/>
  <c r="DF65" i="5"/>
  <c r="DC65" i="5"/>
  <c r="DF73" i="5"/>
  <c r="DC73" i="5"/>
  <c r="DC81" i="5"/>
  <c r="DF81" i="5"/>
  <c r="DC89" i="5"/>
  <c r="DF89" i="5"/>
  <c r="AR92" i="5"/>
  <c r="CG92" i="5" s="1"/>
  <c r="DD92" i="5"/>
  <c r="ES92" i="5" s="1"/>
  <c r="AR84" i="5"/>
  <c r="CG84" i="5" s="1"/>
  <c r="DD84" i="5"/>
  <c r="ES84" i="5" s="1"/>
  <c r="AR76" i="5"/>
  <c r="CG76" i="5" s="1"/>
  <c r="DD76" i="5"/>
  <c r="ES76" i="5" s="1"/>
  <c r="DD68" i="5"/>
  <c r="ES68" i="5" s="1"/>
  <c r="AR68" i="5"/>
  <c r="CG68" i="5" s="1"/>
  <c r="AR60" i="5"/>
  <c r="CG60" i="5" s="1"/>
  <c r="DD60" i="5"/>
  <c r="ES60" i="5" s="1"/>
  <c r="DC106" i="5"/>
  <c r="DF106" i="5"/>
  <c r="BC446" i="5"/>
  <c r="BD446" i="5" s="1"/>
  <c r="DN446" i="5"/>
  <c r="BC344" i="5"/>
  <c r="BD344" i="5" s="1"/>
  <c r="DN344" i="5"/>
  <c r="BC447" i="5"/>
  <c r="DN447" i="5"/>
  <c r="DN383" i="5"/>
  <c r="BC383" i="5"/>
  <c r="DN330" i="5"/>
  <c r="BC330" i="5"/>
  <c r="BD330" i="5" s="1"/>
  <c r="DN403" i="5"/>
  <c r="BC403" i="5"/>
  <c r="BD403" i="5" s="1"/>
  <c r="BC305" i="5"/>
  <c r="BD305" i="5" s="1"/>
  <c r="DN305" i="5"/>
  <c r="DN376" i="5"/>
  <c r="BC376" i="5"/>
  <c r="DN417" i="5"/>
  <c r="BC417" i="5"/>
  <c r="DN320" i="5"/>
  <c r="BC320" i="5"/>
  <c r="BD320" i="5" s="1"/>
  <c r="BC366" i="5"/>
  <c r="DN366" i="5"/>
  <c r="DN451" i="5"/>
  <c r="BC451" i="5"/>
  <c r="DN381" i="5"/>
  <c r="BC381" i="5"/>
  <c r="BD381" i="5" s="1"/>
  <c r="DN297" i="5"/>
  <c r="BC297" i="5"/>
  <c r="BD297" i="5" s="1"/>
  <c r="BC374" i="5"/>
  <c r="BD374" i="5" s="1"/>
  <c r="DN374" i="5"/>
  <c r="DN345" i="5"/>
  <c r="BC345" i="5"/>
  <c r="DN359" i="5"/>
  <c r="BC359" i="5"/>
  <c r="BD359" i="5" s="1"/>
  <c r="BC431" i="5"/>
  <c r="DN431" i="5"/>
  <c r="BC398" i="5"/>
  <c r="DN398" i="5"/>
  <c r="BB317" i="5"/>
  <c r="BD317" i="5" s="1"/>
  <c r="AT317" i="5"/>
  <c r="AT406" i="5"/>
  <c r="BB406" i="5"/>
  <c r="AS372" i="5"/>
  <c r="BB372" i="5" s="1"/>
  <c r="AT270" i="5"/>
  <c r="BB270" i="5"/>
  <c r="BD270" i="5" s="1"/>
  <c r="DN492" i="5"/>
  <c r="BC492" i="5"/>
  <c r="BD492" i="5" s="1"/>
  <c r="DN96" i="5"/>
  <c r="DN488" i="5"/>
  <c r="BC488" i="5"/>
  <c r="BD488" i="5" s="1"/>
  <c r="DN97" i="5"/>
  <c r="BC312" i="5"/>
  <c r="BD312" i="5" s="1"/>
  <c r="DN312" i="5"/>
  <c r="BB257" i="5"/>
  <c r="BD257" i="5" s="1"/>
  <c r="AT257" i="5"/>
  <c r="AS429" i="5"/>
  <c r="AT429" i="5" s="1"/>
  <c r="AZ104" i="5"/>
  <c r="CI104" i="5" s="1"/>
  <c r="AS437" i="5"/>
  <c r="BB437" i="5" s="1"/>
  <c r="BB357" i="5"/>
  <c r="AT357" i="5"/>
  <c r="AT394" i="5"/>
  <c r="BB394" i="5"/>
  <c r="DG297" i="5"/>
  <c r="DX496" i="5"/>
  <c r="DI496" i="5"/>
  <c r="DJ496" i="5"/>
  <c r="CX286" i="5"/>
  <c r="FC286" i="5"/>
  <c r="CX387" i="5"/>
  <c r="FC387" i="5"/>
  <c r="BJ34" i="5"/>
  <c r="EC34" i="5" s="1"/>
  <c r="EB337" i="5"/>
  <c r="EA337" i="5"/>
  <c r="DG422" i="5"/>
  <c r="CC277" i="5"/>
  <c r="CE277" i="5" s="1"/>
  <c r="CJ277" i="5" s="1"/>
  <c r="EN450" i="5"/>
  <c r="EO450" i="5" s="1"/>
  <c r="EP450" i="5" s="1"/>
  <c r="FD434" i="5"/>
  <c r="CQ434" i="5"/>
  <c r="AS361" i="5"/>
  <c r="BB361" i="5" s="1"/>
  <c r="AS283" i="5"/>
  <c r="BB283" i="5" s="1"/>
  <c r="EN253" i="5"/>
  <c r="EO253" i="5" s="1"/>
  <c r="EP253" i="5" s="1"/>
  <c r="EN264" i="5"/>
  <c r="EO264" i="5" s="1"/>
  <c r="EP264" i="5" s="1"/>
  <c r="EN307" i="5"/>
  <c r="EO307" i="5" s="1"/>
  <c r="EP307" i="5" s="1"/>
  <c r="AV67" i="5"/>
  <c r="DG365" i="5"/>
  <c r="DX469" i="5"/>
  <c r="DG260" i="5"/>
  <c r="CE51" i="5"/>
  <c r="AW279" i="5"/>
  <c r="CH279" i="5" s="1"/>
  <c r="BI45" i="5"/>
  <c r="BJ45" i="5" s="1"/>
  <c r="EC45" i="5" s="1"/>
  <c r="CR264" i="5"/>
  <c r="FC264" i="5"/>
  <c r="CU150" i="5"/>
  <c r="FA150" i="5"/>
  <c r="CR326" i="5"/>
  <c r="FC326" i="5"/>
  <c r="FC446" i="5"/>
  <c r="CR446" i="5"/>
  <c r="AS382" i="5"/>
  <c r="BB382" i="5" s="1"/>
  <c r="CU320" i="5"/>
  <c r="FA320" i="5"/>
  <c r="CE423" i="5"/>
  <c r="CJ423" i="5" s="1"/>
  <c r="CE287" i="5"/>
  <c r="CJ287" i="5" s="1"/>
  <c r="EA404" i="5"/>
  <c r="EB404" i="5"/>
  <c r="AS302" i="5"/>
  <c r="BB302" i="5" s="1"/>
  <c r="DN392" i="5"/>
  <c r="BC392" i="5"/>
  <c r="BD392" i="5" s="1"/>
  <c r="EN296" i="5"/>
  <c r="EO296" i="5" s="1"/>
  <c r="EP296" i="5" s="1"/>
  <c r="CU363" i="5"/>
  <c r="FA363" i="5"/>
  <c r="AV84" i="5"/>
  <c r="DI47" i="5"/>
  <c r="DJ47" i="5"/>
  <c r="AS443" i="5"/>
  <c r="BB443" i="5" s="1"/>
  <c r="EN332" i="5"/>
  <c r="EO332" i="5" s="1"/>
  <c r="EP332" i="5" s="1"/>
  <c r="EB285" i="5"/>
  <c r="EA285" i="5"/>
  <c r="EA448" i="5"/>
  <c r="EB448" i="5"/>
  <c r="CE391" i="5"/>
  <c r="CJ391" i="5" s="1"/>
  <c r="FD449" i="5"/>
  <c r="CW449" i="5"/>
  <c r="BD441" i="5"/>
  <c r="CO289" i="5"/>
  <c r="FA289" i="5"/>
  <c r="EN283" i="5"/>
  <c r="EO283" i="5" s="1"/>
  <c r="EP283" i="5" s="1"/>
  <c r="EN423" i="5"/>
  <c r="EO423" i="5" s="1"/>
  <c r="EP423" i="5" s="1"/>
  <c r="AV74" i="5"/>
  <c r="FC416" i="5"/>
  <c r="CX416" i="5"/>
  <c r="DG96" i="5"/>
  <c r="EN410" i="5"/>
  <c r="EO410" i="5" s="1"/>
  <c r="EP410" i="5" s="1"/>
  <c r="EB438" i="5"/>
  <c r="FC328" i="5"/>
  <c r="CR328" i="5"/>
  <c r="FC385" i="5"/>
  <c r="CR385" i="5"/>
  <c r="FA418" i="5"/>
  <c r="CU418" i="5"/>
  <c r="BD388" i="5"/>
  <c r="FA322" i="5"/>
  <c r="CU322" i="5"/>
  <c r="FA427" i="5"/>
  <c r="CO427" i="5"/>
  <c r="EN44" i="5"/>
  <c r="EO44" i="5" s="1"/>
  <c r="EP44" i="5" s="1"/>
  <c r="CX299" i="5"/>
  <c r="FC299" i="5"/>
  <c r="DG415" i="5"/>
  <c r="FC437" i="5"/>
  <c r="CX437" i="5"/>
  <c r="EO24" i="5"/>
  <c r="EP24" i="5" s="1"/>
  <c r="FA337" i="5"/>
  <c r="CO337" i="5"/>
  <c r="EA367" i="5"/>
  <c r="EB367" i="5"/>
  <c r="CE291" i="5"/>
  <c r="CJ291" i="5" s="1"/>
  <c r="CE343" i="5"/>
  <c r="CJ343" i="5" s="1"/>
  <c r="AS396" i="5"/>
  <c r="BB396" i="5" s="1"/>
  <c r="BD396" i="5" s="1"/>
  <c r="FD298" i="5"/>
  <c r="CW298" i="5"/>
  <c r="CE451" i="5"/>
  <c r="CJ451" i="5" s="1"/>
  <c r="FA277" i="5"/>
  <c r="CU277" i="5"/>
  <c r="FA308" i="5"/>
  <c r="CO308" i="5"/>
  <c r="BD319" i="5"/>
  <c r="AV83" i="5"/>
  <c r="ET104" i="5"/>
  <c r="DI25" i="5"/>
  <c r="DJ25" i="5"/>
  <c r="BJ35" i="5"/>
  <c r="EC35" i="5" s="1"/>
  <c r="AS95" i="5"/>
  <c r="AT95" i="5" s="1"/>
  <c r="DG311" i="5"/>
  <c r="AS353" i="5"/>
  <c r="BB353" i="5" s="1"/>
  <c r="EB302" i="5"/>
  <c r="EA302" i="5"/>
  <c r="CR406" i="5"/>
  <c r="FC406" i="5"/>
  <c r="DG310" i="5"/>
  <c r="DG390" i="5"/>
  <c r="BD264" i="5"/>
  <c r="CU280" i="5"/>
  <c r="FA280" i="5"/>
  <c r="EN295" i="5"/>
  <c r="EO295" i="5" s="1"/>
  <c r="EP295" i="5" s="1"/>
  <c r="FA435" i="5"/>
  <c r="CU435" i="5"/>
  <c r="AW492" i="5"/>
  <c r="DO492" i="5"/>
  <c r="EG492" i="5" s="1"/>
  <c r="EJ492" i="5" s="1"/>
  <c r="EK492" i="5" s="1"/>
  <c r="BJ36" i="5"/>
  <c r="EC36" i="5" s="1"/>
  <c r="AW475" i="5"/>
  <c r="DO475" i="5"/>
  <c r="EG475" i="5" s="1"/>
  <c r="EJ475" i="5" s="1"/>
  <c r="EK475" i="5" s="1"/>
  <c r="AW291" i="5"/>
  <c r="CH291" i="5" s="1"/>
  <c r="BI38" i="5"/>
  <c r="BJ38" i="5" s="1"/>
  <c r="EC38" i="5" s="1"/>
  <c r="FA372" i="5"/>
  <c r="CO372" i="5"/>
  <c r="DI41" i="5"/>
  <c r="DJ41" i="5"/>
  <c r="CR358" i="5"/>
  <c r="FC358" i="5"/>
  <c r="EB271" i="5"/>
  <c r="EA271" i="5"/>
  <c r="EB443" i="5"/>
  <c r="EA443" i="5"/>
  <c r="EB342" i="5"/>
  <c r="EA342" i="5"/>
  <c r="CW394" i="5"/>
  <c r="FD394" i="5"/>
  <c r="CU256" i="5"/>
  <c r="FA256" i="5"/>
  <c r="EN267" i="5"/>
  <c r="EO267" i="5" s="1"/>
  <c r="EP267" i="5" s="1"/>
  <c r="CO439" i="5"/>
  <c r="FA439" i="5"/>
  <c r="EE53" i="5"/>
  <c r="AV106" i="5"/>
  <c r="DH476" i="5"/>
  <c r="EL476" i="5"/>
  <c r="EM476" i="5"/>
  <c r="CE47" i="5"/>
  <c r="EA95" i="5"/>
  <c r="BJ41" i="5"/>
  <c r="EC41" i="5" s="1"/>
  <c r="AW277" i="5"/>
  <c r="CH277" i="5" s="1"/>
  <c r="DN271" i="5"/>
  <c r="BC271" i="5"/>
  <c r="EB331" i="5"/>
  <c r="EA331" i="5"/>
  <c r="FD362" i="5"/>
  <c r="CQ362" i="5"/>
  <c r="AS377" i="5"/>
  <c r="AT377" i="5" s="1"/>
  <c r="EN376" i="5"/>
  <c r="EO376" i="5" s="1"/>
  <c r="EP376" i="5" s="1"/>
  <c r="EB336" i="5"/>
  <c r="EA336" i="5"/>
  <c r="CE415" i="5"/>
  <c r="CJ415" i="5" s="1"/>
  <c r="AS265" i="5"/>
  <c r="BB265" i="5" s="1"/>
  <c r="BD265" i="5" s="1"/>
  <c r="BD284" i="5"/>
  <c r="FA411" i="5"/>
  <c r="CO411" i="5"/>
  <c r="ES39" i="5"/>
  <c r="ET39" i="5" s="1"/>
  <c r="FC296" i="5"/>
  <c r="CX296" i="5"/>
  <c r="CV151" i="5"/>
  <c r="FB151" i="5"/>
  <c r="AH128" i="5"/>
  <c r="AE128" i="5"/>
  <c r="AG128" i="5" s="1"/>
  <c r="AG170" i="5"/>
  <c r="AG194" i="5"/>
  <c r="AF231" i="5"/>
  <c r="AH231" i="5"/>
  <c r="AG231" i="5"/>
  <c r="AH140" i="5"/>
  <c r="AE140" i="5"/>
  <c r="AG140" i="5" s="1"/>
  <c r="AG215" i="5"/>
  <c r="AF219" i="5"/>
  <c r="AH219" i="5"/>
  <c r="AG219" i="5"/>
  <c r="AE66" i="5"/>
  <c r="AF66" i="5" s="1"/>
  <c r="AE90" i="5"/>
  <c r="AF90" i="5" s="1"/>
  <c r="AH111" i="5"/>
  <c r="AE111" i="5"/>
  <c r="AG111" i="5" s="1"/>
  <c r="AF248" i="5"/>
  <c r="AH129" i="5"/>
  <c r="AE129" i="5"/>
  <c r="AG129" i="5" s="1"/>
  <c r="AH141" i="5"/>
  <c r="AE141" i="5"/>
  <c r="AG141" i="5" s="1"/>
  <c r="AG204" i="5"/>
  <c r="AG171" i="5"/>
  <c r="AG183" i="5"/>
  <c r="AG195" i="5"/>
  <c r="AG220" i="5"/>
  <c r="AH220" i="5"/>
  <c r="AF220" i="5"/>
  <c r="AG232" i="5"/>
  <c r="AH232" i="5"/>
  <c r="AF232" i="5"/>
  <c r="AG244" i="5"/>
  <c r="AH244" i="5"/>
  <c r="AF244" i="5"/>
  <c r="AE55" i="5"/>
  <c r="AE67" i="5"/>
  <c r="AE79" i="5"/>
  <c r="AF79" i="5" s="1"/>
  <c r="AE91" i="5"/>
  <c r="AF91" i="5" s="1"/>
  <c r="AE106" i="5"/>
  <c r="AH112" i="5"/>
  <c r="AE112" i="5"/>
  <c r="AG112" i="5" s="1"/>
  <c r="AG205" i="5"/>
  <c r="AG182" i="5"/>
  <c r="AF243" i="5"/>
  <c r="AG243" i="5"/>
  <c r="AH243" i="5"/>
  <c r="AE54" i="5"/>
  <c r="AE78" i="5"/>
  <c r="AF78" i="5" s="1"/>
  <c r="AE110" i="5"/>
  <c r="AG110" i="5" s="1"/>
  <c r="AF251" i="5"/>
  <c r="AH130" i="5"/>
  <c r="AE130" i="5"/>
  <c r="AG130" i="5" s="1"/>
  <c r="AH142" i="5"/>
  <c r="AE142" i="5"/>
  <c r="AG142" i="5" s="1"/>
  <c r="AG203" i="5"/>
  <c r="AG172" i="5"/>
  <c r="AG184" i="5"/>
  <c r="AG221" i="5"/>
  <c r="AF221" i="5"/>
  <c r="AH221" i="5"/>
  <c r="AG233" i="5"/>
  <c r="AF233" i="5"/>
  <c r="AH233" i="5"/>
  <c r="AG245" i="5"/>
  <c r="AF245" i="5"/>
  <c r="AH245" i="5"/>
  <c r="AE56" i="5"/>
  <c r="AE68" i="5"/>
  <c r="AE80" i="5"/>
  <c r="AE92" i="5"/>
  <c r="AG185" i="5"/>
  <c r="AE57" i="5"/>
  <c r="AH108" i="5"/>
  <c r="AE108" i="5"/>
  <c r="AN108" i="5" s="1"/>
  <c r="DO108" i="5" s="1"/>
  <c r="EG108" i="5" s="1"/>
  <c r="EJ108" i="5" s="1"/>
  <c r="EK108" i="5" s="1"/>
  <c r="AE132" i="5"/>
  <c r="AG132" i="5" s="1"/>
  <c r="AH132" i="5"/>
  <c r="AH144" i="5"/>
  <c r="AE144" i="5"/>
  <c r="AG144" i="5" s="1"/>
  <c r="AG201" i="5"/>
  <c r="AG174" i="5"/>
  <c r="AG186" i="5"/>
  <c r="AH223" i="5"/>
  <c r="AG223" i="5"/>
  <c r="AF223" i="5"/>
  <c r="AH235" i="5"/>
  <c r="AG235" i="5"/>
  <c r="AF235" i="5"/>
  <c r="AE235" i="5"/>
  <c r="AD235" i="5" s="1"/>
  <c r="AH247" i="5"/>
  <c r="AG247" i="5"/>
  <c r="AF247" i="5"/>
  <c r="AE58" i="5"/>
  <c r="AE70" i="5"/>
  <c r="AE82" i="5"/>
  <c r="AE94" i="5"/>
  <c r="AF94" i="5" s="1"/>
  <c r="FV95" i="5"/>
  <c r="AE109" i="5"/>
  <c r="AG109" i="5" s="1"/>
  <c r="AH143" i="5"/>
  <c r="AE143" i="5"/>
  <c r="AG143" i="5" s="1"/>
  <c r="AG222" i="5"/>
  <c r="AH222" i="5"/>
  <c r="AF222" i="5"/>
  <c r="AE81" i="5"/>
  <c r="AH107" i="5"/>
  <c r="AE107" i="5"/>
  <c r="AN107" i="5" s="1"/>
  <c r="DO107" i="5" s="1"/>
  <c r="EG107" i="5" s="1"/>
  <c r="EJ107" i="5" s="1"/>
  <c r="EK107" i="5" s="1"/>
  <c r="FX123" i="5"/>
  <c r="AH133" i="5"/>
  <c r="AE133" i="5"/>
  <c r="AG133" i="5" s="1"/>
  <c r="AH145" i="5"/>
  <c r="AE145" i="5"/>
  <c r="AG145" i="5" s="1"/>
  <c r="AG196" i="5"/>
  <c r="AE196" i="5"/>
  <c r="AG200" i="5"/>
  <c r="AG175" i="5"/>
  <c r="AG187" i="5"/>
  <c r="AF224" i="5"/>
  <c r="AH224" i="5"/>
  <c r="AG224" i="5"/>
  <c r="AF236" i="5"/>
  <c r="AH236" i="5"/>
  <c r="AG236" i="5"/>
  <c r="AE59" i="5"/>
  <c r="AE71" i="5"/>
  <c r="AE83" i="5"/>
  <c r="AH118" i="5"/>
  <c r="AG202" i="5"/>
  <c r="AG173" i="5"/>
  <c r="AE93" i="5"/>
  <c r="AF93" i="5" s="1"/>
  <c r="AF249" i="5"/>
  <c r="AE105" i="5"/>
  <c r="AH119" i="5"/>
  <c r="AE119" i="5"/>
  <c r="AG119" i="5" s="1"/>
  <c r="AH134" i="5"/>
  <c r="AE134" i="5"/>
  <c r="AG134" i="5" s="1"/>
  <c r="AH146" i="5"/>
  <c r="AE146" i="5"/>
  <c r="AG146" i="5" s="1"/>
  <c r="AG213" i="5"/>
  <c r="AG199" i="5"/>
  <c r="AG176" i="5"/>
  <c r="AG188" i="5"/>
  <c r="AH225" i="5"/>
  <c r="AF225" i="5"/>
  <c r="AG225" i="5"/>
  <c r="AH237" i="5"/>
  <c r="AG237" i="5"/>
  <c r="AF237" i="5"/>
  <c r="AE60" i="5"/>
  <c r="AF60" i="5" s="1"/>
  <c r="AE72" i="5"/>
  <c r="AE84" i="5"/>
  <c r="AH117" i="5"/>
  <c r="AE117" i="5"/>
  <c r="AG117" i="5" s="1"/>
  <c r="AH120" i="5"/>
  <c r="AE120" i="5"/>
  <c r="AG120" i="5" s="1"/>
  <c r="AH135" i="5"/>
  <c r="AE135" i="5"/>
  <c r="AG135" i="5" s="1"/>
  <c r="AH147" i="5"/>
  <c r="AE147" i="5"/>
  <c r="AG147" i="5" s="1"/>
  <c r="AG212" i="5"/>
  <c r="AG198" i="5"/>
  <c r="AG177" i="5"/>
  <c r="AG189" i="5"/>
  <c r="AF226" i="5"/>
  <c r="AH226" i="5"/>
  <c r="AG226" i="5"/>
  <c r="AF238" i="5"/>
  <c r="AH238" i="5"/>
  <c r="AG238" i="5"/>
  <c r="AE61" i="5"/>
  <c r="AE73" i="5"/>
  <c r="AE85" i="5"/>
  <c r="J106" i="5"/>
  <c r="DS106" i="5" s="1"/>
  <c r="AH116" i="5"/>
  <c r="AE116" i="5"/>
  <c r="AG116" i="5" s="1"/>
  <c r="AE121" i="5"/>
  <c r="AG121" i="5" s="1"/>
  <c r="AH121" i="5"/>
  <c r="AH248" i="5"/>
  <c r="AH124" i="5"/>
  <c r="AE124" i="5"/>
  <c r="AG124" i="5" s="1"/>
  <c r="AH136" i="5"/>
  <c r="AE136" i="5"/>
  <c r="AG136" i="5" s="1"/>
  <c r="AG211" i="5"/>
  <c r="AG197" i="5"/>
  <c r="AG178" i="5"/>
  <c r="AG190" i="5"/>
  <c r="AH227" i="5"/>
  <c r="AF227" i="5"/>
  <c r="AG227" i="5"/>
  <c r="AH239" i="5"/>
  <c r="AF239" i="5"/>
  <c r="AG239" i="5"/>
  <c r="AE62" i="5"/>
  <c r="AE74" i="5"/>
  <c r="AE86" i="5"/>
  <c r="AG246" i="5"/>
  <c r="AH246" i="5"/>
  <c r="AF246" i="5"/>
  <c r="AE69" i="5"/>
  <c r="AF69" i="5" s="1"/>
  <c r="AF118" i="5"/>
  <c r="AH115" i="5"/>
  <c r="AE115" i="5"/>
  <c r="AG115" i="5" s="1"/>
  <c r="AH122" i="5"/>
  <c r="AE122" i="5"/>
  <c r="AG122" i="5" s="1"/>
  <c r="AH251" i="5"/>
  <c r="AH125" i="5"/>
  <c r="AE125" i="5"/>
  <c r="AG125" i="5" s="1"/>
  <c r="AH137" i="5"/>
  <c r="AE137" i="5"/>
  <c r="AG137" i="5" s="1"/>
  <c r="AF135" i="5"/>
  <c r="AG210" i="5"/>
  <c r="AG206" i="5"/>
  <c r="AG179" i="5"/>
  <c r="AG191" i="5"/>
  <c r="AF216" i="5"/>
  <c r="AG216" i="5"/>
  <c r="AH216" i="5"/>
  <c r="AF228" i="5"/>
  <c r="AG228" i="5"/>
  <c r="AH228" i="5"/>
  <c r="AF240" i="5"/>
  <c r="AG240" i="5"/>
  <c r="AH240" i="5"/>
  <c r="AE63" i="5"/>
  <c r="AE75" i="5"/>
  <c r="AE87" i="5"/>
  <c r="AF250" i="5"/>
  <c r="AG234" i="5"/>
  <c r="AH234" i="5"/>
  <c r="AF234" i="5"/>
  <c r="AF92" i="5"/>
  <c r="AH114" i="5"/>
  <c r="AE114" i="5"/>
  <c r="AG114" i="5" s="1"/>
  <c r="AH123" i="5"/>
  <c r="AE123" i="5"/>
  <c r="AG123" i="5" s="1"/>
  <c r="AH250" i="5"/>
  <c r="AH126" i="5"/>
  <c r="AE126" i="5"/>
  <c r="AG126" i="5" s="1"/>
  <c r="AH138" i="5"/>
  <c r="AE138" i="5"/>
  <c r="AG138" i="5" s="1"/>
  <c r="AG209" i="5"/>
  <c r="AG207" i="5"/>
  <c r="AG180" i="5"/>
  <c r="AG192" i="5"/>
  <c r="AH217" i="5"/>
  <c r="AG217" i="5"/>
  <c r="AF217" i="5"/>
  <c r="AH229" i="5"/>
  <c r="AG229" i="5"/>
  <c r="AF229" i="5"/>
  <c r="AH241" i="5"/>
  <c r="AG241" i="5"/>
  <c r="AF241" i="5"/>
  <c r="AE64" i="5"/>
  <c r="AE76" i="5"/>
  <c r="AF76" i="5" s="1"/>
  <c r="AE88" i="5"/>
  <c r="AH131" i="5"/>
  <c r="AE131" i="5"/>
  <c r="AG131" i="5" s="1"/>
  <c r="I106" i="5"/>
  <c r="BE106" i="5" s="1"/>
  <c r="BF106" i="5" s="1"/>
  <c r="BH106" i="5" s="1"/>
  <c r="AH113" i="5"/>
  <c r="AE113" i="5"/>
  <c r="AG113" i="5" s="1"/>
  <c r="AH249" i="5"/>
  <c r="AH127" i="5"/>
  <c r="AE127" i="5"/>
  <c r="AG127" i="5" s="1"/>
  <c r="AH139" i="5"/>
  <c r="AE139" i="5"/>
  <c r="AG139" i="5" s="1"/>
  <c r="AG208" i="5"/>
  <c r="AG214" i="5"/>
  <c r="AG169" i="5"/>
  <c r="AG181" i="5"/>
  <c r="AG193" i="5"/>
  <c r="AF218" i="5"/>
  <c r="AH218" i="5"/>
  <c r="AG218" i="5"/>
  <c r="AF230" i="5"/>
  <c r="AG230" i="5"/>
  <c r="AH230" i="5"/>
  <c r="AF242" i="5"/>
  <c r="AG242" i="5"/>
  <c r="AH242" i="5"/>
  <c r="AE53" i="5"/>
  <c r="AE65" i="5"/>
  <c r="AE77" i="5"/>
  <c r="AF77" i="5" s="1"/>
  <c r="AE89" i="5"/>
  <c r="AF89" i="5" s="1"/>
  <c r="AJ110" i="5"/>
  <c r="AJ201" i="5"/>
  <c r="AJ220" i="5"/>
  <c r="AJ174" i="5"/>
  <c r="AE169" i="5"/>
  <c r="I90" i="5"/>
  <c r="AS90" i="5"/>
  <c r="AS76" i="5"/>
  <c r="I78" i="5"/>
  <c r="AS145" i="5"/>
  <c r="AS128" i="5"/>
  <c r="AS242" i="5"/>
  <c r="AS230" i="5"/>
  <c r="AS225" i="5"/>
  <c r="AS221" i="5"/>
  <c r="AS66" i="5"/>
  <c r="AS247" i="5"/>
  <c r="AS243" i="5"/>
  <c r="AS235" i="5"/>
  <c r="AS226" i="5"/>
  <c r="AS93" i="5"/>
  <c r="AS60" i="5"/>
  <c r="I94" i="5"/>
  <c r="AS244" i="5"/>
  <c r="AS240" i="5"/>
  <c r="AS236" i="5"/>
  <c r="AS232" i="5"/>
  <c r="AS228" i="5"/>
  <c r="AS227" i="5"/>
  <c r="AS245" i="5"/>
  <c r="AS241" i="5"/>
  <c r="S27" i="5"/>
  <c r="DK27" i="5" s="1"/>
  <c r="S26" i="5"/>
  <c r="S22" i="5"/>
  <c r="AV133" i="5"/>
  <c r="K203" i="5"/>
  <c r="N203" i="5" s="1"/>
  <c r="AS190" i="5"/>
  <c r="AS174" i="5"/>
  <c r="S51" i="5"/>
  <c r="S34" i="5"/>
  <c r="DK34" i="5" s="1"/>
  <c r="AS250" i="5"/>
  <c r="K212" i="5"/>
  <c r="N212" i="5" s="1"/>
  <c r="K206" i="5"/>
  <c r="N206" i="5" s="1"/>
  <c r="K200" i="5"/>
  <c r="N200" i="5" s="1"/>
  <c r="AS169" i="5"/>
  <c r="AS191" i="5"/>
  <c r="AE224" i="5"/>
  <c r="AE228" i="5"/>
  <c r="AD228" i="5" s="1"/>
  <c r="AE232" i="5"/>
  <c r="AD232" i="5" s="1"/>
  <c r="AE236" i="5"/>
  <c r="AD236" i="5" s="1"/>
  <c r="AE240" i="5"/>
  <c r="AD240" i="5" s="1"/>
  <c r="AE244" i="5"/>
  <c r="AD244" i="5" s="1"/>
  <c r="AV131" i="5"/>
  <c r="AA143" i="5"/>
  <c r="K211" i="5"/>
  <c r="N211" i="5" s="1"/>
  <c r="AS178" i="5"/>
  <c r="AE178" i="5"/>
  <c r="AD178" i="5" s="1"/>
  <c r="M182" i="5"/>
  <c r="AH182" i="5" s="1"/>
  <c r="M194" i="5"/>
  <c r="AH194" i="5" s="1"/>
  <c r="AE227" i="5"/>
  <c r="AD227" i="5" s="1"/>
  <c r="AE231" i="5"/>
  <c r="AD231" i="5" s="1"/>
  <c r="AE239" i="5"/>
  <c r="AD239" i="5" s="1"/>
  <c r="AE243" i="5"/>
  <c r="AD243" i="5" s="1"/>
  <c r="AE247" i="5"/>
  <c r="S33" i="5"/>
  <c r="DK33" i="5" s="1"/>
  <c r="AV134" i="5"/>
  <c r="AV138" i="5"/>
  <c r="AA142" i="5"/>
  <c r="AV146" i="5"/>
  <c r="K214" i="5"/>
  <c r="N214" i="5" s="1"/>
  <c r="K208" i="5"/>
  <c r="N208" i="5" s="1"/>
  <c r="K204" i="5"/>
  <c r="N204" i="5" s="1"/>
  <c r="K198" i="5"/>
  <c r="N198" i="5" s="1"/>
  <c r="AS189" i="5"/>
  <c r="AS173" i="5"/>
  <c r="AE173" i="5"/>
  <c r="AD173" i="5" s="1"/>
  <c r="AE185" i="5"/>
  <c r="AD185" i="5" s="1"/>
  <c r="AE189" i="5"/>
  <c r="AD189" i="5" s="1"/>
  <c r="AE193" i="5"/>
  <c r="AD193" i="5" s="1"/>
  <c r="AE218" i="5"/>
  <c r="AN218" i="5" s="1"/>
  <c r="DO218" i="5" s="1"/>
  <c r="AE226" i="5"/>
  <c r="AD226" i="5" s="1"/>
  <c r="AE230" i="5"/>
  <c r="AD230" i="5" s="1"/>
  <c r="AE234" i="5"/>
  <c r="AD234" i="5" s="1"/>
  <c r="AE238" i="5"/>
  <c r="AD238" i="5" s="1"/>
  <c r="AE242" i="5"/>
  <c r="AD242" i="5" s="1"/>
  <c r="AE246" i="5"/>
  <c r="S31" i="5"/>
  <c r="S24" i="5"/>
  <c r="DK24" i="5" s="1"/>
  <c r="S30" i="5"/>
  <c r="DK30" i="5" s="1"/>
  <c r="S36" i="5"/>
  <c r="S82" i="5"/>
  <c r="S58" i="5"/>
  <c r="S94" i="5"/>
  <c r="R192" i="5"/>
  <c r="EF192" i="5" s="1"/>
  <c r="EE192" i="5" s="1"/>
  <c r="R184" i="5"/>
  <c r="EF184" i="5" s="1"/>
  <c r="EE184" i="5" s="1"/>
  <c r="R176" i="5"/>
  <c r="EF176" i="5" s="1"/>
  <c r="EE176" i="5" s="1"/>
  <c r="R172" i="5"/>
  <c r="EF172" i="5" s="1"/>
  <c r="EE172" i="5" s="1"/>
  <c r="S87" i="5"/>
  <c r="S83" i="5"/>
  <c r="S75" i="5"/>
  <c r="S71" i="5"/>
  <c r="S65" i="5"/>
  <c r="S59" i="5"/>
  <c r="S55" i="5"/>
  <c r="S60" i="5"/>
  <c r="S62" i="5"/>
  <c r="S66" i="5"/>
  <c r="S93" i="5"/>
  <c r="S123" i="5"/>
  <c r="S119" i="5"/>
  <c r="S115" i="5"/>
  <c r="S111" i="5"/>
  <c r="S107" i="5"/>
  <c r="R157" i="5"/>
  <c r="EF157" i="5" s="1"/>
  <c r="EE157" i="5" s="1"/>
  <c r="EG157" i="5" s="1"/>
  <c r="EJ157" i="5" s="1"/>
  <c r="EK157" i="5" s="1"/>
  <c r="R161" i="5"/>
  <c r="EF161" i="5" s="1"/>
  <c r="EE161" i="5" s="1"/>
  <c r="EG161" i="5" s="1"/>
  <c r="EJ161" i="5" s="1"/>
  <c r="EK161" i="5" s="1"/>
  <c r="R165" i="5"/>
  <c r="EF165" i="5" s="1"/>
  <c r="EE165" i="5" s="1"/>
  <c r="EG165" i="5" s="1"/>
  <c r="EJ165" i="5" s="1"/>
  <c r="EK165" i="5" s="1"/>
  <c r="R213" i="5"/>
  <c r="EF213" i="5" s="1"/>
  <c r="EE213" i="5" s="1"/>
  <c r="R209" i="5"/>
  <c r="EF209" i="5" s="1"/>
  <c r="EE209" i="5" s="1"/>
  <c r="R205" i="5"/>
  <c r="EF205" i="5" s="1"/>
  <c r="EE205" i="5" s="1"/>
  <c r="R201" i="5"/>
  <c r="EF201" i="5" s="1"/>
  <c r="EE201" i="5" s="1"/>
  <c r="R197" i="5"/>
  <c r="EF197" i="5" s="1"/>
  <c r="EE197" i="5" s="1"/>
  <c r="R189" i="5"/>
  <c r="EF189" i="5" s="1"/>
  <c r="EE189" i="5" s="1"/>
  <c r="S236" i="5"/>
  <c r="R218" i="5"/>
  <c r="EF218" i="5" s="1"/>
  <c r="EE218" i="5" s="1"/>
  <c r="EG218" i="5" s="1"/>
  <c r="EJ218" i="5" s="1"/>
  <c r="EK218" i="5" s="1"/>
  <c r="R230" i="5"/>
  <c r="EF230" i="5" s="1"/>
  <c r="EE230" i="5" s="1"/>
  <c r="R234" i="5"/>
  <c r="EF234" i="5" s="1"/>
  <c r="EE234" i="5" s="1"/>
  <c r="S86" i="5"/>
  <c r="S64" i="5"/>
  <c r="S118" i="5"/>
  <c r="S114" i="5"/>
  <c r="R188" i="5"/>
  <c r="EF188" i="5" s="1"/>
  <c r="EE188" i="5" s="1"/>
  <c r="S84" i="5"/>
  <c r="S80" i="5"/>
  <c r="S72" i="5"/>
  <c r="S67" i="5"/>
  <c r="S61" i="5"/>
  <c r="S56" i="5"/>
  <c r="S79" i="5"/>
  <c r="S88" i="5"/>
  <c r="S89" i="5"/>
  <c r="S90" i="5"/>
  <c r="S91" i="5"/>
  <c r="S92" i="5"/>
  <c r="S106" i="5"/>
  <c r="S120" i="5"/>
  <c r="S116" i="5"/>
  <c r="S112" i="5"/>
  <c r="S108" i="5"/>
  <c r="R158" i="5"/>
  <c r="EF158" i="5" s="1"/>
  <c r="EE158" i="5" s="1"/>
  <c r="EG158" i="5" s="1"/>
  <c r="EJ158" i="5" s="1"/>
  <c r="EK158" i="5" s="1"/>
  <c r="R194" i="5"/>
  <c r="EF194" i="5" s="1"/>
  <c r="EE194" i="5" s="1"/>
  <c r="R190" i="5"/>
  <c r="EF190" i="5" s="1"/>
  <c r="EE190" i="5" s="1"/>
  <c r="R186" i="5"/>
  <c r="EF186" i="5" s="1"/>
  <c r="EE186" i="5" s="1"/>
  <c r="R182" i="5"/>
  <c r="EF182" i="5" s="1"/>
  <c r="EE182" i="5" s="1"/>
  <c r="R178" i="5"/>
  <c r="EF178" i="5" s="1"/>
  <c r="EE178" i="5" s="1"/>
  <c r="R174" i="5"/>
  <c r="EF174" i="5" s="1"/>
  <c r="EE174" i="5" s="1"/>
  <c r="R170" i="5"/>
  <c r="EF170" i="5" s="1"/>
  <c r="EE170" i="5" s="1"/>
  <c r="R229" i="5"/>
  <c r="EF229" i="5" s="1"/>
  <c r="EE229" i="5" s="1"/>
  <c r="R237" i="5"/>
  <c r="EF237" i="5" s="1"/>
  <c r="EE237" i="5" s="1"/>
  <c r="R241" i="5"/>
  <c r="EF241" i="5" s="1"/>
  <c r="EE241" i="5" s="1"/>
  <c r="S74" i="5"/>
  <c r="S70" i="5"/>
  <c r="S54" i="5"/>
  <c r="S69" i="5"/>
  <c r="S122" i="5"/>
  <c r="S110" i="5"/>
  <c r="R164" i="5"/>
  <c r="EF164" i="5" s="1"/>
  <c r="EE164" i="5" s="1"/>
  <c r="R180" i="5"/>
  <c r="EF180" i="5" s="1"/>
  <c r="EE180" i="5" s="1"/>
  <c r="R216" i="5"/>
  <c r="EF216" i="5" s="1"/>
  <c r="EE216" i="5" s="1"/>
  <c r="R219" i="5"/>
  <c r="EF219" i="5" s="1"/>
  <c r="EE219" i="5" s="1"/>
  <c r="S85" i="5"/>
  <c r="S81" i="5"/>
  <c r="S73" i="5"/>
  <c r="S68" i="5"/>
  <c r="S63" i="5"/>
  <c r="S57" i="5"/>
  <c r="S53" i="5"/>
  <c r="S76" i="5"/>
  <c r="S77" i="5"/>
  <c r="S78" i="5"/>
  <c r="S105" i="5"/>
  <c r="S121" i="5"/>
  <c r="S117" i="5"/>
  <c r="S113" i="5"/>
  <c r="S109" i="5"/>
  <c r="R163" i="5"/>
  <c r="EF163" i="5" s="1"/>
  <c r="EE163" i="5" s="1"/>
  <c r="R215" i="5"/>
  <c r="EF215" i="5" s="1"/>
  <c r="EE215" i="5" s="1"/>
  <c r="R211" i="5"/>
  <c r="EF211" i="5" s="1"/>
  <c r="EE211" i="5" s="1"/>
  <c r="R207" i="5"/>
  <c r="EF207" i="5" s="1"/>
  <c r="EE207" i="5" s="1"/>
  <c r="R203" i="5"/>
  <c r="EF203" i="5" s="1"/>
  <c r="EE203" i="5" s="1"/>
  <c r="R199" i="5"/>
  <c r="EF199" i="5" s="1"/>
  <c r="EE199" i="5" s="1"/>
  <c r="R195" i="5"/>
  <c r="EF195" i="5" s="1"/>
  <c r="EE195" i="5" s="1"/>
  <c r="S191" i="5"/>
  <c r="S183" i="5"/>
  <c r="R175" i="5"/>
  <c r="EF175" i="5" s="1"/>
  <c r="EE175" i="5" s="1"/>
  <c r="S171" i="5"/>
  <c r="AA119" i="5"/>
  <c r="FS119" i="5" s="1"/>
  <c r="FU119" i="5" s="1"/>
  <c r="CM119" i="5" s="1"/>
  <c r="J105" i="5"/>
  <c r="DS105" i="5" s="1"/>
  <c r="AA122" i="5"/>
  <c r="AA121" i="5"/>
  <c r="I105" i="5"/>
  <c r="BU105" i="5" s="1"/>
  <c r="AA120" i="5"/>
  <c r="AY120" i="5" s="1"/>
  <c r="AZ120" i="5" s="1"/>
  <c r="CI120" i="5" s="1"/>
  <c r="J248" i="5"/>
  <c r="DS248" i="5" s="1"/>
  <c r="AD218" i="5"/>
  <c r="AD246" i="5"/>
  <c r="AD224" i="5"/>
  <c r="AD247" i="5"/>
  <c r="AS160" i="5"/>
  <c r="AS187" i="5"/>
  <c r="AS179" i="5"/>
  <c r="AS175" i="5"/>
  <c r="AS171" i="5"/>
  <c r="AS192" i="5"/>
  <c r="AS184" i="5"/>
  <c r="AS176" i="5"/>
  <c r="AS172" i="5"/>
  <c r="AS162" i="5"/>
  <c r="R226" i="5"/>
  <c r="EF226" i="5" s="1"/>
  <c r="EE226" i="5" s="1"/>
  <c r="R217" i="5"/>
  <c r="EF217" i="5" s="1"/>
  <c r="EE217" i="5" s="1"/>
  <c r="EG217" i="5" s="1"/>
  <c r="EJ217" i="5" s="1"/>
  <c r="EK217" i="5" s="1"/>
  <c r="R235" i="5"/>
  <c r="EF235" i="5" s="1"/>
  <c r="EE235" i="5" s="1"/>
  <c r="R240" i="5"/>
  <c r="EF240" i="5" s="1"/>
  <c r="EE240" i="5" s="1"/>
  <c r="R221" i="5"/>
  <c r="EF221" i="5" s="1"/>
  <c r="EE221" i="5" s="1"/>
  <c r="AZ245" i="5"/>
  <c r="CI245" i="5" s="1"/>
  <c r="AZ233" i="5"/>
  <c r="R243" i="5"/>
  <c r="EF243" i="5" s="1"/>
  <c r="EE243" i="5" s="1"/>
  <c r="R232" i="5"/>
  <c r="EF232" i="5" s="1"/>
  <c r="EE232" i="5" s="1"/>
  <c r="R220" i="5"/>
  <c r="EF220" i="5" s="1"/>
  <c r="EE220" i="5" s="1"/>
  <c r="R247" i="5"/>
  <c r="EF247" i="5" s="1"/>
  <c r="EE247" i="5" s="1"/>
  <c r="R222" i="5"/>
  <c r="EF222" i="5" s="1"/>
  <c r="EE222" i="5" s="1"/>
  <c r="R242" i="5"/>
  <c r="EF242" i="5" s="1"/>
  <c r="EE242" i="5" s="1"/>
  <c r="R223" i="5"/>
  <c r="EF223" i="5" s="1"/>
  <c r="EE223" i="5" s="1"/>
  <c r="R225" i="5"/>
  <c r="EF225" i="5" s="1"/>
  <c r="EE225" i="5" s="1"/>
  <c r="AE245" i="5"/>
  <c r="AD245" i="5" s="1"/>
  <c r="R245" i="5"/>
  <c r="EF245" i="5" s="1"/>
  <c r="EE245" i="5" s="1"/>
  <c r="R238" i="5"/>
  <c r="EF238" i="5" s="1"/>
  <c r="EE238" i="5" s="1"/>
  <c r="R228" i="5"/>
  <c r="EF228" i="5" s="1"/>
  <c r="EE228" i="5" s="1"/>
  <c r="R244" i="5"/>
  <c r="EF244" i="5" s="1"/>
  <c r="EE244" i="5" s="1"/>
  <c r="R233" i="5"/>
  <c r="EF233" i="5" s="1"/>
  <c r="EE233" i="5" s="1"/>
  <c r="R227" i="5"/>
  <c r="EF227" i="5" s="1"/>
  <c r="EE227" i="5" s="1"/>
  <c r="M169" i="5"/>
  <c r="AH169" i="5" s="1"/>
  <c r="M171" i="5"/>
  <c r="AH171" i="5" s="1"/>
  <c r="M177" i="5"/>
  <c r="AH177" i="5" s="1"/>
  <c r="M181" i="5"/>
  <c r="AH181" i="5" s="1"/>
  <c r="M185" i="5"/>
  <c r="AH185" i="5" s="1"/>
  <c r="M189" i="5"/>
  <c r="AH189" i="5" s="1"/>
  <c r="M193" i="5"/>
  <c r="AH193" i="5" s="1"/>
  <c r="M213" i="5"/>
  <c r="AH213" i="5" s="1"/>
  <c r="M209" i="5"/>
  <c r="AH209" i="5" s="1"/>
  <c r="M205" i="5"/>
  <c r="AH205" i="5" s="1"/>
  <c r="M201" i="5"/>
  <c r="AH201" i="5" s="1"/>
  <c r="M197" i="5"/>
  <c r="AH197" i="5" s="1"/>
  <c r="AE241" i="5"/>
  <c r="AD241" i="5" s="1"/>
  <c r="AE237" i="5"/>
  <c r="AD237" i="5" s="1"/>
  <c r="AE233" i="5"/>
  <c r="AD233" i="5" s="1"/>
  <c r="AE229" i="5"/>
  <c r="AD229" i="5" s="1"/>
  <c r="AE225" i="5"/>
  <c r="AD225" i="5" s="1"/>
  <c r="AE221" i="5"/>
  <c r="AD221" i="5" s="1"/>
  <c r="AE216" i="5"/>
  <c r="AN216" i="5" s="1"/>
  <c r="DO216" i="5" s="1"/>
  <c r="M172" i="5"/>
  <c r="AH172" i="5" s="1"/>
  <c r="M176" i="5"/>
  <c r="AH176" i="5" s="1"/>
  <c r="M180" i="5"/>
  <c r="AH180" i="5" s="1"/>
  <c r="M184" i="5"/>
  <c r="AH184" i="5" s="1"/>
  <c r="M188" i="5"/>
  <c r="AH188" i="5" s="1"/>
  <c r="M192" i="5"/>
  <c r="AH192" i="5" s="1"/>
  <c r="M214" i="5"/>
  <c r="AH214" i="5" s="1"/>
  <c r="M210" i="5"/>
  <c r="AH210" i="5" s="1"/>
  <c r="M206" i="5"/>
  <c r="AH206" i="5" s="1"/>
  <c r="M202" i="5"/>
  <c r="AH202" i="5" s="1"/>
  <c r="M198" i="5"/>
  <c r="AH198" i="5" s="1"/>
  <c r="R246" i="5"/>
  <c r="EF246" i="5" s="1"/>
  <c r="EE246" i="5" s="1"/>
  <c r="R224" i="5"/>
  <c r="EF224" i="5" s="1"/>
  <c r="EE224" i="5" s="1"/>
  <c r="AE219" i="5"/>
  <c r="AD219" i="5" s="1"/>
  <c r="AE217" i="5"/>
  <c r="AN217" i="5" s="1"/>
  <c r="DO217" i="5" s="1"/>
  <c r="M173" i="5"/>
  <c r="AH173" i="5" s="1"/>
  <c r="M175" i="5"/>
  <c r="AH175" i="5" s="1"/>
  <c r="M179" i="5"/>
  <c r="AH179" i="5" s="1"/>
  <c r="M183" i="5"/>
  <c r="AH183" i="5" s="1"/>
  <c r="M187" i="5"/>
  <c r="AH187" i="5" s="1"/>
  <c r="M191" i="5"/>
  <c r="AH191" i="5" s="1"/>
  <c r="M195" i="5"/>
  <c r="AH195" i="5" s="1"/>
  <c r="M215" i="5"/>
  <c r="AH215" i="5" s="1"/>
  <c r="M211" i="5"/>
  <c r="AH211" i="5" s="1"/>
  <c r="M207" i="5"/>
  <c r="AH207" i="5" s="1"/>
  <c r="M203" i="5"/>
  <c r="AH203" i="5" s="1"/>
  <c r="M199" i="5"/>
  <c r="AH199" i="5" s="1"/>
  <c r="AE223" i="5"/>
  <c r="AD223" i="5" s="1"/>
  <c r="AE222" i="5"/>
  <c r="AD222" i="5" s="1"/>
  <c r="AE220" i="5"/>
  <c r="AD220" i="5" s="1"/>
  <c r="M174" i="5"/>
  <c r="AH174" i="5" s="1"/>
  <c r="M170" i="5"/>
  <c r="AH170" i="5" s="1"/>
  <c r="M178" i="5"/>
  <c r="AH178" i="5" s="1"/>
  <c r="M186" i="5"/>
  <c r="AH186" i="5" s="1"/>
  <c r="M190" i="5"/>
  <c r="AH190" i="5" s="1"/>
  <c r="M196" i="5"/>
  <c r="AH196" i="5" s="1"/>
  <c r="M212" i="5"/>
  <c r="AH212" i="5" s="1"/>
  <c r="M208" i="5"/>
  <c r="AH208" i="5" s="1"/>
  <c r="M204" i="5"/>
  <c r="AH204" i="5" s="1"/>
  <c r="M200" i="5"/>
  <c r="AH200" i="5" s="1"/>
  <c r="R198" i="5"/>
  <c r="EF198" i="5" s="1"/>
  <c r="EE198" i="5" s="1"/>
  <c r="AZ192" i="5"/>
  <c r="CI192" i="5" s="1"/>
  <c r="R193" i="5"/>
  <c r="EF193" i="5" s="1"/>
  <c r="EE193" i="5" s="1"/>
  <c r="R181" i="5"/>
  <c r="EF181" i="5" s="1"/>
  <c r="EE181" i="5" s="1"/>
  <c r="R202" i="5"/>
  <c r="EF202" i="5" s="1"/>
  <c r="EE202" i="5" s="1"/>
  <c r="R208" i="5"/>
  <c r="EF208" i="5" s="1"/>
  <c r="EE208" i="5" s="1"/>
  <c r="R169" i="5"/>
  <c r="EF169" i="5" s="1"/>
  <c r="EE169" i="5" s="1"/>
  <c r="AZ248" i="5"/>
  <c r="CI248" i="5" s="1"/>
  <c r="AZ250" i="5"/>
  <c r="CI250" i="5" s="1"/>
  <c r="R214" i="5"/>
  <c r="EF214" i="5" s="1"/>
  <c r="EE214" i="5" s="1"/>
  <c r="R200" i="5"/>
  <c r="EF200" i="5" s="1"/>
  <c r="EE200" i="5" s="1"/>
  <c r="R185" i="5"/>
  <c r="EF185" i="5" s="1"/>
  <c r="EE185" i="5" s="1"/>
  <c r="J250" i="5"/>
  <c r="DS250" i="5" s="1"/>
  <c r="R206" i="5"/>
  <c r="EF206" i="5" s="1"/>
  <c r="EE206" i="5" s="1"/>
  <c r="R177" i="5"/>
  <c r="EF177" i="5" s="1"/>
  <c r="EE177" i="5" s="1"/>
  <c r="H175" i="5"/>
  <c r="DY175" i="5" s="1"/>
  <c r="J249" i="5"/>
  <c r="DS249" i="5" s="1"/>
  <c r="J251" i="5"/>
  <c r="DS251" i="5" s="1"/>
  <c r="AZ249" i="5"/>
  <c r="CI249" i="5" s="1"/>
  <c r="J202" i="5"/>
  <c r="DS202" i="5" s="1"/>
  <c r="J207" i="5"/>
  <c r="DS207" i="5" s="1"/>
  <c r="J212" i="5"/>
  <c r="DS212" i="5" s="1"/>
  <c r="R210" i="5"/>
  <c r="EF210" i="5" s="1"/>
  <c r="EE210" i="5" s="1"/>
  <c r="AE215" i="5"/>
  <c r="AE206" i="5"/>
  <c r="H169" i="5"/>
  <c r="H192" i="5"/>
  <c r="DY192" i="5" s="1"/>
  <c r="H188" i="5"/>
  <c r="DY188" i="5" s="1"/>
  <c r="H184" i="5"/>
  <c r="DY184" i="5" s="1"/>
  <c r="H180" i="5"/>
  <c r="DY180" i="5" s="1"/>
  <c r="H176" i="5"/>
  <c r="DY176" i="5" s="1"/>
  <c r="H172" i="5"/>
  <c r="DY172" i="5" s="1"/>
  <c r="AE179" i="5"/>
  <c r="AD179" i="5" s="1"/>
  <c r="AE177" i="5"/>
  <c r="AD177" i="5" s="1"/>
  <c r="K196" i="5"/>
  <c r="N196" i="5" s="1"/>
  <c r="K210" i="5"/>
  <c r="N210" i="5" s="1"/>
  <c r="K202" i="5"/>
  <c r="N202" i="5" s="1"/>
  <c r="J200" i="5"/>
  <c r="DS200" i="5" s="1"/>
  <c r="J210" i="5"/>
  <c r="DS210" i="5" s="1"/>
  <c r="R212" i="5"/>
  <c r="EF212" i="5" s="1"/>
  <c r="EE212" i="5" s="1"/>
  <c r="R204" i="5"/>
  <c r="EF204" i="5" s="1"/>
  <c r="EE204" i="5" s="1"/>
  <c r="R196" i="5"/>
  <c r="EF196" i="5" s="1"/>
  <c r="EE196" i="5" s="1"/>
  <c r="AE207" i="5"/>
  <c r="H193" i="5"/>
  <c r="H189" i="5"/>
  <c r="DY189" i="5" s="1"/>
  <c r="H185" i="5"/>
  <c r="DY185" i="5" s="1"/>
  <c r="H181" i="5"/>
  <c r="DY181" i="5" s="1"/>
  <c r="H177" i="5"/>
  <c r="DY177" i="5" s="1"/>
  <c r="H173" i="5"/>
  <c r="DY173" i="5" s="1"/>
  <c r="AE195" i="5"/>
  <c r="AD195" i="5" s="1"/>
  <c r="AE191" i="5"/>
  <c r="AD191" i="5" s="1"/>
  <c r="AE187" i="5"/>
  <c r="AD187" i="5" s="1"/>
  <c r="AE183" i="5"/>
  <c r="AD183" i="5" s="1"/>
  <c r="AE174" i="5"/>
  <c r="AD174" i="5" s="1"/>
  <c r="AE172" i="5"/>
  <c r="AE171" i="5"/>
  <c r="J198" i="5"/>
  <c r="DS198" i="5" s="1"/>
  <c r="J208" i="5"/>
  <c r="DS208" i="5" s="1"/>
  <c r="AE214" i="5"/>
  <c r="R173" i="5"/>
  <c r="EF173" i="5" s="1"/>
  <c r="EE173" i="5" s="1"/>
  <c r="H194" i="5"/>
  <c r="DY194" i="5" s="1"/>
  <c r="H190" i="5"/>
  <c r="DY190" i="5" s="1"/>
  <c r="H186" i="5"/>
  <c r="DY186" i="5" s="1"/>
  <c r="H182" i="5"/>
  <c r="DY182" i="5" s="1"/>
  <c r="H178" i="5"/>
  <c r="DY178" i="5" s="1"/>
  <c r="H174" i="5"/>
  <c r="DY174" i="5" s="1"/>
  <c r="H170" i="5"/>
  <c r="DY170" i="5" s="1"/>
  <c r="AE194" i="5"/>
  <c r="AD194" i="5" s="1"/>
  <c r="AE192" i="5"/>
  <c r="AD192" i="5" s="1"/>
  <c r="AE190" i="5"/>
  <c r="AD190" i="5" s="1"/>
  <c r="AE188" i="5"/>
  <c r="AD188" i="5" s="1"/>
  <c r="AE186" i="5"/>
  <c r="AD186" i="5" s="1"/>
  <c r="AE184" i="5"/>
  <c r="AD184" i="5" s="1"/>
  <c r="AE182" i="5"/>
  <c r="AD182" i="5" s="1"/>
  <c r="AE180" i="5"/>
  <c r="AD180" i="5" s="1"/>
  <c r="AE176" i="5"/>
  <c r="AD176" i="5" s="1"/>
  <c r="AE175" i="5"/>
  <c r="AD175" i="5" s="1"/>
  <c r="AE170" i="5"/>
  <c r="J215" i="5"/>
  <c r="DS215" i="5" s="1"/>
  <c r="H195" i="5"/>
  <c r="DY195" i="5" s="1"/>
  <c r="H191" i="5"/>
  <c r="DY191" i="5" s="1"/>
  <c r="H187" i="5"/>
  <c r="DY187" i="5" s="1"/>
  <c r="H183" i="5"/>
  <c r="DY183" i="5" s="1"/>
  <c r="H179" i="5"/>
  <c r="DY179" i="5" s="1"/>
  <c r="H171" i="5"/>
  <c r="DY171" i="5" s="1"/>
  <c r="AE181" i="5"/>
  <c r="AD181" i="5" s="1"/>
  <c r="K215" i="5"/>
  <c r="N215" i="5" s="1"/>
  <c r="K213" i="5"/>
  <c r="N213" i="5" s="1"/>
  <c r="K209" i="5"/>
  <c r="N209" i="5" s="1"/>
  <c r="K207" i="5"/>
  <c r="N207" i="5" s="1"/>
  <c r="K205" i="5"/>
  <c r="N205" i="5" s="1"/>
  <c r="K201" i="5"/>
  <c r="N201" i="5" s="1"/>
  <c r="K199" i="5"/>
  <c r="N199" i="5" s="1"/>
  <c r="K197" i="5"/>
  <c r="N197" i="5" s="1"/>
  <c r="AE211" i="5"/>
  <c r="AE210" i="5"/>
  <c r="AE209" i="5"/>
  <c r="AE208" i="5"/>
  <c r="AE205" i="5"/>
  <c r="AE212" i="5"/>
  <c r="AE204" i="5"/>
  <c r="AE203" i="5"/>
  <c r="AE202" i="5"/>
  <c r="AE201" i="5"/>
  <c r="AE200" i="5"/>
  <c r="AE199" i="5"/>
  <c r="AE198" i="5"/>
  <c r="AN198" i="5" s="1"/>
  <c r="DO198" i="5" s="1"/>
  <c r="AE197" i="5"/>
  <c r="AE213" i="5"/>
  <c r="J197" i="5"/>
  <c r="DS197" i="5" s="1"/>
  <c r="J201" i="5"/>
  <c r="DS201" i="5" s="1"/>
  <c r="J209" i="5"/>
  <c r="DS209" i="5" s="1"/>
  <c r="R249" i="5"/>
  <c r="EF249" i="5" s="1"/>
  <c r="EE249" i="5" s="1"/>
  <c r="R248" i="5"/>
  <c r="EF248" i="5" s="1"/>
  <c r="EE248" i="5" s="1"/>
  <c r="R251" i="5"/>
  <c r="EF251" i="5" s="1"/>
  <c r="EE251" i="5" s="1"/>
  <c r="R250" i="5"/>
  <c r="EF250" i="5" s="1"/>
  <c r="EE250" i="5" s="1"/>
  <c r="R156" i="5"/>
  <c r="EF156" i="5" s="1"/>
  <c r="EE156" i="5" s="1"/>
  <c r="EG156" i="5" s="1"/>
  <c r="EJ156" i="5" s="1"/>
  <c r="EK156" i="5" s="1"/>
  <c r="R167" i="5"/>
  <c r="EF167" i="5" s="1"/>
  <c r="EE167" i="5" s="1"/>
  <c r="EG167" i="5" s="1"/>
  <c r="EJ167" i="5" s="1"/>
  <c r="EK167" i="5" s="1"/>
  <c r="R166" i="5"/>
  <c r="EF166" i="5" s="1"/>
  <c r="EE166" i="5" s="1"/>
  <c r="R160" i="5"/>
  <c r="EF160" i="5" s="1"/>
  <c r="EE160" i="5" s="1"/>
  <c r="EG160" i="5" s="1"/>
  <c r="EJ160" i="5" s="1"/>
  <c r="EK160" i="5" s="1"/>
  <c r="J159" i="5"/>
  <c r="DS159" i="5" s="1"/>
  <c r="J157" i="5"/>
  <c r="DS157" i="5" s="1"/>
  <c r="J163" i="5"/>
  <c r="DS163" i="5" s="1"/>
  <c r="J161" i="5"/>
  <c r="DS161" i="5" s="1"/>
  <c r="J167" i="5"/>
  <c r="DS167" i="5" s="1"/>
  <c r="J165" i="5"/>
  <c r="DS165" i="5" s="1"/>
  <c r="AZ167" i="5"/>
  <c r="AZ166" i="5"/>
  <c r="AZ164" i="5"/>
  <c r="AZ163" i="5"/>
  <c r="AZ162" i="5"/>
  <c r="AZ160" i="5"/>
  <c r="AZ159" i="5"/>
  <c r="AZ158" i="5"/>
  <c r="AZ157" i="5"/>
  <c r="AZ156" i="5"/>
  <c r="J164" i="5"/>
  <c r="DS164" i="5" s="1"/>
  <c r="J166" i="5"/>
  <c r="DS166" i="5" s="1"/>
  <c r="R159" i="5"/>
  <c r="EF159" i="5" s="1"/>
  <c r="EE159" i="5" s="1"/>
  <c r="EG159" i="5" s="1"/>
  <c r="EJ159" i="5" s="1"/>
  <c r="EK159" i="5" s="1"/>
  <c r="R162" i="5"/>
  <c r="EF162" i="5" s="1"/>
  <c r="EE162" i="5" s="1"/>
  <c r="EG162" i="5" s="1"/>
  <c r="EJ162" i="5" s="1"/>
  <c r="EK162" i="5" s="1"/>
  <c r="I66" i="5"/>
  <c r="I76" i="5"/>
  <c r="DY76" i="5" s="1"/>
  <c r="I89" i="5"/>
  <c r="DY89" i="5" s="1"/>
  <c r="I62" i="5"/>
  <c r="I79" i="5"/>
  <c r="DY79" i="5" s="1"/>
  <c r="I91" i="5"/>
  <c r="DY91" i="5" s="1"/>
  <c r="I77" i="5"/>
  <c r="I92" i="5"/>
  <c r="I93" i="5"/>
  <c r="I88" i="5"/>
  <c r="DY88" i="5" s="1"/>
  <c r="I69" i="5"/>
  <c r="I60" i="5"/>
  <c r="CW84" i="20" l="1"/>
  <c r="CW419" i="20"/>
  <c r="FJ311" i="20"/>
  <c r="FJ289" i="20"/>
  <c r="FJ285" i="20"/>
  <c r="FJ405" i="20"/>
  <c r="FJ362" i="20"/>
  <c r="FJ358" i="20"/>
  <c r="FJ299" i="20"/>
  <c r="CW261" i="20"/>
  <c r="FJ207" i="20"/>
  <c r="CW171" i="20"/>
  <c r="EW161" i="20"/>
  <c r="EX161" i="20" s="1"/>
  <c r="DS161" i="20" s="1"/>
  <c r="EW163" i="20"/>
  <c r="EX163" i="20" s="1"/>
  <c r="DS163" i="20" s="1"/>
  <c r="CW97" i="20"/>
  <c r="CW95" i="20"/>
  <c r="FJ64" i="20"/>
  <c r="FJ432" i="20"/>
  <c r="FJ360" i="20"/>
  <c r="FJ349" i="20"/>
  <c r="FJ335" i="20"/>
  <c r="CW184" i="20"/>
  <c r="FJ82" i="20"/>
  <c r="CW79" i="20"/>
  <c r="CW87" i="20"/>
  <c r="FJ59" i="20"/>
  <c r="FJ57" i="20"/>
  <c r="BC96" i="21"/>
  <c r="CN96" i="21" s="1"/>
  <c r="DR193" i="21"/>
  <c r="BC291" i="21"/>
  <c r="CN291" i="21" s="1"/>
  <c r="BC288" i="21"/>
  <c r="CN288" i="21" s="1"/>
  <c r="DM123" i="21"/>
  <c r="BC325" i="21"/>
  <c r="CN325" i="21" s="1"/>
  <c r="DQ169" i="21"/>
  <c r="DR169" i="21" s="1"/>
  <c r="BC411" i="21"/>
  <c r="CN411" i="21" s="1"/>
  <c r="BC312" i="21"/>
  <c r="CN312" i="21" s="1"/>
  <c r="DS167" i="21"/>
  <c r="CQ167" i="21"/>
  <c r="DS475" i="21"/>
  <c r="BC395" i="21"/>
  <c r="CN395" i="21" s="1"/>
  <c r="BC347" i="21"/>
  <c r="CN347" i="21" s="1"/>
  <c r="BC305" i="21"/>
  <c r="CN305" i="21" s="1"/>
  <c r="BC276" i="21"/>
  <c r="CN276" i="21" s="1"/>
  <c r="EW492" i="21"/>
  <c r="BC207" i="21"/>
  <c r="CN207" i="21" s="1"/>
  <c r="DM125" i="21"/>
  <c r="DM146" i="21"/>
  <c r="DM106" i="21"/>
  <c r="ES106" i="21"/>
  <c r="ER106" i="21"/>
  <c r="EW106" i="21"/>
  <c r="BC413" i="21"/>
  <c r="CN413" i="21" s="1"/>
  <c r="DM133" i="21"/>
  <c r="BC447" i="21"/>
  <c r="CN447" i="21" s="1"/>
  <c r="DM131" i="21"/>
  <c r="FJ318" i="21"/>
  <c r="DC318" i="21"/>
  <c r="FJ165" i="21"/>
  <c r="FS56" i="21" s="1"/>
  <c r="CW165" i="21"/>
  <c r="CW3" i="21" s="1"/>
  <c r="CP16" i="21"/>
  <c r="CP17" i="21"/>
  <c r="CP14" i="21"/>
  <c r="CP15" i="21" s="1"/>
  <c r="BC204" i="21"/>
  <c r="CN204" i="21" s="1"/>
  <c r="DM428" i="21"/>
  <c r="DU218" i="21"/>
  <c r="AV218" i="21"/>
  <c r="AW218" i="21" s="1"/>
  <c r="FH358" i="21"/>
  <c r="CV358" i="21"/>
  <c r="CW313" i="21"/>
  <c r="FJ313" i="21"/>
  <c r="ED371" i="21"/>
  <c r="CR371" i="21" s="1"/>
  <c r="FJ333" i="21"/>
  <c r="CW333" i="21"/>
  <c r="DM364" i="21"/>
  <c r="CV220" i="21"/>
  <c r="FH220" i="21"/>
  <c r="BC278" i="21"/>
  <c r="CN278" i="21" s="1"/>
  <c r="BO61" i="21"/>
  <c r="DM294" i="21"/>
  <c r="BM111" i="21"/>
  <c r="BL111" i="21"/>
  <c r="BN111" i="21" s="1"/>
  <c r="BC438" i="21"/>
  <c r="CN438" i="21" s="1"/>
  <c r="AU195" i="21"/>
  <c r="AR195" i="21"/>
  <c r="ED353" i="21"/>
  <c r="CR353" i="21" s="1"/>
  <c r="DM317" i="21"/>
  <c r="FJ341" i="21"/>
  <c r="DC341" i="21"/>
  <c r="FJ391" i="21"/>
  <c r="CW391" i="21"/>
  <c r="BJ316" i="21"/>
  <c r="FH391" i="21"/>
  <c r="CV391" i="21"/>
  <c r="FJ374" i="21"/>
  <c r="CW374" i="21"/>
  <c r="FL177" i="21"/>
  <c r="DF177" i="21"/>
  <c r="DB389" i="21"/>
  <c r="FH389" i="21"/>
  <c r="DM100" i="21"/>
  <c r="DM438" i="21"/>
  <c r="DM409" i="21"/>
  <c r="AZ289" i="21"/>
  <c r="DM416" i="21"/>
  <c r="FP56" i="21"/>
  <c r="ED289" i="21"/>
  <c r="CR289" i="21" s="1"/>
  <c r="AZ306" i="21"/>
  <c r="DA1" i="21"/>
  <c r="DA2" i="21" s="1"/>
  <c r="DC250" i="21"/>
  <c r="FJ250" i="21"/>
  <c r="FH239" i="21"/>
  <c r="CV239" i="21"/>
  <c r="DF169" i="21"/>
  <c r="FL169" i="21"/>
  <c r="BC233" i="21"/>
  <c r="CN233" i="21" s="1"/>
  <c r="BJ336" i="21"/>
  <c r="CW233" i="21"/>
  <c r="FJ233" i="21"/>
  <c r="ER214" i="21"/>
  <c r="ES214" i="21"/>
  <c r="EW214" i="21" s="1"/>
  <c r="EX20" i="21"/>
  <c r="FB20" i="21"/>
  <c r="AT219" i="21"/>
  <c r="AP220" i="21"/>
  <c r="AQ219" i="21"/>
  <c r="CV54" i="21"/>
  <c r="FH54" i="21"/>
  <c r="DB142" i="21"/>
  <c r="FH142" i="21"/>
  <c r="DM204" i="21"/>
  <c r="DB363" i="21"/>
  <c r="FH363" i="21"/>
  <c r="DB298" i="21"/>
  <c r="FH298" i="21"/>
  <c r="FJ205" i="21"/>
  <c r="CW205" i="21"/>
  <c r="FH135" i="21"/>
  <c r="CV135" i="21"/>
  <c r="BC396" i="21"/>
  <c r="CN396" i="21" s="1"/>
  <c r="BC318" i="21"/>
  <c r="CN318" i="21" s="1"/>
  <c r="DM350" i="21"/>
  <c r="CW75" i="21"/>
  <c r="FJ75" i="21"/>
  <c r="FL351" i="21"/>
  <c r="CZ351" i="21"/>
  <c r="FJ440" i="21"/>
  <c r="DC440" i="21"/>
  <c r="DM82" i="21"/>
  <c r="DR212" i="21"/>
  <c r="DS212" i="21" s="1"/>
  <c r="FJ187" i="21"/>
  <c r="DC187" i="21"/>
  <c r="DR480" i="21"/>
  <c r="DS480" i="21" s="1"/>
  <c r="BC448" i="21"/>
  <c r="CN448" i="21" s="1"/>
  <c r="FH397" i="21"/>
  <c r="DB397" i="21"/>
  <c r="DF389" i="21"/>
  <c r="FL389" i="21"/>
  <c r="DM89" i="21"/>
  <c r="FJ380" i="21"/>
  <c r="CW380" i="21"/>
  <c r="DM273" i="21"/>
  <c r="CW234" i="21"/>
  <c r="FJ234" i="21"/>
  <c r="FH140" i="21"/>
  <c r="DB140" i="21"/>
  <c r="FH272" i="21"/>
  <c r="CV272" i="21"/>
  <c r="FP58" i="21"/>
  <c r="CV102" i="21"/>
  <c r="FH102" i="21"/>
  <c r="CZ370" i="21"/>
  <c r="FL370" i="21"/>
  <c r="CU3" i="21"/>
  <c r="ED293" i="21"/>
  <c r="CR293" i="21" s="1"/>
  <c r="FH116" i="21"/>
  <c r="CV116" i="21"/>
  <c r="BM108" i="21"/>
  <c r="BL108" i="21"/>
  <c r="BN108" i="21" s="1"/>
  <c r="CV57" i="21"/>
  <c r="FH57" i="21"/>
  <c r="DM369" i="21"/>
  <c r="BP90" i="21"/>
  <c r="EI90" i="21" s="1"/>
  <c r="BC367" i="21"/>
  <c r="CN367" i="21" s="1"/>
  <c r="DQ491" i="21"/>
  <c r="DR491" i="21" s="1"/>
  <c r="DS491" i="21" s="1"/>
  <c r="FH380" i="21"/>
  <c r="CV380" i="21"/>
  <c r="DF250" i="21"/>
  <c r="FL250" i="21"/>
  <c r="DM139" i="21"/>
  <c r="DM205" i="21"/>
  <c r="DC353" i="21"/>
  <c r="FJ353" i="21"/>
  <c r="CZ210" i="21"/>
  <c r="FL210" i="21"/>
  <c r="ED243" i="21"/>
  <c r="CR243" i="21" s="1"/>
  <c r="DM440" i="21"/>
  <c r="CV290" i="21"/>
  <c r="FH290" i="21"/>
  <c r="DM359" i="21"/>
  <c r="BC307" i="21"/>
  <c r="CN307" i="21" s="1"/>
  <c r="DQ480" i="21"/>
  <c r="FJ362" i="21"/>
  <c r="CW362" i="21"/>
  <c r="FJ330" i="21"/>
  <c r="DC330" i="21"/>
  <c r="AT170" i="21"/>
  <c r="AP171" i="21"/>
  <c r="AQ170" i="21"/>
  <c r="DM302" i="21"/>
  <c r="DM382" i="21"/>
  <c r="CV422" i="21"/>
  <c r="FH422" i="21"/>
  <c r="DM86" i="21"/>
  <c r="DM71" i="21"/>
  <c r="ED323" i="21"/>
  <c r="CR323" i="21" s="1"/>
  <c r="FH393" i="21"/>
  <c r="CV393" i="21"/>
  <c r="CW59" i="21"/>
  <c r="FJ59" i="21"/>
  <c r="CG1" i="21"/>
  <c r="CP3" i="21"/>
  <c r="CG3" i="21"/>
  <c r="FP53" i="21"/>
  <c r="DS486" i="21"/>
  <c r="FH265" i="21"/>
  <c r="DB265" i="21"/>
  <c r="FJ438" i="21"/>
  <c r="CW438" i="21"/>
  <c r="DM384" i="21"/>
  <c r="FH245" i="21"/>
  <c r="DB245" i="21"/>
  <c r="FJ395" i="21"/>
  <c r="DC395" i="21"/>
  <c r="AZ435" i="21"/>
  <c r="CZ407" i="21"/>
  <c r="FL407" i="21"/>
  <c r="ED279" i="21"/>
  <c r="CR279" i="21" s="1"/>
  <c r="FH275" i="21"/>
  <c r="CV275" i="21"/>
  <c r="BO90" i="21"/>
  <c r="AZ428" i="21"/>
  <c r="BC331" i="21"/>
  <c r="CN331" i="21" s="1"/>
  <c r="FL315" i="21"/>
  <c r="DF315" i="21"/>
  <c r="DM368" i="21"/>
  <c r="DC296" i="21"/>
  <c r="FJ296" i="21"/>
  <c r="FH143" i="21"/>
  <c r="DB143" i="21"/>
  <c r="FH375" i="21"/>
  <c r="CV375" i="21"/>
  <c r="DM287" i="21"/>
  <c r="DM316" i="21"/>
  <c r="DM263" i="21"/>
  <c r="DN493" i="21"/>
  <c r="ES493" i="21"/>
  <c r="ER493" i="21"/>
  <c r="FL319" i="21"/>
  <c r="DF319" i="21"/>
  <c r="FL171" i="21"/>
  <c r="CZ171" i="21"/>
  <c r="BC415" i="21"/>
  <c r="CN415" i="21" s="1"/>
  <c r="FJ319" i="21"/>
  <c r="DC319" i="21"/>
  <c r="BC178" i="21"/>
  <c r="CN178" i="21" s="1"/>
  <c r="FL326" i="21"/>
  <c r="CZ326" i="21"/>
  <c r="DM270" i="21"/>
  <c r="DB334" i="21"/>
  <c r="FH334" i="21"/>
  <c r="DQ22" i="21"/>
  <c r="BP86" i="21"/>
  <c r="EI86" i="21" s="1"/>
  <c r="DM332" i="21"/>
  <c r="CV281" i="21"/>
  <c r="FH281" i="21"/>
  <c r="DN481" i="21"/>
  <c r="ES481" i="21"/>
  <c r="ER481" i="21"/>
  <c r="FP61" i="21"/>
  <c r="DB90" i="21"/>
  <c r="FH90" i="21"/>
  <c r="DB91" i="21"/>
  <c r="FH91" i="21"/>
  <c r="DM425" i="21"/>
  <c r="CV132" i="21"/>
  <c r="FH132" i="21"/>
  <c r="FH189" i="21"/>
  <c r="CV189" i="21"/>
  <c r="AU108" i="21"/>
  <c r="AR108" i="21"/>
  <c r="BH395" i="21"/>
  <c r="BJ395" i="21" s="1"/>
  <c r="CV442" i="21"/>
  <c r="FH442" i="21"/>
  <c r="DM64" i="21"/>
  <c r="ES24" i="21"/>
  <c r="ER24" i="21"/>
  <c r="DM339" i="21"/>
  <c r="DQ194" i="21"/>
  <c r="DR194" i="21" s="1"/>
  <c r="DM404" i="21"/>
  <c r="CM2" i="21"/>
  <c r="CD2" i="21"/>
  <c r="DM398" i="21"/>
  <c r="DB441" i="21"/>
  <c r="FH441" i="21"/>
  <c r="BP72" i="21"/>
  <c r="EI72" i="21" s="1"/>
  <c r="DM254" i="21"/>
  <c r="DB437" i="21"/>
  <c r="FH437" i="21"/>
  <c r="ED354" i="21"/>
  <c r="CR354" i="21" s="1"/>
  <c r="ED338" i="21"/>
  <c r="CR338" i="21" s="1"/>
  <c r="BC99" i="21"/>
  <c r="CN99" i="21" s="1"/>
  <c r="DC152" i="21"/>
  <c r="FJ152" i="21"/>
  <c r="FS60" i="21" s="1"/>
  <c r="DM83" i="21"/>
  <c r="DM415" i="21"/>
  <c r="BC403" i="21"/>
  <c r="CN403" i="21" s="1"/>
  <c r="BO83" i="21"/>
  <c r="BP83" i="21" s="1"/>
  <c r="EI83" i="21" s="1"/>
  <c r="FH381" i="21"/>
  <c r="CV381" i="21"/>
  <c r="ED241" i="21"/>
  <c r="CR241" i="21" s="1"/>
  <c r="ED292" i="21"/>
  <c r="CR292" i="21" s="1"/>
  <c r="DM92" i="21"/>
  <c r="BO86" i="21"/>
  <c r="DQ24" i="21"/>
  <c r="DM358" i="21"/>
  <c r="FP60" i="21"/>
  <c r="FH386" i="21"/>
  <c r="CV386" i="21"/>
  <c r="CV123" i="21"/>
  <c r="FH123" i="21"/>
  <c r="DM257" i="21"/>
  <c r="BO92" i="21"/>
  <c r="BP92" i="21" s="1"/>
  <c r="EI92" i="21" s="1"/>
  <c r="BP104" i="21"/>
  <c r="EI104" i="21" s="1"/>
  <c r="EH104" i="21" s="1"/>
  <c r="AZ387" i="21"/>
  <c r="CW385" i="21"/>
  <c r="FJ385" i="21"/>
  <c r="FL328" i="21"/>
  <c r="CZ328" i="21"/>
  <c r="DB146" i="21"/>
  <c r="FH146" i="21"/>
  <c r="ED221" i="21"/>
  <c r="CR221" i="21" s="1"/>
  <c r="DM267" i="21"/>
  <c r="BP62" i="21"/>
  <c r="EI62" i="21" s="1"/>
  <c r="BH325" i="21"/>
  <c r="BJ325" i="21" s="1"/>
  <c r="AZ111" i="21"/>
  <c r="BC111" i="21" s="1"/>
  <c r="AY111" i="21"/>
  <c r="DA3" i="21"/>
  <c r="DM127" i="21"/>
  <c r="CV114" i="21"/>
  <c r="FH114" i="21"/>
  <c r="DP479" i="21"/>
  <c r="DO479" i="21"/>
  <c r="FH69" i="21"/>
  <c r="CV69" i="21"/>
  <c r="AV195" i="21"/>
  <c r="AW195" i="21" s="1"/>
  <c r="BC195" i="21"/>
  <c r="CN195" i="21" s="1"/>
  <c r="FJ272" i="21"/>
  <c r="CW272" i="21"/>
  <c r="ED281" i="21"/>
  <c r="CR281" i="21" s="1"/>
  <c r="FL286" i="21"/>
  <c r="DF286" i="21"/>
  <c r="BC263" i="21"/>
  <c r="CN263" i="21" s="1"/>
  <c r="ED299" i="21"/>
  <c r="CR299" i="21" s="1"/>
  <c r="DB359" i="21"/>
  <c r="FH359" i="21"/>
  <c r="BC376" i="21"/>
  <c r="CN376" i="21" s="1"/>
  <c r="BC409" i="21"/>
  <c r="CN409" i="21" s="1"/>
  <c r="ED215" i="21"/>
  <c r="DQ215" i="21"/>
  <c r="DP215" i="21"/>
  <c r="DO215" i="21"/>
  <c r="CU10" i="21"/>
  <c r="CU11" i="21" s="1"/>
  <c r="CV97" i="21"/>
  <c r="FH97" i="21"/>
  <c r="CV181" i="21"/>
  <c r="FH181" i="21"/>
  <c r="BP76" i="21"/>
  <c r="EI76" i="21" s="1"/>
  <c r="CW419" i="21"/>
  <c r="FJ419" i="21"/>
  <c r="BH288" i="21"/>
  <c r="BJ288" i="21" s="1"/>
  <c r="FJ356" i="21"/>
  <c r="CW356" i="21"/>
  <c r="CV56" i="21"/>
  <c r="FH56" i="21"/>
  <c r="CV53" i="21"/>
  <c r="FH53" i="21"/>
  <c r="DB301" i="21"/>
  <c r="FH301" i="21"/>
  <c r="ED378" i="21"/>
  <c r="CR378" i="21" s="1"/>
  <c r="FH373" i="21"/>
  <c r="DB373" i="21"/>
  <c r="FH145" i="21"/>
  <c r="DB145" i="21"/>
  <c r="FH74" i="21"/>
  <c r="CV74" i="21"/>
  <c r="DM387" i="21"/>
  <c r="DM336" i="21"/>
  <c r="BC370" i="21"/>
  <c r="CN370" i="21" s="1"/>
  <c r="FL184" i="21"/>
  <c r="CZ184" i="21"/>
  <c r="BC361" i="21"/>
  <c r="CN361" i="21" s="1"/>
  <c r="BJ307" i="21"/>
  <c r="DB169" i="21"/>
  <c r="FH169" i="21"/>
  <c r="CW66" i="21"/>
  <c r="FJ66" i="21"/>
  <c r="ED277" i="21"/>
  <c r="CR277" i="21" s="1"/>
  <c r="DD14" i="21"/>
  <c r="DD15" i="21" s="1"/>
  <c r="FH192" i="21"/>
  <c r="CV192" i="21"/>
  <c r="DM62" i="21"/>
  <c r="EM108" i="21"/>
  <c r="EP108" i="21" s="1"/>
  <c r="EQ108" i="21" s="1"/>
  <c r="CX9" i="21"/>
  <c r="CF1" i="21"/>
  <c r="DM301" i="21"/>
  <c r="AP197" i="21"/>
  <c r="AT196" i="21"/>
  <c r="DU196" i="21" s="1"/>
  <c r="FH193" i="21"/>
  <c r="CV193" i="21"/>
  <c r="ED278" i="21"/>
  <c r="CR278" i="21" s="1"/>
  <c r="BC345" i="21"/>
  <c r="CN345" i="21" s="1"/>
  <c r="FH119" i="21"/>
  <c r="DB119" i="21"/>
  <c r="DB10" i="21" s="1"/>
  <c r="DB11" i="21" s="1"/>
  <c r="DB295" i="21"/>
  <c r="FH295" i="21"/>
  <c r="CU9" i="21"/>
  <c r="FH115" i="21"/>
  <c r="CV115" i="21"/>
  <c r="FH139" i="21"/>
  <c r="DB139" i="21"/>
  <c r="ED314" i="21"/>
  <c r="CR314" i="21" s="1"/>
  <c r="BH291" i="21"/>
  <c r="BJ291" i="21" s="1"/>
  <c r="BE109" i="21"/>
  <c r="BF109" i="21" s="1"/>
  <c r="FX109" i="21"/>
  <c r="GA109" i="21" s="1"/>
  <c r="CA109" i="21"/>
  <c r="BZ109" i="21"/>
  <c r="BR109" i="21"/>
  <c r="DZ109" i="21" s="1"/>
  <c r="EB109" i="21" s="1"/>
  <c r="BK109" i="21"/>
  <c r="AN109" i="21"/>
  <c r="AQ109" i="21" s="1"/>
  <c r="EE109" i="21"/>
  <c r="EE4" i="21" s="1"/>
  <c r="T109" i="21"/>
  <c r="AT109" i="21"/>
  <c r="DU109" i="21" s="1"/>
  <c r="AZ332" i="21"/>
  <c r="CP6" i="21"/>
  <c r="CP7" i="21" s="1"/>
  <c r="FJ259" i="21"/>
  <c r="DC259" i="21"/>
  <c r="DQ26" i="21"/>
  <c r="BP54" i="21"/>
  <c r="EI54" i="21" s="1"/>
  <c r="AZ404" i="21"/>
  <c r="BP66" i="21"/>
  <c r="EI66" i="21" s="1"/>
  <c r="CW343" i="21"/>
  <c r="FJ343" i="21"/>
  <c r="CV61" i="21"/>
  <c r="FH61" i="21"/>
  <c r="CX4" i="21"/>
  <c r="DQ30" i="21"/>
  <c r="FH121" i="21"/>
  <c r="DB121" i="21"/>
  <c r="FJ186" i="21"/>
  <c r="DC186" i="21"/>
  <c r="DC4" i="21" s="1"/>
  <c r="BP99" i="21"/>
  <c r="EI99" i="21" s="1"/>
  <c r="AZ296" i="21"/>
  <c r="CO6" i="21"/>
  <c r="CO7" i="21" s="1"/>
  <c r="FH311" i="21"/>
  <c r="CV311" i="21"/>
  <c r="ED436" i="21"/>
  <c r="CR436" i="21" s="1"/>
  <c r="DD17" i="21"/>
  <c r="DB427" i="21"/>
  <c r="FH427" i="21"/>
  <c r="FL178" i="21"/>
  <c r="DF178" i="21"/>
  <c r="DN195" i="21"/>
  <c r="DP195" i="21" s="1"/>
  <c r="DQ195" i="21" s="1"/>
  <c r="EM195" i="21"/>
  <c r="EP195" i="21" s="1"/>
  <c r="EQ195" i="21" s="1"/>
  <c r="DM431" i="21"/>
  <c r="FL355" i="21"/>
  <c r="DF355" i="21"/>
  <c r="FL211" i="21"/>
  <c r="CZ211" i="21"/>
  <c r="DS159" i="21"/>
  <c r="BC330" i="21"/>
  <c r="CN330" i="21" s="1"/>
  <c r="BH312" i="21"/>
  <c r="BJ312" i="21" s="1"/>
  <c r="DM306" i="21"/>
  <c r="AZ336" i="21"/>
  <c r="FH182" i="21"/>
  <c r="CV182" i="21"/>
  <c r="AZ383" i="21"/>
  <c r="DM352" i="21"/>
  <c r="DM379" i="21"/>
  <c r="CU4" i="21"/>
  <c r="CV423" i="21"/>
  <c r="FH423" i="21"/>
  <c r="DB257" i="21"/>
  <c r="FH257" i="21"/>
  <c r="EX157" i="21"/>
  <c r="DS157" i="21" s="1"/>
  <c r="AZ408" i="21"/>
  <c r="ED449" i="21"/>
  <c r="CR449" i="21" s="1"/>
  <c r="AU24" i="21"/>
  <c r="AR24" i="21"/>
  <c r="DM297" i="21"/>
  <c r="BC258" i="21"/>
  <c r="CN258" i="21" s="1"/>
  <c r="DM394" i="21"/>
  <c r="FL444" i="21"/>
  <c r="DF444" i="21"/>
  <c r="ED342" i="21"/>
  <c r="CR342" i="21" s="1"/>
  <c r="AP112" i="21"/>
  <c r="AT111" i="21"/>
  <c r="DU111" i="21" s="1"/>
  <c r="AQ111" i="21"/>
  <c r="DC367" i="21"/>
  <c r="FJ367" i="21"/>
  <c r="BJ201" i="21"/>
  <c r="ED245" i="21"/>
  <c r="CR245" i="21" s="1"/>
  <c r="FL432" i="21"/>
  <c r="CZ432" i="21"/>
  <c r="DM414" i="21"/>
  <c r="FH321" i="21"/>
  <c r="DB321" i="21"/>
  <c r="DM196" i="21"/>
  <c r="DO472" i="21"/>
  <c r="DP472" i="21"/>
  <c r="FL197" i="21"/>
  <c r="CZ197" i="21"/>
  <c r="CW285" i="21"/>
  <c r="FJ285" i="21"/>
  <c r="DC293" i="21"/>
  <c r="FJ293" i="21"/>
  <c r="FJ86" i="21"/>
  <c r="CW86" i="21"/>
  <c r="CV76" i="21"/>
  <c r="FH76" i="21"/>
  <c r="FH66" i="21"/>
  <c r="CV66" i="21"/>
  <c r="DB323" i="21"/>
  <c r="FH323" i="21"/>
  <c r="DR485" i="21"/>
  <c r="DS485" i="21" s="1"/>
  <c r="CP1" i="21"/>
  <c r="FJ188" i="21"/>
  <c r="DC188" i="21"/>
  <c r="DC1" i="21" s="1"/>
  <c r="DC2" i="21" s="1"/>
  <c r="CW311" i="21"/>
  <c r="FJ311" i="21"/>
  <c r="DM72" i="21"/>
  <c r="BC439" i="21"/>
  <c r="CN439" i="21" s="1"/>
  <c r="FJ173" i="21"/>
  <c r="DC173" i="21"/>
  <c r="FL240" i="21"/>
  <c r="CZ240" i="21"/>
  <c r="DM59" i="21"/>
  <c r="FJ352" i="21"/>
  <c r="CW352" i="21"/>
  <c r="EW24" i="21"/>
  <c r="BC392" i="21"/>
  <c r="CN392" i="21" s="1"/>
  <c r="ES165" i="21"/>
  <c r="ER165" i="21"/>
  <c r="EW165" i="21" s="1"/>
  <c r="ED219" i="21"/>
  <c r="FL189" i="21"/>
  <c r="CZ189" i="21"/>
  <c r="FH434" i="21"/>
  <c r="CV434" i="21"/>
  <c r="BC302" i="21"/>
  <c r="CN302" i="21" s="1"/>
  <c r="DR487" i="21"/>
  <c r="DS487" i="21" s="1"/>
  <c r="FL357" i="21"/>
  <c r="DF357" i="21"/>
  <c r="DN470" i="21"/>
  <c r="ES470" i="21"/>
  <c r="ER470" i="21"/>
  <c r="DB259" i="21"/>
  <c r="FH259" i="21"/>
  <c r="DM333" i="21"/>
  <c r="FH134" i="21"/>
  <c r="CV134" i="21"/>
  <c r="ED272" i="21"/>
  <c r="CR272" i="21" s="1"/>
  <c r="DM113" i="21"/>
  <c r="DM119" i="21"/>
  <c r="FH79" i="21"/>
  <c r="CV79" i="21"/>
  <c r="DC257" i="21"/>
  <c r="FJ257" i="21"/>
  <c r="FJ445" i="21"/>
  <c r="DC445" i="21"/>
  <c r="EX215" i="21"/>
  <c r="FL194" i="21"/>
  <c r="CZ194" i="21"/>
  <c r="CZ300" i="21"/>
  <c r="FL300" i="21"/>
  <c r="DB400" i="21"/>
  <c r="FH400" i="21"/>
  <c r="ED420" i="21"/>
  <c r="CR420" i="21" s="1"/>
  <c r="BO76" i="21"/>
  <c r="FJ345" i="21"/>
  <c r="DC345" i="21"/>
  <c r="DQ214" i="21"/>
  <c r="DR214" i="21" s="1"/>
  <c r="ED242" i="21"/>
  <c r="CZ402" i="21"/>
  <c r="FL402" i="21"/>
  <c r="DM330" i="21"/>
  <c r="DF225" i="21"/>
  <c r="FL225" i="21"/>
  <c r="DM383" i="21"/>
  <c r="CV126" i="21"/>
  <c r="FH126" i="21"/>
  <c r="CZ348" i="21"/>
  <c r="FL348" i="21"/>
  <c r="FL187" i="21"/>
  <c r="DF187" i="21"/>
  <c r="FL174" i="21"/>
  <c r="DF174" i="21"/>
  <c r="CU13" i="21"/>
  <c r="DM418" i="21"/>
  <c r="FL179" i="21"/>
  <c r="CZ179" i="21"/>
  <c r="DM447" i="21"/>
  <c r="FH410" i="21"/>
  <c r="CV410" i="21"/>
  <c r="BC221" i="21"/>
  <c r="CN221" i="21" s="1"/>
  <c r="DM61" i="21"/>
  <c r="FH231" i="21"/>
  <c r="CV231" i="21"/>
  <c r="DR21" i="21"/>
  <c r="DS21" i="21" s="1"/>
  <c r="ED435" i="21"/>
  <c r="CR435" i="21" s="1"/>
  <c r="BC200" i="21"/>
  <c r="CN200" i="21" s="1"/>
  <c r="DQ51" i="21"/>
  <c r="AV169" i="21"/>
  <c r="AW169" i="21" s="1"/>
  <c r="DF412" i="21"/>
  <c r="FL412" i="21"/>
  <c r="FH183" i="21"/>
  <c r="DB183" i="21"/>
  <c r="DC316" i="21"/>
  <c r="FJ316" i="21"/>
  <c r="EW476" i="21"/>
  <c r="EX476" i="21" s="1"/>
  <c r="DQ494" i="21"/>
  <c r="DR494" i="21" s="1"/>
  <c r="DS494" i="21" s="1"/>
  <c r="BC251" i="21"/>
  <c r="CN251" i="21" s="1"/>
  <c r="CP9" i="21"/>
  <c r="BC261" i="21"/>
  <c r="CN261" i="21" s="1"/>
  <c r="ED430" i="21"/>
  <c r="CR430" i="21" s="1"/>
  <c r="DM116" i="21"/>
  <c r="FL375" i="21"/>
  <c r="CZ375" i="21"/>
  <c r="FL172" i="21"/>
  <c r="CZ172" i="21"/>
  <c r="FH243" i="21"/>
  <c r="CV243" i="21"/>
  <c r="CX3" i="21"/>
  <c r="BC241" i="21"/>
  <c r="CN241" i="21" s="1"/>
  <c r="DC421" i="21"/>
  <c r="FJ421" i="21"/>
  <c r="FH185" i="21"/>
  <c r="CV185" i="21"/>
  <c r="BC414" i="21"/>
  <c r="CN414" i="21" s="1"/>
  <c r="CO3" i="21"/>
  <c r="DM307" i="21"/>
  <c r="CV360" i="21"/>
  <c r="FH360" i="21"/>
  <c r="CW232" i="21"/>
  <c r="FJ232" i="21"/>
  <c r="FH194" i="21"/>
  <c r="CV194" i="21"/>
  <c r="EM169" i="21"/>
  <c r="EP169" i="21" s="1"/>
  <c r="EQ169" i="21" s="1"/>
  <c r="CZ261" i="21"/>
  <c r="FL261" i="21"/>
  <c r="FH355" i="21"/>
  <c r="DB355" i="21"/>
  <c r="FH133" i="21"/>
  <c r="CV133" i="21"/>
  <c r="DP476" i="21"/>
  <c r="DO476" i="21"/>
  <c r="CV287" i="21"/>
  <c r="FH287" i="21"/>
  <c r="FL244" i="21"/>
  <c r="DF244" i="21"/>
  <c r="EW496" i="21"/>
  <c r="BO71" i="21"/>
  <c r="BP71" i="21" s="1"/>
  <c r="EI71" i="21" s="1"/>
  <c r="EX23" i="21"/>
  <c r="EW23" i="21"/>
  <c r="FB23" i="21" s="1"/>
  <c r="BC196" i="21"/>
  <c r="CN196" i="21" s="1"/>
  <c r="AV196" i="21"/>
  <c r="AW196" i="21" s="1"/>
  <c r="ED341" i="21"/>
  <c r="CR341" i="21" s="1"/>
  <c r="CZ304" i="21"/>
  <c r="FL304" i="21"/>
  <c r="DM376" i="21"/>
  <c r="BO64" i="21"/>
  <c r="BP64" i="21" s="1"/>
  <c r="EI64" i="21" s="1"/>
  <c r="DM441" i="21"/>
  <c r="BC203" i="21"/>
  <c r="CN203" i="21" s="1"/>
  <c r="CV368" i="21"/>
  <c r="FH368" i="21"/>
  <c r="FL271" i="21"/>
  <c r="DF271" i="21"/>
  <c r="AP26" i="21"/>
  <c r="AT25" i="21"/>
  <c r="DU25" i="21" s="1"/>
  <c r="DM312" i="21"/>
  <c r="ES22" i="21"/>
  <c r="ER22" i="21"/>
  <c r="FH436" i="21"/>
  <c r="DB436" i="21"/>
  <c r="FJ432" i="21"/>
  <c r="CW432" i="21"/>
  <c r="ED295" i="21"/>
  <c r="CR295" i="21" s="1"/>
  <c r="CW261" i="21"/>
  <c r="FJ261" i="21"/>
  <c r="CX1" i="21"/>
  <c r="CX2" i="21" s="1"/>
  <c r="ED337" i="21"/>
  <c r="CR337" i="21" s="1"/>
  <c r="CX14" i="21"/>
  <c r="CX15" i="21" s="1"/>
  <c r="ED198" i="21"/>
  <c r="CR198" i="21" s="1"/>
  <c r="FJ340" i="21"/>
  <c r="CW340" i="21"/>
  <c r="DM366" i="21"/>
  <c r="DM124" i="21"/>
  <c r="CO8" i="21"/>
  <c r="DC267" i="21"/>
  <c r="FJ267" i="21"/>
  <c r="BJ376" i="21"/>
  <c r="BC418" i="21"/>
  <c r="CN418" i="21" s="1"/>
  <c r="DM391" i="21"/>
  <c r="FH210" i="21"/>
  <c r="CV210" i="21"/>
  <c r="BC405" i="21"/>
  <c r="CN405" i="21" s="1"/>
  <c r="DM442" i="21"/>
  <c r="ES217" i="21"/>
  <c r="ER217" i="21"/>
  <c r="ED253" i="21"/>
  <c r="CR253" i="21" s="1"/>
  <c r="CW231" i="21"/>
  <c r="FJ231" i="21"/>
  <c r="CV285" i="21"/>
  <c r="FH285" i="21"/>
  <c r="CV223" i="21"/>
  <c r="FH223" i="21"/>
  <c r="BC283" i="21"/>
  <c r="CN283" i="21" s="1"/>
  <c r="FJ382" i="21"/>
  <c r="DC382" i="21"/>
  <c r="DQ39" i="21"/>
  <c r="FL188" i="21"/>
  <c r="DF188" i="21"/>
  <c r="CZ268" i="21"/>
  <c r="FL268" i="21"/>
  <c r="CV112" i="21"/>
  <c r="FH112" i="21"/>
  <c r="CN13" i="21"/>
  <c r="CN10" i="21"/>
  <c r="CN11" i="21" s="1"/>
  <c r="CN12" i="21"/>
  <c r="DN496" i="21"/>
  <c r="ES496" i="21"/>
  <c r="ER496" i="21"/>
  <c r="ED322" i="21"/>
  <c r="CR322" i="21" s="1"/>
  <c r="BC431" i="21"/>
  <c r="CN431" i="21" s="1"/>
  <c r="CZ235" i="21"/>
  <c r="FL235" i="21"/>
  <c r="ED437" i="21"/>
  <c r="CR437" i="21" s="1"/>
  <c r="BC352" i="21"/>
  <c r="CN352" i="21" s="1"/>
  <c r="FH98" i="21"/>
  <c r="CV98" i="21"/>
  <c r="DA14" i="21"/>
  <c r="DA15" i="21" s="1"/>
  <c r="BC339" i="21"/>
  <c r="CN339" i="21" s="1"/>
  <c r="CU1" i="21"/>
  <c r="CU2" i="21" s="1"/>
  <c r="FJ428" i="21"/>
  <c r="CW428" i="21"/>
  <c r="FH78" i="21"/>
  <c r="CV78" i="21"/>
  <c r="BC449" i="21"/>
  <c r="CN449" i="21" s="1"/>
  <c r="FJ336" i="21"/>
  <c r="CW336" i="21"/>
  <c r="FH432" i="21"/>
  <c r="CV432" i="21"/>
  <c r="CV124" i="21"/>
  <c r="FH124" i="21"/>
  <c r="CV416" i="21"/>
  <c r="FH416" i="21"/>
  <c r="FL166" i="21"/>
  <c r="DF166" i="21"/>
  <c r="FJ393" i="21"/>
  <c r="CW393" i="21"/>
  <c r="AR25" i="21"/>
  <c r="FH173" i="21"/>
  <c r="DB173" i="21"/>
  <c r="BC374" i="21"/>
  <c r="CN374" i="21" s="1"/>
  <c r="FL185" i="21"/>
  <c r="CZ185" i="21"/>
  <c r="BC362" i="21"/>
  <c r="CN362" i="21" s="1"/>
  <c r="EX160" i="21"/>
  <c r="DS160" i="21" s="1"/>
  <c r="DM321" i="21"/>
  <c r="CX16" i="21"/>
  <c r="BC398" i="21"/>
  <c r="CN398" i="21" s="1"/>
  <c r="FH180" i="21"/>
  <c r="DB180" i="21"/>
  <c r="CV71" i="21"/>
  <c r="FH71" i="21"/>
  <c r="BC429" i="21"/>
  <c r="CN429" i="21" s="1"/>
  <c r="FH419" i="21"/>
  <c r="CV419" i="21"/>
  <c r="CO1" i="21"/>
  <c r="FJ76" i="21"/>
  <c r="CW76" i="21"/>
  <c r="CZ203" i="21"/>
  <c r="FL203" i="21"/>
  <c r="DM329" i="21"/>
  <c r="FL186" i="21"/>
  <c r="DF186" i="21"/>
  <c r="DB425" i="21"/>
  <c r="FH425" i="21"/>
  <c r="DS474" i="21"/>
  <c r="DN488" i="21"/>
  <c r="ES488" i="21"/>
  <c r="ER488" i="21"/>
  <c r="FJ307" i="21"/>
  <c r="CW307" i="21"/>
  <c r="FJ265" i="21"/>
  <c r="DC265" i="21"/>
  <c r="BC440" i="21"/>
  <c r="CN440" i="21" s="1"/>
  <c r="DQ468" i="21"/>
  <c r="DR468" i="21" s="1"/>
  <c r="DS468" i="21" s="1"/>
  <c r="AZ316" i="21"/>
  <c r="EY39" i="21"/>
  <c r="EZ39" i="21" s="1"/>
  <c r="ET39" i="21"/>
  <c r="EU39" i="21"/>
  <c r="EV39" i="21" s="1"/>
  <c r="DC390" i="21"/>
  <c r="FJ390" i="21"/>
  <c r="ED311" i="21"/>
  <c r="CR311" i="21" s="1"/>
  <c r="FH234" i="21"/>
  <c r="CV234" i="21"/>
  <c r="DM249" i="21"/>
  <c r="DA16" i="21"/>
  <c r="CP4" i="21"/>
  <c r="DM309" i="21"/>
  <c r="ED207" i="21"/>
  <c r="CR207" i="21" s="1"/>
  <c r="DD3" i="21"/>
  <c r="DD9" i="21"/>
  <c r="DD8" i="21"/>
  <c r="DD4" i="21"/>
  <c r="DD6" i="21"/>
  <c r="DD7" i="21" s="1"/>
  <c r="DD1" i="21"/>
  <c r="DD2" i="21" s="1"/>
  <c r="ED234" i="21"/>
  <c r="CR234" i="21" s="1"/>
  <c r="FL247" i="21"/>
  <c r="DF247" i="21"/>
  <c r="DM406" i="21"/>
  <c r="DM128" i="21"/>
  <c r="DM426" i="21"/>
  <c r="FH349" i="21"/>
  <c r="CV349" i="21"/>
  <c r="DM151" i="21"/>
  <c r="ED365" i="21"/>
  <c r="CR365" i="21" s="1"/>
  <c r="EW22" i="21"/>
  <c r="CZ381" i="21"/>
  <c r="FL381" i="21"/>
  <c r="CV59" i="21"/>
  <c r="FH59" i="21"/>
  <c r="BC329" i="21"/>
  <c r="CN329" i="21" s="1"/>
  <c r="CW227" i="21"/>
  <c r="FJ227" i="21"/>
  <c r="FH149" i="21"/>
  <c r="DB149" i="21"/>
  <c r="DB377" i="21"/>
  <c r="FH377" i="21"/>
  <c r="BC371" i="21"/>
  <c r="CN371" i="21" s="1"/>
  <c r="ED296" i="21"/>
  <c r="CR296" i="21" s="1"/>
  <c r="DM298" i="21"/>
  <c r="FH271" i="21"/>
  <c r="DB271" i="21"/>
  <c r="BC206" i="21"/>
  <c r="CN206" i="21" s="1"/>
  <c r="CV324" i="21"/>
  <c r="FH324" i="21"/>
  <c r="CV89" i="21"/>
  <c r="FH89" i="21"/>
  <c r="CF4" i="21"/>
  <c r="DM400" i="21"/>
  <c r="DQ193" i="21"/>
  <c r="FJ442" i="21"/>
  <c r="CW442" i="21"/>
  <c r="BJ383" i="21"/>
  <c r="FH246" i="21"/>
  <c r="DB246" i="21"/>
  <c r="DM417" i="21"/>
  <c r="ED266" i="21"/>
  <c r="CR266" i="21" s="1"/>
  <c r="DM63" i="21"/>
  <c r="FH266" i="21"/>
  <c r="CV266" i="21"/>
  <c r="CW12" i="21"/>
  <c r="FH208" i="21"/>
  <c r="DB208" i="21"/>
  <c r="DC417" i="21"/>
  <c r="FJ417" i="21"/>
  <c r="ED227" i="21"/>
  <c r="CR227" i="21" s="1"/>
  <c r="DM388" i="21"/>
  <c r="DN492" i="21"/>
  <c r="ES492" i="21"/>
  <c r="ER492" i="21"/>
  <c r="DM310" i="21"/>
  <c r="FH282" i="21"/>
  <c r="DB282" i="21"/>
  <c r="FH238" i="21"/>
  <c r="CV238" i="21"/>
  <c r="CV94" i="21"/>
  <c r="FH94" i="21"/>
  <c r="ED259" i="21"/>
  <c r="CR259" i="21" s="1"/>
  <c r="CV136" i="21"/>
  <c r="FH136" i="21"/>
  <c r="FL343" i="21"/>
  <c r="CZ343" i="21"/>
  <c r="DN466" i="21"/>
  <c r="ES466" i="21"/>
  <c r="EW466" i="21" s="1"/>
  <c r="ER466" i="21"/>
  <c r="AZ310" i="21"/>
  <c r="DC177" i="21"/>
  <c r="FJ177" i="21"/>
  <c r="FJ375" i="21"/>
  <c r="CW375" i="21"/>
  <c r="FL274" i="21"/>
  <c r="DF274" i="21"/>
  <c r="DB379" i="21"/>
  <c r="FH379" i="21"/>
  <c r="DM288" i="21"/>
  <c r="CW196" i="21"/>
  <c r="FJ196" i="21"/>
  <c r="EW160" i="21"/>
  <c r="EX212" i="21"/>
  <c r="DR467" i="21"/>
  <c r="DS467" i="21" s="1"/>
  <c r="CF3" i="21"/>
  <c r="CZ175" i="21"/>
  <c r="FL175" i="21"/>
  <c r="FL193" i="21"/>
  <c r="CZ193" i="21"/>
  <c r="DM76" i="21"/>
  <c r="BC242" i="21"/>
  <c r="CW13" i="21"/>
  <c r="DM405" i="21"/>
  <c r="FL372" i="21"/>
  <c r="CZ372" i="21"/>
  <c r="ED377" i="21"/>
  <c r="CR377" i="21" s="1"/>
  <c r="CU16" i="21"/>
  <c r="CU17" i="21"/>
  <c r="CU14" i="21"/>
  <c r="CU15" i="21" s="1"/>
  <c r="DM374" i="21"/>
  <c r="CZ446" i="21"/>
  <c r="FL446" i="21"/>
  <c r="DM126" i="21"/>
  <c r="FL191" i="21"/>
  <c r="CZ191" i="21"/>
  <c r="CV68" i="21"/>
  <c r="FH68" i="21"/>
  <c r="FJ202" i="21"/>
  <c r="CW202" i="21"/>
  <c r="FJ431" i="21"/>
  <c r="DC431" i="21"/>
  <c r="ED239" i="21"/>
  <c r="CR239" i="21" s="1"/>
  <c r="DM413" i="21"/>
  <c r="FH88" i="21"/>
  <c r="CV88" i="21"/>
  <c r="ED427" i="21"/>
  <c r="CR427" i="21" s="1"/>
  <c r="FH197" i="21"/>
  <c r="CV197" i="21"/>
  <c r="DM392" i="21"/>
  <c r="FH187" i="21"/>
  <c r="DB187" i="21"/>
  <c r="AU110" i="21"/>
  <c r="BC433" i="21"/>
  <c r="CN433" i="21" s="1"/>
  <c r="ED206" i="21"/>
  <c r="CR206" i="21" s="1"/>
  <c r="ED331" i="21"/>
  <c r="CR331" i="21" s="1"/>
  <c r="DM395" i="21"/>
  <c r="BC445" i="21"/>
  <c r="CN445" i="21" s="1"/>
  <c r="BC420" i="21"/>
  <c r="CN420" i="21" s="1"/>
  <c r="CW206" i="21"/>
  <c r="FJ206" i="21"/>
  <c r="FJ404" i="21"/>
  <c r="DC404" i="21"/>
  <c r="DM318" i="21"/>
  <c r="DM320" i="21"/>
  <c r="FJ119" i="21"/>
  <c r="DC119" i="21"/>
  <c r="CP12" i="21"/>
  <c r="EW158" i="21"/>
  <c r="EX158" i="21" s="1"/>
  <c r="DS158" i="21" s="1"/>
  <c r="FL176" i="21"/>
  <c r="CZ176" i="21"/>
  <c r="FH120" i="21"/>
  <c r="DB120" i="21"/>
  <c r="AQ196" i="21"/>
  <c r="FH385" i="21"/>
  <c r="CV385" i="21"/>
  <c r="DQ467" i="21"/>
  <c r="CO4" i="21"/>
  <c r="DN469" i="21"/>
  <c r="ES469" i="21"/>
  <c r="ER469" i="21"/>
  <c r="ED222" i="21"/>
  <c r="ED223" i="21"/>
  <c r="CR223" i="21" s="1"/>
  <c r="DM410" i="21"/>
  <c r="FH227" i="21"/>
  <c r="CV227" i="21"/>
  <c r="ED393" i="21"/>
  <c r="CR393" i="21" s="1"/>
  <c r="BH413" i="21"/>
  <c r="BJ413" i="21" s="1"/>
  <c r="ED201" i="21"/>
  <c r="CR201" i="21" s="1"/>
  <c r="BP82" i="21"/>
  <c r="EI82" i="21" s="1"/>
  <c r="DB315" i="21"/>
  <c r="FH315" i="21"/>
  <c r="EX155" i="21"/>
  <c r="DS155" i="21" s="1"/>
  <c r="DM361" i="21"/>
  <c r="ED252" i="21"/>
  <c r="CR252" i="21" s="1"/>
  <c r="DB177" i="21"/>
  <c r="FH177" i="21"/>
  <c r="ED433" i="21"/>
  <c r="CR433" i="21" s="1"/>
  <c r="FL439" i="21"/>
  <c r="CZ439" i="21"/>
  <c r="FH191" i="21"/>
  <c r="CV191" i="21"/>
  <c r="CV303" i="21"/>
  <c r="FH303" i="21"/>
  <c r="DC280" i="21"/>
  <c r="FJ280" i="21"/>
  <c r="ED200" i="21"/>
  <c r="CR200" i="21" s="1"/>
  <c r="DB417" i="21"/>
  <c r="FH417" i="21"/>
  <c r="BC426" i="21"/>
  <c r="CN426" i="21" s="1"/>
  <c r="FJ249" i="21"/>
  <c r="CW249" i="21"/>
  <c r="DM373" i="21"/>
  <c r="CV72" i="21"/>
  <c r="FH72" i="21"/>
  <c r="FL232" i="21"/>
  <c r="CZ232" i="21"/>
  <c r="DM422" i="21"/>
  <c r="BC356" i="21"/>
  <c r="CN356" i="21" s="1"/>
  <c r="CV354" i="21"/>
  <c r="FH354" i="21"/>
  <c r="BH305" i="21"/>
  <c r="BJ305" i="21" s="1"/>
  <c r="CZ349" i="21"/>
  <c r="FL349" i="21"/>
  <c r="CZ220" i="21"/>
  <c r="FL220" i="21"/>
  <c r="DS107" i="21"/>
  <c r="BO96" i="21"/>
  <c r="DC277" i="21"/>
  <c r="FJ277" i="21"/>
  <c r="FJ292" i="21"/>
  <c r="DC292" i="21"/>
  <c r="FL386" i="21"/>
  <c r="CZ386" i="21"/>
  <c r="FH101" i="21"/>
  <c r="CV101" i="21"/>
  <c r="DO195" i="21"/>
  <c r="ED195" i="21"/>
  <c r="CR195" i="21" s="1"/>
  <c r="DB346" i="21"/>
  <c r="FH346" i="21"/>
  <c r="FH95" i="21"/>
  <c r="CV95" i="21"/>
  <c r="CV86" i="21"/>
  <c r="FH86" i="21"/>
  <c r="ED340" i="21"/>
  <c r="CR340" i="21" s="1"/>
  <c r="BO82" i="21"/>
  <c r="DM443" i="21"/>
  <c r="CZ362" i="21"/>
  <c r="FL362" i="21"/>
  <c r="FH341" i="21"/>
  <c r="DB341" i="21"/>
  <c r="FH364" i="21"/>
  <c r="CV364" i="21"/>
  <c r="ED255" i="21"/>
  <c r="CR255" i="21" s="1"/>
  <c r="AZ270" i="21"/>
  <c r="ED208" i="21"/>
  <c r="CR208" i="21" s="1"/>
  <c r="CW221" i="21"/>
  <c r="FJ221" i="21"/>
  <c r="DM411" i="21"/>
  <c r="BO105" i="21"/>
  <c r="BP105" i="21" s="1"/>
  <c r="EI105" i="21" s="1"/>
  <c r="EH105" i="21" s="1"/>
  <c r="CW430" i="21"/>
  <c r="FJ430" i="21"/>
  <c r="FH70" i="21"/>
  <c r="CV70" i="21"/>
  <c r="FI119" i="21"/>
  <c r="FR53" i="21" s="1"/>
  <c r="DD119" i="21"/>
  <c r="ED202" i="21"/>
  <c r="CR202" i="21" s="1"/>
  <c r="ED445" i="21"/>
  <c r="CR445" i="21" s="1"/>
  <c r="CV232" i="21"/>
  <c r="FH232" i="21"/>
  <c r="DC178" i="21"/>
  <c r="FJ178" i="21"/>
  <c r="ED390" i="21"/>
  <c r="CR390" i="21" s="1"/>
  <c r="DO168" i="21"/>
  <c r="BP96" i="21"/>
  <c r="EI96" i="21" s="1"/>
  <c r="ED399" i="21"/>
  <c r="CR399" i="21" s="1"/>
  <c r="EW490" i="21"/>
  <c r="EX490" i="21" s="1"/>
  <c r="FH250" i="21"/>
  <c r="DB250" i="21"/>
  <c r="ED434" i="21"/>
  <c r="CR434" i="21" s="1"/>
  <c r="CW299" i="21"/>
  <c r="FJ299" i="21"/>
  <c r="CW283" i="21"/>
  <c r="FJ283" i="21"/>
  <c r="BJ262" i="21"/>
  <c r="BC322" i="21"/>
  <c r="CN322" i="21" s="1"/>
  <c r="DM325" i="21"/>
  <c r="DM396" i="21"/>
  <c r="FL275" i="21"/>
  <c r="CZ275" i="21"/>
  <c r="DM265" i="21"/>
  <c r="AZ366" i="21"/>
  <c r="BP63" i="21"/>
  <c r="EI63" i="21" s="1"/>
  <c r="CV73" i="21"/>
  <c r="FH73" i="21"/>
  <c r="BC284" i="21"/>
  <c r="CN284" i="21" s="1"/>
  <c r="FJ351" i="21"/>
  <c r="CW351" i="21"/>
  <c r="FL167" i="21"/>
  <c r="CZ167" i="21"/>
  <c r="CW381" i="21"/>
  <c r="FJ381" i="21"/>
  <c r="FH190" i="21"/>
  <c r="CV190" i="21"/>
  <c r="ED280" i="21"/>
  <c r="CR280" i="21" s="1"/>
  <c r="DO217" i="21"/>
  <c r="ES194" i="21"/>
  <c r="ER194" i="21"/>
  <c r="FL424" i="21"/>
  <c r="DF424" i="21"/>
  <c r="FH209" i="21"/>
  <c r="DB209" i="21"/>
  <c r="BC382" i="21"/>
  <c r="CN382" i="21" s="1"/>
  <c r="CV313" i="21"/>
  <c r="FH313" i="21"/>
  <c r="DB273" i="21"/>
  <c r="FH273" i="21"/>
  <c r="DM118" i="21"/>
  <c r="EW483" i="21"/>
  <c r="EX483" i="21" s="1"/>
  <c r="DB174" i="21"/>
  <c r="FH174" i="21"/>
  <c r="FH141" i="21"/>
  <c r="DB141" i="21"/>
  <c r="DC441" i="21"/>
  <c r="FJ441" i="21"/>
  <c r="ED346" i="21"/>
  <c r="CR346" i="21" s="1"/>
  <c r="FH249" i="21"/>
  <c r="CV249" i="21"/>
  <c r="ED269" i="21"/>
  <c r="CR269" i="21" s="1"/>
  <c r="DM90" i="21"/>
  <c r="CV113" i="21"/>
  <c r="FH113" i="21"/>
  <c r="DR478" i="21"/>
  <c r="DS478" i="21" s="1"/>
  <c r="DQ478" i="21"/>
  <c r="CZ170" i="21"/>
  <c r="FL170" i="21"/>
  <c r="FJ147" i="21"/>
  <c r="DC147" i="21"/>
  <c r="DC3" i="21" s="1"/>
  <c r="ED403" i="21"/>
  <c r="CR403" i="21" s="1"/>
  <c r="ED397" i="21"/>
  <c r="CR397" i="21" s="1"/>
  <c r="CW198" i="21"/>
  <c r="FJ198" i="21"/>
  <c r="ED308" i="21"/>
  <c r="CR308" i="21" s="1"/>
  <c r="FL165" i="21"/>
  <c r="CZ165" i="21"/>
  <c r="FJ320" i="21"/>
  <c r="CW320" i="21"/>
  <c r="CV52" i="21"/>
  <c r="FH52" i="21"/>
  <c r="ED262" i="21"/>
  <c r="CR262" i="21" s="1"/>
  <c r="CW260" i="21"/>
  <c r="FJ260" i="21"/>
  <c r="FH237" i="21"/>
  <c r="CV237" i="21"/>
  <c r="FL173" i="21"/>
  <c r="DF173" i="21"/>
  <c r="ED385" i="21"/>
  <c r="CR385" i="21" s="1"/>
  <c r="DC424" i="21"/>
  <c r="FJ424" i="21"/>
  <c r="EX465" i="21"/>
  <c r="BO63" i="21"/>
  <c r="CX13" i="21"/>
  <c r="CX12" i="21"/>
  <c r="CX10" i="21"/>
  <c r="CX11" i="21" s="1"/>
  <c r="BC402" i="21"/>
  <c r="CN402" i="21" s="1"/>
  <c r="FH286" i="21"/>
  <c r="DB286" i="21"/>
  <c r="DC397" i="21"/>
  <c r="FJ397" i="21"/>
  <c r="FL182" i="21"/>
  <c r="CZ182" i="21"/>
  <c r="DM345" i="21"/>
  <c r="BP89" i="21"/>
  <c r="EI89" i="21" s="1"/>
  <c r="DC449" i="21"/>
  <c r="FJ449" i="21"/>
  <c r="DF282" i="21"/>
  <c r="FL282" i="21"/>
  <c r="CV168" i="21"/>
  <c r="FH168" i="21"/>
  <c r="CW408" i="21"/>
  <c r="FJ408" i="21"/>
  <c r="BP59" i="21"/>
  <c r="EI59" i="21" s="1"/>
  <c r="DM335" i="21"/>
  <c r="BJ176" i="21"/>
  <c r="DC310" i="21"/>
  <c r="FJ310" i="21"/>
  <c r="EU52" i="21"/>
  <c r="EV52" i="21" s="1"/>
  <c r="ED419" i="21"/>
  <c r="CR419" i="21" s="1"/>
  <c r="DB394" i="21"/>
  <c r="FH394" i="21"/>
  <c r="DM305" i="21"/>
  <c r="FH83" i="21"/>
  <c r="CV83" i="21"/>
  <c r="FH84" i="21"/>
  <c r="CV84" i="21"/>
  <c r="CW223" i="21"/>
  <c r="FJ223" i="21"/>
  <c r="FH186" i="21"/>
  <c r="DB186" i="21"/>
  <c r="FH378" i="21"/>
  <c r="DB378" i="21"/>
  <c r="BC317" i="21"/>
  <c r="CN317" i="21" s="1"/>
  <c r="DB247" i="21"/>
  <c r="FH247" i="21"/>
  <c r="FJ433" i="21"/>
  <c r="DC433" i="21"/>
  <c r="FJ398" i="21"/>
  <c r="DC398" i="21"/>
  <c r="DO165" i="21"/>
  <c r="DO490" i="21"/>
  <c r="DP490" i="21"/>
  <c r="DM114" i="21"/>
  <c r="CW287" i="21"/>
  <c r="FJ287" i="21"/>
  <c r="DM75" i="21"/>
  <c r="ED236" i="21"/>
  <c r="CR236" i="21" s="1"/>
  <c r="CW405" i="21"/>
  <c r="FJ405" i="21"/>
  <c r="DP465" i="21"/>
  <c r="DO465" i="21"/>
  <c r="ED448" i="21"/>
  <c r="CR448" i="21" s="1"/>
  <c r="CW443" i="21"/>
  <c r="FJ443" i="21"/>
  <c r="FL264" i="21"/>
  <c r="DF264" i="21"/>
  <c r="DC346" i="21"/>
  <c r="FJ346" i="21"/>
  <c r="DF180" i="21"/>
  <c r="FL180" i="21"/>
  <c r="DM367" i="21"/>
  <c r="FL237" i="21"/>
  <c r="CZ237" i="21"/>
  <c r="CP13" i="21"/>
  <c r="DF327" i="21"/>
  <c r="FL327" i="21"/>
  <c r="FH254" i="21"/>
  <c r="CV254" i="21"/>
  <c r="ER192" i="21"/>
  <c r="EW194" i="21"/>
  <c r="DT17" i="21"/>
  <c r="DT16" i="21" s="1"/>
  <c r="DT14" i="21" s="1"/>
  <c r="DT13" i="21" s="1"/>
  <c r="EX495" i="21"/>
  <c r="EW495" i="21"/>
  <c r="BC335" i="21"/>
  <c r="CN335" i="21" s="1"/>
  <c r="DP483" i="21"/>
  <c r="DO483" i="21"/>
  <c r="DM429" i="21"/>
  <c r="FP55" i="21"/>
  <c r="DN213" i="21"/>
  <c r="EM213" i="21"/>
  <c r="EP213" i="21" s="1"/>
  <c r="EQ213" i="21" s="1"/>
  <c r="EX163" i="21"/>
  <c r="DS163" i="21" s="1"/>
  <c r="DM347" i="21"/>
  <c r="DA12" i="21"/>
  <c r="BC384" i="21"/>
  <c r="CN384" i="21" s="1"/>
  <c r="ED283" i="21"/>
  <c r="CR283" i="21" s="1"/>
  <c r="FL181" i="21"/>
  <c r="CZ181" i="21"/>
  <c r="BC201" i="21"/>
  <c r="CN201" i="21" s="1"/>
  <c r="DC276" i="21"/>
  <c r="FJ276" i="21"/>
  <c r="DM276" i="21"/>
  <c r="BC198" i="21"/>
  <c r="CN198" i="21" s="1"/>
  <c r="DM284" i="21"/>
  <c r="DB401" i="21"/>
  <c r="FH401" i="21"/>
  <c r="FH244" i="21"/>
  <c r="DB244" i="21"/>
  <c r="DM54" i="21"/>
  <c r="FH320" i="21"/>
  <c r="CV320" i="21"/>
  <c r="DO192" i="21"/>
  <c r="DP192" i="21"/>
  <c r="ED192" i="21"/>
  <c r="CR192" i="21" s="1"/>
  <c r="FH165" i="21"/>
  <c r="CV165" i="21"/>
  <c r="DA4" i="21"/>
  <c r="ED238" i="21"/>
  <c r="CR238" i="21" s="1"/>
  <c r="DM135" i="21"/>
  <c r="CZ285" i="21"/>
  <c r="FL285" i="21"/>
  <c r="BP61" i="21"/>
  <c r="EI61" i="21" s="1"/>
  <c r="ED360" i="21"/>
  <c r="CR360" i="21" s="1"/>
  <c r="DM66" i="21"/>
  <c r="DR495" i="21"/>
  <c r="CO14" i="21"/>
  <c r="CO15" i="21" s="1"/>
  <c r="ED248" i="21"/>
  <c r="CR248" i="21" s="1"/>
  <c r="DB151" i="21"/>
  <c r="FH151" i="21"/>
  <c r="CZ233" i="21"/>
  <c r="FL233" i="21"/>
  <c r="FH236" i="21"/>
  <c r="DB236" i="21"/>
  <c r="CZ324" i="21"/>
  <c r="FL324" i="21"/>
  <c r="ED231" i="21"/>
  <c r="CR231" i="21" s="1"/>
  <c r="ED251" i="21"/>
  <c r="CR251" i="21" s="1"/>
  <c r="DM356" i="21"/>
  <c r="ES193" i="21"/>
  <c r="ER193" i="21"/>
  <c r="EG13" i="21"/>
  <c r="BC292" i="21"/>
  <c r="CN292" i="21" s="1"/>
  <c r="FH365" i="21"/>
  <c r="DB365" i="21"/>
  <c r="FH128" i="21"/>
  <c r="CV128" i="21"/>
  <c r="BC202" i="21"/>
  <c r="CN202" i="21" s="1"/>
  <c r="DM334" i="21"/>
  <c r="DM291" i="21"/>
  <c r="FH388" i="21"/>
  <c r="DB388" i="21"/>
  <c r="AY108" i="21"/>
  <c r="AZ108" i="21" s="1"/>
  <c r="BC108" i="21" s="1"/>
  <c r="ED363" i="21"/>
  <c r="CR363" i="21" s="1"/>
  <c r="BC327" i="21"/>
  <c r="CN327" i="21" s="1"/>
  <c r="CW366" i="21"/>
  <c r="FJ366" i="21"/>
  <c r="DC263" i="21"/>
  <c r="FJ263" i="21"/>
  <c r="DM380" i="21"/>
  <c r="EX164" i="21"/>
  <c r="DS164" i="21" s="1"/>
  <c r="DN166" i="21"/>
  <c r="EM166" i="21"/>
  <c r="EP166" i="21" s="1"/>
  <c r="EQ166" i="21" s="1"/>
  <c r="CV65" i="21"/>
  <c r="FH65" i="21"/>
  <c r="BC172" i="21"/>
  <c r="CN172" i="21" s="1"/>
  <c r="DF256" i="21"/>
  <c r="FL256" i="21"/>
  <c r="FH144" i="21"/>
  <c r="DB144" i="21"/>
  <c r="FH67" i="21"/>
  <c r="CV67" i="21"/>
  <c r="ER168" i="21"/>
  <c r="ES168" i="21"/>
  <c r="ED421" i="21"/>
  <c r="CR421" i="21" s="1"/>
  <c r="DM102" i="21"/>
  <c r="FH184" i="21"/>
  <c r="CV184" i="21"/>
  <c r="FH357" i="21"/>
  <c r="DB357" i="21"/>
  <c r="CV176" i="21"/>
  <c r="FH176" i="21"/>
  <c r="CV137" i="21"/>
  <c r="FH137" i="21"/>
  <c r="DM408" i="21"/>
  <c r="DB262" i="21"/>
  <c r="FH262" i="21"/>
  <c r="ED423" i="21"/>
  <c r="CR423" i="21" s="1"/>
  <c r="DQ484" i="21"/>
  <c r="DR484" i="21" s="1"/>
  <c r="DS484" i="21" s="1"/>
  <c r="FH353" i="21"/>
  <c r="DB353" i="21"/>
  <c r="CV127" i="21"/>
  <c r="FH127" i="21"/>
  <c r="BC443" i="21"/>
  <c r="CN443" i="21" s="1"/>
  <c r="CV399" i="21"/>
  <c r="FH399" i="21"/>
  <c r="FL183" i="21"/>
  <c r="DF183" i="21"/>
  <c r="CZ224" i="21"/>
  <c r="FL224" i="21"/>
  <c r="DC200" i="21"/>
  <c r="FJ200" i="21"/>
  <c r="CV129" i="21"/>
  <c r="FH129" i="21"/>
  <c r="BC294" i="21"/>
  <c r="CN294" i="21" s="1"/>
  <c r="CV179" i="21"/>
  <c r="FH179" i="21"/>
  <c r="CV350" i="21"/>
  <c r="FH350" i="21"/>
  <c r="CZ260" i="21"/>
  <c r="FL260" i="21"/>
  <c r="FJ240" i="21"/>
  <c r="CW240" i="21"/>
  <c r="ES162" i="21"/>
  <c r="ER162" i="21"/>
  <c r="FH444" i="21"/>
  <c r="DB444" i="21"/>
  <c r="EW154" i="21"/>
  <c r="EX154" i="21" s="1"/>
  <c r="DS154" i="21" s="1"/>
  <c r="CV64" i="21"/>
  <c r="FH64" i="21"/>
  <c r="CZ168" i="21"/>
  <c r="FL168" i="21"/>
  <c r="DM258" i="21"/>
  <c r="AU218" i="21"/>
  <c r="FH125" i="21"/>
  <c r="CV125" i="21"/>
  <c r="EX19" i="21"/>
  <c r="FB19" i="21"/>
  <c r="ED19" i="21" s="1"/>
  <c r="DM96" i="21"/>
  <c r="FH344" i="21"/>
  <c r="CV344" i="21"/>
  <c r="FJ415" i="21"/>
  <c r="DC415" i="21"/>
  <c r="EM110" i="21"/>
  <c r="EP110" i="21" s="1"/>
  <c r="EQ110" i="21" s="1"/>
  <c r="BO75" i="21"/>
  <c r="BP75" i="21" s="1"/>
  <c r="EI75" i="21" s="1"/>
  <c r="FJ174" i="21"/>
  <c r="DC174" i="21"/>
  <c r="EX472" i="21"/>
  <c r="EW472" i="21"/>
  <c r="CW170" i="21"/>
  <c r="FJ170" i="21"/>
  <c r="DR482" i="21"/>
  <c r="DS482" i="21" s="1"/>
  <c r="FL313" i="21"/>
  <c r="CZ313" i="21"/>
  <c r="FJ192" i="21"/>
  <c r="CW192" i="21"/>
  <c r="FH147" i="21"/>
  <c r="DB147" i="21"/>
  <c r="DR489" i="21"/>
  <c r="DS489" i="21" s="1"/>
  <c r="CV255" i="21"/>
  <c r="FH255" i="21"/>
  <c r="DA10" i="21"/>
  <c r="DA11" i="21" s="1"/>
  <c r="CZ303" i="21"/>
  <c r="FL303" i="21"/>
  <c r="BC163" i="21"/>
  <c r="AV163" i="21"/>
  <c r="AW163" i="21" s="1"/>
  <c r="DC9" i="21"/>
  <c r="DC8" i="21"/>
  <c r="DC6" i="21"/>
  <c r="DC7" i="21" s="1"/>
  <c r="ED246" i="21"/>
  <c r="CR246" i="21" s="1"/>
  <c r="DM401" i="21"/>
  <c r="EX479" i="21"/>
  <c r="CW195" i="20"/>
  <c r="FJ195" i="20"/>
  <c r="FJ387" i="20"/>
  <c r="BJ179" i="20"/>
  <c r="BJ261" i="20"/>
  <c r="CV432" i="20"/>
  <c r="DQ496" i="20"/>
  <c r="AZ378" i="20"/>
  <c r="BC378" i="20" s="1"/>
  <c r="CN378" i="20" s="1"/>
  <c r="BJ319" i="20"/>
  <c r="BO92" i="20"/>
  <c r="BP92" i="20" s="1"/>
  <c r="EI92" i="20" s="1"/>
  <c r="BC165" i="20"/>
  <c r="CN165" i="20" s="1"/>
  <c r="EE1" i="20"/>
  <c r="EE2" i="20" s="1"/>
  <c r="CW364" i="20"/>
  <c r="FH416" i="20"/>
  <c r="FJ86" i="20"/>
  <c r="CX10" i="20"/>
  <c r="CX11" i="20" s="1"/>
  <c r="FH335" i="20"/>
  <c r="AU22" i="20"/>
  <c r="FH210" i="20"/>
  <c r="CW407" i="20"/>
  <c r="FH410" i="20"/>
  <c r="EW475" i="20"/>
  <c r="EX475" i="20" s="1"/>
  <c r="EW156" i="20"/>
  <c r="EX156" i="20" s="1"/>
  <c r="DS156" i="20" s="1"/>
  <c r="BH301" i="20"/>
  <c r="BJ301" i="20" s="1"/>
  <c r="DO193" i="20"/>
  <c r="FJ227" i="20"/>
  <c r="EW487" i="20"/>
  <c r="EX487" i="20" s="1"/>
  <c r="AU108" i="20"/>
  <c r="AR108" i="20"/>
  <c r="FJ384" i="20"/>
  <c r="DC384" i="20"/>
  <c r="CV336" i="20"/>
  <c r="FH336" i="20"/>
  <c r="BJ425" i="20"/>
  <c r="DO197" i="20"/>
  <c r="DQ197" i="20" s="1"/>
  <c r="DR197" i="20" s="1"/>
  <c r="CQ197" i="20" s="1"/>
  <c r="FJ380" i="20"/>
  <c r="FJ428" i="20"/>
  <c r="FJ301" i="20"/>
  <c r="CW12" i="20"/>
  <c r="DB395" i="20"/>
  <c r="DC449" i="20"/>
  <c r="FJ262" i="20"/>
  <c r="ER195" i="20"/>
  <c r="DC413" i="20"/>
  <c r="ES195" i="20"/>
  <c r="FJ260" i="20"/>
  <c r="DC431" i="20"/>
  <c r="DC397" i="20"/>
  <c r="FL195" i="20"/>
  <c r="DP195" i="20"/>
  <c r="BO59" i="20"/>
  <c r="BP59" i="20" s="1"/>
  <c r="EI59" i="20" s="1"/>
  <c r="AR192" i="20"/>
  <c r="AU192" i="20"/>
  <c r="CW312" i="20"/>
  <c r="BO97" i="20"/>
  <c r="DC295" i="20"/>
  <c r="FJ368" i="20"/>
  <c r="AR104" i="20"/>
  <c r="BJ177" i="20"/>
  <c r="EW494" i="20"/>
  <c r="BJ329" i="20"/>
  <c r="BJ354" i="20"/>
  <c r="DQ485" i="20"/>
  <c r="DC376" i="20"/>
  <c r="BO71" i="20"/>
  <c r="EW484" i="20"/>
  <c r="EX484" i="20" s="1"/>
  <c r="EW495" i="20"/>
  <c r="EX495" i="20" s="1"/>
  <c r="FJ448" i="20"/>
  <c r="ER193" i="20"/>
  <c r="CB109" i="20"/>
  <c r="CI109" i="20" s="1"/>
  <c r="CK109" i="20" s="1"/>
  <c r="BJ339" i="20"/>
  <c r="BO90" i="20"/>
  <c r="FJ264" i="20"/>
  <c r="BO86" i="20"/>
  <c r="BP86" i="20" s="1"/>
  <c r="EI86" i="20" s="1"/>
  <c r="FJ359" i="20"/>
  <c r="DQ493" i="20"/>
  <c r="DR493" i="20" s="1"/>
  <c r="DS493" i="20" s="1"/>
  <c r="EW474" i="20"/>
  <c r="EX474" i="20" s="1"/>
  <c r="BC164" i="20"/>
  <c r="BJ342" i="20"/>
  <c r="CX13" i="20"/>
  <c r="BJ195" i="20"/>
  <c r="BJ384" i="20"/>
  <c r="DQ38" i="20"/>
  <c r="BJ203" i="20"/>
  <c r="DQ165" i="20"/>
  <c r="DR165" i="20" s="1"/>
  <c r="FH274" i="20"/>
  <c r="AZ405" i="20"/>
  <c r="DC174" i="20"/>
  <c r="FJ174" i="20"/>
  <c r="FJ403" i="20"/>
  <c r="DC403" i="20"/>
  <c r="FJ339" i="20"/>
  <c r="CW304" i="20"/>
  <c r="FJ304" i="20"/>
  <c r="DQ475" i="20"/>
  <c r="DR475" i="20" s="1"/>
  <c r="FJ372" i="20"/>
  <c r="DD17" i="20"/>
  <c r="DS490" i="20"/>
  <c r="DQ43" i="20"/>
  <c r="FJ411" i="20"/>
  <c r="BJ361" i="20"/>
  <c r="CB111" i="20"/>
  <c r="CI111" i="20" s="1"/>
  <c r="CK111" i="20" s="1"/>
  <c r="BH446" i="20"/>
  <c r="BJ446" i="20" s="1"/>
  <c r="BJ186" i="20"/>
  <c r="CW70" i="20"/>
  <c r="CW426" i="20"/>
  <c r="BJ273" i="20"/>
  <c r="AZ305" i="20"/>
  <c r="DP213" i="20"/>
  <c r="DQ213" i="20" s="1"/>
  <c r="DR213" i="20" s="1"/>
  <c r="CB106" i="20"/>
  <c r="CI106" i="20" s="1"/>
  <c r="CK106" i="20" s="1"/>
  <c r="AV169" i="20"/>
  <c r="AW169" i="20" s="1"/>
  <c r="DQ49" i="20"/>
  <c r="DQ37" i="20"/>
  <c r="EX485" i="20"/>
  <c r="DQ41" i="20"/>
  <c r="CW356" i="20"/>
  <c r="DC330" i="20"/>
  <c r="DQ166" i="20"/>
  <c r="DR166" i="20" s="1"/>
  <c r="EW108" i="20"/>
  <c r="FB108" i="20" s="1"/>
  <c r="DR108" i="20" s="1"/>
  <c r="DQ50" i="20"/>
  <c r="DD14" i="20"/>
  <c r="DD15" i="20" s="1"/>
  <c r="DA14" i="20"/>
  <c r="DA15" i="20" s="1"/>
  <c r="BH280" i="20"/>
  <c r="BJ280" i="20" s="1"/>
  <c r="DD16" i="20"/>
  <c r="CW442" i="20"/>
  <c r="EW162" i="20"/>
  <c r="EX162" i="20" s="1"/>
  <c r="DS162" i="20" s="1"/>
  <c r="DQ195" i="20"/>
  <c r="DR195" i="20" s="1"/>
  <c r="CQ195" i="20" s="1"/>
  <c r="BO84" i="20"/>
  <c r="BJ405" i="20"/>
  <c r="FH350" i="20"/>
  <c r="BO57" i="20"/>
  <c r="BP57" i="20" s="1"/>
  <c r="EI57" i="20" s="1"/>
  <c r="AZ358" i="20"/>
  <c r="AV153" i="20"/>
  <c r="AW153" i="20" s="1"/>
  <c r="BC153" i="20"/>
  <c r="DC183" i="20"/>
  <c r="FJ183" i="20"/>
  <c r="BO77" i="20"/>
  <c r="BP77" i="20" s="1"/>
  <c r="EI77" i="20" s="1"/>
  <c r="EO52" i="20"/>
  <c r="CW191" i="20"/>
  <c r="FJ191" i="20"/>
  <c r="BJ346" i="20"/>
  <c r="BJ331" i="20"/>
  <c r="BJ351" i="20"/>
  <c r="CU17" i="20"/>
  <c r="DQ25" i="20"/>
  <c r="BO82" i="20"/>
  <c r="DQ487" i="20"/>
  <c r="DQ51" i="20"/>
  <c r="CW197" i="20"/>
  <c r="FJ197" i="20"/>
  <c r="FH280" i="20"/>
  <c r="DB280" i="20"/>
  <c r="DB403" i="20"/>
  <c r="FH403" i="20"/>
  <c r="CV275" i="20"/>
  <c r="FH275" i="20"/>
  <c r="CV205" i="20"/>
  <c r="FH205" i="20"/>
  <c r="BO99" i="20"/>
  <c r="BP99" i="20" s="1"/>
  <c r="EI99" i="20" s="1"/>
  <c r="BO98" i="20"/>
  <c r="FJ68" i="20"/>
  <c r="BO55" i="20"/>
  <c r="BH205" i="20"/>
  <c r="BJ205" i="20" s="1"/>
  <c r="CO14" i="20"/>
  <c r="CO15" i="20" s="1"/>
  <c r="DC90" i="20"/>
  <c r="DC9" i="20" s="1"/>
  <c r="AZ430" i="20"/>
  <c r="BC430" i="20" s="1"/>
  <c r="CN430" i="20" s="1"/>
  <c r="BH255" i="20"/>
  <c r="BJ255" i="20" s="1"/>
  <c r="DA1" i="20"/>
  <c r="DA2" i="20" s="1"/>
  <c r="ES213" i="20"/>
  <c r="ER213" i="20"/>
  <c r="FJ263" i="20"/>
  <c r="DC263" i="20"/>
  <c r="CO3" i="20"/>
  <c r="CU14" i="20"/>
  <c r="CU15" i="20" s="1"/>
  <c r="DA13" i="20"/>
  <c r="BJ423" i="20"/>
  <c r="CP17" i="20"/>
  <c r="DC404" i="20"/>
  <c r="BH275" i="20"/>
  <c r="BJ275" i="20" s="1"/>
  <c r="AV195" i="20"/>
  <c r="AW195" i="20" s="1"/>
  <c r="BC195" i="20"/>
  <c r="CN195" i="20" s="1"/>
  <c r="AV196" i="20"/>
  <c r="AW196" i="20" s="1"/>
  <c r="BC196" i="20"/>
  <c r="CN196" i="20" s="1"/>
  <c r="BO101" i="20"/>
  <c r="CX17" i="20"/>
  <c r="BH362" i="20"/>
  <c r="BJ362" i="20" s="1"/>
  <c r="CO17" i="20"/>
  <c r="BJ238" i="20"/>
  <c r="DQ24" i="20"/>
  <c r="DO168" i="20"/>
  <c r="DQ168" i="20" s="1"/>
  <c r="DR168" i="20" s="1"/>
  <c r="DQ45" i="20"/>
  <c r="DQ47" i="20"/>
  <c r="FJ319" i="20"/>
  <c r="BO61" i="20"/>
  <c r="CU13" i="20"/>
  <c r="AZ406" i="20"/>
  <c r="CW211" i="20"/>
  <c r="FJ211" i="20"/>
  <c r="BJ182" i="20"/>
  <c r="DB345" i="20"/>
  <c r="EG12" i="20"/>
  <c r="BO83" i="20"/>
  <c r="EW496" i="20"/>
  <c r="EX496" i="20" s="1"/>
  <c r="CW238" i="20"/>
  <c r="FJ238" i="20"/>
  <c r="BH403" i="20"/>
  <c r="BJ403" i="20" s="1"/>
  <c r="DA16" i="20"/>
  <c r="EW192" i="20"/>
  <c r="EX192" i="20" s="1"/>
  <c r="AZ257" i="20"/>
  <c r="DQ28" i="20"/>
  <c r="EW480" i="20"/>
  <c r="EW214" i="20"/>
  <c r="EX214" i="20" s="1"/>
  <c r="DS214" i="20" s="1"/>
  <c r="BO75" i="20"/>
  <c r="BP75" i="20" s="1"/>
  <c r="EI75" i="20" s="1"/>
  <c r="BO87" i="20"/>
  <c r="BP87" i="20" s="1"/>
  <c r="EI87" i="20" s="1"/>
  <c r="EW153" i="20"/>
  <c r="EX153" i="20" s="1"/>
  <c r="DS153" i="20" s="1"/>
  <c r="BP55" i="20"/>
  <c r="EI55" i="20" s="1"/>
  <c r="BP71" i="20"/>
  <c r="EI71" i="20" s="1"/>
  <c r="CV231" i="20"/>
  <c r="FH231" i="20"/>
  <c r="DC265" i="20"/>
  <c r="FJ265" i="20"/>
  <c r="BP84" i="20"/>
  <c r="EI84" i="20" s="1"/>
  <c r="DN466" i="20"/>
  <c r="ER466" i="20"/>
  <c r="EW466" i="20" s="1"/>
  <c r="EX466" i="20" s="1"/>
  <c r="AF145" i="5"/>
  <c r="BI125" i="5"/>
  <c r="N105" i="5"/>
  <c r="DK21" i="5"/>
  <c r="BB391" i="5"/>
  <c r="BD391" i="5" s="1"/>
  <c r="BT162" i="5"/>
  <c r="BV162" i="5" s="1"/>
  <c r="CC162" i="5" s="1"/>
  <c r="N106" i="5"/>
  <c r="AD200" i="5"/>
  <c r="BV140" i="5"/>
  <c r="CC140" i="5" s="1"/>
  <c r="CE140" i="5" s="1"/>
  <c r="CJ140" i="5" s="1"/>
  <c r="BG108" i="5"/>
  <c r="AF120" i="5"/>
  <c r="AN199" i="5"/>
  <c r="DO199" i="5" s="1"/>
  <c r="AF119" i="5"/>
  <c r="AT368" i="5"/>
  <c r="BV113" i="5"/>
  <c r="CC113" i="5" s="1"/>
  <c r="CE113" i="5" s="1"/>
  <c r="CJ113" i="5" s="1"/>
  <c r="DK44" i="5"/>
  <c r="DK47" i="5"/>
  <c r="BI100" i="5"/>
  <c r="DK46" i="5"/>
  <c r="EQ483" i="5"/>
  <c r="BF132" i="5"/>
  <c r="BH132" i="5" s="1"/>
  <c r="AT293" i="5"/>
  <c r="FU175" i="5"/>
  <c r="CM175" i="5" s="1"/>
  <c r="AD212" i="5"/>
  <c r="AT445" i="5"/>
  <c r="BV191" i="5"/>
  <c r="CC191" i="5" s="1"/>
  <c r="FU171" i="5"/>
  <c r="CM171" i="5" s="1"/>
  <c r="DK39" i="5"/>
  <c r="BF140" i="5"/>
  <c r="BH140" i="5" s="1"/>
  <c r="CW448" i="5"/>
  <c r="EG166" i="5"/>
  <c r="EJ166" i="5" s="1"/>
  <c r="EK166" i="5" s="1"/>
  <c r="AS180" i="5"/>
  <c r="AS195" i="5"/>
  <c r="AS137" i="5"/>
  <c r="BD345" i="5"/>
  <c r="FU189" i="5"/>
  <c r="CM189" i="5" s="1"/>
  <c r="BG120" i="5"/>
  <c r="BI120" i="5" s="1"/>
  <c r="DK38" i="5"/>
  <c r="BV226" i="5"/>
  <c r="CC226" i="5" s="1"/>
  <c r="FU114" i="5"/>
  <c r="CM114" i="5" s="1"/>
  <c r="BD416" i="5"/>
  <c r="BV120" i="5"/>
  <c r="EQ481" i="5"/>
  <c r="ER481" i="5" s="1"/>
  <c r="AS167" i="5"/>
  <c r="EG164" i="5"/>
  <c r="EJ164" i="5" s="1"/>
  <c r="EK164" i="5" s="1"/>
  <c r="DK31" i="5"/>
  <c r="DK51" i="5"/>
  <c r="AS79" i="5"/>
  <c r="CQ400" i="5"/>
  <c r="BG114" i="5"/>
  <c r="DK52" i="5"/>
  <c r="BV111" i="5"/>
  <c r="CC111" i="5" s="1"/>
  <c r="CE111" i="5" s="1"/>
  <c r="BV188" i="5"/>
  <c r="CC188" i="5" s="1"/>
  <c r="FU178" i="5"/>
  <c r="CM178" i="5" s="1"/>
  <c r="BV135" i="5"/>
  <c r="CC135" i="5" s="1"/>
  <c r="CE135" i="5" s="1"/>
  <c r="CJ135" i="5" s="1"/>
  <c r="BV139" i="5"/>
  <c r="CC139" i="5" s="1"/>
  <c r="CE139" i="5" s="1"/>
  <c r="CJ139" i="5" s="1"/>
  <c r="AS62" i="5"/>
  <c r="AS91" i="5"/>
  <c r="BD271" i="5"/>
  <c r="DK25" i="5"/>
  <c r="BV224" i="5"/>
  <c r="CC224" i="5" s="1"/>
  <c r="BV241" i="5"/>
  <c r="CC241" i="5" s="1"/>
  <c r="FU181" i="5"/>
  <c r="CM181" i="5" s="1"/>
  <c r="BG121" i="5"/>
  <c r="BI121" i="5" s="1"/>
  <c r="AT436" i="5"/>
  <c r="DK50" i="5"/>
  <c r="BI108" i="5"/>
  <c r="BJ108" i="5" s="1"/>
  <c r="EC108" i="5" s="1"/>
  <c r="EB108" i="5" s="1"/>
  <c r="BF136" i="5"/>
  <c r="BH136" i="5" s="1"/>
  <c r="AS157" i="5"/>
  <c r="AS249" i="5"/>
  <c r="S239" i="5"/>
  <c r="BI142" i="5"/>
  <c r="BD362" i="5"/>
  <c r="FU193" i="5"/>
  <c r="CM193" i="5" s="1"/>
  <c r="BG144" i="5"/>
  <c r="BI144" i="5" s="1"/>
  <c r="BJ144" i="5" s="1"/>
  <c r="EC144" i="5" s="1"/>
  <c r="EB144" i="5" s="1"/>
  <c r="DK48" i="5"/>
  <c r="BV156" i="5"/>
  <c r="CC156" i="5" s="1"/>
  <c r="BV138" i="5"/>
  <c r="CC138" i="5" s="1"/>
  <c r="CE138" i="5" s="1"/>
  <c r="CJ138" i="5" s="1"/>
  <c r="CV281" i="5"/>
  <c r="BD314" i="5"/>
  <c r="AS181" i="5"/>
  <c r="AS89" i="5"/>
  <c r="FU176" i="5"/>
  <c r="CM176" i="5" s="1"/>
  <c r="CR176" i="5" s="1"/>
  <c r="AS165" i="5"/>
  <c r="EG163" i="5"/>
  <c r="EJ163" i="5" s="1"/>
  <c r="EK163" i="5" s="1"/>
  <c r="DK36" i="5"/>
  <c r="AS132" i="5"/>
  <c r="AN174" i="5"/>
  <c r="DO174" i="5" s="1"/>
  <c r="DK23" i="5"/>
  <c r="BD350" i="5"/>
  <c r="DK45" i="5"/>
  <c r="DI487" i="5"/>
  <c r="DJ487" i="5"/>
  <c r="BB398" i="5"/>
  <c r="BD398" i="5" s="1"/>
  <c r="BD294" i="5"/>
  <c r="BD426" i="5"/>
  <c r="FU194" i="5"/>
  <c r="CM194" i="5" s="1"/>
  <c r="BI143" i="5"/>
  <c r="BB432" i="5"/>
  <c r="BD432" i="5" s="1"/>
  <c r="AT419" i="5"/>
  <c r="AT443" i="5"/>
  <c r="BV129" i="5"/>
  <c r="CC129" i="5" s="1"/>
  <c r="CE129" i="5" s="1"/>
  <c r="CJ129" i="5" s="1"/>
  <c r="BI118" i="5"/>
  <c r="CQ264" i="5"/>
  <c r="BV182" i="5"/>
  <c r="CC182" i="5" s="1"/>
  <c r="BG111" i="5"/>
  <c r="BV132" i="5"/>
  <c r="CC132" i="5" s="1"/>
  <c r="CE132" i="5" s="1"/>
  <c r="CJ132" i="5" s="1"/>
  <c r="CQ132" i="5" s="1"/>
  <c r="AS158" i="5"/>
  <c r="AS183" i="5"/>
  <c r="BB183" i="5" s="1"/>
  <c r="AS185" i="5"/>
  <c r="AS177" i="5"/>
  <c r="BB177" i="5" s="1"/>
  <c r="AS182" i="5"/>
  <c r="AS69" i="5"/>
  <c r="AS129" i="5"/>
  <c r="AS146" i="5"/>
  <c r="AT146" i="5" s="1"/>
  <c r="AS77" i="5"/>
  <c r="AF108" i="5"/>
  <c r="BB429" i="5"/>
  <c r="BI131" i="5"/>
  <c r="AT387" i="5"/>
  <c r="BV123" i="5"/>
  <c r="CC123" i="5" s="1"/>
  <c r="CE123" i="5" s="1"/>
  <c r="CJ123" i="5" s="1"/>
  <c r="BV185" i="5"/>
  <c r="CC185" i="5" s="1"/>
  <c r="AT427" i="5"/>
  <c r="AW427" i="5" s="1"/>
  <c r="CH427" i="5" s="1"/>
  <c r="BD286" i="5"/>
  <c r="BI103" i="5"/>
  <c r="AS251" i="5"/>
  <c r="BB251" i="5" s="1"/>
  <c r="S179" i="5"/>
  <c r="BC179" i="5" s="1"/>
  <c r="EG174" i="5"/>
  <c r="EJ174" i="5" s="1"/>
  <c r="EK174" i="5" s="1"/>
  <c r="AS170" i="5"/>
  <c r="BD376" i="5"/>
  <c r="BI113" i="5"/>
  <c r="BJ113" i="5" s="1"/>
  <c r="EC113" i="5" s="1"/>
  <c r="EB113" i="5" s="1"/>
  <c r="FU116" i="5"/>
  <c r="CM116" i="5" s="1"/>
  <c r="BB354" i="5"/>
  <c r="BD354" i="5" s="1"/>
  <c r="BV243" i="5"/>
  <c r="CC243" i="5" s="1"/>
  <c r="AT431" i="5"/>
  <c r="AT266" i="5"/>
  <c r="DK28" i="5"/>
  <c r="BB321" i="5"/>
  <c r="BD321" i="5" s="1"/>
  <c r="AT438" i="5"/>
  <c r="AW438" i="5" s="1"/>
  <c r="CH438" i="5" s="1"/>
  <c r="AO158" i="5"/>
  <c r="BI146" i="5"/>
  <c r="AZ165" i="5"/>
  <c r="AN197" i="5"/>
  <c r="DO197" i="5" s="1"/>
  <c r="EG197" i="5" s="1"/>
  <c r="EJ197" i="5" s="1"/>
  <c r="EK197" i="5" s="1"/>
  <c r="AN172" i="5"/>
  <c r="DO172" i="5" s="1"/>
  <c r="EG172" i="5" s="1"/>
  <c r="EJ172" i="5" s="1"/>
  <c r="EK172" i="5" s="1"/>
  <c r="AS163" i="5"/>
  <c r="BB163" i="5" s="1"/>
  <c r="AS166" i="5"/>
  <c r="AS194" i="5"/>
  <c r="AF109" i="5"/>
  <c r="BI140" i="5"/>
  <c r="BV181" i="5"/>
  <c r="CC181" i="5" s="1"/>
  <c r="BB377" i="5"/>
  <c r="BI114" i="5"/>
  <c r="BV126" i="5"/>
  <c r="CC126" i="5" s="1"/>
  <c r="CE126" i="5" s="1"/>
  <c r="CJ126" i="5" s="1"/>
  <c r="FD126" i="5" s="1"/>
  <c r="FU173" i="5"/>
  <c r="CM173" i="5" s="1"/>
  <c r="DY106" i="5"/>
  <c r="BB366" i="5"/>
  <c r="AT402" i="5"/>
  <c r="BV119" i="5"/>
  <c r="BI101" i="5"/>
  <c r="EA13" i="5"/>
  <c r="AT415" i="5"/>
  <c r="AW415" i="5" s="1"/>
  <c r="CH415" i="5" s="1"/>
  <c r="BV189" i="5"/>
  <c r="CC189" i="5" s="1"/>
  <c r="CQ412" i="5"/>
  <c r="AF128" i="5"/>
  <c r="EG198" i="5"/>
  <c r="EJ198" i="5" s="1"/>
  <c r="EK198" i="5" s="1"/>
  <c r="S187" i="5"/>
  <c r="BC187" i="5" s="1"/>
  <c r="BU106" i="5"/>
  <c r="BF115" i="5"/>
  <c r="BH115" i="5" s="1"/>
  <c r="EA12" i="5"/>
  <c r="AT452" i="5"/>
  <c r="FU188" i="5"/>
  <c r="CM188" i="5" s="1"/>
  <c r="AS161" i="5"/>
  <c r="DK22" i="5"/>
  <c r="AD208" i="5"/>
  <c r="AS188" i="5"/>
  <c r="AS164" i="5"/>
  <c r="BB164" i="5" s="1"/>
  <c r="AS186" i="5"/>
  <c r="AS106" i="5"/>
  <c r="AT106" i="5" s="1"/>
  <c r="AW106" i="5" s="1"/>
  <c r="AF132" i="5"/>
  <c r="AF134" i="5"/>
  <c r="AN106" i="5"/>
  <c r="DO106" i="5" s="1"/>
  <c r="EG106" i="5" s="1"/>
  <c r="EJ106" i="5" s="1"/>
  <c r="EK106" i="5" s="1"/>
  <c r="BD447" i="5"/>
  <c r="BG124" i="5"/>
  <c r="BI124" i="5" s="1"/>
  <c r="BJ124" i="5" s="1"/>
  <c r="EC124" i="5" s="1"/>
  <c r="EB124" i="5" s="1"/>
  <c r="BF141" i="5"/>
  <c r="BH141" i="5" s="1"/>
  <c r="AT399" i="5"/>
  <c r="BB440" i="5"/>
  <c r="BD445" i="5"/>
  <c r="FU172" i="5"/>
  <c r="CM172" i="5" s="1"/>
  <c r="BG123" i="5"/>
  <c r="BI123" i="5" s="1"/>
  <c r="BJ123" i="5" s="1"/>
  <c r="EC123" i="5" s="1"/>
  <c r="EB123" i="5" s="1"/>
  <c r="FU185" i="5"/>
  <c r="CM185" i="5" s="1"/>
  <c r="FC185" i="5" s="1"/>
  <c r="BF126" i="5"/>
  <c r="BH126" i="5" s="1"/>
  <c r="BV143" i="5"/>
  <c r="AT395" i="5"/>
  <c r="BD301" i="5"/>
  <c r="BV237" i="5"/>
  <c r="CC237" i="5" s="1"/>
  <c r="BI136" i="5"/>
  <c r="FU187" i="5"/>
  <c r="CM187" i="5" s="1"/>
  <c r="CX187" i="5" s="1"/>
  <c r="BF128" i="5"/>
  <c r="BH128" i="5" s="1"/>
  <c r="BI95" i="5"/>
  <c r="BI102" i="5"/>
  <c r="AD210" i="5"/>
  <c r="AS156" i="5"/>
  <c r="EG199" i="5"/>
  <c r="EJ199" i="5" s="1"/>
  <c r="EK199" i="5" s="1"/>
  <c r="DK41" i="5"/>
  <c r="BD431" i="5"/>
  <c r="FU170" i="5"/>
  <c r="CM170" i="5" s="1"/>
  <c r="CX170" i="5" s="1"/>
  <c r="BI147" i="5"/>
  <c r="BV173" i="5"/>
  <c r="CC173" i="5" s="1"/>
  <c r="BI132" i="5"/>
  <c r="EQ21" i="5"/>
  <c r="BD278" i="5"/>
  <c r="FU186" i="5"/>
  <c r="CM186" i="5" s="1"/>
  <c r="EQ20" i="5"/>
  <c r="ER20" i="5" s="1"/>
  <c r="BB451" i="5"/>
  <c r="BD451" i="5" s="1"/>
  <c r="BV183" i="5"/>
  <c r="CC183" i="5" s="1"/>
  <c r="BF145" i="5"/>
  <c r="BH145" i="5" s="1"/>
  <c r="BI137" i="5"/>
  <c r="DK20" i="5"/>
  <c r="DN481" i="20"/>
  <c r="ES481" i="20"/>
  <c r="ER481" i="20"/>
  <c r="BC103" i="20"/>
  <c r="CN103" i="20" s="1"/>
  <c r="BC376" i="20"/>
  <c r="CN376" i="20" s="1"/>
  <c r="AU109" i="20"/>
  <c r="AR109" i="20"/>
  <c r="BC439" i="20"/>
  <c r="CN439" i="20" s="1"/>
  <c r="BC328" i="20"/>
  <c r="CN328" i="20" s="1"/>
  <c r="BC400" i="20"/>
  <c r="CN400" i="20" s="1"/>
  <c r="FJ100" i="20"/>
  <c r="CW100" i="20"/>
  <c r="FH102" i="20"/>
  <c r="CV102" i="20"/>
  <c r="BC255" i="20"/>
  <c r="CN255" i="20" s="1"/>
  <c r="BC299" i="20"/>
  <c r="CN299" i="20" s="1"/>
  <c r="DM124" i="20"/>
  <c r="DM119" i="20"/>
  <c r="BC279" i="20"/>
  <c r="CN279" i="20" s="1"/>
  <c r="BC362" i="20"/>
  <c r="CN362" i="20" s="1"/>
  <c r="CF3" i="20"/>
  <c r="DM137" i="20"/>
  <c r="DM113" i="20"/>
  <c r="BC98" i="20"/>
  <c r="CN98" i="20" s="1"/>
  <c r="CW224" i="20"/>
  <c r="FJ224" i="20"/>
  <c r="FJ433" i="20"/>
  <c r="DC433" i="20"/>
  <c r="DF398" i="20"/>
  <c r="FL398" i="20"/>
  <c r="FH67" i="20"/>
  <c r="CV67" i="20"/>
  <c r="ED360" i="20"/>
  <c r="CR360" i="20" s="1"/>
  <c r="FH120" i="20"/>
  <c r="DB120" i="20"/>
  <c r="CV197" i="20"/>
  <c r="FH197" i="20"/>
  <c r="FH79" i="20"/>
  <c r="CV79" i="20"/>
  <c r="ED339" i="20"/>
  <c r="CR339" i="20" s="1"/>
  <c r="CV138" i="20"/>
  <c r="FH138" i="20"/>
  <c r="BC447" i="20"/>
  <c r="CN447" i="20" s="1"/>
  <c r="DN483" i="20"/>
  <c r="ER483" i="20"/>
  <c r="ES483" i="20"/>
  <c r="DM263" i="20"/>
  <c r="CW249" i="20"/>
  <c r="FJ249" i="20"/>
  <c r="CF1" i="20"/>
  <c r="CW221" i="20"/>
  <c r="FJ221" i="20"/>
  <c r="CU102" i="20"/>
  <c r="FG102" i="20"/>
  <c r="ED302" i="20"/>
  <c r="CR302" i="20" s="1"/>
  <c r="BC386" i="20"/>
  <c r="CN386" i="20" s="1"/>
  <c r="FL301" i="20"/>
  <c r="DF301" i="20"/>
  <c r="BC429" i="20"/>
  <c r="CN429" i="20" s="1"/>
  <c r="DF389" i="20"/>
  <c r="FL389" i="20"/>
  <c r="DN477" i="20"/>
  <c r="ER477" i="20"/>
  <c r="ES477" i="20"/>
  <c r="BC366" i="20"/>
  <c r="CN366" i="20" s="1"/>
  <c r="FH407" i="20"/>
  <c r="CV407" i="20"/>
  <c r="CZ171" i="20"/>
  <c r="FL171" i="20"/>
  <c r="CV313" i="20"/>
  <c r="FH313" i="20"/>
  <c r="BL109" i="20"/>
  <c r="BN109" i="20" s="1"/>
  <c r="BM109" i="20"/>
  <c r="FJ379" i="20"/>
  <c r="DC379" i="20"/>
  <c r="ED336" i="20"/>
  <c r="CR336" i="20" s="1"/>
  <c r="DC256" i="20"/>
  <c r="FJ256" i="20"/>
  <c r="DM146" i="20"/>
  <c r="FG100" i="20"/>
  <c r="CU100" i="20"/>
  <c r="DM291" i="20"/>
  <c r="DM208" i="20"/>
  <c r="DB306" i="20"/>
  <c r="FH306" i="20"/>
  <c r="FH245" i="20"/>
  <c r="DB245" i="20"/>
  <c r="FL259" i="20"/>
  <c r="DF259" i="20"/>
  <c r="CZ443" i="20"/>
  <c r="FL443" i="20"/>
  <c r="FJ320" i="20"/>
  <c r="CW320" i="20"/>
  <c r="DM210" i="20"/>
  <c r="BO103" i="20"/>
  <c r="BP103" i="20" s="1"/>
  <c r="EI103" i="20" s="1"/>
  <c r="ES20" i="20"/>
  <c r="ER20" i="20"/>
  <c r="CZ304" i="20"/>
  <c r="FL304" i="20"/>
  <c r="FL272" i="20"/>
  <c r="CZ272" i="20"/>
  <c r="ED397" i="20"/>
  <c r="CR397" i="20" s="1"/>
  <c r="FH113" i="20"/>
  <c r="CV113" i="20"/>
  <c r="ED368" i="20"/>
  <c r="CR368" i="20" s="1"/>
  <c r="BC433" i="20"/>
  <c r="CN433" i="20" s="1"/>
  <c r="DM367" i="20"/>
  <c r="DM202" i="20"/>
  <c r="CZ348" i="20"/>
  <c r="FL348" i="20"/>
  <c r="DF186" i="20"/>
  <c r="FL186" i="20"/>
  <c r="DM132" i="20"/>
  <c r="BH376" i="20"/>
  <c r="BJ376" i="20" s="1"/>
  <c r="FH209" i="20"/>
  <c r="DB209" i="20"/>
  <c r="DM359" i="20"/>
  <c r="BC356" i="20"/>
  <c r="CN356" i="20" s="1"/>
  <c r="DP193" i="20"/>
  <c r="DQ193" i="20" s="1"/>
  <c r="DR193" i="20" s="1"/>
  <c r="FH373" i="20"/>
  <c r="DB373" i="20"/>
  <c r="BC291" i="20"/>
  <c r="CN291" i="20" s="1"/>
  <c r="DC414" i="20"/>
  <c r="FJ414" i="20"/>
  <c r="CW329" i="20"/>
  <c r="FJ329" i="20"/>
  <c r="CW239" i="20"/>
  <c r="FJ239" i="20"/>
  <c r="FJ254" i="20"/>
  <c r="CW254" i="20"/>
  <c r="FH287" i="20"/>
  <c r="CV287" i="20"/>
  <c r="DT17" i="20"/>
  <c r="DT16" i="20" s="1"/>
  <c r="DT14" i="20" s="1"/>
  <c r="DT13" i="20" s="1"/>
  <c r="BC358" i="20"/>
  <c r="CN358" i="20" s="1"/>
  <c r="ED235" i="20"/>
  <c r="CR235" i="20" s="1"/>
  <c r="BC101" i="20"/>
  <c r="CN101" i="20" s="1"/>
  <c r="DF318" i="20"/>
  <c r="FL318" i="20"/>
  <c r="BC300" i="20"/>
  <c r="CN300" i="20" s="1"/>
  <c r="DM72" i="20"/>
  <c r="BC269" i="20"/>
  <c r="CN269" i="20" s="1"/>
  <c r="CV428" i="20"/>
  <c r="FH428" i="20"/>
  <c r="ED313" i="20"/>
  <c r="CR313" i="20" s="1"/>
  <c r="CZ221" i="20"/>
  <c r="FL221" i="20"/>
  <c r="DM200" i="20"/>
  <c r="BJ330" i="20"/>
  <c r="CW386" i="20"/>
  <c r="FJ386" i="20"/>
  <c r="BJ420" i="20"/>
  <c r="ED432" i="20"/>
  <c r="CR432" i="20" s="1"/>
  <c r="CV402" i="20"/>
  <c r="FH402" i="20"/>
  <c r="FL410" i="20"/>
  <c r="CZ410" i="20"/>
  <c r="EW476" i="20"/>
  <c r="EX476" i="20" s="1"/>
  <c r="FH427" i="20"/>
  <c r="DB427" i="20"/>
  <c r="DO215" i="20"/>
  <c r="DM266" i="20"/>
  <c r="AY106" i="20"/>
  <c r="AZ106" i="20" s="1"/>
  <c r="BC106" i="20" s="1"/>
  <c r="CZ220" i="20"/>
  <c r="FL220" i="20"/>
  <c r="AZ344" i="20"/>
  <c r="ES212" i="20"/>
  <c r="DB143" i="20"/>
  <c r="FH143" i="20"/>
  <c r="FH96" i="20"/>
  <c r="CV96" i="20"/>
  <c r="ED428" i="20"/>
  <c r="CR428" i="20" s="1"/>
  <c r="FH379" i="20"/>
  <c r="DB379" i="20"/>
  <c r="AU216" i="20"/>
  <c r="CV423" i="20"/>
  <c r="FH423" i="20"/>
  <c r="FH65" i="20"/>
  <c r="CV65" i="20"/>
  <c r="EG13" i="20"/>
  <c r="EX166" i="20"/>
  <c r="FH331" i="20"/>
  <c r="CV331" i="20"/>
  <c r="FH142" i="20"/>
  <c r="DB142" i="20"/>
  <c r="CW443" i="20"/>
  <c r="FJ443" i="20"/>
  <c r="DM447" i="20"/>
  <c r="DC371" i="20"/>
  <c r="FJ371" i="20"/>
  <c r="FJ327" i="20"/>
  <c r="DC327" i="20"/>
  <c r="FL251" i="20"/>
  <c r="DF251" i="20"/>
  <c r="DM444" i="20"/>
  <c r="CW94" i="20"/>
  <c r="FJ94" i="20"/>
  <c r="DF316" i="20"/>
  <c r="FL316" i="20"/>
  <c r="DM95" i="20"/>
  <c r="FL278" i="20"/>
  <c r="DF278" i="20"/>
  <c r="FL190" i="20"/>
  <c r="CZ190" i="20"/>
  <c r="BC394" i="20"/>
  <c r="CN394" i="20" s="1"/>
  <c r="FJ352" i="20"/>
  <c r="CW352" i="20"/>
  <c r="CV179" i="20"/>
  <c r="FH179" i="20"/>
  <c r="FL270" i="20"/>
  <c r="DF270" i="20"/>
  <c r="DC277" i="20"/>
  <c r="FJ277" i="20"/>
  <c r="FH246" i="20"/>
  <c r="DB246" i="20"/>
  <c r="DM404" i="20"/>
  <c r="CV351" i="20"/>
  <c r="FH351" i="20"/>
  <c r="BC305" i="20"/>
  <c r="CN305" i="20" s="1"/>
  <c r="FH145" i="20"/>
  <c r="DB145" i="20"/>
  <c r="DM86" i="20"/>
  <c r="BC446" i="20"/>
  <c r="CN446" i="20" s="1"/>
  <c r="BC295" i="20"/>
  <c r="CN295" i="20" s="1"/>
  <c r="CW408" i="20"/>
  <c r="FJ408" i="20"/>
  <c r="BC420" i="20"/>
  <c r="CN420" i="20" s="1"/>
  <c r="DM352" i="20"/>
  <c r="DM127" i="20"/>
  <c r="FJ61" i="20"/>
  <c r="CW61" i="20"/>
  <c r="FH367" i="20"/>
  <c r="DB367" i="20"/>
  <c r="DC406" i="20"/>
  <c r="FJ406" i="20"/>
  <c r="ED283" i="20"/>
  <c r="CR283" i="20" s="1"/>
  <c r="DB247" i="20"/>
  <c r="FH247" i="20"/>
  <c r="DM400" i="20"/>
  <c r="BC337" i="20"/>
  <c r="CN337" i="20" s="1"/>
  <c r="DC412" i="20"/>
  <c r="FJ412" i="20"/>
  <c r="DM434" i="20"/>
  <c r="ED381" i="20"/>
  <c r="CR381" i="20" s="1"/>
  <c r="CW326" i="20"/>
  <c r="FJ326" i="20"/>
  <c r="DM314" i="20"/>
  <c r="CW53" i="20"/>
  <c r="FJ53" i="20"/>
  <c r="CP4" i="20"/>
  <c r="CG3" i="20"/>
  <c r="CG1" i="20"/>
  <c r="CP3" i="20"/>
  <c r="CP1" i="20"/>
  <c r="CP9" i="20"/>
  <c r="CG4" i="20"/>
  <c r="CP8" i="20"/>
  <c r="CP6" i="20"/>
  <c r="CP7" i="20" s="1"/>
  <c r="DB293" i="20"/>
  <c r="FH293" i="20"/>
  <c r="DM277" i="20"/>
  <c r="DM445" i="20"/>
  <c r="BC393" i="20"/>
  <c r="CN393" i="20" s="1"/>
  <c r="FJ332" i="20"/>
  <c r="DC332" i="20"/>
  <c r="ER158" i="20"/>
  <c r="ES158" i="20"/>
  <c r="FL273" i="20"/>
  <c r="DF273" i="20"/>
  <c r="FJ180" i="20"/>
  <c r="DC180" i="20"/>
  <c r="CV360" i="20"/>
  <c r="FH360" i="20"/>
  <c r="ED223" i="20"/>
  <c r="CR223" i="20" s="1"/>
  <c r="DM143" i="20"/>
  <c r="CW101" i="20"/>
  <c r="FJ101" i="20"/>
  <c r="ES104" i="20"/>
  <c r="DM104" i="20"/>
  <c r="ER104" i="20"/>
  <c r="CW351" i="20"/>
  <c r="FJ351" i="20"/>
  <c r="DB296" i="20"/>
  <c r="FH296" i="20"/>
  <c r="CZ193" i="20"/>
  <c r="FL193" i="20"/>
  <c r="DB413" i="20"/>
  <c r="FH413" i="20"/>
  <c r="DM330" i="20"/>
  <c r="FL294" i="20"/>
  <c r="DF294" i="20"/>
  <c r="DM411" i="20"/>
  <c r="DM282" i="20"/>
  <c r="FJ204" i="20"/>
  <c r="CW204" i="20"/>
  <c r="DM262" i="20"/>
  <c r="FL189" i="20"/>
  <c r="CZ189" i="20"/>
  <c r="BC341" i="20"/>
  <c r="CN341" i="20" s="1"/>
  <c r="ED249" i="20"/>
  <c r="CR249" i="20" s="1"/>
  <c r="BC348" i="20"/>
  <c r="CN348" i="20" s="1"/>
  <c r="CU99" i="20"/>
  <c r="FG99" i="20"/>
  <c r="CV134" i="20"/>
  <c r="FH134" i="20"/>
  <c r="DB401" i="20"/>
  <c r="FH401" i="20"/>
  <c r="FJ440" i="20"/>
  <c r="DC440" i="20"/>
  <c r="BC290" i="20"/>
  <c r="CN290" i="20" s="1"/>
  <c r="DM413" i="20"/>
  <c r="DM59" i="20"/>
  <c r="DB371" i="20"/>
  <c r="FH371" i="20"/>
  <c r="FH321" i="20"/>
  <c r="DB321" i="20"/>
  <c r="FJ98" i="20"/>
  <c r="CW98" i="20"/>
  <c r="CX103" i="20"/>
  <c r="FI103" i="20"/>
  <c r="CW206" i="20"/>
  <c r="FJ206" i="20"/>
  <c r="FJ366" i="20"/>
  <c r="CW366" i="20"/>
  <c r="BC157" i="20"/>
  <c r="AV157" i="20"/>
  <c r="AW157" i="20" s="1"/>
  <c r="DM123" i="20"/>
  <c r="DM344" i="20"/>
  <c r="CV227" i="20"/>
  <c r="FH227" i="20"/>
  <c r="DM261" i="20"/>
  <c r="FL232" i="20"/>
  <c r="CZ232" i="20"/>
  <c r="BC97" i="20"/>
  <c r="CN97" i="20" s="1"/>
  <c r="FH301" i="20"/>
  <c r="DB301" i="20"/>
  <c r="DB225" i="20"/>
  <c r="FH225" i="20"/>
  <c r="FH186" i="20"/>
  <c r="DB186" i="20"/>
  <c r="ED423" i="20"/>
  <c r="CR423" i="20" s="1"/>
  <c r="ED328" i="20"/>
  <c r="CR328" i="20" s="1"/>
  <c r="FH146" i="20"/>
  <c r="DB146" i="20"/>
  <c r="FH294" i="20"/>
  <c r="DB294" i="20"/>
  <c r="EW465" i="20"/>
  <c r="EX465" i="20" s="1"/>
  <c r="FH177" i="20"/>
  <c r="DB177" i="20"/>
  <c r="DN486" i="20"/>
  <c r="ER486" i="20"/>
  <c r="ES486" i="20"/>
  <c r="DN488" i="20"/>
  <c r="ES488" i="20"/>
  <c r="ER488" i="20"/>
  <c r="FL417" i="20"/>
  <c r="DF417" i="20"/>
  <c r="CW175" i="20"/>
  <c r="FJ175" i="20"/>
  <c r="BH299" i="20"/>
  <c r="BJ299" i="20" s="1"/>
  <c r="ED250" i="20"/>
  <c r="CR250" i="20" s="1"/>
  <c r="DM82" i="20"/>
  <c r="FH207" i="20"/>
  <c r="CV207" i="20"/>
  <c r="FL319" i="20"/>
  <c r="DF319" i="20"/>
  <c r="DM255" i="20"/>
  <c r="DM79" i="20"/>
  <c r="ER19" i="20"/>
  <c r="ES19" i="20"/>
  <c r="DM97" i="20"/>
  <c r="DB449" i="20"/>
  <c r="FH449" i="20"/>
  <c r="DM439" i="20"/>
  <c r="DB448" i="20"/>
  <c r="FH448" i="20"/>
  <c r="ED293" i="20"/>
  <c r="CR293" i="20" s="1"/>
  <c r="CV86" i="20"/>
  <c r="FH86" i="20"/>
  <c r="CO4" i="20"/>
  <c r="BO53" i="20"/>
  <c r="BP53" i="20" s="1"/>
  <c r="EI53" i="20" s="1"/>
  <c r="DM358" i="20"/>
  <c r="AZ262" i="20"/>
  <c r="ED374" i="20"/>
  <c r="CR374" i="20" s="1"/>
  <c r="DC278" i="20"/>
  <c r="FJ278" i="20"/>
  <c r="DC337" i="20"/>
  <c r="FJ337" i="20"/>
  <c r="AT110" i="20"/>
  <c r="DU110" i="20" s="1"/>
  <c r="AP111" i="20"/>
  <c r="DM57" i="20"/>
  <c r="BC95" i="20"/>
  <c r="CN95" i="20" s="1"/>
  <c r="CZ179" i="20"/>
  <c r="FL179" i="20"/>
  <c r="BC387" i="20"/>
  <c r="CN387" i="20" s="1"/>
  <c r="CW434" i="20"/>
  <c r="FJ434" i="20"/>
  <c r="CV285" i="20"/>
  <c r="FH285" i="20"/>
  <c r="CV100" i="20"/>
  <c r="FH100" i="20"/>
  <c r="FH73" i="20"/>
  <c r="CV73" i="20"/>
  <c r="CW235" i="20"/>
  <c r="FJ235" i="20"/>
  <c r="DQ44" i="20"/>
  <c r="DC294" i="20"/>
  <c r="FJ294" i="20"/>
  <c r="DR487" i="20"/>
  <c r="DS487" i="20" s="1"/>
  <c r="CV220" i="20"/>
  <c r="FH220" i="20"/>
  <c r="CV239" i="20"/>
  <c r="FH239" i="20"/>
  <c r="BC183" i="20"/>
  <c r="CN183" i="20" s="1"/>
  <c r="CZ329" i="20"/>
  <c r="FL329" i="20"/>
  <c r="DM285" i="20"/>
  <c r="DM90" i="20"/>
  <c r="DM438" i="20"/>
  <c r="DM430" i="20"/>
  <c r="DQ36" i="20"/>
  <c r="DC310" i="20"/>
  <c r="FJ310" i="20"/>
  <c r="CU16" i="20"/>
  <c r="DM341" i="20"/>
  <c r="DM315" i="20"/>
  <c r="DQ29" i="20"/>
  <c r="AZ412" i="20"/>
  <c r="FJ447" i="20"/>
  <c r="CW447" i="20"/>
  <c r="FL183" i="20"/>
  <c r="DF183" i="20"/>
  <c r="DF427" i="20"/>
  <c r="FL427" i="20"/>
  <c r="CV308" i="20"/>
  <c r="FH308" i="20"/>
  <c r="CW231" i="20"/>
  <c r="FJ231" i="20"/>
  <c r="ES167" i="20"/>
  <c r="ER167" i="20"/>
  <c r="DB200" i="20"/>
  <c r="FH200" i="20"/>
  <c r="FJ209" i="20"/>
  <c r="DC209" i="20"/>
  <c r="FJ281" i="20"/>
  <c r="CW281" i="20"/>
  <c r="DM268" i="20"/>
  <c r="ED415" i="20"/>
  <c r="CR415" i="20" s="1"/>
  <c r="FL375" i="20"/>
  <c r="CZ375" i="20"/>
  <c r="BP97" i="20"/>
  <c r="EI97" i="20" s="1"/>
  <c r="FL323" i="20"/>
  <c r="DF323" i="20"/>
  <c r="DF187" i="20"/>
  <c r="FL187" i="20"/>
  <c r="ED387" i="20"/>
  <c r="CR387" i="20" s="1"/>
  <c r="FL191" i="20"/>
  <c r="CZ191" i="20"/>
  <c r="DM115" i="20"/>
  <c r="DM279" i="20"/>
  <c r="CO16" i="20"/>
  <c r="ED376" i="20"/>
  <c r="CR376" i="20" s="1"/>
  <c r="FH166" i="20"/>
  <c r="DB166" i="20"/>
  <c r="DM324" i="20"/>
  <c r="CV165" i="20"/>
  <c r="FH165" i="20"/>
  <c r="FH292" i="20"/>
  <c r="DB292" i="20"/>
  <c r="CZ307" i="20"/>
  <c r="FL307" i="20"/>
  <c r="DM206" i="20"/>
  <c r="CW75" i="20"/>
  <c r="FJ75" i="20"/>
  <c r="DM331" i="20"/>
  <c r="BO95" i="20"/>
  <c r="BP95" i="20" s="1"/>
  <c r="EI95" i="20" s="1"/>
  <c r="DP476" i="20"/>
  <c r="DO476" i="20"/>
  <c r="FH248" i="20"/>
  <c r="CV248" i="20"/>
  <c r="DB342" i="20"/>
  <c r="FH342" i="20"/>
  <c r="ED300" i="20"/>
  <c r="CR300" i="20" s="1"/>
  <c r="BH279" i="20"/>
  <c r="BJ279" i="20" s="1"/>
  <c r="FL357" i="20"/>
  <c r="DF357" i="20"/>
  <c r="DQ33" i="20"/>
  <c r="FH392" i="20"/>
  <c r="CV392" i="20"/>
  <c r="FH364" i="20"/>
  <c r="CV364" i="20"/>
  <c r="FH250" i="20"/>
  <c r="DB250" i="20"/>
  <c r="FH258" i="20"/>
  <c r="DB258" i="20"/>
  <c r="EW491" i="20"/>
  <c r="EX491" i="20" s="1"/>
  <c r="ED298" i="20"/>
  <c r="CR298" i="20" s="1"/>
  <c r="FH281" i="20"/>
  <c r="CV281" i="20"/>
  <c r="ER107" i="20"/>
  <c r="ED356" i="20"/>
  <c r="CR356" i="20" s="1"/>
  <c r="DP480" i="20"/>
  <c r="DO480" i="20"/>
  <c r="DM384" i="20"/>
  <c r="FL260" i="20"/>
  <c r="CZ260" i="20"/>
  <c r="ER194" i="20"/>
  <c r="DM194" i="20"/>
  <c r="ES194" i="20"/>
  <c r="DM122" i="20"/>
  <c r="DC424" i="20"/>
  <c r="FJ424" i="20"/>
  <c r="CV80" i="20"/>
  <c r="FH80" i="20"/>
  <c r="FI94" i="20"/>
  <c r="CX94" i="20"/>
  <c r="CS8" i="20"/>
  <c r="CS9" i="20"/>
  <c r="DS489" i="20"/>
  <c r="FL402" i="20"/>
  <c r="CZ402" i="20"/>
  <c r="DN471" i="20"/>
  <c r="ER471" i="20"/>
  <c r="ES471" i="20"/>
  <c r="FJ436" i="20"/>
  <c r="DC436" i="20"/>
  <c r="DM342" i="20"/>
  <c r="DM338" i="20"/>
  <c r="ES215" i="20"/>
  <c r="ER215" i="20"/>
  <c r="CO6" i="20"/>
  <c r="CO7" i="20" s="1"/>
  <c r="ES159" i="20"/>
  <c r="ER159" i="20"/>
  <c r="ED241" i="20"/>
  <c r="CR241" i="20" s="1"/>
  <c r="ES105" i="20"/>
  <c r="ER105" i="20"/>
  <c r="DM105" i="20"/>
  <c r="DC200" i="20"/>
  <c r="FJ200" i="20"/>
  <c r="CW102" i="20"/>
  <c r="FJ102" i="20"/>
  <c r="DB297" i="20"/>
  <c r="FH297" i="20"/>
  <c r="FL248" i="20"/>
  <c r="CZ248" i="20"/>
  <c r="EM109" i="20"/>
  <c r="EP109" i="20" s="1"/>
  <c r="EQ109" i="20" s="1"/>
  <c r="CV352" i="20"/>
  <c r="FH352" i="20"/>
  <c r="CZ205" i="20"/>
  <c r="FL205" i="20"/>
  <c r="FL409" i="20"/>
  <c r="DF409" i="20"/>
  <c r="DM435" i="20"/>
  <c r="CW343" i="20"/>
  <c r="FJ343" i="20"/>
  <c r="DM253" i="20"/>
  <c r="FJ334" i="20"/>
  <c r="DC334" i="20"/>
  <c r="CV260" i="20"/>
  <c r="FH260" i="20"/>
  <c r="DF246" i="20"/>
  <c r="FL246" i="20"/>
  <c r="CW287" i="20"/>
  <c r="FJ287" i="20"/>
  <c r="CW223" i="20"/>
  <c r="FJ223" i="20"/>
  <c r="FH307" i="20"/>
  <c r="CV307" i="20"/>
  <c r="FH70" i="20"/>
  <c r="CV70" i="20"/>
  <c r="ED335" i="20"/>
  <c r="CR335" i="20" s="1"/>
  <c r="CP16" i="20"/>
  <c r="DM379" i="20"/>
  <c r="DM406" i="20"/>
  <c r="DM424" i="20"/>
  <c r="DM287" i="20"/>
  <c r="ED247" i="20"/>
  <c r="CR247" i="20" s="1"/>
  <c r="DM388" i="20"/>
  <c r="DM347" i="20"/>
  <c r="DF169" i="20"/>
  <c r="FL169" i="20"/>
  <c r="FL440" i="20"/>
  <c r="DF440" i="20"/>
  <c r="FH265" i="20"/>
  <c r="DB265" i="20"/>
  <c r="DM254" i="20"/>
  <c r="EX164" i="20"/>
  <c r="DS164" i="20" s="1"/>
  <c r="DC302" i="20"/>
  <c r="FJ302" i="20"/>
  <c r="FJ194" i="20"/>
  <c r="CW194" i="20"/>
  <c r="DM299" i="20"/>
  <c r="FJ415" i="20"/>
  <c r="DC415" i="20"/>
  <c r="DM361" i="20"/>
  <c r="BC204" i="20"/>
  <c r="CN204" i="20" s="1"/>
  <c r="FH132" i="20"/>
  <c r="CV132" i="20"/>
  <c r="CW322" i="20"/>
  <c r="FJ322" i="20"/>
  <c r="DC201" i="20"/>
  <c r="FJ201" i="20"/>
  <c r="DM353" i="20"/>
  <c r="DM310" i="20"/>
  <c r="DM134" i="20"/>
  <c r="FL239" i="20"/>
  <c r="CZ239" i="20"/>
  <c r="FH139" i="20"/>
  <c r="DB139" i="20"/>
  <c r="DM209" i="20"/>
  <c r="DA3" i="20"/>
  <c r="DM295" i="20"/>
  <c r="CW99" i="20"/>
  <c r="FJ99" i="20"/>
  <c r="FL168" i="20"/>
  <c r="CZ168" i="20"/>
  <c r="BH400" i="20"/>
  <c r="BJ400" i="20" s="1"/>
  <c r="CZ311" i="20"/>
  <c r="FL311" i="20"/>
  <c r="DF173" i="20"/>
  <c r="FL173" i="20"/>
  <c r="CW375" i="20"/>
  <c r="FJ375" i="20"/>
  <c r="FH189" i="20"/>
  <c r="CV189" i="20"/>
  <c r="BC406" i="20"/>
  <c r="CN406" i="20" s="1"/>
  <c r="FJ344" i="20"/>
  <c r="CW344" i="20"/>
  <c r="BC312" i="20"/>
  <c r="CN312" i="20" s="1"/>
  <c r="FI119" i="20"/>
  <c r="DD119" i="20"/>
  <c r="DD4" i="20" s="1"/>
  <c r="CS13" i="20"/>
  <c r="CS10" i="20"/>
  <c r="CS11" i="20" s="1"/>
  <c r="CS12" i="20"/>
  <c r="FH76" i="20"/>
  <c r="CV76" i="20"/>
  <c r="FL203" i="20"/>
  <c r="CZ203" i="20"/>
  <c r="FH112" i="20"/>
  <c r="CV112" i="20"/>
  <c r="CN12" i="20"/>
  <c r="CN13" i="20"/>
  <c r="CN10" i="20"/>
  <c r="CN11" i="20" s="1"/>
  <c r="ED271" i="20"/>
  <c r="CR271" i="20" s="1"/>
  <c r="DP465" i="20"/>
  <c r="DO465" i="20"/>
  <c r="FJ321" i="20"/>
  <c r="DC321" i="20"/>
  <c r="AP199" i="20"/>
  <c r="AT198" i="20"/>
  <c r="AQ198" i="20"/>
  <c r="DB141" i="20"/>
  <c r="FH141" i="20"/>
  <c r="CZ233" i="20"/>
  <c r="FL233" i="20"/>
  <c r="DF177" i="20"/>
  <c r="FL177" i="20"/>
  <c r="CW96" i="20"/>
  <c r="FJ96" i="20"/>
  <c r="DB178" i="20"/>
  <c r="FH178" i="20"/>
  <c r="DM75" i="20"/>
  <c r="DM431" i="20"/>
  <c r="ED416" i="20"/>
  <c r="CR416" i="20" s="1"/>
  <c r="EX472" i="20"/>
  <c r="DB415" i="20"/>
  <c r="FH415" i="20"/>
  <c r="EX473" i="20"/>
  <c r="DB270" i="20"/>
  <c r="FH270" i="20"/>
  <c r="FH152" i="20"/>
  <c r="DB152" i="20"/>
  <c r="CV52" i="20"/>
  <c r="FH52" i="20"/>
  <c r="CV203" i="20"/>
  <c r="FH203" i="20"/>
  <c r="EE3" i="20"/>
  <c r="CV136" i="20"/>
  <c r="FH136" i="20"/>
  <c r="DB276" i="20"/>
  <c r="FH276" i="20"/>
  <c r="DM373" i="20"/>
  <c r="DC342" i="20"/>
  <c r="FJ342" i="20"/>
  <c r="ES23" i="20"/>
  <c r="ER23" i="20"/>
  <c r="BC202" i="20"/>
  <c r="CN202" i="20" s="1"/>
  <c r="DM399" i="20"/>
  <c r="DM382" i="20"/>
  <c r="FH135" i="20"/>
  <c r="CV135" i="20"/>
  <c r="DM63" i="20"/>
  <c r="DM68" i="20"/>
  <c r="DM433" i="20"/>
  <c r="CV442" i="20"/>
  <c r="FH442" i="20"/>
  <c r="FL380" i="20"/>
  <c r="CZ380" i="20"/>
  <c r="CZ275" i="20"/>
  <c r="FL275" i="20"/>
  <c r="CF4" i="20"/>
  <c r="BM111" i="20"/>
  <c r="BL111" i="20"/>
  <c r="BN111" i="20" s="1"/>
  <c r="EU193" i="20"/>
  <c r="EV193" i="20" s="1"/>
  <c r="BC257" i="20"/>
  <c r="CN257" i="20" s="1"/>
  <c r="CZ237" i="20"/>
  <c r="FL237" i="20"/>
  <c r="ED441" i="20"/>
  <c r="CR441" i="20" s="1"/>
  <c r="BC385" i="20"/>
  <c r="CN385" i="20" s="1"/>
  <c r="DF369" i="20"/>
  <c r="FL369" i="20"/>
  <c r="DQ39" i="20"/>
  <c r="DB404" i="20"/>
  <c r="FH404" i="20"/>
  <c r="BC311" i="20"/>
  <c r="CN311" i="20" s="1"/>
  <c r="FH180" i="20"/>
  <c r="DB180" i="20"/>
  <c r="AP25" i="20"/>
  <c r="AT24" i="20"/>
  <c r="DU24" i="20" s="1"/>
  <c r="EM24" i="20" s="1"/>
  <c r="EP24" i="20" s="1"/>
  <c r="EQ24" i="20" s="1"/>
  <c r="AQ24" i="20"/>
  <c r="FJ382" i="20"/>
  <c r="DC382" i="20"/>
  <c r="BO63" i="20"/>
  <c r="BP63" i="20" s="1"/>
  <c r="EI63" i="20" s="1"/>
  <c r="DF180" i="20"/>
  <c r="FL180" i="20"/>
  <c r="ED442" i="20"/>
  <c r="CR442" i="20" s="1"/>
  <c r="DN169" i="20"/>
  <c r="EM169" i="20"/>
  <c r="EP169" i="20" s="1"/>
  <c r="EQ169" i="20" s="1"/>
  <c r="CS4" i="20"/>
  <c r="FL296" i="20"/>
  <c r="DF296" i="20"/>
  <c r="DQ167" i="20"/>
  <c r="DR167" i="20" s="1"/>
  <c r="FL292" i="20"/>
  <c r="DF292" i="20"/>
  <c r="CW340" i="20"/>
  <c r="FJ340" i="20"/>
  <c r="CW198" i="20"/>
  <c r="FJ198" i="20"/>
  <c r="CV85" i="20"/>
  <c r="FH85" i="20"/>
  <c r="CZ184" i="20"/>
  <c r="FL184" i="20"/>
  <c r="BO68" i="20"/>
  <c r="BP68" i="20" s="1"/>
  <c r="EI68" i="20" s="1"/>
  <c r="DF418" i="20"/>
  <c r="FL418" i="20"/>
  <c r="ED371" i="20"/>
  <c r="CR371" i="20" s="1"/>
  <c r="FL174" i="20"/>
  <c r="DF174" i="20"/>
  <c r="ED429" i="20"/>
  <c r="CR429" i="20" s="1"/>
  <c r="DF395" i="20"/>
  <c r="FL395" i="20"/>
  <c r="ED448" i="20"/>
  <c r="CR448" i="20" s="1"/>
  <c r="CX14" i="20"/>
  <c r="CX15" i="20" s="1"/>
  <c r="ED322" i="20"/>
  <c r="CR322" i="20" s="1"/>
  <c r="BO70" i="20"/>
  <c r="BP70" i="20" s="1"/>
  <c r="EI70" i="20" s="1"/>
  <c r="DM267" i="20"/>
  <c r="CZ391" i="20"/>
  <c r="FL391" i="20"/>
  <c r="ED276" i="20"/>
  <c r="CR276" i="20" s="1"/>
  <c r="DF332" i="20"/>
  <c r="FL332" i="20"/>
  <c r="FJ291" i="20"/>
  <c r="DC291" i="20"/>
  <c r="CW202" i="20"/>
  <c r="FJ202" i="20"/>
  <c r="CW72" i="20"/>
  <c r="FJ72" i="20"/>
  <c r="FL363" i="20"/>
  <c r="DF363" i="20"/>
  <c r="BJ442" i="20"/>
  <c r="CZ172" i="20"/>
  <c r="FL172" i="20"/>
  <c r="DC309" i="20"/>
  <c r="FJ309" i="20"/>
  <c r="BC167" i="20"/>
  <c r="CN167" i="20" s="1"/>
  <c r="AV167" i="20"/>
  <c r="AW167" i="20" s="1"/>
  <c r="DM372" i="20"/>
  <c r="DM201" i="20"/>
  <c r="FL401" i="20"/>
  <c r="DF401" i="20"/>
  <c r="ED227" i="20"/>
  <c r="CR227" i="20" s="1"/>
  <c r="BC424" i="20"/>
  <c r="CN424" i="20" s="1"/>
  <c r="DM130" i="20"/>
  <c r="FH122" i="20"/>
  <c r="DB122" i="20"/>
  <c r="DD9" i="20"/>
  <c r="DD8" i="20"/>
  <c r="DD6" i="20"/>
  <c r="DD7" i="20" s="1"/>
  <c r="ES22" i="20"/>
  <c r="ER22" i="20"/>
  <c r="DM449" i="20"/>
  <c r="DM405" i="20"/>
  <c r="FH123" i="20"/>
  <c r="CV123" i="20"/>
  <c r="AR169" i="20"/>
  <c r="AU169" i="20"/>
  <c r="ED366" i="20"/>
  <c r="CR366" i="20" s="1"/>
  <c r="CV68" i="20"/>
  <c r="FH68" i="20"/>
  <c r="AU23" i="20"/>
  <c r="FJ103" i="20"/>
  <c r="CW103" i="20"/>
  <c r="CZ234" i="20"/>
  <c r="FL234" i="20"/>
  <c r="BP90" i="20"/>
  <c r="EI90" i="20" s="1"/>
  <c r="DF236" i="20"/>
  <c r="FL236" i="20"/>
  <c r="DB431" i="20"/>
  <c r="FH431" i="20"/>
  <c r="ES165" i="20"/>
  <c r="ER165" i="20"/>
  <c r="DB418" i="20"/>
  <c r="FH418" i="20"/>
  <c r="DN470" i="20"/>
  <c r="ES470" i="20"/>
  <c r="ER470" i="20"/>
  <c r="BC286" i="20"/>
  <c r="CN286" i="20" s="1"/>
  <c r="DM394" i="20"/>
  <c r="FH318" i="20"/>
  <c r="DB318" i="20"/>
  <c r="DM103" i="20"/>
  <c r="DB357" i="20"/>
  <c r="FH357" i="20"/>
  <c r="CZ231" i="20"/>
  <c r="FL231" i="20"/>
  <c r="DF297" i="20"/>
  <c r="FL297" i="20"/>
  <c r="FH192" i="20"/>
  <c r="CV192" i="20"/>
  <c r="CV125" i="20"/>
  <c r="FH125" i="20"/>
  <c r="FH71" i="20"/>
  <c r="CV71" i="20"/>
  <c r="ED317" i="20"/>
  <c r="CR317" i="20" s="1"/>
  <c r="ED393" i="20"/>
  <c r="CR393" i="20" s="1"/>
  <c r="DA4" i="20"/>
  <c r="FH128" i="20"/>
  <c r="CV128" i="20"/>
  <c r="CV238" i="20"/>
  <c r="FH238" i="20"/>
  <c r="FH426" i="20"/>
  <c r="CV426" i="20"/>
  <c r="FH267" i="20"/>
  <c r="DB267" i="20"/>
  <c r="FH82" i="20"/>
  <c r="CV82" i="20"/>
  <c r="CV61" i="20"/>
  <c r="FH61" i="20"/>
  <c r="DM386" i="20"/>
  <c r="FH388" i="20"/>
  <c r="DB388" i="20"/>
  <c r="CV381" i="20"/>
  <c r="FH381" i="20"/>
  <c r="DN216" i="20"/>
  <c r="EM216" i="20"/>
  <c r="EP216" i="20" s="1"/>
  <c r="EQ216" i="20" s="1"/>
  <c r="BJ305" i="20"/>
  <c r="BP101" i="20"/>
  <c r="EI101" i="20" s="1"/>
  <c r="ED420" i="20"/>
  <c r="CR420" i="20" s="1"/>
  <c r="DB330" i="20"/>
  <c r="FH330" i="20"/>
  <c r="BJ306" i="20"/>
  <c r="ED245" i="20"/>
  <c r="CR245" i="20" s="1"/>
  <c r="DB121" i="20"/>
  <c r="FH121" i="20"/>
  <c r="CW446" i="20"/>
  <c r="FJ446" i="20"/>
  <c r="BC384" i="20"/>
  <c r="CN384" i="20" s="1"/>
  <c r="ED422" i="20"/>
  <c r="CR422" i="20" s="1"/>
  <c r="ED396" i="20"/>
  <c r="CR396" i="20" s="1"/>
  <c r="FH372" i="20"/>
  <c r="CV372" i="20"/>
  <c r="CW196" i="20"/>
  <c r="FJ196" i="20"/>
  <c r="CO8" i="20"/>
  <c r="DM305" i="20"/>
  <c r="DA12" i="20"/>
  <c r="CX102" i="20"/>
  <c r="FI102" i="20"/>
  <c r="DM407" i="20"/>
  <c r="ED350" i="20"/>
  <c r="CR350" i="20" s="1"/>
  <c r="FH320" i="20"/>
  <c r="CV320" i="20"/>
  <c r="CV53" i="20"/>
  <c r="FH53" i="20"/>
  <c r="DO474" i="20"/>
  <c r="DP474" i="20"/>
  <c r="CZ170" i="20"/>
  <c r="FL170" i="20"/>
  <c r="DB398" i="20"/>
  <c r="FH398" i="20"/>
  <c r="CV324" i="20"/>
  <c r="FH324" i="20"/>
  <c r="AY109" i="20"/>
  <c r="AZ109" i="20" s="1"/>
  <c r="BC109" i="20" s="1"/>
  <c r="ES21" i="20"/>
  <c r="ER21" i="20"/>
  <c r="FJ293" i="20"/>
  <c r="DC293" i="20"/>
  <c r="BP82" i="20"/>
  <c r="EI82" i="20" s="1"/>
  <c r="FH137" i="20"/>
  <c r="CV137" i="20"/>
  <c r="BP98" i="20"/>
  <c r="EI98" i="20" s="1"/>
  <c r="CZ197" i="20"/>
  <c r="FL197" i="20"/>
  <c r="AP171" i="20"/>
  <c r="AT170" i="20"/>
  <c r="AQ170" i="20"/>
  <c r="DQ491" i="20"/>
  <c r="DR491" i="20" s="1"/>
  <c r="BH439" i="20"/>
  <c r="BJ439" i="20" s="1"/>
  <c r="FH425" i="20"/>
  <c r="DB425" i="20"/>
  <c r="CZ333" i="20"/>
  <c r="FL333" i="20"/>
  <c r="DM269" i="20"/>
  <c r="FJ267" i="20"/>
  <c r="DC267" i="20"/>
  <c r="CW10" i="20"/>
  <c r="CW11" i="20" s="1"/>
  <c r="DM256" i="20"/>
  <c r="FJ173" i="20"/>
  <c r="DC173" i="20"/>
  <c r="FH363" i="20"/>
  <c r="DB363" i="20"/>
  <c r="BJ287" i="20"/>
  <c r="DM198" i="20"/>
  <c r="BO79" i="20"/>
  <c r="BP79" i="20" s="1"/>
  <c r="EI79" i="20" s="1"/>
  <c r="ED238" i="20"/>
  <c r="CR238" i="20" s="1"/>
  <c r="DN468" i="20"/>
  <c r="ER468" i="20"/>
  <c r="ES468" i="20"/>
  <c r="DM419" i="20"/>
  <c r="CX16" i="20"/>
  <c r="CW435" i="20"/>
  <c r="FJ435" i="20"/>
  <c r="FJ353" i="20"/>
  <c r="DC353" i="20"/>
  <c r="ET53" i="20"/>
  <c r="EU53" i="20" s="1"/>
  <c r="EV53" i="20" s="1"/>
  <c r="EY53" i="20"/>
  <c r="EZ53" i="20" s="1"/>
  <c r="DM53" i="20"/>
  <c r="DM340" i="20"/>
  <c r="FL325" i="20"/>
  <c r="DF325" i="20"/>
  <c r="BC438" i="20"/>
  <c r="CN438" i="20" s="1"/>
  <c r="DM426" i="20"/>
  <c r="BC443" i="20"/>
  <c r="CN443" i="20" s="1"/>
  <c r="CW381" i="20"/>
  <c r="FJ381" i="20"/>
  <c r="FH126" i="20"/>
  <c r="CV126" i="20"/>
  <c r="DM61" i="20"/>
  <c r="AV193" i="20"/>
  <c r="AW193" i="20" s="1"/>
  <c r="BC193" i="20"/>
  <c r="CN193" i="20" s="1"/>
  <c r="CW279" i="20"/>
  <c r="FJ279" i="20"/>
  <c r="CW423" i="20"/>
  <c r="FJ423" i="20"/>
  <c r="ED351" i="20"/>
  <c r="CR351" i="20" s="1"/>
  <c r="FH115" i="20"/>
  <c r="CV115" i="20"/>
  <c r="FH343" i="20"/>
  <c r="CV343" i="20"/>
  <c r="FJ427" i="20"/>
  <c r="DC427" i="20"/>
  <c r="CZ182" i="20"/>
  <c r="FL182" i="20"/>
  <c r="BC374" i="20"/>
  <c r="CN374" i="20" s="1"/>
  <c r="CW272" i="20"/>
  <c r="FJ272" i="20"/>
  <c r="AQ110" i="20"/>
  <c r="CW393" i="20"/>
  <c r="FJ393" i="20"/>
  <c r="FJ292" i="20"/>
  <c r="DC292" i="20"/>
  <c r="FH309" i="20"/>
  <c r="DB309" i="20"/>
  <c r="DM281" i="20"/>
  <c r="AV216" i="20"/>
  <c r="AW216" i="20" s="1"/>
  <c r="DB316" i="20"/>
  <c r="FH316" i="20"/>
  <c r="BH328" i="20"/>
  <c r="BJ328" i="20" s="1"/>
  <c r="FH288" i="20"/>
  <c r="CV288" i="20"/>
  <c r="BO72" i="20"/>
  <c r="BP72" i="20" s="1"/>
  <c r="EI72" i="20" s="1"/>
  <c r="DP484" i="20"/>
  <c r="DO484" i="20"/>
  <c r="DM70" i="20"/>
  <c r="FH327" i="20"/>
  <c r="DB327" i="20"/>
  <c r="FH114" i="20"/>
  <c r="CV114" i="20"/>
  <c r="CU10" i="20"/>
  <c r="CU11" i="20" s="1"/>
  <c r="DM355" i="20"/>
  <c r="FI96" i="20"/>
  <c r="CX96" i="20"/>
  <c r="FL252" i="20"/>
  <c r="DF252" i="20"/>
  <c r="ES157" i="20"/>
  <c r="ER157" i="20"/>
  <c r="DM83" i="20"/>
  <c r="CV339" i="20"/>
  <c r="FH339" i="20"/>
  <c r="ED290" i="20"/>
  <c r="CR290" i="20" s="1"/>
  <c r="DO472" i="20"/>
  <c r="DP472" i="20"/>
  <c r="CV78" i="20"/>
  <c r="FH78" i="20"/>
  <c r="FH389" i="20"/>
  <c r="DB389" i="20"/>
  <c r="CV249" i="20"/>
  <c r="FH249" i="20"/>
  <c r="DO473" i="20"/>
  <c r="DP473" i="20"/>
  <c r="CV243" i="20"/>
  <c r="FH243" i="20"/>
  <c r="FH173" i="20"/>
  <c r="DB173" i="20"/>
  <c r="FH87" i="20"/>
  <c r="CV87" i="20"/>
  <c r="FH261" i="20"/>
  <c r="CV261" i="20"/>
  <c r="DN467" i="20"/>
  <c r="ES467" i="20"/>
  <c r="ER467" i="20"/>
  <c r="DC420" i="20"/>
  <c r="FJ420" i="20"/>
  <c r="DB441" i="20"/>
  <c r="FH441" i="20"/>
  <c r="BC414" i="20"/>
  <c r="CN414" i="20" s="1"/>
  <c r="DM321" i="20"/>
  <c r="DB118" i="20"/>
  <c r="FH118" i="20"/>
  <c r="AT217" i="20"/>
  <c r="AP218" i="20"/>
  <c r="AQ217" i="20"/>
  <c r="FH252" i="20"/>
  <c r="DB252" i="20"/>
  <c r="BC254" i="20"/>
  <c r="CN254" i="20" s="1"/>
  <c r="FH151" i="20"/>
  <c r="DB151" i="20"/>
  <c r="FG94" i="20"/>
  <c r="CU94" i="20"/>
  <c r="CM4" i="20"/>
  <c r="CM6" i="20"/>
  <c r="CM7" i="20" s="1"/>
  <c r="CD3" i="20"/>
  <c r="CD1" i="20"/>
  <c r="CM1" i="20"/>
  <c r="CM9" i="20"/>
  <c r="CM3" i="20"/>
  <c r="CM8" i="20"/>
  <c r="CD4" i="20"/>
  <c r="FL286" i="20"/>
  <c r="DF286" i="20"/>
  <c r="BC317" i="20"/>
  <c r="CN317" i="20" s="1"/>
  <c r="CV211" i="20"/>
  <c r="FH211" i="20"/>
  <c r="CV60" i="20"/>
  <c r="FH60" i="20"/>
  <c r="FJ438" i="20"/>
  <c r="CW438" i="20"/>
  <c r="FJ385" i="20"/>
  <c r="CW385" i="20"/>
  <c r="ED408" i="20"/>
  <c r="CR408" i="20" s="1"/>
  <c r="DM362" i="20"/>
  <c r="DM327" i="20"/>
  <c r="DM204" i="20"/>
  <c r="FJ308" i="20"/>
  <c r="CW308" i="20"/>
  <c r="ES196" i="20"/>
  <c r="ER196" i="20"/>
  <c r="DM196" i="20"/>
  <c r="CO1" i="20"/>
  <c r="CO9" i="20"/>
  <c r="DA10" i="20"/>
  <c r="DA11" i="20" s="1"/>
  <c r="AY111" i="20"/>
  <c r="AZ111" i="20" s="1"/>
  <c r="BC111" i="20" s="1"/>
  <c r="FJ444" i="20"/>
  <c r="DC444" i="20"/>
  <c r="FL211" i="20"/>
  <c r="CZ211" i="20"/>
  <c r="CS6" i="20"/>
  <c r="CS7" i="20" s="1"/>
  <c r="DO495" i="20"/>
  <c r="DP495" i="20"/>
  <c r="EW477" i="20"/>
  <c r="DN469" i="20"/>
  <c r="ER469" i="20"/>
  <c r="ES469" i="20"/>
  <c r="CV83" i="20"/>
  <c r="FH83" i="20"/>
  <c r="DM308" i="20"/>
  <c r="BC264" i="20"/>
  <c r="CN264" i="20" s="1"/>
  <c r="DB169" i="20"/>
  <c r="FH169" i="20"/>
  <c r="FH140" i="20"/>
  <c r="DB140" i="20"/>
  <c r="ED225" i="20"/>
  <c r="CR225" i="20" s="1"/>
  <c r="FL167" i="20"/>
  <c r="CZ167" i="20"/>
  <c r="CW13" i="20"/>
  <c r="DM99" i="20"/>
  <c r="FJ369" i="20"/>
  <c r="DC369" i="20"/>
  <c r="FH133" i="20"/>
  <c r="CV133" i="20"/>
  <c r="BC355" i="20"/>
  <c r="CN355" i="20" s="1"/>
  <c r="ER168" i="20"/>
  <c r="ES168" i="20"/>
  <c r="DB90" i="20"/>
  <c r="FH90" i="20"/>
  <c r="FH119" i="20"/>
  <c r="DB119" i="20"/>
  <c r="ED437" i="20"/>
  <c r="CR437" i="20" s="1"/>
  <c r="DM412" i="20"/>
  <c r="CW439" i="20"/>
  <c r="FJ439" i="20"/>
  <c r="BC397" i="20"/>
  <c r="CN397" i="20" s="1"/>
  <c r="DR485" i="20"/>
  <c r="CV329" i="20"/>
  <c r="FH329" i="20"/>
  <c r="BC188" i="20"/>
  <c r="CN188" i="20" s="1"/>
  <c r="BC99" i="20"/>
  <c r="CN99" i="20" s="1"/>
  <c r="CW234" i="20"/>
  <c r="FJ234" i="20"/>
  <c r="CW268" i="20"/>
  <c r="FJ268" i="20"/>
  <c r="DA17" i="20"/>
  <c r="DC400" i="20"/>
  <c r="FJ400" i="20"/>
  <c r="DM345" i="20"/>
  <c r="AZ298" i="20"/>
  <c r="BP83" i="20"/>
  <c r="EI83" i="20" s="1"/>
  <c r="CV419" i="20"/>
  <c r="FH419" i="20"/>
  <c r="FJ441" i="20"/>
  <c r="DC441" i="20"/>
  <c r="DF383" i="20"/>
  <c r="FL383" i="20"/>
  <c r="FL403" i="20"/>
  <c r="DF403" i="20"/>
  <c r="CW430" i="20"/>
  <c r="FJ430" i="20"/>
  <c r="ED392" i="20"/>
  <c r="CR392" i="20" s="1"/>
  <c r="CV349" i="20"/>
  <c r="FH349" i="20"/>
  <c r="FL244" i="20"/>
  <c r="DF244" i="20"/>
  <c r="CZ243" i="20"/>
  <c r="FL243" i="20"/>
  <c r="DB377" i="20"/>
  <c r="FH377" i="20"/>
  <c r="DM257" i="20"/>
  <c r="FH74" i="20"/>
  <c r="CV74" i="20"/>
  <c r="DO479" i="20"/>
  <c r="DP479" i="20"/>
  <c r="FL365" i="20"/>
  <c r="DF365" i="20"/>
  <c r="DF265" i="20"/>
  <c r="FL265" i="20"/>
  <c r="BC303" i="20"/>
  <c r="CN303" i="20" s="1"/>
  <c r="FJ288" i="20"/>
  <c r="CW288" i="20"/>
  <c r="FH91" i="20"/>
  <c r="DB91" i="20"/>
  <c r="BC171" i="20"/>
  <c r="CN171" i="20" s="1"/>
  <c r="DM337" i="20"/>
  <c r="DC361" i="20"/>
  <c r="FJ361" i="20"/>
  <c r="CS1" i="20"/>
  <c r="CS2" i="20" s="1"/>
  <c r="DR496" i="20"/>
  <c r="EX494" i="20"/>
  <c r="DM414" i="20"/>
  <c r="DM385" i="20"/>
  <c r="BC405" i="20"/>
  <c r="CN405" i="20" s="1"/>
  <c r="DN492" i="20"/>
  <c r="ES492" i="20"/>
  <c r="ER492" i="20"/>
  <c r="DM280" i="20"/>
  <c r="BL106" i="20"/>
  <c r="BN106" i="20" s="1"/>
  <c r="BM106" i="20"/>
  <c r="DM288" i="20"/>
  <c r="FH182" i="20"/>
  <c r="CV182" i="20"/>
  <c r="AZ353" i="20"/>
  <c r="DM258" i="20"/>
  <c r="DM303" i="20"/>
  <c r="DB323" i="20"/>
  <c r="FH323" i="20"/>
  <c r="DM364" i="20"/>
  <c r="DB174" i="20"/>
  <c r="FH174" i="20"/>
  <c r="EW479" i="20"/>
  <c r="EX479" i="20" s="1"/>
  <c r="CU12" i="20"/>
  <c r="ED390" i="20"/>
  <c r="CR390" i="20" s="1"/>
  <c r="ED309" i="20"/>
  <c r="CR309" i="20" s="1"/>
  <c r="CV88" i="20"/>
  <c r="FH88" i="20"/>
  <c r="CV347" i="20"/>
  <c r="FH347" i="20"/>
  <c r="FH434" i="20"/>
  <c r="CV434" i="20"/>
  <c r="FH319" i="20"/>
  <c r="DB319" i="20"/>
  <c r="CV64" i="20"/>
  <c r="FH64" i="20"/>
  <c r="DM446" i="20"/>
  <c r="BC361" i="20"/>
  <c r="CN361" i="20" s="1"/>
  <c r="CV408" i="20"/>
  <c r="FH408" i="20"/>
  <c r="ED421" i="20"/>
  <c r="CR421" i="20" s="1"/>
  <c r="EX480" i="20"/>
  <c r="DB437" i="20"/>
  <c r="FH437" i="20"/>
  <c r="BP61" i="20"/>
  <c r="EI61" i="20" s="1"/>
  <c r="CV333" i="20"/>
  <c r="FH333" i="20"/>
  <c r="DB273" i="20"/>
  <c r="FH273" i="20"/>
  <c r="CV199" i="20"/>
  <c r="FH199" i="20"/>
  <c r="FH194" i="20"/>
  <c r="CV194" i="20"/>
  <c r="CV233" i="20"/>
  <c r="FH233" i="20"/>
  <c r="FH94" i="20"/>
  <c r="CV94" i="20"/>
  <c r="CV354" i="20"/>
  <c r="FH354" i="20"/>
  <c r="AR197" i="20"/>
  <c r="AU197" i="20"/>
  <c r="ED425" i="20"/>
  <c r="CR425" i="20" s="1"/>
  <c r="DC258" i="20"/>
  <c r="FJ258" i="20"/>
  <c r="CV268" i="20"/>
  <c r="FH268" i="20"/>
  <c r="ES197" i="20"/>
  <c r="ER197" i="20"/>
  <c r="BC435" i="20"/>
  <c r="CN435" i="20" s="1"/>
  <c r="DN482" i="20"/>
  <c r="ER482" i="20"/>
  <c r="ES482" i="20"/>
  <c r="DB436" i="20"/>
  <c r="FH436" i="20"/>
  <c r="DM436" i="20"/>
  <c r="DN478" i="20"/>
  <c r="ER478" i="20"/>
  <c r="ES478" i="20"/>
  <c r="FJ374" i="20"/>
  <c r="CW374" i="20"/>
  <c r="ED229" i="20"/>
  <c r="ED224" i="20"/>
  <c r="CR224" i="20" s="1"/>
  <c r="DM274" i="20"/>
  <c r="DC12" i="20"/>
  <c r="DC13" i="20"/>
  <c r="DC10" i="20"/>
  <c r="DC11" i="20" s="1"/>
  <c r="DC276" i="20"/>
  <c r="FJ276" i="20"/>
  <c r="FJ347" i="20"/>
  <c r="CW347" i="20"/>
  <c r="FI100" i="20"/>
  <c r="CX100" i="20"/>
  <c r="DC208" i="20"/>
  <c r="FJ208" i="20"/>
  <c r="FJ355" i="20"/>
  <c r="DC355" i="20"/>
  <c r="DB382" i="20"/>
  <c r="FH382" i="20"/>
  <c r="FL181" i="20"/>
  <c r="CZ181" i="20"/>
  <c r="DM343" i="20"/>
  <c r="CW210" i="20"/>
  <c r="FJ210" i="20"/>
  <c r="FH256" i="20"/>
  <c r="DB256" i="20"/>
  <c r="CV206" i="20"/>
  <c r="FH206" i="20"/>
  <c r="BC278" i="20"/>
  <c r="CN278" i="20" s="1"/>
  <c r="FL378" i="20"/>
  <c r="DF378" i="20"/>
  <c r="DC341" i="20"/>
  <c r="FJ341" i="20"/>
  <c r="DB277" i="20"/>
  <c r="FH277" i="20"/>
  <c r="BJ250" i="20"/>
  <c r="FH340" i="20"/>
  <c r="CV340" i="20"/>
  <c r="DM128" i="20"/>
  <c r="DF188" i="20"/>
  <c r="FL188" i="20"/>
  <c r="DM346" i="20"/>
  <c r="CV399" i="20"/>
  <c r="FH399" i="20"/>
  <c r="BC326" i="20"/>
  <c r="CN326" i="20" s="1"/>
  <c r="CP14" i="20"/>
  <c r="CP15" i="20" s="1"/>
  <c r="DM320" i="20"/>
  <c r="DM326" i="20"/>
  <c r="CW313" i="20"/>
  <c r="FJ313" i="20"/>
  <c r="DM312" i="20"/>
  <c r="ED207" i="20"/>
  <c r="CR207" i="20" s="1"/>
  <c r="FL284" i="20"/>
  <c r="DF284" i="20"/>
  <c r="DC257" i="20"/>
  <c r="FJ257" i="20"/>
  <c r="ED240" i="20"/>
  <c r="CR240" i="20" s="1"/>
  <c r="FJ422" i="20"/>
  <c r="CW422" i="20"/>
  <c r="FJ269" i="20"/>
  <c r="DC269" i="20"/>
  <c r="FL165" i="20"/>
  <c r="CZ165" i="20"/>
  <c r="DM306" i="20"/>
  <c r="ED192" i="20"/>
  <c r="CR192" i="20" s="1"/>
  <c r="DP192" i="20"/>
  <c r="DO192" i="20"/>
  <c r="BC272" i="20"/>
  <c r="CN272" i="20" s="1"/>
  <c r="CW240" i="20"/>
  <c r="FJ240" i="20"/>
  <c r="FI99" i="20"/>
  <c r="CX99" i="20"/>
  <c r="CW331" i="20"/>
  <c r="FJ331" i="20"/>
  <c r="DQ32" i="20"/>
  <c r="DM370" i="20"/>
  <c r="DC280" i="20"/>
  <c r="FJ280" i="20"/>
  <c r="ED264" i="20"/>
  <c r="CR264" i="20" s="1"/>
  <c r="FH56" i="20"/>
  <c r="CV56" i="20"/>
  <c r="CZ289" i="20"/>
  <c r="FL289" i="20"/>
  <c r="FH130" i="20"/>
  <c r="CV130" i="20"/>
  <c r="BJ366" i="20"/>
  <c r="ED349" i="20"/>
  <c r="CR349" i="20" s="1"/>
  <c r="FH259" i="20"/>
  <c r="DB259" i="20"/>
  <c r="FG103" i="20"/>
  <c r="CU103" i="20"/>
  <c r="FH58" i="20"/>
  <c r="CV58" i="20"/>
  <c r="CW241" i="20"/>
  <c r="FJ241" i="20"/>
  <c r="DM87" i="20"/>
  <c r="DO494" i="20"/>
  <c r="DP494" i="20"/>
  <c r="DF377" i="20"/>
  <c r="FL377" i="20"/>
  <c r="DC378" i="20"/>
  <c r="FJ378" i="20"/>
  <c r="ES160" i="20"/>
  <c r="ER160" i="20"/>
  <c r="FL354" i="20"/>
  <c r="CZ354" i="20"/>
  <c r="FL166" i="20"/>
  <c r="DF166" i="20"/>
  <c r="CW237" i="20"/>
  <c r="FJ237" i="20"/>
  <c r="DB325" i="20"/>
  <c r="FH325" i="20"/>
  <c r="ED217" i="20"/>
  <c r="ED212" i="20"/>
  <c r="DP212" i="20"/>
  <c r="DO212" i="20"/>
  <c r="BC181" i="20"/>
  <c r="CN181" i="20" s="1"/>
  <c r="FG96" i="20"/>
  <c r="CU96" i="20"/>
  <c r="ED334" i="20"/>
  <c r="CR334" i="20" s="1"/>
  <c r="DB417" i="20"/>
  <c r="FH417" i="20"/>
  <c r="DB315" i="20"/>
  <c r="FH315" i="20"/>
  <c r="CS3" i="20"/>
  <c r="CV69" i="20"/>
  <c r="FH69" i="20"/>
  <c r="DB369" i="20"/>
  <c r="FH369" i="20"/>
  <c r="FH59" i="20"/>
  <c r="CV59" i="20"/>
  <c r="CV93" i="20"/>
  <c r="FH93" i="20"/>
  <c r="DB310" i="20"/>
  <c r="FH310" i="20"/>
  <c r="FH346" i="20"/>
  <c r="DB346" i="20"/>
  <c r="FH54" i="20"/>
  <c r="CV54" i="20"/>
  <c r="AW377" i="5"/>
  <c r="CH377" i="5" s="1"/>
  <c r="CR174" i="5"/>
  <c r="FC174" i="5"/>
  <c r="FC180" i="5"/>
  <c r="CR180" i="5"/>
  <c r="FC175" i="5"/>
  <c r="CR175" i="5"/>
  <c r="FA251" i="5"/>
  <c r="CU251" i="5"/>
  <c r="AW366" i="5"/>
  <c r="CH366" i="5" s="1"/>
  <c r="FC239" i="5"/>
  <c r="CR239" i="5"/>
  <c r="CR172" i="5"/>
  <c r="FC172" i="5"/>
  <c r="CR134" i="5"/>
  <c r="FC134" i="5"/>
  <c r="FC244" i="5"/>
  <c r="CR244" i="5"/>
  <c r="DG186" i="5"/>
  <c r="FC130" i="5"/>
  <c r="CR130" i="5"/>
  <c r="DG188" i="5"/>
  <c r="EL23" i="5"/>
  <c r="EM23" i="5"/>
  <c r="CR231" i="5"/>
  <c r="FC231" i="5"/>
  <c r="CR247" i="5"/>
  <c r="FC247" i="5"/>
  <c r="FC178" i="5"/>
  <c r="CX178" i="5"/>
  <c r="CR124" i="5"/>
  <c r="FC124" i="5"/>
  <c r="AW313" i="5"/>
  <c r="CH313" i="5" s="1"/>
  <c r="FA250" i="5"/>
  <c r="CU250" i="5"/>
  <c r="FC224" i="5"/>
  <c r="CR224" i="5"/>
  <c r="CR241" i="5"/>
  <c r="FC241" i="5"/>
  <c r="DG191" i="5"/>
  <c r="FC240" i="5"/>
  <c r="CX240" i="5"/>
  <c r="AW98" i="5"/>
  <c r="CH98" i="5" s="1"/>
  <c r="DG192" i="5"/>
  <c r="CR235" i="5"/>
  <c r="FC235" i="5"/>
  <c r="AW321" i="5"/>
  <c r="CH321" i="5" s="1"/>
  <c r="DG187" i="5"/>
  <c r="FC186" i="5"/>
  <c r="CR186" i="5"/>
  <c r="CR114" i="5"/>
  <c r="FC114" i="5"/>
  <c r="EM217" i="5"/>
  <c r="EL217" i="5"/>
  <c r="FC119" i="5"/>
  <c r="CX119" i="5"/>
  <c r="AW95" i="5"/>
  <c r="CH95" i="5" s="1"/>
  <c r="CX191" i="5"/>
  <c r="FC191" i="5"/>
  <c r="CX181" i="5"/>
  <c r="FC181" i="5"/>
  <c r="CX140" i="5"/>
  <c r="FC140" i="5"/>
  <c r="CX123" i="5"/>
  <c r="FC123" i="5"/>
  <c r="FC192" i="5"/>
  <c r="CX192" i="5"/>
  <c r="DG173" i="5"/>
  <c r="CR133" i="5"/>
  <c r="FC133" i="5"/>
  <c r="AW424" i="5"/>
  <c r="CH424" i="5" s="1"/>
  <c r="EM174" i="5"/>
  <c r="DG174" i="5"/>
  <c r="EL174" i="5"/>
  <c r="FC182" i="5"/>
  <c r="CX182" i="5"/>
  <c r="FC194" i="5"/>
  <c r="CR194" i="5"/>
  <c r="AW101" i="5"/>
  <c r="CH101" i="5" s="1"/>
  <c r="AW451" i="5"/>
  <c r="CH451" i="5" s="1"/>
  <c r="CR193" i="5"/>
  <c r="FC193" i="5"/>
  <c r="DG172" i="5"/>
  <c r="FC184" i="5"/>
  <c r="CX184" i="5"/>
  <c r="CX177" i="5"/>
  <c r="FC177" i="5"/>
  <c r="FC225" i="5"/>
  <c r="CR225" i="5"/>
  <c r="AW354" i="5"/>
  <c r="CH354" i="5" s="1"/>
  <c r="FC236" i="5"/>
  <c r="CR236" i="5"/>
  <c r="DG194" i="5"/>
  <c r="AW432" i="5"/>
  <c r="CH432" i="5" s="1"/>
  <c r="AW104" i="5"/>
  <c r="CH104" i="5" s="1"/>
  <c r="CR238" i="5"/>
  <c r="FC238" i="5"/>
  <c r="CR127" i="5"/>
  <c r="FC127" i="5"/>
  <c r="AW401" i="5"/>
  <c r="CH401" i="5" s="1"/>
  <c r="DG179" i="5"/>
  <c r="CR116" i="5"/>
  <c r="FC116" i="5"/>
  <c r="AW440" i="5"/>
  <c r="CH440" i="5" s="1"/>
  <c r="DG185" i="5"/>
  <c r="CR195" i="5"/>
  <c r="FC195" i="5"/>
  <c r="AW414" i="5"/>
  <c r="CH414" i="5" s="1"/>
  <c r="DG169" i="5"/>
  <c r="FA248" i="5"/>
  <c r="CU248" i="5"/>
  <c r="FC228" i="5"/>
  <c r="CR228" i="5"/>
  <c r="AW103" i="5"/>
  <c r="CH103" i="5" s="1"/>
  <c r="CR227" i="5"/>
  <c r="FC227" i="5"/>
  <c r="FC171" i="5"/>
  <c r="CR171" i="5"/>
  <c r="DG193" i="5"/>
  <c r="FC229" i="5"/>
  <c r="CX229" i="5"/>
  <c r="AW383" i="5"/>
  <c r="CH383" i="5" s="1"/>
  <c r="FC190" i="5"/>
  <c r="CX190" i="5"/>
  <c r="FC248" i="5"/>
  <c r="CX248" i="5"/>
  <c r="CR189" i="5"/>
  <c r="FC189" i="5"/>
  <c r="CR117" i="5"/>
  <c r="FC117" i="5"/>
  <c r="FC242" i="5"/>
  <c r="CR242" i="5"/>
  <c r="DG184" i="5"/>
  <c r="CR179" i="5"/>
  <c r="FC179" i="5"/>
  <c r="CR183" i="5"/>
  <c r="FC183" i="5"/>
  <c r="AW309" i="5"/>
  <c r="CH309" i="5" s="1"/>
  <c r="AW404" i="5"/>
  <c r="CH404" i="5" s="1"/>
  <c r="CR243" i="5"/>
  <c r="FC243" i="5"/>
  <c r="FC173" i="5"/>
  <c r="CX173" i="5"/>
  <c r="FC135" i="5"/>
  <c r="CR135" i="5"/>
  <c r="DG190" i="5"/>
  <c r="DG195" i="5"/>
  <c r="DG180" i="5"/>
  <c r="FA192" i="5"/>
  <c r="CU192" i="5"/>
  <c r="DG181" i="5"/>
  <c r="AW267" i="5"/>
  <c r="CH267" i="5" s="1"/>
  <c r="FC169" i="5"/>
  <c r="CR169" i="5"/>
  <c r="CR126" i="5"/>
  <c r="FC126" i="5"/>
  <c r="AW439" i="5"/>
  <c r="CH439" i="5" s="1"/>
  <c r="DG177" i="5"/>
  <c r="AW448" i="5"/>
  <c r="CH448" i="5" s="1"/>
  <c r="FC188" i="5"/>
  <c r="CR188" i="5"/>
  <c r="DC228" i="5"/>
  <c r="AR228" i="5"/>
  <c r="CG228" i="5" s="1"/>
  <c r="DN65" i="5"/>
  <c r="AZ190" i="5"/>
  <c r="CI190" i="5" s="1"/>
  <c r="DC190" i="5"/>
  <c r="AR190" i="5"/>
  <c r="CG190" i="5" s="1"/>
  <c r="AF105" i="5"/>
  <c r="AN105" i="5"/>
  <c r="DO105" i="5" s="1"/>
  <c r="EG105" i="5" s="1"/>
  <c r="EJ105" i="5" s="1"/>
  <c r="EK105" i="5" s="1"/>
  <c r="DG331" i="5"/>
  <c r="DG448" i="5"/>
  <c r="DX297" i="5"/>
  <c r="CL297" i="5" s="1"/>
  <c r="CO68" i="5"/>
  <c r="FA68" i="5"/>
  <c r="CE224" i="5"/>
  <c r="CJ224" i="5" s="1"/>
  <c r="EA240" i="5"/>
  <c r="EB240" i="5"/>
  <c r="CX141" i="5"/>
  <c r="FC141" i="5"/>
  <c r="EQ472" i="5"/>
  <c r="ER472" i="5" s="1"/>
  <c r="FD310" i="5"/>
  <c r="CW310" i="5"/>
  <c r="EQ23" i="5"/>
  <c r="EN25" i="5"/>
  <c r="EO25" i="5" s="1"/>
  <c r="EP25" i="5" s="1"/>
  <c r="AW387" i="5"/>
  <c r="CH387" i="5" s="1"/>
  <c r="AW444" i="5"/>
  <c r="CH444" i="5" s="1"/>
  <c r="AW436" i="5"/>
  <c r="CH436" i="5" s="1"/>
  <c r="BD368" i="5"/>
  <c r="EN56" i="5"/>
  <c r="EO56" i="5" s="1"/>
  <c r="EP56" i="5" s="1"/>
  <c r="BJ132" i="5"/>
  <c r="EC132" i="5" s="1"/>
  <c r="EB132" i="5" s="1"/>
  <c r="BT164" i="5"/>
  <c r="BV164" i="5" s="1"/>
  <c r="CC164" i="5" s="1"/>
  <c r="CE164" i="5" s="1"/>
  <c r="EN122" i="5"/>
  <c r="EO122" i="5" s="1"/>
  <c r="EP122" i="5" s="1"/>
  <c r="CW123" i="5"/>
  <c r="FD123" i="5"/>
  <c r="BL105" i="5"/>
  <c r="DT105" i="5" s="1"/>
  <c r="DV105" i="5" s="1"/>
  <c r="EA216" i="5"/>
  <c r="EB216" i="5"/>
  <c r="DI483" i="5"/>
  <c r="DJ483" i="5"/>
  <c r="EN50" i="5"/>
  <c r="EO50" i="5" s="1"/>
  <c r="EP50" i="5" s="1"/>
  <c r="FD272" i="5"/>
  <c r="CQ272" i="5"/>
  <c r="FB388" i="5"/>
  <c r="CV388" i="5"/>
  <c r="FD282" i="5"/>
  <c r="CW282" i="5"/>
  <c r="CW410" i="5"/>
  <c r="FD410" i="5"/>
  <c r="FD355" i="5"/>
  <c r="CQ355" i="5"/>
  <c r="DG442" i="5"/>
  <c r="CQ283" i="5"/>
  <c r="FD283" i="5"/>
  <c r="CW386" i="5"/>
  <c r="FD386" i="5"/>
  <c r="CQ104" i="5"/>
  <c r="FD104" i="5"/>
  <c r="AW345" i="5"/>
  <c r="CH345" i="5" s="1"/>
  <c r="AW399" i="5"/>
  <c r="CH399" i="5" s="1"/>
  <c r="AW400" i="5"/>
  <c r="CH400" i="5" s="1"/>
  <c r="CO54" i="5"/>
  <c r="FA54" i="5"/>
  <c r="CO86" i="5"/>
  <c r="FA86" i="5"/>
  <c r="EN55" i="5"/>
  <c r="EO55" i="5" s="1"/>
  <c r="EP55" i="5" s="1"/>
  <c r="CO195" i="5"/>
  <c r="FA195" i="5"/>
  <c r="EN130" i="5"/>
  <c r="EO130" i="5" s="1"/>
  <c r="EP130" i="5" s="1"/>
  <c r="CU123" i="5"/>
  <c r="FA123" i="5"/>
  <c r="AW269" i="5"/>
  <c r="CH269" i="5" s="1"/>
  <c r="FD389" i="5"/>
  <c r="CQ389" i="5"/>
  <c r="DH474" i="5"/>
  <c r="EL474" i="5"/>
  <c r="EM474" i="5"/>
  <c r="FD314" i="5"/>
  <c r="CW314" i="5"/>
  <c r="FD299" i="5"/>
  <c r="CW299" i="5"/>
  <c r="FD293" i="5"/>
  <c r="CQ293" i="5"/>
  <c r="AW431" i="5"/>
  <c r="CH431" i="5" s="1"/>
  <c r="AW368" i="5"/>
  <c r="CH368" i="5" s="1"/>
  <c r="ES55" i="5"/>
  <c r="ET55" i="5" s="1"/>
  <c r="EB219" i="5"/>
  <c r="EA219" i="5"/>
  <c r="AV236" i="5"/>
  <c r="AV173" i="5"/>
  <c r="EL158" i="5"/>
  <c r="DG158" i="5"/>
  <c r="EM158" i="5"/>
  <c r="EB166" i="5"/>
  <c r="AL24" i="5"/>
  <c r="FD407" i="5"/>
  <c r="CW407" i="5"/>
  <c r="DX420" i="5"/>
  <c r="CL420" i="5" s="1"/>
  <c r="CP352" i="5"/>
  <c r="FB352" i="5"/>
  <c r="AW419" i="5"/>
  <c r="CH419" i="5" s="1"/>
  <c r="AW395" i="5"/>
  <c r="CH395" i="5" s="1"/>
  <c r="AW443" i="5"/>
  <c r="CH443" i="5" s="1"/>
  <c r="BD422" i="5"/>
  <c r="BD361" i="5"/>
  <c r="ES56" i="5"/>
  <c r="ET56" i="5" s="1"/>
  <c r="CO88" i="5"/>
  <c r="FA88" i="5"/>
  <c r="EN77" i="5"/>
  <c r="EO77" i="5" s="1"/>
  <c r="EP77" i="5" s="1"/>
  <c r="EN61" i="5"/>
  <c r="EO61" i="5" s="1"/>
  <c r="EP61" i="5" s="1"/>
  <c r="DG178" i="5"/>
  <c r="AV190" i="5"/>
  <c r="CR136" i="5"/>
  <c r="FC136" i="5"/>
  <c r="DG423" i="5"/>
  <c r="BG130" i="5"/>
  <c r="BI130" i="5" s="1"/>
  <c r="BJ130" i="5" s="1"/>
  <c r="EC130" i="5" s="1"/>
  <c r="EB130" i="5" s="1"/>
  <c r="FD315" i="5"/>
  <c r="CQ315" i="5"/>
  <c r="DX437" i="5"/>
  <c r="CL437" i="5" s="1"/>
  <c r="CP324" i="5"/>
  <c r="FB324" i="5"/>
  <c r="FD421" i="5"/>
  <c r="CW421" i="5"/>
  <c r="DG381" i="5"/>
  <c r="FD377" i="5"/>
  <c r="CW377" i="5"/>
  <c r="FD254" i="5"/>
  <c r="CW254" i="5"/>
  <c r="AW402" i="5"/>
  <c r="CH402" i="5" s="1"/>
  <c r="BB309" i="5"/>
  <c r="BD438" i="5"/>
  <c r="DG171" i="5"/>
  <c r="EN135" i="5"/>
  <c r="EO135" i="5" s="1"/>
  <c r="EP135" i="5" s="1"/>
  <c r="EN159" i="5"/>
  <c r="EO159" i="5" s="1"/>
  <c r="EP159" i="5" s="1"/>
  <c r="CR115" i="5"/>
  <c r="FC115" i="5"/>
  <c r="FA83" i="5"/>
  <c r="CO83" i="5"/>
  <c r="ES25" i="5"/>
  <c r="ET25" i="5" s="1"/>
  <c r="FD331" i="5"/>
  <c r="CW331" i="5"/>
  <c r="DH471" i="5"/>
  <c r="EL471" i="5"/>
  <c r="EM471" i="5"/>
  <c r="FB284" i="5"/>
  <c r="CV284" i="5"/>
  <c r="CP304" i="5"/>
  <c r="FB304" i="5"/>
  <c r="CP276" i="5"/>
  <c r="FB276" i="5"/>
  <c r="FD404" i="5"/>
  <c r="CW404" i="5"/>
  <c r="FD380" i="5"/>
  <c r="CW380" i="5"/>
  <c r="AW452" i="5"/>
  <c r="CH452" i="5" s="1"/>
  <c r="BB267" i="5"/>
  <c r="BD267" i="5" s="1"/>
  <c r="BD402" i="5"/>
  <c r="BD399" i="5"/>
  <c r="ET75" i="5"/>
  <c r="EN75" i="5"/>
  <c r="EO75" i="5" s="1"/>
  <c r="EP75" i="5" s="1"/>
  <c r="AV176" i="5"/>
  <c r="EN142" i="5"/>
  <c r="EO142" i="5" s="1"/>
  <c r="EP142" i="5" s="1"/>
  <c r="BT161" i="5"/>
  <c r="BV161" i="5" s="1"/>
  <c r="CC161" i="5" s="1"/>
  <c r="CE161" i="5" s="1"/>
  <c r="EN116" i="5"/>
  <c r="EO116" i="5" s="1"/>
  <c r="EP116" i="5" s="1"/>
  <c r="BI111" i="5"/>
  <c r="BJ111" i="5" s="1"/>
  <c r="EC111" i="5" s="1"/>
  <c r="EB111" i="5" s="1"/>
  <c r="FD319" i="5"/>
  <c r="CW319" i="5"/>
  <c r="FD401" i="5"/>
  <c r="CW401" i="5"/>
  <c r="DG451" i="5"/>
  <c r="FD320" i="5"/>
  <c r="CW320" i="5"/>
  <c r="DG291" i="5"/>
  <c r="CW300" i="5"/>
  <c r="FD300" i="5"/>
  <c r="CW269" i="5"/>
  <c r="FD269" i="5"/>
  <c r="FD381" i="5"/>
  <c r="CW381" i="5"/>
  <c r="DX315" i="5"/>
  <c r="CL315" i="5" s="1"/>
  <c r="DX321" i="5"/>
  <c r="CL321" i="5" s="1"/>
  <c r="FB423" i="5"/>
  <c r="CP423" i="5"/>
  <c r="FB350" i="5"/>
  <c r="CV350" i="5"/>
  <c r="FB301" i="5"/>
  <c r="CV301" i="5"/>
  <c r="DX379" i="5"/>
  <c r="CL379" i="5" s="1"/>
  <c r="DX399" i="5"/>
  <c r="CL399" i="5" s="1"/>
  <c r="CP358" i="5"/>
  <c r="FB358" i="5"/>
  <c r="FB348" i="5"/>
  <c r="CP348" i="5"/>
  <c r="DX417" i="5"/>
  <c r="CL417" i="5" s="1"/>
  <c r="BL66" i="5"/>
  <c r="DT66" i="5" s="1"/>
  <c r="DV66" i="5" s="1"/>
  <c r="BE66" i="5"/>
  <c r="BU66" i="5"/>
  <c r="BT66" i="5"/>
  <c r="FR66" i="5"/>
  <c r="FU66" i="5" s="1"/>
  <c r="CM66" i="5" s="1"/>
  <c r="DC178" i="5"/>
  <c r="AR178" i="5"/>
  <c r="CG178" i="5" s="1"/>
  <c r="DN89" i="5"/>
  <c r="DN119" i="5"/>
  <c r="AR144" i="5"/>
  <c r="CG144" i="5" s="1"/>
  <c r="DD144" i="5"/>
  <c r="ES144" i="5" s="1"/>
  <c r="AV144" i="5"/>
  <c r="AT251" i="5"/>
  <c r="BL92" i="5"/>
  <c r="DT92" i="5" s="1"/>
  <c r="DV92" i="5" s="1"/>
  <c r="BT92" i="5"/>
  <c r="BE92" i="5"/>
  <c r="BU92" i="5"/>
  <c r="FR92" i="5"/>
  <c r="FU92" i="5" s="1"/>
  <c r="CM92" i="5" s="1"/>
  <c r="FS209" i="5"/>
  <c r="FU209" i="5" s="1"/>
  <c r="CM209" i="5" s="1"/>
  <c r="BL209" i="5"/>
  <c r="DT209" i="5" s="1"/>
  <c r="DV209" i="5" s="1"/>
  <c r="BT209" i="5"/>
  <c r="BU209" i="5"/>
  <c r="AN170" i="5"/>
  <c r="DO170" i="5" s="1"/>
  <c r="AN171" i="5"/>
  <c r="DO171" i="5" s="1"/>
  <c r="AZ174" i="5"/>
  <c r="CI174" i="5" s="1"/>
  <c r="AR174" i="5"/>
  <c r="CG174" i="5" s="1"/>
  <c r="DC174" i="5"/>
  <c r="AR216" i="5"/>
  <c r="DC216" i="5"/>
  <c r="AV216" i="5"/>
  <c r="DC244" i="5"/>
  <c r="AR244" i="5"/>
  <c r="CG244" i="5" s="1"/>
  <c r="AZ227" i="5"/>
  <c r="CI227" i="5" s="1"/>
  <c r="AR227" i="5"/>
  <c r="CG227" i="5" s="1"/>
  <c r="DC227" i="5"/>
  <c r="AZ194" i="5"/>
  <c r="CI194" i="5" s="1"/>
  <c r="DC194" i="5"/>
  <c r="AR194" i="5"/>
  <c r="CG194" i="5" s="1"/>
  <c r="BX121" i="5"/>
  <c r="BY121" i="5" s="1"/>
  <c r="FS121" i="5"/>
  <c r="FU121" i="5" s="1"/>
  <c r="CM121" i="5" s="1"/>
  <c r="DN179" i="5"/>
  <c r="DN78" i="5"/>
  <c r="DN81" i="5"/>
  <c r="DN69" i="5"/>
  <c r="DN88" i="5"/>
  <c r="DN239" i="5"/>
  <c r="DN123" i="5"/>
  <c r="DN71" i="5"/>
  <c r="DC169" i="5"/>
  <c r="AR169" i="5"/>
  <c r="CG169" i="5" s="1"/>
  <c r="FS208" i="5"/>
  <c r="FU208" i="5" s="1"/>
  <c r="CM208" i="5" s="1"/>
  <c r="BL208" i="5"/>
  <c r="DT208" i="5" s="1"/>
  <c r="DV208" i="5" s="1"/>
  <c r="BT208" i="5"/>
  <c r="BU208" i="5"/>
  <c r="AR142" i="5"/>
  <c r="CG142" i="5" s="1"/>
  <c r="DD142" i="5"/>
  <c r="ES142" i="5" s="1"/>
  <c r="BX143" i="5"/>
  <c r="BY143" i="5" s="1"/>
  <c r="FS143" i="5"/>
  <c r="FU143" i="5" s="1"/>
  <c r="CM143" i="5" s="1"/>
  <c r="FS200" i="5"/>
  <c r="FU200" i="5" s="1"/>
  <c r="CM200" i="5" s="1"/>
  <c r="BT200" i="5"/>
  <c r="BU200" i="5"/>
  <c r="BL200" i="5"/>
  <c r="DT200" i="5" s="1"/>
  <c r="DV200" i="5" s="1"/>
  <c r="AR140" i="5"/>
  <c r="CG140" i="5" s="1"/>
  <c r="DD140" i="5"/>
  <c r="ES140" i="5" s="1"/>
  <c r="AZ241" i="5"/>
  <c r="CI241" i="5" s="1"/>
  <c r="AR241" i="5"/>
  <c r="CG241" i="5" s="1"/>
  <c r="DC241" i="5"/>
  <c r="DD141" i="5"/>
  <c r="ES141" i="5" s="1"/>
  <c r="AR141" i="5"/>
  <c r="CG141" i="5" s="1"/>
  <c r="AS127" i="5"/>
  <c r="AT127" i="5" s="1"/>
  <c r="AS144" i="5"/>
  <c r="AT144" i="5" s="1"/>
  <c r="BB227" i="5"/>
  <c r="AT227" i="5"/>
  <c r="AS139" i="5"/>
  <c r="AT139" i="5" s="1"/>
  <c r="BL94" i="5"/>
  <c r="DT94" i="5" s="1"/>
  <c r="DV94" i="5" s="1"/>
  <c r="BT94" i="5"/>
  <c r="BE94" i="5"/>
  <c r="BU94" i="5"/>
  <c r="FR94" i="5"/>
  <c r="FU94" i="5" s="1"/>
  <c r="CM94" i="5" s="1"/>
  <c r="AS92" i="5"/>
  <c r="AT79" i="5"/>
  <c r="AY79" i="5"/>
  <c r="AZ79" i="5" s="1"/>
  <c r="CI79" i="5" s="1"/>
  <c r="AS125" i="5"/>
  <c r="AT125" i="5" s="1"/>
  <c r="AS142" i="5"/>
  <c r="AT137" i="5"/>
  <c r="AH78" i="5"/>
  <c r="BL78" i="5"/>
  <c r="DT78" i="5" s="1"/>
  <c r="DV78" i="5" s="1"/>
  <c r="BT78" i="5"/>
  <c r="BE78" i="5"/>
  <c r="BU78" i="5"/>
  <c r="FR78" i="5"/>
  <c r="FU78" i="5" s="1"/>
  <c r="CM78" i="5" s="1"/>
  <c r="BB195" i="5"/>
  <c r="AT195" i="5"/>
  <c r="AT180" i="5"/>
  <c r="BB180" i="5"/>
  <c r="AT182" i="5"/>
  <c r="BB182" i="5"/>
  <c r="BB176" i="5"/>
  <c r="AT176" i="5"/>
  <c r="AN220" i="5"/>
  <c r="DO220" i="5" s="1"/>
  <c r="BB160" i="5"/>
  <c r="AT160" i="5"/>
  <c r="AF133" i="5"/>
  <c r="AT166" i="5"/>
  <c r="BB166" i="5"/>
  <c r="AS119" i="5"/>
  <c r="AS123" i="5"/>
  <c r="AS113" i="5"/>
  <c r="AT113" i="5" s="1"/>
  <c r="DG336" i="5"/>
  <c r="DG342" i="5"/>
  <c r="FB291" i="5"/>
  <c r="CP291" i="5"/>
  <c r="DX390" i="5"/>
  <c r="CL390" i="5" s="1"/>
  <c r="DX311" i="5"/>
  <c r="CL311" i="5" s="1"/>
  <c r="FD451" i="5"/>
  <c r="CQ451" i="5"/>
  <c r="DX422" i="5"/>
  <c r="CL422" i="5" s="1"/>
  <c r="AT437" i="5"/>
  <c r="AT372" i="5"/>
  <c r="BD366" i="5"/>
  <c r="EN65" i="5"/>
  <c r="EO65" i="5" s="1"/>
  <c r="EP65" i="5" s="1"/>
  <c r="BJ140" i="5"/>
  <c r="EC140" i="5" s="1"/>
  <c r="EB140" i="5" s="1"/>
  <c r="EN124" i="5"/>
  <c r="EO124" i="5" s="1"/>
  <c r="EP124" i="5" s="1"/>
  <c r="EN123" i="5"/>
  <c r="EO123" i="5" s="1"/>
  <c r="EP123" i="5" s="1"/>
  <c r="BV116" i="5"/>
  <c r="CC116" i="5" s="1"/>
  <c r="CE116" i="5" s="1"/>
  <c r="CJ116" i="5" s="1"/>
  <c r="BJ121" i="5"/>
  <c r="EC121" i="5" s="1"/>
  <c r="EB121" i="5" s="1"/>
  <c r="FA67" i="5"/>
  <c r="CO67" i="5"/>
  <c r="AV169" i="5"/>
  <c r="CE162" i="5"/>
  <c r="DI472" i="5"/>
  <c r="DJ472" i="5"/>
  <c r="FD271" i="5"/>
  <c r="CW271" i="5"/>
  <c r="DH493" i="5"/>
  <c r="EL493" i="5"/>
  <c r="EM493" i="5"/>
  <c r="DG268" i="5"/>
  <c r="DG352" i="5"/>
  <c r="AW278" i="5"/>
  <c r="CH278" i="5" s="1"/>
  <c r="AN200" i="5"/>
  <c r="DO200" i="5" s="1"/>
  <c r="EG200" i="5" s="1"/>
  <c r="EJ200" i="5" s="1"/>
  <c r="EK200" i="5" s="1"/>
  <c r="CG9" i="5"/>
  <c r="CG6" i="5"/>
  <c r="CG7" i="5" s="1"/>
  <c r="CG8" i="5"/>
  <c r="FA53" i="5"/>
  <c r="CO53" i="5"/>
  <c r="FA85" i="5"/>
  <c r="CO85" i="5"/>
  <c r="EN80" i="5"/>
  <c r="EO80" i="5" s="1"/>
  <c r="EP80" i="5" s="1"/>
  <c r="BV227" i="5"/>
  <c r="CC227" i="5" s="1"/>
  <c r="CE227" i="5" s="1"/>
  <c r="CJ227" i="5" s="1"/>
  <c r="EB225" i="5"/>
  <c r="EA225" i="5"/>
  <c r="BV242" i="5"/>
  <c r="CC242" i="5" s="1"/>
  <c r="AV230" i="5"/>
  <c r="EN147" i="5"/>
  <c r="EO147" i="5" s="1"/>
  <c r="EP147" i="5" s="1"/>
  <c r="EN251" i="5"/>
  <c r="EO251" i="5" s="1"/>
  <c r="EP251" i="5" s="1"/>
  <c r="EB164" i="5"/>
  <c r="BJ114" i="5"/>
  <c r="EC114" i="5" s="1"/>
  <c r="EB114" i="5" s="1"/>
  <c r="AV197" i="5"/>
  <c r="DG303" i="5"/>
  <c r="DG293" i="5"/>
  <c r="FD98" i="5"/>
  <c r="CQ98" i="5"/>
  <c r="DX412" i="5"/>
  <c r="CL412" i="5" s="1"/>
  <c r="DX256" i="5"/>
  <c r="CL256" i="5" s="1"/>
  <c r="CW257" i="5"/>
  <c r="FD257" i="5"/>
  <c r="DG436" i="5"/>
  <c r="DX428" i="5"/>
  <c r="CL428" i="5" s="1"/>
  <c r="FD356" i="5"/>
  <c r="CQ356" i="5"/>
  <c r="BD434" i="5"/>
  <c r="EN71" i="5"/>
  <c r="EO71" i="5" s="1"/>
  <c r="EP71" i="5" s="1"/>
  <c r="EB226" i="5"/>
  <c r="EA226" i="5"/>
  <c r="DG176" i="5"/>
  <c r="AV188" i="5"/>
  <c r="BJ142" i="5"/>
  <c r="EC142" i="5" s="1"/>
  <c r="EB142" i="5" s="1"/>
  <c r="AO163" i="5"/>
  <c r="EN164" i="5"/>
  <c r="EO164" i="5" s="1"/>
  <c r="EP164" i="5" s="1"/>
  <c r="AW296" i="5"/>
  <c r="CH296" i="5" s="1"/>
  <c r="CQ447" i="5"/>
  <c r="FD447" i="5"/>
  <c r="DG305" i="5"/>
  <c r="DX374" i="5"/>
  <c r="CL374" i="5" s="1"/>
  <c r="CW261" i="5"/>
  <c r="FD261" i="5"/>
  <c r="CP285" i="5"/>
  <c r="FB285" i="5"/>
  <c r="DX421" i="5"/>
  <c r="CL421" i="5" s="1"/>
  <c r="CQ442" i="5"/>
  <c r="FD442" i="5"/>
  <c r="DG366" i="5"/>
  <c r="BI104" i="5"/>
  <c r="BJ104" i="5" s="1"/>
  <c r="EC104" i="5" s="1"/>
  <c r="AW266" i="5"/>
  <c r="CH266" i="5" s="1"/>
  <c r="FA55" i="5"/>
  <c r="CO55" i="5"/>
  <c r="FA87" i="5"/>
  <c r="CO87" i="5"/>
  <c r="AS234" i="5"/>
  <c r="BB234" i="5" s="1"/>
  <c r="EB236" i="5"/>
  <c r="EA236" i="5"/>
  <c r="BV194" i="5"/>
  <c r="CC194" i="5" s="1"/>
  <c r="CE194" i="5" s="1"/>
  <c r="CJ194" i="5" s="1"/>
  <c r="AV181" i="5"/>
  <c r="AV209" i="5"/>
  <c r="CC143" i="5"/>
  <c r="CE143" i="5" s="1"/>
  <c r="CJ143" i="5" s="1"/>
  <c r="EN120" i="5"/>
  <c r="EO120" i="5" s="1"/>
  <c r="EP120" i="5" s="1"/>
  <c r="FA122" i="5"/>
  <c r="CU122" i="5"/>
  <c r="FD326" i="5"/>
  <c r="CQ326" i="5"/>
  <c r="CU91" i="5"/>
  <c r="FA91" i="5"/>
  <c r="CQ139" i="5"/>
  <c r="FD139" i="5"/>
  <c r="EQ479" i="5"/>
  <c r="ER479" i="5" s="1"/>
  <c r="DG301" i="5"/>
  <c r="DX433" i="5"/>
  <c r="CL433" i="5" s="1"/>
  <c r="FD304" i="5"/>
  <c r="CQ304" i="5"/>
  <c r="FD379" i="5"/>
  <c r="CQ379" i="5"/>
  <c r="DX364" i="5"/>
  <c r="CL364" i="5" s="1"/>
  <c r="AT418" i="5"/>
  <c r="AW307" i="5"/>
  <c r="CH307" i="5" s="1"/>
  <c r="BD372" i="5"/>
  <c r="CO56" i="5"/>
  <c r="FA56" i="5"/>
  <c r="ES88" i="5"/>
  <c r="AV227" i="5"/>
  <c r="BF127" i="5"/>
  <c r="BH127" i="5" s="1"/>
  <c r="FD129" i="5"/>
  <c r="CQ129" i="5"/>
  <c r="EN248" i="5"/>
  <c r="EO248" i="5" s="1"/>
  <c r="EP248" i="5" s="1"/>
  <c r="AY119" i="5"/>
  <c r="AZ119" i="5" s="1"/>
  <c r="CI119" i="5" s="1"/>
  <c r="CU121" i="5"/>
  <c r="FA121" i="5"/>
  <c r="DG380" i="5"/>
  <c r="AW393" i="5"/>
  <c r="CH393" i="5" s="1"/>
  <c r="FD445" i="5"/>
  <c r="CW445" i="5"/>
  <c r="FD395" i="5"/>
  <c r="CQ395" i="5"/>
  <c r="AT361" i="5"/>
  <c r="CO73" i="5"/>
  <c r="FA73" i="5"/>
  <c r="AS220" i="5"/>
  <c r="BB220" i="5" s="1"/>
  <c r="BV221" i="5"/>
  <c r="CC221" i="5" s="1"/>
  <c r="EB238" i="5"/>
  <c r="EA238" i="5"/>
  <c r="AV234" i="5"/>
  <c r="AV191" i="5"/>
  <c r="AV203" i="5"/>
  <c r="AO166" i="5"/>
  <c r="CE156" i="5"/>
  <c r="AT310" i="5"/>
  <c r="ER480" i="5"/>
  <c r="CW273" i="5"/>
  <c r="FD273" i="5"/>
  <c r="DX424" i="5"/>
  <c r="CL424" i="5" s="1"/>
  <c r="DG278" i="5"/>
  <c r="CW387" i="5"/>
  <c r="FD387" i="5"/>
  <c r="FB306" i="5"/>
  <c r="CV306" i="5"/>
  <c r="CQ99" i="5"/>
  <c r="FD99" i="5"/>
  <c r="DX385" i="5"/>
  <c r="CL385" i="5" s="1"/>
  <c r="DG360" i="5"/>
  <c r="DG264" i="5"/>
  <c r="FB338" i="5"/>
  <c r="CV338" i="5"/>
  <c r="FD322" i="5"/>
  <c r="CW322" i="5"/>
  <c r="BB383" i="5"/>
  <c r="AW391" i="5"/>
  <c r="CH391" i="5" s="1"/>
  <c r="AT433" i="5"/>
  <c r="BD310" i="5"/>
  <c r="CO58" i="5"/>
  <c r="FA58" i="5"/>
  <c r="CO90" i="5"/>
  <c r="FA90" i="5"/>
  <c r="AS216" i="5"/>
  <c r="AT216" i="5" s="1"/>
  <c r="EB231" i="5"/>
  <c r="EA231" i="5"/>
  <c r="EB247" i="5"/>
  <c r="EA247" i="5"/>
  <c r="AV226" i="5"/>
  <c r="BV170" i="5"/>
  <c r="CC170" i="5" s="1"/>
  <c r="BJ146" i="5"/>
  <c r="EC146" i="5" s="1"/>
  <c r="EB146" i="5" s="1"/>
  <c r="FD138" i="5"/>
  <c r="CQ138" i="5"/>
  <c r="EB161" i="5"/>
  <c r="EQ473" i="5"/>
  <c r="ER473" i="5" s="1"/>
  <c r="CV305" i="5"/>
  <c r="FB305" i="5"/>
  <c r="FD383" i="5"/>
  <c r="CW383" i="5"/>
  <c r="BJ102" i="5"/>
  <c r="EC102" i="5" s="1"/>
  <c r="DX402" i="5"/>
  <c r="CL402" i="5" s="1"/>
  <c r="BI97" i="5"/>
  <c r="FB412" i="5"/>
  <c r="CP412" i="5"/>
  <c r="DG377" i="5"/>
  <c r="DX416" i="5"/>
  <c r="CL416" i="5" s="1"/>
  <c r="CV363" i="5"/>
  <c r="FB363" i="5"/>
  <c r="DX275" i="5"/>
  <c r="CL275" i="5" s="1"/>
  <c r="DX418" i="5"/>
  <c r="CL418" i="5" s="1"/>
  <c r="DX392" i="5"/>
  <c r="CL392" i="5" s="1"/>
  <c r="DX356" i="5"/>
  <c r="CL356" i="5" s="1"/>
  <c r="CP294" i="5"/>
  <c r="FB294" i="5"/>
  <c r="FB384" i="5"/>
  <c r="CP384" i="5"/>
  <c r="FB379" i="5"/>
  <c r="CP379" i="5"/>
  <c r="DX386" i="5"/>
  <c r="CL386" i="5" s="1"/>
  <c r="EA249" i="5"/>
  <c r="EB249" i="5"/>
  <c r="AZ189" i="5"/>
  <c r="CI189" i="5" s="1"/>
  <c r="AR189" i="5"/>
  <c r="CG189" i="5" s="1"/>
  <c r="DC189" i="5"/>
  <c r="AZ240" i="5"/>
  <c r="CI240" i="5" s="1"/>
  <c r="AR240" i="5"/>
  <c r="CG240" i="5" s="1"/>
  <c r="DC240" i="5"/>
  <c r="DN73" i="5"/>
  <c r="AR145" i="5"/>
  <c r="CG145" i="5" s="1"/>
  <c r="DD145" i="5"/>
  <c r="ES145" i="5" s="1"/>
  <c r="AH77" i="5"/>
  <c r="BE77" i="5"/>
  <c r="BU77" i="5"/>
  <c r="FR77" i="5"/>
  <c r="FU77" i="5" s="1"/>
  <c r="CM77" i="5" s="1"/>
  <c r="BL77" i="5"/>
  <c r="DT77" i="5" s="1"/>
  <c r="DV77" i="5" s="1"/>
  <c r="BT77" i="5"/>
  <c r="AZ171" i="5"/>
  <c r="CI171" i="5" s="1"/>
  <c r="DC171" i="5"/>
  <c r="AR171" i="5"/>
  <c r="CG171" i="5" s="1"/>
  <c r="DC222" i="5"/>
  <c r="AR222" i="5"/>
  <c r="DC218" i="5"/>
  <c r="AR218" i="5"/>
  <c r="DC221" i="5"/>
  <c r="AR221" i="5"/>
  <c r="AZ214" i="5"/>
  <c r="CI214" i="5" s="1"/>
  <c r="DC214" i="5"/>
  <c r="AR214" i="5"/>
  <c r="CG214" i="5" s="1"/>
  <c r="AZ230" i="5"/>
  <c r="DC230" i="5"/>
  <c r="AR230" i="5"/>
  <c r="AZ237" i="5"/>
  <c r="CI237" i="5" s="1"/>
  <c r="DC237" i="5"/>
  <c r="AR237" i="5"/>
  <c r="CG237" i="5" s="1"/>
  <c r="BX122" i="5"/>
  <c r="BY122" i="5" s="1"/>
  <c r="FS122" i="5"/>
  <c r="FU122" i="5" s="1"/>
  <c r="CM122" i="5" s="1"/>
  <c r="DN183" i="5"/>
  <c r="DN77" i="5"/>
  <c r="DN85" i="5"/>
  <c r="DN54" i="5"/>
  <c r="DN116" i="5"/>
  <c r="DN79" i="5"/>
  <c r="DN93" i="5"/>
  <c r="DN75" i="5"/>
  <c r="DN94" i="5"/>
  <c r="AS193" i="5"/>
  <c r="BB193" i="5" s="1"/>
  <c r="FS214" i="5"/>
  <c r="FU214" i="5" s="1"/>
  <c r="CM214" i="5" s="1"/>
  <c r="BL214" i="5"/>
  <c r="DT214" i="5" s="1"/>
  <c r="DV214" i="5" s="1"/>
  <c r="BU214" i="5"/>
  <c r="AR138" i="5"/>
  <c r="CG138" i="5" s="1"/>
  <c r="DD138" i="5"/>
  <c r="ES138" i="5" s="1"/>
  <c r="AR143" i="5"/>
  <c r="CG143" i="5" s="1"/>
  <c r="DD143" i="5"/>
  <c r="ES143" i="5" s="1"/>
  <c r="BL206" i="5"/>
  <c r="DT206" i="5" s="1"/>
  <c r="DV206" i="5" s="1"/>
  <c r="BU206" i="5"/>
  <c r="FS206" i="5"/>
  <c r="FU206" i="5" s="1"/>
  <c r="CM206" i="5" s="1"/>
  <c r="AR136" i="5"/>
  <c r="CG136" i="5" s="1"/>
  <c r="DD136" i="5"/>
  <c r="ES136" i="5" s="1"/>
  <c r="AZ229" i="5"/>
  <c r="CI229" i="5" s="1"/>
  <c r="DC229" i="5"/>
  <c r="AR229" i="5"/>
  <c r="CG229" i="5" s="1"/>
  <c r="AR137" i="5"/>
  <c r="CG137" i="5" s="1"/>
  <c r="DD137" i="5"/>
  <c r="ES137" i="5" s="1"/>
  <c r="AT69" i="5"/>
  <c r="AY69" i="5"/>
  <c r="AZ69" i="5" s="1"/>
  <c r="CI69" i="5" s="1"/>
  <c r="AY92" i="5"/>
  <c r="AZ92" i="5" s="1"/>
  <c r="CI92" i="5" s="1"/>
  <c r="AT92" i="5"/>
  <c r="BB226" i="5"/>
  <c r="AT226" i="5"/>
  <c r="AT129" i="5"/>
  <c r="AT77" i="5"/>
  <c r="AY77" i="5"/>
  <c r="AZ77" i="5" s="1"/>
  <c r="CI77" i="5" s="1"/>
  <c r="AT178" i="5"/>
  <c r="BB178" i="5"/>
  <c r="BB171" i="5"/>
  <c r="AT171" i="5"/>
  <c r="BB170" i="5"/>
  <c r="AT170" i="5"/>
  <c r="BB173" i="5"/>
  <c r="AT173" i="5"/>
  <c r="AN201" i="5"/>
  <c r="DO201" i="5" s="1"/>
  <c r="AK217" i="5"/>
  <c r="AS118" i="5"/>
  <c r="AT118" i="5" s="1"/>
  <c r="AW118" i="5" s="1"/>
  <c r="AT167" i="5"/>
  <c r="BB167" i="5"/>
  <c r="BB158" i="5"/>
  <c r="AT158" i="5"/>
  <c r="AF112" i="5"/>
  <c r="AF140" i="5"/>
  <c r="AS114" i="5"/>
  <c r="DH475" i="5"/>
  <c r="EL475" i="5"/>
  <c r="EM475" i="5"/>
  <c r="FD287" i="5"/>
  <c r="CQ287" i="5"/>
  <c r="AW257" i="5"/>
  <c r="CH257" i="5" s="1"/>
  <c r="EN89" i="5"/>
  <c r="EO89" i="5" s="1"/>
  <c r="EP89" i="5" s="1"/>
  <c r="EA224" i="5"/>
  <c r="EB224" i="5"/>
  <c r="EA241" i="5"/>
  <c r="EB241" i="5"/>
  <c r="AV219" i="5"/>
  <c r="EN140" i="5"/>
  <c r="EO140" i="5" s="1"/>
  <c r="EP140" i="5" s="1"/>
  <c r="EN110" i="5"/>
  <c r="EO110" i="5" s="1"/>
  <c r="EP110" i="5" s="1"/>
  <c r="CO116" i="5"/>
  <c r="FA116" i="5"/>
  <c r="BJ147" i="5"/>
  <c r="EC147" i="5" s="1"/>
  <c r="EB147" i="5" s="1"/>
  <c r="EB162" i="5"/>
  <c r="BV117" i="5"/>
  <c r="CC117" i="5" s="1"/>
  <c r="CE117" i="5" s="1"/>
  <c r="CJ117" i="5" s="1"/>
  <c r="AV145" i="5"/>
  <c r="FD336" i="5"/>
  <c r="CW336" i="5"/>
  <c r="DX319" i="5"/>
  <c r="CL319" i="5" s="1"/>
  <c r="EN32" i="5"/>
  <c r="EO32" i="5" s="1"/>
  <c r="EP32" i="5" s="1"/>
  <c r="FB355" i="5"/>
  <c r="CP355" i="5"/>
  <c r="FB371" i="5"/>
  <c r="CV371" i="5"/>
  <c r="FD260" i="5"/>
  <c r="CW260" i="5"/>
  <c r="FD367" i="5"/>
  <c r="CW367" i="5"/>
  <c r="DH495" i="5"/>
  <c r="EL495" i="5"/>
  <c r="EM495" i="5"/>
  <c r="FD385" i="5"/>
  <c r="CQ385" i="5"/>
  <c r="CW149" i="5"/>
  <c r="FD149" i="5"/>
  <c r="AW289" i="5"/>
  <c r="CH289" i="5" s="1"/>
  <c r="FA61" i="5"/>
  <c r="CO61" i="5"/>
  <c r="BV179" i="5"/>
  <c r="CC179" i="5" s="1"/>
  <c r="DG175" i="5"/>
  <c r="EN139" i="5"/>
  <c r="EO139" i="5" s="1"/>
  <c r="EP139" i="5" s="1"/>
  <c r="AZ251" i="5"/>
  <c r="CI251" i="5" s="1"/>
  <c r="BG122" i="5"/>
  <c r="BI122" i="5" s="1"/>
  <c r="BJ122" i="5" s="1"/>
  <c r="EC122" i="5" s="1"/>
  <c r="EB122" i="5" s="1"/>
  <c r="BD387" i="5"/>
  <c r="CO75" i="5"/>
  <c r="FA75" i="5"/>
  <c r="BV171" i="5"/>
  <c r="CC171" i="5" s="1"/>
  <c r="CE171" i="5" s="1"/>
  <c r="CJ171" i="5" s="1"/>
  <c r="EQ494" i="5"/>
  <c r="ER494" i="5" s="1"/>
  <c r="DX389" i="5"/>
  <c r="CL389" i="5" s="1"/>
  <c r="DG317" i="5"/>
  <c r="DX427" i="5"/>
  <c r="CL427" i="5" s="1"/>
  <c r="AT265" i="5"/>
  <c r="AW376" i="5"/>
  <c r="CH376" i="5" s="1"/>
  <c r="FA62" i="5"/>
  <c r="CO62" i="5"/>
  <c r="CO94" i="5"/>
  <c r="FA94" i="5"/>
  <c r="EB243" i="5"/>
  <c r="EA243" i="5"/>
  <c r="AV217" i="5"/>
  <c r="BV178" i="5"/>
  <c r="CC178" i="5" s="1"/>
  <c r="BV131" i="5"/>
  <c r="CC131" i="5" s="1"/>
  <c r="CE131" i="5" s="1"/>
  <c r="CJ131" i="5" s="1"/>
  <c r="BV122" i="5"/>
  <c r="CC122" i="5" s="1"/>
  <c r="CE122" i="5" s="1"/>
  <c r="CJ122" i="5" s="1"/>
  <c r="FA114" i="5"/>
  <c r="CO114" i="5"/>
  <c r="DG327" i="5"/>
  <c r="AW319" i="5"/>
  <c r="CH319" i="5" s="1"/>
  <c r="CQ95" i="5"/>
  <c r="FD95" i="5"/>
  <c r="DG295" i="5"/>
  <c r="DX407" i="5"/>
  <c r="CL407" i="5" s="1"/>
  <c r="CQ427" i="5"/>
  <c r="FD427" i="5"/>
  <c r="DG359" i="5"/>
  <c r="FB335" i="5"/>
  <c r="CP335" i="5"/>
  <c r="DX435" i="5"/>
  <c r="CL435" i="5" s="1"/>
  <c r="AW392" i="5"/>
  <c r="CH392" i="5" s="1"/>
  <c r="AT292" i="5"/>
  <c r="ES63" i="5"/>
  <c r="ET78" i="5"/>
  <c r="EN78" i="5"/>
  <c r="EO78" i="5" s="1"/>
  <c r="EP78" i="5" s="1"/>
  <c r="AV228" i="5"/>
  <c r="BV169" i="5"/>
  <c r="CC169" i="5" s="1"/>
  <c r="BJ135" i="5"/>
  <c r="EC135" i="5" s="1"/>
  <c r="EB135" i="5" s="1"/>
  <c r="EN145" i="5"/>
  <c r="EO145" i="5" s="1"/>
  <c r="EP145" i="5" s="1"/>
  <c r="EN129" i="5"/>
  <c r="EO129" i="5" s="1"/>
  <c r="EP129" i="5" s="1"/>
  <c r="BV158" i="5"/>
  <c r="CC158" i="5" s="1"/>
  <c r="CE158" i="5" s="1"/>
  <c r="FC113" i="5"/>
  <c r="CR113" i="5"/>
  <c r="ES122" i="5"/>
  <c r="ET122" i="5" s="1"/>
  <c r="BD418" i="5"/>
  <c r="EN66" i="5"/>
  <c r="EO66" i="5" s="1"/>
  <c r="EP66" i="5" s="1"/>
  <c r="BV223" i="5"/>
  <c r="CC223" i="5" s="1"/>
  <c r="DG189" i="5"/>
  <c r="DI479" i="5"/>
  <c r="DJ479" i="5"/>
  <c r="CW382" i="5"/>
  <c r="FD382" i="5"/>
  <c r="AV142" i="5"/>
  <c r="DH500" i="5"/>
  <c r="EM500" i="5"/>
  <c r="EL500" i="5"/>
  <c r="FD102" i="5"/>
  <c r="CQ102" i="5"/>
  <c r="AW323" i="5"/>
  <c r="CH323" i="5" s="1"/>
  <c r="FD292" i="5"/>
  <c r="CQ292" i="5"/>
  <c r="FB342" i="5"/>
  <c r="CV342" i="5"/>
  <c r="EO39" i="5"/>
  <c r="EP39" i="5" s="1"/>
  <c r="EN39" i="5"/>
  <c r="DG254" i="5"/>
  <c r="AT409" i="5"/>
  <c r="BD419" i="5"/>
  <c r="ES64" i="5"/>
  <c r="ET93" i="5"/>
  <c r="EN93" i="5"/>
  <c r="EO93" i="5" s="1"/>
  <c r="EP93" i="5" s="1"/>
  <c r="EB229" i="5"/>
  <c r="EA229" i="5"/>
  <c r="EB245" i="5"/>
  <c r="EA245" i="5"/>
  <c r="AV202" i="5"/>
  <c r="CX144" i="5"/>
  <c r="FC144" i="5"/>
  <c r="AO157" i="5"/>
  <c r="ES112" i="5"/>
  <c r="ET112" i="5" s="1"/>
  <c r="EN82" i="5"/>
  <c r="EO82" i="5" s="1"/>
  <c r="EP82" i="5" s="1"/>
  <c r="FD411" i="5"/>
  <c r="CQ411" i="5"/>
  <c r="AW346" i="5"/>
  <c r="CH346" i="5" s="1"/>
  <c r="CW321" i="5"/>
  <c r="FD321" i="5"/>
  <c r="FB96" i="5"/>
  <c r="CP96" i="5"/>
  <c r="DX425" i="5"/>
  <c r="CL425" i="5" s="1"/>
  <c r="CW453" i="5"/>
  <c r="FD453" i="5"/>
  <c r="FD327" i="5"/>
  <c r="CW327" i="5"/>
  <c r="AT386" i="5"/>
  <c r="BB448" i="5"/>
  <c r="BD448" i="5" s="1"/>
  <c r="AW430" i="5"/>
  <c r="CH430" i="5" s="1"/>
  <c r="BD394" i="5"/>
  <c r="BD407" i="5"/>
  <c r="ES81" i="5"/>
  <c r="ET60" i="5"/>
  <c r="EN60" i="5"/>
  <c r="EO60" i="5"/>
  <c r="EP60" i="5" s="1"/>
  <c r="AV225" i="5"/>
  <c r="BV128" i="5"/>
  <c r="CC128" i="5" s="1"/>
  <c r="CE128" i="5" s="1"/>
  <c r="CJ128" i="5" s="1"/>
  <c r="EN143" i="5"/>
  <c r="EO143" i="5" s="1"/>
  <c r="EP143" i="5" s="1"/>
  <c r="BJ118" i="5"/>
  <c r="EC118" i="5" s="1"/>
  <c r="EB118" i="5" s="1"/>
  <c r="BV232" i="5"/>
  <c r="CC232" i="5" s="1"/>
  <c r="FD289" i="5"/>
  <c r="CQ289" i="5"/>
  <c r="AW261" i="5"/>
  <c r="CH261" i="5" s="1"/>
  <c r="FD388" i="5"/>
  <c r="CW388" i="5"/>
  <c r="FD253" i="5"/>
  <c r="CQ253" i="5"/>
  <c r="DH498" i="5"/>
  <c r="EL498" i="5"/>
  <c r="EM498" i="5"/>
  <c r="FD419" i="5"/>
  <c r="CW419" i="5"/>
  <c r="DG288" i="5"/>
  <c r="AW416" i="5"/>
  <c r="CH416" i="5" s="1"/>
  <c r="BB313" i="5"/>
  <c r="BD309" i="5"/>
  <c r="BD452" i="5"/>
  <c r="BD420" i="5"/>
  <c r="BD293" i="5"/>
  <c r="ES66" i="5"/>
  <c r="ET66" i="5" s="1"/>
  <c r="ET91" i="5"/>
  <c r="EN91" i="5"/>
  <c r="EO91" i="5" s="1"/>
  <c r="EP91" i="5" s="1"/>
  <c r="AV241" i="5"/>
  <c r="AV196" i="5"/>
  <c r="FU250" i="5"/>
  <c r="CM250" i="5" s="1"/>
  <c r="EN156" i="5"/>
  <c r="EO156" i="5" s="1"/>
  <c r="EP156" i="5" s="1"/>
  <c r="BG119" i="5"/>
  <c r="BI119" i="5" s="1"/>
  <c r="BJ119" i="5" s="1"/>
  <c r="EC119" i="5" s="1"/>
  <c r="EB119" i="5" s="1"/>
  <c r="AW375" i="5"/>
  <c r="CH375" i="5" s="1"/>
  <c r="AW347" i="5"/>
  <c r="CH347" i="5" s="1"/>
  <c r="DI473" i="5"/>
  <c r="DJ473" i="5"/>
  <c r="DG341" i="5"/>
  <c r="AW450" i="5"/>
  <c r="CH450" i="5" s="1"/>
  <c r="FD255" i="5"/>
  <c r="CW255" i="5"/>
  <c r="BJ97" i="5"/>
  <c r="EC97" i="5" s="1"/>
  <c r="DX270" i="5"/>
  <c r="CL270" i="5" s="1"/>
  <c r="FB148" i="5"/>
  <c r="CV148" i="5"/>
  <c r="DX255" i="5"/>
  <c r="CL255" i="5" s="1"/>
  <c r="FB322" i="5"/>
  <c r="CV322" i="5"/>
  <c r="DX347" i="5"/>
  <c r="CL347" i="5" s="1"/>
  <c r="FB262" i="5"/>
  <c r="CV262" i="5"/>
  <c r="DX388" i="5"/>
  <c r="CL388" i="5" s="1"/>
  <c r="DX375" i="5"/>
  <c r="CL375" i="5" s="1"/>
  <c r="CP446" i="5"/>
  <c r="FB446" i="5"/>
  <c r="DX324" i="5"/>
  <c r="CL324" i="5" s="1"/>
  <c r="DX398" i="5"/>
  <c r="CL398" i="5" s="1"/>
  <c r="AZ187" i="5"/>
  <c r="CI187" i="5" s="1"/>
  <c r="AR187" i="5"/>
  <c r="CG187" i="5" s="1"/>
  <c r="DC187" i="5"/>
  <c r="FR105" i="5"/>
  <c r="FU105" i="5" s="1"/>
  <c r="AY105" i="5"/>
  <c r="AZ105" i="5" s="1"/>
  <c r="FS142" i="5"/>
  <c r="FU142" i="5" s="1"/>
  <c r="CM142" i="5" s="1"/>
  <c r="BX142" i="5"/>
  <c r="BY142" i="5" s="1"/>
  <c r="AR147" i="5"/>
  <c r="CG147" i="5" s="1"/>
  <c r="DD147" i="5"/>
  <c r="ES147" i="5" s="1"/>
  <c r="AZ176" i="5"/>
  <c r="CI176" i="5" s="1"/>
  <c r="AR176" i="5"/>
  <c r="CG176" i="5" s="1"/>
  <c r="DC176" i="5"/>
  <c r="AY78" i="5"/>
  <c r="AZ78" i="5" s="1"/>
  <c r="CI78" i="5" s="1"/>
  <c r="AF213" i="5"/>
  <c r="FS213" i="5"/>
  <c r="FU213" i="5" s="1"/>
  <c r="CM213" i="5" s="1"/>
  <c r="BU213" i="5"/>
  <c r="BL213" i="5"/>
  <c r="DT213" i="5" s="1"/>
  <c r="DV213" i="5" s="1"/>
  <c r="AH91" i="5"/>
  <c r="BE91" i="5"/>
  <c r="BU91" i="5"/>
  <c r="FR91" i="5"/>
  <c r="FU91" i="5" s="1"/>
  <c r="CM91" i="5" s="1"/>
  <c r="BL91" i="5"/>
  <c r="DT91" i="5" s="1"/>
  <c r="DV91" i="5" s="1"/>
  <c r="BT91" i="5"/>
  <c r="FS215" i="5"/>
  <c r="FU215" i="5" s="1"/>
  <c r="CM215" i="5" s="1"/>
  <c r="BT215" i="5"/>
  <c r="BU215" i="5"/>
  <c r="BL215" i="5"/>
  <c r="DT215" i="5" s="1"/>
  <c r="DV215" i="5" s="1"/>
  <c r="EB215" i="5" s="1"/>
  <c r="EB200" i="5"/>
  <c r="AZ183" i="5"/>
  <c r="CI183" i="5" s="1"/>
  <c r="AR183" i="5"/>
  <c r="CG183" i="5" s="1"/>
  <c r="DC183" i="5"/>
  <c r="EA250" i="5"/>
  <c r="EB250" i="5"/>
  <c r="AZ185" i="5"/>
  <c r="CI185" i="5" s="1"/>
  <c r="AR185" i="5"/>
  <c r="CG185" i="5" s="1"/>
  <c r="DC185" i="5"/>
  <c r="DC242" i="5"/>
  <c r="AR242" i="5"/>
  <c r="CG242" i="5" s="1"/>
  <c r="DC226" i="5"/>
  <c r="AR226" i="5"/>
  <c r="AZ239" i="5"/>
  <c r="CI239" i="5" s="1"/>
  <c r="DC239" i="5"/>
  <c r="AR239" i="5"/>
  <c r="CG239" i="5" s="1"/>
  <c r="AZ224" i="5"/>
  <c r="CI224" i="5" s="1"/>
  <c r="DC224" i="5"/>
  <c r="AR224" i="5"/>
  <c r="CG224" i="5" s="1"/>
  <c r="AR238" i="5"/>
  <c r="CG238" i="5" s="1"/>
  <c r="DC238" i="5"/>
  <c r="AZ225" i="5"/>
  <c r="CI225" i="5" s="1"/>
  <c r="DC225" i="5"/>
  <c r="AR225" i="5"/>
  <c r="CG225" i="5" s="1"/>
  <c r="DN187" i="5"/>
  <c r="DN76" i="5"/>
  <c r="DN70" i="5"/>
  <c r="DN120" i="5"/>
  <c r="DN56" i="5"/>
  <c r="DN114" i="5"/>
  <c r="DN236" i="5"/>
  <c r="DN66" i="5"/>
  <c r="DN83" i="5"/>
  <c r="DN58" i="5"/>
  <c r="AZ198" i="5"/>
  <c r="CI198" i="5" s="1"/>
  <c r="DC198" i="5"/>
  <c r="AR198" i="5"/>
  <c r="CG198" i="5" s="1"/>
  <c r="AR134" i="5"/>
  <c r="CG134" i="5" s="1"/>
  <c r="DD134" i="5"/>
  <c r="ES134" i="5" s="1"/>
  <c r="AZ215" i="5"/>
  <c r="CI215" i="5" s="1"/>
  <c r="AR215" i="5"/>
  <c r="CG215" i="5" s="1"/>
  <c r="DC215" i="5"/>
  <c r="AR139" i="5"/>
  <c r="CG139" i="5" s="1"/>
  <c r="DD139" i="5"/>
  <c r="ES139" i="5" s="1"/>
  <c r="FS212" i="5"/>
  <c r="FU212" i="5" s="1"/>
  <c r="CM212" i="5" s="1"/>
  <c r="BL212" i="5"/>
  <c r="DT212" i="5" s="1"/>
  <c r="DV212" i="5" s="1"/>
  <c r="EB212" i="5" s="1"/>
  <c r="BT212" i="5"/>
  <c r="BU212" i="5"/>
  <c r="AR132" i="5"/>
  <c r="CG132" i="5" s="1"/>
  <c r="DD132" i="5"/>
  <c r="ES132" i="5" s="1"/>
  <c r="AR217" i="5"/>
  <c r="DC217" i="5"/>
  <c r="AZ207" i="5"/>
  <c r="CI207" i="5" s="1"/>
  <c r="AR207" i="5"/>
  <c r="CG207" i="5" s="1"/>
  <c r="DC207" i="5"/>
  <c r="AR133" i="5"/>
  <c r="CG133" i="5" s="1"/>
  <c r="DD133" i="5"/>
  <c r="ES133" i="5" s="1"/>
  <c r="AS131" i="5"/>
  <c r="AT131" i="5" s="1"/>
  <c r="AS124" i="5"/>
  <c r="AT124" i="5" s="1"/>
  <c r="AS126" i="5"/>
  <c r="AT126" i="5" s="1"/>
  <c r="AS143" i="5"/>
  <c r="AT143" i="5" s="1"/>
  <c r="AT91" i="5"/>
  <c r="AY91" i="5"/>
  <c r="AZ91" i="5" s="1"/>
  <c r="CI91" i="5" s="1"/>
  <c r="BB249" i="5"/>
  <c r="AT249" i="5"/>
  <c r="BB242" i="5"/>
  <c r="AT242" i="5"/>
  <c r="BB172" i="5"/>
  <c r="AT172" i="5"/>
  <c r="BB175" i="5"/>
  <c r="AT175" i="5"/>
  <c r="BB174" i="5"/>
  <c r="AT174" i="5"/>
  <c r="BB179" i="5"/>
  <c r="BD179" i="5" s="1"/>
  <c r="AT179" i="5"/>
  <c r="AK218" i="5"/>
  <c r="AS108" i="5"/>
  <c r="AT108" i="5" s="1"/>
  <c r="AW108" i="5" s="1"/>
  <c r="AS121" i="5"/>
  <c r="AK220" i="5"/>
  <c r="DG443" i="5"/>
  <c r="CW363" i="5"/>
  <c r="FD363" i="5"/>
  <c r="DG285" i="5"/>
  <c r="FD423" i="5"/>
  <c r="CQ423" i="5"/>
  <c r="FB279" i="5"/>
  <c r="CP279" i="5"/>
  <c r="DK496" i="5"/>
  <c r="DL496" i="5" s="1"/>
  <c r="DM496" i="5" s="1"/>
  <c r="CO76" i="5"/>
  <c r="FA76" i="5"/>
  <c r="AS223" i="5"/>
  <c r="BB223" i="5" s="1"/>
  <c r="FC237" i="5"/>
  <c r="CR237" i="5"/>
  <c r="BV172" i="5"/>
  <c r="CC172" i="5" s="1"/>
  <c r="AV178" i="5"/>
  <c r="BV124" i="5"/>
  <c r="CC124" i="5" s="1"/>
  <c r="CE124" i="5" s="1"/>
  <c r="CJ124" i="5" s="1"/>
  <c r="CR132" i="5"/>
  <c r="FC132" i="5"/>
  <c r="ES116" i="5"/>
  <c r="ET116" i="5" s="1"/>
  <c r="ET90" i="5"/>
  <c r="EN90" i="5"/>
  <c r="EO90" i="5" s="1"/>
  <c r="EP90" i="5" s="1"/>
  <c r="AS238" i="5"/>
  <c r="BB238" i="5" s="1"/>
  <c r="AV223" i="5"/>
  <c r="AV177" i="5"/>
  <c r="DG350" i="5"/>
  <c r="CW313" i="5"/>
  <c r="FD313" i="5"/>
  <c r="DX440" i="5"/>
  <c r="CL440" i="5" s="1"/>
  <c r="FD285" i="5"/>
  <c r="CQ285" i="5"/>
  <c r="ES32" i="5"/>
  <c r="ET32" i="5" s="1"/>
  <c r="DX280" i="5"/>
  <c r="CL280" i="5" s="1"/>
  <c r="AW271" i="5"/>
  <c r="CH271" i="5" s="1"/>
  <c r="BD443" i="5"/>
  <c r="ES61" i="5"/>
  <c r="ET61" i="5" s="1"/>
  <c r="CO93" i="5"/>
  <c r="FA93" i="5"/>
  <c r="EN72" i="5"/>
  <c r="EO72" i="5" s="1"/>
  <c r="EP72" i="5" s="1"/>
  <c r="EB227" i="5"/>
  <c r="EA227" i="5"/>
  <c r="BV225" i="5"/>
  <c r="CC225" i="5" s="1"/>
  <c r="CE225" i="5" s="1"/>
  <c r="CJ225" i="5" s="1"/>
  <c r="EA242" i="5"/>
  <c r="EB242" i="5"/>
  <c r="AV218" i="5"/>
  <c r="BV184" i="5"/>
  <c r="CC184" i="5" s="1"/>
  <c r="DG183" i="5"/>
  <c r="AV187" i="5"/>
  <c r="EN195" i="5"/>
  <c r="EO195" i="5" s="1"/>
  <c r="EP195" i="5" s="1"/>
  <c r="BV133" i="5"/>
  <c r="CC133" i="5" s="1"/>
  <c r="CE133" i="5" s="1"/>
  <c r="CJ133" i="5" s="1"/>
  <c r="CR139" i="5"/>
  <c r="FC139" i="5"/>
  <c r="AO162" i="5"/>
  <c r="EN111" i="5"/>
  <c r="EO111" i="5" s="1"/>
  <c r="EP111" i="5" s="1"/>
  <c r="ET111" i="5"/>
  <c r="BV115" i="5"/>
  <c r="CC115" i="5" s="1"/>
  <c r="CE115" i="5" s="1"/>
  <c r="CJ115" i="5" s="1"/>
  <c r="BE105" i="5"/>
  <c r="AW428" i="5"/>
  <c r="CH428" i="5" s="1"/>
  <c r="AW447" i="5"/>
  <c r="CH447" i="5" s="1"/>
  <c r="DY92" i="5"/>
  <c r="DJ494" i="5"/>
  <c r="DI494" i="5"/>
  <c r="EN42" i="5"/>
  <c r="EO42" i="5" s="1"/>
  <c r="EP42" i="5" s="1"/>
  <c r="CQ378" i="5"/>
  <c r="FD378" i="5"/>
  <c r="DG267" i="5"/>
  <c r="CW435" i="5"/>
  <c r="FD435" i="5"/>
  <c r="DG396" i="5"/>
  <c r="BI96" i="5"/>
  <c r="BJ96" i="5" s="1"/>
  <c r="EC96" i="5" s="1"/>
  <c r="FD384" i="5"/>
  <c r="CQ384" i="5"/>
  <c r="CQ370" i="5"/>
  <c r="FD370" i="5"/>
  <c r="DG432" i="5"/>
  <c r="DK43" i="5"/>
  <c r="AW349" i="5"/>
  <c r="CH349" i="5" s="1"/>
  <c r="BD436" i="5"/>
  <c r="BD377" i="5"/>
  <c r="BV134" i="5"/>
  <c r="CC134" i="5" s="1"/>
  <c r="CE134" i="5" s="1"/>
  <c r="CJ134" i="5" s="1"/>
  <c r="AY142" i="5"/>
  <c r="AZ142" i="5" s="1"/>
  <c r="CI142" i="5" s="1"/>
  <c r="ET138" i="5"/>
  <c r="EN138" i="5"/>
  <c r="EO138" i="5" s="1"/>
  <c r="EP138" i="5" s="1"/>
  <c r="ET121" i="5"/>
  <c r="EN121" i="5"/>
  <c r="EO121" i="5" s="1"/>
  <c r="EP121" i="5" s="1"/>
  <c r="ES106" i="5"/>
  <c r="ET106" i="5" s="1"/>
  <c r="DX382" i="5"/>
  <c r="CL382" i="5" s="1"/>
  <c r="AW344" i="5"/>
  <c r="CH344" i="5" s="1"/>
  <c r="DG304" i="5"/>
  <c r="FB337" i="5"/>
  <c r="CP337" i="5"/>
  <c r="BI98" i="5"/>
  <c r="BJ98" i="5" s="1"/>
  <c r="EC98" i="5" s="1"/>
  <c r="CW361" i="5"/>
  <c r="FD361" i="5"/>
  <c r="DG292" i="5"/>
  <c r="DX281" i="5"/>
  <c r="CL281" i="5" s="1"/>
  <c r="AT396" i="5"/>
  <c r="AT256" i="5"/>
  <c r="ET94" i="5"/>
  <c r="EN94" i="5"/>
  <c r="EO94" i="5" s="1"/>
  <c r="EP94" i="5" s="1"/>
  <c r="ET54" i="5"/>
  <c r="EN54" i="5"/>
  <c r="EO54" i="5" s="1"/>
  <c r="EP54" i="5" s="1"/>
  <c r="BV228" i="5"/>
  <c r="CC228" i="5" s="1"/>
  <c r="BV244" i="5"/>
  <c r="CC244" i="5" s="1"/>
  <c r="AV189" i="5"/>
  <c r="CX145" i="5"/>
  <c r="FC145" i="5"/>
  <c r="FC129" i="5"/>
  <c r="CR129" i="5"/>
  <c r="EN249" i="5"/>
  <c r="EO249" i="5" s="1"/>
  <c r="EP249" i="5" s="1"/>
  <c r="ES113" i="5"/>
  <c r="ET113" i="5" s="1"/>
  <c r="DY77" i="5"/>
  <c r="CV280" i="5"/>
  <c r="FB280" i="5"/>
  <c r="EA223" i="5"/>
  <c r="EB223" i="5"/>
  <c r="EN133" i="5"/>
  <c r="EO133" i="5" s="1"/>
  <c r="EP133" i="5" s="1"/>
  <c r="ET133" i="5"/>
  <c r="DX318" i="5"/>
  <c r="CL318" i="5" s="1"/>
  <c r="CW305" i="5"/>
  <c r="FD305" i="5"/>
  <c r="DG294" i="5"/>
  <c r="DX309" i="5"/>
  <c r="CL309" i="5" s="1"/>
  <c r="DG353" i="5"/>
  <c r="AW282" i="5"/>
  <c r="CH282" i="5" s="1"/>
  <c r="AT421" i="5"/>
  <c r="BD353" i="5"/>
  <c r="ET69" i="5"/>
  <c r="EN69" i="5"/>
  <c r="EO69" i="5" s="1"/>
  <c r="EP69" i="5" s="1"/>
  <c r="ET53" i="5"/>
  <c r="EN53" i="5"/>
  <c r="EO53" i="5"/>
  <c r="EP53" i="5" s="1"/>
  <c r="EH53" i="5"/>
  <c r="AV221" i="5"/>
  <c r="BV187" i="5"/>
  <c r="CC187" i="5" s="1"/>
  <c r="AV174" i="5"/>
  <c r="CR128" i="5"/>
  <c r="FC128" i="5"/>
  <c r="AO165" i="5"/>
  <c r="EN158" i="5"/>
  <c r="EO158" i="5" s="1"/>
  <c r="EP158" i="5" s="1"/>
  <c r="EQ158" i="5" s="1"/>
  <c r="EN114" i="5"/>
  <c r="EO114" i="5" s="1"/>
  <c r="EP114" i="5" s="1"/>
  <c r="ET114" i="5"/>
  <c r="AY122" i="5"/>
  <c r="AZ122" i="5" s="1"/>
  <c r="CI122" i="5" s="1"/>
  <c r="FD275" i="5"/>
  <c r="CW275" i="5"/>
  <c r="DG289" i="5"/>
  <c r="CQ252" i="5"/>
  <c r="FD252" i="5"/>
  <c r="DG306" i="5"/>
  <c r="DG308" i="5"/>
  <c r="DG253" i="5"/>
  <c r="FD103" i="5"/>
  <c r="CQ103" i="5"/>
  <c r="DX384" i="5"/>
  <c r="CL384" i="5" s="1"/>
  <c r="FD100" i="5"/>
  <c r="CQ100" i="5"/>
  <c r="CQ353" i="5"/>
  <c r="FD353" i="5"/>
  <c r="AT298" i="5"/>
  <c r="BD400" i="5"/>
  <c r="CO81" i="5"/>
  <c r="FA81" i="5"/>
  <c r="ET84" i="5"/>
  <c r="EN84" i="5"/>
  <c r="EO84" i="5" s="1"/>
  <c r="EP84" i="5" s="1"/>
  <c r="BC183" i="5"/>
  <c r="BV230" i="5"/>
  <c r="CC230" i="5" s="1"/>
  <c r="CE230" i="5" s="1"/>
  <c r="BV246" i="5"/>
  <c r="CC246" i="5" s="1"/>
  <c r="AV211" i="5"/>
  <c r="EO167" i="5"/>
  <c r="EP167" i="5" s="1"/>
  <c r="EN167" i="5"/>
  <c r="EB232" i="5"/>
  <c r="EA232" i="5"/>
  <c r="BV147" i="5"/>
  <c r="CC147" i="5" s="1"/>
  <c r="CE147" i="5" s="1"/>
  <c r="CJ147" i="5" s="1"/>
  <c r="DI480" i="5"/>
  <c r="DJ480" i="5"/>
  <c r="AW327" i="5"/>
  <c r="CH327" i="5" s="1"/>
  <c r="DX429" i="5"/>
  <c r="CL429" i="5" s="1"/>
  <c r="DG351" i="5"/>
  <c r="BJ101" i="5"/>
  <c r="EC101" i="5" s="1"/>
  <c r="CW151" i="5"/>
  <c r="FD151" i="5"/>
  <c r="DK40" i="5"/>
  <c r="FD364" i="5"/>
  <c r="CQ364" i="5"/>
  <c r="AV147" i="5"/>
  <c r="DX413" i="5"/>
  <c r="CL413" i="5" s="1"/>
  <c r="DG333" i="5"/>
  <c r="CO66" i="5"/>
  <c r="FA66" i="5"/>
  <c r="BC236" i="5"/>
  <c r="BV239" i="5"/>
  <c r="CC239" i="5" s="1"/>
  <c r="CE239" i="5" s="1"/>
  <c r="CJ239" i="5" s="1"/>
  <c r="AV184" i="5"/>
  <c r="AO159" i="5"/>
  <c r="AW328" i="5"/>
  <c r="CH328" i="5" s="1"/>
  <c r="AW264" i="5"/>
  <c r="CH264" i="5" s="1"/>
  <c r="DH484" i="5"/>
  <c r="EL484" i="5"/>
  <c r="EM484" i="5"/>
  <c r="CP397" i="5"/>
  <c r="FB397" i="5"/>
  <c r="EQ477" i="5"/>
  <c r="ER477" i="5" s="1"/>
  <c r="CW418" i="5"/>
  <c r="FD418" i="5"/>
  <c r="BI99" i="5"/>
  <c r="FD399" i="5"/>
  <c r="CW399" i="5"/>
  <c r="FD328" i="5"/>
  <c r="CQ328" i="5"/>
  <c r="DK32" i="5"/>
  <c r="DG449" i="5"/>
  <c r="AV137" i="5"/>
  <c r="DG287" i="5"/>
  <c r="CP362" i="5"/>
  <c r="FB362" i="5"/>
  <c r="CV150" i="5"/>
  <c r="FB150" i="5"/>
  <c r="FB359" i="5"/>
  <c r="CV359" i="5"/>
  <c r="DX372" i="5"/>
  <c r="CL372" i="5" s="1"/>
  <c r="DX439" i="5"/>
  <c r="CL439" i="5" s="1"/>
  <c r="AY94" i="5"/>
  <c r="AZ94" i="5" s="1"/>
  <c r="CI94" i="5" s="1"/>
  <c r="BE79" i="5"/>
  <c r="BU79" i="5"/>
  <c r="FR79" i="5"/>
  <c r="FU79" i="5" s="1"/>
  <c r="CM79" i="5" s="1"/>
  <c r="BL79" i="5"/>
  <c r="DT79" i="5" s="1"/>
  <c r="DV79" i="5" s="1"/>
  <c r="BT79" i="5"/>
  <c r="BU197" i="5"/>
  <c r="FS197" i="5"/>
  <c r="FU197" i="5" s="1"/>
  <c r="CM197" i="5" s="1"/>
  <c r="BT197" i="5"/>
  <c r="BL197" i="5"/>
  <c r="DT197" i="5" s="1"/>
  <c r="DV197" i="5" s="1"/>
  <c r="EB197" i="5" s="1"/>
  <c r="FS202" i="5"/>
  <c r="FU202" i="5" s="1"/>
  <c r="CM202" i="5" s="1"/>
  <c r="BT202" i="5"/>
  <c r="BU202" i="5"/>
  <c r="BL202" i="5"/>
  <c r="DT202" i="5" s="1"/>
  <c r="DV202" i="5" s="1"/>
  <c r="EB202" i="5" s="1"/>
  <c r="AZ191" i="5"/>
  <c r="CI191" i="5" s="1"/>
  <c r="AR191" i="5"/>
  <c r="CG191" i="5" s="1"/>
  <c r="DC191" i="5"/>
  <c r="AZ206" i="5"/>
  <c r="CI206" i="5" s="1"/>
  <c r="DC206" i="5"/>
  <c r="AR206" i="5"/>
  <c r="CG206" i="5" s="1"/>
  <c r="DC246" i="5"/>
  <c r="AR246" i="5"/>
  <c r="AZ243" i="5"/>
  <c r="CI243" i="5" s="1"/>
  <c r="AR243" i="5"/>
  <c r="CG243" i="5" s="1"/>
  <c r="DC243" i="5"/>
  <c r="DC234" i="5"/>
  <c r="AR234" i="5"/>
  <c r="DN191" i="5"/>
  <c r="DN53" i="5"/>
  <c r="EG216" i="5"/>
  <c r="EJ216" i="5" s="1"/>
  <c r="EK216" i="5" s="1"/>
  <c r="DN74" i="5"/>
  <c r="DN61" i="5"/>
  <c r="DN62" i="5"/>
  <c r="DN87" i="5"/>
  <c r="DN82" i="5"/>
  <c r="AZ202" i="5"/>
  <c r="CI202" i="5" s="1"/>
  <c r="DC202" i="5"/>
  <c r="AR202" i="5"/>
  <c r="CG202" i="5" s="1"/>
  <c r="DD130" i="5"/>
  <c r="ES130" i="5" s="1"/>
  <c r="AR130" i="5"/>
  <c r="CG130" i="5" s="1"/>
  <c r="AZ170" i="5"/>
  <c r="CI170" i="5" s="1"/>
  <c r="AR170" i="5"/>
  <c r="CG170" i="5" s="1"/>
  <c r="DC170" i="5"/>
  <c r="AZ197" i="5"/>
  <c r="CI197" i="5" s="1"/>
  <c r="AR197" i="5"/>
  <c r="CG197" i="5" s="1"/>
  <c r="DC197" i="5"/>
  <c r="AR135" i="5"/>
  <c r="CG135" i="5" s="1"/>
  <c r="DD135" i="5"/>
  <c r="ES135" i="5" s="1"/>
  <c r="AZ200" i="5"/>
  <c r="CI200" i="5" s="1"/>
  <c r="DC200" i="5"/>
  <c r="AR200" i="5"/>
  <c r="CG200" i="5" s="1"/>
  <c r="AR128" i="5"/>
  <c r="CG128" i="5" s="1"/>
  <c r="DD128" i="5"/>
  <c r="ES128" i="5" s="1"/>
  <c r="AV128" i="5"/>
  <c r="AZ199" i="5"/>
  <c r="CI199" i="5" s="1"/>
  <c r="AR199" i="5"/>
  <c r="CG199" i="5" s="1"/>
  <c r="DC199" i="5"/>
  <c r="AR129" i="5"/>
  <c r="CG129" i="5" s="1"/>
  <c r="DD129" i="5"/>
  <c r="ES129" i="5" s="1"/>
  <c r="AT228" i="5"/>
  <c r="BB228" i="5"/>
  <c r="BB235" i="5"/>
  <c r="AT235" i="5"/>
  <c r="AS134" i="5"/>
  <c r="AT134" i="5" s="1"/>
  <c r="AS141" i="5"/>
  <c r="AT141" i="5" s="1"/>
  <c r="BB181" i="5"/>
  <c r="AT181" i="5"/>
  <c r="BB185" i="5"/>
  <c r="AT185" i="5"/>
  <c r="AS116" i="5"/>
  <c r="AS117" i="5"/>
  <c r="AT117" i="5" s="1"/>
  <c r="AN196" i="5"/>
  <c r="DO196" i="5" s="1"/>
  <c r="EG196" i="5" s="1"/>
  <c r="EJ196" i="5" s="1"/>
  <c r="EK196" i="5" s="1"/>
  <c r="AS115" i="5"/>
  <c r="AT115" i="5" s="1"/>
  <c r="DJ476" i="5"/>
  <c r="DI476" i="5"/>
  <c r="DG302" i="5"/>
  <c r="DG438" i="5"/>
  <c r="AW357" i="5"/>
  <c r="CH357" i="5" s="1"/>
  <c r="AW406" i="5"/>
  <c r="CH406" i="5" s="1"/>
  <c r="EN81" i="5"/>
  <c r="EO81" i="5" s="1"/>
  <c r="EP81" i="5" s="1"/>
  <c r="ET81" i="5"/>
  <c r="AS231" i="5"/>
  <c r="AT231" i="5" s="1"/>
  <c r="FC245" i="5"/>
  <c r="CR245" i="5"/>
  <c r="AV239" i="5"/>
  <c r="EN192" i="5"/>
  <c r="EO192" i="5" s="1"/>
  <c r="EP192" i="5" s="1"/>
  <c r="AV198" i="5"/>
  <c r="FD140" i="5"/>
  <c r="CW140" i="5"/>
  <c r="BT163" i="5"/>
  <c r="BV163" i="5" s="1"/>
  <c r="CC163" i="5" s="1"/>
  <c r="CE163" i="5" s="1"/>
  <c r="EN162" i="5"/>
  <c r="EO162" i="5" s="1"/>
  <c r="EP162" i="5" s="1"/>
  <c r="AW340" i="5"/>
  <c r="CH340" i="5" s="1"/>
  <c r="DX405" i="5"/>
  <c r="CL405" i="5" s="1"/>
  <c r="FD263" i="5"/>
  <c r="CW263" i="5"/>
  <c r="FD420" i="5"/>
  <c r="CQ420" i="5"/>
  <c r="AW435" i="5"/>
  <c r="CH435" i="5" s="1"/>
  <c r="AV129" i="5"/>
  <c r="DX257" i="5"/>
  <c r="CL257" i="5" s="1"/>
  <c r="AW286" i="5"/>
  <c r="CH286" i="5" s="1"/>
  <c r="CP272" i="5"/>
  <c r="FB272" i="5"/>
  <c r="EQ497" i="5"/>
  <c r="ER497" i="5" s="1"/>
  <c r="DG283" i="5"/>
  <c r="CP351" i="5"/>
  <c r="FB351" i="5"/>
  <c r="DG373" i="5"/>
  <c r="DX263" i="5"/>
  <c r="CL263" i="5" s="1"/>
  <c r="AW314" i="5"/>
  <c r="CH314" i="5" s="1"/>
  <c r="BD378" i="5"/>
  <c r="AV247" i="5"/>
  <c r="AV199" i="5"/>
  <c r="BT250" i="5"/>
  <c r="BV250" i="5" s="1"/>
  <c r="CC250" i="5" s="1"/>
  <c r="CE250" i="5" s="1"/>
  <c r="CJ250" i="5" s="1"/>
  <c r="EN74" i="5"/>
  <c r="EO74" i="5" s="1"/>
  <c r="EP74" i="5" s="1"/>
  <c r="EN117" i="5"/>
  <c r="EO117" i="5" s="1"/>
  <c r="EP117" i="5" s="1"/>
  <c r="DX345" i="5"/>
  <c r="CL345" i="5" s="1"/>
  <c r="FD259" i="5"/>
  <c r="CQ259" i="5"/>
  <c r="CQ344" i="5"/>
  <c r="FD344" i="5"/>
  <c r="FD368" i="5"/>
  <c r="CQ368" i="5"/>
  <c r="DX339" i="5"/>
  <c r="CL339" i="5" s="1"/>
  <c r="FD337" i="5"/>
  <c r="CQ337" i="5"/>
  <c r="AW398" i="5"/>
  <c r="CH398" i="5" s="1"/>
  <c r="AW373" i="5"/>
  <c r="CH373" i="5" s="1"/>
  <c r="AW426" i="5"/>
  <c r="CH426" i="5" s="1"/>
  <c r="AW316" i="5"/>
  <c r="CH316" i="5" s="1"/>
  <c r="CO70" i="5"/>
  <c r="FA70" i="5"/>
  <c r="EN87" i="5"/>
  <c r="EO87" i="5" s="1"/>
  <c r="EP87" i="5" s="1"/>
  <c r="ET87" i="5"/>
  <c r="AV246" i="5"/>
  <c r="AV172" i="5"/>
  <c r="AV200" i="5"/>
  <c r="CR138" i="5"/>
  <c r="FC138" i="5"/>
  <c r="BT251" i="5"/>
  <c r="BV251" i="5" s="1"/>
  <c r="CC251" i="5" s="1"/>
  <c r="CE251" i="5" s="1"/>
  <c r="CJ251" i="5" s="1"/>
  <c r="BT165" i="5"/>
  <c r="BV165" i="5" s="1"/>
  <c r="CC165" i="5" s="1"/>
  <c r="CE165" i="5" s="1"/>
  <c r="AW100" i="5"/>
  <c r="CH100" i="5" s="1"/>
  <c r="AW329" i="5"/>
  <c r="CH329" i="5" s="1"/>
  <c r="CQ303" i="5"/>
  <c r="FD303" i="5"/>
  <c r="DG330" i="5"/>
  <c r="FD256" i="5"/>
  <c r="CW256" i="5"/>
  <c r="CW286" i="5"/>
  <c r="FD286" i="5"/>
  <c r="CP333" i="5"/>
  <c r="FB333" i="5"/>
  <c r="DG262" i="5"/>
  <c r="DG279" i="5"/>
  <c r="AN173" i="5"/>
  <c r="DO173" i="5" s="1"/>
  <c r="EG173" i="5" s="1"/>
  <c r="EJ173" i="5" s="1"/>
  <c r="EK173" i="5" s="1"/>
  <c r="BD429" i="5"/>
  <c r="BD336" i="5"/>
  <c r="BD357" i="5"/>
  <c r="ES71" i="5"/>
  <c r="ET71" i="5" s="1"/>
  <c r="ET70" i="5"/>
  <c r="EN70" i="5"/>
  <c r="EO70" i="5" s="1"/>
  <c r="EP70" i="5" s="1"/>
  <c r="BJ143" i="5"/>
  <c r="EC143" i="5" s="1"/>
  <c r="EB143" i="5" s="1"/>
  <c r="FD135" i="5"/>
  <c r="CQ135" i="5"/>
  <c r="CR137" i="5"/>
  <c r="FC137" i="5"/>
  <c r="AO164" i="5"/>
  <c r="EN157" i="5"/>
  <c r="EO157" i="5" s="1"/>
  <c r="EP157" i="5" s="1"/>
  <c r="EN113" i="5"/>
  <c r="EO113" i="5" s="1"/>
  <c r="EP113" i="5" s="1"/>
  <c r="CQ113" i="5"/>
  <c r="FD113" i="5"/>
  <c r="BG116" i="5"/>
  <c r="BI116" i="5" s="1"/>
  <c r="BJ116" i="5" s="1"/>
  <c r="EC116" i="5" s="1"/>
  <c r="EB116" i="5" s="1"/>
  <c r="FA113" i="5"/>
  <c r="CO113" i="5"/>
  <c r="AV130" i="5"/>
  <c r="BD287" i="5"/>
  <c r="AV205" i="5"/>
  <c r="DY94" i="5"/>
  <c r="DI477" i="5"/>
  <c r="DJ477" i="5"/>
  <c r="FD426" i="5"/>
  <c r="CQ426" i="5"/>
  <c r="FD297" i="5"/>
  <c r="CW297" i="5"/>
  <c r="FB273" i="5"/>
  <c r="CV273" i="5"/>
  <c r="DH470" i="5"/>
  <c r="EL470" i="5"/>
  <c r="EM470" i="5"/>
  <c r="CV410" i="5"/>
  <c r="FB410" i="5"/>
  <c r="BD437" i="5"/>
  <c r="BD435" i="5"/>
  <c r="ES72" i="5"/>
  <c r="ET72" i="5" s="1"/>
  <c r="CE229" i="5"/>
  <c r="CJ229" i="5" s="1"/>
  <c r="CE245" i="5"/>
  <c r="CJ245" i="5" s="1"/>
  <c r="AV210" i="5"/>
  <c r="BJ136" i="5"/>
  <c r="EC136" i="5" s="1"/>
  <c r="EB136" i="5" s="1"/>
  <c r="BF117" i="5"/>
  <c r="BH117" i="5" s="1"/>
  <c r="AV244" i="5"/>
  <c r="FD376" i="5"/>
  <c r="CQ376" i="5"/>
  <c r="FD301" i="5"/>
  <c r="CW301" i="5"/>
  <c r="AW356" i="5"/>
  <c r="CH356" i="5" s="1"/>
  <c r="DG444" i="5"/>
  <c r="FD294" i="5"/>
  <c r="CQ294" i="5"/>
  <c r="DX298" i="5"/>
  <c r="CL298" i="5" s="1"/>
  <c r="DG335" i="5"/>
  <c r="CQ279" i="5"/>
  <c r="FD279" i="5"/>
  <c r="AW411" i="5"/>
  <c r="CH411" i="5" s="1"/>
  <c r="AT434" i="5"/>
  <c r="BD369" i="5"/>
  <c r="ES57" i="5"/>
  <c r="ET57" i="5" s="1"/>
  <c r="CO89" i="5"/>
  <c r="FA89" i="5"/>
  <c r="BC191" i="5"/>
  <c r="EB230" i="5"/>
  <c r="EA230" i="5"/>
  <c r="EB246" i="5"/>
  <c r="EA246" i="5"/>
  <c r="AV175" i="5"/>
  <c r="BJ137" i="5"/>
  <c r="EC137" i="5" s="1"/>
  <c r="EB137" i="5" s="1"/>
  <c r="BT160" i="5"/>
  <c r="BV160" i="5" s="1"/>
  <c r="CC160" i="5" s="1"/>
  <c r="CE160" i="5" s="1"/>
  <c r="AS222" i="5"/>
  <c r="AT222" i="5" s="1"/>
  <c r="AV240" i="5"/>
  <c r="AV213" i="5"/>
  <c r="EN109" i="5"/>
  <c r="EO109" i="5"/>
  <c r="EP109" i="5" s="1"/>
  <c r="ET109" i="5"/>
  <c r="DH491" i="5"/>
  <c r="EL491" i="5"/>
  <c r="EM491" i="5"/>
  <c r="CQ311" i="5"/>
  <c r="FD311" i="5"/>
  <c r="FB258" i="5"/>
  <c r="CP258" i="5"/>
  <c r="AV136" i="5"/>
  <c r="DX349" i="5"/>
  <c r="CL349" i="5" s="1"/>
  <c r="DG300" i="5"/>
  <c r="DG269" i="5"/>
  <c r="DG296" i="5"/>
  <c r="FD446" i="5"/>
  <c r="CQ446" i="5"/>
  <c r="AW445" i="5"/>
  <c r="CH445" i="5" s="1"/>
  <c r="BB414" i="5"/>
  <c r="BD414" i="5" s="1"/>
  <c r="BD390" i="5"/>
  <c r="BD302" i="5"/>
  <c r="BD382" i="5"/>
  <c r="BD289" i="5"/>
  <c r="ES74" i="5"/>
  <c r="ET74" i="5" s="1"/>
  <c r="ET67" i="5"/>
  <c r="EN67" i="5"/>
  <c r="EO67" i="5" s="1"/>
  <c r="EP67" i="5" s="1"/>
  <c r="AV204" i="5"/>
  <c r="BG129" i="5"/>
  <c r="BI129" i="5" s="1"/>
  <c r="BJ129" i="5" s="1"/>
  <c r="EC129" i="5" s="1"/>
  <c r="EB129" i="5" s="1"/>
  <c r="FD125" i="5"/>
  <c r="CQ125" i="5"/>
  <c r="EN134" i="5"/>
  <c r="EO134" i="5" s="1"/>
  <c r="EP134" i="5" s="1"/>
  <c r="DY105" i="5"/>
  <c r="DG334" i="5"/>
  <c r="BJ99" i="5"/>
  <c r="EC99" i="5" s="1"/>
  <c r="FD296" i="5"/>
  <c r="CW296" i="5"/>
  <c r="EV21" i="5"/>
  <c r="DX21" i="5" s="1"/>
  <c r="ER21" i="5"/>
  <c r="FB288" i="5"/>
  <c r="CV288" i="5"/>
  <c r="ER478" i="5"/>
  <c r="FB367" i="5"/>
  <c r="CV367" i="5"/>
  <c r="DX400" i="5"/>
  <c r="CL400" i="5" s="1"/>
  <c r="DX314" i="5"/>
  <c r="CL314" i="5" s="1"/>
  <c r="DX434" i="5"/>
  <c r="CL434" i="5" s="1"/>
  <c r="DX316" i="5"/>
  <c r="CL316" i="5" s="1"/>
  <c r="DX320" i="5"/>
  <c r="CL320" i="5" s="1"/>
  <c r="BE93" i="5"/>
  <c r="BU93" i="5"/>
  <c r="FR93" i="5"/>
  <c r="FU93" i="5" s="1"/>
  <c r="CM93" i="5" s="1"/>
  <c r="BL93" i="5"/>
  <c r="DT93" i="5" s="1"/>
  <c r="DV93" i="5" s="1"/>
  <c r="BT93" i="5"/>
  <c r="BL207" i="5"/>
  <c r="DT207" i="5" s="1"/>
  <c r="DV207" i="5" s="1"/>
  <c r="EB207" i="5" s="1"/>
  <c r="BT207" i="5"/>
  <c r="BU207" i="5"/>
  <c r="FS207" i="5"/>
  <c r="FU207" i="5" s="1"/>
  <c r="CM207" i="5" s="1"/>
  <c r="AS212" i="5"/>
  <c r="BL204" i="5"/>
  <c r="DT204" i="5" s="1"/>
  <c r="DV204" i="5" s="1"/>
  <c r="FS204" i="5"/>
  <c r="FU204" i="5" s="1"/>
  <c r="CM204" i="5" s="1"/>
  <c r="BU204" i="5"/>
  <c r="AY88" i="5"/>
  <c r="AZ88" i="5" s="1"/>
  <c r="CI88" i="5" s="1"/>
  <c r="BB230" i="5"/>
  <c r="AT230" i="5"/>
  <c r="BE60" i="5"/>
  <c r="BU60" i="5"/>
  <c r="BL60" i="5"/>
  <c r="DT60" i="5" s="1"/>
  <c r="DV60" i="5" s="1"/>
  <c r="FR60" i="5"/>
  <c r="FU60" i="5" s="1"/>
  <c r="CM60" i="5" s="1"/>
  <c r="BT60" i="5"/>
  <c r="BL62" i="5"/>
  <c r="DT62" i="5" s="1"/>
  <c r="DV62" i="5" s="1"/>
  <c r="BT62" i="5"/>
  <c r="BE62" i="5"/>
  <c r="BU62" i="5"/>
  <c r="FR62" i="5"/>
  <c r="FU62" i="5" s="1"/>
  <c r="CM62" i="5" s="1"/>
  <c r="AD204" i="5"/>
  <c r="BU199" i="5"/>
  <c r="FS199" i="5"/>
  <c r="FU199" i="5" s="1"/>
  <c r="CM199" i="5" s="1"/>
  <c r="BL199" i="5"/>
  <c r="DT199" i="5" s="1"/>
  <c r="DV199" i="5" s="1"/>
  <c r="AF193" i="5"/>
  <c r="DY193" i="5"/>
  <c r="FS210" i="5"/>
  <c r="FU210" i="5" s="1"/>
  <c r="CM210" i="5" s="1"/>
  <c r="BL210" i="5"/>
  <c r="DT210" i="5" s="1"/>
  <c r="DV210" i="5" s="1"/>
  <c r="EB210" i="5" s="1"/>
  <c r="BT210" i="5"/>
  <c r="BU210" i="5"/>
  <c r="AZ193" i="5"/>
  <c r="CI193" i="5" s="1"/>
  <c r="AR193" i="5"/>
  <c r="CG193" i="5" s="1"/>
  <c r="DC193" i="5"/>
  <c r="AZ232" i="5"/>
  <c r="DC232" i="5"/>
  <c r="AR232" i="5"/>
  <c r="DC182" i="5"/>
  <c r="AR182" i="5"/>
  <c r="CG182" i="5" s="1"/>
  <c r="AR233" i="5"/>
  <c r="DC233" i="5"/>
  <c r="DC245" i="5"/>
  <c r="AR245" i="5"/>
  <c r="CG245" i="5" s="1"/>
  <c r="DN113" i="5"/>
  <c r="DN57" i="5"/>
  <c r="DN92" i="5"/>
  <c r="DN67" i="5"/>
  <c r="DN64" i="5"/>
  <c r="DN60" i="5"/>
  <c r="S231" i="5"/>
  <c r="AZ208" i="5"/>
  <c r="CI208" i="5" s="1"/>
  <c r="DC208" i="5"/>
  <c r="AR208" i="5"/>
  <c r="CG208" i="5" s="1"/>
  <c r="AR126" i="5"/>
  <c r="CG126" i="5" s="1"/>
  <c r="DD126" i="5"/>
  <c r="ES126" i="5" s="1"/>
  <c r="AZ201" i="5"/>
  <c r="CI201" i="5" s="1"/>
  <c r="AR201" i="5"/>
  <c r="CG201" i="5" s="1"/>
  <c r="DC201" i="5"/>
  <c r="AR131" i="5"/>
  <c r="CG131" i="5" s="1"/>
  <c r="DD131" i="5"/>
  <c r="ES131" i="5" s="1"/>
  <c r="AZ220" i="5"/>
  <c r="DC220" i="5"/>
  <c r="AR220" i="5"/>
  <c r="AZ204" i="5"/>
  <c r="CI204" i="5" s="1"/>
  <c r="DC204" i="5"/>
  <c r="AR204" i="5"/>
  <c r="CG204" i="5" s="1"/>
  <c r="AR124" i="5"/>
  <c r="CG124" i="5" s="1"/>
  <c r="CG4" i="5" s="1"/>
  <c r="DD124" i="5"/>
  <c r="ES124" i="5" s="1"/>
  <c r="AZ188" i="5"/>
  <c r="CI188" i="5" s="1"/>
  <c r="DC188" i="5"/>
  <c r="AR188" i="5"/>
  <c r="CG188" i="5" s="1"/>
  <c r="AZ203" i="5"/>
  <c r="CI203" i="5" s="1"/>
  <c r="AR203" i="5"/>
  <c r="CG203" i="5" s="1"/>
  <c r="DC203" i="5"/>
  <c r="AR125" i="5"/>
  <c r="CG125" i="5" s="1"/>
  <c r="DD125" i="5"/>
  <c r="ES125" i="5" s="1"/>
  <c r="AS136" i="5"/>
  <c r="AT136" i="5" s="1"/>
  <c r="AT232" i="5"/>
  <c r="BB232" i="5"/>
  <c r="AS130" i="5"/>
  <c r="AT130" i="5" s="1"/>
  <c r="AS147" i="5"/>
  <c r="AT147" i="5" s="1"/>
  <c r="AT62" i="5"/>
  <c r="AY62" i="5"/>
  <c r="AZ62" i="5" s="1"/>
  <c r="CI62" i="5" s="1"/>
  <c r="AT89" i="5"/>
  <c r="AY89" i="5"/>
  <c r="AZ89" i="5" s="1"/>
  <c r="CI89" i="5" s="1"/>
  <c r="AT116" i="5"/>
  <c r="AS133" i="5"/>
  <c r="AT133" i="5" s="1"/>
  <c r="AY66" i="5"/>
  <c r="AZ66" i="5" s="1"/>
  <c r="CI66" i="5" s="1"/>
  <c r="AT66" i="5"/>
  <c r="AT128" i="5"/>
  <c r="AT145" i="5"/>
  <c r="AY76" i="5"/>
  <c r="AZ76" i="5" s="1"/>
  <c r="CI76" i="5" s="1"/>
  <c r="AT76" i="5"/>
  <c r="AT184" i="5"/>
  <c r="BB184" i="5"/>
  <c r="BB187" i="5"/>
  <c r="BD187" i="5" s="1"/>
  <c r="AT187" i="5"/>
  <c r="AT186" i="5"/>
  <c r="BB186" i="5"/>
  <c r="BB189" i="5"/>
  <c r="AT189" i="5"/>
  <c r="FR106" i="5"/>
  <c r="FU106" i="5" s="1"/>
  <c r="AY106" i="5"/>
  <c r="AZ106" i="5" s="1"/>
  <c r="AT156" i="5"/>
  <c r="BB156" i="5"/>
  <c r="AS120" i="5"/>
  <c r="AT120" i="5" s="1"/>
  <c r="AT157" i="5"/>
  <c r="BB157" i="5"/>
  <c r="AT93" i="5"/>
  <c r="AY93" i="5"/>
  <c r="AZ93" i="5" s="1"/>
  <c r="CI93" i="5" s="1"/>
  <c r="FB277" i="5"/>
  <c r="CV277" i="5"/>
  <c r="DH492" i="5"/>
  <c r="EM492" i="5"/>
  <c r="EL492" i="5"/>
  <c r="DX310" i="5"/>
  <c r="CL310" i="5" s="1"/>
  <c r="FD343" i="5"/>
  <c r="CQ343" i="5"/>
  <c r="AV139" i="5"/>
  <c r="FB364" i="5"/>
  <c r="CP364" i="5"/>
  <c r="DG337" i="5"/>
  <c r="AW317" i="5"/>
  <c r="CH317" i="5" s="1"/>
  <c r="BD383" i="5"/>
  <c r="EN106" i="5"/>
  <c r="EO106" i="5" s="1"/>
  <c r="EP106" i="5" s="1"/>
  <c r="CO84" i="5"/>
  <c r="FA84" i="5"/>
  <c r="AS239" i="5"/>
  <c r="AT239" i="5" s="1"/>
  <c r="BV233" i="5"/>
  <c r="CC233" i="5" s="1"/>
  <c r="CE233" i="5" s="1"/>
  <c r="AV186" i="5"/>
  <c r="BT249" i="5"/>
  <c r="BV249" i="5" s="1"/>
  <c r="CC249" i="5" s="1"/>
  <c r="CE249" i="5" s="1"/>
  <c r="CJ249" i="5" s="1"/>
  <c r="EB163" i="5"/>
  <c r="BT106" i="5"/>
  <c r="BV106" i="5" s="1"/>
  <c r="CC106" i="5" s="1"/>
  <c r="CE106" i="5" s="1"/>
  <c r="BD444" i="5"/>
  <c r="BX119" i="5"/>
  <c r="BY119" i="5" s="1"/>
  <c r="CC119" i="5" s="1"/>
  <c r="CE119" i="5" s="1"/>
  <c r="CJ119" i="5" s="1"/>
  <c r="EN141" i="5"/>
  <c r="EO141" i="5" s="1"/>
  <c r="EP141" i="5" s="1"/>
  <c r="ET141" i="5"/>
  <c r="FD372" i="5"/>
  <c r="CQ372" i="5"/>
  <c r="FD334" i="5"/>
  <c r="CW334" i="5"/>
  <c r="AV135" i="5"/>
  <c r="DX344" i="5"/>
  <c r="CL344" i="5" s="1"/>
  <c r="DI497" i="5"/>
  <c r="DJ497" i="5"/>
  <c r="AT302" i="5"/>
  <c r="AW97" i="5"/>
  <c r="CH97" i="5" s="1"/>
  <c r="AW442" i="5"/>
  <c r="CH442" i="5" s="1"/>
  <c r="BD440" i="5"/>
  <c r="CO69" i="5"/>
  <c r="FA69" i="5"/>
  <c r="BC239" i="5"/>
  <c r="BV234" i="5"/>
  <c r="CC234" i="5" s="1"/>
  <c r="CO115" i="5"/>
  <c r="FA115" i="5"/>
  <c r="AV193" i="5"/>
  <c r="FD405" i="5"/>
  <c r="CW405" i="5"/>
  <c r="DG261" i="5"/>
  <c r="DG361" i="5"/>
  <c r="DG286" i="5"/>
  <c r="CW440" i="5"/>
  <c r="FD440" i="5"/>
  <c r="CQ265" i="5"/>
  <c r="FD265" i="5"/>
  <c r="DG354" i="5"/>
  <c r="FD409" i="5"/>
  <c r="CQ409" i="5"/>
  <c r="FD352" i="5"/>
  <c r="CQ352" i="5"/>
  <c r="AW102" i="5"/>
  <c r="CH102" i="5" s="1"/>
  <c r="BD427" i="5"/>
  <c r="ET63" i="5"/>
  <c r="EN63" i="5"/>
  <c r="EO63" i="5" s="1"/>
  <c r="EP63" i="5" s="1"/>
  <c r="AS217" i="5"/>
  <c r="AT217" i="5" s="1"/>
  <c r="EB218" i="5"/>
  <c r="EA218" i="5"/>
  <c r="AV237" i="5"/>
  <c r="BV193" i="5"/>
  <c r="CC193" i="5" s="1"/>
  <c r="CE193" i="5" s="1"/>
  <c r="CJ193" i="5" s="1"/>
  <c r="BJ125" i="5"/>
  <c r="EC125" i="5" s="1"/>
  <c r="EB125" i="5" s="1"/>
  <c r="EN146" i="5"/>
  <c r="EO146" i="5" s="1"/>
  <c r="EP146" i="5" s="1"/>
  <c r="EB165" i="5"/>
  <c r="EN112" i="5"/>
  <c r="EO112" i="5" s="1"/>
  <c r="EP112" i="5" s="1"/>
  <c r="AT341" i="5"/>
  <c r="FB330" i="5"/>
  <c r="CP330" i="5"/>
  <c r="BB424" i="5"/>
  <c r="BD424" i="5" s="1"/>
  <c r="DG266" i="5"/>
  <c r="FD267" i="5"/>
  <c r="CW267" i="5"/>
  <c r="CW431" i="5"/>
  <c r="FD431" i="5"/>
  <c r="AW290" i="5"/>
  <c r="CH290" i="5" s="1"/>
  <c r="DG450" i="5"/>
  <c r="AW295" i="5"/>
  <c r="CH295" i="5" s="1"/>
  <c r="AT353" i="5"/>
  <c r="CO71" i="5"/>
  <c r="FA71" i="5"/>
  <c r="EB228" i="5"/>
  <c r="EA228" i="5"/>
  <c r="EB244" i="5"/>
  <c r="EA244" i="5"/>
  <c r="AV220" i="5"/>
  <c r="AY143" i="5"/>
  <c r="AZ143" i="5" s="1"/>
  <c r="CI143" i="5" s="1"/>
  <c r="EN165" i="5"/>
  <c r="EO165" i="5" s="1"/>
  <c r="EP165" i="5" s="1"/>
  <c r="ES105" i="5"/>
  <c r="AV232" i="5"/>
  <c r="DY60" i="5"/>
  <c r="DG332" i="5"/>
  <c r="DH490" i="5"/>
  <c r="EL490" i="5"/>
  <c r="EM490" i="5"/>
  <c r="DG369" i="5"/>
  <c r="FD284" i="5"/>
  <c r="CW284" i="5"/>
  <c r="FD150" i="5"/>
  <c r="CW150" i="5"/>
  <c r="DG290" i="5"/>
  <c r="FD450" i="5"/>
  <c r="CQ450" i="5"/>
  <c r="FD360" i="5"/>
  <c r="CQ360" i="5"/>
  <c r="AT413" i="5"/>
  <c r="AT390" i="5"/>
  <c r="BD449" i="5"/>
  <c r="CO72" i="5"/>
  <c r="FA72" i="5"/>
  <c r="EN85" i="5"/>
  <c r="EO85" i="5" s="1"/>
  <c r="EP85" i="5" s="1"/>
  <c r="ET85" i="5"/>
  <c r="BV220" i="5"/>
  <c r="CC220" i="5" s="1"/>
  <c r="CE220" i="5" s="1"/>
  <c r="AV243" i="5"/>
  <c r="CW144" i="5"/>
  <c r="FD144" i="5"/>
  <c r="ET144" i="5"/>
  <c r="EN144" i="5"/>
  <c r="EO144" i="5" s="1"/>
  <c r="EP144" i="5" s="1"/>
  <c r="ET128" i="5"/>
  <c r="EN128" i="5"/>
  <c r="EO128" i="5" s="1"/>
  <c r="EP128" i="5" s="1"/>
  <c r="BT159" i="5"/>
  <c r="BV159" i="5" s="1"/>
  <c r="CC159" i="5" s="1"/>
  <c r="CE159" i="5" s="1"/>
  <c r="ES117" i="5"/>
  <c r="ET117" i="5" s="1"/>
  <c r="AW453" i="5"/>
  <c r="CH453" i="5" s="1"/>
  <c r="FD318" i="5"/>
  <c r="CW318" i="5"/>
  <c r="DX414" i="5"/>
  <c r="CL414" i="5" s="1"/>
  <c r="CW290" i="5"/>
  <c r="FD290" i="5"/>
  <c r="CW309" i="5"/>
  <c r="FD309" i="5"/>
  <c r="DX371" i="5"/>
  <c r="CL371" i="5" s="1"/>
  <c r="AW293" i="5"/>
  <c r="CH293" i="5" s="1"/>
  <c r="AT274" i="5"/>
  <c r="AT382" i="5"/>
  <c r="AT425" i="5"/>
  <c r="AL23" i="5"/>
  <c r="AO23" i="5"/>
  <c r="BD349" i="5"/>
  <c r="CO57" i="5"/>
  <c r="FA57" i="5"/>
  <c r="ES89" i="5"/>
  <c r="ET89" i="5" s="1"/>
  <c r="ET76" i="5"/>
  <c r="EN76" i="5"/>
  <c r="EO76" i="5" s="1"/>
  <c r="EP76" i="5" s="1"/>
  <c r="AS246" i="5"/>
  <c r="AT246" i="5" s="1"/>
  <c r="AV222" i="5"/>
  <c r="CE188" i="5"/>
  <c r="CJ188" i="5" s="1"/>
  <c r="EN127" i="5"/>
  <c r="EO127" i="5" s="1"/>
  <c r="EP127" i="5" s="1"/>
  <c r="FU249" i="5"/>
  <c r="CM249" i="5" s="1"/>
  <c r="EB160" i="5"/>
  <c r="EL156" i="5"/>
  <c r="EM156" i="5"/>
  <c r="DG156" i="5"/>
  <c r="DV119" i="5"/>
  <c r="BD295" i="5"/>
  <c r="DJ486" i="5"/>
  <c r="DI486" i="5"/>
  <c r="DG395" i="5"/>
  <c r="CW437" i="5"/>
  <c r="FD437" i="5"/>
  <c r="DX393" i="5"/>
  <c r="CL393" i="5" s="1"/>
  <c r="CQ97" i="5"/>
  <c r="FD97" i="5"/>
  <c r="FD392" i="5"/>
  <c r="CW392" i="5"/>
  <c r="BJ103" i="5"/>
  <c r="EC103" i="5" s="1"/>
  <c r="DG326" i="5"/>
  <c r="BJ100" i="5"/>
  <c r="EC100" i="5" s="1"/>
  <c r="BD395" i="5"/>
  <c r="CO74" i="5"/>
  <c r="FA74" i="5"/>
  <c r="EA222" i="5"/>
  <c r="EB222" i="5"/>
  <c r="EA239" i="5"/>
  <c r="EB239" i="5"/>
  <c r="AV233" i="5"/>
  <c r="EN126" i="5"/>
  <c r="EO126" i="5" s="1"/>
  <c r="EP126" i="5" s="1"/>
  <c r="FA119" i="5"/>
  <c r="CU119" i="5"/>
  <c r="FD288" i="5"/>
  <c r="CW288" i="5"/>
  <c r="DH499" i="5"/>
  <c r="EL499" i="5"/>
  <c r="EM499" i="5"/>
  <c r="DX252" i="5"/>
  <c r="CL252" i="5" s="1"/>
  <c r="DG355" i="5"/>
  <c r="FD312" i="5"/>
  <c r="CQ312" i="5"/>
  <c r="DX340" i="5"/>
  <c r="CL340" i="5" s="1"/>
  <c r="FB420" i="5"/>
  <c r="CP420" i="5"/>
  <c r="DJ478" i="5"/>
  <c r="DI478" i="5"/>
  <c r="FB300" i="5"/>
  <c r="CV300" i="5"/>
  <c r="DX387" i="5"/>
  <c r="CL387" i="5" s="1"/>
  <c r="DX348" i="5"/>
  <c r="CL348" i="5" s="1"/>
  <c r="EQ489" i="5"/>
  <c r="ER489" i="5" s="1"/>
  <c r="CP253" i="5"/>
  <c r="FB253" i="5"/>
  <c r="DX259" i="5"/>
  <c r="CL259" i="5" s="1"/>
  <c r="CV152" i="5"/>
  <c r="FB152" i="5"/>
  <c r="DX276" i="5"/>
  <c r="CL276" i="5" s="1"/>
  <c r="BL89" i="5"/>
  <c r="DT89" i="5" s="1"/>
  <c r="DV89" i="5" s="1"/>
  <c r="FR89" i="5"/>
  <c r="FU89" i="5" s="1"/>
  <c r="CM89" i="5" s="1"/>
  <c r="BT89" i="5"/>
  <c r="BV89" i="5" s="1"/>
  <c r="CC89" i="5" s="1"/>
  <c r="CE89" i="5" s="1"/>
  <c r="CJ89" i="5" s="1"/>
  <c r="BU89" i="5"/>
  <c r="BE89" i="5"/>
  <c r="BU201" i="5"/>
  <c r="FS201" i="5"/>
  <c r="FU201" i="5" s="1"/>
  <c r="CM201" i="5" s="1"/>
  <c r="BL201" i="5"/>
  <c r="DT201" i="5" s="1"/>
  <c r="DV201" i="5" s="1"/>
  <c r="BT201" i="5"/>
  <c r="BV201" i="5" s="1"/>
  <c r="CC201" i="5" s="1"/>
  <c r="CE201" i="5" s="1"/>
  <c r="CJ201" i="5" s="1"/>
  <c r="FS196" i="5"/>
  <c r="FU196" i="5" s="1"/>
  <c r="CM196" i="5" s="1"/>
  <c r="BL196" i="5"/>
  <c r="DT196" i="5" s="1"/>
  <c r="DV196" i="5" s="1"/>
  <c r="BU196" i="5"/>
  <c r="DC173" i="5"/>
  <c r="AR173" i="5"/>
  <c r="CG173" i="5" s="1"/>
  <c r="AZ235" i="5"/>
  <c r="CI235" i="5" s="1"/>
  <c r="AR235" i="5"/>
  <c r="CG235" i="5" s="1"/>
  <c r="DC235" i="5"/>
  <c r="EA248" i="5"/>
  <c r="EB248" i="5"/>
  <c r="DN117" i="5"/>
  <c r="DN63" i="5"/>
  <c r="DN91" i="5"/>
  <c r="DN72" i="5"/>
  <c r="DN86" i="5"/>
  <c r="DN55" i="5"/>
  <c r="AZ181" i="5"/>
  <c r="CI181" i="5" s="1"/>
  <c r="AR181" i="5"/>
  <c r="CG181" i="5" s="1"/>
  <c r="DC181" i="5"/>
  <c r="AZ212" i="5"/>
  <c r="CI212" i="5" s="1"/>
  <c r="DC212" i="5"/>
  <c r="AR212" i="5"/>
  <c r="CG212" i="5" s="1"/>
  <c r="AS248" i="5"/>
  <c r="AT248" i="5" s="1"/>
  <c r="AZ223" i="5"/>
  <c r="DC223" i="5"/>
  <c r="AR223" i="5"/>
  <c r="AZ205" i="5"/>
  <c r="CI205" i="5" s="1"/>
  <c r="AR205" i="5"/>
  <c r="CG205" i="5" s="1"/>
  <c r="DC205" i="5"/>
  <c r="AR127" i="5"/>
  <c r="CG127" i="5" s="1"/>
  <c r="DD127" i="5"/>
  <c r="ES127" i="5" s="1"/>
  <c r="AZ175" i="5"/>
  <c r="CI175" i="5" s="1"/>
  <c r="DC175" i="5"/>
  <c r="AR175" i="5"/>
  <c r="CG175" i="5" s="1"/>
  <c r="AZ210" i="5"/>
  <c r="CI210" i="5" s="1"/>
  <c r="DC210" i="5"/>
  <c r="AR210" i="5"/>
  <c r="CG210" i="5" s="1"/>
  <c r="AZ209" i="5"/>
  <c r="CI209" i="5" s="1"/>
  <c r="AR209" i="5"/>
  <c r="CG209" i="5" s="1"/>
  <c r="DC209" i="5"/>
  <c r="BB241" i="5"/>
  <c r="AT241" i="5"/>
  <c r="AT123" i="5"/>
  <c r="AT236" i="5"/>
  <c r="BB236" i="5"/>
  <c r="BB243" i="5"/>
  <c r="AT243" i="5"/>
  <c r="AT114" i="5"/>
  <c r="BB221" i="5"/>
  <c r="AT221" i="5"/>
  <c r="AT188" i="5"/>
  <c r="BB188" i="5"/>
  <c r="BB191" i="5"/>
  <c r="AT191" i="5"/>
  <c r="AT190" i="5"/>
  <c r="BB190" i="5"/>
  <c r="AT194" i="5"/>
  <c r="BB194" i="5"/>
  <c r="AK216" i="5"/>
  <c r="AS111" i="5"/>
  <c r="AT111" i="5" s="1"/>
  <c r="AW111" i="5" s="1"/>
  <c r="EI53" i="5"/>
  <c r="DG271" i="5"/>
  <c r="FD291" i="5"/>
  <c r="CQ291" i="5"/>
  <c r="DX415" i="5"/>
  <c r="CL415" i="5" s="1"/>
  <c r="AW394" i="5"/>
  <c r="CH394" i="5" s="1"/>
  <c r="AW429" i="5"/>
  <c r="CH429" i="5" s="1"/>
  <c r="BD417" i="5"/>
  <c r="ET73" i="5"/>
  <c r="EN73" i="5"/>
  <c r="EO73" i="5" s="1"/>
  <c r="EP73" i="5" s="1"/>
  <c r="EN57" i="5"/>
  <c r="EO57" i="5" s="1"/>
  <c r="EP57" i="5" s="1"/>
  <c r="AO156" i="5"/>
  <c r="EB233" i="5"/>
  <c r="EA233" i="5"/>
  <c r="AV231" i="5"/>
  <c r="BV180" i="5"/>
  <c r="CC180" i="5" s="1"/>
  <c r="DG182" i="5"/>
  <c r="AV206" i="5"/>
  <c r="BV127" i="5"/>
  <c r="CC127" i="5" s="1"/>
  <c r="CE127" i="5" s="1"/>
  <c r="CJ127" i="5" s="1"/>
  <c r="ET132" i="5"/>
  <c r="EN132" i="5"/>
  <c r="EO132" i="5"/>
  <c r="EP132" i="5" s="1"/>
  <c r="BL106" i="5"/>
  <c r="DT106" i="5" s="1"/>
  <c r="DV106" i="5" s="1"/>
  <c r="BV240" i="5"/>
  <c r="CC240" i="5" s="1"/>
  <c r="CE240" i="5" s="1"/>
  <c r="CJ240" i="5" s="1"/>
  <c r="CU249" i="5"/>
  <c r="FA249" i="5"/>
  <c r="BJ120" i="5"/>
  <c r="EC120" i="5" s="1"/>
  <c r="EB120" i="5" s="1"/>
  <c r="FD276" i="5"/>
  <c r="CQ276" i="5"/>
  <c r="DG272" i="5"/>
  <c r="FB259" i="5"/>
  <c r="CP259" i="5"/>
  <c r="BD274" i="5"/>
  <c r="FD375" i="5"/>
  <c r="CW375" i="5"/>
  <c r="DG265" i="5"/>
  <c r="CW281" i="5"/>
  <c r="FD281" i="5"/>
  <c r="DK35" i="5"/>
  <c r="DX409" i="5"/>
  <c r="CL409" i="5" s="1"/>
  <c r="AW365" i="5"/>
  <c r="CH365" i="5" s="1"/>
  <c r="ES77" i="5"/>
  <c r="ET77" i="5" s="1"/>
  <c r="EN88" i="5"/>
  <c r="EO88" i="5" s="1"/>
  <c r="EP88" i="5" s="1"/>
  <c r="ET88" i="5"/>
  <c r="ET64" i="5"/>
  <c r="EN64" i="5"/>
  <c r="EO64" i="5" s="1"/>
  <c r="EP64" i="5" s="1"/>
  <c r="EA234" i="5"/>
  <c r="EB234" i="5"/>
  <c r="AV238" i="5"/>
  <c r="AV171" i="5"/>
  <c r="FC147" i="5"/>
  <c r="CX147" i="5"/>
  <c r="EN131" i="5"/>
  <c r="EO131" i="5" s="1"/>
  <c r="EP131" i="5" s="1"/>
  <c r="BG106" i="5"/>
  <c r="BI106" i="5" s="1"/>
  <c r="BJ106" i="5" s="1"/>
  <c r="EC106" i="5" s="1"/>
  <c r="EB106" i="5" s="1"/>
  <c r="EN125" i="5"/>
  <c r="EO125" i="5" s="1"/>
  <c r="EP125" i="5" s="1"/>
  <c r="FD346" i="5"/>
  <c r="CW346" i="5"/>
  <c r="DG299" i="5"/>
  <c r="AW303" i="5"/>
  <c r="CH303" i="5" s="1"/>
  <c r="DX274" i="5"/>
  <c r="CL274" i="5" s="1"/>
  <c r="DG322" i="5"/>
  <c r="AT417" i="5"/>
  <c r="CQ340" i="5"/>
  <c r="FD340" i="5"/>
  <c r="AV126" i="5"/>
  <c r="FD438" i="5"/>
  <c r="CQ438" i="5"/>
  <c r="DX282" i="5"/>
  <c r="CL282" i="5" s="1"/>
  <c r="FD350" i="5"/>
  <c r="CW350" i="5"/>
  <c r="DX394" i="5"/>
  <c r="CL394" i="5" s="1"/>
  <c r="AN219" i="5"/>
  <c r="DO219" i="5" s="1"/>
  <c r="EG219" i="5" s="1"/>
  <c r="EJ219" i="5" s="1"/>
  <c r="EK219" i="5" s="1"/>
  <c r="AW389" i="5"/>
  <c r="CH389" i="5" s="1"/>
  <c r="BD365" i="5"/>
  <c r="CO78" i="5"/>
  <c r="FA78" i="5"/>
  <c r="EB235" i="5"/>
  <c r="EA235" i="5"/>
  <c r="BF133" i="5"/>
  <c r="BH133" i="5" s="1"/>
  <c r="BV142" i="5"/>
  <c r="CC142" i="5" s="1"/>
  <c r="CE142" i="5" s="1"/>
  <c r="CJ142" i="5" s="1"/>
  <c r="CX146" i="5"/>
  <c r="FC146" i="5"/>
  <c r="BT157" i="5"/>
  <c r="BV157" i="5" s="1"/>
  <c r="CC157" i="5" s="1"/>
  <c r="CE157" i="5" s="1"/>
  <c r="ES42" i="5"/>
  <c r="ET42" i="5" s="1"/>
  <c r="DG325" i="5"/>
  <c r="DK42" i="5"/>
  <c r="FD278" i="5"/>
  <c r="CW278" i="5"/>
  <c r="FD444" i="5"/>
  <c r="CW444" i="5"/>
  <c r="FD274" i="5"/>
  <c r="CW274" i="5"/>
  <c r="DX258" i="5"/>
  <c r="CL258" i="5" s="1"/>
  <c r="DG323" i="5"/>
  <c r="AW369" i="5"/>
  <c r="CH369" i="5" s="1"/>
  <c r="BB404" i="5"/>
  <c r="BD404" i="5" s="1"/>
  <c r="BD283" i="5"/>
  <c r="ES79" i="5"/>
  <c r="AV245" i="5"/>
  <c r="BV130" i="5"/>
  <c r="CC130" i="5" s="1"/>
  <c r="CE130" i="5" s="1"/>
  <c r="CJ130" i="5" s="1"/>
  <c r="DY62" i="5"/>
  <c r="BD386" i="5"/>
  <c r="AW260" i="5"/>
  <c r="CH260" i="5" s="1"/>
  <c r="DG391" i="5"/>
  <c r="FB263" i="5"/>
  <c r="CV263" i="5"/>
  <c r="DG411" i="5"/>
  <c r="CW295" i="5"/>
  <c r="FD295" i="5"/>
  <c r="ES50" i="5"/>
  <c r="ET50" i="5" s="1"/>
  <c r="DG101" i="5"/>
  <c r="FD417" i="5"/>
  <c r="CW417" i="5"/>
  <c r="FB332" i="5"/>
  <c r="CP332" i="5"/>
  <c r="AV141" i="5"/>
  <c r="FD323" i="5"/>
  <c r="CW323" i="5"/>
  <c r="AW360" i="5"/>
  <c r="CH360" i="5" s="1"/>
  <c r="EN28" i="5"/>
  <c r="EO28" i="5" s="1"/>
  <c r="EP28" i="5" s="1"/>
  <c r="ES80" i="5"/>
  <c r="ET80" i="5" s="1"/>
  <c r="EA220" i="5"/>
  <c r="EB220" i="5"/>
  <c r="EA237" i="5"/>
  <c r="EB237" i="5"/>
  <c r="BV176" i="5"/>
  <c r="CC176" i="5" s="1"/>
  <c r="CE176" i="5" s="1"/>
  <c r="CJ176" i="5" s="1"/>
  <c r="AV182" i="5"/>
  <c r="EB159" i="5"/>
  <c r="BT167" i="5"/>
  <c r="BV167" i="5" s="1"/>
  <c r="CC167" i="5" s="1"/>
  <c r="CE167" i="5" s="1"/>
  <c r="EN166" i="5"/>
  <c r="EO166" i="5" s="1"/>
  <c r="EP166" i="5" s="1"/>
  <c r="FA117" i="5"/>
  <c r="CO117" i="5"/>
  <c r="AW385" i="5"/>
  <c r="CH385" i="5" s="1"/>
  <c r="DX273" i="5"/>
  <c r="CL273" i="5" s="1"/>
  <c r="DG452" i="5"/>
  <c r="BB401" i="5"/>
  <c r="DI489" i="5"/>
  <c r="DJ489" i="5"/>
  <c r="CV325" i="5"/>
  <c r="FB325" i="5"/>
  <c r="CQ101" i="5"/>
  <c r="FD101" i="5"/>
  <c r="DH488" i="5"/>
  <c r="EL488" i="5"/>
  <c r="EM488" i="5"/>
  <c r="AV124" i="5"/>
  <c r="CV405" i="5"/>
  <c r="FB405" i="5"/>
  <c r="CP343" i="5"/>
  <c r="FB343" i="5"/>
  <c r="CV299" i="5"/>
  <c r="FB299" i="5"/>
  <c r="AT370" i="5"/>
  <c r="AT283" i="5"/>
  <c r="BB439" i="5"/>
  <c r="BD439" i="5" s="1"/>
  <c r="BD316" i="5"/>
  <c r="BD415" i="5"/>
  <c r="ES65" i="5"/>
  <c r="ET65" i="5" s="1"/>
  <c r="EB221" i="5"/>
  <c r="EA221" i="5"/>
  <c r="AV183" i="5"/>
  <c r="BV145" i="5"/>
  <c r="CC145" i="5" s="1"/>
  <c r="CE145" i="5" s="1"/>
  <c r="CJ145" i="5" s="1"/>
  <c r="EN107" i="5"/>
  <c r="EO107" i="5" s="1"/>
  <c r="EP107" i="5" s="1"/>
  <c r="ET107" i="5"/>
  <c r="ES120" i="5"/>
  <c r="ET120" i="5" s="1"/>
  <c r="DY66" i="5"/>
  <c r="BD348" i="5"/>
  <c r="AV185" i="5"/>
  <c r="BG139" i="5"/>
  <c r="BI139" i="5" s="1"/>
  <c r="BJ139" i="5" s="1"/>
  <c r="EC139" i="5" s="1"/>
  <c r="EB139" i="5" s="1"/>
  <c r="AW381" i="5"/>
  <c r="CH381" i="5" s="1"/>
  <c r="AV132" i="5"/>
  <c r="AW268" i="5"/>
  <c r="CH268" i="5" s="1"/>
  <c r="DX401" i="5"/>
  <c r="CL401" i="5" s="1"/>
  <c r="FD369" i="5"/>
  <c r="CW369" i="5"/>
  <c r="AJ25" i="5"/>
  <c r="AN24" i="5"/>
  <c r="DO24" i="5" s="1"/>
  <c r="EG24" i="5" s="1"/>
  <c r="EJ24" i="5" s="1"/>
  <c r="EK24" i="5" s="1"/>
  <c r="DX383" i="5"/>
  <c r="CL383" i="5" s="1"/>
  <c r="FD308" i="5"/>
  <c r="CQ308" i="5"/>
  <c r="DX430" i="5"/>
  <c r="CL430" i="5" s="1"/>
  <c r="FD316" i="5"/>
  <c r="CQ316" i="5"/>
  <c r="DG328" i="5"/>
  <c r="DG312" i="5"/>
  <c r="FD324" i="5"/>
  <c r="CQ324" i="5"/>
  <c r="AW403" i="5"/>
  <c r="CH403" i="5" s="1"/>
  <c r="BD430" i="5"/>
  <c r="BG134" i="5"/>
  <c r="BI134" i="5" s="1"/>
  <c r="BJ134" i="5" s="1"/>
  <c r="EC134" i="5" s="1"/>
  <c r="EB134" i="5" s="1"/>
  <c r="ES82" i="5"/>
  <c r="ET82" i="5" s="1"/>
  <c r="EN83" i="5"/>
  <c r="EO83" i="5" s="1"/>
  <c r="EP83" i="5" s="1"/>
  <c r="ET83" i="5"/>
  <c r="AS229" i="5"/>
  <c r="BB229" i="5" s="1"/>
  <c r="AV224" i="5"/>
  <c r="AV212" i="5"/>
  <c r="BG138" i="5"/>
  <c r="BI138" i="5" s="1"/>
  <c r="BJ138" i="5" s="1"/>
  <c r="EC138" i="5" s="1"/>
  <c r="EB138" i="5" s="1"/>
  <c r="EN160" i="5"/>
  <c r="EO160" i="5" s="1"/>
  <c r="EP160" i="5" s="1"/>
  <c r="EN108" i="5"/>
  <c r="EO108" i="5" s="1"/>
  <c r="EP108" i="5" s="1"/>
  <c r="ET108" i="5"/>
  <c r="BV118" i="5"/>
  <c r="CC118" i="5" s="1"/>
  <c r="CE118" i="5" s="1"/>
  <c r="ES119" i="5"/>
  <c r="ET119" i="5" s="1"/>
  <c r="CQ307" i="5"/>
  <c r="FD307" i="5"/>
  <c r="FD351" i="5"/>
  <c r="CQ351" i="5"/>
  <c r="DX410" i="5"/>
  <c r="CL410" i="5" s="1"/>
  <c r="DG343" i="5"/>
  <c r="CP311" i="5"/>
  <c r="FB311" i="5"/>
  <c r="DX313" i="5"/>
  <c r="CL313" i="5" s="1"/>
  <c r="DX277" i="5"/>
  <c r="CL277" i="5" s="1"/>
  <c r="DX357" i="5"/>
  <c r="CL357" i="5" s="1"/>
  <c r="DX307" i="5"/>
  <c r="CL307" i="5" s="1"/>
  <c r="CV441" i="5"/>
  <c r="FB441" i="5"/>
  <c r="DX403" i="5"/>
  <c r="CL403" i="5" s="1"/>
  <c r="EB201" i="5"/>
  <c r="AZ186" i="5"/>
  <c r="CI186" i="5" s="1"/>
  <c r="DC186" i="5"/>
  <c r="AR186" i="5"/>
  <c r="CG186" i="5" s="1"/>
  <c r="DN122" i="5"/>
  <c r="DN84" i="5"/>
  <c r="AT244" i="5"/>
  <c r="BB244" i="5"/>
  <c r="AT142" i="5"/>
  <c r="BL90" i="5"/>
  <c r="DT90" i="5" s="1"/>
  <c r="DV90" i="5" s="1"/>
  <c r="BT90" i="5"/>
  <c r="BE90" i="5"/>
  <c r="BU90" i="5"/>
  <c r="FR90" i="5"/>
  <c r="FU90" i="5" s="1"/>
  <c r="CM90" i="5" s="1"/>
  <c r="AZ231" i="5"/>
  <c r="CI231" i="5" s="1"/>
  <c r="AR231" i="5"/>
  <c r="CG231" i="5" s="1"/>
  <c r="DC231" i="5"/>
  <c r="AS94" i="5"/>
  <c r="AT94" i="5" s="1"/>
  <c r="DG404" i="5"/>
  <c r="DX260" i="5"/>
  <c r="CL260" i="5" s="1"/>
  <c r="BE69" i="5"/>
  <c r="BU69" i="5"/>
  <c r="FR69" i="5"/>
  <c r="FU69" i="5" s="1"/>
  <c r="CM69" i="5" s="1"/>
  <c r="BL69" i="5"/>
  <c r="DT69" i="5" s="1"/>
  <c r="DV69" i="5" s="1"/>
  <c r="BT69" i="5"/>
  <c r="DC184" i="5"/>
  <c r="AR184" i="5"/>
  <c r="CG184" i="5" s="1"/>
  <c r="AR172" i="5"/>
  <c r="CG172" i="5" s="1"/>
  <c r="DC172" i="5"/>
  <c r="EB208" i="5"/>
  <c r="BT88" i="5"/>
  <c r="BL88" i="5"/>
  <c r="DT88" i="5" s="1"/>
  <c r="DV88" i="5" s="1"/>
  <c r="BU88" i="5"/>
  <c r="BE88" i="5"/>
  <c r="FR88" i="5"/>
  <c r="FU88" i="5" s="1"/>
  <c r="CM88" i="5" s="1"/>
  <c r="BL76" i="5"/>
  <c r="DT76" i="5" s="1"/>
  <c r="DV76" i="5" s="1"/>
  <c r="BT76" i="5"/>
  <c r="BE76" i="5"/>
  <c r="BU76" i="5"/>
  <c r="FR76" i="5"/>
  <c r="FU76" i="5" s="1"/>
  <c r="CM76" i="5" s="1"/>
  <c r="EB209" i="5"/>
  <c r="BU205" i="5"/>
  <c r="FS205" i="5"/>
  <c r="FU205" i="5" s="1"/>
  <c r="CM205" i="5" s="1"/>
  <c r="BL205" i="5"/>
  <c r="DT205" i="5" s="1"/>
  <c r="DV205" i="5" s="1"/>
  <c r="DC177" i="5"/>
  <c r="AR177" i="5"/>
  <c r="CG177" i="5" s="1"/>
  <c r="J206" i="5"/>
  <c r="DS206" i="5" s="1"/>
  <c r="EB206" i="5" s="1"/>
  <c r="AF169" i="5"/>
  <c r="AK169" i="5" s="1"/>
  <c r="DY169" i="5"/>
  <c r="EB251" i="5"/>
  <c r="EA251" i="5"/>
  <c r="AZ179" i="5"/>
  <c r="CI179" i="5" s="1"/>
  <c r="AR179" i="5"/>
  <c r="CG179" i="5" s="1"/>
  <c r="DC179" i="5"/>
  <c r="J196" i="5"/>
  <c r="DS196" i="5" s="1"/>
  <c r="DC196" i="5"/>
  <c r="AR196" i="5"/>
  <c r="CG196" i="5" s="1"/>
  <c r="DC236" i="5"/>
  <c r="AR236" i="5"/>
  <c r="CG236" i="5" s="1"/>
  <c r="DC219" i="5"/>
  <c r="AR219" i="5"/>
  <c r="AZ247" i="5"/>
  <c r="CI247" i="5" s="1"/>
  <c r="AR247" i="5"/>
  <c r="CG247" i="5" s="1"/>
  <c r="DC247" i="5"/>
  <c r="BX120" i="5"/>
  <c r="BY120" i="5" s="1"/>
  <c r="CC120" i="5" s="1"/>
  <c r="CE120" i="5" s="1"/>
  <c r="CJ120" i="5" s="1"/>
  <c r="FS120" i="5"/>
  <c r="FU120" i="5" s="1"/>
  <c r="CM120" i="5" s="1"/>
  <c r="DN171" i="5"/>
  <c r="DN121" i="5"/>
  <c r="DN68" i="5"/>
  <c r="DN90" i="5"/>
  <c r="DN80" i="5"/>
  <c r="DN115" i="5"/>
  <c r="DN59" i="5"/>
  <c r="FS198" i="5"/>
  <c r="FU198" i="5" s="1"/>
  <c r="CM198" i="5" s="1"/>
  <c r="BL198" i="5"/>
  <c r="DT198" i="5" s="1"/>
  <c r="DV198" i="5" s="1"/>
  <c r="EB198" i="5" s="1"/>
  <c r="BT198" i="5"/>
  <c r="BU198" i="5"/>
  <c r="AR146" i="5"/>
  <c r="CG146" i="5" s="1"/>
  <c r="DD146" i="5"/>
  <c r="ES146" i="5" s="1"/>
  <c r="FS211" i="5"/>
  <c r="FU211" i="5" s="1"/>
  <c r="CM211" i="5" s="1"/>
  <c r="BL211" i="5"/>
  <c r="DT211" i="5" s="1"/>
  <c r="DV211" i="5" s="1"/>
  <c r="BU211" i="5"/>
  <c r="AZ211" i="5"/>
  <c r="CI211" i="5" s="1"/>
  <c r="AR211" i="5"/>
  <c r="CG211" i="5" s="1"/>
  <c r="DC211" i="5"/>
  <c r="AZ180" i="5"/>
  <c r="CI180" i="5" s="1"/>
  <c r="DC180" i="5"/>
  <c r="AR180" i="5"/>
  <c r="CG180" i="5" s="1"/>
  <c r="AF203" i="5"/>
  <c r="BU203" i="5"/>
  <c r="FS203" i="5"/>
  <c r="FU203" i="5" s="1"/>
  <c r="CM203" i="5" s="1"/>
  <c r="BL203" i="5"/>
  <c r="DT203" i="5" s="1"/>
  <c r="DV203" i="5" s="1"/>
  <c r="AZ213" i="5"/>
  <c r="CI213" i="5" s="1"/>
  <c r="AR213" i="5"/>
  <c r="CG213" i="5" s="1"/>
  <c r="DC213" i="5"/>
  <c r="BB245" i="5"/>
  <c r="AT245" i="5"/>
  <c r="AS140" i="5"/>
  <c r="AT140" i="5" s="1"/>
  <c r="AT119" i="5"/>
  <c r="BB240" i="5"/>
  <c r="AT240" i="5"/>
  <c r="AS135" i="5"/>
  <c r="AT135" i="5" s="1"/>
  <c r="AS159" i="5"/>
  <c r="BB159" i="5" s="1"/>
  <c r="AT60" i="5"/>
  <c r="AY60" i="5"/>
  <c r="AZ60" i="5" s="1"/>
  <c r="CI60" i="5" s="1"/>
  <c r="AS88" i="5"/>
  <c r="AT88" i="5" s="1"/>
  <c r="BB247" i="5"/>
  <c r="AT247" i="5"/>
  <c r="AS138" i="5"/>
  <c r="AT138" i="5" s="1"/>
  <c r="AT121" i="5"/>
  <c r="BB225" i="5"/>
  <c r="AT225" i="5"/>
  <c r="AT132" i="5"/>
  <c r="AS78" i="5"/>
  <c r="AT78" i="5" s="1"/>
  <c r="AY90" i="5"/>
  <c r="AZ90" i="5" s="1"/>
  <c r="CI90" i="5" s="1"/>
  <c r="AT90" i="5"/>
  <c r="AT192" i="5"/>
  <c r="BB192" i="5"/>
  <c r="BB169" i="5"/>
  <c r="AT169" i="5"/>
  <c r="BB250" i="5"/>
  <c r="AT250" i="5"/>
  <c r="AN169" i="5"/>
  <c r="DO169" i="5" s="1"/>
  <c r="BB165" i="5"/>
  <c r="AT165" i="5"/>
  <c r="AF106" i="5"/>
  <c r="AF107" i="5"/>
  <c r="AS122" i="5"/>
  <c r="AT122" i="5" s="1"/>
  <c r="BB161" i="5"/>
  <c r="AT161" i="5"/>
  <c r="BB162" i="5"/>
  <c r="AT162" i="5"/>
  <c r="AK219" i="5"/>
  <c r="FD415" i="5"/>
  <c r="CQ415" i="5"/>
  <c r="EF9" i="5"/>
  <c r="EF8" i="5" s="1"/>
  <c r="EF7" i="5" s="1"/>
  <c r="AV127" i="5"/>
  <c r="DG367" i="5"/>
  <c r="CW391" i="5"/>
  <c r="FD391" i="5"/>
  <c r="DX365" i="5"/>
  <c r="CL365" i="5" s="1"/>
  <c r="CW277" i="5"/>
  <c r="FD277" i="5"/>
  <c r="AW270" i="5"/>
  <c r="CH270" i="5" s="1"/>
  <c r="CO60" i="5"/>
  <c r="FA60" i="5"/>
  <c r="CU92" i="5"/>
  <c r="FA92" i="5"/>
  <c r="AV194" i="5"/>
  <c r="BJ131" i="5"/>
  <c r="EC131" i="5" s="1"/>
  <c r="EB131" i="5" s="1"/>
  <c r="EN105" i="5"/>
  <c r="EO105" i="5" s="1"/>
  <c r="EP105" i="5" s="1"/>
  <c r="ET105" i="5"/>
  <c r="AW378" i="5"/>
  <c r="CH378" i="5" s="1"/>
  <c r="EO58" i="5"/>
  <c r="EP58" i="5" s="1"/>
  <c r="ET58" i="5"/>
  <c r="EN58" i="5"/>
  <c r="EN161" i="5"/>
  <c r="EO161" i="5" s="1"/>
  <c r="EP161" i="5" s="1"/>
  <c r="DY78" i="5"/>
  <c r="FB255" i="5"/>
  <c r="CV255" i="5"/>
  <c r="AW408" i="5"/>
  <c r="CH408" i="5" s="1"/>
  <c r="FD443" i="5"/>
  <c r="CQ443" i="5"/>
  <c r="CQ390" i="5"/>
  <c r="FD390" i="5"/>
  <c r="CP312" i="5"/>
  <c r="FB312" i="5"/>
  <c r="FD96" i="5"/>
  <c r="CQ96" i="5"/>
  <c r="AV143" i="5"/>
  <c r="CW359" i="5"/>
  <c r="FD359" i="5"/>
  <c r="DG370" i="5"/>
  <c r="DX406" i="5"/>
  <c r="CL406" i="5" s="1"/>
  <c r="AW422" i="5"/>
  <c r="CH422" i="5" s="1"/>
  <c r="AW407" i="5"/>
  <c r="CH407" i="5" s="1"/>
  <c r="AW336" i="5"/>
  <c r="CH336" i="5" s="1"/>
  <c r="BD442" i="5"/>
  <c r="CO77" i="5"/>
  <c r="FA77" i="5"/>
  <c r="BC171" i="5"/>
  <c r="AS224" i="5"/>
  <c r="BB224" i="5" s="1"/>
  <c r="BV192" i="5"/>
  <c r="CC192" i="5" s="1"/>
  <c r="CE192" i="5" s="1"/>
  <c r="CJ192" i="5" s="1"/>
  <c r="AV207" i="5"/>
  <c r="BV141" i="5"/>
  <c r="CC141" i="5" s="1"/>
  <c r="CE141" i="5" s="1"/>
  <c r="CJ141" i="5" s="1"/>
  <c r="CR131" i="5"/>
  <c r="FC131" i="5"/>
  <c r="EN163" i="5"/>
  <c r="EO163" i="5" s="1"/>
  <c r="EP163" i="5" s="1"/>
  <c r="BT105" i="5"/>
  <c r="BV105" i="5" s="1"/>
  <c r="CC105" i="5" s="1"/>
  <c r="CE105" i="5" s="1"/>
  <c r="CP308" i="5"/>
  <c r="FB308" i="5"/>
  <c r="BD370" i="5"/>
  <c r="BV216" i="5"/>
  <c r="CC216" i="5" s="1"/>
  <c r="CR125" i="5"/>
  <c r="FC125" i="5"/>
  <c r="ER483" i="5"/>
  <c r="DG447" i="5"/>
  <c r="AW315" i="5"/>
  <c r="CH315" i="5" s="1"/>
  <c r="CW433" i="5"/>
  <c r="FD433" i="5"/>
  <c r="DX397" i="5"/>
  <c r="CL397" i="5" s="1"/>
  <c r="AV125" i="5"/>
  <c r="FD335" i="5"/>
  <c r="CQ335" i="5"/>
  <c r="AV140" i="5"/>
  <c r="FD268" i="5"/>
  <c r="CW268" i="5"/>
  <c r="FD280" i="5"/>
  <c r="CW280" i="5"/>
  <c r="DG329" i="5"/>
  <c r="AW99" i="5"/>
  <c r="CH99" i="5" s="1"/>
  <c r="EN79" i="5"/>
  <c r="EO79" i="5" s="1"/>
  <c r="EP79" i="5" s="1"/>
  <c r="ET79" i="5"/>
  <c r="AS233" i="5"/>
  <c r="BB233" i="5" s="1"/>
  <c r="AV229" i="5"/>
  <c r="BV174" i="5"/>
  <c r="CC174" i="5" s="1"/>
  <c r="CE174" i="5" s="1"/>
  <c r="CJ174" i="5" s="1"/>
  <c r="AV180" i="5"/>
  <c r="AV208" i="5"/>
  <c r="EN250" i="5"/>
  <c r="EO250" i="5" s="1"/>
  <c r="EP250" i="5" s="1"/>
  <c r="EB157" i="5"/>
  <c r="BV114" i="5"/>
  <c r="CC114" i="5" s="1"/>
  <c r="CE114" i="5" s="1"/>
  <c r="CJ114" i="5" s="1"/>
  <c r="ES123" i="5"/>
  <c r="ET123" i="5" s="1"/>
  <c r="DY69" i="5"/>
  <c r="DX408" i="5"/>
  <c r="CL408" i="5" s="1"/>
  <c r="FD345" i="5"/>
  <c r="CW345" i="5"/>
  <c r="CW402" i="5"/>
  <c r="FD402" i="5"/>
  <c r="FD439" i="5"/>
  <c r="CQ439" i="5"/>
  <c r="DK26" i="5"/>
  <c r="FD416" i="5"/>
  <c r="CW416" i="5"/>
  <c r="DG284" i="5"/>
  <c r="AW339" i="5"/>
  <c r="CH339" i="5" s="1"/>
  <c r="FB380" i="5"/>
  <c r="CV380" i="5"/>
  <c r="DH482" i="5"/>
  <c r="EL482" i="5"/>
  <c r="EM482" i="5"/>
  <c r="FD371" i="5"/>
  <c r="CW371" i="5"/>
  <c r="CP374" i="5"/>
  <c r="FB374" i="5"/>
  <c r="CW329" i="5"/>
  <c r="FD329" i="5"/>
  <c r="AW449" i="5"/>
  <c r="CH449" i="5" s="1"/>
  <c r="AW287" i="5"/>
  <c r="CH287" i="5" s="1"/>
  <c r="BD406" i="5"/>
  <c r="BD413" i="5"/>
  <c r="CO79" i="5"/>
  <c r="FA79" i="5"/>
  <c r="ET86" i="5"/>
  <c r="EN86" i="5"/>
  <c r="EO86" i="5" s="1"/>
  <c r="EP86" i="5" s="1"/>
  <c r="EN62" i="5"/>
  <c r="EO62" i="5" s="1"/>
  <c r="EP62" i="5" s="1"/>
  <c r="ET62" i="5"/>
  <c r="AS218" i="5"/>
  <c r="BB218" i="5" s="1"/>
  <c r="BV219" i="5"/>
  <c r="CC219" i="5" s="1"/>
  <c r="BV236" i="5"/>
  <c r="CC236" i="5" s="1"/>
  <c r="BV177" i="5"/>
  <c r="CC177" i="5" s="1"/>
  <c r="AV201" i="5"/>
  <c r="ET137" i="5"/>
  <c r="EN137" i="5"/>
  <c r="EO137" i="5" s="1"/>
  <c r="EP137" i="5" s="1"/>
  <c r="BT248" i="5"/>
  <c r="BV248" i="5" s="1"/>
  <c r="CC248" i="5" s="1"/>
  <c r="CE248" i="5" s="1"/>
  <c r="CJ248" i="5" s="1"/>
  <c r="BT166" i="5"/>
  <c r="BV166" i="5" s="1"/>
  <c r="CC166" i="5" s="1"/>
  <c r="CE166" i="5" s="1"/>
  <c r="BV121" i="5"/>
  <c r="DY93" i="5"/>
  <c r="AW320" i="5"/>
  <c r="CH320" i="5" s="1"/>
  <c r="FA59" i="5"/>
  <c r="CO59" i="5"/>
  <c r="BV190" i="5"/>
  <c r="CC190" i="5" s="1"/>
  <c r="BV108" i="5"/>
  <c r="CC108" i="5" s="1"/>
  <c r="CE108" i="5" s="1"/>
  <c r="DH469" i="5"/>
  <c r="EL469" i="5"/>
  <c r="EM469" i="5"/>
  <c r="FD266" i="5"/>
  <c r="CW266" i="5"/>
  <c r="DG338" i="5"/>
  <c r="FD262" i="5"/>
  <c r="CW262" i="5"/>
  <c r="DG453" i="5"/>
  <c r="DG445" i="5"/>
  <c r="EN40" i="5"/>
  <c r="EO40" i="5" s="1"/>
  <c r="EP40" i="5" s="1"/>
  <c r="BD313" i="5"/>
  <c r="CO80" i="5"/>
  <c r="FA80" i="5"/>
  <c r="AS219" i="5"/>
  <c r="BB219" i="5" s="1"/>
  <c r="AV235" i="5"/>
  <c r="BV195" i="5"/>
  <c r="CC195" i="5" s="1"/>
  <c r="CE195" i="5" s="1"/>
  <c r="CJ195" i="5" s="1"/>
  <c r="DG170" i="5"/>
  <c r="BV136" i="5"/>
  <c r="CC136" i="5" s="1"/>
  <c r="CE136" i="5" s="1"/>
  <c r="CJ136" i="5" s="1"/>
  <c r="EN136" i="5"/>
  <c r="EO136" i="5" s="1"/>
  <c r="EP136" i="5" s="1"/>
  <c r="ET136" i="5"/>
  <c r="EB167" i="5"/>
  <c r="EN119" i="5"/>
  <c r="EO119" i="5" s="1"/>
  <c r="EP119" i="5" s="1"/>
  <c r="DX376" i="5"/>
  <c r="CL376" i="5" s="1"/>
  <c r="DY90" i="5"/>
  <c r="DH485" i="5"/>
  <c r="EL485" i="5"/>
  <c r="EM485" i="5"/>
  <c r="DG368" i="5"/>
  <c r="DG446" i="5"/>
  <c r="DG419" i="5"/>
  <c r="BD401" i="5"/>
  <c r="CO65" i="5"/>
  <c r="FA65" i="5"/>
  <c r="ET92" i="5"/>
  <c r="EN92" i="5"/>
  <c r="EO92" i="5" s="1"/>
  <c r="EP92" i="5" s="1"/>
  <c r="ET68" i="5"/>
  <c r="EN68" i="5"/>
  <c r="EO68" i="5" s="1"/>
  <c r="EP68" i="5" s="1"/>
  <c r="BV238" i="5"/>
  <c r="CC238" i="5" s="1"/>
  <c r="AV242" i="5"/>
  <c r="BV175" i="5"/>
  <c r="CC175" i="5" s="1"/>
  <c r="BV137" i="5"/>
  <c r="CC137" i="5" s="1"/>
  <c r="CE137" i="5" s="1"/>
  <c r="CJ137" i="5" s="1"/>
  <c r="ET115" i="5"/>
  <c r="EN115" i="5"/>
  <c r="EO115" i="5" s="1"/>
  <c r="EP115" i="5" s="1"/>
  <c r="CU120" i="5"/>
  <c r="FA120" i="5"/>
  <c r="FU251" i="5"/>
  <c r="CM251" i="5" s="1"/>
  <c r="FD452" i="5"/>
  <c r="CW452" i="5"/>
  <c r="DG358" i="5"/>
  <c r="FD302" i="5"/>
  <c r="CW302" i="5"/>
  <c r="CQ414" i="5"/>
  <c r="FD414" i="5"/>
  <c r="DG441" i="5"/>
  <c r="BD341" i="5"/>
  <c r="CO82" i="5"/>
  <c r="FA82" i="5"/>
  <c r="EN59" i="5"/>
  <c r="EO59" i="5" s="1"/>
  <c r="EP59" i="5" s="1"/>
  <c r="ET59" i="5"/>
  <c r="AS237" i="5"/>
  <c r="BB237" i="5" s="1"/>
  <c r="BV231" i="5"/>
  <c r="CC231" i="5" s="1"/>
  <c r="CE231" i="5" s="1"/>
  <c r="CJ231" i="5" s="1"/>
  <c r="BV247" i="5"/>
  <c r="CC247" i="5" s="1"/>
  <c r="CE247" i="5" s="1"/>
  <c r="CJ247" i="5" s="1"/>
  <c r="BV146" i="5"/>
  <c r="CC146" i="5" s="1"/>
  <c r="CE146" i="5" s="1"/>
  <c r="CJ146" i="5" s="1"/>
  <c r="AY121" i="5"/>
  <c r="AZ121" i="5" s="1"/>
  <c r="CI121" i="5" s="1"/>
  <c r="CI13" i="5" s="1"/>
  <c r="ES110" i="5"/>
  <c r="ET110" i="5" s="1"/>
  <c r="FD349" i="5"/>
  <c r="CW349" i="5"/>
  <c r="DG362" i="5"/>
  <c r="EQ476" i="5"/>
  <c r="ER476" i="5" s="1"/>
  <c r="BJ95" i="5"/>
  <c r="EC95" i="5" s="1"/>
  <c r="DG363" i="5"/>
  <c r="FD403" i="5"/>
  <c r="CQ403" i="5"/>
  <c r="CW398" i="5"/>
  <c r="FD398" i="5"/>
  <c r="FB275" i="5"/>
  <c r="CV275" i="5"/>
  <c r="FB331" i="5"/>
  <c r="CV331" i="5"/>
  <c r="DX346" i="5"/>
  <c r="CL346" i="5" s="1"/>
  <c r="FB254" i="5"/>
  <c r="CV254" i="5"/>
  <c r="DX378" i="5"/>
  <c r="CL378" i="5" s="1"/>
  <c r="DI481" i="5"/>
  <c r="DJ481" i="5"/>
  <c r="ER22" i="5"/>
  <c r="EV22" i="5"/>
  <c r="DX22" i="5" s="1"/>
  <c r="DX426" i="5"/>
  <c r="CL426" i="5" s="1"/>
  <c r="DX431" i="5"/>
  <c r="CL431" i="5" s="1"/>
  <c r="EQ486" i="5"/>
  <c r="ER486" i="5" s="1"/>
  <c r="AF111" i="5"/>
  <c r="AF147" i="5"/>
  <c r="AF129" i="5"/>
  <c r="AF144" i="5"/>
  <c r="AD211" i="5"/>
  <c r="J213" i="5"/>
  <c r="DS213" i="5" s="1"/>
  <c r="EB213" i="5" s="1"/>
  <c r="AD209" i="5"/>
  <c r="J211" i="5"/>
  <c r="DS211" i="5" s="1"/>
  <c r="J199" i="5"/>
  <c r="DS199" i="5" s="1"/>
  <c r="EB199" i="5" s="1"/>
  <c r="AD202" i="5"/>
  <c r="AZ178" i="5"/>
  <c r="CI178" i="5" s="1"/>
  <c r="AH89" i="5"/>
  <c r="AF214" i="5"/>
  <c r="AG87" i="5"/>
  <c r="AF191" i="5"/>
  <c r="AF124" i="5"/>
  <c r="AG107" i="5"/>
  <c r="AG58" i="5"/>
  <c r="AG91" i="5"/>
  <c r="AF171" i="5"/>
  <c r="AK171" i="5" s="1"/>
  <c r="AG71" i="5"/>
  <c r="AD198" i="5"/>
  <c r="FX122" i="5"/>
  <c r="AF208" i="5"/>
  <c r="AF207" i="5"/>
  <c r="AG86" i="5"/>
  <c r="AF178" i="5"/>
  <c r="AF189" i="5"/>
  <c r="AF212" i="5"/>
  <c r="AH60" i="5"/>
  <c r="AF200" i="5"/>
  <c r="AK200" i="5" s="1"/>
  <c r="AG56" i="5"/>
  <c r="AD216" i="5"/>
  <c r="AD203" i="5"/>
  <c r="AF116" i="5"/>
  <c r="AG75" i="5"/>
  <c r="AF179" i="5"/>
  <c r="AG69" i="5"/>
  <c r="AG61" i="5"/>
  <c r="AG60" i="5"/>
  <c r="AF202" i="5"/>
  <c r="AF110" i="5"/>
  <c r="AF127" i="5"/>
  <c r="AG108" i="5"/>
  <c r="AK108" i="5" s="1"/>
  <c r="AG79" i="5"/>
  <c r="AF204" i="5"/>
  <c r="AG77" i="5"/>
  <c r="AG64" i="5"/>
  <c r="AD170" i="5"/>
  <c r="J214" i="5"/>
  <c r="DS214" i="5" s="1"/>
  <c r="AG65" i="5"/>
  <c r="AF181" i="5"/>
  <c r="AH69" i="5"/>
  <c r="AG74" i="5"/>
  <c r="AF197" i="5"/>
  <c r="AK197" i="5" s="1"/>
  <c r="AF137" i="5"/>
  <c r="AF121" i="5"/>
  <c r="AG94" i="5"/>
  <c r="AH79" i="5"/>
  <c r="AD171" i="5"/>
  <c r="AF209" i="5"/>
  <c r="AF188" i="5"/>
  <c r="AF125" i="5"/>
  <c r="AF141" i="5"/>
  <c r="AG59" i="5"/>
  <c r="AF196" i="5"/>
  <c r="AK196" i="5" s="1"/>
  <c r="AF122" i="5"/>
  <c r="AH94" i="5"/>
  <c r="AF186" i="5"/>
  <c r="AF123" i="5"/>
  <c r="AG57" i="5"/>
  <c r="AF142" i="5"/>
  <c r="AF130" i="5"/>
  <c r="AD206" i="5"/>
  <c r="AG63" i="5"/>
  <c r="AF177" i="5"/>
  <c r="AF138" i="5"/>
  <c r="AG93" i="5"/>
  <c r="AF187" i="5"/>
  <c r="AG92" i="5"/>
  <c r="AF184" i="5"/>
  <c r="AF195" i="5"/>
  <c r="AF143" i="5"/>
  <c r="AF215" i="5"/>
  <c r="AG53" i="5"/>
  <c r="AF206" i="5"/>
  <c r="AG62" i="5"/>
  <c r="AF211" i="5"/>
  <c r="AH93" i="5"/>
  <c r="AG82" i="5"/>
  <c r="AH92" i="5"/>
  <c r="AF115" i="5"/>
  <c r="AG67" i="5"/>
  <c r="AG90" i="5"/>
  <c r="AF194" i="5"/>
  <c r="AZ196" i="5"/>
  <c r="CI196" i="5" s="1"/>
  <c r="AD217" i="5"/>
  <c r="J204" i="5"/>
  <c r="DS204" i="5" s="1"/>
  <c r="EB204" i="5" s="1"/>
  <c r="AD172" i="5"/>
  <c r="AG88" i="5"/>
  <c r="AF192" i="5"/>
  <c r="AH62" i="5"/>
  <c r="AF198" i="5"/>
  <c r="AK198" i="5" s="1"/>
  <c r="AF176" i="5"/>
  <c r="AG81" i="5"/>
  <c r="AF174" i="5"/>
  <c r="AK174" i="5" s="1"/>
  <c r="AF185" i="5"/>
  <c r="AG80" i="5"/>
  <c r="AG78" i="5"/>
  <c r="AF182" i="5"/>
  <c r="AH90" i="5"/>
  <c r="J205" i="5"/>
  <c r="DS205" i="5" s="1"/>
  <c r="AD214" i="5"/>
  <c r="J203" i="5"/>
  <c r="DS203" i="5" s="1"/>
  <c r="EB203" i="5" s="1"/>
  <c r="AZ182" i="5"/>
  <c r="CI182" i="5" s="1"/>
  <c r="AD169" i="5"/>
  <c r="AH88" i="5"/>
  <c r="AF146" i="5"/>
  <c r="AF210" i="5"/>
  <c r="AG84" i="5"/>
  <c r="AF199" i="5"/>
  <c r="AK199" i="5" s="1"/>
  <c r="AG105" i="5"/>
  <c r="AF88" i="5"/>
  <c r="AF175" i="5"/>
  <c r="AF126" i="5"/>
  <c r="AG70" i="5"/>
  <c r="AF172" i="5"/>
  <c r="AK172" i="5" s="1"/>
  <c r="AF205" i="5"/>
  <c r="AG106" i="5"/>
  <c r="AF183" i="5"/>
  <c r="AF131" i="5"/>
  <c r="AG76" i="5"/>
  <c r="AF117" i="5"/>
  <c r="AG85" i="5"/>
  <c r="AH105" i="5"/>
  <c r="AG83" i="5"/>
  <c r="AF139" i="5"/>
  <c r="AH106" i="5"/>
  <c r="AG66" i="5"/>
  <c r="AF170" i="5"/>
  <c r="AK170" i="5" s="1"/>
  <c r="AG89" i="5"/>
  <c r="AH76" i="5"/>
  <c r="AF180" i="5"/>
  <c r="AF190" i="5"/>
  <c r="AF136" i="5"/>
  <c r="AG73" i="5"/>
  <c r="AG72" i="5"/>
  <c r="AF173" i="5"/>
  <c r="AK173" i="5" s="1"/>
  <c r="AF62" i="5"/>
  <c r="AF201" i="5"/>
  <c r="AK201" i="5" s="1"/>
  <c r="AG68" i="5"/>
  <c r="AF113" i="5"/>
  <c r="AG54" i="5"/>
  <c r="AG55" i="5"/>
  <c r="AF114" i="5"/>
  <c r="AH66" i="5"/>
  <c r="AJ111" i="5"/>
  <c r="AN111" i="5" s="1"/>
  <c r="DO111" i="5" s="1"/>
  <c r="EG111" i="5" s="1"/>
  <c r="EJ111" i="5" s="1"/>
  <c r="EK111" i="5" s="1"/>
  <c r="AJ202" i="5"/>
  <c r="AN202" i="5" s="1"/>
  <c r="DO202" i="5" s="1"/>
  <c r="AJ175" i="5"/>
  <c r="AJ221" i="5"/>
  <c r="AN221" i="5" s="1"/>
  <c r="DO221" i="5" s="1"/>
  <c r="EG221" i="5" s="1"/>
  <c r="EJ221" i="5" s="1"/>
  <c r="EK221" i="5" s="1"/>
  <c r="AS210" i="5"/>
  <c r="AS214" i="5"/>
  <c r="AS203" i="5"/>
  <c r="AS201" i="5"/>
  <c r="AS202" i="5"/>
  <c r="AS209" i="5"/>
  <c r="AS198" i="5"/>
  <c r="AS211" i="5"/>
  <c r="I109" i="5"/>
  <c r="AS105" i="5"/>
  <c r="AD142" i="5"/>
  <c r="AD143" i="5"/>
  <c r="K107" i="5"/>
  <c r="N107" i="5" s="1"/>
  <c r="K112" i="5"/>
  <c r="N112" i="5" s="1"/>
  <c r="S159" i="5"/>
  <c r="S156" i="5"/>
  <c r="S251" i="5"/>
  <c r="S204" i="5"/>
  <c r="S210" i="5"/>
  <c r="S169" i="5"/>
  <c r="S181" i="5"/>
  <c r="S224" i="5"/>
  <c r="S233" i="5"/>
  <c r="S232" i="5"/>
  <c r="S235" i="5"/>
  <c r="S217" i="5"/>
  <c r="DH217" i="5" s="1"/>
  <c r="S216" i="5"/>
  <c r="DH216" i="5" s="1"/>
  <c r="S164" i="5"/>
  <c r="S230" i="5"/>
  <c r="S218" i="5"/>
  <c r="S189" i="5"/>
  <c r="S197" i="5"/>
  <c r="S205" i="5"/>
  <c r="S213" i="5"/>
  <c r="S165" i="5"/>
  <c r="S157" i="5"/>
  <c r="S167" i="5"/>
  <c r="S248" i="5"/>
  <c r="S249" i="5"/>
  <c r="S196" i="5"/>
  <c r="S177" i="5"/>
  <c r="S206" i="5"/>
  <c r="S185" i="5"/>
  <c r="S198" i="5"/>
  <c r="DH198" i="5" s="1"/>
  <c r="S227" i="5"/>
  <c r="S245" i="5"/>
  <c r="S242" i="5"/>
  <c r="S220" i="5"/>
  <c r="S175" i="5"/>
  <c r="S199" i="5"/>
  <c r="S207" i="5"/>
  <c r="S215" i="5"/>
  <c r="S237" i="5"/>
  <c r="S229" i="5"/>
  <c r="S170" i="5"/>
  <c r="S178" i="5"/>
  <c r="S186" i="5"/>
  <c r="S194" i="5"/>
  <c r="S158" i="5"/>
  <c r="S188" i="5"/>
  <c r="S172" i="5"/>
  <c r="S184" i="5"/>
  <c r="S166" i="5"/>
  <c r="S250" i="5"/>
  <c r="S173" i="5"/>
  <c r="S214" i="5"/>
  <c r="S193" i="5"/>
  <c r="S238" i="5"/>
  <c r="S223" i="5"/>
  <c r="S247" i="5"/>
  <c r="S240" i="5"/>
  <c r="S219" i="5"/>
  <c r="S180" i="5"/>
  <c r="S234" i="5"/>
  <c r="S201" i="5"/>
  <c r="S209" i="5"/>
  <c r="S161" i="5"/>
  <c r="AD199" i="5"/>
  <c r="S162" i="5"/>
  <c r="S160" i="5"/>
  <c r="S212" i="5"/>
  <c r="S200" i="5"/>
  <c r="S208" i="5"/>
  <c r="S202" i="5"/>
  <c r="S246" i="5"/>
  <c r="S244" i="5"/>
  <c r="S228" i="5"/>
  <c r="S225" i="5"/>
  <c r="S222" i="5"/>
  <c r="S243" i="5"/>
  <c r="S221" i="5"/>
  <c r="S226" i="5"/>
  <c r="S195" i="5"/>
  <c r="S203" i="5"/>
  <c r="S211" i="5"/>
  <c r="S163" i="5"/>
  <c r="S241" i="5"/>
  <c r="S174" i="5"/>
  <c r="S182" i="5"/>
  <c r="S190" i="5"/>
  <c r="S176" i="5"/>
  <c r="S192" i="5"/>
  <c r="AD197" i="5"/>
  <c r="AD213" i="5"/>
  <c r="AD201" i="5"/>
  <c r="AD207" i="5"/>
  <c r="AD196" i="5"/>
  <c r="AD215" i="5"/>
  <c r="AD205" i="5"/>
  <c r="AZ234" i="5"/>
  <c r="AZ238" i="5"/>
  <c r="CI238" i="5" s="1"/>
  <c r="AZ221" i="5"/>
  <c r="AZ242" i="5"/>
  <c r="CI242" i="5" s="1"/>
  <c r="AZ219" i="5"/>
  <c r="AZ226" i="5"/>
  <c r="AZ222" i="5"/>
  <c r="AZ218" i="5"/>
  <c r="AZ216" i="5"/>
  <c r="AZ244" i="5"/>
  <c r="CI244" i="5" s="1"/>
  <c r="AZ236" i="5"/>
  <c r="CI236" i="5" s="1"/>
  <c r="AZ228" i="5"/>
  <c r="CI228" i="5" s="1"/>
  <c r="AZ246" i="5"/>
  <c r="AZ173" i="5"/>
  <c r="CI173" i="5" s="1"/>
  <c r="AZ177" i="5"/>
  <c r="CI177" i="5" s="1"/>
  <c r="AZ184" i="5"/>
  <c r="CI184" i="5" s="1"/>
  <c r="AZ172" i="5"/>
  <c r="CI172" i="5" s="1"/>
  <c r="AZ169" i="5"/>
  <c r="CI169" i="5" s="1"/>
  <c r="ES105" i="21" l="1"/>
  <c r="ER105" i="21"/>
  <c r="DM105" i="21"/>
  <c r="ED23" i="21"/>
  <c r="DR23" i="21"/>
  <c r="DS23" i="21" s="1"/>
  <c r="DS194" i="21"/>
  <c r="CQ194" i="21"/>
  <c r="CQ169" i="21"/>
  <c r="DB325" i="21"/>
  <c r="FH325" i="21"/>
  <c r="DP166" i="21"/>
  <c r="DO166" i="21"/>
  <c r="FL399" i="21"/>
  <c r="CZ399" i="21"/>
  <c r="ED388" i="21"/>
  <c r="CR388" i="21" s="1"/>
  <c r="ED298" i="21"/>
  <c r="CR298" i="21" s="1"/>
  <c r="ED306" i="21"/>
  <c r="CR306" i="21" s="1"/>
  <c r="DU219" i="21"/>
  <c r="AV219" i="21"/>
  <c r="AW219" i="21" s="1"/>
  <c r="DP213" i="21"/>
  <c r="DO213" i="21"/>
  <c r="FH433" i="21"/>
  <c r="DB433" i="21"/>
  <c r="DQ168" i="21"/>
  <c r="DR168" i="21" s="1"/>
  <c r="ED422" i="21"/>
  <c r="CR422" i="21" s="1"/>
  <c r="CZ227" i="21"/>
  <c r="FL227" i="21"/>
  <c r="DB398" i="21"/>
  <c r="FH398" i="21"/>
  <c r="ED366" i="21"/>
  <c r="CR366" i="21" s="1"/>
  <c r="ED333" i="21"/>
  <c r="CR333" i="21" s="1"/>
  <c r="DB376" i="21"/>
  <c r="FH376" i="21"/>
  <c r="ED339" i="21"/>
  <c r="CR339" i="21" s="1"/>
  <c r="ED287" i="21"/>
  <c r="CR287" i="21" s="1"/>
  <c r="FH396" i="21"/>
  <c r="CV396" i="21"/>
  <c r="ED317" i="21"/>
  <c r="CR317" i="21" s="1"/>
  <c r="ED364" i="21"/>
  <c r="CR364" i="21" s="1"/>
  <c r="ED380" i="21"/>
  <c r="CR380" i="21" s="1"/>
  <c r="FL251" i="21"/>
  <c r="DF251" i="21"/>
  <c r="FL360" i="21"/>
  <c r="CZ360" i="21"/>
  <c r="ED367" i="21"/>
  <c r="CR367" i="21" s="1"/>
  <c r="ED325" i="21"/>
  <c r="CR325" i="21" s="1"/>
  <c r="FR57" i="21"/>
  <c r="DR195" i="21"/>
  <c r="FS58" i="21"/>
  <c r="EW469" i="21"/>
  <c r="EX469" i="21" s="1"/>
  <c r="FR60" i="21"/>
  <c r="FL437" i="21"/>
  <c r="DF437" i="21"/>
  <c r="DB200" i="21"/>
  <c r="FH200" i="21"/>
  <c r="BC404" i="21"/>
  <c r="CN404" i="21" s="1"/>
  <c r="FH403" i="21"/>
  <c r="DB403" i="21"/>
  <c r="DB6" i="21"/>
  <c r="DB7" i="21" s="1"/>
  <c r="DB9" i="21"/>
  <c r="DB8" i="21"/>
  <c r="DB178" i="21"/>
  <c r="DB17" i="21" s="1"/>
  <c r="FH178" i="21"/>
  <c r="ED302" i="21"/>
  <c r="CR302" i="21" s="1"/>
  <c r="DB413" i="21"/>
  <c r="FH413" i="21"/>
  <c r="CQ193" i="21"/>
  <c r="ED401" i="21"/>
  <c r="CR401" i="21" s="1"/>
  <c r="DF421" i="21"/>
  <c r="FL421" i="21"/>
  <c r="FL231" i="21"/>
  <c r="CZ231" i="21"/>
  <c r="DQ192" i="21"/>
  <c r="DR192" i="21" s="1"/>
  <c r="ED321" i="21"/>
  <c r="CR321" i="21" s="1"/>
  <c r="DQ476" i="21"/>
  <c r="DR476" i="21"/>
  <c r="DS476" i="21" s="1"/>
  <c r="DF436" i="21"/>
  <c r="FL436" i="21"/>
  <c r="FB24" i="21"/>
  <c r="ED24" i="21" s="1"/>
  <c r="EX24" i="21"/>
  <c r="BC435" i="21"/>
  <c r="CN435" i="21" s="1"/>
  <c r="FS61" i="21"/>
  <c r="ED440" i="21"/>
  <c r="CR440" i="21" s="1"/>
  <c r="EX214" i="21"/>
  <c r="DS214" i="21" s="1"/>
  <c r="ED438" i="21"/>
  <c r="CR438" i="21" s="1"/>
  <c r="FL353" i="21"/>
  <c r="DF353" i="21"/>
  <c r="FH288" i="21"/>
  <c r="CV288" i="21"/>
  <c r="ER166" i="21"/>
  <c r="ES166" i="21"/>
  <c r="DF236" i="21"/>
  <c r="FL236" i="21"/>
  <c r="DP196" i="21"/>
  <c r="ED196" i="21"/>
  <c r="CR196" i="21" s="1"/>
  <c r="CZ221" i="21"/>
  <c r="FL221" i="21"/>
  <c r="ED404" i="21"/>
  <c r="CR404" i="21" s="1"/>
  <c r="CZ234" i="21"/>
  <c r="FL234" i="21"/>
  <c r="ES213" i="21"/>
  <c r="ER213" i="21"/>
  <c r="ED441" i="21"/>
  <c r="CR441" i="21" s="1"/>
  <c r="ED330" i="21"/>
  <c r="CR330" i="21" s="1"/>
  <c r="CZ195" i="21"/>
  <c r="FL195" i="21"/>
  <c r="FL239" i="21"/>
  <c r="CZ239" i="21"/>
  <c r="CZ311" i="21"/>
  <c r="FL311" i="21"/>
  <c r="CV10" i="21"/>
  <c r="CV11" i="21" s="1"/>
  <c r="CV13" i="21"/>
  <c r="CV12" i="21"/>
  <c r="ED414" i="21"/>
  <c r="CR414" i="21" s="1"/>
  <c r="FH318" i="21"/>
  <c r="DB318" i="21"/>
  <c r="ED429" i="21"/>
  <c r="CR429" i="21" s="1"/>
  <c r="FL296" i="21"/>
  <c r="DF296" i="21"/>
  <c r="ED442" i="21"/>
  <c r="CR442" i="21" s="1"/>
  <c r="FL435" i="21"/>
  <c r="CZ435" i="21"/>
  <c r="FH330" i="21"/>
  <c r="DB330" i="21"/>
  <c r="CW8" i="21"/>
  <c r="CW4" i="21"/>
  <c r="CW9" i="21"/>
  <c r="CW6" i="21"/>
  <c r="CW7" i="21" s="1"/>
  <c r="CZ423" i="21"/>
  <c r="FL423" i="21"/>
  <c r="EW168" i="21"/>
  <c r="EX168" i="21" s="1"/>
  <c r="ED334" i="21"/>
  <c r="CR334" i="21" s="1"/>
  <c r="FL201" i="21"/>
  <c r="DF201" i="21"/>
  <c r="FL198" i="21"/>
  <c r="CZ198" i="21"/>
  <c r="DB258" i="21"/>
  <c r="FH258" i="21"/>
  <c r="FL390" i="21"/>
  <c r="DF390" i="21"/>
  <c r="BC387" i="21"/>
  <c r="CN387" i="21" s="1"/>
  <c r="DO481" i="21"/>
  <c r="DP481" i="21"/>
  <c r="FH415" i="21"/>
  <c r="DB415" i="21"/>
  <c r="AT171" i="21"/>
  <c r="AP172" i="21"/>
  <c r="AQ171" i="21"/>
  <c r="ED335" i="21"/>
  <c r="CR335" i="21" s="1"/>
  <c r="CN9" i="21"/>
  <c r="FL269" i="21"/>
  <c r="DF269" i="21"/>
  <c r="FH284" i="21"/>
  <c r="DB284" i="21"/>
  <c r="FL433" i="21"/>
  <c r="DF433" i="21"/>
  <c r="ED358" i="21"/>
  <c r="CR358" i="21" s="1"/>
  <c r="DU170" i="21"/>
  <c r="AV170" i="21"/>
  <c r="AW170" i="21" s="1"/>
  <c r="FL371" i="21"/>
  <c r="DF371" i="21"/>
  <c r="FH395" i="21"/>
  <c r="DB395" i="21"/>
  <c r="DB294" i="21"/>
  <c r="FH294" i="21"/>
  <c r="FH420" i="21"/>
  <c r="DB420" i="21"/>
  <c r="ED400" i="21"/>
  <c r="CR400" i="21" s="1"/>
  <c r="CV362" i="21"/>
  <c r="FH362" i="21"/>
  <c r="FH449" i="21"/>
  <c r="DB449" i="21"/>
  <c r="FH431" i="21"/>
  <c r="DB431" i="21"/>
  <c r="ED379" i="21"/>
  <c r="CR379" i="21" s="1"/>
  <c r="BC332" i="21"/>
  <c r="CN332" i="21" s="1"/>
  <c r="ED387" i="21"/>
  <c r="CR387" i="21" s="1"/>
  <c r="FL299" i="21"/>
  <c r="CZ299" i="21"/>
  <c r="DF323" i="21"/>
  <c r="FL323" i="21"/>
  <c r="CZ289" i="21"/>
  <c r="FL289" i="21"/>
  <c r="CW1" i="21"/>
  <c r="CW2" i="21" s="1"/>
  <c r="EW162" i="21"/>
  <c r="EX162" i="21" s="1"/>
  <c r="DS162" i="21" s="1"/>
  <c r="FL419" i="21"/>
  <c r="CZ419" i="21"/>
  <c r="FL200" i="21"/>
  <c r="DF200" i="21"/>
  <c r="DF16" i="21" s="1"/>
  <c r="ED413" i="21"/>
  <c r="CR413" i="21" s="1"/>
  <c r="DP466" i="21"/>
  <c r="DO466" i="21"/>
  <c r="DF365" i="21"/>
  <c r="FL365" i="21"/>
  <c r="EX217" i="21"/>
  <c r="EW217" i="21"/>
  <c r="FL308" i="21"/>
  <c r="CZ308" i="21"/>
  <c r="FH392" i="21"/>
  <c r="CV392" i="21"/>
  <c r="DF314" i="21"/>
  <c r="FL314" i="21"/>
  <c r="ED276" i="21"/>
  <c r="CR276" i="21" s="1"/>
  <c r="CV356" i="21"/>
  <c r="FH356" i="21"/>
  <c r="CV352" i="21"/>
  <c r="FH352" i="21"/>
  <c r="DQ479" i="21"/>
  <c r="DR479" i="21"/>
  <c r="DS479" i="21" s="1"/>
  <c r="ED382" i="21"/>
  <c r="CR382" i="21" s="1"/>
  <c r="FL262" i="21"/>
  <c r="DF262" i="21"/>
  <c r="DP469" i="21"/>
  <c r="DO469" i="21"/>
  <c r="DF377" i="21"/>
  <c r="FL377" i="21"/>
  <c r="EX22" i="21"/>
  <c r="FB22" i="21"/>
  <c r="FS53" i="21"/>
  <c r="FS64" i="21" s="1"/>
  <c r="FH322" i="21"/>
  <c r="CV322" i="21"/>
  <c r="ED336" i="21"/>
  <c r="CR336" i="21" s="1"/>
  <c r="ED415" i="21"/>
  <c r="CR415" i="21" s="1"/>
  <c r="AU170" i="21"/>
  <c r="AR170" i="21"/>
  <c r="DR19" i="21"/>
  <c r="DS19" i="21" s="1"/>
  <c r="DR483" i="21"/>
  <c r="DS483" i="21" s="1"/>
  <c r="DQ483" i="21"/>
  <c r="CV402" i="21"/>
  <c r="FH402" i="21"/>
  <c r="ED411" i="21"/>
  <c r="CR411" i="21" s="1"/>
  <c r="CV405" i="21"/>
  <c r="FH405" i="21"/>
  <c r="DP470" i="21"/>
  <c r="DO470" i="21"/>
  <c r="ED297" i="21"/>
  <c r="CR297" i="21" s="1"/>
  <c r="FR56" i="21"/>
  <c r="FL246" i="21"/>
  <c r="DF246" i="21"/>
  <c r="CV261" i="21"/>
  <c r="FH261" i="21"/>
  <c r="ES104" i="21"/>
  <c r="ER104" i="21"/>
  <c r="EW104" i="21"/>
  <c r="DM104" i="21"/>
  <c r="ED408" i="21"/>
  <c r="CR408" i="21" s="1"/>
  <c r="DB327" i="21"/>
  <c r="FH327" i="21"/>
  <c r="FH335" i="21"/>
  <c r="CV335" i="21"/>
  <c r="CN8" i="21"/>
  <c r="FR61" i="21"/>
  <c r="FS54" i="21"/>
  <c r="AU196" i="21"/>
  <c r="AR196" i="21"/>
  <c r="FH445" i="21"/>
  <c r="DB445" i="21"/>
  <c r="ED405" i="21"/>
  <c r="CR405" i="21" s="1"/>
  <c r="ED288" i="21"/>
  <c r="CR288" i="21" s="1"/>
  <c r="FL207" i="21"/>
  <c r="CZ207" i="21"/>
  <c r="DC17" i="21"/>
  <c r="DC16" i="21"/>
  <c r="DC14" i="21"/>
  <c r="DC15" i="21" s="1"/>
  <c r="FL245" i="21"/>
  <c r="DF245" i="21"/>
  <c r="BC296" i="21"/>
  <c r="CN296" i="21" s="1"/>
  <c r="CE4" i="21" s="1"/>
  <c r="EM109" i="21"/>
  <c r="EP109" i="21" s="1"/>
  <c r="EQ109" i="21" s="1"/>
  <c r="FH263" i="21"/>
  <c r="DB263" i="21"/>
  <c r="FH438" i="21"/>
  <c r="CV438" i="21"/>
  <c r="FB106" i="21"/>
  <c r="DR106" i="21" s="1"/>
  <c r="EX106" i="21"/>
  <c r="ED396" i="21"/>
  <c r="CR396" i="21" s="1"/>
  <c r="FL223" i="21"/>
  <c r="CZ223" i="21"/>
  <c r="DF295" i="21"/>
  <c r="FL295" i="21"/>
  <c r="AP221" i="21"/>
  <c r="AT220" i="21"/>
  <c r="AQ220" i="21"/>
  <c r="BC289" i="21"/>
  <c r="CN289" i="21" s="1"/>
  <c r="CV312" i="21"/>
  <c r="FH312" i="21"/>
  <c r="ED318" i="21"/>
  <c r="CR318" i="21" s="1"/>
  <c r="CP2" i="21"/>
  <c r="CG2" i="21"/>
  <c r="FR55" i="21"/>
  <c r="ED307" i="21"/>
  <c r="CR307" i="21" s="1"/>
  <c r="ED394" i="21"/>
  <c r="CR394" i="21" s="1"/>
  <c r="CV370" i="21"/>
  <c r="FH370" i="21"/>
  <c r="FH409" i="21"/>
  <c r="DB409" i="21"/>
  <c r="CZ279" i="21"/>
  <c r="FL279" i="21"/>
  <c r="DB448" i="21"/>
  <c r="FH448" i="21"/>
  <c r="FH201" i="21"/>
  <c r="DB201" i="21"/>
  <c r="ED376" i="21"/>
  <c r="CR376" i="21" s="1"/>
  <c r="DB414" i="21"/>
  <c r="FH414" i="21"/>
  <c r="ED418" i="21"/>
  <c r="CR418" i="21" s="1"/>
  <c r="EW470" i="21"/>
  <c r="EX470" i="21" s="1"/>
  <c r="EW481" i="21"/>
  <c r="EX481" i="21" s="1"/>
  <c r="DB367" i="21"/>
  <c r="FH367" i="21"/>
  <c r="ED329" i="21"/>
  <c r="CR329" i="21" s="1"/>
  <c r="CZ430" i="21"/>
  <c r="FL430" i="21"/>
  <c r="FL243" i="21"/>
  <c r="CZ243" i="21"/>
  <c r="ED443" i="21"/>
  <c r="CR443" i="21" s="1"/>
  <c r="DB371" i="21"/>
  <c r="FH371" i="21"/>
  <c r="FH207" i="21"/>
  <c r="CV207" i="21"/>
  <c r="EO52" i="21"/>
  <c r="FH202" i="21"/>
  <c r="CV202" i="21"/>
  <c r="FL397" i="21"/>
  <c r="DF397" i="21"/>
  <c r="DF259" i="21"/>
  <c r="FL259" i="21"/>
  <c r="ED254" i="21"/>
  <c r="CR254" i="21" s="1"/>
  <c r="ED369" i="21"/>
  <c r="CR369" i="21" s="1"/>
  <c r="BC306" i="21"/>
  <c r="CN306" i="21" s="1"/>
  <c r="FL363" i="21"/>
  <c r="DF363" i="21"/>
  <c r="DB382" i="21"/>
  <c r="FH382" i="21"/>
  <c r="FL208" i="21"/>
  <c r="DF208" i="21"/>
  <c r="CZ393" i="21"/>
  <c r="FL393" i="21"/>
  <c r="ED392" i="21"/>
  <c r="CR392" i="21" s="1"/>
  <c r="BC316" i="21"/>
  <c r="CN316" i="21" s="1"/>
  <c r="DF337" i="21"/>
  <c r="FL337" i="21"/>
  <c r="FL341" i="21"/>
  <c r="DF341" i="21"/>
  <c r="CV241" i="21"/>
  <c r="FH241" i="21"/>
  <c r="FH251" i="21"/>
  <c r="DB251" i="21"/>
  <c r="AZ109" i="21"/>
  <c r="BC109" i="21" s="1"/>
  <c r="AY109" i="21"/>
  <c r="ED345" i="21"/>
  <c r="CR345" i="21" s="1"/>
  <c r="CW17" i="21"/>
  <c r="CW14" i="21"/>
  <c r="CW15" i="21" s="1"/>
  <c r="CW16" i="21"/>
  <c r="DB317" i="21"/>
  <c r="FH317" i="21"/>
  <c r="CV283" i="21"/>
  <c r="FH283" i="21"/>
  <c r="ED106" i="21"/>
  <c r="FS59" i="21"/>
  <c r="BO111" i="21"/>
  <c r="BP111" i="21" s="1"/>
  <c r="EI111" i="21" s="1"/>
  <c r="EH111" i="21" s="1"/>
  <c r="CV96" i="21"/>
  <c r="FH96" i="21"/>
  <c r="ED258" i="21"/>
  <c r="CR258" i="21" s="1"/>
  <c r="CV172" i="21"/>
  <c r="CV17" i="21" s="1"/>
  <c r="FH172" i="21"/>
  <c r="FL346" i="21"/>
  <c r="DF346" i="21"/>
  <c r="BC366" i="21"/>
  <c r="CN366" i="21" s="1"/>
  <c r="BC270" i="21"/>
  <c r="CN270" i="21" s="1"/>
  <c r="ED309" i="21"/>
  <c r="CR309" i="21" s="1"/>
  <c r="FH440" i="21"/>
  <c r="DB440" i="21"/>
  <c r="AT26" i="21"/>
  <c r="DU26" i="21" s="1"/>
  <c r="EM26" i="21" s="1"/>
  <c r="EP26" i="21" s="1"/>
  <c r="EQ26" i="21" s="1"/>
  <c r="AP27" i="21"/>
  <c r="AQ26" i="21"/>
  <c r="BM109" i="21"/>
  <c r="BL109" i="21"/>
  <c r="BN109" i="21" s="1"/>
  <c r="FL277" i="21"/>
  <c r="DF277" i="21"/>
  <c r="ED332" i="21"/>
  <c r="CR332" i="21" s="1"/>
  <c r="BO108" i="21"/>
  <c r="BP108" i="21" s="1"/>
  <c r="EI108" i="21" s="1"/>
  <c r="EH108" i="21" s="1"/>
  <c r="ED204" i="21"/>
  <c r="CR204" i="21" s="1"/>
  <c r="DN218" i="21"/>
  <c r="EM218" i="21"/>
  <c r="EP218" i="21" s="1"/>
  <c r="EQ218" i="21" s="1"/>
  <c r="DB305" i="21"/>
  <c r="FH305" i="21"/>
  <c r="CV411" i="21"/>
  <c r="FH411" i="21"/>
  <c r="ED417" i="21"/>
  <c r="CR417" i="21" s="1"/>
  <c r="ED426" i="21"/>
  <c r="CR426" i="21" s="1"/>
  <c r="EE3" i="21"/>
  <c r="EE1" i="21"/>
  <c r="EE2" i="21" s="1"/>
  <c r="FS55" i="21"/>
  <c r="CV374" i="21"/>
  <c r="FH374" i="21"/>
  <c r="ED391" i="21"/>
  <c r="CR391" i="21" s="1"/>
  <c r="FL420" i="21"/>
  <c r="DF420" i="21"/>
  <c r="AU109" i="21"/>
  <c r="AR109" i="21"/>
  <c r="ED398" i="21"/>
  <c r="CR398" i="21" s="1"/>
  <c r="EW493" i="21"/>
  <c r="EX493" i="21" s="1"/>
  <c r="ED368" i="21"/>
  <c r="CR368" i="21" s="1"/>
  <c r="ED384" i="21"/>
  <c r="CR384" i="21" s="1"/>
  <c r="FH233" i="21"/>
  <c r="CV233" i="21"/>
  <c r="FH292" i="21"/>
  <c r="DB292" i="21"/>
  <c r="EW192" i="21"/>
  <c r="EX192" i="21" s="1"/>
  <c r="CN6" i="21"/>
  <c r="CN7" i="21" s="1"/>
  <c r="FR58" i="21"/>
  <c r="FR64" i="21" s="1"/>
  <c r="DF427" i="21"/>
  <c r="FL427" i="21"/>
  <c r="FH329" i="21"/>
  <c r="CV329" i="21"/>
  <c r="FR59" i="21"/>
  <c r="FH418" i="21"/>
  <c r="DB418" i="21"/>
  <c r="ED352" i="21"/>
  <c r="CR352" i="21" s="1"/>
  <c r="FL278" i="21"/>
  <c r="DF278" i="21"/>
  <c r="CV99" i="21"/>
  <c r="CV8" i="21" s="1"/>
  <c r="FH99" i="21"/>
  <c r="DP493" i="21"/>
  <c r="DO493" i="21"/>
  <c r="FH345" i="21"/>
  <c r="DB345" i="21"/>
  <c r="ED273" i="21"/>
  <c r="CR273" i="21" s="1"/>
  <c r="FL283" i="21"/>
  <c r="CZ283" i="21"/>
  <c r="DF403" i="21"/>
  <c r="FL403" i="21"/>
  <c r="CV439" i="21"/>
  <c r="FH439" i="21"/>
  <c r="ER110" i="21"/>
  <c r="ES110" i="21"/>
  <c r="FL248" i="21"/>
  <c r="CZ248" i="21"/>
  <c r="ED284" i="21"/>
  <c r="CR284" i="21" s="1"/>
  <c r="FH384" i="21"/>
  <c r="DB384" i="21"/>
  <c r="DF448" i="21"/>
  <c r="FL448" i="21"/>
  <c r="FL385" i="21"/>
  <c r="CZ385" i="21"/>
  <c r="CV9" i="21"/>
  <c r="CV6" i="21"/>
  <c r="CV7" i="21" s="1"/>
  <c r="EX194" i="21"/>
  <c r="ED265" i="21"/>
  <c r="CR265" i="21" s="1"/>
  <c r="FL445" i="21"/>
  <c r="DF445" i="21"/>
  <c r="FH426" i="21"/>
  <c r="CV426" i="21"/>
  <c r="DF252" i="21"/>
  <c r="FL252" i="21"/>
  <c r="FL331" i="21"/>
  <c r="CZ331" i="21"/>
  <c r="CO2" i="21"/>
  <c r="CF2" i="21"/>
  <c r="ER169" i="21"/>
  <c r="ES169" i="21"/>
  <c r="ED383" i="21"/>
  <c r="CR383" i="21" s="1"/>
  <c r="AR111" i="21"/>
  <c r="AU111" i="21"/>
  <c r="FL449" i="21"/>
  <c r="DF449" i="21"/>
  <c r="BC383" i="21"/>
  <c r="CN383" i="21" s="1"/>
  <c r="ED431" i="21"/>
  <c r="CR431" i="21" s="1"/>
  <c r="CB109" i="21"/>
  <c r="CI109" i="21" s="1"/>
  <c r="CK109" i="21" s="1"/>
  <c r="ED267" i="21"/>
  <c r="CR267" i="21" s="1"/>
  <c r="FL292" i="21"/>
  <c r="DF292" i="21"/>
  <c r="FL338" i="21"/>
  <c r="DF338" i="21"/>
  <c r="FH331" i="21"/>
  <c r="CV331" i="21"/>
  <c r="ED205" i="21"/>
  <c r="CR205" i="21" s="1"/>
  <c r="DB13" i="21"/>
  <c r="ED428" i="21"/>
  <c r="CR428" i="21" s="1"/>
  <c r="ED409" i="21"/>
  <c r="CR409" i="21" s="1"/>
  <c r="FL322" i="21"/>
  <c r="CZ322" i="21"/>
  <c r="FL434" i="21"/>
  <c r="CZ434" i="21"/>
  <c r="AD167" i="21"/>
  <c r="FK167" i="21"/>
  <c r="FM167" i="21" s="1"/>
  <c r="CY167" i="21"/>
  <c r="DR465" i="21"/>
  <c r="DS465" i="21" s="1"/>
  <c r="DQ465" i="21"/>
  <c r="DR165" i="21"/>
  <c r="DQ165" i="21"/>
  <c r="FL202" i="21"/>
  <c r="CZ202" i="21"/>
  <c r="DC12" i="21"/>
  <c r="DC10" i="21"/>
  <c r="DC11" i="21" s="1"/>
  <c r="DC13" i="21"/>
  <c r="ED310" i="21"/>
  <c r="CR310" i="21" s="1"/>
  <c r="EX496" i="21"/>
  <c r="CV196" i="21"/>
  <c r="FH196" i="21"/>
  <c r="CV221" i="21"/>
  <c r="FH221" i="21"/>
  <c r="CZ272" i="21"/>
  <c r="FL272" i="21"/>
  <c r="DQ472" i="21"/>
  <c r="DR472" i="21" s="1"/>
  <c r="DS472" i="21" s="1"/>
  <c r="EM111" i="21"/>
  <c r="EP111" i="21" s="1"/>
  <c r="EQ111" i="21" s="1"/>
  <c r="BC408" i="21"/>
  <c r="CN408" i="21" s="1"/>
  <c r="FL293" i="21"/>
  <c r="DF293" i="21"/>
  <c r="DB12" i="21"/>
  <c r="ED416" i="21"/>
  <c r="CR416" i="21" s="1"/>
  <c r="ED294" i="21"/>
  <c r="CR294" i="21" s="1"/>
  <c r="ED395" i="21"/>
  <c r="CR395" i="21" s="1"/>
  <c r="DB302" i="21"/>
  <c r="FH302" i="21"/>
  <c r="DB276" i="21"/>
  <c r="FH276" i="21"/>
  <c r="FS57" i="21"/>
  <c r="EX193" i="21"/>
  <c r="DS193" i="21" s="1"/>
  <c r="ED305" i="21"/>
  <c r="CR305" i="21" s="1"/>
  <c r="FL255" i="21"/>
  <c r="CZ255" i="21"/>
  <c r="ED361" i="21"/>
  <c r="CR361" i="21" s="1"/>
  <c r="ED410" i="21"/>
  <c r="CR410" i="21" s="1"/>
  <c r="FL266" i="21"/>
  <c r="CZ266" i="21"/>
  <c r="CV206" i="21"/>
  <c r="FH206" i="21"/>
  <c r="ED406" i="21"/>
  <c r="CR406" i="21" s="1"/>
  <c r="AT112" i="21"/>
  <c r="AP113" i="21"/>
  <c r="AQ112" i="21"/>
  <c r="FL281" i="21"/>
  <c r="CZ281" i="21"/>
  <c r="BC428" i="21"/>
  <c r="CN428" i="21" s="1"/>
  <c r="EW193" i="21"/>
  <c r="ED320" i="21"/>
  <c r="CR320" i="21" s="1"/>
  <c r="FL238" i="21"/>
  <c r="CZ238" i="21"/>
  <c r="FL340" i="21"/>
  <c r="CZ340" i="21"/>
  <c r="EM25" i="21"/>
  <c r="EP25" i="21" s="1"/>
  <c r="EQ25" i="21" s="1"/>
  <c r="ED347" i="21"/>
  <c r="CR347" i="21" s="1"/>
  <c r="DQ217" i="21"/>
  <c r="DR217" i="21"/>
  <c r="DS217" i="21" s="1"/>
  <c r="EX492" i="21"/>
  <c r="ED249" i="21"/>
  <c r="CR249" i="21" s="1"/>
  <c r="EW488" i="21"/>
  <c r="EX488" i="21" s="1"/>
  <c r="AU25" i="21"/>
  <c r="DO496" i="21"/>
  <c r="DP496" i="21"/>
  <c r="FL342" i="21"/>
  <c r="DF342" i="21"/>
  <c r="BC336" i="21"/>
  <c r="CN336" i="21" s="1"/>
  <c r="DN196" i="21"/>
  <c r="DO196" i="21" s="1"/>
  <c r="EM196" i="21"/>
  <c r="EP196" i="21" s="1"/>
  <c r="EQ196" i="21" s="1"/>
  <c r="FL241" i="21"/>
  <c r="CZ241" i="21"/>
  <c r="ED263" i="21"/>
  <c r="CR263" i="21" s="1"/>
  <c r="FH307" i="21"/>
  <c r="CV307" i="21"/>
  <c r="FH447" i="21"/>
  <c r="CV447" i="21"/>
  <c r="FH347" i="21"/>
  <c r="CV347" i="21"/>
  <c r="ED20" i="21"/>
  <c r="DR20" i="21"/>
  <c r="DS20" i="21" s="1"/>
  <c r="DQ490" i="21"/>
  <c r="DR490" i="21" s="1"/>
  <c r="DS490" i="21" s="1"/>
  <c r="ED312" i="21"/>
  <c r="CR312" i="21" s="1"/>
  <c r="ED356" i="21"/>
  <c r="CR356" i="21" s="1"/>
  <c r="FH198" i="21"/>
  <c r="CV198" i="21"/>
  <c r="DF280" i="21"/>
  <c r="FL280" i="21"/>
  <c r="FL206" i="21"/>
  <c r="CZ206" i="21"/>
  <c r="BC310" i="21"/>
  <c r="CN310" i="21" s="1"/>
  <c r="DB429" i="21"/>
  <c r="FH429" i="21"/>
  <c r="FH339" i="21"/>
  <c r="CV339" i="21"/>
  <c r="CV203" i="21"/>
  <c r="FH203" i="21"/>
  <c r="ED447" i="21"/>
  <c r="CR447" i="21" s="1"/>
  <c r="ES195" i="21"/>
  <c r="ER195" i="21"/>
  <c r="AP198" i="21"/>
  <c r="AT197" i="21"/>
  <c r="AQ197" i="21"/>
  <c r="DR215" i="21"/>
  <c r="DS215" i="21" s="1"/>
  <c r="FL354" i="21"/>
  <c r="CZ354" i="21"/>
  <c r="ED425" i="21"/>
  <c r="CR425" i="21" s="1"/>
  <c r="ED270" i="21"/>
  <c r="CR270" i="21" s="1"/>
  <c r="ED316" i="21"/>
  <c r="CR316" i="21" s="1"/>
  <c r="FP64" i="21"/>
  <c r="ED359" i="21"/>
  <c r="CR359" i="21" s="1"/>
  <c r="ED350" i="21"/>
  <c r="CR350" i="21" s="1"/>
  <c r="FH278" i="21"/>
  <c r="DB278" i="21"/>
  <c r="CV204" i="21"/>
  <c r="FH204" i="21"/>
  <c r="FL192" i="21"/>
  <c r="CZ192" i="21"/>
  <c r="ED373" i="21"/>
  <c r="CR373" i="21" s="1"/>
  <c r="FH443" i="21"/>
  <c r="CV443" i="21"/>
  <c r="ED291" i="21"/>
  <c r="CR291" i="21" s="1"/>
  <c r="DS495" i="21"/>
  <c r="DD10" i="21"/>
  <c r="DD11" i="21" s="1"/>
  <c r="DD12" i="21"/>
  <c r="DD13" i="21"/>
  <c r="ED374" i="21"/>
  <c r="CR374" i="21" s="1"/>
  <c r="EX466" i="21"/>
  <c r="DP492" i="21"/>
  <c r="DO492" i="21"/>
  <c r="FR54" i="21"/>
  <c r="DO488" i="21"/>
  <c r="DP488" i="21"/>
  <c r="DF253" i="21"/>
  <c r="FL253" i="21"/>
  <c r="EX165" i="21"/>
  <c r="ED301" i="21"/>
  <c r="CR301" i="21" s="1"/>
  <c r="DB361" i="21"/>
  <c r="FH361" i="21"/>
  <c r="DF378" i="21"/>
  <c r="FL378" i="21"/>
  <c r="CV195" i="21"/>
  <c r="CV16" i="21" s="1"/>
  <c r="FH195" i="21"/>
  <c r="ED257" i="21"/>
  <c r="CR257" i="21" s="1"/>
  <c r="AR219" i="21"/>
  <c r="AU219" i="21"/>
  <c r="FH291" i="21"/>
  <c r="DB291" i="21"/>
  <c r="DB378" i="20"/>
  <c r="FH378" i="20"/>
  <c r="EW193" i="20"/>
  <c r="EX193" i="20" s="1"/>
  <c r="DS193" i="20" s="1"/>
  <c r="DC6" i="20"/>
  <c r="DC7" i="20" s="1"/>
  <c r="DC8" i="20"/>
  <c r="DS475" i="20"/>
  <c r="EW195" i="20"/>
  <c r="EX195" i="20" s="1"/>
  <c r="DS195" i="20" s="1"/>
  <c r="DD1" i="20"/>
  <c r="DD2" i="20" s="1"/>
  <c r="DD3" i="20"/>
  <c r="EW20" i="20"/>
  <c r="FB20" i="20" s="1"/>
  <c r="DS485" i="20"/>
  <c r="EW21" i="20"/>
  <c r="EX21" i="20" s="1"/>
  <c r="EW23" i="20"/>
  <c r="FB23" i="20" s="1"/>
  <c r="EW469" i="20"/>
  <c r="EX469" i="20" s="1"/>
  <c r="EW196" i="20"/>
  <c r="EX196" i="20" s="1"/>
  <c r="FR58" i="20"/>
  <c r="EW19" i="20"/>
  <c r="EW492" i="20"/>
  <c r="EW471" i="20"/>
  <c r="EW467" i="20"/>
  <c r="EX467" i="20" s="1"/>
  <c r="EW468" i="20"/>
  <c r="EX468" i="20" s="1"/>
  <c r="DQ212" i="20"/>
  <c r="DR212" i="20" s="1"/>
  <c r="EX108" i="20"/>
  <c r="DS108" i="20" s="1"/>
  <c r="EW157" i="20"/>
  <c r="EX157" i="20" s="1"/>
  <c r="DS157" i="20" s="1"/>
  <c r="BO109" i="20"/>
  <c r="EW22" i="20"/>
  <c r="DS491" i="20"/>
  <c r="DC16" i="20"/>
  <c r="DQ192" i="20"/>
  <c r="DR192" i="20" s="1"/>
  <c r="EW470" i="20"/>
  <c r="EX470" i="20" s="1"/>
  <c r="CX6" i="20"/>
  <c r="CX7" i="20" s="1"/>
  <c r="EW486" i="20"/>
  <c r="EW104" i="20"/>
  <c r="FB104" i="20" s="1"/>
  <c r="DR104" i="20" s="1"/>
  <c r="DP466" i="20"/>
  <c r="DO466" i="20"/>
  <c r="FR61" i="20"/>
  <c r="EW194" i="20"/>
  <c r="EX194" i="20" s="1"/>
  <c r="EW213" i="20"/>
  <c r="EX213" i="20" s="1"/>
  <c r="DS213" i="20" s="1"/>
  <c r="FR60" i="20"/>
  <c r="DC17" i="20"/>
  <c r="CX8" i="20"/>
  <c r="FH196" i="20"/>
  <c r="CV196" i="20"/>
  <c r="DC14" i="20"/>
  <c r="DC15" i="20" s="1"/>
  <c r="FR55" i="20"/>
  <c r="EW105" i="20"/>
  <c r="FB105" i="20" s="1"/>
  <c r="DR105" i="20" s="1"/>
  <c r="DC4" i="20"/>
  <c r="CX1" i="20"/>
  <c r="CX2" i="20" s="1"/>
  <c r="EW158" i="20"/>
  <c r="EX158" i="20" s="1"/>
  <c r="DS158" i="20" s="1"/>
  <c r="CV195" i="20"/>
  <c r="FH195" i="20"/>
  <c r="EM172" i="5"/>
  <c r="EL172" i="5"/>
  <c r="AN109" i="5"/>
  <c r="DO109" i="5" s="1"/>
  <c r="N109" i="5"/>
  <c r="BI141" i="5"/>
  <c r="BJ141" i="5" s="1"/>
  <c r="EC141" i="5" s="1"/>
  <c r="EB141" i="5" s="1"/>
  <c r="FD132" i="5"/>
  <c r="AT223" i="5"/>
  <c r="CR185" i="5"/>
  <c r="DK487" i="5"/>
  <c r="DL487" i="5" s="1"/>
  <c r="DM487" i="5" s="1"/>
  <c r="ET142" i="5"/>
  <c r="EB196" i="5"/>
  <c r="ET129" i="5"/>
  <c r="EB211" i="5"/>
  <c r="ET127" i="5"/>
  <c r="BV76" i="5"/>
  <c r="CC76" i="5" s="1"/>
  <c r="CE76" i="5" s="1"/>
  <c r="CJ76" i="5" s="1"/>
  <c r="BV212" i="5"/>
  <c r="CC212" i="5" s="1"/>
  <c r="ET143" i="5"/>
  <c r="FC176" i="5"/>
  <c r="CC121" i="5"/>
  <c r="CE121" i="5" s="1"/>
  <c r="CJ121" i="5" s="1"/>
  <c r="ET125" i="5"/>
  <c r="BV77" i="5"/>
  <c r="CC77" i="5" s="1"/>
  <c r="CE77" i="5" s="1"/>
  <c r="CJ77" i="5" s="1"/>
  <c r="BV210" i="5"/>
  <c r="CC210" i="5" s="1"/>
  <c r="AK106" i="5"/>
  <c r="ET131" i="5"/>
  <c r="CE222" i="5"/>
  <c r="AT183" i="5"/>
  <c r="CE187" i="5"/>
  <c r="CJ187" i="5" s="1"/>
  <c r="AT163" i="5"/>
  <c r="AP163" i="5" s="1"/>
  <c r="AQ163" i="5" s="1"/>
  <c r="BB231" i="5"/>
  <c r="BT213" i="5"/>
  <c r="BV213" i="5" s="1"/>
  <c r="CC213" i="5" s="1"/>
  <c r="CE213" i="5" s="1"/>
  <c r="CJ213" i="5" s="1"/>
  <c r="BV78" i="5"/>
  <c r="CC78" i="5" s="1"/>
  <c r="CE78" i="5" s="1"/>
  <c r="CJ78" i="5" s="1"/>
  <c r="FC170" i="5"/>
  <c r="EB214" i="5"/>
  <c r="ET145" i="5"/>
  <c r="BI115" i="5"/>
  <c r="BJ115" i="5" s="1"/>
  <c r="EC115" i="5" s="1"/>
  <c r="EB115" i="5" s="1"/>
  <c r="DG115" i="5" s="1"/>
  <c r="BT203" i="5"/>
  <c r="BV203" i="5" s="1"/>
  <c r="CC203" i="5" s="1"/>
  <c r="CE203" i="5" s="1"/>
  <c r="CJ203" i="5" s="1"/>
  <c r="CQ203" i="5" s="1"/>
  <c r="CE182" i="5"/>
  <c r="CJ182" i="5" s="1"/>
  <c r="BV207" i="5"/>
  <c r="CC207" i="5" s="1"/>
  <c r="AT177" i="5"/>
  <c r="BV79" i="5"/>
  <c r="CC79" i="5" s="1"/>
  <c r="CE79" i="5" s="1"/>
  <c r="CJ79" i="5" s="1"/>
  <c r="ET139" i="5"/>
  <c r="AT164" i="5"/>
  <c r="BI126" i="5"/>
  <c r="BJ126" i="5" s="1"/>
  <c r="EC126" i="5" s="1"/>
  <c r="EB126" i="5" s="1"/>
  <c r="DG126" i="5" s="1"/>
  <c r="EV20" i="5"/>
  <c r="DX20" i="5" s="1"/>
  <c r="EQ156" i="5"/>
  <c r="CE178" i="5"/>
  <c r="CJ178" i="5" s="1"/>
  <c r="ET130" i="5"/>
  <c r="BI145" i="5"/>
  <c r="BJ145" i="5" s="1"/>
  <c r="EC145" i="5" s="1"/>
  <c r="EB145" i="5" s="1"/>
  <c r="CE190" i="5"/>
  <c r="CJ190" i="5" s="1"/>
  <c r="BV90" i="5"/>
  <c r="CC90" i="5" s="1"/>
  <c r="CE90" i="5" s="1"/>
  <c r="CJ90" i="5" s="1"/>
  <c r="CQ126" i="5"/>
  <c r="AT220" i="5"/>
  <c r="AW220" i="5" s="1"/>
  <c r="BV92" i="5"/>
  <c r="CC92" i="5" s="1"/>
  <c r="CE92" i="5" s="1"/>
  <c r="CJ92" i="5" s="1"/>
  <c r="FC187" i="5"/>
  <c r="BB246" i="5"/>
  <c r="CE175" i="5"/>
  <c r="CJ175" i="5" s="1"/>
  <c r="CJ13" i="5"/>
  <c r="AK107" i="5"/>
  <c r="BV69" i="5"/>
  <c r="CC69" i="5" s="1"/>
  <c r="CE69" i="5" s="1"/>
  <c r="CJ69" i="5" s="1"/>
  <c r="BB217" i="5"/>
  <c r="BB222" i="5"/>
  <c r="BI128" i="5"/>
  <c r="BJ128" i="5" s="1"/>
  <c r="EC128" i="5" s="1"/>
  <c r="EB128" i="5" s="1"/>
  <c r="CQ168" i="20"/>
  <c r="CQ193" i="20"/>
  <c r="ED306" i="20"/>
  <c r="CR306" i="20" s="1"/>
  <c r="DF421" i="20"/>
  <c r="FL421" i="20"/>
  <c r="BC353" i="20"/>
  <c r="CN353" i="20" s="1"/>
  <c r="CV181" i="20"/>
  <c r="FH181" i="20"/>
  <c r="ED370" i="20"/>
  <c r="CR370" i="20" s="1"/>
  <c r="EW197" i="20"/>
  <c r="EX197" i="20" s="1"/>
  <c r="DS197" i="20" s="1"/>
  <c r="DF390" i="20"/>
  <c r="FL390" i="20"/>
  <c r="ED364" i="20"/>
  <c r="CR364" i="20" s="1"/>
  <c r="DS496" i="20"/>
  <c r="CV303" i="20"/>
  <c r="FH303" i="20"/>
  <c r="AP219" i="20"/>
  <c r="AT218" i="20"/>
  <c r="AQ218" i="20"/>
  <c r="DB414" i="20"/>
  <c r="FH414" i="20"/>
  <c r="DO467" i="20"/>
  <c r="DP467" i="20"/>
  <c r="ED355" i="20"/>
  <c r="CR355" i="20" s="1"/>
  <c r="AU110" i="20"/>
  <c r="AR110" i="20"/>
  <c r="FH384" i="20"/>
  <c r="DB384" i="20"/>
  <c r="ED449" i="20"/>
  <c r="CR449" i="20" s="1"/>
  <c r="CZ227" i="20"/>
  <c r="FL227" i="20"/>
  <c r="DO169" i="20"/>
  <c r="DP169" i="20"/>
  <c r="CV311" i="20"/>
  <c r="FH311" i="20"/>
  <c r="ED388" i="20"/>
  <c r="CR388" i="20" s="1"/>
  <c r="ED435" i="20"/>
  <c r="CR435" i="20" s="1"/>
  <c r="ED279" i="20"/>
  <c r="CR279" i="20" s="1"/>
  <c r="DF415" i="20"/>
  <c r="FL415" i="20"/>
  <c r="DB183" i="20"/>
  <c r="FH183" i="20"/>
  <c r="FL328" i="20"/>
  <c r="CZ328" i="20"/>
  <c r="CV290" i="20"/>
  <c r="FH290" i="20"/>
  <c r="ED282" i="20"/>
  <c r="CR282" i="20" s="1"/>
  <c r="ED330" i="20"/>
  <c r="CR330" i="20" s="1"/>
  <c r="ED445" i="20"/>
  <c r="CR445" i="20" s="1"/>
  <c r="FS59" i="20"/>
  <c r="FS56" i="20"/>
  <c r="FS58" i="20"/>
  <c r="FS61" i="20"/>
  <c r="FS53" i="20"/>
  <c r="FS55" i="20"/>
  <c r="FS60" i="20"/>
  <c r="FS57" i="20"/>
  <c r="FS54" i="20"/>
  <c r="ED447" i="20"/>
  <c r="CR447" i="20" s="1"/>
  <c r="ED266" i="20"/>
  <c r="CR266" i="20" s="1"/>
  <c r="CV430" i="20"/>
  <c r="FH430" i="20"/>
  <c r="EW483" i="20"/>
  <c r="EX483" i="20" s="1"/>
  <c r="FH255" i="20"/>
  <c r="CV255" i="20"/>
  <c r="ED446" i="20"/>
  <c r="CR446" i="20" s="1"/>
  <c r="ED308" i="20"/>
  <c r="CR308" i="20" s="1"/>
  <c r="DQ494" i="20"/>
  <c r="DR494" i="20" s="1"/>
  <c r="DS494" i="20" s="1"/>
  <c r="DB278" i="20"/>
  <c r="FH278" i="20"/>
  <c r="ED343" i="20"/>
  <c r="CR343" i="20" s="1"/>
  <c r="DB361" i="20"/>
  <c r="FH361" i="20"/>
  <c r="FL392" i="20"/>
  <c r="CZ392" i="20"/>
  <c r="ED327" i="20"/>
  <c r="CR327" i="20" s="1"/>
  <c r="FL408" i="20"/>
  <c r="CZ408" i="20"/>
  <c r="DU217" i="20"/>
  <c r="AV217" i="20"/>
  <c r="AW217" i="20" s="1"/>
  <c r="DQ484" i="20"/>
  <c r="DR484" i="20" s="1"/>
  <c r="DS484" i="20" s="1"/>
  <c r="FL396" i="20"/>
  <c r="CZ396" i="20"/>
  <c r="FL420" i="20"/>
  <c r="DF420" i="20"/>
  <c r="DF317" i="20"/>
  <c r="FL317" i="20"/>
  <c r="DP470" i="20"/>
  <c r="DO470" i="20"/>
  <c r="FL322" i="20"/>
  <c r="CZ322" i="20"/>
  <c r="FH385" i="20"/>
  <c r="CV385" i="20"/>
  <c r="ED433" i="20"/>
  <c r="CR433" i="20" s="1"/>
  <c r="CN8" i="20"/>
  <c r="CV312" i="20"/>
  <c r="FH312" i="20"/>
  <c r="ED253" i="20"/>
  <c r="CR253" i="20" s="1"/>
  <c r="CZ241" i="20"/>
  <c r="FL241" i="20"/>
  <c r="ED338" i="20"/>
  <c r="CR338" i="20" s="1"/>
  <c r="DQ480" i="20"/>
  <c r="DR480" i="20" s="1"/>
  <c r="DS480" i="20" s="1"/>
  <c r="ED438" i="20"/>
  <c r="CR438" i="20" s="1"/>
  <c r="FL250" i="20"/>
  <c r="DF250" i="20"/>
  <c r="CW4" i="20"/>
  <c r="CW3" i="20"/>
  <c r="CW1" i="20"/>
  <c r="CW2" i="20" s="1"/>
  <c r="CW9" i="20"/>
  <c r="CW8" i="20"/>
  <c r="CW6" i="20"/>
  <c r="CW7" i="20" s="1"/>
  <c r="DB394" i="20"/>
  <c r="FH394" i="20"/>
  <c r="CZ428" i="20"/>
  <c r="FL428" i="20"/>
  <c r="DQ215" i="20"/>
  <c r="DR215" i="20" s="1"/>
  <c r="DB269" i="20"/>
  <c r="FH269" i="20"/>
  <c r="FH291" i="20"/>
  <c r="DB291" i="20"/>
  <c r="CV356" i="20"/>
  <c r="FH356" i="20"/>
  <c r="ED291" i="20"/>
  <c r="CR291" i="20" s="1"/>
  <c r="FH429" i="20"/>
  <c r="DB429" i="20"/>
  <c r="DP483" i="20"/>
  <c r="DO483" i="20"/>
  <c r="CZ339" i="20"/>
  <c r="FL339" i="20"/>
  <c r="DB376" i="20"/>
  <c r="FH376" i="20"/>
  <c r="FL264" i="20"/>
  <c r="DF264" i="20"/>
  <c r="ED346" i="20"/>
  <c r="CR346" i="20" s="1"/>
  <c r="FL224" i="20"/>
  <c r="CZ224" i="20"/>
  <c r="EX492" i="20"/>
  <c r="ED385" i="20"/>
  <c r="CR385" i="20" s="1"/>
  <c r="CV171" i="20"/>
  <c r="FH171" i="20"/>
  <c r="DB397" i="20"/>
  <c r="FH397" i="20"/>
  <c r="DB9" i="20"/>
  <c r="DB8" i="20"/>
  <c r="DB6" i="20"/>
  <c r="DB7" i="20" s="1"/>
  <c r="DC1" i="20"/>
  <c r="DC2" i="20" s="1"/>
  <c r="FH264" i="20"/>
  <c r="DB264" i="20"/>
  <c r="CU3" i="20"/>
  <c r="CU1" i="20"/>
  <c r="CU2" i="20" s="1"/>
  <c r="CU9" i="20"/>
  <c r="CU8" i="20"/>
  <c r="CU6" i="20"/>
  <c r="CU7" i="20" s="1"/>
  <c r="CU4" i="20"/>
  <c r="CZ351" i="20"/>
  <c r="FL351" i="20"/>
  <c r="CV443" i="20"/>
  <c r="FH443" i="20"/>
  <c r="DO468" i="20"/>
  <c r="DP468" i="20"/>
  <c r="ED407" i="20"/>
  <c r="CR407" i="20" s="1"/>
  <c r="FL245" i="20"/>
  <c r="DF245" i="20"/>
  <c r="ES216" i="20"/>
  <c r="ER216" i="20"/>
  <c r="ED108" i="20"/>
  <c r="FL442" i="20"/>
  <c r="CZ442" i="20"/>
  <c r="AU24" i="20"/>
  <c r="AR24" i="20"/>
  <c r="CN9" i="20"/>
  <c r="DQ465" i="20"/>
  <c r="DR465" i="20" s="1"/>
  <c r="DS465" i="20" s="1"/>
  <c r="ED209" i="20"/>
  <c r="CR209" i="20" s="1"/>
  <c r="ED361" i="20"/>
  <c r="CR361" i="20" s="1"/>
  <c r="EX471" i="20"/>
  <c r="ED331" i="20"/>
  <c r="CR331" i="20" s="1"/>
  <c r="ED206" i="20"/>
  <c r="CR206" i="20" s="1"/>
  <c r="ED315" i="20"/>
  <c r="CR315" i="20" s="1"/>
  <c r="DB387" i="20"/>
  <c r="FH387" i="20"/>
  <c r="ED358" i="20"/>
  <c r="CR358" i="20" s="1"/>
  <c r="CZ423" i="20"/>
  <c r="FL423" i="20"/>
  <c r="CV97" i="20"/>
  <c r="FH97" i="20"/>
  <c r="ED411" i="20"/>
  <c r="CR411" i="20" s="1"/>
  <c r="FL381" i="20"/>
  <c r="CZ381" i="20"/>
  <c r="ED400" i="20"/>
  <c r="CR400" i="20" s="1"/>
  <c r="FL397" i="20"/>
  <c r="DF397" i="20"/>
  <c r="CV366" i="20"/>
  <c r="FH366" i="20"/>
  <c r="CV447" i="20"/>
  <c r="FH447" i="20"/>
  <c r="FH362" i="20"/>
  <c r="CV362" i="20"/>
  <c r="FH439" i="20"/>
  <c r="CV439" i="20"/>
  <c r="FL192" i="20"/>
  <c r="CZ192" i="20"/>
  <c r="EW478" i="20"/>
  <c r="EX478" i="20" s="1"/>
  <c r="ED288" i="20"/>
  <c r="CR288" i="20" s="1"/>
  <c r="ED414" i="20"/>
  <c r="CR414" i="20" s="1"/>
  <c r="ED345" i="20"/>
  <c r="CR345" i="20" s="1"/>
  <c r="FH99" i="20"/>
  <c r="CV99" i="20"/>
  <c r="DF225" i="20"/>
  <c r="FL225" i="20"/>
  <c r="DC3" i="20"/>
  <c r="FP55" i="20"/>
  <c r="FP60" i="20"/>
  <c r="FP57" i="20"/>
  <c r="FP59" i="20"/>
  <c r="FP54" i="20"/>
  <c r="FP56" i="20"/>
  <c r="FP61" i="20"/>
  <c r="FP53" i="20"/>
  <c r="FP58" i="20"/>
  <c r="DB13" i="20"/>
  <c r="DB10" i="20"/>
  <c r="DB11" i="20" s="1"/>
  <c r="DB12" i="20"/>
  <c r="FH374" i="20"/>
  <c r="CV374" i="20"/>
  <c r="ED340" i="20"/>
  <c r="CR340" i="20" s="1"/>
  <c r="FL350" i="20"/>
  <c r="CZ350" i="20"/>
  <c r="DO216" i="20"/>
  <c r="DP216" i="20"/>
  <c r="ED386" i="20"/>
  <c r="CR386" i="20" s="1"/>
  <c r="ED394" i="20"/>
  <c r="CR394" i="20" s="1"/>
  <c r="DB424" i="20"/>
  <c r="FH424" i="20"/>
  <c r="ER24" i="20"/>
  <c r="ES24" i="20"/>
  <c r="FH257" i="20"/>
  <c r="DB257" i="20"/>
  <c r="ED399" i="20"/>
  <c r="CR399" i="20" s="1"/>
  <c r="ED373" i="20"/>
  <c r="CR373" i="20" s="1"/>
  <c r="DO471" i="20"/>
  <c r="DP471" i="20"/>
  <c r="FL356" i="20"/>
  <c r="CZ356" i="20"/>
  <c r="FL387" i="20"/>
  <c r="DF387" i="20"/>
  <c r="CQ165" i="20"/>
  <c r="DP488" i="20"/>
  <c r="DO488" i="20"/>
  <c r="FH341" i="20"/>
  <c r="DB341" i="20"/>
  <c r="CV393" i="20"/>
  <c r="FH393" i="20"/>
  <c r="ED277" i="20"/>
  <c r="CR277" i="20" s="1"/>
  <c r="CG2" i="20"/>
  <c r="CP2" i="20"/>
  <c r="AD197" i="20"/>
  <c r="CY197" i="20"/>
  <c r="FK197" i="20"/>
  <c r="FM197" i="20" s="1"/>
  <c r="DB295" i="20"/>
  <c r="FH295" i="20"/>
  <c r="ED404" i="20"/>
  <c r="CR404" i="20" s="1"/>
  <c r="FL432" i="20"/>
  <c r="CZ432" i="20"/>
  <c r="CX4" i="20"/>
  <c r="CZ368" i="20"/>
  <c r="FL368" i="20"/>
  <c r="BP109" i="20"/>
  <c r="EI109" i="20" s="1"/>
  <c r="EH109" i="20" s="1"/>
  <c r="ED263" i="20"/>
  <c r="CR263" i="20" s="1"/>
  <c r="CV299" i="20"/>
  <c r="FH299" i="20"/>
  <c r="FH103" i="20"/>
  <c r="CV103" i="20"/>
  <c r="CF2" i="20"/>
  <c r="CO2" i="20"/>
  <c r="DF334" i="20"/>
  <c r="FL334" i="20"/>
  <c r="CZ240" i="20"/>
  <c r="FL240" i="20"/>
  <c r="ED320" i="20"/>
  <c r="CR320" i="20" s="1"/>
  <c r="DO478" i="20"/>
  <c r="DP478" i="20"/>
  <c r="EW482" i="20"/>
  <c r="EX482" i="20" s="1"/>
  <c r="DF425" i="20"/>
  <c r="FL425" i="20"/>
  <c r="DF309" i="20"/>
  <c r="FL309" i="20"/>
  <c r="ED258" i="20"/>
  <c r="CR258" i="20" s="1"/>
  <c r="BO106" i="20"/>
  <c r="BP106" i="20" s="1"/>
  <c r="EI106" i="20" s="1"/>
  <c r="EH106" i="20" s="1"/>
  <c r="DP492" i="20"/>
  <c r="DO492" i="20"/>
  <c r="EW168" i="20"/>
  <c r="EX168" i="20" s="1"/>
  <c r="DS168" i="20" s="1"/>
  <c r="DO469" i="20"/>
  <c r="DP469" i="20"/>
  <c r="ED204" i="20"/>
  <c r="CR204" i="20" s="1"/>
  <c r="ED362" i="20"/>
  <c r="CR362" i="20" s="1"/>
  <c r="DQ473" i="20"/>
  <c r="DR473" i="20" s="1"/>
  <c r="DS473" i="20" s="1"/>
  <c r="DQ472" i="20"/>
  <c r="DR472" i="20" s="1"/>
  <c r="DS472" i="20" s="1"/>
  <c r="DS166" i="20"/>
  <c r="CQ166" i="20"/>
  <c r="ED198" i="20"/>
  <c r="CR198" i="20" s="1"/>
  <c r="ED269" i="20"/>
  <c r="CR269" i="20" s="1"/>
  <c r="AR170" i="20"/>
  <c r="AU170" i="20"/>
  <c r="FL393" i="20"/>
  <c r="CZ393" i="20"/>
  <c r="FH167" i="20"/>
  <c r="CV167" i="20"/>
  <c r="FL448" i="20"/>
  <c r="DF448" i="20"/>
  <c r="DF371" i="20"/>
  <c r="FL371" i="20"/>
  <c r="AP26" i="20"/>
  <c r="AT25" i="20"/>
  <c r="DU25" i="20" s="1"/>
  <c r="AQ25" i="20"/>
  <c r="CV12" i="20"/>
  <c r="CV13" i="20"/>
  <c r="CV10" i="20"/>
  <c r="CV11" i="20" s="1"/>
  <c r="ED347" i="20"/>
  <c r="CR347" i="20" s="1"/>
  <c r="DF247" i="20"/>
  <c r="FL247" i="20"/>
  <c r="ED424" i="20"/>
  <c r="CR424" i="20" s="1"/>
  <c r="EX105" i="20"/>
  <c r="FL300" i="20"/>
  <c r="CZ300" i="20"/>
  <c r="ED268" i="20"/>
  <c r="CR268" i="20" s="1"/>
  <c r="ED285" i="20"/>
  <c r="CR285" i="20" s="1"/>
  <c r="AT111" i="20"/>
  <c r="DU111" i="20" s="1"/>
  <c r="AP112" i="20"/>
  <c r="AQ111" i="20"/>
  <c r="CV348" i="20"/>
  <c r="FH348" i="20"/>
  <c r="CZ223" i="20"/>
  <c r="FL223" i="20"/>
  <c r="ED314" i="20"/>
  <c r="CR314" i="20" s="1"/>
  <c r="BC344" i="20"/>
  <c r="CN344" i="20" s="1"/>
  <c r="CV358" i="20"/>
  <c r="FH358" i="20"/>
  <c r="ED367" i="20"/>
  <c r="CR367" i="20" s="1"/>
  <c r="FR59" i="20"/>
  <c r="CZ360" i="20"/>
  <c r="FL360" i="20"/>
  <c r="EW212" i="20"/>
  <c r="EX212" i="20" s="1"/>
  <c r="FR56" i="20"/>
  <c r="CX3" i="20"/>
  <c r="CV272" i="20"/>
  <c r="FH272" i="20"/>
  <c r="CZ207" i="20"/>
  <c r="FL207" i="20"/>
  <c r="ED274" i="20"/>
  <c r="CR274" i="20" s="1"/>
  <c r="DO482" i="20"/>
  <c r="DP482" i="20"/>
  <c r="FH188" i="20"/>
  <c r="DB188" i="20"/>
  <c r="DB17" i="20" s="1"/>
  <c r="DF437" i="20"/>
  <c r="FL437" i="20"/>
  <c r="DB355" i="20"/>
  <c r="FH355" i="20"/>
  <c r="CM2" i="20"/>
  <c r="CD2" i="20"/>
  <c r="ED281" i="20"/>
  <c r="CR281" i="20" s="1"/>
  <c r="ED256" i="20"/>
  <c r="CR256" i="20" s="1"/>
  <c r="DU170" i="20"/>
  <c r="AV170" i="20"/>
  <c r="AW170" i="20" s="1"/>
  <c r="DB286" i="20"/>
  <c r="FH286" i="20"/>
  <c r="EW165" i="20"/>
  <c r="EX165" i="20" s="1"/>
  <c r="DS165" i="20" s="1"/>
  <c r="ED405" i="20"/>
  <c r="CR405" i="20" s="1"/>
  <c r="FB22" i="20"/>
  <c r="EX22" i="20"/>
  <c r="ED267" i="20"/>
  <c r="CR267" i="20" s="1"/>
  <c r="DF429" i="20"/>
  <c r="FL429" i="20"/>
  <c r="ED431" i="20"/>
  <c r="CR431" i="20" s="1"/>
  <c r="AU198" i="20"/>
  <c r="AR198" i="20"/>
  <c r="ED353" i="20"/>
  <c r="CR353" i="20" s="1"/>
  <c r="FH204" i="20"/>
  <c r="CV204" i="20"/>
  <c r="CQ167" i="20"/>
  <c r="FL335" i="20"/>
  <c r="CZ335" i="20"/>
  <c r="EW215" i="20"/>
  <c r="EX215" i="20" s="1"/>
  <c r="ED342" i="20"/>
  <c r="CR342" i="20" s="1"/>
  <c r="ED194" i="20"/>
  <c r="CR194" i="20" s="1"/>
  <c r="DP194" i="20"/>
  <c r="DO194" i="20"/>
  <c r="DF298" i="20"/>
  <c r="FL298" i="20"/>
  <c r="DF376" i="20"/>
  <c r="FL376" i="20"/>
  <c r="BC412" i="20"/>
  <c r="CN412" i="20" s="1"/>
  <c r="FR54" i="20"/>
  <c r="EM110" i="20"/>
  <c r="EP110" i="20" s="1"/>
  <c r="EQ110" i="20" s="1"/>
  <c r="FL293" i="20"/>
  <c r="DF293" i="20"/>
  <c r="ED439" i="20"/>
  <c r="CR439" i="20" s="1"/>
  <c r="EX486" i="20"/>
  <c r="ED434" i="20"/>
  <c r="CR434" i="20" s="1"/>
  <c r="DB337" i="20"/>
  <c r="FH337" i="20"/>
  <c r="ED444" i="20"/>
  <c r="CR444" i="20" s="1"/>
  <c r="ED200" i="20"/>
  <c r="CR200" i="20" s="1"/>
  <c r="FR53" i="20"/>
  <c r="ED208" i="20"/>
  <c r="CR208" i="20" s="1"/>
  <c r="EX477" i="20"/>
  <c r="FH279" i="20"/>
  <c r="CV279" i="20"/>
  <c r="EW481" i="20"/>
  <c r="EX481" i="20" s="1"/>
  <c r="FL349" i="20"/>
  <c r="CZ349" i="20"/>
  <c r="ED312" i="20"/>
  <c r="CR312" i="20" s="1"/>
  <c r="ED326" i="20"/>
  <c r="CR326" i="20" s="1"/>
  <c r="ED436" i="20"/>
  <c r="CR436" i="20" s="1"/>
  <c r="ED303" i="20"/>
  <c r="CR303" i="20" s="1"/>
  <c r="ED280" i="20"/>
  <c r="CR280" i="20" s="1"/>
  <c r="FH405" i="20"/>
  <c r="CV405" i="20"/>
  <c r="ED257" i="20"/>
  <c r="CR257" i="20" s="1"/>
  <c r="ED196" i="20"/>
  <c r="CR196" i="20" s="1"/>
  <c r="DP196" i="20"/>
  <c r="DO196" i="20"/>
  <c r="FL290" i="20"/>
  <c r="CZ290" i="20"/>
  <c r="ED426" i="20"/>
  <c r="CR426" i="20" s="1"/>
  <c r="ED419" i="20"/>
  <c r="CR419" i="20" s="1"/>
  <c r="AP172" i="20"/>
  <c r="AT171" i="20"/>
  <c r="AQ171" i="20"/>
  <c r="DQ474" i="20"/>
  <c r="DR474" i="20" s="1"/>
  <c r="DS474" i="20" s="1"/>
  <c r="CZ422" i="20"/>
  <c r="FL422" i="20"/>
  <c r="CZ366" i="20"/>
  <c r="FL366" i="20"/>
  <c r="ED201" i="20"/>
  <c r="CR201" i="20" s="1"/>
  <c r="BO111" i="20"/>
  <c r="BP111" i="20" s="1"/>
  <c r="EI111" i="20" s="1"/>
  <c r="EH111" i="20" s="1"/>
  <c r="ED382" i="20"/>
  <c r="CR382" i="20" s="1"/>
  <c r="FH202" i="20"/>
  <c r="CV202" i="20"/>
  <c r="DU198" i="20"/>
  <c r="AV198" i="20"/>
  <c r="AW198" i="20" s="1"/>
  <c r="FL271" i="20"/>
  <c r="DF271" i="20"/>
  <c r="FH406" i="20"/>
  <c r="DB406" i="20"/>
  <c r="ED295" i="20"/>
  <c r="CR295" i="20" s="1"/>
  <c r="ED254" i="20"/>
  <c r="CR254" i="20" s="1"/>
  <c r="ED287" i="20"/>
  <c r="CR287" i="20" s="1"/>
  <c r="ED406" i="20"/>
  <c r="CR406" i="20" s="1"/>
  <c r="ED384" i="20"/>
  <c r="CR384" i="20" s="1"/>
  <c r="ED341" i="20"/>
  <c r="CR341" i="20" s="1"/>
  <c r="CV95" i="20"/>
  <c r="FH95" i="20"/>
  <c r="CZ374" i="20"/>
  <c r="FL374" i="20"/>
  <c r="ED255" i="20"/>
  <c r="CR255" i="20" s="1"/>
  <c r="CW17" i="20"/>
  <c r="CW16" i="20"/>
  <c r="CW14" i="20"/>
  <c r="CW15" i="20" s="1"/>
  <c r="DP486" i="20"/>
  <c r="DO486" i="20"/>
  <c r="ED261" i="20"/>
  <c r="CR261" i="20" s="1"/>
  <c r="ED344" i="20"/>
  <c r="CR344" i="20" s="1"/>
  <c r="ED413" i="20"/>
  <c r="CR413" i="20" s="1"/>
  <c r="ED352" i="20"/>
  <c r="CR352" i="20" s="1"/>
  <c r="FH446" i="20"/>
  <c r="CV446" i="20"/>
  <c r="FH305" i="20"/>
  <c r="DB305" i="20"/>
  <c r="CZ313" i="20"/>
  <c r="FL313" i="20"/>
  <c r="CV101" i="20"/>
  <c r="FH101" i="20"/>
  <c r="ED359" i="20"/>
  <c r="CR359" i="20" s="1"/>
  <c r="ED202" i="20"/>
  <c r="CR202" i="20" s="1"/>
  <c r="DB433" i="20"/>
  <c r="FH433" i="20"/>
  <c r="ED210" i="20"/>
  <c r="CR210" i="20" s="1"/>
  <c r="DO477" i="20"/>
  <c r="DP477" i="20"/>
  <c r="CV386" i="20"/>
  <c r="FH386" i="20"/>
  <c r="FH98" i="20"/>
  <c r="CV98" i="20"/>
  <c r="FR57" i="20"/>
  <c r="CV328" i="20"/>
  <c r="FH328" i="20"/>
  <c r="FH317" i="20"/>
  <c r="DB317" i="20"/>
  <c r="FH326" i="20"/>
  <c r="CV326" i="20"/>
  <c r="FH435" i="20"/>
  <c r="CV435" i="20"/>
  <c r="ED337" i="20"/>
  <c r="CR337" i="20" s="1"/>
  <c r="DQ479" i="20"/>
  <c r="DR479" i="20" s="1"/>
  <c r="DS479" i="20" s="1"/>
  <c r="BC298" i="20"/>
  <c r="CN298" i="20" s="1"/>
  <c r="ED412" i="20"/>
  <c r="CR412" i="20" s="1"/>
  <c r="DQ495" i="20"/>
  <c r="DR495" i="20" s="1"/>
  <c r="DS495" i="20" s="1"/>
  <c r="FH254" i="20"/>
  <c r="CV254" i="20"/>
  <c r="AU217" i="20"/>
  <c r="AR217" i="20"/>
  <c r="ED321" i="20"/>
  <c r="CR321" i="20" s="1"/>
  <c r="EW160" i="20"/>
  <c r="EX160" i="20" s="1"/>
  <c r="DS160" i="20" s="1"/>
  <c r="CV193" i="20"/>
  <c r="FH193" i="20"/>
  <c r="CV438" i="20"/>
  <c r="FH438" i="20"/>
  <c r="CZ238" i="20"/>
  <c r="FL238" i="20"/>
  <c r="ED305" i="20"/>
  <c r="CR305" i="20" s="1"/>
  <c r="ED372" i="20"/>
  <c r="CR372" i="20" s="1"/>
  <c r="DF276" i="20"/>
  <c r="FL276" i="20"/>
  <c r="ES169" i="20"/>
  <c r="ER169" i="20"/>
  <c r="FL441" i="20"/>
  <c r="DF441" i="20"/>
  <c r="CN6" i="20"/>
  <c r="CN7" i="20" s="1"/>
  <c r="FL416" i="20"/>
  <c r="CZ416" i="20"/>
  <c r="AP200" i="20"/>
  <c r="AT199" i="20"/>
  <c r="AQ199" i="20"/>
  <c r="DD13" i="20"/>
  <c r="DD10" i="20"/>
  <c r="DD11" i="20" s="1"/>
  <c r="DD12" i="20"/>
  <c r="ED310" i="20"/>
  <c r="CR310" i="20" s="1"/>
  <c r="CX9" i="20"/>
  <c r="ED299" i="20"/>
  <c r="CR299" i="20" s="1"/>
  <c r="ED379" i="20"/>
  <c r="CR379" i="20" s="1"/>
  <c r="EW107" i="20"/>
  <c r="EX107" i="20" s="1"/>
  <c r="DQ476" i="20"/>
  <c r="DR476" i="20" s="1"/>
  <c r="DS476" i="20" s="1"/>
  <c r="ED324" i="20"/>
  <c r="CR324" i="20" s="1"/>
  <c r="EW167" i="20"/>
  <c r="EX167" i="20" s="1"/>
  <c r="DS167" i="20" s="1"/>
  <c r="ED430" i="20"/>
  <c r="CR430" i="20" s="1"/>
  <c r="BC262" i="20"/>
  <c r="CN262" i="20" s="1"/>
  <c r="FL249" i="20"/>
  <c r="CZ249" i="20"/>
  <c r="ED262" i="20"/>
  <c r="CR262" i="20" s="1"/>
  <c r="FL283" i="20"/>
  <c r="CZ283" i="20"/>
  <c r="DB420" i="20"/>
  <c r="FH420" i="20"/>
  <c r="CV300" i="20"/>
  <c r="FH300" i="20"/>
  <c r="CZ235" i="20"/>
  <c r="FL235" i="20"/>
  <c r="CZ336" i="20"/>
  <c r="FL336" i="20"/>
  <c r="FL302" i="20"/>
  <c r="DF302" i="20"/>
  <c r="EW159" i="20"/>
  <c r="EX159" i="20" s="1"/>
  <c r="DS159" i="20" s="1"/>
  <c r="EW488" i="20"/>
  <c r="EX488" i="20" s="1"/>
  <c r="AD195" i="20"/>
  <c r="FK195" i="20"/>
  <c r="FM195" i="20" s="1"/>
  <c r="CY195" i="20"/>
  <c r="DB400" i="20"/>
  <c r="FH400" i="20"/>
  <c r="DO481" i="20"/>
  <c r="DP481" i="20"/>
  <c r="CR211" i="5"/>
  <c r="FC211" i="5"/>
  <c r="CR201" i="5"/>
  <c r="FC201" i="5"/>
  <c r="AW147" i="5"/>
  <c r="CH147" i="5" s="1"/>
  <c r="FC210" i="5"/>
  <c r="CR210" i="5"/>
  <c r="FC212" i="5"/>
  <c r="CX212" i="5"/>
  <c r="CR215" i="5"/>
  <c r="FC215" i="5"/>
  <c r="DG122" i="5"/>
  <c r="AW139" i="5"/>
  <c r="CH139" i="5" s="1"/>
  <c r="FC200" i="5"/>
  <c r="CR200" i="5"/>
  <c r="CR209" i="5"/>
  <c r="FC209" i="5"/>
  <c r="DG130" i="5"/>
  <c r="AW217" i="5"/>
  <c r="AP217" i="5"/>
  <c r="AQ217" i="5" s="1"/>
  <c r="AW133" i="5"/>
  <c r="CH133" i="5" s="1"/>
  <c r="AW131" i="5"/>
  <c r="CH131" i="5" s="1"/>
  <c r="AW138" i="5"/>
  <c r="CH138" i="5" s="1"/>
  <c r="DG139" i="5"/>
  <c r="AW117" i="5"/>
  <c r="CH117" i="5" s="1"/>
  <c r="DG202" i="5"/>
  <c r="CX142" i="5"/>
  <c r="FC142" i="5"/>
  <c r="DG119" i="5"/>
  <c r="AW113" i="5"/>
  <c r="CH113" i="5" s="1"/>
  <c r="EL111" i="5"/>
  <c r="DG111" i="5"/>
  <c r="EM111" i="5"/>
  <c r="AW135" i="5"/>
  <c r="CH135" i="5" s="1"/>
  <c r="CX143" i="5"/>
  <c r="FC143" i="5"/>
  <c r="AL108" i="5"/>
  <c r="AO108" i="5"/>
  <c r="AW78" i="5"/>
  <c r="CH78" i="5" s="1"/>
  <c r="AW239" i="5"/>
  <c r="CH239" i="5" s="1"/>
  <c r="CR199" i="5"/>
  <c r="FC199" i="5"/>
  <c r="AW216" i="5"/>
  <c r="AP216" i="5"/>
  <c r="AQ216" i="5" s="1"/>
  <c r="AW127" i="5"/>
  <c r="CH127" i="5" s="1"/>
  <c r="AW130" i="5"/>
  <c r="CH130" i="5" s="1"/>
  <c r="EM173" i="5"/>
  <c r="EL173" i="5"/>
  <c r="AW115" i="5"/>
  <c r="CH115" i="5" s="1"/>
  <c r="EG109" i="5"/>
  <c r="EJ109" i="5" s="1"/>
  <c r="EK109" i="5" s="1"/>
  <c r="AW88" i="5"/>
  <c r="CH88" i="5" s="1"/>
  <c r="EM198" i="5"/>
  <c r="DG198" i="5"/>
  <c r="EL198" i="5"/>
  <c r="CW119" i="5"/>
  <c r="FD119" i="5"/>
  <c r="CJ12" i="5"/>
  <c r="AW136" i="5"/>
  <c r="CH136" i="5" s="1"/>
  <c r="AW141" i="5"/>
  <c r="CH141" i="5" s="1"/>
  <c r="DG215" i="5"/>
  <c r="DG124" i="5"/>
  <c r="AW124" i="5"/>
  <c r="CH124" i="5" s="1"/>
  <c r="AW122" i="5"/>
  <c r="CH122" i="5" s="1"/>
  <c r="AW94" i="5"/>
  <c r="CH94" i="5" s="1"/>
  <c r="DG134" i="5"/>
  <c r="AW246" i="5"/>
  <c r="DG144" i="5"/>
  <c r="AW120" i="5"/>
  <c r="CH120" i="5" s="1"/>
  <c r="AW222" i="5"/>
  <c r="DG116" i="5"/>
  <c r="CW120" i="5"/>
  <c r="FD120" i="5"/>
  <c r="DG138" i="5"/>
  <c r="EQ106" i="5"/>
  <c r="DG106" i="5"/>
  <c r="EL106" i="5"/>
  <c r="EM106" i="5"/>
  <c r="AW248" i="5"/>
  <c r="CH248" i="5" s="1"/>
  <c r="DG210" i="5"/>
  <c r="DG129" i="5"/>
  <c r="AW231" i="5"/>
  <c r="CH231" i="5" s="1"/>
  <c r="AW134" i="5"/>
  <c r="CH134" i="5" s="1"/>
  <c r="DG212" i="5"/>
  <c r="DG123" i="5"/>
  <c r="DN222" i="5"/>
  <c r="BC222" i="5"/>
  <c r="BD222" i="5" s="1"/>
  <c r="DN205" i="5"/>
  <c r="BC205" i="5"/>
  <c r="CP99" i="5"/>
  <c r="FB99" i="5"/>
  <c r="FB408" i="5"/>
  <c r="CV408" i="5"/>
  <c r="AL219" i="5"/>
  <c r="AO219" i="5"/>
  <c r="AW119" i="5"/>
  <c r="CH119" i="5" s="1"/>
  <c r="FA236" i="5"/>
  <c r="CO236" i="5"/>
  <c r="BF90" i="5"/>
  <c r="BH90" i="5" s="1"/>
  <c r="BG90" i="5"/>
  <c r="CZ383" i="5"/>
  <c r="FF383" i="5"/>
  <c r="CT258" i="5"/>
  <c r="FF258" i="5"/>
  <c r="AL216" i="5"/>
  <c r="AO216" i="5"/>
  <c r="FA188" i="5"/>
  <c r="CO188" i="5"/>
  <c r="DI217" i="5"/>
  <c r="DJ217" i="5"/>
  <c r="FF263" i="5"/>
  <c r="CZ263" i="5"/>
  <c r="AO197" i="5"/>
  <c r="AL197" i="5"/>
  <c r="DN190" i="5"/>
  <c r="BC190" i="5"/>
  <c r="BD190" i="5" s="1"/>
  <c r="DN174" i="5"/>
  <c r="BC174" i="5"/>
  <c r="BD174" i="5" s="1"/>
  <c r="DN243" i="5"/>
  <c r="BC243" i="5"/>
  <c r="BD243" i="5" s="1"/>
  <c r="DN200" i="5"/>
  <c r="BC200" i="5"/>
  <c r="DN234" i="5"/>
  <c r="BC234" i="5"/>
  <c r="BD234" i="5" s="1"/>
  <c r="DN214" i="5"/>
  <c r="BC214" i="5"/>
  <c r="DN194" i="5"/>
  <c r="BC194" i="5"/>
  <c r="BD194" i="5" s="1"/>
  <c r="DN199" i="5"/>
  <c r="BC199" i="5"/>
  <c r="DN206" i="5"/>
  <c r="BC206" i="5"/>
  <c r="DN213" i="5"/>
  <c r="BC213" i="5"/>
  <c r="DN217" i="5"/>
  <c r="BC217" i="5"/>
  <c r="BD217" i="5" s="1"/>
  <c r="DN204" i="5"/>
  <c r="BC204" i="5"/>
  <c r="AT105" i="5"/>
  <c r="AW105" i="5" s="1"/>
  <c r="DH202" i="5"/>
  <c r="DG214" i="5"/>
  <c r="DG211" i="5"/>
  <c r="DX362" i="5"/>
  <c r="CL362" i="5" s="1"/>
  <c r="DX358" i="5"/>
  <c r="CL358" i="5" s="1"/>
  <c r="DX419" i="5"/>
  <c r="CL419" i="5" s="1"/>
  <c r="FD195" i="5"/>
  <c r="CQ195" i="5"/>
  <c r="CP339" i="5"/>
  <c r="FB339" i="5"/>
  <c r="DG131" i="5"/>
  <c r="DX367" i="5"/>
  <c r="CL367" i="5" s="1"/>
  <c r="DH169" i="5"/>
  <c r="DI169" i="5" s="1"/>
  <c r="EG169" i="5"/>
  <c r="EJ169" i="5" s="1"/>
  <c r="EK169" i="5" s="1"/>
  <c r="CX120" i="5"/>
  <c r="FC120" i="5"/>
  <c r="EN219" i="5"/>
  <c r="EO219" i="5" s="1"/>
  <c r="EP219" i="5" s="1"/>
  <c r="BT205" i="5"/>
  <c r="BV205" i="5" s="1"/>
  <c r="CC205" i="5" s="1"/>
  <c r="CE205" i="5" s="1"/>
  <c r="CJ205" i="5" s="1"/>
  <c r="BF76" i="5"/>
  <c r="BH76" i="5" s="1"/>
  <c r="BG76" i="5"/>
  <c r="DG208" i="5"/>
  <c r="DX312" i="5"/>
  <c r="CL312" i="5" s="1"/>
  <c r="FF401" i="5"/>
  <c r="CZ401" i="5"/>
  <c r="FF273" i="5"/>
  <c r="CZ273" i="5"/>
  <c r="DG220" i="5"/>
  <c r="CV365" i="5"/>
  <c r="FB365" i="5"/>
  <c r="DG120" i="5"/>
  <c r="CQ127" i="5"/>
  <c r="FD127" i="5"/>
  <c r="AW191" i="5"/>
  <c r="CH191" i="5" s="1"/>
  <c r="AW243" i="5"/>
  <c r="CH243" i="5" s="1"/>
  <c r="AW123" i="5"/>
  <c r="CH123" i="5" s="1"/>
  <c r="FA210" i="5"/>
  <c r="CO210" i="5"/>
  <c r="EN205" i="5"/>
  <c r="EO205" i="5" s="1"/>
  <c r="EP205" i="5" s="1"/>
  <c r="EN212" i="5"/>
  <c r="EO212" i="5" s="1"/>
  <c r="EP212" i="5" s="1"/>
  <c r="EN235" i="5"/>
  <c r="EO235" i="5" s="1"/>
  <c r="EP235" i="5" s="1"/>
  <c r="FC196" i="5"/>
  <c r="CR196" i="5"/>
  <c r="CQ89" i="5"/>
  <c r="FD89" i="5"/>
  <c r="FF348" i="5"/>
  <c r="CT348" i="5"/>
  <c r="ET126" i="5"/>
  <c r="FC249" i="5"/>
  <c r="CX249" i="5"/>
  <c r="CZ371" i="5"/>
  <c r="FF371" i="5"/>
  <c r="FB453" i="5"/>
  <c r="CV453" i="5"/>
  <c r="DI490" i="5"/>
  <c r="DJ490" i="5"/>
  <c r="DG228" i="5"/>
  <c r="DX450" i="5"/>
  <c r="CL450" i="5" s="1"/>
  <c r="AW341" i="5"/>
  <c r="CH341" i="5" s="1"/>
  <c r="DG125" i="5"/>
  <c r="DX354" i="5"/>
  <c r="CL354" i="5" s="1"/>
  <c r="DX286" i="5"/>
  <c r="CL286" i="5" s="1"/>
  <c r="DX261" i="5"/>
  <c r="CL261" i="5" s="1"/>
  <c r="FB442" i="5"/>
  <c r="CP442" i="5"/>
  <c r="AW187" i="5"/>
  <c r="CH187" i="5" s="1"/>
  <c r="EB60" i="5"/>
  <c r="EA60" i="5"/>
  <c r="BT204" i="5"/>
  <c r="BV204" i="5" s="1"/>
  <c r="CC204" i="5" s="1"/>
  <c r="CE204" i="5" s="1"/>
  <c r="CJ204" i="5" s="1"/>
  <c r="CR93" i="5"/>
  <c r="FC93" i="5"/>
  <c r="DX296" i="5"/>
  <c r="CL296" i="5" s="1"/>
  <c r="DG137" i="5"/>
  <c r="DG136" i="5"/>
  <c r="FD251" i="5"/>
  <c r="CW251" i="5"/>
  <c r="CP426" i="5"/>
  <c r="FB426" i="5"/>
  <c r="FB314" i="5"/>
  <c r="CV314" i="5"/>
  <c r="FF405" i="5"/>
  <c r="CZ405" i="5"/>
  <c r="CV357" i="5"/>
  <c r="FB357" i="5"/>
  <c r="CO129" i="5"/>
  <c r="FA129" i="5"/>
  <c r="EN200" i="5"/>
  <c r="EO200" i="5" s="1"/>
  <c r="EP200" i="5" s="1"/>
  <c r="FA170" i="5"/>
  <c r="CU170" i="5"/>
  <c r="CR197" i="5"/>
  <c r="FC197" i="5"/>
  <c r="CP264" i="5"/>
  <c r="FB264" i="5"/>
  <c r="DG108" i="5"/>
  <c r="EL108" i="5"/>
  <c r="EM108" i="5"/>
  <c r="CE244" i="5"/>
  <c r="CJ244" i="5" s="1"/>
  <c r="AW256" i="5"/>
  <c r="CH256" i="5" s="1"/>
  <c r="DX432" i="5"/>
  <c r="CL432" i="5" s="1"/>
  <c r="DG227" i="5"/>
  <c r="DX350" i="5"/>
  <c r="CL350" i="5" s="1"/>
  <c r="AW175" i="5"/>
  <c r="CH175" i="5" s="1"/>
  <c r="EN207" i="5"/>
  <c r="EO207" i="5" s="1"/>
  <c r="EP207" i="5" s="1"/>
  <c r="FA224" i="5"/>
  <c r="CO224" i="5"/>
  <c r="FA242" i="5"/>
  <c r="CO242" i="5"/>
  <c r="CO183" i="5"/>
  <c r="FA183" i="5"/>
  <c r="BV91" i="5"/>
  <c r="CC91" i="5" s="1"/>
  <c r="CE91" i="5" s="1"/>
  <c r="CJ91" i="5" s="1"/>
  <c r="CZ388" i="5"/>
  <c r="FF388" i="5"/>
  <c r="CP347" i="5"/>
  <c r="FB347" i="5"/>
  <c r="FB346" i="5"/>
  <c r="CV346" i="5"/>
  <c r="DG245" i="5"/>
  <c r="AW409" i="5"/>
  <c r="CH409" i="5" s="1"/>
  <c r="EQ500" i="5"/>
  <c r="ER500" i="5" s="1"/>
  <c r="FB319" i="5"/>
  <c r="CV319" i="5"/>
  <c r="CQ131" i="5"/>
  <c r="FD131" i="5"/>
  <c r="EQ475" i="5"/>
  <c r="ER475" i="5" s="1"/>
  <c r="AW158" i="5"/>
  <c r="AP158" i="5"/>
  <c r="AQ158" i="5" s="1"/>
  <c r="AL217" i="5"/>
  <c r="AO217" i="5"/>
  <c r="AW171" i="5"/>
  <c r="CH171" i="5" s="1"/>
  <c r="AP171" i="5"/>
  <c r="AQ171" i="5" s="1"/>
  <c r="AW69" i="5"/>
  <c r="CH69" i="5" s="1"/>
  <c r="AT224" i="5"/>
  <c r="FA136" i="5"/>
  <c r="CO136" i="5"/>
  <c r="CQ77" i="5"/>
  <c r="FD77" i="5"/>
  <c r="CO189" i="5"/>
  <c r="FA189" i="5"/>
  <c r="CZ416" i="5"/>
  <c r="FF416" i="5"/>
  <c r="FF402" i="5"/>
  <c r="CZ402" i="5"/>
  <c r="DG128" i="5"/>
  <c r="FD194" i="5"/>
  <c r="CQ194" i="5"/>
  <c r="CE185" i="5"/>
  <c r="CJ185" i="5" s="1"/>
  <c r="DX293" i="5"/>
  <c r="CL293" i="5" s="1"/>
  <c r="DG141" i="5"/>
  <c r="CG1" i="5"/>
  <c r="EB78" i="5"/>
  <c r="EA78" i="5"/>
  <c r="BV94" i="5"/>
  <c r="CC94" i="5" s="1"/>
  <c r="CE94" i="5" s="1"/>
  <c r="CJ94" i="5" s="1"/>
  <c r="CG17" i="5"/>
  <c r="CG14" i="5"/>
  <c r="CG15" i="5" s="1"/>
  <c r="CG16" i="5"/>
  <c r="CO169" i="5"/>
  <c r="FA169" i="5"/>
  <c r="EN227" i="5"/>
  <c r="EO227" i="5" s="1"/>
  <c r="EP227" i="5" s="1"/>
  <c r="EN174" i="5"/>
  <c r="EO174" i="5" s="1"/>
  <c r="AW251" i="5"/>
  <c r="CH251" i="5" s="1"/>
  <c r="BV66" i="5"/>
  <c r="CC66" i="5" s="1"/>
  <c r="CE66" i="5" s="1"/>
  <c r="CJ66" i="5" s="1"/>
  <c r="AO24" i="5"/>
  <c r="ER158" i="5"/>
  <c r="EQ474" i="5"/>
  <c r="ER474" i="5" s="1"/>
  <c r="FB400" i="5"/>
  <c r="CP400" i="5"/>
  <c r="CE173" i="5"/>
  <c r="CJ173" i="5" s="1"/>
  <c r="CE241" i="5"/>
  <c r="CJ241" i="5" s="1"/>
  <c r="DX448" i="5"/>
  <c r="CL448" i="5" s="1"/>
  <c r="FA190" i="5"/>
  <c r="CU190" i="5"/>
  <c r="DX190" i="5"/>
  <c r="CL190" i="5" s="1"/>
  <c r="CP103" i="5"/>
  <c r="FB103" i="5"/>
  <c r="DX169" i="5"/>
  <c r="CL169" i="5" s="1"/>
  <c r="FB440" i="5"/>
  <c r="CV440" i="5"/>
  <c r="FB104" i="5"/>
  <c r="CP104" i="5"/>
  <c r="DX172" i="5"/>
  <c r="CL172" i="5" s="1"/>
  <c r="DX174" i="5"/>
  <c r="CL174" i="5" s="1"/>
  <c r="DX187" i="5"/>
  <c r="CL187" i="5" s="1"/>
  <c r="DX192" i="5"/>
  <c r="CL192" i="5" s="1"/>
  <c r="DN180" i="5"/>
  <c r="BC180" i="5"/>
  <c r="BD180" i="5" s="1"/>
  <c r="DN235" i="5"/>
  <c r="BC235" i="5"/>
  <c r="BD235" i="5" s="1"/>
  <c r="AW250" i="5"/>
  <c r="CH250" i="5" s="1"/>
  <c r="CR89" i="5"/>
  <c r="FC89" i="5"/>
  <c r="FD193" i="5"/>
  <c r="CQ193" i="5"/>
  <c r="CR62" i="5"/>
  <c r="FC62" i="5"/>
  <c r="EN199" i="5"/>
  <c r="EO199" i="5"/>
  <c r="EP199" i="5" s="1"/>
  <c r="EN246" i="5"/>
  <c r="EO246" i="5"/>
  <c r="EP246" i="5" s="1"/>
  <c r="DG207" i="5"/>
  <c r="CT372" i="5"/>
  <c r="FF372" i="5"/>
  <c r="DX287" i="5"/>
  <c r="CL287" i="5" s="1"/>
  <c r="CP328" i="5"/>
  <c r="FB328" i="5"/>
  <c r="FB327" i="5"/>
  <c r="CV327" i="5"/>
  <c r="DX306" i="5"/>
  <c r="CL306" i="5" s="1"/>
  <c r="EH3" i="5"/>
  <c r="EH4" i="5"/>
  <c r="EH1" i="5"/>
  <c r="AW421" i="5"/>
  <c r="CH421" i="5" s="1"/>
  <c r="FF309" i="5"/>
  <c r="CZ309" i="5"/>
  <c r="CE228" i="5"/>
  <c r="CJ228" i="5" s="1"/>
  <c r="AW396" i="5"/>
  <c r="CH396" i="5" s="1"/>
  <c r="CQ134" i="5"/>
  <c r="FD134" i="5"/>
  <c r="DX396" i="5"/>
  <c r="CL396" i="5" s="1"/>
  <c r="FB428" i="5"/>
  <c r="CV428" i="5"/>
  <c r="DX183" i="5"/>
  <c r="CL183" i="5" s="1"/>
  <c r="FB271" i="5"/>
  <c r="CV271" i="5"/>
  <c r="FF440" i="5"/>
  <c r="CZ440" i="5"/>
  <c r="DX443" i="5"/>
  <c r="CL443" i="5" s="1"/>
  <c r="AO220" i="5"/>
  <c r="AL220" i="5"/>
  <c r="AW223" i="5"/>
  <c r="CO207" i="5"/>
  <c r="FA207" i="5"/>
  <c r="CE212" i="5"/>
  <c r="CJ212" i="5" s="1"/>
  <c r="EN224" i="5"/>
  <c r="EO224" i="5" s="1"/>
  <c r="EP224" i="5" s="1"/>
  <c r="EN242" i="5"/>
  <c r="EO242" i="5" s="1"/>
  <c r="EP242" i="5" s="1"/>
  <c r="EB91" i="5"/>
  <c r="EA91" i="5"/>
  <c r="CW213" i="5"/>
  <c r="FD213" i="5"/>
  <c r="EN176" i="5"/>
  <c r="EO176" i="5" s="1"/>
  <c r="EP176" i="5" s="1"/>
  <c r="FB450" i="5"/>
  <c r="CP450" i="5"/>
  <c r="FF435" i="5"/>
  <c r="CZ435" i="5"/>
  <c r="DX295" i="5"/>
  <c r="CL295" i="5" s="1"/>
  <c r="FD178" i="5"/>
  <c r="CW178" i="5"/>
  <c r="FD171" i="5"/>
  <c r="CQ171" i="5"/>
  <c r="EQ495" i="5"/>
  <c r="ER495" i="5" s="1"/>
  <c r="CZ319" i="5"/>
  <c r="FF319" i="5"/>
  <c r="DI475" i="5"/>
  <c r="DJ475" i="5"/>
  <c r="AW146" i="5"/>
  <c r="CH146" i="5" s="1"/>
  <c r="AW143" i="5"/>
  <c r="CH143" i="5" s="1"/>
  <c r="FC206" i="5"/>
  <c r="CR206" i="5"/>
  <c r="CO138" i="5"/>
  <c r="FA138" i="5"/>
  <c r="EN230" i="5"/>
  <c r="EO230" i="5" s="1"/>
  <c r="EP230" i="5" s="1"/>
  <c r="EN218" i="5"/>
  <c r="EO218" i="5" s="1"/>
  <c r="EP218" i="5" s="1"/>
  <c r="EA77" i="5"/>
  <c r="EB77" i="5"/>
  <c r="CU145" i="5"/>
  <c r="FA145" i="5"/>
  <c r="CZ424" i="5"/>
  <c r="FF424" i="5"/>
  <c r="DX303" i="5"/>
  <c r="CL303" i="5" s="1"/>
  <c r="DG114" i="5"/>
  <c r="BX4" i="5"/>
  <c r="DX268" i="5"/>
  <c r="CL268" i="5" s="1"/>
  <c r="DK472" i="5"/>
  <c r="DL472" i="5" s="1"/>
  <c r="DM472" i="5" s="1"/>
  <c r="AW164" i="5"/>
  <c r="AP164" i="5"/>
  <c r="AQ164" i="5" s="1"/>
  <c r="AW180" i="5"/>
  <c r="CH180" i="5" s="1"/>
  <c r="EA94" i="5"/>
  <c r="EB94" i="5"/>
  <c r="EN169" i="5"/>
  <c r="EO169" i="5" s="1"/>
  <c r="EP169" i="5" s="1"/>
  <c r="FA227" i="5"/>
  <c r="CO227" i="5"/>
  <c r="FA174" i="5"/>
  <c r="CO174" i="5"/>
  <c r="DG197" i="5"/>
  <c r="EM197" i="5"/>
  <c r="EL197" i="5"/>
  <c r="AW125" i="5"/>
  <c r="CH125" i="5" s="1"/>
  <c r="CT379" i="5"/>
  <c r="FF379" i="5"/>
  <c r="DX171" i="5"/>
  <c r="CL171" i="5" s="1"/>
  <c r="DX381" i="5"/>
  <c r="CL381" i="5" s="1"/>
  <c r="FB443" i="5"/>
  <c r="CP443" i="5"/>
  <c r="FB368" i="5"/>
  <c r="CP368" i="5"/>
  <c r="DI474" i="5"/>
  <c r="DJ474" i="5"/>
  <c r="FB444" i="5"/>
  <c r="CV444" i="5"/>
  <c r="FD224" i="5"/>
  <c r="CQ224" i="5"/>
  <c r="AK105" i="5"/>
  <c r="EN190" i="5"/>
  <c r="EO190" i="5" s="1"/>
  <c r="EP190" i="5" s="1"/>
  <c r="DX177" i="5"/>
  <c r="CL177" i="5" s="1"/>
  <c r="FB267" i="5"/>
  <c r="CV267" i="5"/>
  <c r="DX179" i="5"/>
  <c r="CL179" i="5" s="1"/>
  <c r="CP432" i="5"/>
  <c r="FB432" i="5"/>
  <c r="DX173" i="5"/>
  <c r="CL173" i="5" s="1"/>
  <c r="CP95" i="5"/>
  <c r="FB95" i="5"/>
  <c r="DX191" i="5"/>
  <c r="CL191" i="5" s="1"/>
  <c r="CP366" i="5"/>
  <c r="FB366" i="5"/>
  <c r="FC208" i="5"/>
  <c r="CR208" i="5"/>
  <c r="AL174" i="5"/>
  <c r="AO174" i="5"/>
  <c r="FD76" i="5"/>
  <c r="CQ76" i="5"/>
  <c r="CV260" i="5"/>
  <c r="FB260" i="5"/>
  <c r="FF259" i="5"/>
  <c r="CT259" i="5"/>
  <c r="DL160" i="5"/>
  <c r="BC160" i="5"/>
  <c r="BD160" i="5" s="1"/>
  <c r="DN220" i="5"/>
  <c r="BC220" i="5"/>
  <c r="BD220" i="5" s="1"/>
  <c r="DG213" i="5"/>
  <c r="FF431" i="5"/>
  <c r="CZ431" i="5"/>
  <c r="DX441" i="5"/>
  <c r="CL441" i="5" s="1"/>
  <c r="FB287" i="5"/>
  <c r="CP287" i="5"/>
  <c r="CZ408" i="5"/>
  <c r="FF408" i="5"/>
  <c r="FB407" i="5"/>
  <c r="CV407" i="5"/>
  <c r="DX370" i="5"/>
  <c r="CL370" i="5" s="1"/>
  <c r="FF365" i="5"/>
  <c r="CZ365" i="5"/>
  <c r="AW162" i="5"/>
  <c r="AP162" i="5"/>
  <c r="AQ162" i="5" s="1"/>
  <c r="AL106" i="5"/>
  <c r="AO106" i="5"/>
  <c r="AW132" i="5"/>
  <c r="CH132" i="5" s="1"/>
  <c r="EN211" i="5"/>
  <c r="EO211" i="5" s="1"/>
  <c r="EP211" i="5" s="1"/>
  <c r="EN236" i="5"/>
  <c r="EO236" i="5" s="1"/>
  <c r="EP236" i="5" s="1"/>
  <c r="DG251" i="5"/>
  <c r="CX205" i="5"/>
  <c r="FC205" i="5"/>
  <c r="EA76" i="5"/>
  <c r="EB76" i="5"/>
  <c r="FA172" i="5"/>
  <c r="CO172" i="5"/>
  <c r="FF260" i="5"/>
  <c r="CZ260" i="5"/>
  <c r="FD90" i="5"/>
  <c r="CQ90" i="5"/>
  <c r="FF277" i="5"/>
  <c r="CZ277" i="5"/>
  <c r="AW370" i="5"/>
  <c r="CH370" i="5" s="1"/>
  <c r="DK489" i="5"/>
  <c r="DL489" i="5" s="1"/>
  <c r="DM489" i="5" s="1"/>
  <c r="DX325" i="5"/>
  <c r="CL325" i="5" s="1"/>
  <c r="FD142" i="5"/>
  <c r="CW142" i="5"/>
  <c r="CZ274" i="5"/>
  <c r="FF274" i="5"/>
  <c r="FF409" i="5"/>
  <c r="CT409" i="5"/>
  <c r="AW241" i="5"/>
  <c r="CH241" i="5" s="1"/>
  <c r="EN181" i="5"/>
  <c r="EO181" i="5" s="1"/>
  <c r="EP181" i="5" s="1"/>
  <c r="EA89" i="5"/>
  <c r="EB89" i="5"/>
  <c r="DK478" i="5"/>
  <c r="DL478" i="5" s="1"/>
  <c r="DM478" i="5" s="1"/>
  <c r="AW425" i="5"/>
  <c r="CH425" i="5" s="1"/>
  <c r="DX290" i="5"/>
  <c r="CL290" i="5" s="1"/>
  <c r="DX266" i="5"/>
  <c r="CL266" i="5" s="1"/>
  <c r="CP97" i="5"/>
  <c r="FB97" i="5"/>
  <c r="DK497" i="5"/>
  <c r="DL497" i="5" s="1"/>
  <c r="DM497" i="5" s="1"/>
  <c r="EL163" i="5"/>
  <c r="EM163" i="5"/>
  <c r="DG163" i="5"/>
  <c r="FF310" i="5"/>
  <c r="CZ310" i="5"/>
  <c r="AW66" i="5"/>
  <c r="CH66" i="5" s="1"/>
  <c r="AT237" i="5"/>
  <c r="EN188" i="5"/>
  <c r="EO188" i="5" s="1"/>
  <c r="EP188" i="5" s="1"/>
  <c r="EN220" i="5"/>
  <c r="EO220" i="5" s="1"/>
  <c r="EP220" i="5" s="1"/>
  <c r="CO126" i="5"/>
  <c r="FA126" i="5"/>
  <c r="EN193" i="5"/>
  <c r="EO193" i="5"/>
  <c r="EP193" i="5" s="1"/>
  <c r="BG60" i="5"/>
  <c r="BF60" i="5"/>
  <c r="BH60" i="5" s="1"/>
  <c r="CR207" i="5"/>
  <c r="FC207" i="5"/>
  <c r="BF93" i="5"/>
  <c r="BH93" i="5" s="1"/>
  <c r="BG93" i="5"/>
  <c r="CT400" i="5"/>
  <c r="FF400" i="5"/>
  <c r="FD245" i="5"/>
  <c r="CQ245" i="5"/>
  <c r="EQ470" i="5"/>
  <c r="ER470" i="5" s="1"/>
  <c r="CJ10" i="5"/>
  <c r="CJ11" i="5" s="1"/>
  <c r="DK476" i="5"/>
  <c r="DL476" i="5" s="1"/>
  <c r="DM476" i="5" s="1"/>
  <c r="AW228" i="5"/>
  <c r="CH228" i="5" s="1"/>
  <c r="CO199" i="5"/>
  <c r="FA199" i="5"/>
  <c r="CO130" i="5"/>
  <c r="FA130" i="5"/>
  <c r="CQ79" i="5"/>
  <c r="FD79" i="5"/>
  <c r="DX333" i="5"/>
  <c r="CL333" i="5" s="1"/>
  <c r="DX289" i="5"/>
  <c r="CL289" i="5" s="1"/>
  <c r="CV282" i="5"/>
  <c r="FB282" i="5"/>
  <c r="DG223" i="5"/>
  <c r="DX304" i="5"/>
  <c r="CL304" i="5" s="1"/>
  <c r="BF105" i="5"/>
  <c r="BH105" i="5" s="1"/>
  <c r="BG105" i="5"/>
  <c r="CQ133" i="5"/>
  <c r="FD133" i="5"/>
  <c r="CE184" i="5"/>
  <c r="CJ184" i="5" s="1"/>
  <c r="AL218" i="5"/>
  <c r="AO218" i="5"/>
  <c r="AP172" i="5"/>
  <c r="AQ172" i="5" s="1"/>
  <c r="AW172" i="5"/>
  <c r="CH172" i="5" s="1"/>
  <c r="AW249" i="5"/>
  <c r="CH249" i="5" s="1"/>
  <c r="CO134" i="5"/>
  <c r="FA134" i="5"/>
  <c r="AS206" i="5"/>
  <c r="AT206" i="5" s="1"/>
  <c r="EN185" i="5"/>
  <c r="EO185" i="5" s="1"/>
  <c r="EP185" i="5" s="1"/>
  <c r="CX91" i="5"/>
  <c r="FC91" i="5"/>
  <c r="CX213" i="5"/>
  <c r="FC213" i="5"/>
  <c r="FA176" i="5"/>
  <c r="CO176" i="5"/>
  <c r="CZ375" i="5"/>
  <c r="FF375" i="5"/>
  <c r="DG229" i="5"/>
  <c r="DX254" i="5"/>
  <c r="CL254" i="5" s="1"/>
  <c r="DI500" i="5"/>
  <c r="DJ500" i="5"/>
  <c r="CR13" i="5"/>
  <c r="CR10" i="5"/>
  <c r="CR11" i="5" s="1"/>
  <c r="CR12" i="5"/>
  <c r="DX327" i="5"/>
  <c r="CL327" i="5" s="1"/>
  <c r="DX317" i="5"/>
  <c r="CL317" i="5" s="1"/>
  <c r="CP289" i="5"/>
  <c r="FB289" i="5"/>
  <c r="DJ495" i="5"/>
  <c r="DI495" i="5"/>
  <c r="DG241" i="5"/>
  <c r="AW129" i="5"/>
  <c r="CH129" i="5" s="1"/>
  <c r="AW126" i="5"/>
  <c r="CH126" i="5" s="1"/>
  <c r="CO137" i="5"/>
  <c r="FA137" i="5"/>
  <c r="CX122" i="5"/>
  <c r="FC122" i="5"/>
  <c r="CR77" i="5"/>
  <c r="FC77" i="5"/>
  <c r="DG249" i="5"/>
  <c r="CT356" i="5"/>
  <c r="FF356" i="5"/>
  <c r="DG247" i="5"/>
  <c r="DX264" i="5"/>
  <c r="CL264" i="5" s="1"/>
  <c r="AW361" i="5"/>
  <c r="CH361" i="5" s="1"/>
  <c r="DX380" i="5"/>
  <c r="CL380" i="5" s="1"/>
  <c r="CT364" i="5"/>
  <c r="FF364" i="5"/>
  <c r="CZ433" i="5"/>
  <c r="FF433" i="5"/>
  <c r="DG236" i="5"/>
  <c r="FB266" i="5"/>
  <c r="CV266" i="5"/>
  <c r="FF421" i="5"/>
  <c r="CZ421" i="5"/>
  <c r="FF374" i="5"/>
  <c r="CT374" i="5"/>
  <c r="DG142" i="5"/>
  <c r="DG226" i="5"/>
  <c r="CT412" i="5"/>
  <c r="FF412" i="5"/>
  <c r="EL164" i="5"/>
  <c r="EM164" i="5"/>
  <c r="DG164" i="5"/>
  <c r="CE242" i="5"/>
  <c r="CJ242" i="5" s="1"/>
  <c r="CG3" i="5"/>
  <c r="DX352" i="5"/>
  <c r="CL352" i="5" s="1"/>
  <c r="DX336" i="5"/>
  <c r="CL336" i="5" s="1"/>
  <c r="AW195" i="5"/>
  <c r="CH195" i="5" s="1"/>
  <c r="AW137" i="5"/>
  <c r="CH137" i="5" s="1"/>
  <c r="CU140" i="5"/>
  <c r="CU10" i="5" s="1"/>
  <c r="CU11" i="5" s="1"/>
  <c r="FA140" i="5"/>
  <c r="FC92" i="5"/>
  <c r="CX92" i="5"/>
  <c r="BF66" i="5"/>
  <c r="BH66" i="5" s="1"/>
  <c r="BG66" i="5"/>
  <c r="CT315" i="5"/>
  <c r="FF315" i="5"/>
  <c r="EQ471" i="5"/>
  <c r="ER471" i="5" s="1"/>
  <c r="CV402" i="5"/>
  <c r="FB402" i="5"/>
  <c r="CZ437" i="5"/>
  <c r="FF437" i="5"/>
  <c r="CE237" i="5"/>
  <c r="CJ237" i="5" s="1"/>
  <c r="FB399" i="5"/>
  <c r="CV399" i="5"/>
  <c r="CP451" i="5"/>
  <c r="FB451" i="5"/>
  <c r="CV321" i="5"/>
  <c r="FB321" i="5"/>
  <c r="BI127" i="5"/>
  <c r="FB313" i="5"/>
  <c r="CV313" i="5"/>
  <c r="DN212" i="5"/>
  <c r="BC212" i="5"/>
  <c r="DX363" i="5"/>
  <c r="CL363" i="5" s="1"/>
  <c r="DX368" i="5"/>
  <c r="CL368" i="5" s="1"/>
  <c r="AL107" i="5"/>
  <c r="AO107" i="5"/>
  <c r="FF307" i="5"/>
  <c r="CT307" i="5"/>
  <c r="FB403" i="5"/>
  <c r="CP403" i="5"/>
  <c r="DX265" i="5"/>
  <c r="CL265" i="5" s="1"/>
  <c r="CU205" i="5"/>
  <c r="FA205" i="5"/>
  <c r="FD182" i="5"/>
  <c r="CW182" i="5"/>
  <c r="DL163" i="5"/>
  <c r="BC163" i="5"/>
  <c r="BD163" i="5" s="1"/>
  <c r="BC250" i="5"/>
  <c r="BD250" i="5" s="1"/>
  <c r="DN250" i="5"/>
  <c r="DN197" i="5"/>
  <c r="BC197" i="5"/>
  <c r="DL156" i="5"/>
  <c r="BC156" i="5"/>
  <c r="BD156" i="5" s="1"/>
  <c r="CI17" i="5"/>
  <c r="CI14" i="5"/>
  <c r="CI15" i="5" s="1"/>
  <c r="CI16" i="5"/>
  <c r="DN211" i="5"/>
  <c r="BC211" i="5"/>
  <c r="DN228" i="5"/>
  <c r="BC228" i="5"/>
  <c r="BD228" i="5" s="1"/>
  <c r="DL162" i="5"/>
  <c r="BC162" i="5"/>
  <c r="BD162" i="5" s="1"/>
  <c r="DN240" i="5"/>
  <c r="BC240" i="5"/>
  <c r="BD240" i="5" s="1"/>
  <c r="DL166" i="5"/>
  <c r="BC166" i="5"/>
  <c r="BD166" i="5" s="1"/>
  <c r="DN170" i="5"/>
  <c r="BC170" i="5"/>
  <c r="BD170" i="5" s="1"/>
  <c r="DN242" i="5"/>
  <c r="BC242" i="5"/>
  <c r="BD242" i="5" s="1"/>
  <c r="DN249" i="5"/>
  <c r="BC249" i="5"/>
  <c r="BD249" i="5" s="1"/>
  <c r="DN189" i="5"/>
  <c r="BC189" i="5"/>
  <c r="BD189" i="5" s="1"/>
  <c r="DN233" i="5"/>
  <c r="BC233" i="5"/>
  <c r="BD233" i="5" s="1"/>
  <c r="DL159" i="5"/>
  <c r="BC159" i="5"/>
  <c r="BD159" i="5" s="1"/>
  <c r="BB201" i="5"/>
  <c r="AT201" i="5"/>
  <c r="AL200" i="5"/>
  <c r="AO200" i="5"/>
  <c r="CQ137" i="5"/>
  <c r="FD137" i="5"/>
  <c r="CT376" i="5"/>
  <c r="FF376" i="5"/>
  <c r="CQ136" i="5"/>
  <c r="FD136" i="5"/>
  <c r="DX445" i="5"/>
  <c r="CL445" i="5" s="1"/>
  <c r="EQ469" i="5"/>
  <c r="ER469" i="5" s="1"/>
  <c r="CE177" i="5"/>
  <c r="CJ177" i="5" s="1"/>
  <c r="DX284" i="5"/>
  <c r="CL284" i="5" s="1"/>
  <c r="CQ174" i="5"/>
  <c r="FD174" i="5"/>
  <c r="DX329" i="5"/>
  <c r="CL329" i="5" s="1"/>
  <c r="BD171" i="5"/>
  <c r="CP378" i="5"/>
  <c r="FB378" i="5"/>
  <c r="AW169" i="5"/>
  <c r="CH169" i="5" s="1"/>
  <c r="AP169" i="5"/>
  <c r="AQ169" i="5" s="1"/>
  <c r="AW225" i="5"/>
  <c r="CH225" i="5" s="1"/>
  <c r="AW245" i="5"/>
  <c r="CH245" i="5" s="1"/>
  <c r="CR203" i="5"/>
  <c r="FC203" i="5"/>
  <c r="FA211" i="5"/>
  <c r="CO211" i="5"/>
  <c r="CU146" i="5"/>
  <c r="FA146" i="5"/>
  <c r="AS208" i="5"/>
  <c r="AT208" i="5" s="1"/>
  <c r="FA196" i="5"/>
  <c r="CO196" i="5"/>
  <c r="FC88" i="5"/>
  <c r="CR88" i="5"/>
  <c r="FA184" i="5"/>
  <c r="CU184" i="5"/>
  <c r="EA90" i="5"/>
  <c r="EB90" i="5"/>
  <c r="CT403" i="5"/>
  <c r="FF403" i="5"/>
  <c r="CT430" i="5"/>
  <c r="FF430" i="5"/>
  <c r="EQ488" i="5"/>
  <c r="ER488" i="5" s="1"/>
  <c r="EM159" i="5"/>
  <c r="EL159" i="5"/>
  <c r="DG159" i="5"/>
  <c r="DH219" i="5"/>
  <c r="AW417" i="5"/>
  <c r="CH417" i="5" s="1"/>
  <c r="FD240" i="5"/>
  <c r="CW240" i="5"/>
  <c r="DX182" i="5"/>
  <c r="CL182" i="5" s="1"/>
  <c r="FB429" i="5"/>
  <c r="CV429" i="5"/>
  <c r="AW188" i="5"/>
  <c r="CH188" i="5" s="1"/>
  <c r="AT159" i="5"/>
  <c r="FA175" i="5"/>
  <c r="CO175" i="5"/>
  <c r="CU181" i="5"/>
  <c r="FA181" i="5"/>
  <c r="DG248" i="5"/>
  <c r="CU173" i="5"/>
  <c r="FA173" i="5"/>
  <c r="CI12" i="5"/>
  <c r="DG239" i="5"/>
  <c r="DX395" i="5"/>
  <c r="CL395" i="5" s="1"/>
  <c r="AW382" i="5"/>
  <c r="CH382" i="5" s="1"/>
  <c r="DX332" i="5"/>
  <c r="CL332" i="5" s="1"/>
  <c r="CE186" i="5"/>
  <c r="CJ186" i="5" s="1"/>
  <c r="AW353" i="5"/>
  <c r="CH353" i="5" s="1"/>
  <c r="CP102" i="5"/>
  <c r="FB102" i="5"/>
  <c r="CE234" i="5"/>
  <c r="FF344" i="5"/>
  <c r="CT344" i="5"/>
  <c r="FD249" i="5"/>
  <c r="CW249" i="5"/>
  <c r="AP157" i="5"/>
  <c r="AQ157" i="5" s="1"/>
  <c r="AW157" i="5"/>
  <c r="AW184" i="5"/>
  <c r="CH184" i="5" s="1"/>
  <c r="AW62" i="5"/>
  <c r="CH62" i="5" s="1"/>
  <c r="FA208" i="5"/>
  <c r="CO208" i="5"/>
  <c r="AS200" i="5"/>
  <c r="AT200" i="5" s="1"/>
  <c r="CO193" i="5"/>
  <c r="FA193" i="5"/>
  <c r="BG62" i="5"/>
  <c r="BF62" i="5"/>
  <c r="BH62" i="5" s="1"/>
  <c r="AW144" i="5"/>
  <c r="CH144" i="5" s="1"/>
  <c r="FF320" i="5"/>
  <c r="CZ320" i="5"/>
  <c r="FF434" i="5"/>
  <c r="CT434" i="5"/>
  <c r="DX269" i="5"/>
  <c r="CL269" i="5" s="1"/>
  <c r="DG246" i="5"/>
  <c r="DX335" i="5"/>
  <c r="CL335" i="5" s="1"/>
  <c r="FD229" i="5"/>
  <c r="CW229" i="5"/>
  <c r="DJ470" i="5"/>
  <c r="DI470" i="5"/>
  <c r="DK477" i="5"/>
  <c r="DL477" i="5" s="1"/>
  <c r="DM477" i="5" s="1"/>
  <c r="CG10" i="5"/>
  <c r="CG11" i="5" s="1"/>
  <c r="CZ345" i="5"/>
  <c r="FF345" i="5"/>
  <c r="CW250" i="5"/>
  <c r="FD250" i="5"/>
  <c r="CV435" i="5"/>
  <c r="FB435" i="5"/>
  <c r="AW183" i="5"/>
  <c r="CH183" i="5" s="1"/>
  <c r="CO135" i="5"/>
  <c r="FA135" i="5"/>
  <c r="CO206" i="5"/>
  <c r="FA206" i="5"/>
  <c r="EB79" i="5"/>
  <c r="EA79" i="5"/>
  <c r="FF439" i="5"/>
  <c r="CT439" i="5"/>
  <c r="DX351" i="5"/>
  <c r="CL351" i="5" s="1"/>
  <c r="CE246" i="5"/>
  <c r="FF281" i="5"/>
  <c r="CZ281" i="5"/>
  <c r="DK494" i="5"/>
  <c r="DL494" i="5" s="1"/>
  <c r="DM494" i="5" s="1"/>
  <c r="FD115" i="5"/>
  <c r="CQ115" i="5"/>
  <c r="CZ280" i="5"/>
  <c r="FF280" i="5"/>
  <c r="EN217" i="5"/>
  <c r="EO217" i="5" s="1"/>
  <c r="FA198" i="5"/>
  <c r="CO198" i="5"/>
  <c r="CO225" i="5"/>
  <c r="FA225" i="5"/>
  <c r="FA239" i="5"/>
  <c r="CO239" i="5"/>
  <c r="CO185" i="5"/>
  <c r="FA185" i="5"/>
  <c r="EM200" i="5"/>
  <c r="DG200" i="5"/>
  <c r="EL200" i="5"/>
  <c r="EN187" i="5"/>
  <c r="EO187" i="5" s="1"/>
  <c r="EP187" i="5" s="1"/>
  <c r="FF324" i="5"/>
  <c r="CT324" i="5"/>
  <c r="FF347" i="5"/>
  <c r="CT347" i="5"/>
  <c r="FF255" i="5"/>
  <c r="CZ255" i="5"/>
  <c r="CT270" i="5"/>
  <c r="FF270" i="5"/>
  <c r="DX341" i="5"/>
  <c r="CL341" i="5" s="1"/>
  <c r="FB375" i="5"/>
  <c r="CV375" i="5"/>
  <c r="FB261" i="5"/>
  <c r="CV261" i="5"/>
  <c r="CQ128" i="5"/>
  <c r="FD128" i="5"/>
  <c r="CP430" i="5"/>
  <c r="FB430" i="5"/>
  <c r="FF425" i="5"/>
  <c r="CZ425" i="5"/>
  <c r="DX189" i="5"/>
  <c r="CL189" i="5" s="1"/>
  <c r="FB376" i="5"/>
  <c r="CP376" i="5"/>
  <c r="FF389" i="5"/>
  <c r="CT389" i="5"/>
  <c r="DX175" i="5"/>
  <c r="CL175" i="5" s="1"/>
  <c r="DH201" i="5"/>
  <c r="AW178" i="5"/>
  <c r="CH178" i="5" s="1"/>
  <c r="AW226" i="5"/>
  <c r="AT219" i="5"/>
  <c r="BT214" i="5"/>
  <c r="BV214" i="5" s="1"/>
  <c r="CC214" i="5" s="1"/>
  <c r="CE214" i="5" s="1"/>
  <c r="CJ214" i="5" s="1"/>
  <c r="FA214" i="5"/>
  <c r="CO214" i="5"/>
  <c r="EN222" i="5"/>
  <c r="EO222" i="5" s="1"/>
  <c r="EP222" i="5" s="1"/>
  <c r="FF275" i="5"/>
  <c r="CZ275" i="5"/>
  <c r="DX377" i="5"/>
  <c r="CL377" i="5" s="1"/>
  <c r="EL161" i="5"/>
  <c r="DG161" i="5"/>
  <c r="EM161" i="5"/>
  <c r="AW433" i="5"/>
  <c r="CH433" i="5" s="1"/>
  <c r="CP307" i="5"/>
  <c r="FB307" i="5"/>
  <c r="CZ428" i="5"/>
  <c r="FF428" i="5"/>
  <c r="FF256" i="5"/>
  <c r="CZ256" i="5"/>
  <c r="CO9" i="5"/>
  <c r="CO8" i="5"/>
  <c r="CO6" i="5"/>
  <c r="CO7" i="5" s="1"/>
  <c r="EQ493" i="5"/>
  <c r="ER493" i="5" s="1"/>
  <c r="FF311" i="5"/>
  <c r="CT311" i="5"/>
  <c r="DH220" i="5"/>
  <c r="AT234" i="5"/>
  <c r="AW79" i="5"/>
  <c r="CH79" i="5" s="1"/>
  <c r="BB216" i="5"/>
  <c r="FA141" i="5"/>
  <c r="CU141" i="5"/>
  <c r="CU142" i="5"/>
  <c r="FA142" i="5"/>
  <c r="FC121" i="5"/>
  <c r="CX121" i="5"/>
  <c r="CX13" i="5" s="1"/>
  <c r="FA244" i="5"/>
  <c r="CO244" i="5"/>
  <c r="DH171" i="5"/>
  <c r="DI171" i="5" s="1"/>
  <c r="EG171" i="5"/>
  <c r="EJ171" i="5" s="1"/>
  <c r="EK171" i="5" s="1"/>
  <c r="EA66" i="5"/>
  <c r="EB66" i="5"/>
  <c r="FF321" i="5"/>
  <c r="CZ321" i="5"/>
  <c r="FB415" i="5"/>
  <c r="CP415" i="5"/>
  <c r="DJ471" i="5"/>
  <c r="DI471" i="5"/>
  <c r="FB395" i="5"/>
  <c r="CP395" i="5"/>
  <c r="CV431" i="5"/>
  <c r="FB431" i="5"/>
  <c r="DX442" i="5"/>
  <c r="CL442" i="5" s="1"/>
  <c r="FB387" i="5"/>
  <c r="CV387" i="5"/>
  <c r="AT193" i="5"/>
  <c r="FB448" i="5"/>
  <c r="CV448" i="5"/>
  <c r="CM14" i="5"/>
  <c r="CM15" i="5" s="1"/>
  <c r="DX180" i="5"/>
  <c r="CL180" i="5" s="1"/>
  <c r="FB383" i="5"/>
  <c r="CV383" i="5"/>
  <c r="DX193" i="5"/>
  <c r="CL193" i="5" s="1"/>
  <c r="DL21" i="5"/>
  <c r="DM21" i="5" s="1"/>
  <c r="DX188" i="5"/>
  <c r="CL188" i="5" s="1"/>
  <c r="DN173" i="5"/>
  <c r="BC173" i="5"/>
  <c r="BD173" i="5" s="1"/>
  <c r="FR109" i="5"/>
  <c r="FU109" i="5" s="1"/>
  <c r="AY109" i="5"/>
  <c r="AZ109" i="5" s="1"/>
  <c r="BT109" i="5"/>
  <c r="DY109" i="5"/>
  <c r="BE109" i="5"/>
  <c r="BU109" i="5"/>
  <c r="BL109" i="5"/>
  <c r="DT109" i="5" s="1"/>
  <c r="DV109" i="5" s="1"/>
  <c r="AL198" i="5"/>
  <c r="AO198" i="5"/>
  <c r="FD192" i="5"/>
  <c r="CW192" i="5"/>
  <c r="EN172" i="5"/>
  <c r="EO172" i="5" s="1"/>
  <c r="EP172" i="5" s="1"/>
  <c r="EQ172" i="5" s="1"/>
  <c r="CV369" i="5"/>
  <c r="FB369" i="5"/>
  <c r="DN192" i="5"/>
  <c r="BC192" i="5"/>
  <c r="BD192" i="5" s="1"/>
  <c r="DN203" i="5"/>
  <c r="BC203" i="5"/>
  <c r="DN244" i="5"/>
  <c r="BC244" i="5"/>
  <c r="BD244" i="5" s="1"/>
  <c r="DN247" i="5"/>
  <c r="BC247" i="5"/>
  <c r="BD247" i="5" s="1"/>
  <c r="DN184" i="5"/>
  <c r="BC184" i="5"/>
  <c r="BD184" i="5" s="1"/>
  <c r="DN229" i="5"/>
  <c r="BC229" i="5"/>
  <c r="BD229" i="5" s="1"/>
  <c r="DN245" i="5"/>
  <c r="BC245" i="5"/>
  <c r="BD245" i="5" s="1"/>
  <c r="BC248" i="5"/>
  <c r="DN248" i="5"/>
  <c r="DN218" i="5"/>
  <c r="BC218" i="5"/>
  <c r="BD218" i="5" s="1"/>
  <c r="DN224" i="5"/>
  <c r="BC224" i="5"/>
  <c r="BD224" i="5" s="1"/>
  <c r="BE112" i="5"/>
  <c r="BU112" i="5"/>
  <c r="FS112" i="5"/>
  <c r="FU112" i="5" s="1"/>
  <c r="BL112" i="5"/>
  <c r="DT112" i="5" s="1"/>
  <c r="DV112" i="5" s="1"/>
  <c r="BT112" i="5"/>
  <c r="AY112" i="5"/>
  <c r="AZ112" i="5" s="1"/>
  <c r="AT198" i="5"/>
  <c r="BB198" i="5"/>
  <c r="BB203" i="5"/>
  <c r="AT203" i="5"/>
  <c r="AL170" i="5"/>
  <c r="AO170" i="5"/>
  <c r="AL172" i="5"/>
  <c r="AO172" i="5"/>
  <c r="DG203" i="5"/>
  <c r="DG199" i="5"/>
  <c r="EL199" i="5"/>
  <c r="EM199" i="5"/>
  <c r="DK481" i="5"/>
  <c r="DL481" i="5" s="1"/>
  <c r="DM481" i="5" s="1"/>
  <c r="FF346" i="5"/>
  <c r="CZ346" i="5"/>
  <c r="FD175" i="5"/>
  <c r="CQ175" i="5"/>
  <c r="DX170" i="5"/>
  <c r="CL170" i="5" s="1"/>
  <c r="DI469" i="5"/>
  <c r="DJ469" i="5"/>
  <c r="FD121" i="5"/>
  <c r="CW121" i="5"/>
  <c r="CE236" i="5"/>
  <c r="CJ236" i="5" s="1"/>
  <c r="FB449" i="5"/>
  <c r="CV449" i="5"/>
  <c r="EQ482" i="5"/>
  <c r="ER482" i="5" s="1"/>
  <c r="CV422" i="5"/>
  <c r="FB422" i="5"/>
  <c r="DG113" i="5"/>
  <c r="AP161" i="5"/>
  <c r="AQ161" i="5" s="1"/>
  <c r="AW161" i="5"/>
  <c r="AW165" i="5"/>
  <c r="AP165" i="5"/>
  <c r="AQ165" i="5" s="1"/>
  <c r="AW60" i="5"/>
  <c r="CH60" i="5" s="1"/>
  <c r="EN247" i="5"/>
  <c r="EO247" i="5"/>
  <c r="EP247" i="5" s="1"/>
  <c r="EN196" i="5"/>
  <c r="EO196" i="5" s="1"/>
  <c r="EP196" i="5" s="1"/>
  <c r="AO169" i="5"/>
  <c r="AL169" i="5"/>
  <c r="BG88" i="5"/>
  <c r="BI88" i="5" s="1"/>
  <c r="BF88" i="5"/>
  <c r="BH88" i="5" s="1"/>
  <c r="EN184" i="5"/>
  <c r="EO184" i="5" s="1"/>
  <c r="EP184" i="5" s="1"/>
  <c r="EN231" i="5"/>
  <c r="EO231" i="5" s="1"/>
  <c r="EP231" i="5" s="1"/>
  <c r="AW142" i="5"/>
  <c r="CH142" i="5" s="1"/>
  <c r="FF357" i="5"/>
  <c r="CZ357" i="5"/>
  <c r="EM24" i="5"/>
  <c r="EL24" i="5"/>
  <c r="EL221" i="5"/>
  <c r="EM221" i="5"/>
  <c r="DG221" i="5"/>
  <c r="DI488" i="5"/>
  <c r="DJ488" i="5"/>
  <c r="DX452" i="5"/>
  <c r="CL452" i="5" s="1"/>
  <c r="CP385" i="5"/>
  <c r="FB385" i="5"/>
  <c r="FD130" i="5"/>
  <c r="CQ130" i="5"/>
  <c r="DX323" i="5"/>
  <c r="CL323" i="5" s="1"/>
  <c r="FF394" i="5"/>
  <c r="CZ394" i="5"/>
  <c r="CZ282" i="5"/>
  <c r="FF282" i="5"/>
  <c r="DX322" i="5"/>
  <c r="CL322" i="5" s="1"/>
  <c r="AW221" i="5"/>
  <c r="AP221" i="5"/>
  <c r="AQ221" i="5" s="1"/>
  <c r="DL22" i="5"/>
  <c r="DM22" i="5" s="1"/>
  <c r="EN175" i="5"/>
  <c r="EO175" i="5" s="1"/>
  <c r="EP175" i="5" s="1"/>
  <c r="EN223" i="5"/>
  <c r="EO223" i="5" s="1"/>
  <c r="EP223" i="5" s="1"/>
  <c r="EN173" i="5"/>
  <c r="EO173" i="5"/>
  <c r="EP173" i="5" s="1"/>
  <c r="CT276" i="5"/>
  <c r="FF276" i="5"/>
  <c r="CI10" i="5"/>
  <c r="CI11" i="5" s="1"/>
  <c r="DX326" i="5"/>
  <c r="CL326" i="5" s="1"/>
  <c r="DG145" i="5"/>
  <c r="AW274" i="5"/>
  <c r="CH274" i="5" s="1"/>
  <c r="AW390" i="5"/>
  <c r="CH390" i="5" s="1"/>
  <c r="DX369" i="5"/>
  <c r="CL369" i="5" s="1"/>
  <c r="FB290" i="5"/>
  <c r="CV290" i="5"/>
  <c r="EM165" i="5"/>
  <c r="DG165" i="5"/>
  <c r="EL165" i="5"/>
  <c r="EL218" i="5"/>
  <c r="EM218" i="5"/>
  <c r="DG218" i="5"/>
  <c r="DX361" i="5"/>
  <c r="CL361" i="5" s="1"/>
  <c r="AW302" i="5"/>
  <c r="CH302" i="5" s="1"/>
  <c r="AW93" i="5"/>
  <c r="CH93" i="5" s="1"/>
  <c r="AW189" i="5"/>
  <c r="CH189" i="5" s="1"/>
  <c r="AW76" i="5"/>
  <c r="CH76" i="5" s="1"/>
  <c r="EN208" i="5"/>
  <c r="EO208" i="5" s="1"/>
  <c r="EP208" i="5" s="1"/>
  <c r="FA182" i="5"/>
  <c r="CU182" i="5"/>
  <c r="BT199" i="5"/>
  <c r="BV199" i="5" s="1"/>
  <c r="CC199" i="5" s="1"/>
  <c r="CE199" i="5" s="1"/>
  <c r="CJ199" i="5" s="1"/>
  <c r="BV62" i="5"/>
  <c r="CC62" i="5" s="1"/>
  <c r="CE62" i="5" s="1"/>
  <c r="CJ62" i="5" s="1"/>
  <c r="CE207" i="5"/>
  <c r="CJ207" i="5" s="1"/>
  <c r="ET134" i="5"/>
  <c r="FB445" i="5"/>
  <c r="CV445" i="5"/>
  <c r="AW434" i="5"/>
  <c r="CH434" i="5" s="1"/>
  <c r="DX444" i="5"/>
  <c r="CL444" i="5" s="1"/>
  <c r="CG12" i="5"/>
  <c r="DX262" i="5"/>
  <c r="CL262" i="5" s="1"/>
  <c r="CV329" i="5"/>
  <c r="FB329" i="5"/>
  <c r="CV398" i="5"/>
  <c r="FB398" i="5"/>
  <c r="FB286" i="5"/>
  <c r="CV286" i="5"/>
  <c r="DX438" i="5"/>
  <c r="CL438" i="5" s="1"/>
  <c r="AW235" i="5"/>
  <c r="CH235" i="5" s="1"/>
  <c r="EN197" i="5"/>
  <c r="EO197" i="5" s="1"/>
  <c r="EP197" i="5" s="1"/>
  <c r="FA202" i="5"/>
  <c r="CO202" i="5"/>
  <c r="EN234" i="5"/>
  <c r="EO234" i="5" s="1"/>
  <c r="EP234" i="5" s="1"/>
  <c r="EN206" i="5"/>
  <c r="EO206" i="5" s="1"/>
  <c r="EP206" i="5" s="1"/>
  <c r="BV202" i="5"/>
  <c r="CC202" i="5" s="1"/>
  <c r="CE202" i="5" s="1"/>
  <c r="CJ202" i="5" s="1"/>
  <c r="CR79" i="5"/>
  <c r="FC79" i="5"/>
  <c r="DK480" i="5"/>
  <c r="DL480" i="5" s="1"/>
  <c r="DM480" i="5" s="1"/>
  <c r="DX253" i="5"/>
  <c r="CL253" i="5" s="1"/>
  <c r="DX353" i="5"/>
  <c r="CL353" i="5" s="1"/>
  <c r="DX294" i="5"/>
  <c r="CL294" i="5" s="1"/>
  <c r="CZ318" i="5"/>
  <c r="FF318" i="5"/>
  <c r="FB344" i="5"/>
  <c r="CP344" i="5"/>
  <c r="DG242" i="5"/>
  <c r="AW179" i="5"/>
  <c r="CH179" i="5" s="1"/>
  <c r="AT229" i="5"/>
  <c r="EN198" i="5"/>
  <c r="EO198" i="5" s="1"/>
  <c r="EP198" i="5" s="1"/>
  <c r="EQ198" i="5" s="1"/>
  <c r="EN225" i="5"/>
  <c r="EO225" i="5" s="1"/>
  <c r="EP225" i="5" s="1"/>
  <c r="EN239" i="5"/>
  <c r="EO239" i="5" s="1"/>
  <c r="EP239" i="5" s="1"/>
  <c r="BF91" i="5"/>
  <c r="BH91" i="5" s="1"/>
  <c r="BG91" i="5"/>
  <c r="CU187" i="5"/>
  <c r="FA187" i="5"/>
  <c r="FB416" i="5"/>
  <c r="CV416" i="5"/>
  <c r="EQ498" i="5"/>
  <c r="ER498" i="5" s="1"/>
  <c r="CE223" i="5"/>
  <c r="CM13" i="5"/>
  <c r="DG243" i="5"/>
  <c r="AW265" i="5"/>
  <c r="CH265" i="5" s="1"/>
  <c r="DG224" i="5"/>
  <c r="FB257" i="5"/>
  <c r="CV257" i="5"/>
  <c r="AW173" i="5"/>
  <c r="CH173" i="5" s="1"/>
  <c r="AP173" i="5"/>
  <c r="AQ173" i="5" s="1"/>
  <c r="CU229" i="5"/>
  <c r="FA229" i="5"/>
  <c r="BT206" i="5"/>
  <c r="BV206" i="5" s="1"/>
  <c r="CC206" i="5" s="1"/>
  <c r="CE206" i="5" s="1"/>
  <c r="CJ206" i="5" s="1"/>
  <c r="EN214" i="5"/>
  <c r="EO214" i="5" s="1"/>
  <c r="EP214" i="5" s="1"/>
  <c r="CO171" i="5"/>
  <c r="FA171" i="5"/>
  <c r="BF77" i="5"/>
  <c r="BH77" i="5" s="1"/>
  <c r="BG77" i="5"/>
  <c r="EN240" i="5"/>
  <c r="EO240" i="5" s="1"/>
  <c r="EP240" i="5" s="1"/>
  <c r="DG231" i="5"/>
  <c r="DX278" i="5"/>
  <c r="CL278" i="5" s="1"/>
  <c r="BJ127" i="5"/>
  <c r="EC127" i="5" s="1"/>
  <c r="EB127" i="5" s="1"/>
  <c r="DX301" i="5"/>
  <c r="CL301" i="5" s="1"/>
  <c r="CU9" i="5"/>
  <c r="CU8" i="5"/>
  <c r="CU6" i="5"/>
  <c r="CU7" i="5" s="1"/>
  <c r="DG225" i="5"/>
  <c r="DI493" i="5"/>
  <c r="DJ493" i="5"/>
  <c r="ET124" i="5"/>
  <c r="DX342" i="5"/>
  <c r="CL342" i="5" s="1"/>
  <c r="AW176" i="5"/>
  <c r="CH176" i="5" s="1"/>
  <c r="CR78" i="5"/>
  <c r="FC78" i="5"/>
  <c r="EN244" i="5"/>
  <c r="EO244" i="5" s="1"/>
  <c r="EP244" i="5" s="1"/>
  <c r="DH170" i="5"/>
  <c r="DI170" i="5" s="1"/>
  <c r="BF92" i="5"/>
  <c r="BH92" i="5" s="1"/>
  <c r="BG92" i="5"/>
  <c r="FA178" i="5"/>
  <c r="CU178" i="5"/>
  <c r="FF417" i="5"/>
  <c r="CZ417" i="5"/>
  <c r="CE189" i="5"/>
  <c r="CJ189" i="5" s="1"/>
  <c r="CE183" i="5"/>
  <c r="CJ183" i="5" s="1"/>
  <c r="CT420" i="5"/>
  <c r="FF420" i="5"/>
  <c r="FB345" i="5"/>
  <c r="CV345" i="5"/>
  <c r="FF297" i="5"/>
  <c r="CZ297" i="5"/>
  <c r="CP439" i="5"/>
  <c r="FB439" i="5"/>
  <c r="CM17" i="5"/>
  <c r="FB404" i="5"/>
  <c r="CV404" i="5"/>
  <c r="CV401" i="5"/>
  <c r="FB401" i="5"/>
  <c r="CP101" i="5"/>
  <c r="FB101" i="5"/>
  <c r="FB98" i="5"/>
  <c r="CP98" i="5"/>
  <c r="DN175" i="5"/>
  <c r="BC175" i="5"/>
  <c r="BD175" i="5" s="1"/>
  <c r="AT202" i="5"/>
  <c r="BB202" i="5"/>
  <c r="DG201" i="5"/>
  <c r="FD145" i="5"/>
  <c r="CW145" i="5"/>
  <c r="DG233" i="5"/>
  <c r="AW140" i="5"/>
  <c r="CH140" i="5" s="1"/>
  <c r="FA235" i="5"/>
  <c r="CO235" i="5"/>
  <c r="DX337" i="5"/>
  <c r="CL337" i="5" s="1"/>
  <c r="DN219" i="5"/>
  <c r="BC219" i="5"/>
  <c r="BD219" i="5" s="1"/>
  <c r="DN196" i="5"/>
  <c r="BC196" i="5"/>
  <c r="BB211" i="5"/>
  <c r="AT211" i="5"/>
  <c r="DN176" i="5"/>
  <c r="BC176" i="5"/>
  <c r="BD176" i="5" s="1"/>
  <c r="DN195" i="5"/>
  <c r="BC195" i="5"/>
  <c r="BD195" i="5" s="1"/>
  <c r="DN246" i="5"/>
  <c r="BC246" i="5"/>
  <c r="BD246" i="5" s="1"/>
  <c r="DL161" i="5"/>
  <c r="BC161" i="5"/>
  <c r="BD161" i="5" s="1"/>
  <c r="DN223" i="5"/>
  <c r="BC223" i="5"/>
  <c r="BD223" i="5" s="1"/>
  <c r="DN172" i="5"/>
  <c r="BC172" i="5"/>
  <c r="BD172" i="5" s="1"/>
  <c r="DN237" i="5"/>
  <c r="BC237" i="5"/>
  <c r="BD237" i="5" s="1"/>
  <c r="DN227" i="5"/>
  <c r="BC227" i="5"/>
  <c r="BD227" i="5" s="1"/>
  <c r="DL167" i="5"/>
  <c r="BC167" i="5"/>
  <c r="BD167" i="5" s="1"/>
  <c r="DN230" i="5"/>
  <c r="BC230" i="5"/>
  <c r="BD230" i="5" s="1"/>
  <c r="DN181" i="5"/>
  <c r="BC181" i="5"/>
  <c r="BD181" i="5" s="1"/>
  <c r="BE107" i="5"/>
  <c r="BU107" i="5"/>
  <c r="FS107" i="5"/>
  <c r="FU107" i="5" s="1"/>
  <c r="BL107" i="5"/>
  <c r="DT107" i="5" s="1"/>
  <c r="DV107" i="5" s="1"/>
  <c r="BT107" i="5"/>
  <c r="AY107" i="5"/>
  <c r="AZ107" i="5" s="1"/>
  <c r="BB209" i="5"/>
  <c r="AT209" i="5"/>
  <c r="AT214" i="5"/>
  <c r="BB214" i="5"/>
  <c r="AK202" i="5"/>
  <c r="FF426" i="5"/>
  <c r="CT426" i="5"/>
  <c r="FF378" i="5"/>
  <c r="CT378" i="5"/>
  <c r="CW146" i="5"/>
  <c r="FD146" i="5"/>
  <c r="CX251" i="5"/>
  <c r="FC251" i="5"/>
  <c r="EQ485" i="5"/>
  <c r="ER485" i="5" s="1"/>
  <c r="DX338" i="5"/>
  <c r="CL338" i="5" s="1"/>
  <c r="CE219" i="5"/>
  <c r="DI482" i="5"/>
  <c r="DJ482" i="5"/>
  <c r="FD114" i="5"/>
  <c r="CQ114" i="5"/>
  <c r="FF406" i="5"/>
  <c r="CT406" i="5"/>
  <c r="AW121" i="5"/>
  <c r="CH121" i="5" s="1"/>
  <c r="BV198" i="5"/>
  <c r="CC198" i="5" s="1"/>
  <c r="CE198" i="5" s="1"/>
  <c r="CJ198" i="5" s="1"/>
  <c r="FA247" i="5"/>
  <c r="CO247" i="5"/>
  <c r="EL196" i="5"/>
  <c r="EM196" i="5"/>
  <c r="DG196" i="5"/>
  <c r="DG206" i="5"/>
  <c r="DG209" i="5"/>
  <c r="CQ69" i="5"/>
  <c r="FD69" i="5"/>
  <c r="FA231" i="5"/>
  <c r="CO231" i="5"/>
  <c r="AS215" i="5"/>
  <c r="BB215" i="5" s="1"/>
  <c r="FF313" i="5"/>
  <c r="CZ313" i="5"/>
  <c r="AJ26" i="5"/>
  <c r="AN25" i="5"/>
  <c r="DO25" i="5" s="1"/>
  <c r="AK25" i="5"/>
  <c r="CV268" i="5"/>
  <c r="FB268" i="5"/>
  <c r="FD176" i="5"/>
  <c r="CQ176" i="5"/>
  <c r="DX391" i="5"/>
  <c r="CL391" i="5" s="1"/>
  <c r="DG235" i="5"/>
  <c r="FB303" i="5"/>
  <c r="CP303" i="5"/>
  <c r="DX272" i="5"/>
  <c r="CL272" i="5" s="1"/>
  <c r="CV394" i="5"/>
  <c r="FB394" i="5"/>
  <c r="DX271" i="5"/>
  <c r="CL271" i="5" s="1"/>
  <c r="AW194" i="5"/>
  <c r="CH194" i="5" s="1"/>
  <c r="EN209" i="5"/>
  <c r="EO209" i="5" s="1"/>
  <c r="EP209" i="5" s="1"/>
  <c r="AS196" i="5"/>
  <c r="BB196" i="5" s="1"/>
  <c r="DH197" i="5"/>
  <c r="CZ387" i="5"/>
  <c r="FF387" i="5"/>
  <c r="DX355" i="5"/>
  <c r="CL355" i="5" s="1"/>
  <c r="EQ499" i="5"/>
  <c r="ER499" i="5" s="1"/>
  <c r="DG222" i="5"/>
  <c r="FF393" i="5"/>
  <c r="CZ393" i="5"/>
  <c r="FD188" i="5"/>
  <c r="CQ188" i="5"/>
  <c r="AW413" i="5"/>
  <c r="CH413" i="5" s="1"/>
  <c r="FB295" i="5"/>
  <c r="CV295" i="5"/>
  <c r="EQ492" i="5"/>
  <c r="ER492" i="5" s="1"/>
  <c r="AK221" i="5"/>
  <c r="BB239" i="5"/>
  <c r="BD239" i="5" s="1"/>
  <c r="CO125" i="5"/>
  <c r="FA125" i="5"/>
  <c r="CO124" i="5"/>
  <c r="CO4" i="5" s="1"/>
  <c r="FA124" i="5"/>
  <c r="CO131" i="5"/>
  <c r="FA131" i="5"/>
  <c r="CO245" i="5"/>
  <c r="FA245" i="5"/>
  <c r="EN182" i="5"/>
  <c r="EO182" i="5" s="1"/>
  <c r="EP182" i="5" s="1"/>
  <c r="EB62" i="5"/>
  <c r="EA62" i="5"/>
  <c r="BB248" i="5"/>
  <c r="CZ314" i="5"/>
  <c r="FF314" i="5"/>
  <c r="DX334" i="5"/>
  <c r="CL334" i="5" s="1"/>
  <c r="CZ349" i="5"/>
  <c r="FF349" i="5"/>
  <c r="EQ491" i="5"/>
  <c r="ER491" i="5" s="1"/>
  <c r="DG230" i="5"/>
  <c r="FF298" i="5"/>
  <c r="CZ298" i="5"/>
  <c r="CG13" i="5"/>
  <c r="DX330" i="5"/>
  <c r="CL330" i="5" s="1"/>
  <c r="CP316" i="5"/>
  <c r="FB316" i="5"/>
  <c r="FF257" i="5"/>
  <c r="CZ257" i="5"/>
  <c r="FB340" i="5"/>
  <c r="CP340" i="5"/>
  <c r="AW177" i="5"/>
  <c r="CH177" i="5" s="1"/>
  <c r="AT233" i="5"/>
  <c r="CO197" i="5"/>
  <c r="FA197" i="5"/>
  <c r="EN202" i="5"/>
  <c r="EO202" i="5" s="1"/>
  <c r="EP202" i="5" s="1"/>
  <c r="EN243" i="5"/>
  <c r="EO243" i="5" s="1"/>
  <c r="EP243" i="5" s="1"/>
  <c r="FC202" i="5"/>
  <c r="CR202" i="5"/>
  <c r="EQ484" i="5"/>
  <c r="ER484" i="5" s="1"/>
  <c r="FD239" i="5"/>
  <c r="CQ239" i="5"/>
  <c r="FF413" i="5"/>
  <c r="CZ413" i="5"/>
  <c r="FD147" i="5"/>
  <c r="CW147" i="5"/>
  <c r="BD183" i="5"/>
  <c r="DX308" i="5"/>
  <c r="CL308" i="5" s="1"/>
  <c r="FF382" i="5"/>
  <c r="CZ382" i="5"/>
  <c r="FB349" i="5"/>
  <c r="CV349" i="5"/>
  <c r="FD124" i="5"/>
  <c r="CQ124" i="5"/>
  <c r="DX285" i="5"/>
  <c r="CL285" i="5" s="1"/>
  <c r="AW242" i="5"/>
  <c r="CH242" i="5" s="1"/>
  <c r="AW91" i="5"/>
  <c r="CH91" i="5" s="1"/>
  <c r="AZ217" i="5"/>
  <c r="CE217" i="5"/>
  <c r="CO139" i="5"/>
  <c r="FA139" i="5"/>
  <c r="DG250" i="5"/>
  <c r="CU147" i="5"/>
  <c r="FA147" i="5"/>
  <c r="DI498" i="5"/>
  <c r="DJ498" i="5"/>
  <c r="FB323" i="5"/>
  <c r="CV323" i="5"/>
  <c r="CM12" i="5"/>
  <c r="AW292" i="5"/>
  <c r="CH292" i="5" s="1"/>
  <c r="CZ407" i="5"/>
  <c r="FF407" i="5"/>
  <c r="FF427" i="5"/>
  <c r="CT427" i="5"/>
  <c r="CQ117" i="5"/>
  <c r="FD117" i="5"/>
  <c r="AW167" i="5"/>
  <c r="AP167" i="5"/>
  <c r="AQ167" i="5" s="1"/>
  <c r="AW77" i="5"/>
  <c r="CH77" i="5" s="1"/>
  <c r="AW92" i="5"/>
  <c r="CH92" i="5" s="1"/>
  <c r="EN229" i="5"/>
  <c r="EO229" i="5" s="1"/>
  <c r="EP229" i="5" s="1"/>
  <c r="FC214" i="5"/>
  <c r="CR214" i="5"/>
  <c r="CO237" i="5"/>
  <c r="FA237" i="5"/>
  <c r="EN171" i="5"/>
  <c r="EO171" i="5" s="1"/>
  <c r="EP171" i="5" s="1"/>
  <c r="CU240" i="5"/>
  <c r="FA240" i="5"/>
  <c r="FF386" i="5"/>
  <c r="CZ386" i="5"/>
  <c r="FB391" i="5"/>
  <c r="CV391" i="5"/>
  <c r="AW310" i="5"/>
  <c r="CH310" i="5" s="1"/>
  <c r="DG238" i="5"/>
  <c r="AW418" i="5"/>
  <c r="CH418" i="5" s="1"/>
  <c r="CW143" i="5"/>
  <c r="FD143" i="5"/>
  <c r="DX366" i="5"/>
  <c r="CL366" i="5" s="1"/>
  <c r="FB296" i="5"/>
  <c r="CV296" i="5"/>
  <c r="DX176" i="5"/>
  <c r="CL176" i="5" s="1"/>
  <c r="FD227" i="5"/>
  <c r="CQ227" i="5"/>
  <c r="BX1" i="5"/>
  <c r="AW372" i="5"/>
  <c r="CH372" i="5" s="1"/>
  <c r="AW166" i="5"/>
  <c r="AP166" i="5"/>
  <c r="AQ166" i="5" s="1"/>
  <c r="FC94" i="5"/>
  <c r="CR94" i="5"/>
  <c r="AW227" i="5"/>
  <c r="CH227" i="5" s="1"/>
  <c r="AS205" i="5"/>
  <c r="BB205" i="5" s="1"/>
  <c r="BV200" i="5"/>
  <c r="CC200" i="5" s="1"/>
  <c r="CE200" i="5" s="1"/>
  <c r="CJ200" i="5" s="1"/>
  <c r="BV208" i="5"/>
  <c r="CC208" i="5" s="1"/>
  <c r="CE208" i="5" s="1"/>
  <c r="CJ208" i="5" s="1"/>
  <c r="FA194" i="5"/>
  <c r="CO194" i="5"/>
  <c r="FD92" i="5"/>
  <c r="CW92" i="5"/>
  <c r="CU144" i="5"/>
  <c r="FA144" i="5"/>
  <c r="EN178" i="5"/>
  <c r="EO178" i="5" s="1"/>
  <c r="EP178" i="5" s="1"/>
  <c r="CZ399" i="5"/>
  <c r="FF399" i="5"/>
  <c r="DX451" i="5"/>
  <c r="CL451" i="5" s="1"/>
  <c r="FB419" i="5"/>
  <c r="CV419" i="5"/>
  <c r="DG166" i="5"/>
  <c r="EL166" i="5"/>
  <c r="EM166" i="5"/>
  <c r="FB269" i="5"/>
  <c r="CV269" i="5"/>
  <c r="DK483" i="5"/>
  <c r="DL483" i="5" s="1"/>
  <c r="DM483" i="5" s="1"/>
  <c r="DX331" i="5"/>
  <c r="CL331" i="5" s="1"/>
  <c r="FA228" i="5"/>
  <c r="CO228" i="5"/>
  <c r="CM16" i="5"/>
  <c r="FB309" i="5"/>
  <c r="CV309" i="5"/>
  <c r="CP414" i="5"/>
  <c r="FB414" i="5"/>
  <c r="DX185" i="5"/>
  <c r="CL185" i="5" s="1"/>
  <c r="DX194" i="5"/>
  <c r="CL194" i="5" s="1"/>
  <c r="FB354" i="5"/>
  <c r="CP354" i="5"/>
  <c r="EG201" i="5"/>
  <c r="EJ201" i="5" s="1"/>
  <c r="EK201" i="5" s="1"/>
  <c r="EM201" i="5" s="1"/>
  <c r="FB424" i="5"/>
  <c r="CV424" i="5"/>
  <c r="DX186" i="5"/>
  <c r="CL186" i="5" s="1"/>
  <c r="CV377" i="5"/>
  <c r="FB377" i="5"/>
  <c r="DN186" i="5"/>
  <c r="BC186" i="5"/>
  <c r="BD186" i="5" s="1"/>
  <c r="BC251" i="5"/>
  <c r="BD251" i="5" s="1"/>
  <c r="DN251" i="5"/>
  <c r="CV320" i="5"/>
  <c r="FB320" i="5"/>
  <c r="DX299" i="5"/>
  <c r="CL299" i="5" s="1"/>
  <c r="EN210" i="5"/>
  <c r="EO210" i="5"/>
  <c r="EP210" i="5" s="1"/>
  <c r="FF252" i="5"/>
  <c r="CT252" i="5"/>
  <c r="AW89" i="5"/>
  <c r="CH89" i="5" s="1"/>
  <c r="DN226" i="5"/>
  <c r="BC226" i="5"/>
  <c r="BD226" i="5" s="1"/>
  <c r="DN202" i="5"/>
  <c r="BC202" i="5"/>
  <c r="DN209" i="5"/>
  <c r="BC209" i="5"/>
  <c r="DN238" i="5"/>
  <c r="BC238" i="5"/>
  <c r="BD238" i="5" s="1"/>
  <c r="DN188" i="5"/>
  <c r="BC188" i="5"/>
  <c r="BD188" i="5" s="1"/>
  <c r="DN215" i="5"/>
  <c r="BC215" i="5"/>
  <c r="DN198" i="5"/>
  <c r="BC198" i="5"/>
  <c r="BD198" i="5" s="1"/>
  <c r="DL157" i="5"/>
  <c r="BC157" i="5"/>
  <c r="BD157" i="5" s="1"/>
  <c r="DL164" i="5"/>
  <c r="BC164" i="5"/>
  <c r="BD164" i="5" s="1"/>
  <c r="DN169" i="5"/>
  <c r="BC169" i="5"/>
  <c r="BD169" i="5" s="1"/>
  <c r="DH221" i="5"/>
  <c r="EB205" i="5"/>
  <c r="FD247" i="5"/>
  <c r="CQ247" i="5"/>
  <c r="CE238" i="5"/>
  <c r="CJ238" i="5" s="1"/>
  <c r="DJ485" i="5"/>
  <c r="DI485" i="5"/>
  <c r="DX453" i="5"/>
  <c r="CL453" i="5" s="1"/>
  <c r="FD190" i="5"/>
  <c r="CW190" i="5"/>
  <c r="CW248" i="5"/>
  <c r="FD248" i="5"/>
  <c r="EL157" i="5"/>
  <c r="DG157" i="5"/>
  <c r="EM157" i="5"/>
  <c r="FB315" i="5"/>
  <c r="CP315" i="5"/>
  <c r="CE216" i="5"/>
  <c r="AW192" i="5"/>
  <c r="CH192" i="5" s="1"/>
  <c r="EN213" i="5"/>
  <c r="EO213" i="5" s="1"/>
  <c r="EP213" i="5" s="1"/>
  <c r="FA180" i="5"/>
  <c r="CO180" i="5"/>
  <c r="BT211" i="5"/>
  <c r="BV211" i="5" s="1"/>
  <c r="CC211" i="5" s="1"/>
  <c r="CE211" i="5" s="1"/>
  <c r="CJ211" i="5" s="1"/>
  <c r="EN179" i="5"/>
  <c r="EO179" i="5" s="1"/>
  <c r="EP179" i="5" s="1"/>
  <c r="CU177" i="5"/>
  <c r="FA177" i="5"/>
  <c r="FC76" i="5"/>
  <c r="CR76" i="5"/>
  <c r="EB88" i="5"/>
  <c r="EA88" i="5"/>
  <c r="EA69" i="5"/>
  <c r="EB69" i="5"/>
  <c r="AW244" i="5"/>
  <c r="CH244" i="5" s="1"/>
  <c r="FA186" i="5"/>
  <c r="CO186" i="5"/>
  <c r="DX343" i="5"/>
  <c r="CL343" i="5" s="1"/>
  <c r="DX328" i="5"/>
  <c r="CL328" i="5" s="1"/>
  <c r="DG237" i="5"/>
  <c r="CP360" i="5"/>
  <c r="FB360" i="5"/>
  <c r="DX411" i="5"/>
  <c r="CL411" i="5" s="1"/>
  <c r="CE180" i="5"/>
  <c r="CJ180" i="5" s="1"/>
  <c r="AW114" i="5"/>
  <c r="CH114" i="5" s="1"/>
  <c r="FA209" i="5"/>
  <c r="CO209" i="5"/>
  <c r="AS207" i="5"/>
  <c r="BB207" i="5" s="1"/>
  <c r="BT196" i="5"/>
  <c r="BV196" i="5" s="1"/>
  <c r="CC196" i="5" s="1"/>
  <c r="CE196" i="5" s="1"/>
  <c r="CJ196" i="5" s="1"/>
  <c r="BF89" i="5"/>
  <c r="BH89" i="5" s="1"/>
  <c r="BG89" i="5"/>
  <c r="FF340" i="5"/>
  <c r="CT340" i="5"/>
  <c r="DJ499" i="5"/>
  <c r="DI499" i="5"/>
  <c r="ER156" i="5"/>
  <c r="CP293" i="5"/>
  <c r="FB293" i="5"/>
  <c r="DG244" i="5"/>
  <c r="AW156" i="5"/>
  <c r="AP156" i="5"/>
  <c r="AQ156" i="5" s="1"/>
  <c r="AW145" i="5"/>
  <c r="CH145" i="5" s="1"/>
  <c r="EN203" i="5"/>
  <c r="EO203" i="5" s="1"/>
  <c r="EP203" i="5" s="1"/>
  <c r="FA204" i="5"/>
  <c r="CU204" i="5"/>
  <c r="EN201" i="5"/>
  <c r="EO201" i="5" s="1"/>
  <c r="EP201" i="5" s="1"/>
  <c r="EN245" i="5"/>
  <c r="EO245" i="5" s="1"/>
  <c r="EP245" i="5" s="1"/>
  <c r="BV60" i="5"/>
  <c r="CC60" i="5" s="1"/>
  <c r="CE60" i="5" s="1"/>
  <c r="CJ60" i="5" s="1"/>
  <c r="FC204" i="5"/>
  <c r="CX204" i="5"/>
  <c r="BV93" i="5"/>
  <c r="CC93" i="5" s="1"/>
  <c r="CE93" i="5" s="1"/>
  <c r="CJ93" i="5" s="1"/>
  <c r="DJ491" i="5"/>
  <c r="DI491" i="5"/>
  <c r="BD191" i="5"/>
  <c r="FB411" i="5"/>
  <c r="CP411" i="5"/>
  <c r="DG143" i="5"/>
  <c r="DH173" i="5"/>
  <c r="DI173" i="5" s="1"/>
  <c r="FB100" i="5"/>
  <c r="CP100" i="5"/>
  <c r="CE235" i="5"/>
  <c r="CJ235" i="5" s="1"/>
  <c r="DX283" i="5"/>
  <c r="CL283" i="5" s="1"/>
  <c r="CE181" i="5"/>
  <c r="CJ181" i="5" s="1"/>
  <c r="CO128" i="5"/>
  <c r="FA128" i="5"/>
  <c r="FA243" i="5"/>
  <c r="CO243" i="5"/>
  <c r="EN191" i="5"/>
  <c r="EO191" i="5" s="1"/>
  <c r="EP191" i="5" s="1"/>
  <c r="BG79" i="5"/>
  <c r="BF79" i="5"/>
  <c r="BH79" i="5" s="1"/>
  <c r="DX449" i="5"/>
  <c r="CL449" i="5" s="1"/>
  <c r="DI484" i="5"/>
  <c r="DJ484" i="5"/>
  <c r="BD236" i="5"/>
  <c r="AW298" i="5"/>
  <c r="CH298" i="5" s="1"/>
  <c r="CT384" i="5"/>
  <c r="FF384" i="5"/>
  <c r="FD225" i="5"/>
  <c r="CQ225" i="5"/>
  <c r="AP174" i="5"/>
  <c r="AQ174" i="5" s="1"/>
  <c r="AW174" i="5"/>
  <c r="CH174" i="5" s="1"/>
  <c r="EN215" i="5"/>
  <c r="EO215" i="5" s="1"/>
  <c r="EP215" i="5" s="1"/>
  <c r="EN238" i="5"/>
  <c r="EO238" i="5" s="1"/>
  <c r="EP238" i="5" s="1"/>
  <c r="BV215" i="5"/>
  <c r="CC215" i="5" s="1"/>
  <c r="CE215" i="5" s="1"/>
  <c r="CJ215" i="5" s="1"/>
  <c r="DH172" i="5"/>
  <c r="DI172" i="5" s="1"/>
  <c r="AT218" i="5"/>
  <c r="DH199" i="5"/>
  <c r="DX288" i="5"/>
  <c r="CL288" i="5" s="1"/>
  <c r="CE232" i="5"/>
  <c r="AW386" i="5"/>
  <c r="CH386" i="5" s="1"/>
  <c r="CM10" i="5"/>
  <c r="CM11" i="5" s="1"/>
  <c r="DG135" i="5"/>
  <c r="DX359" i="5"/>
  <c r="CL359" i="5" s="1"/>
  <c r="CE179" i="5"/>
  <c r="CJ179" i="5" s="1"/>
  <c r="EL162" i="5"/>
  <c r="EM162" i="5"/>
  <c r="DG162" i="5"/>
  <c r="AW170" i="5"/>
  <c r="CH170" i="5" s="1"/>
  <c r="AP170" i="5"/>
  <c r="AQ170" i="5" s="1"/>
  <c r="AT238" i="5"/>
  <c r="FA143" i="5"/>
  <c r="CU143" i="5"/>
  <c r="CU1" i="5" s="1"/>
  <c r="CU2" i="5" s="1"/>
  <c r="EN237" i="5"/>
  <c r="EO237" i="5" s="1"/>
  <c r="EP237" i="5" s="1"/>
  <c r="CZ392" i="5"/>
  <c r="FF392" i="5"/>
  <c r="DG146" i="5"/>
  <c r="DX360" i="5"/>
  <c r="CL360" i="5" s="1"/>
  <c r="CE221" i="5"/>
  <c r="DX305" i="5"/>
  <c r="CL305" i="5" s="1"/>
  <c r="DX436" i="5"/>
  <c r="CL436" i="5" s="1"/>
  <c r="DH200" i="5"/>
  <c r="DG121" i="5"/>
  <c r="DG140" i="5"/>
  <c r="AW437" i="5"/>
  <c r="CH437" i="5" s="1"/>
  <c r="FF390" i="5"/>
  <c r="CT390" i="5"/>
  <c r="BF78" i="5"/>
  <c r="BH78" i="5" s="1"/>
  <c r="BG78" i="5"/>
  <c r="EN241" i="5"/>
  <c r="EO241" i="5" s="1"/>
  <c r="EP241" i="5" s="1"/>
  <c r="EN194" i="5"/>
  <c r="EO194" i="5" s="1"/>
  <c r="EP194" i="5" s="1"/>
  <c r="EN216" i="5"/>
  <c r="EO216" i="5" s="1"/>
  <c r="EP216" i="5" s="1"/>
  <c r="BV209" i="5"/>
  <c r="CC209" i="5" s="1"/>
  <c r="CE209" i="5" s="1"/>
  <c r="CJ209" i="5" s="1"/>
  <c r="EA92" i="5"/>
  <c r="EB92" i="5"/>
  <c r="AS197" i="5"/>
  <c r="BB197" i="5" s="1"/>
  <c r="DX291" i="5"/>
  <c r="CL291" i="5" s="1"/>
  <c r="CV452" i="5"/>
  <c r="FB452" i="5"/>
  <c r="DX423" i="5"/>
  <c r="CL423" i="5" s="1"/>
  <c r="FB438" i="5"/>
  <c r="CP438" i="5"/>
  <c r="EL219" i="5"/>
  <c r="EM219" i="5"/>
  <c r="DG219" i="5"/>
  <c r="CE243" i="5"/>
  <c r="CJ243" i="5" s="1"/>
  <c r="DG216" i="5"/>
  <c r="EL216" i="5"/>
  <c r="EM216" i="5"/>
  <c r="CP436" i="5"/>
  <c r="FB436" i="5"/>
  <c r="DG240" i="5"/>
  <c r="EN228" i="5"/>
  <c r="EO228" i="5" s="1"/>
  <c r="EP228" i="5" s="1"/>
  <c r="DX181" i="5"/>
  <c r="CL181" i="5" s="1"/>
  <c r="DX195" i="5"/>
  <c r="CL195" i="5" s="1"/>
  <c r="DX184" i="5"/>
  <c r="CL184" i="5" s="1"/>
  <c r="EG202" i="5"/>
  <c r="EJ202" i="5" s="1"/>
  <c r="EK202" i="5" s="1"/>
  <c r="EM202" i="5" s="1"/>
  <c r="EG220" i="5"/>
  <c r="EJ220" i="5" s="1"/>
  <c r="EK220" i="5" s="1"/>
  <c r="EL220" i="5" s="1"/>
  <c r="BI133" i="5"/>
  <c r="BJ133" i="5" s="1"/>
  <c r="EC133" i="5" s="1"/>
  <c r="EB133" i="5" s="1"/>
  <c r="DN241" i="5"/>
  <c r="BC241" i="5"/>
  <c r="BD241" i="5" s="1"/>
  <c r="DN177" i="5"/>
  <c r="BC177" i="5"/>
  <c r="BD177" i="5" s="1"/>
  <c r="AO173" i="5"/>
  <c r="AL173" i="5"/>
  <c r="AO171" i="5"/>
  <c r="AL171" i="5"/>
  <c r="BF69" i="5"/>
  <c r="BH69" i="5" s="1"/>
  <c r="BG69" i="5"/>
  <c r="AW283" i="5"/>
  <c r="CH283" i="5" s="1"/>
  <c r="CP389" i="5"/>
  <c r="FB389" i="5"/>
  <c r="FD201" i="5"/>
  <c r="CQ201" i="5"/>
  <c r="CV373" i="5"/>
  <c r="FB373" i="5"/>
  <c r="AW181" i="5"/>
  <c r="CH181" i="5" s="1"/>
  <c r="DN225" i="5"/>
  <c r="BC225" i="5"/>
  <c r="BD225" i="5" s="1"/>
  <c r="DN178" i="5"/>
  <c r="BC178" i="5"/>
  <c r="BD178" i="5" s="1"/>
  <c r="DN232" i="5"/>
  <c r="BC232" i="5"/>
  <c r="BD232" i="5" s="1"/>
  <c r="AO199" i="5"/>
  <c r="AL199" i="5"/>
  <c r="DN182" i="5"/>
  <c r="BC182" i="5"/>
  <c r="BD182" i="5" s="1"/>
  <c r="DN221" i="5"/>
  <c r="BC221" i="5"/>
  <c r="BD221" i="5" s="1"/>
  <c r="DN208" i="5"/>
  <c r="BC208" i="5"/>
  <c r="DN201" i="5"/>
  <c r="BC201" i="5"/>
  <c r="BD201" i="5" s="1"/>
  <c r="DN193" i="5"/>
  <c r="BC193" i="5"/>
  <c r="BD193" i="5" s="1"/>
  <c r="DL158" i="5"/>
  <c r="DM158" i="5" s="1"/>
  <c r="BC158" i="5"/>
  <c r="BD158" i="5" s="1"/>
  <c r="DN207" i="5"/>
  <c r="BC207" i="5"/>
  <c r="DN185" i="5"/>
  <c r="BC185" i="5"/>
  <c r="BD185" i="5" s="1"/>
  <c r="DL165" i="5"/>
  <c r="BC165" i="5"/>
  <c r="BD165" i="5" s="1"/>
  <c r="DN216" i="5"/>
  <c r="BC216" i="5"/>
  <c r="BD216" i="5" s="1"/>
  <c r="DN210" i="5"/>
  <c r="BC210" i="5"/>
  <c r="AT212" i="5"/>
  <c r="BB212" i="5"/>
  <c r="AT210" i="5"/>
  <c r="BB210" i="5"/>
  <c r="AJ176" i="5"/>
  <c r="AN176" i="5" s="1"/>
  <c r="DO176" i="5" s="1"/>
  <c r="AN175" i="5"/>
  <c r="DO175" i="5" s="1"/>
  <c r="AO201" i="5"/>
  <c r="AL201" i="5"/>
  <c r="AK175" i="5"/>
  <c r="DG204" i="5"/>
  <c r="AL196" i="5"/>
  <c r="AO196" i="5"/>
  <c r="AK111" i="5"/>
  <c r="FD231" i="5"/>
  <c r="CQ231" i="5"/>
  <c r="DX446" i="5"/>
  <c r="CL446" i="5" s="1"/>
  <c r="EL167" i="5"/>
  <c r="EM167" i="5"/>
  <c r="DG167" i="5"/>
  <c r="FF397" i="5"/>
  <c r="CT397" i="5"/>
  <c r="DX447" i="5"/>
  <c r="CL447" i="5" s="1"/>
  <c r="CW141" i="5"/>
  <c r="FD141" i="5"/>
  <c r="CV336" i="5"/>
  <c r="FB336" i="5"/>
  <c r="FB270" i="5"/>
  <c r="CP270" i="5"/>
  <c r="AW90" i="5"/>
  <c r="CH90" i="5" s="1"/>
  <c r="AW247" i="5"/>
  <c r="CH247" i="5" s="1"/>
  <c r="AW240" i="5"/>
  <c r="CH240" i="5" s="1"/>
  <c r="FA213" i="5"/>
  <c r="CU213" i="5"/>
  <c r="EN180" i="5"/>
  <c r="EO180" i="5" s="1"/>
  <c r="EP180" i="5" s="1"/>
  <c r="FC198" i="5"/>
  <c r="CR198" i="5"/>
  <c r="CO179" i="5"/>
  <c r="FA179" i="5"/>
  <c r="EN177" i="5"/>
  <c r="EO177" i="5" s="1"/>
  <c r="EP177" i="5" s="1"/>
  <c r="BV88" i="5"/>
  <c r="CC88" i="5" s="1"/>
  <c r="CE88" i="5" s="1"/>
  <c r="CJ88" i="5" s="1"/>
  <c r="CR69" i="5"/>
  <c r="FC69" i="5"/>
  <c r="DX404" i="5"/>
  <c r="CL404" i="5" s="1"/>
  <c r="FC90" i="5"/>
  <c r="CR90" i="5"/>
  <c r="EN186" i="5"/>
  <c r="EO186" i="5" s="1"/>
  <c r="EP186" i="5" s="1"/>
  <c r="FF410" i="5"/>
  <c r="CZ410" i="5"/>
  <c r="CV381" i="5"/>
  <c r="FB381" i="5"/>
  <c r="DG234" i="5"/>
  <c r="CT415" i="5"/>
  <c r="FF415" i="5"/>
  <c r="AW190" i="5"/>
  <c r="CH190" i="5" s="1"/>
  <c r="AW236" i="5"/>
  <c r="CH236" i="5" s="1"/>
  <c r="FA127" i="5"/>
  <c r="CO127" i="5"/>
  <c r="CO12" i="5" s="1"/>
  <c r="FA212" i="5"/>
  <c r="CU212" i="5"/>
  <c r="AS204" i="5"/>
  <c r="AT204" i="5" s="1"/>
  <c r="DK486" i="5"/>
  <c r="DL486" i="5" s="1"/>
  <c r="DM486" i="5" s="1"/>
  <c r="EL160" i="5"/>
  <c r="EM160" i="5"/>
  <c r="DG160" i="5"/>
  <c r="FF414" i="5"/>
  <c r="CT414" i="5"/>
  <c r="EQ490" i="5"/>
  <c r="ER490" i="5" s="1"/>
  <c r="ET146" i="5"/>
  <c r="CP317" i="5"/>
  <c r="FB317" i="5"/>
  <c r="DI492" i="5"/>
  <c r="DJ492" i="5"/>
  <c r="AW186" i="5"/>
  <c r="CH186" i="5" s="1"/>
  <c r="AW128" i="5"/>
  <c r="CH128" i="5" s="1"/>
  <c r="AW116" i="5"/>
  <c r="CH116" i="5" s="1"/>
  <c r="AW232" i="5"/>
  <c r="CO203" i="5"/>
  <c r="FA203" i="5"/>
  <c r="EN204" i="5"/>
  <c r="EO204" i="5" s="1"/>
  <c r="EP204" i="5" s="1"/>
  <c r="CO201" i="5"/>
  <c r="FA201" i="5"/>
  <c r="DN231" i="5"/>
  <c r="BC231" i="5"/>
  <c r="BD231" i="5" s="1"/>
  <c r="EN233" i="5"/>
  <c r="EO233" i="5" s="1"/>
  <c r="EP233" i="5" s="1"/>
  <c r="EN232" i="5"/>
  <c r="EO232" i="5" s="1"/>
  <c r="EP232" i="5" s="1"/>
  <c r="CE210" i="5"/>
  <c r="CJ210" i="5" s="1"/>
  <c r="CR60" i="5"/>
  <c r="FC60" i="5"/>
  <c r="AW230" i="5"/>
  <c r="EA93" i="5"/>
  <c r="EB93" i="5"/>
  <c r="FF316" i="5"/>
  <c r="CT316" i="5"/>
  <c r="DX300" i="5"/>
  <c r="CL300" i="5" s="1"/>
  <c r="CP356" i="5"/>
  <c r="FB356" i="5"/>
  <c r="DX279" i="5"/>
  <c r="CL279" i="5" s="1"/>
  <c r="CE218" i="5"/>
  <c r="FF339" i="5"/>
  <c r="CT339" i="5"/>
  <c r="DX373" i="5"/>
  <c r="CL373" i="5" s="1"/>
  <c r="CP406" i="5"/>
  <c r="FB406" i="5"/>
  <c r="DX302" i="5"/>
  <c r="CL302" i="5" s="1"/>
  <c r="DH196" i="5"/>
  <c r="AW185" i="5"/>
  <c r="CH185" i="5" s="1"/>
  <c r="FA200" i="5"/>
  <c r="CO200" i="5"/>
  <c r="EN170" i="5"/>
  <c r="EO170" i="5" s="1"/>
  <c r="EP170" i="5" s="1"/>
  <c r="CU191" i="5"/>
  <c r="FA191" i="5"/>
  <c r="BV197" i="5"/>
  <c r="CC197" i="5" s="1"/>
  <c r="CE197" i="5" s="1"/>
  <c r="CJ197" i="5" s="1"/>
  <c r="CZ429" i="5"/>
  <c r="FF429" i="5"/>
  <c r="DG232" i="5"/>
  <c r="FD187" i="5"/>
  <c r="CW187" i="5"/>
  <c r="DX292" i="5"/>
  <c r="CL292" i="5" s="1"/>
  <c r="DX267" i="5"/>
  <c r="CL267" i="5" s="1"/>
  <c r="CP447" i="5"/>
  <c r="FB447" i="5"/>
  <c r="CE172" i="5"/>
  <c r="CJ172" i="5" s="1"/>
  <c r="FA133" i="5"/>
  <c r="CO133" i="5"/>
  <c r="CO132" i="5"/>
  <c r="CO10" i="5" s="1"/>
  <c r="CO11" i="5" s="1"/>
  <c r="FA132" i="5"/>
  <c r="FA215" i="5"/>
  <c r="CO215" i="5"/>
  <c r="FA238" i="5"/>
  <c r="CO238" i="5"/>
  <c r="EN226" i="5"/>
  <c r="EO226" i="5" s="1"/>
  <c r="EP226" i="5" s="1"/>
  <c r="EN183" i="5"/>
  <c r="EO183" i="5"/>
  <c r="EP183" i="5" s="1"/>
  <c r="FF398" i="5"/>
  <c r="CZ398" i="5"/>
  <c r="DK473" i="5"/>
  <c r="DL473" i="5" s="1"/>
  <c r="DM473" i="5" s="1"/>
  <c r="CX250" i="5"/>
  <c r="FC250" i="5"/>
  <c r="DG118" i="5"/>
  <c r="DX118" i="5" s="1"/>
  <c r="DK479" i="5"/>
  <c r="DL479" i="5" s="1"/>
  <c r="DM479" i="5" s="1"/>
  <c r="CE169" i="5"/>
  <c r="CJ169" i="5" s="1"/>
  <c r="FB392" i="5"/>
  <c r="CV392" i="5"/>
  <c r="CW122" i="5"/>
  <c r="FD122" i="5"/>
  <c r="DG147" i="5"/>
  <c r="ET140" i="5"/>
  <c r="AS213" i="5"/>
  <c r="AT213" i="5" s="1"/>
  <c r="DH218" i="5"/>
  <c r="EN221" i="5"/>
  <c r="EO221" i="5" s="1"/>
  <c r="EP221" i="5" s="1"/>
  <c r="DH174" i="5"/>
  <c r="DI174" i="5" s="1"/>
  <c r="EN189" i="5"/>
  <c r="EO189" i="5" s="1"/>
  <c r="EP189" i="5" s="1"/>
  <c r="FF418" i="5"/>
  <c r="CZ418" i="5"/>
  <c r="CE170" i="5"/>
  <c r="CJ170" i="5" s="1"/>
  <c r="FF385" i="5"/>
  <c r="CT385" i="5"/>
  <c r="CV393" i="5"/>
  <c r="FB393" i="5"/>
  <c r="ET147" i="5"/>
  <c r="BX3" i="5"/>
  <c r="CV278" i="5"/>
  <c r="FB278" i="5"/>
  <c r="FD116" i="5"/>
  <c r="CQ116" i="5"/>
  <c r="CE191" i="5"/>
  <c r="CJ191" i="5" s="1"/>
  <c r="FF422" i="5"/>
  <c r="CZ422" i="5"/>
  <c r="AP160" i="5"/>
  <c r="AQ160" i="5" s="1"/>
  <c r="AW160" i="5"/>
  <c r="AW182" i="5"/>
  <c r="CH182" i="5" s="1"/>
  <c r="FD78" i="5"/>
  <c r="CQ78" i="5"/>
  <c r="BF94" i="5"/>
  <c r="BH94" i="5" s="1"/>
  <c r="BG94" i="5"/>
  <c r="FA241" i="5"/>
  <c r="CO241" i="5"/>
  <c r="CR66" i="5"/>
  <c r="FC66" i="5"/>
  <c r="ET135" i="5"/>
  <c r="FB427" i="5"/>
  <c r="CP427" i="5"/>
  <c r="DX178" i="5"/>
  <c r="CL178" i="5" s="1"/>
  <c r="CE226" i="5"/>
  <c r="DG132" i="5"/>
  <c r="AS199" i="5"/>
  <c r="BB199" i="5" s="1"/>
  <c r="DK217" i="5"/>
  <c r="BI117" i="5"/>
  <c r="BJ117" i="5" s="1"/>
  <c r="EC117" i="5" s="1"/>
  <c r="EB117" i="5" s="1"/>
  <c r="EV23" i="5"/>
  <c r="ER23" i="5"/>
  <c r="EG170" i="5"/>
  <c r="EJ170" i="5" s="1"/>
  <c r="EK170" i="5" s="1"/>
  <c r="FW120" i="5"/>
  <c r="AH109" i="5"/>
  <c r="AK109" i="5" s="1"/>
  <c r="FW119" i="5"/>
  <c r="AJ112" i="5"/>
  <c r="AN112" i="5" s="1"/>
  <c r="DO112" i="5" s="1"/>
  <c r="AJ203" i="5"/>
  <c r="AN203" i="5" s="1"/>
  <c r="DO203" i="5" s="1"/>
  <c r="AJ222" i="5"/>
  <c r="I110" i="5"/>
  <c r="N110" i="5" s="1"/>
  <c r="FB21" i="20" l="1"/>
  <c r="EX20" i="20"/>
  <c r="ES111" i="21"/>
  <c r="ER111" i="21"/>
  <c r="DM111" i="21"/>
  <c r="EW108" i="21"/>
  <c r="DM108" i="21"/>
  <c r="ES108" i="21"/>
  <c r="ER108" i="21"/>
  <c r="DQ196" i="21"/>
  <c r="DR196" i="21" s="1"/>
  <c r="CQ168" i="21"/>
  <c r="DS168" i="21"/>
  <c r="DS192" i="21"/>
  <c r="CQ192" i="21"/>
  <c r="FL270" i="21"/>
  <c r="DF270" i="21"/>
  <c r="DB306" i="21"/>
  <c r="FH306" i="21"/>
  <c r="FQ60" i="21" s="1"/>
  <c r="CZ196" i="21"/>
  <c r="CZ14" i="21" s="1"/>
  <c r="CZ15" i="21" s="1"/>
  <c r="FL196" i="21"/>
  <c r="CZ336" i="21"/>
  <c r="FL336" i="21"/>
  <c r="DQ466" i="21"/>
  <c r="DR466" i="21" s="1"/>
  <c r="DS466" i="21" s="1"/>
  <c r="FL374" i="21"/>
  <c r="CZ374" i="21"/>
  <c r="FL425" i="21"/>
  <c r="DF425" i="21"/>
  <c r="FL320" i="21"/>
  <c r="CZ320" i="21"/>
  <c r="EW110" i="21"/>
  <c r="FB110" i="21" s="1"/>
  <c r="DO218" i="21"/>
  <c r="DP218" i="21"/>
  <c r="CN3" i="21"/>
  <c r="DF17" i="21"/>
  <c r="DF317" i="21"/>
  <c r="FL317" i="21"/>
  <c r="FL257" i="21"/>
  <c r="DF257" i="21"/>
  <c r="FL410" i="21"/>
  <c r="CZ410" i="21"/>
  <c r="FL431" i="21"/>
  <c r="DF431" i="21"/>
  <c r="CZ443" i="21"/>
  <c r="FL443" i="21"/>
  <c r="CZ396" i="21"/>
  <c r="FL396" i="21"/>
  <c r="FL413" i="21"/>
  <c r="DF413" i="21"/>
  <c r="FL387" i="21"/>
  <c r="DF387" i="21"/>
  <c r="DF14" i="21"/>
  <c r="DF15" i="21" s="1"/>
  <c r="FL440" i="21"/>
  <c r="DF440" i="21"/>
  <c r="FL310" i="21"/>
  <c r="DF310" i="21"/>
  <c r="FH383" i="21"/>
  <c r="DB383" i="21"/>
  <c r="CZ391" i="21"/>
  <c r="FL391" i="21"/>
  <c r="FQ53" i="21"/>
  <c r="DF369" i="21"/>
  <c r="FL369" i="21"/>
  <c r="CE1" i="21"/>
  <c r="FL376" i="21"/>
  <c r="DF376" i="21"/>
  <c r="CZ408" i="21"/>
  <c r="FL408" i="21"/>
  <c r="FL330" i="21"/>
  <c r="DF330" i="21"/>
  <c r="CZ366" i="21"/>
  <c r="FL366" i="21"/>
  <c r="CZ249" i="21"/>
  <c r="FL249" i="21"/>
  <c r="FL265" i="21"/>
  <c r="DF265" i="21"/>
  <c r="FL204" i="21"/>
  <c r="CZ204" i="21"/>
  <c r="FL254" i="21"/>
  <c r="CZ254" i="21"/>
  <c r="FL288" i="21"/>
  <c r="CZ288" i="21"/>
  <c r="FH332" i="21"/>
  <c r="DB332" i="21"/>
  <c r="DF361" i="21"/>
  <c r="FL361" i="21"/>
  <c r="CZ416" i="21"/>
  <c r="FL416" i="21"/>
  <c r="DB270" i="21"/>
  <c r="DB3" i="21" s="1"/>
  <c r="FH270" i="21"/>
  <c r="FQ61" i="21" s="1"/>
  <c r="CN14" i="21"/>
  <c r="CN15" i="21" s="1"/>
  <c r="DS106" i="21"/>
  <c r="FL411" i="21"/>
  <c r="CZ411" i="21"/>
  <c r="AR171" i="21"/>
  <c r="AU171" i="21"/>
  <c r="DN219" i="21"/>
  <c r="EM219" i="21"/>
  <c r="EP219" i="21" s="1"/>
  <c r="EQ219" i="21" s="1"/>
  <c r="CN1" i="21"/>
  <c r="FL309" i="21"/>
  <c r="DF309" i="21"/>
  <c r="ER218" i="21"/>
  <c r="ES218" i="21"/>
  <c r="FL428" i="21"/>
  <c r="CZ428" i="21"/>
  <c r="CV366" i="21"/>
  <c r="CV1" i="21" s="1"/>
  <c r="CV2" i="21" s="1"/>
  <c r="FH366" i="21"/>
  <c r="AP173" i="21"/>
  <c r="AT172" i="21"/>
  <c r="AQ172" i="21"/>
  <c r="FH435" i="21"/>
  <c r="CV435" i="21"/>
  <c r="DU171" i="21"/>
  <c r="AV171" i="21"/>
  <c r="AW171" i="21" s="1"/>
  <c r="CN16" i="21"/>
  <c r="DF263" i="21"/>
  <c r="FL263" i="21"/>
  <c r="DF276" i="21"/>
  <c r="FL276" i="21"/>
  <c r="DN170" i="21"/>
  <c r="EM170" i="21"/>
  <c r="EP170" i="21" s="1"/>
  <c r="EQ170" i="21" s="1"/>
  <c r="FL441" i="21"/>
  <c r="DF441" i="21"/>
  <c r="DF306" i="21"/>
  <c r="FL306" i="21"/>
  <c r="CZ350" i="21"/>
  <c r="FL350" i="21"/>
  <c r="EW195" i="21"/>
  <c r="EX195" i="21" s="1"/>
  <c r="DS195" i="21" s="1"/>
  <c r="FL384" i="21"/>
  <c r="DF384" i="21"/>
  <c r="CN4" i="21"/>
  <c r="CZ358" i="21"/>
  <c r="FL358" i="21"/>
  <c r="FL356" i="21"/>
  <c r="CZ356" i="21"/>
  <c r="DB14" i="21"/>
  <c r="DB15" i="21" s="1"/>
  <c r="FL383" i="21"/>
  <c r="DF383" i="21"/>
  <c r="DQ481" i="21"/>
  <c r="DR481" i="21" s="1"/>
  <c r="DS481" i="21" s="1"/>
  <c r="DF429" i="21"/>
  <c r="FL429" i="21"/>
  <c r="EW213" i="21"/>
  <c r="EX213" i="21" s="1"/>
  <c r="DF367" i="21"/>
  <c r="FL367" i="21"/>
  <c r="FL339" i="21"/>
  <c r="CZ339" i="21"/>
  <c r="CZ422" i="21"/>
  <c r="FL422" i="21"/>
  <c r="DR24" i="21"/>
  <c r="DS24" i="21" s="1"/>
  <c r="DR166" i="21"/>
  <c r="DQ166" i="21"/>
  <c r="FL364" i="21"/>
  <c r="CZ364" i="21"/>
  <c r="CR17" i="21"/>
  <c r="AU197" i="21"/>
  <c r="AR197" i="21"/>
  <c r="DU197" i="21"/>
  <c r="AV197" i="21"/>
  <c r="AW197" i="21" s="1"/>
  <c r="CR14" i="21"/>
  <c r="CR15" i="21" s="1"/>
  <c r="FL352" i="21"/>
  <c r="CZ352" i="21"/>
  <c r="DF318" i="21"/>
  <c r="FL318" i="21"/>
  <c r="ED22" i="21"/>
  <c r="DR22" i="21"/>
  <c r="DS22" i="21" s="1"/>
  <c r="FL334" i="21"/>
  <c r="DF334" i="21"/>
  <c r="DB404" i="21"/>
  <c r="FH404" i="21"/>
  <c r="AP199" i="21"/>
  <c r="AT198" i="21"/>
  <c r="AQ198" i="21"/>
  <c r="CZ347" i="21"/>
  <c r="FL347" i="21"/>
  <c r="FH428" i="21"/>
  <c r="CV428" i="21"/>
  <c r="FL205" i="21"/>
  <c r="CZ205" i="21"/>
  <c r="FH316" i="21"/>
  <c r="DB316" i="21"/>
  <c r="CZ287" i="21"/>
  <c r="FL287" i="21"/>
  <c r="AD194" i="21"/>
  <c r="FK194" i="21"/>
  <c r="FM194" i="21" s="1"/>
  <c r="CY194" i="21"/>
  <c r="CN17" i="21"/>
  <c r="FL332" i="21"/>
  <c r="DF332" i="21"/>
  <c r="CZ392" i="21"/>
  <c r="FL392" i="21"/>
  <c r="CZ329" i="21"/>
  <c r="FL329" i="21"/>
  <c r="FB104" i="21"/>
  <c r="DR104" i="21" s="1"/>
  <c r="EX104" i="21"/>
  <c r="EW166" i="21"/>
  <c r="EX166" i="21" s="1"/>
  <c r="FL291" i="21"/>
  <c r="DF291" i="21"/>
  <c r="DB16" i="21"/>
  <c r="AR112" i="21"/>
  <c r="AU112" i="21"/>
  <c r="DF305" i="21"/>
  <c r="FL305" i="21"/>
  <c r="DR469" i="21"/>
  <c r="DS469" i="21" s="1"/>
  <c r="DQ469" i="21"/>
  <c r="DF409" i="21"/>
  <c r="FL409" i="21"/>
  <c r="ES196" i="21"/>
  <c r="ER196" i="21"/>
  <c r="DU112" i="21"/>
  <c r="AV112" i="21"/>
  <c r="AW112" i="21" s="1"/>
  <c r="EW169" i="21"/>
  <c r="EX169" i="21" s="1"/>
  <c r="DS169" i="21" s="1"/>
  <c r="BO109" i="21"/>
  <c r="DF345" i="21"/>
  <c r="FL345" i="21"/>
  <c r="FK193" i="21"/>
  <c r="FM193" i="21" s="1"/>
  <c r="CY193" i="21"/>
  <c r="AD193" i="21"/>
  <c r="CR16" i="21"/>
  <c r="FL298" i="21"/>
  <c r="DF298" i="21"/>
  <c r="FL447" i="21"/>
  <c r="CZ447" i="21"/>
  <c r="FH408" i="21"/>
  <c r="CV408" i="21"/>
  <c r="FL426" i="21"/>
  <c r="CZ426" i="21"/>
  <c r="AU26" i="21"/>
  <c r="AR26" i="21"/>
  <c r="FH289" i="21"/>
  <c r="CV289" i="21"/>
  <c r="CV3" i="21" s="1"/>
  <c r="DF301" i="21"/>
  <c r="FL301" i="21"/>
  <c r="FL273" i="21"/>
  <c r="DF273" i="21"/>
  <c r="FL368" i="21"/>
  <c r="CZ368" i="21"/>
  <c r="AP28" i="21"/>
  <c r="AT27" i="21"/>
  <c r="DU27" i="21" s="1"/>
  <c r="AQ27" i="21"/>
  <c r="DB296" i="21"/>
  <c r="DB4" i="21" s="1"/>
  <c r="FH296" i="21"/>
  <c r="FQ57" i="21" s="1"/>
  <c r="FL388" i="21"/>
  <c r="DF388" i="21"/>
  <c r="FH336" i="21"/>
  <c r="CV336" i="21"/>
  <c r="ER26" i="21"/>
  <c r="ES26" i="21"/>
  <c r="DF394" i="21"/>
  <c r="FL394" i="21"/>
  <c r="AU220" i="21"/>
  <c r="AR220" i="21"/>
  <c r="FL414" i="21"/>
  <c r="DF414" i="21"/>
  <c r="FL321" i="21"/>
  <c r="DF321" i="21"/>
  <c r="FL380" i="21"/>
  <c r="CZ380" i="21"/>
  <c r="DF401" i="21"/>
  <c r="FL401" i="21"/>
  <c r="CZ312" i="21"/>
  <c r="FL312" i="21"/>
  <c r="ES25" i="21"/>
  <c r="ER25" i="21"/>
  <c r="FL406" i="21"/>
  <c r="DF406" i="21"/>
  <c r="DF267" i="21"/>
  <c r="FL267" i="21"/>
  <c r="FL284" i="21"/>
  <c r="DF284" i="21"/>
  <c r="FL418" i="21"/>
  <c r="DF418" i="21"/>
  <c r="CZ307" i="21"/>
  <c r="FL307" i="21"/>
  <c r="DU220" i="21"/>
  <c r="AV220" i="21"/>
  <c r="AW220" i="21" s="1"/>
  <c r="DF404" i="21"/>
  <c r="FL404" i="21"/>
  <c r="CQ195" i="21"/>
  <c r="DQ213" i="21"/>
  <c r="DR213" i="21" s="1"/>
  <c r="DQ493" i="21"/>
  <c r="DR493" i="21" s="1"/>
  <c r="DS493" i="21" s="1"/>
  <c r="DQ488" i="21"/>
  <c r="DR488" i="21"/>
  <c r="DS488" i="21" s="1"/>
  <c r="FL373" i="21"/>
  <c r="DF373" i="21"/>
  <c r="DF316" i="21"/>
  <c r="FL316" i="21"/>
  <c r="FL417" i="21"/>
  <c r="DF417" i="21"/>
  <c r="AT221" i="21"/>
  <c r="AP222" i="21"/>
  <c r="AQ221" i="21"/>
  <c r="CE3" i="21"/>
  <c r="DF297" i="21"/>
  <c r="FL297" i="21"/>
  <c r="DF415" i="21"/>
  <c r="FL415" i="21"/>
  <c r="FL333" i="21"/>
  <c r="CZ333" i="21"/>
  <c r="CV14" i="21"/>
  <c r="CV15" i="21" s="1"/>
  <c r="DF294" i="21"/>
  <c r="FL294" i="21"/>
  <c r="AP114" i="21"/>
  <c r="AT113" i="21"/>
  <c r="AQ113" i="21"/>
  <c r="DQ492" i="21"/>
  <c r="DR492" i="21" s="1"/>
  <c r="DS492" i="21" s="1"/>
  <c r="DQ496" i="21"/>
  <c r="DR496" i="21"/>
  <c r="DS496" i="21" s="1"/>
  <c r="FL398" i="21"/>
  <c r="DF398" i="21"/>
  <c r="DR470" i="21"/>
  <c r="DS470" i="21" s="1"/>
  <c r="DQ470" i="21"/>
  <c r="FL400" i="21"/>
  <c r="DF400" i="21"/>
  <c r="FL302" i="21"/>
  <c r="DF302" i="21"/>
  <c r="FH310" i="21"/>
  <c r="DB310" i="21"/>
  <c r="CZ405" i="21"/>
  <c r="FL405" i="21"/>
  <c r="DF379" i="21"/>
  <c r="FL379" i="21"/>
  <c r="AD169" i="21"/>
  <c r="DE169" i="21"/>
  <c r="FK169" i="21"/>
  <c r="FM169" i="21" s="1"/>
  <c r="FL359" i="21"/>
  <c r="DF359" i="21"/>
  <c r="DS165" i="21"/>
  <c r="CQ165" i="21"/>
  <c r="BP109" i="21"/>
  <c r="EI109" i="21" s="1"/>
  <c r="EH109" i="21" s="1"/>
  <c r="DF258" i="21"/>
  <c r="FL258" i="21"/>
  <c r="DB387" i="21"/>
  <c r="FH387" i="21"/>
  <c r="FL395" i="21"/>
  <c r="DF395" i="21"/>
  <c r="FL382" i="21"/>
  <c r="DF382" i="21"/>
  <c r="FL335" i="21"/>
  <c r="CZ335" i="21"/>
  <c r="CZ442" i="21"/>
  <c r="FL442" i="21"/>
  <c r="CZ438" i="21"/>
  <c r="FL438" i="21"/>
  <c r="DF325" i="21"/>
  <c r="FL325" i="21"/>
  <c r="EW105" i="21"/>
  <c r="EX105" i="21" s="1"/>
  <c r="EX23" i="20"/>
  <c r="DQ194" i="20"/>
  <c r="CN4" i="20"/>
  <c r="CN14" i="20"/>
  <c r="CN15" i="20" s="1"/>
  <c r="FB107" i="20"/>
  <c r="ED107" i="20" s="1"/>
  <c r="CV16" i="20"/>
  <c r="CR17" i="20"/>
  <c r="CV14" i="20"/>
  <c r="CV15" i="20" s="1"/>
  <c r="DS105" i="20"/>
  <c r="EX104" i="20"/>
  <c r="DS104" i="20" s="1"/>
  <c r="DQ466" i="20"/>
  <c r="DR466" i="20" s="1"/>
  <c r="DS466" i="20" s="1"/>
  <c r="EQ164" i="5"/>
  <c r="EQ160" i="5"/>
  <c r="EP174" i="5"/>
  <c r="EQ174" i="5" s="1"/>
  <c r="ER174" i="5" s="1"/>
  <c r="BI91" i="5"/>
  <c r="BI105" i="5"/>
  <c r="EQ167" i="5"/>
  <c r="EQ166" i="5"/>
  <c r="BD210" i="5"/>
  <c r="EQ159" i="5"/>
  <c r="AK176" i="5"/>
  <c r="BI62" i="5"/>
  <c r="EQ196" i="5"/>
  <c r="EQ218" i="5"/>
  <c r="CR14" i="5"/>
  <c r="CR15" i="5" s="1"/>
  <c r="DL20" i="5"/>
  <c r="DM20" i="5" s="1"/>
  <c r="EQ165" i="5"/>
  <c r="BV109" i="5"/>
  <c r="CC109" i="5" s="1"/>
  <c r="CE109" i="5" s="1"/>
  <c r="EQ108" i="5"/>
  <c r="EQ157" i="5"/>
  <c r="EQ200" i="5"/>
  <c r="CX14" i="5"/>
  <c r="CX15" i="5" s="1"/>
  <c r="DN17" i="5"/>
  <c r="DN16" i="5" s="1"/>
  <c r="DN14" i="5" s="1"/>
  <c r="DN13" i="5" s="1"/>
  <c r="BD202" i="5"/>
  <c r="AP220" i="5"/>
  <c r="AQ220" i="5" s="1"/>
  <c r="EQ221" i="5"/>
  <c r="AW163" i="5"/>
  <c r="EQ161" i="5"/>
  <c r="DL217" i="5"/>
  <c r="EQ162" i="5"/>
  <c r="EQ219" i="5"/>
  <c r="ER219" i="5" s="1"/>
  <c r="FJ55" i="5"/>
  <c r="CQ13" i="5"/>
  <c r="FD203" i="5"/>
  <c r="CX10" i="5"/>
  <c r="CX11" i="5" s="1"/>
  <c r="EQ216" i="5"/>
  <c r="BI89" i="5"/>
  <c r="EQ197" i="5"/>
  <c r="BB208" i="5"/>
  <c r="BD208" i="5" s="1"/>
  <c r="DJ169" i="5"/>
  <c r="DK169" i="5" s="1"/>
  <c r="EQ111" i="5"/>
  <c r="EQ173" i="5"/>
  <c r="EQ199" i="5"/>
  <c r="AJ177" i="5"/>
  <c r="AN177" i="5" s="1"/>
  <c r="DO177" i="5" s="1"/>
  <c r="DH177" i="5" s="1"/>
  <c r="BD209" i="5"/>
  <c r="BI92" i="5"/>
  <c r="ES106" i="20"/>
  <c r="ER106" i="20"/>
  <c r="DM106" i="20"/>
  <c r="DM111" i="20"/>
  <c r="FL324" i="20"/>
  <c r="CZ324" i="20"/>
  <c r="AR199" i="20"/>
  <c r="AU199" i="20"/>
  <c r="FL419" i="20"/>
  <c r="CZ419" i="20"/>
  <c r="FL257" i="20"/>
  <c r="DF257" i="20"/>
  <c r="FL208" i="20"/>
  <c r="DF208" i="20"/>
  <c r="DF342" i="20"/>
  <c r="FL342" i="20"/>
  <c r="FL431" i="20"/>
  <c r="DF431" i="20"/>
  <c r="CZ405" i="20"/>
  <c r="FL405" i="20"/>
  <c r="DQ482" i="20"/>
  <c r="DR482" i="20" s="1"/>
  <c r="DS482" i="20" s="1"/>
  <c r="AP113" i="20"/>
  <c r="AT112" i="20"/>
  <c r="AQ112" i="20"/>
  <c r="FL268" i="20"/>
  <c r="CZ268" i="20"/>
  <c r="CV17" i="20"/>
  <c r="AU25" i="20"/>
  <c r="AR25" i="20"/>
  <c r="ES109" i="20"/>
  <c r="ER109" i="20"/>
  <c r="DM109" i="20"/>
  <c r="DF373" i="20"/>
  <c r="FL373" i="20"/>
  <c r="FL358" i="20"/>
  <c r="CZ358" i="20"/>
  <c r="ED105" i="20"/>
  <c r="CN1" i="20"/>
  <c r="CN16" i="20"/>
  <c r="DQ470" i="20"/>
  <c r="DR470" i="20" s="1"/>
  <c r="DS470" i="20" s="1"/>
  <c r="DN217" i="20"/>
  <c r="EM217" i="20"/>
  <c r="EP217" i="20" s="1"/>
  <c r="EQ217" i="20" s="1"/>
  <c r="CZ266" i="20"/>
  <c r="FL266" i="20"/>
  <c r="DU199" i="20"/>
  <c r="AV199" i="20"/>
  <c r="AW199" i="20" s="1"/>
  <c r="FL337" i="20"/>
  <c r="DF337" i="20"/>
  <c r="CZ344" i="20"/>
  <c r="FL344" i="20"/>
  <c r="FL295" i="20"/>
  <c r="DF295" i="20"/>
  <c r="DN198" i="20"/>
  <c r="EM198" i="20"/>
  <c r="EP198" i="20" s="1"/>
  <c r="EQ198" i="20" s="1"/>
  <c r="ES110" i="20"/>
  <c r="ER110" i="20"/>
  <c r="DR194" i="20"/>
  <c r="FL256" i="20"/>
  <c r="DF256" i="20"/>
  <c r="CV344" i="20"/>
  <c r="CV1" i="20" s="1"/>
  <c r="CV2" i="20" s="1"/>
  <c r="FH344" i="20"/>
  <c r="EM111" i="20"/>
  <c r="EP111" i="20" s="1"/>
  <c r="EQ111" i="20" s="1"/>
  <c r="ES111" i="20" s="1"/>
  <c r="EM25" i="20"/>
  <c r="EP25" i="20" s="1"/>
  <c r="EQ25" i="20" s="1"/>
  <c r="CZ320" i="20"/>
  <c r="FL320" i="20"/>
  <c r="DQ488" i="20"/>
  <c r="DR488" i="20" s="1"/>
  <c r="DS488" i="20" s="1"/>
  <c r="FL386" i="20"/>
  <c r="CZ386" i="20"/>
  <c r="FL206" i="20"/>
  <c r="CZ206" i="20"/>
  <c r="FL361" i="20"/>
  <c r="DF361" i="20"/>
  <c r="CZ407" i="20"/>
  <c r="FL407" i="20"/>
  <c r="DF346" i="20"/>
  <c r="FL346" i="20"/>
  <c r="FL435" i="20"/>
  <c r="CZ435" i="20"/>
  <c r="DQ169" i="20"/>
  <c r="DR169" i="20" s="1"/>
  <c r="DQ467" i="20"/>
  <c r="DR467" i="20" s="1"/>
  <c r="DS467" i="20" s="1"/>
  <c r="DF306" i="20"/>
  <c r="FL306" i="20"/>
  <c r="DF200" i="20"/>
  <c r="FL200" i="20"/>
  <c r="DF267" i="20"/>
  <c r="FL267" i="20"/>
  <c r="FL274" i="20"/>
  <c r="DF274" i="20"/>
  <c r="FL285" i="20"/>
  <c r="CZ285" i="20"/>
  <c r="AT26" i="20"/>
  <c r="DU26" i="20" s="1"/>
  <c r="AP27" i="20"/>
  <c r="AQ26" i="20"/>
  <c r="CZ204" i="20"/>
  <c r="FL204" i="20"/>
  <c r="DQ471" i="20"/>
  <c r="DR471" i="20" s="1"/>
  <c r="DS471" i="20" s="1"/>
  <c r="FL399" i="20"/>
  <c r="CZ399" i="20"/>
  <c r="EW216" i="20"/>
  <c r="EX216" i="20" s="1"/>
  <c r="DQ483" i="20"/>
  <c r="DR483" i="20" s="1"/>
  <c r="DS483" i="20" s="1"/>
  <c r="FL253" i="20"/>
  <c r="DF253" i="20"/>
  <c r="FL445" i="20"/>
  <c r="DF445" i="20"/>
  <c r="FH353" i="20"/>
  <c r="DB353" i="20"/>
  <c r="FL430" i="20"/>
  <c r="CZ430" i="20"/>
  <c r="AP201" i="20"/>
  <c r="AT200" i="20"/>
  <c r="AQ200" i="20"/>
  <c r="FL372" i="20"/>
  <c r="CZ372" i="20"/>
  <c r="DF305" i="20"/>
  <c r="FL305" i="20"/>
  <c r="DF321" i="20"/>
  <c r="FL321" i="20"/>
  <c r="FL261" i="20"/>
  <c r="CZ261" i="20"/>
  <c r="DF384" i="20"/>
  <c r="FL384" i="20"/>
  <c r="DF379" i="20"/>
  <c r="FL379" i="20"/>
  <c r="DQ477" i="20"/>
  <c r="DR477" i="20" s="1"/>
  <c r="DS477" i="20" s="1"/>
  <c r="CZ287" i="20"/>
  <c r="FL287" i="20"/>
  <c r="DQ196" i="20"/>
  <c r="DR196" i="20" s="1"/>
  <c r="CZ303" i="20"/>
  <c r="FL303" i="20"/>
  <c r="CZ326" i="20"/>
  <c r="FL326" i="20"/>
  <c r="FL434" i="20"/>
  <c r="CZ434" i="20"/>
  <c r="FL439" i="20"/>
  <c r="CZ439" i="20"/>
  <c r="CE3" i="20"/>
  <c r="DF367" i="20"/>
  <c r="FL367" i="20"/>
  <c r="FL198" i="20"/>
  <c r="CZ198" i="20"/>
  <c r="FK165" i="20"/>
  <c r="FM165" i="20" s="1"/>
  <c r="AD165" i="20"/>
  <c r="CY165" i="20"/>
  <c r="FP64" i="20"/>
  <c r="DQ468" i="20"/>
  <c r="DR468" i="20" s="1"/>
  <c r="DS468" i="20" s="1"/>
  <c r="ED20" i="20"/>
  <c r="DR20" i="20"/>
  <c r="DS20" i="20" s="1"/>
  <c r="DS215" i="20"/>
  <c r="FL438" i="20"/>
  <c r="CZ438" i="20"/>
  <c r="FL338" i="20"/>
  <c r="DF338" i="20"/>
  <c r="DF433" i="20"/>
  <c r="FL433" i="20"/>
  <c r="DF330" i="20"/>
  <c r="FL330" i="20"/>
  <c r="CZ279" i="20"/>
  <c r="FL279" i="20"/>
  <c r="CZ364" i="20"/>
  <c r="FL364" i="20"/>
  <c r="DS192" i="20"/>
  <c r="CQ192" i="20"/>
  <c r="CN17" i="20"/>
  <c r="CY168" i="20"/>
  <c r="FK168" i="20"/>
  <c r="FM168" i="20" s="1"/>
  <c r="AD168" i="20"/>
  <c r="DF412" i="20"/>
  <c r="FL412" i="20"/>
  <c r="CZ210" i="20"/>
  <c r="FL210" i="20"/>
  <c r="FL254" i="20"/>
  <c r="CZ254" i="20"/>
  <c r="AU171" i="20"/>
  <c r="AR171" i="20"/>
  <c r="FL426" i="20"/>
  <c r="CZ426" i="20"/>
  <c r="FR64" i="20"/>
  <c r="FH412" i="20"/>
  <c r="DB412" i="20"/>
  <c r="FL194" i="20"/>
  <c r="CZ194" i="20"/>
  <c r="CR16" i="20"/>
  <c r="CR14" i="20"/>
  <c r="CR15" i="20" s="1"/>
  <c r="DF353" i="20"/>
  <c r="FL353" i="20"/>
  <c r="ED22" i="20"/>
  <c r="DR22" i="20"/>
  <c r="DS22" i="20" s="1"/>
  <c r="CV6" i="20"/>
  <c r="CV7" i="20" s="1"/>
  <c r="DQ469" i="20"/>
  <c r="DR469" i="20" s="1"/>
  <c r="DS469" i="20" s="1"/>
  <c r="FL258" i="20"/>
  <c r="DF258" i="20"/>
  <c r="FL263" i="20"/>
  <c r="DF263" i="20"/>
  <c r="DF277" i="20"/>
  <c r="FL277" i="20"/>
  <c r="CN3" i="20"/>
  <c r="EW24" i="20"/>
  <c r="EX24" i="20" s="1"/>
  <c r="DQ216" i="20"/>
  <c r="DR216" i="20" s="1"/>
  <c r="CZ340" i="20"/>
  <c r="FL340" i="20"/>
  <c r="DF345" i="20"/>
  <c r="FL345" i="20"/>
  <c r="CZ288" i="20"/>
  <c r="FL288" i="20"/>
  <c r="DF209" i="20"/>
  <c r="FL209" i="20"/>
  <c r="CZ446" i="20"/>
  <c r="FL446" i="20"/>
  <c r="CZ447" i="20"/>
  <c r="FL447" i="20"/>
  <c r="AU218" i="20"/>
  <c r="AR218" i="20"/>
  <c r="FH262" i="20"/>
  <c r="DB262" i="20"/>
  <c r="DF310" i="20"/>
  <c r="FL310" i="20"/>
  <c r="FL262" i="20"/>
  <c r="DF262" i="20"/>
  <c r="FL202" i="20"/>
  <c r="CZ202" i="20"/>
  <c r="CZ352" i="20"/>
  <c r="FL352" i="20"/>
  <c r="FL255" i="20"/>
  <c r="CZ255" i="20"/>
  <c r="DF201" i="20"/>
  <c r="FL201" i="20"/>
  <c r="DU171" i="20"/>
  <c r="AV171" i="20"/>
  <c r="AW171" i="20" s="1"/>
  <c r="FL196" i="20"/>
  <c r="CZ196" i="20"/>
  <c r="FL312" i="20"/>
  <c r="CZ312" i="20"/>
  <c r="CY167" i="20"/>
  <c r="AD167" i="20"/>
  <c r="FK167" i="20"/>
  <c r="FM167" i="20" s="1"/>
  <c r="CV8" i="20"/>
  <c r="DE166" i="20"/>
  <c r="AD166" i="20"/>
  <c r="FK166" i="20"/>
  <c r="FM166" i="20" s="1"/>
  <c r="DQ478" i="20"/>
  <c r="DR478" i="20" s="1"/>
  <c r="DS478" i="20" s="1"/>
  <c r="FL414" i="20"/>
  <c r="DF414" i="20"/>
  <c r="DF315" i="20"/>
  <c r="FL315" i="20"/>
  <c r="CZ331" i="20"/>
  <c r="FL331" i="20"/>
  <c r="DS212" i="20"/>
  <c r="DB14" i="20"/>
  <c r="DB15" i="20" s="1"/>
  <c r="FS64" i="20"/>
  <c r="FL388" i="20"/>
  <c r="DF388" i="20"/>
  <c r="CE4" i="20"/>
  <c r="DU218" i="20"/>
  <c r="AV218" i="20"/>
  <c r="AW218" i="20" s="1"/>
  <c r="CE1" i="20"/>
  <c r="FL299" i="20"/>
  <c r="CZ299" i="20"/>
  <c r="EW169" i="20"/>
  <c r="EX169" i="20" s="1"/>
  <c r="DB298" i="20"/>
  <c r="FH298" i="20"/>
  <c r="FL359" i="20"/>
  <c r="DF359" i="20"/>
  <c r="DQ486" i="20"/>
  <c r="DR486" i="20" s="1"/>
  <c r="DS486" i="20" s="1"/>
  <c r="DF341" i="20"/>
  <c r="FL341" i="20"/>
  <c r="DF382" i="20"/>
  <c r="FL382" i="20"/>
  <c r="AP173" i="20"/>
  <c r="AT172" i="20"/>
  <c r="AQ172" i="20"/>
  <c r="FL436" i="20"/>
  <c r="DF436" i="20"/>
  <c r="DF444" i="20"/>
  <c r="FL444" i="20"/>
  <c r="DN170" i="20"/>
  <c r="EM170" i="20"/>
  <c r="EP170" i="20" s="1"/>
  <c r="EQ170" i="20" s="1"/>
  <c r="CZ281" i="20"/>
  <c r="FL281" i="20"/>
  <c r="DF314" i="20"/>
  <c r="FL314" i="20"/>
  <c r="FL424" i="20"/>
  <c r="DF424" i="20"/>
  <c r="CZ347" i="20"/>
  <c r="FL347" i="20"/>
  <c r="CV9" i="20"/>
  <c r="FL269" i="20"/>
  <c r="DF269" i="20"/>
  <c r="CZ362" i="20"/>
  <c r="FL362" i="20"/>
  <c r="FL404" i="20"/>
  <c r="DF404" i="20"/>
  <c r="FL400" i="20"/>
  <c r="DF400" i="20"/>
  <c r="FL291" i="20"/>
  <c r="DF291" i="20"/>
  <c r="DB16" i="20"/>
  <c r="DF327" i="20"/>
  <c r="FL327" i="20"/>
  <c r="CZ343" i="20"/>
  <c r="FL343" i="20"/>
  <c r="CZ308" i="20"/>
  <c r="FL308" i="20"/>
  <c r="AP220" i="20"/>
  <c r="AT219" i="20"/>
  <c r="AQ219" i="20"/>
  <c r="FK193" i="20"/>
  <c r="FM193" i="20" s="1"/>
  <c r="AD193" i="20"/>
  <c r="CY193" i="20"/>
  <c r="DQ481" i="20"/>
  <c r="DR481" i="20" s="1"/>
  <c r="DS481" i="20" s="1"/>
  <c r="ED23" i="20"/>
  <c r="DR23" i="20"/>
  <c r="DS23" i="20" s="1"/>
  <c r="FL413" i="20"/>
  <c r="DF413" i="20"/>
  <c r="DF406" i="20"/>
  <c r="FL406" i="20"/>
  <c r="DF280" i="20"/>
  <c r="FL280" i="20"/>
  <c r="AU111" i="20"/>
  <c r="AR111" i="20"/>
  <c r="DQ492" i="20"/>
  <c r="DR492" i="20" s="1"/>
  <c r="DS492" i="20" s="1"/>
  <c r="FL394" i="20"/>
  <c r="DF394" i="20"/>
  <c r="ED21" i="20"/>
  <c r="DR21" i="20"/>
  <c r="DS21" i="20" s="1"/>
  <c r="CZ411" i="20"/>
  <c r="FL411" i="20"/>
  <c r="CZ385" i="20"/>
  <c r="FL385" i="20"/>
  <c r="ED104" i="20"/>
  <c r="DF282" i="20"/>
  <c r="FL282" i="20"/>
  <c r="DF449" i="20"/>
  <c r="FL449" i="20"/>
  <c r="DF355" i="20"/>
  <c r="FL355" i="20"/>
  <c r="CZ370" i="20"/>
  <c r="FL370" i="20"/>
  <c r="AW200" i="5"/>
  <c r="CH200" i="5" s="1"/>
  <c r="AP200" i="5"/>
  <c r="AQ200" i="5" s="1"/>
  <c r="AW204" i="5"/>
  <c r="CH204" i="5" s="1"/>
  <c r="DG133" i="5"/>
  <c r="DG117" i="5"/>
  <c r="EP217" i="5"/>
  <c r="EQ217" i="5" s="1"/>
  <c r="ER217" i="5" s="1"/>
  <c r="DM217" i="5" s="1"/>
  <c r="AW213" i="5"/>
  <c r="CH213" i="5" s="1"/>
  <c r="AW206" i="5"/>
  <c r="CH206" i="5" s="1"/>
  <c r="EG177" i="5"/>
  <c r="EJ177" i="5" s="1"/>
  <c r="EK177" i="5" s="1"/>
  <c r="CZ178" i="5"/>
  <c r="FF178" i="5"/>
  <c r="DK492" i="5"/>
  <c r="DL492" i="5" s="1"/>
  <c r="DM492" i="5" s="1"/>
  <c r="CZ404" i="5"/>
  <c r="FF404" i="5"/>
  <c r="CP247" i="5"/>
  <c r="FB247" i="5"/>
  <c r="AL176" i="5"/>
  <c r="AO176" i="5"/>
  <c r="AW210" i="5"/>
  <c r="CH210" i="5" s="1"/>
  <c r="BB213" i="5"/>
  <c r="CQ209" i="5"/>
  <c r="FD209" i="5"/>
  <c r="CT436" i="5"/>
  <c r="FF436" i="5"/>
  <c r="FB170" i="5"/>
  <c r="CV170" i="5"/>
  <c r="AW218" i="5"/>
  <c r="AP218" i="5"/>
  <c r="AQ218" i="5" s="1"/>
  <c r="FD181" i="5"/>
  <c r="CW181" i="5"/>
  <c r="DK491" i="5"/>
  <c r="DL491" i="5" s="1"/>
  <c r="DM491" i="5" s="1"/>
  <c r="FF328" i="5"/>
  <c r="CT328" i="5"/>
  <c r="FF453" i="5"/>
  <c r="CZ453" i="5"/>
  <c r="CX17" i="5"/>
  <c r="CT194" i="5"/>
  <c r="FF194" i="5"/>
  <c r="FB292" i="5"/>
  <c r="CP292" i="5"/>
  <c r="FF355" i="5"/>
  <c r="CT355" i="5"/>
  <c r="FF338" i="5"/>
  <c r="CZ338" i="5"/>
  <c r="CV140" i="5"/>
  <c r="FB140" i="5"/>
  <c r="EL201" i="5"/>
  <c r="EQ201" i="5" s="1"/>
  <c r="FB176" i="5"/>
  <c r="CP176" i="5"/>
  <c r="FJ61" i="5"/>
  <c r="FJ54" i="5"/>
  <c r="CU3" i="5"/>
  <c r="CQ206" i="5"/>
  <c r="FD206" i="5"/>
  <c r="DX243" i="5"/>
  <c r="CL243" i="5" s="1"/>
  <c r="FF438" i="5"/>
  <c r="CT438" i="5"/>
  <c r="CQ207" i="5"/>
  <c r="FD207" i="5"/>
  <c r="FB76" i="5"/>
  <c r="CP76" i="5"/>
  <c r="ER165" i="5"/>
  <c r="DJ221" i="5"/>
  <c r="DX221" i="5"/>
  <c r="DI221" i="5"/>
  <c r="CV142" i="5"/>
  <c r="FB142" i="5"/>
  <c r="BV112" i="5"/>
  <c r="CC112" i="5" s="1"/>
  <c r="CE112" i="5" s="1"/>
  <c r="CT188" i="5"/>
  <c r="FF188" i="5"/>
  <c r="DG79" i="5"/>
  <c r="DK470" i="5"/>
  <c r="DL470" i="5" s="1"/>
  <c r="DM470" i="5" s="1"/>
  <c r="ER159" i="5"/>
  <c r="DG90" i="5"/>
  <c r="FB245" i="5"/>
  <c r="CP245" i="5"/>
  <c r="FF329" i="5"/>
  <c r="CZ329" i="5"/>
  <c r="AT196" i="5"/>
  <c r="BD211" i="5"/>
  <c r="DM156" i="5"/>
  <c r="FF336" i="5"/>
  <c r="CZ336" i="5"/>
  <c r="FD242" i="5"/>
  <c r="CQ242" i="5"/>
  <c r="DX226" i="5"/>
  <c r="CZ380" i="5"/>
  <c r="FF380" i="5"/>
  <c r="CP126" i="5"/>
  <c r="FB126" i="5"/>
  <c r="BI60" i="5"/>
  <c r="CZ266" i="5"/>
  <c r="FF266" i="5"/>
  <c r="CR16" i="5"/>
  <c r="AL105" i="5"/>
  <c r="AO105" i="5"/>
  <c r="DJ171" i="5"/>
  <c r="DJ172" i="5"/>
  <c r="DK172" i="5" s="1"/>
  <c r="DG78" i="5"/>
  <c r="CW91" i="5"/>
  <c r="FD91" i="5"/>
  <c r="CV256" i="5"/>
  <c r="FB256" i="5"/>
  <c r="DX228" i="5"/>
  <c r="CL228" i="5" s="1"/>
  <c r="DX212" i="5"/>
  <c r="CL212" i="5" s="1"/>
  <c r="DX215" i="5"/>
  <c r="CL215" i="5" s="1"/>
  <c r="CW10" i="5"/>
  <c r="CW11" i="5" s="1"/>
  <c r="CW12" i="5"/>
  <c r="CW13" i="5"/>
  <c r="CP117" i="5"/>
  <c r="FB117" i="5"/>
  <c r="FB138" i="5"/>
  <c r="CP138" i="5"/>
  <c r="AN222" i="5"/>
  <c r="AK222" i="5"/>
  <c r="AS107" i="5"/>
  <c r="AT107" i="5" s="1"/>
  <c r="AW107" i="5" s="1"/>
  <c r="AS112" i="5"/>
  <c r="AT112" i="5" s="1"/>
  <c r="AW112" i="5" s="1"/>
  <c r="FD210" i="5"/>
  <c r="CQ210" i="5"/>
  <c r="AL175" i="5"/>
  <c r="AO175" i="5"/>
  <c r="ER216" i="5"/>
  <c r="AK112" i="5"/>
  <c r="CZ359" i="5"/>
  <c r="FF359" i="5"/>
  <c r="CV386" i="5"/>
  <c r="FB386" i="5"/>
  <c r="BI79" i="5"/>
  <c r="BJ79" i="5" s="1"/>
  <c r="EC79" i="5" s="1"/>
  <c r="DK499" i="5"/>
  <c r="DL499" i="5" s="1"/>
  <c r="DM499" i="5" s="1"/>
  <c r="CZ331" i="5"/>
  <c r="FF331" i="5"/>
  <c r="CT176" i="5"/>
  <c r="FF176" i="5"/>
  <c r="DX250" i="5"/>
  <c r="CL250" i="5" s="1"/>
  <c r="CV91" i="5"/>
  <c r="FB91" i="5"/>
  <c r="DX209" i="5"/>
  <c r="CL209" i="5" s="1"/>
  <c r="ER196" i="5"/>
  <c r="AW214" i="5"/>
  <c r="CH214" i="5" s="1"/>
  <c r="BF107" i="5"/>
  <c r="BH107" i="5" s="1"/>
  <c r="BG107" i="5"/>
  <c r="AW211" i="5"/>
  <c r="CH211" i="5" s="1"/>
  <c r="BJ92" i="5"/>
  <c r="EC92" i="5" s="1"/>
  <c r="FJ60" i="5"/>
  <c r="AW229" i="5"/>
  <c r="CH229" i="5" s="1"/>
  <c r="CT353" i="5"/>
  <c r="FF353" i="5"/>
  <c r="CQ62" i="5"/>
  <c r="FD62" i="5"/>
  <c r="CZ361" i="5"/>
  <c r="FF361" i="5"/>
  <c r="DI199" i="5"/>
  <c r="DJ199" i="5"/>
  <c r="DX199" i="5"/>
  <c r="CL199" i="5" s="1"/>
  <c r="AT207" i="5"/>
  <c r="FF351" i="5"/>
  <c r="CT351" i="5"/>
  <c r="DX246" i="5"/>
  <c r="FB184" i="5"/>
  <c r="CV184" i="5"/>
  <c r="DX239" i="5"/>
  <c r="CL239" i="5" s="1"/>
  <c r="FB188" i="5"/>
  <c r="CP188" i="5"/>
  <c r="AW201" i="5"/>
  <c r="CH201" i="5" s="1"/>
  <c r="AP201" i="5"/>
  <c r="AQ201" i="5" s="1"/>
  <c r="BD197" i="5"/>
  <c r="AT205" i="5"/>
  <c r="FB361" i="5"/>
  <c r="CV361" i="5"/>
  <c r="CZ254" i="5"/>
  <c r="FF254" i="5"/>
  <c r="FF304" i="5"/>
  <c r="CT304" i="5"/>
  <c r="FB228" i="5"/>
  <c r="CP228" i="5"/>
  <c r="AW237" i="5"/>
  <c r="CH237" i="5" s="1"/>
  <c r="BB206" i="5"/>
  <c r="BD206" i="5" s="1"/>
  <c r="FF179" i="5"/>
  <c r="CT179" i="5"/>
  <c r="CR17" i="5"/>
  <c r="CV146" i="5"/>
  <c r="FB146" i="5"/>
  <c r="DG91" i="5"/>
  <c r="FF169" i="5"/>
  <c r="CT169" i="5"/>
  <c r="CG2" i="5"/>
  <c r="BX2" i="5"/>
  <c r="AP175" i="5"/>
  <c r="AQ175" i="5" s="1"/>
  <c r="FD244" i="5"/>
  <c r="CQ244" i="5"/>
  <c r="CV191" i="5"/>
  <c r="FB191" i="5"/>
  <c r="CZ419" i="5"/>
  <c r="FF419" i="5"/>
  <c r="FF362" i="5"/>
  <c r="CT362" i="5"/>
  <c r="DX214" i="5"/>
  <c r="CL214" i="5" s="1"/>
  <c r="BD214" i="5"/>
  <c r="BI90" i="5"/>
  <c r="FB248" i="5"/>
  <c r="CV248" i="5"/>
  <c r="ER198" i="5"/>
  <c r="FB130" i="5"/>
  <c r="CP130" i="5"/>
  <c r="ER111" i="5"/>
  <c r="EV111" i="5"/>
  <c r="DL111" i="5" s="1"/>
  <c r="DH203" i="5"/>
  <c r="DI203" i="5" s="1"/>
  <c r="EG203" i="5"/>
  <c r="EJ203" i="5" s="1"/>
  <c r="EK203" i="5" s="1"/>
  <c r="BI94" i="5"/>
  <c r="BJ94" i="5" s="1"/>
  <c r="EC94" i="5" s="1"/>
  <c r="CJ14" i="5"/>
  <c r="CJ15" i="5" s="1"/>
  <c r="CJ16" i="5"/>
  <c r="CJ17" i="5"/>
  <c r="FD169" i="5"/>
  <c r="CQ169" i="5"/>
  <c r="CP116" i="5"/>
  <c r="FB116" i="5"/>
  <c r="ER160" i="5"/>
  <c r="DX234" i="5"/>
  <c r="FF447" i="5"/>
  <c r="CT447" i="5"/>
  <c r="ER167" i="5"/>
  <c r="DM167" i="5" s="1"/>
  <c r="AL111" i="5"/>
  <c r="AO111" i="5"/>
  <c r="AW212" i="5"/>
  <c r="CH212" i="5" s="1"/>
  <c r="DM165" i="5"/>
  <c r="CP283" i="5"/>
  <c r="FB283" i="5"/>
  <c r="DI216" i="5"/>
  <c r="DJ216" i="5"/>
  <c r="DX216" i="5"/>
  <c r="CQ215" i="5"/>
  <c r="FD215" i="5"/>
  <c r="CT283" i="5"/>
  <c r="FF283" i="5"/>
  <c r="CQ93" i="5"/>
  <c r="FD93" i="5"/>
  <c r="DX244" i="5"/>
  <c r="CL244" i="5" s="1"/>
  <c r="ER157" i="5"/>
  <c r="BD215" i="5"/>
  <c r="FF299" i="5"/>
  <c r="CZ299" i="5"/>
  <c r="FD208" i="5"/>
  <c r="CQ208" i="5"/>
  <c r="CV310" i="5"/>
  <c r="FB310" i="5"/>
  <c r="DX222" i="5"/>
  <c r="FF272" i="5"/>
  <c r="CT272" i="5"/>
  <c r="DX206" i="5"/>
  <c r="CL206" i="5" s="1"/>
  <c r="AW209" i="5"/>
  <c r="CH209" i="5" s="1"/>
  <c r="DI201" i="5"/>
  <c r="DJ201" i="5"/>
  <c r="DX201" i="5"/>
  <c r="CL201" i="5" s="1"/>
  <c r="FD183" i="5"/>
  <c r="CQ183" i="5"/>
  <c r="FF342" i="5"/>
  <c r="CZ342" i="5"/>
  <c r="FJ62" i="5"/>
  <c r="DX225" i="5"/>
  <c r="CL225" i="5" s="1"/>
  <c r="CU4" i="5"/>
  <c r="CZ278" i="5"/>
  <c r="FF278" i="5"/>
  <c r="BI77" i="5"/>
  <c r="BJ77" i="5" s="1"/>
  <c r="EC77" i="5" s="1"/>
  <c r="BJ91" i="5"/>
  <c r="EC91" i="5" s="1"/>
  <c r="CZ444" i="5"/>
  <c r="FF444" i="5"/>
  <c r="FD199" i="5"/>
  <c r="CQ199" i="5"/>
  <c r="CP189" i="5"/>
  <c r="FB189" i="5"/>
  <c r="CP390" i="5"/>
  <c r="FB390" i="5"/>
  <c r="FF452" i="5"/>
  <c r="CZ452" i="5"/>
  <c r="ER221" i="5"/>
  <c r="DK469" i="5"/>
  <c r="DL469" i="5" s="1"/>
  <c r="DM469" i="5" s="1"/>
  <c r="DX203" i="5"/>
  <c r="CL203" i="5" s="1"/>
  <c r="DJ203" i="5"/>
  <c r="CV417" i="5"/>
  <c r="FB417" i="5"/>
  <c r="FB225" i="5"/>
  <c r="CP225" i="5"/>
  <c r="FD177" i="5"/>
  <c r="CW177" i="5"/>
  <c r="CT368" i="5"/>
  <c r="FF368" i="5"/>
  <c r="DX247" i="5"/>
  <c r="CL247" i="5" s="1"/>
  <c r="CP129" i="5"/>
  <c r="FB129" i="5"/>
  <c r="CZ327" i="5"/>
  <c r="FF327" i="5"/>
  <c r="FF289" i="5"/>
  <c r="CT289" i="5"/>
  <c r="FF290" i="5"/>
  <c r="CZ290" i="5"/>
  <c r="DG89" i="5"/>
  <c r="FF370" i="5"/>
  <c r="CT370" i="5"/>
  <c r="FF177" i="5"/>
  <c r="CZ177" i="5"/>
  <c r="FF171" i="5"/>
  <c r="CT171" i="5"/>
  <c r="DI197" i="5"/>
  <c r="DJ197" i="5"/>
  <c r="DX197" i="5"/>
  <c r="CL197" i="5" s="1"/>
  <c r="FB396" i="5"/>
  <c r="CP396" i="5"/>
  <c r="DJ174" i="5"/>
  <c r="FD66" i="5"/>
  <c r="CQ66" i="5"/>
  <c r="CO16" i="5"/>
  <c r="CO14" i="5"/>
  <c r="CO15" i="5" s="1"/>
  <c r="CO17" i="5"/>
  <c r="FD185" i="5"/>
  <c r="CQ185" i="5"/>
  <c r="FB175" i="5"/>
  <c r="CP175" i="5"/>
  <c r="DX227" i="5"/>
  <c r="CL227" i="5" s="1"/>
  <c r="CU14" i="5"/>
  <c r="CU15" i="5" s="1"/>
  <c r="CU17" i="5"/>
  <c r="CU16" i="5"/>
  <c r="CQ12" i="5"/>
  <c r="FF261" i="5"/>
  <c r="CZ261" i="5"/>
  <c r="FF312" i="5"/>
  <c r="CT312" i="5"/>
  <c r="BI76" i="5"/>
  <c r="BJ76" i="5" s="1"/>
  <c r="EC76" i="5" s="1"/>
  <c r="EL169" i="5"/>
  <c r="EM169" i="5"/>
  <c r="AT215" i="5"/>
  <c r="BJ90" i="5"/>
  <c r="EC90" i="5" s="1"/>
  <c r="FB239" i="5"/>
  <c r="CP239" i="5"/>
  <c r="CV147" i="5"/>
  <c r="FB147" i="5"/>
  <c r="EG112" i="5"/>
  <c r="EJ112" i="5" s="1"/>
  <c r="EK112" i="5" s="1"/>
  <c r="EL170" i="5"/>
  <c r="EM170" i="5"/>
  <c r="FF292" i="5"/>
  <c r="CT292" i="5"/>
  <c r="DG93" i="5"/>
  <c r="FD88" i="5"/>
  <c r="CQ88" i="5"/>
  <c r="FB90" i="5"/>
  <c r="CP90" i="5"/>
  <c r="CV181" i="5"/>
  <c r="FB181" i="5"/>
  <c r="BI69" i="5"/>
  <c r="BJ69" i="5" s="1"/>
  <c r="EC69" i="5" s="1"/>
  <c r="FF181" i="5"/>
  <c r="CZ181" i="5"/>
  <c r="DX240" i="5"/>
  <c r="CL240" i="5" s="1"/>
  <c r="CT291" i="5"/>
  <c r="FF291" i="5"/>
  <c r="CT360" i="5"/>
  <c r="FF360" i="5"/>
  <c r="FF288" i="5"/>
  <c r="CZ288" i="5"/>
  <c r="DK484" i="5"/>
  <c r="DL484" i="5" s="1"/>
  <c r="DM484" i="5" s="1"/>
  <c r="FB114" i="5"/>
  <c r="CP114" i="5"/>
  <c r="FB244" i="5"/>
  <c r="CP244" i="5"/>
  <c r="CT186" i="5"/>
  <c r="FF186" i="5"/>
  <c r="FF185" i="5"/>
  <c r="CT185" i="5"/>
  <c r="FD200" i="5"/>
  <c r="CQ200" i="5"/>
  <c r="FB92" i="5"/>
  <c r="CV92" i="5"/>
  <c r="FB242" i="5"/>
  <c r="CP242" i="5"/>
  <c r="AW233" i="5"/>
  <c r="DG62" i="5"/>
  <c r="FB194" i="5"/>
  <c r="CP194" i="5"/>
  <c r="DX235" i="5"/>
  <c r="CL235" i="5" s="1"/>
  <c r="BD196" i="5"/>
  <c r="CT337" i="5"/>
  <c r="FF337" i="5"/>
  <c r="DX233" i="5"/>
  <c r="FD189" i="5"/>
  <c r="CQ189" i="5"/>
  <c r="FJ58" i="5"/>
  <c r="CP179" i="5"/>
  <c r="FB179" i="5"/>
  <c r="CP434" i="5"/>
  <c r="FB434" i="5"/>
  <c r="CT326" i="5"/>
  <c r="FF326" i="5"/>
  <c r="CZ322" i="5"/>
  <c r="FF322" i="5"/>
  <c r="FF170" i="5"/>
  <c r="CZ170" i="5"/>
  <c r="AW203" i="5"/>
  <c r="CH203" i="5" s="1"/>
  <c r="AP203" i="5"/>
  <c r="AQ203" i="5" s="1"/>
  <c r="FB79" i="5"/>
  <c r="CP79" i="5"/>
  <c r="CO1" i="5"/>
  <c r="CO2" i="5" s="1"/>
  <c r="ER161" i="5"/>
  <c r="DM161" i="5" s="1"/>
  <c r="FB178" i="5"/>
  <c r="CV178" i="5"/>
  <c r="ER200" i="5"/>
  <c r="CV382" i="5"/>
  <c r="FB382" i="5"/>
  <c r="BD212" i="5"/>
  <c r="CP137" i="5"/>
  <c r="FB137" i="5"/>
  <c r="FF264" i="5"/>
  <c r="CT264" i="5"/>
  <c r="DX241" i="5"/>
  <c r="CL241" i="5" s="1"/>
  <c r="FF317" i="5"/>
  <c r="CT317" i="5"/>
  <c r="FD184" i="5"/>
  <c r="CW184" i="5"/>
  <c r="BI93" i="5"/>
  <c r="BJ93" i="5" s="1"/>
  <c r="EC93" i="5" s="1"/>
  <c r="CP66" i="5"/>
  <c r="FB66" i="5"/>
  <c r="CP132" i="5"/>
  <c r="FB132" i="5"/>
  <c r="DJ173" i="5"/>
  <c r="FF381" i="5"/>
  <c r="CZ381" i="5"/>
  <c r="DG94" i="5"/>
  <c r="FF268" i="5"/>
  <c r="CZ268" i="5"/>
  <c r="DK475" i="5"/>
  <c r="DL475" i="5" s="1"/>
  <c r="DM475" i="5" s="1"/>
  <c r="FD228" i="5"/>
  <c r="CQ228" i="5"/>
  <c r="FF306" i="5"/>
  <c r="CZ306" i="5"/>
  <c r="FB250" i="5"/>
  <c r="CV250" i="5"/>
  <c r="CZ192" i="5"/>
  <c r="FF192" i="5"/>
  <c r="CT174" i="5"/>
  <c r="FF174" i="5"/>
  <c r="FF448" i="5"/>
  <c r="CZ448" i="5"/>
  <c r="FB251" i="5"/>
  <c r="CV251" i="5"/>
  <c r="AW224" i="5"/>
  <c r="CH224" i="5" s="1"/>
  <c r="ER108" i="5"/>
  <c r="EV108" i="5"/>
  <c r="DL108" i="5" s="1"/>
  <c r="CQ10" i="5"/>
  <c r="CQ11" i="5" s="1"/>
  <c r="CW204" i="5"/>
  <c r="FD204" i="5"/>
  <c r="FB341" i="5"/>
  <c r="CV341" i="5"/>
  <c r="DX220" i="5"/>
  <c r="DI220" i="5"/>
  <c r="DJ220" i="5"/>
  <c r="BD199" i="5"/>
  <c r="ER106" i="5"/>
  <c r="EV106" i="5"/>
  <c r="DL106" i="5" s="1"/>
  <c r="DM106" i="5" s="1"/>
  <c r="FB94" i="5"/>
  <c r="CP94" i="5"/>
  <c r="FB141" i="5"/>
  <c r="CV141" i="5"/>
  <c r="DJ198" i="5"/>
  <c r="DX198" i="5"/>
  <c r="CL198" i="5" s="1"/>
  <c r="DI198" i="5"/>
  <c r="FB127" i="5"/>
  <c r="CP127" i="5"/>
  <c r="CP131" i="5"/>
  <c r="FB131" i="5"/>
  <c r="AL109" i="5"/>
  <c r="AO109" i="5"/>
  <c r="FD191" i="5"/>
  <c r="CW191" i="5"/>
  <c r="CQ172" i="5"/>
  <c r="FD172" i="5"/>
  <c r="DX232" i="5"/>
  <c r="CZ302" i="5"/>
  <c r="FF302" i="5"/>
  <c r="FB128" i="5"/>
  <c r="CP128" i="5"/>
  <c r="FB236" i="5"/>
  <c r="CP236" i="5"/>
  <c r="FF446" i="5"/>
  <c r="CT446" i="5"/>
  <c r="CZ184" i="5"/>
  <c r="FF184" i="5"/>
  <c r="FD243" i="5"/>
  <c r="CQ243" i="5"/>
  <c r="CT423" i="5"/>
  <c r="FF423" i="5"/>
  <c r="FF305" i="5"/>
  <c r="CZ305" i="5"/>
  <c r="FF343" i="5"/>
  <c r="CT343" i="5"/>
  <c r="DG69" i="5"/>
  <c r="FB192" i="5"/>
  <c r="CV192" i="5"/>
  <c r="DK485" i="5"/>
  <c r="DL485" i="5" s="1"/>
  <c r="DM485" i="5" s="1"/>
  <c r="BB204" i="5"/>
  <c r="FF451" i="5"/>
  <c r="CT451" i="5"/>
  <c r="FB372" i="5"/>
  <c r="CP372" i="5"/>
  <c r="FF285" i="5"/>
  <c r="CT285" i="5"/>
  <c r="AP177" i="5"/>
  <c r="AQ177" i="5" s="1"/>
  <c r="DX230" i="5"/>
  <c r="CZ334" i="5"/>
  <c r="FF334" i="5"/>
  <c r="CV413" i="5"/>
  <c r="FB413" i="5"/>
  <c r="FF271" i="5"/>
  <c r="CZ271" i="5"/>
  <c r="AL25" i="5"/>
  <c r="AO25" i="5"/>
  <c r="FD198" i="5"/>
  <c r="CQ198" i="5"/>
  <c r="FJ57" i="5"/>
  <c r="CV173" i="5"/>
  <c r="FB173" i="5"/>
  <c r="FB265" i="5"/>
  <c r="CP265" i="5"/>
  <c r="FF294" i="5"/>
  <c r="CT294" i="5"/>
  <c r="FD202" i="5"/>
  <c r="CQ202" i="5"/>
  <c r="CZ262" i="5"/>
  <c r="FF262" i="5"/>
  <c r="CP93" i="5"/>
  <c r="FB93" i="5"/>
  <c r="EQ24" i="5"/>
  <c r="ER24" i="5" s="1"/>
  <c r="BG112" i="5"/>
  <c r="BF112" i="5"/>
  <c r="BH112" i="5" s="1"/>
  <c r="AW193" i="5"/>
  <c r="CH193" i="5" s="1"/>
  <c r="AW234" i="5"/>
  <c r="FF377" i="5"/>
  <c r="CZ377" i="5"/>
  <c r="DJ200" i="5"/>
  <c r="DX200" i="5"/>
  <c r="CL200" i="5" s="1"/>
  <c r="DI200" i="5"/>
  <c r="FF269" i="5"/>
  <c r="CZ269" i="5"/>
  <c r="CV144" i="5"/>
  <c r="FB144" i="5"/>
  <c r="FB353" i="5"/>
  <c r="CP353" i="5"/>
  <c r="FB169" i="5"/>
  <c r="CP169" i="5"/>
  <c r="AK177" i="5"/>
  <c r="AW208" i="5"/>
  <c r="CH208" i="5" s="1"/>
  <c r="FF363" i="5"/>
  <c r="CZ363" i="5"/>
  <c r="FD237" i="5"/>
  <c r="CQ237" i="5"/>
  <c r="FF352" i="5"/>
  <c r="CT352" i="5"/>
  <c r="ER164" i="5"/>
  <c r="DM164" i="5" s="1"/>
  <c r="DX223" i="5"/>
  <c r="DX251" i="5"/>
  <c r="CL251" i="5" s="1"/>
  <c r="FF303" i="5"/>
  <c r="CT303" i="5"/>
  <c r="DG77" i="5"/>
  <c r="FF295" i="5"/>
  <c r="CZ295" i="5"/>
  <c r="DX207" i="5"/>
  <c r="CL207" i="5" s="1"/>
  <c r="CP409" i="5"/>
  <c r="FB409" i="5"/>
  <c r="FF350" i="5"/>
  <c r="CZ350" i="5"/>
  <c r="CT432" i="5"/>
  <c r="FF432" i="5"/>
  <c r="FF354" i="5"/>
  <c r="CT354" i="5"/>
  <c r="FF450" i="5"/>
  <c r="CT450" i="5"/>
  <c r="CV123" i="5"/>
  <c r="FB123" i="5"/>
  <c r="EM220" i="5"/>
  <c r="FD205" i="5"/>
  <c r="CW205" i="5"/>
  <c r="BB200" i="5"/>
  <c r="BD200" i="5" s="1"/>
  <c r="CP115" i="5"/>
  <c r="FB115" i="5"/>
  <c r="FB78" i="5"/>
  <c r="CP78" i="5"/>
  <c r="CH13" i="5"/>
  <c r="CH10" i="5"/>
  <c r="CH11" i="5" s="1"/>
  <c r="CH12" i="5"/>
  <c r="CP113" i="5"/>
  <c r="FB113" i="5"/>
  <c r="EL202" i="5"/>
  <c r="EQ202" i="5" s="1"/>
  <c r="DX23" i="5"/>
  <c r="DL23" i="5"/>
  <c r="DM23" i="5" s="1"/>
  <c r="FF300" i="5"/>
  <c r="CZ300" i="5"/>
  <c r="DX204" i="5"/>
  <c r="CL204" i="5" s="1"/>
  <c r="DH175" i="5"/>
  <c r="EG175" i="5"/>
  <c r="EJ175" i="5" s="1"/>
  <c r="EK175" i="5" s="1"/>
  <c r="FB437" i="5"/>
  <c r="CV437" i="5"/>
  <c r="ER162" i="5"/>
  <c r="DM162" i="5" s="1"/>
  <c r="FD235" i="5"/>
  <c r="CQ235" i="5"/>
  <c r="FD60" i="5"/>
  <c r="CQ60" i="5"/>
  <c r="FD180" i="5"/>
  <c r="CQ180" i="5"/>
  <c r="DX237" i="5"/>
  <c r="CL237" i="5" s="1"/>
  <c r="CP89" i="5"/>
  <c r="FB89" i="5"/>
  <c r="CP227" i="5"/>
  <c r="FB227" i="5"/>
  <c r="CV418" i="5"/>
  <c r="FB418" i="5"/>
  <c r="CP77" i="5"/>
  <c r="FB77" i="5"/>
  <c r="DK498" i="5"/>
  <c r="DL498" i="5" s="1"/>
  <c r="DM498" i="5" s="1"/>
  <c r="CV177" i="5"/>
  <c r="FB177" i="5"/>
  <c r="CT330" i="5"/>
  <c r="FF330" i="5"/>
  <c r="FF391" i="5"/>
  <c r="CZ391" i="5"/>
  <c r="EG25" i="5"/>
  <c r="EJ25" i="5" s="1"/>
  <c r="EK25" i="5" s="1"/>
  <c r="AK203" i="5"/>
  <c r="DK482" i="5"/>
  <c r="DL482" i="5" s="1"/>
  <c r="DM482" i="5" s="1"/>
  <c r="BV107" i="5"/>
  <c r="CC107" i="5" s="1"/>
  <c r="CE107" i="5" s="1"/>
  <c r="AW202" i="5"/>
  <c r="CH202" i="5" s="1"/>
  <c r="AP202" i="5"/>
  <c r="AQ202" i="5" s="1"/>
  <c r="FJ56" i="5"/>
  <c r="CZ301" i="5"/>
  <c r="FF301" i="5"/>
  <c r="DX242" i="5"/>
  <c r="CL242" i="5" s="1"/>
  <c r="CT253" i="5"/>
  <c r="FF253" i="5"/>
  <c r="DI218" i="5"/>
  <c r="DJ218" i="5"/>
  <c r="DX218" i="5"/>
  <c r="FB274" i="5"/>
  <c r="CV274" i="5"/>
  <c r="CZ323" i="5"/>
  <c r="FF323" i="5"/>
  <c r="DJ170" i="5"/>
  <c r="DK170" i="5" s="1"/>
  <c r="BD248" i="5"/>
  <c r="BD203" i="5"/>
  <c r="CX12" i="5"/>
  <c r="DG66" i="5"/>
  <c r="CO3" i="5"/>
  <c r="FF189" i="5"/>
  <c r="CT189" i="5"/>
  <c r="CZ341" i="5"/>
  <c r="FF341" i="5"/>
  <c r="FD186" i="5"/>
  <c r="CQ186" i="5"/>
  <c r="CT395" i="5"/>
  <c r="FF395" i="5"/>
  <c r="CZ182" i="5"/>
  <c r="FF182" i="5"/>
  <c r="FF445" i="5"/>
  <c r="CZ445" i="5"/>
  <c r="FF265" i="5"/>
  <c r="CT265" i="5"/>
  <c r="ER172" i="5"/>
  <c r="BI66" i="5"/>
  <c r="BJ66" i="5" s="1"/>
  <c r="EC66" i="5" s="1"/>
  <c r="DX236" i="5"/>
  <c r="CL236" i="5" s="1"/>
  <c r="DX229" i="5"/>
  <c r="CL229" i="5" s="1"/>
  <c r="CP370" i="5"/>
  <c r="FB370" i="5"/>
  <c r="CZ441" i="5"/>
  <c r="FF441" i="5"/>
  <c r="DX213" i="5"/>
  <c r="CL213" i="5" s="1"/>
  <c r="FF191" i="5"/>
  <c r="CZ191" i="5"/>
  <c r="FF183" i="5"/>
  <c r="CT183" i="5"/>
  <c r="CT287" i="5"/>
  <c r="FF287" i="5"/>
  <c r="CU13" i="5"/>
  <c r="CZ190" i="5"/>
  <c r="FF190" i="5"/>
  <c r="CP69" i="5"/>
  <c r="FB69" i="5"/>
  <c r="DG60" i="5"/>
  <c r="DK490" i="5"/>
  <c r="DL490" i="5" s="1"/>
  <c r="DM490" i="5" s="1"/>
  <c r="CZ367" i="5"/>
  <c r="FF367" i="5"/>
  <c r="CT358" i="5"/>
  <c r="FF358" i="5"/>
  <c r="BD213" i="5"/>
  <c r="BD205" i="5"/>
  <c r="CP134" i="5"/>
  <c r="FB134" i="5"/>
  <c r="DX210" i="5"/>
  <c r="CL210" i="5" s="1"/>
  <c r="CV122" i="5"/>
  <c r="FB122" i="5"/>
  <c r="CP136" i="5"/>
  <c r="FB136" i="5"/>
  <c r="CP135" i="5"/>
  <c r="FB135" i="5"/>
  <c r="CP139" i="5"/>
  <c r="FB139" i="5"/>
  <c r="AS109" i="5"/>
  <c r="AT109" i="5" s="1"/>
  <c r="AW109" i="5" s="1"/>
  <c r="FF279" i="5"/>
  <c r="CT279" i="5"/>
  <c r="FB186" i="5"/>
  <c r="CP186" i="5"/>
  <c r="FB190" i="5"/>
  <c r="CV190" i="5"/>
  <c r="DH176" i="5"/>
  <c r="EG176" i="5"/>
  <c r="EJ176" i="5" s="1"/>
  <c r="EK176" i="5" s="1"/>
  <c r="BD207" i="5"/>
  <c r="CO13" i="5"/>
  <c r="DX219" i="5"/>
  <c r="DI219" i="5"/>
  <c r="DJ219" i="5"/>
  <c r="DG92" i="5"/>
  <c r="AW238" i="5"/>
  <c r="CH238" i="5" s="1"/>
  <c r="FD179" i="5"/>
  <c r="CQ179" i="5"/>
  <c r="CZ449" i="5"/>
  <c r="FF449" i="5"/>
  <c r="BJ89" i="5"/>
  <c r="EC89" i="5" s="1"/>
  <c r="CQ211" i="5"/>
  <c r="FD211" i="5"/>
  <c r="CQ238" i="5"/>
  <c r="FD238" i="5"/>
  <c r="AT199" i="5"/>
  <c r="DM157" i="5"/>
  <c r="CX16" i="5"/>
  <c r="FF366" i="5"/>
  <c r="CT366" i="5"/>
  <c r="DX238" i="5"/>
  <c r="CL238" i="5" s="1"/>
  <c r="AJ27" i="5"/>
  <c r="AN26" i="5"/>
  <c r="DO26" i="5" s="1"/>
  <c r="AK26" i="5"/>
  <c r="AT197" i="5"/>
  <c r="FJ59" i="5"/>
  <c r="CP235" i="5"/>
  <c r="FB235" i="5"/>
  <c r="CV302" i="5"/>
  <c r="FB302" i="5"/>
  <c r="FF369" i="5"/>
  <c r="CZ369" i="5"/>
  <c r="BJ88" i="5"/>
  <c r="EC88" i="5" s="1"/>
  <c r="FD236" i="5"/>
  <c r="CQ236" i="5"/>
  <c r="AW198" i="5"/>
  <c r="CH198" i="5" s="1"/>
  <c r="AP198" i="5"/>
  <c r="AQ198" i="5" s="1"/>
  <c r="CT180" i="5"/>
  <c r="FF180" i="5"/>
  <c r="FD214" i="5"/>
  <c r="CQ214" i="5"/>
  <c r="CT175" i="5"/>
  <c r="FF175" i="5"/>
  <c r="CP183" i="5"/>
  <c r="FB183" i="5"/>
  <c r="BJ62" i="5"/>
  <c r="EC62" i="5" s="1"/>
  <c r="FF332" i="5"/>
  <c r="CT332" i="5"/>
  <c r="FF284" i="5"/>
  <c r="CZ284" i="5"/>
  <c r="DM159" i="5"/>
  <c r="CP195" i="5"/>
  <c r="FB195" i="5"/>
  <c r="DX249" i="5"/>
  <c r="CL249" i="5" s="1"/>
  <c r="FB249" i="5"/>
  <c r="CV249" i="5"/>
  <c r="EQ163" i="5"/>
  <c r="ER163" i="5" s="1"/>
  <c r="DM163" i="5" s="1"/>
  <c r="CV425" i="5"/>
  <c r="FB425" i="5"/>
  <c r="FF325" i="5"/>
  <c r="CZ325" i="5"/>
  <c r="DG76" i="5"/>
  <c r="FF173" i="5"/>
  <c r="CZ173" i="5"/>
  <c r="DK474" i="5"/>
  <c r="DL474" i="5" s="1"/>
  <c r="DM474" i="5" s="1"/>
  <c r="CP125" i="5"/>
  <c r="FB125" i="5"/>
  <c r="FB180" i="5"/>
  <c r="CP180" i="5"/>
  <c r="CV143" i="5"/>
  <c r="FB143" i="5"/>
  <c r="FD212" i="5"/>
  <c r="CW212" i="5"/>
  <c r="CT443" i="5"/>
  <c r="FF443" i="5"/>
  <c r="CT396" i="5"/>
  <c r="FF396" i="5"/>
  <c r="CV421" i="5"/>
  <c r="FB421" i="5"/>
  <c r="CU12" i="5"/>
  <c r="FF187" i="5"/>
  <c r="CZ187" i="5"/>
  <c r="FD241" i="5"/>
  <c r="CQ241" i="5"/>
  <c r="FD94" i="5"/>
  <c r="CQ94" i="5"/>
  <c r="FF293" i="5"/>
  <c r="CT293" i="5"/>
  <c r="FF286" i="5"/>
  <c r="CZ286" i="5"/>
  <c r="CP243" i="5"/>
  <c r="FB243" i="5"/>
  <c r="FB119" i="5"/>
  <c r="CV119" i="5"/>
  <c r="CP231" i="5"/>
  <c r="FB231" i="5"/>
  <c r="CV120" i="5"/>
  <c r="FB120" i="5"/>
  <c r="FB88" i="5"/>
  <c r="CP88" i="5"/>
  <c r="ER173" i="5"/>
  <c r="DJ202" i="5"/>
  <c r="DX202" i="5"/>
  <c r="CL202" i="5" s="1"/>
  <c r="DI202" i="5"/>
  <c r="FB133" i="5"/>
  <c r="CP133" i="5"/>
  <c r="FR110" i="5"/>
  <c r="FU110" i="5" s="1"/>
  <c r="AY110" i="5"/>
  <c r="AZ110" i="5" s="1"/>
  <c r="BL110" i="5"/>
  <c r="DT110" i="5" s="1"/>
  <c r="DV110" i="5" s="1"/>
  <c r="BT110" i="5"/>
  <c r="DY110" i="5"/>
  <c r="BE110" i="5"/>
  <c r="BU110" i="5"/>
  <c r="AN110" i="5"/>
  <c r="DO110" i="5" s="1"/>
  <c r="FB182" i="5"/>
  <c r="CV182" i="5"/>
  <c r="CW170" i="5"/>
  <c r="FD170" i="5"/>
  <c r="FF267" i="5"/>
  <c r="CZ267" i="5"/>
  <c r="FD197" i="5"/>
  <c r="CQ197" i="5"/>
  <c r="CP185" i="5"/>
  <c r="FB185" i="5"/>
  <c r="FF373" i="5"/>
  <c r="CZ373" i="5"/>
  <c r="CV240" i="5"/>
  <c r="FB240" i="5"/>
  <c r="FF195" i="5"/>
  <c r="CT195" i="5"/>
  <c r="BI78" i="5"/>
  <c r="BJ78" i="5" s="1"/>
  <c r="EC78" i="5" s="1"/>
  <c r="FB174" i="5"/>
  <c r="CP174" i="5"/>
  <c r="FB298" i="5"/>
  <c r="CV298" i="5"/>
  <c r="FB145" i="5"/>
  <c r="CV145" i="5"/>
  <c r="FD196" i="5"/>
  <c r="CQ196" i="5"/>
  <c r="CT411" i="5"/>
  <c r="FF411" i="5"/>
  <c r="DG88" i="5"/>
  <c r="DG205" i="5"/>
  <c r="ER166" i="5"/>
  <c r="DM166" i="5" s="1"/>
  <c r="FF308" i="5"/>
  <c r="CT308" i="5"/>
  <c r="AO221" i="5"/>
  <c r="AL221" i="5"/>
  <c r="DJ196" i="5"/>
  <c r="DX196" i="5"/>
  <c r="CL196" i="5" s="1"/>
  <c r="DI196" i="5"/>
  <c r="DK196" i="5" s="1"/>
  <c r="CV121" i="5"/>
  <c r="FB121" i="5"/>
  <c r="AL202" i="5"/>
  <c r="AO202" i="5"/>
  <c r="AP176" i="5"/>
  <c r="AQ176" i="5" s="1"/>
  <c r="DK493" i="5"/>
  <c r="DL493" i="5" s="1"/>
  <c r="DM493" i="5" s="1"/>
  <c r="DG127" i="5"/>
  <c r="DX231" i="5"/>
  <c r="CL231" i="5" s="1"/>
  <c r="DX224" i="5"/>
  <c r="CL224" i="5" s="1"/>
  <c r="ER218" i="5"/>
  <c r="DK488" i="5"/>
  <c r="DL488" i="5" s="1"/>
  <c r="DM488" i="5" s="1"/>
  <c r="CP60" i="5"/>
  <c r="FB60" i="5"/>
  <c r="ER199" i="5"/>
  <c r="BF109" i="5"/>
  <c r="BH109" i="5" s="1"/>
  <c r="BG109" i="5"/>
  <c r="FF193" i="5"/>
  <c r="CT193" i="5"/>
  <c r="FF442" i="5"/>
  <c r="CT442" i="5"/>
  <c r="DK471" i="5"/>
  <c r="DL471" i="5" s="1"/>
  <c r="DM471" i="5" s="1"/>
  <c r="EL171" i="5"/>
  <c r="EM171" i="5"/>
  <c r="FB433" i="5"/>
  <c r="CV433" i="5"/>
  <c r="AP219" i="5"/>
  <c r="AQ219" i="5" s="1"/>
  <c r="AW219" i="5"/>
  <c r="CT335" i="5"/>
  <c r="FF335" i="5"/>
  <c r="FB62" i="5"/>
  <c r="CP62" i="5"/>
  <c r="DX248" i="5"/>
  <c r="CL248" i="5" s="1"/>
  <c r="AW159" i="5"/>
  <c r="AP159" i="5"/>
  <c r="AQ159" i="5" s="1"/>
  <c r="DK495" i="5"/>
  <c r="DL495" i="5" s="1"/>
  <c r="DM495" i="5" s="1"/>
  <c r="DK500" i="5"/>
  <c r="DL500" i="5" s="1"/>
  <c r="DM500" i="5" s="1"/>
  <c r="CX4" i="5"/>
  <c r="CX9" i="5"/>
  <c r="CX3" i="5"/>
  <c r="CX1" i="5"/>
  <c r="CX2" i="5" s="1"/>
  <c r="CX6" i="5"/>
  <c r="CX7" i="5" s="1"/>
  <c r="CX8" i="5"/>
  <c r="FB172" i="5"/>
  <c r="CP172" i="5"/>
  <c r="BJ105" i="5"/>
  <c r="EC105" i="5" s="1"/>
  <c r="EB105" i="5" s="1"/>
  <c r="FF333" i="5"/>
  <c r="CT333" i="5"/>
  <c r="BJ60" i="5"/>
  <c r="EC60" i="5" s="1"/>
  <c r="FB241" i="5"/>
  <c r="CP241" i="5"/>
  <c r="DM160" i="5"/>
  <c r="ER197" i="5"/>
  <c r="EQ169" i="5"/>
  <c r="FF172" i="5"/>
  <c r="CT172" i="5"/>
  <c r="FD173" i="5"/>
  <c r="CW173" i="5"/>
  <c r="FB171" i="5"/>
  <c r="CP171" i="5"/>
  <c r="DX245" i="5"/>
  <c r="CL245" i="5" s="1"/>
  <c r="CZ296" i="5"/>
  <c r="FF296" i="5"/>
  <c r="CV187" i="5"/>
  <c r="FB187" i="5"/>
  <c r="DX208" i="5"/>
  <c r="CL208" i="5" s="1"/>
  <c r="DX211" i="5"/>
  <c r="CL211" i="5" s="1"/>
  <c r="BD204" i="5"/>
  <c r="FB124" i="5"/>
  <c r="CP124" i="5"/>
  <c r="AH110" i="5"/>
  <c r="AK110" i="5" s="1"/>
  <c r="AJ113" i="5"/>
  <c r="AJ204" i="5"/>
  <c r="AJ223" i="5"/>
  <c r="AJ178" i="5"/>
  <c r="DR107" i="20" l="1"/>
  <c r="DS107" i="20" s="1"/>
  <c r="DS213" i="21"/>
  <c r="CQ196" i="21"/>
  <c r="DR110" i="21"/>
  <c r="ED110" i="21"/>
  <c r="DS104" i="21"/>
  <c r="AR113" i="21"/>
  <c r="AU113" i="21"/>
  <c r="AT28" i="21"/>
  <c r="DU28" i="21" s="1"/>
  <c r="AP29" i="21"/>
  <c r="AQ28" i="21"/>
  <c r="FB105" i="21"/>
  <c r="ES219" i="21"/>
  <c r="ER219" i="21"/>
  <c r="DN112" i="21"/>
  <c r="EM112" i="21"/>
  <c r="EP112" i="21" s="1"/>
  <c r="EQ112" i="21" s="1"/>
  <c r="ED104" i="21"/>
  <c r="ER170" i="21"/>
  <c r="ES170" i="21"/>
  <c r="DO219" i="21"/>
  <c r="DP219" i="21"/>
  <c r="FQ56" i="21"/>
  <c r="AD195" i="21"/>
  <c r="CY195" i="21"/>
  <c r="FK195" i="21"/>
  <c r="FM195" i="21" s="1"/>
  <c r="EW196" i="21"/>
  <c r="EX196" i="21" s="1"/>
  <c r="DS196" i="21" s="1"/>
  <c r="DP170" i="21"/>
  <c r="DO170" i="21"/>
  <c r="DQ218" i="21"/>
  <c r="DR218" i="21" s="1"/>
  <c r="FB25" i="21"/>
  <c r="EX25" i="21"/>
  <c r="EW25" i="21"/>
  <c r="DB1" i="21"/>
  <c r="DB2" i="21" s="1"/>
  <c r="CZ16" i="21"/>
  <c r="CY168" i="21"/>
  <c r="FK168" i="21"/>
  <c r="FM168" i="21" s="1"/>
  <c r="AD168" i="21"/>
  <c r="EX110" i="21"/>
  <c r="DS166" i="21"/>
  <c r="CQ166" i="21"/>
  <c r="FK165" i="21"/>
  <c r="FM165" i="21" s="1"/>
  <c r="AD165" i="21"/>
  <c r="CY165" i="21"/>
  <c r="EM27" i="21"/>
  <c r="EP27" i="21" s="1"/>
  <c r="EQ27" i="21" s="1"/>
  <c r="FK192" i="21"/>
  <c r="FM192" i="21" s="1"/>
  <c r="AD192" i="21"/>
  <c r="CY192" i="21"/>
  <c r="FQ59" i="21"/>
  <c r="CZ17" i="21"/>
  <c r="DM109" i="21"/>
  <c r="EW109" i="21"/>
  <c r="ES109" i="21"/>
  <c r="ER109" i="21"/>
  <c r="DU198" i="21"/>
  <c r="AV198" i="21"/>
  <c r="AW198" i="21" s="1"/>
  <c r="AT199" i="21"/>
  <c r="AP200" i="21"/>
  <c r="AQ199" i="21"/>
  <c r="DU113" i="21"/>
  <c r="AV113" i="21"/>
  <c r="AW113" i="21" s="1"/>
  <c r="AP115" i="21"/>
  <c r="AT114" i="21"/>
  <c r="AQ114" i="21"/>
  <c r="DN220" i="21"/>
  <c r="EM220" i="21"/>
  <c r="EP220" i="21" s="1"/>
  <c r="EQ220" i="21" s="1"/>
  <c r="CV4" i="21"/>
  <c r="EX108" i="21"/>
  <c r="FB108" i="21"/>
  <c r="DR108" i="21" s="1"/>
  <c r="DS108" i="21" s="1"/>
  <c r="EW218" i="21"/>
  <c r="EX218" i="21" s="1"/>
  <c r="DN171" i="21"/>
  <c r="EM171" i="21"/>
  <c r="EP171" i="21" s="1"/>
  <c r="EQ171" i="21" s="1"/>
  <c r="ED108" i="21"/>
  <c r="FQ55" i="21"/>
  <c r="AU221" i="21"/>
  <c r="AR221" i="21"/>
  <c r="EW26" i="21"/>
  <c r="EX26" i="21" s="1"/>
  <c r="AU27" i="21"/>
  <c r="AR27" i="21"/>
  <c r="FQ54" i="21"/>
  <c r="FQ64" i="21" s="1"/>
  <c r="DN197" i="21"/>
  <c r="EM197" i="21"/>
  <c r="EP197" i="21" s="1"/>
  <c r="EQ197" i="21" s="1"/>
  <c r="AU172" i="21"/>
  <c r="AR172" i="21"/>
  <c r="EX111" i="21"/>
  <c r="FB111" i="21"/>
  <c r="DR111" i="21" s="1"/>
  <c r="DS111" i="21" s="1"/>
  <c r="DU221" i="21"/>
  <c r="AV221" i="21"/>
  <c r="AW221" i="21" s="1"/>
  <c r="DU172" i="21"/>
  <c r="AV172" i="21"/>
  <c r="AW172" i="21" s="1"/>
  <c r="CN2" i="21"/>
  <c r="CE2" i="21"/>
  <c r="AP223" i="21"/>
  <c r="AT222" i="21"/>
  <c r="AQ222" i="21"/>
  <c r="AT173" i="21"/>
  <c r="AP174" i="21"/>
  <c r="AQ173" i="21"/>
  <c r="EW111" i="21"/>
  <c r="FQ58" i="21"/>
  <c r="AR198" i="21"/>
  <c r="AU198" i="21"/>
  <c r="CV3" i="20"/>
  <c r="FQ56" i="20"/>
  <c r="FB24" i="20"/>
  <c r="EW109" i="20"/>
  <c r="FB109" i="20" s="1"/>
  <c r="DR109" i="20" s="1"/>
  <c r="EW106" i="20"/>
  <c r="FB106" i="20" s="1"/>
  <c r="DR106" i="20" s="1"/>
  <c r="FQ54" i="20"/>
  <c r="CZ17" i="20"/>
  <c r="ER111" i="20"/>
  <c r="EW111" i="20" s="1"/>
  <c r="FB111" i="20" s="1"/>
  <c r="DB1" i="20"/>
  <c r="DB2" i="20" s="1"/>
  <c r="FQ60" i="20"/>
  <c r="FQ55" i="20"/>
  <c r="DS216" i="20"/>
  <c r="DB4" i="20"/>
  <c r="DK216" i="5"/>
  <c r="DK200" i="5"/>
  <c r="DL200" i="5" s="1"/>
  <c r="DK201" i="5"/>
  <c r="EV24" i="5"/>
  <c r="DK198" i="5"/>
  <c r="DK199" i="5"/>
  <c r="DL199" i="5" s="1"/>
  <c r="DK221" i="5"/>
  <c r="DK218" i="5"/>
  <c r="DX108" i="5"/>
  <c r="DK203" i="5"/>
  <c r="DL203" i="5" s="1"/>
  <c r="DK219" i="5"/>
  <c r="DL219" i="5" s="1"/>
  <c r="DM219" i="5" s="1"/>
  <c r="DK197" i="5"/>
  <c r="DL169" i="5"/>
  <c r="CK169" i="5" s="1"/>
  <c r="DX106" i="5"/>
  <c r="DM108" i="5"/>
  <c r="DS196" i="20"/>
  <c r="CQ196" i="20"/>
  <c r="FQ61" i="20"/>
  <c r="DF14" i="20"/>
  <c r="DF15" i="20" s="1"/>
  <c r="DF17" i="20"/>
  <c r="DF16" i="20"/>
  <c r="AU219" i="20"/>
  <c r="AR219" i="20"/>
  <c r="CV4" i="20"/>
  <c r="ER217" i="20"/>
  <c r="ES217" i="20"/>
  <c r="AT201" i="20"/>
  <c r="AP202" i="20"/>
  <c r="AQ201" i="20"/>
  <c r="AP114" i="20"/>
  <c r="AT113" i="20"/>
  <c r="AQ113" i="20"/>
  <c r="DU219" i="20"/>
  <c r="AV219" i="20"/>
  <c r="AW219" i="20" s="1"/>
  <c r="CQ194" i="20"/>
  <c r="DS194" i="20"/>
  <c r="DP217" i="20"/>
  <c r="DO217" i="20"/>
  <c r="DB3" i="20"/>
  <c r="ES25" i="20"/>
  <c r="ER25" i="20"/>
  <c r="EW110" i="20"/>
  <c r="EX110" i="20" s="1"/>
  <c r="DP170" i="20"/>
  <c r="DO170" i="20"/>
  <c r="AD192" i="20"/>
  <c r="CY192" i="20"/>
  <c r="FK192" i="20"/>
  <c r="FM192" i="20" s="1"/>
  <c r="FQ58" i="20"/>
  <c r="AP221" i="20"/>
  <c r="AT220" i="20"/>
  <c r="AQ220" i="20"/>
  <c r="AR172" i="20"/>
  <c r="AU172" i="20"/>
  <c r="DN171" i="20"/>
  <c r="EM171" i="20"/>
  <c r="EP171" i="20" s="1"/>
  <c r="EQ171" i="20" s="1"/>
  <c r="ED24" i="20"/>
  <c r="DR24" i="20"/>
  <c r="DS24" i="20" s="1"/>
  <c r="AU26" i="20"/>
  <c r="AR26" i="20"/>
  <c r="FQ53" i="20"/>
  <c r="ER198" i="20"/>
  <c r="ES198" i="20"/>
  <c r="DN218" i="20"/>
  <c r="EM218" i="20"/>
  <c r="EP218" i="20" s="1"/>
  <c r="EQ218" i="20" s="1"/>
  <c r="CZ16" i="20"/>
  <c r="CZ14" i="20"/>
  <c r="CZ15" i="20" s="1"/>
  <c r="DU172" i="20"/>
  <c r="AV172" i="20"/>
  <c r="AW172" i="20" s="1"/>
  <c r="FQ57" i="20"/>
  <c r="AR200" i="20"/>
  <c r="AU200" i="20"/>
  <c r="AP28" i="20"/>
  <c r="AT27" i="20"/>
  <c r="DU27" i="20" s="1"/>
  <c r="AQ27" i="20"/>
  <c r="DP198" i="20"/>
  <c r="DO198" i="20"/>
  <c r="DN199" i="20"/>
  <c r="EM199" i="20"/>
  <c r="EP199" i="20" s="1"/>
  <c r="EQ199" i="20" s="1"/>
  <c r="CN2" i="20"/>
  <c r="CE2" i="20"/>
  <c r="AU112" i="20"/>
  <c r="AR112" i="20"/>
  <c r="ES170" i="20"/>
  <c r="ER170" i="20"/>
  <c r="AP174" i="20"/>
  <c r="AT173" i="20"/>
  <c r="AQ173" i="20"/>
  <c r="FQ59" i="20"/>
  <c r="DU200" i="20"/>
  <c r="AV200" i="20"/>
  <c r="AW200" i="20" s="1"/>
  <c r="EM26" i="20"/>
  <c r="EP26" i="20" s="1"/>
  <c r="EQ26" i="20" s="1"/>
  <c r="DS169" i="20"/>
  <c r="CQ169" i="20"/>
  <c r="EX109" i="20"/>
  <c r="DU112" i="20"/>
  <c r="AV112" i="20"/>
  <c r="AW112" i="20" s="1"/>
  <c r="BG110" i="5"/>
  <c r="BF110" i="5"/>
  <c r="BH110" i="5" s="1"/>
  <c r="AW197" i="5"/>
  <c r="CH197" i="5" s="1"/>
  <c r="AP197" i="5"/>
  <c r="AQ197" i="5" s="1"/>
  <c r="FF242" i="5"/>
  <c r="CT242" i="5"/>
  <c r="CZ204" i="5"/>
  <c r="FF204" i="5"/>
  <c r="FF235" i="5"/>
  <c r="CT235" i="5"/>
  <c r="CT201" i="5"/>
  <c r="FF201" i="5"/>
  <c r="FB212" i="5"/>
  <c r="CV212" i="5"/>
  <c r="CT214" i="5"/>
  <c r="FF214" i="5"/>
  <c r="BI107" i="5"/>
  <c r="DL221" i="5"/>
  <c r="DM221" i="5" s="1"/>
  <c r="DL172" i="5"/>
  <c r="DL170" i="5"/>
  <c r="CP200" i="5"/>
  <c r="FB200" i="5"/>
  <c r="CP198" i="5"/>
  <c r="FB198" i="5"/>
  <c r="AL26" i="5"/>
  <c r="AO26" i="5"/>
  <c r="AO203" i="5"/>
  <c r="AL203" i="5"/>
  <c r="CP13" i="5"/>
  <c r="CP12" i="5"/>
  <c r="CP10" i="5"/>
  <c r="CP11" i="5" s="1"/>
  <c r="CT200" i="5"/>
  <c r="FF200" i="5"/>
  <c r="CP193" i="5"/>
  <c r="FB193" i="5"/>
  <c r="BJ107" i="5"/>
  <c r="EC107" i="5" s="1"/>
  <c r="EB107" i="5" s="1"/>
  <c r="CZ212" i="5"/>
  <c r="FF212" i="5"/>
  <c r="DK171" i="5"/>
  <c r="DL171" i="5" s="1"/>
  <c r="EQ220" i="5"/>
  <c r="ER220" i="5" s="1"/>
  <c r="AN223" i="5"/>
  <c r="AK223" i="5"/>
  <c r="AN204" i="5"/>
  <c r="AK204" i="5"/>
  <c r="AS110" i="5"/>
  <c r="AT110" i="5" s="1"/>
  <c r="AW110" i="5" s="1"/>
  <c r="AN178" i="5"/>
  <c r="AK178" i="5"/>
  <c r="BI109" i="5"/>
  <c r="BJ109" i="5" s="1"/>
  <c r="EC109" i="5" s="1"/>
  <c r="EB109" i="5" s="1"/>
  <c r="FF231" i="5"/>
  <c r="CT231" i="5"/>
  <c r="DL196" i="5"/>
  <c r="BV110" i="5"/>
  <c r="CC110" i="5" s="1"/>
  <c r="CE110" i="5" s="1"/>
  <c r="EG26" i="5"/>
  <c r="EJ26" i="5" s="1"/>
  <c r="EK26" i="5" s="1"/>
  <c r="CT210" i="5"/>
  <c r="FF210" i="5"/>
  <c r="CT236" i="5"/>
  <c r="FF236" i="5"/>
  <c r="DL218" i="5"/>
  <c r="DM218" i="5" s="1"/>
  <c r="EL25" i="5"/>
  <c r="EM25" i="5"/>
  <c r="CP203" i="5"/>
  <c r="FB203" i="5"/>
  <c r="FF240" i="5"/>
  <c r="CZ240" i="5"/>
  <c r="DL197" i="5"/>
  <c r="FB237" i="5"/>
  <c r="CP237" i="5"/>
  <c r="FB229" i="5"/>
  <c r="CV229" i="5"/>
  <c r="CV9" i="5"/>
  <c r="CV8" i="5"/>
  <c r="CV6" i="5"/>
  <c r="CV7" i="5" s="1"/>
  <c r="AL112" i="5"/>
  <c r="AO112" i="5"/>
  <c r="FJ65" i="5"/>
  <c r="CV213" i="5"/>
  <c r="FB213" i="5"/>
  <c r="DK173" i="5"/>
  <c r="DL173" i="5" s="1"/>
  <c r="CT196" i="5"/>
  <c r="CT17" i="5" s="1"/>
  <c r="FF196" i="5"/>
  <c r="CW16" i="5"/>
  <c r="CW14" i="5"/>
  <c r="CW15" i="5" s="1"/>
  <c r="CW17" i="5"/>
  <c r="CV10" i="5"/>
  <c r="CV11" i="5" s="1"/>
  <c r="CV12" i="5"/>
  <c r="CV13" i="5"/>
  <c r="AJ28" i="5"/>
  <c r="AN27" i="5"/>
  <c r="DO27" i="5" s="1"/>
  <c r="AK27" i="5"/>
  <c r="FF207" i="5"/>
  <c r="CT207" i="5"/>
  <c r="FF251" i="5"/>
  <c r="CZ251" i="5"/>
  <c r="FB208" i="5"/>
  <c r="CP208" i="5"/>
  <c r="BI112" i="5"/>
  <c r="BJ112" i="5" s="1"/>
  <c r="EC112" i="5" s="1"/>
  <c r="EB112" i="5" s="1"/>
  <c r="DK220" i="5"/>
  <c r="DL220" i="5" s="1"/>
  <c r="DM220" i="5" s="1"/>
  <c r="AW215" i="5"/>
  <c r="CH215" i="5" s="1"/>
  <c r="FF227" i="5"/>
  <c r="CT227" i="5"/>
  <c r="FF203" i="5"/>
  <c r="CT203" i="5"/>
  <c r="DL201" i="5"/>
  <c r="CT244" i="5"/>
  <c r="FF244" i="5"/>
  <c r="DL216" i="5"/>
  <c r="DM216" i="5" s="1"/>
  <c r="EM203" i="5"/>
  <c r="EL203" i="5"/>
  <c r="FB214" i="5"/>
  <c r="CP214" i="5"/>
  <c r="FF250" i="5"/>
  <c r="CZ250" i="5"/>
  <c r="DX111" i="5"/>
  <c r="CW4" i="5"/>
  <c r="CW9" i="5"/>
  <c r="CW3" i="5"/>
  <c r="CW8" i="5"/>
  <c r="CW1" i="5"/>
  <c r="CW2" i="5" s="1"/>
  <c r="CW6" i="5"/>
  <c r="CW7" i="5" s="1"/>
  <c r="AW196" i="5"/>
  <c r="CH196" i="5" s="1"/>
  <c r="CH14" i="5" s="1"/>
  <c r="CH15" i="5" s="1"/>
  <c r="AP196" i="5"/>
  <c r="AQ196" i="5" s="1"/>
  <c r="FF243" i="5"/>
  <c r="CT243" i="5"/>
  <c r="EL177" i="5"/>
  <c r="EM177" i="5"/>
  <c r="CT208" i="5"/>
  <c r="FF208" i="5"/>
  <c r="FF249" i="5"/>
  <c r="CZ249" i="5"/>
  <c r="FF238" i="5"/>
  <c r="CT238" i="5"/>
  <c r="AW199" i="5"/>
  <c r="CH199" i="5" s="1"/>
  <c r="AP199" i="5"/>
  <c r="AQ199" i="5" s="1"/>
  <c r="FF237" i="5"/>
  <c r="CT237" i="5"/>
  <c r="AL177" i="5"/>
  <c r="AO177" i="5"/>
  <c r="DL198" i="5"/>
  <c r="FB224" i="5"/>
  <c r="CP224" i="5"/>
  <c r="CP209" i="5"/>
  <c r="FB209" i="5"/>
  <c r="AW205" i="5"/>
  <c r="CH205" i="5" s="1"/>
  <c r="CT239" i="5"/>
  <c r="FF239" i="5"/>
  <c r="DI177" i="5"/>
  <c r="DJ177" i="5"/>
  <c r="CV204" i="5"/>
  <c r="FB204" i="5"/>
  <c r="AN113" i="5"/>
  <c r="AK113" i="5"/>
  <c r="DG105" i="5"/>
  <c r="EL105" i="5"/>
  <c r="EM105" i="5"/>
  <c r="DX205" i="5"/>
  <c r="CL205" i="5" s="1"/>
  <c r="CT202" i="5"/>
  <c r="FF202" i="5"/>
  <c r="FF213" i="5"/>
  <c r="CZ213" i="5"/>
  <c r="FF229" i="5"/>
  <c r="CZ229" i="5"/>
  <c r="CP202" i="5"/>
  <c r="FB202" i="5"/>
  <c r="EM175" i="5"/>
  <c r="EL175" i="5"/>
  <c r="CT198" i="5"/>
  <c r="FF198" i="5"/>
  <c r="ER169" i="5"/>
  <c r="DM169" i="5" s="1"/>
  <c r="FF247" i="5"/>
  <c r="CT247" i="5"/>
  <c r="CQ16" i="5"/>
  <c r="CQ14" i="5"/>
  <c r="CQ15" i="5" s="1"/>
  <c r="CQ17" i="5"/>
  <c r="DM111" i="5"/>
  <c r="CP211" i="5"/>
  <c r="FB211" i="5"/>
  <c r="FF209" i="5"/>
  <c r="CT209" i="5"/>
  <c r="AO222" i="5"/>
  <c r="AL222" i="5"/>
  <c r="CT228" i="5"/>
  <c r="FF228" i="5"/>
  <c r="FF211" i="5"/>
  <c r="CT211" i="5"/>
  <c r="FF245" i="5"/>
  <c r="CT245" i="5"/>
  <c r="CZ248" i="5"/>
  <c r="FF248" i="5"/>
  <c r="EG110" i="5"/>
  <c r="EJ110" i="5" s="1"/>
  <c r="EK110" i="5" s="1"/>
  <c r="DK202" i="5"/>
  <c r="DL202" i="5" s="1"/>
  <c r="EM176" i="5"/>
  <c r="EL176" i="5"/>
  <c r="DJ175" i="5"/>
  <c r="DI175" i="5"/>
  <c r="DX24" i="5"/>
  <c r="DL24" i="5"/>
  <c r="DM24" i="5" s="1"/>
  <c r="CT206" i="5"/>
  <c r="FF206" i="5"/>
  <c r="AW207" i="5"/>
  <c r="CH207" i="5" s="1"/>
  <c r="DO222" i="5"/>
  <c r="AP222" i="5"/>
  <c r="AQ222" i="5" s="1"/>
  <c r="ER201" i="5"/>
  <c r="DK174" i="5"/>
  <c r="DL174" i="5" s="1"/>
  <c r="AL110" i="5"/>
  <c r="AO110" i="5"/>
  <c r="CT224" i="5"/>
  <c r="FF224" i="5"/>
  <c r="FB238" i="5"/>
  <c r="CP238" i="5"/>
  <c r="DI176" i="5"/>
  <c r="DJ176" i="5"/>
  <c r="ER202" i="5"/>
  <c r="CH17" i="5"/>
  <c r="FF241" i="5"/>
  <c r="CT241" i="5"/>
  <c r="FF197" i="5"/>
  <c r="CT197" i="5"/>
  <c r="FF225" i="5"/>
  <c r="CT225" i="5"/>
  <c r="FE169" i="5"/>
  <c r="FG169" i="5" s="1"/>
  <c r="CS169" i="5"/>
  <c r="CP201" i="5"/>
  <c r="FB201" i="5"/>
  <c r="CT199" i="5"/>
  <c r="FF199" i="5"/>
  <c r="FF215" i="5"/>
  <c r="CT215" i="5"/>
  <c r="FB210" i="5"/>
  <c r="CP210" i="5"/>
  <c r="FB206" i="5"/>
  <c r="CP206" i="5"/>
  <c r="EQ170" i="5"/>
  <c r="ER170" i="5" s="1"/>
  <c r="EQ171" i="5"/>
  <c r="ER171" i="5" s="1"/>
  <c r="AJ114" i="5"/>
  <c r="AJ205" i="5"/>
  <c r="AJ224" i="5"/>
  <c r="AJ179" i="5"/>
  <c r="EX106" i="20" l="1"/>
  <c r="DS218" i="21"/>
  <c r="DU114" i="21"/>
  <c r="AV114" i="21"/>
  <c r="AW114" i="21" s="1"/>
  <c r="ER197" i="21"/>
  <c r="ES197" i="21"/>
  <c r="AP116" i="21"/>
  <c r="AT115" i="21"/>
  <c r="AQ115" i="21"/>
  <c r="DQ219" i="21"/>
  <c r="DR219" i="21" s="1"/>
  <c r="DS219" i="21" s="1"/>
  <c r="DP197" i="21"/>
  <c r="DO197" i="21"/>
  <c r="DE166" i="21"/>
  <c r="AD166" i="21"/>
  <c r="FK166" i="21"/>
  <c r="FM166" i="21" s="1"/>
  <c r="DN113" i="21"/>
  <c r="EM113" i="21"/>
  <c r="EP113" i="21" s="1"/>
  <c r="EQ113" i="21" s="1"/>
  <c r="EW170" i="21"/>
  <c r="EX170" i="21" s="1"/>
  <c r="DN221" i="21"/>
  <c r="EM221" i="21"/>
  <c r="EP221" i="21" s="1"/>
  <c r="EQ221" i="21" s="1"/>
  <c r="ER220" i="21"/>
  <c r="ES220" i="21"/>
  <c r="AR114" i="21"/>
  <c r="AU114" i="21"/>
  <c r="ES112" i="21"/>
  <c r="ER112" i="21"/>
  <c r="DU199" i="21"/>
  <c r="AV199" i="21"/>
  <c r="AW199" i="21" s="1"/>
  <c r="DP112" i="21"/>
  <c r="DO112" i="21"/>
  <c r="EW219" i="21"/>
  <c r="EX219" i="21" s="1"/>
  <c r="FB26" i="21"/>
  <c r="DR105" i="21"/>
  <c r="DS105" i="21" s="1"/>
  <c r="ED105" i="21"/>
  <c r="DP220" i="21"/>
  <c r="DO220" i="21"/>
  <c r="AR199" i="21"/>
  <c r="AU199" i="21"/>
  <c r="AP201" i="21"/>
  <c r="AT200" i="21"/>
  <c r="AQ200" i="21"/>
  <c r="ED111" i="21"/>
  <c r="DN198" i="21"/>
  <c r="EM198" i="21"/>
  <c r="EP198" i="21" s="1"/>
  <c r="EQ198" i="21" s="1"/>
  <c r="AU173" i="21"/>
  <c r="AR173" i="21"/>
  <c r="FB109" i="21"/>
  <c r="DR109" i="21" s="1"/>
  <c r="DS109" i="21" s="1"/>
  <c r="EX109" i="21"/>
  <c r="AT174" i="21"/>
  <c r="AP175" i="21"/>
  <c r="AQ174" i="21"/>
  <c r="AU28" i="21"/>
  <c r="AR28" i="21"/>
  <c r="ED25" i="21"/>
  <c r="DR25" i="21"/>
  <c r="DS25" i="21" s="1"/>
  <c r="EM28" i="21"/>
  <c r="EP28" i="21" s="1"/>
  <c r="EQ28" i="21" s="1"/>
  <c r="DU222" i="21"/>
  <c r="AV222" i="21"/>
  <c r="AW222" i="21" s="1"/>
  <c r="DP171" i="21"/>
  <c r="DO171" i="21"/>
  <c r="DS110" i="21"/>
  <c r="AP30" i="21"/>
  <c r="AT29" i="21"/>
  <c r="DU29" i="21" s="1"/>
  <c r="AQ29" i="21"/>
  <c r="AP224" i="21"/>
  <c r="AT223" i="21"/>
  <c r="AQ223" i="21"/>
  <c r="ES171" i="21"/>
  <c r="ER171" i="21"/>
  <c r="DQ170" i="21"/>
  <c r="DR170" i="21"/>
  <c r="DN172" i="21"/>
  <c r="EM172" i="21"/>
  <c r="EP172" i="21" s="1"/>
  <c r="EQ172" i="21" s="1"/>
  <c r="AD196" i="21"/>
  <c r="CY196" i="21"/>
  <c r="FK196" i="21"/>
  <c r="FM196" i="21" s="1"/>
  <c r="DU173" i="21"/>
  <c r="AV173" i="21"/>
  <c r="AW173" i="21" s="1"/>
  <c r="AU222" i="21"/>
  <c r="AR222" i="21"/>
  <c r="ES27" i="21"/>
  <c r="ER27" i="21"/>
  <c r="FB110" i="20"/>
  <c r="ED110" i="20" s="1"/>
  <c r="DR111" i="20"/>
  <c r="ED111" i="20"/>
  <c r="AU27" i="20"/>
  <c r="AR27" i="20"/>
  <c r="FQ64" i="20"/>
  <c r="ED106" i="20"/>
  <c r="AR201" i="20"/>
  <c r="AU201" i="20"/>
  <c r="EX111" i="20"/>
  <c r="DS109" i="20"/>
  <c r="AU173" i="20"/>
  <c r="AR173" i="20"/>
  <c r="ED109" i="20"/>
  <c r="EM27" i="20"/>
  <c r="EP27" i="20" s="1"/>
  <c r="EQ27" i="20" s="1"/>
  <c r="AU220" i="20"/>
  <c r="AR220" i="20"/>
  <c r="AP203" i="20"/>
  <c r="AT202" i="20"/>
  <c r="AQ202" i="20"/>
  <c r="ES26" i="20"/>
  <c r="ER26" i="20"/>
  <c r="FK169" i="20"/>
  <c r="FM169" i="20" s="1"/>
  <c r="AD169" i="20"/>
  <c r="DE169" i="20"/>
  <c r="DU173" i="20"/>
  <c r="AV173" i="20"/>
  <c r="AW173" i="20" s="1"/>
  <c r="AP29" i="20"/>
  <c r="AT28" i="20"/>
  <c r="DU28" i="20" s="1"/>
  <c r="AQ28" i="20"/>
  <c r="ES218" i="20"/>
  <c r="ER218" i="20"/>
  <c r="DU220" i="20"/>
  <c r="AV220" i="20"/>
  <c r="AW220" i="20" s="1"/>
  <c r="CY194" i="20"/>
  <c r="FK194" i="20"/>
  <c r="FM194" i="20" s="1"/>
  <c r="AD194" i="20"/>
  <c r="DU201" i="20"/>
  <c r="AV201" i="20"/>
  <c r="AW201" i="20" s="1"/>
  <c r="EW170" i="20"/>
  <c r="EX170" i="20" s="1"/>
  <c r="AP175" i="20"/>
  <c r="AT174" i="20"/>
  <c r="AQ174" i="20"/>
  <c r="DO218" i="20"/>
  <c r="DP218" i="20"/>
  <c r="AP222" i="20"/>
  <c r="AT221" i="20"/>
  <c r="AQ221" i="20"/>
  <c r="ES199" i="20"/>
  <c r="ER199" i="20"/>
  <c r="EW25" i="20"/>
  <c r="FB25" i="20" s="1"/>
  <c r="DN219" i="20"/>
  <c r="EM219" i="20"/>
  <c r="EP219" i="20" s="1"/>
  <c r="EQ219" i="20" s="1"/>
  <c r="EW217" i="20"/>
  <c r="EX217" i="20" s="1"/>
  <c r="DS106" i="20"/>
  <c r="ES171" i="20"/>
  <c r="ER171" i="20"/>
  <c r="AR113" i="20"/>
  <c r="AU113" i="20"/>
  <c r="DQ198" i="20"/>
  <c r="DR198" i="20" s="1"/>
  <c r="DP171" i="20"/>
  <c r="DO171" i="20"/>
  <c r="DQ170" i="20"/>
  <c r="DR170" i="20" s="1"/>
  <c r="DU113" i="20"/>
  <c r="AV113" i="20"/>
  <c r="AW113" i="20" s="1"/>
  <c r="CY196" i="20"/>
  <c r="FK196" i="20"/>
  <c r="FM196" i="20" s="1"/>
  <c r="AD196" i="20"/>
  <c r="DO199" i="20"/>
  <c r="DP199" i="20"/>
  <c r="DN112" i="20"/>
  <c r="EM112" i="20"/>
  <c r="EP112" i="20" s="1"/>
  <c r="EQ112" i="20" s="1"/>
  <c r="DN200" i="20"/>
  <c r="EM200" i="20"/>
  <c r="EP200" i="20" s="1"/>
  <c r="EQ200" i="20" s="1"/>
  <c r="DN172" i="20"/>
  <c r="EM172" i="20"/>
  <c r="EP172" i="20" s="1"/>
  <c r="EQ172" i="20" s="1"/>
  <c r="EW198" i="20"/>
  <c r="EX198" i="20" s="1"/>
  <c r="DQ217" i="20"/>
  <c r="DR217" i="20" s="1"/>
  <c r="AP115" i="20"/>
  <c r="AT114" i="20"/>
  <c r="AQ114" i="20"/>
  <c r="DM171" i="5"/>
  <c r="CK171" i="5"/>
  <c r="DM174" i="5"/>
  <c r="CK174" i="5"/>
  <c r="EL112" i="5"/>
  <c r="DG112" i="5"/>
  <c r="EM112" i="5"/>
  <c r="DM173" i="5"/>
  <c r="CK173" i="5"/>
  <c r="DG109" i="5"/>
  <c r="EL109" i="5"/>
  <c r="EM109" i="5"/>
  <c r="AN205" i="5"/>
  <c r="AK205" i="5"/>
  <c r="CZ205" i="5"/>
  <c r="FF205" i="5"/>
  <c r="AL113" i="5"/>
  <c r="AO113" i="5"/>
  <c r="DM198" i="5"/>
  <c r="CK198" i="5"/>
  <c r="EV25" i="5"/>
  <c r="EQ25" i="5"/>
  <c r="ER25" i="5" s="1"/>
  <c r="EL26" i="5"/>
  <c r="EM26" i="5"/>
  <c r="AL223" i="5"/>
  <c r="AO223" i="5"/>
  <c r="CP197" i="5"/>
  <c r="FB197" i="5"/>
  <c r="DO113" i="5"/>
  <c r="AP113" i="5"/>
  <c r="AQ113" i="5" s="1"/>
  <c r="FB205" i="5"/>
  <c r="CV205" i="5"/>
  <c r="CV4" i="5" s="1"/>
  <c r="DM201" i="5"/>
  <c r="CK201" i="5"/>
  <c r="DM197" i="5"/>
  <c r="CK197" i="5"/>
  <c r="DO223" i="5"/>
  <c r="AP223" i="5"/>
  <c r="AQ223" i="5" s="1"/>
  <c r="DK175" i="5"/>
  <c r="DL175" i="5" s="1"/>
  <c r="DH222" i="5"/>
  <c r="EG222" i="5"/>
  <c r="EJ222" i="5" s="1"/>
  <c r="EK222" i="5" s="1"/>
  <c r="EQ175" i="5"/>
  <c r="ER175" i="5" s="1"/>
  <c r="CL17" i="5"/>
  <c r="DM199" i="5"/>
  <c r="CK199" i="5"/>
  <c r="AL178" i="5"/>
  <c r="AO178" i="5"/>
  <c r="DG107" i="5"/>
  <c r="EL107" i="5"/>
  <c r="EM107" i="5"/>
  <c r="DM200" i="5"/>
  <c r="CK200" i="5"/>
  <c r="BI110" i="5"/>
  <c r="BJ110" i="5" s="1"/>
  <c r="EC110" i="5" s="1"/>
  <c r="EB110" i="5" s="1"/>
  <c r="DM202" i="5"/>
  <c r="CK202" i="5"/>
  <c r="EQ177" i="5"/>
  <c r="ER177" i="5" s="1"/>
  <c r="CL16" i="5"/>
  <c r="AO27" i="5"/>
  <c r="AL27" i="5"/>
  <c r="CV1" i="5"/>
  <c r="CV2" i="5" s="1"/>
  <c r="DO178" i="5"/>
  <c r="AP178" i="5"/>
  <c r="AQ178" i="5" s="1"/>
  <c r="CT16" i="5"/>
  <c r="AN114" i="5"/>
  <c r="AK114" i="5"/>
  <c r="DL176" i="5"/>
  <c r="DK176" i="5"/>
  <c r="CP207" i="5"/>
  <c r="FB207" i="5"/>
  <c r="EQ203" i="5"/>
  <c r="ER203" i="5" s="1"/>
  <c r="DM203" i="5" s="1"/>
  <c r="EG27" i="5"/>
  <c r="EJ27" i="5" s="1"/>
  <c r="EK27" i="5" s="1"/>
  <c r="CT14" i="5"/>
  <c r="CT15" i="5" s="1"/>
  <c r="EQ176" i="5"/>
  <c r="ER176" i="5" s="1"/>
  <c r="CL14" i="5"/>
  <c r="CL15" i="5" s="1"/>
  <c r="DK177" i="5"/>
  <c r="DL177" i="5"/>
  <c r="CK203" i="5"/>
  <c r="AJ29" i="5"/>
  <c r="AN28" i="5"/>
  <c r="DO28" i="5" s="1"/>
  <c r="AK28" i="5"/>
  <c r="CV3" i="5"/>
  <c r="AN179" i="5"/>
  <c r="AK179" i="5"/>
  <c r="CV14" i="5"/>
  <c r="CV15" i="5" s="1"/>
  <c r="CP199" i="5"/>
  <c r="FB199" i="5"/>
  <c r="CP215" i="5"/>
  <c r="FB215" i="5"/>
  <c r="DM196" i="5"/>
  <c r="CK196" i="5"/>
  <c r="AL204" i="5"/>
  <c r="AO204" i="5"/>
  <c r="DM170" i="5"/>
  <c r="CK170" i="5"/>
  <c r="AN224" i="5"/>
  <c r="AK224" i="5"/>
  <c r="CV17" i="5"/>
  <c r="EQ105" i="5"/>
  <c r="ER105" i="5" s="1"/>
  <c r="FB196" i="5"/>
  <c r="CP196" i="5"/>
  <c r="CH16" i="5"/>
  <c r="DO204" i="5"/>
  <c r="AP204" i="5"/>
  <c r="AQ204" i="5" s="1"/>
  <c r="DM172" i="5"/>
  <c r="CK172" i="5"/>
  <c r="AJ115" i="5"/>
  <c r="AJ206" i="5"/>
  <c r="AJ225" i="5"/>
  <c r="AJ180" i="5"/>
  <c r="M53" i="5"/>
  <c r="M54" i="5"/>
  <c r="M55" i="5"/>
  <c r="M56" i="5"/>
  <c r="M57" i="5"/>
  <c r="M58" i="5"/>
  <c r="M59" i="5"/>
  <c r="M61" i="5"/>
  <c r="M63" i="5"/>
  <c r="M64" i="5"/>
  <c r="M65" i="5"/>
  <c r="M67" i="5"/>
  <c r="M68" i="5"/>
  <c r="M70" i="5"/>
  <c r="M71" i="5"/>
  <c r="M72" i="5"/>
  <c r="M73" i="5"/>
  <c r="M74" i="5"/>
  <c r="M75" i="5"/>
  <c r="M80" i="5"/>
  <c r="M81" i="5"/>
  <c r="M82" i="5"/>
  <c r="M83" i="5"/>
  <c r="M84" i="5"/>
  <c r="M85" i="5"/>
  <c r="M86" i="5"/>
  <c r="M87" i="5"/>
  <c r="J53" i="5"/>
  <c r="DS53" i="5" s="1"/>
  <c r="J54" i="5"/>
  <c r="DS54" i="5" s="1"/>
  <c r="J55" i="5"/>
  <c r="DS55" i="5" s="1"/>
  <c r="J56" i="5"/>
  <c r="DS56" i="5" s="1"/>
  <c r="J57" i="5"/>
  <c r="DS57" i="5" s="1"/>
  <c r="J58" i="5"/>
  <c r="DS58" i="5" s="1"/>
  <c r="J59" i="5"/>
  <c r="DS59" i="5" s="1"/>
  <c r="J61" i="5"/>
  <c r="DS61" i="5" s="1"/>
  <c r="J63" i="5"/>
  <c r="DS63" i="5" s="1"/>
  <c r="J64" i="5"/>
  <c r="DS64" i="5" s="1"/>
  <c r="J65" i="5"/>
  <c r="DS65" i="5" s="1"/>
  <c r="J67" i="5"/>
  <c r="DS67" i="5" s="1"/>
  <c r="J68" i="5"/>
  <c r="DS68" i="5" s="1"/>
  <c r="J70" i="5"/>
  <c r="DS70" i="5" s="1"/>
  <c r="J71" i="5"/>
  <c r="DS71" i="5" s="1"/>
  <c r="J72" i="5"/>
  <c r="DS72" i="5" s="1"/>
  <c r="J73" i="5"/>
  <c r="DS73" i="5" s="1"/>
  <c r="J74" i="5"/>
  <c r="DS74" i="5" s="1"/>
  <c r="J75" i="5"/>
  <c r="DS75" i="5" s="1"/>
  <c r="J80" i="5"/>
  <c r="DS80" i="5" s="1"/>
  <c r="J81" i="5"/>
  <c r="DS81" i="5" s="1"/>
  <c r="J82" i="5"/>
  <c r="DS82" i="5" s="1"/>
  <c r="J83" i="5"/>
  <c r="DS83" i="5" s="1"/>
  <c r="J84" i="5"/>
  <c r="DS84" i="5" s="1"/>
  <c r="J85" i="5"/>
  <c r="DS85" i="5" s="1"/>
  <c r="J86" i="5"/>
  <c r="DS86" i="5" s="1"/>
  <c r="J87" i="5"/>
  <c r="DS87" i="5" s="1"/>
  <c r="DR110" i="20" l="1"/>
  <c r="DS110" i="20" s="1"/>
  <c r="EW220" i="21"/>
  <c r="EX220" i="21" s="1"/>
  <c r="AT30" i="21"/>
  <c r="DU30" i="21" s="1"/>
  <c r="AP31" i="21"/>
  <c r="AQ30" i="21"/>
  <c r="ER221" i="21"/>
  <c r="ES221" i="21"/>
  <c r="AT201" i="21"/>
  <c r="AP202" i="21"/>
  <c r="AQ201" i="21"/>
  <c r="DP221" i="21"/>
  <c r="DO221" i="21"/>
  <c r="DQ171" i="21"/>
  <c r="DR171" i="21"/>
  <c r="DU200" i="21"/>
  <c r="AV200" i="21"/>
  <c r="AW200" i="21" s="1"/>
  <c r="EW27" i="21"/>
  <c r="FB27" i="21" s="1"/>
  <c r="ES113" i="21"/>
  <c r="ER113" i="21"/>
  <c r="DN222" i="21"/>
  <c r="EM222" i="21"/>
  <c r="EP222" i="21" s="1"/>
  <c r="EQ222" i="21" s="1"/>
  <c r="DP113" i="21"/>
  <c r="DO113" i="21"/>
  <c r="AT224" i="21"/>
  <c r="AP225" i="21"/>
  <c r="AQ224" i="21"/>
  <c r="EM29" i="21"/>
  <c r="EP29" i="21" s="1"/>
  <c r="EQ29" i="21" s="1"/>
  <c r="ER28" i="21"/>
  <c r="ES28" i="21"/>
  <c r="DQ220" i="21"/>
  <c r="DR220" i="21" s="1"/>
  <c r="DN173" i="21"/>
  <c r="EM173" i="21"/>
  <c r="EP173" i="21" s="1"/>
  <c r="EQ173" i="21" s="1"/>
  <c r="DQ197" i="21"/>
  <c r="DR197" i="21" s="1"/>
  <c r="ED109" i="21"/>
  <c r="AU29" i="21"/>
  <c r="AR29" i="21"/>
  <c r="ER172" i="21"/>
  <c r="ES172" i="21"/>
  <c r="AU174" i="21"/>
  <c r="AR174" i="21"/>
  <c r="AU115" i="21"/>
  <c r="AR115" i="21"/>
  <c r="DP172" i="21"/>
  <c r="DO172" i="21"/>
  <c r="AP176" i="21"/>
  <c r="AT175" i="21"/>
  <c r="AQ175" i="21"/>
  <c r="DQ112" i="21"/>
  <c r="DR112" i="21" s="1"/>
  <c r="DU115" i="21"/>
  <c r="AV115" i="21"/>
  <c r="AW115" i="21" s="1"/>
  <c r="ED26" i="21"/>
  <c r="DR26" i="21"/>
  <c r="DS26" i="21" s="1"/>
  <c r="DS170" i="21"/>
  <c r="CQ170" i="21"/>
  <c r="AP117" i="21"/>
  <c r="AT116" i="21"/>
  <c r="AQ116" i="21"/>
  <c r="DP198" i="21"/>
  <c r="DO198" i="21"/>
  <c r="EW197" i="21"/>
  <c r="EX197" i="21" s="1"/>
  <c r="FB112" i="21"/>
  <c r="ED112" i="21" s="1"/>
  <c r="CR112" i="21" s="1"/>
  <c r="EX112" i="21"/>
  <c r="EW112" i="21"/>
  <c r="DU174" i="21"/>
  <c r="AV174" i="21"/>
  <c r="AW174" i="21" s="1"/>
  <c r="EW171" i="21"/>
  <c r="EX171" i="21" s="1"/>
  <c r="AU223" i="21"/>
  <c r="AR223" i="21"/>
  <c r="DN114" i="21"/>
  <c r="EM114" i="21"/>
  <c r="EP114" i="21" s="1"/>
  <c r="EQ114" i="21" s="1"/>
  <c r="AU200" i="21"/>
  <c r="AR200" i="21"/>
  <c r="DN199" i="21"/>
  <c r="EM199" i="21"/>
  <c r="EP199" i="21" s="1"/>
  <c r="EQ199" i="21" s="1"/>
  <c r="DU223" i="21"/>
  <c r="AV223" i="21"/>
  <c r="AW223" i="21" s="1"/>
  <c r="ES198" i="21"/>
  <c r="ER198" i="21"/>
  <c r="DS217" i="20"/>
  <c r="EQ112" i="5"/>
  <c r="EV112" i="5" s="1"/>
  <c r="DL112" i="5" s="1"/>
  <c r="EQ107" i="5"/>
  <c r="EQ109" i="5"/>
  <c r="DS198" i="20"/>
  <c r="CQ198" i="20"/>
  <c r="ED25" i="20"/>
  <c r="DR25" i="20"/>
  <c r="DS170" i="20"/>
  <c r="CQ170" i="20"/>
  <c r="EM28" i="20"/>
  <c r="EP28" i="20" s="1"/>
  <c r="EQ28" i="20" s="1"/>
  <c r="ES172" i="20"/>
  <c r="ER172" i="20"/>
  <c r="AU174" i="20"/>
  <c r="AR174" i="20"/>
  <c r="AP30" i="20"/>
  <c r="AT29" i="20"/>
  <c r="DU29" i="20" s="1"/>
  <c r="AQ29" i="20"/>
  <c r="ER27" i="20"/>
  <c r="ES27" i="20"/>
  <c r="AU114" i="20"/>
  <c r="AR114" i="20"/>
  <c r="DP172" i="20"/>
  <c r="DO172" i="20"/>
  <c r="DU174" i="20"/>
  <c r="AV174" i="20"/>
  <c r="AW174" i="20" s="1"/>
  <c r="EW26" i="20"/>
  <c r="EX26" i="20" s="1"/>
  <c r="DQ171" i="20"/>
  <c r="DR171" i="20" s="1"/>
  <c r="DQ218" i="20"/>
  <c r="DR218" i="20" s="1"/>
  <c r="DU114" i="20"/>
  <c r="AV114" i="20"/>
  <c r="AW114" i="20" s="1"/>
  <c r="ES200" i="20"/>
  <c r="ER200" i="20"/>
  <c r="ER219" i="20"/>
  <c r="ES219" i="20"/>
  <c r="AP176" i="20"/>
  <c r="AT175" i="20"/>
  <c r="AQ175" i="20"/>
  <c r="DN173" i="20"/>
  <c r="EM173" i="20"/>
  <c r="EP173" i="20" s="1"/>
  <c r="EQ173" i="20" s="1"/>
  <c r="DQ199" i="20"/>
  <c r="DR199" i="20" s="1"/>
  <c r="EW199" i="20"/>
  <c r="EX199" i="20" s="1"/>
  <c r="AP116" i="20"/>
  <c r="AT115" i="20"/>
  <c r="AQ115" i="20"/>
  <c r="DO200" i="20"/>
  <c r="DP200" i="20"/>
  <c r="DP219" i="20"/>
  <c r="DO219" i="20"/>
  <c r="AU221" i="20"/>
  <c r="AR221" i="20"/>
  <c r="DN220" i="20"/>
  <c r="EM220" i="20"/>
  <c r="EP220" i="20" s="1"/>
  <c r="EQ220" i="20" s="1"/>
  <c r="AU202" i="20"/>
  <c r="AR202" i="20"/>
  <c r="ES112" i="20"/>
  <c r="ER112" i="20"/>
  <c r="DN113" i="20"/>
  <c r="EM113" i="20"/>
  <c r="EP113" i="20" s="1"/>
  <c r="EQ113" i="20" s="1"/>
  <c r="DU221" i="20"/>
  <c r="AV221" i="20"/>
  <c r="AW221" i="20" s="1"/>
  <c r="EW218" i="20"/>
  <c r="EX218" i="20" s="1"/>
  <c r="DU202" i="20"/>
  <c r="AV202" i="20"/>
  <c r="AW202" i="20" s="1"/>
  <c r="DP112" i="20"/>
  <c r="DO112" i="20"/>
  <c r="EW171" i="20"/>
  <c r="EX171" i="20" s="1"/>
  <c r="EX25" i="20"/>
  <c r="AP223" i="20"/>
  <c r="AT222" i="20"/>
  <c r="AQ222" i="20"/>
  <c r="AT203" i="20"/>
  <c r="AP204" i="20"/>
  <c r="AQ203" i="20"/>
  <c r="DN201" i="20"/>
  <c r="EM201" i="20"/>
  <c r="EP201" i="20" s="1"/>
  <c r="EQ201" i="20" s="1"/>
  <c r="AR28" i="20"/>
  <c r="AU28" i="20"/>
  <c r="DS111" i="20"/>
  <c r="DM175" i="5"/>
  <c r="CK175" i="5"/>
  <c r="CY170" i="5"/>
  <c r="FE170" i="5"/>
  <c r="FG170" i="5" s="1"/>
  <c r="AN115" i="5"/>
  <c r="AK115" i="5"/>
  <c r="CP16" i="5"/>
  <c r="CP17" i="5"/>
  <c r="CP14" i="5"/>
  <c r="CP15" i="5" s="1"/>
  <c r="FE203" i="5"/>
  <c r="FG203" i="5" s="1"/>
  <c r="CS203" i="5"/>
  <c r="CS202" i="5"/>
  <c r="FE202" i="5"/>
  <c r="FG202" i="5" s="1"/>
  <c r="EL222" i="5"/>
  <c r="EM222" i="5"/>
  <c r="CS198" i="5"/>
  <c r="FE198" i="5"/>
  <c r="FG198" i="5" s="1"/>
  <c r="DO205" i="5"/>
  <c r="AP205" i="5"/>
  <c r="AQ205" i="5" s="1"/>
  <c r="DH178" i="5"/>
  <c r="EG178" i="5"/>
  <c r="EJ178" i="5" s="1"/>
  <c r="EK178" i="5" s="1"/>
  <c r="DI222" i="5"/>
  <c r="DJ222" i="5"/>
  <c r="FE201" i="5"/>
  <c r="FG201" i="5" s="1"/>
  <c r="CS201" i="5"/>
  <c r="CS196" i="5"/>
  <c r="FE196" i="5"/>
  <c r="FG196" i="5" s="1"/>
  <c r="AO179" i="5"/>
  <c r="AL179" i="5"/>
  <c r="DM177" i="5"/>
  <c r="CK177" i="5"/>
  <c r="ER109" i="5"/>
  <c r="EV109" i="5"/>
  <c r="DL109" i="5" s="1"/>
  <c r="ER112" i="5"/>
  <c r="CS172" i="5"/>
  <c r="FE172" i="5"/>
  <c r="FG172" i="5" s="1"/>
  <c r="DO179" i="5"/>
  <c r="AP179" i="5"/>
  <c r="AQ179" i="5" s="1"/>
  <c r="CS200" i="5"/>
  <c r="FE200" i="5"/>
  <c r="FG200" i="5" s="1"/>
  <c r="FE199" i="5"/>
  <c r="FG199" i="5" s="1"/>
  <c r="CS199" i="5"/>
  <c r="AN180" i="5"/>
  <c r="AK180" i="5"/>
  <c r="AL224" i="5"/>
  <c r="AO224" i="5"/>
  <c r="EV105" i="5"/>
  <c r="DM176" i="5"/>
  <c r="CK176" i="5"/>
  <c r="DG110" i="5"/>
  <c r="EL110" i="5"/>
  <c r="EM110" i="5"/>
  <c r="EQ26" i="5"/>
  <c r="EV26" i="5" s="1"/>
  <c r="CS174" i="5"/>
  <c r="FE174" i="5"/>
  <c r="FG174" i="5" s="1"/>
  <c r="AN225" i="5"/>
  <c r="AK225" i="5"/>
  <c r="DO224" i="5"/>
  <c r="AP224" i="5"/>
  <c r="AQ224" i="5" s="1"/>
  <c r="AO28" i="5"/>
  <c r="AL28" i="5"/>
  <c r="AL114" i="5"/>
  <c r="AO114" i="5"/>
  <c r="CZ17" i="5"/>
  <c r="CZ14" i="5"/>
  <c r="CZ15" i="5" s="1"/>
  <c r="CZ16" i="5"/>
  <c r="CY173" i="5"/>
  <c r="FE173" i="5"/>
  <c r="FG173" i="5" s="1"/>
  <c r="AN206" i="5"/>
  <c r="AK206" i="5"/>
  <c r="EG28" i="5"/>
  <c r="EJ28" i="5" s="1"/>
  <c r="EK28" i="5" s="1"/>
  <c r="EM27" i="5"/>
  <c r="EL27" i="5"/>
  <c r="DO114" i="5"/>
  <c r="AP114" i="5"/>
  <c r="AQ114" i="5" s="1"/>
  <c r="ER107" i="5"/>
  <c r="EV107" i="5"/>
  <c r="DL107" i="5" s="1"/>
  <c r="DM107" i="5" s="1"/>
  <c r="DH223" i="5"/>
  <c r="EG223" i="5"/>
  <c r="EJ223" i="5" s="1"/>
  <c r="EK223" i="5" s="1"/>
  <c r="DH113" i="5"/>
  <c r="EG113" i="5"/>
  <c r="EJ113" i="5" s="1"/>
  <c r="EK113" i="5" s="1"/>
  <c r="CV16" i="5"/>
  <c r="FE171" i="5"/>
  <c r="FG171" i="5" s="1"/>
  <c r="CS171" i="5"/>
  <c r="DH204" i="5"/>
  <c r="EG204" i="5"/>
  <c r="EJ204" i="5" s="1"/>
  <c r="EK204" i="5" s="1"/>
  <c r="AJ30" i="5"/>
  <c r="AN29" i="5"/>
  <c r="DO29" i="5" s="1"/>
  <c r="AK29" i="5"/>
  <c r="FE197" i="5"/>
  <c r="FG197" i="5" s="1"/>
  <c r="CS197" i="5"/>
  <c r="DX25" i="5"/>
  <c r="DL25" i="5"/>
  <c r="DM25" i="5" s="1"/>
  <c r="AO205" i="5"/>
  <c r="AL205" i="5"/>
  <c r="AJ116" i="5"/>
  <c r="AJ207" i="5"/>
  <c r="AJ226" i="5"/>
  <c r="AJ181" i="5"/>
  <c r="X201" i="5"/>
  <c r="X198" i="5"/>
  <c r="X202" i="5"/>
  <c r="X200" i="5"/>
  <c r="X175" i="5"/>
  <c r="X171" i="5"/>
  <c r="H80" i="5"/>
  <c r="H81" i="5"/>
  <c r="H82" i="5"/>
  <c r="H83" i="5"/>
  <c r="H84" i="5"/>
  <c r="H85" i="5"/>
  <c r="H86" i="5"/>
  <c r="H87" i="5"/>
  <c r="H53" i="5"/>
  <c r="H54" i="5"/>
  <c r="H55" i="5"/>
  <c r="H56" i="5"/>
  <c r="H57" i="5"/>
  <c r="H58" i="5"/>
  <c r="H59" i="5"/>
  <c r="H61" i="5"/>
  <c r="H63" i="5"/>
  <c r="H64" i="5"/>
  <c r="H65" i="5"/>
  <c r="H67" i="5"/>
  <c r="H68" i="5"/>
  <c r="H70" i="5"/>
  <c r="H71" i="5"/>
  <c r="H72" i="5"/>
  <c r="H73" i="5"/>
  <c r="H74" i="5"/>
  <c r="H75" i="5"/>
  <c r="ED27" i="21" l="1"/>
  <c r="DR27" i="21"/>
  <c r="DS220" i="21"/>
  <c r="CQ220" i="21"/>
  <c r="DS112" i="21"/>
  <c r="CQ112" i="21"/>
  <c r="DS197" i="21"/>
  <c r="CQ197" i="21"/>
  <c r="DP222" i="21"/>
  <c r="DO222" i="21"/>
  <c r="EX27" i="21"/>
  <c r="AP118" i="21"/>
  <c r="AT117" i="21"/>
  <c r="DU117" i="21" s="1"/>
  <c r="AQ117" i="21"/>
  <c r="DS171" i="21"/>
  <c r="CQ171" i="21"/>
  <c r="ER199" i="21"/>
  <c r="ES199" i="21"/>
  <c r="DO199" i="21"/>
  <c r="DP199" i="21"/>
  <c r="DQ221" i="21"/>
  <c r="DR221" i="21" s="1"/>
  <c r="ES222" i="21"/>
  <c r="ER222" i="21"/>
  <c r="EX113" i="21"/>
  <c r="FB113" i="21"/>
  <c r="ED113" i="21" s="1"/>
  <c r="CR113" i="21" s="1"/>
  <c r="EW113" i="21"/>
  <c r="DN200" i="21"/>
  <c r="EM200" i="21"/>
  <c r="EP200" i="21" s="1"/>
  <c r="EQ200" i="21" s="1"/>
  <c r="DQ198" i="21"/>
  <c r="DR198" i="21" s="1"/>
  <c r="AR116" i="21"/>
  <c r="AU116" i="21"/>
  <c r="ES114" i="21"/>
  <c r="ER114" i="21"/>
  <c r="AP203" i="21"/>
  <c r="AT202" i="21"/>
  <c r="AQ202" i="21"/>
  <c r="EW172" i="21"/>
  <c r="EX172" i="21" s="1"/>
  <c r="DO114" i="21"/>
  <c r="DP114" i="21"/>
  <c r="DU201" i="21"/>
  <c r="AV201" i="21"/>
  <c r="AW201" i="21" s="1"/>
  <c r="CZ112" i="21"/>
  <c r="FL112" i="21"/>
  <c r="DN223" i="21"/>
  <c r="EM223" i="21"/>
  <c r="EP223" i="21" s="1"/>
  <c r="EQ223" i="21" s="1"/>
  <c r="AR175" i="21"/>
  <c r="AU175" i="21"/>
  <c r="DU175" i="21"/>
  <c r="AV175" i="21"/>
  <c r="AW175" i="21" s="1"/>
  <c r="EW221" i="21"/>
  <c r="EX221" i="21" s="1"/>
  <c r="ES173" i="21"/>
  <c r="ER173" i="21"/>
  <c r="DN115" i="21"/>
  <c r="EM115" i="21"/>
  <c r="EP115" i="21" s="1"/>
  <c r="EQ115" i="21" s="1"/>
  <c r="AT176" i="21"/>
  <c r="AP177" i="21"/>
  <c r="AQ176" i="21"/>
  <c r="ER29" i="21"/>
  <c r="ES29" i="21"/>
  <c r="AR30" i="21"/>
  <c r="AU30" i="21"/>
  <c r="AU201" i="21"/>
  <c r="AR201" i="21"/>
  <c r="DQ172" i="21"/>
  <c r="DR172" i="21" s="1"/>
  <c r="AU224" i="21"/>
  <c r="AR224" i="21"/>
  <c r="AP32" i="21"/>
  <c r="AT31" i="21"/>
  <c r="DU31" i="21" s="1"/>
  <c r="AQ31" i="21"/>
  <c r="DU116" i="21"/>
  <c r="AV116" i="21"/>
  <c r="AW116" i="21" s="1"/>
  <c r="DP173" i="21"/>
  <c r="DO173" i="21"/>
  <c r="AP226" i="21"/>
  <c r="AT225" i="21"/>
  <c r="AQ225" i="21"/>
  <c r="EM30" i="21"/>
  <c r="EP30" i="21" s="1"/>
  <c r="EQ30" i="21" s="1"/>
  <c r="DU224" i="21"/>
  <c r="AV224" i="21"/>
  <c r="AW224" i="21" s="1"/>
  <c r="EW198" i="21"/>
  <c r="EX198" i="21" s="1"/>
  <c r="CY170" i="21"/>
  <c r="AD170" i="21"/>
  <c r="FK170" i="21"/>
  <c r="FM170" i="21" s="1"/>
  <c r="EX28" i="21"/>
  <c r="EW28" i="21"/>
  <c r="FB28" i="21" s="1"/>
  <c r="DN174" i="21"/>
  <c r="EM174" i="21"/>
  <c r="EP174" i="21" s="1"/>
  <c r="EQ174" i="21" s="1"/>
  <c r="DQ113" i="21"/>
  <c r="DR113" i="21" s="1"/>
  <c r="DS218" i="20"/>
  <c r="N71" i="5"/>
  <c r="O71" i="5"/>
  <c r="N59" i="5"/>
  <c r="O59" i="5"/>
  <c r="N58" i="5"/>
  <c r="O58" i="5"/>
  <c r="O85" i="5"/>
  <c r="N85" i="5"/>
  <c r="N68" i="5"/>
  <c r="O68" i="5"/>
  <c r="N57" i="5"/>
  <c r="O57" i="5"/>
  <c r="N84" i="5"/>
  <c r="O84" i="5"/>
  <c r="AF83" i="5"/>
  <c r="N83" i="5"/>
  <c r="O83" i="5"/>
  <c r="O72" i="5"/>
  <c r="N72" i="5"/>
  <c r="N87" i="5"/>
  <c r="O87" i="5"/>
  <c r="N70" i="5"/>
  <c r="O70" i="5"/>
  <c r="AS70" i="5" s="1"/>
  <c r="N67" i="5"/>
  <c r="O67" i="5"/>
  <c r="O56" i="5"/>
  <c r="N56" i="5"/>
  <c r="N65" i="5"/>
  <c r="O65" i="5"/>
  <c r="N82" i="5"/>
  <c r="O82" i="5"/>
  <c r="N86" i="5"/>
  <c r="O86" i="5"/>
  <c r="N75" i="5"/>
  <c r="O75" i="5"/>
  <c r="N55" i="5"/>
  <c r="O55" i="5"/>
  <c r="N74" i="5"/>
  <c r="O74" i="5"/>
  <c r="O64" i="5"/>
  <c r="N64" i="5"/>
  <c r="N54" i="5"/>
  <c r="O54" i="5"/>
  <c r="N81" i="5"/>
  <c r="O81" i="5"/>
  <c r="N61" i="5"/>
  <c r="O61" i="5"/>
  <c r="N73" i="5"/>
  <c r="O73" i="5"/>
  <c r="N63" i="5"/>
  <c r="O63" i="5"/>
  <c r="O53" i="5"/>
  <c r="N53" i="5"/>
  <c r="O80" i="5"/>
  <c r="N80" i="5"/>
  <c r="DM112" i="5"/>
  <c r="ER26" i="5"/>
  <c r="DX107" i="5"/>
  <c r="DX109" i="5"/>
  <c r="DS171" i="20"/>
  <c r="CQ171" i="20"/>
  <c r="DS199" i="20"/>
  <c r="CQ199" i="20"/>
  <c r="EW200" i="20"/>
  <c r="EX200" i="20" s="1"/>
  <c r="EW172" i="20"/>
  <c r="EX172" i="20" s="1"/>
  <c r="ES201" i="20"/>
  <c r="ER201" i="20"/>
  <c r="DQ200" i="20"/>
  <c r="DR200" i="20" s="1"/>
  <c r="FB26" i="20"/>
  <c r="DO201" i="20"/>
  <c r="DP201" i="20"/>
  <c r="ES220" i="20"/>
  <c r="ER220" i="20"/>
  <c r="AR115" i="20"/>
  <c r="AU115" i="20"/>
  <c r="DP173" i="20"/>
  <c r="DO173" i="20"/>
  <c r="EW27" i="20"/>
  <c r="FB27" i="20" s="1"/>
  <c r="AP224" i="20"/>
  <c r="AT223" i="20"/>
  <c r="AQ223" i="20"/>
  <c r="CY198" i="20"/>
  <c r="FK198" i="20"/>
  <c r="FM198" i="20" s="1"/>
  <c r="AD198" i="20"/>
  <c r="ES173" i="20"/>
  <c r="ER173" i="20"/>
  <c r="AU203" i="20"/>
  <c r="AR203" i="20"/>
  <c r="DN221" i="20"/>
  <c r="EM221" i="20"/>
  <c r="EP221" i="20" s="1"/>
  <c r="EQ221" i="20" s="1"/>
  <c r="DP220" i="20"/>
  <c r="DO220" i="20"/>
  <c r="DU115" i="20"/>
  <c r="AV115" i="20"/>
  <c r="AW115" i="20" s="1"/>
  <c r="AR175" i="20"/>
  <c r="AU175" i="20"/>
  <c r="DN114" i="20"/>
  <c r="EM114" i="20"/>
  <c r="EP114" i="20" s="1"/>
  <c r="EQ114" i="20" s="1"/>
  <c r="AU29" i="20"/>
  <c r="AR29" i="20"/>
  <c r="ES28" i="20"/>
  <c r="ER28" i="20"/>
  <c r="AT204" i="20"/>
  <c r="AP205" i="20"/>
  <c r="AQ204" i="20"/>
  <c r="DQ112" i="20"/>
  <c r="ES113" i="20"/>
  <c r="ER113" i="20"/>
  <c r="AP117" i="20"/>
  <c r="AT116" i="20"/>
  <c r="AQ116" i="20"/>
  <c r="DU175" i="20"/>
  <c r="AV175" i="20"/>
  <c r="AW175" i="20" s="1"/>
  <c r="DN174" i="20"/>
  <c r="EM174" i="20"/>
  <c r="EP174" i="20" s="1"/>
  <c r="EQ174" i="20" s="1"/>
  <c r="EM29" i="20"/>
  <c r="EP29" i="20" s="1"/>
  <c r="EQ29" i="20" s="1"/>
  <c r="AD170" i="20"/>
  <c r="CY170" i="20"/>
  <c r="FK170" i="20"/>
  <c r="FM170" i="20" s="1"/>
  <c r="DU203" i="20"/>
  <c r="AV203" i="20"/>
  <c r="AW203" i="20" s="1"/>
  <c r="DP113" i="20"/>
  <c r="DO113" i="20"/>
  <c r="AP177" i="20"/>
  <c r="AT176" i="20"/>
  <c r="AQ176" i="20"/>
  <c r="DQ172" i="20"/>
  <c r="DR172" i="20" s="1"/>
  <c r="AP31" i="20"/>
  <c r="AT30" i="20"/>
  <c r="DU30" i="20" s="1"/>
  <c r="AQ30" i="20"/>
  <c r="AU222" i="20"/>
  <c r="AR222" i="20"/>
  <c r="EW112" i="20"/>
  <c r="FB112" i="20" s="1"/>
  <c r="ED112" i="20" s="1"/>
  <c r="CR112" i="20" s="1"/>
  <c r="DQ219" i="20"/>
  <c r="DR219" i="20" s="1"/>
  <c r="DS25" i="20"/>
  <c r="DU222" i="20"/>
  <c r="AV222" i="20"/>
  <c r="AW222" i="20" s="1"/>
  <c r="DN202" i="20"/>
  <c r="EM202" i="20"/>
  <c r="EP202" i="20" s="1"/>
  <c r="EQ202" i="20" s="1"/>
  <c r="EW219" i="20"/>
  <c r="EX219" i="20" s="1"/>
  <c r="AF82" i="5"/>
  <c r="DH114" i="5"/>
  <c r="EG114" i="5"/>
  <c r="EJ114" i="5" s="1"/>
  <c r="EK114" i="5" s="1"/>
  <c r="AL180" i="5"/>
  <c r="AO180" i="5"/>
  <c r="DO115" i="5"/>
  <c r="AP115" i="5"/>
  <c r="AQ115" i="5" s="1"/>
  <c r="AF74" i="5"/>
  <c r="AF81" i="5"/>
  <c r="AN181" i="5"/>
  <c r="AK181" i="5"/>
  <c r="AL29" i="5"/>
  <c r="AO29" i="5"/>
  <c r="EM113" i="5"/>
  <c r="EL113" i="5"/>
  <c r="EQ27" i="5"/>
  <c r="EV27" i="5" s="1"/>
  <c r="DH224" i="5"/>
  <c r="EG224" i="5"/>
  <c r="EJ224" i="5" s="1"/>
  <c r="EK224" i="5" s="1"/>
  <c r="DO180" i="5"/>
  <c r="AP180" i="5"/>
  <c r="AQ180" i="5" s="1"/>
  <c r="FE177" i="5"/>
  <c r="FG177" i="5" s="1"/>
  <c r="CY177" i="5"/>
  <c r="EQ222" i="5"/>
  <c r="ER222" i="5" s="1"/>
  <c r="AF53" i="5"/>
  <c r="EG29" i="5"/>
  <c r="EJ29" i="5" s="1"/>
  <c r="EK29" i="5" s="1"/>
  <c r="EM204" i="5"/>
  <c r="EL204" i="5"/>
  <c r="DI113" i="5"/>
  <c r="DJ113" i="5"/>
  <c r="AO225" i="5"/>
  <c r="AL225" i="5"/>
  <c r="EQ110" i="5"/>
  <c r="ER110" i="5" s="1"/>
  <c r="AN226" i="5"/>
  <c r="AK226" i="5"/>
  <c r="AN207" i="5"/>
  <c r="AK207" i="5"/>
  <c r="AJ31" i="5"/>
  <c r="AN30" i="5"/>
  <c r="DO30" i="5" s="1"/>
  <c r="AK30" i="5"/>
  <c r="DJ204" i="5"/>
  <c r="DI204" i="5"/>
  <c r="EL223" i="5"/>
  <c r="EM223" i="5"/>
  <c r="EL28" i="5"/>
  <c r="EM28" i="5"/>
  <c r="DO225" i="5"/>
  <c r="AP225" i="5"/>
  <c r="AQ225" i="5" s="1"/>
  <c r="FE176" i="5"/>
  <c r="FG176" i="5" s="1"/>
  <c r="CS176" i="5"/>
  <c r="DK222" i="5"/>
  <c r="DL222" i="5" s="1"/>
  <c r="AF61" i="5"/>
  <c r="AF87" i="5"/>
  <c r="AF59" i="5"/>
  <c r="AN116" i="5"/>
  <c r="AK116" i="5"/>
  <c r="DI223" i="5"/>
  <c r="DJ223" i="5"/>
  <c r="EL178" i="5"/>
  <c r="EM178" i="5"/>
  <c r="AF75" i="5"/>
  <c r="AF63" i="5"/>
  <c r="AF58" i="5"/>
  <c r="AF85" i="5"/>
  <c r="AL206" i="5"/>
  <c r="AO206" i="5"/>
  <c r="DX26" i="5"/>
  <c r="DL26" i="5"/>
  <c r="DM26" i="5" s="1"/>
  <c r="DL105" i="5"/>
  <c r="DM105" i="5" s="1"/>
  <c r="DX105" i="5"/>
  <c r="DI178" i="5"/>
  <c r="DJ178" i="5"/>
  <c r="DH205" i="5"/>
  <c r="EG205" i="5"/>
  <c r="EJ205" i="5" s="1"/>
  <c r="EK205" i="5" s="1"/>
  <c r="AF68" i="5"/>
  <c r="DO206" i="5"/>
  <c r="AP206" i="5"/>
  <c r="AQ206" i="5" s="1"/>
  <c r="DH179" i="5"/>
  <c r="EG179" i="5"/>
  <c r="EJ179" i="5" s="1"/>
  <c r="EK179" i="5" s="1"/>
  <c r="CS175" i="5"/>
  <c r="FE175" i="5"/>
  <c r="FG175" i="5" s="1"/>
  <c r="DM109" i="5"/>
  <c r="DX112" i="5"/>
  <c r="AL115" i="5"/>
  <c r="AO115" i="5"/>
  <c r="AF72" i="5"/>
  <c r="AF56" i="5"/>
  <c r="AF70" i="5"/>
  <c r="AF54" i="5"/>
  <c r="AF73" i="5"/>
  <c r="AF86" i="5"/>
  <c r="AF65" i="5"/>
  <c r="AF80" i="5"/>
  <c r="AF64" i="5"/>
  <c r="AF55" i="5"/>
  <c r="AF67" i="5"/>
  <c r="AF71" i="5"/>
  <c r="AF84" i="5"/>
  <c r="AF57" i="5"/>
  <c r="X203" i="5"/>
  <c r="X196" i="5"/>
  <c r="AJ117" i="5"/>
  <c r="AJ208" i="5"/>
  <c r="AJ227" i="5"/>
  <c r="AJ182" i="5"/>
  <c r="X172" i="5"/>
  <c r="X169" i="5"/>
  <c r="X176" i="5"/>
  <c r="X174" i="5"/>
  <c r="X173" i="5"/>
  <c r="X170" i="5"/>
  <c r="AS86" i="5"/>
  <c r="I73" i="5"/>
  <c r="I68" i="5"/>
  <c r="I63" i="5"/>
  <c r="DY63" i="5" s="1"/>
  <c r="I57" i="5"/>
  <c r="DY57" i="5" s="1"/>
  <c r="I53" i="5"/>
  <c r="DY53" i="5" s="1"/>
  <c r="I85" i="5"/>
  <c r="DY85" i="5" s="1"/>
  <c r="I81" i="5"/>
  <c r="DY81" i="5" s="1"/>
  <c r="I74" i="5"/>
  <c r="I70" i="5"/>
  <c r="I64" i="5"/>
  <c r="I58" i="5"/>
  <c r="DY58" i="5" s="1"/>
  <c r="I54" i="5"/>
  <c r="DY54" i="5" s="1"/>
  <c r="I86" i="5"/>
  <c r="DY86" i="5" s="1"/>
  <c r="I82" i="5"/>
  <c r="I65" i="5"/>
  <c r="I59" i="5"/>
  <c r="I55" i="5"/>
  <c r="I87" i="5"/>
  <c r="I83" i="5"/>
  <c r="DY83" i="5" s="1"/>
  <c r="I75" i="5"/>
  <c r="DY75" i="5" s="1"/>
  <c r="I72" i="5"/>
  <c r="I67" i="5"/>
  <c r="I56" i="5"/>
  <c r="I84" i="5"/>
  <c r="I80" i="5"/>
  <c r="I71" i="5"/>
  <c r="I61" i="5"/>
  <c r="DY61" i="5" s="1"/>
  <c r="CQ113" i="21" l="1"/>
  <c r="DS113" i="21"/>
  <c r="ED28" i="21"/>
  <c r="DR28" i="21"/>
  <c r="DS28" i="21" s="1"/>
  <c r="DS172" i="21"/>
  <c r="CQ172" i="21"/>
  <c r="DS221" i="21"/>
  <c r="CQ221" i="21"/>
  <c r="DS198" i="21"/>
  <c r="CQ198" i="21"/>
  <c r="EW222" i="21"/>
  <c r="EX222" i="21" s="1"/>
  <c r="DU202" i="21"/>
  <c r="AV202" i="21"/>
  <c r="AW202" i="21" s="1"/>
  <c r="DR117" i="21"/>
  <c r="EM117" i="21"/>
  <c r="EP117" i="21" s="1"/>
  <c r="EQ117" i="21" s="1"/>
  <c r="DQ199" i="21"/>
  <c r="DR199" i="21"/>
  <c r="EW199" i="21"/>
  <c r="EX199" i="21" s="1"/>
  <c r="DN224" i="21"/>
  <c r="EM224" i="21"/>
  <c r="EP224" i="21" s="1"/>
  <c r="EQ224" i="21" s="1"/>
  <c r="DU176" i="21"/>
  <c r="AV176" i="21"/>
  <c r="AW176" i="21" s="1"/>
  <c r="AU202" i="21"/>
  <c r="AR202" i="21"/>
  <c r="ES115" i="21"/>
  <c r="ER115" i="21"/>
  <c r="AU225" i="21"/>
  <c r="AR225" i="21"/>
  <c r="DP115" i="21"/>
  <c r="DO115" i="21"/>
  <c r="AP204" i="21"/>
  <c r="AT203" i="21"/>
  <c r="AQ203" i="21"/>
  <c r="AP119" i="21"/>
  <c r="AT118" i="21"/>
  <c r="AQ118" i="21"/>
  <c r="DQ114" i="21"/>
  <c r="DR114" i="21" s="1"/>
  <c r="AP178" i="21"/>
  <c r="AT177" i="21"/>
  <c r="AQ177" i="21"/>
  <c r="AR117" i="21"/>
  <c r="AU117" i="21"/>
  <c r="ES30" i="21"/>
  <c r="ER30" i="21"/>
  <c r="DU225" i="21"/>
  <c r="AV225" i="21"/>
  <c r="AW225" i="21" s="1"/>
  <c r="EW173" i="21"/>
  <c r="EX173" i="21" s="1"/>
  <c r="FB114" i="21"/>
  <c r="ED114" i="21" s="1"/>
  <c r="CR114" i="21" s="1"/>
  <c r="EW114" i="21"/>
  <c r="EX114" i="21" s="1"/>
  <c r="FK197" i="21"/>
  <c r="FM197" i="21" s="1"/>
  <c r="AD197" i="21"/>
  <c r="CY197" i="21"/>
  <c r="DQ222" i="21"/>
  <c r="DR222" i="21" s="1"/>
  <c r="DN116" i="21"/>
  <c r="EM116" i="21"/>
  <c r="EP116" i="21" s="1"/>
  <c r="EQ116" i="21" s="1"/>
  <c r="DN175" i="21"/>
  <c r="EM175" i="21"/>
  <c r="EP175" i="21" s="1"/>
  <c r="EQ175" i="21" s="1"/>
  <c r="AD112" i="21"/>
  <c r="CY112" i="21"/>
  <c r="FK112" i="21"/>
  <c r="FM112" i="21" s="1"/>
  <c r="AU176" i="21"/>
  <c r="AR176" i="21"/>
  <c r="ES174" i="21"/>
  <c r="ER174" i="21"/>
  <c r="AU31" i="21"/>
  <c r="AR31" i="21"/>
  <c r="ES200" i="21"/>
  <c r="ER200" i="21"/>
  <c r="CY171" i="21"/>
  <c r="AD171" i="21"/>
  <c r="FK171" i="21"/>
  <c r="FM171" i="21" s="1"/>
  <c r="DO174" i="21"/>
  <c r="DP174" i="21"/>
  <c r="EM31" i="21"/>
  <c r="EP31" i="21" s="1"/>
  <c r="EQ31" i="21" s="1"/>
  <c r="DO200" i="21"/>
  <c r="DP200" i="21"/>
  <c r="CY220" i="21"/>
  <c r="AD220" i="21"/>
  <c r="FK220" i="21"/>
  <c r="FM220" i="21" s="1"/>
  <c r="AT32" i="21"/>
  <c r="DU32" i="21" s="1"/>
  <c r="AP33" i="21"/>
  <c r="AQ32" i="21"/>
  <c r="ES223" i="21"/>
  <c r="ER223" i="21"/>
  <c r="DN201" i="21"/>
  <c r="EM201" i="21"/>
  <c r="EP201" i="21" s="1"/>
  <c r="EQ201" i="21" s="1"/>
  <c r="FB29" i="21"/>
  <c r="EW29" i="21"/>
  <c r="EX29" i="21" s="1"/>
  <c r="AP227" i="21"/>
  <c r="AT226" i="21"/>
  <c r="AQ226" i="21"/>
  <c r="DP223" i="21"/>
  <c r="DO223" i="21"/>
  <c r="CZ113" i="21"/>
  <c r="FL113" i="21"/>
  <c r="DS27" i="21"/>
  <c r="DQ173" i="21"/>
  <c r="DR173" i="21"/>
  <c r="DS219" i="20"/>
  <c r="EX27" i="20"/>
  <c r="DM222" i="5"/>
  <c r="AS58" i="5"/>
  <c r="AT58" i="5" s="1"/>
  <c r="AS80" i="5"/>
  <c r="AS72" i="5"/>
  <c r="AT72" i="5" s="1"/>
  <c r="ER27" i="5"/>
  <c r="AS64" i="5"/>
  <c r="AT64" i="5" s="1"/>
  <c r="AS84" i="5"/>
  <c r="AT84" i="5" s="1"/>
  <c r="AS68" i="5"/>
  <c r="AT68" i="5" s="1"/>
  <c r="AS56" i="5"/>
  <c r="AS82" i="5"/>
  <c r="AS57" i="5"/>
  <c r="AT57" i="5" s="1"/>
  <c r="AS83" i="5"/>
  <c r="AT83" i="5" s="1"/>
  <c r="AS67" i="5"/>
  <c r="AS55" i="5"/>
  <c r="AS75" i="5"/>
  <c r="ED27" i="20"/>
  <c r="DR27" i="20"/>
  <c r="FL112" i="20"/>
  <c r="CZ112" i="20"/>
  <c r="DS200" i="20"/>
  <c r="CQ200" i="20"/>
  <c r="DR112" i="20"/>
  <c r="EM30" i="20"/>
  <c r="EP30" i="20" s="1"/>
  <c r="EQ30" i="20" s="1"/>
  <c r="DU204" i="20"/>
  <c r="AV204" i="20"/>
  <c r="AW204" i="20" s="1"/>
  <c r="AP225" i="20"/>
  <c r="AT224" i="20"/>
  <c r="AQ224" i="20"/>
  <c r="AT31" i="20"/>
  <c r="DU31" i="20" s="1"/>
  <c r="AP32" i="20"/>
  <c r="AQ31" i="20"/>
  <c r="AT117" i="20"/>
  <c r="DU117" i="20" s="1"/>
  <c r="AP118" i="20"/>
  <c r="AQ117" i="20"/>
  <c r="EW28" i="20"/>
  <c r="EX28" i="20" s="1"/>
  <c r="EW173" i="20"/>
  <c r="EX173" i="20" s="1"/>
  <c r="DN203" i="20"/>
  <c r="EM203" i="20"/>
  <c r="EP203" i="20" s="1"/>
  <c r="EQ203" i="20" s="1"/>
  <c r="ES29" i="20"/>
  <c r="ER29" i="20"/>
  <c r="EW113" i="20"/>
  <c r="EX113" i="20" s="1"/>
  <c r="DN115" i="20"/>
  <c r="EM115" i="20"/>
  <c r="EP115" i="20" s="1"/>
  <c r="EQ115" i="20" s="1"/>
  <c r="ES202" i="20"/>
  <c r="ER202" i="20"/>
  <c r="EX112" i="20"/>
  <c r="ES174" i="20"/>
  <c r="ER174" i="20"/>
  <c r="DQ220" i="20"/>
  <c r="DR220" i="20" s="1"/>
  <c r="DQ201" i="20"/>
  <c r="DR201" i="20" s="1"/>
  <c r="AU176" i="20"/>
  <c r="AR176" i="20"/>
  <c r="DO174" i="20"/>
  <c r="DP174" i="20"/>
  <c r="ED26" i="20"/>
  <c r="DR26" i="20"/>
  <c r="DS26" i="20" s="1"/>
  <c r="DS172" i="20"/>
  <c r="CQ172" i="20"/>
  <c r="DU176" i="20"/>
  <c r="AV176" i="20"/>
  <c r="AW176" i="20" s="1"/>
  <c r="ES114" i="20"/>
  <c r="ER114" i="20"/>
  <c r="ES221" i="20"/>
  <c r="ER221" i="20"/>
  <c r="FK199" i="20"/>
  <c r="FM199" i="20" s="1"/>
  <c r="AD199" i="20"/>
  <c r="CY199" i="20"/>
  <c r="DQ173" i="20"/>
  <c r="DR173" i="20" s="1"/>
  <c r="DN222" i="20"/>
  <c r="EM222" i="20"/>
  <c r="EP222" i="20" s="1"/>
  <c r="EQ222" i="20" s="1"/>
  <c r="AP178" i="20"/>
  <c r="AT177" i="20"/>
  <c r="AQ177" i="20"/>
  <c r="DN175" i="20"/>
  <c r="EM175" i="20"/>
  <c r="EP175" i="20" s="1"/>
  <c r="EQ175" i="20" s="1"/>
  <c r="AU204" i="20"/>
  <c r="AR204" i="20"/>
  <c r="DO114" i="20"/>
  <c r="DP114" i="20"/>
  <c r="DP221" i="20"/>
  <c r="DO221" i="20"/>
  <c r="AU223" i="20"/>
  <c r="AR223" i="20"/>
  <c r="DP202" i="20"/>
  <c r="DO202" i="20"/>
  <c r="AU30" i="20"/>
  <c r="AR30" i="20"/>
  <c r="DQ113" i="20"/>
  <c r="AU116" i="20"/>
  <c r="AR116" i="20"/>
  <c r="AT205" i="20"/>
  <c r="AP206" i="20"/>
  <c r="AQ205" i="20"/>
  <c r="DU223" i="20"/>
  <c r="AV223" i="20"/>
  <c r="AW223" i="20" s="1"/>
  <c r="EW201" i="20"/>
  <c r="EX201" i="20" s="1"/>
  <c r="FK171" i="20"/>
  <c r="FM171" i="20" s="1"/>
  <c r="AD171" i="20"/>
  <c r="CY171" i="20"/>
  <c r="DU116" i="20"/>
  <c r="AV116" i="20"/>
  <c r="AW116" i="20" s="1"/>
  <c r="EW220" i="20"/>
  <c r="EX220" i="20" s="1"/>
  <c r="BE71" i="5"/>
  <c r="BU71" i="5"/>
  <c r="FR71" i="5"/>
  <c r="FU71" i="5" s="1"/>
  <c r="CM71" i="5" s="1"/>
  <c r="BL71" i="5"/>
  <c r="DT71" i="5" s="1"/>
  <c r="DV71" i="5" s="1"/>
  <c r="BT71" i="5"/>
  <c r="BE64" i="5"/>
  <c r="BU64" i="5"/>
  <c r="BL64" i="5"/>
  <c r="DT64" i="5" s="1"/>
  <c r="DV64" i="5" s="1"/>
  <c r="FR64" i="5"/>
  <c r="FU64" i="5" s="1"/>
  <c r="BT64" i="5"/>
  <c r="BE73" i="5"/>
  <c r="BU73" i="5"/>
  <c r="FR73" i="5"/>
  <c r="FU73" i="5" s="1"/>
  <c r="CM73" i="5" s="1"/>
  <c r="BL73" i="5"/>
  <c r="DT73" i="5" s="1"/>
  <c r="DV73" i="5" s="1"/>
  <c r="BT73" i="5"/>
  <c r="AS63" i="5"/>
  <c r="AS87" i="5"/>
  <c r="AY72" i="5"/>
  <c r="AZ72" i="5" s="1"/>
  <c r="CI72" i="5" s="1"/>
  <c r="AS59" i="5"/>
  <c r="AN117" i="5"/>
  <c r="AK117" i="5"/>
  <c r="AO116" i="5"/>
  <c r="AL116" i="5"/>
  <c r="DH225" i="5"/>
  <c r="EG225" i="5"/>
  <c r="EJ225" i="5" s="1"/>
  <c r="EK225" i="5" s="1"/>
  <c r="EG30" i="5"/>
  <c r="EJ30" i="5" s="1"/>
  <c r="EK30" i="5" s="1"/>
  <c r="BL87" i="5"/>
  <c r="DT87" i="5" s="1"/>
  <c r="DV87" i="5" s="1"/>
  <c r="BE87" i="5"/>
  <c r="BT87" i="5"/>
  <c r="BU87" i="5"/>
  <c r="FR87" i="5"/>
  <c r="FU87" i="5" s="1"/>
  <c r="CM87" i="5" s="1"/>
  <c r="BL68" i="5"/>
  <c r="DT68" i="5" s="1"/>
  <c r="DV68" i="5" s="1"/>
  <c r="BT68" i="5"/>
  <c r="BU68" i="5"/>
  <c r="BE68" i="5"/>
  <c r="FR68" i="5"/>
  <c r="FU68" i="5" s="1"/>
  <c r="CM68" i="5" s="1"/>
  <c r="BL80" i="5"/>
  <c r="DT80" i="5" s="1"/>
  <c r="DV80" i="5" s="1"/>
  <c r="BT80" i="5"/>
  <c r="BE80" i="5"/>
  <c r="BU80" i="5"/>
  <c r="FR80" i="5"/>
  <c r="FU80" i="5" s="1"/>
  <c r="CM80" i="5" s="1"/>
  <c r="BL70" i="5"/>
  <c r="DT70" i="5" s="1"/>
  <c r="DV70" i="5" s="1"/>
  <c r="BT70" i="5"/>
  <c r="BE70" i="5"/>
  <c r="BU70" i="5"/>
  <c r="FR70" i="5"/>
  <c r="FU70" i="5" s="1"/>
  <c r="CM70" i="5" s="1"/>
  <c r="AY80" i="5"/>
  <c r="AZ80" i="5" s="1"/>
  <c r="CI80" i="5" s="1"/>
  <c r="AT80" i="5"/>
  <c r="BL59" i="5"/>
  <c r="DT59" i="5" s="1"/>
  <c r="DV59" i="5" s="1"/>
  <c r="BT59" i="5"/>
  <c r="BE59" i="5"/>
  <c r="BU59" i="5"/>
  <c r="FR59" i="5"/>
  <c r="FU59" i="5" s="1"/>
  <c r="CM59" i="5" s="1"/>
  <c r="BL74" i="5"/>
  <c r="DT74" i="5" s="1"/>
  <c r="DV74" i="5" s="1"/>
  <c r="BT74" i="5"/>
  <c r="BE74" i="5"/>
  <c r="BU74" i="5"/>
  <c r="FR74" i="5"/>
  <c r="FU74" i="5" s="1"/>
  <c r="CM74" i="5" s="1"/>
  <c r="AY81" i="5"/>
  <c r="AZ81" i="5" s="1"/>
  <c r="CI81" i="5" s="1"/>
  <c r="AY65" i="5"/>
  <c r="AZ65" i="5" s="1"/>
  <c r="CI65" i="5" s="1"/>
  <c r="EL205" i="5"/>
  <c r="EM205" i="5"/>
  <c r="DO116" i="5"/>
  <c r="AP116" i="5"/>
  <c r="AQ116" i="5" s="1"/>
  <c r="AJ32" i="5"/>
  <c r="AN31" i="5"/>
  <c r="DO31" i="5" s="1"/>
  <c r="AK31" i="5"/>
  <c r="DX27" i="5"/>
  <c r="DL27" i="5"/>
  <c r="DM27" i="5" s="1"/>
  <c r="BL55" i="5"/>
  <c r="DT55" i="5" s="1"/>
  <c r="DV55" i="5" s="1"/>
  <c r="BT55" i="5"/>
  <c r="BE55" i="5"/>
  <c r="BU55" i="5"/>
  <c r="FR55" i="5"/>
  <c r="FU55" i="5" s="1"/>
  <c r="CM55" i="5" s="1"/>
  <c r="AY58" i="5"/>
  <c r="AZ58" i="5" s="1"/>
  <c r="CI58" i="5" s="1"/>
  <c r="BL84" i="5"/>
  <c r="DT84" i="5" s="1"/>
  <c r="DV84" i="5" s="1"/>
  <c r="BT84" i="5"/>
  <c r="BE84" i="5"/>
  <c r="BU84" i="5"/>
  <c r="FR84" i="5"/>
  <c r="FU84" i="5" s="1"/>
  <c r="CM84" i="5" s="1"/>
  <c r="BE56" i="5"/>
  <c r="BU56" i="5"/>
  <c r="FR56" i="5"/>
  <c r="FU56" i="5" s="1"/>
  <c r="CM56" i="5" s="1"/>
  <c r="BL56" i="5"/>
  <c r="DT56" i="5" s="1"/>
  <c r="DV56" i="5" s="1"/>
  <c r="BT56" i="5"/>
  <c r="BE65" i="5"/>
  <c r="BU65" i="5"/>
  <c r="FR65" i="5"/>
  <c r="FU65" i="5" s="1"/>
  <c r="CM65" i="5" s="1"/>
  <c r="BL65" i="5"/>
  <c r="DT65" i="5" s="1"/>
  <c r="DV65" i="5" s="1"/>
  <c r="BT65" i="5"/>
  <c r="BE81" i="5"/>
  <c r="BU81" i="5"/>
  <c r="BL81" i="5"/>
  <c r="DT81" i="5" s="1"/>
  <c r="DV81" i="5" s="1"/>
  <c r="BT81" i="5"/>
  <c r="FR81" i="5"/>
  <c r="FU81" i="5" s="1"/>
  <c r="CM81" i="5" s="1"/>
  <c r="AS81" i="5"/>
  <c r="AT81" i="5" s="1"/>
  <c r="AY64" i="5"/>
  <c r="AZ64" i="5" s="1"/>
  <c r="AY84" i="5"/>
  <c r="AZ84" i="5" s="1"/>
  <c r="CI84" i="5" s="1"/>
  <c r="AY68" i="5"/>
  <c r="AZ68" i="5" s="1"/>
  <c r="CI68" i="5" s="1"/>
  <c r="AT56" i="5"/>
  <c r="AY56" i="5"/>
  <c r="AZ56" i="5" s="1"/>
  <c r="CI56" i="5" s="1"/>
  <c r="AT82" i="5"/>
  <c r="AY82" i="5"/>
  <c r="AZ82" i="5" s="1"/>
  <c r="CI82" i="5" s="1"/>
  <c r="AS65" i="5"/>
  <c r="AT65" i="5" s="1"/>
  <c r="DY84" i="5"/>
  <c r="DI205" i="5"/>
  <c r="DJ205" i="5"/>
  <c r="DY80" i="5"/>
  <c r="EQ28" i="5"/>
  <c r="EV28" i="5" s="1"/>
  <c r="AL207" i="5"/>
  <c r="AO207" i="5"/>
  <c r="EQ113" i="5"/>
  <c r="ER113" i="5" s="1"/>
  <c r="EV110" i="5"/>
  <c r="AY61" i="5"/>
  <c r="AZ61" i="5" s="1"/>
  <c r="CI61" i="5" s="1"/>
  <c r="AY71" i="5"/>
  <c r="AZ71" i="5" s="1"/>
  <c r="CI71" i="5" s="1"/>
  <c r="EL179" i="5"/>
  <c r="EM179" i="5"/>
  <c r="DY59" i="5"/>
  <c r="DO207" i="5"/>
  <c r="AP207" i="5"/>
  <c r="AQ207" i="5" s="1"/>
  <c r="DK113" i="5"/>
  <c r="DH180" i="5"/>
  <c r="EG180" i="5"/>
  <c r="EJ180" i="5" s="1"/>
  <c r="EK180" i="5" s="1"/>
  <c r="DY64" i="5"/>
  <c r="BT82" i="5"/>
  <c r="FR82" i="5"/>
  <c r="FU82" i="5" s="1"/>
  <c r="CM82" i="5" s="1"/>
  <c r="BL82" i="5"/>
  <c r="DT82" i="5" s="1"/>
  <c r="DV82" i="5" s="1"/>
  <c r="BU82" i="5"/>
  <c r="BE82" i="5"/>
  <c r="AY53" i="5"/>
  <c r="AZ53" i="5" s="1"/>
  <c r="CI53" i="5" s="1"/>
  <c r="BL72" i="5"/>
  <c r="DT72" i="5" s="1"/>
  <c r="DV72" i="5" s="1"/>
  <c r="BT72" i="5"/>
  <c r="BE72" i="5"/>
  <c r="BU72" i="5"/>
  <c r="FR72" i="5"/>
  <c r="FU72" i="5" s="1"/>
  <c r="CM72" i="5" s="1"/>
  <c r="BL53" i="5"/>
  <c r="DT53" i="5" s="1"/>
  <c r="DV53" i="5" s="1"/>
  <c r="BT53" i="5"/>
  <c r="BE53" i="5"/>
  <c r="BU53" i="5"/>
  <c r="FR53" i="5"/>
  <c r="FU53" i="5" s="1"/>
  <c r="CM53" i="5" s="1"/>
  <c r="AS53" i="5"/>
  <c r="AT53" i="5" s="1"/>
  <c r="AS61" i="5"/>
  <c r="AT61" i="5" s="1"/>
  <c r="AY86" i="5"/>
  <c r="AZ86" i="5" s="1"/>
  <c r="CI86" i="5" s="1"/>
  <c r="AT86" i="5"/>
  <c r="AS71" i="5"/>
  <c r="AT71" i="5" s="1"/>
  <c r="DI179" i="5"/>
  <c r="DJ179" i="5"/>
  <c r="DY68" i="5"/>
  <c r="DK178" i="5"/>
  <c r="DL178" i="5" s="1"/>
  <c r="EQ223" i="5"/>
  <c r="ER223" i="5" s="1"/>
  <c r="AL226" i="5"/>
  <c r="AO226" i="5"/>
  <c r="EQ204" i="5"/>
  <c r="ER204" i="5" s="1"/>
  <c r="DY74" i="5"/>
  <c r="EM114" i="5"/>
  <c r="EL114" i="5"/>
  <c r="BT67" i="5"/>
  <c r="BU67" i="5"/>
  <c r="BE67" i="5"/>
  <c r="FR67" i="5"/>
  <c r="FU67" i="5" s="1"/>
  <c r="CM67" i="5" s="1"/>
  <c r="BL67" i="5"/>
  <c r="DT67" i="5" s="1"/>
  <c r="DV67" i="5" s="1"/>
  <c r="AY85" i="5"/>
  <c r="AZ85" i="5" s="1"/>
  <c r="CI85" i="5" s="1"/>
  <c r="AY73" i="5"/>
  <c r="AZ73" i="5" s="1"/>
  <c r="CI73" i="5" s="1"/>
  <c r="BL86" i="5"/>
  <c r="DT86" i="5" s="1"/>
  <c r="DV86" i="5" s="1"/>
  <c r="BT86" i="5"/>
  <c r="BE86" i="5"/>
  <c r="BU86" i="5"/>
  <c r="FR86" i="5"/>
  <c r="FU86" i="5" s="1"/>
  <c r="CM86" i="5" s="1"/>
  <c r="AS85" i="5"/>
  <c r="AT85" i="5" s="1"/>
  <c r="AY70" i="5"/>
  <c r="AZ70" i="5" s="1"/>
  <c r="CI70" i="5" s="1"/>
  <c r="AT70" i="5"/>
  <c r="AS73" i="5"/>
  <c r="AT73" i="5" s="1"/>
  <c r="BE75" i="5"/>
  <c r="BU75" i="5"/>
  <c r="FR75" i="5"/>
  <c r="FU75" i="5" s="1"/>
  <c r="CM75" i="5" s="1"/>
  <c r="BL75" i="5"/>
  <c r="DT75" i="5" s="1"/>
  <c r="DV75" i="5" s="1"/>
  <c r="BT75" i="5"/>
  <c r="BV75" i="5" s="1"/>
  <c r="CC75" i="5" s="1"/>
  <c r="CE75" i="5" s="1"/>
  <c r="CJ75" i="5" s="1"/>
  <c r="BT54" i="5"/>
  <c r="BE54" i="5"/>
  <c r="BU54" i="5"/>
  <c r="BL54" i="5"/>
  <c r="DT54" i="5" s="1"/>
  <c r="DV54" i="5" s="1"/>
  <c r="FR54" i="5"/>
  <c r="FU54" i="5" s="1"/>
  <c r="CM54" i="5" s="1"/>
  <c r="BL57" i="5"/>
  <c r="DT57" i="5" s="1"/>
  <c r="DV57" i="5" s="1"/>
  <c r="BT57" i="5"/>
  <c r="BE57" i="5"/>
  <c r="BU57" i="5"/>
  <c r="FR57" i="5"/>
  <c r="FU57" i="5" s="1"/>
  <c r="CM57" i="5" s="1"/>
  <c r="AS54" i="5"/>
  <c r="AT54" i="5" s="1"/>
  <c r="AS74" i="5"/>
  <c r="AY57" i="5"/>
  <c r="AZ57" i="5" s="1"/>
  <c r="CI57" i="5" s="1"/>
  <c r="AY83" i="5"/>
  <c r="AZ83" i="5" s="1"/>
  <c r="CI83" i="5" s="1"/>
  <c r="AT67" i="5"/>
  <c r="AY67" i="5"/>
  <c r="AZ67" i="5" s="1"/>
  <c r="CI67" i="5" s="1"/>
  <c r="AT55" i="5"/>
  <c r="AY55" i="5"/>
  <c r="AZ55" i="5" s="1"/>
  <c r="CI55" i="5" s="1"/>
  <c r="AT75" i="5"/>
  <c r="AY75" i="5"/>
  <c r="AZ75" i="5" s="1"/>
  <c r="CI75" i="5" s="1"/>
  <c r="AN182" i="5"/>
  <c r="AK182" i="5"/>
  <c r="DY56" i="5"/>
  <c r="EQ178" i="5"/>
  <c r="ER178" i="5" s="1"/>
  <c r="DY71" i="5"/>
  <c r="DK204" i="5"/>
  <c r="DL204" i="5" s="1"/>
  <c r="DO226" i="5"/>
  <c r="AP226" i="5"/>
  <c r="AQ226" i="5" s="1"/>
  <c r="EL224" i="5"/>
  <c r="EM224" i="5"/>
  <c r="DI114" i="5"/>
  <c r="DJ114" i="5"/>
  <c r="FR85" i="5"/>
  <c r="FU85" i="5" s="1"/>
  <c r="CM85" i="5" s="1"/>
  <c r="BL85" i="5"/>
  <c r="DT85" i="5" s="1"/>
  <c r="DV85" i="5" s="1"/>
  <c r="BT85" i="5"/>
  <c r="BE85" i="5"/>
  <c r="BU85" i="5"/>
  <c r="BT61" i="5"/>
  <c r="BE61" i="5"/>
  <c r="FR61" i="5"/>
  <c r="FU61" i="5" s="1"/>
  <c r="CM61" i="5" s="1"/>
  <c r="BL61" i="5"/>
  <c r="DT61" i="5" s="1"/>
  <c r="DV61" i="5" s="1"/>
  <c r="BU61" i="5"/>
  <c r="FR83" i="5"/>
  <c r="FU83" i="5" s="1"/>
  <c r="CM83" i="5" s="1"/>
  <c r="BL83" i="5"/>
  <c r="DT83" i="5" s="1"/>
  <c r="DV83" i="5" s="1"/>
  <c r="BT83" i="5"/>
  <c r="BE83" i="5"/>
  <c r="BU83" i="5"/>
  <c r="BL58" i="5"/>
  <c r="DT58" i="5" s="1"/>
  <c r="DV58" i="5" s="1"/>
  <c r="BT58" i="5"/>
  <c r="BE58" i="5"/>
  <c r="BU58" i="5"/>
  <c r="FR58" i="5"/>
  <c r="FU58" i="5" s="1"/>
  <c r="CM58" i="5" s="1"/>
  <c r="BE63" i="5"/>
  <c r="BU63" i="5"/>
  <c r="BL63" i="5"/>
  <c r="DT63" i="5" s="1"/>
  <c r="DV63" i="5" s="1"/>
  <c r="FR63" i="5"/>
  <c r="FU63" i="5" s="1"/>
  <c r="BT63" i="5"/>
  <c r="AY54" i="5"/>
  <c r="AZ54" i="5" s="1"/>
  <c r="CI54" i="5" s="1"/>
  <c r="AY74" i="5"/>
  <c r="AZ74" i="5" s="1"/>
  <c r="CI74" i="5" s="1"/>
  <c r="AT74" i="5"/>
  <c r="AN227" i="5"/>
  <c r="AK227" i="5"/>
  <c r="DY67" i="5"/>
  <c r="DH206" i="5"/>
  <c r="EG206" i="5"/>
  <c r="EJ206" i="5" s="1"/>
  <c r="EK206" i="5" s="1"/>
  <c r="DY72" i="5"/>
  <c r="DY87" i="5"/>
  <c r="DY55" i="5"/>
  <c r="DI224" i="5"/>
  <c r="DJ224" i="5"/>
  <c r="AO181" i="5"/>
  <c r="AL181" i="5"/>
  <c r="DY82" i="5"/>
  <c r="AT63" i="5"/>
  <c r="AY63" i="5"/>
  <c r="AZ63" i="5" s="1"/>
  <c r="AT87" i="5"/>
  <c r="AY87" i="5"/>
  <c r="AZ87" i="5" s="1"/>
  <c r="CI87" i="5" s="1"/>
  <c r="AT59" i="5"/>
  <c r="AY59" i="5"/>
  <c r="AZ59" i="5" s="1"/>
  <c r="CI59" i="5" s="1"/>
  <c r="AN208" i="5"/>
  <c r="AK208" i="5"/>
  <c r="DY73" i="5"/>
  <c r="DY65" i="5"/>
  <c r="DY70" i="5"/>
  <c r="DK223" i="5"/>
  <c r="DL223" i="5" s="1"/>
  <c r="AL30" i="5"/>
  <c r="AO30" i="5"/>
  <c r="EL29" i="5"/>
  <c r="EM29" i="5"/>
  <c r="DO181" i="5"/>
  <c r="AP181" i="5"/>
  <c r="AQ181" i="5" s="1"/>
  <c r="DH115" i="5"/>
  <c r="EG115" i="5"/>
  <c r="EJ115" i="5" s="1"/>
  <c r="EK115" i="5" s="1"/>
  <c r="AH75" i="5"/>
  <c r="AH83" i="5"/>
  <c r="AH81" i="5"/>
  <c r="AH61" i="5"/>
  <c r="AH87" i="5"/>
  <c r="AH85" i="5"/>
  <c r="AH71" i="5"/>
  <c r="AH55" i="5"/>
  <c r="AH53" i="5"/>
  <c r="AH72" i="5"/>
  <c r="AH59" i="5"/>
  <c r="AH57" i="5"/>
  <c r="AH65" i="5"/>
  <c r="AH63" i="5"/>
  <c r="AH70" i="5"/>
  <c r="AH74" i="5"/>
  <c r="AH82" i="5"/>
  <c r="AH68" i="5"/>
  <c r="AH80" i="5"/>
  <c r="AH86" i="5"/>
  <c r="AH73" i="5"/>
  <c r="AH84" i="5"/>
  <c r="AH54" i="5"/>
  <c r="AH56" i="5"/>
  <c r="AH58" i="5"/>
  <c r="AH67" i="5"/>
  <c r="AH64" i="5"/>
  <c r="AJ118" i="5"/>
  <c r="AJ209" i="5"/>
  <c r="AJ228" i="5"/>
  <c r="AJ183" i="5"/>
  <c r="X199" i="5"/>
  <c r="X197" i="5"/>
  <c r="DS222" i="21" l="1"/>
  <c r="CQ114" i="21"/>
  <c r="DS114" i="21"/>
  <c r="EW30" i="21"/>
  <c r="FB30" i="21" s="1"/>
  <c r="DQ200" i="21"/>
  <c r="DR200" i="21" s="1"/>
  <c r="DP116" i="21"/>
  <c r="DO116" i="21"/>
  <c r="DN202" i="21"/>
  <c r="EM202" i="21"/>
  <c r="EP202" i="21" s="1"/>
  <c r="EQ202" i="21" s="1"/>
  <c r="DQ174" i="21"/>
  <c r="DR174" i="21" s="1"/>
  <c r="AP120" i="21"/>
  <c r="AT119" i="21"/>
  <c r="AQ119" i="21"/>
  <c r="DN225" i="21"/>
  <c r="EM225" i="21"/>
  <c r="EP225" i="21" s="1"/>
  <c r="EQ225" i="21" s="1"/>
  <c r="DS199" i="21"/>
  <c r="CQ199" i="21"/>
  <c r="ES117" i="21"/>
  <c r="ER117" i="21"/>
  <c r="AU118" i="21"/>
  <c r="AR118" i="21"/>
  <c r="DU118" i="21"/>
  <c r="AV118" i="21"/>
  <c r="AW118" i="21" s="1"/>
  <c r="DQ223" i="21"/>
  <c r="DR223" i="21" s="1"/>
  <c r="AR203" i="21"/>
  <c r="AU203" i="21"/>
  <c r="AP34" i="21"/>
  <c r="AT33" i="21"/>
  <c r="DU33" i="21" s="1"/>
  <c r="AQ33" i="21"/>
  <c r="EM32" i="21"/>
  <c r="EP32" i="21" s="1"/>
  <c r="EQ32" i="21" s="1"/>
  <c r="DU226" i="21"/>
  <c r="AV226" i="21"/>
  <c r="AW226" i="21" s="1"/>
  <c r="EW200" i="21"/>
  <c r="EX200" i="21" s="1"/>
  <c r="DQ115" i="21"/>
  <c r="DR115" i="21" s="1"/>
  <c r="CY221" i="21"/>
  <c r="FK221" i="21"/>
  <c r="FM221" i="21" s="1"/>
  <c r="AD221" i="21"/>
  <c r="ER175" i="21"/>
  <c r="ES175" i="21"/>
  <c r="ES31" i="21"/>
  <c r="ER31" i="21"/>
  <c r="AP228" i="21"/>
  <c r="AT227" i="21"/>
  <c r="AQ227" i="21"/>
  <c r="AU177" i="21"/>
  <c r="AR177" i="21"/>
  <c r="ES116" i="21"/>
  <c r="ER116" i="21"/>
  <c r="FK172" i="21"/>
  <c r="FM172" i="21" s="1"/>
  <c r="AD172" i="21"/>
  <c r="CY172" i="21"/>
  <c r="CQ173" i="21"/>
  <c r="DS173" i="21"/>
  <c r="AR32" i="21"/>
  <c r="AU32" i="21"/>
  <c r="AU226" i="21"/>
  <c r="AR226" i="21"/>
  <c r="EW174" i="21"/>
  <c r="EX174" i="21" s="1"/>
  <c r="CZ114" i="21"/>
  <c r="FL114" i="21"/>
  <c r="EW115" i="21"/>
  <c r="FB115" i="21" s="1"/>
  <c r="ED115" i="21" s="1"/>
  <c r="CR115" i="21" s="1"/>
  <c r="ES224" i="21"/>
  <c r="ER224" i="21"/>
  <c r="AD198" i="21"/>
  <c r="FK198" i="21"/>
  <c r="FM198" i="21" s="1"/>
  <c r="CY198" i="21"/>
  <c r="ES201" i="21"/>
  <c r="ER201" i="21"/>
  <c r="AP179" i="21"/>
  <c r="AT178" i="21"/>
  <c r="AQ178" i="21"/>
  <c r="DP201" i="21"/>
  <c r="DO201" i="21"/>
  <c r="DN176" i="21"/>
  <c r="EM176" i="21"/>
  <c r="EP176" i="21" s="1"/>
  <c r="EQ176" i="21" s="1"/>
  <c r="DO224" i="21"/>
  <c r="DP224" i="21"/>
  <c r="DU177" i="21"/>
  <c r="AV177" i="21"/>
  <c r="AW177" i="21" s="1"/>
  <c r="DO175" i="21"/>
  <c r="DP175" i="21"/>
  <c r="DU203" i="21"/>
  <c r="AV203" i="21"/>
  <c r="AW203" i="21" s="1"/>
  <c r="AT204" i="21"/>
  <c r="AP205" i="21"/>
  <c r="AQ204" i="21"/>
  <c r="ED29" i="21"/>
  <c r="DR29" i="21"/>
  <c r="DS29" i="21" s="1"/>
  <c r="EW223" i="21"/>
  <c r="EX223" i="21" s="1"/>
  <c r="AD113" i="21"/>
  <c r="CY113" i="21"/>
  <c r="FK113" i="21"/>
  <c r="FM113" i="21" s="1"/>
  <c r="DS27" i="20"/>
  <c r="FB113" i="20"/>
  <c r="ED113" i="20" s="1"/>
  <c r="CR113" i="20" s="1"/>
  <c r="FL113" i="20" s="1"/>
  <c r="BV64" i="5"/>
  <c r="CC64" i="5" s="1"/>
  <c r="CE64" i="5" s="1"/>
  <c r="BV68" i="5"/>
  <c r="CC68" i="5" s="1"/>
  <c r="CE68" i="5" s="1"/>
  <c r="CJ68" i="5" s="1"/>
  <c r="ER28" i="5"/>
  <c r="BV61" i="5"/>
  <c r="CC61" i="5" s="1"/>
  <c r="CE61" i="5" s="1"/>
  <c r="CJ61" i="5" s="1"/>
  <c r="BV83" i="5"/>
  <c r="CC83" i="5" s="1"/>
  <c r="CE83" i="5" s="1"/>
  <c r="CJ83" i="5" s="1"/>
  <c r="BV70" i="5"/>
  <c r="CC70" i="5" s="1"/>
  <c r="CE70" i="5" s="1"/>
  <c r="CJ70" i="5" s="1"/>
  <c r="BV82" i="5"/>
  <c r="CC82" i="5" s="1"/>
  <c r="CE82" i="5" s="1"/>
  <c r="CJ82" i="5" s="1"/>
  <c r="FD82" i="5" s="1"/>
  <c r="BV85" i="5"/>
  <c r="CC85" i="5" s="1"/>
  <c r="CE85" i="5" s="1"/>
  <c r="CJ85" i="5" s="1"/>
  <c r="BV53" i="5"/>
  <c r="CC53" i="5" s="1"/>
  <c r="CE53" i="5" s="1"/>
  <c r="CJ53" i="5" s="1"/>
  <c r="DY1" i="5"/>
  <c r="DY2" i="5" s="1"/>
  <c r="BV65" i="5"/>
  <c r="CC65" i="5" s="1"/>
  <c r="CE65" i="5" s="1"/>
  <c r="CJ65" i="5" s="1"/>
  <c r="CQ65" i="5" s="1"/>
  <c r="DS173" i="20"/>
  <c r="CQ173" i="20"/>
  <c r="DS220" i="20"/>
  <c r="CQ220" i="20"/>
  <c r="AT206" i="20"/>
  <c r="AP207" i="20"/>
  <c r="AQ206" i="20"/>
  <c r="DQ202" i="20"/>
  <c r="DR202" i="20" s="1"/>
  <c r="ES175" i="20"/>
  <c r="ER175" i="20"/>
  <c r="EW29" i="20"/>
  <c r="EX29" i="20" s="1"/>
  <c r="FB28" i="20"/>
  <c r="DU224" i="20"/>
  <c r="AV224" i="20"/>
  <c r="AW224" i="20" s="1"/>
  <c r="EM31" i="20"/>
  <c r="EP31" i="20" s="1"/>
  <c r="EQ31" i="20" s="1"/>
  <c r="DN223" i="20"/>
  <c r="EM223" i="20"/>
  <c r="EP223" i="20" s="1"/>
  <c r="EQ223" i="20" s="1"/>
  <c r="DP175" i="20"/>
  <c r="DO175" i="20"/>
  <c r="DN176" i="20"/>
  <c r="EM176" i="20"/>
  <c r="EP176" i="20" s="1"/>
  <c r="EQ176" i="20" s="1"/>
  <c r="EW202" i="20"/>
  <c r="EX202" i="20" s="1"/>
  <c r="AR117" i="20"/>
  <c r="AU117" i="20"/>
  <c r="AT225" i="20"/>
  <c r="AP226" i="20"/>
  <c r="AQ225" i="20"/>
  <c r="DO222" i="20"/>
  <c r="DP222" i="20"/>
  <c r="DN116" i="20"/>
  <c r="EM116" i="20"/>
  <c r="EP116" i="20" s="1"/>
  <c r="EQ116" i="20" s="1"/>
  <c r="AR205" i="20"/>
  <c r="AU205" i="20"/>
  <c r="DQ221" i="20"/>
  <c r="DR221" i="20" s="1"/>
  <c r="AR177" i="20"/>
  <c r="AU177" i="20"/>
  <c r="AD172" i="20"/>
  <c r="CY172" i="20"/>
  <c r="FK172" i="20"/>
  <c r="FM172" i="20" s="1"/>
  <c r="ER203" i="20"/>
  <c r="ES203" i="20"/>
  <c r="AP119" i="20"/>
  <c r="AT118" i="20"/>
  <c r="AQ118" i="20"/>
  <c r="DU177" i="20"/>
  <c r="AV177" i="20"/>
  <c r="AW177" i="20" s="1"/>
  <c r="DR117" i="20"/>
  <c r="EM117" i="20"/>
  <c r="EP117" i="20" s="1"/>
  <c r="EQ117" i="20" s="1"/>
  <c r="DN204" i="20"/>
  <c r="EM204" i="20"/>
  <c r="EP204" i="20" s="1"/>
  <c r="EQ204" i="20" s="1"/>
  <c r="ES115" i="20"/>
  <c r="ER115" i="20"/>
  <c r="AP179" i="20"/>
  <c r="AT178" i="20"/>
  <c r="AQ178" i="20"/>
  <c r="DP115" i="20"/>
  <c r="DO115" i="20"/>
  <c r="AR31" i="20"/>
  <c r="AU31" i="20"/>
  <c r="ES30" i="20"/>
  <c r="ER30" i="20"/>
  <c r="DS201" i="20"/>
  <c r="CQ201" i="20"/>
  <c r="DO203" i="20"/>
  <c r="DP203" i="20"/>
  <c r="DU205" i="20"/>
  <c r="AV205" i="20"/>
  <c r="AW205" i="20" s="1"/>
  <c r="EW221" i="20"/>
  <c r="EX221" i="20" s="1"/>
  <c r="DQ114" i="20"/>
  <c r="ES222" i="20"/>
  <c r="ER222" i="20"/>
  <c r="AP33" i="20"/>
  <c r="AT32" i="20"/>
  <c r="DU32" i="20" s="1"/>
  <c r="AQ32" i="20"/>
  <c r="EW114" i="20"/>
  <c r="EX114" i="20" s="1"/>
  <c r="EW174" i="20"/>
  <c r="EX174" i="20" s="1"/>
  <c r="CQ112" i="20"/>
  <c r="DS112" i="20"/>
  <c r="DQ174" i="20"/>
  <c r="DR174" i="20" s="1"/>
  <c r="AU224" i="20"/>
  <c r="AR224" i="20"/>
  <c r="FK200" i="20"/>
  <c r="FM200" i="20" s="1"/>
  <c r="DE200" i="20"/>
  <c r="AD200" i="20"/>
  <c r="AW71" i="5"/>
  <c r="CH71" i="5" s="1"/>
  <c r="AW65" i="5"/>
  <c r="CH65" i="5" s="1"/>
  <c r="AW73" i="5"/>
  <c r="CH73" i="5" s="1"/>
  <c r="AW61" i="5"/>
  <c r="CH61" i="5" s="1"/>
  <c r="AW53" i="5"/>
  <c r="CH53" i="5" s="1"/>
  <c r="DX28" i="5"/>
  <c r="DL28" i="5"/>
  <c r="DM28" i="5" s="1"/>
  <c r="DM223" i="5"/>
  <c r="AW81" i="5"/>
  <c r="CH81" i="5" s="1"/>
  <c r="AW85" i="5"/>
  <c r="CH85" i="5" s="1"/>
  <c r="DO208" i="5"/>
  <c r="AP208" i="5"/>
  <c r="AQ208" i="5" s="1"/>
  <c r="EM206" i="5"/>
  <c r="EL206" i="5"/>
  <c r="CR83" i="5"/>
  <c r="FC83" i="5"/>
  <c r="CQ85" i="5"/>
  <c r="FD85" i="5"/>
  <c r="AW55" i="5"/>
  <c r="CH55" i="5" s="1"/>
  <c r="EA86" i="5"/>
  <c r="EB86" i="5"/>
  <c r="EA82" i="5"/>
  <c r="EB82" i="5"/>
  <c r="EB59" i="5"/>
  <c r="EA59" i="5"/>
  <c r="CR80" i="5"/>
  <c r="FC80" i="5"/>
  <c r="CQ68" i="5"/>
  <c r="FD68" i="5"/>
  <c r="EL30" i="5"/>
  <c r="EM30" i="5"/>
  <c r="AW72" i="5"/>
  <c r="CH72" i="5" s="1"/>
  <c r="BF73" i="5"/>
  <c r="BH73" i="5" s="1"/>
  <c r="BG73" i="5"/>
  <c r="CR71" i="5"/>
  <c r="FC71" i="5"/>
  <c r="AN118" i="5"/>
  <c r="DO118" i="5" s="1"/>
  <c r="AK118" i="5"/>
  <c r="DI115" i="5"/>
  <c r="DJ115" i="5"/>
  <c r="DI206" i="5"/>
  <c r="DJ206" i="5"/>
  <c r="AW54" i="5"/>
  <c r="CH54" i="5" s="1"/>
  <c r="BF58" i="5"/>
  <c r="BH58" i="5" s="1"/>
  <c r="BG58" i="5"/>
  <c r="EB85" i="5"/>
  <c r="EA85" i="5"/>
  <c r="DH226" i="5"/>
  <c r="EG226" i="5"/>
  <c r="EJ226" i="5" s="1"/>
  <c r="EK226" i="5" s="1"/>
  <c r="CR57" i="5"/>
  <c r="FC57" i="5"/>
  <c r="BG54" i="5"/>
  <c r="BF54" i="5"/>
  <c r="BH54" i="5" s="1"/>
  <c r="AW70" i="5"/>
  <c r="CH70" i="5" s="1"/>
  <c r="BV67" i="5"/>
  <c r="CC67" i="5" s="1"/>
  <c r="CE67" i="5" s="1"/>
  <c r="CJ67" i="5" s="1"/>
  <c r="BF72" i="5"/>
  <c r="BH72" i="5" s="1"/>
  <c r="BG72" i="5"/>
  <c r="CR82" i="5"/>
  <c r="FC82" i="5"/>
  <c r="EV113" i="5"/>
  <c r="AW82" i="5"/>
  <c r="CH82" i="5" s="1"/>
  <c r="AW64" i="5"/>
  <c r="EA65" i="5"/>
  <c r="EB65" i="5"/>
  <c r="BF56" i="5"/>
  <c r="BH56" i="5" s="1"/>
  <c r="BG56" i="5"/>
  <c r="CR55" i="5"/>
  <c r="FC55" i="5"/>
  <c r="AO31" i="5"/>
  <c r="AL31" i="5"/>
  <c r="EQ205" i="5"/>
  <c r="ER205" i="5" s="1"/>
  <c r="BF74" i="5"/>
  <c r="BH74" i="5" s="1"/>
  <c r="BG74" i="5"/>
  <c r="AW80" i="5"/>
  <c r="CH80" i="5" s="1"/>
  <c r="EA68" i="5"/>
  <c r="EB68" i="5"/>
  <c r="EL225" i="5"/>
  <c r="EM225" i="5"/>
  <c r="DH181" i="5"/>
  <c r="EG181" i="5"/>
  <c r="EJ181" i="5" s="1"/>
  <c r="EK181" i="5" s="1"/>
  <c r="AW59" i="5"/>
  <c r="CH59" i="5" s="1"/>
  <c r="BV63" i="5"/>
  <c r="CC63" i="5" s="1"/>
  <c r="CE63" i="5" s="1"/>
  <c r="BV58" i="5"/>
  <c r="CC58" i="5" s="1"/>
  <c r="CE58" i="5" s="1"/>
  <c r="CJ58" i="5" s="1"/>
  <c r="EA61" i="5"/>
  <c r="EB61" i="5"/>
  <c r="CR85" i="5"/>
  <c r="FC85" i="5"/>
  <c r="AW67" i="5"/>
  <c r="CH67" i="5" s="1"/>
  <c r="BV54" i="5"/>
  <c r="CC54" i="5" s="1"/>
  <c r="CE54" i="5" s="1"/>
  <c r="CJ54" i="5" s="1"/>
  <c r="EQ114" i="5"/>
  <c r="ER114" i="5" s="1"/>
  <c r="DK179" i="5"/>
  <c r="DL179" i="5" s="1"/>
  <c r="CM4" i="5"/>
  <c r="CM9" i="5"/>
  <c r="CM3" i="5"/>
  <c r="CM8" i="5"/>
  <c r="CM1" i="5"/>
  <c r="CM2" i="5" s="1"/>
  <c r="CM6" i="5"/>
  <c r="CM7" i="5" s="1"/>
  <c r="CR53" i="5"/>
  <c r="FC53" i="5"/>
  <c r="BV72" i="5"/>
  <c r="CC72" i="5" s="1"/>
  <c r="CE72" i="5" s="1"/>
  <c r="CJ72" i="5" s="1"/>
  <c r="DH207" i="5"/>
  <c r="EG207" i="5"/>
  <c r="EJ207" i="5" s="1"/>
  <c r="EK207" i="5" s="1"/>
  <c r="CR65" i="5"/>
  <c r="FC65" i="5"/>
  <c r="CR84" i="5"/>
  <c r="FC84" i="5"/>
  <c r="EG31" i="5"/>
  <c r="EJ31" i="5" s="1"/>
  <c r="EK31" i="5" s="1"/>
  <c r="BV74" i="5"/>
  <c r="CC74" i="5" s="1"/>
  <c r="CE74" i="5" s="1"/>
  <c r="CJ74" i="5" s="1"/>
  <c r="BF80" i="5"/>
  <c r="BH80" i="5" s="1"/>
  <c r="BG80" i="5"/>
  <c r="CR87" i="5"/>
  <c r="FC87" i="5"/>
  <c r="DI225" i="5"/>
  <c r="DJ225" i="5"/>
  <c r="BF71" i="5"/>
  <c r="BH71" i="5" s="1"/>
  <c r="BG71" i="5"/>
  <c r="DK224" i="5"/>
  <c r="DL224" i="5" s="1"/>
  <c r="EA58" i="5"/>
  <c r="EB58" i="5"/>
  <c r="FC61" i="5"/>
  <c r="CR61" i="5"/>
  <c r="DM204" i="5"/>
  <c r="CK204" i="5"/>
  <c r="AL182" i="5"/>
  <c r="AO182" i="5"/>
  <c r="BF57" i="5"/>
  <c r="BH57" i="5" s="1"/>
  <c r="BG57" i="5"/>
  <c r="CQ75" i="5"/>
  <c r="FD75" i="5"/>
  <c r="EA72" i="5"/>
  <c r="EB72" i="5"/>
  <c r="DK205" i="5"/>
  <c r="DL205" i="5" s="1"/>
  <c r="AW56" i="5"/>
  <c r="CH56" i="5" s="1"/>
  <c r="CR81" i="5"/>
  <c r="FC81" i="5"/>
  <c r="BG55" i="5"/>
  <c r="BF55" i="5"/>
  <c r="BH55" i="5" s="1"/>
  <c r="AJ33" i="5"/>
  <c r="AN32" i="5"/>
  <c r="DO32" i="5" s="1"/>
  <c r="AK32" i="5"/>
  <c r="EA74" i="5"/>
  <c r="EB74" i="5"/>
  <c r="FC70" i="5"/>
  <c r="CR70" i="5"/>
  <c r="BV80" i="5"/>
  <c r="CC80" i="5" s="1"/>
  <c r="CE80" i="5" s="1"/>
  <c r="CJ80" i="5" s="1"/>
  <c r="EA64" i="5"/>
  <c r="EB64" i="5"/>
  <c r="EQ29" i="5"/>
  <c r="ER29" i="5" s="1"/>
  <c r="AW87" i="5"/>
  <c r="CH87" i="5" s="1"/>
  <c r="AL227" i="5"/>
  <c r="AO227" i="5"/>
  <c r="EA63" i="5"/>
  <c r="EB63" i="5"/>
  <c r="BF61" i="5"/>
  <c r="BH61" i="5" s="1"/>
  <c r="BG61" i="5"/>
  <c r="DK114" i="5"/>
  <c r="DO182" i="5"/>
  <c r="AP182" i="5"/>
  <c r="AQ182" i="5" s="1"/>
  <c r="AW83" i="5"/>
  <c r="CH83" i="5" s="1"/>
  <c r="BV57" i="5"/>
  <c r="CC57" i="5" s="1"/>
  <c r="CE57" i="5" s="1"/>
  <c r="CJ57" i="5" s="1"/>
  <c r="EA75" i="5"/>
  <c r="EB75" i="5"/>
  <c r="FC86" i="5"/>
  <c r="CR86" i="5"/>
  <c r="BF53" i="5"/>
  <c r="BH53" i="5" s="1"/>
  <c r="BG53" i="5"/>
  <c r="EL180" i="5"/>
  <c r="EM180" i="5"/>
  <c r="AW68" i="5"/>
  <c r="CH68" i="5" s="1"/>
  <c r="BV81" i="5"/>
  <c r="CC81" i="5" s="1"/>
  <c r="CE81" i="5" s="1"/>
  <c r="CJ81" i="5" s="1"/>
  <c r="BF65" i="5"/>
  <c r="BH65" i="5" s="1"/>
  <c r="BG65" i="5"/>
  <c r="BI65" i="5" s="1"/>
  <c r="BF84" i="5"/>
  <c r="BH84" i="5" s="1"/>
  <c r="BG84" i="5"/>
  <c r="BV55" i="5"/>
  <c r="CC55" i="5" s="1"/>
  <c r="CE55" i="5" s="1"/>
  <c r="CJ55" i="5" s="1"/>
  <c r="CR59" i="5"/>
  <c r="FC59" i="5"/>
  <c r="EA80" i="5"/>
  <c r="EB80" i="5"/>
  <c r="BV87" i="5"/>
  <c r="CC87" i="5" s="1"/>
  <c r="CE87" i="5" s="1"/>
  <c r="CJ87" i="5" s="1"/>
  <c r="BV73" i="5"/>
  <c r="CC73" i="5" s="1"/>
  <c r="CE73" i="5" s="1"/>
  <c r="CJ73" i="5" s="1"/>
  <c r="DY4" i="5"/>
  <c r="AN183" i="5"/>
  <c r="AK183" i="5"/>
  <c r="DO227" i="5"/>
  <c r="AP227" i="5"/>
  <c r="AQ227" i="5" s="1"/>
  <c r="BG83" i="5"/>
  <c r="BF83" i="5"/>
  <c r="BH83" i="5" s="1"/>
  <c r="FD61" i="5"/>
  <c r="CQ61" i="5"/>
  <c r="AW57" i="5"/>
  <c r="CH57" i="5" s="1"/>
  <c r="EA57" i="5"/>
  <c r="EB57" i="5"/>
  <c r="CR75" i="5"/>
  <c r="FC75" i="5"/>
  <c r="EA67" i="5"/>
  <c r="EB67" i="5"/>
  <c r="FD53" i="5"/>
  <c r="CQ53" i="5"/>
  <c r="CI1" i="5"/>
  <c r="BZ3" i="5"/>
  <c r="CI6" i="5"/>
  <c r="CI7" i="5" s="1"/>
  <c r="BZ1" i="5"/>
  <c r="CI4" i="5"/>
  <c r="CI9" i="5"/>
  <c r="CI3" i="5"/>
  <c r="CI8" i="5"/>
  <c r="BZ4" i="5"/>
  <c r="DI180" i="5"/>
  <c r="DJ180" i="5"/>
  <c r="EB81" i="5"/>
  <c r="EA81" i="5"/>
  <c r="BV56" i="5"/>
  <c r="CC56" i="5" s="1"/>
  <c r="CE56" i="5" s="1"/>
  <c r="CJ56" i="5" s="1"/>
  <c r="BV84" i="5"/>
  <c r="CC84" i="5" s="1"/>
  <c r="CE84" i="5" s="1"/>
  <c r="CJ84" i="5" s="1"/>
  <c r="EB55" i="5"/>
  <c r="EA55" i="5"/>
  <c r="BF70" i="5"/>
  <c r="BH70" i="5" s="1"/>
  <c r="BG70" i="5"/>
  <c r="FC68" i="5"/>
  <c r="CR68" i="5"/>
  <c r="BG87" i="5"/>
  <c r="BF87" i="5"/>
  <c r="BH87" i="5" s="1"/>
  <c r="AL117" i="5"/>
  <c r="AO117" i="5"/>
  <c r="EA73" i="5"/>
  <c r="EB73" i="5"/>
  <c r="BG64" i="5"/>
  <c r="BF64" i="5"/>
  <c r="BH64" i="5" s="1"/>
  <c r="DY3" i="5"/>
  <c r="AN228" i="5"/>
  <c r="AK228" i="5"/>
  <c r="AW63" i="5"/>
  <c r="AW74" i="5"/>
  <c r="CH74" i="5" s="1"/>
  <c r="BF63" i="5"/>
  <c r="BH63" i="5" s="1"/>
  <c r="BG63" i="5"/>
  <c r="CQ83" i="5"/>
  <c r="FD83" i="5"/>
  <c r="AW75" i="5"/>
  <c r="CH75" i="5" s="1"/>
  <c r="FC54" i="5"/>
  <c r="CR54" i="5"/>
  <c r="BF86" i="5"/>
  <c r="BH86" i="5" s="1"/>
  <c r="BG86" i="5"/>
  <c r="FC67" i="5"/>
  <c r="CR67" i="5"/>
  <c r="AW86" i="5"/>
  <c r="CH86" i="5" s="1"/>
  <c r="EB53" i="5"/>
  <c r="EA53" i="5"/>
  <c r="BF82" i="5"/>
  <c r="BH82" i="5" s="1"/>
  <c r="BG82" i="5"/>
  <c r="EQ179" i="5"/>
  <c r="ER179" i="5" s="1"/>
  <c r="AW84" i="5"/>
  <c r="CH84" i="5" s="1"/>
  <c r="EA56" i="5"/>
  <c r="EB56" i="5"/>
  <c r="EA84" i="5"/>
  <c r="EB84" i="5"/>
  <c r="DH116" i="5"/>
  <c r="EG116" i="5"/>
  <c r="EJ116" i="5" s="1"/>
  <c r="EK116" i="5" s="1"/>
  <c r="BG59" i="5"/>
  <c r="BF59" i="5"/>
  <c r="BH59" i="5" s="1"/>
  <c r="FD70" i="5"/>
  <c r="CQ70" i="5"/>
  <c r="BF68" i="5"/>
  <c r="BH68" i="5" s="1"/>
  <c r="BG68" i="5"/>
  <c r="EB87" i="5"/>
  <c r="EA87" i="5"/>
  <c r="DO117" i="5"/>
  <c r="AP117" i="5"/>
  <c r="AQ117" i="5" s="1"/>
  <c r="CR73" i="5"/>
  <c r="FC73" i="5"/>
  <c r="BV71" i="5"/>
  <c r="CC71" i="5" s="1"/>
  <c r="CE71" i="5" s="1"/>
  <c r="CJ71" i="5" s="1"/>
  <c r="AN209" i="5"/>
  <c r="AK209" i="5"/>
  <c r="EL115" i="5"/>
  <c r="EM115" i="5"/>
  <c r="AL208" i="5"/>
  <c r="AO208" i="5"/>
  <c r="FC58" i="5"/>
  <c r="CR58" i="5"/>
  <c r="EA83" i="5"/>
  <c r="EB83" i="5"/>
  <c r="BF85" i="5"/>
  <c r="BH85" i="5" s="1"/>
  <c r="BG85" i="5"/>
  <c r="EQ224" i="5"/>
  <c r="ER224" i="5" s="1"/>
  <c r="EA54" i="5"/>
  <c r="EB54" i="5"/>
  <c r="BF75" i="5"/>
  <c r="BH75" i="5" s="1"/>
  <c r="BG75" i="5"/>
  <c r="BV86" i="5"/>
  <c r="CC86" i="5" s="1"/>
  <c r="CE86" i="5" s="1"/>
  <c r="CJ86" i="5" s="1"/>
  <c r="BG67" i="5"/>
  <c r="BF67" i="5"/>
  <c r="BH67" i="5" s="1"/>
  <c r="DM178" i="5"/>
  <c r="CK178" i="5"/>
  <c r="FC72" i="5"/>
  <c r="CR72" i="5"/>
  <c r="DL110" i="5"/>
  <c r="DM110" i="5" s="1"/>
  <c r="DX110" i="5"/>
  <c r="BG81" i="5"/>
  <c r="BF81" i="5"/>
  <c r="BH81" i="5" s="1"/>
  <c r="CR56" i="5"/>
  <c r="FC56" i="5"/>
  <c r="AW58" i="5"/>
  <c r="CH58" i="5" s="1"/>
  <c r="FC74" i="5"/>
  <c r="CR74" i="5"/>
  <c r="BV59" i="5"/>
  <c r="CC59" i="5" s="1"/>
  <c r="CE59" i="5" s="1"/>
  <c r="CJ59" i="5" s="1"/>
  <c r="EA70" i="5"/>
  <c r="EB70" i="5"/>
  <c r="EA71" i="5"/>
  <c r="EB71" i="5"/>
  <c r="AJ119" i="5"/>
  <c r="AJ210" i="5"/>
  <c r="X204" i="5"/>
  <c r="AJ229" i="5"/>
  <c r="AJ184" i="5"/>
  <c r="X177" i="5"/>
  <c r="DS223" i="21" l="1"/>
  <c r="CQ223" i="21"/>
  <c r="FL115" i="21"/>
  <c r="CZ115" i="21"/>
  <c r="CQ115" i="21"/>
  <c r="DS115" i="21"/>
  <c r="DS200" i="21"/>
  <c r="CQ200" i="21"/>
  <c r="ED30" i="21"/>
  <c r="DR30" i="21"/>
  <c r="DS30" i="21" s="1"/>
  <c r="DS174" i="21"/>
  <c r="CQ174" i="21"/>
  <c r="EW117" i="21"/>
  <c r="EX117" i="21" s="1"/>
  <c r="DS117" i="21" s="1"/>
  <c r="DO225" i="21"/>
  <c r="DP225" i="21"/>
  <c r="AT120" i="21"/>
  <c r="AP121" i="21"/>
  <c r="AQ120" i="21"/>
  <c r="FB116" i="21"/>
  <c r="ED116" i="21" s="1"/>
  <c r="CR116" i="21" s="1"/>
  <c r="EW116" i="21"/>
  <c r="EX116" i="21" s="1"/>
  <c r="ES202" i="21"/>
  <c r="ER202" i="21"/>
  <c r="AU204" i="21"/>
  <c r="AR204" i="21"/>
  <c r="EX224" i="21"/>
  <c r="EW224" i="21"/>
  <c r="DP202" i="21"/>
  <c r="DO202" i="21"/>
  <c r="ER225" i="21"/>
  <c r="ES225" i="21"/>
  <c r="AP180" i="21"/>
  <c r="AT179" i="21"/>
  <c r="AQ179" i="21"/>
  <c r="AU119" i="21"/>
  <c r="AR119" i="21"/>
  <c r="AP206" i="21"/>
  <c r="AT205" i="21"/>
  <c r="AQ205" i="21"/>
  <c r="AU33" i="21"/>
  <c r="AR33" i="21"/>
  <c r="DQ116" i="21"/>
  <c r="DR116" i="21" s="1"/>
  <c r="DQ201" i="21"/>
  <c r="DR201" i="21" s="1"/>
  <c r="DU178" i="21"/>
  <c r="AV178" i="21"/>
  <c r="AW178" i="21" s="1"/>
  <c r="EX115" i="21"/>
  <c r="AU227" i="21"/>
  <c r="AR227" i="21"/>
  <c r="AP35" i="21"/>
  <c r="AT34" i="21"/>
  <c r="DU34" i="21" s="1"/>
  <c r="AQ34" i="21"/>
  <c r="AR178" i="21"/>
  <c r="AU178" i="21"/>
  <c r="DN203" i="21"/>
  <c r="EM203" i="21"/>
  <c r="EP203" i="21" s="1"/>
  <c r="EQ203" i="21" s="1"/>
  <c r="DU227" i="21"/>
  <c r="AV227" i="21"/>
  <c r="AW227" i="21" s="1"/>
  <c r="AP229" i="21"/>
  <c r="AT228" i="21"/>
  <c r="AQ228" i="21"/>
  <c r="DU204" i="21"/>
  <c r="AV204" i="21"/>
  <c r="AW204" i="21" s="1"/>
  <c r="DQ175" i="21"/>
  <c r="DR175" i="21" s="1"/>
  <c r="EW31" i="21"/>
  <c r="EX31" i="21" s="1"/>
  <c r="EX30" i="21"/>
  <c r="DO176" i="21"/>
  <c r="DP176" i="21"/>
  <c r="FK199" i="21"/>
  <c r="FM199" i="21" s="1"/>
  <c r="AD199" i="21"/>
  <c r="CY199" i="21"/>
  <c r="DE173" i="21"/>
  <c r="AD173" i="21"/>
  <c r="FK173" i="21"/>
  <c r="FM173" i="21" s="1"/>
  <c r="ES32" i="21"/>
  <c r="ER32" i="21"/>
  <c r="DU119" i="21"/>
  <c r="AV119" i="21"/>
  <c r="AW119" i="21" s="1"/>
  <c r="DN177" i="21"/>
  <c r="EM177" i="21"/>
  <c r="EP177" i="21" s="1"/>
  <c r="EQ177" i="21" s="1"/>
  <c r="EW175" i="21"/>
  <c r="EX175" i="21" s="1"/>
  <c r="DN118" i="21"/>
  <c r="EM118" i="21"/>
  <c r="EP118" i="21" s="1"/>
  <c r="EQ118" i="21" s="1"/>
  <c r="CY114" i="21"/>
  <c r="FK114" i="21"/>
  <c r="FM114" i="21" s="1"/>
  <c r="AD114" i="21"/>
  <c r="DQ224" i="21"/>
  <c r="DR224" i="21" s="1"/>
  <c r="EW201" i="21"/>
  <c r="EX201" i="21" s="1"/>
  <c r="DN226" i="21"/>
  <c r="EM226" i="21"/>
  <c r="EP226" i="21" s="1"/>
  <c r="EQ226" i="21" s="1"/>
  <c r="EM33" i="21"/>
  <c r="EP33" i="21" s="1"/>
  <c r="EQ33" i="21" s="1"/>
  <c r="ES176" i="21"/>
  <c r="ER176" i="21"/>
  <c r="CZ113" i="20"/>
  <c r="FB114" i="20"/>
  <c r="ED114" i="20" s="1"/>
  <c r="CR114" i="20" s="1"/>
  <c r="FL114" i="20" s="1"/>
  <c r="DR113" i="20"/>
  <c r="CQ82" i="5"/>
  <c r="BI70" i="5"/>
  <c r="BI55" i="5"/>
  <c r="BJ55" i="5" s="1"/>
  <c r="EC55" i="5" s="1"/>
  <c r="BI57" i="5"/>
  <c r="FD65" i="5"/>
  <c r="BI81" i="5"/>
  <c r="BI67" i="5"/>
  <c r="BJ67" i="5" s="1"/>
  <c r="EC67" i="5" s="1"/>
  <c r="BI73" i="5"/>
  <c r="CA3" i="5"/>
  <c r="EV114" i="5"/>
  <c r="DX114" i="5" s="1"/>
  <c r="CL114" i="5" s="1"/>
  <c r="FF114" i="5" s="1"/>
  <c r="BI56" i="5"/>
  <c r="BI74" i="5"/>
  <c r="BJ74" i="5" s="1"/>
  <c r="EC74" i="5" s="1"/>
  <c r="BI85" i="5"/>
  <c r="BI59" i="5"/>
  <c r="BI64" i="5"/>
  <c r="BJ64" i="5" s="1"/>
  <c r="EC64" i="5" s="1"/>
  <c r="BI61" i="5"/>
  <c r="CJ1" i="5"/>
  <c r="CA2" i="5" s="1"/>
  <c r="BI75" i="5"/>
  <c r="BI58" i="5"/>
  <c r="DS221" i="20"/>
  <c r="CQ221" i="20"/>
  <c r="DU225" i="20"/>
  <c r="AV225" i="20"/>
  <c r="AW225" i="20" s="1"/>
  <c r="DQ203" i="20"/>
  <c r="DR203" i="20" s="1"/>
  <c r="ES116" i="20"/>
  <c r="ER116" i="20"/>
  <c r="FK201" i="20"/>
  <c r="FM201" i="20" s="1"/>
  <c r="DE201" i="20"/>
  <c r="AD201" i="20"/>
  <c r="ES204" i="20"/>
  <c r="ER204" i="20"/>
  <c r="AT119" i="20"/>
  <c r="AP120" i="20"/>
  <c r="AQ119" i="20"/>
  <c r="DO116" i="20"/>
  <c r="DP116" i="20"/>
  <c r="ES223" i="20"/>
  <c r="ER223" i="20"/>
  <c r="FB29" i="20"/>
  <c r="AP208" i="20"/>
  <c r="AT207" i="20"/>
  <c r="AQ207" i="20"/>
  <c r="AU118" i="20"/>
  <c r="AR118" i="20"/>
  <c r="ED28" i="20"/>
  <c r="DR28" i="20"/>
  <c r="DS28" i="20" s="1"/>
  <c r="DS174" i="20"/>
  <c r="CQ174" i="20"/>
  <c r="DQ115" i="20"/>
  <c r="DO204" i="20"/>
  <c r="DP204" i="20"/>
  <c r="DP223" i="20"/>
  <c r="DO223" i="20"/>
  <c r="DU206" i="20"/>
  <c r="AV206" i="20"/>
  <c r="AW206" i="20" s="1"/>
  <c r="AU32" i="20"/>
  <c r="AR32" i="20"/>
  <c r="EW222" i="20"/>
  <c r="EX222" i="20" s="1"/>
  <c r="ES117" i="20"/>
  <c r="ER117" i="20"/>
  <c r="EW203" i="20"/>
  <c r="EX203" i="20" s="1"/>
  <c r="DQ222" i="20"/>
  <c r="DR222" i="20" s="1"/>
  <c r="EW175" i="20"/>
  <c r="EX175" i="20" s="1"/>
  <c r="CY220" i="20"/>
  <c r="FK220" i="20"/>
  <c r="FM220" i="20" s="1"/>
  <c r="AD220" i="20"/>
  <c r="ER31" i="20"/>
  <c r="ES31" i="20"/>
  <c r="AU178" i="20"/>
  <c r="AR178" i="20"/>
  <c r="ES176" i="20"/>
  <c r="ER176" i="20"/>
  <c r="DU178" i="20"/>
  <c r="AV178" i="20"/>
  <c r="AW178" i="20" s="1"/>
  <c r="AR225" i="20"/>
  <c r="AU225" i="20"/>
  <c r="DO176" i="20"/>
  <c r="DP176" i="20"/>
  <c r="EM32" i="20"/>
  <c r="EP32" i="20" s="1"/>
  <c r="EQ32" i="20" s="1"/>
  <c r="CY112" i="20"/>
  <c r="AD112" i="20"/>
  <c r="FK112" i="20"/>
  <c r="FM112" i="20" s="1"/>
  <c r="AP34" i="20"/>
  <c r="AT33" i="20"/>
  <c r="DU33" i="20" s="1"/>
  <c r="AQ33" i="20"/>
  <c r="DN205" i="20"/>
  <c r="EM205" i="20"/>
  <c r="EP205" i="20" s="1"/>
  <c r="EQ205" i="20" s="1"/>
  <c r="EW30" i="20"/>
  <c r="FB30" i="20" s="1"/>
  <c r="AP180" i="20"/>
  <c r="AT179" i="20"/>
  <c r="AQ179" i="20"/>
  <c r="DN177" i="20"/>
  <c r="EM177" i="20"/>
  <c r="EP177" i="20" s="1"/>
  <c r="EQ177" i="20" s="1"/>
  <c r="AT226" i="20"/>
  <c r="AP227" i="20"/>
  <c r="AQ226" i="20"/>
  <c r="DQ175" i="20"/>
  <c r="DR175" i="20" s="1"/>
  <c r="DN224" i="20"/>
  <c r="EM224" i="20"/>
  <c r="EP224" i="20" s="1"/>
  <c r="EQ224" i="20" s="1"/>
  <c r="DS202" i="20"/>
  <c r="CQ202" i="20"/>
  <c r="DE173" i="20"/>
  <c r="AD173" i="20"/>
  <c r="FK173" i="20"/>
  <c r="FM173" i="20" s="1"/>
  <c r="EW115" i="20"/>
  <c r="EX115" i="20" s="1"/>
  <c r="DU118" i="20"/>
  <c r="AV118" i="20"/>
  <c r="AW118" i="20" s="1"/>
  <c r="AU206" i="20"/>
  <c r="AR206" i="20"/>
  <c r="DM179" i="5"/>
  <c r="CK179" i="5"/>
  <c r="DG53" i="5"/>
  <c r="FB74" i="5"/>
  <c r="CP74" i="5"/>
  <c r="CJ4" i="5"/>
  <c r="CQ87" i="5"/>
  <c r="FD87" i="5"/>
  <c r="AJ34" i="5"/>
  <c r="AN33" i="5"/>
  <c r="DO33" i="5" s="1"/>
  <c r="AK33" i="5"/>
  <c r="DM205" i="5"/>
  <c r="CK205" i="5"/>
  <c r="DM224" i="5"/>
  <c r="CK224" i="5"/>
  <c r="EL207" i="5"/>
  <c r="EM207" i="5"/>
  <c r="DG65" i="5"/>
  <c r="DG82" i="5"/>
  <c r="FB81" i="5"/>
  <c r="CP81" i="5"/>
  <c r="AN210" i="5"/>
  <c r="AK210" i="5"/>
  <c r="DG73" i="5"/>
  <c r="AN119" i="5"/>
  <c r="AK119" i="5"/>
  <c r="BJ81" i="5"/>
  <c r="EC81" i="5" s="1"/>
  <c r="BJ59" i="5"/>
  <c r="EC59" i="5" s="1"/>
  <c r="CP84" i="5"/>
  <c r="FB84" i="5"/>
  <c r="CP86" i="5"/>
  <c r="FB86" i="5"/>
  <c r="BJ70" i="5"/>
  <c r="EC70" i="5" s="1"/>
  <c r="DK180" i="5"/>
  <c r="DL180" i="5" s="1"/>
  <c r="CA1" i="5"/>
  <c r="BI83" i="5"/>
  <c r="BJ83" i="5" s="1"/>
  <c r="EC83" i="5" s="1"/>
  <c r="DG80" i="5"/>
  <c r="BJ65" i="5"/>
  <c r="EC65" i="5" s="1"/>
  <c r="DH182" i="5"/>
  <c r="EG182" i="5"/>
  <c r="EJ182" i="5" s="1"/>
  <c r="EK182" i="5" s="1"/>
  <c r="FD80" i="5"/>
  <c r="CQ80" i="5"/>
  <c r="DG72" i="5"/>
  <c r="CY204" i="5"/>
  <c r="FE204" i="5"/>
  <c r="FG204" i="5" s="1"/>
  <c r="BI71" i="5"/>
  <c r="BJ71" i="5" s="1"/>
  <c r="EC71" i="5" s="1"/>
  <c r="FD74" i="5"/>
  <c r="CQ74" i="5"/>
  <c r="DI207" i="5"/>
  <c r="DJ207" i="5"/>
  <c r="FD58" i="5"/>
  <c r="CQ58" i="5"/>
  <c r="EQ225" i="5"/>
  <c r="ER225" i="5" s="1"/>
  <c r="BI72" i="5"/>
  <c r="BJ72" i="5" s="1"/>
  <c r="EC72" i="5" s="1"/>
  <c r="CP54" i="5"/>
  <c r="FB54" i="5"/>
  <c r="CP71" i="5"/>
  <c r="FB71" i="5"/>
  <c r="CI2" i="5"/>
  <c r="BZ2" i="5"/>
  <c r="CJ6" i="5"/>
  <c r="CJ7" i="5" s="1"/>
  <c r="DG57" i="5"/>
  <c r="CQ81" i="5"/>
  <c r="FD81" i="5"/>
  <c r="CQ54" i="5"/>
  <c r="FD54" i="5"/>
  <c r="DG68" i="5"/>
  <c r="EL226" i="5"/>
  <c r="EM226" i="5"/>
  <c r="DG86" i="5"/>
  <c r="EQ206" i="5"/>
  <c r="ER206" i="5" s="1"/>
  <c r="FB61" i="5"/>
  <c r="CP61" i="5"/>
  <c r="DG70" i="5"/>
  <c r="DH117" i="5"/>
  <c r="EG117" i="5"/>
  <c r="EJ117" i="5" s="1"/>
  <c r="EK117" i="5" s="1"/>
  <c r="CP75" i="5"/>
  <c r="FB75" i="5"/>
  <c r="FD86" i="5"/>
  <c r="CQ86" i="5"/>
  <c r="BJ85" i="5"/>
  <c r="EC85" i="5" s="1"/>
  <c r="EQ115" i="5"/>
  <c r="EV115" i="5" s="1"/>
  <c r="DX115" i="5" s="1"/>
  <c r="CL115" i="5" s="1"/>
  <c r="EL116" i="5"/>
  <c r="EM116" i="5"/>
  <c r="AL228" i="5"/>
  <c r="AO228" i="5"/>
  <c r="DG55" i="5"/>
  <c r="DH227" i="5"/>
  <c r="EG227" i="5"/>
  <c r="EJ227" i="5" s="1"/>
  <c r="EK227" i="5" s="1"/>
  <c r="DG75" i="5"/>
  <c r="CP87" i="5"/>
  <c r="FB87" i="5"/>
  <c r="EL31" i="5"/>
  <c r="EM31" i="5"/>
  <c r="FD67" i="5"/>
  <c r="CQ67" i="5"/>
  <c r="DI226" i="5"/>
  <c r="DJ226" i="5"/>
  <c r="DK206" i="5"/>
  <c r="DL206" i="5" s="1"/>
  <c r="BJ73" i="5"/>
  <c r="EC73" i="5" s="1"/>
  <c r="AL209" i="5"/>
  <c r="AO209" i="5"/>
  <c r="CP57" i="5"/>
  <c r="FB57" i="5"/>
  <c r="AO183" i="5"/>
  <c r="AL183" i="5"/>
  <c r="CP68" i="5"/>
  <c r="FB68" i="5"/>
  <c r="DG74" i="5"/>
  <c r="DK225" i="5"/>
  <c r="DL225" i="5" s="1"/>
  <c r="FD72" i="5"/>
  <c r="CQ72" i="5"/>
  <c r="CP67" i="5"/>
  <c r="FB67" i="5"/>
  <c r="FB59" i="5"/>
  <c r="CP59" i="5"/>
  <c r="FB80" i="5"/>
  <c r="CP80" i="5"/>
  <c r="CQ59" i="5"/>
  <c r="FD59" i="5"/>
  <c r="DG83" i="5"/>
  <c r="FD84" i="5"/>
  <c r="CQ84" i="5"/>
  <c r="AN184" i="5"/>
  <c r="AK184" i="5"/>
  <c r="BJ75" i="5"/>
  <c r="EC75" i="5" s="1"/>
  <c r="DO209" i="5"/>
  <c r="AP209" i="5"/>
  <c r="AQ209" i="5" s="1"/>
  <c r="BI68" i="5"/>
  <c r="DG84" i="5"/>
  <c r="BI82" i="5"/>
  <c r="BJ82" i="5" s="1"/>
  <c r="EC82" i="5" s="1"/>
  <c r="BI86" i="5"/>
  <c r="BJ86" i="5" s="1"/>
  <c r="EC86" i="5" s="1"/>
  <c r="BI63" i="5"/>
  <c r="BI87" i="5"/>
  <c r="BJ87" i="5" s="1"/>
  <c r="EC87" i="5" s="1"/>
  <c r="CQ56" i="5"/>
  <c r="FD56" i="5"/>
  <c r="CJ3" i="5"/>
  <c r="CA4" i="5"/>
  <c r="DO183" i="5"/>
  <c r="AP183" i="5"/>
  <c r="AQ183" i="5" s="1"/>
  <c r="CQ55" i="5"/>
  <c r="FD55" i="5"/>
  <c r="FD57" i="5"/>
  <c r="CQ57" i="5"/>
  <c r="BJ61" i="5"/>
  <c r="EC61" i="5" s="1"/>
  <c r="EV29" i="5"/>
  <c r="DG58" i="5"/>
  <c r="FL58" i="5"/>
  <c r="FL54" i="5"/>
  <c r="FL55" i="5"/>
  <c r="FL59" i="5"/>
  <c r="FL56" i="5"/>
  <c r="FL57" i="5"/>
  <c r="FL61" i="5"/>
  <c r="FL60" i="5"/>
  <c r="FL62" i="5"/>
  <c r="EL181" i="5"/>
  <c r="EM181" i="5"/>
  <c r="CP82" i="5"/>
  <c r="FB82" i="5"/>
  <c r="FB70" i="5"/>
  <c r="CP70" i="5"/>
  <c r="DG85" i="5"/>
  <c r="DK115" i="5"/>
  <c r="DL115" i="5" s="1"/>
  <c r="FB72" i="5"/>
  <c r="CP72" i="5"/>
  <c r="DG59" i="5"/>
  <c r="FB55" i="5"/>
  <c r="CP55" i="5"/>
  <c r="DH208" i="5"/>
  <c r="EG208" i="5"/>
  <c r="EJ208" i="5" s="1"/>
  <c r="EK208" i="5" s="1"/>
  <c r="CP73" i="5"/>
  <c r="FB73" i="5"/>
  <c r="DG87" i="5"/>
  <c r="DJ116" i="5"/>
  <c r="DI116" i="5"/>
  <c r="DG71" i="5"/>
  <c r="FB58" i="5"/>
  <c r="CP58" i="5"/>
  <c r="DG54" i="5"/>
  <c r="CQ71" i="5"/>
  <c r="FD71" i="5"/>
  <c r="BJ68" i="5"/>
  <c r="EC68" i="5" s="1"/>
  <c r="BJ63" i="5"/>
  <c r="EC63" i="5" s="1"/>
  <c r="CJ8" i="5"/>
  <c r="DG67" i="5"/>
  <c r="BI84" i="5"/>
  <c r="BJ84" i="5" s="1"/>
  <c r="EC84" i="5" s="1"/>
  <c r="EQ180" i="5"/>
  <c r="ER180" i="5" s="1"/>
  <c r="DG63" i="5"/>
  <c r="AL32" i="5"/>
  <c r="AO32" i="5"/>
  <c r="CP56" i="5"/>
  <c r="FB56" i="5"/>
  <c r="BJ57" i="5"/>
  <c r="EC57" i="5" s="1"/>
  <c r="CR1" i="5"/>
  <c r="CR2" i="5" s="1"/>
  <c r="CR6" i="5"/>
  <c r="CR7" i="5" s="1"/>
  <c r="CR4" i="5"/>
  <c r="CR9" i="5"/>
  <c r="CR3" i="5"/>
  <c r="CR8" i="5"/>
  <c r="DI181" i="5"/>
  <c r="DJ181" i="5"/>
  <c r="DX113" i="5"/>
  <c r="CL113" i="5" s="1"/>
  <c r="DL113" i="5"/>
  <c r="AL118" i="5"/>
  <c r="AO118" i="5"/>
  <c r="CP65" i="5"/>
  <c r="FB65" i="5"/>
  <c r="DO228" i="5"/>
  <c r="AP228" i="5"/>
  <c r="AQ228" i="5" s="1"/>
  <c r="AN229" i="5"/>
  <c r="AK229" i="5"/>
  <c r="CY178" i="5"/>
  <c r="FE178" i="5"/>
  <c r="FG178" i="5" s="1"/>
  <c r="DG56" i="5"/>
  <c r="DG81" i="5"/>
  <c r="CJ9" i="5"/>
  <c r="CQ73" i="5"/>
  <c r="FD73" i="5"/>
  <c r="BI53" i="5"/>
  <c r="BJ53" i="5" s="1"/>
  <c r="EC53" i="5" s="1"/>
  <c r="FB83" i="5"/>
  <c r="CP83" i="5"/>
  <c r="DG64" i="5"/>
  <c r="EG32" i="5"/>
  <c r="EJ32" i="5" s="1"/>
  <c r="EK32" i="5" s="1"/>
  <c r="BI80" i="5"/>
  <c r="BJ80" i="5" s="1"/>
  <c r="EC80" i="5" s="1"/>
  <c r="DG61" i="5"/>
  <c r="BJ56" i="5"/>
  <c r="EC56" i="5" s="1"/>
  <c r="BI54" i="5"/>
  <c r="BJ54" i="5" s="1"/>
  <c r="EC54" i="5" s="1"/>
  <c r="BJ58" i="5"/>
  <c r="EC58" i="5" s="1"/>
  <c r="EG118" i="5"/>
  <c r="EJ118" i="5" s="1"/>
  <c r="EK118" i="5" s="1"/>
  <c r="DL118" i="5"/>
  <c r="EQ30" i="5"/>
  <c r="EV30" i="5" s="1"/>
  <c r="FB85" i="5"/>
  <c r="CP85" i="5"/>
  <c r="BY1" i="5"/>
  <c r="CH4" i="5"/>
  <c r="CH3" i="5"/>
  <c r="CH8" i="5"/>
  <c r="BY4" i="5"/>
  <c r="CH1" i="5"/>
  <c r="BY3" i="5"/>
  <c r="CH6" i="5"/>
  <c r="CH7" i="5" s="1"/>
  <c r="CH9" i="5"/>
  <c r="FB53" i="5"/>
  <c r="CP53" i="5"/>
  <c r="AJ120" i="5"/>
  <c r="AJ211" i="5"/>
  <c r="AJ230" i="5"/>
  <c r="X178" i="5"/>
  <c r="AJ185" i="5"/>
  <c r="DS116" i="21" l="1"/>
  <c r="CQ116" i="21"/>
  <c r="DS201" i="21"/>
  <c r="CQ201" i="21"/>
  <c r="DS175" i="21"/>
  <c r="CQ175" i="21"/>
  <c r="DS224" i="21"/>
  <c r="CQ224" i="21"/>
  <c r="DN227" i="21"/>
  <c r="EM227" i="21"/>
  <c r="EP227" i="21" s="1"/>
  <c r="EQ227" i="21" s="1"/>
  <c r="ER203" i="21"/>
  <c r="ES203" i="21"/>
  <c r="EW32" i="21"/>
  <c r="FB32" i="21" s="1"/>
  <c r="DO203" i="21"/>
  <c r="DP203" i="21"/>
  <c r="AP181" i="21"/>
  <c r="AT180" i="21"/>
  <c r="AQ180" i="21"/>
  <c r="FK174" i="21"/>
  <c r="FM174" i="21" s="1"/>
  <c r="DE174" i="21"/>
  <c r="AD174" i="21"/>
  <c r="EW225" i="21"/>
  <c r="EX225" i="21" s="1"/>
  <c r="DU120" i="21"/>
  <c r="AV120" i="21"/>
  <c r="AW120" i="21" s="1"/>
  <c r="ES177" i="21"/>
  <c r="ER177" i="21"/>
  <c r="AU179" i="21"/>
  <c r="AR179" i="21"/>
  <c r="AT35" i="21"/>
  <c r="DU35" i="21" s="1"/>
  <c r="AP36" i="21"/>
  <c r="AQ35" i="21"/>
  <c r="AD200" i="21"/>
  <c r="DE200" i="21"/>
  <c r="FK200" i="21"/>
  <c r="FM200" i="21" s="1"/>
  <c r="AV228" i="21"/>
  <c r="AW228" i="21" s="1"/>
  <c r="DU228" i="21"/>
  <c r="DU179" i="21"/>
  <c r="AV179" i="21"/>
  <c r="AW179" i="21" s="1"/>
  <c r="EW176" i="21"/>
  <c r="EX176" i="21" s="1"/>
  <c r="DP177" i="21"/>
  <c r="DO177" i="21"/>
  <c r="DR202" i="21"/>
  <c r="DQ202" i="21"/>
  <c r="FK115" i="21"/>
  <c r="FM115" i="21" s="1"/>
  <c r="CY115" i="21"/>
  <c r="AD115" i="21"/>
  <c r="DQ176" i="21"/>
  <c r="DR176" i="21" s="1"/>
  <c r="DN204" i="21"/>
  <c r="EM204" i="21"/>
  <c r="EP204" i="21" s="1"/>
  <c r="EQ204" i="21" s="1"/>
  <c r="DN119" i="21"/>
  <c r="EM119" i="21"/>
  <c r="EP119" i="21" s="1"/>
  <c r="EQ119" i="21" s="1"/>
  <c r="DN178" i="21"/>
  <c r="EM178" i="21"/>
  <c r="EP178" i="21" s="1"/>
  <c r="EQ178" i="21" s="1"/>
  <c r="EX202" i="21"/>
  <c r="EW202" i="21"/>
  <c r="DU205" i="21"/>
  <c r="AV205" i="21"/>
  <c r="AW205" i="21" s="1"/>
  <c r="AP230" i="21"/>
  <c r="AT229" i="21"/>
  <c r="AQ229" i="21"/>
  <c r="ES33" i="21"/>
  <c r="ER33" i="21"/>
  <c r="AU34" i="21"/>
  <c r="AR34" i="21"/>
  <c r="AR228" i="21"/>
  <c r="AU228" i="21"/>
  <c r="EM34" i="21"/>
  <c r="EP34" i="21" s="1"/>
  <c r="EQ34" i="21" s="1"/>
  <c r="FB31" i="21"/>
  <c r="ES118" i="21"/>
  <c r="ER118" i="21"/>
  <c r="AU205" i="21"/>
  <c r="AR205" i="21"/>
  <c r="AP207" i="21"/>
  <c r="AT206" i="21"/>
  <c r="AQ206" i="21"/>
  <c r="DO118" i="21"/>
  <c r="DP118" i="21"/>
  <c r="FK223" i="21"/>
  <c r="FM223" i="21" s="1"/>
  <c r="AD223" i="21"/>
  <c r="CY223" i="21"/>
  <c r="AT121" i="21"/>
  <c r="AP122" i="21"/>
  <c r="AQ121" i="21"/>
  <c r="DQ225" i="21"/>
  <c r="DR225" i="21" s="1"/>
  <c r="ES226" i="21"/>
  <c r="ER226" i="21"/>
  <c r="DP226" i="21"/>
  <c r="DO226" i="21"/>
  <c r="CZ116" i="21"/>
  <c r="FL116" i="21"/>
  <c r="AU120" i="21"/>
  <c r="AR120" i="21"/>
  <c r="CZ114" i="20"/>
  <c r="DR114" i="20"/>
  <c r="DS114" i="20" s="1"/>
  <c r="CQ113" i="20"/>
  <c r="DS113" i="20"/>
  <c r="FB115" i="20"/>
  <c r="ED115" i="20" s="1"/>
  <c r="CR115" i="20" s="1"/>
  <c r="FL115" i="20" s="1"/>
  <c r="EX30" i="20"/>
  <c r="CJ2" i="5"/>
  <c r="FM62" i="5"/>
  <c r="CT114" i="5"/>
  <c r="CQ4" i="5"/>
  <c r="CQ1" i="5"/>
  <c r="CQ2" i="5" s="1"/>
  <c r="FM57" i="5"/>
  <c r="FM54" i="5"/>
  <c r="FM55" i="5"/>
  <c r="FM60" i="5"/>
  <c r="ER30" i="5"/>
  <c r="CQ3" i="5"/>
  <c r="DL114" i="5"/>
  <c r="ED30" i="20"/>
  <c r="DR30" i="20"/>
  <c r="DP224" i="20"/>
  <c r="DO224" i="20"/>
  <c r="AP181" i="20"/>
  <c r="AT180" i="20"/>
  <c r="AQ180" i="20"/>
  <c r="AT34" i="20"/>
  <c r="DU34" i="20" s="1"/>
  <c r="AP35" i="20"/>
  <c r="AQ34" i="20"/>
  <c r="AU226" i="20"/>
  <c r="AR226" i="20"/>
  <c r="DN178" i="20"/>
  <c r="EM178" i="20"/>
  <c r="EP178" i="20" s="1"/>
  <c r="EQ178" i="20" s="1"/>
  <c r="EW117" i="20"/>
  <c r="EX117" i="20" s="1"/>
  <c r="DS117" i="20" s="1"/>
  <c r="EW223" i="20"/>
  <c r="EX223" i="20" s="1"/>
  <c r="CY202" i="20"/>
  <c r="FK202" i="20"/>
  <c r="FM202" i="20" s="1"/>
  <c r="AD202" i="20"/>
  <c r="AP228" i="20"/>
  <c r="AT227" i="20"/>
  <c r="AQ227" i="20"/>
  <c r="EW176" i="20"/>
  <c r="EX176" i="20" s="1"/>
  <c r="DS175" i="20"/>
  <c r="CQ175" i="20"/>
  <c r="DN118" i="20"/>
  <c r="EM118" i="20"/>
  <c r="EP118" i="20" s="1"/>
  <c r="EQ118" i="20" s="1"/>
  <c r="DU226" i="20"/>
  <c r="AV226" i="20"/>
  <c r="AW226" i="20" s="1"/>
  <c r="DQ204" i="20"/>
  <c r="DR204" i="20" s="1"/>
  <c r="DN225" i="20"/>
  <c r="EM225" i="20"/>
  <c r="EP225" i="20" s="1"/>
  <c r="EQ225" i="20" s="1"/>
  <c r="ES205" i="20"/>
  <c r="ER205" i="20"/>
  <c r="DQ176" i="20"/>
  <c r="DR176" i="20" s="1"/>
  <c r="DQ116" i="20"/>
  <c r="AR179" i="20"/>
  <c r="AU179" i="20"/>
  <c r="ES177" i="20"/>
  <c r="ER177" i="20"/>
  <c r="ER224" i="20"/>
  <c r="ES224" i="20"/>
  <c r="DP177" i="20"/>
  <c r="DO177" i="20"/>
  <c r="DP205" i="20"/>
  <c r="DO205" i="20"/>
  <c r="AU207" i="20"/>
  <c r="AR207" i="20"/>
  <c r="AR119" i="20"/>
  <c r="AU119" i="20"/>
  <c r="FK221" i="20"/>
  <c r="FM221" i="20" s="1"/>
  <c r="AD221" i="20"/>
  <c r="CY221" i="20"/>
  <c r="AU33" i="20"/>
  <c r="AR33" i="20"/>
  <c r="DS222" i="20"/>
  <c r="DU207" i="20"/>
  <c r="AV207" i="20"/>
  <c r="AW207" i="20" s="1"/>
  <c r="AP121" i="20"/>
  <c r="AT120" i="20"/>
  <c r="AQ120" i="20"/>
  <c r="EW116" i="20"/>
  <c r="EX116" i="20" s="1"/>
  <c r="DU179" i="20"/>
  <c r="AV179" i="20"/>
  <c r="AW179" i="20" s="1"/>
  <c r="EM33" i="20"/>
  <c r="EP33" i="20" s="1"/>
  <c r="EQ33" i="20" s="1"/>
  <c r="EW31" i="20"/>
  <c r="FB31" i="20" s="1"/>
  <c r="DN206" i="20"/>
  <c r="EM206" i="20"/>
  <c r="EP206" i="20" s="1"/>
  <c r="EQ206" i="20" s="1"/>
  <c r="FK174" i="20"/>
  <c r="FM174" i="20" s="1"/>
  <c r="DE174" i="20"/>
  <c r="AD174" i="20"/>
  <c r="AP209" i="20"/>
  <c r="AT208" i="20"/>
  <c r="AQ208" i="20"/>
  <c r="DU119" i="20"/>
  <c r="AV119" i="20"/>
  <c r="AW119" i="20" s="1"/>
  <c r="ER32" i="20"/>
  <c r="ES32" i="20"/>
  <c r="DQ223" i="20"/>
  <c r="DR223" i="20" s="1"/>
  <c r="ED29" i="20"/>
  <c r="DR29" i="20"/>
  <c r="DS29" i="20" s="1"/>
  <c r="EW204" i="20"/>
  <c r="EX204" i="20" s="1"/>
  <c r="DS203" i="20"/>
  <c r="CQ203" i="20"/>
  <c r="CK115" i="5"/>
  <c r="DM206" i="5"/>
  <c r="CK206" i="5"/>
  <c r="FF115" i="5"/>
  <c r="CT115" i="5"/>
  <c r="DX30" i="5"/>
  <c r="DL30" i="5"/>
  <c r="DM225" i="5"/>
  <c r="CK225" i="5"/>
  <c r="FM56" i="5"/>
  <c r="CQ6" i="5"/>
  <c r="CQ7" i="5" s="1"/>
  <c r="ER115" i="5"/>
  <c r="DM115" i="5" s="1"/>
  <c r="DO210" i="5"/>
  <c r="AP210" i="5"/>
  <c r="AQ210" i="5" s="1"/>
  <c r="CS224" i="5"/>
  <c r="FE224" i="5"/>
  <c r="FG224" i="5" s="1"/>
  <c r="AN230" i="5"/>
  <c r="AK230" i="5"/>
  <c r="FK54" i="5"/>
  <c r="FK55" i="5"/>
  <c r="FK59" i="5"/>
  <c r="FK56" i="5"/>
  <c r="FK60" i="5"/>
  <c r="FK57" i="5"/>
  <c r="FK58" i="5"/>
  <c r="FK61" i="5"/>
  <c r="FK62" i="5"/>
  <c r="EL118" i="5"/>
  <c r="EM118" i="5"/>
  <c r="DK181" i="5"/>
  <c r="DL181" i="5" s="1"/>
  <c r="FM59" i="5"/>
  <c r="CQ9" i="5"/>
  <c r="DK207" i="5"/>
  <c r="DL207" i="5" s="1"/>
  <c r="AL119" i="5"/>
  <c r="AO119" i="5"/>
  <c r="DH183" i="5"/>
  <c r="EG183" i="5"/>
  <c r="EJ183" i="5" s="1"/>
  <c r="EK183" i="5" s="1"/>
  <c r="CP4" i="5"/>
  <c r="CP9" i="5"/>
  <c r="CP3" i="5"/>
  <c r="CP1" i="5"/>
  <c r="CP2" i="5" s="1"/>
  <c r="CP6" i="5"/>
  <c r="CP7" i="5" s="1"/>
  <c r="CP8" i="5"/>
  <c r="DH228" i="5"/>
  <c r="EG228" i="5"/>
  <c r="EJ228" i="5" s="1"/>
  <c r="EK228" i="5" s="1"/>
  <c r="AN211" i="5"/>
  <c r="AK211" i="5"/>
  <c r="DK116" i="5"/>
  <c r="EL208" i="5"/>
  <c r="EM208" i="5"/>
  <c r="DO119" i="5"/>
  <c r="AP119" i="5"/>
  <c r="AQ119" i="5" s="1"/>
  <c r="CY205" i="5"/>
  <c r="FE205" i="5"/>
  <c r="FG205" i="5" s="1"/>
  <c r="EL32" i="5"/>
  <c r="EM32" i="5"/>
  <c r="AN120" i="5"/>
  <c r="AK120" i="5"/>
  <c r="DI208" i="5"/>
  <c r="DJ208" i="5"/>
  <c r="DH209" i="5"/>
  <c r="EG209" i="5"/>
  <c r="EJ209" i="5" s="1"/>
  <c r="EK209" i="5" s="1"/>
  <c r="FM58" i="5"/>
  <c r="DK226" i="5"/>
  <c r="DL226" i="5" s="1"/>
  <c r="CQ8" i="5"/>
  <c r="AL33" i="5"/>
  <c r="AO33" i="5"/>
  <c r="FE179" i="5"/>
  <c r="FG179" i="5" s="1"/>
  <c r="CS179" i="5"/>
  <c r="CH2" i="5"/>
  <c r="BY2" i="5"/>
  <c r="AO229" i="5"/>
  <c r="AL229" i="5"/>
  <c r="DX29" i="5"/>
  <c r="DL29" i="5"/>
  <c r="DM29" i="5" s="1"/>
  <c r="AL184" i="5"/>
  <c r="AO184" i="5"/>
  <c r="FM61" i="5"/>
  <c r="EQ116" i="5"/>
  <c r="ER116" i="5" s="1"/>
  <c r="EQ226" i="5"/>
  <c r="ER226" i="5" s="1"/>
  <c r="EG33" i="5"/>
  <c r="EJ33" i="5" s="1"/>
  <c r="EK33" i="5" s="1"/>
  <c r="DO184" i="5"/>
  <c r="AP184" i="5"/>
  <c r="AQ184" i="5" s="1"/>
  <c r="EM227" i="5"/>
  <c r="EL227" i="5"/>
  <c r="EL117" i="5"/>
  <c r="EM117" i="5"/>
  <c r="EL182" i="5"/>
  <c r="EM182" i="5"/>
  <c r="EQ207" i="5"/>
  <c r="ER207" i="5" s="1"/>
  <c r="AJ35" i="5"/>
  <c r="AN34" i="5"/>
  <c r="DO34" i="5" s="1"/>
  <c r="AK34" i="5"/>
  <c r="DO229" i="5"/>
  <c r="AP229" i="5"/>
  <c r="AQ229" i="5" s="1"/>
  <c r="CK113" i="5"/>
  <c r="DM113" i="5"/>
  <c r="AN185" i="5"/>
  <c r="AK185" i="5"/>
  <c r="FF113" i="5"/>
  <c r="CT113" i="5"/>
  <c r="EQ181" i="5"/>
  <c r="ER181" i="5" s="1"/>
  <c r="FL65" i="5"/>
  <c r="EQ31" i="5"/>
  <c r="ER31" i="5" s="1"/>
  <c r="DI227" i="5"/>
  <c r="DJ227" i="5"/>
  <c r="DI117" i="5"/>
  <c r="DJ117" i="5"/>
  <c r="DJ182" i="5"/>
  <c r="DI182" i="5"/>
  <c r="DM180" i="5"/>
  <c r="CK180" i="5"/>
  <c r="AL210" i="5"/>
  <c r="AO210" i="5"/>
  <c r="AJ121" i="5"/>
  <c r="X205" i="5"/>
  <c r="AJ212" i="5"/>
  <c r="X179" i="5"/>
  <c r="AJ231" i="5"/>
  <c r="X224" i="5"/>
  <c r="AJ186" i="5"/>
  <c r="DS225" i="21" l="1"/>
  <c r="CQ225" i="21"/>
  <c r="DS176" i="21"/>
  <c r="CQ176" i="21"/>
  <c r="ED32" i="21"/>
  <c r="DR32" i="21"/>
  <c r="DN205" i="21"/>
  <c r="EM205" i="21"/>
  <c r="EP205" i="21" s="1"/>
  <c r="EQ205" i="21" s="1"/>
  <c r="AP182" i="21"/>
  <c r="AT181" i="21"/>
  <c r="AQ181" i="21"/>
  <c r="DN179" i="21"/>
  <c r="EM179" i="21"/>
  <c r="EP179" i="21" s="1"/>
  <c r="EQ179" i="21" s="1"/>
  <c r="DN228" i="21"/>
  <c r="EM228" i="21"/>
  <c r="EP228" i="21" s="1"/>
  <c r="EQ228" i="21" s="1"/>
  <c r="DQ203" i="21"/>
  <c r="DR203" i="21" s="1"/>
  <c r="DU229" i="21"/>
  <c r="AV229" i="21"/>
  <c r="AW229" i="21" s="1"/>
  <c r="AP231" i="21"/>
  <c r="AT230" i="21"/>
  <c r="AQ230" i="21"/>
  <c r="DU206" i="21"/>
  <c r="AV206" i="21"/>
  <c r="AW206" i="21" s="1"/>
  <c r="ER178" i="21"/>
  <c r="ES178" i="21"/>
  <c r="EX32" i="21"/>
  <c r="AT207" i="21"/>
  <c r="AP208" i="21"/>
  <c r="AQ207" i="21"/>
  <c r="DP178" i="21"/>
  <c r="DO178" i="21"/>
  <c r="EW203" i="21"/>
  <c r="EX203" i="21" s="1"/>
  <c r="EW118" i="21"/>
  <c r="FB118" i="21" s="1"/>
  <c r="ED118" i="21" s="1"/>
  <c r="CR118" i="21" s="1"/>
  <c r="DP119" i="21"/>
  <c r="DO119" i="21"/>
  <c r="AU35" i="21"/>
  <c r="AR35" i="21"/>
  <c r="ER227" i="21"/>
  <c r="ES227" i="21"/>
  <c r="ER204" i="21"/>
  <c r="ES204" i="21"/>
  <c r="AP37" i="21"/>
  <c r="AT36" i="21"/>
  <c r="DU36" i="21" s="1"/>
  <c r="AQ36" i="21"/>
  <c r="DO227" i="21"/>
  <c r="DP227" i="21"/>
  <c r="DQ118" i="21"/>
  <c r="DR118" i="21" s="1"/>
  <c r="ES119" i="21"/>
  <c r="ER119" i="21"/>
  <c r="EW226" i="21"/>
  <c r="EX226" i="21" s="1"/>
  <c r="DQ226" i="21"/>
  <c r="DR226" i="21" s="1"/>
  <c r="DS226" i="21" s="1"/>
  <c r="DO204" i="21"/>
  <c r="DP204" i="21"/>
  <c r="ES34" i="21"/>
  <c r="ER34" i="21"/>
  <c r="EW177" i="21"/>
  <c r="EX177" i="21" s="1"/>
  <c r="AD175" i="21"/>
  <c r="FK175" i="21"/>
  <c r="FM175" i="21" s="1"/>
  <c r="CY175" i="21"/>
  <c r="EM35" i="21"/>
  <c r="EP35" i="21" s="1"/>
  <c r="EQ35" i="21" s="1"/>
  <c r="AR180" i="21"/>
  <c r="AU180" i="21"/>
  <c r="AD201" i="21"/>
  <c r="FK201" i="21"/>
  <c r="FM201" i="21" s="1"/>
  <c r="DE201" i="21"/>
  <c r="AR206" i="21"/>
  <c r="AU206" i="21"/>
  <c r="CY224" i="21"/>
  <c r="AD224" i="21"/>
  <c r="FK224" i="21"/>
  <c r="FM224" i="21" s="1"/>
  <c r="AU121" i="21"/>
  <c r="AR121" i="21"/>
  <c r="DN120" i="21"/>
  <c r="EM120" i="21"/>
  <c r="EP120" i="21" s="1"/>
  <c r="EQ120" i="21" s="1"/>
  <c r="DU180" i="21"/>
  <c r="AV180" i="21"/>
  <c r="AW180" i="21" s="1"/>
  <c r="ED31" i="21"/>
  <c r="DR31" i="21"/>
  <c r="DS31" i="21" s="1"/>
  <c r="AT122" i="21"/>
  <c r="AP123" i="21"/>
  <c r="AQ122" i="21"/>
  <c r="FK116" i="21"/>
  <c r="FM116" i="21" s="1"/>
  <c r="AD116" i="21"/>
  <c r="CY116" i="21"/>
  <c r="AR229" i="21"/>
  <c r="AU229" i="21"/>
  <c r="DU121" i="21"/>
  <c r="AV121" i="21"/>
  <c r="AW121" i="21" s="1"/>
  <c r="EW33" i="21"/>
  <c r="EX33" i="21" s="1"/>
  <c r="DQ177" i="21"/>
  <c r="DR177" i="21" s="1"/>
  <c r="DS202" i="21"/>
  <c r="CQ202" i="21"/>
  <c r="DR115" i="20"/>
  <c r="CQ115" i="20" s="1"/>
  <c r="CY115" i="20" s="1"/>
  <c r="CZ115" i="20"/>
  <c r="CQ114" i="20"/>
  <c r="AD114" i="20" s="1"/>
  <c r="AD113" i="20"/>
  <c r="FK113" i="20"/>
  <c r="FM113" i="20" s="1"/>
  <c r="CY113" i="20"/>
  <c r="FB116" i="20"/>
  <c r="ED116" i="20" s="1"/>
  <c r="CR116" i="20" s="1"/>
  <c r="FL116" i="20" s="1"/>
  <c r="DS30" i="20"/>
  <c r="DM30" i="5"/>
  <c r="EV116" i="5"/>
  <c r="DX116" i="5" s="1"/>
  <c r="CL116" i="5" s="1"/>
  <c r="CT116" i="5" s="1"/>
  <c r="DM226" i="5"/>
  <c r="FM65" i="5"/>
  <c r="DM114" i="5"/>
  <c r="CK114" i="5"/>
  <c r="DS204" i="20"/>
  <c r="CQ204" i="20"/>
  <c r="DS223" i="20"/>
  <c r="CQ223" i="20"/>
  <c r="DS176" i="20"/>
  <c r="CQ176" i="20"/>
  <c r="ED31" i="20"/>
  <c r="DR31" i="20"/>
  <c r="DU208" i="20"/>
  <c r="AV208" i="20"/>
  <c r="AW208" i="20" s="1"/>
  <c r="FK203" i="20"/>
  <c r="FM203" i="20" s="1"/>
  <c r="AD203" i="20"/>
  <c r="CY203" i="20"/>
  <c r="EM34" i="20"/>
  <c r="EP34" i="20" s="1"/>
  <c r="EQ34" i="20" s="1"/>
  <c r="AT121" i="20"/>
  <c r="AP122" i="20"/>
  <c r="AQ121" i="20"/>
  <c r="AU227" i="20"/>
  <c r="AR227" i="20"/>
  <c r="DU180" i="20"/>
  <c r="AV180" i="20"/>
  <c r="AW180" i="20" s="1"/>
  <c r="DU120" i="20"/>
  <c r="AV120" i="20"/>
  <c r="AW120" i="20" s="1"/>
  <c r="EW205" i="20"/>
  <c r="EX205" i="20" s="1"/>
  <c r="ES33" i="20"/>
  <c r="ER33" i="20"/>
  <c r="DN119" i="20"/>
  <c r="EM119" i="20"/>
  <c r="EP119" i="20" s="1"/>
  <c r="EQ119" i="20" s="1"/>
  <c r="ES206" i="20"/>
  <c r="ER206" i="20"/>
  <c r="DN179" i="20"/>
  <c r="EM179" i="20"/>
  <c r="EP179" i="20" s="1"/>
  <c r="EQ179" i="20" s="1"/>
  <c r="DN207" i="20"/>
  <c r="EM207" i="20"/>
  <c r="EP207" i="20" s="1"/>
  <c r="EQ207" i="20" s="1"/>
  <c r="DQ177" i="20"/>
  <c r="DR177" i="20" s="1"/>
  <c r="DN226" i="20"/>
  <c r="EM226" i="20"/>
  <c r="EP226" i="20" s="1"/>
  <c r="EQ226" i="20" s="1"/>
  <c r="DU227" i="20"/>
  <c r="AV227" i="20"/>
  <c r="AW227" i="20" s="1"/>
  <c r="AP182" i="20"/>
  <c r="AT181" i="20"/>
  <c r="AQ181" i="20"/>
  <c r="DP178" i="20"/>
  <c r="DO178" i="20"/>
  <c r="AU208" i="20"/>
  <c r="AR208" i="20"/>
  <c r="DO206" i="20"/>
  <c r="DP206" i="20"/>
  <c r="ES118" i="20"/>
  <c r="ER118" i="20"/>
  <c r="AP229" i="20"/>
  <c r="AT228" i="20"/>
  <c r="AQ228" i="20"/>
  <c r="DQ224" i="20"/>
  <c r="DR224" i="20" s="1"/>
  <c r="AT209" i="20"/>
  <c r="AP210" i="20"/>
  <c r="AQ209" i="20"/>
  <c r="EW224" i="20"/>
  <c r="EX224" i="20" s="1"/>
  <c r="ES225" i="20"/>
  <c r="ER225" i="20"/>
  <c r="AD175" i="20"/>
  <c r="CY175" i="20"/>
  <c r="FK175" i="20"/>
  <c r="FM175" i="20" s="1"/>
  <c r="AU34" i="20"/>
  <c r="AR34" i="20"/>
  <c r="DP118" i="20"/>
  <c r="DO118" i="20"/>
  <c r="EX31" i="20"/>
  <c r="AU120" i="20"/>
  <c r="AR120" i="20"/>
  <c r="EW177" i="20"/>
  <c r="EX177" i="20" s="1"/>
  <c r="DO225" i="20"/>
  <c r="DP225" i="20"/>
  <c r="ER178" i="20"/>
  <c r="ES178" i="20"/>
  <c r="AP36" i="20"/>
  <c r="AT35" i="20"/>
  <c r="DU35" i="20" s="1"/>
  <c r="AQ35" i="20"/>
  <c r="EW32" i="20"/>
  <c r="EX32" i="20" s="1"/>
  <c r="DQ205" i="20"/>
  <c r="DR205" i="20" s="1"/>
  <c r="AU180" i="20"/>
  <c r="AR180" i="20"/>
  <c r="DM181" i="5"/>
  <c r="CK181" i="5"/>
  <c r="EQ118" i="5"/>
  <c r="ER118" i="5" s="1"/>
  <c r="DM118" i="5" s="1"/>
  <c r="AN121" i="5"/>
  <c r="AK121" i="5"/>
  <c r="EQ227" i="5"/>
  <c r="ER227" i="5" s="1"/>
  <c r="DK208" i="5"/>
  <c r="DL208" i="5" s="1"/>
  <c r="AN186" i="5"/>
  <c r="AK186" i="5"/>
  <c r="CS180" i="5"/>
  <c r="FE180" i="5"/>
  <c r="FG180" i="5" s="1"/>
  <c r="DO185" i="5"/>
  <c r="AP185" i="5"/>
  <c r="AQ185" i="5" s="1"/>
  <c r="DO230" i="5"/>
  <c r="AP230" i="5"/>
  <c r="AQ230" i="5" s="1"/>
  <c r="DK117" i="5"/>
  <c r="AL34" i="5"/>
  <c r="AO34" i="5"/>
  <c r="EQ32" i="5"/>
  <c r="ER32" i="5" s="1"/>
  <c r="DK227" i="5"/>
  <c r="DL227" i="5" s="1"/>
  <c r="AO185" i="5"/>
  <c r="AL185" i="5"/>
  <c r="AJ36" i="5"/>
  <c r="AN35" i="5"/>
  <c r="DO35" i="5" s="1"/>
  <c r="AK35" i="5"/>
  <c r="EL228" i="5"/>
  <c r="EM228" i="5"/>
  <c r="AL230" i="5"/>
  <c r="AO230" i="5"/>
  <c r="EV31" i="5"/>
  <c r="DH184" i="5"/>
  <c r="EG184" i="5"/>
  <c r="EJ184" i="5" s="1"/>
  <c r="EK184" i="5" s="1"/>
  <c r="AN231" i="5"/>
  <c r="AK231" i="5"/>
  <c r="DK182" i="5"/>
  <c r="DL182" i="5" s="1"/>
  <c r="FE113" i="5"/>
  <c r="FG113" i="5" s="1"/>
  <c r="CS113" i="5"/>
  <c r="X113" i="5"/>
  <c r="DH119" i="5"/>
  <c r="EG119" i="5"/>
  <c r="EJ119" i="5" s="1"/>
  <c r="EK119" i="5" s="1"/>
  <c r="DJ228" i="5"/>
  <c r="DI228" i="5"/>
  <c r="EL183" i="5"/>
  <c r="EM183" i="5"/>
  <c r="EQ117" i="5"/>
  <c r="EV117" i="5" s="1"/>
  <c r="DX117" i="5" s="1"/>
  <c r="CL117" i="5" s="1"/>
  <c r="EG34" i="5"/>
  <c r="EJ34" i="5" s="1"/>
  <c r="EK34" i="5" s="1"/>
  <c r="EQ182" i="5"/>
  <c r="ER182" i="5" s="1"/>
  <c r="EL33" i="5"/>
  <c r="EM33" i="5"/>
  <c r="CS206" i="5"/>
  <c r="FE206" i="5"/>
  <c r="FG206" i="5" s="1"/>
  <c r="EL209" i="5"/>
  <c r="EM209" i="5"/>
  <c r="AL120" i="5"/>
  <c r="AO120" i="5"/>
  <c r="AL211" i="5"/>
  <c r="AO211" i="5"/>
  <c r="DJ183" i="5"/>
  <c r="DI183" i="5"/>
  <c r="DM207" i="5"/>
  <c r="CK207" i="5"/>
  <c r="AN212" i="5"/>
  <c r="AK212" i="5"/>
  <c r="DH229" i="5"/>
  <c r="EG229" i="5"/>
  <c r="EJ229" i="5" s="1"/>
  <c r="EK229" i="5" s="1"/>
  <c r="DJ209" i="5"/>
  <c r="DI209" i="5"/>
  <c r="DO120" i="5"/>
  <c r="AP120" i="5"/>
  <c r="AQ120" i="5" s="1"/>
  <c r="EQ208" i="5"/>
  <c r="ER208" i="5" s="1"/>
  <c r="DO211" i="5"/>
  <c r="AP211" i="5"/>
  <c r="AQ211" i="5" s="1"/>
  <c r="DH210" i="5"/>
  <c r="EG210" i="5"/>
  <c r="EJ210" i="5" s="1"/>
  <c r="EK210" i="5" s="1"/>
  <c r="FE225" i="5"/>
  <c r="FG225" i="5" s="1"/>
  <c r="CS225" i="5"/>
  <c r="CS115" i="5"/>
  <c r="FE115" i="5"/>
  <c r="FG115" i="5" s="1"/>
  <c r="FK65" i="5"/>
  <c r="X115" i="5"/>
  <c r="AJ122" i="5"/>
  <c r="AJ213" i="5"/>
  <c r="X206" i="5"/>
  <c r="X225" i="5"/>
  <c r="AJ232" i="5"/>
  <c r="AJ187" i="5"/>
  <c r="X180" i="5"/>
  <c r="FK115" i="20" l="1"/>
  <c r="FM115" i="20" s="1"/>
  <c r="CY114" i="20"/>
  <c r="CQ118" i="21"/>
  <c r="DS203" i="21"/>
  <c r="CQ203" i="21"/>
  <c r="DS177" i="21"/>
  <c r="CQ177" i="21"/>
  <c r="FL118" i="21"/>
  <c r="DF118" i="21"/>
  <c r="ES120" i="21"/>
  <c r="ER120" i="21"/>
  <c r="DO120" i="21"/>
  <c r="DP120" i="21"/>
  <c r="DQ119" i="21"/>
  <c r="ES228" i="21"/>
  <c r="ER228" i="21"/>
  <c r="AP232" i="21"/>
  <c r="AT231" i="21"/>
  <c r="AQ231" i="21"/>
  <c r="EX118" i="21"/>
  <c r="DS118" i="21" s="1"/>
  <c r="FB33" i="21"/>
  <c r="EX119" i="21"/>
  <c r="EW119" i="21"/>
  <c r="FB119" i="21" s="1"/>
  <c r="ED119" i="21" s="1"/>
  <c r="CR119" i="21" s="1"/>
  <c r="AU181" i="21"/>
  <c r="AR181" i="21"/>
  <c r="DU230" i="21"/>
  <c r="AV230" i="21"/>
  <c r="AW230" i="21" s="1"/>
  <c r="EW34" i="21"/>
  <c r="FB34" i="21" s="1"/>
  <c r="DO228" i="21"/>
  <c r="DP228" i="21"/>
  <c r="DO179" i="21"/>
  <c r="DP179" i="21"/>
  <c r="DQ178" i="21"/>
  <c r="DR178" i="21" s="1"/>
  <c r="DU181" i="21"/>
  <c r="AV181" i="21"/>
  <c r="AW181" i="21" s="1"/>
  <c r="EW227" i="21"/>
  <c r="EX227" i="21" s="1"/>
  <c r="DN121" i="21"/>
  <c r="EM121" i="21"/>
  <c r="EP121" i="21" s="1"/>
  <c r="EQ121" i="21" s="1"/>
  <c r="AU207" i="21"/>
  <c r="AR207" i="21"/>
  <c r="ES205" i="21"/>
  <c r="ER205" i="21"/>
  <c r="AP209" i="21"/>
  <c r="AT208" i="21"/>
  <c r="AQ208" i="21"/>
  <c r="DP205" i="21"/>
  <c r="DO205" i="21"/>
  <c r="DN180" i="21"/>
  <c r="EM180" i="21"/>
  <c r="EP180" i="21" s="1"/>
  <c r="EQ180" i="21" s="1"/>
  <c r="DQ227" i="21"/>
  <c r="DR227" i="21" s="1"/>
  <c r="DU207" i="21"/>
  <c r="AV207" i="21"/>
  <c r="AW207" i="21" s="1"/>
  <c r="DS32" i="21"/>
  <c r="DU122" i="21"/>
  <c r="AV122" i="21"/>
  <c r="AW122" i="21" s="1"/>
  <c r="DN229" i="21"/>
  <c r="EM229" i="21"/>
  <c r="EP229" i="21" s="1"/>
  <c r="EQ229" i="21" s="1"/>
  <c r="DQ204" i="21"/>
  <c r="DR204" i="21" s="1"/>
  <c r="AR36" i="21"/>
  <c r="AU36" i="21"/>
  <c r="EM36" i="21"/>
  <c r="EP36" i="21" s="1"/>
  <c r="EQ36" i="21" s="1"/>
  <c r="FK176" i="21"/>
  <c r="FM176" i="21" s="1"/>
  <c r="CY176" i="21"/>
  <c r="AD176" i="21"/>
  <c r="AP183" i="21"/>
  <c r="AT182" i="21"/>
  <c r="AQ182" i="21"/>
  <c r="ES35" i="21"/>
  <c r="ER35" i="21"/>
  <c r="AP38" i="21"/>
  <c r="AT37" i="21"/>
  <c r="DU37" i="21" s="1"/>
  <c r="AQ37" i="21"/>
  <c r="EW178" i="21"/>
  <c r="EX178" i="21" s="1"/>
  <c r="AD225" i="21"/>
  <c r="DE225" i="21"/>
  <c r="FK225" i="21"/>
  <c r="FM225" i="21" s="1"/>
  <c r="AD202" i="21"/>
  <c r="FK202" i="21"/>
  <c r="FM202" i="21" s="1"/>
  <c r="CY202" i="21"/>
  <c r="EW204" i="21"/>
  <c r="EX204" i="21" s="1"/>
  <c r="DN206" i="21"/>
  <c r="EM206" i="21"/>
  <c r="EP206" i="21" s="1"/>
  <c r="EQ206" i="21" s="1"/>
  <c r="ER179" i="21"/>
  <c r="ES179" i="21"/>
  <c r="AU122" i="21"/>
  <c r="AR122" i="21"/>
  <c r="AT123" i="21"/>
  <c r="AP124" i="21"/>
  <c r="AQ123" i="21"/>
  <c r="AR230" i="21"/>
  <c r="AU230" i="21"/>
  <c r="AD115" i="20"/>
  <c r="DS115" i="20"/>
  <c r="CZ116" i="20"/>
  <c r="FK114" i="20"/>
  <c r="FM114" i="20" s="1"/>
  <c r="FB32" i="20"/>
  <c r="ED32" i="20" s="1"/>
  <c r="DR116" i="20"/>
  <c r="FF116" i="5"/>
  <c r="EV32" i="5"/>
  <c r="DL32" i="5" s="1"/>
  <c r="DM32" i="5" s="1"/>
  <c r="DL116" i="5"/>
  <c r="ER117" i="5"/>
  <c r="X114" i="5"/>
  <c r="CS114" i="5"/>
  <c r="FE114" i="5"/>
  <c r="FG114" i="5" s="1"/>
  <c r="DS205" i="20"/>
  <c r="CQ205" i="20"/>
  <c r="CQ224" i="20"/>
  <c r="DS224" i="20"/>
  <c r="DU181" i="20"/>
  <c r="AV181" i="20"/>
  <c r="AW181" i="20" s="1"/>
  <c r="CQ177" i="20"/>
  <c r="DS177" i="20"/>
  <c r="DO119" i="20"/>
  <c r="DP119" i="20"/>
  <c r="DN180" i="20"/>
  <c r="EM180" i="20"/>
  <c r="EP180" i="20" s="1"/>
  <c r="EQ180" i="20" s="1"/>
  <c r="EW225" i="20"/>
  <c r="EX225" i="20" s="1"/>
  <c r="AP183" i="20"/>
  <c r="AT182" i="20"/>
  <c r="AQ182" i="20"/>
  <c r="ES207" i="20"/>
  <c r="ER207" i="20"/>
  <c r="EW33" i="20"/>
  <c r="EX33" i="20" s="1"/>
  <c r="FK176" i="20"/>
  <c r="FM176" i="20" s="1"/>
  <c r="AD176" i="20"/>
  <c r="CY176" i="20"/>
  <c r="DP207" i="20"/>
  <c r="DO207" i="20"/>
  <c r="ES179" i="20"/>
  <c r="ER179" i="20"/>
  <c r="AU121" i="20"/>
  <c r="AR121" i="20"/>
  <c r="FK223" i="20"/>
  <c r="FM223" i="20" s="1"/>
  <c r="AD223" i="20"/>
  <c r="CY223" i="20"/>
  <c r="EW178" i="20"/>
  <c r="EX178" i="20" s="1"/>
  <c r="DQ225" i="20"/>
  <c r="DR225" i="20" s="1"/>
  <c r="AR228" i="20"/>
  <c r="AU228" i="20"/>
  <c r="DN227" i="20"/>
  <c r="EM227" i="20"/>
  <c r="EP227" i="20" s="1"/>
  <c r="EQ227" i="20" s="1"/>
  <c r="DP179" i="20"/>
  <c r="DO179" i="20"/>
  <c r="AP123" i="20"/>
  <c r="AT122" i="20"/>
  <c r="AQ122" i="20"/>
  <c r="DN208" i="20"/>
  <c r="EM208" i="20"/>
  <c r="EP208" i="20" s="1"/>
  <c r="EQ208" i="20" s="1"/>
  <c r="DU228" i="20"/>
  <c r="AV228" i="20"/>
  <c r="AW228" i="20" s="1"/>
  <c r="DQ178" i="20"/>
  <c r="DR178" i="20" s="1"/>
  <c r="ER226" i="20"/>
  <c r="ES226" i="20"/>
  <c r="EW206" i="20"/>
  <c r="EX206" i="20" s="1"/>
  <c r="DU121" i="20"/>
  <c r="AV121" i="20"/>
  <c r="AW121" i="20" s="1"/>
  <c r="AD204" i="20"/>
  <c r="CY204" i="20"/>
  <c r="FK204" i="20"/>
  <c r="FM204" i="20" s="1"/>
  <c r="DQ118" i="20"/>
  <c r="EM35" i="20"/>
  <c r="EP35" i="20" s="1"/>
  <c r="EQ35" i="20" s="1"/>
  <c r="AU209" i="20"/>
  <c r="AR209" i="20"/>
  <c r="AP37" i="20"/>
  <c r="AT36" i="20"/>
  <c r="DU36" i="20" s="1"/>
  <c r="AQ36" i="20"/>
  <c r="AP211" i="20"/>
  <c r="AT210" i="20"/>
  <c r="AQ210" i="20"/>
  <c r="AP230" i="20"/>
  <c r="AT229" i="20"/>
  <c r="AQ229" i="20"/>
  <c r="DP226" i="20"/>
  <c r="DO226" i="20"/>
  <c r="DN120" i="20"/>
  <c r="EM120" i="20"/>
  <c r="EP120" i="20" s="1"/>
  <c r="EQ120" i="20" s="1"/>
  <c r="ES34" i="20"/>
  <c r="ER34" i="20"/>
  <c r="DR32" i="20"/>
  <c r="DS32" i="20" s="1"/>
  <c r="DQ206" i="20"/>
  <c r="DR206" i="20" s="1"/>
  <c r="AU35" i="20"/>
  <c r="AR35" i="20"/>
  <c r="DU209" i="20"/>
  <c r="AV209" i="20"/>
  <c r="AW209" i="20" s="1"/>
  <c r="EW118" i="20"/>
  <c r="EX118" i="20" s="1"/>
  <c r="AU181" i="20"/>
  <c r="AR181" i="20"/>
  <c r="ES119" i="20"/>
  <c r="ER119" i="20"/>
  <c r="DS31" i="20"/>
  <c r="CT117" i="5"/>
  <c r="FF117" i="5"/>
  <c r="DL117" i="5"/>
  <c r="DM227" i="5"/>
  <c r="CK227" i="5"/>
  <c r="X227" i="5" s="1"/>
  <c r="AN232" i="5"/>
  <c r="AK232" i="5"/>
  <c r="EL229" i="5"/>
  <c r="EM229" i="5"/>
  <c r="AL35" i="5"/>
  <c r="AO35" i="5"/>
  <c r="DJ229" i="5"/>
  <c r="DI229" i="5"/>
  <c r="EQ33" i="5"/>
  <c r="EV33" i="5" s="1"/>
  <c r="EM184" i="5"/>
  <c r="EL184" i="5"/>
  <c r="EG35" i="5"/>
  <c r="EJ35" i="5" s="1"/>
  <c r="EK35" i="5" s="1"/>
  <c r="DH185" i="5"/>
  <c r="EG185" i="5"/>
  <c r="EJ185" i="5" s="1"/>
  <c r="EK185" i="5" s="1"/>
  <c r="DO121" i="5"/>
  <c r="AP121" i="5"/>
  <c r="AQ121" i="5" s="1"/>
  <c r="DJ184" i="5"/>
  <c r="DI184" i="5"/>
  <c r="DM208" i="5"/>
  <c r="CK208" i="5"/>
  <c r="AN213" i="5"/>
  <c r="AK213" i="5"/>
  <c r="DH120" i="5"/>
  <c r="EG120" i="5"/>
  <c r="EJ120" i="5" s="1"/>
  <c r="EK120" i="5" s="1"/>
  <c r="DO212" i="5"/>
  <c r="AP212" i="5"/>
  <c r="AQ212" i="5" s="1"/>
  <c r="DK228" i="5"/>
  <c r="DL228" i="5" s="1"/>
  <c r="DX31" i="5"/>
  <c r="DL31" i="5"/>
  <c r="DM31" i="5" s="1"/>
  <c r="AL212" i="5"/>
  <c r="AO212" i="5"/>
  <c r="AJ37" i="5"/>
  <c r="AN36" i="5"/>
  <c r="DO36" i="5" s="1"/>
  <c r="AK36" i="5"/>
  <c r="FE207" i="5"/>
  <c r="FG207" i="5" s="1"/>
  <c r="CS207" i="5"/>
  <c r="AN122" i="5"/>
  <c r="AK122" i="5"/>
  <c r="DI210" i="5"/>
  <c r="DJ210" i="5"/>
  <c r="EQ209" i="5"/>
  <c r="ER209" i="5" s="1"/>
  <c r="EL34" i="5"/>
  <c r="EM34" i="5"/>
  <c r="EL119" i="5"/>
  <c r="EM119" i="5"/>
  <c r="DM182" i="5"/>
  <c r="CK182" i="5"/>
  <c r="FE181" i="5"/>
  <c r="FG181" i="5" s="1"/>
  <c r="CY181" i="5"/>
  <c r="DK209" i="5"/>
  <c r="DL209" i="5" s="1"/>
  <c r="DK183" i="5"/>
  <c r="DL183" i="5" s="1"/>
  <c r="DI119" i="5"/>
  <c r="DJ119" i="5"/>
  <c r="EQ183" i="5"/>
  <c r="ER183" i="5" s="1"/>
  <c r="EL210" i="5"/>
  <c r="EM210" i="5"/>
  <c r="AN187" i="5"/>
  <c r="AK187" i="5"/>
  <c r="DH211" i="5"/>
  <c r="EG211" i="5"/>
  <c r="EJ211" i="5" s="1"/>
  <c r="EK211" i="5" s="1"/>
  <c r="AL231" i="5"/>
  <c r="AO231" i="5"/>
  <c r="EQ228" i="5"/>
  <c r="ER228" i="5" s="1"/>
  <c r="DH230" i="5"/>
  <c r="EG230" i="5"/>
  <c r="EJ230" i="5" s="1"/>
  <c r="EK230" i="5" s="1"/>
  <c r="AL186" i="5"/>
  <c r="AO186" i="5"/>
  <c r="DO231" i="5"/>
  <c r="AP231" i="5"/>
  <c r="AQ231" i="5" s="1"/>
  <c r="DO186" i="5"/>
  <c r="AP186" i="5"/>
  <c r="AQ186" i="5" s="1"/>
  <c r="AO121" i="5"/>
  <c r="AL121" i="5"/>
  <c r="AJ123" i="5"/>
  <c r="X207" i="5"/>
  <c r="AJ214" i="5"/>
  <c r="AJ233" i="5"/>
  <c r="AJ188" i="5"/>
  <c r="X181" i="5"/>
  <c r="DS227" i="21" l="1"/>
  <c r="CQ227" i="21"/>
  <c r="DR119" i="21"/>
  <c r="DS204" i="21"/>
  <c r="CQ204" i="21"/>
  <c r="CQ178" i="21"/>
  <c r="DS178" i="21"/>
  <c r="FL119" i="21"/>
  <c r="DF119" i="21"/>
  <c r="ED34" i="21"/>
  <c r="DR34" i="21"/>
  <c r="DO206" i="21"/>
  <c r="DP206" i="21"/>
  <c r="DU231" i="21"/>
  <c r="AV231" i="21"/>
  <c r="AW231" i="21" s="1"/>
  <c r="EW228" i="21"/>
  <c r="EX228" i="21" s="1"/>
  <c r="DQ120" i="21"/>
  <c r="DQ179" i="21"/>
  <c r="DR179" i="21" s="1"/>
  <c r="EW120" i="21"/>
  <c r="FB120" i="21" s="1"/>
  <c r="ED120" i="21" s="1"/>
  <c r="CR120" i="21" s="1"/>
  <c r="AU231" i="21"/>
  <c r="AR231" i="21"/>
  <c r="DN122" i="21"/>
  <c r="EM122" i="21"/>
  <c r="EP122" i="21" s="1"/>
  <c r="EQ122" i="21" s="1"/>
  <c r="AU37" i="21"/>
  <c r="AR37" i="21"/>
  <c r="DN207" i="21"/>
  <c r="EM207" i="21"/>
  <c r="EP207" i="21" s="1"/>
  <c r="EQ207" i="21" s="1"/>
  <c r="DN181" i="21"/>
  <c r="EM181" i="21"/>
  <c r="EP181" i="21" s="1"/>
  <c r="EQ181" i="21" s="1"/>
  <c r="EW35" i="21"/>
  <c r="FB35" i="21" s="1"/>
  <c r="ER180" i="21"/>
  <c r="ES180" i="21"/>
  <c r="EX34" i="21"/>
  <c r="ES36" i="21"/>
  <c r="ER36" i="21"/>
  <c r="ES229" i="21"/>
  <c r="ER229" i="21"/>
  <c r="DR228" i="21"/>
  <c r="DQ228" i="21"/>
  <c r="DP180" i="21"/>
  <c r="DO180" i="21"/>
  <c r="ES206" i="21"/>
  <c r="ER206" i="21"/>
  <c r="DO121" i="21"/>
  <c r="DP121" i="21"/>
  <c r="EM37" i="21"/>
  <c r="EP37" i="21" s="1"/>
  <c r="EQ37" i="21" s="1"/>
  <c r="AU123" i="21"/>
  <c r="AR123" i="21"/>
  <c r="AU182" i="21"/>
  <c r="AR182" i="21"/>
  <c r="DR205" i="21"/>
  <c r="DQ205" i="21"/>
  <c r="AD177" i="21"/>
  <c r="DE177" i="21"/>
  <c r="FK177" i="21"/>
  <c r="FM177" i="21" s="1"/>
  <c r="DU182" i="21"/>
  <c r="AV182" i="21"/>
  <c r="AW182" i="21" s="1"/>
  <c r="DN230" i="21"/>
  <c r="EM230" i="21"/>
  <c r="EP230" i="21" s="1"/>
  <c r="EQ230" i="21" s="1"/>
  <c r="DO229" i="21"/>
  <c r="DP229" i="21"/>
  <c r="DU123" i="21"/>
  <c r="AV123" i="21"/>
  <c r="AW123" i="21" s="1"/>
  <c r="AP184" i="21"/>
  <c r="AT183" i="21"/>
  <c r="AQ183" i="21"/>
  <c r="AR208" i="21"/>
  <c r="AU208" i="21"/>
  <c r="AD203" i="21"/>
  <c r="CY203" i="21"/>
  <c r="FK203" i="21"/>
  <c r="FM203" i="21" s="1"/>
  <c r="EX179" i="21"/>
  <c r="EW179" i="21"/>
  <c r="AP233" i="21"/>
  <c r="AT232" i="21"/>
  <c r="AQ232" i="21"/>
  <c r="AT38" i="21"/>
  <c r="DU38" i="21" s="1"/>
  <c r="AP39" i="21"/>
  <c r="AQ38" i="21"/>
  <c r="DU208" i="21"/>
  <c r="AV208" i="21"/>
  <c r="AW208" i="21" s="1"/>
  <c r="AT209" i="21"/>
  <c r="AP210" i="21"/>
  <c r="AQ209" i="21"/>
  <c r="ED33" i="21"/>
  <c r="DR33" i="21"/>
  <c r="DS33" i="21" s="1"/>
  <c r="ER121" i="21"/>
  <c r="ES121" i="21"/>
  <c r="AP125" i="21"/>
  <c r="AT124" i="21"/>
  <c r="AQ124" i="21"/>
  <c r="EW205" i="21"/>
  <c r="EX205" i="21" s="1"/>
  <c r="DE118" i="21"/>
  <c r="FK118" i="21"/>
  <c r="FM118" i="21" s="1"/>
  <c r="AD118" i="21"/>
  <c r="CQ116" i="20"/>
  <c r="DS116" i="20"/>
  <c r="DX32" i="5"/>
  <c r="ER33" i="5"/>
  <c r="CK116" i="5"/>
  <c r="DM116" i="5"/>
  <c r="DS206" i="20"/>
  <c r="CQ206" i="20"/>
  <c r="AR210" i="20"/>
  <c r="AU210" i="20"/>
  <c r="AU182" i="20"/>
  <c r="AR182" i="20"/>
  <c r="ES35" i="20"/>
  <c r="ER35" i="20"/>
  <c r="AP124" i="20"/>
  <c r="AT123" i="20"/>
  <c r="AQ123" i="20"/>
  <c r="EW179" i="20"/>
  <c r="EX179" i="20" s="1"/>
  <c r="DQ119" i="20"/>
  <c r="FB118" i="20"/>
  <c r="ED118" i="20" s="1"/>
  <c r="CR118" i="20" s="1"/>
  <c r="AU229" i="20"/>
  <c r="AR229" i="20"/>
  <c r="AT37" i="20"/>
  <c r="DU37" i="20" s="1"/>
  <c r="AP38" i="20"/>
  <c r="AQ37" i="20"/>
  <c r="FB33" i="20"/>
  <c r="DE177" i="20"/>
  <c r="AD177" i="20"/>
  <c r="FK177" i="20"/>
  <c r="FM177" i="20" s="1"/>
  <c r="DS225" i="20"/>
  <c r="CQ225" i="20"/>
  <c r="EM36" i="20"/>
  <c r="EP36" i="20" s="1"/>
  <c r="EQ36" i="20" s="1"/>
  <c r="DU229" i="20"/>
  <c r="AV229" i="20"/>
  <c r="AW229" i="20" s="1"/>
  <c r="EW226" i="20"/>
  <c r="EX226" i="20" s="1"/>
  <c r="ES227" i="20"/>
  <c r="ER227" i="20"/>
  <c r="DQ207" i="20"/>
  <c r="DR207" i="20" s="1"/>
  <c r="EW207" i="20"/>
  <c r="EX207" i="20" s="1"/>
  <c r="DP208" i="20"/>
  <c r="DO208" i="20"/>
  <c r="AD205" i="20"/>
  <c r="CY205" i="20"/>
  <c r="FK205" i="20"/>
  <c r="FM205" i="20" s="1"/>
  <c r="DQ179" i="20"/>
  <c r="DR179" i="20" s="1"/>
  <c r="EW119" i="20"/>
  <c r="EX119" i="20" s="1"/>
  <c r="DN209" i="20"/>
  <c r="EM209" i="20"/>
  <c r="EP209" i="20" s="1"/>
  <c r="EQ209" i="20" s="1"/>
  <c r="EW34" i="20"/>
  <c r="EX34" i="20" s="1"/>
  <c r="AP231" i="20"/>
  <c r="AT230" i="20"/>
  <c r="AQ230" i="20"/>
  <c r="ES208" i="20"/>
  <c r="ER208" i="20"/>
  <c r="DP227" i="20"/>
  <c r="DO227" i="20"/>
  <c r="DN181" i="20"/>
  <c r="EM181" i="20"/>
  <c r="EP181" i="20" s="1"/>
  <c r="EQ181" i="20" s="1"/>
  <c r="ER180" i="20"/>
  <c r="ES180" i="20"/>
  <c r="ES120" i="20"/>
  <c r="ER120" i="20"/>
  <c r="DU210" i="20"/>
  <c r="AV210" i="20"/>
  <c r="AW210" i="20" s="1"/>
  <c r="AU122" i="20"/>
  <c r="AR122" i="20"/>
  <c r="DU182" i="20"/>
  <c r="AV182" i="20"/>
  <c r="AW182" i="20" s="1"/>
  <c r="DP180" i="20"/>
  <c r="DO180" i="20"/>
  <c r="DP120" i="20"/>
  <c r="DO120" i="20"/>
  <c r="AT211" i="20"/>
  <c r="AQ211" i="20"/>
  <c r="DN121" i="20"/>
  <c r="EM121" i="20"/>
  <c r="EP121" i="20" s="1"/>
  <c r="EQ121" i="20" s="1"/>
  <c r="DN228" i="20"/>
  <c r="EM228" i="20"/>
  <c r="EP228" i="20" s="1"/>
  <c r="EQ228" i="20" s="1"/>
  <c r="DU122" i="20"/>
  <c r="AV122" i="20"/>
  <c r="AW122" i="20" s="1"/>
  <c r="AP184" i="20"/>
  <c r="AT183" i="20"/>
  <c r="AQ183" i="20"/>
  <c r="CY224" i="20"/>
  <c r="FK224" i="20"/>
  <c r="FM224" i="20" s="1"/>
  <c r="AD224" i="20"/>
  <c r="DQ226" i="20"/>
  <c r="DR226" i="20" s="1"/>
  <c r="DS178" i="20"/>
  <c r="CQ178" i="20"/>
  <c r="AR36" i="20"/>
  <c r="AU36" i="20"/>
  <c r="DX33" i="5"/>
  <c r="DL33" i="5"/>
  <c r="DM209" i="5"/>
  <c r="CK209" i="5"/>
  <c r="AO187" i="5"/>
  <c r="AL187" i="5"/>
  <c r="AJ38" i="5"/>
  <c r="AN37" i="5"/>
  <c r="DO37" i="5" s="1"/>
  <c r="AK37" i="5"/>
  <c r="DH212" i="5"/>
  <c r="EG212" i="5"/>
  <c r="EJ212" i="5" s="1"/>
  <c r="EK212" i="5" s="1"/>
  <c r="AN123" i="5"/>
  <c r="AK123" i="5"/>
  <c r="DH186" i="5"/>
  <c r="EG186" i="5"/>
  <c r="EJ186" i="5" s="1"/>
  <c r="EK186" i="5" s="1"/>
  <c r="DI230" i="5"/>
  <c r="DJ230" i="5"/>
  <c r="DO187" i="5"/>
  <c r="AP187" i="5"/>
  <c r="AQ187" i="5" s="1"/>
  <c r="DK210" i="5"/>
  <c r="DL210" i="5" s="1"/>
  <c r="EL120" i="5"/>
  <c r="EM120" i="5"/>
  <c r="DM183" i="5"/>
  <c r="CK183" i="5"/>
  <c r="AL122" i="5"/>
  <c r="AO122" i="5"/>
  <c r="DM117" i="5"/>
  <c r="CK117" i="5"/>
  <c r="EQ210" i="5"/>
  <c r="ER210" i="5" s="1"/>
  <c r="EQ119" i="5"/>
  <c r="ER119" i="5" s="1"/>
  <c r="DO122" i="5"/>
  <c r="AP122" i="5"/>
  <c r="AQ122" i="5" s="1"/>
  <c r="AL213" i="5"/>
  <c r="AO213" i="5"/>
  <c r="EL185" i="5"/>
  <c r="EM185" i="5"/>
  <c r="DI120" i="5"/>
  <c r="DJ120" i="5"/>
  <c r="DO213" i="5"/>
  <c r="AP213" i="5"/>
  <c r="AQ213" i="5" s="1"/>
  <c r="DI185" i="5"/>
  <c r="DJ185" i="5"/>
  <c r="DK229" i="5"/>
  <c r="DL229" i="5" s="1"/>
  <c r="EQ229" i="5"/>
  <c r="ER229" i="5" s="1"/>
  <c r="DH121" i="5"/>
  <c r="EG121" i="5"/>
  <c r="EJ121" i="5" s="1"/>
  <c r="EK121" i="5" s="1"/>
  <c r="AN188" i="5"/>
  <c r="AK188" i="5"/>
  <c r="AN233" i="5"/>
  <c r="AK233" i="5"/>
  <c r="DH231" i="5"/>
  <c r="EG231" i="5"/>
  <c r="EJ231" i="5" s="1"/>
  <c r="EK231" i="5" s="1"/>
  <c r="EQ34" i="5"/>
  <c r="EV34" i="5" s="1"/>
  <c r="FE208" i="5"/>
  <c r="FG208" i="5" s="1"/>
  <c r="CS208" i="5"/>
  <c r="AL232" i="5"/>
  <c r="AO232" i="5"/>
  <c r="DM228" i="5"/>
  <c r="CK228" i="5"/>
  <c r="DO232" i="5"/>
  <c r="AP232" i="5"/>
  <c r="AQ232" i="5" s="1"/>
  <c r="EL211" i="5"/>
  <c r="EM211" i="5"/>
  <c r="AO36" i="5"/>
  <c r="AL36" i="5"/>
  <c r="EL35" i="5"/>
  <c r="EM35" i="5"/>
  <c r="AN214" i="5"/>
  <c r="AK214" i="5"/>
  <c r="DI211" i="5"/>
  <c r="DJ211" i="5"/>
  <c r="EG36" i="5"/>
  <c r="EJ36" i="5" s="1"/>
  <c r="EK36" i="5" s="1"/>
  <c r="DK184" i="5"/>
  <c r="DL184" i="5" s="1"/>
  <c r="EQ184" i="5"/>
  <c r="ER184" i="5" s="1"/>
  <c r="FE227" i="5"/>
  <c r="FG227" i="5" s="1"/>
  <c r="CS227" i="5"/>
  <c r="EL230" i="5"/>
  <c r="EM230" i="5"/>
  <c r="DK119" i="5"/>
  <c r="CY182" i="5"/>
  <c r="FE182" i="5"/>
  <c r="FG182" i="5" s="1"/>
  <c r="AJ124" i="5"/>
  <c r="X208" i="5"/>
  <c r="AJ215" i="5"/>
  <c r="AJ234" i="5"/>
  <c r="AJ189" i="5"/>
  <c r="X182" i="5"/>
  <c r="DS179" i="21" l="1"/>
  <c r="CQ179" i="21"/>
  <c r="FL120" i="21"/>
  <c r="DF120" i="21"/>
  <c r="ED35" i="21"/>
  <c r="DR35" i="21"/>
  <c r="DS35" i="21" s="1"/>
  <c r="DR120" i="21"/>
  <c r="DS228" i="21"/>
  <c r="EM38" i="21"/>
  <c r="EP38" i="21" s="1"/>
  <c r="EQ38" i="21" s="1"/>
  <c r="AU232" i="21"/>
  <c r="AR232" i="21"/>
  <c r="EX120" i="21"/>
  <c r="EW36" i="21"/>
  <c r="FB36" i="21" s="1"/>
  <c r="DN182" i="21"/>
  <c r="EM182" i="21"/>
  <c r="EP182" i="21" s="1"/>
  <c r="EQ182" i="21" s="1"/>
  <c r="AP234" i="21"/>
  <c r="AT233" i="21"/>
  <c r="AQ233" i="21"/>
  <c r="EX35" i="21"/>
  <c r="DQ206" i="21"/>
  <c r="DR206" i="21" s="1"/>
  <c r="ES230" i="21"/>
  <c r="ER230" i="21"/>
  <c r="DN231" i="21"/>
  <c r="EM231" i="21"/>
  <c r="EP231" i="21" s="1"/>
  <c r="EQ231" i="21" s="1"/>
  <c r="DS34" i="21"/>
  <c r="DN208" i="21"/>
  <c r="EM208" i="21"/>
  <c r="EP208" i="21" s="1"/>
  <c r="EQ208" i="21" s="1"/>
  <c r="AP40" i="21"/>
  <c r="AT39" i="21"/>
  <c r="DU39" i="21" s="1"/>
  <c r="AQ39" i="21"/>
  <c r="ES37" i="21"/>
  <c r="ER37" i="21"/>
  <c r="ES207" i="21"/>
  <c r="ER207" i="21"/>
  <c r="AT210" i="21"/>
  <c r="AP211" i="21"/>
  <c r="AQ210" i="21"/>
  <c r="DS205" i="21"/>
  <c r="CQ205" i="21"/>
  <c r="DO207" i="21"/>
  <c r="DP207" i="21"/>
  <c r="DQ229" i="21"/>
  <c r="DR229" i="21" s="1"/>
  <c r="DS229" i="21" s="1"/>
  <c r="DP181" i="21"/>
  <c r="DO181" i="21"/>
  <c r="AR124" i="21"/>
  <c r="AU124" i="21"/>
  <c r="DQ121" i="21"/>
  <c r="AD178" i="21"/>
  <c r="FK178" i="21"/>
  <c r="FM178" i="21" s="1"/>
  <c r="DE178" i="21"/>
  <c r="AU209" i="21"/>
  <c r="AR209" i="21"/>
  <c r="DU232" i="21"/>
  <c r="AV232" i="21"/>
  <c r="AW232" i="21" s="1"/>
  <c r="DU124" i="21"/>
  <c r="AV124" i="21"/>
  <c r="AW124" i="21" s="1"/>
  <c r="AU183" i="21"/>
  <c r="AR183" i="21"/>
  <c r="EW206" i="21"/>
  <c r="EX206" i="21" s="1"/>
  <c r="FK204" i="21"/>
  <c r="FM204" i="21" s="1"/>
  <c r="CY204" i="21"/>
  <c r="AD204" i="21"/>
  <c r="DU209" i="21"/>
  <c r="AV209" i="21"/>
  <c r="AW209" i="21" s="1"/>
  <c r="AU38" i="21"/>
  <c r="AR38" i="21"/>
  <c r="AP126" i="21"/>
  <c r="AT125" i="21"/>
  <c r="AQ125" i="21"/>
  <c r="DU183" i="21"/>
  <c r="AV183" i="21"/>
  <c r="AW183" i="21" s="1"/>
  <c r="ER122" i="21"/>
  <c r="ES122" i="21"/>
  <c r="AT184" i="21"/>
  <c r="AP185" i="21"/>
  <c r="AQ184" i="21"/>
  <c r="DQ180" i="21"/>
  <c r="DR180" i="21" s="1"/>
  <c r="DP122" i="21"/>
  <c r="DO122" i="21"/>
  <c r="DS119" i="21"/>
  <c r="CQ119" i="21"/>
  <c r="EX229" i="21"/>
  <c r="EW229" i="21"/>
  <c r="EW180" i="21"/>
  <c r="EX180" i="21" s="1"/>
  <c r="EW121" i="21"/>
  <c r="FB121" i="21" s="1"/>
  <c r="CY227" i="21"/>
  <c r="AD227" i="21"/>
  <c r="FK227" i="21"/>
  <c r="FM227" i="21" s="1"/>
  <c r="DO230" i="21"/>
  <c r="DP230" i="21"/>
  <c r="ER181" i="21"/>
  <c r="ES181" i="21"/>
  <c r="DN123" i="21"/>
  <c r="EM123" i="21"/>
  <c r="EP123" i="21" s="1"/>
  <c r="EQ123" i="21" s="1"/>
  <c r="FB34" i="20"/>
  <c r="ED34" i="20" s="1"/>
  <c r="CY116" i="20"/>
  <c r="FK116" i="20"/>
  <c r="FM116" i="20" s="1"/>
  <c r="AD116" i="20"/>
  <c r="DM33" i="5"/>
  <c r="ER34" i="5"/>
  <c r="X116" i="5"/>
  <c r="CS116" i="5"/>
  <c r="FE116" i="5"/>
  <c r="FG116" i="5" s="1"/>
  <c r="EV119" i="5"/>
  <c r="DX119" i="5" s="1"/>
  <c r="CL119" i="5" s="1"/>
  <c r="ES121" i="20"/>
  <c r="ER121" i="20"/>
  <c r="AU230" i="20"/>
  <c r="AR230" i="20"/>
  <c r="DQ208" i="20"/>
  <c r="DR208" i="20" s="1"/>
  <c r="FK206" i="20"/>
  <c r="FM206" i="20" s="1"/>
  <c r="CY206" i="20"/>
  <c r="AD206" i="20"/>
  <c r="DO121" i="20"/>
  <c r="DP121" i="20"/>
  <c r="DN182" i="20"/>
  <c r="EM182" i="20"/>
  <c r="EP182" i="20" s="1"/>
  <c r="EQ182" i="20" s="1"/>
  <c r="FL118" i="20"/>
  <c r="DF118" i="20"/>
  <c r="FK178" i="20"/>
  <c r="FM178" i="20" s="1"/>
  <c r="DE178" i="20"/>
  <c r="AD178" i="20"/>
  <c r="DU183" i="20"/>
  <c r="AV183" i="20"/>
  <c r="AW183" i="20" s="1"/>
  <c r="AU211" i="20"/>
  <c r="AR211" i="20"/>
  <c r="ES181" i="20"/>
  <c r="ER181" i="20"/>
  <c r="AP232" i="20"/>
  <c r="AT231" i="20"/>
  <c r="AQ231" i="20"/>
  <c r="FB119" i="20"/>
  <c r="ED119" i="20" s="1"/>
  <c r="CR119" i="20" s="1"/>
  <c r="AP125" i="20"/>
  <c r="AT124" i="20"/>
  <c r="AQ124" i="20"/>
  <c r="AU183" i="20"/>
  <c r="AR183" i="20"/>
  <c r="DU230" i="20"/>
  <c r="AV230" i="20"/>
  <c r="AW230" i="20" s="1"/>
  <c r="EW35" i="20"/>
  <c r="FB35" i="20" s="1"/>
  <c r="AP185" i="20"/>
  <c r="AT184" i="20"/>
  <c r="AQ184" i="20"/>
  <c r="DU211" i="20"/>
  <c r="AV211" i="20"/>
  <c r="AW211" i="20" s="1"/>
  <c r="DP181" i="20"/>
  <c r="DO181" i="20"/>
  <c r="DN229" i="20"/>
  <c r="EM229" i="20"/>
  <c r="EP229" i="20" s="1"/>
  <c r="EQ229" i="20" s="1"/>
  <c r="ED33" i="20"/>
  <c r="DR33" i="20"/>
  <c r="DS33" i="20" s="1"/>
  <c r="DQ227" i="20"/>
  <c r="DR227" i="20" s="1"/>
  <c r="DS179" i="20"/>
  <c r="CQ179" i="20"/>
  <c r="AU37" i="20"/>
  <c r="AR37" i="20"/>
  <c r="DS207" i="20"/>
  <c r="CQ207" i="20"/>
  <c r="ES36" i="20"/>
  <c r="ER36" i="20"/>
  <c r="AT38" i="20"/>
  <c r="DU38" i="20" s="1"/>
  <c r="AP39" i="20"/>
  <c r="AQ38" i="20"/>
  <c r="ER228" i="20"/>
  <c r="ES228" i="20"/>
  <c r="DQ180" i="20"/>
  <c r="DR180" i="20" s="1"/>
  <c r="EW120" i="20"/>
  <c r="FB120" i="20" s="1"/>
  <c r="ED120" i="20" s="1"/>
  <c r="CR120" i="20" s="1"/>
  <c r="EW208" i="20"/>
  <c r="EX208" i="20" s="1"/>
  <c r="ES209" i="20"/>
  <c r="ER209" i="20"/>
  <c r="EW227" i="20"/>
  <c r="EX227" i="20" s="1"/>
  <c r="DE225" i="20"/>
  <c r="AD225" i="20"/>
  <c r="FK225" i="20"/>
  <c r="FM225" i="20" s="1"/>
  <c r="EM37" i="20"/>
  <c r="EP37" i="20" s="1"/>
  <c r="EQ37" i="20" s="1"/>
  <c r="AR123" i="20"/>
  <c r="AU123" i="20"/>
  <c r="DS226" i="20"/>
  <c r="DQ120" i="20"/>
  <c r="DN122" i="20"/>
  <c r="EM122" i="20"/>
  <c r="EP122" i="20" s="1"/>
  <c r="EQ122" i="20" s="1"/>
  <c r="DN210" i="20"/>
  <c r="EM210" i="20"/>
  <c r="EP210" i="20" s="1"/>
  <c r="EQ210" i="20" s="1"/>
  <c r="DP228" i="20"/>
  <c r="DO228" i="20"/>
  <c r="DP209" i="20"/>
  <c r="DO209" i="20"/>
  <c r="DU123" i="20"/>
  <c r="AV123" i="20"/>
  <c r="AW123" i="20" s="1"/>
  <c r="DR118" i="20"/>
  <c r="EW180" i="20"/>
  <c r="EX180" i="20" s="1"/>
  <c r="DM229" i="5"/>
  <c r="CK229" i="5"/>
  <c r="X229" i="5" s="1"/>
  <c r="DM184" i="5"/>
  <c r="CK184" i="5"/>
  <c r="DX34" i="5"/>
  <c r="DL34" i="5"/>
  <c r="AL214" i="5"/>
  <c r="AO214" i="5"/>
  <c r="AL233" i="5"/>
  <c r="AO233" i="5"/>
  <c r="DK230" i="5"/>
  <c r="DL230" i="5" s="1"/>
  <c r="DO214" i="5"/>
  <c r="AP214" i="5"/>
  <c r="AQ214" i="5" s="1"/>
  <c r="DH232" i="5"/>
  <c r="EG232" i="5"/>
  <c r="EJ232" i="5" s="1"/>
  <c r="EK232" i="5" s="1"/>
  <c r="DO233" i="5"/>
  <c r="AP233" i="5"/>
  <c r="AQ233" i="5" s="1"/>
  <c r="EQ185" i="5"/>
  <c r="ER185" i="5" s="1"/>
  <c r="EL186" i="5"/>
  <c r="EM186" i="5"/>
  <c r="AJ39" i="5"/>
  <c r="AN38" i="5"/>
  <c r="DO38" i="5" s="1"/>
  <c r="AK38" i="5"/>
  <c r="AN124" i="5"/>
  <c r="AK124" i="5"/>
  <c r="AL188" i="5"/>
  <c r="AO188" i="5"/>
  <c r="EQ120" i="5"/>
  <c r="EV120" i="5" s="1"/>
  <c r="DJ186" i="5"/>
  <c r="DI186" i="5"/>
  <c r="EQ35" i="5"/>
  <c r="EV35" i="5" s="1"/>
  <c r="DO188" i="5"/>
  <c r="AP188" i="5"/>
  <c r="AQ188" i="5" s="1"/>
  <c r="DK185" i="5"/>
  <c r="DL185" i="5" s="1"/>
  <c r="FE117" i="5"/>
  <c r="FG117" i="5" s="1"/>
  <c r="CS117" i="5"/>
  <c r="X117" i="5"/>
  <c r="AL123" i="5"/>
  <c r="AO123" i="5"/>
  <c r="AN215" i="5"/>
  <c r="AK215" i="5"/>
  <c r="DO123" i="5"/>
  <c r="AP123" i="5"/>
  <c r="AQ123" i="5" s="1"/>
  <c r="FE209" i="5"/>
  <c r="FG209" i="5" s="1"/>
  <c r="CS209" i="5"/>
  <c r="EL121" i="5"/>
  <c r="EM121" i="5"/>
  <c r="EQ230" i="5"/>
  <c r="ER230" i="5" s="1"/>
  <c r="EL36" i="5"/>
  <c r="EM36" i="5"/>
  <c r="DI121" i="5"/>
  <c r="DJ121" i="5"/>
  <c r="DH213" i="5"/>
  <c r="EG213" i="5"/>
  <c r="EJ213" i="5" s="1"/>
  <c r="EK213" i="5" s="1"/>
  <c r="DH122" i="5"/>
  <c r="EG122" i="5"/>
  <c r="EJ122" i="5" s="1"/>
  <c r="EK122" i="5" s="1"/>
  <c r="EL212" i="5"/>
  <c r="EM212" i="5"/>
  <c r="CS228" i="5"/>
  <c r="FE228" i="5"/>
  <c r="FG228" i="5" s="1"/>
  <c r="DM210" i="5"/>
  <c r="CK210" i="5"/>
  <c r="AN189" i="5"/>
  <c r="AK189" i="5"/>
  <c r="EL231" i="5"/>
  <c r="EM231" i="5"/>
  <c r="DH187" i="5"/>
  <c r="EG187" i="5"/>
  <c r="EJ187" i="5" s="1"/>
  <c r="EK187" i="5" s="1"/>
  <c r="DJ212" i="5"/>
  <c r="DI212" i="5"/>
  <c r="AN234" i="5"/>
  <c r="AK234" i="5"/>
  <c r="DK211" i="5"/>
  <c r="DL211" i="5" s="1"/>
  <c r="EQ211" i="5"/>
  <c r="ER211" i="5" s="1"/>
  <c r="DI231" i="5"/>
  <c r="DJ231" i="5"/>
  <c r="DK120" i="5"/>
  <c r="CZ119" i="5"/>
  <c r="FF119" i="5"/>
  <c r="FE183" i="5"/>
  <c r="FG183" i="5" s="1"/>
  <c r="CS183" i="5"/>
  <c r="AL37" i="5"/>
  <c r="AO37" i="5"/>
  <c r="EG37" i="5"/>
  <c r="EJ37" i="5" s="1"/>
  <c r="EK37" i="5" s="1"/>
  <c r="AJ125" i="5"/>
  <c r="X228" i="5"/>
  <c r="X209" i="5"/>
  <c r="AJ235" i="5"/>
  <c r="X183" i="5"/>
  <c r="AJ190" i="5"/>
  <c r="ED36" i="21" l="1"/>
  <c r="DR36" i="21"/>
  <c r="ED121" i="21"/>
  <c r="CR121" i="21" s="1"/>
  <c r="DR121" i="21"/>
  <c r="DS180" i="21"/>
  <c r="CQ180" i="21"/>
  <c r="DS206" i="21"/>
  <c r="CQ206" i="21"/>
  <c r="AT234" i="21"/>
  <c r="AP235" i="21"/>
  <c r="AQ234" i="21"/>
  <c r="EW207" i="21"/>
  <c r="EX207" i="21" s="1"/>
  <c r="EX36" i="21"/>
  <c r="EM39" i="21"/>
  <c r="EP39" i="21" s="1"/>
  <c r="EQ39" i="21" s="1"/>
  <c r="FK205" i="21"/>
  <c r="FM205" i="21" s="1"/>
  <c r="CY205" i="21"/>
  <c r="AD205" i="21"/>
  <c r="AT211" i="21"/>
  <c r="AQ211" i="21"/>
  <c r="EW122" i="21"/>
  <c r="EX122" i="21" s="1"/>
  <c r="EW181" i="21"/>
  <c r="EX181" i="21" s="1"/>
  <c r="DN183" i="21"/>
  <c r="EM183" i="21"/>
  <c r="EP183" i="21" s="1"/>
  <c r="EQ183" i="21" s="1"/>
  <c r="AT40" i="21"/>
  <c r="DU40" i="21" s="1"/>
  <c r="AP41" i="21"/>
  <c r="AQ40" i="21"/>
  <c r="AR233" i="21"/>
  <c r="AU233" i="21"/>
  <c r="AR184" i="21"/>
  <c r="AU184" i="21"/>
  <c r="DU125" i="21"/>
  <c r="AV125" i="21"/>
  <c r="AW125" i="21" s="1"/>
  <c r="DO208" i="21"/>
  <c r="DP208" i="21"/>
  <c r="ER38" i="21"/>
  <c r="ES38" i="21"/>
  <c r="DP182" i="21"/>
  <c r="DO182" i="21"/>
  <c r="DQ230" i="21"/>
  <c r="DR230" i="21" s="1"/>
  <c r="DS230" i="21" s="1"/>
  <c r="AT126" i="21"/>
  <c r="AP127" i="21"/>
  <c r="AQ126" i="21"/>
  <c r="DN124" i="21"/>
  <c r="EM124" i="21"/>
  <c r="EP124" i="21" s="1"/>
  <c r="EQ124" i="21" s="1"/>
  <c r="DQ181" i="21"/>
  <c r="DR181" i="21" s="1"/>
  <c r="ES231" i="21"/>
  <c r="ER231" i="21"/>
  <c r="CQ120" i="21"/>
  <c r="DS120" i="21"/>
  <c r="ES182" i="21"/>
  <c r="ER182" i="21"/>
  <c r="DP231" i="21"/>
  <c r="DO231" i="21"/>
  <c r="DP123" i="21"/>
  <c r="DO123" i="21"/>
  <c r="EX121" i="21"/>
  <c r="EW230" i="21"/>
  <c r="EX230" i="21" s="1"/>
  <c r="FK119" i="21"/>
  <c r="FM119" i="21" s="1"/>
  <c r="AD119" i="21"/>
  <c r="DE119" i="21"/>
  <c r="AR210" i="21"/>
  <c r="AU210" i="21"/>
  <c r="DU184" i="21"/>
  <c r="AV184" i="21"/>
  <c r="AW184" i="21" s="1"/>
  <c r="AR125" i="21"/>
  <c r="AU125" i="21"/>
  <c r="DN209" i="21"/>
  <c r="EM209" i="21"/>
  <c r="EP209" i="21" s="1"/>
  <c r="EQ209" i="21" s="1"/>
  <c r="DQ122" i="21"/>
  <c r="DN232" i="21"/>
  <c r="EM232" i="21"/>
  <c r="EP232" i="21" s="1"/>
  <c r="EQ232" i="21" s="1"/>
  <c r="EW37" i="21"/>
  <c r="EX37" i="21" s="1"/>
  <c r="AR39" i="21"/>
  <c r="AU39" i="21"/>
  <c r="AT185" i="21"/>
  <c r="AP186" i="21"/>
  <c r="AQ185" i="21"/>
  <c r="DQ207" i="21"/>
  <c r="DR207" i="21" s="1"/>
  <c r="AD179" i="21"/>
  <c r="CY179" i="21"/>
  <c r="FK179" i="21"/>
  <c r="FM179" i="21" s="1"/>
  <c r="DU233" i="21"/>
  <c r="AV233" i="21"/>
  <c r="AW233" i="21" s="1"/>
  <c r="DU210" i="21"/>
  <c r="AV210" i="21"/>
  <c r="AW210" i="21" s="1"/>
  <c r="ES123" i="21"/>
  <c r="ER123" i="21"/>
  <c r="ER208" i="21"/>
  <c r="ES208" i="21"/>
  <c r="DR120" i="20"/>
  <c r="CQ120" i="20" s="1"/>
  <c r="DR34" i="20"/>
  <c r="DS34" i="20" s="1"/>
  <c r="EX35" i="20"/>
  <c r="EX120" i="20"/>
  <c r="DR119" i="20"/>
  <c r="DS119" i="20" s="1"/>
  <c r="DM34" i="5"/>
  <c r="DM230" i="5"/>
  <c r="ER35" i="5"/>
  <c r="DL119" i="5"/>
  <c r="CQ227" i="20"/>
  <c r="DS227" i="20"/>
  <c r="ED35" i="20"/>
  <c r="DR35" i="20"/>
  <c r="DS208" i="20"/>
  <c r="CQ208" i="20"/>
  <c r="DQ228" i="20"/>
  <c r="DR228" i="20" s="1"/>
  <c r="EW36" i="20"/>
  <c r="EX36" i="20" s="1"/>
  <c r="DQ181" i="20"/>
  <c r="DR181" i="20" s="1"/>
  <c r="AP126" i="20"/>
  <c r="AT125" i="20"/>
  <c r="AQ125" i="20"/>
  <c r="DS180" i="20"/>
  <c r="CQ180" i="20"/>
  <c r="ER210" i="20"/>
  <c r="ES210" i="20"/>
  <c r="EW209" i="20"/>
  <c r="EX209" i="20" s="1"/>
  <c r="AD207" i="20"/>
  <c r="CY207" i="20"/>
  <c r="FK207" i="20"/>
  <c r="FM207" i="20" s="1"/>
  <c r="DS118" i="20"/>
  <c r="CQ118" i="20"/>
  <c r="DP210" i="20"/>
  <c r="DO210" i="20"/>
  <c r="DN211" i="20"/>
  <c r="EM211" i="20"/>
  <c r="EP211" i="20" s="1"/>
  <c r="EQ211" i="20" s="1"/>
  <c r="DN230" i="20"/>
  <c r="EM230" i="20"/>
  <c r="EP230" i="20" s="1"/>
  <c r="EQ230" i="20" s="1"/>
  <c r="FL119" i="20"/>
  <c r="DF119" i="20"/>
  <c r="ES182" i="20"/>
  <c r="ER182" i="20"/>
  <c r="ES37" i="20"/>
  <c r="ER37" i="20"/>
  <c r="DN183" i="20"/>
  <c r="EM183" i="20"/>
  <c r="EP183" i="20" s="1"/>
  <c r="EQ183" i="20" s="1"/>
  <c r="AR231" i="20"/>
  <c r="AU231" i="20"/>
  <c r="DN123" i="20"/>
  <c r="EM123" i="20"/>
  <c r="EP123" i="20" s="1"/>
  <c r="EQ123" i="20" s="1"/>
  <c r="DP122" i="20"/>
  <c r="DO122" i="20"/>
  <c r="DU184" i="20"/>
  <c r="AV184" i="20"/>
  <c r="AW184" i="20" s="1"/>
  <c r="DU231" i="20"/>
  <c r="AV231" i="20"/>
  <c r="AW231" i="20" s="1"/>
  <c r="AR184" i="20"/>
  <c r="AU184" i="20"/>
  <c r="DP182" i="20"/>
  <c r="DO182" i="20"/>
  <c r="AU38" i="20"/>
  <c r="AR38" i="20"/>
  <c r="DQ209" i="20"/>
  <c r="DR209" i="20" s="1"/>
  <c r="AT39" i="20"/>
  <c r="DU39" i="20" s="1"/>
  <c r="AP40" i="20"/>
  <c r="AQ39" i="20"/>
  <c r="AD179" i="20"/>
  <c r="CY179" i="20"/>
  <c r="FK179" i="20"/>
  <c r="FM179" i="20" s="1"/>
  <c r="ES229" i="20"/>
  <c r="ER229" i="20"/>
  <c r="AP186" i="20"/>
  <c r="AT185" i="20"/>
  <c r="AQ185" i="20"/>
  <c r="AU124" i="20"/>
  <c r="AR124" i="20"/>
  <c r="AT232" i="20"/>
  <c r="AP233" i="20"/>
  <c r="AQ232" i="20"/>
  <c r="DQ121" i="20"/>
  <c r="EW121" i="20"/>
  <c r="FB121" i="20" s="1"/>
  <c r="ED121" i="20" s="1"/>
  <c r="CR121" i="20" s="1"/>
  <c r="ES122" i="20"/>
  <c r="ER122" i="20"/>
  <c r="EW228" i="20"/>
  <c r="EX228" i="20" s="1"/>
  <c r="DF120" i="20"/>
  <c r="FL120" i="20"/>
  <c r="EM38" i="20"/>
  <c r="EP38" i="20" s="1"/>
  <c r="EQ38" i="20" s="1"/>
  <c r="DP229" i="20"/>
  <c r="DO229" i="20"/>
  <c r="DU124" i="20"/>
  <c r="AV124" i="20"/>
  <c r="AW124" i="20" s="1"/>
  <c r="EW181" i="20"/>
  <c r="EX181" i="20" s="1"/>
  <c r="CQ119" i="20"/>
  <c r="DX120" i="5"/>
  <c r="CL120" i="5" s="1"/>
  <c r="DL120" i="5"/>
  <c r="DM185" i="5"/>
  <c r="CK185" i="5"/>
  <c r="DX35" i="5"/>
  <c r="DL35" i="5"/>
  <c r="DM35" i="5" s="1"/>
  <c r="AN125" i="5"/>
  <c r="AK125" i="5"/>
  <c r="EQ186" i="5"/>
  <c r="ER186" i="5" s="1"/>
  <c r="DH214" i="5"/>
  <c r="EG214" i="5"/>
  <c r="EJ214" i="5" s="1"/>
  <c r="EK214" i="5" s="1"/>
  <c r="AN190" i="5"/>
  <c r="AK190" i="5"/>
  <c r="AL234" i="5"/>
  <c r="AO234" i="5"/>
  <c r="AO189" i="5"/>
  <c r="AL189" i="5"/>
  <c r="EL122" i="5"/>
  <c r="EM122" i="5"/>
  <c r="AL215" i="5"/>
  <c r="AO215" i="5"/>
  <c r="AL124" i="5"/>
  <c r="AO124" i="5"/>
  <c r="DM211" i="5"/>
  <c r="CK211" i="5"/>
  <c r="EQ36" i="5"/>
  <c r="ER36" i="5" s="1"/>
  <c r="DO234" i="5"/>
  <c r="AP234" i="5"/>
  <c r="AQ234" i="5" s="1"/>
  <c r="DO189" i="5"/>
  <c r="AP189" i="5"/>
  <c r="AQ189" i="5" s="1"/>
  <c r="DJ122" i="5"/>
  <c r="DI122" i="5"/>
  <c r="DO215" i="5"/>
  <c r="AP215" i="5"/>
  <c r="AQ215" i="5" s="1"/>
  <c r="DK186" i="5"/>
  <c r="DL186" i="5" s="1"/>
  <c r="DO124" i="5"/>
  <c r="AP124" i="5"/>
  <c r="AQ124" i="5" s="1"/>
  <c r="CY184" i="5"/>
  <c r="FE184" i="5"/>
  <c r="FG184" i="5" s="1"/>
  <c r="AN235" i="5"/>
  <c r="AK235" i="5"/>
  <c r="DK212" i="5"/>
  <c r="DL212" i="5" s="1"/>
  <c r="FE210" i="5"/>
  <c r="FG210" i="5" s="1"/>
  <c r="CS210" i="5"/>
  <c r="EM213" i="5"/>
  <c r="EL213" i="5"/>
  <c r="AL38" i="5"/>
  <c r="AO38" i="5"/>
  <c r="DH233" i="5"/>
  <c r="EG233" i="5"/>
  <c r="EJ233" i="5" s="1"/>
  <c r="EK233" i="5" s="1"/>
  <c r="DK231" i="5"/>
  <c r="DL231" i="5" s="1"/>
  <c r="DJ213" i="5"/>
  <c r="DI213" i="5"/>
  <c r="EQ121" i="5"/>
  <c r="ER121" i="5" s="1"/>
  <c r="EG38" i="5"/>
  <c r="EJ38" i="5" s="1"/>
  <c r="EK38" i="5" s="1"/>
  <c r="EL232" i="5"/>
  <c r="EM232" i="5"/>
  <c r="EL187" i="5"/>
  <c r="EM187" i="5"/>
  <c r="ER120" i="5"/>
  <c r="AJ40" i="5"/>
  <c r="AN39" i="5"/>
  <c r="DO39" i="5" s="1"/>
  <c r="AK39" i="5"/>
  <c r="DI232" i="5"/>
  <c r="DJ232" i="5"/>
  <c r="FE229" i="5"/>
  <c r="FG229" i="5" s="1"/>
  <c r="CY229" i="5"/>
  <c r="EQ231" i="5"/>
  <c r="ER231" i="5" s="1"/>
  <c r="EQ212" i="5"/>
  <c r="ER212" i="5" s="1"/>
  <c r="DH123" i="5"/>
  <c r="EG123" i="5"/>
  <c r="EJ123" i="5" s="1"/>
  <c r="EK123" i="5" s="1"/>
  <c r="EM37" i="5"/>
  <c r="EL37" i="5"/>
  <c r="DI187" i="5"/>
  <c r="DJ187" i="5"/>
  <c r="DK121" i="5"/>
  <c r="DH188" i="5"/>
  <c r="EG188" i="5"/>
  <c r="EJ188" i="5" s="1"/>
  <c r="EK188" i="5" s="1"/>
  <c r="AJ126" i="5"/>
  <c r="X210" i="5"/>
  <c r="AJ236" i="5"/>
  <c r="X184" i="5"/>
  <c r="AJ191" i="5"/>
  <c r="DS35" i="20" l="1"/>
  <c r="DS181" i="21"/>
  <c r="CQ181" i="21"/>
  <c r="DS207" i="21"/>
  <c r="CQ207" i="21"/>
  <c r="DU211" i="21"/>
  <c r="AV211" i="21"/>
  <c r="AW211" i="21" s="1"/>
  <c r="ER232" i="21"/>
  <c r="ES232" i="21"/>
  <c r="DQ231" i="21"/>
  <c r="DR231" i="21" s="1"/>
  <c r="DN125" i="21"/>
  <c r="EM125" i="21"/>
  <c r="EP125" i="21" s="1"/>
  <c r="EQ125" i="21" s="1"/>
  <c r="AU126" i="21"/>
  <c r="AR126" i="21"/>
  <c r="AT127" i="21"/>
  <c r="AP128" i="21"/>
  <c r="AQ127" i="21"/>
  <c r="DQ123" i="21"/>
  <c r="DR123" i="21" s="1"/>
  <c r="DQ208" i="21"/>
  <c r="DR208" i="21" s="1"/>
  <c r="DO232" i="21"/>
  <c r="DP232" i="21"/>
  <c r="AU234" i="21"/>
  <c r="AR234" i="21"/>
  <c r="AU185" i="21"/>
  <c r="AR185" i="21"/>
  <c r="ER209" i="21"/>
  <c r="ES209" i="21"/>
  <c r="FK120" i="21"/>
  <c r="FM120" i="21" s="1"/>
  <c r="DE120" i="21"/>
  <c r="AD120" i="21"/>
  <c r="AU40" i="21"/>
  <c r="AR40" i="21"/>
  <c r="FB122" i="21"/>
  <c r="ED122" i="21" s="1"/>
  <c r="CR122" i="21" s="1"/>
  <c r="AT186" i="21"/>
  <c r="AP187" i="21"/>
  <c r="AQ186" i="21"/>
  <c r="EW182" i="21"/>
  <c r="EX182" i="21" s="1"/>
  <c r="DN210" i="21"/>
  <c r="EM210" i="21"/>
  <c r="EP210" i="21" s="1"/>
  <c r="EQ210" i="21" s="1"/>
  <c r="DP209" i="21"/>
  <c r="DO209" i="21"/>
  <c r="EW231" i="21"/>
  <c r="EX231" i="21" s="1"/>
  <c r="AP42" i="21"/>
  <c r="AT41" i="21"/>
  <c r="DU41" i="21" s="1"/>
  <c r="AQ41" i="21"/>
  <c r="DE180" i="21"/>
  <c r="AD180" i="21"/>
  <c r="FK180" i="21"/>
  <c r="FM180" i="21" s="1"/>
  <c r="FB37" i="21"/>
  <c r="EW208" i="21"/>
  <c r="EX208" i="21" s="1"/>
  <c r="EX123" i="21"/>
  <c r="EW123" i="21"/>
  <c r="FB123" i="21" s="1"/>
  <c r="ED123" i="21" s="1"/>
  <c r="CR123" i="21" s="1"/>
  <c r="EM40" i="21"/>
  <c r="EP40" i="21" s="1"/>
  <c r="EQ40" i="21" s="1"/>
  <c r="DU185" i="21"/>
  <c r="AV185" i="21"/>
  <c r="AW185" i="21" s="1"/>
  <c r="DN233" i="21"/>
  <c r="EM233" i="21"/>
  <c r="EP233" i="21" s="1"/>
  <c r="EQ233" i="21" s="1"/>
  <c r="ES183" i="21"/>
  <c r="ER183" i="21"/>
  <c r="CQ121" i="21"/>
  <c r="DS121" i="21"/>
  <c r="AR211" i="21"/>
  <c r="AU211" i="21"/>
  <c r="DO183" i="21"/>
  <c r="DP183" i="21"/>
  <c r="DF121" i="21"/>
  <c r="FL121" i="21"/>
  <c r="DU126" i="21"/>
  <c r="AV126" i="21"/>
  <c r="AW126" i="21" s="1"/>
  <c r="EW38" i="21"/>
  <c r="FB38" i="21" s="1"/>
  <c r="DU234" i="21"/>
  <c r="AV234" i="21"/>
  <c r="AW234" i="21" s="1"/>
  <c r="ER124" i="21"/>
  <c r="ES124" i="21"/>
  <c r="DS36" i="21"/>
  <c r="DQ182" i="21"/>
  <c r="DR182" i="21" s="1"/>
  <c r="ER39" i="21"/>
  <c r="ES39" i="21"/>
  <c r="AT235" i="21"/>
  <c r="AP236" i="21"/>
  <c r="AQ235" i="21"/>
  <c r="FK206" i="21"/>
  <c r="FM206" i="21" s="1"/>
  <c r="AD206" i="21"/>
  <c r="CY206" i="21"/>
  <c r="DN184" i="21"/>
  <c r="EM184" i="21"/>
  <c r="EP184" i="21" s="1"/>
  <c r="EQ184" i="21" s="1"/>
  <c r="DP124" i="21"/>
  <c r="DO124" i="21"/>
  <c r="DS120" i="20"/>
  <c r="FB36" i="20"/>
  <c r="ED36" i="20" s="1"/>
  <c r="EX121" i="20"/>
  <c r="EV121" i="5"/>
  <c r="DX121" i="5" s="1"/>
  <c r="CL121" i="5" s="1"/>
  <c r="FF121" i="5" s="1"/>
  <c r="EV36" i="5"/>
  <c r="DL36" i="5" s="1"/>
  <c r="DM36" i="5" s="1"/>
  <c r="DM119" i="5"/>
  <c r="CK119" i="5"/>
  <c r="DS209" i="20"/>
  <c r="CQ209" i="20"/>
  <c r="FL121" i="20"/>
  <c r="DF121" i="20"/>
  <c r="DS181" i="20"/>
  <c r="CQ181" i="20"/>
  <c r="DR121" i="20"/>
  <c r="DU232" i="20"/>
  <c r="AV232" i="20"/>
  <c r="AW232" i="20" s="1"/>
  <c r="EW37" i="20"/>
  <c r="FB37" i="20" s="1"/>
  <c r="DU185" i="20"/>
  <c r="AV185" i="20"/>
  <c r="AW185" i="20" s="1"/>
  <c r="AT40" i="20"/>
  <c r="DU40" i="20" s="1"/>
  <c r="AP41" i="20"/>
  <c r="AQ40" i="20"/>
  <c r="ES123" i="20"/>
  <c r="ER123" i="20"/>
  <c r="EW182" i="20"/>
  <c r="EX182" i="20" s="1"/>
  <c r="DQ210" i="20"/>
  <c r="DR210" i="20" s="1"/>
  <c r="ES183" i="20"/>
  <c r="ER183" i="20"/>
  <c r="ES211" i="20"/>
  <c r="ER211" i="20"/>
  <c r="EM39" i="20"/>
  <c r="EP39" i="20" s="1"/>
  <c r="EQ39" i="20" s="1"/>
  <c r="DP123" i="20"/>
  <c r="DO123" i="20"/>
  <c r="DQ122" i="20"/>
  <c r="DN124" i="20"/>
  <c r="EM124" i="20"/>
  <c r="EP124" i="20" s="1"/>
  <c r="EQ124" i="20" s="1"/>
  <c r="AU232" i="20"/>
  <c r="AR232" i="20"/>
  <c r="AD118" i="20"/>
  <c r="FK118" i="20"/>
  <c r="FM118" i="20" s="1"/>
  <c r="DE118" i="20"/>
  <c r="EW210" i="20"/>
  <c r="EX210" i="20" s="1"/>
  <c r="DE208" i="20"/>
  <c r="AD208" i="20"/>
  <c r="FK208" i="20"/>
  <c r="FM208" i="20" s="1"/>
  <c r="ES38" i="20"/>
  <c r="ER38" i="20"/>
  <c r="DQ182" i="20"/>
  <c r="DR182" i="20" s="1"/>
  <c r="FK120" i="20"/>
  <c r="FM120" i="20" s="1"/>
  <c r="DE120" i="20"/>
  <c r="AD120" i="20"/>
  <c r="DQ229" i="20"/>
  <c r="DR229" i="20" s="1"/>
  <c r="AP187" i="20"/>
  <c r="AT186" i="20"/>
  <c r="AQ186" i="20"/>
  <c r="EW229" i="20"/>
  <c r="EX229" i="20" s="1"/>
  <c r="DE119" i="20"/>
  <c r="AD119" i="20"/>
  <c r="FK119" i="20"/>
  <c r="FM119" i="20" s="1"/>
  <c r="EW122" i="20"/>
  <c r="EX122" i="20" s="1"/>
  <c r="AT233" i="20"/>
  <c r="AP234" i="20"/>
  <c r="AQ233" i="20"/>
  <c r="DN231" i="20"/>
  <c r="EM231" i="20"/>
  <c r="EP231" i="20" s="1"/>
  <c r="EQ231" i="20" s="1"/>
  <c r="DE180" i="20"/>
  <c r="AD180" i="20"/>
  <c r="FK180" i="20"/>
  <c r="FM180" i="20" s="1"/>
  <c r="ES230" i="20"/>
  <c r="ER230" i="20"/>
  <c r="DN184" i="20"/>
  <c r="EM184" i="20"/>
  <c r="EP184" i="20" s="1"/>
  <c r="EQ184" i="20" s="1"/>
  <c r="DO183" i="20"/>
  <c r="DP183" i="20"/>
  <c r="DO230" i="20"/>
  <c r="DP230" i="20"/>
  <c r="AU125" i="20"/>
  <c r="AR125" i="20"/>
  <c r="DU125" i="20"/>
  <c r="AV125" i="20"/>
  <c r="AW125" i="20" s="1"/>
  <c r="DS228" i="20"/>
  <c r="AU185" i="20"/>
  <c r="AR185" i="20"/>
  <c r="AU39" i="20"/>
  <c r="AR39" i="20"/>
  <c r="DO211" i="20"/>
  <c r="DP211" i="20"/>
  <c r="AT126" i="20"/>
  <c r="AP127" i="20"/>
  <c r="AQ126" i="20"/>
  <c r="CY227" i="20"/>
  <c r="FK227" i="20"/>
  <c r="FM227" i="20" s="1"/>
  <c r="AD227" i="20"/>
  <c r="DM231" i="5"/>
  <c r="CK231" i="5"/>
  <c r="DM186" i="5"/>
  <c r="CK186" i="5"/>
  <c r="X186" i="5" s="1"/>
  <c r="DM212" i="5"/>
  <c r="CK212" i="5"/>
  <c r="DK232" i="5"/>
  <c r="DL232" i="5" s="1"/>
  <c r="EQ232" i="5"/>
  <c r="ER232" i="5" s="1"/>
  <c r="AL190" i="5"/>
  <c r="AO190" i="5"/>
  <c r="AL125" i="5"/>
  <c r="AO125" i="5"/>
  <c r="AN236" i="5"/>
  <c r="AK236" i="5"/>
  <c r="DK187" i="5"/>
  <c r="DL187" i="5" s="1"/>
  <c r="AL39" i="5"/>
  <c r="AO39" i="5"/>
  <c r="DH124" i="5"/>
  <c r="EG124" i="5"/>
  <c r="EJ124" i="5" s="1"/>
  <c r="EK124" i="5" s="1"/>
  <c r="DH189" i="5"/>
  <c r="EG189" i="5"/>
  <c r="EJ189" i="5" s="1"/>
  <c r="EK189" i="5" s="1"/>
  <c r="FE211" i="5"/>
  <c r="FG211" i="5" s="1"/>
  <c r="CS211" i="5"/>
  <c r="DO190" i="5"/>
  <c r="AP190" i="5"/>
  <c r="AQ190" i="5" s="1"/>
  <c r="DO125" i="5"/>
  <c r="AP125" i="5"/>
  <c r="AQ125" i="5" s="1"/>
  <c r="EQ37" i="5"/>
  <c r="EV37" i="5" s="1"/>
  <c r="EG39" i="5"/>
  <c r="EJ39" i="5" s="1"/>
  <c r="EK39" i="5" s="1"/>
  <c r="EM38" i="5"/>
  <c r="EL38" i="5"/>
  <c r="EM233" i="5"/>
  <c r="EL233" i="5"/>
  <c r="AN126" i="5"/>
  <c r="AK126" i="5"/>
  <c r="AJ41" i="5"/>
  <c r="AN40" i="5"/>
  <c r="DO40" i="5" s="1"/>
  <c r="AK40" i="5"/>
  <c r="DI233" i="5"/>
  <c r="DJ233" i="5"/>
  <c r="DH234" i="5"/>
  <c r="EG234" i="5"/>
  <c r="EJ234" i="5" s="1"/>
  <c r="EK234" i="5" s="1"/>
  <c r="EQ122" i="5"/>
  <c r="EV122" i="5" s="1"/>
  <c r="EL188" i="5"/>
  <c r="EM188" i="5"/>
  <c r="EL214" i="5"/>
  <c r="EM214" i="5"/>
  <c r="FE185" i="5"/>
  <c r="FG185" i="5" s="1"/>
  <c r="CS185" i="5"/>
  <c r="EL123" i="5"/>
  <c r="EM123" i="5"/>
  <c r="DI188" i="5"/>
  <c r="DJ188" i="5"/>
  <c r="DI123" i="5"/>
  <c r="DJ123" i="5"/>
  <c r="DO235" i="5"/>
  <c r="AP235" i="5"/>
  <c r="AQ235" i="5" s="1"/>
  <c r="DH215" i="5"/>
  <c r="EG215" i="5"/>
  <c r="EJ215" i="5" s="1"/>
  <c r="EK215" i="5" s="1"/>
  <c r="DI214" i="5"/>
  <c r="DJ214" i="5"/>
  <c r="CZ121" i="5"/>
  <c r="AL235" i="5"/>
  <c r="AO235" i="5"/>
  <c r="AN191" i="5"/>
  <c r="AK191" i="5"/>
  <c r="EQ187" i="5"/>
  <c r="ER187" i="5" s="1"/>
  <c r="DK213" i="5"/>
  <c r="DL213" i="5" s="1"/>
  <c r="EQ213" i="5"/>
  <c r="ER213" i="5" s="1"/>
  <c r="DK122" i="5"/>
  <c r="DM120" i="5"/>
  <c r="CK120" i="5"/>
  <c r="FF120" i="5"/>
  <c r="CZ120" i="5"/>
  <c r="AJ127" i="5"/>
  <c r="X211" i="5"/>
  <c r="AJ237" i="5"/>
  <c r="X185" i="5"/>
  <c r="AJ192" i="5"/>
  <c r="DS231" i="21" l="1"/>
  <c r="CQ231" i="21"/>
  <c r="CQ123" i="21"/>
  <c r="DS123" i="21"/>
  <c r="ED38" i="21"/>
  <c r="DR38" i="21"/>
  <c r="DS208" i="21"/>
  <c r="CQ208" i="21"/>
  <c r="CZ123" i="21"/>
  <c r="FL123" i="21"/>
  <c r="DS182" i="21"/>
  <c r="CQ182" i="21"/>
  <c r="DP210" i="21"/>
  <c r="DO210" i="21"/>
  <c r="DF122" i="21"/>
  <c r="FL122" i="21"/>
  <c r="DO125" i="21"/>
  <c r="DP125" i="21"/>
  <c r="DQ232" i="21"/>
  <c r="DR232" i="21"/>
  <c r="ER210" i="21"/>
  <c r="ES210" i="21"/>
  <c r="AP129" i="21"/>
  <c r="AT128" i="21"/>
  <c r="AQ128" i="21"/>
  <c r="EW124" i="21"/>
  <c r="FB124" i="21" s="1"/>
  <c r="ED124" i="21" s="1"/>
  <c r="CR124" i="21" s="1"/>
  <c r="EX39" i="21"/>
  <c r="EW39" i="21"/>
  <c r="FB39" i="21" s="1"/>
  <c r="DU127" i="21"/>
  <c r="AV127" i="21"/>
  <c r="AW127" i="21" s="1"/>
  <c r="ER40" i="21"/>
  <c r="ES40" i="21"/>
  <c r="DQ209" i="21"/>
  <c r="DR209" i="21"/>
  <c r="EX183" i="21"/>
  <c r="EW183" i="21"/>
  <c r="DN234" i="21"/>
  <c r="EM234" i="21"/>
  <c r="EP234" i="21" s="1"/>
  <c r="EQ234" i="21" s="1"/>
  <c r="EW232" i="21"/>
  <c r="EX232" i="21" s="1"/>
  <c r="DQ124" i="21"/>
  <c r="DR124" i="21" s="1"/>
  <c r="EX38" i="21"/>
  <c r="AU235" i="21"/>
  <c r="AR235" i="21"/>
  <c r="AD121" i="21"/>
  <c r="DE121" i="21"/>
  <c r="FK121" i="21"/>
  <c r="FM121" i="21" s="1"/>
  <c r="DP233" i="21"/>
  <c r="DO233" i="21"/>
  <c r="ED37" i="21"/>
  <c r="DR37" i="21"/>
  <c r="DS37" i="21" s="1"/>
  <c r="DN211" i="21"/>
  <c r="EM211" i="21"/>
  <c r="EP211" i="21" s="1"/>
  <c r="EQ211" i="21" s="1"/>
  <c r="DU235" i="21"/>
  <c r="AV235" i="21"/>
  <c r="AW235" i="21" s="1"/>
  <c r="ES125" i="21"/>
  <c r="ER125" i="21"/>
  <c r="EX209" i="21"/>
  <c r="EW209" i="21"/>
  <c r="DR122" i="21"/>
  <c r="AT42" i="21"/>
  <c r="DU42" i="21" s="1"/>
  <c r="AP43" i="21"/>
  <c r="AQ42" i="21"/>
  <c r="ER233" i="21"/>
  <c r="ES233" i="21"/>
  <c r="AT187" i="21"/>
  <c r="AP188" i="21"/>
  <c r="AQ187" i="21"/>
  <c r="DP184" i="21"/>
  <c r="DO184" i="21"/>
  <c r="DN126" i="21"/>
  <c r="EM126" i="21"/>
  <c r="EP126" i="21" s="1"/>
  <c r="EQ126" i="21" s="1"/>
  <c r="AD207" i="21"/>
  <c r="CY207" i="21"/>
  <c r="FK207" i="21"/>
  <c r="FM207" i="21" s="1"/>
  <c r="DN185" i="21"/>
  <c r="EM185" i="21"/>
  <c r="EP185" i="21" s="1"/>
  <c r="EQ185" i="21" s="1"/>
  <c r="DQ183" i="21"/>
  <c r="DR183" i="21" s="1"/>
  <c r="AP237" i="21"/>
  <c r="AT236" i="21"/>
  <c r="AQ236" i="21"/>
  <c r="AU186" i="21"/>
  <c r="AR186" i="21"/>
  <c r="AU41" i="21"/>
  <c r="AR41" i="21"/>
  <c r="AD181" i="21"/>
  <c r="FK181" i="21"/>
  <c r="FM181" i="21" s="1"/>
  <c r="CY181" i="21"/>
  <c r="AR127" i="21"/>
  <c r="AU127" i="21"/>
  <c r="DU186" i="21"/>
  <c r="AV186" i="21"/>
  <c r="AW186" i="21" s="1"/>
  <c r="ES184" i="21"/>
  <c r="ER184" i="21"/>
  <c r="EM41" i="21"/>
  <c r="EP41" i="21" s="1"/>
  <c r="EQ41" i="21" s="1"/>
  <c r="DR36" i="20"/>
  <c r="DS36" i="20" s="1"/>
  <c r="EX37" i="20"/>
  <c r="DS229" i="20"/>
  <c r="DX36" i="5"/>
  <c r="ER122" i="5"/>
  <c r="DL121" i="5"/>
  <c r="DM232" i="5"/>
  <c r="X119" i="5"/>
  <c r="CY119" i="5"/>
  <c r="FE119" i="5"/>
  <c r="FG119" i="5" s="1"/>
  <c r="DS182" i="20"/>
  <c r="CQ182" i="20"/>
  <c r="CQ210" i="20"/>
  <c r="DS210" i="20"/>
  <c r="ED37" i="20"/>
  <c r="DR37" i="20"/>
  <c r="DQ230" i="20"/>
  <c r="DR230" i="20" s="1"/>
  <c r="FB122" i="20"/>
  <c r="ED122" i="20" s="1"/>
  <c r="CR122" i="20" s="1"/>
  <c r="DU186" i="20"/>
  <c r="AV186" i="20"/>
  <c r="AW186" i="20" s="1"/>
  <c r="EM40" i="20"/>
  <c r="EP40" i="20" s="1"/>
  <c r="EQ40" i="20" s="1"/>
  <c r="AR186" i="20"/>
  <c r="AU186" i="20"/>
  <c r="AR126" i="20"/>
  <c r="AU126" i="20"/>
  <c r="AP188" i="20"/>
  <c r="AT187" i="20"/>
  <c r="AQ187" i="20"/>
  <c r="DS121" i="20"/>
  <c r="CQ121" i="20"/>
  <c r="AP128" i="20"/>
  <c r="AT127" i="20"/>
  <c r="AQ127" i="20"/>
  <c r="DQ183" i="20"/>
  <c r="DR183" i="20" s="1"/>
  <c r="ES231" i="20"/>
  <c r="ER231" i="20"/>
  <c r="ES124" i="20"/>
  <c r="ER124" i="20"/>
  <c r="ES39" i="20"/>
  <c r="ER39" i="20"/>
  <c r="DN185" i="20"/>
  <c r="EM185" i="20"/>
  <c r="EP185" i="20" s="1"/>
  <c r="EQ185" i="20" s="1"/>
  <c r="CY181" i="20"/>
  <c r="FK181" i="20"/>
  <c r="FM181" i="20" s="1"/>
  <c r="AD181" i="20"/>
  <c r="DE209" i="20"/>
  <c r="AD209" i="20"/>
  <c r="FK209" i="20"/>
  <c r="FM209" i="20" s="1"/>
  <c r="DU126" i="20"/>
  <c r="AV126" i="20"/>
  <c r="AW126" i="20" s="1"/>
  <c r="ES184" i="20"/>
  <c r="ER184" i="20"/>
  <c r="DP231" i="20"/>
  <c r="DO231" i="20"/>
  <c r="EW38" i="20"/>
  <c r="EX38" i="20" s="1"/>
  <c r="DP124" i="20"/>
  <c r="DO124" i="20"/>
  <c r="EW211" i="20"/>
  <c r="EX211" i="20" s="1"/>
  <c r="AU233" i="20"/>
  <c r="AR233" i="20"/>
  <c r="DN125" i="20"/>
  <c r="EM125" i="20"/>
  <c r="EP125" i="20" s="1"/>
  <c r="EQ125" i="20" s="1"/>
  <c r="DP184" i="20"/>
  <c r="DO184" i="20"/>
  <c r="EW123" i="20"/>
  <c r="FB123" i="20" s="1"/>
  <c r="ED123" i="20" s="1"/>
  <c r="CR123" i="20" s="1"/>
  <c r="DQ211" i="20"/>
  <c r="DR211" i="20" s="1"/>
  <c r="EW230" i="20"/>
  <c r="EX230" i="20" s="1"/>
  <c r="AT234" i="20"/>
  <c r="AP235" i="20"/>
  <c r="AQ234" i="20"/>
  <c r="EW183" i="20"/>
  <c r="EX183" i="20" s="1"/>
  <c r="DU233" i="20"/>
  <c r="AV233" i="20"/>
  <c r="AW233" i="20" s="1"/>
  <c r="AU40" i="20"/>
  <c r="AR40" i="20"/>
  <c r="DQ123" i="20"/>
  <c r="AP42" i="20"/>
  <c r="AT41" i="20"/>
  <c r="DU41" i="20" s="1"/>
  <c r="AQ41" i="20"/>
  <c r="DN232" i="20"/>
  <c r="EM232" i="20"/>
  <c r="EP232" i="20" s="1"/>
  <c r="EQ232" i="20" s="1"/>
  <c r="DX37" i="5"/>
  <c r="DL37" i="5"/>
  <c r="DM213" i="5"/>
  <c r="CK213" i="5"/>
  <c r="X213" i="5" s="1"/>
  <c r="DX122" i="5"/>
  <c r="CL122" i="5" s="1"/>
  <c r="DL122" i="5"/>
  <c r="DI215" i="5"/>
  <c r="DJ215" i="5"/>
  <c r="AN237" i="5"/>
  <c r="AK237" i="5"/>
  <c r="DH235" i="5"/>
  <c r="EG235" i="5"/>
  <c r="EJ235" i="5" s="1"/>
  <c r="EK235" i="5" s="1"/>
  <c r="EG40" i="5"/>
  <c r="EJ40" i="5" s="1"/>
  <c r="EK40" i="5" s="1"/>
  <c r="EQ233" i="5"/>
  <c r="ER233" i="5" s="1"/>
  <c r="ER37" i="5"/>
  <c r="DJ189" i="5"/>
  <c r="DI189" i="5"/>
  <c r="DO236" i="5"/>
  <c r="AP236" i="5"/>
  <c r="AQ236" i="5" s="1"/>
  <c r="AJ42" i="5"/>
  <c r="AN41" i="5"/>
  <c r="DO41" i="5" s="1"/>
  <c r="AK41" i="5"/>
  <c r="EL124" i="5"/>
  <c r="EM124" i="5"/>
  <c r="AN127" i="5"/>
  <c r="AK127" i="5"/>
  <c r="DK123" i="5"/>
  <c r="EQ214" i="5"/>
  <c r="ER214" i="5" s="1"/>
  <c r="AO126" i="5"/>
  <c r="AL126" i="5"/>
  <c r="EQ38" i="5"/>
  <c r="ER38" i="5" s="1"/>
  <c r="DH125" i="5"/>
  <c r="EG125" i="5"/>
  <c r="EJ125" i="5" s="1"/>
  <c r="EK125" i="5" s="1"/>
  <c r="DI124" i="5"/>
  <c r="DJ124" i="5"/>
  <c r="FE212" i="5"/>
  <c r="FG212" i="5" s="1"/>
  <c r="CY212" i="5"/>
  <c r="CY120" i="5"/>
  <c r="FE120" i="5"/>
  <c r="FG120" i="5" s="1"/>
  <c r="X120" i="5"/>
  <c r="DO126" i="5"/>
  <c r="AP126" i="5"/>
  <c r="AQ126" i="5" s="1"/>
  <c r="EQ188" i="5"/>
  <c r="ER188" i="5" s="1"/>
  <c r="DI234" i="5"/>
  <c r="DJ234" i="5"/>
  <c r="EL39" i="5"/>
  <c r="EM39" i="5"/>
  <c r="DH190" i="5"/>
  <c r="EG190" i="5"/>
  <c r="EJ190" i="5" s="1"/>
  <c r="EK190" i="5" s="1"/>
  <c r="CS186" i="5"/>
  <c r="FE186" i="5"/>
  <c r="FG186" i="5" s="1"/>
  <c r="EL234" i="5"/>
  <c r="EM234" i="5"/>
  <c r="DK214" i="5"/>
  <c r="DL214" i="5" s="1"/>
  <c r="DK188" i="5"/>
  <c r="DL188" i="5" s="1"/>
  <c r="AN192" i="5"/>
  <c r="AK192" i="5"/>
  <c r="AO191" i="5"/>
  <c r="AL191" i="5"/>
  <c r="EL215" i="5"/>
  <c r="EM215" i="5"/>
  <c r="DO191" i="5"/>
  <c r="AP191" i="5"/>
  <c r="AQ191" i="5" s="1"/>
  <c r="DK233" i="5"/>
  <c r="DL233" i="5" s="1"/>
  <c r="DM187" i="5"/>
  <c r="CK187" i="5"/>
  <c r="FE231" i="5"/>
  <c r="FG231" i="5" s="1"/>
  <c r="CS231" i="5"/>
  <c r="EQ123" i="5"/>
  <c r="ER123" i="5" s="1"/>
  <c r="AL40" i="5"/>
  <c r="AO40" i="5"/>
  <c r="EL189" i="5"/>
  <c r="EM189" i="5"/>
  <c r="AL236" i="5"/>
  <c r="AO236" i="5"/>
  <c r="AJ128" i="5"/>
  <c r="X212" i="5"/>
  <c r="X231" i="5"/>
  <c r="AJ238" i="5"/>
  <c r="AJ193" i="5"/>
  <c r="CQ124" i="21" l="1"/>
  <c r="DS183" i="21"/>
  <c r="CQ183" i="21"/>
  <c r="ED39" i="21"/>
  <c r="DR39" i="21"/>
  <c r="DS39" i="21" s="1"/>
  <c r="FL124" i="21"/>
  <c r="CZ124" i="21"/>
  <c r="AT129" i="21"/>
  <c r="AP130" i="21"/>
  <c r="AQ129" i="21"/>
  <c r="AU42" i="21"/>
  <c r="AR42" i="21"/>
  <c r="AT43" i="21"/>
  <c r="DU43" i="21" s="1"/>
  <c r="AP44" i="21"/>
  <c r="AQ43" i="21"/>
  <c r="AR187" i="21"/>
  <c r="AU187" i="21"/>
  <c r="EW233" i="21"/>
  <c r="EX233" i="21" s="1"/>
  <c r="ER234" i="21"/>
  <c r="ES234" i="21"/>
  <c r="DQ125" i="21"/>
  <c r="DR125" i="21" s="1"/>
  <c r="AU236" i="21"/>
  <c r="AR236" i="21"/>
  <c r="CQ122" i="21"/>
  <c r="DS122" i="21"/>
  <c r="DP234" i="21"/>
  <c r="DO234" i="21"/>
  <c r="DU236" i="21"/>
  <c r="AV236" i="21"/>
  <c r="AW236" i="21" s="1"/>
  <c r="EM42" i="21"/>
  <c r="EP42" i="21" s="1"/>
  <c r="EQ42" i="21" s="1"/>
  <c r="FK182" i="21"/>
  <c r="FM182" i="21" s="1"/>
  <c r="CY182" i="21"/>
  <c r="AD182" i="21"/>
  <c r="EW184" i="21"/>
  <c r="EX184" i="21" s="1"/>
  <c r="DP185" i="21"/>
  <c r="DO185" i="21"/>
  <c r="DP211" i="21"/>
  <c r="DO211" i="21"/>
  <c r="DN127" i="21"/>
  <c r="EM127" i="21"/>
  <c r="EP127" i="21" s="1"/>
  <c r="EQ127" i="21" s="1"/>
  <c r="DE208" i="21"/>
  <c r="AD208" i="21"/>
  <c r="FK208" i="21"/>
  <c r="FM208" i="21" s="1"/>
  <c r="AT188" i="21"/>
  <c r="AP189" i="21"/>
  <c r="AQ188" i="21"/>
  <c r="AP238" i="21"/>
  <c r="AT237" i="21"/>
  <c r="AQ237" i="21"/>
  <c r="DN235" i="21"/>
  <c r="EM235" i="21"/>
  <c r="EP235" i="21" s="1"/>
  <c r="EQ235" i="21" s="1"/>
  <c r="DU128" i="21"/>
  <c r="AV128" i="21"/>
  <c r="AW128" i="21" s="1"/>
  <c r="EX40" i="21"/>
  <c r="EW40" i="21"/>
  <c r="FB40" i="21" s="1"/>
  <c r="DS38" i="21"/>
  <c r="ES41" i="21"/>
  <c r="ER41" i="21"/>
  <c r="DN186" i="21"/>
  <c r="EM186" i="21"/>
  <c r="EP186" i="21" s="1"/>
  <c r="EQ186" i="21" s="1"/>
  <c r="DQ233" i="21"/>
  <c r="DR233" i="21" s="1"/>
  <c r="DS232" i="21"/>
  <c r="CQ232" i="21"/>
  <c r="ES211" i="21"/>
  <c r="ER211" i="21"/>
  <c r="ES126" i="21"/>
  <c r="ER126" i="21"/>
  <c r="DQ210" i="21"/>
  <c r="DR210" i="21" s="1"/>
  <c r="DP126" i="21"/>
  <c r="DO126" i="21"/>
  <c r="EX124" i="21"/>
  <c r="DS124" i="21" s="1"/>
  <c r="CY123" i="21"/>
  <c r="AD123" i="21"/>
  <c r="FK123" i="21"/>
  <c r="FM123" i="21" s="1"/>
  <c r="DU187" i="21"/>
  <c r="AV187" i="21"/>
  <c r="AW187" i="21" s="1"/>
  <c r="EW125" i="21"/>
  <c r="FB125" i="21" s="1"/>
  <c r="ED125" i="21" s="1"/>
  <c r="CR125" i="21" s="1"/>
  <c r="DQ184" i="21"/>
  <c r="DR184" i="21" s="1"/>
  <c r="AD231" i="21"/>
  <c r="FK231" i="21"/>
  <c r="FM231" i="21" s="1"/>
  <c r="CY231" i="21"/>
  <c r="EW210" i="21"/>
  <c r="EX210" i="21" s="1"/>
  <c r="DS209" i="21"/>
  <c r="CQ209" i="21"/>
  <c r="ES185" i="21"/>
  <c r="ER185" i="21"/>
  <c r="AU128" i="21"/>
  <c r="AR128" i="21"/>
  <c r="EX123" i="20"/>
  <c r="DR123" i="20"/>
  <c r="CQ123" i="20" s="1"/>
  <c r="FB38" i="20"/>
  <c r="ED38" i="20" s="1"/>
  <c r="DS37" i="20"/>
  <c r="CK121" i="5"/>
  <c r="DM121" i="5"/>
  <c r="DM233" i="5"/>
  <c r="DM37" i="5"/>
  <c r="DS183" i="20"/>
  <c r="CQ183" i="20"/>
  <c r="DS211" i="20"/>
  <c r="CQ211" i="20"/>
  <c r="AT235" i="20"/>
  <c r="AP236" i="20"/>
  <c r="AQ235" i="20"/>
  <c r="FL123" i="20"/>
  <c r="CZ123" i="20"/>
  <c r="EW184" i="20"/>
  <c r="EX184" i="20" s="1"/>
  <c r="EW231" i="20"/>
  <c r="EX231" i="20" s="1"/>
  <c r="DP232" i="20"/>
  <c r="DO232" i="20"/>
  <c r="AU41" i="20"/>
  <c r="AR41" i="20"/>
  <c r="DN233" i="20"/>
  <c r="EM233" i="20"/>
  <c r="EP233" i="20" s="1"/>
  <c r="EQ233" i="20" s="1"/>
  <c r="DU234" i="20"/>
  <c r="AV234" i="20"/>
  <c r="AW234" i="20" s="1"/>
  <c r="DQ184" i="20"/>
  <c r="DR184" i="20" s="1"/>
  <c r="DQ124" i="20"/>
  <c r="AU187" i="20"/>
  <c r="AR187" i="20"/>
  <c r="ER40" i="20"/>
  <c r="ES40" i="20"/>
  <c r="ES185" i="20"/>
  <c r="ER185" i="20"/>
  <c r="DU187" i="20"/>
  <c r="AV187" i="20"/>
  <c r="AW187" i="20" s="1"/>
  <c r="EM41" i="20"/>
  <c r="EP41" i="20" s="1"/>
  <c r="EQ41" i="20" s="1"/>
  <c r="AP43" i="20"/>
  <c r="AT42" i="20"/>
  <c r="DU42" i="20" s="1"/>
  <c r="AQ42" i="20"/>
  <c r="ES125" i="20"/>
  <c r="ER125" i="20"/>
  <c r="DN126" i="20"/>
  <c r="EM126" i="20"/>
  <c r="EP126" i="20" s="1"/>
  <c r="EQ126" i="20" s="1"/>
  <c r="DO185" i="20"/>
  <c r="DP185" i="20"/>
  <c r="AT188" i="20"/>
  <c r="AP189" i="20"/>
  <c r="AQ188" i="20"/>
  <c r="AD210" i="20"/>
  <c r="CY210" i="20"/>
  <c r="FK210" i="20"/>
  <c r="FM210" i="20" s="1"/>
  <c r="DP125" i="20"/>
  <c r="DO125" i="20"/>
  <c r="DR38" i="20"/>
  <c r="DS38" i="20" s="1"/>
  <c r="EW39" i="20"/>
  <c r="FB39" i="20" s="1"/>
  <c r="AU127" i="20"/>
  <c r="AR127" i="20"/>
  <c r="DN186" i="20"/>
  <c r="EM186" i="20"/>
  <c r="EP186" i="20" s="1"/>
  <c r="EQ186" i="20" s="1"/>
  <c r="DR122" i="20"/>
  <c r="DU127" i="20"/>
  <c r="AV127" i="20"/>
  <c r="AW127" i="20" s="1"/>
  <c r="FL122" i="20"/>
  <c r="DF122" i="20"/>
  <c r="AD182" i="20"/>
  <c r="CY182" i="20"/>
  <c r="FK182" i="20"/>
  <c r="FM182" i="20" s="1"/>
  <c r="DQ231" i="20"/>
  <c r="DR231" i="20" s="1"/>
  <c r="EW124" i="20"/>
  <c r="EX124" i="20" s="1"/>
  <c r="AP129" i="20"/>
  <c r="AT128" i="20"/>
  <c r="AQ128" i="20"/>
  <c r="ES232" i="20"/>
  <c r="ER232" i="20"/>
  <c r="AR234" i="20"/>
  <c r="AU234" i="20"/>
  <c r="FK121" i="20"/>
  <c r="FM121" i="20" s="1"/>
  <c r="DE121" i="20"/>
  <c r="AD121" i="20"/>
  <c r="DS230" i="20"/>
  <c r="DM188" i="5"/>
  <c r="CK188" i="5"/>
  <c r="DK215" i="5"/>
  <c r="DL215" i="5" s="1"/>
  <c r="AJ43" i="5"/>
  <c r="AN42" i="5"/>
  <c r="DO42" i="5" s="1"/>
  <c r="AK42" i="5"/>
  <c r="AL192" i="5"/>
  <c r="AO192" i="5"/>
  <c r="EQ39" i="5"/>
  <c r="ER39" i="5" s="1"/>
  <c r="DK124" i="5"/>
  <c r="AL41" i="5"/>
  <c r="AO41" i="5"/>
  <c r="AN193" i="5"/>
  <c r="AK193" i="5"/>
  <c r="DI125" i="5"/>
  <c r="DJ125" i="5"/>
  <c r="CZ122" i="5"/>
  <c r="FF122" i="5"/>
  <c r="DO192" i="5"/>
  <c r="AP192" i="5"/>
  <c r="AQ192" i="5" s="1"/>
  <c r="EV123" i="5"/>
  <c r="DX123" i="5" s="1"/>
  <c r="CL123" i="5" s="1"/>
  <c r="DH191" i="5"/>
  <c r="EG191" i="5"/>
  <c r="EJ191" i="5" s="1"/>
  <c r="EK191" i="5" s="1"/>
  <c r="EL40" i="5"/>
  <c r="EM40" i="5"/>
  <c r="EV38" i="5"/>
  <c r="AL127" i="5"/>
  <c r="AO127" i="5"/>
  <c r="DH236" i="5"/>
  <c r="EG236" i="5"/>
  <c r="EJ236" i="5" s="1"/>
  <c r="EK236" i="5" s="1"/>
  <c r="EL235" i="5"/>
  <c r="EM235" i="5"/>
  <c r="FE213" i="5"/>
  <c r="FG213" i="5" s="1"/>
  <c r="CY213" i="5"/>
  <c r="EL125" i="5"/>
  <c r="EM125" i="5"/>
  <c r="DL234" i="5"/>
  <c r="DK234" i="5"/>
  <c r="AN238" i="5"/>
  <c r="AK238" i="5"/>
  <c r="EQ215" i="5"/>
  <c r="ER215" i="5" s="1"/>
  <c r="DM214" i="5"/>
  <c r="CK214" i="5"/>
  <c r="X214" i="5" s="1"/>
  <c r="EL190" i="5"/>
  <c r="EM190" i="5"/>
  <c r="DO127" i="5"/>
  <c r="AP127" i="5"/>
  <c r="AQ127" i="5" s="1"/>
  <c r="DK189" i="5"/>
  <c r="DL189" i="5" s="1"/>
  <c r="DI235" i="5"/>
  <c r="DJ235" i="5"/>
  <c r="FE187" i="5"/>
  <c r="FG187" i="5" s="1"/>
  <c r="CY187" i="5"/>
  <c r="DJ190" i="5"/>
  <c r="DI190" i="5"/>
  <c r="DH126" i="5"/>
  <c r="EG126" i="5"/>
  <c r="EJ126" i="5" s="1"/>
  <c r="EK126" i="5" s="1"/>
  <c r="EG41" i="5"/>
  <c r="EJ41" i="5" s="1"/>
  <c r="EK41" i="5" s="1"/>
  <c r="EQ189" i="5"/>
  <c r="ER189" i="5" s="1"/>
  <c r="CK122" i="5"/>
  <c r="DM122" i="5"/>
  <c r="AO237" i="5"/>
  <c r="AL237" i="5"/>
  <c r="AN128" i="5"/>
  <c r="AK128" i="5"/>
  <c r="EQ234" i="5"/>
  <c r="ER234" i="5" s="1"/>
  <c r="EQ124" i="5"/>
  <c r="ER124" i="5" s="1"/>
  <c r="DO237" i="5"/>
  <c r="AP237" i="5"/>
  <c r="AQ237" i="5" s="1"/>
  <c r="X187" i="5"/>
  <c r="AJ129" i="5"/>
  <c r="AJ239" i="5"/>
  <c r="AJ194" i="5"/>
  <c r="DS210" i="21" l="1"/>
  <c r="CQ210" i="21"/>
  <c r="DS233" i="21"/>
  <c r="CQ233" i="21"/>
  <c r="CQ125" i="21"/>
  <c r="ED40" i="21"/>
  <c r="DR40" i="21"/>
  <c r="DS40" i="21" s="1"/>
  <c r="DS184" i="21"/>
  <c r="CQ184" i="21"/>
  <c r="FL125" i="21"/>
  <c r="CZ125" i="21"/>
  <c r="ES127" i="21"/>
  <c r="ER127" i="21"/>
  <c r="DO186" i="21"/>
  <c r="DP186" i="21"/>
  <c r="EX125" i="21"/>
  <c r="DS125" i="21" s="1"/>
  <c r="AU43" i="21"/>
  <c r="AR43" i="21"/>
  <c r="AP45" i="21"/>
  <c r="AT44" i="21"/>
  <c r="DU44" i="21" s="1"/>
  <c r="AQ44" i="21"/>
  <c r="ER186" i="21"/>
  <c r="ES186" i="21"/>
  <c r="DU237" i="21"/>
  <c r="AV237" i="21"/>
  <c r="AW237" i="21" s="1"/>
  <c r="DP127" i="21"/>
  <c r="DO127" i="21"/>
  <c r="DN128" i="21"/>
  <c r="EM128" i="21"/>
  <c r="EP128" i="21" s="1"/>
  <c r="EQ128" i="21" s="1"/>
  <c r="AP131" i="21"/>
  <c r="AT130" i="21"/>
  <c r="AQ130" i="21"/>
  <c r="AP239" i="21"/>
  <c r="AT238" i="21"/>
  <c r="AQ238" i="21"/>
  <c r="DN236" i="21"/>
  <c r="EM236" i="21"/>
  <c r="EP236" i="21" s="1"/>
  <c r="EQ236" i="21" s="1"/>
  <c r="EW41" i="21"/>
  <c r="EX41" i="21" s="1"/>
  <c r="DN187" i="21"/>
  <c r="EM187" i="21"/>
  <c r="EP187" i="21" s="1"/>
  <c r="EQ187" i="21" s="1"/>
  <c r="ES235" i="21"/>
  <c r="ER235" i="21"/>
  <c r="DO235" i="21"/>
  <c r="DP235" i="21"/>
  <c r="AU237" i="21"/>
  <c r="AR237" i="21"/>
  <c r="AR188" i="21"/>
  <c r="AU188" i="21"/>
  <c r="DQ234" i="21"/>
  <c r="DR234" i="21" s="1"/>
  <c r="DQ126" i="21"/>
  <c r="EW126" i="21"/>
  <c r="EX126" i="21" s="1"/>
  <c r="AT189" i="21"/>
  <c r="AP190" i="21"/>
  <c r="AQ189" i="21"/>
  <c r="EW234" i="21"/>
  <c r="EX234" i="21" s="1"/>
  <c r="EM43" i="21"/>
  <c r="EP43" i="21" s="1"/>
  <c r="EQ43" i="21" s="1"/>
  <c r="DU188" i="21"/>
  <c r="AV188" i="21"/>
  <c r="AW188" i="21" s="1"/>
  <c r="FK183" i="21"/>
  <c r="FM183" i="21" s="1"/>
  <c r="DE183" i="21"/>
  <c r="AD183" i="21"/>
  <c r="DQ211" i="21"/>
  <c r="DR211" i="21" s="1"/>
  <c r="ES42" i="21"/>
  <c r="ER42" i="21"/>
  <c r="EW211" i="21"/>
  <c r="EX211" i="21" s="1"/>
  <c r="AD122" i="21"/>
  <c r="DE122" i="21"/>
  <c r="FK122" i="21"/>
  <c r="FM122" i="21" s="1"/>
  <c r="DR185" i="21"/>
  <c r="DQ185" i="21"/>
  <c r="AU129" i="21"/>
  <c r="AR129" i="21"/>
  <c r="DU129" i="21"/>
  <c r="AV129" i="21"/>
  <c r="AW129" i="21" s="1"/>
  <c r="EW185" i="21"/>
  <c r="EX185" i="21" s="1"/>
  <c r="FK209" i="21"/>
  <c r="FM209" i="21" s="1"/>
  <c r="AD209" i="21"/>
  <c r="DE209" i="21"/>
  <c r="AD232" i="21"/>
  <c r="FK232" i="21"/>
  <c r="FM232" i="21" s="1"/>
  <c r="CY232" i="21"/>
  <c r="FK124" i="21"/>
  <c r="FM124" i="21" s="1"/>
  <c r="AD124" i="21"/>
  <c r="CY124" i="21"/>
  <c r="DS123" i="20"/>
  <c r="X121" i="5"/>
  <c r="CY121" i="5"/>
  <c r="FE121" i="5"/>
  <c r="FG121" i="5" s="1"/>
  <c r="EV124" i="5"/>
  <c r="DX124" i="5" s="1"/>
  <c r="CL124" i="5" s="1"/>
  <c r="CT124" i="5" s="1"/>
  <c r="ED39" i="20"/>
  <c r="DR39" i="20"/>
  <c r="DS231" i="20"/>
  <c r="CQ231" i="20"/>
  <c r="DS122" i="20"/>
  <c r="CQ122" i="20"/>
  <c r="AT189" i="20"/>
  <c r="AP190" i="20"/>
  <c r="AQ189" i="20"/>
  <c r="AU42" i="20"/>
  <c r="AR42" i="20"/>
  <c r="DS184" i="20"/>
  <c r="CQ184" i="20"/>
  <c r="AT236" i="20"/>
  <c r="AP237" i="20"/>
  <c r="AQ236" i="20"/>
  <c r="EM42" i="20"/>
  <c r="EP42" i="20" s="1"/>
  <c r="EQ42" i="20" s="1"/>
  <c r="DU235" i="20"/>
  <c r="AV235" i="20"/>
  <c r="AW235" i="20" s="1"/>
  <c r="DU128" i="20"/>
  <c r="AV128" i="20"/>
  <c r="AW128" i="20" s="1"/>
  <c r="DP186" i="20"/>
  <c r="DO186" i="20"/>
  <c r="DQ125" i="20"/>
  <c r="AP44" i="20"/>
  <c r="AT43" i="20"/>
  <c r="DU43" i="20" s="1"/>
  <c r="AQ43" i="20"/>
  <c r="EW40" i="20"/>
  <c r="FB40" i="20" s="1"/>
  <c r="DN234" i="20"/>
  <c r="EM234" i="20"/>
  <c r="EP234" i="20" s="1"/>
  <c r="EQ234" i="20" s="1"/>
  <c r="FK211" i="20"/>
  <c r="FM211" i="20" s="1"/>
  <c r="AD211" i="20"/>
  <c r="CY211" i="20"/>
  <c r="AP130" i="20"/>
  <c r="AT129" i="20"/>
  <c r="AQ129" i="20"/>
  <c r="DQ185" i="20"/>
  <c r="DR185" i="20" s="1"/>
  <c r="ES233" i="20"/>
  <c r="ER233" i="20"/>
  <c r="ES126" i="20"/>
  <c r="ER126" i="20"/>
  <c r="ER41" i="20"/>
  <c r="ES41" i="20"/>
  <c r="DP233" i="20"/>
  <c r="DO233" i="20"/>
  <c r="FK123" i="20"/>
  <c r="FM123" i="20" s="1"/>
  <c r="CY123" i="20"/>
  <c r="AD123" i="20"/>
  <c r="AR128" i="20"/>
  <c r="AU128" i="20"/>
  <c r="DU188" i="20"/>
  <c r="AV188" i="20"/>
  <c r="AW188" i="20" s="1"/>
  <c r="FB124" i="20"/>
  <c r="ED124" i="20" s="1"/>
  <c r="CR124" i="20" s="1"/>
  <c r="DP126" i="20"/>
  <c r="DO126" i="20"/>
  <c r="EX39" i="20"/>
  <c r="EW125" i="20"/>
  <c r="EX125" i="20" s="1"/>
  <c r="DN187" i="20"/>
  <c r="EM187" i="20"/>
  <c r="EP187" i="20" s="1"/>
  <c r="EQ187" i="20" s="1"/>
  <c r="FK183" i="20"/>
  <c r="FM183" i="20" s="1"/>
  <c r="DE183" i="20"/>
  <c r="AD183" i="20"/>
  <c r="ER186" i="20"/>
  <c r="ES186" i="20"/>
  <c r="EW232" i="20"/>
  <c r="EX232" i="20" s="1"/>
  <c r="DN127" i="20"/>
  <c r="EM127" i="20"/>
  <c r="EP127" i="20" s="1"/>
  <c r="EQ127" i="20" s="1"/>
  <c r="AU188" i="20"/>
  <c r="AR188" i="20"/>
  <c r="EW185" i="20"/>
  <c r="EX185" i="20" s="1"/>
  <c r="DQ232" i="20"/>
  <c r="DR232" i="20" s="1"/>
  <c r="AR235" i="20"/>
  <c r="AU235" i="20"/>
  <c r="DM215" i="5"/>
  <c r="CK215" i="5"/>
  <c r="DO238" i="5"/>
  <c r="AP238" i="5"/>
  <c r="AQ238" i="5" s="1"/>
  <c r="EL236" i="5"/>
  <c r="EM236" i="5"/>
  <c r="AL42" i="5"/>
  <c r="AO42" i="5"/>
  <c r="EQ190" i="5"/>
  <c r="ER190" i="5" s="1"/>
  <c r="DM234" i="5"/>
  <c r="DJ236" i="5"/>
  <c r="DI236" i="5"/>
  <c r="EQ40" i="5"/>
  <c r="ER40" i="5" s="1"/>
  <c r="EG42" i="5"/>
  <c r="EJ42" i="5" s="1"/>
  <c r="EK42" i="5" s="1"/>
  <c r="AN194" i="5"/>
  <c r="AK194" i="5"/>
  <c r="AL128" i="5"/>
  <c r="AO128" i="5"/>
  <c r="FE214" i="5"/>
  <c r="FG214" i="5" s="1"/>
  <c r="CS214" i="5"/>
  <c r="EL191" i="5"/>
  <c r="EM191" i="5"/>
  <c r="AJ44" i="5"/>
  <c r="AN43" i="5"/>
  <c r="DO43" i="5" s="1"/>
  <c r="AK43" i="5"/>
  <c r="EL41" i="5"/>
  <c r="EM41" i="5"/>
  <c r="EQ125" i="5"/>
  <c r="ER125" i="5" s="1"/>
  <c r="DJ191" i="5"/>
  <c r="DI191" i="5"/>
  <c r="AN239" i="5"/>
  <c r="AK239" i="5"/>
  <c r="EL126" i="5"/>
  <c r="EM126" i="5"/>
  <c r="FF123" i="5"/>
  <c r="CZ123" i="5"/>
  <c r="DO128" i="5"/>
  <c r="AP128" i="5"/>
  <c r="AQ128" i="5" s="1"/>
  <c r="DK235" i="5"/>
  <c r="DL235" i="5" s="1"/>
  <c r="DH237" i="5"/>
  <c r="EG237" i="5"/>
  <c r="EJ237" i="5" s="1"/>
  <c r="EK237" i="5" s="1"/>
  <c r="DM189" i="5"/>
  <c r="CK189" i="5"/>
  <c r="DX38" i="5"/>
  <c r="DL38" i="5"/>
  <c r="DM38" i="5" s="1"/>
  <c r="DK125" i="5"/>
  <c r="EV39" i="5"/>
  <c r="AN129" i="5"/>
  <c r="AK129" i="5"/>
  <c r="DJ126" i="5"/>
  <c r="DI126" i="5"/>
  <c r="AO193" i="5"/>
  <c r="AL193" i="5"/>
  <c r="CS188" i="5"/>
  <c r="FE188" i="5"/>
  <c r="FG188" i="5" s="1"/>
  <c r="DK190" i="5"/>
  <c r="DL190" i="5" s="1"/>
  <c r="AL238" i="5"/>
  <c r="AO238" i="5"/>
  <c r="DH192" i="5"/>
  <c r="EG192" i="5"/>
  <c r="EJ192" i="5" s="1"/>
  <c r="EK192" i="5" s="1"/>
  <c r="DO193" i="5"/>
  <c r="AP193" i="5"/>
  <c r="AQ193" i="5" s="1"/>
  <c r="CY122" i="5"/>
  <c r="FE122" i="5"/>
  <c r="FG122" i="5" s="1"/>
  <c r="X122" i="5"/>
  <c r="DH127" i="5"/>
  <c r="EG127" i="5"/>
  <c r="EJ127" i="5" s="1"/>
  <c r="EK127" i="5" s="1"/>
  <c r="EQ235" i="5"/>
  <c r="ER235" i="5" s="1"/>
  <c r="DL123" i="5"/>
  <c r="AJ130" i="5"/>
  <c r="AJ240" i="5"/>
  <c r="AJ195" i="5"/>
  <c r="X188" i="5"/>
  <c r="DS211" i="21" l="1"/>
  <c r="CQ211" i="21"/>
  <c r="DS234" i="21"/>
  <c r="CQ234" i="21"/>
  <c r="AR44" i="21"/>
  <c r="AU44" i="21"/>
  <c r="AP191" i="21"/>
  <c r="AT190" i="21"/>
  <c r="AQ190" i="21"/>
  <c r="AU238" i="21"/>
  <c r="AR238" i="21"/>
  <c r="EW235" i="21"/>
  <c r="EX235" i="21" s="1"/>
  <c r="DQ186" i="21"/>
  <c r="DR186" i="21" s="1"/>
  <c r="DU189" i="21"/>
  <c r="AV189" i="21"/>
  <c r="AW189" i="21" s="1"/>
  <c r="DU238" i="21"/>
  <c r="AV238" i="21"/>
  <c r="AW238" i="21" s="1"/>
  <c r="DR235" i="21"/>
  <c r="DQ235" i="21"/>
  <c r="FB41" i="21"/>
  <c r="DN129" i="21"/>
  <c r="EM129" i="21"/>
  <c r="EP129" i="21" s="1"/>
  <c r="EQ129" i="21" s="1"/>
  <c r="FB126" i="21"/>
  <c r="ED126" i="21" s="1"/>
  <c r="CR126" i="21" s="1"/>
  <c r="AR130" i="21"/>
  <c r="AU130" i="21"/>
  <c r="DU130" i="21"/>
  <c r="AV130" i="21"/>
  <c r="AW130" i="21" s="1"/>
  <c r="ER43" i="21"/>
  <c r="ES43" i="21"/>
  <c r="DO236" i="21"/>
  <c r="DP236" i="21"/>
  <c r="AP132" i="21"/>
  <c r="AT131" i="21"/>
  <c r="AQ131" i="21"/>
  <c r="ER187" i="21"/>
  <c r="ES187" i="21"/>
  <c r="AR189" i="21"/>
  <c r="AU189" i="21"/>
  <c r="ES128" i="21"/>
  <c r="ER128" i="21"/>
  <c r="DP128" i="21"/>
  <c r="DO128" i="21"/>
  <c r="FK125" i="21"/>
  <c r="FM125" i="21" s="1"/>
  <c r="AD125" i="21"/>
  <c r="CY125" i="21"/>
  <c r="AP46" i="21"/>
  <c r="AT45" i="21"/>
  <c r="DU45" i="21" s="1"/>
  <c r="AQ45" i="21"/>
  <c r="DQ127" i="21"/>
  <c r="AD233" i="21"/>
  <c r="FK233" i="21"/>
  <c r="FM233" i="21" s="1"/>
  <c r="CY233" i="21"/>
  <c r="DO187" i="21"/>
  <c r="DP187" i="21"/>
  <c r="ES236" i="21"/>
  <c r="ER236" i="21"/>
  <c r="AP240" i="21"/>
  <c r="AT239" i="21"/>
  <c r="AQ239" i="21"/>
  <c r="EM44" i="21"/>
  <c r="EP44" i="21" s="1"/>
  <c r="EQ44" i="21" s="1"/>
  <c r="EW127" i="21"/>
  <c r="FB127" i="21" s="1"/>
  <c r="ED127" i="21" s="1"/>
  <c r="CR127" i="21" s="1"/>
  <c r="FK184" i="21"/>
  <c r="FM184" i="21" s="1"/>
  <c r="AD184" i="21"/>
  <c r="CY184" i="21"/>
  <c r="EW42" i="21"/>
  <c r="EX42" i="21" s="1"/>
  <c r="AD210" i="21"/>
  <c r="CY210" i="21"/>
  <c r="FK210" i="21"/>
  <c r="FM210" i="21" s="1"/>
  <c r="EW186" i="21"/>
  <c r="EX186" i="21" s="1"/>
  <c r="DN188" i="21"/>
  <c r="EM188" i="21"/>
  <c r="EP188" i="21" s="1"/>
  <c r="EQ188" i="21" s="1"/>
  <c r="DS185" i="21"/>
  <c r="CQ185" i="21"/>
  <c r="DN237" i="21"/>
  <c r="EM237" i="21"/>
  <c r="EP237" i="21" s="1"/>
  <c r="EQ237" i="21" s="1"/>
  <c r="EX40" i="20"/>
  <c r="FF124" i="5"/>
  <c r="EV125" i="5"/>
  <c r="DX125" i="5" s="1"/>
  <c r="CL125" i="5" s="1"/>
  <c r="FF125" i="5" s="1"/>
  <c r="EV40" i="5"/>
  <c r="DL124" i="5"/>
  <c r="DS232" i="20"/>
  <c r="CQ232" i="20"/>
  <c r="DS185" i="20"/>
  <c r="CQ185" i="20"/>
  <c r="ED40" i="20"/>
  <c r="DR40" i="20"/>
  <c r="DO187" i="20"/>
  <c r="DP187" i="20"/>
  <c r="EW233" i="20"/>
  <c r="EX233" i="20" s="1"/>
  <c r="AT237" i="20"/>
  <c r="AP238" i="20"/>
  <c r="AQ237" i="20"/>
  <c r="DU189" i="20"/>
  <c r="AV189" i="20"/>
  <c r="AW189" i="20" s="1"/>
  <c r="ES127" i="20"/>
  <c r="ER127" i="20"/>
  <c r="DU236" i="20"/>
  <c r="AV236" i="20"/>
  <c r="AW236" i="20" s="1"/>
  <c r="FK122" i="20"/>
  <c r="FM122" i="20" s="1"/>
  <c r="DE122" i="20"/>
  <c r="AD122" i="20"/>
  <c r="EW126" i="20"/>
  <c r="FB126" i="20" s="1"/>
  <c r="ED126" i="20" s="1"/>
  <c r="CR126" i="20" s="1"/>
  <c r="AU43" i="20"/>
  <c r="AR43" i="20"/>
  <c r="DN128" i="20"/>
  <c r="EM128" i="20"/>
  <c r="EP128" i="20" s="1"/>
  <c r="EQ128" i="20" s="1"/>
  <c r="AD184" i="20"/>
  <c r="CY184" i="20"/>
  <c r="FK184" i="20"/>
  <c r="FM184" i="20" s="1"/>
  <c r="EW186" i="20"/>
  <c r="EX186" i="20" s="1"/>
  <c r="FB125" i="20"/>
  <c r="EM43" i="20"/>
  <c r="EP43" i="20" s="1"/>
  <c r="EQ43" i="20" s="1"/>
  <c r="AD231" i="20"/>
  <c r="CY231" i="20"/>
  <c r="FK231" i="20"/>
  <c r="FM231" i="20" s="1"/>
  <c r="DN188" i="20"/>
  <c r="EM188" i="20"/>
  <c r="EP188" i="20" s="1"/>
  <c r="EQ188" i="20" s="1"/>
  <c r="DQ233" i="20"/>
  <c r="DR233" i="20" s="1"/>
  <c r="AU129" i="20"/>
  <c r="AR129" i="20"/>
  <c r="AT44" i="20"/>
  <c r="DU44" i="20" s="1"/>
  <c r="AP45" i="20"/>
  <c r="AQ44" i="20"/>
  <c r="DN235" i="20"/>
  <c r="EM235" i="20"/>
  <c r="EP235" i="20" s="1"/>
  <c r="EQ235" i="20" s="1"/>
  <c r="DQ126" i="20"/>
  <c r="EW41" i="20"/>
  <c r="FB41" i="20" s="1"/>
  <c r="DU129" i="20"/>
  <c r="AV129" i="20"/>
  <c r="AW129" i="20" s="1"/>
  <c r="ER234" i="20"/>
  <c r="ES234" i="20"/>
  <c r="DS39" i="20"/>
  <c r="AP131" i="20"/>
  <c r="AT130" i="20"/>
  <c r="AQ130" i="20"/>
  <c r="DP234" i="20"/>
  <c r="DO234" i="20"/>
  <c r="ES42" i="20"/>
  <c r="ER42" i="20"/>
  <c r="AU189" i="20"/>
  <c r="AR189" i="20"/>
  <c r="DP127" i="20"/>
  <c r="DO127" i="20"/>
  <c r="ER187" i="20"/>
  <c r="ES187" i="20"/>
  <c r="CZ124" i="20"/>
  <c r="FL124" i="20"/>
  <c r="DQ186" i="20"/>
  <c r="DR186" i="20" s="1"/>
  <c r="AU236" i="20"/>
  <c r="AR236" i="20"/>
  <c r="AT190" i="20"/>
  <c r="AP191" i="20"/>
  <c r="AQ190" i="20"/>
  <c r="DR124" i="20"/>
  <c r="DM235" i="5"/>
  <c r="CK235" i="5"/>
  <c r="DM190" i="5"/>
  <c r="CK190" i="5"/>
  <c r="DK126" i="5"/>
  <c r="DH128" i="5"/>
  <c r="EG128" i="5"/>
  <c r="EJ128" i="5" s="1"/>
  <c r="EK128" i="5" s="1"/>
  <c r="AJ45" i="5"/>
  <c r="AN44" i="5"/>
  <c r="DO44" i="5" s="1"/>
  <c r="AK44" i="5"/>
  <c r="DX40" i="5"/>
  <c r="DL40" i="5"/>
  <c r="DM40" i="5" s="1"/>
  <c r="FE189" i="5"/>
  <c r="FG189" i="5" s="1"/>
  <c r="CS189" i="5"/>
  <c r="DK236" i="5"/>
  <c r="DL236" i="5" s="1"/>
  <c r="EQ236" i="5"/>
  <c r="ER236" i="5" s="1"/>
  <c r="DM123" i="5"/>
  <c r="CK123" i="5"/>
  <c r="AO129" i="5"/>
  <c r="AL129" i="5"/>
  <c r="AL194" i="5"/>
  <c r="AO194" i="5"/>
  <c r="EL237" i="5"/>
  <c r="EM237" i="5"/>
  <c r="CT125" i="5"/>
  <c r="DO194" i="5"/>
  <c r="AP194" i="5"/>
  <c r="AQ194" i="5" s="1"/>
  <c r="DH238" i="5"/>
  <c r="EG238" i="5"/>
  <c r="EJ238" i="5" s="1"/>
  <c r="EK238" i="5" s="1"/>
  <c r="DJ127" i="5"/>
  <c r="DI127" i="5"/>
  <c r="EL192" i="5"/>
  <c r="EM192" i="5"/>
  <c r="DX39" i="5"/>
  <c r="DL39" i="5"/>
  <c r="DM39" i="5" s="1"/>
  <c r="DI237" i="5"/>
  <c r="DJ237" i="5"/>
  <c r="EQ126" i="5"/>
  <c r="ER126" i="5" s="1"/>
  <c r="DO129" i="5"/>
  <c r="AP129" i="5"/>
  <c r="AQ129" i="5" s="1"/>
  <c r="AN240" i="5"/>
  <c r="AK240" i="5"/>
  <c r="DJ192" i="5"/>
  <c r="DI192" i="5"/>
  <c r="AL239" i="5"/>
  <c r="AO239" i="5"/>
  <c r="EQ41" i="5"/>
  <c r="ER41" i="5" s="1"/>
  <c r="EQ191" i="5"/>
  <c r="ER191" i="5" s="1"/>
  <c r="EM42" i="5"/>
  <c r="EL42" i="5"/>
  <c r="EL127" i="5"/>
  <c r="EM127" i="5"/>
  <c r="AN195" i="5"/>
  <c r="AK195" i="5"/>
  <c r="AN130" i="5"/>
  <c r="AK130" i="5"/>
  <c r="DO239" i="5"/>
  <c r="AP239" i="5"/>
  <c r="AQ239" i="5" s="1"/>
  <c r="AO43" i="5"/>
  <c r="AL43" i="5"/>
  <c r="FE215" i="5"/>
  <c r="FG215" i="5" s="1"/>
  <c r="CS215" i="5"/>
  <c r="DH193" i="5"/>
  <c r="EG193" i="5"/>
  <c r="EJ193" i="5" s="1"/>
  <c r="EK193" i="5" s="1"/>
  <c r="DK191" i="5"/>
  <c r="DL191" i="5" s="1"/>
  <c r="EG43" i="5"/>
  <c r="EJ43" i="5" s="1"/>
  <c r="EK43" i="5" s="1"/>
  <c r="AJ131" i="5"/>
  <c r="X215" i="5"/>
  <c r="AJ241" i="5"/>
  <c r="X189" i="5"/>
  <c r="CZ127" i="21" l="1"/>
  <c r="FL127" i="21"/>
  <c r="DS186" i="21"/>
  <c r="CQ186" i="21"/>
  <c r="DR127" i="21"/>
  <c r="EW128" i="21"/>
  <c r="FB128" i="21" s="1"/>
  <c r="ED128" i="21" s="1"/>
  <c r="CR128" i="21" s="1"/>
  <c r="DN189" i="21"/>
  <c r="EM189" i="21"/>
  <c r="EP189" i="21" s="1"/>
  <c r="EQ189" i="21" s="1"/>
  <c r="AR239" i="21"/>
  <c r="AU239" i="21"/>
  <c r="DQ236" i="21"/>
  <c r="DR236" i="21" s="1"/>
  <c r="DQ128" i="21"/>
  <c r="DR128" i="21" s="1"/>
  <c r="EX127" i="21"/>
  <c r="ER237" i="21"/>
  <c r="ES237" i="21"/>
  <c r="DQ187" i="21"/>
  <c r="DR187" i="21" s="1"/>
  <c r="DO237" i="21"/>
  <c r="DP237" i="21"/>
  <c r="FB43" i="21"/>
  <c r="EW43" i="21"/>
  <c r="EX43" i="21" s="1"/>
  <c r="AR190" i="21"/>
  <c r="AU190" i="21"/>
  <c r="DS235" i="21"/>
  <c r="CQ235" i="21"/>
  <c r="DN238" i="21"/>
  <c r="EM238" i="21"/>
  <c r="EP238" i="21" s="1"/>
  <c r="EQ238" i="21" s="1"/>
  <c r="DU239" i="21"/>
  <c r="AV239" i="21"/>
  <c r="AW239" i="21" s="1"/>
  <c r="DU131" i="21"/>
  <c r="AV131" i="21"/>
  <c r="AW131" i="21" s="1"/>
  <c r="DP188" i="21"/>
  <c r="DO188" i="21"/>
  <c r="DU190" i="21"/>
  <c r="AV190" i="21"/>
  <c r="AW190" i="21" s="1"/>
  <c r="AP241" i="21"/>
  <c r="AT240" i="21"/>
  <c r="AQ240" i="21"/>
  <c r="AP133" i="21"/>
  <c r="AT132" i="21"/>
  <c r="AQ132" i="21"/>
  <c r="DN130" i="21"/>
  <c r="EM130" i="21"/>
  <c r="EP130" i="21" s="1"/>
  <c r="EQ130" i="21" s="1"/>
  <c r="AT191" i="21"/>
  <c r="AQ191" i="21"/>
  <c r="FB42" i="21"/>
  <c r="ES44" i="21"/>
  <c r="ER44" i="21"/>
  <c r="FK185" i="21"/>
  <c r="FM185" i="21" s="1"/>
  <c r="AD185" i="21"/>
  <c r="CY185" i="21"/>
  <c r="AR45" i="21"/>
  <c r="AU45" i="21"/>
  <c r="EM45" i="21"/>
  <c r="EP45" i="21" s="1"/>
  <c r="EQ45" i="21" s="1"/>
  <c r="FL126" i="21"/>
  <c r="CZ126" i="21"/>
  <c r="AD234" i="21"/>
  <c r="CY234" i="21"/>
  <c r="FK234" i="21"/>
  <c r="FM234" i="21" s="1"/>
  <c r="AR131" i="21"/>
  <c r="AU131" i="21"/>
  <c r="AP47" i="21"/>
  <c r="AT46" i="21"/>
  <c r="DU46" i="21" s="1"/>
  <c r="AQ46" i="21"/>
  <c r="ES129" i="21"/>
  <c r="ER129" i="21"/>
  <c r="DR126" i="21"/>
  <c r="EW187" i="21"/>
  <c r="EX187" i="21" s="1"/>
  <c r="EW236" i="21"/>
  <c r="EX236" i="21" s="1"/>
  <c r="DO129" i="21"/>
  <c r="DP129" i="21"/>
  <c r="ED41" i="21"/>
  <c r="DR41" i="21"/>
  <c r="DS41" i="21" s="1"/>
  <c r="CY211" i="21"/>
  <c r="FK211" i="21"/>
  <c r="FM211" i="21" s="1"/>
  <c r="AD211" i="21"/>
  <c r="ES188" i="21"/>
  <c r="ER188" i="21"/>
  <c r="DS40" i="20"/>
  <c r="EX126" i="20"/>
  <c r="EV126" i="5"/>
  <c r="DX126" i="5" s="1"/>
  <c r="CL126" i="5" s="1"/>
  <c r="CT126" i="5" s="1"/>
  <c r="DL125" i="5"/>
  <c r="EV41" i="5"/>
  <c r="DM124" i="5"/>
  <c r="CK124" i="5"/>
  <c r="DR126" i="20"/>
  <c r="DS233" i="20"/>
  <c r="CQ233" i="20"/>
  <c r="FL126" i="20"/>
  <c r="CZ126" i="20"/>
  <c r="ED41" i="20"/>
  <c r="DR41" i="20"/>
  <c r="CQ124" i="20"/>
  <c r="DS124" i="20"/>
  <c r="EW42" i="20"/>
  <c r="EX42" i="20" s="1"/>
  <c r="ES43" i="20"/>
  <c r="ER43" i="20"/>
  <c r="DP128" i="20"/>
  <c r="DO128" i="20"/>
  <c r="AU237" i="20"/>
  <c r="AR237" i="20"/>
  <c r="AU190" i="20"/>
  <c r="AR190" i="20"/>
  <c r="EW234" i="20"/>
  <c r="EX234" i="20" s="1"/>
  <c r="ES235" i="20"/>
  <c r="ER235" i="20"/>
  <c r="ED125" i="20"/>
  <c r="CR125" i="20" s="1"/>
  <c r="DR125" i="20"/>
  <c r="AP239" i="20"/>
  <c r="AT238" i="20"/>
  <c r="AQ238" i="20"/>
  <c r="DQ187" i="20"/>
  <c r="DR187" i="20" s="1"/>
  <c r="ES128" i="20"/>
  <c r="ER128" i="20"/>
  <c r="DQ234" i="20"/>
  <c r="DR234" i="20" s="1"/>
  <c r="DP235" i="20"/>
  <c r="DO235" i="20"/>
  <c r="DU237" i="20"/>
  <c r="AV237" i="20"/>
  <c r="AW237" i="20" s="1"/>
  <c r="CQ186" i="20"/>
  <c r="DS186" i="20"/>
  <c r="DN189" i="20"/>
  <c r="EM189" i="20"/>
  <c r="EP189" i="20" s="1"/>
  <c r="EQ189" i="20" s="1"/>
  <c r="AT191" i="20"/>
  <c r="AQ191" i="20"/>
  <c r="ER188" i="20"/>
  <c r="ES188" i="20"/>
  <c r="DU190" i="20"/>
  <c r="AV190" i="20"/>
  <c r="AW190" i="20" s="1"/>
  <c r="EW187" i="20"/>
  <c r="EX187" i="20" s="1"/>
  <c r="DN129" i="20"/>
  <c r="EM129" i="20"/>
  <c r="EP129" i="20" s="1"/>
  <c r="EQ129" i="20" s="1"/>
  <c r="AR44" i="20"/>
  <c r="AU44" i="20"/>
  <c r="DO188" i="20"/>
  <c r="DP188" i="20"/>
  <c r="DN236" i="20"/>
  <c r="EM236" i="20"/>
  <c r="EP236" i="20" s="1"/>
  <c r="EQ236" i="20" s="1"/>
  <c r="DQ127" i="20"/>
  <c r="AR130" i="20"/>
  <c r="AU130" i="20"/>
  <c r="AP46" i="20"/>
  <c r="AT45" i="20"/>
  <c r="DU45" i="20" s="1"/>
  <c r="AQ45" i="20"/>
  <c r="DU130" i="20"/>
  <c r="AV130" i="20"/>
  <c r="AW130" i="20" s="1"/>
  <c r="EX41" i="20"/>
  <c r="EM44" i="20"/>
  <c r="EP44" i="20" s="1"/>
  <c r="EQ44" i="20" s="1"/>
  <c r="EW127" i="20"/>
  <c r="EX127" i="20" s="1"/>
  <c r="FK185" i="20"/>
  <c r="FM185" i="20" s="1"/>
  <c r="AD185" i="20"/>
  <c r="CY185" i="20"/>
  <c r="AP132" i="20"/>
  <c r="AT131" i="20"/>
  <c r="AQ131" i="20"/>
  <c r="FK232" i="20"/>
  <c r="FM232" i="20" s="1"/>
  <c r="AD232" i="20"/>
  <c r="CY232" i="20"/>
  <c r="DM191" i="5"/>
  <c r="CK191" i="5"/>
  <c r="AN241" i="5"/>
  <c r="AK241" i="5"/>
  <c r="EL43" i="5"/>
  <c r="EM43" i="5"/>
  <c r="EQ127" i="5"/>
  <c r="ER127" i="5" s="1"/>
  <c r="DX41" i="5"/>
  <c r="DL41" i="5"/>
  <c r="DM41" i="5" s="1"/>
  <c r="EM238" i="5"/>
  <c r="EL238" i="5"/>
  <c r="CY190" i="5"/>
  <c r="FE190" i="5"/>
  <c r="FG190" i="5" s="1"/>
  <c r="AN131" i="5"/>
  <c r="AK131" i="5"/>
  <c r="DH239" i="5"/>
  <c r="EG239" i="5"/>
  <c r="EJ239" i="5" s="1"/>
  <c r="EK239" i="5" s="1"/>
  <c r="EQ192" i="5"/>
  <c r="ER192" i="5" s="1"/>
  <c r="AL44" i="5"/>
  <c r="AO44" i="5"/>
  <c r="AO130" i="5"/>
  <c r="AL130" i="5"/>
  <c r="EQ42" i="5"/>
  <c r="EV42" i="5" s="1"/>
  <c r="DK127" i="5"/>
  <c r="DH194" i="5"/>
  <c r="EG194" i="5"/>
  <c r="EJ194" i="5" s="1"/>
  <c r="EK194" i="5" s="1"/>
  <c r="EG44" i="5"/>
  <c r="EJ44" i="5" s="1"/>
  <c r="EK44" i="5" s="1"/>
  <c r="DH129" i="5"/>
  <c r="EG129" i="5"/>
  <c r="EJ129" i="5" s="1"/>
  <c r="EK129" i="5" s="1"/>
  <c r="DI193" i="5"/>
  <c r="DJ193" i="5"/>
  <c r="DO130" i="5"/>
  <c r="AP130" i="5"/>
  <c r="AQ130" i="5" s="1"/>
  <c r="DK192" i="5"/>
  <c r="DL192" i="5" s="1"/>
  <c r="FE123" i="5"/>
  <c r="FG123" i="5" s="1"/>
  <c r="CY123" i="5"/>
  <c r="X123" i="5"/>
  <c r="AJ46" i="5"/>
  <c r="AN45" i="5"/>
  <c r="DO45" i="5" s="1"/>
  <c r="AK45" i="5"/>
  <c r="EL193" i="5"/>
  <c r="EM193" i="5"/>
  <c r="AO195" i="5"/>
  <c r="AL195" i="5"/>
  <c r="EM128" i="5"/>
  <c r="EL128" i="5"/>
  <c r="FE235" i="5"/>
  <c r="FG235" i="5" s="1"/>
  <c r="CS235" i="5"/>
  <c r="DI238" i="5"/>
  <c r="DJ238" i="5"/>
  <c r="DO195" i="5"/>
  <c r="AP195" i="5"/>
  <c r="AQ195" i="5" s="1"/>
  <c r="AO240" i="5"/>
  <c r="AL240" i="5"/>
  <c r="DK237" i="5"/>
  <c r="DL237" i="5" s="1"/>
  <c r="DI128" i="5"/>
  <c r="DJ128" i="5"/>
  <c r="DM236" i="5"/>
  <c r="CK236" i="5"/>
  <c r="DO240" i="5"/>
  <c r="AP240" i="5"/>
  <c r="AQ240" i="5" s="1"/>
  <c r="EQ237" i="5"/>
  <c r="ER237" i="5" s="1"/>
  <c r="AJ132" i="5"/>
  <c r="X190" i="5"/>
  <c r="X235" i="5"/>
  <c r="AJ242" i="5"/>
  <c r="CQ128" i="21" l="1"/>
  <c r="CQ236" i="21"/>
  <c r="DS236" i="21"/>
  <c r="FL128" i="21"/>
  <c r="CZ128" i="21"/>
  <c r="DS187" i="21"/>
  <c r="CQ187" i="21"/>
  <c r="ED43" i="21"/>
  <c r="DR43" i="21"/>
  <c r="DS43" i="21" s="1"/>
  <c r="DU132" i="21"/>
  <c r="AV132" i="21"/>
  <c r="AW132" i="21" s="1"/>
  <c r="DU240" i="21"/>
  <c r="AV240" i="21"/>
  <c r="AW240" i="21" s="1"/>
  <c r="DN190" i="21"/>
  <c r="EM190" i="21"/>
  <c r="EP190" i="21" s="1"/>
  <c r="EQ190" i="21" s="1"/>
  <c r="AR240" i="21"/>
  <c r="AU240" i="21"/>
  <c r="ER45" i="21"/>
  <c r="ES45" i="21"/>
  <c r="DN131" i="21"/>
  <c r="EM131" i="21"/>
  <c r="EP131" i="21" s="1"/>
  <c r="EQ131" i="21" s="1"/>
  <c r="AU132" i="21"/>
  <c r="AR132" i="21"/>
  <c r="EW188" i="21"/>
  <c r="EX188" i="21" s="1"/>
  <c r="ER238" i="21"/>
  <c r="ES238" i="21"/>
  <c r="EM46" i="21"/>
  <c r="EP46" i="21" s="1"/>
  <c r="EQ46" i="21" s="1"/>
  <c r="DP238" i="21"/>
  <c r="DO238" i="21"/>
  <c r="EX128" i="21"/>
  <c r="DS128" i="21" s="1"/>
  <c r="DP130" i="21"/>
  <c r="DO130" i="21"/>
  <c r="DN239" i="21"/>
  <c r="EM239" i="21"/>
  <c r="EP239" i="21" s="1"/>
  <c r="EQ239" i="21" s="1"/>
  <c r="DQ129" i="21"/>
  <c r="CY235" i="21"/>
  <c r="AD235" i="21"/>
  <c r="FK235" i="21"/>
  <c r="FM235" i="21" s="1"/>
  <c r="EW129" i="21"/>
  <c r="FB129" i="21" s="1"/>
  <c r="ED129" i="21" s="1"/>
  <c r="CR129" i="21" s="1"/>
  <c r="AT133" i="21"/>
  <c r="AP134" i="21"/>
  <c r="AQ133" i="21"/>
  <c r="ER189" i="21"/>
  <c r="ES189" i="21"/>
  <c r="EW44" i="21"/>
  <c r="FB44" i="21" s="1"/>
  <c r="CQ127" i="21"/>
  <c r="DS127" i="21"/>
  <c r="AU46" i="21"/>
  <c r="AR46" i="21"/>
  <c r="EX237" i="21"/>
  <c r="EW237" i="21"/>
  <c r="FK186" i="21"/>
  <c r="FM186" i="21" s="1"/>
  <c r="AD186" i="21"/>
  <c r="DE186" i="21"/>
  <c r="ED42" i="21"/>
  <c r="DR42" i="21"/>
  <c r="DS42" i="21" s="1"/>
  <c r="AT47" i="21"/>
  <c r="DU47" i="21" s="1"/>
  <c r="AP48" i="21"/>
  <c r="AQ47" i="21"/>
  <c r="DQ188" i="21"/>
  <c r="DR188" i="21" s="1"/>
  <c r="AR191" i="21"/>
  <c r="AU191" i="21"/>
  <c r="ER130" i="21"/>
  <c r="ES130" i="21"/>
  <c r="DQ237" i="21"/>
  <c r="DR237" i="21" s="1"/>
  <c r="AT241" i="21"/>
  <c r="AP242" i="21"/>
  <c r="AQ241" i="21"/>
  <c r="DO189" i="21"/>
  <c r="DP189" i="21"/>
  <c r="CQ126" i="21"/>
  <c r="DS126" i="21"/>
  <c r="DU191" i="21"/>
  <c r="AV191" i="21"/>
  <c r="AW191" i="21" s="1"/>
  <c r="FB127" i="20"/>
  <c r="ED127" i="20" s="1"/>
  <c r="CR127" i="20" s="1"/>
  <c r="CZ127" i="20" s="1"/>
  <c r="DL126" i="5"/>
  <c r="FF126" i="5"/>
  <c r="CK125" i="5"/>
  <c r="DM125" i="5"/>
  <c r="ER42" i="5"/>
  <c r="CS124" i="5"/>
  <c r="FE124" i="5"/>
  <c r="FG124" i="5" s="1"/>
  <c r="DS234" i="20"/>
  <c r="CQ234" i="20"/>
  <c r="DS187" i="20"/>
  <c r="CQ187" i="20"/>
  <c r="ER129" i="20"/>
  <c r="ES129" i="20"/>
  <c r="AU191" i="20"/>
  <c r="AR191" i="20"/>
  <c r="DQ235" i="20"/>
  <c r="DR235" i="20" s="1"/>
  <c r="AR238" i="20"/>
  <c r="AU238" i="20"/>
  <c r="DQ128" i="20"/>
  <c r="FK124" i="20"/>
  <c r="FM124" i="20" s="1"/>
  <c r="CY124" i="20"/>
  <c r="AD124" i="20"/>
  <c r="DU191" i="20"/>
  <c r="AV191" i="20"/>
  <c r="AW191" i="20" s="1"/>
  <c r="DU238" i="20"/>
  <c r="AV238" i="20"/>
  <c r="AW238" i="20" s="1"/>
  <c r="DS41" i="20"/>
  <c r="AT239" i="20"/>
  <c r="AP240" i="20"/>
  <c r="AQ239" i="20"/>
  <c r="EW43" i="20"/>
  <c r="FB43" i="20" s="1"/>
  <c r="ER189" i="20"/>
  <c r="ES189" i="20"/>
  <c r="AU45" i="20"/>
  <c r="AR45" i="20"/>
  <c r="DP236" i="20"/>
  <c r="DO236" i="20"/>
  <c r="DO189" i="20"/>
  <c r="DP189" i="20"/>
  <c r="DS125" i="20"/>
  <c r="CQ125" i="20"/>
  <c r="DN130" i="20"/>
  <c r="EM130" i="20"/>
  <c r="EP130" i="20" s="1"/>
  <c r="EQ130" i="20" s="1"/>
  <c r="EM45" i="20"/>
  <c r="EP45" i="20" s="1"/>
  <c r="EQ45" i="20" s="1"/>
  <c r="EW128" i="20"/>
  <c r="FB128" i="20" s="1"/>
  <c r="ED128" i="20" s="1"/>
  <c r="CR128" i="20" s="1"/>
  <c r="FL125" i="20"/>
  <c r="CZ125" i="20"/>
  <c r="AU131" i="20"/>
  <c r="AR131" i="20"/>
  <c r="AP47" i="20"/>
  <c r="AT46" i="20"/>
  <c r="DU46" i="20" s="1"/>
  <c r="AQ46" i="20"/>
  <c r="DQ188" i="20"/>
  <c r="DR188" i="20" s="1"/>
  <c r="DN190" i="20"/>
  <c r="EM190" i="20"/>
  <c r="EP190" i="20" s="1"/>
  <c r="EQ190" i="20" s="1"/>
  <c r="DE186" i="20"/>
  <c r="AD186" i="20"/>
  <c r="FK186" i="20"/>
  <c r="FM186" i="20" s="1"/>
  <c r="EW235" i="20"/>
  <c r="EX235" i="20" s="1"/>
  <c r="FB42" i="20"/>
  <c r="AD233" i="20"/>
  <c r="CY233" i="20"/>
  <c r="FK233" i="20"/>
  <c r="FM233" i="20" s="1"/>
  <c r="ER236" i="20"/>
  <c r="ES236" i="20"/>
  <c r="DU131" i="20"/>
  <c r="AV131" i="20"/>
  <c r="AW131" i="20" s="1"/>
  <c r="DP129" i="20"/>
  <c r="DO129" i="20"/>
  <c r="AP133" i="20"/>
  <c r="AT132" i="20"/>
  <c r="AQ132" i="20"/>
  <c r="ER44" i="20"/>
  <c r="ES44" i="20"/>
  <c r="EW188" i="20"/>
  <c r="EX188" i="20" s="1"/>
  <c r="DN237" i="20"/>
  <c r="EM237" i="20"/>
  <c r="EP237" i="20" s="1"/>
  <c r="EQ237" i="20" s="1"/>
  <c r="DS126" i="20"/>
  <c r="CQ126" i="20"/>
  <c r="DM192" i="5"/>
  <c r="CK192" i="5"/>
  <c r="DX42" i="5"/>
  <c r="DL42" i="5"/>
  <c r="DM42" i="5" s="1"/>
  <c r="EQ128" i="5"/>
  <c r="ER128" i="5" s="1"/>
  <c r="AJ47" i="5"/>
  <c r="AN46" i="5"/>
  <c r="DO46" i="5" s="1"/>
  <c r="AK46" i="5"/>
  <c r="EV127" i="5"/>
  <c r="DX127" i="5" s="1"/>
  <c r="CL127" i="5" s="1"/>
  <c r="DH240" i="5"/>
  <c r="EG240" i="5"/>
  <c r="EJ240" i="5" s="1"/>
  <c r="EK240" i="5" s="1"/>
  <c r="AN132" i="5"/>
  <c r="AK132" i="5"/>
  <c r="CS236" i="5"/>
  <c r="FE236" i="5"/>
  <c r="FG236" i="5" s="1"/>
  <c r="EL194" i="5"/>
  <c r="EM194" i="5"/>
  <c r="CK126" i="5"/>
  <c r="DM126" i="5"/>
  <c r="DM237" i="5"/>
  <c r="CK237" i="5"/>
  <c r="DH195" i="5"/>
  <c r="EG195" i="5"/>
  <c r="EJ195" i="5" s="1"/>
  <c r="EK195" i="5" s="1"/>
  <c r="DI194" i="5"/>
  <c r="DJ194" i="5"/>
  <c r="EQ43" i="5"/>
  <c r="ER43" i="5" s="1"/>
  <c r="EL44" i="5"/>
  <c r="EM44" i="5"/>
  <c r="EQ238" i="5"/>
  <c r="ER238" i="5" s="1"/>
  <c r="EL129" i="5"/>
  <c r="EM129" i="5"/>
  <c r="EL239" i="5"/>
  <c r="EM239" i="5"/>
  <c r="AL241" i="5"/>
  <c r="AO241" i="5"/>
  <c r="AN242" i="5"/>
  <c r="AK242" i="5"/>
  <c r="DH130" i="5"/>
  <c r="EG130" i="5"/>
  <c r="EJ130" i="5" s="1"/>
  <c r="EK130" i="5" s="1"/>
  <c r="DK128" i="5"/>
  <c r="DK238" i="5"/>
  <c r="DL238" i="5" s="1"/>
  <c r="EQ193" i="5"/>
  <c r="ER193" i="5" s="1"/>
  <c r="DI129" i="5"/>
  <c r="DJ129" i="5"/>
  <c r="DI239" i="5"/>
  <c r="DJ239" i="5"/>
  <c r="DO241" i="5"/>
  <c r="AP241" i="5"/>
  <c r="AQ241" i="5" s="1"/>
  <c r="DK193" i="5"/>
  <c r="DL193" i="5" s="1"/>
  <c r="AL45" i="5"/>
  <c r="AO45" i="5"/>
  <c r="AL131" i="5"/>
  <c r="AO131" i="5"/>
  <c r="FE191" i="5"/>
  <c r="FG191" i="5" s="1"/>
  <c r="CY191" i="5"/>
  <c r="EG45" i="5"/>
  <c r="EJ45" i="5" s="1"/>
  <c r="EK45" i="5" s="1"/>
  <c r="DO131" i="5"/>
  <c r="AP131" i="5"/>
  <c r="AQ131" i="5" s="1"/>
  <c r="X191" i="5"/>
  <c r="X236" i="5"/>
  <c r="AJ133" i="5"/>
  <c r="AJ243" i="5"/>
  <c r="FL127" i="20" l="1"/>
  <c r="DS188" i="21"/>
  <c r="CQ188" i="21"/>
  <c r="ED44" i="21"/>
  <c r="DR44" i="21"/>
  <c r="CZ129" i="21"/>
  <c r="FL129" i="21"/>
  <c r="DR129" i="21"/>
  <c r="DS237" i="21"/>
  <c r="CQ237" i="21"/>
  <c r="ES239" i="21"/>
  <c r="ER239" i="21"/>
  <c r="DO239" i="21"/>
  <c r="DP239" i="21"/>
  <c r="ES131" i="21"/>
  <c r="ER131" i="21"/>
  <c r="EX129" i="21"/>
  <c r="DN240" i="21"/>
  <c r="EM240" i="21"/>
  <c r="EP240" i="21" s="1"/>
  <c r="EQ240" i="21" s="1"/>
  <c r="DN191" i="21"/>
  <c r="EM191" i="21"/>
  <c r="EP191" i="21" s="1"/>
  <c r="EQ191" i="21" s="1"/>
  <c r="DQ130" i="21"/>
  <c r="DR130" i="21" s="1"/>
  <c r="DN132" i="21"/>
  <c r="EM132" i="21"/>
  <c r="EP132" i="21" s="1"/>
  <c r="EQ132" i="21" s="1"/>
  <c r="DP131" i="21"/>
  <c r="DO131" i="21"/>
  <c r="AP49" i="21"/>
  <c r="AT48" i="21"/>
  <c r="DU48" i="21" s="1"/>
  <c r="AQ48" i="21"/>
  <c r="DQ238" i="21"/>
  <c r="DR238" i="21" s="1"/>
  <c r="FK187" i="21"/>
  <c r="FM187" i="21" s="1"/>
  <c r="AD187" i="21"/>
  <c r="DE187" i="21"/>
  <c r="DU133" i="21"/>
  <c r="AV133" i="21"/>
  <c r="AW133" i="21" s="1"/>
  <c r="AR47" i="21"/>
  <c r="AU47" i="21"/>
  <c r="DQ189" i="21"/>
  <c r="DR189" i="21" s="1"/>
  <c r="AU133" i="21"/>
  <c r="AR133" i="21"/>
  <c r="ER190" i="21"/>
  <c r="ES190" i="21"/>
  <c r="AR241" i="21"/>
  <c r="AU241" i="21"/>
  <c r="CY127" i="21"/>
  <c r="FK127" i="21"/>
  <c r="FM127" i="21" s="1"/>
  <c r="AD127" i="21"/>
  <c r="ES46" i="21"/>
  <c r="ER46" i="21"/>
  <c r="FK126" i="21"/>
  <c r="FM126" i="21" s="1"/>
  <c r="CY126" i="21"/>
  <c r="AD126" i="21"/>
  <c r="AP135" i="21"/>
  <c r="AT134" i="21"/>
  <c r="AQ134" i="21"/>
  <c r="DP190" i="21"/>
  <c r="DO190" i="21"/>
  <c r="DU241" i="21"/>
  <c r="AV241" i="21"/>
  <c r="AW241" i="21" s="1"/>
  <c r="EX44" i="21"/>
  <c r="EW238" i="21"/>
  <c r="EX238" i="21" s="1"/>
  <c r="AD236" i="21"/>
  <c r="DE236" i="21"/>
  <c r="FK236" i="21"/>
  <c r="FM236" i="21" s="1"/>
  <c r="EM47" i="21"/>
  <c r="EP47" i="21" s="1"/>
  <c r="EQ47" i="21" s="1"/>
  <c r="EW130" i="21"/>
  <c r="FB130" i="21" s="1"/>
  <c r="ED130" i="21" s="1"/>
  <c r="CR130" i="21" s="1"/>
  <c r="EW45" i="21"/>
  <c r="FB45" i="21" s="1"/>
  <c r="AP243" i="21"/>
  <c r="AT242" i="21"/>
  <c r="AQ242" i="21"/>
  <c r="EW189" i="21"/>
  <c r="EX189" i="21" s="1"/>
  <c r="FK128" i="21"/>
  <c r="FM128" i="21" s="1"/>
  <c r="AD128" i="21"/>
  <c r="CY128" i="21"/>
  <c r="DR127" i="20"/>
  <c r="CS125" i="5"/>
  <c r="FE125" i="5"/>
  <c r="FG125" i="5" s="1"/>
  <c r="FL128" i="20"/>
  <c r="CZ128" i="20"/>
  <c r="ED43" i="20"/>
  <c r="DR43" i="20"/>
  <c r="DR128" i="20"/>
  <c r="DS235" i="20"/>
  <c r="CQ235" i="20"/>
  <c r="EW44" i="20"/>
  <c r="FB44" i="20" s="1"/>
  <c r="ES237" i="20"/>
  <c r="ER237" i="20"/>
  <c r="DN131" i="20"/>
  <c r="EM131" i="20"/>
  <c r="EP131" i="20" s="1"/>
  <c r="EQ131" i="20" s="1"/>
  <c r="AU46" i="20"/>
  <c r="AR46" i="20"/>
  <c r="AT240" i="20"/>
  <c r="AP241" i="20"/>
  <c r="AQ240" i="20"/>
  <c r="DU239" i="20"/>
  <c r="AV239" i="20"/>
  <c r="AW239" i="20" s="1"/>
  <c r="CY126" i="20"/>
  <c r="AD126" i="20"/>
  <c r="FK126" i="20"/>
  <c r="FM126" i="20" s="1"/>
  <c r="AR132" i="20"/>
  <c r="AU132" i="20"/>
  <c r="EW236" i="20"/>
  <c r="EX236" i="20" s="1"/>
  <c r="AT47" i="20"/>
  <c r="DU47" i="20" s="1"/>
  <c r="AP48" i="20"/>
  <c r="AQ47" i="20"/>
  <c r="EX128" i="20"/>
  <c r="FK125" i="20"/>
  <c r="FM125" i="20" s="1"/>
  <c r="CY125" i="20"/>
  <c r="AD125" i="20"/>
  <c r="DU132" i="20"/>
  <c r="AV132" i="20"/>
  <c r="AW132" i="20" s="1"/>
  <c r="EW189" i="20"/>
  <c r="EX189" i="20" s="1"/>
  <c r="EW129" i="20"/>
  <c r="EX129" i="20" s="1"/>
  <c r="DN238" i="20"/>
  <c r="EM238" i="20"/>
  <c r="EP238" i="20" s="1"/>
  <c r="EQ238" i="20" s="1"/>
  <c r="FK187" i="20"/>
  <c r="FM187" i="20" s="1"/>
  <c r="DE187" i="20"/>
  <c r="AD187" i="20"/>
  <c r="DP237" i="20"/>
  <c r="DO237" i="20"/>
  <c r="DQ129" i="20"/>
  <c r="DO190" i="20"/>
  <c r="DP190" i="20"/>
  <c r="ES45" i="20"/>
  <c r="ER45" i="20"/>
  <c r="DQ189" i="20"/>
  <c r="DR189" i="20" s="1"/>
  <c r="EX43" i="20"/>
  <c r="EM46" i="20"/>
  <c r="EP46" i="20" s="1"/>
  <c r="EQ46" i="20" s="1"/>
  <c r="ER190" i="20"/>
  <c r="ES190" i="20"/>
  <c r="ED42" i="20"/>
  <c r="DR42" i="20"/>
  <c r="DS42" i="20" s="1"/>
  <c r="DS188" i="20"/>
  <c r="CQ188" i="20"/>
  <c r="ES130" i="20"/>
  <c r="ER130" i="20"/>
  <c r="DQ236" i="20"/>
  <c r="DR236" i="20" s="1"/>
  <c r="DN191" i="20"/>
  <c r="EM191" i="20"/>
  <c r="EP191" i="20" s="1"/>
  <c r="EQ191" i="20" s="1"/>
  <c r="AD234" i="20"/>
  <c r="CY234" i="20"/>
  <c r="FK234" i="20"/>
  <c r="FM234" i="20" s="1"/>
  <c r="AP134" i="20"/>
  <c r="AT133" i="20"/>
  <c r="AQ133" i="20"/>
  <c r="DP130" i="20"/>
  <c r="DO130" i="20"/>
  <c r="AU239" i="20"/>
  <c r="AR239" i="20"/>
  <c r="DH241" i="5"/>
  <c r="EG241" i="5"/>
  <c r="EJ241" i="5" s="1"/>
  <c r="EK241" i="5" s="1"/>
  <c r="CT127" i="5"/>
  <c r="FF127" i="5"/>
  <c r="AN133" i="5"/>
  <c r="AK133" i="5"/>
  <c r="EL195" i="5"/>
  <c r="EM195" i="5"/>
  <c r="AL46" i="5"/>
  <c r="AO46" i="5"/>
  <c r="AN243" i="5"/>
  <c r="AK243" i="5"/>
  <c r="EQ194" i="5"/>
  <c r="ER194" i="5" s="1"/>
  <c r="DK239" i="5"/>
  <c r="DL239" i="5" s="1"/>
  <c r="EQ239" i="5"/>
  <c r="ER239" i="5" s="1"/>
  <c r="DI195" i="5"/>
  <c r="DJ195" i="5"/>
  <c r="EG46" i="5"/>
  <c r="EJ46" i="5" s="1"/>
  <c r="EK46" i="5" s="1"/>
  <c r="DL127" i="5"/>
  <c r="DM238" i="5"/>
  <c r="CK238" i="5"/>
  <c r="DK194" i="5"/>
  <c r="DL194" i="5" s="1"/>
  <c r="EL130" i="5"/>
  <c r="EM130" i="5"/>
  <c r="EQ44" i="5"/>
  <c r="ER44" i="5" s="1"/>
  <c r="FE237" i="5"/>
  <c r="FG237" i="5" s="1"/>
  <c r="CS237" i="5"/>
  <c r="AO132" i="5"/>
  <c r="AL132" i="5"/>
  <c r="AJ48" i="5"/>
  <c r="AN47" i="5"/>
  <c r="DO47" i="5" s="1"/>
  <c r="AK47" i="5"/>
  <c r="DH131" i="5"/>
  <c r="EG131" i="5"/>
  <c r="EJ131" i="5" s="1"/>
  <c r="EK131" i="5" s="1"/>
  <c r="DK129" i="5"/>
  <c r="EQ129" i="5"/>
  <c r="ER129" i="5" s="1"/>
  <c r="DO132" i="5"/>
  <c r="AP132" i="5"/>
  <c r="AQ132" i="5" s="1"/>
  <c r="DI130" i="5"/>
  <c r="DJ130" i="5"/>
  <c r="AO242" i="5"/>
  <c r="AL242" i="5"/>
  <c r="EV43" i="5"/>
  <c r="EV128" i="5"/>
  <c r="DM193" i="5"/>
  <c r="CK193" i="5"/>
  <c r="FE126" i="5"/>
  <c r="FG126" i="5" s="1"/>
  <c r="CS126" i="5"/>
  <c r="EM240" i="5"/>
  <c r="EL240" i="5"/>
  <c r="CY192" i="5"/>
  <c r="FE192" i="5"/>
  <c r="FG192" i="5" s="1"/>
  <c r="EL45" i="5"/>
  <c r="EM45" i="5"/>
  <c r="DO242" i="5"/>
  <c r="AP242" i="5"/>
  <c r="AQ242" i="5" s="1"/>
  <c r="DI240" i="5"/>
  <c r="DJ240" i="5"/>
  <c r="AJ134" i="5"/>
  <c r="X192" i="5"/>
  <c r="X237" i="5"/>
  <c r="AJ244" i="5"/>
  <c r="ED45" i="21" l="1"/>
  <c r="DR45" i="21"/>
  <c r="CQ130" i="21"/>
  <c r="DS238" i="21"/>
  <c r="CQ238" i="21"/>
  <c r="FL130" i="21"/>
  <c r="CZ130" i="21"/>
  <c r="DS189" i="21"/>
  <c r="CQ189" i="21"/>
  <c r="EX130" i="21"/>
  <c r="DS130" i="21" s="1"/>
  <c r="EW190" i="21"/>
  <c r="EX190" i="21" s="1"/>
  <c r="DP240" i="21"/>
  <c r="DO240" i="21"/>
  <c r="DN241" i="21"/>
  <c r="EM241" i="21"/>
  <c r="EP241" i="21" s="1"/>
  <c r="EQ241" i="21" s="1"/>
  <c r="DQ239" i="21"/>
  <c r="DR239" i="21" s="1"/>
  <c r="DQ190" i="21"/>
  <c r="DR190" i="21" s="1"/>
  <c r="DN133" i="21"/>
  <c r="EM133" i="21"/>
  <c r="EP133" i="21" s="1"/>
  <c r="EQ133" i="21" s="1"/>
  <c r="EX239" i="21"/>
  <c r="EW239" i="21"/>
  <c r="ES240" i="21"/>
  <c r="ER240" i="21"/>
  <c r="AU134" i="21"/>
  <c r="AR134" i="21"/>
  <c r="FK237" i="21"/>
  <c r="FM237" i="21" s="1"/>
  <c r="AD237" i="21"/>
  <c r="CY237" i="21"/>
  <c r="ES132" i="21"/>
  <c r="ER132" i="21"/>
  <c r="DU134" i="21"/>
  <c r="AV134" i="21"/>
  <c r="AW134" i="21" s="1"/>
  <c r="AT135" i="21"/>
  <c r="AP136" i="21"/>
  <c r="AQ135" i="21"/>
  <c r="CQ129" i="21"/>
  <c r="DS129" i="21"/>
  <c r="ES47" i="21"/>
  <c r="ER47" i="21"/>
  <c r="AU242" i="21"/>
  <c r="AR242" i="21"/>
  <c r="DU242" i="21"/>
  <c r="AV242" i="21"/>
  <c r="AW242" i="21" s="1"/>
  <c r="AU48" i="21"/>
  <c r="AR48" i="21"/>
  <c r="ER191" i="21"/>
  <c r="ES191" i="21"/>
  <c r="EM48" i="21"/>
  <c r="EP48" i="21" s="1"/>
  <c r="EQ48" i="21" s="1"/>
  <c r="DS44" i="21"/>
  <c r="EW46" i="21"/>
  <c r="FB46" i="21" s="1"/>
  <c r="AP50" i="21"/>
  <c r="AT49" i="21"/>
  <c r="DU49" i="21" s="1"/>
  <c r="AQ49" i="21"/>
  <c r="EX45" i="21"/>
  <c r="DQ131" i="21"/>
  <c r="DR131" i="21" s="1"/>
  <c r="FK188" i="21"/>
  <c r="FM188" i="21" s="1"/>
  <c r="DE188" i="21"/>
  <c r="AD188" i="21"/>
  <c r="DP132" i="21"/>
  <c r="DO132" i="21"/>
  <c r="DP191" i="21"/>
  <c r="DO191" i="21"/>
  <c r="FB131" i="21"/>
  <c r="ED131" i="21" s="1"/>
  <c r="CR131" i="21" s="1"/>
  <c r="EX131" i="21"/>
  <c r="EW131" i="21"/>
  <c r="AT243" i="21"/>
  <c r="AP244" i="21"/>
  <c r="AQ243" i="21"/>
  <c r="DS127" i="20"/>
  <c r="CQ127" i="20"/>
  <c r="EX44" i="20"/>
  <c r="EV129" i="5"/>
  <c r="DX129" i="5" s="1"/>
  <c r="CL129" i="5" s="1"/>
  <c r="CT129" i="5" s="1"/>
  <c r="EV44" i="5"/>
  <c r="DS236" i="20"/>
  <c r="CQ236" i="20"/>
  <c r="ED44" i="20"/>
  <c r="DR44" i="20"/>
  <c r="DQ237" i="20"/>
  <c r="DR237" i="20" s="1"/>
  <c r="FB129" i="20"/>
  <c r="AD235" i="20"/>
  <c r="CY235" i="20"/>
  <c r="FK235" i="20"/>
  <c r="FM235" i="20" s="1"/>
  <c r="DS189" i="20"/>
  <c r="CQ189" i="20"/>
  <c r="AU240" i="20"/>
  <c r="AR240" i="20"/>
  <c r="ES131" i="20"/>
  <c r="ER131" i="20"/>
  <c r="DE188" i="20"/>
  <c r="FK188" i="20"/>
  <c r="FM188" i="20" s="1"/>
  <c r="AD188" i="20"/>
  <c r="EW45" i="20"/>
  <c r="FB45" i="20" s="1"/>
  <c r="AU47" i="20"/>
  <c r="AR47" i="20"/>
  <c r="AT241" i="20"/>
  <c r="AP242" i="20"/>
  <c r="AQ241" i="20"/>
  <c r="DP131" i="20"/>
  <c r="DO131" i="20"/>
  <c r="DS128" i="20"/>
  <c r="CQ128" i="20"/>
  <c r="DQ130" i="20"/>
  <c r="AR133" i="20"/>
  <c r="AU133" i="20"/>
  <c r="AT48" i="20"/>
  <c r="DU48" i="20" s="1"/>
  <c r="AP49" i="20"/>
  <c r="AQ48" i="20"/>
  <c r="DU240" i="20"/>
  <c r="AV240" i="20"/>
  <c r="AW240" i="20" s="1"/>
  <c r="EW237" i="20"/>
  <c r="EX237" i="20" s="1"/>
  <c r="DS43" i="20"/>
  <c r="ES191" i="20"/>
  <c r="ER191" i="20"/>
  <c r="DU133" i="20"/>
  <c r="AV133" i="20"/>
  <c r="AW133" i="20" s="1"/>
  <c r="EW190" i="20"/>
  <c r="EX190" i="20" s="1"/>
  <c r="EM47" i="20"/>
  <c r="EP47" i="20" s="1"/>
  <c r="EQ47" i="20" s="1"/>
  <c r="AP135" i="20"/>
  <c r="AT134" i="20"/>
  <c r="AQ134" i="20"/>
  <c r="EW130" i="20"/>
  <c r="FB130" i="20" s="1"/>
  <c r="ED130" i="20" s="1"/>
  <c r="CR130" i="20" s="1"/>
  <c r="DQ190" i="20"/>
  <c r="DR190" i="20" s="1"/>
  <c r="ES238" i="20"/>
  <c r="ER238" i="20"/>
  <c r="DN132" i="20"/>
  <c r="EM132" i="20"/>
  <c r="EP132" i="20" s="1"/>
  <c r="EQ132" i="20" s="1"/>
  <c r="DN239" i="20"/>
  <c r="EM239" i="20"/>
  <c r="EP239" i="20" s="1"/>
  <c r="EQ239" i="20" s="1"/>
  <c r="DO191" i="20"/>
  <c r="DP191" i="20"/>
  <c r="ER46" i="20"/>
  <c r="ES46" i="20"/>
  <c r="DP238" i="20"/>
  <c r="DO238" i="20"/>
  <c r="DM194" i="5"/>
  <c r="CK194" i="5"/>
  <c r="FE193" i="5"/>
  <c r="FG193" i="5" s="1"/>
  <c r="CS193" i="5"/>
  <c r="DI131" i="5"/>
  <c r="DJ131" i="5"/>
  <c r="AN134" i="5"/>
  <c r="AK134" i="5"/>
  <c r="AL47" i="5"/>
  <c r="AO47" i="5"/>
  <c r="CK127" i="5"/>
  <c r="DM127" i="5"/>
  <c r="DM239" i="5"/>
  <c r="CK239" i="5"/>
  <c r="EQ195" i="5"/>
  <c r="ER195" i="5" s="1"/>
  <c r="DX128" i="5"/>
  <c r="CL128" i="5" s="1"/>
  <c r="DL128" i="5"/>
  <c r="EG47" i="5"/>
  <c r="EJ47" i="5" s="1"/>
  <c r="EK47" i="5" s="1"/>
  <c r="AL133" i="5"/>
  <c r="AO133" i="5"/>
  <c r="EL46" i="5"/>
  <c r="EM46" i="5"/>
  <c r="DX44" i="5"/>
  <c r="DL44" i="5"/>
  <c r="DM44" i="5" s="1"/>
  <c r="DX43" i="5"/>
  <c r="DL43" i="5"/>
  <c r="DM43" i="5" s="1"/>
  <c r="AJ49" i="5"/>
  <c r="AN48" i="5"/>
  <c r="DO48" i="5" s="1"/>
  <c r="AK48" i="5"/>
  <c r="EQ240" i="5"/>
  <c r="ER240" i="5" s="1"/>
  <c r="EQ130" i="5"/>
  <c r="EV130" i="5" s="1"/>
  <c r="DX130" i="5" s="1"/>
  <c r="CL130" i="5" s="1"/>
  <c r="AL243" i="5"/>
  <c r="AO243" i="5"/>
  <c r="DH132" i="5"/>
  <c r="EG132" i="5"/>
  <c r="EJ132" i="5" s="1"/>
  <c r="EK132" i="5" s="1"/>
  <c r="DO133" i="5"/>
  <c r="AP133" i="5"/>
  <c r="AQ133" i="5" s="1"/>
  <c r="DK240" i="5"/>
  <c r="DL240" i="5" s="1"/>
  <c r="DK195" i="5"/>
  <c r="DL195" i="5" s="1"/>
  <c r="DO243" i="5"/>
  <c r="AP243" i="5"/>
  <c r="AQ243" i="5" s="1"/>
  <c r="EL241" i="5"/>
  <c r="EM241" i="5"/>
  <c r="EQ45" i="5"/>
  <c r="ER45" i="5" s="1"/>
  <c r="AN244" i="5"/>
  <c r="AK244" i="5"/>
  <c r="DH242" i="5"/>
  <c r="EG242" i="5"/>
  <c r="EJ242" i="5" s="1"/>
  <c r="EK242" i="5" s="1"/>
  <c r="DK130" i="5"/>
  <c r="EL131" i="5"/>
  <c r="EM131" i="5"/>
  <c r="FE238" i="5"/>
  <c r="FG238" i="5" s="1"/>
  <c r="CS238" i="5"/>
  <c r="DI241" i="5"/>
  <c r="DJ241" i="5"/>
  <c r="AJ135" i="5"/>
  <c r="X238" i="5"/>
  <c r="AJ245" i="5"/>
  <c r="X193" i="5"/>
  <c r="DS239" i="21" l="1"/>
  <c r="CQ239" i="21"/>
  <c r="DS190" i="21"/>
  <c r="CQ190" i="21"/>
  <c r="DS131" i="21"/>
  <c r="CQ131" i="21"/>
  <c r="ED46" i="21"/>
  <c r="DR46" i="21"/>
  <c r="DS46" i="21" s="1"/>
  <c r="ES133" i="21"/>
  <c r="ER133" i="21"/>
  <c r="EW47" i="21"/>
  <c r="FB47" i="21" s="1"/>
  <c r="EM49" i="21"/>
  <c r="EP49" i="21" s="1"/>
  <c r="EQ49" i="21" s="1"/>
  <c r="DN134" i="21"/>
  <c r="EM134" i="21"/>
  <c r="EP134" i="21" s="1"/>
  <c r="EQ134" i="21" s="1"/>
  <c r="FL131" i="21"/>
  <c r="CZ131" i="21"/>
  <c r="DP241" i="21"/>
  <c r="DO241" i="21"/>
  <c r="DP133" i="21"/>
  <c r="DO133" i="21"/>
  <c r="FK129" i="21"/>
  <c r="FM129" i="21" s="1"/>
  <c r="CY129" i="21"/>
  <c r="AD129" i="21"/>
  <c r="EW132" i="21"/>
  <c r="FB132" i="21" s="1"/>
  <c r="ED132" i="21" s="1"/>
  <c r="CR132" i="21" s="1"/>
  <c r="EX46" i="21"/>
  <c r="DQ132" i="21"/>
  <c r="DU135" i="21"/>
  <c r="AV135" i="21"/>
  <c r="AW135" i="21" s="1"/>
  <c r="AP51" i="21"/>
  <c r="AT50" i="21"/>
  <c r="DU50" i="21" s="1"/>
  <c r="AQ50" i="21"/>
  <c r="FK238" i="21"/>
  <c r="FM238" i="21" s="1"/>
  <c r="AD238" i="21"/>
  <c r="CY238" i="21"/>
  <c r="DN242" i="21"/>
  <c r="EM242" i="21"/>
  <c r="EP242" i="21" s="1"/>
  <c r="EQ242" i="21" s="1"/>
  <c r="AP137" i="21"/>
  <c r="AT136" i="21"/>
  <c r="AQ136" i="21"/>
  <c r="DQ240" i="21"/>
  <c r="DR240" i="21" s="1"/>
  <c r="AU243" i="21"/>
  <c r="AR243" i="21"/>
  <c r="ES48" i="21"/>
  <c r="ER48" i="21"/>
  <c r="DQ191" i="21"/>
  <c r="DR191" i="21" s="1"/>
  <c r="AU135" i="21"/>
  <c r="AR135" i="21"/>
  <c r="AU49" i="21"/>
  <c r="AR49" i="21"/>
  <c r="AP245" i="21"/>
  <c r="AT244" i="21"/>
  <c r="AQ244" i="21"/>
  <c r="EW240" i="21"/>
  <c r="EX240" i="21" s="1"/>
  <c r="FK130" i="21"/>
  <c r="FM130" i="21" s="1"/>
  <c r="AD130" i="21"/>
  <c r="CY130" i="21"/>
  <c r="DS45" i="21"/>
  <c r="ES241" i="21"/>
  <c r="ER241" i="21"/>
  <c r="FK189" i="21"/>
  <c r="FM189" i="21" s="1"/>
  <c r="AD189" i="21"/>
  <c r="CY189" i="21"/>
  <c r="DU243" i="21"/>
  <c r="AV243" i="21"/>
  <c r="AW243" i="21" s="1"/>
  <c r="EW191" i="21"/>
  <c r="EX191" i="21" s="1"/>
  <c r="FK127" i="20"/>
  <c r="FM127" i="20" s="1"/>
  <c r="AD127" i="20"/>
  <c r="CY127" i="20"/>
  <c r="DS44" i="20"/>
  <c r="DL129" i="5"/>
  <c r="DM129" i="5" s="1"/>
  <c r="FF129" i="5"/>
  <c r="ER130" i="5"/>
  <c r="FL130" i="20"/>
  <c r="CZ130" i="20"/>
  <c r="DR130" i="20"/>
  <c r="DS237" i="20"/>
  <c r="CQ237" i="20"/>
  <c r="ED45" i="20"/>
  <c r="DR45" i="20"/>
  <c r="DO132" i="20"/>
  <c r="DP132" i="20"/>
  <c r="AR134" i="20"/>
  <c r="AU134" i="20"/>
  <c r="DN133" i="20"/>
  <c r="EM133" i="20"/>
  <c r="EP133" i="20" s="1"/>
  <c r="EQ133" i="20" s="1"/>
  <c r="AU48" i="20"/>
  <c r="AR48" i="20"/>
  <c r="ED129" i="20"/>
  <c r="CR129" i="20" s="1"/>
  <c r="DR129" i="20"/>
  <c r="EW238" i="20"/>
  <c r="EX238" i="20" s="1"/>
  <c r="DU134" i="20"/>
  <c r="AV134" i="20"/>
  <c r="AW134" i="20" s="1"/>
  <c r="EW191" i="20"/>
  <c r="EX191" i="20" s="1"/>
  <c r="AP50" i="20"/>
  <c r="AT49" i="20"/>
  <c r="DU49" i="20" s="1"/>
  <c r="AQ49" i="20"/>
  <c r="DQ131" i="20"/>
  <c r="EX45" i="20"/>
  <c r="EM48" i="20"/>
  <c r="EP48" i="20" s="1"/>
  <c r="EQ48" i="20" s="1"/>
  <c r="CY189" i="20"/>
  <c r="FK189" i="20"/>
  <c r="FM189" i="20" s="1"/>
  <c r="AD189" i="20"/>
  <c r="AU241" i="20"/>
  <c r="AR241" i="20"/>
  <c r="DQ191" i="20"/>
  <c r="DR191" i="20" s="1"/>
  <c r="CQ190" i="20"/>
  <c r="DS190" i="20"/>
  <c r="ES47" i="20"/>
  <c r="ER47" i="20"/>
  <c r="AT242" i="20"/>
  <c r="AP243" i="20"/>
  <c r="AQ242" i="20"/>
  <c r="DU241" i="20"/>
  <c r="AV241" i="20"/>
  <c r="AW241" i="20" s="1"/>
  <c r="FK236" i="20"/>
  <c r="FM236" i="20" s="1"/>
  <c r="DE236" i="20"/>
  <c r="AD236" i="20"/>
  <c r="EW46" i="20"/>
  <c r="FB46" i="20" s="1"/>
  <c r="ES239" i="20"/>
  <c r="ER239" i="20"/>
  <c r="DP239" i="20"/>
  <c r="DO239" i="20"/>
  <c r="EX130" i="20"/>
  <c r="EW131" i="20"/>
  <c r="EX131" i="20" s="1"/>
  <c r="AP136" i="20"/>
  <c r="AT135" i="20"/>
  <c r="AQ135" i="20"/>
  <c r="DQ238" i="20"/>
  <c r="DR238" i="20" s="1"/>
  <c r="ES132" i="20"/>
  <c r="ER132" i="20"/>
  <c r="DN240" i="20"/>
  <c r="EM240" i="20"/>
  <c r="EP240" i="20" s="1"/>
  <c r="EQ240" i="20" s="1"/>
  <c r="FK128" i="20"/>
  <c r="FM128" i="20" s="1"/>
  <c r="CY128" i="20"/>
  <c r="AD128" i="20"/>
  <c r="DL130" i="5"/>
  <c r="CT130" i="5"/>
  <c r="FF130" i="5"/>
  <c r="DO244" i="5"/>
  <c r="AP244" i="5"/>
  <c r="AQ244" i="5" s="1"/>
  <c r="EV45" i="5"/>
  <c r="EL132" i="5"/>
  <c r="EM132" i="5"/>
  <c r="AL134" i="5"/>
  <c r="AO134" i="5"/>
  <c r="EL242" i="5"/>
  <c r="EM242" i="5"/>
  <c r="DM195" i="5"/>
  <c r="CK195" i="5"/>
  <c r="DI132" i="5"/>
  <c r="DJ132" i="5"/>
  <c r="AL48" i="5"/>
  <c r="AO48" i="5"/>
  <c r="EQ46" i="5"/>
  <c r="EV46" i="5" s="1"/>
  <c r="DO134" i="5"/>
  <c r="AP134" i="5"/>
  <c r="AQ134" i="5" s="1"/>
  <c r="DK241" i="5"/>
  <c r="DL241" i="5" s="1"/>
  <c r="DI242" i="5"/>
  <c r="DJ242" i="5"/>
  <c r="EG48" i="5"/>
  <c r="EJ48" i="5" s="1"/>
  <c r="EK48" i="5" s="1"/>
  <c r="FE239" i="5"/>
  <c r="FG239" i="5" s="1"/>
  <c r="CS239" i="5"/>
  <c r="EQ241" i="5"/>
  <c r="ER241" i="5" s="1"/>
  <c r="DM240" i="5"/>
  <c r="CK240" i="5"/>
  <c r="AJ50" i="5"/>
  <c r="AN49" i="5"/>
  <c r="DO49" i="5" s="1"/>
  <c r="AK49" i="5"/>
  <c r="DK131" i="5"/>
  <c r="AN245" i="5"/>
  <c r="AK245" i="5"/>
  <c r="CK129" i="5"/>
  <c r="AN135" i="5"/>
  <c r="AK135" i="5"/>
  <c r="AL244" i="5"/>
  <c r="AO244" i="5"/>
  <c r="DH133" i="5"/>
  <c r="EG133" i="5"/>
  <c r="EJ133" i="5" s="1"/>
  <c r="EK133" i="5" s="1"/>
  <c r="EL47" i="5"/>
  <c r="EM47" i="5"/>
  <c r="FE127" i="5"/>
  <c r="FG127" i="5" s="1"/>
  <c r="CS127" i="5"/>
  <c r="EQ131" i="5"/>
  <c r="EV131" i="5" s="1"/>
  <c r="DM128" i="5"/>
  <c r="CK128" i="5"/>
  <c r="CS194" i="5"/>
  <c r="FE194" i="5"/>
  <c r="FG194" i="5" s="1"/>
  <c r="DH243" i="5"/>
  <c r="EG243" i="5"/>
  <c r="EJ243" i="5" s="1"/>
  <c r="EK243" i="5" s="1"/>
  <c r="FF128" i="5"/>
  <c r="CT128" i="5"/>
  <c r="X239" i="5"/>
  <c r="AJ136" i="5"/>
  <c r="AJ246" i="5"/>
  <c r="X194" i="5"/>
  <c r="DS240" i="21" l="1"/>
  <c r="CQ240" i="21"/>
  <c r="ED47" i="21"/>
  <c r="DR47" i="21"/>
  <c r="FL132" i="21"/>
  <c r="CZ132" i="21"/>
  <c r="DR132" i="21"/>
  <c r="DS191" i="21"/>
  <c r="CQ191" i="21"/>
  <c r="ES242" i="21"/>
  <c r="ER242" i="21"/>
  <c r="DP134" i="21"/>
  <c r="DO134" i="21"/>
  <c r="AR136" i="21"/>
  <c r="AU136" i="21"/>
  <c r="AU244" i="21"/>
  <c r="AR244" i="21"/>
  <c r="EX47" i="21"/>
  <c r="DN243" i="21"/>
  <c r="EM243" i="21"/>
  <c r="EP243" i="21" s="1"/>
  <c r="EQ243" i="21" s="1"/>
  <c r="AT137" i="21"/>
  <c r="AP138" i="21"/>
  <c r="AQ137" i="21"/>
  <c r="EM50" i="21"/>
  <c r="EP50" i="21" s="1"/>
  <c r="EQ50" i="21" s="1"/>
  <c r="DU244" i="21"/>
  <c r="AV244" i="21"/>
  <c r="AW244" i="21" s="1"/>
  <c r="AT51" i="21"/>
  <c r="DU51" i="21" s="1"/>
  <c r="AP52" i="21"/>
  <c r="AQ51" i="21"/>
  <c r="DN135" i="21"/>
  <c r="EM135" i="21"/>
  <c r="EP135" i="21" s="1"/>
  <c r="EQ135" i="21" s="1"/>
  <c r="DU136" i="21"/>
  <c r="AV136" i="21"/>
  <c r="AW136" i="21" s="1"/>
  <c r="DO242" i="21"/>
  <c r="DP242" i="21"/>
  <c r="AU50" i="21"/>
  <c r="AR50" i="21"/>
  <c r="CY131" i="21"/>
  <c r="AD131" i="21"/>
  <c r="FK131" i="21"/>
  <c r="FM131" i="21" s="1"/>
  <c r="EW241" i="21"/>
  <c r="EX241" i="21" s="1"/>
  <c r="ER49" i="21"/>
  <c r="ES49" i="21"/>
  <c r="DQ133" i="21"/>
  <c r="DR133" i="21" s="1"/>
  <c r="EX132" i="21"/>
  <c r="FK190" i="21"/>
  <c r="FM190" i="21" s="1"/>
  <c r="AD190" i="21"/>
  <c r="CY190" i="21"/>
  <c r="DQ241" i="21"/>
  <c r="DR241" i="21" s="1"/>
  <c r="EW48" i="21"/>
  <c r="FB48" i="21" s="1"/>
  <c r="FB133" i="21"/>
  <c r="ED133" i="21" s="1"/>
  <c r="CR133" i="21" s="1"/>
  <c r="EX133" i="21"/>
  <c r="EW133" i="21"/>
  <c r="FK239" i="21"/>
  <c r="FM239" i="21" s="1"/>
  <c r="AD239" i="21"/>
  <c r="CY239" i="21"/>
  <c r="ER134" i="21"/>
  <c r="ES134" i="21"/>
  <c r="AP246" i="21"/>
  <c r="AT245" i="21"/>
  <c r="AQ245" i="21"/>
  <c r="DS45" i="20"/>
  <c r="EX46" i="20"/>
  <c r="ED46" i="20"/>
  <c r="DR46" i="20"/>
  <c r="DS191" i="20"/>
  <c r="CQ191" i="20"/>
  <c r="AU135" i="20"/>
  <c r="AR135" i="20"/>
  <c r="AP51" i="20"/>
  <c r="AT50" i="20"/>
  <c r="DU50" i="20" s="1"/>
  <c r="AQ50" i="20"/>
  <c r="FL129" i="20"/>
  <c r="CZ129" i="20"/>
  <c r="DQ132" i="20"/>
  <c r="EW239" i="20"/>
  <c r="EX239" i="20" s="1"/>
  <c r="CY190" i="20"/>
  <c r="FK190" i="20"/>
  <c r="FM190" i="20" s="1"/>
  <c r="AD190" i="20"/>
  <c r="ER48" i="20"/>
  <c r="ES48" i="20"/>
  <c r="ES240" i="20"/>
  <c r="ER240" i="20"/>
  <c r="DN241" i="20"/>
  <c r="EM241" i="20"/>
  <c r="EP241" i="20" s="1"/>
  <c r="EQ241" i="20" s="1"/>
  <c r="DU135" i="20"/>
  <c r="AV135" i="20"/>
  <c r="AW135" i="20" s="1"/>
  <c r="AR242" i="20"/>
  <c r="AU242" i="20"/>
  <c r="ES133" i="20"/>
  <c r="ER133" i="20"/>
  <c r="AD237" i="20"/>
  <c r="CY237" i="20"/>
  <c r="FK237" i="20"/>
  <c r="FM237" i="20" s="1"/>
  <c r="DP240" i="20"/>
  <c r="DO240" i="20"/>
  <c r="EW132" i="20"/>
  <c r="FB132" i="20" s="1"/>
  <c r="FB131" i="20"/>
  <c r="AT243" i="20"/>
  <c r="AP244" i="20"/>
  <c r="AQ243" i="20"/>
  <c r="DN134" i="20"/>
  <c r="EM134" i="20"/>
  <c r="EP134" i="20" s="1"/>
  <c r="EQ134" i="20" s="1"/>
  <c r="DP133" i="20"/>
  <c r="DO133" i="20"/>
  <c r="DU242" i="20"/>
  <c r="AV242" i="20"/>
  <c r="AW242" i="20" s="1"/>
  <c r="DS130" i="20"/>
  <c r="CQ130" i="20"/>
  <c r="AT136" i="20"/>
  <c r="AP137" i="20"/>
  <c r="AQ136" i="20"/>
  <c r="EW47" i="20"/>
  <c r="FB47" i="20" s="1"/>
  <c r="AU49" i="20"/>
  <c r="AR49" i="20"/>
  <c r="CQ238" i="20"/>
  <c r="DS238" i="20"/>
  <c r="DQ239" i="20"/>
  <c r="DR239" i="20" s="1"/>
  <c r="EM49" i="20"/>
  <c r="EP49" i="20" s="1"/>
  <c r="EQ49" i="20" s="1"/>
  <c r="CQ129" i="20"/>
  <c r="DS129" i="20"/>
  <c r="DX131" i="5"/>
  <c r="CL131" i="5" s="1"/>
  <c r="DL131" i="5"/>
  <c r="DM241" i="5"/>
  <c r="CK241" i="5"/>
  <c r="DX46" i="5"/>
  <c r="DL46" i="5"/>
  <c r="DO135" i="5"/>
  <c r="AP135" i="5"/>
  <c r="AQ135" i="5" s="1"/>
  <c r="DI133" i="5"/>
  <c r="DJ133" i="5"/>
  <c r="CK130" i="5"/>
  <c r="DM130" i="5"/>
  <c r="ER131" i="5"/>
  <c r="EL133" i="5"/>
  <c r="EM133" i="5"/>
  <c r="EL243" i="5"/>
  <c r="EM243" i="5"/>
  <c r="DK132" i="5"/>
  <c r="EV132" i="5"/>
  <c r="DX132" i="5" s="1"/>
  <c r="CL132" i="5" s="1"/>
  <c r="EQ132" i="5"/>
  <c r="ER132" i="5" s="1"/>
  <c r="AN136" i="5"/>
  <c r="AK136" i="5"/>
  <c r="AO245" i="5"/>
  <c r="AL245" i="5"/>
  <c r="DO245" i="5"/>
  <c r="AP245" i="5"/>
  <c r="AQ245" i="5" s="1"/>
  <c r="DI243" i="5"/>
  <c r="DJ243" i="5"/>
  <c r="AO135" i="5"/>
  <c r="AL135" i="5"/>
  <c r="AL49" i="5"/>
  <c r="AO49" i="5"/>
  <c r="DH134" i="5"/>
  <c r="EG134" i="5"/>
  <c r="EJ134" i="5" s="1"/>
  <c r="EK134" i="5" s="1"/>
  <c r="FE195" i="5"/>
  <c r="FG195" i="5" s="1"/>
  <c r="CS195" i="5"/>
  <c r="DX45" i="5"/>
  <c r="DL45" i="5"/>
  <c r="DM45" i="5" s="1"/>
  <c r="EG49" i="5"/>
  <c r="EJ49" i="5" s="1"/>
  <c r="EK49" i="5" s="1"/>
  <c r="AJ51" i="5"/>
  <c r="AN50" i="5"/>
  <c r="DO50" i="5" s="1"/>
  <c r="AK50" i="5"/>
  <c r="EM48" i="5"/>
  <c r="EL48" i="5"/>
  <c r="ER46" i="5"/>
  <c r="DH244" i="5"/>
  <c r="EG244" i="5"/>
  <c r="EJ244" i="5" s="1"/>
  <c r="EK244" i="5" s="1"/>
  <c r="AN246" i="5"/>
  <c r="AK246" i="5"/>
  <c r="CS128" i="5"/>
  <c r="FE128" i="5"/>
  <c r="FG128" i="5" s="1"/>
  <c r="EQ47" i="5"/>
  <c r="ER47" i="5" s="1"/>
  <c r="CS129" i="5"/>
  <c r="FE129" i="5"/>
  <c r="FG129" i="5" s="1"/>
  <c r="FE240" i="5"/>
  <c r="FG240" i="5" s="1"/>
  <c r="CY240" i="5"/>
  <c r="EQ242" i="5"/>
  <c r="ER242" i="5" s="1"/>
  <c r="DK242" i="5"/>
  <c r="DL242" i="5" s="1"/>
  <c r="X240" i="5"/>
  <c r="AJ137" i="5"/>
  <c r="AJ247" i="5"/>
  <c r="X195" i="5"/>
  <c r="DS133" i="21" l="1"/>
  <c r="CQ133" i="21"/>
  <c r="ED48" i="21"/>
  <c r="DR48" i="21"/>
  <c r="DS241" i="21"/>
  <c r="CQ241" i="21"/>
  <c r="DP243" i="21"/>
  <c r="DO243" i="21"/>
  <c r="DQ134" i="21"/>
  <c r="DR134" i="21" s="1"/>
  <c r="DU137" i="21"/>
  <c r="AV137" i="21"/>
  <c r="AW137" i="21" s="1"/>
  <c r="DU245" i="21"/>
  <c r="AV245" i="21"/>
  <c r="AW245" i="21" s="1"/>
  <c r="ES50" i="21"/>
  <c r="ER50" i="21"/>
  <c r="DR242" i="21"/>
  <c r="DQ242" i="21"/>
  <c r="EW242" i="21"/>
  <c r="EX242" i="21" s="1"/>
  <c r="AU137" i="21"/>
  <c r="AR137" i="21"/>
  <c r="FL133" i="21"/>
  <c r="CZ133" i="21"/>
  <c r="DN136" i="21"/>
  <c r="EM136" i="21"/>
  <c r="EP136" i="21" s="1"/>
  <c r="EQ136" i="21" s="1"/>
  <c r="FK191" i="21"/>
  <c r="FM191" i="21" s="1"/>
  <c r="AD191" i="21"/>
  <c r="CY191" i="21"/>
  <c r="AU245" i="21"/>
  <c r="AR245" i="21"/>
  <c r="ES135" i="21"/>
  <c r="ER135" i="21"/>
  <c r="ER243" i="21"/>
  <c r="ES243" i="21"/>
  <c r="EX48" i="21"/>
  <c r="DO135" i="21"/>
  <c r="DP135" i="21"/>
  <c r="CQ132" i="21"/>
  <c r="DS132" i="21"/>
  <c r="AT246" i="21"/>
  <c r="AP247" i="21"/>
  <c r="AQ246" i="21"/>
  <c r="AU51" i="21"/>
  <c r="AR51" i="21"/>
  <c r="AP139" i="21"/>
  <c r="AT138" i="21"/>
  <c r="AQ138" i="21"/>
  <c r="AP53" i="21"/>
  <c r="AT52" i="21"/>
  <c r="AQ52" i="21"/>
  <c r="EW134" i="21"/>
  <c r="FB134" i="21" s="1"/>
  <c r="ED134" i="21" s="1"/>
  <c r="CR134" i="21" s="1"/>
  <c r="EM51" i="21"/>
  <c r="EP51" i="21" s="1"/>
  <c r="EQ51" i="21" s="1"/>
  <c r="DS47" i="21"/>
  <c r="FB49" i="21"/>
  <c r="EX49" i="21"/>
  <c r="EW49" i="21"/>
  <c r="DN244" i="21"/>
  <c r="EM244" i="21"/>
  <c r="EP244" i="21" s="1"/>
  <c r="EQ244" i="21" s="1"/>
  <c r="FK240" i="21"/>
  <c r="FM240" i="21" s="1"/>
  <c r="AD240" i="21"/>
  <c r="CY240" i="21"/>
  <c r="DS46" i="20"/>
  <c r="EX47" i="20"/>
  <c r="EV47" i="5"/>
  <c r="ED132" i="20"/>
  <c r="CR132" i="20" s="1"/>
  <c r="DR132" i="20"/>
  <c r="DS239" i="20"/>
  <c r="CQ239" i="20"/>
  <c r="ES49" i="20"/>
  <c r="ER49" i="20"/>
  <c r="DN242" i="20"/>
  <c r="EM242" i="20"/>
  <c r="EP242" i="20" s="1"/>
  <c r="EQ242" i="20" s="1"/>
  <c r="ED131" i="20"/>
  <c r="CR131" i="20" s="1"/>
  <c r="DR131" i="20"/>
  <c r="DP241" i="20"/>
  <c r="DO241" i="20"/>
  <c r="AP52" i="20"/>
  <c r="AT51" i="20"/>
  <c r="DU51" i="20" s="1"/>
  <c r="AQ51" i="20"/>
  <c r="AR136" i="20"/>
  <c r="AU136" i="20"/>
  <c r="EX132" i="20"/>
  <c r="DQ133" i="20"/>
  <c r="AP138" i="20"/>
  <c r="AT137" i="20"/>
  <c r="AQ137" i="20"/>
  <c r="ED47" i="20"/>
  <c r="DR47" i="20"/>
  <c r="EW133" i="20"/>
  <c r="FB133" i="20" s="1"/>
  <c r="ED133" i="20" s="1"/>
  <c r="CR133" i="20" s="1"/>
  <c r="ES134" i="20"/>
  <c r="ER134" i="20"/>
  <c r="AD238" i="20"/>
  <c r="CY238" i="20"/>
  <c r="FK238" i="20"/>
  <c r="FM238" i="20" s="1"/>
  <c r="DU136" i="20"/>
  <c r="AV136" i="20"/>
  <c r="AW136" i="20" s="1"/>
  <c r="DP134" i="20"/>
  <c r="DO134" i="20"/>
  <c r="DQ240" i="20"/>
  <c r="DR240" i="20" s="1"/>
  <c r="EW48" i="20"/>
  <c r="EX48" i="20" s="1"/>
  <c r="CY191" i="20"/>
  <c r="FK191" i="20"/>
  <c r="FM191" i="20" s="1"/>
  <c r="AD191" i="20"/>
  <c r="FK130" i="20"/>
  <c r="FM130" i="20" s="1"/>
  <c r="CY130" i="20"/>
  <c r="AD130" i="20"/>
  <c r="AU243" i="20"/>
  <c r="AR243" i="20"/>
  <c r="EW240" i="20"/>
  <c r="EX240" i="20" s="1"/>
  <c r="FK129" i="20"/>
  <c r="FM129" i="20" s="1"/>
  <c r="CY129" i="20"/>
  <c r="AD129" i="20"/>
  <c r="AP245" i="20"/>
  <c r="AT244" i="20"/>
  <c r="AQ244" i="20"/>
  <c r="DN135" i="20"/>
  <c r="EM135" i="20"/>
  <c r="EP135" i="20" s="1"/>
  <c r="EQ135" i="20" s="1"/>
  <c r="AU50" i="20"/>
  <c r="AR50" i="20"/>
  <c r="DU243" i="20"/>
  <c r="AV243" i="20"/>
  <c r="AW243" i="20" s="1"/>
  <c r="ES241" i="20"/>
  <c r="ER241" i="20"/>
  <c r="EM50" i="20"/>
  <c r="EP50" i="20" s="1"/>
  <c r="EQ50" i="20" s="1"/>
  <c r="DX47" i="5"/>
  <c r="DL47" i="5"/>
  <c r="DM47" i="5" s="1"/>
  <c r="AL136" i="5"/>
  <c r="AO136" i="5"/>
  <c r="EQ243" i="5"/>
  <c r="ER243" i="5" s="1"/>
  <c r="EQ48" i="5"/>
  <c r="ER48" i="5" s="1"/>
  <c r="DO136" i="5"/>
  <c r="AP136" i="5"/>
  <c r="AQ136" i="5" s="1"/>
  <c r="DH135" i="5"/>
  <c r="EG135" i="5"/>
  <c r="EJ135" i="5" s="1"/>
  <c r="EK135" i="5" s="1"/>
  <c r="DM242" i="5"/>
  <c r="CK242" i="5"/>
  <c r="AN247" i="5"/>
  <c r="AK247" i="5"/>
  <c r="EQ133" i="5"/>
  <c r="EV133" i="5" s="1"/>
  <c r="DM46" i="5"/>
  <c r="DK243" i="5"/>
  <c r="DL243" i="5" s="1"/>
  <c r="CT132" i="5"/>
  <c r="FF132" i="5"/>
  <c r="AL246" i="5"/>
  <c r="AO246" i="5"/>
  <c r="EG50" i="5"/>
  <c r="EJ50" i="5" s="1"/>
  <c r="EK50" i="5" s="1"/>
  <c r="EL134" i="5"/>
  <c r="EM134" i="5"/>
  <c r="CS241" i="5"/>
  <c r="FE241" i="5"/>
  <c r="FG241" i="5" s="1"/>
  <c r="AN137" i="5"/>
  <c r="AK137" i="5"/>
  <c r="DO246" i="5"/>
  <c r="AP246" i="5"/>
  <c r="AQ246" i="5" s="1"/>
  <c r="AJ52" i="5"/>
  <c r="AN51" i="5"/>
  <c r="DO51" i="5" s="1"/>
  <c r="AK51" i="5"/>
  <c r="DI134" i="5"/>
  <c r="DJ134" i="5"/>
  <c r="DH245" i="5"/>
  <c r="EG245" i="5"/>
  <c r="EJ245" i="5" s="1"/>
  <c r="EK245" i="5" s="1"/>
  <c r="CS130" i="5"/>
  <c r="FE130" i="5"/>
  <c r="FG130" i="5" s="1"/>
  <c r="AL50" i="5"/>
  <c r="AO50" i="5"/>
  <c r="EL244" i="5"/>
  <c r="EM244" i="5"/>
  <c r="DL132" i="5"/>
  <c r="DM131" i="5"/>
  <c r="CK131" i="5"/>
  <c r="DJ244" i="5"/>
  <c r="DI244" i="5"/>
  <c r="EL49" i="5"/>
  <c r="EM49" i="5"/>
  <c r="DK133" i="5"/>
  <c r="CT131" i="5"/>
  <c r="FF131" i="5"/>
  <c r="AJ138" i="5"/>
  <c r="X241" i="5"/>
  <c r="AJ248" i="5"/>
  <c r="CQ134" i="21" l="1"/>
  <c r="CZ134" i="21"/>
  <c r="FL134" i="21"/>
  <c r="AP140" i="21"/>
  <c r="AT139" i="21"/>
  <c r="AQ139" i="21"/>
  <c r="AT247" i="21"/>
  <c r="AP248" i="21"/>
  <c r="AQ247" i="21"/>
  <c r="DU246" i="21"/>
  <c r="AV246" i="21"/>
  <c r="AW246" i="21" s="1"/>
  <c r="DQ135" i="21"/>
  <c r="DN245" i="21"/>
  <c r="EM245" i="21"/>
  <c r="EP245" i="21" s="1"/>
  <c r="EQ245" i="21" s="1"/>
  <c r="DS242" i="21"/>
  <c r="DN137" i="21"/>
  <c r="EM137" i="21"/>
  <c r="EP137" i="21" s="1"/>
  <c r="EQ137" i="21" s="1"/>
  <c r="DU138" i="21"/>
  <c r="AV138" i="21"/>
  <c r="AW138" i="21" s="1"/>
  <c r="AD132" i="21"/>
  <c r="FK132" i="21"/>
  <c r="FM132" i="21" s="1"/>
  <c r="CY132" i="21"/>
  <c r="ED49" i="21"/>
  <c r="DR49" i="21"/>
  <c r="DS49" i="21" s="1"/>
  <c r="DQ243" i="21"/>
  <c r="DR243" i="21" s="1"/>
  <c r="ES51" i="21"/>
  <c r="ER51" i="21"/>
  <c r="AU138" i="21"/>
  <c r="AR138" i="21"/>
  <c r="FK241" i="21"/>
  <c r="FM241" i="21" s="1"/>
  <c r="AD241" i="21"/>
  <c r="CY241" i="21"/>
  <c r="AR246" i="21"/>
  <c r="AU246" i="21"/>
  <c r="EW243" i="21"/>
  <c r="EX243" i="21" s="1"/>
  <c r="EX134" i="21"/>
  <c r="DS134" i="21" s="1"/>
  <c r="DS48" i="21"/>
  <c r="DP244" i="21"/>
  <c r="DO244" i="21"/>
  <c r="EW135" i="21"/>
  <c r="FB135" i="21" s="1"/>
  <c r="ED135" i="21" s="1"/>
  <c r="CR135" i="21" s="1"/>
  <c r="AR52" i="21"/>
  <c r="AU52" i="21"/>
  <c r="EW50" i="21"/>
  <c r="EX50" i="21" s="1"/>
  <c r="DU52" i="21"/>
  <c r="AV52" i="21"/>
  <c r="ES136" i="21"/>
  <c r="ER136" i="21"/>
  <c r="FK133" i="21"/>
  <c r="FM133" i="21" s="1"/>
  <c r="CY133" i="21"/>
  <c r="AD133" i="21"/>
  <c r="ER244" i="21"/>
  <c r="ES244" i="21"/>
  <c r="AT53" i="21"/>
  <c r="AP54" i="21"/>
  <c r="AQ53" i="21"/>
  <c r="DP136" i="21"/>
  <c r="DO136" i="21"/>
  <c r="FB48" i="20"/>
  <c r="ED48" i="20" s="1"/>
  <c r="DS47" i="20"/>
  <c r="DR133" i="20"/>
  <c r="CQ133" i="20" s="1"/>
  <c r="ER133" i="5"/>
  <c r="FL133" i="20"/>
  <c r="CZ133" i="20"/>
  <c r="DU244" i="20"/>
  <c r="AV244" i="20"/>
  <c r="AW244" i="20" s="1"/>
  <c r="AT245" i="20"/>
  <c r="AP246" i="20"/>
  <c r="AQ245" i="20"/>
  <c r="ES242" i="20"/>
  <c r="ER242" i="20"/>
  <c r="DN243" i="20"/>
  <c r="EM243" i="20"/>
  <c r="EP243" i="20" s="1"/>
  <c r="EQ243" i="20" s="1"/>
  <c r="AU137" i="20"/>
  <c r="AR137" i="20"/>
  <c r="AU51" i="20"/>
  <c r="AR51" i="20"/>
  <c r="DP242" i="20"/>
  <c r="DO242" i="20"/>
  <c r="EW134" i="20"/>
  <c r="FB134" i="20" s="1"/>
  <c r="ED134" i="20" s="1"/>
  <c r="CR134" i="20" s="1"/>
  <c r="DU137" i="20"/>
  <c r="AV137" i="20"/>
  <c r="AW137" i="20" s="1"/>
  <c r="EM51" i="20"/>
  <c r="EP51" i="20" s="1"/>
  <c r="EQ51" i="20" s="1"/>
  <c r="EW49" i="20"/>
  <c r="FB49" i="20" s="1"/>
  <c r="DS240" i="20"/>
  <c r="CQ240" i="20"/>
  <c r="DQ134" i="20"/>
  <c r="AT138" i="20"/>
  <c r="AP139" i="20"/>
  <c r="AQ138" i="20"/>
  <c r="AT52" i="20"/>
  <c r="AP53" i="20"/>
  <c r="AQ52" i="20"/>
  <c r="ES135" i="20"/>
  <c r="ER135" i="20"/>
  <c r="DQ241" i="20"/>
  <c r="DR241" i="20" s="1"/>
  <c r="CY239" i="20"/>
  <c r="FK239" i="20"/>
  <c r="FM239" i="20" s="1"/>
  <c r="AD239" i="20"/>
  <c r="ER50" i="20"/>
  <c r="ES50" i="20"/>
  <c r="DO135" i="20"/>
  <c r="DP135" i="20"/>
  <c r="EX133" i="20"/>
  <c r="EW241" i="20"/>
  <c r="EX241" i="20" s="1"/>
  <c r="AU244" i="20"/>
  <c r="AR244" i="20"/>
  <c r="DN136" i="20"/>
  <c r="EM136" i="20"/>
  <c r="EP136" i="20" s="1"/>
  <c r="EQ136" i="20" s="1"/>
  <c r="CQ131" i="20"/>
  <c r="DS131" i="20"/>
  <c r="DS132" i="20"/>
  <c r="CQ132" i="20"/>
  <c r="DR48" i="20"/>
  <c r="DS48" i="20" s="1"/>
  <c r="FL131" i="20"/>
  <c r="CZ131" i="20"/>
  <c r="FL132" i="20"/>
  <c r="CZ132" i="20"/>
  <c r="DX133" i="5"/>
  <c r="CL133" i="5" s="1"/>
  <c r="DL133" i="5"/>
  <c r="DM243" i="5"/>
  <c r="CK243" i="5"/>
  <c r="X243" i="5" s="1"/>
  <c r="EQ49" i="5"/>
  <c r="ER49" i="5" s="1"/>
  <c r="AL51" i="5"/>
  <c r="AO51" i="5"/>
  <c r="DO247" i="5"/>
  <c r="AP247" i="5"/>
  <c r="AQ247" i="5" s="1"/>
  <c r="EV48" i="5"/>
  <c r="DO137" i="5"/>
  <c r="AP137" i="5"/>
  <c r="AQ137" i="5" s="1"/>
  <c r="DH136" i="5"/>
  <c r="EG136" i="5"/>
  <c r="EJ136" i="5" s="1"/>
  <c r="EK136" i="5" s="1"/>
  <c r="EQ244" i="5"/>
  <c r="ER244" i="5" s="1"/>
  <c r="AL247" i="5"/>
  <c r="AO247" i="5"/>
  <c r="AN248" i="5"/>
  <c r="AK248" i="5"/>
  <c r="DK244" i="5"/>
  <c r="DL244" i="5" s="1"/>
  <c r="EG51" i="5"/>
  <c r="EJ51" i="5" s="1"/>
  <c r="EK51" i="5" s="1"/>
  <c r="FE242" i="5"/>
  <c r="FG242" i="5" s="1"/>
  <c r="CS242" i="5"/>
  <c r="AJ53" i="5"/>
  <c r="AN52" i="5"/>
  <c r="DO52" i="5" s="1"/>
  <c r="AK52" i="5"/>
  <c r="EQ134" i="5"/>
  <c r="EV134" i="5" s="1"/>
  <c r="DX134" i="5" s="1"/>
  <c r="CL134" i="5" s="1"/>
  <c r="AN138" i="5"/>
  <c r="AK138" i="5"/>
  <c r="CS131" i="5"/>
  <c r="FE131" i="5"/>
  <c r="FG131" i="5" s="1"/>
  <c r="EL50" i="5"/>
  <c r="EM50" i="5"/>
  <c r="EL135" i="5"/>
  <c r="EM135" i="5"/>
  <c r="EL245" i="5"/>
  <c r="EM245" i="5"/>
  <c r="DH246" i="5"/>
  <c r="EG246" i="5"/>
  <c r="EJ246" i="5" s="1"/>
  <c r="EK246" i="5" s="1"/>
  <c r="DI135" i="5"/>
  <c r="DJ135" i="5"/>
  <c r="CK132" i="5"/>
  <c r="DM132" i="5"/>
  <c r="DI245" i="5"/>
  <c r="DJ245" i="5"/>
  <c r="AL137" i="5"/>
  <c r="AO137" i="5"/>
  <c r="DK134" i="5"/>
  <c r="AJ139" i="5"/>
  <c r="AJ249" i="5"/>
  <c r="X242" i="5"/>
  <c r="DS133" i="20" l="1"/>
  <c r="DR135" i="21"/>
  <c r="FL135" i="21"/>
  <c r="CZ135" i="21"/>
  <c r="DS243" i="21"/>
  <c r="CQ243" i="21"/>
  <c r="DN138" i="21"/>
  <c r="EM138" i="21"/>
  <c r="EP138" i="21" s="1"/>
  <c r="EQ138" i="21" s="1"/>
  <c r="EX135" i="21"/>
  <c r="DO137" i="21"/>
  <c r="DP137" i="21"/>
  <c r="EW244" i="21"/>
  <c r="EX244" i="21" s="1"/>
  <c r="DN246" i="21"/>
  <c r="EM246" i="21"/>
  <c r="EP246" i="21" s="1"/>
  <c r="EQ246" i="21" s="1"/>
  <c r="ES137" i="21"/>
  <c r="ER137" i="21"/>
  <c r="DU53" i="21"/>
  <c r="AV53" i="21"/>
  <c r="AW53" i="21" s="1"/>
  <c r="DU247" i="21"/>
  <c r="AV247" i="21"/>
  <c r="AW247" i="21" s="1"/>
  <c r="EW136" i="21"/>
  <c r="FB136" i="21" s="1"/>
  <c r="ED136" i="21" s="1"/>
  <c r="CR136" i="21" s="1"/>
  <c r="AU139" i="21"/>
  <c r="AR139" i="21"/>
  <c r="DQ244" i="21"/>
  <c r="DR244" i="21" s="1"/>
  <c r="DQ136" i="21"/>
  <c r="DR136" i="21" s="1"/>
  <c r="AU53" i="21"/>
  <c r="AR53" i="21"/>
  <c r="DU139" i="21"/>
  <c r="AV139" i="21"/>
  <c r="AW139" i="21" s="1"/>
  <c r="AW52" i="21"/>
  <c r="AT140" i="21"/>
  <c r="AP141" i="21"/>
  <c r="AQ140" i="21"/>
  <c r="DO245" i="21"/>
  <c r="DP245" i="21"/>
  <c r="AT54" i="21"/>
  <c r="AP55" i="21"/>
  <c r="AQ54" i="21"/>
  <c r="AT248" i="21"/>
  <c r="AP249" i="21"/>
  <c r="AQ248" i="21"/>
  <c r="ER245" i="21"/>
  <c r="ES245" i="21"/>
  <c r="AR247" i="21"/>
  <c r="AU247" i="21"/>
  <c r="EW51" i="21"/>
  <c r="EX51" i="21" s="1"/>
  <c r="DN52" i="21"/>
  <c r="EM52" i="21"/>
  <c r="EP52" i="21" s="1"/>
  <c r="EQ52" i="21" s="1"/>
  <c r="FB50" i="21"/>
  <c r="AD134" i="21"/>
  <c r="FK134" i="21"/>
  <c r="FM134" i="21" s="1"/>
  <c r="CY134" i="21"/>
  <c r="ER134" i="5"/>
  <c r="DL134" i="5"/>
  <c r="FL134" i="20"/>
  <c r="CZ134" i="20"/>
  <c r="ED49" i="20"/>
  <c r="DR49" i="20"/>
  <c r="DR134" i="20"/>
  <c r="FK131" i="20"/>
  <c r="FM131" i="20" s="1"/>
  <c r="CY131" i="20"/>
  <c r="AD131" i="20"/>
  <c r="DP136" i="20"/>
  <c r="DO136" i="20"/>
  <c r="AP247" i="20"/>
  <c r="AT246" i="20"/>
  <c r="AQ246" i="20"/>
  <c r="EW50" i="20"/>
  <c r="EX50" i="20" s="1"/>
  <c r="AU52" i="20"/>
  <c r="AR52" i="20"/>
  <c r="FK240" i="20"/>
  <c r="FM240" i="20" s="1"/>
  <c r="AD240" i="20"/>
  <c r="CY240" i="20"/>
  <c r="DN137" i="20"/>
  <c r="EM137" i="20"/>
  <c r="EP137" i="20" s="1"/>
  <c r="EQ137" i="20" s="1"/>
  <c r="DU245" i="20"/>
  <c r="AV245" i="20"/>
  <c r="AW245" i="20" s="1"/>
  <c r="AT53" i="20"/>
  <c r="AP54" i="20"/>
  <c r="AQ53" i="20"/>
  <c r="DU52" i="20"/>
  <c r="AV52" i="20"/>
  <c r="EX134" i="20"/>
  <c r="ES243" i="20"/>
  <c r="ER243" i="20"/>
  <c r="DN244" i="20"/>
  <c r="EM244" i="20"/>
  <c r="EP244" i="20" s="1"/>
  <c r="EQ244" i="20" s="1"/>
  <c r="AR138" i="20"/>
  <c r="AU138" i="20"/>
  <c r="EX49" i="20"/>
  <c r="DP243" i="20"/>
  <c r="DO243" i="20"/>
  <c r="FK132" i="20"/>
  <c r="FM132" i="20" s="1"/>
  <c r="CY132" i="20"/>
  <c r="AD132" i="20"/>
  <c r="AT139" i="20"/>
  <c r="AP140" i="20"/>
  <c r="AQ139" i="20"/>
  <c r="DQ242" i="20"/>
  <c r="DR242" i="20" s="1"/>
  <c r="EW242" i="20"/>
  <c r="EX242" i="20" s="1"/>
  <c r="DS241" i="20"/>
  <c r="CQ241" i="20"/>
  <c r="DU138" i="20"/>
  <c r="AV138" i="20"/>
  <c r="AW138" i="20" s="1"/>
  <c r="ES136" i="20"/>
  <c r="ER136" i="20"/>
  <c r="DQ135" i="20"/>
  <c r="EW135" i="20"/>
  <c r="FB135" i="20" s="1"/>
  <c r="ED135" i="20" s="1"/>
  <c r="CR135" i="20" s="1"/>
  <c r="ES51" i="20"/>
  <c r="ER51" i="20"/>
  <c r="AU245" i="20"/>
  <c r="AR245" i="20"/>
  <c r="CY133" i="20"/>
  <c r="AD133" i="20"/>
  <c r="FK133" i="20"/>
  <c r="FM133" i="20" s="1"/>
  <c r="DM244" i="5"/>
  <c r="CK244" i="5"/>
  <c r="EQ135" i="5"/>
  <c r="ER135" i="5" s="1"/>
  <c r="FF134" i="5"/>
  <c r="CT134" i="5"/>
  <c r="EL136" i="5"/>
  <c r="EM136" i="5"/>
  <c r="EL51" i="5"/>
  <c r="EM51" i="5"/>
  <c r="DK135" i="5"/>
  <c r="EQ50" i="5"/>
  <c r="ER50" i="5" s="1"/>
  <c r="AL52" i="5"/>
  <c r="AO52" i="5"/>
  <c r="DI136" i="5"/>
  <c r="DJ136" i="5"/>
  <c r="EL246" i="5"/>
  <c r="EM246" i="5"/>
  <c r="EG52" i="5"/>
  <c r="EJ52" i="5" s="1"/>
  <c r="EK52" i="5" s="1"/>
  <c r="AL248" i="5"/>
  <c r="AO248" i="5"/>
  <c r="EV49" i="5"/>
  <c r="AN249" i="5"/>
  <c r="AK249" i="5"/>
  <c r="DI246" i="5"/>
  <c r="DJ246" i="5"/>
  <c r="AJ54" i="5"/>
  <c r="AN53" i="5"/>
  <c r="AK53" i="5"/>
  <c r="DO248" i="5"/>
  <c r="AP248" i="5"/>
  <c r="AQ248" i="5" s="1"/>
  <c r="DH137" i="5"/>
  <c r="EG137" i="5"/>
  <c r="EJ137" i="5" s="1"/>
  <c r="EK137" i="5" s="1"/>
  <c r="AN139" i="5"/>
  <c r="AK139" i="5"/>
  <c r="AL138" i="5"/>
  <c r="AO138" i="5"/>
  <c r="DX48" i="5"/>
  <c r="DL48" i="5"/>
  <c r="DM48" i="5" s="1"/>
  <c r="FE243" i="5"/>
  <c r="FG243" i="5" s="1"/>
  <c r="CS243" i="5"/>
  <c r="DO138" i="5"/>
  <c r="AP138" i="5"/>
  <c r="AQ138" i="5" s="1"/>
  <c r="DK245" i="5"/>
  <c r="DL245" i="5" s="1"/>
  <c r="EQ245" i="5"/>
  <c r="ER245" i="5" s="1"/>
  <c r="DH247" i="5"/>
  <c r="EG247" i="5"/>
  <c r="EJ247" i="5" s="1"/>
  <c r="EK247" i="5" s="1"/>
  <c r="CK133" i="5"/>
  <c r="DM133" i="5"/>
  <c r="FE132" i="5"/>
  <c r="FG132" i="5" s="1"/>
  <c r="CS132" i="5"/>
  <c r="CT133" i="5"/>
  <c r="FF133" i="5"/>
  <c r="AJ140" i="5"/>
  <c r="AJ250" i="5"/>
  <c r="CQ136" i="21" l="1"/>
  <c r="CZ136" i="21"/>
  <c r="FL136" i="21"/>
  <c r="DS244" i="21"/>
  <c r="CQ244" i="21"/>
  <c r="DU248" i="21"/>
  <c r="AV248" i="21"/>
  <c r="AW248" i="21" s="1"/>
  <c r="DQ245" i="21"/>
  <c r="DR245" i="21" s="1"/>
  <c r="EX137" i="21"/>
  <c r="EW137" i="21"/>
  <c r="FB137" i="21" s="1"/>
  <c r="ED137" i="21" s="1"/>
  <c r="CR137" i="21" s="1"/>
  <c r="AU140" i="21"/>
  <c r="AR140" i="21"/>
  <c r="EW245" i="21"/>
  <c r="EX245" i="21" s="1"/>
  <c r="AT249" i="21"/>
  <c r="AP250" i="21"/>
  <c r="AQ249" i="21"/>
  <c r="DU54" i="21"/>
  <c r="AV54" i="21"/>
  <c r="AW54" i="21" s="1"/>
  <c r="ER246" i="21"/>
  <c r="ES246" i="21"/>
  <c r="DQ137" i="21"/>
  <c r="DR137" i="21" s="1"/>
  <c r="DN247" i="21"/>
  <c r="EM247" i="21"/>
  <c r="EP247" i="21" s="1"/>
  <c r="EQ247" i="21" s="1"/>
  <c r="DN139" i="21"/>
  <c r="EM139" i="21"/>
  <c r="EP139" i="21" s="1"/>
  <c r="EQ139" i="21" s="1"/>
  <c r="DP246" i="21"/>
  <c r="DO246" i="21"/>
  <c r="ES138" i="21"/>
  <c r="ER138" i="21"/>
  <c r="EX136" i="21"/>
  <c r="DS136" i="21" s="1"/>
  <c r="AT141" i="21"/>
  <c r="AP142" i="21"/>
  <c r="AQ141" i="21"/>
  <c r="DP138" i="21"/>
  <c r="DO138" i="21"/>
  <c r="DU140" i="21"/>
  <c r="AV140" i="21"/>
  <c r="AW140" i="21" s="1"/>
  <c r="FB51" i="21"/>
  <c r="FK243" i="21"/>
  <c r="FM243" i="21" s="1"/>
  <c r="AD243" i="21"/>
  <c r="CY243" i="21"/>
  <c r="AT55" i="21"/>
  <c r="AQ55" i="21"/>
  <c r="AP56" i="21"/>
  <c r="AR248" i="21"/>
  <c r="AU248" i="21"/>
  <c r="ER52" i="21"/>
  <c r="ES52" i="21"/>
  <c r="AU54" i="21"/>
  <c r="AR54" i="21"/>
  <c r="DN53" i="21"/>
  <c r="EM53" i="21"/>
  <c r="EP53" i="21" s="1"/>
  <c r="EQ53" i="21" s="1"/>
  <c r="ED50" i="21"/>
  <c r="DR50" i="21"/>
  <c r="DS50" i="21" s="1"/>
  <c r="DP52" i="21"/>
  <c r="DO52" i="21"/>
  <c r="CQ135" i="21"/>
  <c r="DS135" i="21"/>
  <c r="FB50" i="20"/>
  <c r="EX135" i="20"/>
  <c r="DR135" i="20"/>
  <c r="DS135" i="20" s="1"/>
  <c r="EV50" i="5"/>
  <c r="DM134" i="5"/>
  <c r="EV135" i="5"/>
  <c r="DX135" i="5" s="1"/>
  <c r="CL135" i="5" s="1"/>
  <c r="FF135" i="5" s="1"/>
  <c r="CK134" i="5"/>
  <c r="CQ135" i="20"/>
  <c r="EW136" i="20"/>
  <c r="FB136" i="20" s="1"/>
  <c r="ED136" i="20" s="1"/>
  <c r="CR136" i="20" s="1"/>
  <c r="DQ243" i="20"/>
  <c r="DR243" i="20" s="1"/>
  <c r="DN245" i="20"/>
  <c r="EM245" i="20"/>
  <c r="EP245" i="20" s="1"/>
  <c r="EQ245" i="20" s="1"/>
  <c r="EW51" i="20"/>
  <c r="FB51" i="20" s="1"/>
  <c r="ED50" i="20"/>
  <c r="DR50" i="20"/>
  <c r="DS50" i="20" s="1"/>
  <c r="DP137" i="20"/>
  <c r="DO137" i="20"/>
  <c r="ER137" i="20"/>
  <c r="ES137" i="20"/>
  <c r="AR139" i="20"/>
  <c r="AU139" i="20"/>
  <c r="AW52" i="20"/>
  <c r="DN138" i="20"/>
  <c r="EM138" i="20"/>
  <c r="EP138" i="20" s="1"/>
  <c r="EQ138" i="20" s="1"/>
  <c r="AP141" i="20"/>
  <c r="AT140" i="20"/>
  <c r="AQ140" i="20"/>
  <c r="DN52" i="20"/>
  <c r="EM52" i="20"/>
  <c r="EP52" i="20" s="1"/>
  <c r="EQ52" i="20" s="1"/>
  <c r="AU246" i="20"/>
  <c r="AR246" i="20"/>
  <c r="CQ134" i="20"/>
  <c r="DS134" i="20"/>
  <c r="DS242" i="20"/>
  <c r="DU139" i="20"/>
  <c r="AV139" i="20"/>
  <c r="AW139" i="20" s="1"/>
  <c r="AU53" i="20"/>
  <c r="AR53" i="20"/>
  <c r="DU246" i="20"/>
  <c r="AV246" i="20"/>
  <c r="AW246" i="20" s="1"/>
  <c r="DS49" i="20"/>
  <c r="CZ135" i="20"/>
  <c r="FL135" i="20"/>
  <c r="ES244" i="20"/>
  <c r="ER244" i="20"/>
  <c r="AP55" i="20"/>
  <c r="AT54" i="20"/>
  <c r="AQ54" i="20"/>
  <c r="AT247" i="20"/>
  <c r="AP248" i="20"/>
  <c r="AQ247" i="20"/>
  <c r="DU53" i="20"/>
  <c r="AV53" i="20"/>
  <c r="AW53" i="20" s="1"/>
  <c r="DQ136" i="20"/>
  <c r="AD241" i="20"/>
  <c r="CY241" i="20"/>
  <c r="FK241" i="20"/>
  <c r="FM241" i="20" s="1"/>
  <c r="DP244" i="20"/>
  <c r="DO244" i="20"/>
  <c r="EW243" i="20"/>
  <c r="EX243" i="20" s="1"/>
  <c r="DM245" i="5"/>
  <c r="CK245" i="5"/>
  <c r="EL137" i="5"/>
  <c r="EM137" i="5"/>
  <c r="DK246" i="5"/>
  <c r="DL246" i="5" s="1"/>
  <c r="DX50" i="5"/>
  <c r="DL50" i="5"/>
  <c r="DM50" i="5" s="1"/>
  <c r="DJ247" i="5"/>
  <c r="DI247" i="5"/>
  <c r="DI137" i="5"/>
  <c r="DJ137" i="5"/>
  <c r="AO249" i="5"/>
  <c r="AL249" i="5"/>
  <c r="EQ246" i="5"/>
  <c r="ER246" i="5" s="1"/>
  <c r="DO249" i="5"/>
  <c r="AP249" i="5"/>
  <c r="AQ249" i="5" s="1"/>
  <c r="CT135" i="5"/>
  <c r="DH248" i="5"/>
  <c r="EG248" i="5"/>
  <c r="EJ248" i="5" s="1"/>
  <c r="EK248" i="5" s="1"/>
  <c r="DX49" i="5"/>
  <c r="DL49" i="5"/>
  <c r="DM49" i="5" s="1"/>
  <c r="DK136" i="5"/>
  <c r="EM247" i="5"/>
  <c r="EL247" i="5"/>
  <c r="AL53" i="5"/>
  <c r="AO53" i="5"/>
  <c r="EQ51" i="5"/>
  <c r="EV51" i="5" s="1"/>
  <c r="CS134" i="5"/>
  <c r="FE134" i="5"/>
  <c r="FG134" i="5" s="1"/>
  <c r="AN250" i="5"/>
  <c r="AK250" i="5"/>
  <c r="DO53" i="5"/>
  <c r="AP53" i="5"/>
  <c r="AN140" i="5"/>
  <c r="AK140" i="5"/>
  <c r="AL139" i="5"/>
  <c r="AO139" i="5"/>
  <c r="AJ55" i="5"/>
  <c r="AN54" i="5"/>
  <c r="AK54" i="5"/>
  <c r="EQ136" i="5"/>
  <c r="ER136" i="5" s="1"/>
  <c r="CS244" i="5"/>
  <c r="FE244" i="5"/>
  <c r="FG244" i="5" s="1"/>
  <c r="CS133" i="5"/>
  <c r="FE133" i="5"/>
  <c r="FG133" i="5" s="1"/>
  <c r="DH138" i="5"/>
  <c r="EG138" i="5"/>
  <c r="EJ138" i="5" s="1"/>
  <c r="EK138" i="5" s="1"/>
  <c r="DO139" i="5"/>
  <c r="AP139" i="5"/>
  <c r="AQ139" i="5" s="1"/>
  <c r="EM52" i="5"/>
  <c r="EL52" i="5"/>
  <c r="AJ141" i="5"/>
  <c r="AJ251" i="5"/>
  <c r="X244" i="5"/>
  <c r="X125" i="5"/>
  <c r="X128" i="5"/>
  <c r="X133" i="5"/>
  <c r="DR136" i="20" l="1"/>
  <c r="DS245" i="21"/>
  <c r="CQ245" i="21"/>
  <c r="CZ137" i="21"/>
  <c r="FL137" i="21"/>
  <c r="CQ137" i="21"/>
  <c r="DS137" i="21"/>
  <c r="DN54" i="21"/>
  <c r="EM54" i="21"/>
  <c r="EP54" i="21" s="1"/>
  <c r="EQ54" i="21" s="1"/>
  <c r="DQ52" i="21"/>
  <c r="AU249" i="21"/>
  <c r="AR249" i="21"/>
  <c r="DN140" i="21"/>
  <c r="EM140" i="21"/>
  <c r="EP140" i="21" s="1"/>
  <c r="EQ140" i="21" s="1"/>
  <c r="DU141" i="21"/>
  <c r="AV141" i="21"/>
  <c r="AW141" i="21" s="1"/>
  <c r="ES53" i="21"/>
  <c r="ER53" i="21"/>
  <c r="DQ246" i="21"/>
  <c r="DR246" i="21" s="1"/>
  <c r="FB138" i="21"/>
  <c r="ED138" i="21" s="1"/>
  <c r="CR138" i="21" s="1"/>
  <c r="EX138" i="21"/>
  <c r="EW138" i="21"/>
  <c r="ES139" i="21"/>
  <c r="ER139" i="21"/>
  <c r="DN248" i="21"/>
  <c r="EM248" i="21"/>
  <c r="EP248" i="21" s="1"/>
  <c r="EQ248" i="21" s="1"/>
  <c r="FK135" i="21"/>
  <c r="FM135" i="21" s="1"/>
  <c r="CY135" i="21"/>
  <c r="AD135" i="21"/>
  <c r="DO139" i="21"/>
  <c r="DP139" i="21"/>
  <c r="FK244" i="21"/>
  <c r="FM244" i="21" s="1"/>
  <c r="AD244" i="21"/>
  <c r="DE244" i="21"/>
  <c r="ED51" i="21"/>
  <c r="DR51" i="21"/>
  <c r="DS51" i="21" s="1"/>
  <c r="DQ138" i="21"/>
  <c r="DR138" i="21" s="1"/>
  <c r="ES247" i="21"/>
  <c r="ER247" i="21"/>
  <c r="EW246" i="21"/>
  <c r="EX246" i="21" s="1"/>
  <c r="AU141" i="21"/>
  <c r="AR141" i="21"/>
  <c r="DO53" i="21"/>
  <c r="DP53" i="21"/>
  <c r="DP247" i="21"/>
  <c r="DO247" i="21"/>
  <c r="AT250" i="21"/>
  <c r="AP251" i="21"/>
  <c r="AQ250" i="21"/>
  <c r="AP57" i="21"/>
  <c r="AT56" i="21"/>
  <c r="AQ56" i="21"/>
  <c r="DU55" i="21"/>
  <c r="AV55" i="21"/>
  <c r="AW55" i="21" s="1"/>
  <c r="DU249" i="21"/>
  <c r="AV249" i="21"/>
  <c r="AW249" i="21" s="1"/>
  <c r="AT142" i="21"/>
  <c r="AP143" i="21"/>
  <c r="AQ142" i="21"/>
  <c r="EW52" i="21"/>
  <c r="FB52" i="21" s="1"/>
  <c r="AU55" i="21"/>
  <c r="AR55" i="21"/>
  <c r="AD136" i="21"/>
  <c r="CY136" i="21"/>
  <c r="FK136" i="21"/>
  <c r="FM136" i="21" s="1"/>
  <c r="EV136" i="5"/>
  <c r="DX136" i="5" s="1"/>
  <c r="CL136" i="5" s="1"/>
  <c r="DM246" i="5"/>
  <c r="ER51" i="5"/>
  <c r="DL135" i="5"/>
  <c r="DL136" i="5"/>
  <c r="CK136" i="5" s="1"/>
  <c r="CQ136" i="20"/>
  <c r="ED51" i="20"/>
  <c r="DR51" i="20"/>
  <c r="DS243" i="20"/>
  <c r="CQ243" i="20"/>
  <c r="FL136" i="20"/>
  <c r="CZ136" i="20"/>
  <c r="DU54" i="20"/>
  <c r="AV54" i="20"/>
  <c r="AW54" i="20" s="1"/>
  <c r="DN246" i="20"/>
  <c r="EM246" i="20"/>
  <c r="EP246" i="20" s="1"/>
  <c r="EQ246" i="20" s="1"/>
  <c r="DO138" i="20"/>
  <c r="DP138" i="20"/>
  <c r="DQ137" i="20"/>
  <c r="DO245" i="20"/>
  <c r="DP245" i="20"/>
  <c r="EW244" i="20"/>
  <c r="EX244" i="20" s="1"/>
  <c r="ER52" i="20"/>
  <c r="ES52" i="20"/>
  <c r="DQ244" i="20"/>
  <c r="DR244" i="20" s="1"/>
  <c r="DO52" i="20"/>
  <c r="DP52" i="20"/>
  <c r="DN53" i="20"/>
  <c r="EM53" i="20"/>
  <c r="EP53" i="20" s="1"/>
  <c r="EQ53" i="20" s="1"/>
  <c r="AR247" i="20"/>
  <c r="AU247" i="20"/>
  <c r="DN139" i="20"/>
  <c r="EM139" i="20"/>
  <c r="EP139" i="20" s="1"/>
  <c r="EQ139" i="20" s="1"/>
  <c r="AU140" i="20"/>
  <c r="AR140" i="20"/>
  <c r="EX136" i="20"/>
  <c r="DS136" i="20" s="1"/>
  <c r="AP249" i="20"/>
  <c r="AT248" i="20"/>
  <c r="AQ248" i="20"/>
  <c r="DU140" i="20"/>
  <c r="AV140" i="20"/>
  <c r="AW140" i="20" s="1"/>
  <c r="EX51" i="20"/>
  <c r="AP56" i="20"/>
  <c r="AT55" i="20"/>
  <c r="AQ55" i="20"/>
  <c r="DU247" i="20"/>
  <c r="AV247" i="20"/>
  <c r="AW247" i="20" s="1"/>
  <c r="AP142" i="20"/>
  <c r="AT141" i="20"/>
  <c r="AQ141" i="20"/>
  <c r="AU54" i="20"/>
  <c r="AR54" i="20"/>
  <c r="FK134" i="20"/>
  <c r="FM134" i="20" s="1"/>
  <c r="CY134" i="20"/>
  <c r="AD134" i="20"/>
  <c r="ES138" i="20"/>
  <c r="ER138" i="20"/>
  <c r="EW137" i="20"/>
  <c r="EX137" i="20" s="1"/>
  <c r="ER245" i="20"/>
  <c r="ES245" i="20"/>
  <c r="FK135" i="20"/>
  <c r="FM135" i="20" s="1"/>
  <c r="AD135" i="20"/>
  <c r="CY135" i="20"/>
  <c r="EM138" i="5"/>
  <c r="EL138" i="5"/>
  <c r="DJ138" i="5"/>
  <c r="DI138" i="5"/>
  <c r="AO54" i="5"/>
  <c r="AL54" i="5"/>
  <c r="DH53" i="5"/>
  <c r="EG53" i="5"/>
  <c r="EJ53" i="5" s="1"/>
  <c r="EK53" i="5" s="1"/>
  <c r="EL248" i="5"/>
  <c r="EM248" i="5"/>
  <c r="DH139" i="5"/>
  <c r="EG139" i="5"/>
  <c r="EJ139" i="5" s="1"/>
  <c r="EK139" i="5" s="1"/>
  <c r="DO54" i="5"/>
  <c r="AP54" i="5"/>
  <c r="AQ54" i="5" s="1"/>
  <c r="AL250" i="5"/>
  <c r="AO250" i="5"/>
  <c r="DI248" i="5"/>
  <c r="DJ248" i="5"/>
  <c r="AJ56" i="5"/>
  <c r="AN55" i="5"/>
  <c r="AK55" i="5"/>
  <c r="DO250" i="5"/>
  <c r="AP250" i="5"/>
  <c r="AQ250" i="5" s="1"/>
  <c r="EQ247" i="5"/>
  <c r="ER247" i="5" s="1"/>
  <c r="EQ52" i="5"/>
  <c r="EV52" i="5" s="1"/>
  <c r="AN251" i="5"/>
  <c r="AK251" i="5"/>
  <c r="AN141" i="5"/>
  <c r="AK141" i="5"/>
  <c r="AO140" i="5"/>
  <c r="AL140" i="5"/>
  <c r="DK137" i="5"/>
  <c r="EQ137" i="5"/>
  <c r="ER137" i="5" s="1"/>
  <c r="DO140" i="5"/>
  <c r="AP140" i="5"/>
  <c r="AQ140" i="5" s="1"/>
  <c r="DX51" i="5"/>
  <c r="DL51" i="5"/>
  <c r="DM51" i="5" s="1"/>
  <c r="DK247" i="5"/>
  <c r="DL247" i="5" s="1"/>
  <c r="FE245" i="5"/>
  <c r="FG245" i="5" s="1"/>
  <c r="CS245" i="5"/>
  <c r="CT136" i="5"/>
  <c r="FF136" i="5"/>
  <c r="AQ53" i="5"/>
  <c r="DH249" i="5"/>
  <c r="EG249" i="5"/>
  <c r="EJ249" i="5" s="1"/>
  <c r="EK249" i="5" s="1"/>
  <c r="X130" i="5"/>
  <c r="AJ142" i="5"/>
  <c r="X245" i="5"/>
  <c r="AJ252" i="5"/>
  <c r="X134" i="5"/>
  <c r="X132" i="5"/>
  <c r="X126" i="5"/>
  <c r="CQ138" i="21" l="1"/>
  <c r="DS138" i="21"/>
  <c r="ED52" i="21"/>
  <c r="CR52" i="21" s="1"/>
  <c r="DR52" i="21"/>
  <c r="DS246" i="21"/>
  <c r="CQ246" i="21"/>
  <c r="DN249" i="21"/>
  <c r="EM249" i="21"/>
  <c r="EP249" i="21" s="1"/>
  <c r="EQ249" i="21" s="1"/>
  <c r="AP144" i="21"/>
  <c r="AT143" i="21"/>
  <c r="AQ143" i="21"/>
  <c r="EW53" i="21"/>
  <c r="EX53" i="21" s="1"/>
  <c r="DO140" i="21"/>
  <c r="DP140" i="21"/>
  <c r="DN55" i="21"/>
  <c r="EM55" i="21"/>
  <c r="EP55" i="21" s="1"/>
  <c r="EQ55" i="21" s="1"/>
  <c r="DU56" i="21"/>
  <c r="AV56" i="21"/>
  <c r="ER54" i="21"/>
  <c r="ES54" i="21"/>
  <c r="DN141" i="21"/>
  <c r="EM141" i="21"/>
  <c r="EP141" i="21" s="1"/>
  <c r="EQ141" i="21" s="1"/>
  <c r="AP58" i="21"/>
  <c r="AT57" i="21"/>
  <c r="AQ57" i="21"/>
  <c r="DP54" i="21"/>
  <c r="DO54" i="21"/>
  <c r="ER140" i="21"/>
  <c r="ES140" i="21"/>
  <c r="AU250" i="21"/>
  <c r="AR250" i="21"/>
  <c r="CZ138" i="21"/>
  <c r="FL138" i="21"/>
  <c r="AP252" i="21"/>
  <c r="AT251" i="21"/>
  <c r="AQ251" i="21"/>
  <c r="CY137" i="21"/>
  <c r="FK137" i="21"/>
  <c r="FM137" i="21" s="1"/>
  <c r="AD137" i="21"/>
  <c r="EX52" i="21"/>
  <c r="ES248" i="21"/>
  <c r="ER248" i="21"/>
  <c r="DR247" i="21"/>
  <c r="DQ247" i="21"/>
  <c r="DP248" i="21"/>
  <c r="DO248" i="21"/>
  <c r="EW247" i="21"/>
  <c r="EX247" i="21" s="1"/>
  <c r="DU142" i="21"/>
  <c r="AV142" i="21"/>
  <c r="AW142" i="21" s="1"/>
  <c r="DQ139" i="21"/>
  <c r="DU250" i="21"/>
  <c r="AV250" i="21"/>
  <c r="AW250" i="21" s="1"/>
  <c r="EW139" i="21"/>
  <c r="EX139" i="21" s="1"/>
  <c r="FK245" i="21"/>
  <c r="FM245" i="21" s="1"/>
  <c r="AD245" i="21"/>
  <c r="DE245" i="21"/>
  <c r="AR56" i="21"/>
  <c r="AU56" i="21"/>
  <c r="AU142" i="21"/>
  <c r="AR142" i="21"/>
  <c r="DQ53" i="21"/>
  <c r="FB137" i="20"/>
  <c r="ED137" i="20" s="1"/>
  <c r="CR137" i="20" s="1"/>
  <c r="FL137" i="20" s="1"/>
  <c r="CK135" i="5"/>
  <c r="DM135" i="5"/>
  <c r="DM136" i="5"/>
  <c r="DS244" i="20"/>
  <c r="CQ244" i="20"/>
  <c r="AP57" i="20"/>
  <c r="AT56" i="20"/>
  <c r="AQ56" i="20"/>
  <c r="DP53" i="20"/>
  <c r="DO53" i="20"/>
  <c r="AU141" i="20"/>
  <c r="AR141" i="20"/>
  <c r="DU141" i="20"/>
  <c r="AV141" i="20"/>
  <c r="AW141" i="20" s="1"/>
  <c r="EW52" i="20"/>
  <c r="EX52" i="20" s="1"/>
  <c r="AD243" i="20"/>
  <c r="CY243" i="20"/>
  <c r="FK243" i="20"/>
  <c r="FM243" i="20" s="1"/>
  <c r="AP143" i="20"/>
  <c r="AT142" i="20"/>
  <c r="AQ142" i="20"/>
  <c r="DN140" i="20"/>
  <c r="EM140" i="20"/>
  <c r="EP140" i="20" s="1"/>
  <c r="EQ140" i="20" s="1"/>
  <c r="ES139" i="20"/>
  <c r="ER139" i="20"/>
  <c r="DQ52" i="20"/>
  <c r="DQ138" i="20"/>
  <c r="AU248" i="20"/>
  <c r="AR248" i="20"/>
  <c r="DO139" i="20"/>
  <c r="DP139" i="20"/>
  <c r="ES246" i="20"/>
  <c r="ER246" i="20"/>
  <c r="DS51" i="20"/>
  <c r="DN247" i="20"/>
  <c r="EM247" i="20"/>
  <c r="EP247" i="20" s="1"/>
  <c r="EQ247" i="20" s="1"/>
  <c r="DU248" i="20"/>
  <c r="AV248" i="20"/>
  <c r="AW248" i="20" s="1"/>
  <c r="DP246" i="20"/>
  <c r="DO246" i="20"/>
  <c r="EW138" i="20"/>
  <c r="EX138" i="20" s="1"/>
  <c r="EW245" i="20"/>
  <c r="EX245" i="20" s="1"/>
  <c r="AU55" i="20"/>
  <c r="AR55" i="20"/>
  <c r="AP250" i="20"/>
  <c r="AT249" i="20"/>
  <c r="AQ249" i="20"/>
  <c r="CY136" i="20"/>
  <c r="AD136" i="20"/>
  <c r="FK136" i="20"/>
  <c r="FM136" i="20" s="1"/>
  <c r="DU55" i="20"/>
  <c r="AV55" i="20"/>
  <c r="ES53" i="20"/>
  <c r="ER53" i="20"/>
  <c r="DQ245" i="20"/>
  <c r="DR245" i="20" s="1"/>
  <c r="DN54" i="20"/>
  <c r="EM54" i="20"/>
  <c r="EP54" i="20" s="1"/>
  <c r="EQ54" i="20" s="1"/>
  <c r="DX52" i="5"/>
  <c r="DL52" i="5"/>
  <c r="DM247" i="5"/>
  <c r="CK247" i="5"/>
  <c r="AL251" i="5"/>
  <c r="AO251" i="5"/>
  <c r="DH250" i="5"/>
  <c r="EG250" i="5"/>
  <c r="EJ250" i="5" s="1"/>
  <c r="EK250" i="5" s="1"/>
  <c r="DO55" i="5"/>
  <c r="AP55" i="5"/>
  <c r="EL139" i="5"/>
  <c r="EM139" i="5"/>
  <c r="DK138" i="5"/>
  <c r="DH54" i="5"/>
  <c r="EG54" i="5"/>
  <c r="EJ54" i="5" s="1"/>
  <c r="EK54" i="5" s="1"/>
  <c r="ER52" i="5"/>
  <c r="AJ57" i="5"/>
  <c r="AN56" i="5"/>
  <c r="AK56" i="5"/>
  <c r="DI139" i="5"/>
  <c r="DJ139" i="5"/>
  <c r="DH140" i="5"/>
  <c r="EG140" i="5"/>
  <c r="EJ140" i="5" s="1"/>
  <c r="EK140" i="5" s="1"/>
  <c r="EQ138" i="5"/>
  <c r="ER138" i="5" s="1"/>
  <c r="AL55" i="5"/>
  <c r="AO55" i="5"/>
  <c r="AN252" i="5"/>
  <c r="AK252" i="5"/>
  <c r="DK248" i="5"/>
  <c r="DL248" i="5" s="1"/>
  <c r="EQ248" i="5"/>
  <c r="ER248" i="5" s="1"/>
  <c r="EM249" i="5"/>
  <c r="EL249" i="5"/>
  <c r="EV137" i="5"/>
  <c r="AL141" i="5"/>
  <c r="AO141" i="5"/>
  <c r="EM53" i="5"/>
  <c r="EL53" i="5"/>
  <c r="DO251" i="5"/>
  <c r="AP251" i="5"/>
  <c r="AQ251" i="5" s="1"/>
  <c r="AN142" i="5"/>
  <c r="AK142" i="5"/>
  <c r="DI249" i="5"/>
  <c r="DJ249" i="5"/>
  <c r="DO141" i="5"/>
  <c r="AP141" i="5"/>
  <c r="AQ141" i="5" s="1"/>
  <c r="DI53" i="5"/>
  <c r="DJ53" i="5"/>
  <c r="CS136" i="5"/>
  <c r="FE136" i="5"/>
  <c r="FG136" i="5" s="1"/>
  <c r="X127" i="5"/>
  <c r="X131" i="5"/>
  <c r="X129" i="5"/>
  <c r="AJ143" i="5"/>
  <c r="X247" i="5"/>
  <c r="AJ253" i="5"/>
  <c r="FB52" i="20" l="1"/>
  <c r="ED52" i="20" s="1"/>
  <c r="CR52" i="20" s="1"/>
  <c r="DQ140" i="21"/>
  <c r="AU143" i="21"/>
  <c r="AR143" i="21"/>
  <c r="ES55" i="21"/>
  <c r="ER55" i="21"/>
  <c r="FB139" i="21"/>
  <c r="ED139" i="21" s="1"/>
  <c r="CR139" i="21" s="1"/>
  <c r="DN250" i="21"/>
  <c r="EM250" i="21"/>
  <c r="EP250" i="21" s="1"/>
  <c r="EQ250" i="21" s="1"/>
  <c r="DU143" i="21"/>
  <c r="AV143" i="21"/>
  <c r="AW143" i="21" s="1"/>
  <c r="EW248" i="21"/>
  <c r="EX248" i="21" s="1"/>
  <c r="ES249" i="21"/>
  <c r="ER249" i="21"/>
  <c r="DP55" i="21"/>
  <c r="DO55" i="21"/>
  <c r="FB53" i="21"/>
  <c r="ED53" i="21" s="1"/>
  <c r="CR53" i="21" s="1"/>
  <c r="DO249" i="21"/>
  <c r="DP249" i="21"/>
  <c r="AP145" i="21"/>
  <c r="AT144" i="21"/>
  <c r="AQ144" i="21"/>
  <c r="DN142" i="21"/>
  <c r="EM142" i="21"/>
  <c r="EP142" i="21" s="1"/>
  <c r="EQ142" i="21" s="1"/>
  <c r="DQ54" i="21"/>
  <c r="FK246" i="21"/>
  <c r="FM246" i="21" s="1"/>
  <c r="DE246" i="21"/>
  <c r="AD246" i="21"/>
  <c r="AW56" i="21"/>
  <c r="DU251" i="21"/>
  <c r="AV251" i="21"/>
  <c r="AW251" i="21" s="1"/>
  <c r="CZ13" i="21"/>
  <c r="CZ12" i="21"/>
  <c r="CZ10" i="21"/>
  <c r="CZ11" i="21" s="1"/>
  <c r="AU57" i="21"/>
  <c r="AR57" i="21"/>
  <c r="DN56" i="21"/>
  <c r="EM56" i="21"/>
  <c r="EP56" i="21" s="1"/>
  <c r="EQ56" i="21" s="1"/>
  <c r="DU57" i="21"/>
  <c r="AV57" i="21"/>
  <c r="AW57" i="21" s="1"/>
  <c r="DS52" i="21"/>
  <c r="CQ52" i="21"/>
  <c r="AT58" i="21"/>
  <c r="AP59" i="21"/>
  <c r="AQ58" i="21"/>
  <c r="FL52" i="21"/>
  <c r="CZ52" i="21"/>
  <c r="EW54" i="21"/>
  <c r="EX54" i="21" s="1"/>
  <c r="AU251" i="21"/>
  <c r="AR251" i="21"/>
  <c r="AP253" i="21"/>
  <c r="AT252" i="21"/>
  <c r="AQ252" i="21"/>
  <c r="EW140" i="21"/>
  <c r="FB140" i="21" s="1"/>
  <c r="ED140" i="21" s="1"/>
  <c r="CR140" i="21" s="1"/>
  <c r="DQ248" i="21"/>
  <c r="DR248" i="21" s="1"/>
  <c r="ES141" i="21"/>
  <c r="ER141" i="21"/>
  <c r="DS247" i="21"/>
  <c r="CQ247" i="21"/>
  <c r="DP141" i="21"/>
  <c r="DO141" i="21"/>
  <c r="AD138" i="21"/>
  <c r="FK138" i="21"/>
  <c r="FM138" i="21" s="1"/>
  <c r="CY138" i="21"/>
  <c r="CZ137" i="20"/>
  <c r="DR137" i="20"/>
  <c r="DS137" i="20" s="1"/>
  <c r="FB138" i="20"/>
  <c r="ED138" i="20" s="1"/>
  <c r="CR138" i="20" s="1"/>
  <c r="CZ138" i="20" s="1"/>
  <c r="CS135" i="5"/>
  <c r="FE135" i="5"/>
  <c r="FG135" i="5" s="1"/>
  <c r="X135" i="5"/>
  <c r="DS245" i="20"/>
  <c r="CQ245" i="20"/>
  <c r="ER247" i="20"/>
  <c r="ES247" i="20"/>
  <c r="ES140" i="20"/>
  <c r="ER140" i="20"/>
  <c r="DQ53" i="20"/>
  <c r="AW55" i="20"/>
  <c r="EW53" i="20"/>
  <c r="EX53" i="20" s="1"/>
  <c r="AU249" i="20"/>
  <c r="AR249" i="20"/>
  <c r="DP247" i="20"/>
  <c r="DO247" i="20"/>
  <c r="DO140" i="20"/>
  <c r="DP140" i="20"/>
  <c r="FL52" i="20"/>
  <c r="CZ52" i="20"/>
  <c r="DU56" i="20"/>
  <c r="AV56" i="20"/>
  <c r="AW56" i="20" s="1"/>
  <c r="DU142" i="20"/>
  <c r="AV142" i="20"/>
  <c r="AW142" i="20" s="1"/>
  <c r="ER54" i="20"/>
  <c r="ES54" i="20"/>
  <c r="AP144" i="20"/>
  <c r="AT143" i="20"/>
  <c r="AQ143" i="20"/>
  <c r="AP58" i="20"/>
  <c r="AT57" i="20"/>
  <c r="AQ57" i="20"/>
  <c r="DU249" i="20"/>
  <c r="AV249" i="20"/>
  <c r="AW249" i="20" s="1"/>
  <c r="AU56" i="20"/>
  <c r="AR56" i="20"/>
  <c r="DN55" i="20"/>
  <c r="EM55" i="20"/>
  <c r="EP55" i="20" s="1"/>
  <c r="EQ55" i="20" s="1"/>
  <c r="AP251" i="20"/>
  <c r="AT250" i="20"/>
  <c r="AQ250" i="20"/>
  <c r="DQ246" i="20"/>
  <c r="DR246" i="20" s="1"/>
  <c r="EW246" i="20"/>
  <c r="EX246" i="20" s="1"/>
  <c r="DO54" i="20"/>
  <c r="DP54" i="20"/>
  <c r="DR52" i="20"/>
  <c r="DN141" i="20"/>
  <c r="EM141" i="20"/>
  <c r="EP141" i="20" s="1"/>
  <c r="EQ141" i="20" s="1"/>
  <c r="AR142" i="20"/>
  <c r="AU142" i="20"/>
  <c r="EW139" i="20"/>
  <c r="EX139" i="20" s="1"/>
  <c r="FK244" i="20"/>
  <c r="FM244" i="20" s="1"/>
  <c r="AD244" i="20"/>
  <c r="DE244" i="20"/>
  <c r="DN248" i="20"/>
  <c r="EM248" i="20"/>
  <c r="EP248" i="20" s="1"/>
  <c r="EQ248" i="20" s="1"/>
  <c r="DQ139" i="20"/>
  <c r="DM248" i="5"/>
  <c r="CK248" i="5"/>
  <c r="AN143" i="5"/>
  <c r="AK143" i="5"/>
  <c r="AL142" i="5"/>
  <c r="AO142" i="5"/>
  <c r="AO252" i="5"/>
  <c r="AL252" i="5"/>
  <c r="DJ140" i="5"/>
  <c r="DI140" i="5"/>
  <c r="DJ54" i="5"/>
  <c r="DI54" i="5"/>
  <c r="DI250" i="5"/>
  <c r="DJ250" i="5"/>
  <c r="DO252" i="5"/>
  <c r="AP252" i="5"/>
  <c r="AQ252" i="5" s="1"/>
  <c r="EQ249" i="5"/>
  <c r="ER249" i="5" s="1"/>
  <c r="DK139" i="5"/>
  <c r="DH251" i="5"/>
  <c r="EG251" i="5"/>
  <c r="EJ251" i="5" s="1"/>
  <c r="EK251" i="5" s="1"/>
  <c r="AL56" i="5"/>
  <c r="AO56" i="5"/>
  <c r="FE247" i="5"/>
  <c r="FG247" i="5" s="1"/>
  <c r="CS247" i="5"/>
  <c r="EQ53" i="5"/>
  <c r="ER53" i="5" s="1"/>
  <c r="DO56" i="5"/>
  <c r="AP56" i="5"/>
  <c r="AQ56" i="5" s="1"/>
  <c r="EQ139" i="5"/>
  <c r="EV139" i="5" s="1"/>
  <c r="DO142" i="5"/>
  <c r="AP142" i="5"/>
  <c r="AQ142" i="5" s="1"/>
  <c r="DH141" i="5"/>
  <c r="EG141" i="5"/>
  <c r="EJ141" i="5" s="1"/>
  <c r="EK141" i="5" s="1"/>
  <c r="EV138" i="5"/>
  <c r="DX138" i="5" s="1"/>
  <c r="CL138" i="5" s="1"/>
  <c r="AJ58" i="5"/>
  <c r="AN57" i="5"/>
  <c r="AK57" i="5"/>
  <c r="AQ55" i="5"/>
  <c r="DK53" i="5"/>
  <c r="DH55" i="5"/>
  <c r="EG55" i="5"/>
  <c r="EJ55" i="5" s="1"/>
  <c r="EK55" i="5" s="1"/>
  <c r="DM52" i="5"/>
  <c r="DX137" i="5"/>
  <c r="CL137" i="5" s="1"/>
  <c r="DL137" i="5"/>
  <c r="AN253" i="5"/>
  <c r="AK253" i="5"/>
  <c r="DK249" i="5"/>
  <c r="DL249" i="5" s="1"/>
  <c r="EM140" i="5"/>
  <c r="EL140" i="5"/>
  <c r="EL54" i="5"/>
  <c r="EM54" i="5"/>
  <c r="EM250" i="5"/>
  <c r="EL250" i="5"/>
  <c r="X136" i="5"/>
  <c r="X124" i="5"/>
  <c r="AJ144" i="5"/>
  <c r="AJ254" i="5"/>
  <c r="FL138" i="20" l="1"/>
  <c r="DS248" i="21"/>
  <c r="CQ248" i="21"/>
  <c r="FL140" i="21"/>
  <c r="DF140" i="21"/>
  <c r="DR140" i="21"/>
  <c r="CZ53" i="21"/>
  <c r="FL53" i="21"/>
  <c r="CY12" i="21"/>
  <c r="CY13" i="21"/>
  <c r="CY10" i="21"/>
  <c r="CY11" i="21" s="1"/>
  <c r="DN251" i="21"/>
  <c r="EM251" i="21"/>
  <c r="EP251" i="21" s="1"/>
  <c r="EQ251" i="21" s="1"/>
  <c r="EM143" i="21"/>
  <c r="EP143" i="21" s="1"/>
  <c r="EQ143" i="21" s="1"/>
  <c r="DN143" i="21"/>
  <c r="DP56" i="21"/>
  <c r="DO56" i="21"/>
  <c r="EW249" i="21"/>
  <c r="EX249" i="21" s="1"/>
  <c r="DQ141" i="21"/>
  <c r="DR141" i="21" s="1"/>
  <c r="FL139" i="21"/>
  <c r="DF139" i="21"/>
  <c r="ES56" i="21"/>
  <c r="ER56" i="21"/>
  <c r="AP254" i="21"/>
  <c r="AT253" i="21"/>
  <c r="AQ253" i="21"/>
  <c r="DE247" i="21"/>
  <c r="FK247" i="21"/>
  <c r="FM247" i="21" s="1"/>
  <c r="AD247" i="21"/>
  <c r="EW141" i="21"/>
  <c r="FB141" i="21" s="1"/>
  <c r="ED141" i="21" s="1"/>
  <c r="CR141" i="21" s="1"/>
  <c r="ES142" i="21"/>
  <c r="ER142" i="21"/>
  <c r="DQ55" i="21"/>
  <c r="ES250" i="21"/>
  <c r="ER250" i="21"/>
  <c r="AR58" i="21"/>
  <c r="AU58" i="21"/>
  <c r="DP142" i="21"/>
  <c r="DO142" i="21"/>
  <c r="DN57" i="21"/>
  <c r="EM57" i="21"/>
  <c r="EP57" i="21" s="1"/>
  <c r="EQ57" i="21" s="1"/>
  <c r="AT59" i="21"/>
  <c r="AP60" i="21"/>
  <c r="AQ59" i="21"/>
  <c r="AU144" i="21"/>
  <c r="AR144" i="21"/>
  <c r="DU252" i="21"/>
  <c r="AV252" i="21"/>
  <c r="AW252" i="21" s="1"/>
  <c r="DU144" i="21"/>
  <c r="AV144" i="21"/>
  <c r="AW144" i="21" s="1"/>
  <c r="DR139" i="21"/>
  <c r="DP250" i="21"/>
  <c r="DO250" i="21"/>
  <c r="DU58" i="21"/>
  <c r="AV58" i="21"/>
  <c r="EX140" i="21"/>
  <c r="CY52" i="21"/>
  <c r="FK52" i="21"/>
  <c r="AP146" i="21"/>
  <c r="AT145" i="21"/>
  <c r="AQ145" i="21"/>
  <c r="FB54" i="21"/>
  <c r="ED54" i="21" s="1"/>
  <c r="CR54" i="21" s="1"/>
  <c r="EW55" i="21"/>
  <c r="EX55" i="21" s="1"/>
  <c r="DR53" i="21"/>
  <c r="AU252" i="21"/>
  <c r="AR252" i="21"/>
  <c r="DQ249" i="21"/>
  <c r="DR249" i="21" s="1"/>
  <c r="CQ137" i="20"/>
  <c r="FK137" i="20" s="1"/>
  <c r="FM137" i="20" s="1"/>
  <c r="FB53" i="20"/>
  <c r="ED53" i="20" s="1"/>
  <c r="CR53" i="20" s="1"/>
  <c r="CZ53" i="20" s="1"/>
  <c r="FB139" i="20"/>
  <c r="ED139" i="20" s="1"/>
  <c r="CR139" i="20" s="1"/>
  <c r="DR138" i="20"/>
  <c r="ER139" i="5"/>
  <c r="DS246" i="20"/>
  <c r="CQ246" i="20"/>
  <c r="DO248" i="20"/>
  <c r="DP248" i="20"/>
  <c r="DS52" i="20"/>
  <c r="CQ52" i="20"/>
  <c r="ES248" i="20"/>
  <c r="ER248" i="20"/>
  <c r="AP145" i="20"/>
  <c r="AT144" i="20"/>
  <c r="AQ144" i="20"/>
  <c r="EW140" i="20"/>
  <c r="EX140" i="20" s="1"/>
  <c r="CZ10" i="20"/>
  <c r="CZ11" i="20" s="1"/>
  <c r="CZ13" i="20"/>
  <c r="CZ12" i="20"/>
  <c r="AU250" i="20"/>
  <c r="AR250" i="20"/>
  <c r="DN249" i="20"/>
  <c r="EM249" i="20"/>
  <c r="EP249" i="20" s="1"/>
  <c r="EQ249" i="20" s="1"/>
  <c r="EW54" i="20"/>
  <c r="FB54" i="20" s="1"/>
  <c r="DU250" i="20"/>
  <c r="AV250" i="20"/>
  <c r="AW250" i="20" s="1"/>
  <c r="AU57" i="20"/>
  <c r="AR57" i="20"/>
  <c r="DQ140" i="20"/>
  <c r="EW247" i="20"/>
  <c r="EX247" i="20" s="1"/>
  <c r="DQ247" i="20"/>
  <c r="DR247" i="20" s="1"/>
  <c r="FK245" i="20"/>
  <c r="FM245" i="20" s="1"/>
  <c r="AD245" i="20"/>
  <c r="DE245" i="20"/>
  <c r="AP252" i="20"/>
  <c r="AT251" i="20"/>
  <c r="AQ251" i="20"/>
  <c r="DN142" i="20"/>
  <c r="EM142" i="20"/>
  <c r="EP142" i="20" s="1"/>
  <c r="EQ142" i="20" s="1"/>
  <c r="ES141" i="20"/>
  <c r="ER141" i="20"/>
  <c r="DQ54" i="20"/>
  <c r="ES55" i="20"/>
  <c r="ER55" i="20"/>
  <c r="AP59" i="20"/>
  <c r="AT58" i="20"/>
  <c r="AQ58" i="20"/>
  <c r="DP141" i="20"/>
  <c r="DO141" i="20"/>
  <c r="DU57" i="20"/>
  <c r="AV57" i="20"/>
  <c r="FL139" i="20"/>
  <c r="DF139" i="20"/>
  <c r="DP55" i="20"/>
  <c r="DO55" i="20"/>
  <c r="AU143" i="20"/>
  <c r="AR143" i="20"/>
  <c r="DN56" i="20"/>
  <c r="EM56" i="20"/>
  <c r="EP56" i="20" s="1"/>
  <c r="EQ56" i="20" s="1"/>
  <c r="DU143" i="20"/>
  <c r="AV143" i="20"/>
  <c r="AW143" i="20" s="1"/>
  <c r="DX139" i="5"/>
  <c r="CL139" i="5" s="1"/>
  <c r="DL139" i="5"/>
  <c r="DH252" i="5"/>
  <c r="EG252" i="5"/>
  <c r="EJ252" i="5" s="1"/>
  <c r="EK252" i="5" s="1"/>
  <c r="EQ250" i="5"/>
  <c r="ER250" i="5" s="1"/>
  <c r="AL253" i="5"/>
  <c r="AO253" i="5"/>
  <c r="EM141" i="5"/>
  <c r="EL141" i="5"/>
  <c r="DH56" i="5"/>
  <c r="EG56" i="5"/>
  <c r="EJ56" i="5" s="1"/>
  <c r="EK56" i="5" s="1"/>
  <c r="EL251" i="5"/>
  <c r="EM251" i="5"/>
  <c r="DO253" i="5"/>
  <c r="AP253" i="5"/>
  <c r="AQ253" i="5" s="1"/>
  <c r="DI141" i="5"/>
  <c r="DJ141" i="5"/>
  <c r="DI251" i="5"/>
  <c r="DJ251" i="5"/>
  <c r="DK250" i="5"/>
  <c r="DL250" i="5" s="1"/>
  <c r="AN254" i="5"/>
  <c r="AK254" i="5"/>
  <c r="DM137" i="5"/>
  <c r="CK137" i="5"/>
  <c r="EV53" i="5"/>
  <c r="DX53" i="5" s="1"/>
  <c r="CL53" i="5" s="1"/>
  <c r="DK54" i="5"/>
  <c r="AL143" i="5"/>
  <c r="AO143" i="5"/>
  <c r="EQ54" i="5"/>
  <c r="ER54" i="5" s="1"/>
  <c r="FF137" i="5"/>
  <c r="CT137" i="5"/>
  <c r="DH142" i="5"/>
  <c r="EG142" i="5"/>
  <c r="EJ142" i="5" s="1"/>
  <c r="EK142" i="5" s="1"/>
  <c r="DO143" i="5"/>
  <c r="AP143" i="5"/>
  <c r="AQ143" i="5" s="1"/>
  <c r="AN144" i="5"/>
  <c r="AK144" i="5"/>
  <c r="EQ140" i="5"/>
  <c r="ER140" i="5" s="1"/>
  <c r="AL57" i="5"/>
  <c r="AO57" i="5"/>
  <c r="DK140" i="5"/>
  <c r="DL138" i="5"/>
  <c r="CT138" i="5"/>
  <c r="FF138" i="5"/>
  <c r="DO57" i="5"/>
  <c r="AP57" i="5"/>
  <c r="AQ57" i="5" s="1"/>
  <c r="CY248" i="5"/>
  <c r="FE248" i="5"/>
  <c r="FG248" i="5" s="1"/>
  <c r="DM249" i="5"/>
  <c r="CK249" i="5"/>
  <c r="EL55" i="5"/>
  <c r="EM55" i="5"/>
  <c r="DJ55" i="5"/>
  <c r="DI55" i="5"/>
  <c r="AJ59" i="5"/>
  <c r="AN58" i="5"/>
  <c r="AK58" i="5"/>
  <c r="X137" i="5"/>
  <c r="AJ145" i="5"/>
  <c r="X248" i="5"/>
  <c r="AJ255" i="5"/>
  <c r="AD137" i="20" l="1"/>
  <c r="CQ249" i="21"/>
  <c r="DS249" i="21"/>
  <c r="DF141" i="21"/>
  <c r="FL141" i="21"/>
  <c r="CQ141" i="21"/>
  <c r="AU59" i="21"/>
  <c r="AR59" i="21"/>
  <c r="FM52" i="21"/>
  <c r="DP251" i="21"/>
  <c r="DO251" i="21"/>
  <c r="AW58" i="21"/>
  <c r="DQ142" i="21"/>
  <c r="EX141" i="21"/>
  <c r="DS141" i="21" s="1"/>
  <c r="DU59" i="21"/>
  <c r="AV59" i="21"/>
  <c r="AW59" i="21" s="1"/>
  <c r="DN58" i="21"/>
  <c r="EM58" i="21"/>
  <c r="EP58" i="21" s="1"/>
  <c r="EQ58" i="21" s="1"/>
  <c r="ES57" i="21"/>
  <c r="ER57" i="21"/>
  <c r="DQ250" i="21"/>
  <c r="DR250" i="21" s="1"/>
  <c r="DP143" i="21"/>
  <c r="DO143" i="21"/>
  <c r="DP57" i="21"/>
  <c r="DO57" i="21"/>
  <c r="DS139" i="21"/>
  <c r="CQ139" i="21"/>
  <c r="EW250" i="21"/>
  <c r="EX250" i="21" s="1"/>
  <c r="AU253" i="21"/>
  <c r="AR253" i="21"/>
  <c r="DS140" i="21"/>
  <c r="CQ140" i="21"/>
  <c r="ES143" i="21"/>
  <c r="ER143" i="21"/>
  <c r="FB55" i="21"/>
  <c r="ED55" i="21" s="1"/>
  <c r="CR55" i="21" s="1"/>
  <c r="EM144" i="21"/>
  <c r="EP144" i="21" s="1"/>
  <c r="EQ144" i="21" s="1"/>
  <c r="DN144" i="21"/>
  <c r="DU253" i="21"/>
  <c r="AV253" i="21"/>
  <c r="AW253" i="21" s="1"/>
  <c r="AP255" i="21"/>
  <c r="AT254" i="21"/>
  <c r="AQ254" i="21"/>
  <c r="ES251" i="21"/>
  <c r="ER251" i="21"/>
  <c r="AU145" i="21"/>
  <c r="AR145" i="21"/>
  <c r="EX56" i="21"/>
  <c r="EW56" i="21"/>
  <c r="FB56" i="21" s="1"/>
  <c r="ED56" i="21" s="1"/>
  <c r="CR56" i="21" s="1"/>
  <c r="FK248" i="21"/>
  <c r="FM248" i="21" s="1"/>
  <c r="AD248" i="21"/>
  <c r="CY248" i="21"/>
  <c r="DQ56" i="21"/>
  <c r="CQ53" i="21"/>
  <c r="DS53" i="21"/>
  <c r="DN252" i="21"/>
  <c r="EM252" i="21"/>
  <c r="EP252" i="21" s="1"/>
  <c r="EQ252" i="21" s="1"/>
  <c r="EW142" i="21"/>
  <c r="EX142" i="21" s="1"/>
  <c r="AP61" i="21"/>
  <c r="AT60" i="21"/>
  <c r="AQ60" i="21"/>
  <c r="FL54" i="21"/>
  <c r="CZ54" i="21"/>
  <c r="DU145" i="21"/>
  <c r="AV145" i="21"/>
  <c r="AW145" i="21" s="1"/>
  <c r="AT146" i="21"/>
  <c r="AP147" i="21"/>
  <c r="AQ146" i="21"/>
  <c r="DR54" i="21"/>
  <c r="CY137" i="20"/>
  <c r="FL53" i="20"/>
  <c r="FB140" i="20"/>
  <c r="ED140" i="20" s="1"/>
  <c r="CR140" i="20" s="1"/>
  <c r="FL140" i="20" s="1"/>
  <c r="DR53" i="20"/>
  <c r="DS53" i="20" s="1"/>
  <c r="DS138" i="20"/>
  <c r="CQ138" i="20"/>
  <c r="EX54" i="20"/>
  <c r="DR139" i="20"/>
  <c r="EV140" i="5"/>
  <c r="DX140" i="5" s="1"/>
  <c r="CL140" i="5" s="1"/>
  <c r="CZ140" i="5" s="1"/>
  <c r="ED54" i="20"/>
  <c r="CR54" i="20" s="1"/>
  <c r="DR54" i="20"/>
  <c r="DP56" i="20"/>
  <c r="DO56" i="20"/>
  <c r="DN57" i="20"/>
  <c r="EM57" i="20"/>
  <c r="EP57" i="20" s="1"/>
  <c r="EQ57" i="20" s="1"/>
  <c r="EW55" i="20"/>
  <c r="EX55" i="20" s="1"/>
  <c r="AU251" i="20"/>
  <c r="AR251" i="20"/>
  <c r="DP249" i="20"/>
  <c r="DO249" i="20"/>
  <c r="AU144" i="20"/>
  <c r="AR144" i="20"/>
  <c r="CY52" i="20"/>
  <c r="FK52" i="20"/>
  <c r="DU251" i="20"/>
  <c r="AV251" i="20"/>
  <c r="AW251" i="20" s="1"/>
  <c r="DU144" i="20"/>
  <c r="AV144" i="20"/>
  <c r="AW144" i="20" s="1"/>
  <c r="FK246" i="20"/>
  <c r="FM246" i="20" s="1"/>
  <c r="AD246" i="20"/>
  <c r="DE246" i="20"/>
  <c r="DQ141" i="20"/>
  <c r="DN143" i="20"/>
  <c r="EM143" i="20"/>
  <c r="EP143" i="20" s="1"/>
  <c r="EQ143" i="20" s="1"/>
  <c r="AP253" i="20"/>
  <c r="AT252" i="20"/>
  <c r="AQ252" i="20"/>
  <c r="DN250" i="20"/>
  <c r="EM250" i="20"/>
  <c r="EP250" i="20" s="1"/>
  <c r="EQ250" i="20" s="1"/>
  <c r="AT145" i="20"/>
  <c r="AP146" i="20"/>
  <c r="AQ145" i="20"/>
  <c r="ES56" i="20"/>
  <c r="ER56" i="20"/>
  <c r="ER249" i="20"/>
  <c r="ES249" i="20"/>
  <c r="DQ55" i="20"/>
  <c r="EW248" i="20"/>
  <c r="EX248" i="20" s="1"/>
  <c r="DQ248" i="20"/>
  <c r="DR248" i="20" s="1"/>
  <c r="DS247" i="20"/>
  <c r="CQ247" i="20"/>
  <c r="EW141" i="20"/>
  <c r="FB141" i="20" s="1"/>
  <c r="ED141" i="20" s="1"/>
  <c r="CR141" i="20" s="1"/>
  <c r="AW57" i="20"/>
  <c r="DP142" i="20"/>
  <c r="DO142" i="20"/>
  <c r="AR58" i="20"/>
  <c r="AU58" i="20"/>
  <c r="DR140" i="20"/>
  <c r="AP60" i="20"/>
  <c r="AT59" i="20"/>
  <c r="AQ59" i="20"/>
  <c r="DU58" i="20"/>
  <c r="AV58" i="20"/>
  <c r="AW58" i="20" s="1"/>
  <c r="ES142" i="20"/>
  <c r="ER142" i="20"/>
  <c r="DM250" i="5"/>
  <c r="CK250" i="5"/>
  <c r="DO58" i="5"/>
  <c r="AP58" i="5"/>
  <c r="AQ58" i="5" s="1"/>
  <c r="EQ55" i="5"/>
  <c r="EV55" i="5" s="1"/>
  <c r="DX55" i="5" s="1"/>
  <c r="CL55" i="5" s="1"/>
  <c r="AJ60" i="5"/>
  <c r="AN59" i="5"/>
  <c r="AK59" i="5"/>
  <c r="FE249" i="5"/>
  <c r="FG249" i="5" s="1"/>
  <c r="CY249" i="5"/>
  <c r="CK138" i="5"/>
  <c r="DM138" i="5"/>
  <c r="AL144" i="5"/>
  <c r="AO144" i="5"/>
  <c r="CT53" i="5"/>
  <c r="FF53" i="5"/>
  <c r="EQ251" i="5"/>
  <c r="ER251" i="5" s="1"/>
  <c r="DO144" i="5"/>
  <c r="AP144" i="5"/>
  <c r="AQ144" i="5" s="1"/>
  <c r="DK251" i="5"/>
  <c r="DL251" i="5" s="1"/>
  <c r="EL56" i="5"/>
  <c r="EM56" i="5"/>
  <c r="EM252" i="5"/>
  <c r="EL252" i="5"/>
  <c r="AO58" i="5"/>
  <c r="AL58" i="5"/>
  <c r="EV54" i="5"/>
  <c r="DX54" i="5" s="1"/>
  <c r="CL54" i="5" s="1"/>
  <c r="FE137" i="5"/>
  <c r="FG137" i="5" s="1"/>
  <c r="CS137" i="5"/>
  <c r="DJ56" i="5"/>
  <c r="DI56" i="5"/>
  <c r="DI252" i="5"/>
  <c r="DJ252" i="5"/>
  <c r="AN255" i="5"/>
  <c r="AK255" i="5"/>
  <c r="DK55" i="5"/>
  <c r="DH143" i="5"/>
  <c r="EG143" i="5"/>
  <c r="EJ143" i="5" s="1"/>
  <c r="EK143" i="5" s="1"/>
  <c r="DK141" i="5"/>
  <c r="EQ141" i="5"/>
  <c r="ER141" i="5" s="1"/>
  <c r="DM139" i="5"/>
  <c r="CK139" i="5"/>
  <c r="EL142" i="5"/>
  <c r="EM142" i="5"/>
  <c r="AL254" i="5"/>
  <c r="AO254" i="5"/>
  <c r="CT139" i="5"/>
  <c r="FF139" i="5"/>
  <c r="DH253" i="5"/>
  <c r="EG253" i="5"/>
  <c r="EJ253" i="5" s="1"/>
  <c r="EK253" i="5" s="1"/>
  <c r="AN145" i="5"/>
  <c r="AK145" i="5"/>
  <c r="DH57" i="5"/>
  <c r="EG57" i="5"/>
  <c r="EJ57" i="5" s="1"/>
  <c r="EK57" i="5" s="1"/>
  <c r="DI142" i="5"/>
  <c r="DJ142" i="5"/>
  <c r="DO254" i="5"/>
  <c r="AP254" i="5"/>
  <c r="AQ254" i="5" s="1"/>
  <c r="DL53" i="5"/>
  <c r="AJ146" i="5"/>
  <c r="X249" i="5"/>
  <c r="AJ256" i="5"/>
  <c r="DS250" i="21" l="1"/>
  <c r="CQ250" i="21"/>
  <c r="FL56" i="21"/>
  <c r="CZ56" i="21"/>
  <c r="DR56" i="21"/>
  <c r="AR146" i="21"/>
  <c r="AU146" i="21"/>
  <c r="DQ57" i="21"/>
  <c r="AU254" i="21"/>
  <c r="AR254" i="21"/>
  <c r="FB142" i="21"/>
  <c r="ED142" i="21" s="1"/>
  <c r="CR142" i="21" s="1"/>
  <c r="CZ55" i="21"/>
  <c r="FL55" i="21"/>
  <c r="ES252" i="21"/>
  <c r="ER252" i="21"/>
  <c r="EW143" i="21"/>
  <c r="EX143" i="21" s="1"/>
  <c r="EX251" i="21"/>
  <c r="EW251" i="21"/>
  <c r="FK140" i="21"/>
  <c r="FM140" i="21" s="1"/>
  <c r="AD140" i="21"/>
  <c r="DE140" i="21"/>
  <c r="DN253" i="21"/>
  <c r="EM253" i="21"/>
  <c r="EP253" i="21" s="1"/>
  <c r="EQ253" i="21" s="1"/>
  <c r="CY53" i="21"/>
  <c r="FK53" i="21"/>
  <c r="ES58" i="21"/>
  <c r="ER58" i="21"/>
  <c r="AD141" i="21"/>
  <c r="DE141" i="21"/>
  <c r="FK141" i="21"/>
  <c r="FM141" i="21" s="1"/>
  <c r="DU60" i="21"/>
  <c r="AV60" i="21"/>
  <c r="AW60" i="21" s="1"/>
  <c r="DP144" i="21"/>
  <c r="DO144" i="21"/>
  <c r="DO252" i="21"/>
  <c r="DP252" i="21"/>
  <c r="AP148" i="21"/>
  <c r="AT147" i="21"/>
  <c r="AQ147" i="21"/>
  <c r="DU254" i="21"/>
  <c r="AV254" i="21"/>
  <c r="AW254" i="21" s="1"/>
  <c r="EW57" i="21"/>
  <c r="FB57" i="21" s="1"/>
  <c r="DO58" i="21"/>
  <c r="DP58" i="21"/>
  <c r="DN59" i="21"/>
  <c r="EM59" i="21"/>
  <c r="EP59" i="21" s="1"/>
  <c r="EQ59" i="21" s="1"/>
  <c r="DU146" i="21"/>
  <c r="AV146" i="21"/>
  <c r="AW146" i="21" s="1"/>
  <c r="AP256" i="21"/>
  <c r="AT255" i="21"/>
  <c r="AQ255" i="21"/>
  <c r="AP62" i="21"/>
  <c r="AT61" i="21"/>
  <c r="AQ61" i="21"/>
  <c r="CQ54" i="21"/>
  <c r="DS54" i="21"/>
  <c r="DR55" i="21"/>
  <c r="DQ251" i="21"/>
  <c r="DR251" i="21" s="1"/>
  <c r="DQ143" i="21"/>
  <c r="ES144" i="21"/>
  <c r="ER144" i="21"/>
  <c r="CY249" i="21"/>
  <c r="AD249" i="21"/>
  <c r="FK249" i="21"/>
  <c r="FM249" i="21" s="1"/>
  <c r="DN145" i="21"/>
  <c r="EM145" i="21"/>
  <c r="EP145" i="21" s="1"/>
  <c r="EQ145" i="21" s="1"/>
  <c r="AU60" i="21"/>
  <c r="AR60" i="21"/>
  <c r="FK139" i="21"/>
  <c r="FM139" i="21" s="1"/>
  <c r="AD139" i="21"/>
  <c r="DE139" i="21"/>
  <c r="DF140" i="20"/>
  <c r="EX141" i="20"/>
  <c r="CQ53" i="20"/>
  <c r="DS139" i="20"/>
  <c r="CQ139" i="20"/>
  <c r="CY138" i="20"/>
  <c r="AD138" i="20"/>
  <c r="FK138" i="20"/>
  <c r="FM138" i="20" s="1"/>
  <c r="DL55" i="5"/>
  <c r="CK55" i="5" s="1"/>
  <c r="ER55" i="5"/>
  <c r="EV141" i="5"/>
  <c r="DX141" i="5" s="1"/>
  <c r="CL141" i="5" s="1"/>
  <c r="FF141" i="5" s="1"/>
  <c r="FF140" i="5"/>
  <c r="DL54" i="5"/>
  <c r="CK54" i="5" s="1"/>
  <c r="DL140" i="5"/>
  <c r="DS248" i="20"/>
  <c r="CQ248" i="20"/>
  <c r="DR141" i="20"/>
  <c r="FL141" i="20"/>
  <c r="DF141" i="20"/>
  <c r="EW142" i="20"/>
  <c r="FB142" i="20" s="1"/>
  <c r="ED142" i="20" s="1"/>
  <c r="CR142" i="20" s="1"/>
  <c r="DU252" i="20"/>
  <c r="AV252" i="20"/>
  <c r="AW252" i="20" s="1"/>
  <c r="DQ249" i="20"/>
  <c r="DR249" i="20" s="1"/>
  <c r="DP57" i="20"/>
  <c r="DO57" i="20"/>
  <c r="AP254" i="20"/>
  <c r="AT253" i="20"/>
  <c r="AQ253" i="20"/>
  <c r="AU145" i="20"/>
  <c r="AR145" i="20"/>
  <c r="ES143" i="20"/>
  <c r="ER143" i="20"/>
  <c r="DQ56" i="20"/>
  <c r="DN58" i="20"/>
  <c r="EM58" i="20"/>
  <c r="EP58" i="20" s="1"/>
  <c r="EQ58" i="20" s="1"/>
  <c r="CQ140" i="20"/>
  <c r="DS140" i="20"/>
  <c r="DQ142" i="20"/>
  <c r="AD247" i="20"/>
  <c r="DE247" i="20"/>
  <c r="FK247" i="20"/>
  <c r="FM247" i="20" s="1"/>
  <c r="AP147" i="20"/>
  <c r="AT146" i="20"/>
  <c r="AQ146" i="20"/>
  <c r="DP143" i="20"/>
  <c r="DO143" i="20"/>
  <c r="DN144" i="20"/>
  <c r="EM144" i="20"/>
  <c r="EP144" i="20" s="1"/>
  <c r="EQ144" i="20" s="1"/>
  <c r="FM52" i="20"/>
  <c r="DU145" i="20"/>
  <c r="AV145" i="20"/>
  <c r="AW145" i="20" s="1"/>
  <c r="DU59" i="20"/>
  <c r="AV59" i="20"/>
  <c r="EW249" i="20"/>
  <c r="EX249" i="20" s="1"/>
  <c r="ER250" i="20"/>
  <c r="ES250" i="20"/>
  <c r="DN251" i="20"/>
  <c r="EM251" i="20"/>
  <c r="EP251" i="20" s="1"/>
  <c r="EQ251" i="20" s="1"/>
  <c r="FB55" i="20"/>
  <c r="ED55" i="20" s="1"/>
  <c r="CR55" i="20" s="1"/>
  <c r="AP61" i="20"/>
  <c r="AT60" i="20"/>
  <c r="AQ60" i="20"/>
  <c r="DO250" i="20"/>
  <c r="DP250" i="20"/>
  <c r="DS54" i="20"/>
  <c r="CQ54" i="20"/>
  <c r="AR59" i="20"/>
  <c r="AU59" i="20"/>
  <c r="EW56" i="20"/>
  <c r="EX56" i="20" s="1"/>
  <c r="AU252" i="20"/>
  <c r="AR252" i="20"/>
  <c r="ES57" i="20"/>
  <c r="ER57" i="20"/>
  <c r="FL54" i="20"/>
  <c r="CZ54" i="20"/>
  <c r="DM251" i="5"/>
  <c r="CK251" i="5"/>
  <c r="DM55" i="5"/>
  <c r="CT55" i="5"/>
  <c r="FF55" i="5"/>
  <c r="DK142" i="5"/>
  <c r="CT10" i="5"/>
  <c r="CT11" i="5" s="1"/>
  <c r="CT13" i="5"/>
  <c r="CT12" i="5"/>
  <c r="AN256" i="5"/>
  <c r="AK256" i="5"/>
  <c r="CS138" i="5"/>
  <c r="FE138" i="5"/>
  <c r="FG138" i="5" s="1"/>
  <c r="X138" i="5"/>
  <c r="EL57" i="5"/>
  <c r="EM57" i="5"/>
  <c r="CZ141" i="5"/>
  <c r="AL255" i="5"/>
  <c r="AO255" i="5"/>
  <c r="CT54" i="5"/>
  <c r="FF54" i="5"/>
  <c r="DH58" i="5"/>
  <c r="EG58" i="5"/>
  <c r="EJ58" i="5" s="1"/>
  <c r="EK58" i="5" s="1"/>
  <c r="EQ56" i="5"/>
  <c r="EV56" i="5" s="1"/>
  <c r="DJ57" i="5"/>
  <c r="DI57" i="5"/>
  <c r="AL145" i="5"/>
  <c r="AO145" i="5"/>
  <c r="DO59" i="5"/>
  <c r="AP59" i="5"/>
  <c r="CK53" i="5"/>
  <c r="DM53" i="5"/>
  <c r="DO145" i="5"/>
  <c r="AP145" i="5"/>
  <c r="AQ145" i="5" s="1"/>
  <c r="DK252" i="5"/>
  <c r="DL252" i="5" s="1"/>
  <c r="EQ252" i="5"/>
  <c r="ER252" i="5" s="1"/>
  <c r="DH144" i="5"/>
  <c r="EG144" i="5"/>
  <c r="EJ144" i="5" s="1"/>
  <c r="EK144" i="5" s="1"/>
  <c r="AJ61" i="5"/>
  <c r="AN60" i="5"/>
  <c r="AK60" i="5"/>
  <c r="DO255" i="5"/>
  <c r="AP255" i="5"/>
  <c r="AQ255" i="5" s="1"/>
  <c r="EL253" i="5"/>
  <c r="EM253" i="5"/>
  <c r="EQ142" i="5"/>
  <c r="ER142" i="5" s="1"/>
  <c r="EM143" i="5"/>
  <c r="EL143" i="5"/>
  <c r="DK56" i="5"/>
  <c r="FE250" i="5"/>
  <c r="FG250" i="5" s="1"/>
  <c r="CY250" i="5"/>
  <c r="AN146" i="5"/>
  <c r="AK146" i="5"/>
  <c r="AL59" i="5"/>
  <c r="AO59" i="5"/>
  <c r="DH254" i="5"/>
  <c r="EG254" i="5"/>
  <c r="EJ254" i="5" s="1"/>
  <c r="EK254" i="5" s="1"/>
  <c r="DI253" i="5"/>
  <c r="DJ253" i="5"/>
  <c r="CS139" i="5"/>
  <c r="FE139" i="5"/>
  <c r="FG139" i="5" s="1"/>
  <c r="X139" i="5"/>
  <c r="DI143" i="5"/>
  <c r="DJ143" i="5"/>
  <c r="AJ147" i="5"/>
  <c r="X250" i="5"/>
  <c r="AJ257" i="5"/>
  <c r="DS251" i="21" l="1"/>
  <c r="CQ251" i="21"/>
  <c r="ED57" i="21"/>
  <c r="CR57" i="21" s="1"/>
  <c r="DR57" i="21"/>
  <c r="AU61" i="21"/>
  <c r="AR61" i="21"/>
  <c r="FL142" i="21"/>
  <c r="DF142" i="21"/>
  <c r="DP145" i="21"/>
  <c r="DO145" i="21"/>
  <c r="ES59" i="21"/>
  <c r="ER59" i="21"/>
  <c r="DN60" i="21"/>
  <c r="EM60" i="21"/>
  <c r="EP60" i="21" s="1"/>
  <c r="EQ60" i="21" s="1"/>
  <c r="AT256" i="21"/>
  <c r="AP257" i="21"/>
  <c r="AQ256" i="21"/>
  <c r="DP59" i="21"/>
  <c r="DO59" i="21"/>
  <c r="DN146" i="21"/>
  <c r="EM146" i="21"/>
  <c r="EP146" i="21" s="1"/>
  <c r="EQ146" i="21" s="1"/>
  <c r="CY17" i="21"/>
  <c r="CY14" i="21"/>
  <c r="CY15" i="21" s="1"/>
  <c r="CY16" i="21"/>
  <c r="DQ58" i="21"/>
  <c r="DP253" i="21"/>
  <c r="DO253" i="21"/>
  <c r="EW58" i="21"/>
  <c r="FB58" i="21" s="1"/>
  <c r="FB143" i="21"/>
  <c r="ED143" i="21" s="1"/>
  <c r="CR143" i="21" s="1"/>
  <c r="DQ252" i="21"/>
  <c r="DR252" i="21" s="1"/>
  <c r="CY54" i="21"/>
  <c r="FK54" i="21"/>
  <c r="FM54" i="21" s="1"/>
  <c r="DU61" i="21"/>
  <c r="AV61" i="21"/>
  <c r="AW61" i="21" s="1"/>
  <c r="AT62" i="21"/>
  <c r="AP63" i="21"/>
  <c r="AQ62" i="21"/>
  <c r="AR255" i="21"/>
  <c r="AU255" i="21"/>
  <c r="EW144" i="21"/>
  <c r="FB144" i="21" s="1"/>
  <c r="EX57" i="21"/>
  <c r="DS56" i="21"/>
  <c r="CQ56" i="21"/>
  <c r="DU255" i="21"/>
  <c r="AV255" i="21"/>
  <c r="AW255" i="21" s="1"/>
  <c r="ER145" i="21"/>
  <c r="ES145" i="21"/>
  <c r="EW252" i="21"/>
  <c r="EX252" i="21" s="1"/>
  <c r="DQ144" i="21"/>
  <c r="DN254" i="21"/>
  <c r="EM254" i="21"/>
  <c r="EP254" i="21" s="1"/>
  <c r="EQ254" i="21" s="1"/>
  <c r="AU147" i="21"/>
  <c r="AR147" i="21"/>
  <c r="FM53" i="21"/>
  <c r="DE250" i="21"/>
  <c r="AD250" i="21"/>
  <c r="FK250" i="21"/>
  <c r="FM250" i="21" s="1"/>
  <c r="DU147" i="21"/>
  <c r="AV147" i="21"/>
  <c r="AW147" i="21" s="1"/>
  <c r="DS55" i="21"/>
  <c r="CQ55" i="21"/>
  <c r="AP149" i="21"/>
  <c r="AT148" i="21"/>
  <c r="AQ148" i="21"/>
  <c r="ES253" i="21"/>
  <c r="ER253" i="21"/>
  <c r="DR142" i="21"/>
  <c r="CY53" i="20"/>
  <c r="FK53" i="20"/>
  <c r="FM53" i="20" s="1"/>
  <c r="FB56" i="20"/>
  <c r="ED56" i="20" s="1"/>
  <c r="CR56" i="20" s="1"/>
  <c r="FL56" i="20" s="1"/>
  <c r="CY13" i="20"/>
  <c r="CY10" i="20"/>
  <c r="CY11" i="20" s="1"/>
  <c r="CY12" i="20"/>
  <c r="EX142" i="20"/>
  <c r="AD139" i="20"/>
  <c r="FK139" i="20"/>
  <c r="FM139" i="20" s="1"/>
  <c r="DE139" i="20"/>
  <c r="DM54" i="5"/>
  <c r="DL141" i="5"/>
  <c r="CK141" i="5" s="1"/>
  <c r="DM140" i="5"/>
  <c r="CK140" i="5"/>
  <c r="ER56" i="5"/>
  <c r="DM141" i="5"/>
  <c r="DS249" i="20"/>
  <c r="CQ249" i="20"/>
  <c r="AU60" i="20"/>
  <c r="AR60" i="20"/>
  <c r="DU60" i="20"/>
  <c r="AV60" i="20"/>
  <c r="AW60" i="20" s="1"/>
  <c r="DR142" i="20"/>
  <c r="AT254" i="20"/>
  <c r="AP255" i="20"/>
  <c r="AQ254" i="20"/>
  <c r="AT61" i="20"/>
  <c r="AP62" i="20"/>
  <c r="AQ61" i="20"/>
  <c r="AU146" i="20"/>
  <c r="AR146" i="20"/>
  <c r="FK54" i="20"/>
  <c r="CY54" i="20"/>
  <c r="CZ55" i="20"/>
  <c r="FL55" i="20"/>
  <c r="DN59" i="20"/>
  <c r="EM59" i="20"/>
  <c r="EP59" i="20" s="1"/>
  <c r="EQ59" i="20" s="1"/>
  <c r="DN145" i="20"/>
  <c r="EM145" i="20"/>
  <c r="EP145" i="20" s="1"/>
  <c r="EQ145" i="20" s="1"/>
  <c r="DU146" i="20"/>
  <c r="AV146" i="20"/>
  <c r="AW146" i="20" s="1"/>
  <c r="FK140" i="20"/>
  <c r="FM140" i="20" s="1"/>
  <c r="AD140" i="20"/>
  <c r="DE140" i="20"/>
  <c r="FL142" i="20"/>
  <c r="DF142" i="20"/>
  <c r="ES251" i="20"/>
  <c r="ER251" i="20"/>
  <c r="AT147" i="20"/>
  <c r="AP148" i="20"/>
  <c r="AQ147" i="20"/>
  <c r="ES58" i="20"/>
  <c r="ER58" i="20"/>
  <c r="DQ57" i="20"/>
  <c r="DO251" i="20"/>
  <c r="DP251" i="20"/>
  <c r="DO58" i="20"/>
  <c r="DP58" i="20"/>
  <c r="DR55" i="20"/>
  <c r="EW57" i="20"/>
  <c r="FB57" i="20" s="1"/>
  <c r="ED57" i="20" s="1"/>
  <c r="CR57" i="20" s="1"/>
  <c r="AW59" i="20"/>
  <c r="DQ250" i="20"/>
  <c r="DR250" i="20" s="1"/>
  <c r="ES144" i="20"/>
  <c r="ER144" i="20"/>
  <c r="DS141" i="20"/>
  <c r="CQ141" i="20"/>
  <c r="EW250" i="20"/>
  <c r="EX250" i="20" s="1"/>
  <c r="DO144" i="20"/>
  <c r="DP144" i="20"/>
  <c r="AU253" i="20"/>
  <c r="AR253" i="20"/>
  <c r="DN252" i="20"/>
  <c r="EM252" i="20"/>
  <c r="EP252" i="20" s="1"/>
  <c r="EQ252" i="20" s="1"/>
  <c r="CY248" i="20"/>
  <c r="FK248" i="20"/>
  <c r="FM248" i="20" s="1"/>
  <c r="AD248" i="20"/>
  <c r="DQ143" i="20"/>
  <c r="EW143" i="20"/>
  <c r="FB143" i="20" s="1"/>
  <c r="ED143" i="20" s="1"/>
  <c r="CR143" i="20" s="1"/>
  <c r="DU253" i="20"/>
  <c r="AV253" i="20"/>
  <c r="AW253" i="20" s="1"/>
  <c r="DX56" i="5"/>
  <c r="CL56" i="5" s="1"/>
  <c r="DL56" i="5"/>
  <c r="EL144" i="5"/>
  <c r="EM144" i="5"/>
  <c r="DI58" i="5"/>
  <c r="DJ58" i="5"/>
  <c r="AL146" i="5"/>
  <c r="AO146" i="5"/>
  <c r="DH255" i="5"/>
  <c r="EG255" i="5"/>
  <c r="EJ255" i="5" s="1"/>
  <c r="EK255" i="5" s="1"/>
  <c r="DJ144" i="5"/>
  <c r="DI144" i="5"/>
  <c r="FE53" i="5"/>
  <c r="CS53" i="5"/>
  <c r="DH59" i="5"/>
  <c r="EG59" i="5"/>
  <c r="EJ59" i="5" s="1"/>
  <c r="EK59" i="5" s="1"/>
  <c r="AN257" i="5"/>
  <c r="AK257" i="5"/>
  <c r="CS12" i="5"/>
  <c r="CS10" i="5"/>
  <c r="CS11" i="5" s="1"/>
  <c r="CS13" i="5"/>
  <c r="DO146" i="5"/>
  <c r="AP146" i="5"/>
  <c r="AQ146" i="5" s="1"/>
  <c r="DK57" i="5"/>
  <c r="CS55" i="5"/>
  <c r="FE55" i="5"/>
  <c r="FG55" i="5" s="1"/>
  <c r="DO256" i="5"/>
  <c r="AP256" i="5"/>
  <c r="AQ256" i="5" s="1"/>
  <c r="EV142" i="5"/>
  <c r="DX142" i="5" s="1"/>
  <c r="CL142" i="5" s="1"/>
  <c r="EQ57" i="5"/>
  <c r="ER57" i="5" s="1"/>
  <c r="AQ59" i="5"/>
  <c r="AN147" i="5"/>
  <c r="AK147" i="5"/>
  <c r="DK253" i="5"/>
  <c r="DL253" i="5" s="1"/>
  <c r="AL60" i="5"/>
  <c r="AO60" i="5"/>
  <c r="EL254" i="5"/>
  <c r="EM254" i="5"/>
  <c r="DM252" i="5"/>
  <c r="CK252" i="5"/>
  <c r="CY141" i="5"/>
  <c r="FE141" i="5"/>
  <c r="FG141" i="5" s="1"/>
  <c r="DO60" i="5"/>
  <c r="AP60" i="5"/>
  <c r="AQ60" i="5" s="1"/>
  <c r="DJ254" i="5"/>
  <c r="DI254" i="5"/>
  <c r="EQ253" i="5"/>
  <c r="ER253" i="5" s="1"/>
  <c r="AJ62" i="5"/>
  <c r="AN61" i="5"/>
  <c r="AK61" i="5"/>
  <c r="FE251" i="5"/>
  <c r="FG251" i="5" s="1"/>
  <c r="CY251" i="5"/>
  <c r="EQ143" i="5"/>
  <c r="EV143" i="5" s="1"/>
  <c r="DK143" i="5"/>
  <c r="DH145" i="5"/>
  <c r="EG145" i="5"/>
  <c r="EJ145" i="5" s="1"/>
  <c r="EK145" i="5" s="1"/>
  <c r="FE54" i="5"/>
  <c r="FG54" i="5" s="1"/>
  <c r="CS54" i="5"/>
  <c r="EL58" i="5"/>
  <c r="EM58" i="5"/>
  <c r="AL256" i="5"/>
  <c r="AO256" i="5"/>
  <c r="AJ148" i="5"/>
  <c r="AJ258" i="5"/>
  <c r="X251" i="5"/>
  <c r="DS252" i="21" l="1"/>
  <c r="CQ252" i="21"/>
  <c r="ED144" i="21"/>
  <c r="CR144" i="21" s="1"/>
  <c r="DR144" i="21"/>
  <c r="ED58" i="21"/>
  <c r="CR58" i="21" s="1"/>
  <c r="DR58" i="21"/>
  <c r="DU256" i="21"/>
  <c r="AV256" i="21"/>
  <c r="AW256" i="21" s="1"/>
  <c r="ES60" i="21"/>
  <c r="ER60" i="21"/>
  <c r="CQ142" i="21"/>
  <c r="DS142" i="21"/>
  <c r="AU148" i="21"/>
  <c r="AR148" i="21"/>
  <c r="CY56" i="21"/>
  <c r="FK56" i="21"/>
  <c r="FM56" i="21" s="1"/>
  <c r="AU256" i="21"/>
  <c r="AR256" i="21"/>
  <c r="FB59" i="21"/>
  <c r="ED59" i="21" s="1"/>
  <c r="CR59" i="21" s="1"/>
  <c r="EW59" i="21"/>
  <c r="EX59" i="21" s="1"/>
  <c r="FK55" i="21"/>
  <c r="CY55" i="21"/>
  <c r="AP258" i="21"/>
  <c r="AT257" i="21"/>
  <c r="AQ257" i="21"/>
  <c r="EX58" i="21"/>
  <c r="DQ145" i="21"/>
  <c r="DR143" i="21"/>
  <c r="EX144" i="21"/>
  <c r="EW145" i="21"/>
  <c r="EX145" i="21" s="1"/>
  <c r="ES146" i="21"/>
  <c r="ER146" i="21"/>
  <c r="CQ57" i="21"/>
  <c r="DS57" i="21"/>
  <c r="DN61" i="21"/>
  <c r="EM61" i="21"/>
  <c r="EP61" i="21" s="1"/>
  <c r="EQ61" i="21" s="1"/>
  <c r="DP146" i="21"/>
  <c r="DO146" i="21"/>
  <c r="CZ57" i="21"/>
  <c r="FL57" i="21"/>
  <c r="DN255" i="21"/>
  <c r="EM255" i="21"/>
  <c r="EP255" i="21" s="1"/>
  <c r="EQ255" i="21" s="1"/>
  <c r="DQ253" i="21"/>
  <c r="DR253" i="21" s="1"/>
  <c r="ER254" i="21"/>
  <c r="ES254" i="21"/>
  <c r="FK251" i="21"/>
  <c r="FM251" i="21" s="1"/>
  <c r="AD251" i="21"/>
  <c r="DE251" i="21"/>
  <c r="DE17" i="21"/>
  <c r="DE16" i="21"/>
  <c r="DE14" i="21"/>
  <c r="DE15" i="21" s="1"/>
  <c r="DP254" i="21"/>
  <c r="DO254" i="21"/>
  <c r="AT63" i="21"/>
  <c r="AP64" i="21"/>
  <c r="AQ63" i="21"/>
  <c r="DQ59" i="21"/>
  <c r="DR59" i="21" s="1"/>
  <c r="DN147" i="21"/>
  <c r="EM147" i="21"/>
  <c r="EP147" i="21" s="1"/>
  <c r="EQ147" i="21" s="1"/>
  <c r="DO60" i="21"/>
  <c r="DP60" i="21"/>
  <c r="DF143" i="21"/>
  <c r="FL143" i="21"/>
  <c r="EW253" i="21"/>
  <c r="EX253" i="21" s="1"/>
  <c r="DU148" i="21"/>
  <c r="AV148" i="21"/>
  <c r="AW148" i="21" s="1"/>
  <c r="AT149" i="21"/>
  <c r="AP150" i="21"/>
  <c r="AQ149" i="21"/>
  <c r="AR62" i="21"/>
  <c r="AU62" i="21"/>
  <c r="DU62" i="21"/>
  <c r="AV62" i="21"/>
  <c r="AW62" i="21" s="1"/>
  <c r="CZ56" i="20"/>
  <c r="DR56" i="20"/>
  <c r="EV57" i="5"/>
  <c r="DX57" i="5" s="1"/>
  <c r="CL57" i="5" s="1"/>
  <c r="CT57" i="5" s="1"/>
  <c r="DX143" i="5"/>
  <c r="CL143" i="5" s="1"/>
  <c r="FF143" i="5" s="1"/>
  <c r="DL143" i="5"/>
  <c r="ER143" i="5"/>
  <c r="X140" i="5"/>
  <c r="CY140" i="5"/>
  <c r="FE140" i="5"/>
  <c r="FG140" i="5" s="1"/>
  <c r="CZ57" i="20"/>
  <c r="FL57" i="20"/>
  <c r="DS250" i="20"/>
  <c r="CQ250" i="20"/>
  <c r="DR57" i="20"/>
  <c r="DF143" i="20"/>
  <c r="FL143" i="20"/>
  <c r="DR143" i="20"/>
  <c r="AR147" i="20"/>
  <c r="AU147" i="20"/>
  <c r="ES145" i="20"/>
  <c r="ER145" i="20"/>
  <c r="FM54" i="20"/>
  <c r="AU254" i="20"/>
  <c r="AR254" i="20"/>
  <c r="AT255" i="20"/>
  <c r="AP256" i="20"/>
  <c r="AQ255" i="20"/>
  <c r="DE141" i="20"/>
  <c r="FK141" i="20"/>
  <c r="FM141" i="20" s="1"/>
  <c r="AD141" i="20"/>
  <c r="ER59" i="20"/>
  <c r="ES59" i="20"/>
  <c r="DU254" i="20"/>
  <c r="AV254" i="20"/>
  <c r="AW254" i="20" s="1"/>
  <c r="AP149" i="20"/>
  <c r="AT148" i="20"/>
  <c r="AQ148" i="20"/>
  <c r="EX143" i="20"/>
  <c r="DQ58" i="20"/>
  <c r="DO59" i="20"/>
  <c r="DP59" i="20"/>
  <c r="CQ142" i="20"/>
  <c r="DS142" i="20"/>
  <c r="DU147" i="20"/>
  <c r="AV147" i="20"/>
  <c r="AW147" i="20" s="1"/>
  <c r="EW144" i="20"/>
  <c r="FB144" i="20" s="1"/>
  <c r="ED144" i="20" s="1"/>
  <c r="CR144" i="20" s="1"/>
  <c r="EX57" i="20"/>
  <c r="DQ251" i="20"/>
  <c r="DR251" i="20" s="1"/>
  <c r="EW251" i="20"/>
  <c r="EX251" i="20" s="1"/>
  <c r="AU61" i="20"/>
  <c r="AR61" i="20"/>
  <c r="CY249" i="20"/>
  <c r="AD249" i="20"/>
  <c r="FK249" i="20"/>
  <c r="FM249" i="20" s="1"/>
  <c r="DP145" i="20"/>
  <c r="DO145" i="20"/>
  <c r="DQ144" i="20"/>
  <c r="AP63" i="20"/>
  <c r="AT62" i="20"/>
  <c r="AQ62" i="20"/>
  <c r="DN60" i="20"/>
  <c r="EM60" i="20"/>
  <c r="EP60" i="20" s="1"/>
  <c r="EQ60" i="20" s="1"/>
  <c r="DO252" i="20"/>
  <c r="DP252" i="20"/>
  <c r="EW58" i="20"/>
  <c r="EX58" i="20" s="1"/>
  <c r="DU61" i="20"/>
  <c r="AV61" i="20"/>
  <c r="AW61" i="20" s="1"/>
  <c r="ES252" i="20"/>
  <c r="ER252" i="20"/>
  <c r="DN253" i="20"/>
  <c r="EM253" i="20"/>
  <c r="EP253" i="20" s="1"/>
  <c r="EQ253" i="20" s="1"/>
  <c r="CQ55" i="20"/>
  <c r="DS55" i="20"/>
  <c r="DN146" i="20"/>
  <c r="EM146" i="20"/>
  <c r="EP146" i="20" s="1"/>
  <c r="EQ146" i="20" s="1"/>
  <c r="DM253" i="5"/>
  <c r="CK253" i="5"/>
  <c r="DO147" i="5"/>
  <c r="AP147" i="5"/>
  <c r="AQ147" i="5" s="1"/>
  <c r="FF142" i="5"/>
  <c r="CZ142" i="5"/>
  <c r="AL257" i="5"/>
  <c r="AO257" i="5"/>
  <c r="DK144" i="5"/>
  <c r="DK254" i="5"/>
  <c r="DL254" i="5" s="1"/>
  <c r="DI145" i="5"/>
  <c r="DJ145" i="5"/>
  <c r="EQ254" i="5"/>
  <c r="ER254" i="5" s="1"/>
  <c r="DO257" i="5"/>
  <c r="AP257" i="5"/>
  <c r="AQ257" i="5" s="1"/>
  <c r="EQ144" i="5"/>
  <c r="EV144" i="5" s="1"/>
  <c r="DX144" i="5" s="1"/>
  <c r="CL144" i="5" s="1"/>
  <c r="AO147" i="5"/>
  <c r="AL147" i="5"/>
  <c r="EM145" i="5"/>
  <c r="EL145" i="5"/>
  <c r="AN258" i="5"/>
  <c r="AK258" i="5"/>
  <c r="AN148" i="5"/>
  <c r="AK148" i="5"/>
  <c r="AL61" i="5"/>
  <c r="AO61" i="5"/>
  <c r="DH60" i="5"/>
  <c r="EG60" i="5"/>
  <c r="EJ60" i="5" s="1"/>
  <c r="EK60" i="5" s="1"/>
  <c r="DH256" i="5"/>
  <c r="EG256" i="5"/>
  <c r="EJ256" i="5" s="1"/>
  <c r="EK256" i="5" s="1"/>
  <c r="EL255" i="5"/>
  <c r="EM255" i="5"/>
  <c r="DL142" i="5"/>
  <c r="CK143" i="5"/>
  <c r="DM143" i="5"/>
  <c r="DO61" i="5"/>
  <c r="AP61" i="5"/>
  <c r="AQ61" i="5" s="1"/>
  <c r="EL59" i="5"/>
  <c r="EM59" i="5"/>
  <c r="DI255" i="5"/>
  <c r="DJ255" i="5"/>
  <c r="AJ63" i="5"/>
  <c r="AN62" i="5"/>
  <c r="AK62" i="5"/>
  <c r="DH146" i="5"/>
  <c r="EG146" i="5"/>
  <c r="EJ146" i="5" s="1"/>
  <c r="EK146" i="5" s="1"/>
  <c r="DI59" i="5"/>
  <c r="DJ59" i="5"/>
  <c r="DM56" i="5"/>
  <c r="CK56" i="5"/>
  <c r="DK58" i="5"/>
  <c r="EQ58" i="5"/>
  <c r="EV58" i="5" s="1"/>
  <c r="DX58" i="5" s="1"/>
  <c r="CL58" i="5" s="1"/>
  <c r="FF56" i="5"/>
  <c r="CT56" i="5"/>
  <c r="CZ143" i="5"/>
  <c r="CS252" i="5"/>
  <c r="FE252" i="5"/>
  <c r="FG252" i="5" s="1"/>
  <c r="FG53" i="5"/>
  <c r="X141" i="5"/>
  <c r="AJ149" i="5"/>
  <c r="X252" i="5"/>
  <c r="AJ259" i="5"/>
  <c r="DS59" i="21" l="1"/>
  <c r="CQ59" i="21"/>
  <c r="DS253" i="21"/>
  <c r="CQ253" i="21"/>
  <c r="ER147" i="21"/>
  <c r="ES147" i="21"/>
  <c r="EW254" i="21"/>
  <c r="EX254" i="21" s="1"/>
  <c r="FB145" i="21"/>
  <c r="ED145" i="21" s="1"/>
  <c r="CR145" i="21" s="1"/>
  <c r="AP65" i="21"/>
  <c r="AT64" i="21"/>
  <c r="AQ64" i="21"/>
  <c r="CQ143" i="21"/>
  <c r="DS143" i="21"/>
  <c r="DN62" i="21"/>
  <c r="EM62" i="21"/>
  <c r="EP62" i="21" s="1"/>
  <c r="EQ62" i="21" s="1"/>
  <c r="FB60" i="21"/>
  <c r="ED60" i="21" s="1"/>
  <c r="CR60" i="21" s="1"/>
  <c r="EW60" i="21"/>
  <c r="EX60" i="21" s="1"/>
  <c r="EW146" i="21"/>
  <c r="EX146" i="21" s="1"/>
  <c r="DO147" i="21"/>
  <c r="DP147" i="21"/>
  <c r="DU63" i="21"/>
  <c r="AV63" i="21"/>
  <c r="AW63" i="21" s="1"/>
  <c r="DE142" i="21"/>
  <c r="AD142" i="21"/>
  <c r="FK142" i="21"/>
  <c r="FM142" i="21" s="1"/>
  <c r="DQ254" i="21"/>
  <c r="DR254" i="21" s="1"/>
  <c r="DQ60" i="21"/>
  <c r="DR60" i="21" s="1"/>
  <c r="ES255" i="21"/>
  <c r="ER255" i="21"/>
  <c r="DQ146" i="21"/>
  <c r="AP259" i="21"/>
  <c r="AT258" i="21"/>
  <c r="AQ258" i="21"/>
  <c r="DU149" i="21"/>
  <c r="AV149" i="21"/>
  <c r="AW149" i="21" s="1"/>
  <c r="DS58" i="21"/>
  <c r="CQ58" i="21"/>
  <c r="AU63" i="21"/>
  <c r="AR63" i="21"/>
  <c r="AU149" i="21"/>
  <c r="AR149" i="21"/>
  <c r="DN256" i="21"/>
  <c r="EM256" i="21"/>
  <c r="EP256" i="21" s="1"/>
  <c r="EQ256" i="21" s="1"/>
  <c r="FL58" i="21"/>
  <c r="CZ58" i="21"/>
  <c r="CY57" i="21"/>
  <c r="FK57" i="21"/>
  <c r="DU257" i="21"/>
  <c r="AV257" i="21"/>
  <c r="AW257" i="21" s="1"/>
  <c r="AT150" i="21"/>
  <c r="AP151" i="21"/>
  <c r="AQ150" i="21"/>
  <c r="DN148" i="21"/>
  <c r="EM148" i="21"/>
  <c r="EP148" i="21" s="1"/>
  <c r="EQ148" i="21" s="1"/>
  <c r="FM55" i="21"/>
  <c r="DS144" i="21"/>
  <c r="CQ144" i="21"/>
  <c r="AR257" i="21"/>
  <c r="AU257" i="21"/>
  <c r="FL144" i="21"/>
  <c r="DF144" i="21"/>
  <c r="DO255" i="21"/>
  <c r="DP255" i="21"/>
  <c r="ER61" i="21"/>
  <c r="ES61" i="21"/>
  <c r="DE252" i="21"/>
  <c r="AD252" i="21"/>
  <c r="FK252" i="21"/>
  <c r="FM252" i="21" s="1"/>
  <c r="DP61" i="21"/>
  <c r="DO61" i="21"/>
  <c r="CZ59" i="21"/>
  <c r="FL59" i="21"/>
  <c r="FB58" i="20"/>
  <c r="ED58" i="20" s="1"/>
  <c r="CR58" i="20" s="1"/>
  <c r="FL58" i="20" s="1"/>
  <c r="CQ56" i="20"/>
  <c r="DS56" i="20"/>
  <c r="ER144" i="5"/>
  <c r="FF57" i="5"/>
  <c r="DL57" i="5"/>
  <c r="ER58" i="5"/>
  <c r="DL58" i="5"/>
  <c r="DL144" i="5"/>
  <c r="CK144" i="5" s="1"/>
  <c r="FL144" i="20"/>
  <c r="DF144" i="20"/>
  <c r="DS251" i="20"/>
  <c r="CQ251" i="20"/>
  <c r="DR144" i="20"/>
  <c r="DU148" i="20"/>
  <c r="AV148" i="20"/>
  <c r="AW148" i="20" s="1"/>
  <c r="AP64" i="20"/>
  <c r="AT63" i="20"/>
  <c r="AQ63" i="20"/>
  <c r="ES146" i="20"/>
  <c r="ER146" i="20"/>
  <c r="EX144" i="20"/>
  <c r="AD142" i="20"/>
  <c r="FK142" i="20"/>
  <c r="FM142" i="20" s="1"/>
  <c r="DE142" i="20"/>
  <c r="AT149" i="20"/>
  <c r="AP150" i="20"/>
  <c r="AQ149" i="20"/>
  <c r="CQ57" i="20"/>
  <c r="DS57" i="20"/>
  <c r="EW252" i="20"/>
  <c r="EX252" i="20" s="1"/>
  <c r="DU62" i="20"/>
  <c r="AV62" i="20"/>
  <c r="AW62" i="20" s="1"/>
  <c r="CY16" i="20"/>
  <c r="CY14" i="20"/>
  <c r="CY15" i="20" s="1"/>
  <c r="CY17" i="20"/>
  <c r="DN147" i="20"/>
  <c r="EM147" i="20"/>
  <c r="EP147" i="20" s="1"/>
  <c r="EQ147" i="20" s="1"/>
  <c r="AU148" i="20"/>
  <c r="AR148" i="20"/>
  <c r="DP146" i="20"/>
  <c r="DO146" i="20"/>
  <c r="DQ252" i="20"/>
  <c r="DR252" i="20" s="1"/>
  <c r="AU255" i="20"/>
  <c r="AR255" i="20"/>
  <c r="EW145" i="20"/>
  <c r="FB145" i="20" s="1"/>
  <c r="ED145" i="20" s="1"/>
  <c r="CR145" i="20" s="1"/>
  <c r="DE250" i="20"/>
  <c r="AD250" i="20"/>
  <c r="FK250" i="20"/>
  <c r="FM250" i="20" s="1"/>
  <c r="DQ145" i="20"/>
  <c r="DQ59" i="20"/>
  <c r="DN254" i="20"/>
  <c r="EM254" i="20"/>
  <c r="EP254" i="20" s="1"/>
  <c r="EQ254" i="20" s="1"/>
  <c r="AT256" i="20"/>
  <c r="AP257" i="20"/>
  <c r="AQ256" i="20"/>
  <c r="FK55" i="20"/>
  <c r="CY55" i="20"/>
  <c r="ER60" i="20"/>
  <c r="ES60" i="20"/>
  <c r="DU255" i="20"/>
  <c r="AV255" i="20"/>
  <c r="AW255" i="20" s="1"/>
  <c r="ER253" i="20"/>
  <c r="ES253" i="20"/>
  <c r="DN61" i="20"/>
  <c r="EM61" i="20"/>
  <c r="EP61" i="20" s="1"/>
  <c r="EQ61" i="20" s="1"/>
  <c r="DP60" i="20"/>
  <c r="DO60" i="20"/>
  <c r="EW59" i="20"/>
  <c r="EX59" i="20" s="1"/>
  <c r="DO253" i="20"/>
  <c r="DP253" i="20"/>
  <c r="AR62" i="20"/>
  <c r="AU62" i="20"/>
  <c r="CQ143" i="20"/>
  <c r="DS143" i="20"/>
  <c r="CK58" i="5"/>
  <c r="DM58" i="5"/>
  <c r="DM142" i="5"/>
  <c r="CK142" i="5"/>
  <c r="AN149" i="5"/>
  <c r="AK149" i="5"/>
  <c r="DK255" i="5"/>
  <c r="DL255" i="5" s="1"/>
  <c r="AL148" i="5"/>
  <c r="AO148" i="5"/>
  <c r="DK145" i="5"/>
  <c r="CT58" i="5"/>
  <c r="FF58" i="5"/>
  <c r="DK59" i="5"/>
  <c r="EQ255" i="5"/>
  <c r="ER255" i="5" s="1"/>
  <c r="DO148" i="5"/>
  <c r="AP148" i="5"/>
  <c r="AQ148" i="5" s="1"/>
  <c r="FF144" i="5"/>
  <c r="CZ144" i="5"/>
  <c r="EL146" i="5"/>
  <c r="EM146" i="5"/>
  <c r="EQ59" i="5"/>
  <c r="EV59" i="5" s="1"/>
  <c r="DX59" i="5" s="1"/>
  <c r="CL59" i="5" s="1"/>
  <c r="DI146" i="5"/>
  <c r="DJ146" i="5"/>
  <c r="DI256" i="5"/>
  <c r="DJ256" i="5"/>
  <c r="DO258" i="5"/>
  <c r="AP258" i="5"/>
  <c r="AQ258" i="5" s="1"/>
  <c r="FE253" i="5"/>
  <c r="FG253" i="5" s="1"/>
  <c r="CS253" i="5"/>
  <c r="DM254" i="5"/>
  <c r="CK254" i="5"/>
  <c r="AL62" i="5"/>
  <c r="AO62" i="5"/>
  <c r="DH61" i="5"/>
  <c r="EG61" i="5"/>
  <c r="EJ61" i="5" s="1"/>
  <c r="EK61" i="5" s="1"/>
  <c r="EL60" i="5"/>
  <c r="EM60" i="5"/>
  <c r="EQ145" i="5"/>
  <c r="ER145" i="5" s="1"/>
  <c r="DH257" i="5"/>
  <c r="EG257" i="5"/>
  <c r="EJ257" i="5" s="1"/>
  <c r="EK257" i="5" s="1"/>
  <c r="AO258" i="5"/>
  <c r="AL258" i="5"/>
  <c r="CS56" i="5"/>
  <c r="FE56" i="5"/>
  <c r="DO62" i="5"/>
  <c r="AP62" i="5"/>
  <c r="AQ62" i="5" s="1"/>
  <c r="DJ60" i="5"/>
  <c r="DI60" i="5"/>
  <c r="EL256" i="5"/>
  <c r="EM256" i="5"/>
  <c r="DH147" i="5"/>
  <c r="EG147" i="5"/>
  <c r="EJ147" i="5" s="1"/>
  <c r="EK147" i="5" s="1"/>
  <c r="AN259" i="5"/>
  <c r="AK259" i="5"/>
  <c r="AJ64" i="5"/>
  <c r="AN63" i="5"/>
  <c r="AK63" i="5"/>
  <c r="CY143" i="5"/>
  <c r="FE143" i="5"/>
  <c r="FG143" i="5" s="1"/>
  <c r="X143" i="5"/>
  <c r="AJ150" i="5"/>
  <c r="X254" i="5"/>
  <c r="X253" i="5"/>
  <c r="AJ260" i="5"/>
  <c r="CQ60" i="21" l="1"/>
  <c r="DS60" i="21"/>
  <c r="CQ254" i="21"/>
  <c r="DS254" i="21"/>
  <c r="DP62" i="21"/>
  <c r="DO62" i="21"/>
  <c r="AR64" i="21"/>
  <c r="AU64" i="21"/>
  <c r="FL145" i="21"/>
  <c r="DF145" i="21"/>
  <c r="ER148" i="21"/>
  <c r="ES148" i="21"/>
  <c r="EW255" i="21"/>
  <c r="EX255" i="21" s="1"/>
  <c r="DP256" i="21"/>
  <c r="DO256" i="21"/>
  <c r="DP148" i="21"/>
  <c r="DO148" i="21"/>
  <c r="DN63" i="21"/>
  <c r="EM63" i="21"/>
  <c r="EP63" i="21" s="1"/>
  <c r="EQ63" i="21" s="1"/>
  <c r="DQ147" i="21"/>
  <c r="AD253" i="21"/>
  <c r="DE253" i="21"/>
  <c r="FK253" i="21"/>
  <c r="FM253" i="21" s="1"/>
  <c r="DQ255" i="21"/>
  <c r="DR255" i="21" s="1"/>
  <c r="AT151" i="21"/>
  <c r="AP152" i="21"/>
  <c r="AQ151" i="21"/>
  <c r="DU150" i="21"/>
  <c r="AV150" i="21"/>
  <c r="AW150" i="21" s="1"/>
  <c r="EW147" i="21"/>
  <c r="EX147" i="21" s="1"/>
  <c r="FB146" i="21"/>
  <c r="ED146" i="21" s="1"/>
  <c r="CR146" i="21" s="1"/>
  <c r="CY59" i="21"/>
  <c r="FK59" i="21"/>
  <c r="FM59" i="21" s="1"/>
  <c r="AD143" i="21"/>
  <c r="DE143" i="21"/>
  <c r="FK143" i="21"/>
  <c r="FM143" i="21" s="1"/>
  <c r="AU150" i="21"/>
  <c r="AR150" i="21"/>
  <c r="EW61" i="21"/>
  <c r="EX61" i="21" s="1"/>
  <c r="DN257" i="21"/>
  <c r="EM257" i="21"/>
  <c r="EP257" i="21" s="1"/>
  <c r="EQ257" i="21" s="1"/>
  <c r="CY58" i="21"/>
  <c r="FK58" i="21"/>
  <c r="DR145" i="21"/>
  <c r="AD144" i="21"/>
  <c r="FK144" i="21"/>
  <c r="FM144" i="21" s="1"/>
  <c r="DE144" i="21"/>
  <c r="AT259" i="21"/>
  <c r="AP260" i="21"/>
  <c r="AQ259" i="21"/>
  <c r="ES256" i="21"/>
  <c r="ER256" i="21"/>
  <c r="DN149" i="21"/>
  <c r="EM149" i="21"/>
  <c r="EP149" i="21" s="1"/>
  <c r="EQ149" i="21" s="1"/>
  <c r="FL60" i="21"/>
  <c r="CZ60" i="21"/>
  <c r="AU258" i="21"/>
  <c r="AR258" i="21"/>
  <c r="DU64" i="21"/>
  <c r="AV64" i="21"/>
  <c r="AW64" i="21" s="1"/>
  <c r="AP66" i="21"/>
  <c r="AT65" i="21"/>
  <c r="AQ65" i="21"/>
  <c r="DQ61" i="21"/>
  <c r="FM57" i="21"/>
  <c r="DU258" i="21"/>
  <c r="AV258" i="21"/>
  <c r="AW258" i="21" s="1"/>
  <c r="ES62" i="21"/>
  <c r="ER62" i="21"/>
  <c r="DR145" i="20"/>
  <c r="CZ58" i="20"/>
  <c r="DR58" i="20"/>
  <c r="CY56" i="20"/>
  <c r="FK56" i="20"/>
  <c r="FM56" i="20" s="1"/>
  <c r="DM144" i="5"/>
  <c r="DM57" i="5"/>
  <c r="CK57" i="5"/>
  <c r="CQ145" i="20"/>
  <c r="DF145" i="20"/>
  <c r="FL145" i="20"/>
  <c r="DS252" i="20"/>
  <c r="CQ252" i="20"/>
  <c r="DO61" i="20"/>
  <c r="DP61" i="20"/>
  <c r="ER254" i="20"/>
  <c r="ES254" i="20"/>
  <c r="DE16" i="20"/>
  <c r="DE14" i="20"/>
  <c r="DE15" i="20" s="1"/>
  <c r="DE17" i="20"/>
  <c r="DQ146" i="20"/>
  <c r="FK57" i="20"/>
  <c r="FM57" i="20" s="1"/>
  <c r="CY57" i="20"/>
  <c r="DS144" i="20"/>
  <c r="CQ144" i="20"/>
  <c r="DP254" i="20"/>
  <c r="DO254" i="20"/>
  <c r="EW146" i="20"/>
  <c r="EX146" i="20" s="1"/>
  <c r="DE251" i="20"/>
  <c r="AD251" i="20"/>
  <c r="FK251" i="20"/>
  <c r="FM251" i="20" s="1"/>
  <c r="DN255" i="20"/>
  <c r="EM255" i="20"/>
  <c r="EP255" i="20" s="1"/>
  <c r="EQ255" i="20" s="1"/>
  <c r="EW253" i="20"/>
  <c r="EX253" i="20" s="1"/>
  <c r="EX145" i="20"/>
  <c r="DS145" i="20" s="1"/>
  <c r="AR149" i="20"/>
  <c r="AU149" i="20"/>
  <c r="AP151" i="20"/>
  <c r="AT150" i="20"/>
  <c r="AQ150" i="20"/>
  <c r="AU63" i="20"/>
  <c r="AR63" i="20"/>
  <c r="FM55" i="20"/>
  <c r="ER147" i="20"/>
  <c r="ES147" i="20"/>
  <c r="DN62" i="20"/>
  <c r="EM62" i="20"/>
  <c r="EP62" i="20" s="1"/>
  <c r="EQ62" i="20" s="1"/>
  <c r="DU149" i="20"/>
  <c r="AV149" i="20"/>
  <c r="AW149" i="20" s="1"/>
  <c r="DU63" i="20"/>
  <c r="AV63" i="20"/>
  <c r="AW63" i="20" s="1"/>
  <c r="ES61" i="20"/>
  <c r="ER61" i="20"/>
  <c r="AU256" i="20"/>
  <c r="AR256" i="20"/>
  <c r="DO147" i="20"/>
  <c r="DP147" i="20"/>
  <c r="AP65" i="20"/>
  <c r="AT64" i="20"/>
  <c r="AQ64" i="20"/>
  <c r="DU256" i="20"/>
  <c r="AV256" i="20"/>
  <c r="AW256" i="20" s="1"/>
  <c r="DN148" i="20"/>
  <c r="EM148" i="20"/>
  <c r="EP148" i="20" s="1"/>
  <c r="EQ148" i="20" s="1"/>
  <c r="DQ253" i="20"/>
  <c r="DR253" i="20" s="1"/>
  <c r="EW60" i="20"/>
  <c r="EX60" i="20" s="1"/>
  <c r="FB59" i="20"/>
  <c r="ED59" i="20" s="1"/>
  <c r="CR59" i="20" s="1"/>
  <c r="FK143" i="20"/>
  <c r="FM143" i="20" s="1"/>
  <c r="DE143" i="20"/>
  <c r="AD143" i="20"/>
  <c r="DQ60" i="20"/>
  <c r="AT257" i="20"/>
  <c r="AP258" i="20"/>
  <c r="AQ257" i="20"/>
  <c r="DL59" i="5"/>
  <c r="CT59" i="5"/>
  <c r="FF59" i="5"/>
  <c r="DM255" i="5"/>
  <c r="CK255" i="5"/>
  <c r="EM61" i="5"/>
  <c r="EL61" i="5"/>
  <c r="EQ256" i="5"/>
  <c r="ER256" i="5" s="1"/>
  <c r="DH62" i="5"/>
  <c r="EG62" i="5"/>
  <c r="EJ62" i="5" s="1"/>
  <c r="EK62" i="5" s="1"/>
  <c r="EL257" i="5"/>
  <c r="EM257" i="5"/>
  <c r="DI61" i="5"/>
  <c r="DJ61" i="5"/>
  <c r="ER59" i="5"/>
  <c r="FE142" i="5"/>
  <c r="FG142" i="5" s="1"/>
  <c r="CY142" i="5"/>
  <c r="X142" i="5"/>
  <c r="DH148" i="5"/>
  <c r="EG148" i="5"/>
  <c r="EJ148" i="5" s="1"/>
  <c r="EK148" i="5" s="1"/>
  <c r="AL63" i="5"/>
  <c r="AO63" i="5"/>
  <c r="DJ257" i="5"/>
  <c r="DI257" i="5"/>
  <c r="DH258" i="5"/>
  <c r="EG258" i="5"/>
  <c r="EJ258" i="5" s="1"/>
  <c r="EK258" i="5" s="1"/>
  <c r="DJ147" i="5"/>
  <c r="DI147" i="5"/>
  <c r="AN260" i="5"/>
  <c r="AK260" i="5"/>
  <c r="AN150" i="5"/>
  <c r="AK150" i="5"/>
  <c r="AO259" i="5"/>
  <c r="AL259" i="5"/>
  <c r="EV145" i="5"/>
  <c r="DK256" i="5"/>
  <c r="DL256" i="5" s="1"/>
  <c r="EQ146" i="5"/>
  <c r="EV146" i="5" s="1"/>
  <c r="DX146" i="5" s="1"/>
  <c r="CL146" i="5" s="1"/>
  <c r="FE144" i="5"/>
  <c r="FG144" i="5" s="1"/>
  <c r="CY144" i="5"/>
  <c r="DO63" i="5"/>
  <c r="AP63" i="5"/>
  <c r="AQ63" i="5" s="1"/>
  <c r="FG56" i="5"/>
  <c r="DO259" i="5"/>
  <c r="AP259" i="5"/>
  <c r="AQ259" i="5" s="1"/>
  <c r="CY254" i="5"/>
  <c r="FE254" i="5"/>
  <c r="FG254" i="5" s="1"/>
  <c r="AJ65" i="5"/>
  <c r="AN64" i="5"/>
  <c r="AK64" i="5"/>
  <c r="EL147" i="5"/>
  <c r="EM147" i="5"/>
  <c r="DK60" i="5"/>
  <c r="DK146" i="5"/>
  <c r="AL149" i="5"/>
  <c r="AO149" i="5"/>
  <c r="EQ60" i="5"/>
  <c r="EV60" i="5" s="1"/>
  <c r="DX60" i="5" s="1"/>
  <c r="CL60" i="5" s="1"/>
  <c r="CS17" i="5"/>
  <c r="CS14" i="5"/>
  <c r="CS15" i="5" s="1"/>
  <c r="CS16" i="5"/>
  <c r="DO149" i="5"/>
  <c r="AP149" i="5"/>
  <c r="AQ149" i="5" s="1"/>
  <c r="CS58" i="5"/>
  <c r="FE58" i="5"/>
  <c r="FG58" i="5" s="1"/>
  <c r="X144" i="5"/>
  <c r="AJ151" i="5"/>
  <c r="AJ261" i="5"/>
  <c r="DS255" i="21" l="1"/>
  <c r="CQ255" i="21"/>
  <c r="DQ256" i="21"/>
  <c r="DR256" i="21" s="1"/>
  <c r="AT66" i="21"/>
  <c r="AP67" i="21"/>
  <c r="AQ66" i="21"/>
  <c r="FB61" i="21"/>
  <c r="ED61" i="21" s="1"/>
  <c r="CR61" i="21" s="1"/>
  <c r="DS145" i="21"/>
  <c r="CQ145" i="21"/>
  <c r="AT152" i="21"/>
  <c r="AQ152" i="21"/>
  <c r="AU65" i="21"/>
  <c r="AR65" i="21"/>
  <c r="ER149" i="21"/>
  <c r="ES149" i="21"/>
  <c r="DP257" i="21"/>
  <c r="DO257" i="21"/>
  <c r="DP149" i="21"/>
  <c r="DO149" i="21"/>
  <c r="CY254" i="21"/>
  <c r="FK254" i="21"/>
  <c r="FM254" i="21" s="1"/>
  <c r="AD254" i="21"/>
  <c r="FM58" i="21"/>
  <c r="DN64" i="21"/>
  <c r="EM64" i="21"/>
  <c r="EP64" i="21" s="1"/>
  <c r="EQ64" i="21" s="1"/>
  <c r="DU151" i="21"/>
  <c r="AV151" i="21"/>
  <c r="AW151" i="21" s="1"/>
  <c r="EW256" i="21"/>
  <c r="EX256" i="21" s="1"/>
  <c r="EW62" i="21"/>
  <c r="FB62" i="21" s="1"/>
  <c r="ED62" i="21" s="1"/>
  <c r="ES63" i="21"/>
  <c r="ER63" i="21"/>
  <c r="FK60" i="21"/>
  <c r="FM60" i="21" s="1"/>
  <c r="CY60" i="21"/>
  <c r="AU259" i="21"/>
  <c r="AR259" i="21"/>
  <c r="DP63" i="21"/>
  <c r="DO63" i="21"/>
  <c r="DU65" i="21"/>
  <c r="AV65" i="21"/>
  <c r="AW65" i="21" s="1"/>
  <c r="DN150" i="21"/>
  <c r="EM150" i="21"/>
  <c r="EP150" i="21" s="1"/>
  <c r="EQ150" i="21" s="1"/>
  <c r="ES257" i="21"/>
  <c r="ER257" i="21"/>
  <c r="EW148" i="21"/>
  <c r="EX148" i="21" s="1"/>
  <c r="DQ62" i="21"/>
  <c r="DR62" i="21" s="1"/>
  <c r="DN258" i="21"/>
  <c r="EM258" i="21"/>
  <c r="EP258" i="21" s="1"/>
  <c r="EQ258" i="21" s="1"/>
  <c r="AT260" i="21"/>
  <c r="AP261" i="21"/>
  <c r="AQ260" i="21"/>
  <c r="DR146" i="21"/>
  <c r="FB147" i="21"/>
  <c r="ED147" i="21" s="1"/>
  <c r="CR147" i="21" s="1"/>
  <c r="AU151" i="21"/>
  <c r="AR151" i="21"/>
  <c r="DU259" i="21"/>
  <c r="AV259" i="21"/>
  <c r="AW259" i="21" s="1"/>
  <c r="DQ148" i="21"/>
  <c r="FL146" i="21"/>
  <c r="DF146" i="21"/>
  <c r="FB60" i="20"/>
  <c r="ED60" i="20" s="1"/>
  <c r="CR60" i="20" s="1"/>
  <c r="FL60" i="20" s="1"/>
  <c r="DS58" i="20"/>
  <c r="CQ58" i="20"/>
  <c r="FB146" i="20"/>
  <c r="ED146" i="20" s="1"/>
  <c r="CR146" i="20" s="1"/>
  <c r="FL146" i="20" s="1"/>
  <c r="CS57" i="5"/>
  <c r="FE57" i="5"/>
  <c r="FG57" i="5" s="1"/>
  <c r="ER60" i="5"/>
  <c r="DL146" i="5"/>
  <c r="CK146" i="5" s="1"/>
  <c r="DL60" i="5"/>
  <c r="ER146" i="5"/>
  <c r="DM146" i="5" s="1"/>
  <c r="DS253" i="20"/>
  <c r="CQ253" i="20"/>
  <c r="ER148" i="20"/>
  <c r="ES148" i="20"/>
  <c r="AT65" i="20"/>
  <c r="AP66" i="20"/>
  <c r="AQ65" i="20"/>
  <c r="EW147" i="20"/>
  <c r="EX147" i="20" s="1"/>
  <c r="AT151" i="20"/>
  <c r="AP152" i="20"/>
  <c r="AQ151" i="20"/>
  <c r="DQ61" i="20"/>
  <c r="DE252" i="20"/>
  <c r="AD252" i="20"/>
  <c r="FK252" i="20"/>
  <c r="FM252" i="20" s="1"/>
  <c r="DP148" i="20"/>
  <c r="DO148" i="20"/>
  <c r="AT258" i="20"/>
  <c r="AP259" i="20"/>
  <c r="AQ258" i="20"/>
  <c r="FL59" i="20"/>
  <c r="CZ59" i="20"/>
  <c r="DQ147" i="20"/>
  <c r="DN63" i="20"/>
  <c r="EM63" i="20"/>
  <c r="EP63" i="20" s="1"/>
  <c r="EQ63" i="20" s="1"/>
  <c r="ER255" i="20"/>
  <c r="ES255" i="20"/>
  <c r="DQ254" i="20"/>
  <c r="DR254" i="20" s="1"/>
  <c r="DO255" i="20"/>
  <c r="DP255" i="20"/>
  <c r="AU257" i="20"/>
  <c r="AR257" i="20"/>
  <c r="DU257" i="20"/>
  <c r="AV257" i="20"/>
  <c r="AW257" i="20" s="1"/>
  <c r="DN256" i="20"/>
  <c r="EM256" i="20"/>
  <c r="EP256" i="20" s="1"/>
  <c r="EQ256" i="20" s="1"/>
  <c r="DN149" i="20"/>
  <c r="EM149" i="20"/>
  <c r="EP149" i="20" s="1"/>
  <c r="EQ149" i="20" s="1"/>
  <c r="FK144" i="20"/>
  <c r="FM144" i="20" s="1"/>
  <c r="DE144" i="20"/>
  <c r="AD144" i="20"/>
  <c r="EW254" i="20"/>
  <c r="EX254" i="20" s="1"/>
  <c r="DE145" i="20"/>
  <c r="AD145" i="20"/>
  <c r="FK145" i="20"/>
  <c r="FM145" i="20" s="1"/>
  <c r="ES62" i="20"/>
  <c r="ER62" i="20"/>
  <c r="AU64" i="20"/>
  <c r="AR64" i="20"/>
  <c r="DP62" i="20"/>
  <c r="DO62" i="20"/>
  <c r="AU150" i="20"/>
  <c r="AR150" i="20"/>
  <c r="DU64" i="20"/>
  <c r="AV64" i="20"/>
  <c r="AW64" i="20" s="1"/>
  <c r="EW61" i="20"/>
  <c r="FB61" i="20" s="1"/>
  <c r="ED61" i="20" s="1"/>
  <c r="CR61" i="20" s="1"/>
  <c r="DU150" i="20"/>
  <c r="AV150" i="20"/>
  <c r="AW150" i="20" s="1"/>
  <c r="DR59" i="20"/>
  <c r="CK60" i="5"/>
  <c r="DM256" i="5"/>
  <c r="CK256" i="5"/>
  <c r="EM258" i="5"/>
  <c r="EL258" i="5"/>
  <c r="EQ61" i="5"/>
  <c r="ER61" i="5" s="1"/>
  <c r="DJ258" i="5"/>
  <c r="DI258" i="5"/>
  <c r="DI148" i="5"/>
  <c r="DJ148" i="5"/>
  <c r="CY16" i="5"/>
  <c r="CY14" i="5"/>
  <c r="CY15" i="5" s="1"/>
  <c r="CY17" i="5"/>
  <c r="EL148" i="5"/>
  <c r="EM148" i="5"/>
  <c r="DK61" i="5"/>
  <c r="AO150" i="5"/>
  <c r="AL150" i="5"/>
  <c r="DK257" i="5"/>
  <c r="DL257" i="5" s="1"/>
  <c r="EQ257" i="5"/>
  <c r="ER257" i="5" s="1"/>
  <c r="DH259" i="5"/>
  <c r="EG259" i="5"/>
  <c r="EJ259" i="5" s="1"/>
  <c r="EK259" i="5" s="1"/>
  <c r="DO150" i="5"/>
  <c r="AP150" i="5"/>
  <c r="AQ150" i="5" s="1"/>
  <c r="FE255" i="5"/>
  <c r="FG255" i="5" s="1"/>
  <c r="CY255" i="5"/>
  <c r="FF60" i="5"/>
  <c r="CT60" i="5"/>
  <c r="AL64" i="5"/>
  <c r="AO64" i="5"/>
  <c r="CZ146" i="5"/>
  <c r="FF146" i="5"/>
  <c r="AL260" i="5"/>
  <c r="AO260" i="5"/>
  <c r="EL62" i="5"/>
  <c r="EM62" i="5"/>
  <c r="DK147" i="5"/>
  <c r="AN261" i="5"/>
  <c r="AK261" i="5"/>
  <c r="EQ147" i="5"/>
  <c r="ER147" i="5" s="1"/>
  <c r="DO64" i="5"/>
  <c r="AP64" i="5"/>
  <c r="AQ64" i="5" s="1"/>
  <c r="DO260" i="5"/>
  <c r="AP260" i="5"/>
  <c r="AQ260" i="5" s="1"/>
  <c r="DI62" i="5"/>
  <c r="DJ62" i="5"/>
  <c r="AN151" i="5"/>
  <c r="AK151" i="5"/>
  <c r="AJ66" i="5"/>
  <c r="AN65" i="5"/>
  <c r="AK65" i="5"/>
  <c r="DH149" i="5"/>
  <c r="EG149" i="5"/>
  <c r="EJ149" i="5" s="1"/>
  <c r="EK149" i="5" s="1"/>
  <c r="DH63" i="5"/>
  <c r="EG63" i="5"/>
  <c r="EJ63" i="5" s="1"/>
  <c r="EK63" i="5" s="1"/>
  <c r="DX145" i="5"/>
  <c r="CL145" i="5" s="1"/>
  <c r="DL145" i="5"/>
  <c r="CK59" i="5"/>
  <c r="DM59" i="5"/>
  <c r="AJ152" i="5"/>
  <c r="AJ262" i="5"/>
  <c r="X255" i="5"/>
  <c r="DS256" i="21" l="1"/>
  <c r="CQ256" i="21"/>
  <c r="EX62" i="21"/>
  <c r="DS62" i="21" s="1"/>
  <c r="EW149" i="21"/>
  <c r="FB149" i="21" s="1"/>
  <c r="ED149" i="21" s="1"/>
  <c r="CR149" i="21" s="1"/>
  <c r="DN65" i="21"/>
  <c r="EM65" i="21"/>
  <c r="EP65" i="21" s="1"/>
  <c r="EQ65" i="21" s="1"/>
  <c r="AU66" i="21"/>
  <c r="AR66" i="21"/>
  <c r="FB148" i="21"/>
  <c r="ER150" i="21"/>
  <c r="ES150" i="21"/>
  <c r="CZ61" i="21"/>
  <c r="FL61" i="21"/>
  <c r="DQ63" i="21"/>
  <c r="DR63" i="21" s="1"/>
  <c r="AP68" i="21"/>
  <c r="AT67" i="21"/>
  <c r="AQ67" i="21"/>
  <c r="ER258" i="21"/>
  <c r="ES258" i="21"/>
  <c r="DP258" i="21"/>
  <c r="DO258" i="21"/>
  <c r="EW257" i="21"/>
  <c r="EX257" i="21" s="1"/>
  <c r="AR152" i="21"/>
  <c r="AU152" i="21"/>
  <c r="FK145" i="21"/>
  <c r="FM145" i="21" s="1"/>
  <c r="DE145" i="21"/>
  <c r="AD145" i="21"/>
  <c r="DP64" i="21"/>
  <c r="DO64" i="21"/>
  <c r="DR147" i="21"/>
  <c r="DQ257" i="21"/>
  <c r="DR257" i="21" s="1"/>
  <c r="DU152" i="21"/>
  <c r="AV152" i="21"/>
  <c r="AW152" i="21" s="1"/>
  <c r="DO150" i="21"/>
  <c r="DP150" i="21"/>
  <c r="DN259" i="21"/>
  <c r="EM259" i="21"/>
  <c r="EP259" i="21" s="1"/>
  <c r="EQ259" i="21" s="1"/>
  <c r="DR61" i="21"/>
  <c r="AU260" i="21"/>
  <c r="AR260" i="21"/>
  <c r="AD255" i="21"/>
  <c r="FK255" i="21"/>
  <c r="FM255" i="21" s="1"/>
  <c r="CY255" i="21"/>
  <c r="DN151" i="21"/>
  <c r="EM151" i="21"/>
  <c r="EP151" i="21" s="1"/>
  <c r="EQ151" i="21" s="1"/>
  <c r="AT261" i="21"/>
  <c r="AP262" i="21"/>
  <c r="AQ261" i="21"/>
  <c r="ER64" i="21"/>
  <c r="ES64" i="21"/>
  <c r="DU66" i="21"/>
  <c r="AV66" i="21"/>
  <c r="AW66" i="21" s="1"/>
  <c r="DF147" i="21"/>
  <c r="FL147" i="21"/>
  <c r="CQ146" i="21"/>
  <c r="DS146" i="21"/>
  <c r="DU260" i="21"/>
  <c r="AV260" i="21"/>
  <c r="AW260" i="21" s="1"/>
  <c r="EW63" i="21"/>
  <c r="FB63" i="21" s="1"/>
  <c r="ED63" i="21" s="1"/>
  <c r="DQ149" i="21"/>
  <c r="DR149" i="21" s="1"/>
  <c r="CZ60" i="20"/>
  <c r="DR60" i="20"/>
  <c r="DS60" i="20" s="1"/>
  <c r="DR146" i="20"/>
  <c r="DS146" i="20" s="1"/>
  <c r="DF146" i="20"/>
  <c r="FK58" i="20"/>
  <c r="FM58" i="20" s="1"/>
  <c r="CY58" i="20"/>
  <c r="DR61" i="20"/>
  <c r="EX61" i="20"/>
  <c r="DM60" i="5"/>
  <c r="DS254" i="20"/>
  <c r="CQ254" i="20"/>
  <c r="DU258" i="20"/>
  <c r="AV258" i="20"/>
  <c r="AW258" i="20" s="1"/>
  <c r="EW148" i="20"/>
  <c r="FB148" i="20" s="1"/>
  <c r="ED148" i="20" s="1"/>
  <c r="CR148" i="20" s="1"/>
  <c r="DP256" i="20"/>
  <c r="DO256" i="20"/>
  <c r="DS59" i="20"/>
  <c r="CQ59" i="20"/>
  <c r="EW62" i="20"/>
  <c r="FB62" i="20" s="1"/>
  <c r="ED62" i="20" s="1"/>
  <c r="DO63" i="20"/>
  <c r="DP63" i="20"/>
  <c r="DE253" i="20"/>
  <c r="AD253" i="20"/>
  <c r="FK253" i="20"/>
  <c r="FM253" i="20" s="1"/>
  <c r="ER63" i="20"/>
  <c r="ES63" i="20"/>
  <c r="DN64" i="20"/>
  <c r="EM64" i="20"/>
  <c r="EP64" i="20" s="1"/>
  <c r="EQ64" i="20" s="1"/>
  <c r="DN257" i="20"/>
  <c r="EM257" i="20"/>
  <c r="EP257" i="20" s="1"/>
  <c r="EQ257" i="20" s="1"/>
  <c r="DQ148" i="20"/>
  <c r="FB147" i="20"/>
  <c r="ED147" i="20" s="1"/>
  <c r="CR147" i="20" s="1"/>
  <c r="DN150" i="20"/>
  <c r="EM150" i="20"/>
  <c r="EP150" i="20" s="1"/>
  <c r="EQ150" i="20" s="1"/>
  <c r="ES149" i="20"/>
  <c r="ER149" i="20"/>
  <c r="EW255" i="20"/>
  <c r="EX255" i="20" s="1"/>
  <c r="AU65" i="20"/>
  <c r="AR65" i="20"/>
  <c r="DQ62" i="20"/>
  <c r="DP149" i="20"/>
  <c r="DO149" i="20"/>
  <c r="AR151" i="20"/>
  <c r="AU151" i="20"/>
  <c r="AT66" i="20"/>
  <c r="AP67" i="20"/>
  <c r="AQ66" i="20"/>
  <c r="DU65" i="20"/>
  <c r="AV65" i="20"/>
  <c r="AW65" i="20" s="1"/>
  <c r="AU258" i="20"/>
  <c r="AR258" i="20"/>
  <c r="AT152" i="20"/>
  <c r="AQ152" i="20"/>
  <c r="CZ61" i="20"/>
  <c r="FL61" i="20"/>
  <c r="ER256" i="20"/>
  <c r="ES256" i="20"/>
  <c r="DQ255" i="20"/>
  <c r="DR255" i="20" s="1"/>
  <c r="AP260" i="20"/>
  <c r="AT259" i="20"/>
  <c r="AQ259" i="20"/>
  <c r="DU151" i="20"/>
  <c r="AV151" i="20"/>
  <c r="AW151" i="20" s="1"/>
  <c r="DH150" i="5"/>
  <c r="EG150" i="5"/>
  <c r="EJ150" i="5" s="1"/>
  <c r="EK150" i="5" s="1"/>
  <c r="EQ148" i="5"/>
  <c r="ER148" i="5" s="1"/>
  <c r="DO151" i="5"/>
  <c r="AP151" i="5"/>
  <c r="AQ151" i="5" s="1"/>
  <c r="EL149" i="5"/>
  <c r="EM149" i="5"/>
  <c r="EV147" i="5"/>
  <c r="DX147" i="5" s="1"/>
  <c r="CL147" i="5" s="1"/>
  <c r="EQ62" i="5"/>
  <c r="EV62" i="5" s="1"/>
  <c r="EL259" i="5"/>
  <c r="EM259" i="5"/>
  <c r="FE256" i="5"/>
  <c r="FG256" i="5" s="1"/>
  <c r="CY256" i="5"/>
  <c r="AN152" i="5"/>
  <c r="AK152" i="5"/>
  <c r="AL151" i="5"/>
  <c r="AO151" i="5"/>
  <c r="DH64" i="5"/>
  <c r="EG64" i="5"/>
  <c r="EJ64" i="5" s="1"/>
  <c r="EK64" i="5" s="1"/>
  <c r="DM257" i="5"/>
  <c r="CK257" i="5"/>
  <c r="CS59" i="5"/>
  <c r="FE59" i="5"/>
  <c r="DI149" i="5"/>
  <c r="DJ149" i="5"/>
  <c r="DK62" i="5"/>
  <c r="DI259" i="5"/>
  <c r="DJ259" i="5"/>
  <c r="AL65" i="5"/>
  <c r="AO65" i="5"/>
  <c r="AL261" i="5"/>
  <c r="AO261" i="5"/>
  <c r="EV61" i="5"/>
  <c r="DX61" i="5" s="1"/>
  <c r="CL61" i="5" s="1"/>
  <c r="FE60" i="5"/>
  <c r="FG60" i="5" s="1"/>
  <c r="CS60" i="5"/>
  <c r="CK145" i="5"/>
  <c r="DM145" i="5"/>
  <c r="DO65" i="5"/>
  <c r="AP65" i="5"/>
  <c r="AQ65" i="5" s="1"/>
  <c r="DH260" i="5"/>
  <c r="EG260" i="5"/>
  <c r="EJ260" i="5" s="1"/>
  <c r="EK260" i="5" s="1"/>
  <c r="DO261" i="5"/>
  <c r="AP261" i="5"/>
  <c r="AQ261" i="5" s="1"/>
  <c r="DI63" i="5"/>
  <c r="DJ63" i="5"/>
  <c r="CZ145" i="5"/>
  <c r="FF145" i="5"/>
  <c r="AJ67" i="5"/>
  <c r="AN66" i="5"/>
  <c r="AK66" i="5"/>
  <c r="DK148" i="5"/>
  <c r="EQ258" i="5"/>
  <c r="ER258" i="5" s="1"/>
  <c r="CY146" i="5"/>
  <c r="FE146" i="5"/>
  <c r="FG146" i="5" s="1"/>
  <c r="AN262" i="5"/>
  <c r="AK262" i="5"/>
  <c r="EL63" i="5"/>
  <c r="EM63" i="5"/>
  <c r="DK258" i="5"/>
  <c r="DL258" i="5" s="1"/>
  <c r="AJ153" i="5"/>
  <c r="X146" i="5"/>
  <c r="X256" i="5"/>
  <c r="X257" i="5"/>
  <c r="AJ263" i="5"/>
  <c r="CQ60" i="20" l="1"/>
  <c r="CQ149" i="21"/>
  <c r="DS257" i="21"/>
  <c r="CQ257" i="21"/>
  <c r="FL149" i="21"/>
  <c r="DF149" i="21"/>
  <c r="DN260" i="21"/>
  <c r="EM260" i="21"/>
  <c r="EP260" i="21" s="1"/>
  <c r="EQ260" i="21" s="1"/>
  <c r="CQ61" i="21"/>
  <c r="DS61" i="21"/>
  <c r="ED148" i="21"/>
  <c r="CR148" i="21" s="1"/>
  <c r="DR148" i="21"/>
  <c r="AR67" i="21"/>
  <c r="AU67" i="21"/>
  <c r="DS147" i="21"/>
  <c r="CQ147" i="21"/>
  <c r="DQ150" i="21"/>
  <c r="ES65" i="21"/>
  <c r="ER65" i="21"/>
  <c r="DN152" i="21"/>
  <c r="EM152" i="21"/>
  <c r="EP152" i="21" s="1"/>
  <c r="EQ152" i="21" s="1"/>
  <c r="DP65" i="21"/>
  <c r="DO65" i="21"/>
  <c r="EW258" i="21"/>
  <c r="EX258" i="21" s="1"/>
  <c r="AP69" i="21"/>
  <c r="AT68" i="21"/>
  <c r="AQ68" i="21"/>
  <c r="FB64" i="21"/>
  <c r="ED64" i="21" s="1"/>
  <c r="CR64" i="21" s="1"/>
  <c r="EW64" i="21"/>
  <c r="EX64" i="21" s="1"/>
  <c r="DE146" i="21"/>
  <c r="AD146" i="21"/>
  <c r="FK146" i="21"/>
  <c r="FM146" i="21" s="1"/>
  <c r="AR261" i="21"/>
  <c r="AU261" i="21"/>
  <c r="EX149" i="21"/>
  <c r="DS149" i="21" s="1"/>
  <c r="ES259" i="21"/>
  <c r="ER259" i="21"/>
  <c r="AP263" i="21"/>
  <c r="AT262" i="21"/>
  <c r="AQ262" i="21"/>
  <c r="DP259" i="21"/>
  <c r="DO259" i="21"/>
  <c r="DU261" i="21"/>
  <c r="AV261" i="21"/>
  <c r="AW261" i="21" s="1"/>
  <c r="ES151" i="21"/>
  <c r="ER151" i="21"/>
  <c r="FK256" i="21"/>
  <c r="FM256" i="21" s="1"/>
  <c r="DE256" i="21"/>
  <c r="AD256" i="21"/>
  <c r="DP151" i="21"/>
  <c r="DO151" i="21"/>
  <c r="DU67" i="21"/>
  <c r="AV67" i="21"/>
  <c r="AW67" i="21" s="1"/>
  <c r="EX63" i="21"/>
  <c r="DS63" i="21" s="1"/>
  <c r="EW150" i="21"/>
  <c r="EX150" i="21" s="1"/>
  <c r="DR64" i="21"/>
  <c r="DQ64" i="21"/>
  <c r="DN66" i="21"/>
  <c r="EM66" i="21"/>
  <c r="EP66" i="21" s="1"/>
  <c r="EQ66" i="21" s="1"/>
  <c r="DQ258" i="21"/>
  <c r="DR258" i="21" s="1"/>
  <c r="DS61" i="20"/>
  <c r="CQ61" i="20"/>
  <c r="CY61" i="20" s="1"/>
  <c r="CQ146" i="20"/>
  <c r="EX62" i="20"/>
  <c r="EX148" i="20"/>
  <c r="FL148" i="20"/>
  <c r="DF148" i="20"/>
  <c r="DR148" i="20"/>
  <c r="FL147" i="20"/>
  <c r="DF147" i="20"/>
  <c r="EW63" i="20"/>
  <c r="FB63" i="20" s="1"/>
  <c r="EW256" i="20"/>
  <c r="EX256" i="20" s="1"/>
  <c r="DN65" i="20"/>
  <c r="EM65" i="20"/>
  <c r="EP65" i="20" s="1"/>
  <c r="EQ65" i="20" s="1"/>
  <c r="CY59" i="20"/>
  <c r="FK59" i="20"/>
  <c r="DN258" i="20"/>
  <c r="EM258" i="20"/>
  <c r="EP258" i="20" s="1"/>
  <c r="EQ258" i="20" s="1"/>
  <c r="EW149" i="20"/>
  <c r="EX149" i="20" s="1"/>
  <c r="ES257" i="20"/>
  <c r="ER257" i="20"/>
  <c r="DQ256" i="20"/>
  <c r="DR256" i="20" s="1"/>
  <c r="DS255" i="20"/>
  <c r="CQ255" i="20"/>
  <c r="DP150" i="20"/>
  <c r="DO150" i="20"/>
  <c r="DU259" i="20"/>
  <c r="AV259" i="20"/>
  <c r="AW259" i="20" s="1"/>
  <c r="DQ149" i="20"/>
  <c r="DP257" i="20"/>
  <c r="DO257" i="20"/>
  <c r="CY254" i="20"/>
  <c r="AD254" i="20"/>
  <c r="FK254" i="20"/>
  <c r="FM254" i="20" s="1"/>
  <c r="DU66" i="20"/>
  <c r="AV66" i="20"/>
  <c r="AW66" i="20" s="1"/>
  <c r="DN151" i="20"/>
  <c r="EM151" i="20"/>
  <c r="EP151" i="20" s="1"/>
  <c r="EQ151" i="20" s="1"/>
  <c r="AU259" i="20"/>
  <c r="AR259" i="20"/>
  <c r="DU152" i="20"/>
  <c r="AV152" i="20"/>
  <c r="AW152" i="20" s="1"/>
  <c r="AU66" i="20"/>
  <c r="AR66" i="20"/>
  <c r="ES64" i="20"/>
  <c r="ER64" i="20"/>
  <c r="DQ63" i="20"/>
  <c r="DR62" i="20"/>
  <c r="AU152" i="20"/>
  <c r="AR152" i="20"/>
  <c r="AP261" i="20"/>
  <c r="AT260" i="20"/>
  <c r="AQ260" i="20"/>
  <c r="AP68" i="20"/>
  <c r="AT67" i="20"/>
  <c r="AQ67" i="20"/>
  <c r="ER150" i="20"/>
  <c r="ES150" i="20"/>
  <c r="DP64" i="20"/>
  <c r="DO64" i="20"/>
  <c r="DR147" i="20"/>
  <c r="DX62" i="5"/>
  <c r="CL62" i="5" s="1"/>
  <c r="DL62" i="5"/>
  <c r="EQ259" i="5"/>
  <c r="ER259" i="5" s="1"/>
  <c r="DK149" i="5"/>
  <c r="AJ68" i="5"/>
  <c r="AN67" i="5"/>
  <c r="AK67" i="5"/>
  <c r="DJ64" i="5"/>
  <c r="DI64" i="5"/>
  <c r="DH151" i="5"/>
  <c r="EG151" i="5"/>
  <c r="EJ151" i="5" s="1"/>
  <c r="EK151" i="5" s="1"/>
  <c r="AN263" i="5"/>
  <c r="AK263" i="5"/>
  <c r="DH65" i="5"/>
  <c r="EG65" i="5"/>
  <c r="EJ65" i="5" s="1"/>
  <c r="EK65" i="5" s="1"/>
  <c r="ER62" i="5"/>
  <c r="EV148" i="5"/>
  <c r="DX148" i="5" s="1"/>
  <c r="CL148" i="5" s="1"/>
  <c r="DO262" i="5"/>
  <c r="AP262" i="5"/>
  <c r="AQ262" i="5" s="1"/>
  <c r="EL260" i="5"/>
  <c r="EM260" i="5"/>
  <c r="DI260" i="5"/>
  <c r="DJ260" i="5"/>
  <c r="FG59" i="5"/>
  <c r="AL152" i="5"/>
  <c r="AO152" i="5"/>
  <c r="CT61" i="5"/>
  <c r="FF61" i="5"/>
  <c r="DO152" i="5"/>
  <c r="AP152" i="5"/>
  <c r="AQ152" i="5" s="1"/>
  <c r="CZ147" i="5"/>
  <c r="FF147" i="5"/>
  <c r="EM150" i="5"/>
  <c r="EL150" i="5"/>
  <c r="DO66" i="5"/>
  <c r="AP66" i="5"/>
  <c r="AQ66" i="5" s="1"/>
  <c r="DM258" i="5"/>
  <c r="CK258" i="5"/>
  <c r="CY145" i="5"/>
  <c r="FE145" i="5"/>
  <c r="FG145" i="5" s="1"/>
  <c r="X145" i="5"/>
  <c r="EQ63" i="5"/>
  <c r="ER63" i="5" s="1"/>
  <c r="DK259" i="5"/>
  <c r="DL259" i="5" s="1"/>
  <c r="CY257" i="5"/>
  <c r="FE257" i="5"/>
  <c r="FG257" i="5" s="1"/>
  <c r="DI150" i="5"/>
  <c r="DJ150" i="5"/>
  <c r="DK63" i="5"/>
  <c r="AN153" i="5"/>
  <c r="AK153" i="5"/>
  <c r="AO262" i="5"/>
  <c r="AL262" i="5"/>
  <c r="AO66" i="5"/>
  <c r="AL66" i="5"/>
  <c r="DH261" i="5"/>
  <c r="EG261" i="5"/>
  <c r="EJ261" i="5" s="1"/>
  <c r="EK261" i="5" s="1"/>
  <c r="EQ149" i="5"/>
  <c r="ER149" i="5" s="1"/>
  <c r="DL147" i="5"/>
  <c r="EL64" i="5"/>
  <c r="EM64" i="5"/>
  <c r="DL61" i="5"/>
  <c r="AJ264" i="5"/>
  <c r="DS62" i="20" l="1"/>
  <c r="FK61" i="20"/>
  <c r="FM61" i="20" s="1"/>
  <c r="FK60" i="20"/>
  <c r="FM60" i="20" s="1"/>
  <c r="CY60" i="20"/>
  <c r="DS258" i="21"/>
  <c r="CQ258" i="21"/>
  <c r="DR150" i="21"/>
  <c r="AU262" i="21"/>
  <c r="AR262" i="21"/>
  <c r="ER66" i="21"/>
  <c r="ES66" i="21"/>
  <c r="DU262" i="21"/>
  <c r="AV262" i="21"/>
  <c r="AW262" i="21" s="1"/>
  <c r="DE147" i="21"/>
  <c r="AD147" i="21"/>
  <c r="FK147" i="21"/>
  <c r="FM147" i="21" s="1"/>
  <c r="CQ64" i="21"/>
  <c r="DS64" i="21"/>
  <c r="ES260" i="21"/>
  <c r="ER260" i="21"/>
  <c r="DF148" i="21"/>
  <c r="FL148" i="21"/>
  <c r="FK61" i="21"/>
  <c r="CY61" i="21"/>
  <c r="DN67" i="21"/>
  <c r="EM67" i="21"/>
  <c r="EP67" i="21" s="1"/>
  <c r="EQ67" i="21" s="1"/>
  <c r="DP260" i="21"/>
  <c r="DO260" i="21"/>
  <c r="FB150" i="21"/>
  <c r="ED150" i="21" s="1"/>
  <c r="CR150" i="21" s="1"/>
  <c r="AP70" i="21"/>
  <c r="AT69" i="21"/>
  <c r="AQ69" i="21"/>
  <c r="AR68" i="21"/>
  <c r="AU68" i="21"/>
  <c r="EW151" i="21"/>
  <c r="FB151" i="21" s="1"/>
  <c r="ED151" i="21" s="1"/>
  <c r="CR151" i="21" s="1"/>
  <c r="FB65" i="21"/>
  <c r="ED65" i="21" s="1"/>
  <c r="CR65" i="21" s="1"/>
  <c r="EW65" i="21"/>
  <c r="EX65" i="21" s="1"/>
  <c r="EW259" i="21"/>
  <c r="EX259" i="21" s="1"/>
  <c r="DQ65" i="21"/>
  <c r="DR65" i="21" s="1"/>
  <c r="AD257" i="21"/>
  <c r="FK257" i="21"/>
  <c r="FM257" i="21" s="1"/>
  <c r="DE257" i="21"/>
  <c r="AP264" i="21"/>
  <c r="AT263" i="21"/>
  <c r="AQ263" i="21"/>
  <c r="DQ151" i="21"/>
  <c r="DR151" i="21" s="1"/>
  <c r="ES152" i="21"/>
  <c r="ER152" i="21"/>
  <c r="FK149" i="21"/>
  <c r="FM149" i="21" s="1"/>
  <c r="DE149" i="21"/>
  <c r="AD149" i="21"/>
  <c r="DP66" i="21"/>
  <c r="DO66" i="21"/>
  <c r="DS148" i="21"/>
  <c r="CQ148" i="21"/>
  <c r="FL64" i="21"/>
  <c r="CZ64" i="21"/>
  <c r="DU68" i="21"/>
  <c r="AV68" i="21"/>
  <c r="AW68" i="21" s="1"/>
  <c r="DN261" i="21"/>
  <c r="EM261" i="21"/>
  <c r="EP261" i="21" s="1"/>
  <c r="EQ261" i="21" s="1"/>
  <c r="DQ259" i="21"/>
  <c r="DR259" i="21" s="1"/>
  <c r="DO152" i="21"/>
  <c r="DP152" i="21"/>
  <c r="EX63" i="20"/>
  <c r="FK146" i="20"/>
  <c r="FM146" i="20" s="1"/>
  <c r="DE146" i="20"/>
  <c r="AD146" i="20"/>
  <c r="EV149" i="5"/>
  <c r="DX149" i="5" s="1"/>
  <c r="CL149" i="5" s="1"/>
  <c r="FF149" i="5" s="1"/>
  <c r="ED63" i="20"/>
  <c r="DR63" i="20"/>
  <c r="DS63" i="20" s="1"/>
  <c r="DS256" i="20"/>
  <c r="CQ256" i="20"/>
  <c r="DS147" i="20"/>
  <c r="CQ147" i="20"/>
  <c r="AU260" i="20"/>
  <c r="AR260" i="20"/>
  <c r="EW64" i="20"/>
  <c r="FB64" i="20" s="1"/>
  <c r="DQ257" i="20"/>
  <c r="DR257" i="20" s="1"/>
  <c r="AP262" i="20"/>
  <c r="AT261" i="20"/>
  <c r="AQ261" i="20"/>
  <c r="DO151" i="20"/>
  <c r="DP151" i="20"/>
  <c r="FB149" i="20"/>
  <c r="ES65" i="20"/>
  <c r="ER65" i="20"/>
  <c r="EW150" i="20"/>
  <c r="EX150" i="20" s="1"/>
  <c r="DN66" i="20"/>
  <c r="EM66" i="20"/>
  <c r="EP66" i="20" s="1"/>
  <c r="EQ66" i="20" s="1"/>
  <c r="DP65" i="20"/>
  <c r="DO65" i="20"/>
  <c r="DS148" i="20"/>
  <c r="CQ148" i="20"/>
  <c r="DQ64" i="20"/>
  <c r="ES151" i="20"/>
  <c r="ER151" i="20"/>
  <c r="CY255" i="20"/>
  <c r="AD255" i="20"/>
  <c r="FK255" i="20"/>
  <c r="FM255" i="20" s="1"/>
  <c r="FM59" i="20"/>
  <c r="AR67" i="20"/>
  <c r="AU67" i="20"/>
  <c r="DU67" i="20"/>
  <c r="AV67" i="20"/>
  <c r="AW67" i="20" s="1"/>
  <c r="DN152" i="20"/>
  <c r="EM152" i="20"/>
  <c r="EP152" i="20" s="1"/>
  <c r="EQ152" i="20" s="1"/>
  <c r="DN259" i="20"/>
  <c r="EM259" i="20"/>
  <c r="EP259" i="20" s="1"/>
  <c r="EQ259" i="20" s="1"/>
  <c r="ES258" i="20"/>
  <c r="ER258" i="20"/>
  <c r="DU260" i="20"/>
  <c r="AV260" i="20"/>
  <c r="AW260" i="20" s="1"/>
  <c r="AP69" i="20"/>
  <c r="AT68" i="20"/>
  <c r="AQ68" i="20"/>
  <c r="DQ150" i="20"/>
  <c r="EW257" i="20"/>
  <c r="EX257" i="20" s="1"/>
  <c r="DO258" i="20"/>
  <c r="DP258" i="20"/>
  <c r="DM259" i="5"/>
  <c r="CK259" i="5"/>
  <c r="X259" i="5" s="1"/>
  <c r="AO263" i="5"/>
  <c r="AL263" i="5"/>
  <c r="AJ69" i="5"/>
  <c r="AN68" i="5"/>
  <c r="AK68" i="5"/>
  <c r="DO153" i="5"/>
  <c r="AP153" i="5"/>
  <c r="AQ153" i="5" s="1"/>
  <c r="DH152" i="5"/>
  <c r="EG152" i="5"/>
  <c r="EJ152" i="5" s="1"/>
  <c r="EK152" i="5" s="1"/>
  <c r="EQ260" i="5"/>
  <c r="ER260" i="5" s="1"/>
  <c r="DO263" i="5"/>
  <c r="AP263" i="5"/>
  <c r="AQ263" i="5" s="1"/>
  <c r="EL151" i="5"/>
  <c r="EM151" i="5"/>
  <c r="AL153" i="5"/>
  <c r="AO153" i="5"/>
  <c r="EL261" i="5"/>
  <c r="EM261" i="5"/>
  <c r="CK61" i="5"/>
  <c r="DM61" i="5"/>
  <c r="DI261" i="5"/>
  <c r="DJ261" i="5"/>
  <c r="EV63" i="5"/>
  <c r="DX63" i="5" s="1"/>
  <c r="DH66" i="5"/>
  <c r="EG66" i="5"/>
  <c r="EJ66" i="5" s="1"/>
  <c r="EK66" i="5" s="1"/>
  <c r="DH262" i="5"/>
  <c r="EG262" i="5"/>
  <c r="EJ262" i="5" s="1"/>
  <c r="EK262" i="5" s="1"/>
  <c r="DI151" i="5"/>
  <c r="DJ151" i="5"/>
  <c r="CZ148" i="5"/>
  <c r="FF148" i="5"/>
  <c r="DK64" i="5"/>
  <c r="CS258" i="5"/>
  <c r="FE258" i="5"/>
  <c r="FG258" i="5" s="1"/>
  <c r="EQ150" i="5"/>
  <c r="ER150" i="5" s="1"/>
  <c r="X258" i="5"/>
  <c r="EQ64" i="5"/>
  <c r="ER64" i="5" s="1"/>
  <c r="DK150" i="5"/>
  <c r="CK62" i="5"/>
  <c r="DM62" i="5"/>
  <c r="CK147" i="5"/>
  <c r="DM147" i="5"/>
  <c r="EL65" i="5"/>
  <c r="EM65" i="5"/>
  <c r="AO67" i="5"/>
  <c r="AL67" i="5"/>
  <c r="CT62" i="5"/>
  <c r="FF62" i="5"/>
  <c r="AN264" i="5"/>
  <c r="AK264" i="5"/>
  <c r="DK260" i="5"/>
  <c r="DL260" i="5" s="1"/>
  <c r="DJ65" i="5"/>
  <c r="DI65" i="5"/>
  <c r="DO67" i="5"/>
  <c r="AP67" i="5"/>
  <c r="AQ67" i="5" s="1"/>
  <c r="DL148" i="5"/>
  <c r="AJ265" i="5"/>
  <c r="CQ259" i="21" l="1"/>
  <c r="DS259" i="21"/>
  <c r="CQ151" i="21"/>
  <c r="DS65" i="21"/>
  <c r="CQ65" i="21"/>
  <c r="DF151" i="21"/>
  <c r="FL151" i="21"/>
  <c r="FM61" i="21"/>
  <c r="DN68" i="21"/>
  <c r="EM68" i="21"/>
  <c r="EP68" i="21" s="1"/>
  <c r="EQ68" i="21" s="1"/>
  <c r="ER67" i="21"/>
  <c r="ES67" i="21"/>
  <c r="DQ260" i="21"/>
  <c r="DR260" i="21" s="1"/>
  <c r="FK148" i="21"/>
  <c r="FM148" i="21" s="1"/>
  <c r="DE148" i="21"/>
  <c r="AD148" i="21"/>
  <c r="AU263" i="21"/>
  <c r="AR263" i="21"/>
  <c r="AT264" i="21"/>
  <c r="AP265" i="21"/>
  <c r="AQ264" i="21"/>
  <c r="EW260" i="21"/>
  <c r="EX260" i="21" s="1"/>
  <c r="EX151" i="21"/>
  <c r="DS151" i="21" s="1"/>
  <c r="DN262" i="21"/>
  <c r="EM262" i="21"/>
  <c r="EP262" i="21" s="1"/>
  <c r="EQ262" i="21" s="1"/>
  <c r="DO261" i="21"/>
  <c r="DP261" i="21"/>
  <c r="DQ66" i="21"/>
  <c r="CY64" i="21"/>
  <c r="FK64" i="21"/>
  <c r="FM64" i="21" s="1"/>
  <c r="EW66" i="21"/>
  <c r="FB66" i="21" s="1"/>
  <c r="ED66" i="21" s="1"/>
  <c r="CR66" i="21" s="1"/>
  <c r="DP67" i="21"/>
  <c r="DO67" i="21"/>
  <c r="CZ65" i="21"/>
  <c r="FL65" i="21"/>
  <c r="AU69" i="21"/>
  <c r="AR69" i="21"/>
  <c r="DU69" i="21"/>
  <c r="AV69" i="21"/>
  <c r="AW69" i="21" s="1"/>
  <c r="DS150" i="21"/>
  <c r="CQ150" i="21"/>
  <c r="ER261" i="21"/>
  <c r="ES261" i="21"/>
  <c r="EW152" i="21"/>
  <c r="FB152" i="21" s="1"/>
  <c r="ED152" i="21" s="1"/>
  <c r="CR152" i="21" s="1"/>
  <c r="AT70" i="21"/>
  <c r="AP71" i="21"/>
  <c r="AQ70" i="21"/>
  <c r="DE258" i="21"/>
  <c r="FK258" i="21"/>
  <c r="FM258" i="21" s="1"/>
  <c r="AD258" i="21"/>
  <c r="DU263" i="21"/>
  <c r="AV263" i="21"/>
  <c r="AW263" i="21" s="1"/>
  <c r="DQ152" i="21"/>
  <c r="DF150" i="21"/>
  <c r="FL150" i="21"/>
  <c r="FB150" i="20"/>
  <c r="EX64" i="20"/>
  <c r="CZ149" i="5"/>
  <c r="EV64" i="5"/>
  <c r="DX64" i="5" s="1"/>
  <c r="DL149" i="5"/>
  <c r="ED64" i="20"/>
  <c r="CR64" i="20" s="1"/>
  <c r="DR64" i="20"/>
  <c r="DS257" i="20"/>
  <c r="CQ257" i="20"/>
  <c r="DU68" i="20"/>
  <c r="AV68" i="20"/>
  <c r="AW68" i="20" s="1"/>
  <c r="DQ258" i="20"/>
  <c r="DR258" i="20" s="1"/>
  <c r="ED149" i="20"/>
  <c r="CR149" i="20" s="1"/>
  <c r="DR149" i="20"/>
  <c r="DN67" i="20"/>
  <c r="EM67" i="20"/>
  <c r="EP67" i="20" s="1"/>
  <c r="EQ67" i="20" s="1"/>
  <c r="EW151" i="20"/>
  <c r="EX151" i="20" s="1"/>
  <c r="ES66" i="20"/>
  <c r="ER66" i="20"/>
  <c r="DP66" i="20"/>
  <c r="DO66" i="20"/>
  <c r="DQ151" i="20"/>
  <c r="DE147" i="20"/>
  <c r="AD147" i="20"/>
  <c r="FK147" i="20"/>
  <c r="FM147" i="20" s="1"/>
  <c r="DN260" i="20"/>
  <c r="EM260" i="20"/>
  <c r="EP260" i="20" s="1"/>
  <c r="EQ260" i="20" s="1"/>
  <c r="EW258" i="20"/>
  <c r="EX258" i="20" s="1"/>
  <c r="AU261" i="20"/>
  <c r="AR261" i="20"/>
  <c r="DU261" i="20"/>
  <c r="AV261" i="20"/>
  <c r="AW261" i="20" s="1"/>
  <c r="AD256" i="20"/>
  <c r="DE256" i="20"/>
  <c r="FK256" i="20"/>
  <c r="FM256" i="20" s="1"/>
  <c r="ES259" i="20"/>
  <c r="ER259" i="20"/>
  <c r="AU68" i="20"/>
  <c r="AR68" i="20"/>
  <c r="DP259" i="20"/>
  <c r="DO259" i="20"/>
  <c r="FK148" i="20"/>
  <c r="FM148" i="20" s="1"/>
  <c r="DE148" i="20"/>
  <c r="AD148" i="20"/>
  <c r="AP263" i="20"/>
  <c r="AT262" i="20"/>
  <c r="AQ262" i="20"/>
  <c r="ER152" i="20"/>
  <c r="ES152" i="20"/>
  <c r="EW65" i="20"/>
  <c r="EX65" i="20" s="1"/>
  <c r="AP70" i="20"/>
  <c r="AT69" i="20"/>
  <c r="AQ69" i="20"/>
  <c r="DP152" i="20"/>
  <c r="DO152" i="20"/>
  <c r="DQ65" i="20"/>
  <c r="DM260" i="5"/>
  <c r="CK260" i="5"/>
  <c r="AJ70" i="5"/>
  <c r="AN69" i="5"/>
  <c r="AK69" i="5"/>
  <c r="AN265" i="5"/>
  <c r="AK265" i="5"/>
  <c r="DM148" i="5"/>
  <c r="CK148" i="5"/>
  <c r="DO264" i="5"/>
  <c r="AP264" i="5"/>
  <c r="AQ264" i="5" s="1"/>
  <c r="EQ65" i="5"/>
  <c r="EV65" i="5" s="1"/>
  <c r="DX65" i="5" s="1"/>
  <c r="CL65" i="5" s="1"/>
  <c r="EL262" i="5"/>
  <c r="EM262" i="5"/>
  <c r="FE61" i="5"/>
  <c r="CS61" i="5"/>
  <c r="DH263" i="5"/>
  <c r="EG263" i="5"/>
  <c r="EJ263" i="5" s="1"/>
  <c r="EK263" i="5" s="1"/>
  <c r="EM152" i="5"/>
  <c r="EL152" i="5"/>
  <c r="EV150" i="5"/>
  <c r="DX150" i="5" s="1"/>
  <c r="CL150" i="5" s="1"/>
  <c r="DI262" i="5"/>
  <c r="DJ262" i="5"/>
  <c r="DJ152" i="5"/>
  <c r="DI152" i="5"/>
  <c r="FE259" i="5"/>
  <c r="FG259" i="5" s="1"/>
  <c r="CS259" i="5"/>
  <c r="DH67" i="5"/>
  <c r="EG67" i="5"/>
  <c r="EJ67" i="5" s="1"/>
  <c r="EK67" i="5" s="1"/>
  <c r="FE147" i="5"/>
  <c r="FG147" i="5" s="1"/>
  <c r="CY147" i="5"/>
  <c r="X147" i="5"/>
  <c r="EL66" i="5"/>
  <c r="EM66" i="5"/>
  <c r="EQ261" i="5"/>
  <c r="ER261" i="5" s="1"/>
  <c r="DK261" i="5"/>
  <c r="DL261" i="5" s="1"/>
  <c r="DK151" i="5"/>
  <c r="DJ66" i="5"/>
  <c r="DI66" i="5"/>
  <c r="DH153" i="5"/>
  <c r="EG153" i="5"/>
  <c r="EJ153" i="5" s="1"/>
  <c r="EK153" i="5" s="1"/>
  <c r="CS62" i="5"/>
  <c r="FE62" i="5"/>
  <c r="FG62" i="5" s="1"/>
  <c r="EQ151" i="5"/>
  <c r="ER151" i="5" s="1"/>
  <c r="AL264" i="5"/>
  <c r="AO264" i="5"/>
  <c r="DK65" i="5"/>
  <c r="AL68" i="5"/>
  <c r="AO68" i="5"/>
  <c r="DO68" i="5"/>
  <c r="AP68" i="5"/>
  <c r="AQ68" i="5" s="1"/>
  <c r="DL63" i="5"/>
  <c r="DM63" i="5" s="1"/>
  <c r="AJ266" i="5"/>
  <c r="CQ260" i="21" l="1"/>
  <c r="DS260" i="21"/>
  <c r="DF152" i="21"/>
  <c r="FL152" i="21"/>
  <c r="CR12" i="21"/>
  <c r="CR13" i="21"/>
  <c r="CR10" i="21"/>
  <c r="CR11" i="21" s="1"/>
  <c r="CZ66" i="21"/>
  <c r="FL66" i="21"/>
  <c r="DR152" i="21"/>
  <c r="DR66" i="21"/>
  <c r="ER68" i="21"/>
  <c r="ES68" i="21"/>
  <c r="DP68" i="21"/>
  <c r="DO68" i="21"/>
  <c r="DU264" i="21"/>
  <c r="AV264" i="21"/>
  <c r="AW264" i="21" s="1"/>
  <c r="DN263" i="21"/>
  <c r="EM263" i="21"/>
  <c r="EP263" i="21" s="1"/>
  <c r="EQ263" i="21" s="1"/>
  <c r="AR70" i="21"/>
  <c r="AU70" i="21"/>
  <c r="DU70" i="21"/>
  <c r="AV70" i="21"/>
  <c r="AW70" i="21" s="1"/>
  <c r="DQ261" i="21"/>
  <c r="DR261" i="21"/>
  <c r="DQ67" i="21"/>
  <c r="ER262" i="21"/>
  <c r="ES262" i="21"/>
  <c r="CY65" i="21"/>
  <c r="FK65" i="21"/>
  <c r="FM65" i="21" s="1"/>
  <c r="AT265" i="21"/>
  <c r="AP266" i="21"/>
  <c r="AQ265" i="21"/>
  <c r="EX66" i="21"/>
  <c r="DP262" i="21"/>
  <c r="DO262" i="21"/>
  <c r="AD151" i="21"/>
  <c r="DE151" i="21"/>
  <c r="FK151" i="21"/>
  <c r="FM151" i="21" s="1"/>
  <c r="DN69" i="21"/>
  <c r="EM69" i="21"/>
  <c r="EP69" i="21" s="1"/>
  <c r="EQ69" i="21" s="1"/>
  <c r="EW261" i="21"/>
  <c r="EX261" i="21" s="1"/>
  <c r="EW67" i="21"/>
  <c r="FB67" i="21" s="1"/>
  <c r="ED67" i="21" s="1"/>
  <c r="CR67" i="21" s="1"/>
  <c r="AT71" i="21"/>
  <c r="AP72" i="21"/>
  <c r="AQ71" i="21"/>
  <c r="EX152" i="21"/>
  <c r="AD150" i="21"/>
  <c r="DE150" i="21"/>
  <c r="FK150" i="21"/>
  <c r="FM150" i="21" s="1"/>
  <c r="AR264" i="21"/>
  <c r="AU264" i="21"/>
  <c r="FK259" i="21"/>
  <c r="FM259" i="21" s="1"/>
  <c r="AD259" i="21"/>
  <c r="DE259" i="21"/>
  <c r="FB65" i="20"/>
  <c r="ED65" i="20" s="1"/>
  <c r="CR65" i="20" s="1"/>
  <c r="FL65" i="20" s="1"/>
  <c r="ED150" i="20"/>
  <c r="CR150" i="20" s="1"/>
  <c r="DR150" i="20"/>
  <c r="EV151" i="5"/>
  <c r="DX151" i="5" s="1"/>
  <c r="CL151" i="5" s="1"/>
  <c r="DL64" i="5"/>
  <c r="DM64" i="5" s="1"/>
  <c r="DM149" i="5"/>
  <c r="CK149" i="5"/>
  <c r="DU69" i="20"/>
  <c r="AV69" i="20"/>
  <c r="AW69" i="20" s="1"/>
  <c r="DU262" i="20"/>
  <c r="AV262" i="20"/>
  <c r="AW262" i="20" s="1"/>
  <c r="EW259" i="20"/>
  <c r="EX259" i="20" s="1"/>
  <c r="FB151" i="20"/>
  <c r="AP264" i="20"/>
  <c r="AT263" i="20"/>
  <c r="AQ263" i="20"/>
  <c r="DS258" i="20"/>
  <c r="CQ258" i="20"/>
  <c r="DQ152" i="20"/>
  <c r="DN68" i="20"/>
  <c r="EM68" i="20"/>
  <c r="EP68" i="20" s="1"/>
  <c r="EQ68" i="20" s="1"/>
  <c r="ER67" i="20"/>
  <c r="ES67" i="20"/>
  <c r="AD257" i="20"/>
  <c r="DE257" i="20"/>
  <c r="FK257" i="20"/>
  <c r="FM257" i="20" s="1"/>
  <c r="AU69" i="20"/>
  <c r="AR69" i="20"/>
  <c r="DQ259" i="20"/>
  <c r="DR259" i="20" s="1"/>
  <c r="DQ66" i="20"/>
  <c r="DO67" i="20"/>
  <c r="DP67" i="20"/>
  <c r="EW152" i="20"/>
  <c r="EX152" i="20" s="1"/>
  <c r="ES260" i="20"/>
  <c r="ER260" i="20"/>
  <c r="DS149" i="20"/>
  <c r="CQ149" i="20"/>
  <c r="DS64" i="20"/>
  <c r="CQ64" i="20"/>
  <c r="AT70" i="20"/>
  <c r="AP71" i="20"/>
  <c r="AQ70" i="20"/>
  <c r="AU262" i="20"/>
  <c r="AR262" i="20"/>
  <c r="DN261" i="20"/>
  <c r="EM261" i="20"/>
  <c r="EP261" i="20" s="1"/>
  <c r="EQ261" i="20" s="1"/>
  <c r="DO260" i="20"/>
  <c r="DP260" i="20"/>
  <c r="EW66" i="20"/>
  <c r="EX66" i="20" s="1"/>
  <c r="FL149" i="20"/>
  <c r="DF149" i="20"/>
  <c r="FL64" i="20"/>
  <c r="CZ64" i="20"/>
  <c r="FF65" i="5"/>
  <c r="CT65" i="5"/>
  <c r="DL65" i="5"/>
  <c r="DM261" i="5"/>
  <c r="CK261" i="5"/>
  <c r="DK152" i="5"/>
  <c r="EL263" i="5"/>
  <c r="EM263" i="5"/>
  <c r="ER65" i="5"/>
  <c r="AL69" i="5"/>
  <c r="AO69" i="5"/>
  <c r="EQ152" i="5"/>
  <c r="ER152" i="5" s="1"/>
  <c r="DI263" i="5"/>
  <c r="DJ263" i="5"/>
  <c r="DO69" i="5"/>
  <c r="AP69" i="5"/>
  <c r="AQ69" i="5" s="1"/>
  <c r="EQ66" i="5"/>
  <c r="ER66" i="5" s="1"/>
  <c r="EL153" i="5"/>
  <c r="EM153" i="5"/>
  <c r="AJ71" i="5"/>
  <c r="AN70" i="5"/>
  <c r="AK70" i="5"/>
  <c r="AL265" i="5"/>
  <c r="AO265" i="5"/>
  <c r="DO265" i="5"/>
  <c r="AP265" i="5"/>
  <c r="AQ265" i="5" s="1"/>
  <c r="DJ153" i="5"/>
  <c r="DI153" i="5"/>
  <c r="DK262" i="5"/>
  <c r="DL262" i="5" s="1"/>
  <c r="FG61" i="5"/>
  <c r="DH264" i="5"/>
  <c r="EG264" i="5"/>
  <c r="EJ264" i="5" s="1"/>
  <c r="EK264" i="5" s="1"/>
  <c r="FE260" i="5"/>
  <c r="FG260" i="5" s="1"/>
  <c r="CY260" i="5"/>
  <c r="CY148" i="5"/>
  <c r="FE148" i="5"/>
  <c r="FG148" i="5" s="1"/>
  <c r="X148" i="5"/>
  <c r="DH68" i="5"/>
  <c r="EG68" i="5"/>
  <c r="EJ68" i="5" s="1"/>
  <c r="EK68" i="5" s="1"/>
  <c r="CZ151" i="5"/>
  <c r="FF151" i="5"/>
  <c r="DK66" i="5"/>
  <c r="EM67" i="5"/>
  <c r="EL67" i="5"/>
  <c r="AN266" i="5"/>
  <c r="AK266" i="5"/>
  <c r="DI67" i="5"/>
  <c r="DJ67" i="5"/>
  <c r="CZ150" i="5"/>
  <c r="FF150" i="5"/>
  <c r="EQ262" i="5"/>
  <c r="ER262" i="5" s="1"/>
  <c r="DL150" i="5"/>
  <c r="AJ267" i="5"/>
  <c r="X260" i="5"/>
  <c r="CZ67" i="21" l="1"/>
  <c r="FL67" i="21"/>
  <c r="DR67" i="21"/>
  <c r="ES69" i="21"/>
  <c r="ER69" i="21"/>
  <c r="DQ262" i="21"/>
  <c r="DR262" i="21" s="1"/>
  <c r="DS152" i="21"/>
  <c r="CQ152" i="21"/>
  <c r="AP267" i="21"/>
  <c r="AT266" i="21"/>
  <c r="AQ266" i="21"/>
  <c r="DN264" i="21"/>
  <c r="EM264" i="21"/>
  <c r="EP264" i="21" s="1"/>
  <c r="EQ264" i="21" s="1"/>
  <c r="AU71" i="21"/>
  <c r="AR71" i="21"/>
  <c r="DU265" i="21"/>
  <c r="AV265" i="21"/>
  <c r="AW265" i="21" s="1"/>
  <c r="EW262" i="21"/>
  <c r="EX262" i="21" s="1"/>
  <c r="DS66" i="21"/>
  <c r="CQ66" i="21"/>
  <c r="AP73" i="21"/>
  <c r="AT72" i="21"/>
  <c r="AQ72" i="21"/>
  <c r="EX67" i="21"/>
  <c r="DN70" i="21"/>
  <c r="EM70" i="21"/>
  <c r="EP70" i="21" s="1"/>
  <c r="EQ70" i="21" s="1"/>
  <c r="DP69" i="21"/>
  <c r="DO69" i="21"/>
  <c r="DS261" i="21"/>
  <c r="CQ261" i="21"/>
  <c r="DF12" i="21"/>
  <c r="DF13" i="21"/>
  <c r="DF10" i="21"/>
  <c r="DF11" i="21" s="1"/>
  <c r="DQ68" i="21"/>
  <c r="AU265" i="21"/>
  <c r="AR265" i="21"/>
  <c r="DP263" i="21"/>
  <c r="DO263" i="21"/>
  <c r="EW68" i="21"/>
  <c r="FB68" i="21" s="1"/>
  <c r="ED68" i="21" s="1"/>
  <c r="CR68" i="21" s="1"/>
  <c r="DU71" i="21"/>
  <c r="AV71" i="21"/>
  <c r="AW71" i="21" s="1"/>
  <c r="ES263" i="21"/>
  <c r="ER263" i="21"/>
  <c r="CY260" i="21"/>
  <c r="AD260" i="21"/>
  <c r="FK260" i="21"/>
  <c r="FM260" i="21" s="1"/>
  <c r="CZ65" i="20"/>
  <c r="DR65" i="20"/>
  <c r="CQ65" i="20" s="1"/>
  <c r="CY65" i="20" s="1"/>
  <c r="DS150" i="20"/>
  <c r="CQ150" i="20"/>
  <c r="DF150" i="20"/>
  <c r="FL150" i="20"/>
  <c r="DL151" i="5"/>
  <c r="EV152" i="5"/>
  <c r="DX152" i="5" s="1"/>
  <c r="CL152" i="5" s="1"/>
  <c r="EV66" i="5"/>
  <c r="DX66" i="5" s="1"/>
  <c r="CL66" i="5" s="1"/>
  <c r="CT66" i="5" s="1"/>
  <c r="X149" i="5"/>
  <c r="CY149" i="5"/>
  <c r="FE149" i="5"/>
  <c r="FG149" i="5" s="1"/>
  <c r="EW260" i="20"/>
  <c r="EX260" i="20" s="1"/>
  <c r="FB66" i="20"/>
  <c r="AR70" i="20"/>
  <c r="AU70" i="20"/>
  <c r="EW67" i="20"/>
  <c r="FB67" i="20" s="1"/>
  <c r="ED67" i="20" s="1"/>
  <c r="CR67" i="20" s="1"/>
  <c r="DN262" i="20"/>
  <c r="EM262" i="20"/>
  <c r="EP262" i="20" s="1"/>
  <c r="EQ262" i="20" s="1"/>
  <c r="AP72" i="20"/>
  <c r="AT71" i="20"/>
  <c r="AQ71" i="20"/>
  <c r="DS259" i="20"/>
  <c r="CQ259" i="20"/>
  <c r="AU263" i="20"/>
  <c r="AR263" i="20"/>
  <c r="DU70" i="20"/>
  <c r="AV70" i="20"/>
  <c r="AW70" i="20" s="1"/>
  <c r="FB152" i="20"/>
  <c r="ED152" i="20" s="1"/>
  <c r="CR152" i="20" s="1"/>
  <c r="DU263" i="20"/>
  <c r="AV263" i="20"/>
  <c r="AW263" i="20" s="1"/>
  <c r="DQ260" i="20"/>
  <c r="DR260" i="20" s="1"/>
  <c r="CY64" i="20"/>
  <c r="FK64" i="20"/>
  <c r="ES68" i="20"/>
  <c r="ER68" i="20"/>
  <c r="AP265" i="20"/>
  <c r="AT264" i="20"/>
  <c r="AQ264" i="20"/>
  <c r="ED151" i="20"/>
  <c r="CR151" i="20" s="1"/>
  <c r="DR151" i="20"/>
  <c r="DE149" i="20"/>
  <c r="AD149" i="20"/>
  <c r="FK149" i="20"/>
  <c r="FM149" i="20" s="1"/>
  <c r="DQ67" i="20"/>
  <c r="DN69" i="20"/>
  <c r="EM69" i="20"/>
  <c r="EP69" i="20" s="1"/>
  <c r="EQ69" i="20" s="1"/>
  <c r="ES261" i="20"/>
  <c r="ER261" i="20"/>
  <c r="DP68" i="20"/>
  <c r="DO68" i="20"/>
  <c r="DP261" i="20"/>
  <c r="DO261" i="20"/>
  <c r="AD258" i="20"/>
  <c r="DE258" i="20"/>
  <c r="FK258" i="20"/>
  <c r="FM258" i="20" s="1"/>
  <c r="DM150" i="5"/>
  <c r="CK150" i="5"/>
  <c r="DI68" i="5"/>
  <c r="DJ68" i="5"/>
  <c r="DK153" i="5"/>
  <c r="AJ72" i="5"/>
  <c r="AN71" i="5"/>
  <c r="AK71" i="5"/>
  <c r="FF152" i="5"/>
  <c r="CZ152" i="5"/>
  <c r="DL152" i="5"/>
  <c r="DK67" i="5"/>
  <c r="EM264" i="5"/>
  <c r="EL264" i="5"/>
  <c r="AO266" i="5"/>
  <c r="AL266" i="5"/>
  <c r="EM68" i="5"/>
  <c r="EL68" i="5"/>
  <c r="DI264" i="5"/>
  <c r="DJ264" i="5"/>
  <c r="DH265" i="5"/>
  <c r="EG265" i="5"/>
  <c r="EJ265" i="5" s="1"/>
  <c r="EK265" i="5" s="1"/>
  <c r="DM65" i="5"/>
  <c r="CK65" i="5"/>
  <c r="DH69" i="5"/>
  <c r="EG69" i="5"/>
  <c r="EJ69" i="5" s="1"/>
  <c r="EK69" i="5" s="1"/>
  <c r="CY261" i="5"/>
  <c r="FE261" i="5"/>
  <c r="FG261" i="5" s="1"/>
  <c r="AO70" i="5"/>
  <c r="AL70" i="5"/>
  <c r="DK263" i="5"/>
  <c r="DL263" i="5" s="1"/>
  <c r="EQ263" i="5"/>
  <c r="ER263" i="5" s="1"/>
  <c r="DO266" i="5"/>
  <c r="AP266" i="5"/>
  <c r="AQ266" i="5" s="1"/>
  <c r="AN267" i="5"/>
  <c r="AK267" i="5"/>
  <c r="EQ67" i="5"/>
  <c r="EV67" i="5" s="1"/>
  <c r="DX67" i="5" s="1"/>
  <c r="CL67" i="5" s="1"/>
  <c r="DM262" i="5"/>
  <c r="CK262" i="5"/>
  <c r="DO70" i="5"/>
  <c r="AP70" i="5"/>
  <c r="AQ70" i="5" s="1"/>
  <c r="EQ153" i="5"/>
  <c r="ER153" i="5" s="1"/>
  <c r="AJ268" i="5"/>
  <c r="X261" i="5"/>
  <c r="FK65" i="20" l="1"/>
  <c r="FM65" i="20" s="1"/>
  <c r="FL68" i="21"/>
  <c r="CZ68" i="21"/>
  <c r="DS262" i="21"/>
  <c r="CQ262" i="21"/>
  <c r="DR68" i="21"/>
  <c r="AU266" i="21"/>
  <c r="AR266" i="21"/>
  <c r="EX263" i="21"/>
  <c r="EW263" i="21"/>
  <c r="DE152" i="21"/>
  <c r="FK152" i="21"/>
  <c r="FM152" i="21" s="1"/>
  <c r="AD152" i="21"/>
  <c r="CQ12" i="21"/>
  <c r="T12" i="21" s="1"/>
  <c r="CQ10" i="21"/>
  <c r="CQ13" i="21"/>
  <c r="T13" i="21" s="1"/>
  <c r="DN265" i="21"/>
  <c r="EM265" i="21"/>
  <c r="EP265" i="21" s="1"/>
  <c r="EQ265" i="21" s="1"/>
  <c r="FB69" i="21"/>
  <c r="ED69" i="21" s="1"/>
  <c r="CR69" i="21" s="1"/>
  <c r="EW69" i="21"/>
  <c r="EX69" i="21" s="1"/>
  <c r="EX68" i="21"/>
  <c r="DO70" i="21"/>
  <c r="DP70" i="21"/>
  <c r="CQ67" i="21"/>
  <c r="DS67" i="21"/>
  <c r="DQ263" i="21"/>
  <c r="DR263" i="21" s="1"/>
  <c r="AU72" i="21"/>
  <c r="AR72" i="21"/>
  <c r="DO264" i="21"/>
  <c r="DP264" i="21"/>
  <c r="DU72" i="21"/>
  <c r="AV72" i="21"/>
  <c r="AW72" i="21" s="1"/>
  <c r="AT267" i="21"/>
  <c r="AP268" i="21"/>
  <c r="AQ267" i="21"/>
  <c r="ES70" i="21"/>
  <c r="ER70" i="21"/>
  <c r="AP74" i="21"/>
  <c r="AT73" i="21"/>
  <c r="AQ73" i="21"/>
  <c r="DN71" i="21"/>
  <c r="EM71" i="21"/>
  <c r="EP71" i="21" s="1"/>
  <c r="EQ71" i="21" s="1"/>
  <c r="CY66" i="21"/>
  <c r="FK66" i="21"/>
  <c r="FM66" i="21" s="1"/>
  <c r="AD261" i="21"/>
  <c r="CY261" i="21"/>
  <c r="FK261" i="21"/>
  <c r="FM261" i="21" s="1"/>
  <c r="DQ69" i="21"/>
  <c r="DR69" i="21" s="1"/>
  <c r="DU266" i="21"/>
  <c r="AV266" i="21"/>
  <c r="AW266" i="21" s="1"/>
  <c r="ES264" i="21"/>
  <c r="ER264" i="21"/>
  <c r="DS65" i="20"/>
  <c r="AD150" i="20"/>
  <c r="FK150" i="20"/>
  <c r="FM150" i="20" s="1"/>
  <c r="DE150" i="20"/>
  <c r="FF66" i="5"/>
  <c r="DL66" i="5"/>
  <c r="EV153" i="5"/>
  <c r="DX153" i="5" s="1"/>
  <c r="CL153" i="5" s="1"/>
  <c r="DM151" i="5"/>
  <c r="CK151" i="5"/>
  <c r="ER67" i="5"/>
  <c r="DL153" i="5"/>
  <c r="DM153" i="5" s="1"/>
  <c r="FL67" i="20"/>
  <c r="CZ67" i="20"/>
  <c r="DR67" i="20"/>
  <c r="DN263" i="20"/>
  <c r="EM263" i="20"/>
  <c r="EP263" i="20" s="1"/>
  <c r="EQ263" i="20" s="1"/>
  <c r="AR71" i="20"/>
  <c r="AU71" i="20"/>
  <c r="FL152" i="20"/>
  <c r="DF152" i="20"/>
  <c r="CR10" i="20"/>
  <c r="CR11" i="20" s="1"/>
  <c r="CR12" i="20"/>
  <c r="CR13" i="20"/>
  <c r="EW68" i="20"/>
  <c r="EX68" i="20" s="1"/>
  <c r="FM64" i="20"/>
  <c r="AP73" i="20"/>
  <c r="AT72" i="20"/>
  <c r="AQ72" i="20"/>
  <c r="ED66" i="20"/>
  <c r="CR66" i="20" s="1"/>
  <c r="DR66" i="20"/>
  <c r="DQ261" i="20"/>
  <c r="DR261" i="20" s="1"/>
  <c r="DU71" i="20"/>
  <c r="AV71" i="20"/>
  <c r="AW71" i="20" s="1"/>
  <c r="DQ68" i="20"/>
  <c r="DN70" i="20"/>
  <c r="EM70" i="20"/>
  <c r="EP70" i="20" s="1"/>
  <c r="EQ70" i="20" s="1"/>
  <c r="ES262" i="20"/>
  <c r="ER262" i="20"/>
  <c r="EW261" i="20"/>
  <c r="EX261" i="20" s="1"/>
  <c r="DO262" i="20"/>
  <c r="DP262" i="20"/>
  <c r="DS260" i="20"/>
  <c r="CQ260" i="20"/>
  <c r="AP266" i="20"/>
  <c r="AT265" i="20"/>
  <c r="AQ265" i="20"/>
  <c r="ER69" i="20"/>
  <c r="ES69" i="20"/>
  <c r="FL151" i="20"/>
  <c r="DF151" i="20"/>
  <c r="AD259" i="20"/>
  <c r="DE259" i="20"/>
  <c r="FK259" i="20"/>
  <c r="FM259" i="20" s="1"/>
  <c r="EX67" i="20"/>
  <c r="DU264" i="20"/>
  <c r="AV264" i="20"/>
  <c r="AW264" i="20" s="1"/>
  <c r="DS151" i="20"/>
  <c r="CQ151" i="20"/>
  <c r="DP69" i="20"/>
  <c r="DO69" i="20"/>
  <c r="AU264" i="20"/>
  <c r="AR264" i="20"/>
  <c r="DR152" i="20"/>
  <c r="DM263" i="5"/>
  <c r="CK263" i="5"/>
  <c r="DL67" i="5"/>
  <c r="CT67" i="5"/>
  <c r="FF67" i="5"/>
  <c r="DK264" i="5"/>
  <c r="DL264" i="5" s="1"/>
  <c r="DJ265" i="5"/>
  <c r="DI265" i="5"/>
  <c r="AJ73" i="5"/>
  <c r="AN72" i="5"/>
  <c r="AK72" i="5"/>
  <c r="DM152" i="5"/>
  <c r="CK152" i="5"/>
  <c r="DJ69" i="5"/>
  <c r="DI69" i="5"/>
  <c r="AN268" i="5"/>
  <c r="AK268" i="5"/>
  <c r="DO267" i="5"/>
  <c r="AP267" i="5"/>
  <c r="AQ267" i="5" s="1"/>
  <c r="DH70" i="5"/>
  <c r="EG70" i="5"/>
  <c r="EJ70" i="5" s="1"/>
  <c r="EK70" i="5" s="1"/>
  <c r="DH266" i="5"/>
  <c r="EG266" i="5"/>
  <c r="EJ266" i="5" s="1"/>
  <c r="EK266" i="5" s="1"/>
  <c r="CK66" i="5"/>
  <c r="DM66" i="5"/>
  <c r="CS65" i="5"/>
  <c r="FE65" i="5"/>
  <c r="DK68" i="5"/>
  <c r="CY262" i="5"/>
  <c r="FE262" i="5"/>
  <c r="FG262" i="5" s="1"/>
  <c r="EQ68" i="5"/>
  <c r="ER68" i="5" s="1"/>
  <c r="AL71" i="5"/>
  <c r="AO71" i="5"/>
  <c r="CY150" i="5"/>
  <c r="FE150" i="5"/>
  <c r="FG150" i="5" s="1"/>
  <c r="X150" i="5"/>
  <c r="AO267" i="5"/>
  <c r="AL267" i="5"/>
  <c r="EL69" i="5"/>
  <c r="EM69" i="5"/>
  <c r="FF153" i="5"/>
  <c r="CZ153" i="5"/>
  <c r="CL10" i="5"/>
  <c r="CL11" i="5" s="1"/>
  <c r="CL12" i="5"/>
  <c r="CL13" i="5"/>
  <c r="EL265" i="5"/>
  <c r="EM265" i="5"/>
  <c r="EQ264" i="5"/>
  <c r="ER264" i="5" s="1"/>
  <c r="DO71" i="5"/>
  <c r="AP71" i="5"/>
  <c r="AQ71" i="5" s="1"/>
  <c r="X152" i="5"/>
  <c r="X262" i="5"/>
  <c r="AJ269" i="5"/>
  <c r="DS69" i="21" l="1"/>
  <c r="CQ69" i="21"/>
  <c r="DS263" i="21"/>
  <c r="CQ263" i="21"/>
  <c r="AP75" i="21"/>
  <c r="AT74" i="21"/>
  <c r="AQ74" i="21"/>
  <c r="AU267" i="21"/>
  <c r="AR267" i="21"/>
  <c r="DU267" i="21"/>
  <c r="AV267" i="21"/>
  <c r="AW267" i="21" s="1"/>
  <c r="DE13" i="21"/>
  <c r="DE12" i="21"/>
  <c r="DE10" i="21"/>
  <c r="DE11" i="21" s="1"/>
  <c r="FL69" i="21"/>
  <c r="CZ69" i="21"/>
  <c r="DP265" i="21"/>
  <c r="DO265" i="21"/>
  <c r="EW70" i="21"/>
  <c r="EX70" i="21" s="1"/>
  <c r="EW264" i="21"/>
  <c r="EX264" i="21" s="1"/>
  <c r="DQ264" i="21"/>
  <c r="DR264" i="21" s="1"/>
  <c r="CQ68" i="21"/>
  <c r="DS68" i="21"/>
  <c r="ES265" i="21"/>
  <c r="ER265" i="21"/>
  <c r="DN72" i="21"/>
  <c r="EM72" i="21"/>
  <c r="EP72" i="21" s="1"/>
  <c r="EQ72" i="21" s="1"/>
  <c r="CY67" i="21"/>
  <c r="FK67" i="21"/>
  <c r="FM67" i="21" s="1"/>
  <c r="AP269" i="21"/>
  <c r="AT268" i="21"/>
  <c r="AQ268" i="21"/>
  <c r="DU73" i="21"/>
  <c r="AV73" i="21"/>
  <c r="AW73" i="21" s="1"/>
  <c r="FK262" i="21"/>
  <c r="FM262" i="21" s="1"/>
  <c r="AD262" i="21"/>
  <c r="DE262" i="21"/>
  <c r="DQ70" i="21"/>
  <c r="T10" i="21"/>
  <c r="CQ11" i="21"/>
  <c r="T11" i="21" s="1"/>
  <c r="DP71" i="21"/>
  <c r="DO71" i="21"/>
  <c r="DN266" i="21"/>
  <c r="EM266" i="21"/>
  <c r="EP266" i="21" s="1"/>
  <c r="EQ266" i="21" s="1"/>
  <c r="AU73" i="21"/>
  <c r="AR73" i="21"/>
  <c r="ER71" i="21"/>
  <c r="ES71" i="21"/>
  <c r="FB68" i="20"/>
  <c r="ED68" i="20" s="1"/>
  <c r="CR68" i="20" s="1"/>
  <c r="FL68" i="20" s="1"/>
  <c r="CK153" i="5"/>
  <c r="CY153" i="5" s="1"/>
  <c r="X151" i="5"/>
  <c r="CY151" i="5"/>
  <c r="FE151" i="5"/>
  <c r="FG151" i="5" s="1"/>
  <c r="DS261" i="20"/>
  <c r="CQ261" i="20"/>
  <c r="CY260" i="20"/>
  <c r="AD260" i="20"/>
  <c r="FK260" i="20"/>
  <c r="FM260" i="20" s="1"/>
  <c r="DN264" i="20"/>
  <c r="EM264" i="20"/>
  <c r="EP264" i="20" s="1"/>
  <c r="EQ264" i="20" s="1"/>
  <c r="DQ69" i="20"/>
  <c r="AT266" i="20"/>
  <c r="AP267" i="20"/>
  <c r="AQ266" i="20"/>
  <c r="AT73" i="20"/>
  <c r="AP74" i="20"/>
  <c r="AQ73" i="20"/>
  <c r="ER70" i="20"/>
  <c r="ES70" i="20"/>
  <c r="DN71" i="20"/>
  <c r="EM71" i="20"/>
  <c r="EP71" i="20" s="1"/>
  <c r="EQ71" i="20" s="1"/>
  <c r="DE151" i="20"/>
  <c r="AD151" i="20"/>
  <c r="FK151" i="20"/>
  <c r="FM151" i="20" s="1"/>
  <c r="DO70" i="20"/>
  <c r="DP70" i="20"/>
  <c r="ER263" i="20"/>
  <c r="ES263" i="20"/>
  <c r="DQ262" i="20"/>
  <c r="DR262" i="20" s="1"/>
  <c r="DS66" i="20"/>
  <c r="CQ66" i="20"/>
  <c r="DP263" i="20"/>
  <c r="DO263" i="20"/>
  <c r="FL66" i="20"/>
  <c r="CZ66" i="20"/>
  <c r="DS67" i="20"/>
  <c r="CQ67" i="20"/>
  <c r="AU265" i="20"/>
  <c r="AR265" i="20"/>
  <c r="AU72" i="20"/>
  <c r="AR72" i="20"/>
  <c r="DS152" i="20"/>
  <c r="CQ152" i="20"/>
  <c r="EW69" i="20"/>
  <c r="FB69" i="20" s="1"/>
  <c r="ED69" i="20" s="1"/>
  <c r="CR69" i="20" s="1"/>
  <c r="DU265" i="20"/>
  <c r="AV265" i="20"/>
  <c r="AW265" i="20" s="1"/>
  <c r="EW262" i="20"/>
  <c r="EX262" i="20" s="1"/>
  <c r="DU72" i="20"/>
  <c r="AV72" i="20"/>
  <c r="AW72" i="20" s="1"/>
  <c r="DF10" i="20"/>
  <c r="DF11" i="20" s="1"/>
  <c r="DF13" i="20"/>
  <c r="DF12" i="20"/>
  <c r="DH71" i="5"/>
  <c r="EG71" i="5"/>
  <c r="EJ71" i="5" s="1"/>
  <c r="EK71" i="5" s="1"/>
  <c r="EL70" i="5"/>
  <c r="EM70" i="5"/>
  <c r="FE152" i="5"/>
  <c r="FG152" i="5" s="1"/>
  <c r="CY152" i="5"/>
  <c r="DM264" i="5"/>
  <c r="CK264" i="5"/>
  <c r="EV68" i="5"/>
  <c r="DH267" i="5"/>
  <c r="EG267" i="5"/>
  <c r="EJ267" i="5" s="1"/>
  <c r="EK267" i="5" s="1"/>
  <c r="DO72" i="5"/>
  <c r="AP72" i="5"/>
  <c r="AQ72" i="5" s="1"/>
  <c r="CK12" i="5"/>
  <c r="N12" i="5" s="1"/>
  <c r="CK13" i="5"/>
  <c r="N13" i="5" s="1"/>
  <c r="CK10" i="5"/>
  <c r="DI70" i="5"/>
  <c r="DJ70" i="5"/>
  <c r="EQ265" i="5"/>
  <c r="ER265" i="5" s="1"/>
  <c r="AN269" i="5"/>
  <c r="AK269" i="5"/>
  <c r="CZ12" i="5"/>
  <c r="CZ13" i="5"/>
  <c r="CZ10" i="5"/>
  <c r="CZ11" i="5" s="1"/>
  <c r="AL268" i="5"/>
  <c r="AO268" i="5"/>
  <c r="AJ74" i="5"/>
  <c r="AN73" i="5"/>
  <c r="AK73" i="5"/>
  <c r="FG65" i="5"/>
  <c r="AO72" i="5"/>
  <c r="AL72" i="5"/>
  <c r="CS66" i="5"/>
  <c r="FE66" i="5"/>
  <c r="FG66" i="5" s="1"/>
  <c r="DO268" i="5"/>
  <c r="AP268" i="5"/>
  <c r="AQ268" i="5" s="1"/>
  <c r="DK265" i="5"/>
  <c r="DL265" i="5" s="1"/>
  <c r="CK67" i="5"/>
  <c r="DM67" i="5"/>
  <c r="EL266" i="5"/>
  <c r="EM266" i="5"/>
  <c r="DK69" i="5"/>
  <c r="FE263" i="5"/>
  <c r="FG263" i="5" s="1"/>
  <c r="CY263" i="5"/>
  <c r="EQ69" i="5"/>
  <c r="EV69" i="5" s="1"/>
  <c r="DX69" i="5" s="1"/>
  <c r="CL69" i="5" s="1"/>
  <c r="DI266" i="5"/>
  <c r="DJ266" i="5"/>
  <c r="X264" i="5"/>
  <c r="X263" i="5"/>
  <c r="AJ270" i="5"/>
  <c r="DS264" i="21" l="1"/>
  <c r="CQ264" i="21"/>
  <c r="DQ265" i="21"/>
  <c r="DR265" i="21" s="1"/>
  <c r="FB70" i="21"/>
  <c r="ED70" i="21" s="1"/>
  <c r="CR70" i="21" s="1"/>
  <c r="DN73" i="21"/>
  <c r="EM73" i="21"/>
  <c r="EP73" i="21" s="1"/>
  <c r="EQ73" i="21" s="1"/>
  <c r="AR268" i="21"/>
  <c r="AU268" i="21"/>
  <c r="ES72" i="21"/>
  <c r="ER72" i="21"/>
  <c r="AU74" i="21"/>
  <c r="AR74" i="21"/>
  <c r="AP270" i="21"/>
  <c r="AT269" i="21"/>
  <c r="AQ269" i="21"/>
  <c r="DP266" i="21"/>
  <c r="DO266" i="21"/>
  <c r="DU74" i="21"/>
  <c r="AV74" i="21"/>
  <c r="AW74" i="21" s="1"/>
  <c r="EW71" i="21"/>
  <c r="FB71" i="21" s="1"/>
  <c r="ED71" i="21" s="1"/>
  <c r="CR71" i="21" s="1"/>
  <c r="DQ71" i="21"/>
  <c r="EW265" i="21"/>
  <c r="EX265" i="21" s="1"/>
  <c r="AT75" i="21"/>
  <c r="AP76" i="21"/>
  <c r="AQ75" i="21"/>
  <c r="DE263" i="21"/>
  <c r="FK263" i="21"/>
  <c r="FM263" i="21" s="1"/>
  <c r="AD263" i="21"/>
  <c r="DN267" i="21"/>
  <c r="EM267" i="21"/>
  <c r="EP267" i="21" s="1"/>
  <c r="EQ267" i="21" s="1"/>
  <c r="FK68" i="21"/>
  <c r="FM68" i="21" s="1"/>
  <c r="CY68" i="21"/>
  <c r="CY69" i="21"/>
  <c r="FK69" i="21"/>
  <c r="FM69" i="21" s="1"/>
  <c r="DU268" i="21"/>
  <c r="AV268" i="21"/>
  <c r="AW268" i="21" s="1"/>
  <c r="ES266" i="21"/>
  <c r="ER266" i="21"/>
  <c r="DP72" i="21"/>
  <c r="DO72" i="21"/>
  <c r="CZ68" i="20"/>
  <c r="DR68" i="20"/>
  <c r="CK11" i="5"/>
  <c r="N11" i="5" s="1"/>
  <c r="N10" i="5"/>
  <c r="FE153" i="5"/>
  <c r="FG153" i="5" s="1"/>
  <c r="DS262" i="20"/>
  <c r="CQ262" i="20"/>
  <c r="FL69" i="20"/>
  <c r="CZ69" i="20"/>
  <c r="DR69" i="20"/>
  <c r="DN265" i="20"/>
  <c r="EM265" i="20"/>
  <c r="EP265" i="20" s="1"/>
  <c r="EQ265" i="20" s="1"/>
  <c r="EW263" i="20"/>
  <c r="EX263" i="20" s="1"/>
  <c r="DO71" i="20"/>
  <c r="DP71" i="20"/>
  <c r="DU73" i="20"/>
  <c r="AV73" i="20"/>
  <c r="AW73" i="20" s="1"/>
  <c r="AU266" i="20"/>
  <c r="AR266" i="20"/>
  <c r="EX69" i="20"/>
  <c r="EW70" i="20"/>
  <c r="EX70" i="20" s="1"/>
  <c r="AP268" i="20"/>
  <c r="AT267" i="20"/>
  <c r="AQ267" i="20"/>
  <c r="FK66" i="20"/>
  <c r="FM66" i="20" s="1"/>
  <c r="CY66" i="20"/>
  <c r="DQ70" i="20"/>
  <c r="DU266" i="20"/>
  <c r="AV266" i="20"/>
  <c r="AW266" i="20" s="1"/>
  <c r="DN72" i="20"/>
  <c r="EM72" i="20"/>
  <c r="EP72" i="20" s="1"/>
  <c r="EQ72" i="20" s="1"/>
  <c r="FK152" i="20"/>
  <c r="FM152" i="20" s="1"/>
  <c r="DE152" i="20"/>
  <c r="AD152" i="20"/>
  <c r="CQ12" i="20"/>
  <c r="T12" i="20" s="1"/>
  <c r="CQ13" i="20"/>
  <c r="T13" i="20" s="1"/>
  <c r="CQ10" i="20"/>
  <c r="CY261" i="20"/>
  <c r="AD261" i="20"/>
  <c r="FK261" i="20"/>
  <c r="FM261" i="20" s="1"/>
  <c r="DQ263" i="20"/>
  <c r="DR263" i="20" s="1"/>
  <c r="FK67" i="20"/>
  <c r="FM67" i="20" s="1"/>
  <c r="CY67" i="20"/>
  <c r="AU73" i="20"/>
  <c r="AR73" i="20"/>
  <c r="ES264" i="20"/>
  <c r="ER264" i="20"/>
  <c r="ES71" i="20"/>
  <c r="ER71" i="20"/>
  <c r="AP75" i="20"/>
  <c r="AT74" i="20"/>
  <c r="AQ74" i="20"/>
  <c r="DP264" i="20"/>
  <c r="DO264" i="20"/>
  <c r="FF69" i="5"/>
  <c r="CT69" i="5"/>
  <c r="DL69" i="5"/>
  <c r="DM265" i="5"/>
  <c r="CK265" i="5"/>
  <c r="DK266" i="5"/>
  <c r="DL266" i="5" s="1"/>
  <c r="AL73" i="5"/>
  <c r="AO73" i="5"/>
  <c r="AL269" i="5"/>
  <c r="AO269" i="5"/>
  <c r="FE264" i="5"/>
  <c r="FG264" i="5" s="1"/>
  <c r="CS264" i="5"/>
  <c r="EQ266" i="5"/>
  <c r="ER266" i="5" s="1"/>
  <c r="DO73" i="5"/>
  <c r="AP73" i="5"/>
  <c r="AQ73" i="5" s="1"/>
  <c r="DO269" i="5"/>
  <c r="AP269" i="5"/>
  <c r="AQ269" i="5" s="1"/>
  <c r="AJ75" i="5"/>
  <c r="AN74" i="5"/>
  <c r="AK74" i="5"/>
  <c r="CY13" i="5"/>
  <c r="CY10" i="5"/>
  <c r="CY11" i="5" s="1"/>
  <c r="CY12" i="5"/>
  <c r="ER69" i="5"/>
  <c r="FE67" i="5"/>
  <c r="FG67" i="5" s="1"/>
  <c r="CS67" i="5"/>
  <c r="AN270" i="5"/>
  <c r="AK270" i="5"/>
  <c r="DH72" i="5"/>
  <c r="EG72" i="5"/>
  <c r="EJ72" i="5" s="1"/>
  <c r="EK72" i="5" s="1"/>
  <c r="DK70" i="5"/>
  <c r="EL267" i="5"/>
  <c r="EM267" i="5"/>
  <c r="EQ70" i="5"/>
  <c r="ER70" i="5" s="1"/>
  <c r="DI267" i="5"/>
  <c r="DJ267" i="5"/>
  <c r="EM71" i="5"/>
  <c r="EL71" i="5"/>
  <c r="DH268" i="5"/>
  <c r="EG268" i="5"/>
  <c r="EJ268" i="5" s="1"/>
  <c r="EK268" i="5" s="1"/>
  <c r="DX68" i="5"/>
  <c r="CL68" i="5" s="1"/>
  <c r="DL68" i="5"/>
  <c r="DJ71" i="5"/>
  <c r="DI71" i="5"/>
  <c r="X153" i="5"/>
  <c r="AJ271" i="5"/>
  <c r="DR71" i="21" l="1"/>
  <c r="CZ71" i="21"/>
  <c r="FL71" i="21"/>
  <c r="DS265" i="21"/>
  <c r="CQ265" i="21"/>
  <c r="EX71" i="21"/>
  <c r="DU269" i="21"/>
  <c r="AV269" i="21"/>
  <c r="AW269" i="21" s="1"/>
  <c r="AP271" i="21"/>
  <c r="AT270" i="21"/>
  <c r="AQ270" i="21"/>
  <c r="DQ72" i="21"/>
  <c r="ES267" i="21"/>
  <c r="ER267" i="21"/>
  <c r="EW72" i="21"/>
  <c r="EX72" i="21" s="1"/>
  <c r="EW266" i="21"/>
  <c r="EX266" i="21" s="1"/>
  <c r="ER73" i="21"/>
  <c r="ES73" i="21"/>
  <c r="AR75" i="21"/>
  <c r="AU75" i="21"/>
  <c r="DP73" i="21"/>
  <c r="DO73" i="21"/>
  <c r="DQ266" i="21"/>
  <c r="DR266" i="21" s="1"/>
  <c r="CZ70" i="21"/>
  <c r="FL70" i="21"/>
  <c r="DN74" i="21"/>
  <c r="EM74" i="21"/>
  <c r="EP74" i="21" s="1"/>
  <c r="EQ74" i="21" s="1"/>
  <c r="DP267" i="21"/>
  <c r="DO267" i="21"/>
  <c r="AU269" i="21"/>
  <c r="AR269" i="21"/>
  <c r="FK264" i="21"/>
  <c r="FM264" i="21" s="1"/>
  <c r="AD264" i="21"/>
  <c r="DE264" i="21"/>
  <c r="DN268" i="21"/>
  <c r="EM268" i="21"/>
  <c r="EP268" i="21" s="1"/>
  <c r="EQ268" i="21" s="1"/>
  <c r="AP77" i="21"/>
  <c r="AT76" i="21"/>
  <c r="AQ76" i="21"/>
  <c r="DU75" i="21"/>
  <c r="AV75" i="21"/>
  <c r="AW75" i="21" s="1"/>
  <c r="DR70" i="21"/>
  <c r="CQ68" i="20"/>
  <c r="DS68" i="20"/>
  <c r="DS263" i="20"/>
  <c r="CQ263" i="20"/>
  <c r="DU74" i="20"/>
  <c r="AV74" i="20"/>
  <c r="AW74" i="20" s="1"/>
  <c r="AU267" i="20"/>
  <c r="AR267" i="20"/>
  <c r="CQ11" i="20"/>
  <c r="T11" i="20" s="1"/>
  <c r="T10" i="20"/>
  <c r="DU267" i="20"/>
  <c r="AV267" i="20"/>
  <c r="AW267" i="20" s="1"/>
  <c r="ER265" i="20"/>
  <c r="ES265" i="20"/>
  <c r="ES72" i="20"/>
  <c r="ER72" i="20"/>
  <c r="AP76" i="20"/>
  <c r="AT75" i="20"/>
  <c r="AQ75" i="20"/>
  <c r="DP72" i="20"/>
  <c r="DO72" i="20"/>
  <c r="EW71" i="20"/>
  <c r="FB71" i="20" s="1"/>
  <c r="DN266" i="20"/>
  <c r="EM266" i="20"/>
  <c r="EP266" i="20" s="1"/>
  <c r="EQ266" i="20" s="1"/>
  <c r="AP269" i="20"/>
  <c r="AT268" i="20"/>
  <c r="AQ268" i="20"/>
  <c r="DP265" i="20"/>
  <c r="DO265" i="20"/>
  <c r="DN73" i="20"/>
  <c r="EM73" i="20"/>
  <c r="EP73" i="20" s="1"/>
  <c r="EQ73" i="20" s="1"/>
  <c r="EW264" i="20"/>
  <c r="EX264" i="20" s="1"/>
  <c r="DS69" i="20"/>
  <c r="CQ69" i="20"/>
  <c r="DQ264" i="20"/>
  <c r="DR264" i="20" s="1"/>
  <c r="DE10" i="20"/>
  <c r="DE11" i="20" s="1"/>
  <c r="DE12" i="20"/>
  <c r="DE13" i="20"/>
  <c r="FB70" i="20"/>
  <c r="ED70" i="20" s="1"/>
  <c r="CR70" i="20" s="1"/>
  <c r="DE262" i="20"/>
  <c r="AD262" i="20"/>
  <c r="FK262" i="20"/>
  <c r="FM262" i="20" s="1"/>
  <c r="AU74" i="20"/>
  <c r="AR74" i="20"/>
  <c r="DQ71" i="20"/>
  <c r="DM266" i="5"/>
  <c r="CK266" i="5"/>
  <c r="DK267" i="5"/>
  <c r="DL267" i="5" s="1"/>
  <c r="EM72" i="5"/>
  <c r="EL72" i="5"/>
  <c r="DH73" i="5"/>
  <c r="EG73" i="5"/>
  <c r="EJ73" i="5" s="1"/>
  <c r="EK73" i="5" s="1"/>
  <c r="FF68" i="5"/>
  <c r="CT68" i="5"/>
  <c r="EV70" i="5"/>
  <c r="DX70" i="5" s="1"/>
  <c r="CL70" i="5" s="1"/>
  <c r="AO270" i="5"/>
  <c r="AL270" i="5"/>
  <c r="AO74" i="5"/>
  <c r="AL74" i="5"/>
  <c r="CK68" i="5"/>
  <c r="DM68" i="5"/>
  <c r="EL268" i="5"/>
  <c r="EM268" i="5"/>
  <c r="DO270" i="5"/>
  <c r="AP270" i="5"/>
  <c r="AQ270" i="5" s="1"/>
  <c r="DO74" i="5"/>
  <c r="AP74" i="5"/>
  <c r="AQ74" i="5" s="1"/>
  <c r="CS265" i="5"/>
  <c r="FE265" i="5"/>
  <c r="FG265" i="5" s="1"/>
  <c r="DI72" i="5"/>
  <c r="DJ72" i="5"/>
  <c r="DI268" i="5"/>
  <c r="DJ268" i="5"/>
  <c r="AJ76" i="5"/>
  <c r="AN75" i="5"/>
  <c r="AK75" i="5"/>
  <c r="EQ71" i="5"/>
  <c r="ER71" i="5" s="1"/>
  <c r="EQ267" i="5"/>
  <c r="ER267" i="5" s="1"/>
  <c r="DM69" i="5"/>
  <c r="CK69" i="5"/>
  <c r="DH269" i="5"/>
  <c r="EG269" i="5"/>
  <c r="EJ269" i="5" s="1"/>
  <c r="EK269" i="5" s="1"/>
  <c r="AN271" i="5"/>
  <c r="AK271" i="5"/>
  <c r="DK71" i="5"/>
  <c r="X265" i="5"/>
  <c r="AJ272" i="5"/>
  <c r="DS266" i="21" l="1"/>
  <c r="CQ266" i="21"/>
  <c r="ES268" i="21"/>
  <c r="ER268" i="21"/>
  <c r="DP268" i="21"/>
  <c r="DO268" i="21"/>
  <c r="FB72" i="21"/>
  <c r="ED72" i="21" s="1"/>
  <c r="CR72" i="21" s="1"/>
  <c r="DQ267" i="21"/>
  <c r="DR267" i="21" s="1"/>
  <c r="EW267" i="21"/>
  <c r="EX267" i="21" s="1"/>
  <c r="AU270" i="21"/>
  <c r="AR270" i="21"/>
  <c r="DN269" i="21"/>
  <c r="EM269" i="21"/>
  <c r="EP269" i="21" s="1"/>
  <c r="EQ269" i="21" s="1"/>
  <c r="EW73" i="21"/>
  <c r="FB73" i="21" s="1"/>
  <c r="ED73" i="21" s="1"/>
  <c r="CR73" i="21" s="1"/>
  <c r="ES74" i="21"/>
  <c r="ER74" i="21"/>
  <c r="DU270" i="21"/>
  <c r="AV270" i="21"/>
  <c r="AW270" i="21" s="1"/>
  <c r="DS70" i="21"/>
  <c r="CQ70" i="21"/>
  <c r="FK265" i="21"/>
  <c r="FM265" i="21" s="1"/>
  <c r="AD265" i="21"/>
  <c r="DE265" i="21"/>
  <c r="AP78" i="21"/>
  <c r="AT77" i="21"/>
  <c r="AQ77" i="21"/>
  <c r="AP272" i="21"/>
  <c r="AT271" i="21"/>
  <c r="AQ271" i="21"/>
  <c r="DN75" i="21"/>
  <c r="EM75" i="21"/>
  <c r="EP75" i="21" s="1"/>
  <c r="EQ75" i="21" s="1"/>
  <c r="DO74" i="21"/>
  <c r="DP74" i="21"/>
  <c r="AU76" i="21"/>
  <c r="AR76" i="21"/>
  <c r="DQ73" i="21"/>
  <c r="DU76" i="21"/>
  <c r="AV76" i="21"/>
  <c r="AW76" i="21" s="1"/>
  <c r="DS71" i="21"/>
  <c r="CQ71" i="21"/>
  <c r="FK68" i="20"/>
  <c r="FM68" i="20" s="1"/>
  <c r="CY68" i="20"/>
  <c r="ED71" i="20"/>
  <c r="CR71" i="20" s="1"/>
  <c r="DR71" i="20"/>
  <c r="ER73" i="20"/>
  <c r="ES73" i="20"/>
  <c r="DP266" i="20"/>
  <c r="DO266" i="20"/>
  <c r="AT76" i="20"/>
  <c r="AP77" i="20"/>
  <c r="AQ76" i="20"/>
  <c r="EX71" i="20"/>
  <c r="DS264" i="20"/>
  <c r="CQ264" i="20"/>
  <c r="EW72" i="20"/>
  <c r="FB72" i="20" s="1"/>
  <c r="ED72" i="20" s="1"/>
  <c r="CR72" i="20" s="1"/>
  <c r="DQ265" i="20"/>
  <c r="DR265" i="20" s="1"/>
  <c r="FL70" i="20"/>
  <c r="CZ70" i="20"/>
  <c r="CY69" i="20"/>
  <c r="FK69" i="20"/>
  <c r="FM69" i="20" s="1"/>
  <c r="AU268" i="20"/>
  <c r="AR268" i="20"/>
  <c r="DQ72" i="20"/>
  <c r="EW265" i="20"/>
  <c r="EX265" i="20" s="1"/>
  <c r="DN74" i="20"/>
  <c r="EM74" i="20"/>
  <c r="EP74" i="20" s="1"/>
  <c r="EQ74" i="20" s="1"/>
  <c r="DU268" i="20"/>
  <c r="AV268" i="20"/>
  <c r="AW268" i="20" s="1"/>
  <c r="DE263" i="20"/>
  <c r="AD263" i="20"/>
  <c r="FK263" i="20"/>
  <c r="FM263" i="20" s="1"/>
  <c r="AP270" i="20"/>
  <c r="AT269" i="20"/>
  <c r="AQ269" i="20"/>
  <c r="AU75" i="20"/>
  <c r="AR75" i="20"/>
  <c r="DN267" i="20"/>
  <c r="EM267" i="20"/>
  <c r="EP267" i="20" s="1"/>
  <c r="EQ267" i="20" s="1"/>
  <c r="DP73" i="20"/>
  <c r="DO73" i="20"/>
  <c r="ES266" i="20"/>
  <c r="ER266" i="20"/>
  <c r="DU75" i="20"/>
  <c r="AV75" i="20"/>
  <c r="AW75" i="20" s="1"/>
  <c r="DR70" i="20"/>
  <c r="DM267" i="5"/>
  <c r="CK267" i="5"/>
  <c r="X267" i="5" s="1"/>
  <c r="DL71" i="5"/>
  <c r="EQ72" i="5"/>
  <c r="ER72" i="5" s="1"/>
  <c r="EL269" i="5"/>
  <c r="EM269" i="5"/>
  <c r="EV71" i="5"/>
  <c r="DX71" i="5" s="1"/>
  <c r="CL71" i="5" s="1"/>
  <c r="DI73" i="5"/>
  <c r="DJ73" i="5"/>
  <c r="DO75" i="5"/>
  <c r="AP75" i="5"/>
  <c r="AQ75" i="5" s="1"/>
  <c r="AJ77" i="5"/>
  <c r="AN76" i="5"/>
  <c r="AK76" i="5"/>
  <c r="DH74" i="5"/>
  <c r="EG74" i="5"/>
  <c r="EJ74" i="5" s="1"/>
  <c r="EK74" i="5" s="1"/>
  <c r="FE68" i="5"/>
  <c r="FG68" i="5" s="1"/>
  <c r="CS68" i="5"/>
  <c r="AL75" i="5"/>
  <c r="AO75" i="5"/>
  <c r="CS69" i="5"/>
  <c r="FE69" i="5"/>
  <c r="FG69" i="5" s="1"/>
  <c r="DK268" i="5"/>
  <c r="DL268" i="5" s="1"/>
  <c r="DH270" i="5"/>
  <c r="EG270" i="5"/>
  <c r="EJ270" i="5" s="1"/>
  <c r="EK270" i="5" s="1"/>
  <c r="DL70" i="5"/>
  <c r="CT70" i="5"/>
  <c r="FF70" i="5"/>
  <c r="CY266" i="5"/>
  <c r="FE266" i="5"/>
  <c r="FG266" i="5" s="1"/>
  <c r="DI269" i="5"/>
  <c r="DJ269" i="5"/>
  <c r="AN272" i="5"/>
  <c r="AK272" i="5"/>
  <c r="AO271" i="5"/>
  <c r="AL271" i="5"/>
  <c r="DO271" i="5"/>
  <c r="AP271" i="5"/>
  <c r="AQ271" i="5" s="1"/>
  <c r="DK72" i="5"/>
  <c r="EQ268" i="5"/>
  <c r="ER268" i="5" s="1"/>
  <c r="EL73" i="5"/>
  <c r="EM73" i="5"/>
  <c r="X266" i="5"/>
  <c r="AJ273" i="5"/>
  <c r="DR73" i="21" l="1"/>
  <c r="FL73" i="21"/>
  <c r="CZ73" i="21"/>
  <c r="DS267" i="21"/>
  <c r="CQ267" i="21"/>
  <c r="DQ74" i="21"/>
  <c r="ES269" i="21"/>
  <c r="ER269" i="21"/>
  <c r="DU77" i="21"/>
  <c r="AV77" i="21"/>
  <c r="AW77" i="21" s="1"/>
  <c r="CY70" i="21"/>
  <c r="FK70" i="21"/>
  <c r="FM70" i="21" s="1"/>
  <c r="ER75" i="21"/>
  <c r="ES75" i="21"/>
  <c r="EX73" i="21"/>
  <c r="DP269" i="21"/>
  <c r="DO269" i="21"/>
  <c r="CZ72" i="21"/>
  <c r="FL72" i="21"/>
  <c r="DQ268" i="21"/>
  <c r="DR268" i="21" s="1"/>
  <c r="AU271" i="21"/>
  <c r="AR271" i="21"/>
  <c r="EW268" i="21"/>
  <c r="EX268" i="21" s="1"/>
  <c r="DP75" i="21"/>
  <c r="DO75" i="21"/>
  <c r="EW74" i="21"/>
  <c r="FB74" i="21" s="1"/>
  <c r="ED74" i="21" s="1"/>
  <c r="CR74" i="21" s="1"/>
  <c r="AP273" i="21"/>
  <c r="AT272" i="21"/>
  <c r="AQ272" i="21"/>
  <c r="FK266" i="21"/>
  <c r="FM266" i="21" s="1"/>
  <c r="AD266" i="21"/>
  <c r="CY266" i="21"/>
  <c r="DU271" i="21"/>
  <c r="AV271" i="21"/>
  <c r="AW271" i="21" s="1"/>
  <c r="AU77" i="21"/>
  <c r="AR77" i="21"/>
  <c r="AP79" i="21"/>
  <c r="AT78" i="21"/>
  <c r="AQ78" i="21"/>
  <c r="DN76" i="21"/>
  <c r="EM76" i="21"/>
  <c r="EP76" i="21" s="1"/>
  <c r="EQ76" i="21" s="1"/>
  <c r="DN270" i="21"/>
  <c r="EM270" i="21"/>
  <c r="EP270" i="21" s="1"/>
  <c r="EQ270" i="21" s="1"/>
  <c r="CY71" i="21"/>
  <c r="FK71" i="21"/>
  <c r="FM71" i="21" s="1"/>
  <c r="DR72" i="21"/>
  <c r="DR72" i="20"/>
  <c r="FL72" i="20"/>
  <c r="CZ72" i="20"/>
  <c r="DS265" i="20"/>
  <c r="CQ265" i="20"/>
  <c r="AP78" i="20"/>
  <c r="AT77" i="20"/>
  <c r="AQ77" i="20"/>
  <c r="ES267" i="20"/>
  <c r="ER267" i="20"/>
  <c r="DS70" i="20"/>
  <c r="CQ70" i="20"/>
  <c r="DO267" i="20"/>
  <c r="DP267" i="20"/>
  <c r="EX72" i="20"/>
  <c r="DQ266" i="20"/>
  <c r="DR266" i="20" s="1"/>
  <c r="AP271" i="20"/>
  <c r="AT270" i="20"/>
  <c r="AQ270" i="20"/>
  <c r="DN75" i="20"/>
  <c r="EM75" i="20"/>
  <c r="EP75" i="20" s="1"/>
  <c r="EQ75" i="20" s="1"/>
  <c r="DN268" i="20"/>
  <c r="EM268" i="20"/>
  <c r="EP268" i="20" s="1"/>
  <c r="EQ268" i="20" s="1"/>
  <c r="DE264" i="20"/>
  <c r="AD264" i="20"/>
  <c r="FK264" i="20"/>
  <c r="FM264" i="20" s="1"/>
  <c r="DU76" i="20"/>
  <c r="AV76" i="20"/>
  <c r="AW76" i="20" s="1"/>
  <c r="EW266" i="20"/>
  <c r="EX266" i="20" s="1"/>
  <c r="AR269" i="20"/>
  <c r="AU269" i="20"/>
  <c r="ES74" i="20"/>
  <c r="ER74" i="20"/>
  <c r="EW73" i="20"/>
  <c r="FB73" i="20" s="1"/>
  <c r="ED73" i="20" s="1"/>
  <c r="CR73" i="20" s="1"/>
  <c r="DQ73" i="20"/>
  <c r="DU269" i="20"/>
  <c r="AV269" i="20"/>
  <c r="AW269" i="20" s="1"/>
  <c r="DP74" i="20"/>
  <c r="DO74" i="20"/>
  <c r="DS71" i="20"/>
  <c r="CQ71" i="20"/>
  <c r="AU76" i="20"/>
  <c r="AR76" i="20"/>
  <c r="FL71" i="20"/>
  <c r="CZ71" i="20"/>
  <c r="AN273" i="5"/>
  <c r="AK273" i="5"/>
  <c r="AL272" i="5"/>
  <c r="AO272" i="5"/>
  <c r="AJ78" i="5"/>
  <c r="AN77" i="5"/>
  <c r="AK77" i="5"/>
  <c r="EQ269" i="5"/>
  <c r="ER269" i="5" s="1"/>
  <c r="DH271" i="5"/>
  <c r="EG271" i="5"/>
  <c r="EJ271" i="5" s="1"/>
  <c r="EK271" i="5" s="1"/>
  <c r="DO272" i="5"/>
  <c r="AP272" i="5"/>
  <c r="AQ272" i="5" s="1"/>
  <c r="CK70" i="5"/>
  <c r="DM70" i="5"/>
  <c r="EL270" i="5"/>
  <c r="EM270" i="5"/>
  <c r="DH75" i="5"/>
  <c r="EG75" i="5"/>
  <c r="EJ75" i="5" s="1"/>
  <c r="EK75" i="5" s="1"/>
  <c r="EV72" i="5"/>
  <c r="DX72" i="5" s="1"/>
  <c r="CL72" i="5" s="1"/>
  <c r="DK269" i="5"/>
  <c r="DL269" i="5" s="1"/>
  <c r="DI270" i="5"/>
  <c r="DJ270" i="5"/>
  <c r="EM74" i="5"/>
  <c r="EL74" i="5"/>
  <c r="DK73" i="5"/>
  <c r="DM268" i="5"/>
  <c r="CK268" i="5"/>
  <c r="DI74" i="5"/>
  <c r="DJ74" i="5"/>
  <c r="DM71" i="5"/>
  <c r="CK71" i="5"/>
  <c r="EQ73" i="5"/>
  <c r="EV73" i="5" s="1"/>
  <c r="DX73" i="5" s="1"/>
  <c r="CL73" i="5" s="1"/>
  <c r="AO76" i="5"/>
  <c r="AL76" i="5"/>
  <c r="FF71" i="5"/>
  <c r="CT71" i="5"/>
  <c r="FE267" i="5"/>
  <c r="FG267" i="5" s="1"/>
  <c r="CY267" i="5"/>
  <c r="DO76" i="5"/>
  <c r="AP76" i="5"/>
  <c r="AQ76" i="5" s="1"/>
  <c r="AJ274" i="5"/>
  <c r="DR74" i="21" l="1"/>
  <c r="DS268" i="21"/>
  <c r="CQ268" i="21"/>
  <c r="FL74" i="21"/>
  <c r="CZ74" i="21"/>
  <c r="DU78" i="21"/>
  <c r="AV78" i="21"/>
  <c r="AW78" i="21" s="1"/>
  <c r="DO76" i="21"/>
  <c r="DP76" i="21"/>
  <c r="DU272" i="21"/>
  <c r="AV272" i="21"/>
  <c r="AW272" i="21" s="1"/>
  <c r="EW269" i="21"/>
  <c r="EX269" i="21" s="1"/>
  <c r="DO270" i="21"/>
  <c r="DP270" i="21"/>
  <c r="AP80" i="21"/>
  <c r="AT79" i="21"/>
  <c r="AQ79" i="21"/>
  <c r="AT273" i="21"/>
  <c r="AP274" i="21"/>
  <c r="AQ273" i="21"/>
  <c r="EX74" i="21"/>
  <c r="AU272" i="21"/>
  <c r="AR272" i="21"/>
  <c r="AD267" i="21"/>
  <c r="DE267" i="21"/>
  <c r="FK267" i="21"/>
  <c r="FM267" i="21" s="1"/>
  <c r="DQ75" i="21"/>
  <c r="ER270" i="21"/>
  <c r="ES270" i="21"/>
  <c r="AU78" i="21"/>
  <c r="AR78" i="21"/>
  <c r="ES76" i="21"/>
  <c r="ER76" i="21"/>
  <c r="EW75" i="21"/>
  <c r="EX75" i="21" s="1"/>
  <c r="DR269" i="21"/>
  <c r="DQ269" i="21"/>
  <c r="DN271" i="21"/>
  <c r="EM271" i="21"/>
  <c r="EP271" i="21" s="1"/>
  <c r="EQ271" i="21" s="1"/>
  <c r="DN77" i="21"/>
  <c r="EM77" i="21"/>
  <c r="EP77" i="21" s="1"/>
  <c r="EQ77" i="21" s="1"/>
  <c r="CQ72" i="21"/>
  <c r="DS72" i="21"/>
  <c r="CQ73" i="21"/>
  <c r="DS73" i="21"/>
  <c r="DR73" i="20"/>
  <c r="CQ73" i="20" s="1"/>
  <c r="ER73" i="5"/>
  <c r="DS266" i="20"/>
  <c r="CQ266" i="20"/>
  <c r="CZ73" i="20"/>
  <c r="FL73" i="20"/>
  <c r="EW74" i="20"/>
  <c r="FB74" i="20" s="1"/>
  <c r="DU270" i="20"/>
  <c r="AV270" i="20"/>
  <c r="AW270" i="20" s="1"/>
  <c r="AP272" i="20"/>
  <c r="AT271" i="20"/>
  <c r="AQ271" i="20"/>
  <c r="DN269" i="20"/>
  <c r="EM269" i="20"/>
  <c r="EP269" i="20" s="1"/>
  <c r="EQ269" i="20" s="1"/>
  <c r="ER75" i="20"/>
  <c r="ES75" i="20"/>
  <c r="AP79" i="20"/>
  <c r="AT78" i="20"/>
  <c r="AQ78" i="20"/>
  <c r="EW267" i="20"/>
  <c r="EX267" i="20" s="1"/>
  <c r="EX73" i="20"/>
  <c r="DP75" i="20"/>
  <c r="DO75" i="20"/>
  <c r="DQ267" i="20"/>
  <c r="DR267" i="20" s="1"/>
  <c r="DE265" i="20"/>
  <c r="AD265" i="20"/>
  <c r="FK265" i="20"/>
  <c r="FM265" i="20" s="1"/>
  <c r="ES268" i="20"/>
  <c r="ER268" i="20"/>
  <c r="AU77" i="20"/>
  <c r="AR77" i="20"/>
  <c r="FK71" i="20"/>
  <c r="FM71" i="20" s="1"/>
  <c r="CY71" i="20"/>
  <c r="DP268" i="20"/>
  <c r="DO268" i="20"/>
  <c r="DU77" i="20"/>
  <c r="AV77" i="20"/>
  <c r="AW77" i="20" s="1"/>
  <c r="DQ74" i="20"/>
  <c r="DN76" i="20"/>
  <c r="EM76" i="20"/>
  <c r="EP76" i="20" s="1"/>
  <c r="EQ76" i="20" s="1"/>
  <c r="AR270" i="20"/>
  <c r="AU270" i="20"/>
  <c r="CY70" i="20"/>
  <c r="FK70" i="20"/>
  <c r="FM70" i="20" s="1"/>
  <c r="DS72" i="20"/>
  <c r="CQ72" i="20"/>
  <c r="DM269" i="5"/>
  <c r="CK269" i="5"/>
  <c r="DL73" i="5"/>
  <c r="FF73" i="5"/>
  <c r="CT73" i="5"/>
  <c r="DI75" i="5"/>
  <c r="DJ75" i="5"/>
  <c r="DH272" i="5"/>
  <c r="EG272" i="5"/>
  <c r="EJ272" i="5" s="1"/>
  <c r="EK272" i="5" s="1"/>
  <c r="DH76" i="5"/>
  <c r="EG76" i="5"/>
  <c r="EJ76" i="5" s="1"/>
  <c r="EK76" i="5" s="1"/>
  <c r="DK74" i="5"/>
  <c r="EL271" i="5"/>
  <c r="EM271" i="5"/>
  <c r="CS71" i="5"/>
  <c r="FE71" i="5"/>
  <c r="FG71" i="5" s="1"/>
  <c r="FE268" i="5"/>
  <c r="FG268" i="5" s="1"/>
  <c r="CY268" i="5"/>
  <c r="DK270" i="5"/>
  <c r="DL270" i="5" s="1"/>
  <c r="EQ270" i="5"/>
  <c r="ER270" i="5" s="1"/>
  <c r="DI271" i="5"/>
  <c r="DJ271" i="5"/>
  <c r="CT72" i="5"/>
  <c r="FF72" i="5"/>
  <c r="AL273" i="5"/>
  <c r="AO273" i="5"/>
  <c r="DO273" i="5"/>
  <c r="AP273" i="5"/>
  <c r="AQ273" i="5" s="1"/>
  <c r="EQ74" i="5"/>
  <c r="ER74" i="5" s="1"/>
  <c r="CS70" i="5"/>
  <c r="FE70" i="5"/>
  <c r="FG70" i="5" s="1"/>
  <c r="AL77" i="5"/>
  <c r="AO77" i="5"/>
  <c r="DO77" i="5"/>
  <c r="AP77" i="5"/>
  <c r="AQ77" i="5" s="1"/>
  <c r="AN274" i="5"/>
  <c r="AK274" i="5"/>
  <c r="EL75" i="5"/>
  <c r="EM75" i="5"/>
  <c r="AJ79" i="5"/>
  <c r="AN78" i="5"/>
  <c r="AK78" i="5"/>
  <c r="DL72" i="5"/>
  <c r="X268" i="5"/>
  <c r="AJ275" i="5"/>
  <c r="DS269" i="21" l="1"/>
  <c r="CQ269" i="21"/>
  <c r="FB75" i="21"/>
  <c r="ED75" i="21" s="1"/>
  <c r="CR75" i="21" s="1"/>
  <c r="EW76" i="21"/>
  <c r="FB76" i="21" s="1"/>
  <c r="ED76" i="21" s="1"/>
  <c r="CR76" i="21" s="1"/>
  <c r="DN272" i="21"/>
  <c r="EM272" i="21"/>
  <c r="EP272" i="21" s="1"/>
  <c r="EQ272" i="21" s="1"/>
  <c r="FK73" i="21"/>
  <c r="FM73" i="21" s="1"/>
  <c r="CY73" i="21"/>
  <c r="DQ76" i="21"/>
  <c r="DR76" i="21" s="1"/>
  <c r="CY72" i="21"/>
  <c r="FK72" i="21"/>
  <c r="FM72" i="21" s="1"/>
  <c r="AU273" i="21"/>
  <c r="AR273" i="21"/>
  <c r="DN78" i="21"/>
  <c r="EM78" i="21"/>
  <c r="EP78" i="21" s="1"/>
  <c r="EQ78" i="21" s="1"/>
  <c r="ER77" i="21"/>
  <c r="ES77" i="21"/>
  <c r="AT274" i="21"/>
  <c r="AP275" i="21"/>
  <c r="AQ274" i="21"/>
  <c r="DQ270" i="21"/>
  <c r="DR270" i="21" s="1"/>
  <c r="DO77" i="21"/>
  <c r="DP77" i="21"/>
  <c r="DU273" i="21"/>
  <c r="AV273" i="21"/>
  <c r="AW273" i="21" s="1"/>
  <c r="ER271" i="21"/>
  <c r="ES271" i="21"/>
  <c r="AU79" i="21"/>
  <c r="AR79" i="21"/>
  <c r="CY268" i="21"/>
  <c r="FK268" i="21"/>
  <c r="FM268" i="21" s="1"/>
  <c r="AD268" i="21"/>
  <c r="EX270" i="21"/>
  <c r="EW270" i="21"/>
  <c r="DO271" i="21"/>
  <c r="DP271" i="21"/>
  <c r="DU79" i="21"/>
  <c r="AV79" i="21"/>
  <c r="AW79" i="21" s="1"/>
  <c r="AT80" i="21"/>
  <c r="AP81" i="21"/>
  <c r="AQ80" i="21"/>
  <c r="DS74" i="21"/>
  <c r="CQ74" i="21"/>
  <c r="EX74" i="20"/>
  <c r="DS73" i="20"/>
  <c r="ED74" i="20"/>
  <c r="CR74" i="20" s="1"/>
  <c r="DR74" i="20"/>
  <c r="DS267" i="20"/>
  <c r="CQ267" i="20"/>
  <c r="DO269" i="20"/>
  <c r="DP269" i="20"/>
  <c r="DQ75" i="20"/>
  <c r="AR78" i="20"/>
  <c r="AU78" i="20"/>
  <c r="AU271" i="20"/>
  <c r="AR271" i="20"/>
  <c r="DN77" i="20"/>
  <c r="EM77" i="20"/>
  <c r="EP77" i="20" s="1"/>
  <c r="EQ77" i="20" s="1"/>
  <c r="DU78" i="20"/>
  <c r="AV78" i="20"/>
  <c r="AW78" i="20" s="1"/>
  <c r="DU271" i="20"/>
  <c r="AV271" i="20"/>
  <c r="AW271" i="20" s="1"/>
  <c r="EW268" i="20"/>
  <c r="EX268" i="20" s="1"/>
  <c r="DQ268" i="20"/>
  <c r="DR268" i="20" s="1"/>
  <c r="AP80" i="20"/>
  <c r="AT79" i="20"/>
  <c r="AQ79" i="20"/>
  <c r="AP273" i="20"/>
  <c r="AT272" i="20"/>
  <c r="AQ272" i="20"/>
  <c r="ER76" i="20"/>
  <c r="ES76" i="20"/>
  <c r="EW75" i="20"/>
  <c r="EX75" i="20" s="1"/>
  <c r="DN270" i="20"/>
  <c r="EM270" i="20"/>
  <c r="EP270" i="20" s="1"/>
  <c r="EQ270" i="20" s="1"/>
  <c r="CY73" i="20"/>
  <c r="FK73" i="20"/>
  <c r="FM73" i="20" s="1"/>
  <c r="DP76" i="20"/>
  <c r="DO76" i="20"/>
  <c r="CY266" i="20"/>
  <c r="AD266" i="20"/>
  <c r="FK266" i="20"/>
  <c r="FM266" i="20" s="1"/>
  <c r="FK72" i="20"/>
  <c r="FM72" i="20" s="1"/>
  <c r="CY72" i="20"/>
  <c r="ES269" i="20"/>
  <c r="ER269" i="20"/>
  <c r="DM270" i="5"/>
  <c r="CK270" i="5"/>
  <c r="DO78" i="5"/>
  <c r="AP78" i="5"/>
  <c r="AQ78" i="5" s="1"/>
  <c r="AJ80" i="5"/>
  <c r="AN79" i="5"/>
  <c r="AK79" i="5"/>
  <c r="DH273" i="5"/>
  <c r="EG273" i="5"/>
  <c r="EJ273" i="5" s="1"/>
  <c r="EK273" i="5" s="1"/>
  <c r="EQ271" i="5"/>
  <c r="ER271" i="5" s="1"/>
  <c r="EQ75" i="5"/>
  <c r="EV75" i="5" s="1"/>
  <c r="DX75" i="5" s="1"/>
  <c r="CL75" i="5" s="1"/>
  <c r="DK75" i="5"/>
  <c r="AN275" i="5"/>
  <c r="AK275" i="5"/>
  <c r="AO274" i="5"/>
  <c r="AL274" i="5"/>
  <c r="DO274" i="5"/>
  <c r="AP274" i="5"/>
  <c r="AQ274" i="5" s="1"/>
  <c r="EL76" i="5"/>
  <c r="EM76" i="5"/>
  <c r="DI76" i="5"/>
  <c r="DJ76" i="5"/>
  <c r="DM73" i="5"/>
  <c r="CK73" i="5"/>
  <c r="CK72" i="5"/>
  <c r="DM72" i="5"/>
  <c r="AL78" i="5"/>
  <c r="AO78" i="5"/>
  <c r="DH77" i="5"/>
  <c r="EG77" i="5"/>
  <c r="EJ77" i="5" s="1"/>
  <c r="EK77" i="5" s="1"/>
  <c r="EV74" i="5"/>
  <c r="DX74" i="5" s="1"/>
  <c r="CL74" i="5" s="1"/>
  <c r="EL272" i="5"/>
  <c r="EM272" i="5"/>
  <c r="CY269" i="5"/>
  <c r="FE269" i="5"/>
  <c r="FG269" i="5" s="1"/>
  <c r="DK271" i="5"/>
  <c r="DL271" i="5" s="1"/>
  <c r="DI272" i="5"/>
  <c r="DJ272" i="5"/>
  <c r="X269" i="5"/>
  <c r="AJ276" i="5"/>
  <c r="DS270" i="21" l="1"/>
  <c r="CQ270" i="21"/>
  <c r="CZ76" i="21"/>
  <c r="FL76" i="21"/>
  <c r="CQ76" i="21"/>
  <c r="CY74" i="21"/>
  <c r="FK74" i="21"/>
  <c r="FM74" i="21" s="1"/>
  <c r="ES272" i="21"/>
  <c r="ER272" i="21"/>
  <c r="AR80" i="21"/>
  <c r="AU80" i="21"/>
  <c r="DP78" i="21"/>
  <c r="DO78" i="21"/>
  <c r="DO272" i="21"/>
  <c r="DP272" i="21"/>
  <c r="EW77" i="21"/>
  <c r="EX77" i="21" s="1"/>
  <c r="DU274" i="21"/>
  <c r="AV274" i="21"/>
  <c r="AW274" i="21" s="1"/>
  <c r="DQ271" i="21"/>
  <c r="DR271" i="21" s="1"/>
  <c r="EX76" i="21"/>
  <c r="DS76" i="21" s="1"/>
  <c r="DU80" i="21"/>
  <c r="AV80" i="21"/>
  <c r="AW80" i="21" s="1"/>
  <c r="DN273" i="21"/>
  <c r="EM273" i="21"/>
  <c r="EP273" i="21" s="1"/>
  <c r="EQ273" i="21" s="1"/>
  <c r="AR274" i="21"/>
  <c r="AU274" i="21"/>
  <c r="AT81" i="21"/>
  <c r="AP82" i="21"/>
  <c r="AQ81" i="21"/>
  <c r="CZ75" i="21"/>
  <c r="FL75" i="21"/>
  <c r="DN79" i="21"/>
  <c r="EM79" i="21"/>
  <c r="EP79" i="21" s="1"/>
  <c r="EQ79" i="21" s="1"/>
  <c r="DQ77" i="21"/>
  <c r="FK269" i="21"/>
  <c r="FM269" i="21" s="1"/>
  <c r="AD269" i="21"/>
  <c r="DE269" i="21"/>
  <c r="AT275" i="21"/>
  <c r="AP276" i="21"/>
  <c r="AQ275" i="21"/>
  <c r="ES78" i="21"/>
  <c r="ER78" i="21"/>
  <c r="EX271" i="21"/>
  <c r="EW271" i="21"/>
  <c r="DR75" i="21"/>
  <c r="DL74" i="5"/>
  <c r="CK74" i="5" s="1"/>
  <c r="DL75" i="5"/>
  <c r="DS268" i="20"/>
  <c r="CQ268" i="20"/>
  <c r="EW76" i="20"/>
  <c r="FB76" i="20" s="1"/>
  <c r="ED76" i="20" s="1"/>
  <c r="CR76" i="20" s="1"/>
  <c r="AU272" i="20"/>
  <c r="AR272" i="20"/>
  <c r="DN78" i="20"/>
  <c r="EM78" i="20"/>
  <c r="EP78" i="20" s="1"/>
  <c r="EQ78" i="20" s="1"/>
  <c r="ES270" i="20"/>
  <c r="ER270" i="20"/>
  <c r="DU272" i="20"/>
  <c r="AV272" i="20"/>
  <c r="AW272" i="20" s="1"/>
  <c r="ES77" i="20"/>
  <c r="ER77" i="20"/>
  <c r="DP77" i="20"/>
  <c r="DO77" i="20"/>
  <c r="DQ269" i="20"/>
  <c r="DR269" i="20" s="1"/>
  <c r="DE267" i="20"/>
  <c r="AD267" i="20"/>
  <c r="FK267" i="20"/>
  <c r="FM267" i="20" s="1"/>
  <c r="DP270" i="20"/>
  <c r="DO270" i="20"/>
  <c r="AP274" i="20"/>
  <c r="AT273" i="20"/>
  <c r="AQ273" i="20"/>
  <c r="DU79" i="20"/>
  <c r="AV79" i="20"/>
  <c r="AW79" i="20" s="1"/>
  <c r="DQ76" i="20"/>
  <c r="FB75" i="20"/>
  <c r="ED75" i="20" s="1"/>
  <c r="CR75" i="20" s="1"/>
  <c r="AP81" i="20"/>
  <c r="AT80" i="20"/>
  <c r="AQ80" i="20"/>
  <c r="CQ74" i="20"/>
  <c r="DS74" i="20"/>
  <c r="AU79" i="20"/>
  <c r="AR79" i="20"/>
  <c r="EW269" i="20"/>
  <c r="EX269" i="20" s="1"/>
  <c r="DN271" i="20"/>
  <c r="EM271" i="20"/>
  <c r="EP271" i="20" s="1"/>
  <c r="EQ271" i="20" s="1"/>
  <c r="CZ74" i="20"/>
  <c r="FL74" i="20"/>
  <c r="DM271" i="5"/>
  <c r="CK271" i="5"/>
  <c r="CK75" i="5"/>
  <c r="FF75" i="5"/>
  <c r="CT75" i="5"/>
  <c r="AL79" i="5"/>
  <c r="AO79" i="5"/>
  <c r="CS72" i="5"/>
  <c r="FE72" i="5"/>
  <c r="FG72" i="5" s="1"/>
  <c r="DO79" i="5"/>
  <c r="AP79" i="5"/>
  <c r="AQ79" i="5" s="1"/>
  <c r="AO275" i="5"/>
  <c r="AL275" i="5"/>
  <c r="EQ272" i="5"/>
  <c r="ER272" i="5" s="1"/>
  <c r="CS73" i="5"/>
  <c r="FE73" i="5"/>
  <c r="FG73" i="5" s="1"/>
  <c r="DH274" i="5"/>
  <c r="EG274" i="5"/>
  <c r="EJ274" i="5" s="1"/>
  <c r="EK274" i="5" s="1"/>
  <c r="ER75" i="5"/>
  <c r="DM75" i="5" s="1"/>
  <c r="AJ81" i="5"/>
  <c r="AN80" i="5"/>
  <c r="AK80" i="5"/>
  <c r="DI273" i="5"/>
  <c r="DJ273" i="5"/>
  <c r="AN276" i="5"/>
  <c r="AK276" i="5"/>
  <c r="CT74" i="5"/>
  <c r="FF74" i="5"/>
  <c r="DK76" i="5"/>
  <c r="EQ76" i="5"/>
  <c r="ER76" i="5" s="1"/>
  <c r="DK272" i="5"/>
  <c r="DL272" i="5" s="1"/>
  <c r="EL77" i="5"/>
  <c r="EM77" i="5"/>
  <c r="DH78" i="5"/>
  <c r="EG78" i="5"/>
  <c r="EJ78" i="5" s="1"/>
  <c r="EK78" i="5" s="1"/>
  <c r="DI77" i="5"/>
  <c r="DJ77" i="5"/>
  <c r="DO275" i="5"/>
  <c r="AP275" i="5"/>
  <c r="AQ275" i="5" s="1"/>
  <c r="EM273" i="5"/>
  <c r="EL273" i="5"/>
  <c r="CS270" i="5"/>
  <c r="FE270" i="5"/>
  <c r="FG270" i="5" s="1"/>
  <c r="X270" i="5"/>
  <c r="AJ277" i="5"/>
  <c r="DS271" i="21" l="1"/>
  <c r="CQ271" i="21"/>
  <c r="DU275" i="21"/>
  <c r="AV275" i="21"/>
  <c r="AW275" i="21" s="1"/>
  <c r="DP79" i="21"/>
  <c r="DO79" i="21"/>
  <c r="AR275" i="21"/>
  <c r="AU275" i="21"/>
  <c r="FB77" i="21"/>
  <c r="ED77" i="21" s="1"/>
  <c r="CR77" i="21" s="1"/>
  <c r="AU81" i="21"/>
  <c r="AR81" i="21"/>
  <c r="DN274" i="21"/>
  <c r="EM274" i="21"/>
  <c r="EP274" i="21" s="1"/>
  <c r="EQ274" i="21" s="1"/>
  <c r="DR272" i="21"/>
  <c r="DQ272" i="21"/>
  <c r="AT82" i="21"/>
  <c r="AP83" i="21"/>
  <c r="AQ82" i="21"/>
  <c r="EW78" i="21"/>
  <c r="EX78" i="21" s="1"/>
  <c r="AT276" i="21"/>
  <c r="AP277" i="21"/>
  <c r="AQ276" i="21"/>
  <c r="DU81" i="21"/>
  <c r="AV81" i="21"/>
  <c r="AW81" i="21" s="1"/>
  <c r="CY76" i="21"/>
  <c r="FK76" i="21"/>
  <c r="FM76" i="21" s="1"/>
  <c r="EW272" i="21"/>
  <c r="EX272" i="21" s="1"/>
  <c r="DQ78" i="21"/>
  <c r="ES273" i="21"/>
  <c r="ER273" i="21"/>
  <c r="ES79" i="21"/>
  <c r="ER79" i="21"/>
  <c r="DO273" i="21"/>
  <c r="DP273" i="21"/>
  <c r="CQ75" i="21"/>
  <c r="DS75" i="21"/>
  <c r="FK270" i="21"/>
  <c r="FM270" i="21" s="1"/>
  <c r="DE270" i="21"/>
  <c r="AD270" i="21"/>
  <c r="DN80" i="21"/>
  <c r="EM80" i="21"/>
  <c r="EP80" i="21" s="1"/>
  <c r="EQ80" i="21" s="1"/>
  <c r="DM74" i="5"/>
  <c r="DR76" i="20"/>
  <c r="CZ76" i="20"/>
  <c r="FL76" i="20"/>
  <c r="EW77" i="20"/>
  <c r="EX77" i="20" s="1"/>
  <c r="FK74" i="20"/>
  <c r="FM74" i="20" s="1"/>
  <c r="CY74" i="20"/>
  <c r="DN79" i="20"/>
  <c r="EM79" i="20"/>
  <c r="EP79" i="20" s="1"/>
  <c r="EQ79" i="20" s="1"/>
  <c r="DN272" i="20"/>
  <c r="EM272" i="20"/>
  <c r="EP272" i="20" s="1"/>
  <c r="EQ272" i="20" s="1"/>
  <c r="EX76" i="20"/>
  <c r="ES271" i="20"/>
  <c r="ER271" i="20"/>
  <c r="AU80" i="20"/>
  <c r="AR80" i="20"/>
  <c r="AU273" i="20"/>
  <c r="AR273" i="20"/>
  <c r="EW270" i="20"/>
  <c r="EX270" i="20" s="1"/>
  <c r="DO271" i="20"/>
  <c r="DP271" i="20"/>
  <c r="DU273" i="20"/>
  <c r="AV273" i="20"/>
  <c r="AW273" i="20" s="1"/>
  <c r="FK268" i="20"/>
  <c r="FM268" i="20" s="1"/>
  <c r="CY268" i="20"/>
  <c r="AD268" i="20"/>
  <c r="AT81" i="20"/>
  <c r="AP82" i="20"/>
  <c r="AQ81" i="20"/>
  <c r="AP275" i="20"/>
  <c r="AT274" i="20"/>
  <c r="AQ274" i="20"/>
  <c r="DQ77" i="20"/>
  <c r="ES78" i="20"/>
  <c r="ER78" i="20"/>
  <c r="DU80" i="20"/>
  <c r="AV80" i="20"/>
  <c r="AW80" i="20" s="1"/>
  <c r="DS269" i="20"/>
  <c r="CQ269" i="20"/>
  <c r="FL75" i="20"/>
  <c r="CZ75" i="20"/>
  <c r="DQ270" i="20"/>
  <c r="DR270" i="20" s="1"/>
  <c r="DP78" i="20"/>
  <c r="DO78" i="20"/>
  <c r="DR75" i="20"/>
  <c r="DM272" i="5"/>
  <c r="CK272" i="5"/>
  <c r="AL80" i="5"/>
  <c r="AO80" i="5"/>
  <c r="DO80" i="5"/>
  <c r="AP80" i="5"/>
  <c r="AQ80" i="5" s="1"/>
  <c r="EQ77" i="5"/>
  <c r="EV77" i="5" s="1"/>
  <c r="DX77" i="5" s="1"/>
  <c r="CL77" i="5" s="1"/>
  <c r="DK77" i="5"/>
  <c r="EV76" i="5"/>
  <c r="AJ82" i="5"/>
  <c r="AN81" i="5"/>
  <c r="AK81" i="5"/>
  <c r="EL78" i="5"/>
  <c r="EM78" i="5"/>
  <c r="CS74" i="5"/>
  <c r="FE74" i="5"/>
  <c r="FG74" i="5" s="1"/>
  <c r="EQ273" i="5"/>
  <c r="ER273" i="5" s="1"/>
  <c r="DI78" i="5"/>
  <c r="DJ78" i="5"/>
  <c r="AL276" i="5"/>
  <c r="AO276" i="5"/>
  <c r="EM274" i="5"/>
  <c r="EL274" i="5"/>
  <c r="CS75" i="5"/>
  <c r="FE75" i="5"/>
  <c r="FG75" i="5" s="1"/>
  <c r="DH275" i="5"/>
  <c r="EG275" i="5"/>
  <c r="EJ275" i="5" s="1"/>
  <c r="EK275" i="5" s="1"/>
  <c r="AN277" i="5"/>
  <c r="AK277" i="5"/>
  <c r="DO276" i="5"/>
  <c r="AP276" i="5"/>
  <c r="AQ276" i="5" s="1"/>
  <c r="DI274" i="5"/>
  <c r="DJ274" i="5"/>
  <c r="DH79" i="5"/>
  <c r="EG79" i="5"/>
  <c r="EJ79" i="5" s="1"/>
  <c r="EK79" i="5" s="1"/>
  <c r="FE271" i="5"/>
  <c r="FG271" i="5" s="1"/>
  <c r="CY271" i="5"/>
  <c r="DK273" i="5"/>
  <c r="DL273" i="5" s="1"/>
  <c r="X271" i="5"/>
  <c r="AJ278" i="5"/>
  <c r="ES274" i="21" l="1"/>
  <c r="ER274" i="21"/>
  <c r="DP274" i="21"/>
  <c r="DO274" i="21"/>
  <c r="EW273" i="21"/>
  <c r="EX273" i="21" s="1"/>
  <c r="AT277" i="21"/>
  <c r="AP278" i="21"/>
  <c r="AQ277" i="21"/>
  <c r="DU276" i="21"/>
  <c r="AV276" i="21"/>
  <c r="AW276" i="21" s="1"/>
  <c r="DQ79" i="21"/>
  <c r="DP80" i="21"/>
  <c r="DO80" i="21"/>
  <c r="FB78" i="21"/>
  <c r="ED78" i="21" s="1"/>
  <c r="CR78" i="21" s="1"/>
  <c r="AU82" i="21"/>
  <c r="AR82" i="21"/>
  <c r="DN275" i="21"/>
  <c r="EM275" i="21"/>
  <c r="EP275" i="21" s="1"/>
  <c r="EQ275" i="21" s="1"/>
  <c r="DN81" i="21"/>
  <c r="EM81" i="21"/>
  <c r="EP81" i="21" s="1"/>
  <c r="EQ81" i="21" s="1"/>
  <c r="AP84" i="21"/>
  <c r="AT83" i="21"/>
  <c r="AQ83" i="21"/>
  <c r="FK271" i="21"/>
  <c r="FM271" i="21" s="1"/>
  <c r="AD271" i="21"/>
  <c r="DE271" i="21"/>
  <c r="DS272" i="21"/>
  <c r="CQ272" i="21"/>
  <c r="DQ273" i="21"/>
  <c r="DR273" i="21" s="1"/>
  <c r="EW79" i="21"/>
  <c r="FB79" i="21" s="1"/>
  <c r="ED79" i="21" s="1"/>
  <c r="CR79" i="21" s="1"/>
  <c r="AU276" i="21"/>
  <c r="AR276" i="21"/>
  <c r="DU82" i="21"/>
  <c r="AV82" i="21"/>
  <c r="AW82" i="21" s="1"/>
  <c r="CZ77" i="21"/>
  <c r="FL77" i="21"/>
  <c r="ES80" i="21"/>
  <c r="ER80" i="21"/>
  <c r="FK75" i="21"/>
  <c r="FM75" i="21" s="1"/>
  <c r="CY75" i="21"/>
  <c r="DR77" i="21"/>
  <c r="DS270" i="20"/>
  <c r="CQ270" i="20"/>
  <c r="ES272" i="20"/>
  <c r="ER272" i="20"/>
  <c r="DP272" i="20"/>
  <c r="DO272" i="20"/>
  <c r="FK269" i="20"/>
  <c r="FM269" i="20" s="1"/>
  <c r="DE269" i="20"/>
  <c r="AD269" i="20"/>
  <c r="AR274" i="20"/>
  <c r="AU274" i="20"/>
  <c r="ER79" i="20"/>
  <c r="ES79" i="20"/>
  <c r="DS75" i="20"/>
  <c r="CQ75" i="20"/>
  <c r="DU274" i="20"/>
  <c r="AV274" i="20"/>
  <c r="AW274" i="20" s="1"/>
  <c r="DP79" i="20"/>
  <c r="DO79" i="20"/>
  <c r="DQ78" i="20"/>
  <c r="AT275" i="20"/>
  <c r="AP276" i="20"/>
  <c r="AQ275" i="20"/>
  <c r="DN273" i="20"/>
  <c r="EM273" i="20"/>
  <c r="EP273" i="20" s="1"/>
  <c r="EQ273" i="20" s="1"/>
  <c r="DN80" i="20"/>
  <c r="EM80" i="20"/>
  <c r="EP80" i="20" s="1"/>
  <c r="EQ80" i="20" s="1"/>
  <c r="AR81" i="20"/>
  <c r="AU81" i="20"/>
  <c r="EW271" i="20"/>
  <c r="EX271" i="20" s="1"/>
  <c r="EW78" i="20"/>
  <c r="FB78" i="20" s="1"/>
  <c r="ED78" i="20" s="1"/>
  <c r="CR78" i="20" s="1"/>
  <c r="AP83" i="20"/>
  <c r="AT82" i="20"/>
  <c r="AQ82" i="20"/>
  <c r="DQ271" i="20"/>
  <c r="DR271" i="20" s="1"/>
  <c r="FB77" i="20"/>
  <c r="DU81" i="20"/>
  <c r="AV81" i="20"/>
  <c r="AW81" i="20" s="1"/>
  <c r="CQ76" i="20"/>
  <c r="DS76" i="20"/>
  <c r="DM273" i="5"/>
  <c r="CK273" i="5"/>
  <c r="DL77" i="5"/>
  <c r="FF77" i="5"/>
  <c r="CT77" i="5"/>
  <c r="EQ274" i="5"/>
  <c r="ER274" i="5" s="1"/>
  <c r="DH276" i="5"/>
  <c r="EG276" i="5"/>
  <c r="EJ276" i="5" s="1"/>
  <c r="EK276" i="5" s="1"/>
  <c r="ER77" i="5"/>
  <c r="DK274" i="5"/>
  <c r="DL274" i="5" s="1"/>
  <c r="DO277" i="5"/>
  <c r="AP277" i="5"/>
  <c r="AQ277" i="5" s="1"/>
  <c r="DH80" i="5"/>
  <c r="EG80" i="5"/>
  <c r="EJ80" i="5" s="1"/>
  <c r="EK80" i="5" s="1"/>
  <c r="AN278" i="5"/>
  <c r="AK278" i="5"/>
  <c r="EQ78" i="5"/>
  <c r="ER78" i="5" s="1"/>
  <c r="EL79" i="5"/>
  <c r="EM79" i="5"/>
  <c r="EL275" i="5"/>
  <c r="EM275" i="5"/>
  <c r="AL81" i="5"/>
  <c r="AO81" i="5"/>
  <c r="DI79" i="5"/>
  <c r="DJ79" i="5"/>
  <c r="DI275" i="5"/>
  <c r="DJ275" i="5"/>
  <c r="DK78" i="5"/>
  <c r="DO81" i="5"/>
  <c r="AP81" i="5"/>
  <c r="AQ81" i="5" s="1"/>
  <c r="DX76" i="5"/>
  <c r="CL76" i="5" s="1"/>
  <c r="DL76" i="5"/>
  <c r="AL277" i="5"/>
  <c r="AO277" i="5"/>
  <c r="AJ83" i="5"/>
  <c r="AN82" i="5"/>
  <c r="AK82" i="5"/>
  <c r="FE272" i="5"/>
  <c r="FG272" i="5" s="1"/>
  <c r="CS272" i="5"/>
  <c r="AJ279" i="5"/>
  <c r="X272" i="5"/>
  <c r="DR79" i="21" l="1"/>
  <c r="FL79" i="21"/>
  <c r="CZ79" i="21"/>
  <c r="DS273" i="21"/>
  <c r="CQ273" i="21"/>
  <c r="CQ77" i="21"/>
  <c r="DS77" i="21"/>
  <c r="DP275" i="21"/>
  <c r="DO275" i="21"/>
  <c r="DP81" i="21"/>
  <c r="DO81" i="21"/>
  <c r="DN276" i="21"/>
  <c r="EM276" i="21"/>
  <c r="EP276" i="21" s="1"/>
  <c r="EQ276" i="21" s="1"/>
  <c r="FL78" i="21"/>
  <c r="CZ78" i="21"/>
  <c r="DU277" i="21"/>
  <c r="AV277" i="21"/>
  <c r="AW277" i="21" s="1"/>
  <c r="AP85" i="21"/>
  <c r="AT84" i="21"/>
  <c r="AQ84" i="21"/>
  <c r="DN82" i="21"/>
  <c r="EM82" i="21"/>
  <c r="EP82" i="21" s="1"/>
  <c r="EQ82" i="21" s="1"/>
  <c r="EX79" i="21"/>
  <c r="ES81" i="21"/>
  <c r="ER81" i="21"/>
  <c r="AT278" i="21"/>
  <c r="AP279" i="21"/>
  <c r="AQ278" i="21"/>
  <c r="DQ274" i="21"/>
  <c r="DR274" i="21" s="1"/>
  <c r="EW80" i="21"/>
  <c r="EX80" i="21" s="1"/>
  <c r="DQ80" i="21"/>
  <c r="EW274" i="21"/>
  <c r="EX274" i="21" s="1"/>
  <c r="AU277" i="21"/>
  <c r="AR277" i="21"/>
  <c r="AU83" i="21"/>
  <c r="AR83" i="21"/>
  <c r="ES275" i="21"/>
  <c r="ER275" i="21"/>
  <c r="FK272" i="21"/>
  <c r="FM272" i="21" s="1"/>
  <c r="AD272" i="21"/>
  <c r="CY272" i="21"/>
  <c r="DU83" i="21"/>
  <c r="AV83" i="21"/>
  <c r="AW83" i="21" s="1"/>
  <c r="DR78" i="21"/>
  <c r="EX78" i="20"/>
  <c r="EV78" i="5"/>
  <c r="DX78" i="5" s="1"/>
  <c r="CL78" i="5" s="1"/>
  <c r="CT78" i="5" s="1"/>
  <c r="DS271" i="20"/>
  <c r="CQ271" i="20"/>
  <c r="FL78" i="20"/>
  <c r="CZ78" i="20"/>
  <c r="DR78" i="20"/>
  <c r="AR275" i="20"/>
  <c r="AU275" i="20"/>
  <c r="DN274" i="20"/>
  <c r="EM274" i="20"/>
  <c r="EP274" i="20" s="1"/>
  <c r="EQ274" i="20" s="1"/>
  <c r="AT276" i="20"/>
  <c r="AP277" i="20"/>
  <c r="AQ276" i="20"/>
  <c r="FK75" i="20"/>
  <c r="FM75" i="20" s="1"/>
  <c r="CY75" i="20"/>
  <c r="DU82" i="20"/>
  <c r="AV82" i="20"/>
  <c r="AW82" i="20" s="1"/>
  <c r="AU82" i="20"/>
  <c r="AR82" i="20"/>
  <c r="CY76" i="20"/>
  <c r="FK76" i="20"/>
  <c r="FM76" i="20" s="1"/>
  <c r="ER80" i="20"/>
  <c r="ES80" i="20"/>
  <c r="EW79" i="20"/>
  <c r="EX79" i="20" s="1"/>
  <c r="EW272" i="20"/>
  <c r="EX272" i="20" s="1"/>
  <c r="DU275" i="20"/>
  <c r="AV275" i="20"/>
  <c r="AW275" i="20" s="1"/>
  <c r="DQ272" i="20"/>
  <c r="DR272" i="20" s="1"/>
  <c r="AP84" i="20"/>
  <c r="AT83" i="20"/>
  <c r="AQ83" i="20"/>
  <c r="DO80" i="20"/>
  <c r="DP80" i="20"/>
  <c r="DQ79" i="20"/>
  <c r="DN81" i="20"/>
  <c r="EM81" i="20"/>
  <c r="EP81" i="20" s="1"/>
  <c r="EQ81" i="20" s="1"/>
  <c r="ES273" i="20"/>
  <c r="ER273" i="20"/>
  <c r="FK270" i="20"/>
  <c r="FM270" i="20" s="1"/>
  <c r="DE270" i="20"/>
  <c r="AD270" i="20"/>
  <c r="ED77" i="20"/>
  <c r="CR77" i="20" s="1"/>
  <c r="DR77" i="20"/>
  <c r="DO273" i="20"/>
  <c r="DP273" i="20"/>
  <c r="DM274" i="5"/>
  <c r="CK274" i="5"/>
  <c r="EQ275" i="5"/>
  <c r="ER275" i="5" s="1"/>
  <c r="EM80" i="5"/>
  <c r="EL80" i="5"/>
  <c r="DJ276" i="5"/>
  <c r="DI276" i="5"/>
  <c r="DJ80" i="5"/>
  <c r="DI80" i="5"/>
  <c r="DK275" i="5"/>
  <c r="DL275" i="5" s="1"/>
  <c r="EQ79" i="5"/>
  <c r="EV79" i="5" s="1"/>
  <c r="DX79" i="5" s="1"/>
  <c r="CL79" i="5" s="1"/>
  <c r="CK76" i="5"/>
  <c r="DM76" i="5"/>
  <c r="DH277" i="5"/>
  <c r="EG277" i="5"/>
  <c r="EJ277" i="5" s="1"/>
  <c r="EK277" i="5" s="1"/>
  <c r="DM77" i="5"/>
  <c r="CK77" i="5"/>
  <c r="AJ84" i="5"/>
  <c r="AN83" i="5"/>
  <c r="AK83" i="5"/>
  <c r="DK79" i="5"/>
  <c r="AN279" i="5"/>
  <c r="AK279" i="5"/>
  <c r="AL82" i="5"/>
  <c r="AO82" i="5"/>
  <c r="DH81" i="5"/>
  <c r="EG81" i="5"/>
  <c r="EJ81" i="5" s="1"/>
  <c r="EK81" i="5" s="1"/>
  <c r="AL278" i="5"/>
  <c r="AO278" i="5"/>
  <c r="CY273" i="5"/>
  <c r="FE273" i="5"/>
  <c r="FG273" i="5" s="1"/>
  <c r="CT76" i="5"/>
  <c r="FF76" i="5"/>
  <c r="DO82" i="5"/>
  <c r="AP82" i="5"/>
  <c r="AQ82" i="5" s="1"/>
  <c r="DO278" i="5"/>
  <c r="AP278" i="5"/>
  <c r="AQ278" i="5" s="1"/>
  <c r="EL276" i="5"/>
  <c r="EM276" i="5"/>
  <c r="X273" i="5"/>
  <c r="AJ280" i="5"/>
  <c r="X274" i="5"/>
  <c r="CQ274" i="21" l="1"/>
  <c r="DS274" i="21"/>
  <c r="AU84" i="21"/>
  <c r="AR84" i="21"/>
  <c r="DP276" i="21"/>
  <c r="DO276" i="21"/>
  <c r="ER82" i="21"/>
  <c r="ES82" i="21"/>
  <c r="EW275" i="21"/>
  <c r="EX275" i="21" s="1"/>
  <c r="ES276" i="21"/>
  <c r="ER276" i="21"/>
  <c r="DQ81" i="21"/>
  <c r="DN83" i="21"/>
  <c r="EM83" i="21"/>
  <c r="EP83" i="21" s="1"/>
  <c r="EQ83" i="21" s="1"/>
  <c r="DQ275" i="21"/>
  <c r="DR275" i="21" s="1"/>
  <c r="DP82" i="21"/>
  <c r="DO82" i="21"/>
  <c r="FB80" i="21"/>
  <c r="AP86" i="21"/>
  <c r="AT85" i="21"/>
  <c r="AQ85" i="21"/>
  <c r="CY77" i="21"/>
  <c r="FK77" i="21"/>
  <c r="FM77" i="21" s="1"/>
  <c r="DE273" i="21"/>
  <c r="FK273" i="21"/>
  <c r="FM273" i="21" s="1"/>
  <c r="AD273" i="21"/>
  <c r="DU84" i="21"/>
  <c r="AV84" i="21"/>
  <c r="AW84" i="21" s="1"/>
  <c r="AU278" i="21"/>
  <c r="AR278" i="21"/>
  <c r="AT279" i="21"/>
  <c r="AP280" i="21"/>
  <c r="AQ279" i="21"/>
  <c r="DN277" i="21"/>
  <c r="EM277" i="21"/>
  <c r="EP277" i="21" s="1"/>
  <c r="EQ277" i="21" s="1"/>
  <c r="DU278" i="21"/>
  <c r="AV278" i="21"/>
  <c r="AW278" i="21" s="1"/>
  <c r="CQ78" i="21"/>
  <c r="DS78" i="21"/>
  <c r="EW81" i="21"/>
  <c r="EX81" i="21" s="1"/>
  <c r="DS79" i="21"/>
  <c r="CQ79" i="21"/>
  <c r="FB79" i="20"/>
  <c r="ED79" i="20" s="1"/>
  <c r="CR79" i="20" s="1"/>
  <c r="CZ79" i="20" s="1"/>
  <c r="FF78" i="5"/>
  <c r="DL78" i="5"/>
  <c r="ER79" i="5"/>
  <c r="DL79" i="5"/>
  <c r="DM79" i="5" s="1"/>
  <c r="DS272" i="20"/>
  <c r="CQ272" i="20"/>
  <c r="ES81" i="20"/>
  <c r="ER81" i="20"/>
  <c r="AT84" i="20"/>
  <c r="AP85" i="20"/>
  <c r="AQ84" i="20"/>
  <c r="DP274" i="20"/>
  <c r="DO274" i="20"/>
  <c r="DN82" i="20"/>
  <c r="EM82" i="20"/>
  <c r="EP82" i="20" s="1"/>
  <c r="EQ82" i="20" s="1"/>
  <c r="FL77" i="20"/>
  <c r="CZ77" i="20"/>
  <c r="DO81" i="20"/>
  <c r="DP81" i="20"/>
  <c r="EW80" i="20"/>
  <c r="FB80" i="20" s="1"/>
  <c r="DS78" i="20"/>
  <c r="CQ78" i="20"/>
  <c r="DS77" i="20"/>
  <c r="CQ77" i="20"/>
  <c r="DN275" i="20"/>
  <c r="EM275" i="20"/>
  <c r="EP275" i="20" s="1"/>
  <c r="EQ275" i="20" s="1"/>
  <c r="AR276" i="20"/>
  <c r="AU276" i="20"/>
  <c r="DQ80" i="20"/>
  <c r="AT277" i="20"/>
  <c r="AP278" i="20"/>
  <c r="AQ277" i="20"/>
  <c r="EW273" i="20"/>
  <c r="EX273" i="20" s="1"/>
  <c r="AU83" i="20"/>
  <c r="AR83" i="20"/>
  <c r="DU276" i="20"/>
  <c r="AV276" i="20"/>
  <c r="AW276" i="20" s="1"/>
  <c r="FK271" i="20"/>
  <c r="FM271" i="20" s="1"/>
  <c r="DE271" i="20"/>
  <c r="AD271" i="20"/>
  <c r="DQ273" i="20"/>
  <c r="DR273" i="20" s="1"/>
  <c r="DU83" i="20"/>
  <c r="AV83" i="20"/>
  <c r="AW83" i="20" s="1"/>
  <c r="ES274" i="20"/>
  <c r="ER274" i="20"/>
  <c r="DM275" i="5"/>
  <c r="CK275" i="5"/>
  <c r="AO279" i="5"/>
  <c r="AL279" i="5"/>
  <c r="EQ80" i="5"/>
  <c r="ER80" i="5" s="1"/>
  <c r="FF79" i="5"/>
  <c r="CT79" i="5"/>
  <c r="DO279" i="5"/>
  <c r="AP279" i="5"/>
  <c r="AQ279" i="5" s="1"/>
  <c r="DH278" i="5"/>
  <c r="EG278" i="5"/>
  <c r="EJ278" i="5" s="1"/>
  <c r="EK278" i="5" s="1"/>
  <c r="EM277" i="5"/>
  <c r="EL277" i="5"/>
  <c r="EQ276" i="5"/>
  <c r="ER276" i="5" s="1"/>
  <c r="EM81" i="5"/>
  <c r="EL81" i="5"/>
  <c r="AL83" i="5"/>
  <c r="AO83" i="5"/>
  <c r="DI277" i="5"/>
  <c r="DJ277" i="5"/>
  <c r="DK80" i="5"/>
  <c r="DO83" i="5"/>
  <c r="AP83" i="5"/>
  <c r="AQ83" i="5" s="1"/>
  <c r="DH82" i="5"/>
  <c r="EG82" i="5"/>
  <c r="EJ82" i="5" s="1"/>
  <c r="EK82" i="5" s="1"/>
  <c r="DI81" i="5"/>
  <c r="DJ81" i="5"/>
  <c r="AJ85" i="5"/>
  <c r="AN84" i="5"/>
  <c r="AK84" i="5"/>
  <c r="CS76" i="5"/>
  <c r="FE76" i="5"/>
  <c r="FG76" i="5" s="1"/>
  <c r="DK276" i="5"/>
  <c r="DL276" i="5" s="1"/>
  <c r="CY274" i="5"/>
  <c r="FE274" i="5"/>
  <c r="FG274" i="5" s="1"/>
  <c r="AN280" i="5"/>
  <c r="AK280" i="5"/>
  <c r="CS77" i="5"/>
  <c r="FE77" i="5"/>
  <c r="FG77" i="5" s="1"/>
  <c r="AJ281" i="5"/>
  <c r="DS275" i="21" l="1"/>
  <c r="CQ275" i="21"/>
  <c r="ED80" i="21"/>
  <c r="CR80" i="21" s="1"/>
  <c r="DR80" i="21"/>
  <c r="ES83" i="21"/>
  <c r="ER83" i="21"/>
  <c r="AR279" i="21"/>
  <c r="AU279" i="21"/>
  <c r="EX276" i="21"/>
  <c r="EW276" i="21"/>
  <c r="ER277" i="21"/>
  <c r="ES277" i="21"/>
  <c r="AT280" i="21"/>
  <c r="AP281" i="21"/>
  <c r="AQ280" i="21"/>
  <c r="AP87" i="21"/>
  <c r="AT86" i="21"/>
  <c r="AQ86" i="21"/>
  <c r="FB81" i="21"/>
  <c r="ED81" i="21" s="1"/>
  <c r="CR81" i="21" s="1"/>
  <c r="DN278" i="21"/>
  <c r="EM278" i="21"/>
  <c r="EP278" i="21" s="1"/>
  <c r="EQ278" i="21" s="1"/>
  <c r="EX82" i="21"/>
  <c r="FB82" i="21"/>
  <c r="ED82" i="21" s="1"/>
  <c r="CR82" i="21" s="1"/>
  <c r="EW82" i="21"/>
  <c r="DO277" i="21"/>
  <c r="DP277" i="21"/>
  <c r="DQ276" i="21"/>
  <c r="DR276" i="21" s="1"/>
  <c r="FK79" i="21"/>
  <c r="FM79" i="21" s="1"/>
  <c r="CY79" i="21"/>
  <c r="DP83" i="21"/>
  <c r="DO83" i="21"/>
  <c r="DQ82" i="21"/>
  <c r="DU279" i="21"/>
  <c r="AV279" i="21"/>
  <c r="AW279" i="21" s="1"/>
  <c r="DU85" i="21"/>
  <c r="AV85" i="21"/>
  <c r="AW85" i="21" s="1"/>
  <c r="FK78" i="21"/>
  <c r="FM78" i="21" s="1"/>
  <c r="CY78" i="21"/>
  <c r="AR85" i="21"/>
  <c r="AU85" i="21"/>
  <c r="DN84" i="21"/>
  <c r="EM84" i="21"/>
  <c r="EP84" i="21" s="1"/>
  <c r="EQ84" i="21" s="1"/>
  <c r="AD274" i="21"/>
  <c r="DE274" i="21"/>
  <c r="FK274" i="21"/>
  <c r="FM274" i="21" s="1"/>
  <c r="FL79" i="20"/>
  <c r="DR79" i="20"/>
  <c r="EV80" i="5"/>
  <c r="DX80" i="5" s="1"/>
  <c r="CL80" i="5" s="1"/>
  <c r="CT80" i="5" s="1"/>
  <c r="DM78" i="5"/>
  <c r="CK78" i="5"/>
  <c r="CK79" i="5"/>
  <c r="CS79" i="5" s="1"/>
  <c r="ED80" i="20"/>
  <c r="CR80" i="20" s="1"/>
  <c r="DR80" i="20"/>
  <c r="DS273" i="20"/>
  <c r="CQ273" i="20"/>
  <c r="EW274" i="20"/>
  <c r="EX274" i="20" s="1"/>
  <c r="DN276" i="20"/>
  <c r="EM276" i="20"/>
  <c r="EP276" i="20" s="1"/>
  <c r="EQ276" i="20" s="1"/>
  <c r="FK78" i="20"/>
  <c r="FM78" i="20" s="1"/>
  <c r="CY78" i="20"/>
  <c r="AP86" i="20"/>
  <c r="AT85" i="20"/>
  <c r="AQ85" i="20"/>
  <c r="ES82" i="20"/>
  <c r="ER82" i="20"/>
  <c r="DP82" i="20"/>
  <c r="DO82" i="20"/>
  <c r="EW81" i="20"/>
  <c r="EX81" i="20" s="1"/>
  <c r="DU84" i="20"/>
  <c r="AV84" i="20"/>
  <c r="AW84" i="20" s="1"/>
  <c r="EX80" i="20"/>
  <c r="DN83" i="20"/>
  <c r="EM83" i="20"/>
  <c r="EP83" i="20" s="1"/>
  <c r="EQ83" i="20" s="1"/>
  <c r="ER275" i="20"/>
  <c r="ES275" i="20"/>
  <c r="CY272" i="20"/>
  <c r="AD272" i="20"/>
  <c r="FK272" i="20"/>
  <c r="FM272" i="20" s="1"/>
  <c r="AR277" i="20"/>
  <c r="AU277" i="20"/>
  <c r="DP275" i="20"/>
  <c r="DO275" i="20"/>
  <c r="DQ274" i="20"/>
  <c r="DR274" i="20" s="1"/>
  <c r="AP279" i="20"/>
  <c r="AT278" i="20"/>
  <c r="AQ278" i="20"/>
  <c r="FK77" i="20"/>
  <c r="FM77" i="20" s="1"/>
  <c r="CY77" i="20"/>
  <c r="DQ81" i="20"/>
  <c r="DU277" i="20"/>
  <c r="AV277" i="20"/>
  <c r="AW277" i="20" s="1"/>
  <c r="AU84" i="20"/>
  <c r="AR84" i="20"/>
  <c r="DM276" i="5"/>
  <c r="CK276" i="5"/>
  <c r="DO84" i="5"/>
  <c r="AP84" i="5"/>
  <c r="AQ84" i="5" s="1"/>
  <c r="DJ82" i="5"/>
  <c r="DI82" i="5"/>
  <c r="DK277" i="5"/>
  <c r="DL277" i="5" s="1"/>
  <c r="AJ86" i="5"/>
  <c r="AN85" i="5"/>
  <c r="AK85" i="5"/>
  <c r="EM278" i="5"/>
  <c r="EL278" i="5"/>
  <c r="DH83" i="5"/>
  <c r="EG83" i="5"/>
  <c r="EJ83" i="5" s="1"/>
  <c r="EK83" i="5" s="1"/>
  <c r="DI278" i="5"/>
  <c r="DJ278" i="5"/>
  <c r="EQ81" i="5"/>
  <c r="EV81" i="5" s="1"/>
  <c r="DX81" i="5" s="1"/>
  <c r="CL81" i="5" s="1"/>
  <c r="DH279" i="5"/>
  <c r="EG279" i="5"/>
  <c r="EJ279" i="5" s="1"/>
  <c r="EK279" i="5" s="1"/>
  <c r="AN281" i="5"/>
  <c r="AK281" i="5"/>
  <c r="DK81" i="5"/>
  <c r="FE275" i="5"/>
  <c r="FG275" i="5" s="1"/>
  <c r="CY275" i="5"/>
  <c r="DO280" i="5"/>
  <c r="AP280" i="5"/>
  <c r="AQ280" i="5" s="1"/>
  <c r="AL280" i="5"/>
  <c r="AO280" i="5"/>
  <c r="AL84" i="5"/>
  <c r="AO84" i="5"/>
  <c r="EL82" i="5"/>
  <c r="EM82" i="5"/>
  <c r="EQ277" i="5"/>
  <c r="ER277" i="5" s="1"/>
  <c r="X275" i="5"/>
  <c r="AJ282" i="5"/>
  <c r="DS276" i="21" l="1"/>
  <c r="CQ276" i="21"/>
  <c r="DU86" i="21"/>
  <c r="AV86" i="21"/>
  <c r="AW86" i="21" s="1"/>
  <c r="FL82" i="21"/>
  <c r="CZ82" i="21"/>
  <c r="DU280" i="21"/>
  <c r="AV280" i="21"/>
  <c r="AW280" i="21" s="1"/>
  <c r="DN279" i="21"/>
  <c r="EM279" i="21"/>
  <c r="EP279" i="21" s="1"/>
  <c r="EQ279" i="21" s="1"/>
  <c r="EW277" i="21"/>
  <c r="EX277" i="21" s="1"/>
  <c r="DO84" i="21"/>
  <c r="DP84" i="21"/>
  <c r="DN85" i="21"/>
  <c r="EM85" i="21"/>
  <c r="EP85" i="21" s="1"/>
  <c r="EQ85" i="21" s="1"/>
  <c r="ER84" i="21"/>
  <c r="ES84" i="21"/>
  <c r="AP88" i="21"/>
  <c r="AT87" i="21"/>
  <c r="AQ87" i="21"/>
  <c r="EW83" i="21"/>
  <c r="EX83" i="21" s="1"/>
  <c r="ES278" i="21"/>
  <c r="ER278" i="21"/>
  <c r="AU280" i="21"/>
  <c r="AR280" i="21"/>
  <c r="DR82" i="21"/>
  <c r="AT281" i="21"/>
  <c r="AP282" i="21"/>
  <c r="AQ281" i="21"/>
  <c r="CQ80" i="21"/>
  <c r="DS80" i="21"/>
  <c r="DP278" i="21"/>
  <c r="DO278" i="21"/>
  <c r="CZ80" i="21"/>
  <c r="FL80" i="21"/>
  <c r="CZ81" i="21"/>
  <c r="FL81" i="21"/>
  <c r="FK275" i="21"/>
  <c r="FM275" i="21" s="1"/>
  <c r="AD275" i="21"/>
  <c r="CY275" i="21"/>
  <c r="AU86" i="21"/>
  <c r="AR86" i="21"/>
  <c r="DQ83" i="21"/>
  <c r="DR277" i="21"/>
  <c r="DQ277" i="21"/>
  <c r="DR81" i="21"/>
  <c r="CQ79" i="20"/>
  <c r="DS79" i="20"/>
  <c r="FE79" i="5"/>
  <c r="FG79" i="5" s="1"/>
  <c r="DL80" i="5"/>
  <c r="DM80" i="5" s="1"/>
  <c r="FF80" i="5"/>
  <c r="FE78" i="5"/>
  <c r="FG78" i="5" s="1"/>
  <c r="CS78" i="5"/>
  <c r="DS274" i="20"/>
  <c r="CQ274" i="20"/>
  <c r="DP83" i="20"/>
  <c r="DO83" i="20"/>
  <c r="ER276" i="20"/>
  <c r="ES276" i="20"/>
  <c r="EW82" i="20"/>
  <c r="FB82" i="20" s="1"/>
  <c r="ED82" i="20" s="1"/>
  <c r="CR82" i="20" s="1"/>
  <c r="DP276" i="20"/>
  <c r="DO276" i="20"/>
  <c r="AR278" i="20"/>
  <c r="AU278" i="20"/>
  <c r="DU278" i="20"/>
  <c r="AV278" i="20"/>
  <c r="AW278" i="20" s="1"/>
  <c r="AT279" i="20"/>
  <c r="AP280" i="20"/>
  <c r="AQ279" i="20"/>
  <c r="DN84" i="20"/>
  <c r="EM84" i="20"/>
  <c r="EP84" i="20" s="1"/>
  <c r="EQ84" i="20" s="1"/>
  <c r="AU85" i="20"/>
  <c r="AR85" i="20"/>
  <c r="DN277" i="20"/>
  <c r="EM277" i="20"/>
  <c r="EP277" i="20" s="1"/>
  <c r="EQ277" i="20" s="1"/>
  <c r="DU85" i="20"/>
  <c r="AV85" i="20"/>
  <c r="AW85" i="20" s="1"/>
  <c r="DE273" i="20"/>
  <c r="AD273" i="20"/>
  <c r="FK273" i="20"/>
  <c r="FM273" i="20" s="1"/>
  <c r="FB81" i="20"/>
  <c r="ED81" i="20" s="1"/>
  <c r="CR81" i="20" s="1"/>
  <c r="AP87" i="20"/>
  <c r="AT86" i="20"/>
  <c r="AQ86" i="20"/>
  <c r="DQ275" i="20"/>
  <c r="DR275" i="20" s="1"/>
  <c r="EW275" i="20"/>
  <c r="EX275" i="20" s="1"/>
  <c r="DS80" i="20"/>
  <c r="CQ80" i="20"/>
  <c r="ES83" i="20"/>
  <c r="ER83" i="20"/>
  <c r="DQ82" i="20"/>
  <c r="FL80" i="20"/>
  <c r="CZ80" i="20"/>
  <c r="DM277" i="5"/>
  <c r="CK277" i="5"/>
  <c r="CT81" i="5"/>
  <c r="FF81" i="5"/>
  <c r="DL81" i="5"/>
  <c r="DK82" i="5"/>
  <c r="AN282" i="5"/>
  <c r="AK282" i="5"/>
  <c r="ER81" i="5"/>
  <c r="AL85" i="5"/>
  <c r="AO85" i="5"/>
  <c r="AL281" i="5"/>
  <c r="AO281" i="5"/>
  <c r="DO85" i="5"/>
  <c r="AP85" i="5"/>
  <c r="AQ85" i="5" s="1"/>
  <c r="DO281" i="5"/>
  <c r="AP281" i="5"/>
  <c r="AQ281" i="5" s="1"/>
  <c r="AJ87" i="5"/>
  <c r="AN86" i="5"/>
  <c r="AK86" i="5"/>
  <c r="DH84" i="5"/>
  <c r="EG84" i="5"/>
  <c r="EJ84" i="5" s="1"/>
  <c r="EK84" i="5" s="1"/>
  <c r="DK278" i="5"/>
  <c r="DL278" i="5" s="1"/>
  <c r="DH280" i="5"/>
  <c r="EG280" i="5"/>
  <c r="EJ280" i="5" s="1"/>
  <c r="EK280" i="5" s="1"/>
  <c r="EL83" i="5"/>
  <c r="EM83" i="5"/>
  <c r="EL279" i="5"/>
  <c r="EM279" i="5"/>
  <c r="DI83" i="5"/>
  <c r="DJ83" i="5"/>
  <c r="FE276" i="5"/>
  <c r="FG276" i="5" s="1"/>
  <c r="CS276" i="5"/>
  <c r="EQ82" i="5"/>
  <c r="ER82" i="5" s="1"/>
  <c r="DI279" i="5"/>
  <c r="DJ279" i="5"/>
  <c r="EQ278" i="5"/>
  <c r="ER278" i="5" s="1"/>
  <c r="AJ283" i="5"/>
  <c r="X276" i="5"/>
  <c r="DQ84" i="21" l="1"/>
  <c r="DR84" i="21" s="1"/>
  <c r="DQ278" i="21"/>
  <c r="DR278" i="21" s="1"/>
  <c r="DS277" i="21"/>
  <c r="CQ277" i="21"/>
  <c r="AU87" i="21"/>
  <c r="AR87" i="21"/>
  <c r="AP89" i="21"/>
  <c r="AT88" i="21"/>
  <c r="AQ88" i="21"/>
  <c r="DP85" i="21"/>
  <c r="DO85" i="21"/>
  <c r="AU281" i="21"/>
  <c r="AR281" i="21"/>
  <c r="ER279" i="21"/>
  <c r="ES279" i="21"/>
  <c r="AT282" i="21"/>
  <c r="AP283" i="21"/>
  <c r="AQ282" i="21"/>
  <c r="DN280" i="21"/>
  <c r="EM280" i="21"/>
  <c r="EP280" i="21" s="1"/>
  <c r="EQ280" i="21" s="1"/>
  <c r="FB84" i="21"/>
  <c r="ED84" i="21" s="1"/>
  <c r="CR84" i="21" s="1"/>
  <c r="EW84" i="21"/>
  <c r="EX84" i="21" s="1"/>
  <c r="DU281" i="21"/>
  <c r="AV281" i="21"/>
  <c r="AW281" i="21" s="1"/>
  <c r="DU87" i="21"/>
  <c r="AV87" i="21"/>
  <c r="AW87" i="21" s="1"/>
  <c r="DS82" i="21"/>
  <c r="CQ82" i="21"/>
  <c r="ES85" i="21"/>
  <c r="ER85" i="21"/>
  <c r="CY80" i="21"/>
  <c r="FK80" i="21"/>
  <c r="FM80" i="21" s="1"/>
  <c r="DN86" i="21"/>
  <c r="EM86" i="21"/>
  <c r="EP86" i="21" s="1"/>
  <c r="EQ86" i="21" s="1"/>
  <c r="FB83" i="21"/>
  <c r="ED83" i="21" s="1"/>
  <c r="CR83" i="21" s="1"/>
  <c r="DP279" i="21"/>
  <c r="DO279" i="21"/>
  <c r="CQ81" i="21"/>
  <c r="DS81" i="21"/>
  <c r="EW278" i="21"/>
  <c r="EX278" i="21" s="1"/>
  <c r="AD276" i="21"/>
  <c r="FK276" i="21"/>
  <c r="FM276" i="21" s="1"/>
  <c r="DE276" i="21"/>
  <c r="FK79" i="20"/>
  <c r="FM79" i="20" s="1"/>
  <c r="CY79" i="20"/>
  <c r="EX82" i="20"/>
  <c r="CK80" i="5"/>
  <c r="FL82" i="20"/>
  <c r="CZ82" i="20"/>
  <c r="DR82" i="20"/>
  <c r="DS275" i="20"/>
  <c r="CQ275" i="20"/>
  <c r="EW276" i="20"/>
  <c r="EX276" i="20" s="1"/>
  <c r="AP88" i="20"/>
  <c r="AT87" i="20"/>
  <c r="AQ87" i="20"/>
  <c r="DQ83" i="20"/>
  <c r="DN278" i="20"/>
  <c r="EM278" i="20"/>
  <c r="EP278" i="20" s="1"/>
  <c r="EQ278" i="20" s="1"/>
  <c r="DQ276" i="20"/>
  <c r="DR276" i="20" s="1"/>
  <c r="DP277" i="20"/>
  <c r="DO277" i="20"/>
  <c r="DP84" i="20"/>
  <c r="DO84" i="20"/>
  <c r="AU279" i="20"/>
  <c r="AR279" i="20"/>
  <c r="DR81" i="20"/>
  <c r="FL81" i="20"/>
  <c r="CZ81" i="20"/>
  <c r="ES84" i="20"/>
  <c r="ER84" i="20"/>
  <c r="EW83" i="20"/>
  <c r="FB83" i="20" s="1"/>
  <c r="ED83" i="20" s="1"/>
  <c r="CR83" i="20" s="1"/>
  <c r="AU86" i="20"/>
  <c r="AR86" i="20"/>
  <c r="DN85" i="20"/>
  <c r="EM85" i="20"/>
  <c r="EP85" i="20" s="1"/>
  <c r="EQ85" i="20" s="1"/>
  <c r="AT280" i="20"/>
  <c r="AP281" i="20"/>
  <c r="AQ280" i="20"/>
  <c r="FK274" i="20"/>
  <c r="FM274" i="20" s="1"/>
  <c r="AD274" i="20"/>
  <c r="DE274" i="20"/>
  <c r="FK80" i="20"/>
  <c r="FM80" i="20" s="1"/>
  <c r="CY80" i="20"/>
  <c r="DU86" i="20"/>
  <c r="AV86" i="20"/>
  <c r="AW86" i="20" s="1"/>
  <c r="ER277" i="20"/>
  <c r="ES277" i="20"/>
  <c r="DU279" i="20"/>
  <c r="AV279" i="20"/>
  <c r="AW279" i="20" s="1"/>
  <c r="DM278" i="5"/>
  <c r="CK278" i="5"/>
  <c r="EQ279" i="5"/>
  <c r="ER279" i="5" s="1"/>
  <c r="DO282" i="5"/>
  <c r="AP282" i="5"/>
  <c r="AQ282" i="5" s="1"/>
  <c r="EV82" i="5"/>
  <c r="DX82" i="5" s="1"/>
  <c r="CL82" i="5" s="1"/>
  <c r="EL84" i="5"/>
  <c r="EM84" i="5"/>
  <c r="DH85" i="5"/>
  <c r="EG85" i="5"/>
  <c r="EJ85" i="5" s="1"/>
  <c r="EK85" i="5" s="1"/>
  <c r="DK279" i="5"/>
  <c r="DL279" i="5" s="1"/>
  <c r="EQ83" i="5"/>
  <c r="EV83" i="5" s="1"/>
  <c r="DX83" i="5" s="1"/>
  <c r="CL83" i="5" s="1"/>
  <c r="DI84" i="5"/>
  <c r="DJ84" i="5"/>
  <c r="EL280" i="5"/>
  <c r="EM280" i="5"/>
  <c r="AO86" i="5"/>
  <c r="AL86" i="5"/>
  <c r="DM81" i="5"/>
  <c r="CK81" i="5"/>
  <c r="AN283" i="5"/>
  <c r="AK283" i="5"/>
  <c r="DJ280" i="5"/>
  <c r="DI280" i="5"/>
  <c r="DO86" i="5"/>
  <c r="AP86" i="5"/>
  <c r="AQ86" i="5" s="1"/>
  <c r="AJ88" i="5"/>
  <c r="AN87" i="5"/>
  <c r="AK87" i="5"/>
  <c r="DK83" i="5"/>
  <c r="CY277" i="5"/>
  <c r="FE277" i="5"/>
  <c r="FG277" i="5" s="1"/>
  <c r="DH281" i="5"/>
  <c r="EG281" i="5"/>
  <c r="EJ281" i="5" s="1"/>
  <c r="EK281" i="5" s="1"/>
  <c r="AL282" i="5"/>
  <c r="AO282" i="5"/>
  <c r="X277" i="5"/>
  <c r="AJ284" i="5"/>
  <c r="DS278" i="21" l="1"/>
  <c r="CQ278" i="21"/>
  <c r="DS84" i="21"/>
  <c r="CQ84" i="21"/>
  <c r="FL84" i="21"/>
  <c r="CZ84" i="21"/>
  <c r="AU88" i="21"/>
  <c r="AR88" i="21"/>
  <c r="ES280" i="21"/>
  <c r="ER280" i="21"/>
  <c r="DU88" i="21"/>
  <c r="AV88" i="21"/>
  <c r="AW88" i="21" s="1"/>
  <c r="AP284" i="21"/>
  <c r="AT283" i="21"/>
  <c r="AQ283" i="21"/>
  <c r="AR282" i="21"/>
  <c r="AU282" i="21"/>
  <c r="CY82" i="21"/>
  <c r="FK82" i="21"/>
  <c r="FM82" i="21" s="1"/>
  <c r="EW279" i="21"/>
  <c r="EX279" i="21" s="1"/>
  <c r="DO86" i="21"/>
  <c r="DP86" i="21"/>
  <c r="AD277" i="21"/>
  <c r="FK277" i="21"/>
  <c r="FM277" i="21" s="1"/>
  <c r="DE277" i="21"/>
  <c r="FL83" i="21"/>
  <c r="CZ83" i="21"/>
  <c r="DQ85" i="21"/>
  <c r="DQ279" i="21"/>
  <c r="DR279" i="21" s="1"/>
  <c r="ES86" i="21"/>
  <c r="ER86" i="21"/>
  <c r="AT89" i="21"/>
  <c r="AP90" i="21"/>
  <c r="AQ89" i="21"/>
  <c r="DN87" i="21"/>
  <c r="EM87" i="21"/>
  <c r="EP87" i="21" s="1"/>
  <c r="EQ87" i="21" s="1"/>
  <c r="DO280" i="21"/>
  <c r="DP280" i="21"/>
  <c r="CY81" i="21"/>
  <c r="FK81" i="21"/>
  <c r="FM81" i="21" s="1"/>
  <c r="DN281" i="21"/>
  <c r="EM281" i="21"/>
  <c r="EP281" i="21" s="1"/>
  <c r="EQ281" i="21" s="1"/>
  <c r="DU282" i="21"/>
  <c r="AV282" i="21"/>
  <c r="AW282" i="21" s="1"/>
  <c r="EX85" i="21"/>
  <c r="EW85" i="21"/>
  <c r="FB85" i="21" s="1"/>
  <c r="ED85" i="21" s="1"/>
  <c r="CR85" i="21" s="1"/>
  <c r="DR83" i="21"/>
  <c r="FE80" i="5"/>
  <c r="FG80" i="5" s="1"/>
  <c r="CS80" i="5"/>
  <c r="ER83" i="5"/>
  <c r="DL83" i="5"/>
  <c r="DM83" i="5" s="1"/>
  <c r="DS276" i="20"/>
  <c r="CQ276" i="20"/>
  <c r="DR83" i="20"/>
  <c r="FL83" i="20"/>
  <c r="CZ83" i="20"/>
  <c r="AT88" i="20"/>
  <c r="AP89" i="20"/>
  <c r="AQ88" i="20"/>
  <c r="ES278" i="20"/>
  <c r="ER278" i="20"/>
  <c r="EW277" i="20"/>
  <c r="EX277" i="20" s="1"/>
  <c r="AU280" i="20"/>
  <c r="AR280" i="20"/>
  <c r="AT281" i="20"/>
  <c r="AP282" i="20"/>
  <c r="AQ281" i="20"/>
  <c r="DQ84" i="20"/>
  <c r="DN279" i="20"/>
  <c r="EM279" i="20"/>
  <c r="EP279" i="20" s="1"/>
  <c r="EQ279" i="20" s="1"/>
  <c r="EX83" i="20"/>
  <c r="FK275" i="20"/>
  <c r="FM275" i="20" s="1"/>
  <c r="AD275" i="20"/>
  <c r="CY275" i="20"/>
  <c r="DU280" i="20"/>
  <c r="AV280" i="20"/>
  <c r="AW280" i="20" s="1"/>
  <c r="EW84" i="20"/>
  <c r="FB84" i="20" s="1"/>
  <c r="ED84" i="20" s="1"/>
  <c r="CR84" i="20" s="1"/>
  <c r="CQ82" i="20"/>
  <c r="DS82" i="20"/>
  <c r="CQ81" i="20"/>
  <c r="DS81" i="20"/>
  <c r="DP278" i="20"/>
  <c r="DO278" i="20"/>
  <c r="DN86" i="20"/>
  <c r="EM86" i="20"/>
  <c r="EP86" i="20" s="1"/>
  <c r="EQ86" i="20" s="1"/>
  <c r="ES85" i="20"/>
  <c r="ER85" i="20"/>
  <c r="DQ277" i="20"/>
  <c r="DR277" i="20" s="1"/>
  <c r="AU87" i="20"/>
  <c r="AR87" i="20"/>
  <c r="DP85" i="20"/>
  <c r="DO85" i="20"/>
  <c r="DU87" i="20"/>
  <c r="AV87" i="20"/>
  <c r="AW87" i="20" s="1"/>
  <c r="CT82" i="5"/>
  <c r="FF82" i="5"/>
  <c r="AN284" i="5"/>
  <c r="AK284" i="5"/>
  <c r="DI281" i="5"/>
  <c r="DJ281" i="5"/>
  <c r="CT83" i="5"/>
  <c r="FF83" i="5"/>
  <c r="DH86" i="5"/>
  <c r="EG86" i="5"/>
  <c r="EJ86" i="5" s="1"/>
  <c r="EK86" i="5" s="1"/>
  <c r="DH282" i="5"/>
  <c r="EG282" i="5"/>
  <c r="EJ282" i="5" s="1"/>
  <c r="EK282" i="5" s="1"/>
  <c r="EL281" i="5"/>
  <c r="EM281" i="5"/>
  <c r="DK280" i="5"/>
  <c r="DL280" i="5" s="1"/>
  <c r="DM279" i="5"/>
  <c r="CK279" i="5"/>
  <c r="EQ280" i="5"/>
  <c r="ER280" i="5" s="1"/>
  <c r="EL85" i="5"/>
  <c r="EM85" i="5"/>
  <c r="AO283" i="5"/>
  <c r="AL283" i="5"/>
  <c r="DJ85" i="5"/>
  <c r="DI85" i="5"/>
  <c r="DL82" i="5"/>
  <c r="AJ89" i="5"/>
  <c r="AN88" i="5"/>
  <c r="AK88" i="5"/>
  <c r="AL87" i="5"/>
  <c r="AO87" i="5"/>
  <c r="DO283" i="5"/>
  <c r="AP283" i="5"/>
  <c r="AQ283" i="5" s="1"/>
  <c r="DK84" i="5"/>
  <c r="CY278" i="5"/>
  <c r="FE278" i="5"/>
  <c r="FG278" i="5" s="1"/>
  <c r="DO87" i="5"/>
  <c r="AP87" i="5"/>
  <c r="AQ87" i="5" s="1"/>
  <c r="CS81" i="5"/>
  <c r="FE81" i="5"/>
  <c r="FG81" i="5" s="1"/>
  <c r="EQ84" i="5"/>
  <c r="ER84" i="5" s="1"/>
  <c r="X279" i="5"/>
  <c r="X278" i="5"/>
  <c r="AJ285" i="5"/>
  <c r="DS279" i="21" l="1"/>
  <c r="CQ279" i="21"/>
  <c r="DR85" i="21"/>
  <c r="FL85" i="21"/>
  <c r="CZ85" i="21"/>
  <c r="DQ86" i="21"/>
  <c r="DQ280" i="21"/>
  <c r="DR280" i="21" s="1"/>
  <c r="ER87" i="21"/>
  <c r="ES87" i="21"/>
  <c r="AU283" i="21"/>
  <c r="AR283" i="21"/>
  <c r="DU283" i="21"/>
  <c r="AV283" i="21"/>
  <c r="AW283" i="21" s="1"/>
  <c r="DU89" i="21"/>
  <c r="AV89" i="21"/>
  <c r="AW89" i="21" s="1"/>
  <c r="DN88" i="21"/>
  <c r="EM88" i="21"/>
  <c r="EP88" i="21" s="1"/>
  <c r="EQ88" i="21" s="1"/>
  <c r="DP87" i="21"/>
  <c r="DO87" i="21"/>
  <c r="AP91" i="21"/>
  <c r="AT90" i="21"/>
  <c r="AQ90" i="21"/>
  <c r="AT284" i="21"/>
  <c r="AP285" i="21"/>
  <c r="AQ284" i="21"/>
  <c r="CY84" i="21"/>
  <c r="FK84" i="21"/>
  <c r="FM84" i="21" s="1"/>
  <c r="DN282" i="21"/>
  <c r="EM282" i="21"/>
  <c r="EP282" i="21" s="1"/>
  <c r="EQ282" i="21" s="1"/>
  <c r="DP281" i="21"/>
  <c r="DO281" i="21"/>
  <c r="AU89" i="21"/>
  <c r="AR89" i="21"/>
  <c r="CQ83" i="21"/>
  <c r="DS83" i="21"/>
  <c r="EW86" i="21"/>
  <c r="FB86" i="21" s="1"/>
  <c r="ED86" i="21" s="1"/>
  <c r="CR86" i="21" s="1"/>
  <c r="FK278" i="21"/>
  <c r="FM278" i="21" s="1"/>
  <c r="DE278" i="21"/>
  <c r="AD278" i="21"/>
  <c r="ES281" i="21"/>
  <c r="ER281" i="21"/>
  <c r="EW280" i="21"/>
  <c r="EX280" i="21" s="1"/>
  <c r="CK83" i="5"/>
  <c r="CS83" i="5" s="1"/>
  <c r="DS277" i="20"/>
  <c r="CQ277" i="20"/>
  <c r="CZ84" i="20"/>
  <c r="FL84" i="20"/>
  <c r="DR84" i="20"/>
  <c r="DN280" i="20"/>
  <c r="EM280" i="20"/>
  <c r="EP280" i="20" s="1"/>
  <c r="EQ280" i="20" s="1"/>
  <c r="EW278" i="20"/>
  <c r="EX278" i="20" s="1"/>
  <c r="AD276" i="20"/>
  <c r="FK276" i="20"/>
  <c r="FM276" i="20" s="1"/>
  <c r="DE276" i="20"/>
  <c r="EW85" i="20"/>
  <c r="FB85" i="20" s="1"/>
  <c r="ED85" i="20" s="1"/>
  <c r="CR85" i="20" s="1"/>
  <c r="AP283" i="20"/>
  <c r="AT282" i="20"/>
  <c r="AQ282" i="20"/>
  <c r="AR88" i="20"/>
  <c r="AU88" i="20"/>
  <c r="FK82" i="20"/>
  <c r="FM82" i="20" s="1"/>
  <c r="CY82" i="20"/>
  <c r="DU281" i="20"/>
  <c r="AV281" i="20"/>
  <c r="AW281" i="20" s="1"/>
  <c r="AP90" i="20"/>
  <c r="AT89" i="20"/>
  <c r="AQ89" i="20"/>
  <c r="DU88" i="20"/>
  <c r="AV88" i="20"/>
  <c r="AW88" i="20" s="1"/>
  <c r="DP86" i="20"/>
  <c r="DO86" i="20"/>
  <c r="EX84" i="20"/>
  <c r="ER279" i="20"/>
  <c r="ES279" i="20"/>
  <c r="DN87" i="20"/>
  <c r="EM87" i="20"/>
  <c r="EP87" i="20" s="1"/>
  <c r="EQ87" i="20" s="1"/>
  <c r="DQ85" i="20"/>
  <c r="DQ278" i="20"/>
  <c r="DR278" i="20" s="1"/>
  <c r="DP279" i="20"/>
  <c r="DO279" i="20"/>
  <c r="ES86" i="20"/>
  <c r="ER86" i="20"/>
  <c r="CQ83" i="20"/>
  <c r="DS83" i="20"/>
  <c r="CY81" i="20"/>
  <c r="FK81" i="20"/>
  <c r="FM81" i="20" s="1"/>
  <c r="AU281" i="20"/>
  <c r="AR281" i="20"/>
  <c r="DM280" i="5"/>
  <c r="CK280" i="5"/>
  <c r="X280" i="5" s="1"/>
  <c r="AL88" i="5"/>
  <c r="AO88" i="5"/>
  <c r="AJ90" i="5"/>
  <c r="AN89" i="5"/>
  <c r="AK89" i="5"/>
  <c r="EM282" i="5"/>
  <c r="EL282" i="5"/>
  <c r="AO284" i="5"/>
  <c r="AL284" i="5"/>
  <c r="EQ281" i="5"/>
  <c r="ER281" i="5" s="1"/>
  <c r="CK82" i="5"/>
  <c r="DM82" i="5"/>
  <c r="DI282" i="5"/>
  <c r="DJ282" i="5"/>
  <c r="DO284" i="5"/>
  <c r="AP284" i="5"/>
  <c r="AQ284" i="5" s="1"/>
  <c r="DK281" i="5"/>
  <c r="DL281" i="5" s="1"/>
  <c r="DK85" i="5"/>
  <c r="FE279" i="5"/>
  <c r="FG279" i="5" s="1"/>
  <c r="CS279" i="5"/>
  <c r="EL86" i="5"/>
  <c r="EM86" i="5"/>
  <c r="AN285" i="5"/>
  <c r="AK285" i="5"/>
  <c r="DH283" i="5"/>
  <c r="EG283" i="5"/>
  <c r="EJ283" i="5" s="1"/>
  <c r="EK283" i="5" s="1"/>
  <c r="DI86" i="5"/>
  <c r="DJ86" i="5"/>
  <c r="DO88" i="5"/>
  <c r="AP88" i="5"/>
  <c r="AQ88" i="5" s="1"/>
  <c r="EV84" i="5"/>
  <c r="DX84" i="5" s="1"/>
  <c r="CL84" i="5" s="1"/>
  <c r="EQ85" i="5"/>
  <c r="EV85" i="5" s="1"/>
  <c r="DH87" i="5"/>
  <c r="EG87" i="5"/>
  <c r="EJ87" i="5" s="1"/>
  <c r="EK87" i="5" s="1"/>
  <c r="AJ286" i="5"/>
  <c r="CZ86" i="21" l="1"/>
  <c r="FL86" i="21"/>
  <c r="DS280" i="21"/>
  <c r="CQ280" i="21"/>
  <c r="DR86" i="21"/>
  <c r="DU90" i="21"/>
  <c r="AV90" i="21"/>
  <c r="AW90" i="21" s="1"/>
  <c r="DO88" i="21"/>
  <c r="DP88" i="21"/>
  <c r="AU90" i="21"/>
  <c r="AR90" i="21"/>
  <c r="AP92" i="21"/>
  <c r="AT91" i="21"/>
  <c r="AQ91" i="21"/>
  <c r="DN283" i="21"/>
  <c r="EM283" i="21"/>
  <c r="EP283" i="21" s="1"/>
  <c r="EQ283" i="21" s="1"/>
  <c r="FK83" i="21"/>
  <c r="FM83" i="21" s="1"/>
  <c r="CY83" i="21"/>
  <c r="DQ87" i="21"/>
  <c r="DN89" i="21"/>
  <c r="EM89" i="21"/>
  <c r="EP89" i="21" s="1"/>
  <c r="EQ89" i="21" s="1"/>
  <c r="DO282" i="21"/>
  <c r="DP282" i="21"/>
  <c r="EX86" i="21"/>
  <c r="ER88" i="21"/>
  <c r="ES88" i="21"/>
  <c r="DQ281" i="21"/>
  <c r="DR281" i="21" s="1"/>
  <c r="AU284" i="21"/>
  <c r="AR284" i="21"/>
  <c r="CQ85" i="21"/>
  <c r="DS85" i="21"/>
  <c r="ER282" i="21"/>
  <c r="ES282" i="21"/>
  <c r="AP286" i="21"/>
  <c r="AT285" i="21"/>
  <c r="AQ285" i="21"/>
  <c r="CY279" i="21"/>
  <c r="AD279" i="21"/>
  <c r="FK279" i="21"/>
  <c r="FM279" i="21" s="1"/>
  <c r="EW281" i="21"/>
  <c r="EX281" i="21" s="1"/>
  <c r="EW87" i="21"/>
  <c r="EX87" i="21" s="1"/>
  <c r="DU284" i="21"/>
  <c r="AV284" i="21"/>
  <c r="AW284" i="21" s="1"/>
  <c r="FE83" i="5"/>
  <c r="FG83" i="5" s="1"/>
  <c r="FL85" i="20"/>
  <c r="CZ85" i="20"/>
  <c r="DR85" i="20"/>
  <c r="DN281" i="20"/>
  <c r="EM281" i="20"/>
  <c r="EP281" i="20" s="1"/>
  <c r="EQ281" i="20" s="1"/>
  <c r="DQ279" i="20"/>
  <c r="DR279" i="20" s="1"/>
  <c r="AP284" i="20"/>
  <c r="AT283" i="20"/>
  <c r="AQ283" i="20"/>
  <c r="EX85" i="20"/>
  <c r="DP280" i="20"/>
  <c r="DO280" i="20"/>
  <c r="DS278" i="20"/>
  <c r="CQ278" i="20"/>
  <c r="ES280" i="20"/>
  <c r="ER280" i="20"/>
  <c r="FK83" i="20"/>
  <c r="FM83" i="20" s="1"/>
  <c r="CY83" i="20"/>
  <c r="CQ84" i="20"/>
  <c r="DS84" i="20"/>
  <c r="EW86" i="20"/>
  <c r="FB86" i="20" s="1"/>
  <c r="ED86" i="20" s="1"/>
  <c r="CR86" i="20" s="1"/>
  <c r="ER87" i="20"/>
  <c r="ES87" i="20"/>
  <c r="DN88" i="20"/>
  <c r="EM88" i="20"/>
  <c r="EP88" i="20" s="1"/>
  <c r="EQ88" i="20" s="1"/>
  <c r="DP87" i="20"/>
  <c r="DO87" i="20"/>
  <c r="AR89" i="20"/>
  <c r="AU89" i="20"/>
  <c r="DQ86" i="20"/>
  <c r="DU89" i="20"/>
  <c r="AV89" i="20"/>
  <c r="AW89" i="20" s="1"/>
  <c r="AU282" i="20"/>
  <c r="AR282" i="20"/>
  <c r="AD277" i="20"/>
  <c r="FK277" i="20"/>
  <c r="FM277" i="20" s="1"/>
  <c r="DE277" i="20"/>
  <c r="EW279" i="20"/>
  <c r="EX279" i="20" s="1"/>
  <c r="AP91" i="20"/>
  <c r="AT90" i="20"/>
  <c r="AQ90" i="20"/>
  <c r="DU282" i="20"/>
  <c r="AV282" i="20"/>
  <c r="AW282" i="20" s="1"/>
  <c r="DM281" i="5"/>
  <c r="CK281" i="5"/>
  <c r="DX85" i="5"/>
  <c r="CL85" i="5" s="1"/>
  <c r="DL85" i="5"/>
  <c r="EL283" i="5"/>
  <c r="EM283" i="5"/>
  <c r="AL89" i="5"/>
  <c r="AO89" i="5"/>
  <c r="CS82" i="5"/>
  <c r="FE82" i="5"/>
  <c r="FG82" i="5" s="1"/>
  <c r="DO89" i="5"/>
  <c r="AP89" i="5"/>
  <c r="AQ89" i="5" s="1"/>
  <c r="AL285" i="5"/>
  <c r="AO285" i="5"/>
  <c r="AJ91" i="5"/>
  <c r="AN90" i="5"/>
  <c r="AK90" i="5"/>
  <c r="DO285" i="5"/>
  <c r="AP285" i="5"/>
  <c r="AQ285" i="5" s="1"/>
  <c r="FF84" i="5"/>
  <c r="CT84" i="5"/>
  <c r="DH88" i="5"/>
  <c r="EG88" i="5"/>
  <c r="EJ88" i="5" s="1"/>
  <c r="EK88" i="5" s="1"/>
  <c r="EQ86" i="5"/>
  <c r="EV86" i="5" s="1"/>
  <c r="DX86" i="5" s="1"/>
  <c r="CL86" i="5" s="1"/>
  <c r="DH284" i="5"/>
  <c r="EG284" i="5"/>
  <c r="EJ284" i="5" s="1"/>
  <c r="EK284" i="5" s="1"/>
  <c r="FE280" i="5"/>
  <c r="FG280" i="5" s="1"/>
  <c r="CY280" i="5"/>
  <c r="DI283" i="5"/>
  <c r="DJ283" i="5"/>
  <c r="EM87" i="5"/>
  <c r="EL87" i="5"/>
  <c r="EQ282" i="5"/>
  <c r="ER282" i="5" s="1"/>
  <c r="ER85" i="5"/>
  <c r="AN286" i="5"/>
  <c r="AK286" i="5"/>
  <c r="DJ87" i="5"/>
  <c r="DI87" i="5"/>
  <c r="DK86" i="5"/>
  <c r="DK282" i="5"/>
  <c r="DL282" i="5" s="1"/>
  <c r="DL84" i="5"/>
  <c r="AJ287" i="5"/>
  <c r="DS281" i="21" l="1"/>
  <c r="CQ281" i="21"/>
  <c r="FB87" i="21"/>
  <c r="ED87" i="21" s="1"/>
  <c r="CR87" i="21" s="1"/>
  <c r="AT286" i="21"/>
  <c r="AP287" i="21"/>
  <c r="AQ286" i="21"/>
  <c r="AT92" i="21"/>
  <c r="AP93" i="21"/>
  <c r="AQ92" i="21"/>
  <c r="DP89" i="21"/>
  <c r="DO89" i="21"/>
  <c r="DU91" i="21"/>
  <c r="AV91" i="21"/>
  <c r="AW91" i="21" s="1"/>
  <c r="DN284" i="21"/>
  <c r="EM284" i="21"/>
  <c r="EP284" i="21" s="1"/>
  <c r="EQ284" i="21" s="1"/>
  <c r="AU285" i="21"/>
  <c r="AR285" i="21"/>
  <c r="DQ88" i="21"/>
  <c r="ES283" i="21"/>
  <c r="ER283" i="21"/>
  <c r="DO283" i="21"/>
  <c r="DP283" i="21"/>
  <c r="DN90" i="21"/>
  <c r="EM90" i="21"/>
  <c r="EP90" i="21" s="1"/>
  <c r="EQ90" i="21" s="1"/>
  <c r="CQ86" i="21"/>
  <c r="DS86" i="21"/>
  <c r="DU285" i="21"/>
  <c r="AV285" i="21"/>
  <c r="AW285" i="21" s="1"/>
  <c r="DE280" i="21"/>
  <c r="FK280" i="21"/>
  <c r="FM280" i="21" s="1"/>
  <c r="AD280" i="21"/>
  <c r="DR282" i="21"/>
  <c r="DQ282" i="21"/>
  <c r="EW282" i="21"/>
  <c r="EX282" i="21" s="1"/>
  <c r="ER89" i="21"/>
  <c r="ES89" i="21"/>
  <c r="AU91" i="21"/>
  <c r="AR91" i="21"/>
  <c r="CY85" i="21"/>
  <c r="FK85" i="21"/>
  <c r="FM85" i="21" s="1"/>
  <c r="EW88" i="21"/>
  <c r="EX88" i="21" s="1"/>
  <c r="EX86" i="20"/>
  <c r="ER86" i="5"/>
  <c r="DR86" i="20"/>
  <c r="DS279" i="20"/>
  <c r="CQ279" i="20"/>
  <c r="CZ86" i="20"/>
  <c r="FL86" i="20"/>
  <c r="AP285" i="20"/>
  <c r="AT284" i="20"/>
  <c r="AQ284" i="20"/>
  <c r="DN282" i="20"/>
  <c r="EM282" i="20"/>
  <c r="EP282" i="20" s="1"/>
  <c r="EQ282" i="20" s="1"/>
  <c r="DE278" i="20"/>
  <c r="FK278" i="20"/>
  <c r="FM278" i="20" s="1"/>
  <c r="AD278" i="20"/>
  <c r="AU90" i="20"/>
  <c r="AR90" i="20"/>
  <c r="DQ87" i="20"/>
  <c r="DU90" i="20"/>
  <c r="AV90" i="20"/>
  <c r="AW90" i="20" s="1"/>
  <c r="DQ280" i="20"/>
  <c r="DR280" i="20" s="1"/>
  <c r="ES281" i="20"/>
  <c r="ER281" i="20"/>
  <c r="ES88" i="20"/>
  <c r="ER88" i="20"/>
  <c r="FK84" i="20"/>
  <c r="FM84" i="20" s="1"/>
  <c r="CY84" i="20"/>
  <c r="DP281" i="20"/>
  <c r="DO281" i="20"/>
  <c r="DN89" i="20"/>
  <c r="EM89" i="20"/>
  <c r="EP89" i="20" s="1"/>
  <c r="EQ89" i="20" s="1"/>
  <c r="DO88" i="20"/>
  <c r="DP88" i="20"/>
  <c r="DS85" i="20"/>
  <c r="CQ85" i="20"/>
  <c r="AU283" i="20"/>
  <c r="AR283" i="20"/>
  <c r="AT91" i="20"/>
  <c r="AP92" i="20"/>
  <c r="AQ91" i="20"/>
  <c r="EW87" i="20"/>
  <c r="FB87" i="20" s="1"/>
  <c r="ED87" i="20" s="1"/>
  <c r="CR87" i="20" s="1"/>
  <c r="EW280" i="20"/>
  <c r="EX280" i="20" s="1"/>
  <c r="DU283" i="20"/>
  <c r="AV283" i="20"/>
  <c r="AW283" i="20" s="1"/>
  <c r="DM282" i="5"/>
  <c r="CK282" i="5"/>
  <c r="DL86" i="5"/>
  <c r="FF86" i="5"/>
  <c r="CT86" i="5"/>
  <c r="DO90" i="5"/>
  <c r="AP90" i="5"/>
  <c r="AQ90" i="5" s="1"/>
  <c r="AL286" i="5"/>
  <c r="AO286" i="5"/>
  <c r="DK283" i="5"/>
  <c r="DL283" i="5" s="1"/>
  <c r="EM88" i="5"/>
  <c r="EL88" i="5"/>
  <c r="AJ92" i="5"/>
  <c r="AN91" i="5"/>
  <c r="AK91" i="5"/>
  <c r="DM84" i="5"/>
  <c r="CK84" i="5"/>
  <c r="DO286" i="5"/>
  <c r="AP286" i="5"/>
  <c r="AQ286" i="5" s="1"/>
  <c r="DI88" i="5"/>
  <c r="DJ88" i="5"/>
  <c r="EQ283" i="5"/>
  <c r="ER283" i="5" s="1"/>
  <c r="EL284" i="5"/>
  <c r="EM284" i="5"/>
  <c r="CK85" i="5"/>
  <c r="DM85" i="5"/>
  <c r="DI284" i="5"/>
  <c r="DJ284" i="5"/>
  <c r="DH89" i="5"/>
  <c r="EG89" i="5"/>
  <c r="EJ89" i="5" s="1"/>
  <c r="EK89" i="5" s="1"/>
  <c r="CT85" i="5"/>
  <c r="FF85" i="5"/>
  <c r="AN287" i="5"/>
  <c r="AK287" i="5"/>
  <c r="EQ87" i="5"/>
  <c r="ER87" i="5" s="1"/>
  <c r="DH285" i="5"/>
  <c r="EG285" i="5"/>
  <c r="EJ285" i="5" s="1"/>
  <c r="EK285" i="5" s="1"/>
  <c r="FE281" i="5"/>
  <c r="FG281" i="5" s="1"/>
  <c r="CY281" i="5"/>
  <c r="DK87" i="5"/>
  <c r="AO90" i="5"/>
  <c r="AL90" i="5"/>
  <c r="AJ288" i="5"/>
  <c r="X281" i="5"/>
  <c r="DQ89" i="21" l="1"/>
  <c r="DR283" i="21"/>
  <c r="DQ283" i="21"/>
  <c r="FB88" i="21"/>
  <c r="ED88" i="21" s="1"/>
  <c r="CR88" i="21" s="1"/>
  <c r="EW89" i="21"/>
  <c r="FB89" i="21" s="1"/>
  <c r="ED89" i="21" s="1"/>
  <c r="CR89" i="21" s="1"/>
  <c r="AP94" i="21"/>
  <c r="AT93" i="21"/>
  <c r="AQ93" i="21"/>
  <c r="EW283" i="21"/>
  <c r="EX283" i="21" s="1"/>
  <c r="DU92" i="21"/>
  <c r="AV92" i="21"/>
  <c r="AW92" i="21" s="1"/>
  <c r="AU286" i="21"/>
  <c r="AR286" i="21"/>
  <c r="AT287" i="21"/>
  <c r="AP288" i="21"/>
  <c r="AQ287" i="21"/>
  <c r="DU286" i="21"/>
  <c r="AV286" i="21"/>
  <c r="AW286" i="21" s="1"/>
  <c r="ES284" i="21"/>
  <c r="ER284" i="21"/>
  <c r="FL87" i="21"/>
  <c r="CZ87" i="21"/>
  <c r="AU92" i="21"/>
  <c r="AR92" i="21"/>
  <c r="CY86" i="21"/>
  <c r="FK86" i="21"/>
  <c r="FM86" i="21" s="1"/>
  <c r="FK281" i="21"/>
  <c r="FM281" i="21" s="1"/>
  <c r="CY281" i="21"/>
  <c r="AD281" i="21"/>
  <c r="DS282" i="21"/>
  <c r="CQ282" i="21"/>
  <c r="ER90" i="21"/>
  <c r="ES90" i="21"/>
  <c r="DP284" i="21"/>
  <c r="DO284" i="21"/>
  <c r="DN91" i="21"/>
  <c r="EM91" i="21"/>
  <c r="EP91" i="21" s="1"/>
  <c r="EQ91" i="21" s="1"/>
  <c r="DN285" i="21"/>
  <c r="EM285" i="21"/>
  <c r="EP285" i="21" s="1"/>
  <c r="EQ285" i="21" s="1"/>
  <c r="DO90" i="21"/>
  <c r="DP90" i="21"/>
  <c r="DR87" i="21"/>
  <c r="EX87" i="20"/>
  <c r="DS280" i="20"/>
  <c r="CQ280" i="20"/>
  <c r="AU91" i="20"/>
  <c r="AR91" i="20"/>
  <c r="DQ88" i="20"/>
  <c r="DR87" i="20"/>
  <c r="AU284" i="20"/>
  <c r="AR284" i="20"/>
  <c r="EW281" i="20"/>
  <c r="EX281" i="20" s="1"/>
  <c r="DU284" i="20"/>
  <c r="AV284" i="20"/>
  <c r="AW284" i="20" s="1"/>
  <c r="DN283" i="20"/>
  <c r="EM283" i="20"/>
  <c r="EP283" i="20" s="1"/>
  <c r="EQ283" i="20" s="1"/>
  <c r="DU91" i="20"/>
  <c r="AV91" i="20"/>
  <c r="AW91" i="20" s="1"/>
  <c r="DP89" i="20"/>
  <c r="DO89" i="20"/>
  <c r="AP286" i="20"/>
  <c r="AT285" i="20"/>
  <c r="AQ285" i="20"/>
  <c r="AT92" i="20"/>
  <c r="AP93" i="20"/>
  <c r="AQ92" i="20"/>
  <c r="DQ281" i="20"/>
  <c r="DR281" i="20" s="1"/>
  <c r="ER89" i="20"/>
  <c r="ES89" i="20"/>
  <c r="FK85" i="20"/>
  <c r="FM85" i="20" s="1"/>
  <c r="CY85" i="20"/>
  <c r="CY279" i="20"/>
  <c r="AD279" i="20"/>
  <c r="FK279" i="20"/>
  <c r="FM279" i="20" s="1"/>
  <c r="DN90" i="20"/>
  <c r="EM90" i="20"/>
  <c r="EP90" i="20" s="1"/>
  <c r="EQ90" i="20" s="1"/>
  <c r="ES282" i="20"/>
  <c r="ER282" i="20"/>
  <c r="FL87" i="20"/>
  <c r="CZ87" i="20"/>
  <c r="EW88" i="20"/>
  <c r="EX88" i="20" s="1"/>
  <c r="DP282" i="20"/>
  <c r="DO282" i="20"/>
  <c r="CQ86" i="20"/>
  <c r="DS86" i="20"/>
  <c r="DM283" i="5"/>
  <c r="CK283" i="5"/>
  <c r="DI285" i="5"/>
  <c r="DJ285" i="5"/>
  <c r="EL89" i="5"/>
  <c r="EM89" i="5"/>
  <c r="AL91" i="5"/>
  <c r="AO91" i="5"/>
  <c r="AJ93" i="5"/>
  <c r="AN92" i="5"/>
  <c r="AK92" i="5"/>
  <c r="DH90" i="5"/>
  <c r="EG90" i="5"/>
  <c r="EJ90" i="5" s="1"/>
  <c r="EK90" i="5" s="1"/>
  <c r="EV87" i="5"/>
  <c r="DX87" i="5" s="1"/>
  <c r="CL87" i="5" s="1"/>
  <c r="DK284" i="5"/>
  <c r="DL284" i="5" s="1"/>
  <c r="DK88" i="5"/>
  <c r="EQ88" i="5"/>
  <c r="ER88" i="5" s="1"/>
  <c r="DJ89" i="5"/>
  <c r="DI89" i="5"/>
  <c r="AN288" i="5"/>
  <c r="AK288" i="5"/>
  <c r="AO287" i="5"/>
  <c r="AL287" i="5"/>
  <c r="DO287" i="5"/>
  <c r="AP287" i="5"/>
  <c r="AQ287" i="5" s="1"/>
  <c r="CS85" i="5"/>
  <c r="FE85" i="5"/>
  <c r="FG85" i="5" s="1"/>
  <c r="DH286" i="5"/>
  <c r="EG286" i="5"/>
  <c r="EJ286" i="5" s="1"/>
  <c r="EK286" i="5" s="1"/>
  <c r="DM86" i="5"/>
  <c r="CK86" i="5"/>
  <c r="FE84" i="5"/>
  <c r="FG84" i="5" s="1"/>
  <c r="CS84" i="5"/>
  <c r="CY282" i="5"/>
  <c r="FE282" i="5"/>
  <c r="FG282" i="5" s="1"/>
  <c r="DO91" i="5"/>
  <c r="AP91" i="5"/>
  <c r="AQ91" i="5" s="1"/>
  <c r="EL285" i="5"/>
  <c r="EM285" i="5"/>
  <c r="EQ284" i="5"/>
  <c r="ER284" i="5" s="1"/>
  <c r="AJ289" i="5"/>
  <c r="X282" i="5"/>
  <c r="CZ89" i="21" l="1"/>
  <c r="FL89" i="21"/>
  <c r="DR89" i="21"/>
  <c r="DN286" i="21"/>
  <c r="EM286" i="21"/>
  <c r="EP286" i="21" s="1"/>
  <c r="EQ286" i="21" s="1"/>
  <c r="DN92" i="21"/>
  <c r="EM92" i="21"/>
  <c r="EP92" i="21" s="1"/>
  <c r="EQ92" i="21" s="1"/>
  <c r="DU287" i="21"/>
  <c r="AV287" i="21"/>
  <c r="AW287" i="21" s="1"/>
  <c r="DE282" i="21"/>
  <c r="AD282" i="21"/>
  <c r="FK282" i="21"/>
  <c r="FM282" i="21" s="1"/>
  <c r="AU93" i="21"/>
  <c r="AR93" i="21"/>
  <c r="ES285" i="21"/>
  <c r="ER285" i="21"/>
  <c r="DQ284" i="21"/>
  <c r="DR284" i="21" s="1"/>
  <c r="EX89" i="21"/>
  <c r="DU93" i="21"/>
  <c r="AV93" i="21"/>
  <c r="AW93" i="21" s="1"/>
  <c r="AU287" i="21"/>
  <c r="AR287" i="21"/>
  <c r="FL88" i="21"/>
  <c r="CZ88" i="21"/>
  <c r="DQ90" i="21"/>
  <c r="EW90" i="21"/>
  <c r="EX90" i="21" s="1"/>
  <c r="AT94" i="21"/>
  <c r="AP95" i="21"/>
  <c r="AQ94" i="21"/>
  <c r="DP285" i="21"/>
  <c r="DO285" i="21"/>
  <c r="DS283" i="21"/>
  <c r="CQ283" i="21"/>
  <c r="CQ87" i="21"/>
  <c r="DS87" i="21"/>
  <c r="AP289" i="21"/>
  <c r="AT288" i="21"/>
  <c r="AQ288" i="21"/>
  <c r="DP91" i="21"/>
  <c r="DO91" i="21"/>
  <c r="ES91" i="21"/>
  <c r="ER91" i="21"/>
  <c r="EW284" i="21"/>
  <c r="EX284" i="21" s="1"/>
  <c r="DR88" i="21"/>
  <c r="FB88" i="20"/>
  <c r="ED88" i="20" s="1"/>
  <c r="CR88" i="20" s="1"/>
  <c r="FL88" i="20" s="1"/>
  <c r="CY86" i="20"/>
  <c r="FK86" i="20"/>
  <c r="FM86" i="20" s="1"/>
  <c r="AT93" i="20"/>
  <c r="AP94" i="20"/>
  <c r="AQ93" i="20"/>
  <c r="DN91" i="20"/>
  <c r="EM91" i="20"/>
  <c r="EP91" i="20" s="1"/>
  <c r="EQ91" i="20" s="1"/>
  <c r="DU92" i="20"/>
  <c r="AV92" i="20"/>
  <c r="AW92" i="20" s="1"/>
  <c r="ER283" i="20"/>
  <c r="ES283" i="20"/>
  <c r="DS87" i="20"/>
  <c r="CQ87" i="20"/>
  <c r="EW282" i="20"/>
  <c r="EX282" i="20" s="1"/>
  <c r="AR285" i="20"/>
  <c r="AU285" i="20"/>
  <c r="DQ282" i="20"/>
  <c r="DR282" i="20" s="1"/>
  <c r="DU285" i="20"/>
  <c r="AV285" i="20"/>
  <c r="AW285" i="20" s="1"/>
  <c r="ES90" i="20"/>
  <c r="ER90" i="20"/>
  <c r="EW89" i="20"/>
  <c r="FB89" i="20" s="1"/>
  <c r="ED89" i="20" s="1"/>
  <c r="CR89" i="20" s="1"/>
  <c r="AP287" i="20"/>
  <c r="AT286" i="20"/>
  <c r="AQ286" i="20"/>
  <c r="DN284" i="20"/>
  <c r="EM284" i="20"/>
  <c r="EP284" i="20" s="1"/>
  <c r="EQ284" i="20" s="1"/>
  <c r="DP283" i="20"/>
  <c r="DO283" i="20"/>
  <c r="DP90" i="20"/>
  <c r="DO90" i="20"/>
  <c r="DQ89" i="20"/>
  <c r="DS281" i="20"/>
  <c r="CQ281" i="20"/>
  <c r="DE280" i="20"/>
  <c r="AD280" i="20"/>
  <c r="FK280" i="20"/>
  <c r="FM280" i="20" s="1"/>
  <c r="AU92" i="20"/>
  <c r="AR92" i="20"/>
  <c r="DK89" i="5"/>
  <c r="DM284" i="5"/>
  <c r="CK284" i="5"/>
  <c r="CT87" i="5"/>
  <c r="FF87" i="5"/>
  <c r="EL90" i="5"/>
  <c r="EM90" i="5"/>
  <c r="EQ89" i="5"/>
  <c r="EV89" i="5" s="1"/>
  <c r="DX89" i="5" s="1"/>
  <c r="CL89" i="5" s="1"/>
  <c r="EV88" i="5"/>
  <c r="DX88" i="5" s="1"/>
  <c r="CL88" i="5" s="1"/>
  <c r="DH287" i="5"/>
  <c r="EG287" i="5"/>
  <c r="EJ287" i="5" s="1"/>
  <c r="EK287" i="5" s="1"/>
  <c r="DI90" i="5"/>
  <c r="DJ90" i="5"/>
  <c r="FE86" i="5"/>
  <c r="FG86" i="5" s="1"/>
  <c r="CS86" i="5"/>
  <c r="AO92" i="5"/>
  <c r="AL92" i="5"/>
  <c r="DK285" i="5"/>
  <c r="DL285" i="5" s="1"/>
  <c r="DO92" i="5"/>
  <c r="AP92" i="5"/>
  <c r="AQ92" i="5" s="1"/>
  <c r="DL87" i="5"/>
  <c r="EM286" i="5"/>
  <c r="EL286" i="5"/>
  <c r="AO288" i="5"/>
  <c r="AL288" i="5"/>
  <c r="AJ94" i="5"/>
  <c r="AN93" i="5"/>
  <c r="AK93" i="5"/>
  <c r="FE283" i="5"/>
  <c r="FG283" i="5" s="1"/>
  <c r="CS283" i="5"/>
  <c r="AN289" i="5"/>
  <c r="AK289" i="5"/>
  <c r="EQ285" i="5"/>
  <c r="ER285" i="5" s="1"/>
  <c r="DH91" i="5"/>
  <c r="EG91" i="5"/>
  <c r="EJ91" i="5" s="1"/>
  <c r="EK91" i="5" s="1"/>
  <c r="DI286" i="5"/>
  <c r="DJ286" i="5"/>
  <c r="DO288" i="5"/>
  <c r="AP288" i="5"/>
  <c r="AQ288" i="5" s="1"/>
  <c r="AJ290" i="5"/>
  <c r="X283" i="5"/>
  <c r="DS284" i="21" l="1"/>
  <c r="CQ284" i="21"/>
  <c r="DQ91" i="21"/>
  <c r="EW285" i="21"/>
  <c r="EX285" i="21" s="1"/>
  <c r="CY283" i="21"/>
  <c r="FK283" i="21"/>
  <c r="FM283" i="21" s="1"/>
  <c r="AD283" i="21"/>
  <c r="DQ285" i="21"/>
  <c r="DR285" i="21" s="1"/>
  <c r="DN287" i="21"/>
  <c r="EM287" i="21"/>
  <c r="EP287" i="21" s="1"/>
  <c r="EQ287" i="21" s="1"/>
  <c r="DU288" i="21"/>
  <c r="AV288" i="21"/>
  <c r="AW288" i="21" s="1"/>
  <c r="ES92" i="21"/>
  <c r="ER92" i="21"/>
  <c r="EW91" i="21"/>
  <c r="EX91" i="21" s="1"/>
  <c r="DO92" i="21"/>
  <c r="DP92" i="21"/>
  <c r="ER286" i="21"/>
  <c r="ES286" i="21"/>
  <c r="FK87" i="21"/>
  <c r="FM87" i="21" s="1"/>
  <c r="CY87" i="21"/>
  <c r="FB90" i="21"/>
  <c r="ED90" i="21" s="1"/>
  <c r="CR90" i="21" s="1"/>
  <c r="DP286" i="21"/>
  <c r="DO286" i="21"/>
  <c r="AR94" i="21"/>
  <c r="AU94" i="21"/>
  <c r="CQ89" i="21"/>
  <c r="DS89" i="21"/>
  <c r="AP96" i="21"/>
  <c r="AT95" i="21"/>
  <c r="AQ95" i="21"/>
  <c r="DN93" i="21"/>
  <c r="EM93" i="21"/>
  <c r="EP93" i="21" s="1"/>
  <c r="EQ93" i="21" s="1"/>
  <c r="AU288" i="21"/>
  <c r="AR288" i="21"/>
  <c r="AP290" i="21"/>
  <c r="AT289" i="21"/>
  <c r="AQ289" i="21"/>
  <c r="DU94" i="21"/>
  <c r="AV94" i="21"/>
  <c r="AW94" i="21" s="1"/>
  <c r="CQ88" i="21"/>
  <c r="DS88" i="21"/>
  <c r="DR89" i="20"/>
  <c r="CQ89" i="20" s="1"/>
  <c r="CZ88" i="20"/>
  <c r="DR88" i="20"/>
  <c r="ER89" i="5"/>
  <c r="DS282" i="20"/>
  <c r="CQ282" i="20"/>
  <c r="CZ89" i="20"/>
  <c r="FL89" i="20"/>
  <c r="DO91" i="20"/>
  <c r="DP91" i="20"/>
  <c r="AR286" i="20"/>
  <c r="AU286" i="20"/>
  <c r="CY87" i="20"/>
  <c r="FK87" i="20"/>
  <c r="FM87" i="20" s="1"/>
  <c r="AR93" i="20"/>
  <c r="AU93" i="20"/>
  <c r="DP284" i="20"/>
  <c r="DO284" i="20"/>
  <c r="DU286" i="20"/>
  <c r="AV286" i="20"/>
  <c r="AW286" i="20" s="1"/>
  <c r="DN285" i="20"/>
  <c r="EM285" i="20"/>
  <c r="EP285" i="20" s="1"/>
  <c r="EQ285" i="20" s="1"/>
  <c r="AT94" i="20"/>
  <c r="AP95" i="20"/>
  <c r="AQ94" i="20"/>
  <c r="DU93" i="20"/>
  <c r="AV93" i="20"/>
  <c r="AW93" i="20" s="1"/>
  <c r="EW283" i="20"/>
  <c r="EX283" i="20" s="1"/>
  <c r="CY281" i="20"/>
  <c r="AD281" i="20"/>
  <c r="FK281" i="20"/>
  <c r="FM281" i="20" s="1"/>
  <c r="DQ283" i="20"/>
  <c r="DR283" i="20" s="1"/>
  <c r="EX89" i="20"/>
  <c r="DQ90" i="20"/>
  <c r="DN92" i="20"/>
  <c r="EM92" i="20"/>
  <c r="EP92" i="20" s="1"/>
  <c r="EQ92" i="20" s="1"/>
  <c r="AT287" i="20"/>
  <c r="AP288" i="20"/>
  <c r="AQ287" i="20"/>
  <c r="ES284" i="20"/>
  <c r="ER284" i="20"/>
  <c r="EW90" i="20"/>
  <c r="EX90" i="20" s="1"/>
  <c r="ES91" i="20"/>
  <c r="ER91" i="20"/>
  <c r="DM285" i="5"/>
  <c r="CK285" i="5"/>
  <c r="FF89" i="5"/>
  <c r="CT89" i="5"/>
  <c r="DL89" i="5"/>
  <c r="DO93" i="5"/>
  <c r="AP93" i="5"/>
  <c r="AQ93" i="5" s="1"/>
  <c r="DH92" i="5"/>
  <c r="EG92" i="5"/>
  <c r="EJ92" i="5" s="1"/>
  <c r="EK92" i="5" s="1"/>
  <c r="DK90" i="5"/>
  <c r="EV90" i="5"/>
  <c r="DX90" i="5" s="1"/>
  <c r="CL90" i="5" s="1"/>
  <c r="EQ90" i="5"/>
  <c r="ER90" i="5" s="1"/>
  <c r="AJ95" i="5"/>
  <c r="AN94" i="5"/>
  <c r="AK94" i="5"/>
  <c r="EL287" i="5"/>
  <c r="EM287" i="5"/>
  <c r="DI287" i="5"/>
  <c r="DJ287" i="5"/>
  <c r="AL289" i="5"/>
  <c r="AO289" i="5"/>
  <c r="FF88" i="5"/>
  <c r="CT88" i="5"/>
  <c r="FE284" i="5"/>
  <c r="FG284" i="5" s="1"/>
  <c r="CY284" i="5"/>
  <c r="DH288" i="5"/>
  <c r="EG288" i="5"/>
  <c r="EJ288" i="5" s="1"/>
  <c r="EK288" i="5" s="1"/>
  <c r="DO289" i="5"/>
  <c r="AP289" i="5"/>
  <c r="AQ289" i="5" s="1"/>
  <c r="EQ286" i="5"/>
  <c r="ER286" i="5" s="1"/>
  <c r="AN290" i="5"/>
  <c r="AK290" i="5"/>
  <c r="DI91" i="5"/>
  <c r="DJ91" i="5"/>
  <c r="DK286" i="5"/>
  <c r="DL286" i="5" s="1"/>
  <c r="CK87" i="5"/>
  <c r="DM87" i="5"/>
  <c r="EM91" i="5"/>
  <c r="EL91" i="5"/>
  <c r="AL93" i="5"/>
  <c r="AO93" i="5"/>
  <c r="DL88" i="5"/>
  <c r="AJ291" i="5"/>
  <c r="X284" i="5"/>
  <c r="DS285" i="21" l="1"/>
  <c r="CQ285" i="21"/>
  <c r="DN94" i="21"/>
  <c r="EM94" i="21"/>
  <c r="EP94" i="21" s="1"/>
  <c r="EQ94" i="21" s="1"/>
  <c r="ES93" i="21"/>
  <c r="ER93" i="21"/>
  <c r="DN288" i="21"/>
  <c r="EM288" i="21"/>
  <c r="EP288" i="21" s="1"/>
  <c r="EQ288" i="21" s="1"/>
  <c r="EX286" i="21"/>
  <c r="EW286" i="21"/>
  <c r="DU289" i="21"/>
  <c r="AV289" i="21"/>
  <c r="AW289" i="21" s="1"/>
  <c r="AP97" i="21"/>
  <c r="AT96" i="21"/>
  <c r="AQ96" i="21"/>
  <c r="EW92" i="21"/>
  <c r="EX92" i="21" s="1"/>
  <c r="FK88" i="21"/>
  <c r="FM88" i="21" s="1"/>
  <c r="CY88" i="21"/>
  <c r="AR95" i="21"/>
  <c r="AU95" i="21"/>
  <c r="FB91" i="21"/>
  <c r="ED91" i="21" s="1"/>
  <c r="CR91" i="21" s="1"/>
  <c r="AP291" i="21"/>
  <c r="AT290" i="21"/>
  <c r="AQ290" i="21"/>
  <c r="DO287" i="21"/>
  <c r="DP287" i="21"/>
  <c r="DQ286" i="21"/>
  <c r="DR286" i="21" s="1"/>
  <c r="DQ92" i="21"/>
  <c r="ES287" i="21"/>
  <c r="ER287" i="21"/>
  <c r="DR90" i="21"/>
  <c r="AR289" i="21"/>
  <c r="AU289" i="21"/>
  <c r="DP93" i="21"/>
  <c r="DO93" i="21"/>
  <c r="FK284" i="21"/>
  <c r="FM284" i="21" s="1"/>
  <c r="DE284" i="21"/>
  <c r="AD284" i="21"/>
  <c r="DU95" i="21"/>
  <c r="AV95" i="21"/>
  <c r="AW95" i="21" s="1"/>
  <c r="CY89" i="21"/>
  <c r="FK89" i="21"/>
  <c r="FM89" i="21" s="1"/>
  <c r="DF90" i="21"/>
  <c r="FL90" i="21"/>
  <c r="FB90" i="20"/>
  <c r="ED90" i="20" s="1"/>
  <c r="CR90" i="20" s="1"/>
  <c r="DF90" i="20" s="1"/>
  <c r="DS89" i="20"/>
  <c r="DS88" i="20"/>
  <c r="CQ88" i="20"/>
  <c r="DL90" i="5"/>
  <c r="CK90" i="5" s="1"/>
  <c r="DS283" i="20"/>
  <c r="CQ283" i="20"/>
  <c r="EW91" i="20"/>
  <c r="FB91" i="20" s="1"/>
  <c r="ED91" i="20" s="1"/>
  <c r="CR91" i="20" s="1"/>
  <c r="DN286" i="20"/>
  <c r="EM286" i="20"/>
  <c r="EP286" i="20" s="1"/>
  <c r="EQ286" i="20" s="1"/>
  <c r="DN93" i="20"/>
  <c r="EM93" i="20"/>
  <c r="EP93" i="20" s="1"/>
  <c r="EQ93" i="20" s="1"/>
  <c r="DQ284" i="20"/>
  <c r="DR284" i="20" s="1"/>
  <c r="DU287" i="20"/>
  <c r="AV287" i="20"/>
  <c r="AW287" i="20" s="1"/>
  <c r="AU94" i="20"/>
  <c r="AR94" i="20"/>
  <c r="DQ91" i="20"/>
  <c r="DU94" i="20"/>
  <c r="AV94" i="20"/>
  <c r="AW94" i="20" s="1"/>
  <c r="AT95" i="20"/>
  <c r="AP96" i="20"/>
  <c r="AQ95" i="20"/>
  <c r="DP92" i="20"/>
  <c r="DO92" i="20"/>
  <c r="ES285" i="20"/>
  <c r="ER285" i="20"/>
  <c r="DP285" i="20"/>
  <c r="DO285" i="20"/>
  <c r="CY89" i="20"/>
  <c r="FK89" i="20"/>
  <c r="FM89" i="20" s="1"/>
  <c r="AP289" i="20"/>
  <c r="AT288" i="20"/>
  <c r="AQ288" i="20"/>
  <c r="ES92" i="20"/>
  <c r="ER92" i="20"/>
  <c r="EW284" i="20"/>
  <c r="EX284" i="20" s="1"/>
  <c r="AU287" i="20"/>
  <c r="AR287" i="20"/>
  <c r="DE282" i="20"/>
  <c r="FK282" i="20"/>
  <c r="FM282" i="20" s="1"/>
  <c r="AD282" i="20"/>
  <c r="DM286" i="5"/>
  <c r="CK286" i="5"/>
  <c r="DO94" i="5"/>
  <c r="AP94" i="5"/>
  <c r="AQ94" i="5" s="1"/>
  <c r="DI92" i="5"/>
  <c r="DJ92" i="5"/>
  <c r="AJ96" i="5"/>
  <c r="AN95" i="5"/>
  <c r="AK95" i="5"/>
  <c r="CK88" i="5"/>
  <c r="DM88" i="5"/>
  <c r="DH289" i="5"/>
  <c r="EG289" i="5"/>
  <c r="EJ289" i="5" s="1"/>
  <c r="EK289" i="5" s="1"/>
  <c r="DH93" i="5"/>
  <c r="EG93" i="5"/>
  <c r="EJ93" i="5" s="1"/>
  <c r="EK93" i="5" s="1"/>
  <c r="CT90" i="5"/>
  <c r="FF90" i="5"/>
  <c r="DM89" i="5"/>
  <c r="CK89" i="5"/>
  <c r="CS87" i="5"/>
  <c r="FE87" i="5"/>
  <c r="FG87" i="5" s="1"/>
  <c r="DI288" i="5"/>
  <c r="DJ288" i="5"/>
  <c r="DK287" i="5"/>
  <c r="DL287" i="5" s="1"/>
  <c r="AN291" i="5"/>
  <c r="AK291" i="5"/>
  <c r="DK91" i="5"/>
  <c r="EQ91" i="5"/>
  <c r="ER91" i="5" s="1"/>
  <c r="AL290" i="5"/>
  <c r="AO290" i="5"/>
  <c r="EM288" i="5"/>
  <c r="EL288" i="5"/>
  <c r="DO290" i="5"/>
  <c r="AP290" i="5"/>
  <c r="AQ290" i="5" s="1"/>
  <c r="EQ287" i="5"/>
  <c r="ER287" i="5" s="1"/>
  <c r="FE285" i="5"/>
  <c r="FG285" i="5" s="1"/>
  <c r="CS285" i="5"/>
  <c r="AO94" i="5"/>
  <c r="AL94" i="5"/>
  <c r="EL92" i="5"/>
  <c r="EM92" i="5"/>
  <c r="X285" i="5"/>
  <c r="AJ292" i="5"/>
  <c r="DS286" i="21" l="1"/>
  <c r="CQ286" i="21"/>
  <c r="DS90" i="21"/>
  <c r="CQ90" i="21"/>
  <c r="DN289" i="21"/>
  <c r="EM289" i="21"/>
  <c r="EP289" i="21" s="1"/>
  <c r="EQ289" i="21" s="1"/>
  <c r="DN95" i="21"/>
  <c r="EM95" i="21"/>
  <c r="EP95" i="21" s="1"/>
  <c r="EQ95" i="21" s="1"/>
  <c r="DU96" i="21"/>
  <c r="AV96" i="21"/>
  <c r="AW96" i="21" s="1"/>
  <c r="EW287" i="21"/>
  <c r="EX287" i="21" s="1"/>
  <c r="DP288" i="21"/>
  <c r="DO288" i="21"/>
  <c r="FB92" i="21"/>
  <c r="ED92" i="21" s="1"/>
  <c r="CR92" i="21" s="1"/>
  <c r="AT97" i="21"/>
  <c r="AP98" i="21"/>
  <c r="AQ97" i="21"/>
  <c r="EW93" i="21"/>
  <c r="FB93" i="21" s="1"/>
  <c r="ED93" i="21" s="1"/>
  <c r="CR93" i="21" s="1"/>
  <c r="ES94" i="21"/>
  <c r="ER94" i="21"/>
  <c r="AU96" i="21"/>
  <c r="AR96" i="21"/>
  <c r="ES288" i="21"/>
  <c r="ER288" i="21"/>
  <c r="DR287" i="21"/>
  <c r="DQ287" i="21"/>
  <c r="DP94" i="21"/>
  <c r="DO94" i="21"/>
  <c r="DF91" i="21"/>
  <c r="DF3" i="21" s="1"/>
  <c r="FL91" i="21"/>
  <c r="DQ93" i="21"/>
  <c r="AU290" i="21"/>
  <c r="AR290" i="21"/>
  <c r="CY285" i="21"/>
  <c r="AD285" i="21"/>
  <c r="FK285" i="21"/>
  <c r="FM285" i="21" s="1"/>
  <c r="DU290" i="21"/>
  <c r="AV290" i="21"/>
  <c r="AW290" i="21" s="1"/>
  <c r="AP292" i="21"/>
  <c r="AT291" i="21"/>
  <c r="AQ291" i="21"/>
  <c r="DR91" i="21"/>
  <c r="FL90" i="20"/>
  <c r="DR90" i="20"/>
  <c r="FK88" i="20"/>
  <c r="FM88" i="20" s="1"/>
  <c r="CY88" i="20"/>
  <c r="DM90" i="5"/>
  <c r="EV91" i="5"/>
  <c r="DX91" i="5" s="1"/>
  <c r="CL91" i="5" s="1"/>
  <c r="FF91" i="5" s="1"/>
  <c r="FL91" i="20"/>
  <c r="DF91" i="20"/>
  <c r="DF9" i="20" s="1"/>
  <c r="DS284" i="20"/>
  <c r="CQ284" i="20"/>
  <c r="DR91" i="20"/>
  <c r="DQ285" i="20"/>
  <c r="DR285" i="20" s="1"/>
  <c r="AR95" i="20"/>
  <c r="AU95" i="20"/>
  <c r="DO286" i="20"/>
  <c r="DP286" i="20"/>
  <c r="EW92" i="20"/>
  <c r="EX92" i="20" s="1"/>
  <c r="DU95" i="20"/>
  <c r="AV95" i="20"/>
  <c r="AW95" i="20" s="1"/>
  <c r="DN287" i="20"/>
  <c r="EM287" i="20"/>
  <c r="EP287" i="20" s="1"/>
  <c r="EQ287" i="20" s="1"/>
  <c r="EX91" i="20"/>
  <c r="AP97" i="20"/>
  <c r="AT96" i="20"/>
  <c r="AQ96" i="20"/>
  <c r="AU288" i="20"/>
  <c r="AR288" i="20"/>
  <c r="DU288" i="20"/>
  <c r="AV288" i="20"/>
  <c r="AW288" i="20" s="1"/>
  <c r="EW285" i="20"/>
  <c r="EX285" i="20" s="1"/>
  <c r="DN94" i="20"/>
  <c r="EM94" i="20"/>
  <c r="EP94" i="20" s="1"/>
  <c r="EQ94" i="20" s="1"/>
  <c r="AP290" i="20"/>
  <c r="AT289" i="20"/>
  <c r="AQ289" i="20"/>
  <c r="ES93" i="20"/>
  <c r="ER93" i="20"/>
  <c r="DQ92" i="20"/>
  <c r="DP93" i="20"/>
  <c r="DO93" i="20"/>
  <c r="FK283" i="20"/>
  <c r="FM283" i="20" s="1"/>
  <c r="CY283" i="20"/>
  <c r="AD283" i="20"/>
  <c r="ES286" i="20"/>
  <c r="ER286" i="20"/>
  <c r="DK288" i="5"/>
  <c r="DL288" i="5" s="1"/>
  <c r="DI93" i="5"/>
  <c r="DJ93" i="5"/>
  <c r="EM289" i="5"/>
  <c r="EL289" i="5"/>
  <c r="DK92" i="5"/>
  <c r="EQ288" i="5"/>
  <c r="ER288" i="5" s="1"/>
  <c r="DI289" i="5"/>
  <c r="DJ289" i="5"/>
  <c r="EQ92" i="5"/>
  <c r="ER92" i="5" s="1"/>
  <c r="AO291" i="5"/>
  <c r="AL291" i="5"/>
  <c r="CS89" i="5"/>
  <c r="FE89" i="5"/>
  <c r="FG89" i="5" s="1"/>
  <c r="DH94" i="5"/>
  <c r="EG94" i="5"/>
  <c r="EJ94" i="5" s="1"/>
  <c r="EK94" i="5" s="1"/>
  <c r="DO291" i="5"/>
  <c r="AP291" i="5"/>
  <c r="AQ291" i="5" s="1"/>
  <c r="FE88" i="5"/>
  <c r="FG88" i="5" s="1"/>
  <c r="CS88" i="5"/>
  <c r="DH290" i="5"/>
  <c r="EG290" i="5"/>
  <c r="EJ290" i="5" s="1"/>
  <c r="EK290" i="5" s="1"/>
  <c r="AN292" i="5"/>
  <c r="AK292" i="5"/>
  <c r="AL95" i="5"/>
  <c r="AO95" i="5"/>
  <c r="CS90" i="5"/>
  <c r="FE90" i="5"/>
  <c r="FG90" i="5" s="1"/>
  <c r="DM287" i="5"/>
  <c r="CK287" i="5"/>
  <c r="DO95" i="5"/>
  <c r="AP95" i="5"/>
  <c r="AQ95" i="5" s="1"/>
  <c r="CY286" i="5"/>
  <c r="FE286" i="5"/>
  <c r="FG286" i="5" s="1"/>
  <c r="EL93" i="5"/>
  <c r="EM93" i="5"/>
  <c r="AJ97" i="5"/>
  <c r="AN96" i="5"/>
  <c r="AK96" i="5"/>
  <c r="X286" i="5"/>
  <c r="AJ293" i="5"/>
  <c r="CZ93" i="21" l="1"/>
  <c r="FL93" i="21"/>
  <c r="DR93" i="21"/>
  <c r="CZ92" i="21"/>
  <c r="FL92" i="21"/>
  <c r="DU97" i="21"/>
  <c r="AV97" i="21"/>
  <c r="AW97" i="21" s="1"/>
  <c r="DN96" i="21"/>
  <c r="EM96" i="21"/>
  <c r="EP96" i="21" s="1"/>
  <c r="EQ96" i="21" s="1"/>
  <c r="ES289" i="21"/>
  <c r="ER289" i="21"/>
  <c r="DP289" i="21"/>
  <c r="DO289" i="21"/>
  <c r="DN290" i="21"/>
  <c r="EM290" i="21"/>
  <c r="EP290" i="21" s="1"/>
  <c r="EQ290" i="21" s="1"/>
  <c r="DQ288" i="21"/>
  <c r="DR288" i="21" s="1"/>
  <c r="DS287" i="21"/>
  <c r="CQ287" i="21"/>
  <c r="DE90" i="21"/>
  <c r="FK90" i="21"/>
  <c r="FM90" i="21" s="1"/>
  <c r="DF1" i="21"/>
  <c r="DF2" i="21" s="1"/>
  <c r="DF4" i="21"/>
  <c r="AT98" i="21"/>
  <c r="AP99" i="21"/>
  <c r="AQ98" i="21"/>
  <c r="DF6" i="21"/>
  <c r="DF7" i="21" s="1"/>
  <c r="EW94" i="21"/>
  <c r="FB94" i="21" s="1"/>
  <c r="ED94" i="21" s="1"/>
  <c r="CR94" i="21" s="1"/>
  <c r="DF8" i="21"/>
  <c r="CQ91" i="21"/>
  <c r="DS91" i="21"/>
  <c r="DF9" i="21"/>
  <c r="DQ94" i="21"/>
  <c r="DR94" i="21" s="1"/>
  <c r="AU291" i="21"/>
  <c r="AR291" i="21"/>
  <c r="EW288" i="21"/>
  <c r="EX288" i="21" s="1"/>
  <c r="DU291" i="21"/>
  <c r="AV291" i="21"/>
  <c r="AW291" i="21" s="1"/>
  <c r="EX93" i="21"/>
  <c r="FK286" i="21"/>
  <c r="FM286" i="21" s="1"/>
  <c r="DE286" i="21"/>
  <c r="AD286" i="21"/>
  <c r="ER95" i="21"/>
  <c r="ES95" i="21"/>
  <c r="AT292" i="21"/>
  <c r="AP293" i="21"/>
  <c r="AQ292" i="21"/>
  <c r="DP95" i="21"/>
  <c r="DO95" i="21"/>
  <c r="AU97" i="21"/>
  <c r="AR97" i="21"/>
  <c r="DR92" i="21"/>
  <c r="DF1" i="20"/>
  <c r="DF2" i="20" s="1"/>
  <c r="DF3" i="20"/>
  <c r="DS90" i="20"/>
  <c r="CQ90" i="20"/>
  <c r="DF4" i="20"/>
  <c r="DF6" i="20"/>
  <c r="DF7" i="20" s="1"/>
  <c r="DF8" i="20"/>
  <c r="CZ91" i="5"/>
  <c r="DL91" i="5"/>
  <c r="DS285" i="20"/>
  <c r="CQ285" i="20"/>
  <c r="AP291" i="20"/>
  <c r="AT290" i="20"/>
  <c r="AQ290" i="20"/>
  <c r="DQ93" i="20"/>
  <c r="AU289" i="20"/>
  <c r="AR289" i="20"/>
  <c r="DN288" i="20"/>
  <c r="EM288" i="20"/>
  <c r="EP288" i="20" s="1"/>
  <c r="EQ288" i="20" s="1"/>
  <c r="DN95" i="20"/>
  <c r="EM95" i="20"/>
  <c r="EP95" i="20" s="1"/>
  <c r="EQ95" i="20" s="1"/>
  <c r="AU96" i="20"/>
  <c r="AR96" i="20"/>
  <c r="DU96" i="20"/>
  <c r="AV96" i="20"/>
  <c r="AW96" i="20" s="1"/>
  <c r="FB92" i="20"/>
  <c r="ED92" i="20" s="1"/>
  <c r="CR92" i="20" s="1"/>
  <c r="DS91" i="20"/>
  <c r="CQ91" i="20"/>
  <c r="AP98" i="20"/>
  <c r="AT97" i="20"/>
  <c r="AQ97" i="20"/>
  <c r="AD284" i="20"/>
  <c r="FK284" i="20"/>
  <c r="FM284" i="20" s="1"/>
  <c r="DE284" i="20"/>
  <c r="ES94" i="20"/>
  <c r="ER94" i="20"/>
  <c r="ES287" i="20"/>
  <c r="ER287" i="20"/>
  <c r="DQ286" i="20"/>
  <c r="DR286" i="20" s="1"/>
  <c r="DU289" i="20"/>
  <c r="AV289" i="20"/>
  <c r="AW289" i="20" s="1"/>
  <c r="EW286" i="20"/>
  <c r="EX286" i="20" s="1"/>
  <c r="DO94" i="20"/>
  <c r="DP94" i="20"/>
  <c r="EW93" i="20"/>
  <c r="EX93" i="20" s="1"/>
  <c r="DP287" i="20"/>
  <c r="DO287" i="20"/>
  <c r="DM288" i="5"/>
  <c r="CK288" i="5"/>
  <c r="DO292" i="5"/>
  <c r="AP292" i="5"/>
  <c r="AQ292" i="5" s="1"/>
  <c r="DI94" i="5"/>
  <c r="DJ94" i="5"/>
  <c r="CS287" i="5"/>
  <c r="FE287" i="5"/>
  <c r="FG287" i="5" s="1"/>
  <c r="EL290" i="5"/>
  <c r="EM290" i="5"/>
  <c r="DK289" i="5"/>
  <c r="DL289" i="5" s="1"/>
  <c r="DK93" i="5"/>
  <c r="DO96" i="5"/>
  <c r="AP96" i="5"/>
  <c r="AQ96" i="5" s="1"/>
  <c r="AN293" i="5"/>
  <c r="AK293" i="5"/>
  <c r="AJ98" i="5"/>
  <c r="AN97" i="5"/>
  <c r="AK97" i="5"/>
  <c r="DI290" i="5"/>
  <c r="DJ290" i="5"/>
  <c r="DH95" i="5"/>
  <c r="EG95" i="5"/>
  <c r="EJ95" i="5" s="1"/>
  <c r="EK95" i="5" s="1"/>
  <c r="X287" i="5"/>
  <c r="EQ93" i="5"/>
  <c r="EV93" i="5" s="1"/>
  <c r="DX93" i="5" s="1"/>
  <c r="CL93" i="5" s="1"/>
  <c r="AO96" i="5"/>
  <c r="AL96" i="5"/>
  <c r="DH291" i="5"/>
  <c r="EG291" i="5"/>
  <c r="EJ291" i="5" s="1"/>
  <c r="EK291" i="5" s="1"/>
  <c r="EV92" i="5"/>
  <c r="DX92" i="5" s="1"/>
  <c r="CL92" i="5" s="1"/>
  <c r="EQ289" i="5"/>
  <c r="ER289" i="5" s="1"/>
  <c r="AO292" i="5"/>
  <c r="AL292" i="5"/>
  <c r="EM94" i="5"/>
  <c r="EL94" i="5"/>
  <c r="AJ294" i="5"/>
  <c r="DS288" i="21" l="1"/>
  <c r="CQ288" i="21"/>
  <c r="CZ94" i="21"/>
  <c r="FL94" i="21"/>
  <c r="CQ94" i="21"/>
  <c r="AD287" i="21"/>
  <c r="CY287" i="21"/>
  <c r="FK287" i="21"/>
  <c r="FM287" i="21" s="1"/>
  <c r="ER96" i="21"/>
  <c r="ES96" i="21"/>
  <c r="DN291" i="21"/>
  <c r="EM291" i="21"/>
  <c r="EP291" i="21" s="1"/>
  <c r="EQ291" i="21" s="1"/>
  <c r="DE91" i="21"/>
  <c r="DE6" i="21" s="1"/>
  <c r="DE7" i="21" s="1"/>
  <c r="FK91" i="21"/>
  <c r="FM91" i="21" s="1"/>
  <c r="DO96" i="21"/>
  <c r="DP96" i="21"/>
  <c r="FB95" i="21"/>
  <c r="ED95" i="21" s="1"/>
  <c r="CR95" i="21" s="1"/>
  <c r="EW95" i="21"/>
  <c r="EX95" i="21" s="1"/>
  <c r="DN97" i="21"/>
  <c r="EM97" i="21"/>
  <c r="EP97" i="21" s="1"/>
  <c r="EQ97" i="21" s="1"/>
  <c r="ES290" i="21"/>
  <c r="ER290" i="21"/>
  <c r="EX94" i="21"/>
  <c r="DS94" i="21" s="1"/>
  <c r="DO290" i="21"/>
  <c r="DP290" i="21"/>
  <c r="DQ95" i="21"/>
  <c r="DU98" i="21"/>
  <c r="AV98" i="21"/>
  <c r="AW98" i="21" s="1"/>
  <c r="CQ93" i="21"/>
  <c r="DS93" i="21"/>
  <c r="AP294" i="21"/>
  <c r="AT293" i="21"/>
  <c r="AQ293" i="21"/>
  <c r="AU98" i="21"/>
  <c r="AR98" i="21"/>
  <c r="DQ289" i="21"/>
  <c r="DR289" i="21" s="1"/>
  <c r="EW289" i="21"/>
  <c r="EX289" i="21" s="1"/>
  <c r="DS92" i="21"/>
  <c r="CQ92" i="21"/>
  <c r="AR292" i="21"/>
  <c r="AU292" i="21"/>
  <c r="DU292" i="21"/>
  <c r="AV292" i="21"/>
  <c r="AW292" i="21" s="1"/>
  <c r="AP100" i="21"/>
  <c r="AT99" i="21"/>
  <c r="AQ99" i="21"/>
  <c r="DE90" i="20"/>
  <c r="FK90" i="20"/>
  <c r="FM90" i="20" s="1"/>
  <c r="ER93" i="5"/>
  <c r="DM91" i="5"/>
  <c r="CK91" i="5"/>
  <c r="DS286" i="20"/>
  <c r="CQ286" i="20"/>
  <c r="AR97" i="20"/>
  <c r="AU97" i="20"/>
  <c r="DU97" i="20"/>
  <c r="AV97" i="20"/>
  <c r="AW97" i="20" s="1"/>
  <c r="FB93" i="20"/>
  <c r="ED93" i="20" s="1"/>
  <c r="CR93" i="20" s="1"/>
  <c r="AP99" i="20"/>
  <c r="AT98" i="20"/>
  <c r="AQ98" i="20"/>
  <c r="ER95" i="20"/>
  <c r="ES95" i="20"/>
  <c r="AR290" i="20"/>
  <c r="AU290" i="20"/>
  <c r="EW94" i="20"/>
  <c r="EX94" i="20" s="1"/>
  <c r="DE91" i="20"/>
  <c r="FK91" i="20"/>
  <c r="FM91" i="20" s="1"/>
  <c r="DP95" i="20"/>
  <c r="DO95" i="20"/>
  <c r="DU290" i="20"/>
  <c r="AV290" i="20"/>
  <c r="AW290" i="20" s="1"/>
  <c r="DQ94" i="20"/>
  <c r="ES288" i="20"/>
  <c r="ER288" i="20"/>
  <c r="AT291" i="20"/>
  <c r="AP292" i="20"/>
  <c r="AQ291" i="20"/>
  <c r="CZ92" i="20"/>
  <c r="FL92" i="20"/>
  <c r="DP288" i="20"/>
  <c r="DO288" i="20"/>
  <c r="CY285" i="20"/>
  <c r="AD285" i="20"/>
  <c r="FK285" i="20"/>
  <c r="FM285" i="20" s="1"/>
  <c r="DQ287" i="20"/>
  <c r="DR287" i="20" s="1"/>
  <c r="DN289" i="20"/>
  <c r="EM289" i="20"/>
  <c r="EP289" i="20" s="1"/>
  <c r="EQ289" i="20" s="1"/>
  <c r="EW287" i="20"/>
  <c r="EX287" i="20" s="1"/>
  <c r="DN96" i="20"/>
  <c r="EM96" i="20"/>
  <c r="EP96" i="20" s="1"/>
  <c r="EQ96" i="20" s="1"/>
  <c r="DR92" i="20"/>
  <c r="DL93" i="5"/>
  <c r="DM289" i="5"/>
  <c r="CK289" i="5"/>
  <c r="FF93" i="5"/>
  <c r="CT93" i="5"/>
  <c r="EM291" i="5"/>
  <c r="EL291" i="5"/>
  <c r="DH96" i="5"/>
  <c r="EG96" i="5"/>
  <c r="EJ96" i="5" s="1"/>
  <c r="EK96" i="5" s="1"/>
  <c r="AL97" i="5"/>
  <c r="AO97" i="5"/>
  <c r="DK94" i="5"/>
  <c r="DK290" i="5"/>
  <c r="DL290" i="5" s="1"/>
  <c r="DO97" i="5"/>
  <c r="AP97" i="5"/>
  <c r="AQ97" i="5" s="1"/>
  <c r="AN294" i="5"/>
  <c r="AK294" i="5"/>
  <c r="AJ99" i="5"/>
  <c r="AN98" i="5"/>
  <c r="AK98" i="5"/>
  <c r="DH292" i="5"/>
  <c r="EG292" i="5"/>
  <c r="EJ292" i="5" s="1"/>
  <c r="EK292" i="5" s="1"/>
  <c r="AL293" i="5"/>
  <c r="AO293" i="5"/>
  <c r="DL92" i="5"/>
  <c r="DI291" i="5"/>
  <c r="DJ291" i="5"/>
  <c r="EL95" i="5"/>
  <c r="EM95" i="5"/>
  <c r="DO293" i="5"/>
  <c r="AP293" i="5"/>
  <c r="AQ293" i="5" s="1"/>
  <c r="EQ290" i="5"/>
  <c r="ER290" i="5" s="1"/>
  <c r="FE288" i="5"/>
  <c r="FG288" i="5" s="1"/>
  <c r="CY288" i="5"/>
  <c r="EQ94" i="5"/>
  <c r="ER94" i="5" s="1"/>
  <c r="CZ92" i="5"/>
  <c r="FF92" i="5"/>
  <c r="DJ95" i="5"/>
  <c r="DI95" i="5"/>
  <c r="X288" i="5"/>
  <c r="AJ295" i="5"/>
  <c r="CQ289" i="21" l="1"/>
  <c r="DS289" i="21"/>
  <c r="AU293" i="21"/>
  <c r="AR293" i="21"/>
  <c r="DO291" i="21"/>
  <c r="DP291" i="21"/>
  <c r="DQ96" i="21"/>
  <c r="AP295" i="21"/>
  <c r="AT294" i="21"/>
  <c r="AQ294" i="21"/>
  <c r="DN98" i="21"/>
  <c r="EM98" i="21"/>
  <c r="EP98" i="21" s="1"/>
  <c r="EQ98" i="21" s="1"/>
  <c r="CZ95" i="21"/>
  <c r="FL95" i="21"/>
  <c r="ES291" i="21"/>
  <c r="ER291" i="21"/>
  <c r="DE8" i="21"/>
  <c r="DU293" i="21"/>
  <c r="AV293" i="21"/>
  <c r="AW293" i="21" s="1"/>
  <c r="DQ290" i="21"/>
  <c r="DR290" i="21" s="1"/>
  <c r="DE9" i="21"/>
  <c r="EW290" i="21"/>
  <c r="EX290" i="21" s="1"/>
  <c r="CY94" i="21"/>
  <c r="FK94" i="21"/>
  <c r="FM94" i="21" s="1"/>
  <c r="AU99" i="21"/>
  <c r="AR99" i="21"/>
  <c r="DN292" i="21"/>
  <c r="EM292" i="21"/>
  <c r="EP292" i="21" s="1"/>
  <c r="EQ292" i="21" s="1"/>
  <c r="ES97" i="21"/>
  <c r="ER97" i="21"/>
  <c r="DR95" i="21"/>
  <c r="DO97" i="21"/>
  <c r="DP97" i="21"/>
  <c r="FK288" i="21"/>
  <c r="FM288" i="21" s="1"/>
  <c r="AD288" i="21"/>
  <c r="CY288" i="21"/>
  <c r="EW96" i="21"/>
  <c r="EX96" i="21" s="1"/>
  <c r="CY93" i="21"/>
  <c r="FK93" i="21"/>
  <c r="FM93" i="21" s="1"/>
  <c r="DU99" i="21"/>
  <c r="AV99" i="21"/>
  <c r="AW99" i="21" s="1"/>
  <c r="AP101" i="21"/>
  <c r="AT100" i="21"/>
  <c r="AQ100" i="21"/>
  <c r="CY92" i="21"/>
  <c r="FK92" i="21"/>
  <c r="FM92" i="21" s="1"/>
  <c r="FB94" i="20"/>
  <c r="ED94" i="20" s="1"/>
  <c r="CR94" i="20" s="1"/>
  <c r="CZ94" i="20" s="1"/>
  <c r="CY91" i="5"/>
  <c r="FE91" i="5"/>
  <c r="FG91" i="5" s="1"/>
  <c r="DS287" i="20"/>
  <c r="CQ287" i="20"/>
  <c r="AR291" i="20"/>
  <c r="AU291" i="20"/>
  <c r="DN290" i="20"/>
  <c r="EM290" i="20"/>
  <c r="EP290" i="20" s="1"/>
  <c r="EQ290" i="20" s="1"/>
  <c r="AT292" i="20"/>
  <c r="AP293" i="20"/>
  <c r="AQ292" i="20"/>
  <c r="DQ95" i="20"/>
  <c r="DN97" i="20"/>
  <c r="EM97" i="20"/>
  <c r="EP97" i="20" s="1"/>
  <c r="EQ97" i="20" s="1"/>
  <c r="DP96" i="20"/>
  <c r="DO96" i="20"/>
  <c r="DU291" i="20"/>
  <c r="AV291" i="20"/>
  <c r="AW291" i="20" s="1"/>
  <c r="EW288" i="20"/>
  <c r="EX288" i="20" s="1"/>
  <c r="EW95" i="20"/>
  <c r="FB95" i="20" s="1"/>
  <c r="ED95" i="20" s="1"/>
  <c r="CR95" i="20" s="1"/>
  <c r="CQ92" i="20"/>
  <c r="DS92" i="20"/>
  <c r="DQ288" i="20"/>
  <c r="DR288" i="20" s="1"/>
  <c r="DE8" i="20"/>
  <c r="DE6" i="20"/>
  <c r="DE7" i="20" s="1"/>
  <c r="DE9" i="20"/>
  <c r="AU98" i="20"/>
  <c r="AR98" i="20"/>
  <c r="DE286" i="20"/>
  <c r="AD286" i="20"/>
  <c r="FK286" i="20"/>
  <c r="FM286" i="20" s="1"/>
  <c r="ES96" i="20"/>
  <c r="ER96" i="20"/>
  <c r="DU98" i="20"/>
  <c r="AV98" i="20"/>
  <c r="AW98" i="20" s="1"/>
  <c r="FL93" i="20"/>
  <c r="CZ93" i="20"/>
  <c r="ER289" i="20"/>
  <c r="ES289" i="20"/>
  <c r="DP289" i="20"/>
  <c r="DO289" i="20"/>
  <c r="AP100" i="20"/>
  <c r="AT99" i="20"/>
  <c r="AQ99" i="20"/>
  <c r="DR93" i="20"/>
  <c r="DM290" i="5"/>
  <c r="CK290" i="5"/>
  <c r="DH97" i="5"/>
  <c r="EG97" i="5"/>
  <c r="EJ97" i="5" s="1"/>
  <c r="EK97" i="5" s="1"/>
  <c r="DI96" i="5"/>
  <c r="DJ96" i="5"/>
  <c r="CZ4" i="5"/>
  <c r="CZ9" i="5"/>
  <c r="CZ3" i="5"/>
  <c r="CZ1" i="5"/>
  <c r="CZ2" i="5" s="1"/>
  <c r="CZ8" i="5"/>
  <c r="CZ6" i="5"/>
  <c r="CZ7" i="5" s="1"/>
  <c r="EQ291" i="5"/>
  <c r="ER291" i="5" s="1"/>
  <c r="DH293" i="5"/>
  <c r="EG293" i="5"/>
  <c r="EJ293" i="5" s="1"/>
  <c r="EK293" i="5" s="1"/>
  <c r="EL292" i="5"/>
  <c r="EM292" i="5"/>
  <c r="EV94" i="5"/>
  <c r="DX94" i="5" s="1"/>
  <c r="CL94" i="5" s="1"/>
  <c r="DI292" i="5"/>
  <c r="DJ292" i="5"/>
  <c r="EQ95" i="5"/>
  <c r="ER95" i="5" s="1"/>
  <c r="AO98" i="5"/>
  <c r="AL98" i="5"/>
  <c r="DO98" i="5"/>
  <c r="AP98" i="5"/>
  <c r="AQ98" i="5" s="1"/>
  <c r="AL294" i="5"/>
  <c r="AO294" i="5"/>
  <c r="FE289" i="5"/>
  <c r="FG289" i="5" s="1"/>
  <c r="CS289" i="5"/>
  <c r="DK95" i="5"/>
  <c r="DK291" i="5"/>
  <c r="DL291" i="5" s="1"/>
  <c r="AJ100" i="5"/>
  <c r="AN99" i="5"/>
  <c r="AK99" i="5"/>
  <c r="DO294" i="5"/>
  <c r="AP294" i="5"/>
  <c r="AQ294" i="5" s="1"/>
  <c r="AN295" i="5"/>
  <c r="AK295" i="5"/>
  <c r="CK92" i="5"/>
  <c r="DM92" i="5"/>
  <c r="EL96" i="5"/>
  <c r="EM96" i="5"/>
  <c r="DM93" i="5"/>
  <c r="CK93" i="5"/>
  <c r="AJ296" i="5"/>
  <c r="X289" i="5"/>
  <c r="FL94" i="20" l="1"/>
  <c r="CQ290" i="21"/>
  <c r="DS290" i="21"/>
  <c r="EW291" i="21"/>
  <c r="EX291" i="21" s="1"/>
  <c r="DN99" i="21"/>
  <c r="EM99" i="21"/>
  <c r="EP99" i="21" s="1"/>
  <c r="EQ99" i="21" s="1"/>
  <c r="EW97" i="21"/>
  <c r="EX97" i="21" s="1"/>
  <c r="DO98" i="21"/>
  <c r="DP98" i="21"/>
  <c r="AU294" i="21"/>
  <c r="AR294" i="21"/>
  <c r="ES98" i="21"/>
  <c r="ER98" i="21"/>
  <c r="DP292" i="21"/>
  <c r="DO292" i="21"/>
  <c r="DS95" i="21"/>
  <c r="CQ95" i="21"/>
  <c r="ES292" i="21"/>
  <c r="ER292" i="21"/>
  <c r="DQ291" i="21"/>
  <c r="DR291" i="21" s="1"/>
  <c r="FB96" i="21"/>
  <c r="ED96" i="21" s="1"/>
  <c r="CR96" i="21" s="1"/>
  <c r="DU294" i="21"/>
  <c r="AV294" i="21"/>
  <c r="AW294" i="21" s="1"/>
  <c r="DN293" i="21"/>
  <c r="EM293" i="21"/>
  <c r="EP293" i="21" s="1"/>
  <c r="EQ293" i="21" s="1"/>
  <c r="DU100" i="21"/>
  <c r="AV100" i="21"/>
  <c r="AW100" i="21" s="1"/>
  <c r="DQ97" i="21"/>
  <c r="AT295" i="21"/>
  <c r="AP296" i="21"/>
  <c r="AQ295" i="21"/>
  <c r="AU100" i="21"/>
  <c r="AR100" i="21"/>
  <c r="AP102" i="21"/>
  <c r="AT101" i="21"/>
  <c r="AQ101" i="21"/>
  <c r="FK289" i="21"/>
  <c r="FM289" i="21" s="1"/>
  <c r="AD289" i="21"/>
  <c r="CY289" i="21"/>
  <c r="EX95" i="20"/>
  <c r="DR94" i="20"/>
  <c r="DR95" i="20"/>
  <c r="DS95" i="20" s="1"/>
  <c r="EV95" i="5"/>
  <c r="DX95" i="5" s="1"/>
  <c r="CL95" i="5" s="1"/>
  <c r="FF95" i="5" s="1"/>
  <c r="DS288" i="20"/>
  <c r="CQ288" i="20"/>
  <c r="ES290" i="20"/>
  <c r="ER290" i="20"/>
  <c r="ER97" i="20"/>
  <c r="ES97" i="20"/>
  <c r="DO290" i="20"/>
  <c r="DP290" i="20"/>
  <c r="AU99" i="20"/>
  <c r="AR99" i="20"/>
  <c r="DO97" i="20"/>
  <c r="DP97" i="20"/>
  <c r="DU99" i="20"/>
  <c r="AV99" i="20"/>
  <c r="AW99" i="20" s="1"/>
  <c r="AP101" i="20"/>
  <c r="AT100" i="20"/>
  <c r="AQ100" i="20"/>
  <c r="DN98" i="20"/>
  <c r="EM98" i="20"/>
  <c r="EP98" i="20" s="1"/>
  <c r="EQ98" i="20" s="1"/>
  <c r="DN291" i="20"/>
  <c r="EM291" i="20"/>
  <c r="EP291" i="20" s="1"/>
  <c r="EQ291" i="20" s="1"/>
  <c r="DS93" i="20"/>
  <c r="CQ93" i="20"/>
  <c r="DQ289" i="20"/>
  <c r="DR289" i="20" s="1"/>
  <c r="EW96" i="20"/>
  <c r="FB96" i="20" s="1"/>
  <c r="ED96" i="20" s="1"/>
  <c r="CR96" i="20" s="1"/>
  <c r="FK92" i="20"/>
  <c r="FM92" i="20" s="1"/>
  <c r="CY92" i="20"/>
  <c r="DQ96" i="20"/>
  <c r="AR292" i="20"/>
  <c r="AU292" i="20"/>
  <c r="AT293" i="20"/>
  <c r="AP294" i="20"/>
  <c r="AQ293" i="20"/>
  <c r="CY287" i="20"/>
  <c r="AD287" i="20"/>
  <c r="FK287" i="20"/>
  <c r="FM287" i="20" s="1"/>
  <c r="EW289" i="20"/>
  <c r="EX289" i="20" s="1"/>
  <c r="FL95" i="20"/>
  <c r="CZ95" i="20"/>
  <c r="DU292" i="20"/>
  <c r="AV292" i="20"/>
  <c r="AW292" i="20" s="1"/>
  <c r="DM291" i="5"/>
  <c r="CK291" i="5"/>
  <c r="DI293" i="5"/>
  <c r="DJ293" i="5"/>
  <c r="DO99" i="5"/>
  <c r="AP99" i="5"/>
  <c r="AQ99" i="5" s="1"/>
  <c r="EQ96" i="5"/>
  <c r="EV96" i="5" s="1"/>
  <c r="DX96" i="5" s="1"/>
  <c r="CL96" i="5" s="1"/>
  <c r="AJ101" i="5"/>
  <c r="AN100" i="5"/>
  <c r="AK100" i="5"/>
  <c r="DK96" i="5"/>
  <c r="CY92" i="5"/>
  <c r="FE92" i="5"/>
  <c r="FG92" i="5" s="1"/>
  <c r="DK292" i="5"/>
  <c r="DL292" i="5" s="1"/>
  <c r="EL97" i="5"/>
  <c r="EM97" i="5"/>
  <c r="DO295" i="5"/>
  <c r="AP295" i="5"/>
  <c r="AQ295" i="5" s="1"/>
  <c r="AN296" i="5"/>
  <c r="AK296" i="5"/>
  <c r="AL99" i="5"/>
  <c r="AO99" i="5"/>
  <c r="AL295" i="5"/>
  <c r="AO295" i="5"/>
  <c r="DH98" i="5"/>
  <c r="EG98" i="5"/>
  <c r="EJ98" i="5" s="1"/>
  <c r="EK98" i="5" s="1"/>
  <c r="CT94" i="5"/>
  <c r="FF94" i="5"/>
  <c r="DJ97" i="5"/>
  <c r="DI97" i="5"/>
  <c r="DL94" i="5"/>
  <c r="CY290" i="5"/>
  <c r="FE290" i="5"/>
  <c r="FG290" i="5" s="1"/>
  <c r="CS93" i="5"/>
  <c r="FE93" i="5"/>
  <c r="FG93" i="5" s="1"/>
  <c r="EQ292" i="5"/>
  <c r="ER292" i="5" s="1"/>
  <c r="DH294" i="5"/>
  <c r="EG294" i="5"/>
  <c r="EJ294" i="5" s="1"/>
  <c r="EK294" i="5" s="1"/>
  <c r="EL293" i="5"/>
  <c r="EM293" i="5"/>
  <c r="X290" i="5"/>
  <c r="AJ297" i="5"/>
  <c r="CQ95" i="20" l="1"/>
  <c r="DS291" i="21"/>
  <c r="CQ291" i="21"/>
  <c r="DQ292" i="21"/>
  <c r="DR292" i="21" s="1"/>
  <c r="CY95" i="21"/>
  <c r="FK95" i="21"/>
  <c r="FM95" i="21" s="1"/>
  <c r="DU101" i="21"/>
  <c r="AV101" i="21"/>
  <c r="AW101" i="21" s="1"/>
  <c r="AU295" i="21"/>
  <c r="AR295" i="21"/>
  <c r="EW292" i="21"/>
  <c r="EX292" i="21" s="1"/>
  <c r="AT102" i="21"/>
  <c r="AP103" i="21"/>
  <c r="AQ102" i="21"/>
  <c r="FB97" i="21"/>
  <c r="ES99" i="21"/>
  <c r="ER99" i="21"/>
  <c r="DN100" i="21"/>
  <c r="EM100" i="21"/>
  <c r="EP100" i="21" s="1"/>
  <c r="EQ100" i="21" s="1"/>
  <c r="DO99" i="21"/>
  <c r="DP99" i="21"/>
  <c r="AU101" i="21"/>
  <c r="AR101" i="21"/>
  <c r="DQ98" i="21"/>
  <c r="DR98" i="21" s="1"/>
  <c r="ER293" i="21"/>
  <c r="ES293" i="21"/>
  <c r="AT296" i="21"/>
  <c r="AP297" i="21"/>
  <c r="AQ296" i="21"/>
  <c r="DP293" i="21"/>
  <c r="DO293" i="21"/>
  <c r="EX98" i="21"/>
  <c r="EW98" i="21"/>
  <c r="FB98" i="21" s="1"/>
  <c r="ED98" i="21" s="1"/>
  <c r="CR98" i="21" s="1"/>
  <c r="DR96" i="21"/>
  <c r="DN294" i="21"/>
  <c r="EM294" i="21"/>
  <c r="EP294" i="21" s="1"/>
  <c r="EQ294" i="21" s="1"/>
  <c r="DU295" i="21"/>
  <c r="AV295" i="21"/>
  <c r="AW295" i="21" s="1"/>
  <c r="FL96" i="21"/>
  <c r="CZ96" i="21"/>
  <c r="FK290" i="21"/>
  <c r="FM290" i="21" s="1"/>
  <c r="CY290" i="21"/>
  <c r="AD290" i="21"/>
  <c r="EX96" i="20"/>
  <c r="DS94" i="20"/>
  <c r="CQ94" i="20"/>
  <c r="DR96" i="20"/>
  <c r="DS96" i="20" s="1"/>
  <c r="ER96" i="5"/>
  <c r="CT95" i="5"/>
  <c r="DL95" i="5"/>
  <c r="DL96" i="5"/>
  <c r="DM96" i="5" s="1"/>
  <c r="DS289" i="20"/>
  <c r="CQ289" i="20"/>
  <c r="ES291" i="20"/>
  <c r="ER291" i="20"/>
  <c r="DN99" i="20"/>
  <c r="EM99" i="20"/>
  <c r="EP99" i="20" s="1"/>
  <c r="EQ99" i="20" s="1"/>
  <c r="EW97" i="20"/>
  <c r="FB97" i="20" s="1"/>
  <c r="EW290" i="20"/>
  <c r="EX290" i="20" s="1"/>
  <c r="DO291" i="20"/>
  <c r="DP291" i="20"/>
  <c r="DQ97" i="20"/>
  <c r="AU100" i="20"/>
  <c r="AR100" i="20"/>
  <c r="DU293" i="20"/>
  <c r="AV293" i="20"/>
  <c r="AW293" i="20" s="1"/>
  <c r="FK93" i="20"/>
  <c r="FM93" i="20" s="1"/>
  <c r="CY93" i="20"/>
  <c r="DU100" i="20"/>
  <c r="AV100" i="20"/>
  <c r="AW100" i="20" s="1"/>
  <c r="CZ96" i="20"/>
  <c r="FL96" i="20"/>
  <c r="ER98" i="20"/>
  <c r="ES98" i="20"/>
  <c r="DP98" i="20"/>
  <c r="DO98" i="20"/>
  <c r="FK95" i="20"/>
  <c r="FM95" i="20" s="1"/>
  <c r="CY95" i="20"/>
  <c r="DN292" i="20"/>
  <c r="EM292" i="20"/>
  <c r="EP292" i="20" s="1"/>
  <c r="EQ292" i="20" s="1"/>
  <c r="AR293" i="20"/>
  <c r="AU293" i="20"/>
  <c r="AP102" i="20"/>
  <c r="AT101" i="20"/>
  <c r="AQ101" i="20"/>
  <c r="DQ290" i="20"/>
  <c r="DR290" i="20" s="1"/>
  <c r="CY288" i="20"/>
  <c r="AD288" i="20"/>
  <c r="FK288" i="20"/>
  <c r="FM288" i="20" s="1"/>
  <c r="AP295" i="20"/>
  <c r="AT294" i="20"/>
  <c r="AQ294" i="20"/>
  <c r="DM292" i="5"/>
  <c r="CK292" i="5"/>
  <c r="CT96" i="5"/>
  <c r="FF96" i="5"/>
  <c r="EQ293" i="5"/>
  <c r="ER293" i="5" s="1"/>
  <c r="AO100" i="5"/>
  <c r="AL100" i="5"/>
  <c r="DO100" i="5"/>
  <c r="AP100" i="5"/>
  <c r="AQ100" i="5" s="1"/>
  <c r="DH99" i="5"/>
  <c r="EG99" i="5"/>
  <c r="EJ99" i="5" s="1"/>
  <c r="EK99" i="5" s="1"/>
  <c r="CK94" i="5"/>
  <c r="DM94" i="5"/>
  <c r="DI294" i="5"/>
  <c r="DJ294" i="5"/>
  <c r="DK97" i="5"/>
  <c r="AJ102" i="5"/>
  <c r="AN101" i="5"/>
  <c r="AK101" i="5"/>
  <c r="EL294" i="5"/>
  <c r="EM294" i="5"/>
  <c r="EQ97" i="5"/>
  <c r="EV97" i="5" s="1"/>
  <c r="DX97" i="5" s="1"/>
  <c r="CL97" i="5" s="1"/>
  <c r="DK293" i="5"/>
  <c r="DL293" i="5" s="1"/>
  <c r="AO296" i="5"/>
  <c r="AL296" i="5"/>
  <c r="CS291" i="5"/>
  <c r="FE291" i="5"/>
  <c r="FG291" i="5" s="1"/>
  <c r="AN297" i="5"/>
  <c r="AK297" i="5"/>
  <c r="DO296" i="5"/>
  <c r="AP296" i="5"/>
  <c r="AQ296" i="5" s="1"/>
  <c r="CY9" i="5"/>
  <c r="CY8" i="5"/>
  <c r="CY6" i="5"/>
  <c r="CY7" i="5" s="1"/>
  <c r="EM98" i="5"/>
  <c r="EL98" i="5"/>
  <c r="DJ98" i="5"/>
  <c r="DI98" i="5"/>
  <c r="DH295" i="5"/>
  <c r="EG295" i="5"/>
  <c r="EJ295" i="5" s="1"/>
  <c r="EK295" i="5" s="1"/>
  <c r="AJ298" i="5"/>
  <c r="X291" i="5"/>
  <c r="DS98" i="21" l="1"/>
  <c r="CQ98" i="21"/>
  <c r="FL98" i="21"/>
  <c r="CZ98" i="21"/>
  <c r="DS292" i="21"/>
  <c r="CQ292" i="21"/>
  <c r="EW99" i="21"/>
  <c r="EX99" i="21" s="1"/>
  <c r="ER100" i="21"/>
  <c r="ES100" i="21"/>
  <c r="ED97" i="21"/>
  <c r="CR97" i="21" s="1"/>
  <c r="DR97" i="21"/>
  <c r="AT103" i="21"/>
  <c r="AQ103" i="21"/>
  <c r="DN295" i="21"/>
  <c r="EM295" i="21"/>
  <c r="EP295" i="21" s="1"/>
  <c r="EQ295" i="21" s="1"/>
  <c r="DU102" i="21"/>
  <c r="AV102" i="21"/>
  <c r="AW102" i="21" s="1"/>
  <c r="DP294" i="21"/>
  <c r="DO294" i="21"/>
  <c r="AU296" i="21"/>
  <c r="AR296" i="21"/>
  <c r="DN101" i="21"/>
  <c r="EM101" i="21"/>
  <c r="EP101" i="21" s="1"/>
  <c r="EQ101" i="21" s="1"/>
  <c r="DS96" i="21"/>
  <c r="CQ96" i="21"/>
  <c r="AP298" i="21"/>
  <c r="AT297" i="21"/>
  <c r="AQ297" i="21"/>
  <c r="AR102" i="21"/>
  <c r="AU102" i="21"/>
  <c r="DU296" i="21"/>
  <c r="AV296" i="21"/>
  <c r="AW296" i="21" s="1"/>
  <c r="ES294" i="21"/>
  <c r="ER294" i="21"/>
  <c r="DQ293" i="21"/>
  <c r="DR293" i="21" s="1"/>
  <c r="EW293" i="21"/>
  <c r="EX293" i="21" s="1"/>
  <c r="DQ99" i="21"/>
  <c r="FK291" i="21"/>
  <c r="FM291" i="21" s="1"/>
  <c r="DE291" i="21"/>
  <c r="AD291" i="21"/>
  <c r="DO100" i="21"/>
  <c r="DP100" i="21"/>
  <c r="FK94" i="20"/>
  <c r="FM94" i="20" s="1"/>
  <c r="CY94" i="20"/>
  <c r="CQ96" i="20"/>
  <c r="CY96" i="20" s="1"/>
  <c r="CK96" i="5"/>
  <c r="FE96" i="5" s="1"/>
  <c r="FG96" i="5" s="1"/>
  <c r="DM95" i="5"/>
  <c r="CK95" i="5"/>
  <c r="DS290" i="20"/>
  <c r="CQ290" i="20"/>
  <c r="ED97" i="20"/>
  <c r="CR97" i="20" s="1"/>
  <c r="DR97" i="20"/>
  <c r="DN100" i="20"/>
  <c r="EM100" i="20"/>
  <c r="EP100" i="20" s="1"/>
  <c r="EQ100" i="20" s="1"/>
  <c r="ES99" i="20"/>
  <c r="ER99" i="20"/>
  <c r="DP99" i="20"/>
  <c r="DO99" i="20"/>
  <c r="AU101" i="20"/>
  <c r="AR101" i="20"/>
  <c r="DQ291" i="20"/>
  <c r="DR291" i="20" s="1"/>
  <c r="EW291" i="20"/>
  <c r="EX291" i="20" s="1"/>
  <c r="DU294" i="20"/>
  <c r="AV294" i="20"/>
  <c r="AW294" i="20" s="1"/>
  <c r="AP296" i="20"/>
  <c r="AT295" i="20"/>
  <c r="AQ295" i="20"/>
  <c r="DQ98" i="20"/>
  <c r="EW98" i="20"/>
  <c r="EX98" i="20" s="1"/>
  <c r="DN293" i="20"/>
  <c r="EM293" i="20"/>
  <c r="EP293" i="20" s="1"/>
  <c r="EQ293" i="20" s="1"/>
  <c r="FK289" i="20"/>
  <c r="FM289" i="20" s="1"/>
  <c r="CY289" i="20"/>
  <c r="AD289" i="20"/>
  <c r="DU101" i="20"/>
  <c r="AV101" i="20"/>
  <c r="AW101" i="20" s="1"/>
  <c r="ER292" i="20"/>
  <c r="ES292" i="20"/>
  <c r="AR294" i="20"/>
  <c r="AU294" i="20"/>
  <c r="AT102" i="20"/>
  <c r="AP103" i="20"/>
  <c r="AQ102" i="20"/>
  <c r="DP292" i="20"/>
  <c r="DO292" i="20"/>
  <c r="EX97" i="20"/>
  <c r="CT97" i="5"/>
  <c r="FF97" i="5"/>
  <c r="DL97" i="5"/>
  <c r="DM293" i="5"/>
  <c r="CK293" i="5"/>
  <c r="X293" i="5" s="1"/>
  <c r="EQ294" i="5"/>
  <c r="ER294" i="5" s="1"/>
  <c r="AL101" i="5"/>
  <c r="AO101" i="5"/>
  <c r="CS94" i="5"/>
  <c r="FE94" i="5"/>
  <c r="FG94" i="5" s="1"/>
  <c r="EQ98" i="5"/>
  <c r="ER98" i="5" s="1"/>
  <c r="DO101" i="5"/>
  <c r="AP101" i="5"/>
  <c r="AQ101" i="5" s="1"/>
  <c r="EM99" i="5"/>
  <c r="EL99" i="5"/>
  <c r="DH296" i="5"/>
  <c r="EG296" i="5"/>
  <c r="EJ296" i="5" s="1"/>
  <c r="EK296" i="5" s="1"/>
  <c r="AJ103" i="5"/>
  <c r="AN102" i="5"/>
  <c r="AK102" i="5"/>
  <c r="DI99" i="5"/>
  <c r="DJ99" i="5"/>
  <c r="AO297" i="5"/>
  <c r="AL297" i="5"/>
  <c r="FE292" i="5"/>
  <c r="FG292" i="5" s="1"/>
  <c r="CS292" i="5"/>
  <c r="DO297" i="5"/>
  <c r="AP297" i="5"/>
  <c r="AQ297" i="5" s="1"/>
  <c r="ER97" i="5"/>
  <c r="DH100" i="5"/>
  <c r="EG100" i="5"/>
  <c r="EJ100" i="5" s="1"/>
  <c r="EK100" i="5" s="1"/>
  <c r="EL295" i="5"/>
  <c r="EM295" i="5"/>
  <c r="DI295" i="5"/>
  <c r="DJ295" i="5"/>
  <c r="DK98" i="5"/>
  <c r="CS96" i="5"/>
  <c r="AN298" i="5"/>
  <c r="AK298" i="5"/>
  <c r="DK294" i="5"/>
  <c r="DL294" i="5" s="1"/>
  <c r="AJ299" i="5"/>
  <c r="X292" i="5"/>
  <c r="FK96" i="20" l="1"/>
  <c r="FM96" i="20" s="1"/>
  <c r="DS293" i="21"/>
  <c r="CQ293" i="21"/>
  <c r="EW294" i="21"/>
  <c r="EX294" i="21" s="1"/>
  <c r="CZ97" i="21"/>
  <c r="FL97" i="21"/>
  <c r="DQ100" i="21"/>
  <c r="ER295" i="21"/>
  <c r="ES295" i="21"/>
  <c r="DO101" i="21"/>
  <c r="DP101" i="21"/>
  <c r="FB99" i="21"/>
  <c r="ED99" i="21" s="1"/>
  <c r="CR99" i="21" s="1"/>
  <c r="DQ294" i="21"/>
  <c r="DR294" i="21" s="1"/>
  <c r="CQ97" i="21"/>
  <c r="DS97" i="21"/>
  <c r="AU297" i="21"/>
  <c r="AR297" i="21"/>
  <c r="FK292" i="21"/>
  <c r="FM292" i="21" s="1"/>
  <c r="AD292" i="21"/>
  <c r="DE292" i="21"/>
  <c r="AU103" i="21"/>
  <c r="AR103" i="21"/>
  <c r="DU297" i="21"/>
  <c r="AV297" i="21"/>
  <c r="AW297" i="21" s="1"/>
  <c r="DN102" i="21"/>
  <c r="EM102" i="21"/>
  <c r="EP102" i="21" s="1"/>
  <c r="EQ102" i="21" s="1"/>
  <c r="AT298" i="21"/>
  <c r="AP299" i="21"/>
  <c r="AQ298" i="21"/>
  <c r="DP295" i="21"/>
  <c r="DO295" i="21"/>
  <c r="DN296" i="21"/>
  <c r="EM296" i="21"/>
  <c r="EP296" i="21" s="1"/>
  <c r="EQ296" i="21" s="1"/>
  <c r="FK98" i="21"/>
  <c r="FM98" i="21" s="1"/>
  <c r="CY98" i="21"/>
  <c r="DU103" i="21"/>
  <c r="AV103" i="21"/>
  <c r="AW103" i="21" s="1"/>
  <c r="EW100" i="21"/>
  <c r="FB100" i="21" s="1"/>
  <c r="ED100" i="21" s="1"/>
  <c r="CR100" i="21" s="1"/>
  <c r="FK96" i="21"/>
  <c r="FM96" i="21" s="1"/>
  <c r="CY96" i="21"/>
  <c r="ES101" i="21"/>
  <c r="ER101" i="21"/>
  <c r="FB98" i="20"/>
  <c r="ED98" i="20" s="1"/>
  <c r="CR98" i="20" s="1"/>
  <c r="FL98" i="20" s="1"/>
  <c r="CS95" i="5"/>
  <c r="FE95" i="5"/>
  <c r="FG95" i="5" s="1"/>
  <c r="DS291" i="20"/>
  <c r="CQ291" i="20"/>
  <c r="EW99" i="20"/>
  <c r="EX99" i="20" s="1"/>
  <c r="AU102" i="20"/>
  <c r="AR102" i="20"/>
  <c r="AT103" i="20"/>
  <c r="AQ103" i="20"/>
  <c r="ER100" i="20"/>
  <c r="ES100" i="20"/>
  <c r="DU102" i="20"/>
  <c r="AV102" i="20"/>
  <c r="AW102" i="20" s="1"/>
  <c r="AU295" i="20"/>
  <c r="AR295" i="20"/>
  <c r="DP100" i="20"/>
  <c r="DO100" i="20"/>
  <c r="DU295" i="20"/>
  <c r="AV295" i="20"/>
  <c r="AW295" i="20" s="1"/>
  <c r="DS97" i="20"/>
  <c r="CQ97" i="20"/>
  <c r="DN101" i="20"/>
  <c r="EM101" i="20"/>
  <c r="EP101" i="20" s="1"/>
  <c r="EQ101" i="20" s="1"/>
  <c r="DP293" i="20"/>
  <c r="DO293" i="20"/>
  <c r="AP297" i="20"/>
  <c r="AT296" i="20"/>
  <c r="AQ296" i="20"/>
  <c r="FL97" i="20"/>
  <c r="CZ97" i="20"/>
  <c r="DQ292" i="20"/>
  <c r="DR292" i="20" s="1"/>
  <c r="EW292" i="20"/>
  <c r="EX292" i="20" s="1"/>
  <c r="DQ99" i="20"/>
  <c r="FK290" i="20"/>
  <c r="FM290" i="20" s="1"/>
  <c r="CY290" i="20"/>
  <c r="AD290" i="20"/>
  <c r="ER293" i="20"/>
  <c r="ES293" i="20"/>
  <c r="DN294" i="20"/>
  <c r="EM294" i="20"/>
  <c r="EP294" i="20" s="1"/>
  <c r="EQ294" i="20" s="1"/>
  <c r="DM294" i="5"/>
  <c r="CK294" i="5"/>
  <c r="X294" i="5" s="1"/>
  <c r="DK99" i="5"/>
  <c r="AO102" i="5"/>
  <c r="AL102" i="5"/>
  <c r="DH101" i="5"/>
  <c r="EG101" i="5"/>
  <c r="EJ101" i="5" s="1"/>
  <c r="EK101" i="5" s="1"/>
  <c r="DO102" i="5"/>
  <c r="AP102" i="5"/>
  <c r="AQ102" i="5" s="1"/>
  <c r="DH297" i="5"/>
  <c r="EG297" i="5"/>
  <c r="EJ297" i="5" s="1"/>
  <c r="EK297" i="5" s="1"/>
  <c r="DK295" i="5"/>
  <c r="DL295" i="5" s="1"/>
  <c r="AJ104" i="5"/>
  <c r="AN103" i="5"/>
  <c r="AK103" i="5"/>
  <c r="EV98" i="5"/>
  <c r="FE293" i="5"/>
  <c r="FG293" i="5" s="1"/>
  <c r="CS293" i="5"/>
  <c r="AL298" i="5"/>
  <c r="AO298" i="5"/>
  <c r="EM296" i="5"/>
  <c r="EL296" i="5"/>
  <c r="DO298" i="5"/>
  <c r="AP298" i="5"/>
  <c r="AQ298" i="5" s="1"/>
  <c r="EQ295" i="5"/>
  <c r="ER295" i="5" s="1"/>
  <c r="DI296" i="5"/>
  <c r="DJ296" i="5"/>
  <c r="DM97" i="5"/>
  <c r="CK97" i="5"/>
  <c r="EL100" i="5"/>
  <c r="EM100" i="5"/>
  <c r="EQ99" i="5"/>
  <c r="ER99" i="5" s="1"/>
  <c r="AN299" i="5"/>
  <c r="AK299" i="5"/>
  <c r="DJ100" i="5"/>
  <c r="DI100" i="5"/>
  <c r="AJ300" i="5"/>
  <c r="CZ98" i="20" l="1"/>
  <c r="DS294" i="21"/>
  <c r="CQ294" i="21"/>
  <c r="DR100" i="21"/>
  <c r="FL100" i="21"/>
  <c r="CZ100" i="21"/>
  <c r="EX100" i="21"/>
  <c r="ES296" i="21"/>
  <c r="ER296" i="21"/>
  <c r="DQ101" i="21"/>
  <c r="DP296" i="21"/>
  <c r="DO296" i="21"/>
  <c r="DQ295" i="21"/>
  <c r="DR295" i="21" s="1"/>
  <c r="AU298" i="21"/>
  <c r="AR298" i="21"/>
  <c r="CZ99" i="21"/>
  <c r="FL99" i="21"/>
  <c r="AT299" i="21"/>
  <c r="AP300" i="21"/>
  <c r="AQ299" i="21"/>
  <c r="DU298" i="21"/>
  <c r="AV298" i="21"/>
  <c r="AW298" i="21" s="1"/>
  <c r="CY97" i="21"/>
  <c r="FK97" i="21"/>
  <c r="FM97" i="21" s="1"/>
  <c r="ER102" i="21"/>
  <c r="ES102" i="21"/>
  <c r="DN103" i="21"/>
  <c r="EM103" i="21"/>
  <c r="EP103" i="21" s="1"/>
  <c r="EQ103" i="21" s="1"/>
  <c r="EW295" i="21"/>
  <c r="EX295" i="21" s="1"/>
  <c r="DP102" i="21"/>
  <c r="DO102" i="21"/>
  <c r="DN297" i="21"/>
  <c r="EM297" i="21"/>
  <c r="EP297" i="21" s="1"/>
  <c r="EQ297" i="21" s="1"/>
  <c r="AD293" i="21"/>
  <c r="FK293" i="21"/>
  <c r="FM293" i="21" s="1"/>
  <c r="DE293" i="21"/>
  <c r="DR99" i="21"/>
  <c r="EW101" i="21"/>
  <c r="FB101" i="21" s="1"/>
  <c r="ED101" i="21" s="1"/>
  <c r="CR101" i="21" s="1"/>
  <c r="DR98" i="20"/>
  <c r="FB99" i="20"/>
  <c r="ED99" i="20" s="1"/>
  <c r="CR99" i="20" s="1"/>
  <c r="FL99" i="20" s="1"/>
  <c r="DS292" i="20"/>
  <c r="CQ292" i="20"/>
  <c r="AU296" i="20"/>
  <c r="AR296" i="20"/>
  <c r="ES294" i="20"/>
  <c r="ER294" i="20"/>
  <c r="AP298" i="20"/>
  <c r="AT297" i="20"/>
  <c r="AQ297" i="20"/>
  <c r="DN295" i="20"/>
  <c r="EM295" i="20"/>
  <c r="EP295" i="20" s="1"/>
  <c r="EQ295" i="20" s="1"/>
  <c r="EW100" i="20"/>
  <c r="FB100" i="20" s="1"/>
  <c r="ED100" i="20" s="1"/>
  <c r="CR100" i="20" s="1"/>
  <c r="DQ100" i="20"/>
  <c r="AR103" i="20"/>
  <c r="AU103" i="20"/>
  <c r="DP294" i="20"/>
  <c r="DO294" i="20"/>
  <c r="DU103" i="20"/>
  <c r="AV103" i="20"/>
  <c r="AW103" i="20" s="1"/>
  <c r="DU296" i="20"/>
  <c r="AV296" i="20"/>
  <c r="AW296" i="20" s="1"/>
  <c r="DQ293" i="20"/>
  <c r="DR293" i="20" s="1"/>
  <c r="EW293" i="20"/>
  <c r="EX293" i="20" s="1"/>
  <c r="ER101" i="20"/>
  <c r="ES101" i="20"/>
  <c r="DN102" i="20"/>
  <c r="EM102" i="20"/>
  <c r="EP102" i="20" s="1"/>
  <c r="EQ102" i="20" s="1"/>
  <c r="DO101" i="20"/>
  <c r="DP101" i="20"/>
  <c r="DE291" i="20"/>
  <c r="AD291" i="20"/>
  <c r="FK291" i="20"/>
  <c r="FM291" i="20" s="1"/>
  <c r="FK97" i="20"/>
  <c r="FM97" i="20" s="1"/>
  <c r="CY97" i="20"/>
  <c r="DM295" i="5"/>
  <c r="CK295" i="5"/>
  <c r="DO103" i="5"/>
  <c r="AP103" i="5"/>
  <c r="AQ103" i="5" s="1"/>
  <c r="EL101" i="5"/>
  <c r="EM101" i="5"/>
  <c r="EQ296" i="5"/>
  <c r="ER296" i="5" s="1"/>
  <c r="AL299" i="5"/>
  <c r="AO299" i="5"/>
  <c r="AN104" i="5"/>
  <c r="AK104" i="5"/>
  <c r="DJ101" i="5"/>
  <c r="DI101" i="5"/>
  <c r="DO299" i="5"/>
  <c r="AP299" i="5"/>
  <c r="AQ299" i="5" s="1"/>
  <c r="DK296" i="5"/>
  <c r="DL296" i="5" s="1"/>
  <c r="EL297" i="5"/>
  <c r="EM297" i="5"/>
  <c r="EV99" i="5"/>
  <c r="DX99" i="5" s="1"/>
  <c r="CL99" i="5" s="1"/>
  <c r="DI297" i="5"/>
  <c r="DJ297" i="5"/>
  <c r="DX98" i="5"/>
  <c r="CL98" i="5" s="1"/>
  <c r="DL98" i="5"/>
  <c r="FE294" i="5"/>
  <c r="FG294" i="5" s="1"/>
  <c r="CS294" i="5"/>
  <c r="CS97" i="5"/>
  <c r="FE97" i="5"/>
  <c r="FG97" i="5" s="1"/>
  <c r="AN300" i="5"/>
  <c r="AK300" i="5"/>
  <c r="DK100" i="5"/>
  <c r="EQ100" i="5"/>
  <c r="EV100" i="5" s="1"/>
  <c r="DX100" i="5" s="1"/>
  <c r="CL100" i="5" s="1"/>
  <c r="DH298" i="5"/>
  <c r="EG298" i="5"/>
  <c r="EJ298" i="5" s="1"/>
  <c r="EK298" i="5" s="1"/>
  <c r="AL103" i="5"/>
  <c r="AO103" i="5"/>
  <c r="DH102" i="5"/>
  <c r="EG102" i="5"/>
  <c r="EJ102" i="5" s="1"/>
  <c r="EK102" i="5" s="1"/>
  <c r="AJ301" i="5"/>
  <c r="DR100" i="20" l="1"/>
  <c r="CZ99" i="20"/>
  <c r="DS295" i="21"/>
  <c r="CQ295" i="21"/>
  <c r="CZ101" i="21"/>
  <c r="FL101" i="21"/>
  <c r="DR101" i="21"/>
  <c r="DS99" i="21"/>
  <c r="CQ99" i="21"/>
  <c r="DU299" i="21"/>
  <c r="AV299" i="21"/>
  <c r="AW299" i="21" s="1"/>
  <c r="EX101" i="21"/>
  <c r="AT300" i="21"/>
  <c r="AP301" i="21"/>
  <c r="AQ300" i="21"/>
  <c r="AU299" i="21"/>
  <c r="AR299" i="21"/>
  <c r="DP103" i="21"/>
  <c r="DO103" i="21"/>
  <c r="DP297" i="21"/>
  <c r="DO297" i="21"/>
  <c r="EW296" i="21"/>
  <c r="EX296" i="21" s="1"/>
  <c r="FB102" i="21"/>
  <c r="ED102" i="21" s="1"/>
  <c r="CR102" i="21" s="1"/>
  <c r="EX102" i="21"/>
  <c r="EW102" i="21"/>
  <c r="DS100" i="21"/>
  <c r="CQ100" i="21"/>
  <c r="ES297" i="21"/>
  <c r="ER297" i="21"/>
  <c r="DQ102" i="21"/>
  <c r="DR102" i="21" s="1"/>
  <c r="AD294" i="21"/>
  <c r="DE294" i="21"/>
  <c r="FK294" i="21"/>
  <c r="FM294" i="21" s="1"/>
  <c r="DQ296" i="21"/>
  <c r="DR296" i="21" s="1"/>
  <c r="ES103" i="21"/>
  <c r="ER103" i="21"/>
  <c r="DN298" i="21"/>
  <c r="EM298" i="21"/>
  <c r="EP298" i="21" s="1"/>
  <c r="EQ298" i="21" s="1"/>
  <c r="DS98" i="20"/>
  <c r="CQ98" i="20"/>
  <c r="EX100" i="20"/>
  <c r="DS100" i="20" s="1"/>
  <c r="DR99" i="20"/>
  <c r="ER100" i="5"/>
  <c r="CQ100" i="20"/>
  <c r="DS293" i="20"/>
  <c r="CQ293" i="20"/>
  <c r="CZ100" i="20"/>
  <c r="FL100" i="20"/>
  <c r="DQ294" i="20"/>
  <c r="DR294" i="20" s="1"/>
  <c r="EW294" i="20"/>
  <c r="EX294" i="20" s="1"/>
  <c r="DO102" i="20"/>
  <c r="DP102" i="20"/>
  <c r="DN296" i="20"/>
  <c r="EM296" i="20"/>
  <c r="EP296" i="20" s="1"/>
  <c r="EQ296" i="20" s="1"/>
  <c r="ER295" i="20"/>
  <c r="ES295" i="20"/>
  <c r="DQ101" i="20"/>
  <c r="DO295" i="20"/>
  <c r="DP295" i="20"/>
  <c r="DE292" i="20"/>
  <c r="AD292" i="20"/>
  <c r="FK292" i="20"/>
  <c r="FM292" i="20" s="1"/>
  <c r="EW101" i="20"/>
  <c r="EX101" i="20" s="1"/>
  <c r="AU297" i="20"/>
  <c r="AR297" i="20"/>
  <c r="DU297" i="20"/>
  <c r="AV297" i="20"/>
  <c r="AW297" i="20" s="1"/>
  <c r="ER102" i="20"/>
  <c r="ES102" i="20"/>
  <c r="DN103" i="20"/>
  <c r="EM103" i="20"/>
  <c r="EP103" i="20" s="1"/>
  <c r="EQ103" i="20" s="1"/>
  <c r="AP299" i="20"/>
  <c r="AT298" i="20"/>
  <c r="AQ298" i="20"/>
  <c r="DM296" i="5"/>
  <c r="CK296" i="5"/>
  <c r="EM298" i="5"/>
  <c r="EL298" i="5"/>
  <c r="DK101" i="5"/>
  <c r="AN301" i="5"/>
  <c r="AK301" i="5"/>
  <c r="AL300" i="5"/>
  <c r="AO300" i="5"/>
  <c r="DH299" i="5"/>
  <c r="EG299" i="5"/>
  <c r="EJ299" i="5" s="1"/>
  <c r="EK299" i="5" s="1"/>
  <c r="DJ298" i="5"/>
  <c r="DI298" i="5"/>
  <c r="CT99" i="5"/>
  <c r="FF99" i="5"/>
  <c r="EQ101" i="5"/>
  <c r="ER101" i="5" s="1"/>
  <c r="AL104" i="5"/>
  <c r="AO104" i="5"/>
  <c r="CT100" i="5"/>
  <c r="FF100" i="5"/>
  <c r="EQ297" i="5"/>
  <c r="ER297" i="5" s="1"/>
  <c r="DO104" i="5"/>
  <c r="AP104" i="5"/>
  <c r="AQ104" i="5" s="1"/>
  <c r="DH103" i="5"/>
  <c r="EG103" i="5"/>
  <c r="EJ103" i="5" s="1"/>
  <c r="EK103" i="5" s="1"/>
  <c r="DO300" i="5"/>
  <c r="AP300" i="5"/>
  <c r="AQ300" i="5" s="1"/>
  <c r="EL102" i="5"/>
  <c r="EM102" i="5"/>
  <c r="DL99" i="5"/>
  <c r="DI102" i="5"/>
  <c r="DJ102" i="5"/>
  <c r="DM98" i="5"/>
  <c r="CK98" i="5"/>
  <c r="CY295" i="5"/>
  <c r="FE295" i="5"/>
  <c r="FG295" i="5" s="1"/>
  <c r="DK297" i="5"/>
  <c r="DL297" i="5" s="1"/>
  <c r="DL100" i="5"/>
  <c r="CT98" i="5"/>
  <c r="FF98" i="5"/>
  <c r="X295" i="5"/>
  <c r="AJ302" i="5"/>
  <c r="DS296" i="21" l="1"/>
  <c r="CQ296" i="21"/>
  <c r="DS102" i="21"/>
  <c r="CQ102" i="21"/>
  <c r="FL102" i="21"/>
  <c r="CZ102" i="21"/>
  <c r="ES298" i="21"/>
  <c r="ER298" i="21"/>
  <c r="EQ9" i="21"/>
  <c r="AP302" i="21"/>
  <c r="AT301" i="21"/>
  <c r="AQ301" i="21"/>
  <c r="AU300" i="21"/>
  <c r="AR300" i="21"/>
  <c r="CY99" i="21"/>
  <c r="FK99" i="21"/>
  <c r="FM99" i="21" s="1"/>
  <c r="DU300" i="21"/>
  <c r="AV300" i="21"/>
  <c r="AW300" i="21" s="1"/>
  <c r="EW297" i="21"/>
  <c r="EX297" i="21" s="1"/>
  <c r="DS101" i="21"/>
  <c r="CQ101" i="21"/>
  <c r="EX103" i="21"/>
  <c r="FB103" i="21"/>
  <c r="ED103" i="21" s="1"/>
  <c r="CR103" i="21" s="1"/>
  <c r="EW103" i="21"/>
  <c r="DP298" i="21"/>
  <c r="DO298" i="21"/>
  <c r="DN299" i="21"/>
  <c r="EM299" i="21"/>
  <c r="EP299" i="21" s="1"/>
  <c r="EQ299" i="21" s="1"/>
  <c r="FK100" i="21"/>
  <c r="FM100" i="21" s="1"/>
  <c r="CY100" i="21"/>
  <c r="DQ103" i="21"/>
  <c r="DR103" i="21" s="1"/>
  <c r="FK295" i="21"/>
  <c r="FM295" i="21" s="1"/>
  <c r="DE295" i="21"/>
  <c r="AD295" i="21"/>
  <c r="DQ297" i="21"/>
  <c r="DR297" i="21" s="1"/>
  <c r="FK98" i="20"/>
  <c r="FM98" i="20" s="1"/>
  <c r="CY98" i="20"/>
  <c r="FB101" i="20"/>
  <c r="ED101" i="20" s="1"/>
  <c r="CR101" i="20" s="1"/>
  <c r="FL101" i="20" s="1"/>
  <c r="DS99" i="20"/>
  <c r="CQ99" i="20"/>
  <c r="DS294" i="20"/>
  <c r="CQ294" i="20"/>
  <c r="EW295" i="20"/>
  <c r="EX295" i="20" s="1"/>
  <c r="AP300" i="20"/>
  <c r="AT299" i="20"/>
  <c r="AQ299" i="20"/>
  <c r="DO103" i="20"/>
  <c r="DP103" i="20"/>
  <c r="ES296" i="20"/>
  <c r="ER296" i="20"/>
  <c r="DN297" i="20"/>
  <c r="EM297" i="20"/>
  <c r="EP297" i="20" s="1"/>
  <c r="EQ297" i="20" s="1"/>
  <c r="DO296" i="20"/>
  <c r="DP296" i="20"/>
  <c r="DE293" i="20"/>
  <c r="AD293" i="20"/>
  <c r="FK293" i="20"/>
  <c r="FM293" i="20" s="1"/>
  <c r="DQ295" i="20"/>
  <c r="DR295" i="20" s="1"/>
  <c r="DQ102" i="20"/>
  <c r="ES103" i="20"/>
  <c r="ER103" i="20"/>
  <c r="FK100" i="20"/>
  <c r="FM100" i="20" s="1"/>
  <c r="CY100" i="20"/>
  <c r="AU298" i="20"/>
  <c r="AR298" i="20"/>
  <c r="DU298" i="20"/>
  <c r="AV298" i="20"/>
  <c r="AW298" i="20" s="1"/>
  <c r="EW102" i="20"/>
  <c r="FB102" i="20" s="1"/>
  <c r="ED102" i="20" s="1"/>
  <c r="CR102" i="20" s="1"/>
  <c r="DM297" i="5"/>
  <c r="CK297" i="5"/>
  <c r="AO301" i="5"/>
  <c r="AL301" i="5"/>
  <c r="DO301" i="5"/>
  <c r="AP301" i="5"/>
  <c r="AQ301" i="5" s="1"/>
  <c r="FE98" i="5"/>
  <c r="FG98" i="5" s="1"/>
  <c r="CS98" i="5"/>
  <c r="DH300" i="5"/>
  <c r="EG300" i="5"/>
  <c r="EJ300" i="5" s="1"/>
  <c r="EK300" i="5" s="1"/>
  <c r="DK298" i="5"/>
  <c r="DL298" i="5" s="1"/>
  <c r="EL103" i="5"/>
  <c r="EM103" i="5"/>
  <c r="DI103" i="5"/>
  <c r="DJ103" i="5"/>
  <c r="EL299" i="5"/>
  <c r="EM299" i="5"/>
  <c r="EQ298" i="5"/>
  <c r="ER298" i="5" s="1"/>
  <c r="DK102" i="5"/>
  <c r="DI299" i="5"/>
  <c r="DJ299" i="5"/>
  <c r="DM99" i="5"/>
  <c r="CK99" i="5"/>
  <c r="DH104" i="5"/>
  <c r="EG104" i="5"/>
  <c r="EJ104" i="5" s="1"/>
  <c r="EK104" i="5" s="1"/>
  <c r="EV101" i="5"/>
  <c r="DX101" i="5" s="1"/>
  <c r="CL101" i="5" s="1"/>
  <c r="CY296" i="5"/>
  <c r="FE296" i="5"/>
  <c r="FG296" i="5" s="1"/>
  <c r="EQ102" i="5"/>
  <c r="EV102" i="5" s="1"/>
  <c r="DX102" i="5" s="1"/>
  <c r="CL102" i="5" s="1"/>
  <c r="DM100" i="5"/>
  <c r="CK100" i="5"/>
  <c r="AN302" i="5"/>
  <c r="AK302" i="5"/>
  <c r="AJ303" i="5"/>
  <c r="X296" i="5"/>
  <c r="CZ101" i="20" l="1"/>
  <c r="DS297" i="21"/>
  <c r="CQ297" i="21"/>
  <c r="DS103" i="21"/>
  <c r="CQ103" i="21"/>
  <c r="CZ103" i="21"/>
  <c r="FL103" i="21"/>
  <c r="CR9" i="21"/>
  <c r="CR8" i="21"/>
  <c r="CR6" i="21"/>
  <c r="CR7" i="21" s="1"/>
  <c r="CR1" i="21"/>
  <c r="CR4" i="21"/>
  <c r="CI4" i="21"/>
  <c r="CI1" i="21"/>
  <c r="CR3" i="21"/>
  <c r="DJ3" i="21" s="1"/>
  <c r="CI3" i="21"/>
  <c r="DN300" i="21"/>
  <c r="EM300" i="21"/>
  <c r="EP300" i="21" s="1"/>
  <c r="EQ300" i="21" s="1"/>
  <c r="AR301" i="21"/>
  <c r="AU301" i="21"/>
  <c r="DU301" i="21"/>
  <c r="AV301" i="21"/>
  <c r="AW301" i="21" s="1"/>
  <c r="ER9" i="21"/>
  <c r="ES9" i="21"/>
  <c r="ES8" i="21" s="1"/>
  <c r="EX298" i="21"/>
  <c r="EW298" i="21"/>
  <c r="AT302" i="21"/>
  <c r="AP303" i="21"/>
  <c r="AQ302" i="21"/>
  <c r="DO299" i="21"/>
  <c r="DP299" i="21"/>
  <c r="FK102" i="21"/>
  <c r="FM102" i="21" s="1"/>
  <c r="CY102" i="21"/>
  <c r="CY101" i="21"/>
  <c r="FK101" i="21"/>
  <c r="FM101" i="21" s="1"/>
  <c r="DQ298" i="21"/>
  <c r="DR298" i="21" s="1"/>
  <c r="DE296" i="21"/>
  <c r="AD296" i="21"/>
  <c r="FK296" i="21"/>
  <c r="FM296" i="21" s="1"/>
  <c r="ES299" i="21"/>
  <c r="ER299" i="21"/>
  <c r="DR101" i="20"/>
  <c r="CY99" i="20"/>
  <c r="FK99" i="20"/>
  <c r="FM99" i="20" s="1"/>
  <c r="FL102" i="20"/>
  <c r="CZ102" i="20"/>
  <c r="DR102" i="20"/>
  <c r="DS295" i="20"/>
  <c r="CQ295" i="20"/>
  <c r="EW296" i="20"/>
  <c r="EX296" i="20" s="1"/>
  <c r="EX102" i="20"/>
  <c r="EW103" i="20"/>
  <c r="EX103" i="20" s="1"/>
  <c r="DQ103" i="20"/>
  <c r="AU299" i="20"/>
  <c r="AR299" i="20"/>
  <c r="DQ296" i="20"/>
  <c r="DR296" i="20" s="1"/>
  <c r="DU299" i="20"/>
  <c r="AV299" i="20"/>
  <c r="AW299" i="20" s="1"/>
  <c r="FK294" i="20"/>
  <c r="FM294" i="20" s="1"/>
  <c r="AD294" i="20"/>
  <c r="DE294" i="20"/>
  <c r="DO297" i="20"/>
  <c r="DP297" i="20"/>
  <c r="DN298" i="20"/>
  <c r="EM298" i="20"/>
  <c r="EP298" i="20" s="1"/>
  <c r="EQ298" i="20" s="1"/>
  <c r="ES297" i="20"/>
  <c r="ER297" i="20"/>
  <c r="AT300" i="20"/>
  <c r="AP301" i="20"/>
  <c r="AQ300" i="20"/>
  <c r="CT102" i="5"/>
  <c r="FF102" i="5"/>
  <c r="DL102" i="5"/>
  <c r="DM298" i="5"/>
  <c r="CK298" i="5"/>
  <c r="EM104" i="5"/>
  <c r="EL104" i="5"/>
  <c r="DJ104" i="5"/>
  <c r="DI104" i="5"/>
  <c r="FE100" i="5"/>
  <c r="FG100" i="5" s="1"/>
  <c r="CS100" i="5"/>
  <c r="EL300" i="5"/>
  <c r="EM300" i="5"/>
  <c r="DH301" i="5"/>
  <c r="EG301" i="5"/>
  <c r="EJ301" i="5" s="1"/>
  <c r="EK301" i="5" s="1"/>
  <c r="CS99" i="5"/>
  <c r="FE99" i="5"/>
  <c r="FG99" i="5" s="1"/>
  <c r="ER102" i="5"/>
  <c r="EQ299" i="5"/>
  <c r="ER299" i="5" s="1"/>
  <c r="DJ300" i="5"/>
  <c r="DI300" i="5"/>
  <c r="AN303" i="5"/>
  <c r="AK303" i="5"/>
  <c r="DK299" i="5"/>
  <c r="DL299" i="5" s="1"/>
  <c r="DK103" i="5"/>
  <c r="FE297" i="5"/>
  <c r="FG297" i="5" s="1"/>
  <c r="CY297" i="5"/>
  <c r="AO302" i="5"/>
  <c r="AL302" i="5"/>
  <c r="DO302" i="5"/>
  <c r="AP302" i="5"/>
  <c r="AQ302" i="5" s="1"/>
  <c r="CT101" i="5"/>
  <c r="FF101" i="5"/>
  <c r="EQ103" i="5"/>
  <c r="ER103" i="5" s="1"/>
  <c r="DL101" i="5"/>
  <c r="AJ304" i="5"/>
  <c r="X297" i="5"/>
  <c r="CQ298" i="21" l="1"/>
  <c r="DS298" i="21"/>
  <c r="DN301" i="21"/>
  <c r="EM301" i="21"/>
  <c r="EP301" i="21" s="1"/>
  <c r="EQ301" i="21" s="1"/>
  <c r="ER8" i="21"/>
  <c r="EW299" i="21"/>
  <c r="EX299" i="21" s="1"/>
  <c r="FU57" i="21"/>
  <c r="FU61" i="21"/>
  <c r="FU56" i="21"/>
  <c r="FU58" i="21"/>
  <c r="FU53" i="21"/>
  <c r="FU55" i="21"/>
  <c r="FU59" i="21"/>
  <c r="FU60" i="21"/>
  <c r="FU54" i="21"/>
  <c r="CR2" i="21"/>
  <c r="CI2" i="21"/>
  <c r="DQ299" i="21"/>
  <c r="DR299" i="21" s="1"/>
  <c r="CZ3" i="21"/>
  <c r="CZ6" i="21"/>
  <c r="CZ7" i="21" s="1"/>
  <c r="CZ1" i="21"/>
  <c r="CZ2" i="21" s="1"/>
  <c r="CZ4" i="21"/>
  <c r="CZ9" i="21"/>
  <c r="CZ8" i="21"/>
  <c r="AU302" i="21"/>
  <c r="AR302" i="21"/>
  <c r="CY103" i="21"/>
  <c r="FK103" i="21"/>
  <c r="FM103" i="21" s="1"/>
  <c r="CQ8" i="21"/>
  <c r="CQ9" i="21"/>
  <c r="CQ6" i="21"/>
  <c r="ES300" i="21"/>
  <c r="ER300" i="21"/>
  <c r="DP300" i="21"/>
  <c r="DO300" i="21"/>
  <c r="AT303" i="21"/>
  <c r="AP304" i="21"/>
  <c r="AQ303" i="21"/>
  <c r="DU302" i="21"/>
  <c r="AV302" i="21"/>
  <c r="AW302" i="21" s="1"/>
  <c r="AD297" i="21"/>
  <c r="FK297" i="21"/>
  <c r="FM297" i="21" s="1"/>
  <c r="DE297" i="21"/>
  <c r="CQ101" i="20"/>
  <c r="DS101" i="20"/>
  <c r="EV103" i="5"/>
  <c r="DX103" i="5" s="1"/>
  <c r="CL103" i="5" s="1"/>
  <c r="CT103" i="5" s="1"/>
  <c r="DS296" i="20"/>
  <c r="CQ296" i="20"/>
  <c r="EW297" i="20"/>
  <c r="EX297" i="20" s="1"/>
  <c r="DN299" i="20"/>
  <c r="EM299" i="20"/>
  <c r="EP299" i="20" s="1"/>
  <c r="EQ299" i="20" s="1"/>
  <c r="AD295" i="20"/>
  <c r="FK295" i="20"/>
  <c r="FM295" i="20" s="1"/>
  <c r="DE295" i="20"/>
  <c r="DQ297" i="20"/>
  <c r="DR297" i="20" s="1"/>
  <c r="DS102" i="20"/>
  <c r="CQ102" i="20"/>
  <c r="DP298" i="20"/>
  <c r="DO298" i="20"/>
  <c r="AR300" i="20"/>
  <c r="AU300" i="20"/>
  <c r="AT301" i="20"/>
  <c r="AP302" i="20"/>
  <c r="AQ301" i="20"/>
  <c r="FB103" i="20"/>
  <c r="ED103" i="20" s="1"/>
  <c r="CR103" i="20" s="1"/>
  <c r="ES298" i="20"/>
  <c r="ER298" i="20"/>
  <c r="EQ9" i="20"/>
  <c r="DU300" i="20"/>
  <c r="AV300" i="20"/>
  <c r="AW300" i="20" s="1"/>
  <c r="DM299" i="5"/>
  <c r="CK299" i="5"/>
  <c r="DO303" i="5"/>
  <c r="AP303" i="5"/>
  <c r="AQ303" i="5" s="1"/>
  <c r="EL301" i="5"/>
  <c r="EM301" i="5"/>
  <c r="EQ104" i="5"/>
  <c r="ER104" i="5" s="1"/>
  <c r="DK300" i="5"/>
  <c r="DL300" i="5" s="1"/>
  <c r="DI301" i="5"/>
  <c r="DJ301" i="5"/>
  <c r="FF103" i="5"/>
  <c r="FE298" i="5"/>
  <c r="FG298" i="5" s="1"/>
  <c r="CY298" i="5"/>
  <c r="EQ300" i="5"/>
  <c r="ER300" i="5" s="1"/>
  <c r="DH302" i="5"/>
  <c r="EG302" i="5"/>
  <c r="EJ302" i="5" s="1"/>
  <c r="EK302" i="5" s="1"/>
  <c r="DM102" i="5"/>
  <c r="CK102" i="5"/>
  <c r="DM101" i="5"/>
  <c r="CK101" i="5"/>
  <c r="DK104" i="5"/>
  <c r="AN304" i="5"/>
  <c r="AK304" i="5"/>
  <c r="AO303" i="5"/>
  <c r="AL303" i="5"/>
  <c r="X299" i="5"/>
  <c r="X298" i="5"/>
  <c r="AJ305" i="5"/>
  <c r="CQ299" i="21" l="1"/>
  <c r="DS299" i="21"/>
  <c r="FU64" i="21"/>
  <c r="DN302" i="21"/>
  <c r="EM302" i="21"/>
  <c r="EP302" i="21" s="1"/>
  <c r="EQ302" i="21" s="1"/>
  <c r="DU303" i="21"/>
  <c r="AV303" i="21"/>
  <c r="AW303" i="21" s="1"/>
  <c r="T8" i="21"/>
  <c r="EH3" i="21"/>
  <c r="EW300" i="21"/>
  <c r="EX300" i="21" s="1"/>
  <c r="T9" i="21"/>
  <c r="EH4" i="21"/>
  <c r="CY6" i="21"/>
  <c r="CY7" i="21" s="1"/>
  <c r="CY9" i="21"/>
  <c r="CY8" i="21"/>
  <c r="ES301" i="21"/>
  <c r="ER301" i="21"/>
  <c r="AU303" i="21"/>
  <c r="AR303" i="21"/>
  <c r="AP305" i="21"/>
  <c r="AT304" i="21"/>
  <c r="AQ304" i="21"/>
  <c r="T6" i="21"/>
  <c r="EH1" i="21"/>
  <c r="CQ7" i="21"/>
  <c r="DP301" i="21"/>
  <c r="DO301" i="21"/>
  <c r="DQ300" i="21"/>
  <c r="DR300" i="21" s="1"/>
  <c r="FK298" i="21"/>
  <c r="FM298" i="21" s="1"/>
  <c r="DE298" i="21"/>
  <c r="AD298" i="21"/>
  <c r="FK101" i="20"/>
  <c r="FM101" i="20" s="1"/>
  <c r="CY101" i="20"/>
  <c r="DL103" i="5"/>
  <c r="EW298" i="20"/>
  <c r="EX298" i="20" s="1"/>
  <c r="DQ298" i="20"/>
  <c r="DR298" i="20" s="1"/>
  <c r="ES299" i="20"/>
  <c r="ER299" i="20"/>
  <c r="DO299" i="20"/>
  <c r="DP299" i="20"/>
  <c r="AR301" i="20"/>
  <c r="AU301" i="20"/>
  <c r="FL103" i="20"/>
  <c r="CZ103" i="20"/>
  <c r="CR9" i="20"/>
  <c r="CR8" i="20"/>
  <c r="CR6" i="20"/>
  <c r="CR7" i="20" s="1"/>
  <c r="CI4" i="20"/>
  <c r="CR4" i="20"/>
  <c r="CI1" i="20"/>
  <c r="CR1" i="20"/>
  <c r="CI3" i="20"/>
  <c r="CR3" i="20"/>
  <c r="FK102" i="20"/>
  <c r="FM102" i="20" s="1"/>
  <c r="CY102" i="20"/>
  <c r="AP303" i="20"/>
  <c r="AT302" i="20"/>
  <c r="AQ302" i="20"/>
  <c r="DS297" i="20"/>
  <c r="CQ297" i="20"/>
  <c r="DR103" i="20"/>
  <c r="DN300" i="20"/>
  <c r="EM300" i="20"/>
  <c r="EP300" i="20" s="1"/>
  <c r="EQ300" i="20" s="1"/>
  <c r="AD296" i="20"/>
  <c r="FK296" i="20"/>
  <c r="FM296" i="20" s="1"/>
  <c r="DE296" i="20"/>
  <c r="DU301" i="20"/>
  <c r="AV301" i="20"/>
  <c r="AW301" i="20" s="1"/>
  <c r="ES9" i="20"/>
  <c r="ES8" i="20" s="1"/>
  <c r="ER9" i="20"/>
  <c r="DM300" i="5"/>
  <c r="CK300" i="5"/>
  <c r="DO304" i="5"/>
  <c r="AP304" i="5"/>
  <c r="AQ304" i="5" s="1"/>
  <c r="DI302" i="5"/>
  <c r="DJ302" i="5"/>
  <c r="DK301" i="5"/>
  <c r="DL301" i="5" s="1"/>
  <c r="EQ301" i="5"/>
  <c r="ER301" i="5" s="1"/>
  <c r="AN305" i="5"/>
  <c r="AK305" i="5"/>
  <c r="EL302" i="5"/>
  <c r="EM302" i="5"/>
  <c r="EK9" i="5"/>
  <c r="DH303" i="5"/>
  <c r="EG303" i="5"/>
  <c r="EJ303" i="5" s="1"/>
  <c r="EK303" i="5" s="1"/>
  <c r="AL304" i="5"/>
  <c r="AO304" i="5"/>
  <c r="CS101" i="5"/>
  <c r="FE101" i="5"/>
  <c r="FG101" i="5" s="1"/>
  <c r="FE102" i="5"/>
  <c r="FG102" i="5" s="1"/>
  <c r="CS102" i="5"/>
  <c r="EV104" i="5"/>
  <c r="DX104" i="5" s="1"/>
  <c r="CL104" i="5" s="1"/>
  <c r="FE299" i="5"/>
  <c r="FG299" i="5" s="1"/>
  <c r="CY299" i="5"/>
  <c r="AJ306" i="5"/>
  <c r="DJ3" i="20" l="1"/>
  <c r="DS300" i="21"/>
  <c r="CQ300" i="21"/>
  <c r="AU304" i="21"/>
  <c r="AR304" i="21"/>
  <c r="DN303" i="21"/>
  <c r="EM303" i="21"/>
  <c r="EP303" i="21" s="1"/>
  <c r="EQ303" i="21" s="1"/>
  <c r="ER302" i="21"/>
  <c r="ES302" i="21"/>
  <c r="AT305" i="21"/>
  <c r="AP306" i="21"/>
  <c r="AQ305" i="21"/>
  <c r="DP302" i="21"/>
  <c r="DO302" i="21"/>
  <c r="EH2" i="21"/>
  <c r="T7" i="21"/>
  <c r="DU304" i="21"/>
  <c r="AV304" i="21"/>
  <c r="AW304" i="21" s="1"/>
  <c r="EW301" i="21"/>
  <c r="EX301" i="21" s="1"/>
  <c r="DQ301" i="21"/>
  <c r="DR301" i="21" s="1"/>
  <c r="FK299" i="21"/>
  <c r="FM299" i="21" s="1"/>
  <c r="AD299" i="21"/>
  <c r="CY299" i="21"/>
  <c r="ER8" i="20"/>
  <c r="CK103" i="5"/>
  <c r="DM103" i="5"/>
  <c r="DS298" i="20"/>
  <c r="CQ298" i="20"/>
  <c r="AT303" i="20"/>
  <c r="AP304" i="20"/>
  <c r="AQ303" i="20"/>
  <c r="ES300" i="20"/>
  <c r="ER300" i="20"/>
  <c r="DQ299" i="20"/>
  <c r="DR299" i="20" s="1"/>
  <c r="DP300" i="20"/>
  <c r="DO300" i="20"/>
  <c r="EW299" i="20"/>
  <c r="EX299" i="20" s="1"/>
  <c r="AR302" i="20"/>
  <c r="AU302" i="20"/>
  <c r="DS103" i="20"/>
  <c r="CQ103" i="20"/>
  <c r="DN301" i="20"/>
  <c r="EM301" i="20"/>
  <c r="EP301" i="20" s="1"/>
  <c r="EQ301" i="20" s="1"/>
  <c r="FK297" i="20"/>
  <c r="FM297" i="20" s="1"/>
  <c r="AD297" i="20"/>
  <c r="DE297" i="20"/>
  <c r="CZ6" i="20"/>
  <c r="CZ7" i="20" s="1"/>
  <c r="CZ9" i="20"/>
  <c r="CZ1" i="20"/>
  <c r="CZ2" i="20" s="1"/>
  <c r="CZ4" i="20"/>
  <c r="CZ3" i="20"/>
  <c r="CZ8" i="20"/>
  <c r="CI2" i="20"/>
  <c r="CR2" i="20"/>
  <c r="FU53" i="20"/>
  <c r="FU56" i="20"/>
  <c r="FU57" i="20"/>
  <c r="FU58" i="20"/>
  <c r="FU61" i="20"/>
  <c r="FU59" i="20"/>
  <c r="FU60" i="20"/>
  <c r="FU54" i="20"/>
  <c r="FU55" i="20"/>
  <c r="DU302" i="20"/>
  <c r="AV302" i="20"/>
  <c r="AW302" i="20" s="1"/>
  <c r="EL9" i="5"/>
  <c r="EM9" i="5"/>
  <c r="EM8" i="5" s="1"/>
  <c r="EQ302" i="5"/>
  <c r="ER302" i="5" s="1"/>
  <c r="DK302" i="5"/>
  <c r="DL302" i="5" s="1"/>
  <c r="AO305" i="5"/>
  <c r="AL305" i="5"/>
  <c r="DO305" i="5"/>
  <c r="AP305" i="5"/>
  <c r="AQ305" i="5" s="1"/>
  <c r="DH304" i="5"/>
  <c r="EG304" i="5"/>
  <c r="EJ304" i="5" s="1"/>
  <c r="EK304" i="5" s="1"/>
  <c r="AN306" i="5"/>
  <c r="AK306" i="5"/>
  <c r="CT104" i="5"/>
  <c r="FF104" i="5"/>
  <c r="CL6" i="5"/>
  <c r="CL7" i="5" s="1"/>
  <c r="CL8" i="5"/>
  <c r="CL9" i="5"/>
  <c r="CC3" i="5"/>
  <c r="CL1" i="5"/>
  <c r="CL3" i="5"/>
  <c r="CC1" i="5"/>
  <c r="CC4" i="5"/>
  <c r="CL4" i="5"/>
  <c r="CY300" i="5"/>
  <c r="FE300" i="5"/>
  <c r="FG300" i="5" s="1"/>
  <c r="DM301" i="5"/>
  <c r="CK301" i="5"/>
  <c r="EL303" i="5"/>
  <c r="EM303" i="5"/>
  <c r="DI303" i="5"/>
  <c r="DJ303" i="5"/>
  <c r="DL104" i="5"/>
  <c r="X300" i="5"/>
  <c r="AJ307" i="5"/>
  <c r="DS301" i="21" l="1"/>
  <c r="CQ301" i="21"/>
  <c r="EW302" i="21"/>
  <c r="EX302" i="21" s="1"/>
  <c r="AT306" i="21"/>
  <c r="AP307" i="21"/>
  <c r="AQ306" i="21"/>
  <c r="DN304" i="21"/>
  <c r="EM304" i="21"/>
  <c r="EP304" i="21" s="1"/>
  <c r="EQ304" i="21" s="1"/>
  <c r="AR305" i="21"/>
  <c r="AU305" i="21"/>
  <c r="DO303" i="21"/>
  <c r="DP303" i="21"/>
  <c r="DQ302" i="21"/>
  <c r="DR302" i="21" s="1"/>
  <c r="CY300" i="21"/>
  <c r="AD300" i="21"/>
  <c r="FK300" i="21"/>
  <c r="FM300" i="21" s="1"/>
  <c r="DU305" i="21"/>
  <c r="AV305" i="21"/>
  <c r="AW305" i="21" s="1"/>
  <c r="ES303" i="21"/>
  <c r="ER303" i="21"/>
  <c r="FE103" i="5"/>
  <c r="FG103" i="5" s="1"/>
  <c r="CS103" i="5"/>
  <c r="DD3" i="5"/>
  <c r="DS299" i="20"/>
  <c r="CQ299" i="20"/>
  <c r="EW300" i="20"/>
  <c r="EX300" i="20" s="1"/>
  <c r="DN302" i="20"/>
  <c r="EM302" i="20"/>
  <c r="EP302" i="20" s="1"/>
  <c r="EQ302" i="20" s="1"/>
  <c r="AR303" i="20"/>
  <c r="AU303" i="20"/>
  <c r="AT304" i="20"/>
  <c r="AP305" i="20"/>
  <c r="AQ304" i="20"/>
  <c r="FU64" i="20"/>
  <c r="ES301" i="20"/>
  <c r="ER301" i="20"/>
  <c r="DQ300" i="20"/>
  <c r="DR300" i="20" s="1"/>
  <c r="DU303" i="20"/>
  <c r="AV303" i="20"/>
  <c r="AW303" i="20" s="1"/>
  <c r="DP301" i="20"/>
  <c r="DO301" i="20"/>
  <c r="DE298" i="20"/>
  <c r="FK298" i="20"/>
  <c r="FM298" i="20" s="1"/>
  <c r="AD298" i="20"/>
  <c r="CY103" i="20"/>
  <c r="FK103" i="20"/>
  <c r="FM103" i="20" s="1"/>
  <c r="CQ8" i="20"/>
  <c r="CQ6" i="20"/>
  <c r="CQ9" i="20"/>
  <c r="DM302" i="5"/>
  <c r="CK302" i="5"/>
  <c r="FO61" i="5"/>
  <c r="FO55" i="5"/>
  <c r="FO58" i="5"/>
  <c r="FO59" i="5"/>
  <c r="FO62" i="5"/>
  <c r="FO54" i="5"/>
  <c r="FO57" i="5"/>
  <c r="FO60" i="5"/>
  <c r="FO56" i="5"/>
  <c r="CT3" i="5"/>
  <c r="CT4" i="5"/>
  <c r="CT8" i="5"/>
  <c r="CT9" i="5"/>
  <c r="CT6" i="5"/>
  <c r="CT7" i="5" s="1"/>
  <c r="CT1" i="5"/>
  <c r="CT2" i="5" s="1"/>
  <c r="AL306" i="5"/>
  <c r="AO306" i="5"/>
  <c r="CL2" i="5"/>
  <c r="CC2" i="5"/>
  <c r="DO306" i="5"/>
  <c r="AP306" i="5"/>
  <c r="AQ306" i="5" s="1"/>
  <c r="EM304" i="5"/>
  <c r="EL304" i="5"/>
  <c r="DK303" i="5"/>
  <c r="DL303" i="5" s="1"/>
  <c r="EQ303" i="5"/>
  <c r="ER303" i="5" s="1"/>
  <c r="DJ304" i="5"/>
  <c r="DI304" i="5"/>
  <c r="AN307" i="5"/>
  <c r="AK307" i="5"/>
  <c r="CY301" i="5"/>
  <c r="FE301" i="5"/>
  <c r="FG301" i="5" s="1"/>
  <c r="DM104" i="5"/>
  <c r="CK104" i="5"/>
  <c r="DH305" i="5"/>
  <c r="EG305" i="5"/>
  <c r="EJ305" i="5" s="1"/>
  <c r="EK305" i="5" s="1"/>
  <c r="EL8" i="5"/>
  <c r="AJ308" i="5"/>
  <c r="X301" i="5"/>
  <c r="DS302" i="21" l="1"/>
  <c r="CQ302" i="21"/>
  <c r="EW303" i="21"/>
  <c r="EX303" i="21" s="1"/>
  <c r="DQ303" i="21"/>
  <c r="DR303" i="21" s="1"/>
  <c r="DP304" i="21"/>
  <c r="DO304" i="21"/>
  <c r="AU306" i="21"/>
  <c r="AR306" i="21"/>
  <c r="AP308" i="21"/>
  <c r="AT307" i="21"/>
  <c r="AQ307" i="21"/>
  <c r="DU306" i="21"/>
  <c r="AV306" i="21"/>
  <c r="AW306" i="21" s="1"/>
  <c r="ER304" i="21"/>
  <c r="ES304" i="21"/>
  <c r="DN305" i="21"/>
  <c r="EM305" i="21"/>
  <c r="EP305" i="21" s="1"/>
  <c r="EQ305" i="21" s="1"/>
  <c r="DE301" i="21"/>
  <c r="AD301" i="21"/>
  <c r="FK301" i="21"/>
  <c r="FM301" i="21" s="1"/>
  <c r="DS300" i="20"/>
  <c r="CQ300" i="20"/>
  <c r="EW301" i="20"/>
  <c r="EX301" i="20" s="1"/>
  <c r="ES302" i="20"/>
  <c r="ER302" i="20"/>
  <c r="DP302" i="20"/>
  <c r="DO302" i="20"/>
  <c r="T9" i="20"/>
  <c r="EH4" i="20"/>
  <c r="DQ301" i="20"/>
  <c r="DR301" i="20" s="1"/>
  <c r="CY8" i="20"/>
  <c r="CY6" i="20"/>
  <c r="CY7" i="20" s="1"/>
  <c r="CY9" i="20"/>
  <c r="CQ7" i="20"/>
  <c r="T6" i="20"/>
  <c r="EH1" i="20"/>
  <c r="AU304" i="20"/>
  <c r="AR304" i="20"/>
  <c r="EH3" i="20"/>
  <c r="T8" i="20"/>
  <c r="AT305" i="20"/>
  <c r="AP306" i="20"/>
  <c r="AQ305" i="20"/>
  <c r="FK299" i="20"/>
  <c r="FM299" i="20" s="1"/>
  <c r="CY299" i="20"/>
  <c r="AD299" i="20"/>
  <c r="DN303" i="20"/>
  <c r="EM303" i="20"/>
  <c r="EP303" i="20" s="1"/>
  <c r="EQ303" i="20" s="1"/>
  <c r="DU304" i="20"/>
  <c r="AV304" i="20"/>
  <c r="AW304" i="20" s="1"/>
  <c r="DM303" i="5"/>
  <c r="CK303" i="5"/>
  <c r="DO307" i="5"/>
  <c r="AP307" i="5"/>
  <c r="AQ307" i="5" s="1"/>
  <c r="FO65" i="5"/>
  <c r="AN308" i="5"/>
  <c r="AK308" i="5"/>
  <c r="EL305" i="5"/>
  <c r="EM305" i="5"/>
  <c r="DK304" i="5"/>
  <c r="DL304" i="5" s="1"/>
  <c r="AL307" i="5"/>
  <c r="AO307" i="5"/>
  <c r="EQ304" i="5"/>
  <c r="ER304" i="5" s="1"/>
  <c r="DI305" i="5"/>
  <c r="DJ305" i="5"/>
  <c r="DH306" i="5"/>
  <c r="EG306" i="5"/>
  <c r="EJ306" i="5" s="1"/>
  <c r="EK306" i="5" s="1"/>
  <c r="CS104" i="5"/>
  <c r="FE104" i="5"/>
  <c r="FG104" i="5" s="1"/>
  <c r="CK6" i="5"/>
  <c r="N6" i="5" s="1"/>
  <c r="CK8" i="5"/>
  <c r="CK9" i="5"/>
  <c r="N9" i="5" s="1"/>
  <c r="FE302" i="5"/>
  <c r="FG302" i="5" s="1"/>
  <c r="CY302" i="5"/>
  <c r="X302" i="5"/>
  <c r="AJ309" i="5"/>
  <c r="DS303" i="21" l="1"/>
  <c r="CQ303" i="21"/>
  <c r="DU307" i="21"/>
  <c r="AV307" i="21"/>
  <c r="AW307" i="21" s="1"/>
  <c r="AT308" i="21"/>
  <c r="AP309" i="21"/>
  <c r="AQ308" i="21"/>
  <c r="AU307" i="21"/>
  <c r="AR307" i="21"/>
  <c r="DP305" i="21"/>
  <c r="DO305" i="21"/>
  <c r="ES305" i="21"/>
  <c r="ER305" i="21"/>
  <c r="EW304" i="21"/>
  <c r="EX304" i="21" s="1"/>
  <c r="DQ304" i="21"/>
  <c r="DR304" i="21" s="1"/>
  <c r="AD302" i="21"/>
  <c r="FK302" i="21"/>
  <c r="FM302" i="21" s="1"/>
  <c r="DE302" i="21"/>
  <c r="DN306" i="21"/>
  <c r="EM306" i="21"/>
  <c r="EP306" i="21" s="1"/>
  <c r="EQ306" i="21" s="1"/>
  <c r="EB3" i="5"/>
  <c r="N8" i="5"/>
  <c r="DS301" i="20"/>
  <c r="CQ301" i="20"/>
  <c r="EH2" i="20"/>
  <c r="T7" i="20"/>
  <c r="ES303" i="20"/>
  <c r="ER303" i="20"/>
  <c r="DP303" i="20"/>
  <c r="DO303" i="20"/>
  <c r="DU305" i="20"/>
  <c r="AV305" i="20"/>
  <c r="AW305" i="20" s="1"/>
  <c r="EW302" i="20"/>
  <c r="EX302" i="20" s="1"/>
  <c r="CY300" i="20"/>
  <c r="AD300" i="20"/>
  <c r="FK300" i="20"/>
  <c r="FM300" i="20" s="1"/>
  <c r="AT306" i="20"/>
  <c r="AP307" i="20"/>
  <c r="AQ306" i="20"/>
  <c r="DQ302" i="20"/>
  <c r="DR302" i="20" s="1"/>
  <c r="DN304" i="20"/>
  <c r="EM304" i="20"/>
  <c r="EP304" i="20" s="1"/>
  <c r="EQ304" i="20" s="1"/>
  <c r="AU305" i="20"/>
  <c r="AR305" i="20"/>
  <c r="DM304" i="5"/>
  <c r="CK304" i="5"/>
  <c r="X304" i="5" s="1"/>
  <c r="DK305" i="5"/>
  <c r="DL305" i="5" s="1"/>
  <c r="EQ305" i="5"/>
  <c r="ER305" i="5" s="1"/>
  <c r="AO308" i="5"/>
  <c r="AL308" i="5"/>
  <c r="DO308" i="5"/>
  <c r="AP308" i="5"/>
  <c r="AQ308" i="5" s="1"/>
  <c r="EB4" i="5"/>
  <c r="CS8" i="5"/>
  <c r="CS9" i="5"/>
  <c r="CS6" i="5"/>
  <c r="CS7" i="5" s="1"/>
  <c r="EL306" i="5"/>
  <c r="EM306" i="5"/>
  <c r="DH307" i="5"/>
  <c r="EG307" i="5"/>
  <c r="EJ307" i="5" s="1"/>
  <c r="EK307" i="5" s="1"/>
  <c r="AN309" i="5"/>
  <c r="AK309" i="5"/>
  <c r="DJ306" i="5"/>
  <c r="DI306" i="5"/>
  <c r="FE303" i="5"/>
  <c r="FG303" i="5" s="1"/>
  <c r="CS303" i="5"/>
  <c r="EB1" i="5"/>
  <c r="CK7" i="5"/>
  <c r="AJ310" i="5"/>
  <c r="X303" i="5"/>
  <c r="DS304" i="21" l="1"/>
  <c r="CQ304" i="21"/>
  <c r="ES306" i="21"/>
  <c r="ER306" i="21"/>
  <c r="DQ305" i="21"/>
  <c r="DR305" i="21" s="1"/>
  <c r="DU308" i="21"/>
  <c r="AV308" i="21"/>
  <c r="AW308" i="21" s="1"/>
  <c r="DN307" i="21"/>
  <c r="EM307" i="21"/>
  <c r="EP307" i="21" s="1"/>
  <c r="EQ307" i="21" s="1"/>
  <c r="EW305" i="21"/>
  <c r="EX305" i="21" s="1"/>
  <c r="CY303" i="21"/>
  <c r="AD303" i="21"/>
  <c r="FK303" i="21"/>
  <c r="FM303" i="21" s="1"/>
  <c r="DP306" i="21"/>
  <c r="DO306" i="21"/>
  <c r="AU308" i="21"/>
  <c r="AR308" i="21"/>
  <c r="AT309" i="21"/>
  <c r="AP310" i="21"/>
  <c r="AQ309" i="21"/>
  <c r="EB2" i="5"/>
  <c r="N7" i="5"/>
  <c r="DS302" i="20"/>
  <c r="CQ302" i="20"/>
  <c r="DU306" i="20"/>
  <c r="AV306" i="20"/>
  <c r="AW306" i="20" s="1"/>
  <c r="DP304" i="20"/>
  <c r="DO304" i="20"/>
  <c r="ES304" i="20"/>
  <c r="ER304" i="20"/>
  <c r="AU306" i="20"/>
  <c r="AR306" i="20"/>
  <c r="AD301" i="20"/>
  <c r="FK301" i="20"/>
  <c r="FM301" i="20" s="1"/>
  <c r="DE301" i="20"/>
  <c r="DQ303" i="20"/>
  <c r="DR303" i="20" s="1"/>
  <c r="EW303" i="20"/>
  <c r="EX303" i="20" s="1"/>
  <c r="AP308" i="20"/>
  <c r="AT307" i="20"/>
  <c r="AQ307" i="20"/>
  <c r="DN305" i="20"/>
  <c r="EM305" i="20"/>
  <c r="EP305" i="20" s="1"/>
  <c r="EQ305" i="20" s="1"/>
  <c r="DM305" i="5"/>
  <c r="CK305" i="5"/>
  <c r="DH308" i="5"/>
  <c r="EG308" i="5"/>
  <c r="EJ308" i="5" s="1"/>
  <c r="EK308" i="5" s="1"/>
  <c r="EQ306" i="5"/>
  <c r="ER306" i="5" s="1"/>
  <c r="DK306" i="5"/>
  <c r="DL306" i="5" s="1"/>
  <c r="AL309" i="5"/>
  <c r="AO309" i="5"/>
  <c r="DO309" i="5"/>
  <c r="AP309" i="5"/>
  <c r="AQ309" i="5" s="1"/>
  <c r="EM307" i="5"/>
  <c r="EL307" i="5"/>
  <c r="AN310" i="5"/>
  <c r="AK310" i="5"/>
  <c r="DI307" i="5"/>
  <c r="DJ307" i="5"/>
  <c r="CS304" i="5"/>
  <c r="FE304" i="5"/>
  <c r="FG304" i="5" s="1"/>
  <c r="AJ311" i="5"/>
  <c r="DS305" i="21" l="1"/>
  <c r="CQ305" i="21"/>
  <c r="DQ306" i="21"/>
  <c r="DR306" i="21" s="1"/>
  <c r="AT310" i="21"/>
  <c r="AP311" i="21"/>
  <c r="AQ310" i="21"/>
  <c r="ER307" i="21"/>
  <c r="ES307" i="21"/>
  <c r="EW306" i="21"/>
  <c r="EX306" i="21" s="1"/>
  <c r="AR309" i="21"/>
  <c r="AU309" i="21"/>
  <c r="CY304" i="21"/>
  <c r="AD304" i="21"/>
  <c r="FK304" i="21"/>
  <c r="FM304" i="21" s="1"/>
  <c r="DU309" i="21"/>
  <c r="AV309" i="21"/>
  <c r="AW309" i="21" s="1"/>
  <c r="DP307" i="21"/>
  <c r="DO307" i="21"/>
  <c r="DN308" i="21"/>
  <c r="EM308" i="21"/>
  <c r="EP308" i="21" s="1"/>
  <c r="EQ308" i="21" s="1"/>
  <c r="DS303" i="20"/>
  <c r="CQ303" i="20"/>
  <c r="EW304" i="20"/>
  <c r="EX304" i="20" s="1"/>
  <c r="DQ304" i="20"/>
  <c r="DR304" i="20" s="1"/>
  <c r="DN306" i="20"/>
  <c r="EM306" i="20"/>
  <c r="EP306" i="20" s="1"/>
  <c r="EQ306" i="20" s="1"/>
  <c r="ES305" i="20"/>
  <c r="ER305" i="20"/>
  <c r="DO305" i="20"/>
  <c r="DP305" i="20"/>
  <c r="AU307" i="20"/>
  <c r="AR307" i="20"/>
  <c r="AT308" i="20"/>
  <c r="AP309" i="20"/>
  <c r="AQ308" i="20"/>
  <c r="DE302" i="20"/>
  <c r="FK302" i="20"/>
  <c r="FM302" i="20" s="1"/>
  <c r="AD302" i="20"/>
  <c r="DU307" i="20"/>
  <c r="AV307" i="20"/>
  <c r="AW307" i="20" s="1"/>
  <c r="DM306" i="5"/>
  <c r="CK306" i="5"/>
  <c r="DK307" i="5"/>
  <c r="DL307" i="5" s="1"/>
  <c r="AO310" i="5"/>
  <c r="AL310" i="5"/>
  <c r="DO310" i="5"/>
  <c r="AP310" i="5"/>
  <c r="AQ310" i="5" s="1"/>
  <c r="EQ307" i="5"/>
  <c r="ER307" i="5" s="1"/>
  <c r="AN311" i="5"/>
  <c r="AK311" i="5"/>
  <c r="EM308" i="5"/>
  <c r="EL308" i="5"/>
  <c r="DH309" i="5"/>
  <c r="EG309" i="5"/>
  <c r="EJ309" i="5" s="1"/>
  <c r="EK309" i="5" s="1"/>
  <c r="DI308" i="5"/>
  <c r="DJ308" i="5"/>
  <c r="FE305" i="5"/>
  <c r="FG305" i="5" s="1"/>
  <c r="CY305" i="5"/>
  <c r="X305" i="5"/>
  <c r="AJ312" i="5"/>
  <c r="DS306" i="21" l="1"/>
  <c r="CQ306" i="21"/>
  <c r="DN309" i="21"/>
  <c r="EM309" i="21"/>
  <c r="EP309" i="21" s="1"/>
  <c r="EQ309" i="21" s="1"/>
  <c r="DQ307" i="21"/>
  <c r="DR307" i="21" s="1"/>
  <c r="DU310" i="21"/>
  <c r="AV310" i="21"/>
  <c r="AW310" i="21" s="1"/>
  <c r="DO308" i="21"/>
  <c r="DP308" i="21"/>
  <c r="ES308" i="21"/>
  <c r="ER308" i="21"/>
  <c r="EW307" i="21"/>
  <c r="EX307" i="21" s="1"/>
  <c r="AU310" i="21"/>
  <c r="AR310" i="21"/>
  <c r="AT311" i="21"/>
  <c r="AP312" i="21"/>
  <c r="AQ311" i="21"/>
  <c r="AD305" i="21"/>
  <c r="DE305" i="21"/>
  <c r="FK305" i="21"/>
  <c r="FM305" i="21" s="1"/>
  <c r="DS304" i="20"/>
  <c r="CQ304" i="20"/>
  <c r="ER306" i="20"/>
  <c r="ES306" i="20"/>
  <c r="DU308" i="20"/>
  <c r="AV308" i="20"/>
  <c r="AW308" i="20" s="1"/>
  <c r="DN307" i="20"/>
  <c r="EM307" i="20"/>
  <c r="EP307" i="20" s="1"/>
  <c r="EQ307" i="20" s="1"/>
  <c r="AT309" i="20"/>
  <c r="AP310" i="20"/>
  <c r="AQ309" i="20"/>
  <c r="DP306" i="20"/>
  <c r="DO306" i="20"/>
  <c r="CY303" i="20"/>
  <c r="AD303" i="20"/>
  <c r="FK303" i="20"/>
  <c r="FM303" i="20" s="1"/>
  <c r="DQ305" i="20"/>
  <c r="DR305" i="20" s="1"/>
  <c r="EW305" i="20"/>
  <c r="EX305" i="20" s="1"/>
  <c r="AU308" i="20"/>
  <c r="AR308" i="20"/>
  <c r="AN312" i="5"/>
  <c r="AK312" i="5"/>
  <c r="DI309" i="5"/>
  <c r="DJ309" i="5"/>
  <c r="DH310" i="5"/>
  <c r="EG310" i="5"/>
  <c r="EJ310" i="5" s="1"/>
  <c r="EK310" i="5" s="1"/>
  <c r="EM309" i="5"/>
  <c r="EL309" i="5"/>
  <c r="EQ308" i="5"/>
  <c r="ER308" i="5" s="1"/>
  <c r="DO311" i="5"/>
  <c r="AP311" i="5"/>
  <c r="AQ311" i="5" s="1"/>
  <c r="DK308" i="5"/>
  <c r="DL308" i="5" s="1"/>
  <c r="AO311" i="5"/>
  <c r="AL311" i="5"/>
  <c r="DM307" i="5"/>
  <c r="CK307" i="5"/>
  <c r="CY306" i="5"/>
  <c r="FE306" i="5"/>
  <c r="FG306" i="5" s="1"/>
  <c r="X306" i="5"/>
  <c r="AJ313" i="5"/>
  <c r="DS307" i="21" l="1"/>
  <c r="CQ307" i="21"/>
  <c r="EW308" i="21"/>
  <c r="EX308" i="21" s="1"/>
  <c r="DN310" i="21"/>
  <c r="EM310" i="21"/>
  <c r="EP310" i="21" s="1"/>
  <c r="EQ310" i="21" s="1"/>
  <c r="DQ308" i="21"/>
  <c r="DR308" i="21" s="1"/>
  <c r="AP313" i="21"/>
  <c r="AT312" i="21"/>
  <c r="AQ312" i="21"/>
  <c r="ER309" i="21"/>
  <c r="ES309" i="21"/>
  <c r="AR311" i="21"/>
  <c r="AU311" i="21"/>
  <c r="FK306" i="21"/>
  <c r="FM306" i="21" s="1"/>
  <c r="DE306" i="21"/>
  <c r="AD306" i="21"/>
  <c r="DU311" i="21"/>
  <c r="AV311" i="21"/>
  <c r="AW311" i="21" s="1"/>
  <c r="DP309" i="21"/>
  <c r="DO309" i="21"/>
  <c r="ES307" i="20"/>
  <c r="ER307" i="20"/>
  <c r="DO307" i="20"/>
  <c r="DP307" i="20"/>
  <c r="DQ306" i="20"/>
  <c r="DR306" i="20" s="1"/>
  <c r="AU309" i="20"/>
  <c r="AR309" i="20"/>
  <c r="EW306" i="20"/>
  <c r="EX306" i="20" s="1"/>
  <c r="DN308" i="20"/>
  <c r="EM308" i="20"/>
  <c r="EP308" i="20" s="1"/>
  <c r="EQ308" i="20" s="1"/>
  <c r="AP311" i="20"/>
  <c r="AT310" i="20"/>
  <c r="AQ310" i="20"/>
  <c r="CY304" i="20"/>
  <c r="AD304" i="20"/>
  <c r="FK304" i="20"/>
  <c r="FM304" i="20" s="1"/>
  <c r="DS305" i="20"/>
  <c r="CQ305" i="20"/>
  <c r="DU309" i="20"/>
  <c r="AV309" i="20"/>
  <c r="AW309" i="20" s="1"/>
  <c r="DM308" i="5"/>
  <c r="CK308" i="5"/>
  <c r="AN313" i="5"/>
  <c r="AK313" i="5"/>
  <c r="EM310" i="5"/>
  <c r="EL310" i="5"/>
  <c r="DO312" i="5"/>
  <c r="AP312" i="5"/>
  <c r="AQ312" i="5" s="1"/>
  <c r="DJ310" i="5"/>
  <c r="DI310" i="5"/>
  <c r="EQ309" i="5"/>
  <c r="ER309" i="5" s="1"/>
  <c r="DH311" i="5"/>
  <c r="EG311" i="5"/>
  <c r="EJ311" i="5" s="1"/>
  <c r="EK311" i="5" s="1"/>
  <c r="DK309" i="5"/>
  <c r="DL309" i="5" s="1"/>
  <c r="CS307" i="5"/>
  <c r="FE307" i="5"/>
  <c r="FG307" i="5" s="1"/>
  <c r="AO312" i="5"/>
  <c r="AL312" i="5"/>
  <c r="X307" i="5"/>
  <c r="AJ314" i="5"/>
  <c r="DS308" i="21" l="1"/>
  <c r="CQ308" i="21"/>
  <c r="EW309" i="21"/>
  <c r="EX309" i="21" s="1"/>
  <c r="AU312" i="21"/>
  <c r="AR312" i="21"/>
  <c r="DN311" i="21"/>
  <c r="EM311" i="21"/>
  <c r="EP311" i="21" s="1"/>
  <c r="EQ311" i="21" s="1"/>
  <c r="AP314" i="21"/>
  <c r="AT313" i="21"/>
  <c r="AQ313" i="21"/>
  <c r="CY307" i="21"/>
  <c r="AD307" i="21"/>
  <c r="FK307" i="21"/>
  <c r="FM307" i="21" s="1"/>
  <c r="DQ309" i="21"/>
  <c r="DR309" i="21" s="1"/>
  <c r="DU312" i="21"/>
  <c r="AV312" i="21"/>
  <c r="AW312" i="21" s="1"/>
  <c r="ES310" i="21"/>
  <c r="ER310" i="21"/>
  <c r="DP310" i="21"/>
  <c r="DO310" i="21"/>
  <c r="DS306" i="20"/>
  <c r="CQ306" i="20"/>
  <c r="AU310" i="20"/>
  <c r="AR310" i="20"/>
  <c r="DN309" i="20"/>
  <c r="EM309" i="20"/>
  <c r="EP309" i="20" s="1"/>
  <c r="EQ309" i="20" s="1"/>
  <c r="AT311" i="20"/>
  <c r="AP312" i="20"/>
  <c r="AQ311" i="20"/>
  <c r="DP308" i="20"/>
  <c r="DO308" i="20"/>
  <c r="DQ307" i="20"/>
  <c r="DR307" i="20" s="1"/>
  <c r="DU310" i="20"/>
  <c r="AV310" i="20"/>
  <c r="AW310" i="20" s="1"/>
  <c r="DE305" i="20"/>
  <c r="AD305" i="20"/>
  <c r="FK305" i="20"/>
  <c r="FM305" i="20" s="1"/>
  <c r="EW307" i="20"/>
  <c r="EX307" i="20" s="1"/>
  <c r="ES308" i="20"/>
  <c r="ER308" i="20"/>
  <c r="DM309" i="5"/>
  <c r="CK309" i="5"/>
  <c r="DH312" i="5"/>
  <c r="EG312" i="5"/>
  <c r="EJ312" i="5" s="1"/>
  <c r="EK312" i="5" s="1"/>
  <c r="EM311" i="5"/>
  <c r="EL311" i="5"/>
  <c r="EQ310" i="5"/>
  <c r="ER310" i="5" s="1"/>
  <c r="AN314" i="5"/>
  <c r="AK314" i="5"/>
  <c r="DI311" i="5"/>
  <c r="DJ311" i="5"/>
  <c r="AL313" i="5"/>
  <c r="AO313" i="5"/>
  <c r="DO313" i="5"/>
  <c r="AP313" i="5"/>
  <c r="AQ313" i="5" s="1"/>
  <c r="DK310" i="5"/>
  <c r="DL310" i="5" s="1"/>
  <c r="CS308" i="5"/>
  <c r="FE308" i="5"/>
  <c r="FG308" i="5" s="1"/>
  <c r="AJ315" i="5"/>
  <c r="X308" i="5"/>
  <c r="DS309" i="21" l="1"/>
  <c r="CQ309" i="21"/>
  <c r="EW310" i="21"/>
  <c r="EX310" i="21" s="1"/>
  <c r="DP311" i="21"/>
  <c r="DO311" i="21"/>
  <c r="DU313" i="21"/>
  <c r="AV313" i="21"/>
  <c r="AW313" i="21" s="1"/>
  <c r="DN312" i="21"/>
  <c r="EM312" i="21"/>
  <c r="EP312" i="21" s="1"/>
  <c r="EQ312" i="21" s="1"/>
  <c r="ES311" i="21"/>
  <c r="ER311" i="21"/>
  <c r="DQ310" i="21"/>
  <c r="DR310" i="21" s="1"/>
  <c r="AR313" i="21"/>
  <c r="AU313" i="21"/>
  <c r="FK308" i="21"/>
  <c r="FM308" i="21" s="1"/>
  <c r="CY308" i="21"/>
  <c r="AD308" i="21"/>
  <c r="AT314" i="21"/>
  <c r="AP315" i="21"/>
  <c r="AQ314" i="21"/>
  <c r="DS307" i="20"/>
  <c r="CQ307" i="20"/>
  <c r="AP313" i="20"/>
  <c r="AT312" i="20"/>
  <c r="AQ312" i="20"/>
  <c r="DN310" i="20"/>
  <c r="EM310" i="20"/>
  <c r="EP310" i="20" s="1"/>
  <c r="EQ310" i="20" s="1"/>
  <c r="DP309" i="20"/>
  <c r="DO309" i="20"/>
  <c r="ES309" i="20"/>
  <c r="ER309" i="20"/>
  <c r="DQ308" i="20"/>
  <c r="DR308" i="20" s="1"/>
  <c r="DE306" i="20"/>
  <c r="FK306" i="20"/>
  <c r="FM306" i="20" s="1"/>
  <c r="AD306" i="20"/>
  <c r="DU311" i="20"/>
  <c r="AV311" i="20"/>
  <c r="AW311" i="20" s="1"/>
  <c r="EW308" i="20"/>
  <c r="EX308" i="20" s="1"/>
  <c r="AU311" i="20"/>
  <c r="AR311" i="20"/>
  <c r="DM310" i="5"/>
  <c r="CK310" i="5"/>
  <c r="X310" i="5" s="1"/>
  <c r="DH313" i="5"/>
  <c r="EG313" i="5"/>
  <c r="EJ313" i="5" s="1"/>
  <c r="EK313" i="5" s="1"/>
  <c r="AN315" i="5"/>
  <c r="AK315" i="5"/>
  <c r="EQ311" i="5"/>
  <c r="ER311" i="5" s="1"/>
  <c r="EL312" i="5"/>
  <c r="EM312" i="5"/>
  <c r="DK311" i="5"/>
  <c r="DL311" i="5" s="1"/>
  <c r="DI312" i="5"/>
  <c r="DJ312" i="5"/>
  <c r="AO314" i="5"/>
  <c r="AL314" i="5"/>
  <c r="CY309" i="5"/>
  <c r="FE309" i="5"/>
  <c r="FG309" i="5" s="1"/>
  <c r="DO314" i="5"/>
  <c r="AP314" i="5"/>
  <c r="AQ314" i="5" s="1"/>
  <c r="AJ316" i="5"/>
  <c r="X309" i="5"/>
  <c r="DS310" i="21" l="1"/>
  <c r="CQ310" i="21"/>
  <c r="AT315" i="21"/>
  <c r="AP316" i="21"/>
  <c r="AQ315" i="21"/>
  <c r="DU314" i="21"/>
  <c r="AV314" i="21"/>
  <c r="AW314" i="21" s="1"/>
  <c r="ES312" i="21"/>
  <c r="ER312" i="21"/>
  <c r="AU314" i="21"/>
  <c r="AR314" i="21"/>
  <c r="DN313" i="21"/>
  <c r="EM313" i="21"/>
  <c r="EP313" i="21" s="1"/>
  <c r="EQ313" i="21" s="1"/>
  <c r="EW311" i="21"/>
  <c r="EX311" i="21" s="1"/>
  <c r="DQ311" i="21"/>
  <c r="DR311" i="21" s="1"/>
  <c r="DP312" i="21"/>
  <c r="DO312" i="21"/>
  <c r="FK309" i="21"/>
  <c r="FM309" i="21" s="1"/>
  <c r="AD309" i="21"/>
  <c r="DE309" i="21"/>
  <c r="DS308" i="20"/>
  <c r="CQ308" i="20"/>
  <c r="AR312" i="20"/>
  <c r="AU312" i="20"/>
  <c r="DU312" i="20"/>
  <c r="AV312" i="20"/>
  <c r="AW312" i="20" s="1"/>
  <c r="DP310" i="20"/>
  <c r="DO310" i="20"/>
  <c r="AP314" i="20"/>
  <c r="AT313" i="20"/>
  <c r="AQ313" i="20"/>
  <c r="EW309" i="20"/>
  <c r="EX309" i="20" s="1"/>
  <c r="CY307" i="20"/>
  <c r="AD307" i="20"/>
  <c r="FK307" i="20"/>
  <c r="FM307" i="20" s="1"/>
  <c r="ES310" i="20"/>
  <c r="ER310" i="20"/>
  <c r="DN311" i="20"/>
  <c r="EM311" i="20"/>
  <c r="EP311" i="20" s="1"/>
  <c r="EQ311" i="20" s="1"/>
  <c r="DQ309" i="20"/>
  <c r="DR309" i="20" s="1"/>
  <c r="DM311" i="5"/>
  <c r="CK311" i="5"/>
  <c r="AN316" i="5"/>
  <c r="AK316" i="5"/>
  <c r="AO315" i="5"/>
  <c r="AL315" i="5"/>
  <c r="DO315" i="5"/>
  <c r="AP315" i="5"/>
  <c r="AQ315" i="5" s="1"/>
  <c r="EM313" i="5"/>
  <c r="EL313" i="5"/>
  <c r="DH314" i="5"/>
  <c r="EG314" i="5"/>
  <c r="EJ314" i="5" s="1"/>
  <c r="EK314" i="5" s="1"/>
  <c r="DJ313" i="5"/>
  <c r="DI313" i="5"/>
  <c r="DK312" i="5"/>
  <c r="DL312" i="5" s="1"/>
  <c r="CY310" i="5"/>
  <c r="FE310" i="5"/>
  <c r="FG310" i="5" s="1"/>
  <c r="EQ312" i="5"/>
  <c r="ER312" i="5" s="1"/>
  <c r="AJ317" i="5"/>
  <c r="DS311" i="21" l="1"/>
  <c r="CQ311" i="21"/>
  <c r="DQ312" i="21"/>
  <c r="DR312" i="21" s="1"/>
  <c r="ES313" i="21"/>
  <c r="ER313" i="21"/>
  <c r="DP313" i="21"/>
  <c r="DO313" i="21"/>
  <c r="AP317" i="21"/>
  <c r="AT316" i="21"/>
  <c r="AQ316" i="21"/>
  <c r="EW312" i="21"/>
  <c r="EX312" i="21" s="1"/>
  <c r="AD310" i="21"/>
  <c r="DE310" i="21"/>
  <c r="FK310" i="21"/>
  <c r="FM310" i="21" s="1"/>
  <c r="DN314" i="21"/>
  <c r="EM314" i="21"/>
  <c r="EP314" i="21" s="1"/>
  <c r="EQ314" i="21" s="1"/>
  <c r="AU315" i="21"/>
  <c r="AR315" i="21"/>
  <c r="DU315" i="21"/>
  <c r="AV315" i="21"/>
  <c r="AW315" i="21" s="1"/>
  <c r="DS309" i="20"/>
  <c r="CQ309" i="20"/>
  <c r="DN312" i="20"/>
  <c r="EM312" i="20"/>
  <c r="EP312" i="20" s="1"/>
  <c r="EQ312" i="20" s="1"/>
  <c r="AR313" i="20"/>
  <c r="AU313" i="20"/>
  <c r="ES311" i="20"/>
  <c r="ER311" i="20"/>
  <c r="DU313" i="20"/>
  <c r="AV313" i="20"/>
  <c r="AW313" i="20" s="1"/>
  <c r="CY308" i="20"/>
  <c r="AD308" i="20"/>
  <c r="FK308" i="20"/>
  <c r="FM308" i="20" s="1"/>
  <c r="DQ310" i="20"/>
  <c r="DR310" i="20" s="1"/>
  <c r="DP311" i="20"/>
  <c r="DO311" i="20"/>
  <c r="EW310" i="20"/>
  <c r="EX310" i="20" s="1"/>
  <c r="AP315" i="20"/>
  <c r="AT314" i="20"/>
  <c r="AQ314" i="20"/>
  <c r="DM312" i="5"/>
  <c r="CK312" i="5"/>
  <c r="DH315" i="5"/>
  <c r="EG315" i="5"/>
  <c r="EJ315" i="5" s="1"/>
  <c r="EK315" i="5" s="1"/>
  <c r="DK313" i="5"/>
  <c r="DL313" i="5" s="1"/>
  <c r="EL314" i="5"/>
  <c r="EM314" i="5"/>
  <c r="AL316" i="5"/>
  <c r="AO316" i="5"/>
  <c r="DO316" i="5"/>
  <c r="AP316" i="5"/>
  <c r="AQ316" i="5" s="1"/>
  <c r="EQ313" i="5"/>
  <c r="ER313" i="5" s="1"/>
  <c r="FE311" i="5"/>
  <c r="FG311" i="5" s="1"/>
  <c r="CS311" i="5"/>
  <c r="AN317" i="5"/>
  <c r="AK317" i="5"/>
  <c r="DI314" i="5"/>
  <c r="DJ314" i="5"/>
  <c r="X312" i="5"/>
  <c r="X311" i="5"/>
  <c r="AJ318" i="5"/>
  <c r="CQ312" i="21" l="1"/>
  <c r="DS312" i="21"/>
  <c r="DO314" i="21"/>
  <c r="DP314" i="21"/>
  <c r="AR316" i="21"/>
  <c r="AU316" i="21"/>
  <c r="EW313" i="21"/>
  <c r="EX313" i="21" s="1"/>
  <c r="ES314" i="21"/>
  <c r="ER314" i="21"/>
  <c r="DQ313" i="21"/>
  <c r="DR313" i="21" s="1"/>
  <c r="DN315" i="21"/>
  <c r="EM315" i="21"/>
  <c r="EP315" i="21" s="1"/>
  <c r="EQ315" i="21" s="1"/>
  <c r="AP318" i="21"/>
  <c r="AT317" i="21"/>
  <c r="AQ317" i="21"/>
  <c r="DU316" i="21"/>
  <c r="AV316" i="21"/>
  <c r="AW316" i="21" s="1"/>
  <c r="AD311" i="21"/>
  <c r="CY311" i="21"/>
  <c r="FK311" i="21"/>
  <c r="FM311" i="21" s="1"/>
  <c r="DS310" i="20"/>
  <c r="CQ310" i="20"/>
  <c r="AU314" i="20"/>
  <c r="AR314" i="20"/>
  <c r="EW311" i="20"/>
  <c r="EX311" i="20" s="1"/>
  <c r="ER312" i="20"/>
  <c r="ES312" i="20"/>
  <c r="DP312" i="20"/>
  <c r="DO312" i="20"/>
  <c r="DE309" i="20"/>
  <c r="FK309" i="20"/>
  <c r="FM309" i="20" s="1"/>
  <c r="AD309" i="20"/>
  <c r="DU314" i="20"/>
  <c r="AV314" i="20"/>
  <c r="AW314" i="20" s="1"/>
  <c r="AP316" i="20"/>
  <c r="AT315" i="20"/>
  <c r="AQ315" i="20"/>
  <c r="DQ311" i="20"/>
  <c r="DR311" i="20" s="1"/>
  <c r="DN313" i="20"/>
  <c r="EM313" i="20"/>
  <c r="EP313" i="20" s="1"/>
  <c r="EQ313" i="20" s="1"/>
  <c r="DM313" i="5"/>
  <c r="CK313" i="5"/>
  <c r="EQ314" i="5"/>
  <c r="ER314" i="5" s="1"/>
  <c r="DK314" i="5"/>
  <c r="DL314" i="5" s="1"/>
  <c r="DI315" i="5"/>
  <c r="DJ315" i="5"/>
  <c r="AN318" i="5"/>
  <c r="AK318" i="5"/>
  <c r="EL315" i="5"/>
  <c r="EM315" i="5"/>
  <c r="DH316" i="5"/>
  <c r="EG316" i="5"/>
  <c r="EJ316" i="5" s="1"/>
  <c r="EK316" i="5" s="1"/>
  <c r="AL317" i="5"/>
  <c r="AO317" i="5"/>
  <c r="FE312" i="5"/>
  <c r="FG312" i="5" s="1"/>
  <c r="CS312" i="5"/>
  <c r="DO317" i="5"/>
  <c r="AP317" i="5"/>
  <c r="AQ317" i="5" s="1"/>
  <c r="AJ319" i="5"/>
  <c r="CQ313" i="21" l="1"/>
  <c r="DS313" i="21"/>
  <c r="AP319" i="21"/>
  <c r="AT318" i="21"/>
  <c r="AQ318" i="21"/>
  <c r="DN316" i="21"/>
  <c r="EM316" i="21"/>
  <c r="EP316" i="21" s="1"/>
  <c r="EQ316" i="21" s="1"/>
  <c r="ER315" i="21"/>
  <c r="ES315" i="21"/>
  <c r="AU317" i="21"/>
  <c r="AR317" i="21"/>
  <c r="EW314" i="21"/>
  <c r="EX314" i="21" s="1"/>
  <c r="DQ314" i="21"/>
  <c r="DR314" i="21" s="1"/>
  <c r="DU317" i="21"/>
  <c r="AV317" i="21"/>
  <c r="AW317" i="21" s="1"/>
  <c r="DP315" i="21"/>
  <c r="DO315" i="21"/>
  <c r="CY312" i="21"/>
  <c r="FK312" i="21"/>
  <c r="FM312" i="21" s="1"/>
  <c r="AD312" i="21"/>
  <c r="DS311" i="20"/>
  <c r="CQ311" i="20"/>
  <c r="ES313" i="20"/>
  <c r="ER313" i="20"/>
  <c r="EW312" i="20"/>
  <c r="EX312" i="20" s="1"/>
  <c r="DP313" i="20"/>
  <c r="DO313" i="20"/>
  <c r="AT316" i="20"/>
  <c r="AP317" i="20"/>
  <c r="AQ316" i="20"/>
  <c r="AU315" i="20"/>
  <c r="AR315" i="20"/>
  <c r="DQ312" i="20"/>
  <c r="DR312" i="20" s="1"/>
  <c r="DE310" i="20"/>
  <c r="FK310" i="20"/>
  <c r="FM310" i="20" s="1"/>
  <c r="AD310" i="20"/>
  <c r="DN314" i="20"/>
  <c r="EM314" i="20"/>
  <c r="EP314" i="20" s="1"/>
  <c r="EQ314" i="20" s="1"/>
  <c r="DU315" i="20"/>
  <c r="AV315" i="20"/>
  <c r="AW315" i="20" s="1"/>
  <c r="DM314" i="5"/>
  <c r="CK314" i="5"/>
  <c r="DK315" i="5"/>
  <c r="DL315" i="5" s="1"/>
  <c r="DI316" i="5"/>
  <c r="DJ316" i="5"/>
  <c r="AN319" i="5"/>
  <c r="AK319" i="5"/>
  <c r="DH317" i="5"/>
  <c r="EG317" i="5"/>
  <c r="EJ317" i="5" s="1"/>
  <c r="EK317" i="5" s="1"/>
  <c r="EQ315" i="5"/>
  <c r="ER315" i="5" s="1"/>
  <c r="AL318" i="5"/>
  <c r="AO318" i="5"/>
  <c r="CY313" i="5"/>
  <c r="FE313" i="5"/>
  <c r="FG313" i="5" s="1"/>
  <c r="EM316" i="5"/>
  <c r="EL316" i="5"/>
  <c r="DO318" i="5"/>
  <c r="AP318" i="5"/>
  <c r="AQ318" i="5" s="1"/>
  <c r="X313" i="5"/>
  <c r="AJ320" i="5"/>
  <c r="DS314" i="21" l="1"/>
  <c r="CQ314" i="21"/>
  <c r="DN317" i="21"/>
  <c r="EM317" i="21"/>
  <c r="EP317" i="21" s="1"/>
  <c r="EQ317" i="21" s="1"/>
  <c r="AU318" i="21"/>
  <c r="AR318" i="21"/>
  <c r="DQ315" i="21"/>
  <c r="DR315" i="21" s="1"/>
  <c r="DU318" i="21"/>
  <c r="AV318" i="21"/>
  <c r="AW318" i="21" s="1"/>
  <c r="AP320" i="21"/>
  <c r="AT319" i="21"/>
  <c r="AQ319" i="21"/>
  <c r="ER316" i="21"/>
  <c r="ES316" i="21"/>
  <c r="EW315" i="21"/>
  <c r="EX315" i="21" s="1"/>
  <c r="DO316" i="21"/>
  <c r="DP316" i="21"/>
  <c r="CY313" i="21"/>
  <c r="AD313" i="21"/>
  <c r="FK313" i="21"/>
  <c r="FM313" i="21" s="1"/>
  <c r="DS312" i="20"/>
  <c r="CQ312" i="20"/>
  <c r="EW313" i="20"/>
  <c r="EX313" i="20" s="1"/>
  <c r="DN315" i="20"/>
  <c r="EM315" i="20"/>
  <c r="EP315" i="20" s="1"/>
  <c r="EQ315" i="20" s="1"/>
  <c r="ER314" i="20"/>
  <c r="ES314" i="20"/>
  <c r="DP314" i="20"/>
  <c r="DO314" i="20"/>
  <c r="AU316" i="20"/>
  <c r="AR316" i="20"/>
  <c r="AT317" i="20"/>
  <c r="AP318" i="20"/>
  <c r="AQ317" i="20"/>
  <c r="FK311" i="20"/>
  <c r="FM311" i="20" s="1"/>
  <c r="AD311" i="20"/>
  <c r="CY311" i="20"/>
  <c r="DQ313" i="20"/>
  <c r="DR313" i="20" s="1"/>
  <c r="DU316" i="20"/>
  <c r="AV316" i="20"/>
  <c r="AW316" i="20" s="1"/>
  <c r="DM315" i="5"/>
  <c r="CK315" i="5"/>
  <c r="AO319" i="5"/>
  <c r="AL319" i="5"/>
  <c r="DO319" i="5"/>
  <c r="AP319" i="5"/>
  <c r="AQ319" i="5" s="1"/>
  <c r="DH318" i="5"/>
  <c r="EG318" i="5"/>
  <c r="EJ318" i="5" s="1"/>
  <c r="EK318" i="5" s="1"/>
  <c r="AN320" i="5"/>
  <c r="AK320" i="5"/>
  <c r="EQ316" i="5"/>
  <c r="ER316" i="5" s="1"/>
  <c r="EL317" i="5"/>
  <c r="EM317" i="5"/>
  <c r="CY314" i="5"/>
  <c r="FE314" i="5"/>
  <c r="FG314" i="5" s="1"/>
  <c r="DK316" i="5"/>
  <c r="DL316" i="5" s="1"/>
  <c r="DI317" i="5"/>
  <c r="DJ317" i="5"/>
  <c r="X314" i="5"/>
  <c r="AJ321" i="5"/>
  <c r="DS315" i="21" l="1"/>
  <c r="CQ315" i="21"/>
  <c r="AU319" i="21"/>
  <c r="AR319" i="21"/>
  <c r="AP321" i="21"/>
  <c r="AT320" i="21"/>
  <c r="AQ320" i="21"/>
  <c r="DQ316" i="21"/>
  <c r="DR316" i="21" s="1"/>
  <c r="DU319" i="21"/>
  <c r="AV319" i="21"/>
  <c r="AW319" i="21" s="1"/>
  <c r="DN318" i="21"/>
  <c r="EM318" i="21"/>
  <c r="EP318" i="21" s="1"/>
  <c r="EQ318" i="21" s="1"/>
  <c r="ES317" i="21"/>
  <c r="ER317" i="21"/>
  <c r="EW316" i="21"/>
  <c r="EX316" i="21" s="1"/>
  <c r="DP317" i="21"/>
  <c r="DO317" i="21"/>
  <c r="AD314" i="21"/>
  <c r="DE314" i="21"/>
  <c r="FK314" i="21"/>
  <c r="FM314" i="21" s="1"/>
  <c r="CQ313" i="20"/>
  <c r="DS313" i="20"/>
  <c r="AU317" i="20"/>
  <c r="AR317" i="20"/>
  <c r="AT318" i="20"/>
  <c r="AP319" i="20"/>
  <c r="AQ318" i="20"/>
  <c r="DP315" i="20"/>
  <c r="DO315" i="20"/>
  <c r="EW314" i="20"/>
  <c r="EX314" i="20" s="1"/>
  <c r="DU317" i="20"/>
  <c r="AV317" i="20"/>
  <c r="AW317" i="20" s="1"/>
  <c r="DQ314" i="20"/>
  <c r="DR314" i="20" s="1"/>
  <c r="CY312" i="20"/>
  <c r="FK312" i="20"/>
  <c r="FM312" i="20" s="1"/>
  <c r="AD312" i="20"/>
  <c r="ES315" i="20"/>
  <c r="ER315" i="20"/>
  <c r="DN316" i="20"/>
  <c r="EM316" i="20"/>
  <c r="EP316" i="20" s="1"/>
  <c r="EQ316" i="20" s="1"/>
  <c r="DM316" i="5"/>
  <c r="CK316" i="5"/>
  <c r="DJ318" i="5"/>
  <c r="DI318" i="5"/>
  <c r="EQ317" i="5"/>
  <c r="ER317" i="5" s="1"/>
  <c r="DH319" i="5"/>
  <c r="EG319" i="5"/>
  <c r="EJ319" i="5" s="1"/>
  <c r="EK319" i="5" s="1"/>
  <c r="DK317" i="5"/>
  <c r="DL317" i="5" s="1"/>
  <c r="EL318" i="5"/>
  <c r="EM318" i="5"/>
  <c r="AL320" i="5"/>
  <c r="AO320" i="5"/>
  <c r="FE315" i="5"/>
  <c r="FG315" i="5" s="1"/>
  <c r="CS315" i="5"/>
  <c r="AN321" i="5"/>
  <c r="AK321" i="5"/>
  <c r="DO320" i="5"/>
  <c r="AP320" i="5"/>
  <c r="AQ320" i="5" s="1"/>
  <c r="X316" i="5"/>
  <c r="X315" i="5"/>
  <c r="AJ322" i="5"/>
  <c r="DS316" i="21" l="1"/>
  <c r="CQ316" i="21"/>
  <c r="DP318" i="21"/>
  <c r="DO318" i="21"/>
  <c r="DQ317" i="21"/>
  <c r="DR317" i="21" s="1"/>
  <c r="EW317" i="21"/>
  <c r="EX317" i="21" s="1"/>
  <c r="ES318" i="21"/>
  <c r="ER318" i="21"/>
  <c r="AU320" i="21"/>
  <c r="AR320" i="21"/>
  <c r="DN319" i="21"/>
  <c r="EM319" i="21"/>
  <c r="EP319" i="21" s="1"/>
  <c r="EQ319" i="21" s="1"/>
  <c r="DE315" i="21"/>
  <c r="FK315" i="21"/>
  <c r="FM315" i="21" s="1"/>
  <c r="AD315" i="21"/>
  <c r="DU320" i="21"/>
  <c r="AV320" i="21"/>
  <c r="AW320" i="21" s="1"/>
  <c r="AP322" i="21"/>
  <c r="AT321" i="21"/>
  <c r="AQ321" i="21"/>
  <c r="CQ314" i="20"/>
  <c r="DS314" i="20"/>
  <c r="ES316" i="20"/>
  <c r="ER316" i="20"/>
  <c r="DU318" i="20"/>
  <c r="AV318" i="20"/>
  <c r="AW318" i="20" s="1"/>
  <c r="AR318" i="20"/>
  <c r="AU318" i="20"/>
  <c r="DN317" i="20"/>
  <c r="EM317" i="20"/>
  <c r="EP317" i="20" s="1"/>
  <c r="EQ317" i="20" s="1"/>
  <c r="DP316" i="20"/>
  <c r="DO316" i="20"/>
  <c r="AT319" i="20"/>
  <c r="AP320" i="20"/>
  <c r="AQ319" i="20"/>
  <c r="EX315" i="20"/>
  <c r="EW315" i="20"/>
  <c r="DQ315" i="20"/>
  <c r="DR315" i="20" s="1"/>
  <c r="FK313" i="20"/>
  <c r="FM313" i="20" s="1"/>
  <c r="CY313" i="20"/>
  <c r="AD313" i="20"/>
  <c r="DM317" i="5"/>
  <c r="CK317" i="5"/>
  <c r="EL319" i="5"/>
  <c r="EM319" i="5"/>
  <c r="DJ319" i="5"/>
  <c r="DI319" i="5"/>
  <c r="DK318" i="5"/>
  <c r="DL318" i="5" s="1"/>
  <c r="DH320" i="5"/>
  <c r="EG320" i="5"/>
  <c r="EJ320" i="5" s="1"/>
  <c r="EK320" i="5" s="1"/>
  <c r="EQ318" i="5"/>
  <c r="ER318" i="5" s="1"/>
  <c r="AL321" i="5"/>
  <c r="AO321" i="5"/>
  <c r="FE316" i="5"/>
  <c r="FG316" i="5" s="1"/>
  <c r="CS316" i="5"/>
  <c r="AN322" i="5"/>
  <c r="AK322" i="5"/>
  <c r="DO321" i="5"/>
  <c r="AP321" i="5"/>
  <c r="AQ321" i="5" s="1"/>
  <c r="AJ323" i="5"/>
  <c r="CQ317" i="21" l="1"/>
  <c r="DS317" i="21"/>
  <c r="DU321" i="21"/>
  <c r="AV321" i="21"/>
  <c r="AW321" i="21" s="1"/>
  <c r="AT322" i="21"/>
  <c r="AP323" i="21"/>
  <c r="AQ322" i="21"/>
  <c r="EW318" i="21"/>
  <c r="EX318" i="21" s="1"/>
  <c r="ER319" i="21"/>
  <c r="ES319" i="21"/>
  <c r="DQ318" i="21"/>
  <c r="DR318" i="21" s="1"/>
  <c r="AR321" i="21"/>
  <c r="AU321" i="21"/>
  <c r="DO319" i="21"/>
  <c r="DP319" i="21"/>
  <c r="DN320" i="21"/>
  <c r="EM320" i="21"/>
  <c r="EP320" i="21" s="1"/>
  <c r="EQ320" i="21" s="1"/>
  <c r="AD316" i="21"/>
  <c r="DE316" i="21"/>
  <c r="FK316" i="21"/>
  <c r="FM316" i="21" s="1"/>
  <c r="DS315" i="20"/>
  <c r="CQ315" i="20"/>
  <c r="AT320" i="20"/>
  <c r="AP321" i="20"/>
  <c r="AQ320" i="20"/>
  <c r="DN318" i="20"/>
  <c r="EM318" i="20"/>
  <c r="EP318" i="20" s="1"/>
  <c r="EQ318" i="20" s="1"/>
  <c r="DQ316" i="20"/>
  <c r="DR316" i="20" s="1"/>
  <c r="EW316" i="20"/>
  <c r="EX316" i="20" s="1"/>
  <c r="AU319" i="20"/>
  <c r="AR319" i="20"/>
  <c r="DU319" i="20"/>
  <c r="AV319" i="20"/>
  <c r="AW319" i="20" s="1"/>
  <c r="ER317" i="20"/>
  <c r="ES317" i="20"/>
  <c r="DP317" i="20"/>
  <c r="DO317" i="20"/>
  <c r="FK314" i="20"/>
  <c r="FM314" i="20" s="1"/>
  <c r="AD314" i="20"/>
  <c r="DE314" i="20"/>
  <c r="DM318" i="5"/>
  <c r="CK318" i="5"/>
  <c r="DK319" i="5"/>
  <c r="DL319" i="5" s="1"/>
  <c r="AN323" i="5"/>
  <c r="AK323" i="5"/>
  <c r="DH321" i="5"/>
  <c r="EG321" i="5"/>
  <c r="EJ321" i="5" s="1"/>
  <c r="EK321" i="5" s="1"/>
  <c r="EQ319" i="5"/>
  <c r="ER319" i="5" s="1"/>
  <c r="AL322" i="5"/>
  <c r="AO322" i="5"/>
  <c r="EM320" i="5"/>
  <c r="EL320" i="5"/>
  <c r="FE317" i="5"/>
  <c r="FG317" i="5" s="1"/>
  <c r="CS317" i="5"/>
  <c r="DO322" i="5"/>
  <c r="AP322" i="5"/>
  <c r="AQ322" i="5" s="1"/>
  <c r="DI320" i="5"/>
  <c r="DJ320" i="5"/>
  <c r="X317" i="5"/>
  <c r="AJ324" i="5"/>
  <c r="DS318" i="21" l="1"/>
  <c r="CQ318" i="21"/>
  <c r="DQ319" i="21"/>
  <c r="DR319" i="21" s="1"/>
  <c r="ES320" i="21"/>
  <c r="ER320" i="21"/>
  <c r="AU322" i="21"/>
  <c r="AR322" i="21"/>
  <c r="AT323" i="21"/>
  <c r="AP324" i="21"/>
  <c r="AQ323" i="21"/>
  <c r="DP320" i="21"/>
  <c r="DO320" i="21"/>
  <c r="DN321" i="21"/>
  <c r="EM321" i="21"/>
  <c r="EP321" i="21" s="1"/>
  <c r="EQ321" i="21" s="1"/>
  <c r="EW319" i="21"/>
  <c r="EX319" i="21" s="1"/>
  <c r="DU322" i="21"/>
  <c r="AV322" i="21"/>
  <c r="AW322" i="21" s="1"/>
  <c r="DE317" i="21"/>
  <c r="FK317" i="21"/>
  <c r="FM317" i="21" s="1"/>
  <c r="AD317" i="21"/>
  <c r="EW317" i="20"/>
  <c r="EX317" i="20" s="1"/>
  <c r="AU320" i="20"/>
  <c r="AR320" i="20"/>
  <c r="DN319" i="20"/>
  <c r="EM319" i="20"/>
  <c r="EP319" i="20" s="1"/>
  <c r="EQ319" i="20" s="1"/>
  <c r="AP322" i="20"/>
  <c r="AT321" i="20"/>
  <c r="AQ321" i="20"/>
  <c r="DS316" i="20"/>
  <c r="CQ316" i="20"/>
  <c r="DP318" i="20"/>
  <c r="DO318" i="20"/>
  <c r="DU320" i="20"/>
  <c r="AV320" i="20"/>
  <c r="AW320" i="20" s="1"/>
  <c r="FK315" i="20"/>
  <c r="FM315" i="20" s="1"/>
  <c r="AD315" i="20"/>
  <c r="DE315" i="20"/>
  <c r="ES318" i="20"/>
  <c r="ER318" i="20"/>
  <c r="DQ317" i="20"/>
  <c r="DR317" i="20" s="1"/>
  <c r="DM319" i="5"/>
  <c r="CK319" i="5"/>
  <c r="DI321" i="5"/>
  <c r="DJ321" i="5"/>
  <c r="AO323" i="5"/>
  <c r="AL323" i="5"/>
  <c r="DO323" i="5"/>
  <c r="AP323" i="5"/>
  <c r="AQ323" i="5" s="1"/>
  <c r="EQ320" i="5"/>
  <c r="ER320" i="5" s="1"/>
  <c r="DK320" i="5"/>
  <c r="DL320" i="5" s="1"/>
  <c r="CY318" i="5"/>
  <c r="FE318" i="5"/>
  <c r="FG318" i="5" s="1"/>
  <c r="EL321" i="5"/>
  <c r="EM321" i="5"/>
  <c r="AN324" i="5"/>
  <c r="AK324" i="5"/>
  <c r="DH322" i="5"/>
  <c r="EG322" i="5"/>
  <c r="EJ322" i="5" s="1"/>
  <c r="EK322" i="5" s="1"/>
  <c r="AJ325" i="5"/>
  <c r="X318" i="5"/>
  <c r="DS319" i="21" l="1"/>
  <c r="CQ319" i="21"/>
  <c r="DN322" i="21"/>
  <c r="EM322" i="21"/>
  <c r="EP322" i="21" s="1"/>
  <c r="EQ322" i="21" s="1"/>
  <c r="DU323" i="21"/>
  <c r="AV323" i="21"/>
  <c r="AW323" i="21" s="1"/>
  <c r="EW320" i="21"/>
  <c r="EX320" i="21" s="1"/>
  <c r="DP321" i="21"/>
  <c r="DO321" i="21"/>
  <c r="AP325" i="21"/>
  <c r="AT324" i="21"/>
  <c r="AQ324" i="21"/>
  <c r="AD318" i="21"/>
  <c r="FK318" i="21"/>
  <c r="FM318" i="21" s="1"/>
  <c r="DE318" i="21"/>
  <c r="ER321" i="21"/>
  <c r="ES321" i="21"/>
  <c r="DQ320" i="21"/>
  <c r="DR320" i="21" s="1"/>
  <c r="AR323" i="21"/>
  <c r="AU323" i="21"/>
  <c r="DS317" i="20"/>
  <c r="CQ317" i="20"/>
  <c r="DU321" i="20"/>
  <c r="AV321" i="20"/>
  <c r="AW321" i="20" s="1"/>
  <c r="DP319" i="20"/>
  <c r="DO319" i="20"/>
  <c r="DN320" i="20"/>
  <c r="EM320" i="20"/>
  <c r="EP320" i="20" s="1"/>
  <c r="EQ320" i="20" s="1"/>
  <c r="EW318" i="20"/>
  <c r="EX318" i="20" s="1"/>
  <c r="ER319" i="20"/>
  <c r="ES319" i="20"/>
  <c r="DQ318" i="20"/>
  <c r="DR318" i="20" s="1"/>
  <c r="FK316" i="20"/>
  <c r="FM316" i="20" s="1"/>
  <c r="AD316" i="20"/>
  <c r="DE316" i="20"/>
  <c r="AP323" i="20"/>
  <c r="AT322" i="20"/>
  <c r="AQ322" i="20"/>
  <c r="AU321" i="20"/>
  <c r="AR321" i="20"/>
  <c r="DM320" i="5"/>
  <c r="CK320" i="5"/>
  <c r="EQ321" i="5"/>
  <c r="ER321" i="5" s="1"/>
  <c r="DH323" i="5"/>
  <c r="EG323" i="5"/>
  <c r="EJ323" i="5" s="1"/>
  <c r="EK323" i="5" s="1"/>
  <c r="EL322" i="5"/>
  <c r="EM322" i="5"/>
  <c r="DJ322" i="5"/>
  <c r="DI322" i="5"/>
  <c r="DK321" i="5"/>
  <c r="DL321" i="5" s="1"/>
  <c r="AL324" i="5"/>
  <c r="AO324" i="5"/>
  <c r="FE319" i="5"/>
  <c r="FG319" i="5" s="1"/>
  <c r="CY319" i="5"/>
  <c r="AN325" i="5"/>
  <c r="AK325" i="5"/>
  <c r="DO324" i="5"/>
  <c r="AP324" i="5"/>
  <c r="AQ324" i="5" s="1"/>
  <c r="X319" i="5"/>
  <c r="AJ326" i="5"/>
  <c r="DS320" i="21" l="1"/>
  <c r="CQ320" i="21"/>
  <c r="DU324" i="21"/>
  <c r="AV324" i="21"/>
  <c r="AW324" i="21" s="1"/>
  <c r="DQ321" i="21"/>
  <c r="DR321" i="21" s="1"/>
  <c r="ES322" i="21"/>
  <c r="ER322" i="21"/>
  <c r="DO322" i="21"/>
  <c r="DP322" i="21"/>
  <c r="AP326" i="21"/>
  <c r="AT325" i="21"/>
  <c r="AQ325" i="21"/>
  <c r="FK319" i="21"/>
  <c r="FM319" i="21" s="1"/>
  <c r="AD319" i="21"/>
  <c r="DE319" i="21"/>
  <c r="EW321" i="21"/>
  <c r="EX321" i="21" s="1"/>
  <c r="AR324" i="21"/>
  <c r="AU324" i="21"/>
  <c r="DN323" i="21"/>
  <c r="EM323" i="21"/>
  <c r="EP323" i="21" s="1"/>
  <c r="EQ323" i="21" s="1"/>
  <c r="DS318" i="20"/>
  <c r="CQ318" i="20"/>
  <c r="DP320" i="20"/>
  <c r="DO320" i="20"/>
  <c r="ES320" i="20"/>
  <c r="ER320" i="20"/>
  <c r="DQ319" i="20"/>
  <c r="DR319" i="20" s="1"/>
  <c r="AU322" i="20"/>
  <c r="AR322" i="20"/>
  <c r="DN321" i="20"/>
  <c r="EM321" i="20"/>
  <c r="EP321" i="20" s="1"/>
  <c r="EQ321" i="20" s="1"/>
  <c r="DU322" i="20"/>
  <c r="AV322" i="20"/>
  <c r="AW322" i="20" s="1"/>
  <c r="EW319" i="20"/>
  <c r="EX319" i="20" s="1"/>
  <c r="DE317" i="20"/>
  <c r="AD317" i="20"/>
  <c r="FK317" i="20"/>
  <c r="FM317" i="20" s="1"/>
  <c r="AP324" i="20"/>
  <c r="AT323" i="20"/>
  <c r="AQ323" i="20"/>
  <c r="DM321" i="5"/>
  <c r="CK321" i="5"/>
  <c r="EQ322" i="5"/>
  <c r="ER322" i="5" s="1"/>
  <c r="EL323" i="5"/>
  <c r="EM323" i="5"/>
  <c r="DI323" i="5"/>
  <c r="DJ323" i="5"/>
  <c r="DH324" i="5"/>
  <c r="EG324" i="5"/>
  <c r="EJ324" i="5" s="1"/>
  <c r="EK324" i="5" s="1"/>
  <c r="AN326" i="5"/>
  <c r="AK326" i="5"/>
  <c r="AL325" i="5"/>
  <c r="AO325" i="5"/>
  <c r="DK322" i="5"/>
  <c r="DL322" i="5" s="1"/>
  <c r="FE320" i="5"/>
  <c r="FG320" i="5" s="1"/>
  <c r="CY320" i="5"/>
  <c r="DO325" i="5"/>
  <c r="AP325" i="5"/>
  <c r="AQ325" i="5" s="1"/>
  <c r="X320" i="5"/>
  <c r="AJ327" i="5"/>
  <c r="DS321" i="21" l="1"/>
  <c r="CQ321" i="21"/>
  <c r="AU325" i="21"/>
  <c r="AR325" i="21"/>
  <c r="AP327" i="21"/>
  <c r="AT326" i="21"/>
  <c r="AQ326" i="21"/>
  <c r="DP323" i="21"/>
  <c r="DO323" i="21"/>
  <c r="DQ322" i="21"/>
  <c r="DR322" i="21" s="1"/>
  <c r="DU325" i="21"/>
  <c r="AV325" i="21"/>
  <c r="AW325" i="21" s="1"/>
  <c r="ES323" i="21"/>
  <c r="ER323" i="21"/>
  <c r="EW322" i="21"/>
  <c r="EX322" i="21" s="1"/>
  <c r="DN324" i="21"/>
  <c r="EM324" i="21"/>
  <c r="EP324" i="21" s="1"/>
  <c r="EQ324" i="21" s="1"/>
  <c r="FK320" i="21"/>
  <c r="FM320" i="21" s="1"/>
  <c r="AD320" i="21"/>
  <c r="CY320" i="21"/>
  <c r="DS319" i="20"/>
  <c r="CQ319" i="20"/>
  <c r="DU323" i="20"/>
  <c r="AV323" i="20"/>
  <c r="AW323" i="20" s="1"/>
  <c r="AP325" i="20"/>
  <c r="AT324" i="20"/>
  <c r="AQ324" i="20"/>
  <c r="DQ320" i="20"/>
  <c r="DR320" i="20" s="1"/>
  <c r="DN322" i="20"/>
  <c r="EM322" i="20"/>
  <c r="EP322" i="20" s="1"/>
  <c r="EQ322" i="20" s="1"/>
  <c r="DE318" i="20"/>
  <c r="FK318" i="20"/>
  <c r="FM318" i="20" s="1"/>
  <c r="AD318" i="20"/>
  <c r="AU323" i="20"/>
  <c r="AR323" i="20"/>
  <c r="EW320" i="20"/>
  <c r="EX320" i="20" s="1"/>
  <c r="ES321" i="20"/>
  <c r="ER321" i="20"/>
  <c r="DP321" i="20"/>
  <c r="DO321" i="20"/>
  <c r="DM322" i="5"/>
  <c r="CK322" i="5"/>
  <c r="DK323" i="5"/>
  <c r="DL323" i="5" s="1"/>
  <c r="AN327" i="5"/>
  <c r="AK327" i="5"/>
  <c r="EQ323" i="5"/>
  <c r="ER323" i="5" s="1"/>
  <c r="AL326" i="5"/>
  <c r="AO326" i="5"/>
  <c r="DH325" i="5"/>
  <c r="EG325" i="5"/>
  <c r="EJ325" i="5" s="1"/>
  <c r="EK325" i="5" s="1"/>
  <c r="DO326" i="5"/>
  <c r="AP326" i="5"/>
  <c r="AQ326" i="5" s="1"/>
  <c r="EM324" i="5"/>
  <c r="EL324" i="5"/>
  <c r="FE321" i="5"/>
  <c r="FG321" i="5" s="1"/>
  <c r="CY321" i="5"/>
  <c r="DI324" i="5"/>
  <c r="DJ324" i="5"/>
  <c r="AJ328" i="5"/>
  <c r="X321" i="5"/>
  <c r="DS322" i="21" l="1"/>
  <c r="CQ322" i="21"/>
  <c r="EW323" i="21"/>
  <c r="EX323" i="21" s="1"/>
  <c r="DN325" i="21"/>
  <c r="EM325" i="21"/>
  <c r="EP325" i="21" s="1"/>
  <c r="EQ325" i="21" s="1"/>
  <c r="ES324" i="21"/>
  <c r="ER324" i="21"/>
  <c r="DP324" i="21"/>
  <c r="DO324" i="21"/>
  <c r="AU326" i="21"/>
  <c r="AR326" i="21"/>
  <c r="DQ323" i="21"/>
  <c r="DR323" i="21" s="1"/>
  <c r="DU326" i="21"/>
  <c r="AV326" i="21"/>
  <c r="AW326" i="21" s="1"/>
  <c r="AT327" i="21"/>
  <c r="AP328" i="21"/>
  <c r="AQ327" i="21"/>
  <c r="FK321" i="21"/>
  <c r="FM321" i="21" s="1"/>
  <c r="AD321" i="21"/>
  <c r="DE321" i="21"/>
  <c r="AR324" i="20"/>
  <c r="AU324" i="20"/>
  <c r="DS320" i="20"/>
  <c r="CQ320" i="20"/>
  <c r="DQ321" i="20"/>
  <c r="DR321" i="20" s="1"/>
  <c r="AP326" i="20"/>
  <c r="AT325" i="20"/>
  <c r="AQ325" i="20"/>
  <c r="DU324" i="20"/>
  <c r="AV324" i="20"/>
  <c r="AW324" i="20" s="1"/>
  <c r="DN323" i="20"/>
  <c r="EM323" i="20"/>
  <c r="EP323" i="20" s="1"/>
  <c r="EQ323" i="20" s="1"/>
  <c r="ES322" i="20"/>
  <c r="ER322" i="20"/>
  <c r="DP322" i="20"/>
  <c r="DO322" i="20"/>
  <c r="DE319" i="20"/>
  <c r="FK319" i="20"/>
  <c r="FM319" i="20" s="1"/>
  <c r="AD319" i="20"/>
  <c r="EW321" i="20"/>
  <c r="EX321" i="20" s="1"/>
  <c r="DM323" i="5"/>
  <c r="CK323" i="5"/>
  <c r="EQ324" i="5"/>
  <c r="ER324" i="5" s="1"/>
  <c r="AO327" i="5"/>
  <c r="AL327" i="5"/>
  <c r="DH326" i="5"/>
  <c r="EG326" i="5"/>
  <c r="EJ326" i="5" s="1"/>
  <c r="EK326" i="5" s="1"/>
  <c r="DO327" i="5"/>
  <c r="AP327" i="5"/>
  <c r="AQ327" i="5" s="1"/>
  <c r="AN328" i="5"/>
  <c r="AK328" i="5"/>
  <c r="EL325" i="5"/>
  <c r="EM325" i="5"/>
  <c r="DI325" i="5"/>
  <c r="DJ325" i="5"/>
  <c r="DK324" i="5"/>
  <c r="DL324" i="5" s="1"/>
  <c r="CY322" i="5"/>
  <c r="FE322" i="5"/>
  <c r="FG322" i="5" s="1"/>
  <c r="X322" i="5"/>
  <c r="AJ329" i="5"/>
  <c r="DS323" i="21" l="1"/>
  <c r="CQ323" i="21"/>
  <c r="AU327" i="21"/>
  <c r="AR327" i="21"/>
  <c r="DU327" i="21"/>
  <c r="AV327" i="21"/>
  <c r="AW327" i="21" s="1"/>
  <c r="AT328" i="21"/>
  <c r="AP329" i="21"/>
  <c r="AQ328" i="21"/>
  <c r="DQ324" i="21"/>
  <c r="DR324" i="21" s="1"/>
  <c r="EW324" i="21"/>
  <c r="EX324" i="21" s="1"/>
  <c r="DP325" i="21"/>
  <c r="DO325" i="21"/>
  <c r="FK322" i="21"/>
  <c r="FM322" i="21" s="1"/>
  <c r="CY322" i="21"/>
  <c r="AD322" i="21"/>
  <c r="DN326" i="21"/>
  <c r="EM326" i="21"/>
  <c r="EP326" i="21" s="1"/>
  <c r="EQ326" i="21" s="1"/>
  <c r="ES325" i="21"/>
  <c r="ER325" i="21"/>
  <c r="DS321" i="20"/>
  <c r="CQ321" i="20"/>
  <c r="DU325" i="20"/>
  <c r="AV325" i="20"/>
  <c r="AW325" i="20" s="1"/>
  <c r="AT326" i="20"/>
  <c r="AP327" i="20"/>
  <c r="AQ326" i="20"/>
  <c r="DO323" i="20"/>
  <c r="DP323" i="20"/>
  <c r="CY320" i="20"/>
  <c r="AD320" i="20"/>
  <c r="FK320" i="20"/>
  <c r="FM320" i="20" s="1"/>
  <c r="EW322" i="20"/>
  <c r="EX322" i="20" s="1"/>
  <c r="ER323" i="20"/>
  <c r="ES323" i="20"/>
  <c r="DN324" i="20"/>
  <c r="EM324" i="20"/>
  <c r="EP324" i="20" s="1"/>
  <c r="EQ324" i="20" s="1"/>
  <c r="DQ322" i="20"/>
  <c r="DR322" i="20" s="1"/>
  <c r="AR325" i="20"/>
  <c r="AU325" i="20"/>
  <c r="DK325" i="5"/>
  <c r="DL325" i="5" s="1"/>
  <c r="DJ326" i="5"/>
  <c r="DI326" i="5"/>
  <c r="EL326" i="5"/>
  <c r="EM326" i="5"/>
  <c r="AN329" i="5"/>
  <c r="AK329" i="5"/>
  <c r="EQ325" i="5"/>
  <c r="ER325" i="5" s="1"/>
  <c r="AL328" i="5"/>
  <c r="AO328" i="5"/>
  <c r="DO328" i="5"/>
  <c r="AP328" i="5"/>
  <c r="AQ328" i="5" s="1"/>
  <c r="FE323" i="5"/>
  <c r="FG323" i="5" s="1"/>
  <c r="CY323" i="5"/>
  <c r="DM324" i="5"/>
  <c r="CK324" i="5"/>
  <c r="DH327" i="5"/>
  <c r="EG327" i="5"/>
  <c r="EJ327" i="5" s="1"/>
  <c r="EK327" i="5" s="1"/>
  <c r="X323" i="5"/>
  <c r="AJ330" i="5"/>
  <c r="DS324" i="21" l="1"/>
  <c r="CQ324" i="21"/>
  <c r="ES326" i="21"/>
  <c r="ER326" i="21"/>
  <c r="AU328" i="21"/>
  <c r="AR328" i="21"/>
  <c r="EW325" i="21"/>
  <c r="EX325" i="21" s="1"/>
  <c r="DP326" i="21"/>
  <c r="DO326" i="21"/>
  <c r="AP330" i="21"/>
  <c r="AT329" i="21"/>
  <c r="AQ329" i="21"/>
  <c r="DN327" i="21"/>
  <c r="EM327" i="21"/>
  <c r="EP327" i="21" s="1"/>
  <c r="EQ327" i="21" s="1"/>
  <c r="DQ325" i="21"/>
  <c r="DR325" i="21" s="1"/>
  <c r="AD323" i="21"/>
  <c r="DE323" i="21"/>
  <c r="FK323" i="21"/>
  <c r="FM323" i="21" s="1"/>
  <c r="DU328" i="21"/>
  <c r="AV328" i="21"/>
  <c r="AW328" i="21" s="1"/>
  <c r="DS322" i="20"/>
  <c r="CQ322" i="20"/>
  <c r="AU326" i="20"/>
  <c r="AR326" i="20"/>
  <c r="DU326" i="20"/>
  <c r="AV326" i="20"/>
  <c r="AW326" i="20" s="1"/>
  <c r="EW323" i="20"/>
  <c r="EX323" i="20" s="1"/>
  <c r="DN325" i="20"/>
  <c r="EM325" i="20"/>
  <c r="EP325" i="20" s="1"/>
  <c r="EQ325" i="20" s="1"/>
  <c r="ES324" i="20"/>
  <c r="ER324" i="20"/>
  <c r="DE321" i="20"/>
  <c r="AD321" i="20"/>
  <c r="FK321" i="20"/>
  <c r="FM321" i="20" s="1"/>
  <c r="DQ323" i="20"/>
  <c r="DR323" i="20" s="1"/>
  <c r="AP328" i="20"/>
  <c r="AT327" i="20"/>
  <c r="AQ327" i="20"/>
  <c r="DP324" i="20"/>
  <c r="DO324" i="20"/>
  <c r="DM325" i="5"/>
  <c r="CK325" i="5"/>
  <c r="AL329" i="5"/>
  <c r="AO329" i="5"/>
  <c r="DH328" i="5"/>
  <c r="EG328" i="5"/>
  <c r="EJ328" i="5" s="1"/>
  <c r="EK328" i="5" s="1"/>
  <c r="EQ326" i="5"/>
  <c r="ER326" i="5" s="1"/>
  <c r="DO329" i="5"/>
  <c r="AP329" i="5"/>
  <c r="AQ329" i="5" s="1"/>
  <c r="EL327" i="5"/>
  <c r="EM327" i="5"/>
  <c r="DK326" i="5"/>
  <c r="DL326" i="5" s="1"/>
  <c r="AN330" i="5"/>
  <c r="AK330" i="5"/>
  <c r="DI327" i="5"/>
  <c r="DJ327" i="5"/>
  <c r="FE324" i="5"/>
  <c r="FG324" i="5" s="1"/>
  <c r="CS324" i="5"/>
  <c r="AJ331" i="5"/>
  <c r="X324" i="5"/>
  <c r="DS325" i="21" l="1"/>
  <c r="CQ325" i="21"/>
  <c r="DU329" i="21"/>
  <c r="AV329" i="21"/>
  <c r="AW329" i="21" s="1"/>
  <c r="DN328" i="21"/>
  <c r="EM328" i="21"/>
  <c r="EP328" i="21" s="1"/>
  <c r="EQ328" i="21" s="1"/>
  <c r="AU329" i="21"/>
  <c r="AR329" i="21"/>
  <c r="DP327" i="21"/>
  <c r="DO327" i="21"/>
  <c r="DQ326" i="21"/>
  <c r="DR326" i="21" s="1"/>
  <c r="ER327" i="21"/>
  <c r="ES327" i="21"/>
  <c r="AT330" i="21"/>
  <c r="AP331" i="21"/>
  <c r="AQ330" i="21"/>
  <c r="EW326" i="21"/>
  <c r="EX326" i="21" s="1"/>
  <c r="CY324" i="21"/>
  <c r="AD324" i="21"/>
  <c r="FK324" i="21"/>
  <c r="FM324" i="21" s="1"/>
  <c r="DN326" i="20"/>
  <c r="EM326" i="20"/>
  <c r="EP326" i="20" s="1"/>
  <c r="EQ326" i="20" s="1"/>
  <c r="AU327" i="20"/>
  <c r="AR327" i="20"/>
  <c r="EW324" i="20"/>
  <c r="EX324" i="20" s="1"/>
  <c r="DU327" i="20"/>
  <c r="AV327" i="20"/>
  <c r="AW327" i="20" s="1"/>
  <c r="DS323" i="20"/>
  <c r="CQ323" i="20"/>
  <c r="DQ324" i="20"/>
  <c r="DR324" i="20" s="1"/>
  <c r="ES325" i="20"/>
  <c r="ER325" i="20"/>
  <c r="FK322" i="20"/>
  <c r="FM322" i="20" s="1"/>
  <c r="CY322" i="20"/>
  <c r="AD322" i="20"/>
  <c r="AT328" i="20"/>
  <c r="AP329" i="20"/>
  <c r="AQ328" i="20"/>
  <c r="DP325" i="20"/>
  <c r="DO325" i="20"/>
  <c r="DM326" i="5"/>
  <c r="CK326" i="5"/>
  <c r="AL330" i="5"/>
  <c r="AO330" i="5"/>
  <c r="EM328" i="5"/>
  <c r="EL328" i="5"/>
  <c r="DI328" i="5"/>
  <c r="DJ328" i="5"/>
  <c r="DO330" i="5"/>
  <c r="AP330" i="5"/>
  <c r="AQ330" i="5" s="1"/>
  <c r="EQ327" i="5"/>
  <c r="ER327" i="5" s="1"/>
  <c r="AN331" i="5"/>
  <c r="AK331" i="5"/>
  <c r="FE325" i="5"/>
  <c r="FG325" i="5" s="1"/>
  <c r="CY325" i="5"/>
  <c r="DK327" i="5"/>
  <c r="DL327" i="5" s="1"/>
  <c r="DH329" i="5"/>
  <c r="EG329" i="5"/>
  <c r="EJ329" i="5" s="1"/>
  <c r="EK329" i="5" s="1"/>
  <c r="X325" i="5"/>
  <c r="AJ332" i="5"/>
  <c r="DS326" i="21" l="1"/>
  <c r="CQ326" i="21"/>
  <c r="AP332" i="21"/>
  <c r="AT331" i="21"/>
  <c r="AQ331" i="21"/>
  <c r="EW327" i="21"/>
  <c r="EX327" i="21" s="1"/>
  <c r="AU330" i="21"/>
  <c r="AR330" i="21"/>
  <c r="DP328" i="21"/>
  <c r="DO328" i="21"/>
  <c r="AD325" i="21"/>
  <c r="DE325" i="21"/>
  <c r="FK325" i="21"/>
  <c r="FM325" i="21" s="1"/>
  <c r="DU330" i="21"/>
  <c r="AV330" i="21"/>
  <c r="AW330" i="21" s="1"/>
  <c r="DQ327" i="21"/>
  <c r="DR327" i="21" s="1"/>
  <c r="ER328" i="21"/>
  <c r="ES328" i="21"/>
  <c r="DN329" i="21"/>
  <c r="EM329" i="21"/>
  <c r="EP329" i="21" s="1"/>
  <c r="EQ329" i="21" s="1"/>
  <c r="DS324" i="20"/>
  <c r="CQ324" i="20"/>
  <c r="DN327" i="20"/>
  <c r="EM327" i="20"/>
  <c r="EP327" i="20" s="1"/>
  <c r="EQ327" i="20" s="1"/>
  <c r="AT329" i="20"/>
  <c r="AP330" i="20"/>
  <c r="AQ329" i="20"/>
  <c r="DQ325" i="20"/>
  <c r="DR325" i="20" s="1"/>
  <c r="ES326" i="20"/>
  <c r="ER326" i="20"/>
  <c r="EW325" i="20"/>
  <c r="EX325" i="20" s="1"/>
  <c r="AR328" i="20"/>
  <c r="AU328" i="20"/>
  <c r="DU328" i="20"/>
  <c r="AV328" i="20"/>
  <c r="AW328" i="20" s="1"/>
  <c r="AD323" i="20"/>
  <c r="FK323" i="20"/>
  <c r="FM323" i="20" s="1"/>
  <c r="DE323" i="20"/>
  <c r="DP326" i="20"/>
  <c r="DO326" i="20"/>
  <c r="DH330" i="5"/>
  <c r="EG330" i="5"/>
  <c r="EJ330" i="5" s="1"/>
  <c r="EK330" i="5" s="1"/>
  <c r="DK328" i="5"/>
  <c r="DL328" i="5" s="1"/>
  <c r="AN332" i="5"/>
  <c r="AK332" i="5"/>
  <c r="AO331" i="5"/>
  <c r="AL331" i="5"/>
  <c r="EQ328" i="5"/>
  <c r="ER328" i="5" s="1"/>
  <c r="DM327" i="5"/>
  <c r="CK327" i="5"/>
  <c r="DO331" i="5"/>
  <c r="AP331" i="5"/>
  <c r="AQ331" i="5" s="1"/>
  <c r="EL329" i="5"/>
  <c r="EM329" i="5"/>
  <c r="DI329" i="5"/>
  <c r="DJ329" i="5"/>
  <c r="CS326" i="5"/>
  <c r="FE326" i="5"/>
  <c r="FG326" i="5" s="1"/>
  <c r="AJ333" i="5"/>
  <c r="X326" i="5"/>
  <c r="DS327" i="21" l="1"/>
  <c r="CQ327" i="21"/>
  <c r="ER329" i="21"/>
  <c r="ES329" i="21"/>
  <c r="EW328" i="21"/>
  <c r="EX328" i="21" s="1"/>
  <c r="DN330" i="21"/>
  <c r="EM330" i="21"/>
  <c r="EP330" i="21" s="1"/>
  <c r="EQ330" i="21" s="1"/>
  <c r="AU331" i="21"/>
  <c r="AR331" i="21"/>
  <c r="DU331" i="21"/>
  <c r="AV331" i="21"/>
  <c r="AW331" i="21" s="1"/>
  <c r="AP333" i="21"/>
  <c r="AT332" i="21"/>
  <c r="AQ332" i="21"/>
  <c r="DO329" i="21"/>
  <c r="DP329" i="21"/>
  <c r="DQ328" i="21"/>
  <c r="DR328" i="21" s="1"/>
  <c r="AD326" i="21"/>
  <c r="FK326" i="21"/>
  <c r="FM326" i="21" s="1"/>
  <c r="CY326" i="21"/>
  <c r="DS325" i="20"/>
  <c r="CQ325" i="20"/>
  <c r="DN328" i="20"/>
  <c r="EM328" i="20"/>
  <c r="EP328" i="20" s="1"/>
  <c r="EQ328" i="20" s="1"/>
  <c r="DU329" i="20"/>
  <c r="AV329" i="20"/>
  <c r="AW329" i="20" s="1"/>
  <c r="ER327" i="20"/>
  <c r="ES327" i="20"/>
  <c r="AT330" i="20"/>
  <c r="AP331" i="20"/>
  <c r="AQ330" i="20"/>
  <c r="DP327" i="20"/>
  <c r="DO327" i="20"/>
  <c r="AR329" i="20"/>
  <c r="AU329" i="20"/>
  <c r="CY324" i="20"/>
  <c r="AD324" i="20"/>
  <c r="FK324" i="20"/>
  <c r="FM324" i="20" s="1"/>
  <c r="DQ326" i="20"/>
  <c r="DR326" i="20" s="1"/>
  <c r="EW326" i="20"/>
  <c r="EX326" i="20" s="1"/>
  <c r="DM328" i="5"/>
  <c r="CK328" i="5"/>
  <c r="EQ329" i="5"/>
  <c r="ER329" i="5" s="1"/>
  <c r="AL332" i="5"/>
  <c r="AO332" i="5"/>
  <c r="DO332" i="5"/>
  <c r="AP332" i="5"/>
  <c r="AQ332" i="5" s="1"/>
  <c r="AN333" i="5"/>
  <c r="AK333" i="5"/>
  <c r="FE327" i="5"/>
  <c r="FG327" i="5" s="1"/>
  <c r="CY327" i="5"/>
  <c r="EL330" i="5"/>
  <c r="EM330" i="5"/>
  <c r="DH331" i="5"/>
  <c r="EG331" i="5"/>
  <c r="EJ331" i="5" s="1"/>
  <c r="EK331" i="5" s="1"/>
  <c r="DK329" i="5"/>
  <c r="DL329" i="5" s="1"/>
  <c r="DJ330" i="5"/>
  <c r="DI330" i="5"/>
  <c r="AJ334" i="5"/>
  <c r="X327" i="5"/>
  <c r="DS328" i="21" l="1"/>
  <c r="CQ328" i="21"/>
  <c r="AR332" i="21"/>
  <c r="AU332" i="21"/>
  <c r="AP334" i="21"/>
  <c r="AT333" i="21"/>
  <c r="AQ333" i="21"/>
  <c r="DN331" i="21"/>
  <c r="EM331" i="21"/>
  <c r="EP331" i="21" s="1"/>
  <c r="EQ331" i="21" s="1"/>
  <c r="DQ329" i="21"/>
  <c r="DR329" i="21" s="1"/>
  <c r="DP330" i="21"/>
  <c r="DO330" i="21"/>
  <c r="DU332" i="21"/>
  <c r="AV332" i="21"/>
  <c r="AW332" i="21" s="1"/>
  <c r="ER330" i="21"/>
  <c r="ES330" i="21"/>
  <c r="EW329" i="21"/>
  <c r="EX329" i="21" s="1"/>
  <c r="AD327" i="21"/>
  <c r="DE327" i="21"/>
  <c r="FK327" i="21"/>
  <c r="FM327" i="21" s="1"/>
  <c r="DS326" i="20"/>
  <c r="CQ326" i="20"/>
  <c r="DQ327" i="20"/>
  <c r="DR327" i="20" s="1"/>
  <c r="DN329" i="20"/>
  <c r="EM329" i="20"/>
  <c r="EP329" i="20" s="1"/>
  <c r="EQ329" i="20" s="1"/>
  <c r="ER328" i="20"/>
  <c r="ES328" i="20"/>
  <c r="AR330" i="20"/>
  <c r="AU330" i="20"/>
  <c r="DP328" i="20"/>
  <c r="DO328" i="20"/>
  <c r="EW327" i="20"/>
  <c r="EX327" i="20" s="1"/>
  <c r="AT331" i="20"/>
  <c r="AP332" i="20"/>
  <c r="AQ331" i="20"/>
  <c r="DE325" i="20"/>
  <c r="AD325" i="20"/>
  <c r="FK325" i="20"/>
  <c r="FM325" i="20" s="1"/>
  <c r="DU330" i="20"/>
  <c r="AV330" i="20"/>
  <c r="AW330" i="20" s="1"/>
  <c r="DM329" i="5"/>
  <c r="CK329" i="5"/>
  <c r="DJ331" i="5"/>
  <c r="DI331" i="5"/>
  <c r="DH332" i="5"/>
  <c r="EG332" i="5"/>
  <c r="EJ332" i="5" s="1"/>
  <c r="EK332" i="5" s="1"/>
  <c r="EQ330" i="5"/>
  <c r="ER330" i="5" s="1"/>
  <c r="DK330" i="5"/>
  <c r="DL330" i="5" s="1"/>
  <c r="EL331" i="5"/>
  <c r="EM331" i="5"/>
  <c r="AO333" i="5"/>
  <c r="AL333" i="5"/>
  <c r="FE328" i="5"/>
  <c r="FG328" i="5" s="1"/>
  <c r="CS328" i="5"/>
  <c r="AN334" i="5"/>
  <c r="AK334" i="5"/>
  <c r="DO333" i="5"/>
  <c r="AP333" i="5"/>
  <c r="AQ333" i="5" s="1"/>
  <c r="X329" i="5"/>
  <c r="X328" i="5"/>
  <c r="AJ335" i="5"/>
  <c r="DS329" i="21" l="1"/>
  <c r="CQ329" i="21"/>
  <c r="AU333" i="21"/>
  <c r="AR333" i="21"/>
  <c r="DQ330" i="21"/>
  <c r="DR330" i="21" s="1"/>
  <c r="EW330" i="21"/>
  <c r="EX330" i="21" s="1"/>
  <c r="DO331" i="21"/>
  <c r="DP331" i="21"/>
  <c r="ES331" i="21"/>
  <c r="ER331" i="21"/>
  <c r="CY328" i="21"/>
  <c r="AD328" i="21"/>
  <c r="FK328" i="21"/>
  <c r="FM328" i="21" s="1"/>
  <c r="DN332" i="21"/>
  <c r="EM332" i="21"/>
  <c r="EP332" i="21" s="1"/>
  <c r="EQ332" i="21" s="1"/>
  <c r="DU333" i="21"/>
  <c r="AV333" i="21"/>
  <c r="AW333" i="21" s="1"/>
  <c r="AT334" i="21"/>
  <c r="AP335" i="21"/>
  <c r="AQ334" i="21"/>
  <c r="DS327" i="20"/>
  <c r="CQ327" i="20"/>
  <c r="EW328" i="20"/>
  <c r="EX328" i="20" s="1"/>
  <c r="DU331" i="20"/>
  <c r="AV331" i="20"/>
  <c r="AW331" i="20" s="1"/>
  <c r="DN330" i="20"/>
  <c r="EM330" i="20"/>
  <c r="EP330" i="20" s="1"/>
  <c r="EQ330" i="20" s="1"/>
  <c r="AP333" i="20"/>
  <c r="AT332" i="20"/>
  <c r="AQ332" i="20"/>
  <c r="ES329" i="20"/>
  <c r="ER329" i="20"/>
  <c r="DQ328" i="20"/>
  <c r="DR328" i="20" s="1"/>
  <c r="CY326" i="20"/>
  <c r="AD326" i="20"/>
  <c r="FK326" i="20"/>
  <c r="FM326" i="20" s="1"/>
  <c r="DO329" i="20"/>
  <c r="DP329" i="20"/>
  <c r="AU331" i="20"/>
  <c r="AR331" i="20"/>
  <c r="DM330" i="5"/>
  <c r="CK330" i="5"/>
  <c r="EM332" i="5"/>
  <c r="EL332" i="5"/>
  <c r="DI332" i="5"/>
  <c r="DJ332" i="5"/>
  <c r="DK331" i="5"/>
  <c r="DL331" i="5" s="1"/>
  <c r="AN335" i="5"/>
  <c r="AK335" i="5"/>
  <c r="DH333" i="5"/>
  <c r="EG333" i="5"/>
  <c r="EJ333" i="5" s="1"/>
  <c r="EK333" i="5" s="1"/>
  <c r="EQ331" i="5"/>
  <c r="ER331" i="5" s="1"/>
  <c r="AL334" i="5"/>
  <c r="AO334" i="5"/>
  <c r="FE329" i="5"/>
  <c r="FG329" i="5" s="1"/>
  <c r="CY329" i="5"/>
  <c r="DO334" i="5"/>
  <c r="AP334" i="5"/>
  <c r="AQ334" i="5" s="1"/>
  <c r="AJ336" i="5"/>
  <c r="DS330" i="21" l="1"/>
  <c r="CQ330" i="21"/>
  <c r="DN333" i="21"/>
  <c r="EM333" i="21"/>
  <c r="EP333" i="21" s="1"/>
  <c r="EQ333" i="21" s="1"/>
  <c r="ES332" i="21"/>
  <c r="ER332" i="21"/>
  <c r="AP336" i="21"/>
  <c r="AT335" i="21"/>
  <c r="AQ335" i="21"/>
  <c r="AU334" i="21"/>
  <c r="AR334" i="21"/>
  <c r="DQ331" i="21"/>
  <c r="DR331" i="21" s="1"/>
  <c r="DU334" i="21"/>
  <c r="AV334" i="21"/>
  <c r="AW334" i="21" s="1"/>
  <c r="DP332" i="21"/>
  <c r="DO332" i="21"/>
  <c r="EW331" i="21"/>
  <c r="EX331" i="21" s="1"/>
  <c r="CY329" i="21"/>
  <c r="AD329" i="21"/>
  <c r="FK329" i="21"/>
  <c r="FM329" i="21" s="1"/>
  <c r="CQ328" i="20"/>
  <c r="DS328" i="20"/>
  <c r="DP330" i="20"/>
  <c r="DO330" i="20"/>
  <c r="ER330" i="20"/>
  <c r="ES330" i="20"/>
  <c r="EW329" i="20"/>
  <c r="EX329" i="20" s="1"/>
  <c r="DQ329" i="20"/>
  <c r="DR329" i="20" s="1"/>
  <c r="AU332" i="20"/>
  <c r="AR332" i="20"/>
  <c r="DU332" i="20"/>
  <c r="AV332" i="20"/>
  <c r="AW332" i="20" s="1"/>
  <c r="FK327" i="20"/>
  <c r="FM327" i="20" s="1"/>
  <c r="DE327" i="20"/>
  <c r="AD327" i="20"/>
  <c r="DN331" i="20"/>
  <c r="EM331" i="20"/>
  <c r="EP331" i="20" s="1"/>
  <c r="EQ331" i="20" s="1"/>
  <c r="AP334" i="20"/>
  <c r="AT333" i="20"/>
  <c r="AQ333" i="20"/>
  <c r="DM331" i="5"/>
  <c r="CK331" i="5"/>
  <c r="DK332" i="5"/>
  <c r="DL332" i="5" s="1"/>
  <c r="EQ332" i="5"/>
  <c r="ER332" i="5" s="1"/>
  <c r="EL333" i="5"/>
  <c r="EM333" i="5"/>
  <c r="DH334" i="5"/>
  <c r="EG334" i="5"/>
  <c r="EJ334" i="5" s="1"/>
  <c r="EK334" i="5" s="1"/>
  <c r="DJ333" i="5"/>
  <c r="DI333" i="5"/>
  <c r="AN336" i="5"/>
  <c r="AK336" i="5"/>
  <c r="AO335" i="5"/>
  <c r="AL335" i="5"/>
  <c r="CS330" i="5"/>
  <c r="FE330" i="5"/>
  <c r="FG330" i="5" s="1"/>
  <c r="DO335" i="5"/>
  <c r="AP335" i="5"/>
  <c r="AQ335" i="5" s="1"/>
  <c r="X330" i="5"/>
  <c r="AJ337" i="5"/>
  <c r="DS331" i="21" l="1"/>
  <c r="CQ331" i="21"/>
  <c r="DQ332" i="21"/>
  <c r="DR332" i="21" s="1"/>
  <c r="AP337" i="21"/>
  <c r="AT336" i="21"/>
  <c r="AQ336" i="21"/>
  <c r="EW332" i="21"/>
  <c r="EX332" i="21" s="1"/>
  <c r="DN334" i="21"/>
  <c r="EM334" i="21"/>
  <c r="EP334" i="21" s="1"/>
  <c r="EQ334" i="21" s="1"/>
  <c r="ES333" i="21"/>
  <c r="ER333" i="21"/>
  <c r="AR335" i="21"/>
  <c r="AU335" i="21"/>
  <c r="DP333" i="21"/>
  <c r="DO333" i="21"/>
  <c r="DE330" i="21"/>
  <c r="AD330" i="21"/>
  <c r="FK330" i="21"/>
  <c r="FM330" i="21" s="1"/>
  <c r="DU335" i="21"/>
  <c r="AV335" i="21"/>
  <c r="AW335" i="21" s="1"/>
  <c r="DS329" i="20"/>
  <c r="CQ329" i="20"/>
  <c r="EW330" i="20"/>
  <c r="EX330" i="20" s="1"/>
  <c r="AU333" i="20"/>
  <c r="AR333" i="20"/>
  <c r="ES331" i="20"/>
  <c r="ER331" i="20"/>
  <c r="DN332" i="20"/>
  <c r="EM332" i="20"/>
  <c r="EP332" i="20" s="1"/>
  <c r="EQ332" i="20" s="1"/>
  <c r="DU333" i="20"/>
  <c r="AV333" i="20"/>
  <c r="AW333" i="20" s="1"/>
  <c r="AP335" i="20"/>
  <c r="AT334" i="20"/>
  <c r="AQ334" i="20"/>
  <c r="DQ330" i="20"/>
  <c r="DR330" i="20" s="1"/>
  <c r="DP331" i="20"/>
  <c r="DO331" i="20"/>
  <c r="FK328" i="20"/>
  <c r="FM328" i="20" s="1"/>
  <c r="AD328" i="20"/>
  <c r="CY328" i="20"/>
  <c r="DM332" i="5"/>
  <c r="CK332" i="5"/>
  <c r="EQ333" i="5"/>
  <c r="ER333" i="5" s="1"/>
  <c r="DO336" i="5"/>
  <c r="AP336" i="5"/>
  <c r="AQ336" i="5" s="1"/>
  <c r="AN337" i="5"/>
  <c r="AK337" i="5"/>
  <c r="DH335" i="5"/>
  <c r="EG335" i="5"/>
  <c r="EJ335" i="5" s="1"/>
  <c r="EK335" i="5" s="1"/>
  <c r="AL336" i="5"/>
  <c r="AO336" i="5"/>
  <c r="EL334" i="5"/>
  <c r="EM334" i="5"/>
  <c r="FE331" i="5"/>
  <c r="FG331" i="5" s="1"/>
  <c r="CY331" i="5"/>
  <c r="DK333" i="5"/>
  <c r="DL333" i="5" s="1"/>
  <c r="DJ334" i="5"/>
  <c r="DI334" i="5"/>
  <c r="X331" i="5"/>
  <c r="AJ338" i="5"/>
  <c r="DS332" i="21" l="1"/>
  <c r="CQ332" i="21"/>
  <c r="DN335" i="21"/>
  <c r="EM335" i="21"/>
  <c r="EP335" i="21" s="1"/>
  <c r="EQ335" i="21" s="1"/>
  <c r="ES334" i="21"/>
  <c r="ER334" i="21"/>
  <c r="DU336" i="21"/>
  <c r="AV336" i="21"/>
  <c r="AW336" i="21" s="1"/>
  <c r="DQ333" i="21"/>
  <c r="DR333" i="21" s="1"/>
  <c r="DP334" i="21"/>
  <c r="DO334" i="21"/>
  <c r="EW333" i="21"/>
  <c r="EX333" i="21" s="1"/>
  <c r="AP338" i="21"/>
  <c r="AT337" i="21"/>
  <c r="AQ337" i="21"/>
  <c r="AR336" i="21"/>
  <c r="AU336" i="21"/>
  <c r="AD331" i="21"/>
  <c r="FK331" i="21"/>
  <c r="FM331" i="21" s="1"/>
  <c r="CY331" i="21"/>
  <c r="EW331" i="20"/>
  <c r="EX331" i="20" s="1"/>
  <c r="AP336" i="20"/>
  <c r="AT335" i="20"/>
  <c r="AQ335" i="20"/>
  <c r="AU334" i="20"/>
  <c r="AR334" i="20"/>
  <c r="DQ331" i="20"/>
  <c r="DR331" i="20" s="1"/>
  <c r="DN333" i="20"/>
  <c r="EM333" i="20"/>
  <c r="EP333" i="20" s="1"/>
  <c r="EQ333" i="20" s="1"/>
  <c r="DS330" i="20"/>
  <c r="CQ330" i="20"/>
  <c r="ES332" i="20"/>
  <c r="ER332" i="20"/>
  <c r="CY329" i="20"/>
  <c r="AD329" i="20"/>
  <c r="FK329" i="20"/>
  <c r="FM329" i="20" s="1"/>
  <c r="DU334" i="20"/>
  <c r="AV334" i="20"/>
  <c r="AW334" i="20" s="1"/>
  <c r="DP332" i="20"/>
  <c r="DO332" i="20"/>
  <c r="DM333" i="5"/>
  <c r="CK333" i="5"/>
  <c r="AL337" i="5"/>
  <c r="AO337" i="5"/>
  <c r="DO337" i="5"/>
  <c r="AP337" i="5"/>
  <c r="AQ337" i="5" s="1"/>
  <c r="AN338" i="5"/>
  <c r="AK338" i="5"/>
  <c r="EQ334" i="5"/>
  <c r="ER334" i="5" s="1"/>
  <c r="DH336" i="5"/>
  <c r="EG336" i="5"/>
  <c r="EJ336" i="5" s="1"/>
  <c r="EK336" i="5" s="1"/>
  <c r="EL335" i="5"/>
  <c r="EM335" i="5"/>
  <c r="CS332" i="5"/>
  <c r="FE332" i="5"/>
  <c r="FG332" i="5" s="1"/>
  <c r="DK334" i="5"/>
  <c r="DL334" i="5" s="1"/>
  <c r="DI335" i="5"/>
  <c r="DJ335" i="5"/>
  <c r="X332" i="5"/>
  <c r="AJ339" i="5"/>
  <c r="CQ333" i="21" l="1"/>
  <c r="DS333" i="21"/>
  <c r="DQ334" i="21"/>
  <c r="DR334" i="21" s="1"/>
  <c r="DN336" i="21"/>
  <c r="EM336" i="21"/>
  <c r="EP336" i="21" s="1"/>
  <c r="EQ336" i="21" s="1"/>
  <c r="EW334" i="21"/>
  <c r="EX334" i="21" s="1"/>
  <c r="AT338" i="21"/>
  <c r="AP339" i="21"/>
  <c r="AQ338" i="21"/>
  <c r="ES335" i="21"/>
  <c r="ER335" i="21"/>
  <c r="DU337" i="21"/>
  <c r="AV337" i="21"/>
  <c r="AW337" i="21" s="1"/>
  <c r="DO335" i="21"/>
  <c r="DP335" i="21"/>
  <c r="AU337" i="21"/>
  <c r="AR337" i="21"/>
  <c r="AD332" i="21"/>
  <c r="FK332" i="21"/>
  <c r="FM332" i="21" s="1"/>
  <c r="DE332" i="21"/>
  <c r="DU335" i="20"/>
  <c r="AV335" i="20"/>
  <c r="AW335" i="20" s="1"/>
  <c r="DS331" i="20"/>
  <c r="CQ331" i="20"/>
  <c r="DQ332" i="20"/>
  <c r="DR332" i="20" s="1"/>
  <c r="DE330" i="20"/>
  <c r="AD330" i="20"/>
  <c r="FK330" i="20"/>
  <c r="FM330" i="20" s="1"/>
  <c r="ES333" i="20"/>
  <c r="ER333" i="20"/>
  <c r="AT336" i="20"/>
  <c r="AP337" i="20"/>
  <c r="AQ336" i="20"/>
  <c r="EW332" i="20"/>
  <c r="EX332" i="20" s="1"/>
  <c r="DP333" i="20"/>
  <c r="DO333" i="20"/>
  <c r="AR335" i="20"/>
  <c r="AU335" i="20"/>
  <c r="DN334" i="20"/>
  <c r="EM334" i="20"/>
  <c r="EP334" i="20" s="1"/>
  <c r="EQ334" i="20" s="1"/>
  <c r="DM334" i="5"/>
  <c r="CK334" i="5"/>
  <c r="AO338" i="5"/>
  <c r="AL338" i="5"/>
  <c r="DH337" i="5"/>
  <c r="EG337" i="5"/>
  <c r="EJ337" i="5" s="1"/>
  <c r="EK337" i="5" s="1"/>
  <c r="EL336" i="5"/>
  <c r="EM336" i="5"/>
  <c r="DO338" i="5"/>
  <c r="AP338" i="5"/>
  <c r="AQ338" i="5" s="1"/>
  <c r="DI336" i="5"/>
  <c r="DJ336" i="5"/>
  <c r="AN339" i="5"/>
  <c r="AK339" i="5"/>
  <c r="FE333" i="5"/>
  <c r="FG333" i="5" s="1"/>
  <c r="CS333" i="5"/>
  <c r="EQ335" i="5"/>
  <c r="ER335" i="5" s="1"/>
  <c r="DK335" i="5"/>
  <c r="DL335" i="5" s="1"/>
  <c r="AJ340" i="5"/>
  <c r="X333" i="5"/>
  <c r="DS334" i="21" l="1"/>
  <c r="CQ334" i="21"/>
  <c r="AU338" i="21"/>
  <c r="AR338" i="21"/>
  <c r="EW335" i="21"/>
  <c r="EX335" i="21" s="1"/>
  <c r="ES336" i="21"/>
  <c r="ER336" i="21"/>
  <c r="DO336" i="21"/>
  <c r="DP336" i="21"/>
  <c r="DU338" i="21"/>
  <c r="AV338" i="21"/>
  <c r="AW338" i="21" s="1"/>
  <c r="DN337" i="21"/>
  <c r="EM337" i="21"/>
  <c r="EP337" i="21" s="1"/>
  <c r="EQ337" i="21" s="1"/>
  <c r="DQ335" i="21"/>
  <c r="DR335" i="21" s="1"/>
  <c r="AP340" i="21"/>
  <c r="AT339" i="21"/>
  <c r="AQ339" i="21"/>
  <c r="CY333" i="21"/>
  <c r="AD333" i="21"/>
  <c r="FK333" i="21"/>
  <c r="FM333" i="21" s="1"/>
  <c r="DS332" i="20"/>
  <c r="CQ332" i="20"/>
  <c r="DP334" i="20"/>
  <c r="DO334" i="20"/>
  <c r="AP338" i="20"/>
  <c r="AT337" i="20"/>
  <c r="AQ337" i="20"/>
  <c r="DU336" i="20"/>
  <c r="AV336" i="20"/>
  <c r="AW336" i="20" s="1"/>
  <c r="CY331" i="20"/>
  <c r="AD331" i="20"/>
  <c r="FK331" i="20"/>
  <c r="FM331" i="20" s="1"/>
  <c r="EW333" i="20"/>
  <c r="EX333" i="20" s="1"/>
  <c r="AR336" i="20"/>
  <c r="AU336" i="20"/>
  <c r="DQ333" i="20"/>
  <c r="DR333" i="20" s="1"/>
  <c r="ES334" i="20"/>
  <c r="ER334" i="20"/>
  <c r="DN335" i="20"/>
  <c r="EM335" i="20"/>
  <c r="EP335" i="20" s="1"/>
  <c r="EQ335" i="20" s="1"/>
  <c r="DM335" i="5"/>
  <c r="CK335" i="5"/>
  <c r="DO339" i="5"/>
  <c r="AP339" i="5"/>
  <c r="AQ339" i="5" s="1"/>
  <c r="DJ337" i="5"/>
  <c r="DI337" i="5"/>
  <c r="EQ336" i="5"/>
  <c r="ER336" i="5" s="1"/>
  <c r="DK336" i="5"/>
  <c r="DL336" i="5" s="1"/>
  <c r="AL339" i="5"/>
  <c r="AO339" i="5"/>
  <c r="CY334" i="5"/>
  <c r="FE334" i="5"/>
  <c r="FG334" i="5" s="1"/>
  <c r="EL337" i="5"/>
  <c r="EM337" i="5"/>
  <c r="AN340" i="5"/>
  <c r="AK340" i="5"/>
  <c r="DH338" i="5"/>
  <c r="EG338" i="5"/>
  <c r="EJ338" i="5" s="1"/>
  <c r="EK338" i="5" s="1"/>
  <c r="AJ341" i="5"/>
  <c r="DS335" i="21" l="1"/>
  <c r="CQ335" i="21"/>
  <c r="AU339" i="21"/>
  <c r="AR339" i="21"/>
  <c r="DO337" i="21"/>
  <c r="DP337" i="21"/>
  <c r="ER337" i="21"/>
  <c r="ES337" i="21"/>
  <c r="AP341" i="21"/>
  <c r="AT340" i="21"/>
  <c r="AQ340" i="21"/>
  <c r="EW336" i="21"/>
  <c r="EX336" i="21" s="1"/>
  <c r="DQ336" i="21"/>
  <c r="DR336" i="21" s="1"/>
  <c r="AD334" i="21"/>
  <c r="FK334" i="21"/>
  <c r="FM334" i="21" s="1"/>
  <c r="DE334" i="21"/>
  <c r="DU339" i="21"/>
  <c r="AV339" i="21"/>
  <c r="AW339" i="21" s="1"/>
  <c r="DN338" i="21"/>
  <c r="EM338" i="21"/>
  <c r="EP338" i="21" s="1"/>
  <c r="EQ338" i="21" s="1"/>
  <c r="DS333" i="20"/>
  <c r="CQ333" i="20"/>
  <c r="AR337" i="20"/>
  <c r="AU337" i="20"/>
  <c r="DU337" i="20"/>
  <c r="AV337" i="20"/>
  <c r="AW337" i="20" s="1"/>
  <c r="DP335" i="20"/>
  <c r="DO335" i="20"/>
  <c r="AP339" i="20"/>
  <c r="AT338" i="20"/>
  <c r="AQ338" i="20"/>
  <c r="EW334" i="20"/>
  <c r="EX334" i="20" s="1"/>
  <c r="DQ334" i="20"/>
  <c r="DR334" i="20" s="1"/>
  <c r="DN336" i="20"/>
  <c r="EM336" i="20"/>
  <c r="EP336" i="20" s="1"/>
  <c r="EQ336" i="20" s="1"/>
  <c r="ES335" i="20"/>
  <c r="ER335" i="20"/>
  <c r="DE332" i="20"/>
  <c r="FK332" i="20"/>
  <c r="FM332" i="20" s="1"/>
  <c r="AD332" i="20"/>
  <c r="DM336" i="5"/>
  <c r="CK336" i="5"/>
  <c r="EQ337" i="5"/>
  <c r="ER337" i="5" s="1"/>
  <c r="DK337" i="5"/>
  <c r="DL337" i="5" s="1"/>
  <c r="DO340" i="5"/>
  <c r="AP340" i="5"/>
  <c r="AQ340" i="5" s="1"/>
  <c r="AN341" i="5"/>
  <c r="AK341" i="5"/>
  <c r="DI338" i="5"/>
  <c r="DJ338" i="5"/>
  <c r="DH339" i="5"/>
  <c r="EG339" i="5"/>
  <c r="EJ339" i="5" s="1"/>
  <c r="EK339" i="5" s="1"/>
  <c r="EL338" i="5"/>
  <c r="EM338" i="5"/>
  <c r="AL340" i="5"/>
  <c r="AO340" i="5"/>
  <c r="FE335" i="5"/>
  <c r="FG335" i="5" s="1"/>
  <c r="CS335" i="5"/>
  <c r="X334" i="5"/>
  <c r="AJ342" i="5"/>
  <c r="X335" i="5"/>
  <c r="DS336" i="21" l="1"/>
  <c r="CQ336" i="21"/>
  <c r="ES338" i="21"/>
  <c r="ER338" i="21"/>
  <c r="DN339" i="21"/>
  <c r="EM339" i="21"/>
  <c r="EP339" i="21" s="1"/>
  <c r="EQ339" i="21" s="1"/>
  <c r="AP342" i="21"/>
  <c r="AT341" i="21"/>
  <c r="AQ341" i="21"/>
  <c r="DU340" i="21"/>
  <c r="AV340" i="21"/>
  <c r="AW340" i="21" s="1"/>
  <c r="EW337" i="21"/>
  <c r="EX337" i="21" s="1"/>
  <c r="DP338" i="21"/>
  <c r="DO338" i="21"/>
  <c r="AR340" i="21"/>
  <c r="AU340" i="21"/>
  <c r="DQ337" i="21"/>
  <c r="DR337" i="21" s="1"/>
  <c r="FK335" i="21"/>
  <c r="FM335" i="21" s="1"/>
  <c r="CY335" i="21"/>
  <c r="AD335" i="21"/>
  <c r="DS334" i="20"/>
  <c r="CQ334" i="20"/>
  <c r="DP336" i="20"/>
  <c r="DO336" i="20"/>
  <c r="DQ335" i="20"/>
  <c r="DR335" i="20" s="1"/>
  <c r="DN337" i="20"/>
  <c r="EM337" i="20"/>
  <c r="EP337" i="20" s="1"/>
  <c r="EQ337" i="20" s="1"/>
  <c r="AR338" i="20"/>
  <c r="AU338" i="20"/>
  <c r="DU338" i="20"/>
  <c r="AV338" i="20"/>
  <c r="AW338" i="20" s="1"/>
  <c r="FK333" i="20"/>
  <c r="FM333" i="20" s="1"/>
  <c r="AD333" i="20"/>
  <c r="CY333" i="20"/>
  <c r="EW335" i="20"/>
  <c r="EX335" i="20" s="1"/>
  <c r="ER336" i="20"/>
  <c r="ES336" i="20"/>
  <c r="AT339" i="20"/>
  <c r="AP340" i="20"/>
  <c r="AQ339" i="20"/>
  <c r="DM337" i="5"/>
  <c r="CK337" i="5"/>
  <c r="EQ338" i="5"/>
  <c r="ER338" i="5" s="1"/>
  <c r="DH340" i="5"/>
  <c r="EG340" i="5"/>
  <c r="EJ340" i="5" s="1"/>
  <c r="EK340" i="5" s="1"/>
  <c r="EM339" i="5"/>
  <c r="EL339" i="5"/>
  <c r="DI339" i="5"/>
  <c r="DJ339" i="5"/>
  <c r="AN342" i="5"/>
  <c r="AK342" i="5"/>
  <c r="DK338" i="5"/>
  <c r="DL338" i="5" s="1"/>
  <c r="AO341" i="5"/>
  <c r="AL341" i="5"/>
  <c r="CY336" i="5"/>
  <c r="FE336" i="5"/>
  <c r="FG336" i="5" s="1"/>
  <c r="DO341" i="5"/>
  <c r="AP341" i="5"/>
  <c r="AQ341" i="5" s="1"/>
  <c r="X336" i="5"/>
  <c r="AJ343" i="5"/>
  <c r="DS337" i="21" l="1"/>
  <c r="CQ337" i="21"/>
  <c r="DQ338" i="21"/>
  <c r="DR338" i="21" s="1"/>
  <c r="DN340" i="21"/>
  <c r="EM340" i="21"/>
  <c r="EP340" i="21" s="1"/>
  <c r="EQ340" i="21" s="1"/>
  <c r="AP343" i="21"/>
  <c r="AT342" i="21"/>
  <c r="AQ342" i="21"/>
  <c r="DU341" i="21"/>
  <c r="AV341" i="21"/>
  <c r="AW341" i="21" s="1"/>
  <c r="AR341" i="21"/>
  <c r="AU341" i="21"/>
  <c r="ER339" i="21"/>
  <c r="ES339" i="21"/>
  <c r="DP339" i="21"/>
  <c r="DO339" i="21"/>
  <c r="EW338" i="21"/>
  <c r="EX338" i="21" s="1"/>
  <c r="AD336" i="21"/>
  <c r="CY336" i="21"/>
  <c r="FK336" i="21"/>
  <c r="FM336" i="21" s="1"/>
  <c r="DS335" i="20"/>
  <c r="CQ335" i="20"/>
  <c r="ES337" i="20"/>
  <c r="ER337" i="20"/>
  <c r="DP337" i="20"/>
  <c r="DO337" i="20"/>
  <c r="DU339" i="20"/>
  <c r="AV339" i="20"/>
  <c r="AW339" i="20" s="1"/>
  <c r="DQ336" i="20"/>
  <c r="DR336" i="20" s="1"/>
  <c r="AR339" i="20"/>
  <c r="AU339" i="20"/>
  <c r="AT340" i="20"/>
  <c r="AP341" i="20"/>
  <c r="AQ340" i="20"/>
  <c r="DN338" i="20"/>
  <c r="EM338" i="20"/>
  <c r="EP338" i="20" s="1"/>
  <c r="EQ338" i="20" s="1"/>
  <c r="EW336" i="20"/>
  <c r="EX336" i="20" s="1"/>
  <c r="FK334" i="20"/>
  <c r="FM334" i="20" s="1"/>
  <c r="AD334" i="20"/>
  <c r="DE334" i="20"/>
  <c r="DM338" i="5"/>
  <c r="CK338" i="5"/>
  <c r="EQ339" i="5"/>
  <c r="ER339" i="5" s="1"/>
  <c r="DI340" i="5"/>
  <c r="DJ340" i="5"/>
  <c r="EL340" i="5"/>
  <c r="EM340" i="5"/>
  <c r="AO342" i="5"/>
  <c r="AL342" i="5"/>
  <c r="DO342" i="5"/>
  <c r="AP342" i="5"/>
  <c r="AQ342" i="5" s="1"/>
  <c r="CS337" i="5"/>
  <c r="FE337" i="5"/>
  <c r="FG337" i="5" s="1"/>
  <c r="AN343" i="5"/>
  <c r="AK343" i="5"/>
  <c r="DH341" i="5"/>
  <c r="EG341" i="5"/>
  <c r="EJ341" i="5" s="1"/>
  <c r="EK341" i="5" s="1"/>
  <c r="DK339" i="5"/>
  <c r="DL339" i="5" s="1"/>
  <c r="AJ344" i="5"/>
  <c r="X337" i="5"/>
  <c r="DS338" i="21" l="1"/>
  <c r="CQ338" i="21"/>
  <c r="EW339" i="21"/>
  <c r="EX339" i="21" s="1"/>
  <c r="AU342" i="21"/>
  <c r="AR342" i="21"/>
  <c r="DU342" i="21"/>
  <c r="AV342" i="21"/>
  <c r="AW342" i="21" s="1"/>
  <c r="DN341" i="21"/>
  <c r="EM341" i="21"/>
  <c r="EP341" i="21" s="1"/>
  <c r="EQ341" i="21" s="1"/>
  <c r="AT343" i="21"/>
  <c r="AP344" i="21"/>
  <c r="AQ343" i="21"/>
  <c r="FK337" i="21"/>
  <c r="FM337" i="21" s="1"/>
  <c r="DE337" i="21"/>
  <c r="AD337" i="21"/>
  <c r="DQ339" i="21"/>
  <c r="DR339" i="21" s="1"/>
  <c r="ES340" i="21"/>
  <c r="ER340" i="21"/>
  <c r="DP340" i="21"/>
  <c r="DO340" i="21"/>
  <c r="DS336" i="20"/>
  <c r="CQ336" i="20"/>
  <c r="DP338" i="20"/>
  <c r="DO338" i="20"/>
  <c r="DN339" i="20"/>
  <c r="EM339" i="20"/>
  <c r="EP339" i="20" s="1"/>
  <c r="EQ339" i="20" s="1"/>
  <c r="DQ337" i="20"/>
  <c r="DR337" i="20" s="1"/>
  <c r="DU340" i="20"/>
  <c r="AV340" i="20"/>
  <c r="AW340" i="20" s="1"/>
  <c r="EW337" i="20"/>
  <c r="EX337" i="20" s="1"/>
  <c r="AU340" i="20"/>
  <c r="AR340" i="20"/>
  <c r="AT341" i="20"/>
  <c r="AP342" i="20"/>
  <c r="AQ341" i="20"/>
  <c r="FK335" i="20"/>
  <c r="FM335" i="20" s="1"/>
  <c r="CY335" i="20"/>
  <c r="AD335" i="20"/>
  <c r="ER338" i="20"/>
  <c r="ES338" i="20"/>
  <c r="DM339" i="5"/>
  <c r="CK339" i="5"/>
  <c r="AL343" i="5"/>
  <c r="AO343" i="5"/>
  <c r="DK340" i="5"/>
  <c r="DL340" i="5" s="1"/>
  <c r="DO343" i="5"/>
  <c r="AP343" i="5"/>
  <c r="AQ343" i="5" s="1"/>
  <c r="DH342" i="5"/>
  <c r="EG342" i="5"/>
  <c r="EJ342" i="5" s="1"/>
  <c r="EK342" i="5" s="1"/>
  <c r="EL341" i="5"/>
  <c r="EM341" i="5"/>
  <c r="FE338" i="5"/>
  <c r="FG338" i="5" s="1"/>
  <c r="CY338" i="5"/>
  <c r="EQ340" i="5"/>
  <c r="ER340" i="5" s="1"/>
  <c r="AN344" i="5"/>
  <c r="AK344" i="5"/>
  <c r="DJ341" i="5"/>
  <c r="DI341" i="5"/>
  <c r="X338" i="5"/>
  <c r="AJ345" i="5"/>
  <c r="DS339" i="21" l="1"/>
  <c r="CQ339" i="21"/>
  <c r="AU343" i="21"/>
  <c r="AR343" i="21"/>
  <c r="DQ340" i="21"/>
  <c r="DR340" i="21" s="1"/>
  <c r="DN342" i="21"/>
  <c r="EM342" i="21"/>
  <c r="EP342" i="21" s="1"/>
  <c r="EQ342" i="21" s="1"/>
  <c r="ER341" i="21"/>
  <c r="ES341" i="21"/>
  <c r="EW340" i="21"/>
  <c r="EX340" i="21" s="1"/>
  <c r="AT344" i="21"/>
  <c r="AP345" i="21"/>
  <c r="AQ344" i="21"/>
  <c r="DP341" i="21"/>
  <c r="DO341" i="21"/>
  <c r="FK338" i="21"/>
  <c r="FM338" i="21" s="1"/>
  <c r="DE338" i="21"/>
  <c r="AD338" i="21"/>
  <c r="DU343" i="21"/>
  <c r="AV343" i="21"/>
  <c r="AW343" i="21" s="1"/>
  <c r="DS337" i="20"/>
  <c r="CQ337" i="20"/>
  <c r="AT342" i="20"/>
  <c r="AP343" i="20"/>
  <c r="AQ342" i="20"/>
  <c r="EW338" i="20"/>
  <c r="EX338" i="20" s="1"/>
  <c r="DP339" i="20"/>
  <c r="DO339" i="20"/>
  <c r="DU341" i="20"/>
  <c r="AV341" i="20"/>
  <c r="AW341" i="20" s="1"/>
  <c r="DQ338" i="20"/>
  <c r="DR338" i="20" s="1"/>
  <c r="CY336" i="20"/>
  <c r="AD336" i="20"/>
  <c r="FK336" i="20"/>
  <c r="FM336" i="20" s="1"/>
  <c r="ES339" i="20"/>
  <c r="ER339" i="20"/>
  <c r="AU341" i="20"/>
  <c r="AR341" i="20"/>
  <c r="DN340" i="20"/>
  <c r="EM340" i="20"/>
  <c r="EP340" i="20" s="1"/>
  <c r="EQ340" i="20" s="1"/>
  <c r="DM340" i="5"/>
  <c r="CK340" i="5"/>
  <c r="DH343" i="5"/>
  <c r="EG343" i="5"/>
  <c r="EJ343" i="5" s="1"/>
  <c r="EK343" i="5" s="1"/>
  <c r="AN345" i="5"/>
  <c r="AK345" i="5"/>
  <c r="DK341" i="5"/>
  <c r="DL341" i="5" s="1"/>
  <c r="EQ341" i="5"/>
  <c r="ER341" i="5" s="1"/>
  <c r="AL344" i="5"/>
  <c r="AO344" i="5"/>
  <c r="EL342" i="5"/>
  <c r="EM342" i="5"/>
  <c r="FE339" i="5"/>
  <c r="FG339" i="5" s="1"/>
  <c r="CS339" i="5"/>
  <c r="DO344" i="5"/>
  <c r="AP344" i="5"/>
  <c r="AQ344" i="5" s="1"/>
  <c r="DI342" i="5"/>
  <c r="DJ342" i="5"/>
  <c r="X339" i="5"/>
  <c r="AJ346" i="5"/>
  <c r="DS340" i="21" l="1"/>
  <c r="CQ340" i="21"/>
  <c r="EW341" i="21"/>
  <c r="EX341" i="21" s="1"/>
  <c r="AR344" i="21"/>
  <c r="AU344" i="21"/>
  <c r="DN343" i="21"/>
  <c r="EM343" i="21"/>
  <c r="EP343" i="21" s="1"/>
  <c r="EQ343" i="21" s="1"/>
  <c r="DU344" i="21"/>
  <c r="AV344" i="21"/>
  <c r="AW344" i="21" s="1"/>
  <c r="DP342" i="21"/>
  <c r="DO342" i="21"/>
  <c r="AD339" i="21"/>
  <c r="FK339" i="21"/>
  <c r="FM339" i="21" s="1"/>
  <c r="CY339" i="21"/>
  <c r="DQ341" i="21"/>
  <c r="DR341" i="21" s="1"/>
  <c r="AP346" i="21"/>
  <c r="AT345" i="21"/>
  <c r="AQ345" i="21"/>
  <c r="ER342" i="21"/>
  <c r="ES342" i="21"/>
  <c r="DS338" i="20"/>
  <c r="CQ338" i="20"/>
  <c r="ES340" i="20"/>
  <c r="ER340" i="20"/>
  <c r="AR342" i="20"/>
  <c r="AU342" i="20"/>
  <c r="DU342" i="20"/>
  <c r="AV342" i="20"/>
  <c r="AW342" i="20" s="1"/>
  <c r="DP340" i="20"/>
  <c r="DO340" i="20"/>
  <c r="AP344" i="20"/>
  <c r="AT343" i="20"/>
  <c r="AQ343" i="20"/>
  <c r="EW339" i="20"/>
  <c r="EX339" i="20" s="1"/>
  <c r="DN341" i="20"/>
  <c r="EM341" i="20"/>
  <c r="EP341" i="20" s="1"/>
  <c r="EQ341" i="20" s="1"/>
  <c r="DE337" i="20"/>
  <c r="FK337" i="20"/>
  <c r="FM337" i="20" s="1"/>
  <c r="AD337" i="20"/>
  <c r="DQ339" i="20"/>
  <c r="DR339" i="20" s="1"/>
  <c r="DM341" i="5"/>
  <c r="CK341" i="5"/>
  <c r="AO345" i="5"/>
  <c r="AL345" i="5"/>
  <c r="DO345" i="5"/>
  <c r="AP345" i="5"/>
  <c r="AQ345" i="5" s="1"/>
  <c r="AN346" i="5"/>
  <c r="AK346" i="5"/>
  <c r="DK342" i="5"/>
  <c r="DL342" i="5" s="1"/>
  <c r="DI343" i="5"/>
  <c r="DJ343" i="5"/>
  <c r="EQ342" i="5"/>
  <c r="ER342" i="5" s="1"/>
  <c r="CS340" i="5"/>
  <c r="FE340" i="5"/>
  <c r="FG340" i="5" s="1"/>
  <c r="EM343" i="5"/>
  <c r="EL343" i="5"/>
  <c r="DH344" i="5"/>
  <c r="EG344" i="5"/>
  <c r="EJ344" i="5" s="1"/>
  <c r="EK344" i="5" s="1"/>
  <c r="X341" i="5"/>
  <c r="X340" i="5"/>
  <c r="AJ347" i="5"/>
  <c r="DS341" i="21" l="1"/>
  <c r="CQ341" i="21"/>
  <c r="DN344" i="21"/>
  <c r="EM344" i="21"/>
  <c r="EP344" i="21" s="1"/>
  <c r="EQ344" i="21" s="1"/>
  <c r="EW342" i="21"/>
  <c r="EX342" i="21" s="1"/>
  <c r="DU345" i="21"/>
  <c r="AV345" i="21"/>
  <c r="AW345" i="21" s="1"/>
  <c r="DQ342" i="21"/>
  <c r="DR342" i="21" s="1"/>
  <c r="ES343" i="21"/>
  <c r="ER343" i="21"/>
  <c r="DP343" i="21"/>
  <c r="DO343" i="21"/>
  <c r="AU345" i="21"/>
  <c r="AR345" i="21"/>
  <c r="AP347" i="21"/>
  <c r="AT346" i="21"/>
  <c r="AQ346" i="21"/>
  <c r="AD340" i="21"/>
  <c r="FK340" i="21"/>
  <c r="FM340" i="21" s="1"/>
  <c r="CY340" i="21"/>
  <c r="DS339" i="20"/>
  <c r="CQ339" i="20"/>
  <c r="DN342" i="20"/>
  <c r="EM342" i="20"/>
  <c r="EP342" i="20" s="1"/>
  <c r="EQ342" i="20" s="1"/>
  <c r="AU343" i="20"/>
  <c r="AR343" i="20"/>
  <c r="DU343" i="20"/>
  <c r="AV343" i="20"/>
  <c r="AW343" i="20" s="1"/>
  <c r="EW340" i="20"/>
  <c r="EX340" i="20" s="1"/>
  <c r="AT344" i="20"/>
  <c r="AP345" i="20"/>
  <c r="AQ344" i="20"/>
  <c r="DQ340" i="20"/>
  <c r="DR340" i="20" s="1"/>
  <c r="FK338" i="20"/>
  <c r="FM338" i="20" s="1"/>
  <c r="AD338" i="20"/>
  <c r="DE338" i="20"/>
  <c r="DP341" i="20"/>
  <c r="DO341" i="20"/>
  <c r="ES341" i="20"/>
  <c r="ER341" i="20"/>
  <c r="DM342" i="5"/>
  <c r="CK342" i="5"/>
  <c r="AO346" i="5"/>
  <c r="AL346" i="5"/>
  <c r="DO346" i="5"/>
  <c r="AP346" i="5"/>
  <c r="AQ346" i="5" s="1"/>
  <c r="DH345" i="5"/>
  <c r="EG345" i="5"/>
  <c r="EJ345" i="5" s="1"/>
  <c r="EK345" i="5" s="1"/>
  <c r="EL344" i="5"/>
  <c r="EM344" i="5"/>
  <c r="DI344" i="5"/>
  <c r="DJ344" i="5"/>
  <c r="DK343" i="5"/>
  <c r="DL343" i="5" s="1"/>
  <c r="AN347" i="5"/>
  <c r="AK347" i="5"/>
  <c r="EQ343" i="5"/>
  <c r="ER343" i="5" s="1"/>
  <c r="CY341" i="5"/>
  <c r="FE341" i="5"/>
  <c r="FG341" i="5" s="1"/>
  <c r="AJ348" i="5"/>
  <c r="DS342" i="21" l="1"/>
  <c r="CQ342" i="21"/>
  <c r="AT347" i="21"/>
  <c r="AP348" i="21"/>
  <c r="AQ347" i="21"/>
  <c r="DQ343" i="21"/>
  <c r="DR343" i="21" s="1"/>
  <c r="AU346" i="21"/>
  <c r="AR346" i="21"/>
  <c r="DU346" i="21"/>
  <c r="AV346" i="21"/>
  <c r="AW346" i="21" s="1"/>
  <c r="EW343" i="21"/>
  <c r="EX343" i="21" s="1"/>
  <c r="DP344" i="21"/>
  <c r="DO344" i="21"/>
  <c r="DN345" i="21"/>
  <c r="EM345" i="21"/>
  <c r="EP345" i="21" s="1"/>
  <c r="EQ345" i="21" s="1"/>
  <c r="ES344" i="21"/>
  <c r="ER344" i="21"/>
  <c r="FK341" i="21"/>
  <c r="FM341" i="21" s="1"/>
  <c r="DE341" i="21"/>
  <c r="AD341" i="21"/>
  <c r="DS340" i="20"/>
  <c r="CQ340" i="20"/>
  <c r="DN343" i="20"/>
  <c r="EM343" i="20"/>
  <c r="EP343" i="20" s="1"/>
  <c r="EQ343" i="20" s="1"/>
  <c r="EW341" i="20"/>
  <c r="EX341" i="20" s="1"/>
  <c r="AU344" i="20"/>
  <c r="AR344" i="20"/>
  <c r="AT345" i="20"/>
  <c r="AP346" i="20"/>
  <c r="AQ345" i="20"/>
  <c r="ER342" i="20"/>
  <c r="ES342" i="20"/>
  <c r="DQ341" i="20"/>
  <c r="DR341" i="20" s="1"/>
  <c r="CY339" i="20"/>
  <c r="AD339" i="20"/>
  <c r="FK339" i="20"/>
  <c r="FM339" i="20" s="1"/>
  <c r="DU344" i="20"/>
  <c r="AV344" i="20"/>
  <c r="AW344" i="20" s="1"/>
  <c r="DP342" i="20"/>
  <c r="DO342" i="20"/>
  <c r="DM343" i="5"/>
  <c r="CK343" i="5"/>
  <c r="EL345" i="5"/>
  <c r="EM345" i="5"/>
  <c r="DJ345" i="5"/>
  <c r="DI345" i="5"/>
  <c r="DH346" i="5"/>
  <c r="EG346" i="5"/>
  <c r="EJ346" i="5" s="1"/>
  <c r="EK346" i="5" s="1"/>
  <c r="DO347" i="5"/>
  <c r="AP347" i="5"/>
  <c r="AQ347" i="5" s="1"/>
  <c r="DK344" i="5"/>
  <c r="DL344" i="5" s="1"/>
  <c r="FE342" i="5"/>
  <c r="FG342" i="5" s="1"/>
  <c r="CY342" i="5"/>
  <c r="AL347" i="5"/>
  <c r="AO347" i="5"/>
  <c r="AN348" i="5"/>
  <c r="AK348" i="5"/>
  <c r="EQ344" i="5"/>
  <c r="ER344" i="5" s="1"/>
  <c r="AJ349" i="5"/>
  <c r="X342" i="5"/>
  <c r="DS343" i="21" l="1"/>
  <c r="CQ343" i="21"/>
  <c r="DQ344" i="21"/>
  <c r="DR344" i="21" s="1"/>
  <c r="ER345" i="21"/>
  <c r="ES345" i="21"/>
  <c r="EW344" i="21"/>
  <c r="EX344" i="21" s="1"/>
  <c r="DN346" i="21"/>
  <c r="EM346" i="21"/>
  <c r="EP346" i="21" s="1"/>
  <c r="EQ346" i="21" s="1"/>
  <c r="DU347" i="21"/>
  <c r="AV347" i="21"/>
  <c r="AW347" i="21" s="1"/>
  <c r="FK342" i="21"/>
  <c r="FM342" i="21" s="1"/>
  <c r="AD342" i="21"/>
  <c r="DE342" i="21"/>
  <c r="DP345" i="21"/>
  <c r="DO345" i="21"/>
  <c r="AR347" i="21"/>
  <c r="AU347" i="21"/>
  <c r="AP349" i="21"/>
  <c r="AT348" i="21"/>
  <c r="AQ348" i="21"/>
  <c r="DS341" i="20"/>
  <c r="CQ341" i="20"/>
  <c r="ES343" i="20"/>
  <c r="ER343" i="20"/>
  <c r="EW342" i="20"/>
  <c r="EX342" i="20" s="1"/>
  <c r="DP343" i="20"/>
  <c r="DO343" i="20"/>
  <c r="AP347" i="20"/>
  <c r="AT346" i="20"/>
  <c r="AQ346" i="20"/>
  <c r="CY340" i="20"/>
  <c r="AD340" i="20"/>
  <c r="FK340" i="20"/>
  <c r="FM340" i="20" s="1"/>
  <c r="DQ342" i="20"/>
  <c r="DR342" i="20" s="1"/>
  <c r="DN344" i="20"/>
  <c r="EM344" i="20"/>
  <c r="EP344" i="20" s="1"/>
  <c r="EQ344" i="20" s="1"/>
  <c r="AU345" i="20"/>
  <c r="AR345" i="20"/>
  <c r="DU345" i="20"/>
  <c r="AV345" i="20"/>
  <c r="AW345" i="20" s="1"/>
  <c r="DM344" i="5"/>
  <c r="CK344" i="5"/>
  <c r="EL346" i="5"/>
  <c r="EM346" i="5"/>
  <c r="DK345" i="5"/>
  <c r="DL345" i="5" s="1"/>
  <c r="EQ345" i="5"/>
  <c r="ER345" i="5" s="1"/>
  <c r="AN349" i="5"/>
  <c r="AK349" i="5"/>
  <c r="AL348" i="5"/>
  <c r="AO348" i="5"/>
  <c r="FE343" i="5"/>
  <c r="FG343" i="5" s="1"/>
  <c r="CS343" i="5"/>
  <c r="DI346" i="5"/>
  <c r="DJ346" i="5"/>
  <c r="DO348" i="5"/>
  <c r="AP348" i="5"/>
  <c r="AQ348" i="5" s="1"/>
  <c r="DH347" i="5"/>
  <c r="EG347" i="5"/>
  <c r="EJ347" i="5" s="1"/>
  <c r="EK347" i="5" s="1"/>
  <c r="AJ350" i="5"/>
  <c r="X343" i="5"/>
  <c r="CQ344" i="21" l="1"/>
  <c r="DS344" i="21"/>
  <c r="AT349" i="21"/>
  <c r="AP350" i="21"/>
  <c r="AQ349" i="21"/>
  <c r="DO346" i="21"/>
  <c r="DP346" i="21"/>
  <c r="DU348" i="21"/>
  <c r="AV348" i="21"/>
  <c r="AW348" i="21" s="1"/>
  <c r="ES346" i="21"/>
  <c r="ER346" i="21"/>
  <c r="AU348" i="21"/>
  <c r="AR348" i="21"/>
  <c r="DQ345" i="21"/>
  <c r="DR345" i="21" s="1"/>
  <c r="DN347" i="21"/>
  <c r="EM347" i="21"/>
  <c r="EP347" i="21" s="1"/>
  <c r="EQ347" i="21" s="1"/>
  <c r="AD343" i="21"/>
  <c r="FK343" i="21"/>
  <c r="FM343" i="21" s="1"/>
  <c r="CY343" i="21"/>
  <c r="EW345" i="21"/>
  <c r="EX345" i="21" s="1"/>
  <c r="DS342" i="20"/>
  <c r="CQ342" i="20"/>
  <c r="DQ343" i="20"/>
  <c r="DR343" i="20" s="1"/>
  <c r="DN345" i="20"/>
  <c r="EM345" i="20"/>
  <c r="EP345" i="20" s="1"/>
  <c r="EQ345" i="20" s="1"/>
  <c r="EW343" i="20"/>
  <c r="EX343" i="20" s="1"/>
  <c r="AU346" i="20"/>
  <c r="AR346" i="20"/>
  <c r="DU346" i="20"/>
  <c r="AV346" i="20"/>
  <c r="AW346" i="20" s="1"/>
  <c r="DE341" i="20"/>
  <c r="FK341" i="20"/>
  <c r="FM341" i="20" s="1"/>
  <c r="AD341" i="20"/>
  <c r="ES344" i="20"/>
  <c r="ER344" i="20"/>
  <c r="DP344" i="20"/>
  <c r="DO344" i="20"/>
  <c r="AP348" i="20"/>
  <c r="AT347" i="20"/>
  <c r="AQ347" i="20"/>
  <c r="DM345" i="5"/>
  <c r="CK345" i="5"/>
  <c r="EL347" i="5"/>
  <c r="EM347" i="5"/>
  <c r="DK346" i="5"/>
  <c r="DL346" i="5" s="1"/>
  <c r="EQ346" i="5"/>
  <c r="ER346" i="5" s="1"/>
  <c r="AN350" i="5"/>
  <c r="AK350" i="5"/>
  <c r="DI347" i="5"/>
  <c r="DJ347" i="5"/>
  <c r="AO349" i="5"/>
  <c r="AL349" i="5"/>
  <c r="CS344" i="5"/>
  <c r="FE344" i="5"/>
  <c r="FG344" i="5" s="1"/>
  <c r="DH348" i="5"/>
  <c r="EG348" i="5"/>
  <c r="EJ348" i="5" s="1"/>
  <c r="EK348" i="5" s="1"/>
  <c r="DO349" i="5"/>
  <c r="AP349" i="5"/>
  <c r="AQ349" i="5" s="1"/>
  <c r="X344" i="5"/>
  <c r="AJ351" i="5"/>
  <c r="DS345" i="21" l="1"/>
  <c r="CQ345" i="21"/>
  <c r="DO347" i="21"/>
  <c r="DP347" i="21"/>
  <c r="EW346" i="21"/>
  <c r="EX346" i="21" s="1"/>
  <c r="DQ346" i="21"/>
  <c r="DR346" i="21" s="1"/>
  <c r="AU349" i="21"/>
  <c r="AR349" i="21"/>
  <c r="AT350" i="21"/>
  <c r="AP351" i="21"/>
  <c r="AQ350" i="21"/>
  <c r="ER347" i="21"/>
  <c r="ES347" i="21"/>
  <c r="DN348" i="21"/>
  <c r="EM348" i="21"/>
  <c r="EP348" i="21" s="1"/>
  <c r="EQ348" i="21" s="1"/>
  <c r="DU349" i="21"/>
  <c r="AV349" i="21"/>
  <c r="AW349" i="21" s="1"/>
  <c r="CY344" i="21"/>
  <c r="AD344" i="21"/>
  <c r="FK344" i="21"/>
  <c r="FM344" i="21" s="1"/>
  <c r="DS343" i="20"/>
  <c r="CQ343" i="20"/>
  <c r="ES345" i="20"/>
  <c r="ER345" i="20"/>
  <c r="DU347" i="20"/>
  <c r="AV347" i="20"/>
  <c r="AW347" i="20" s="1"/>
  <c r="DP345" i="20"/>
  <c r="DO345" i="20"/>
  <c r="AP349" i="20"/>
  <c r="AT348" i="20"/>
  <c r="AQ348" i="20"/>
  <c r="DQ344" i="20"/>
  <c r="DR344" i="20" s="1"/>
  <c r="DE342" i="20"/>
  <c r="FK342" i="20"/>
  <c r="FM342" i="20" s="1"/>
  <c r="AD342" i="20"/>
  <c r="AU347" i="20"/>
  <c r="AR347" i="20"/>
  <c r="DN346" i="20"/>
  <c r="EM346" i="20"/>
  <c r="EP346" i="20" s="1"/>
  <c r="EQ346" i="20" s="1"/>
  <c r="EW344" i="20"/>
  <c r="EX344" i="20" s="1"/>
  <c r="DM346" i="5"/>
  <c r="CK346" i="5"/>
  <c r="DH349" i="5"/>
  <c r="EG349" i="5"/>
  <c r="EJ349" i="5" s="1"/>
  <c r="EK349" i="5" s="1"/>
  <c r="DK347" i="5"/>
  <c r="DL347" i="5" s="1"/>
  <c r="EQ347" i="5"/>
  <c r="ER347" i="5" s="1"/>
  <c r="AN351" i="5"/>
  <c r="AK351" i="5"/>
  <c r="EL348" i="5"/>
  <c r="EM348" i="5"/>
  <c r="AO350" i="5"/>
  <c r="AL350" i="5"/>
  <c r="CY345" i="5"/>
  <c r="FE345" i="5"/>
  <c r="FG345" i="5" s="1"/>
  <c r="DI348" i="5"/>
  <c r="DJ348" i="5"/>
  <c r="DO350" i="5"/>
  <c r="AP350" i="5"/>
  <c r="AQ350" i="5" s="1"/>
  <c r="X345" i="5"/>
  <c r="AJ352" i="5"/>
  <c r="DS346" i="21" l="1"/>
  <c r="CQ346" i="21"/>
  <c r="DU350" i="21"/>
  <c r="AV350" i="21"/>
  <c r="AW350" i="21" s="1"/>
  <c r="DP348" i="21"/>
  <c r="DO348" i="21"/>
  <c r="DN349" i="21"/>
  <c r="EM349" i="21"/>
  <c r="EP349" i="21" s="1"/>
  <c r="EQ349" i="21" s="1"/>
  <c r="AU350" i="21"/>
  <c r="AR350" i="21"/>
  <c r="EW347" i="21"/>
  <c r="EX347" i="21" s="1"/>
  <c r="DE345" i="21"/>
  <c r="AD345" i="21"/>
  <c r="FK345" i="21"/>
  <c r="FM345" i="21" s="1"/>
  <c r="ER348" i="21"/>
  <c r="ES348" i="21"/>
  <c r="AP352" i="21"/>
  <c r="AT351" i="21"/>
  <c r="AQ351" i="21"/>
  <c r="DQ347" i="21"/>
  <c r="DR347" i="21" s="1"/>
  <c r="DS344" i="20"/>
  <c r="CQ344" i="20"/>
  <c r="DQ345" i="20"/>
  <c r="DR345" i="20" s="1"/>
  <c r="DN347" i="20"/>
  <c r="EM347" i="20"/>
  <c r="EP347" i="20" s="1"/>
  <c r="EQ347" i="20" s="1"/>
  <c r="EW345" i="20"/>
  <c r="EX345" i="20" s="1"/>
  <c r="ES346" i="20"/>
  <c r="ER346" i="20"/>
  <c r="AU348" i="20"/>
  <c r="AR348" i="20"/>
  <c r="DU348" i="20"/>
  <c r="AV348" i="20"/>
  <c r="AW348" i="20" s="1"/>
  <c r="CY343" i="20"/>
  <c r="AD343" i="20"/>
  <c r="FK343" i="20"/>
  <c r="FM343" i="20" s="1"/>
  <c r="DP346" i="20"/>
  <c r="DO346" i="20"/>
  <c r="AP350" i="20"/>
  <c r="AT349" i="20"/>
  <c r="AQ349" i="20"/>
  <c r="DM347" i="5"/>
  <c r="CK347" i="5"/>
  <c r="EL349" i="5"/>
  <c r="EM349" i="5"/>
  <c r="DH350" i="5"/>
  <c r="EG350" i="5"/>
  <c r="EJ350" i="5" s="1"/>
  <c r="EK350" i="5" s="1"/>
  <c r="EQ348" i="5"/>
  <c r="ER348" i="5" s="1"/>
  <c r="DJ349" i="5"/>
  <c r="DI349" i="5"/>
  <c r="AN352" i="5"/>
  <c r="AK352" i="5"/>
  <c r="AL351" i="5"/>
  <c r="AO351" i="5"/>
  <c r="FE346" i="5"/>
  <c r="FG346" i="5" s="1"/>
  <c r="CY346" i="5"/>
  <c r="DK348" i="5"/>
  <c r="DL348" i="5" s="1"/>
  <c r="DO351" i="5"/>
  <c r="AP351" i="5"/>
  <c r="AQ351" i="5" s="1"/>
  <c r="X346" i="5"/>
  <c r="AJ353" i="5"/>
  <c r="DS347" i="21" l="1"/>
  <c r="CQ347" i="21"/>
  <c r="AP353" i="21"/>
  <c r="AT352" i="21"/>
  <c r="AQ352" i="21"/>
  <c r="AU351" i="21"/>
  <c r="AR351" i="21"/>
  <c r="DU351" i="21"/>
  <c r="AV351" i="21"/>
  <c r="AW351" i="21" s="1"/>
  <c r="DP349" i="21"/>
  <c r="DO349" i="21"/>
  <c r="ES349" i="21"/>
  <c r="ER349" i="21"/>
  <c r="EW348" i="21"/>
  <c r="EX348" i="21" s="1"/>
  <c r="DQ348" i="21"/>
  <c r="DR348" i="21" s="1"/>
  <c r="DN350" i="21"/>
  <c r="EM350" i="21"/>
  <c r="EP350" i="21" s="1"/>
  <c r="EQ350" i="21" s="1"/>
  <c r="AD346" i="21"/>
  <c r="FK346" i="21"/>
  <c r="FM346" i="21" s="1"/>
  <c r="DE346" i="21"/>
  <c r="DS345" i="20"/>
  <c r="CQ345" i="20"/>
  <c r="DU349" i="20"/>
  <c r="AV349" i="20"/>
  <c r="AW349" i="20" s="1"/>
  <c r="DO347" i="20"/>
  <c r="DP347" i="20"/>
  <c r="DN348" i="20"/>
  <c r="EM348" i="20"/>
  <c r="EP348" i="20" s="1"/>
  <c r="EQ348" i="20" s="1"/>
  <c r="DQ346" i="20"/>
  <c r="DR346" i="20" s="1"/>
  <c r="AR349" i="20"/>
  <c r="AU349" i="20"/>
  <c r="EW346" i="20"/>
  <c r="EX346" i="20" s="1"/>
  <c r="FK344" i="20"/>
  <c r="FM344" i="20" s="1"/>
  <c r="CY344" i="20"/>
  <c r="AD344" i="20"/>
  <c r="ES347" i="20"/>
  <c r="ER347" i="20"/>
  <c r="AP351" i="20"/>
  <c r="AT350" i="20"/>
  <c r="AQ350" i="20"/>
  <c r="DM348" i="5"/>
  <c r="CK348" i="5"/>
  <c r="EM350" i="5"/>
  <c r="EL350" i="5"/>
  <c r="AN353" i="5"/>
  <c r="AK353" i="5"/>
  <c r="DI350" i="5"/>
  <c r="DJ350" i="5"/>
  <c r="AL352" i="5"/>
  <c r="AO352" i="5"/>
  <c r="DO352" i="5"/>
  <c r="AP352" i="5"/>
  <c r="AQ352" i="5" s="1"/>
  <c r="EQ349" i="5"/>
  <c r="ER349" i="5" s="1"/>
  <c r="DK349" i="5"/>
  <c r="DL349" i="5" s="1"/>
  <c r="FE347" i="5"/>
  <c r="FG347" i="5" s="1"/>
  <c r="CS347" i="5"/>
  <c r="DH351" i="5"/>
  <c r="EG351" i="5"/>
  <c r="EJ351" i="5" s="1"/>
  <c r="EK351" i="5" s="1"/>
  <c r="AJ354" i="5"/>
  <c r="X347" i="5"/>
  <c r="DS348" i="21" l="1"/>
  <c r="CQ348" i="21"/>
  <c r="ER350" i="21"/>
  <c r="ES350" i="21"/>
  <c r="EW349" i="21"/>
  <c r="EX349" i="21" s="1"/>
  <c r="DU352" i="21"/>
  <c r="AV352" i="21"/>
  <c r="AW352" i="21" s="1"/>
  <c r="AU352" i="21"/>
  <c r="AR352" i="21"/>
  <c r="AD347" i="21"/>
  <c r="CY347" i="21"/>
  <c r="FK347" i="21"/>
  <c r="FM347" i="21" s="1"/>
  <c r="DO350" i="21"/>
  <c r="DP350" i="21"/>
  <c r="DQ349" i="21"/>
  <c r="DR349" i="21" s="1"/>
  <c r="DN351" i="21"/>
  <c r="EM351" i="21"/>
  <c r="EP351" i="21" s="1"/>
  <c r="EQ351" i="21" s="1"/>
  <c r="AP354" i="21"/>
  <c r="AT353" i="21"/>
  <c r="AQ353" i="21"/>
  <c r="DS346" i="20"/>
  <c r="CQ346" i="20"/>
  <c r="ES348" i="20"/>
  <c r="ER348" i="20"/>
  <c r="AR350" i="20"/>
  <c r="AU350" i="20"/>
  <c r="DP348" i="20"/>
  <c r="DO348" i="20"/>
  <c r="DQ347" i="20"/>
  <c r="DR347" i="20" s="1"/>
  <c r="DU350" i="20"/>
  <c r="AV350" i="20"/>
  <c r="AW350" i="20" s="1"/>
  <c r="EW347" i="20"/>
  <c r="EX347" i="20" s="1"/>
  <c r="DN349" i="20"/>
  <c r="EM349" i="20"/>
  <c r="EP349" i="20" s="1"/>
  <c r="EQ349" i="20" s="1"/>
  <c r="DE345" i="20"/>
  <c r="FK345" i="20"/>
  <c r="FM345" i="20" s="1"/>
  <c r="AD345" i="20"/>
  <c r="AT351" i="20"/>
  <c r="AP352" i="20"/>
  <c r="AQ351" i="20"/>
  <c r="DM349" i="5"/>
  <c r="CK349" i="5"/>
  <c r="X349" i="5" s="1"/>
  <c r="DO353" i="5"/>
  <c r="AP353" i="5"/>
  <c r="AQ353" i="5" s="1"/>
  <c r="AN354" i="5"/>
  <c r="AK354" i="5"/>
  <c r="EQ350" i="5"/>
  <c r="ER350" i="5" s="1"/>
  <c r="DH352" i="5"/>
  <c r="EG352" i="5"/>
  <c r="EJ352" i="5" s="1"/>
  <c r="EK352" i="5" s="1"/>
  <c r="DK350" i="5"/>
  <c r="DL350" i="5" s="1"/>
  <c r="AO353" i="5"/>
  <c r="AL353" i="5"/>
  <c r="DI351" i="5"/>
  <c r="DJ351" i="5"/>
  <c r="CS348" i="5"/>
  <c r="FE348" i="5"/>
  <c r="FG348" i="5" s="1"/>
  <c r="EM351" i="5"/>
  <c r="EL351" i="5"/>
  <c r="X348" i="5"/>
  <c r="AJ355" i="5"/>
  <c r="DS349" i="21" l="1"/>
  <c r="CQ349" i="21"/>
  <c r="DP351" i="21"/>
  <c r="DO351" i="21"/>
  <c r="DQ350" i="21"/>
  <c r="DR350" i="21" s="1"/>
  <c r="AP355" i="21"/>
  <c r="AT354" i="21"/>
  <c r="AQ354" i="21"/>
  <c r="ER351" i="21"/>
  <c r="ES351" i="21"/>
  <c r="DU353" i="21"/>
  <c r="AV353" i="21"/>
  <c r="AW353" i="21" s="1"/>
  <c r="EW350" i="21"/>
  <c r="EX350" i="21" s="1"/>
  <c r="AU353" i="21"/>
  <c r="AR353" i="21"/>
  <c r="DN352" i="21"/>
  <c r="EM352" i="21"/>
  <c r="EP352" i="21" s="1"/>
  <c r="EQ352" i="21" s="1"/>
  <c r="AD348" i="21"/>
  <c r="FK348" i="21"/>
  <c r="FM348" i="21" s="1"/>
  <c r="CY348" i="21"/>
  <c r="DS347" i="20"/>
  <c r="CQ347" i="20"/>
  <c r="DQ348" i="20"/>
  <c r="DR348" i="20" s="1"/>
  <c r="EW348" i="20"/>
  <c r="EX348" i="20" s="1"/>
  <c r="DU351" i="20"/>
  <c r="AV351" i="20"/>
  <c r="AW351" i="20" s="1"/>
  <c r="DN350" i="20"/>
  <c r="EM350" i="20"/>
  <c r="EP350" i="20" s="1"/>
  <c r="EQ350" i="20" s="1"/>
  <c r="ES349" i="20"/>
  <c r="ER349" i="20"/>
  <c r="DE346" i="20"/>
  <c r="FK346" i="20"/>
  <c r="FM346" i="20" s="1"/>
  <c r="AD346" i="20"/>
  <c r="DP349" i="20"/>
  <c r="DO349" i="20"/>
  <c r="AR351" i="20"/>
  <c r="AU351" i="20"/>
  <c r="AT352" i="20"/>
  <c r="AP353" i="20"/>
  <c r="AQ352" i="20"/>
  <c r="DM350" i="5"/>
  <c r="CK350" i="5"/>
  <c r="DO354" i="5"/>
  <c r="AP354" i="5"/>
  <c r="AQ354" i="5" s="1"/>
  <c r="DK351" i="5"/>
  <c r="DL351" i="5" s="1"/>
  <c r="AN355" i="5"/>
  <c r="AK355" i="5"/>
  <c r="DH353" i="5"/>
  <c r="EG353" i="5"/>
  <c r="EJ353" i="5" s="1"/>
  <c r="EK353" i="5" s="1"/>
  <c r="EL352" i="5"/>
  <c r="EM352" i="5"/>
  <c r="CY349" i="5"/>
  <c r="FE349" i="5"/>
  <c r="FG349" i="5" s="1"/>
  <c r="AL354" i="5"/>
  <c r="AO354" i="5"/>
  <c r="EQ351" i="5"/>
  <c r="ER351" i="5" s="1"/>
  <c r="DJ352" i="5"/>
  <c r="DI352" i="5"/>
  <c r="AJ356" i="5"/>
  <c r="DS350" i="21" l="1"/>
  <c r="CQ350" i="21"/>
  <c r="DP352" i="21"/>
  <c r="DO352" i="21"/>
  <c r="ER352" i="21"/>
  <c r="ES352" i="21"/>
  <c r="EW351" i="21"/>
  <c r="EX351" i="21" s="1"/>
  <c r="DN353" i="21"/>
  <c r="EM353" i="21"/>
  <c r="EP353" i="21" s="1"/>
  <c r="EQ353" i="21" s="1"/>
  <c r="AU354" i="21"/>
  <c r="AR354" i="21"/>
  <c r="DQ351" i="21"/>
  <c r="DR351" i="21" s="1"/>
  <c r="DU354" i="21"/>
  <c r="AV354" i="21"/>
  <c r="AW354" i="21" s="1"/>
  <c r="CY349" i="21"/>
  <c r="FK349" i="21"/>
  <c r="FM349" i="21" s="1"/>
  <c r="AD349" i="21"/>
  <c r="AP356" i="21"/>
  <c r="AT355" i="21"/>
  <c r="AQ355" i="21"/>
  <c r="DS348" i="20"/>
  <c r="CQ348" i="20"/>
  <c r="AU352" i="20"/>
  <c r="AR352" i="20"/>
  <c r="DU352" i="20"/>
  <c r="AV352" i="20"/>
  <c r="AW352" i="20" s="1"/>
  <c r="DN351" i="20"/>
  <c r="EM351" i="20"/>
  <c r="EP351" i="20" s="1"/>
  <c r="EQ351" i="20" s="1"/>
  <c r="ES350" i="20"/>
  <c r="ER350" i="20"/>
  <c r="CY347" i="20"/>
  <c r="AD347" i="20"/>
  <c r="FK347" i="20"/>
  <c r="FM347" i="20" s="1"/>
  <c r="AP354" i="20"/>
  <c r="AT353" i="20"/>
  <c r="AQ353" i="20"/>
  <c r="EW349" i="20"/>
  <c r="EX349" i="20" s="1"/>
  <c r="DQ349" i="20"/>
  <c r="DR349" i="20" s="1"/>
  <c r="DP350" i="20"/>
  <c r="DO350" i="20"/>
  <c r="DM351" i="5"/>
  <c r="CK351" i="5"/>
  <c r="AO355" i="5"/>
  <c r="AL355" i="5"/>
  <c r="AN356" i="5"/>
  <c r="AK356" i="5"/>
  <c r="DO355" i="5"/>
  <c r="AP355" i="5"/>
  <c r="AQ355" i="5" s="1"/>
  <c r="DK352" i="5"/>
  <c r="DL352" i="5" s="1"/>
  <c r="EQ352" i="5"/>
  <c r="ER352" i="5" s="1"/>
  <c r="DH354" i="5"/>
  <c r="EG354" i="5"/>
  <c r="EJ354" i="5" s="1"/>
  <c r="EK354" i="5" s="1"/>
  <c r="EL353" i="5"/>
  <c r="EM353" i="5"/>
  <c r="FE350" i="5"/>
  <c r="FG350" i="5" s="1"/>
  <c r="CY350" i="5"/>
  <c r="DI353" i="5"/>
  <c r="DJ353" i="5"/>
  <c r="AJ357" i="5"/>
  <c r="X350" i="5"/>
  <c r="DS351" i="21" l="1"/>
  <c r="CQ351" i="21"/>
  <c r="AP357" i="21"/>
  <c r="AT356" i="21"/>
  <c r="AQ356" i="21"/>
  <c r="DP353" i="21"/>
  <c r="DO353" i="21"/>
  <c r="ER353" i="21"/>
  <c r="ES353" i="21"/>
  <c r="DU355" i="21"/>
  <c r="AV355" i="21"/>
  <c r="AW355" i="21" s="1"/>
  <c r="DN354" i="21"/>
  <c r="EM354" i="21"/>
  <c r="EP354" i="21" s="1"/>
  <c r="EQ354" i="21" s="1"/>
  <c r="DQ352" i="21"/>
  <c r="DR352" i="21" s="1"/>
  <c r="AU355" i="21"/>
  <c r="AR355" i="21"/>
  <c r="EW352" i="21"/>
  <c r="EX352" i="21" s="1"/>
  <c r="CY350" i="21"/>
  <c r="AD350" i="21"/>
  <c r="FK350" i="21"/>
  <c r="FM350" i="21" s="1"/>
  <c r="DS349" i="20"/>
  <c r="CQ349" i="20"/>
  <c r="ER351" i="20"/>
  <c r="ES351" i="20"/>
  <c r="DO351" i="20"/>
  <c r="DP351" i="20"/>
  <c r="AP355" i="20"/>
  <c r="AT354" i="20"/>
  <c r="AQ354" i="20"/>
  <c r="DN352" i="20"/>
  <c r="EM352" i="20"/>
  <c r="EP352" i="20" s="1"/>
  <c r="EQ352" i="20" s="1"/>
  <c r="DU353" i="20"/>
  <c r="AV353" i="20"/>
  <c r="AW353" i="20" s="1"/>
  <c r="EW350" i="20"/>
  <c r="EX350" i="20" s="1"/>
  <c r="FK348" i="20"/>
  <c r="FM348" i="20" s="1"/>
  <c r="CY348" i="20"/>
  <c r="AD348" i="20"/>
  <c r="AU353" i="20"/>
  <c r="AR353" i="20"/>
  <c r="DQ350" i="20"/>
  <c r="DR350" i="20" s="1"/>
  <c r="DM352" i="5"/>
  <c r="CK352" i="5"/>
  <c r="DO356" i="5"/>
  <c r="AP356" i="5"/>
  <c r="AQ356" i="5" s="1"/>
  <c r="DH355" i="5"/>
  <c r="EG355" i="5"/>
  <c r="EJ355" i="5" s="1"/>
  <c r="EK355" i="5" s="1"/>
  <c r="AN357" i="5"/>
  <c r="AK357" i="5"/>
  <c r="AL356" i="5"/>
  <c r="AO356" i="5"/>
  <c r="DK353" i="5"/>
  <c r="DL353" i="5" s="1"/>
  <c r="EM354" i="5"/>
  <c r="EL354" i="5"/>
  <c r="DJ354" i="5"/>
  <c r="DI354" i="5"/>
  <c r="FE351" i="5"/>
  <c r="FG351" i="5" s="1"/>
  <c r="CS351" i="5"/>
  <c r="EQ353" i="5"/>
  <c r="ER353" i="5" s="1"/>
  <c r="X351" i="5"/>
  <c r="AJ358" i="5"/>
  <c r="DS352" i="21" l="1"/>
  <c r="CQ352" i="21"/>
  <c r="EW353" i="21"/>
  <c r="EX353" i="21" s="1"/>
  <c r="DU356" i="21"/>
  <c r="AV356" i="21"/>
  <c r="AW356" i="21" s="1"/>
  <c r="AP358" i="21"/>
  <c r="AT357" i="21"/>
  <c r="AQ357" i="21"/>
  <c r="DO354" i="21"/>
  <c r="DP354" i="21"/>
  <c r="DQ353" i="21"/>
  <c r="DR353" i="21" s="1"/>
  <c r="FK351" i="21"/>
  <c r="FM351" i="21" s="1"/>
  <c r="AD351" i="21"/>
  <c r="CY351" i="21"/>
  <c r="ES354" i="21"/>
  <c r="ER354" i="21"/>
  <c r="DN355" i="21"/>
  <c r="EM355" i="21"/>
  <c r="EP355" i="21" s="1"/>
  <c r="EQ355" i="21" s="1"/>
  <c r="AU356" i="21"/>
  <c r="AR356" i="21"/>
  <c r="DS350" i="20"/>
  <c r="CQ350" i="20"/>
  <c r="DQ351" i="20"/>
  <c r="DR351" i="20" s="1"/>
  <c r="DN353" i="20"/>
  <c r="EM353" i="20"/>
  <c r="EP353" i="20" s="1"/>
  <c r="EQ353" i="20" s="1"/>
  <c r="ER352" i="20"/>
  <c r="ES352" i="20"/>
  <c r="EW351" i="20"/>
  <c r="EX351" i="20" s="1"/>
  <c r="DU354" i="20"/>
  <c r="AV354" i="20"/>
  <c r="AW354" i="20" s="1"/>
  <c r="AP356" i="20"/>
  <c r="AT355" i="20"/>
  <c r="AQ355" i="20"/>
  <c r="DP352" i="20"/>
  <c r="DO352" i="20"/>
  <c r="FK349" i="20"/>
  <c r="FM349" i="20" s="1"/>
  <c r="CY349" i="20"/>
  <c r="AD349" i="20"/>
  <c r="AU354" i="20"/>
  <c r="AR354" i="20"/>
  <c r="DM353" i="5"/>
  <c r="CK353" i="5"/>
  <c r="X353" i="5" s="1"/>
  <c r="DK354" i="5"/>
  <c r="DL354" i="5" s="1"/>
  <c r="DJ355" i="5"/>
  <c r="DI355" i="5"/>
  <c r="EL355" i="5"/>
  <c r="EM355" i="5"/>
  <c r="AL357" i="5"/>
  <c r="AO357" i="5"/>
  <c r="EQ354" i="5"/>
  <c r="ER354" i="5" s="1"/>
  <c r="AN358" i="5"/>
  <c r="AK358" i="5"/>
  <c r="DH356" i="5"/>
  <c r="EG356" i="5"/>
  <c r="EJ356" i="5" s="1"/>
  <c r="EK356" i="5" s="1"/>
  <c r="DO357" i="5"/>
  <c r="AP357" i="5"/>
  <c r="AQ357" i="5" s="1"/>
  <c r="CS352" i="5"/>
  <c r="FE352" i="5"/>
  <c r="FG352" i="5" s="1"/>
  <c r="X352" i="5"/>
  <c r="AJ359" i="5"/>
  <c r="DS353" i="21" l="1"/>
  <c r="CQ353" i="21"/>
  <c r="ES355" i="21"/>
  <c r="ER355" i="21"/>
  <c r="AR357" i="21"/>
  <c r="AU357" i="21"/>
  <c r="DO355" i="21"/>
  <c r="DP355" i="21"/>
  <c r="DQ354" i="21"/>
  <c r="DR354" i="21" s="1"/>
  <c r="AD352" i="21"/>
  <c r="FK352" i="21"/>
  <c r="FM352" i="21" s="1"/>
  <c r="CY352" i="21"/>
  <c r="EW354" i="21"/>
  <c r="EX354" i="21" s="1"/>
  <c r="DU357" i="21"/>
  <c r="AV357" i="21"/>
  <c r="AW357" i="21" s="1"/>
  <c r="AP359" i="21"/>
  <c r="AT358" i="21"/>
  <c r="AQ358" i="21"/>
  <c r="DN356" i="21"/>
  <c r="EM356" i="21"/>
  <c r="EP356" i="21" s="1"/>
  <c r="EQ356" i="21" s="1"/>
  <c r="DS351" i="20"/>
  <c r="CQ351" i="20"/>
  <c r="ES353" i="20"/>
  <c r="ER353" i="20"/>
  <c r="EW352" i="20"/>
  <c r="EX352" i="20" s="1"/>
  <c r="DO353" i="20"/>
  <c r="DP353" i="20"/>
  <c r="DU355" i="20"/>
  <c r="AV355" i="20"/>
  <c r="AW355" i="20" s="1"/>
  <c r="AP357" i="20"/>
  <c r="AT356" i="20"/>
  <c r="AQ356" i="20"/>
  <c r="DN354" i="20"/>
  <c r="EM354" i="20"/>
  <c r="EP354" i="20" s="1"/>
  <c r="EQ354" i="20" s="1"/>
  <c r="CY350" i="20"/>
  <c r="AD350" i="20"/>
  <c r="FK350" i="20"/>
  <c r="FM350" i="20" s="1"/>
  <c r="AU355" i="20"/>
  <c r="AR355" i="20"/>
  <c r="DQ352" i="20"/>
  <c r="DR352" i="20" s="1"/>
  <c r="DM354" i="5"/>
  <c r="CK354" i="5"/>
  <c r="DO358" i="5"/>
  <c r="AP358" i="5"/>
  <c r="AQ358" i="5" s="1"/>
  <c r="EM356" i="5"/>
  <c r="EL356" i="5"/>
  <c r="EQ355" i="5"/>
  <c r="ER355" i="5" s="1"/>
  <c r="DK355" i="5"/>
  <c r="DL355" i="5" s="1"/>
  <c r="AN359" i="5"/>
  <c r="AK359" i="5"/>
  <c r="FE353" i="5"/>
  <c r="FG353" i="5" s="1"/>
  <c r="CS353" i="5"/>
  <c r="DJ356" i="5"/>
  <c r="DI356" i="5"/>
  <c r="AL358" i="5"/>
  <c r="AO358" i="5"/>
  <c r="DH357" i="5"/>
  <c r="EG357" i="5"/>
  <c r="EJ357" i="5" s="1"/>
  <c r="EK357" i="5" s="1"/>
  <c r="AJ360" i="5"/>
  <c r="DS354" i="21" l="1"/>
  <c r="CQ354" i="21"/>
  <c r="ER356" i="21"/>
  <c r="ES356" i="21"/>
  <c r="AP360" i="21"/>
  <c r="AT359" i="21"/>
  <c r="AQ359" i="21"/>
  <c r="DP356" i="21"/>
  <c r="DO356" i="21"/>
  <c r="DN357" i="21"/>
  <c r="EM357" i="21"/>
  <c r="EP357" i="21" s="1"/>
  <c r="EQ357" i="21" s="1"/>
  <c r="DU358" i="21"/>
  <c r="AV358" i="21"/>
  <c r="AW358" i="21" s="1"/>
  <c r="DQ355" i="21"/>
  <c r="DR355" i="21" s="1"/>
  <c r="EW355" i="21"/>
  <c r="EX355" i="21" s="1"/>
  <c r="FK353" i="21"/>
  <c r="FM353" i="21" s="1"/>
  <c r="AD353" i="21"/>
  <c r="DE353" i="21"/>
  <c r="AU358" i="21"/>
  <c r="AR358" i="21"/>
  <c r="DS352" i="20"/>
  <c r="CQ352" i="20"/>
  <c r="ES354" i="20"/>
  <c r="ER354" i="20"/>
  <c r="AR356" i="20"/>
  <c r="AU356" i="20"/>
  <c r="DU356" i="20"/>
  <c r="AV356" i="20"/>
  <c r="AW356" i="20" s="1"/>
  <c r="DQ353" i="20"/>
  <c r="DR353" i="20" s="1"/>
  <c r="EW353" i="20"/>
  <c r="EX353" i="20" s="1"/>
  <c r="AP358" i="20"/>
  <c r="AT357" i="20"/>
  <c r="AQ357" i="20"/>
  <c r="CY351" i="20"/>
  <c r="AD351" i="20"/>
  <c r="FK351" i="20"/>
  <c r="FM351" i="20" s="1"/>
  <c r="DO354" i="20"/>
  <c r="DP354" i="20"/>
  <c r="DN355" i="20"/>
  <c r="EM355" i="20"/>
  <c r="EP355" i="20" s="1"/>
  <c r="EQ355" i="20" s="1"/>
  <c r="DM355" i="5"/>
  <c r="CK355" i="5"/>
  <c r="DK356" i="5"/>
  <c r="DL356" i="5" s="1"/>
  <c r="AN360" i="5"/>
  <c r="AK360" i="5"/>
  <c r="EQ356" i="5"/>
  <c r="ER356" i="5" s="1"/>
  <c r="AL359" i="5"/>
  <c r="AO359" i="5"/>
  <c r="DO359" i="5"/>
  <c r="AP359" i="5"/>
  <c r="AQ359" i="5" s="1"/>
  <c r="DH358" i="5"/>
  <c r="EG358" i="5"/>
  <c r="EJ358" i="5" s="1"/>
  <c r="EK358" i="5" s="1"/>
  <c r="EL357" i="5"/>
  <c r="EM357" i="5"/>
  <c r="FE354" i="5"/>
  <c r="FG354" i="5" s="1"/>
  <c r="CS354" i="5"/>
  <c r="DI357" i="5"/>
  <c r="DJ357" i="5"/>
  <c r="AJ361" i="5"/>
  <c r="X354" i="5"/>
  <c r="DS355" i="21" l="1"/>
  <c r="CQ355" i="21"/>
  <c r="DN358" i="21"/>
  <c r="EM358" i="21"/>
  <c r="EP358" i="21" s="1"/>
  <c r="EQ358" i="21" s="1"/>
  <c r="DQ356" i="21"/>
  <c r="DR356" i="21" s="1"/>
  <c r="ES357" i="21"/>
  <c r="ER357" i="21"/>
  <c r="EW356" i="21"/>
  <c r="EX356" i="21" s="1"/>
  <c r="FK354" i="21"/>
  <c r="FM354" i="21" s="1"/>
  <c r="AD354" i="21"/>
  <c r="CY354" i="21"/>
  <c r="DP357" i="21"/>
  <c r="DO357" i="21"/>
  <c r="AU359" i="21"/>
  <c r="AR359" i="21"/>
  <c r="DU359" i="21"/>
  <c r="AV359" i="21"/>
  <c r="AW359" i="21" s="1"/>
  <c r="AP361" i="21"/>
  <c r="AT360" i="21"/>
  <c r="AQ360" i="21"/>
  <c r="DS353" i="20"/>
  <c r="CQ353" i="20"/>
  <c r="DU357" i="20"/>
  <c r="AV357" i="20"/>
  <c r="AW357" i="20" s="1"/>
  <c r="DN356" i="20"/>
  <c r="EM356" i="20"/>
  <c r="EP356" i="20" s="1"/>
  <c r="EQ356" i="20" s="1"/>
  <c r="DO355" i="20"/>
  <c r="DP355" i="20"/>
  <c r="AP359" i="20"/>
  <c r="AT358" i="20"/>
  <c r="AQ358" i="20"/>
  <c r="AU357" i="20"/>
  <c r="AR357" i="20"/>
  <c r="EW354" i="20"/>
  <c r="EX354" i="20" s="1"/>
  <c r="DQ354" i="20"/>
  <c r="DR354" i="20" s="1"/>
  <c r="FK352" i="20"/>
  <c r="FM352" i="20" s="1"/>
  <c r="AD352" i="20"/>
  <c r="CY352" i="20"/>
  <c r="ES355" i="20"/>
  <c r="ER355" i="20"/>
  <c r="DM356" i="5"/>
  <c r="CK356" i="5"/>
  <c r="AO360" i="5"/>
  <c r="AL360" i="5"/>
  <c r="AN361" i="5"/>
  <c r="AK361" i="5"/>
  <c r="DO360" i="5"/>
  <c r="AP360" i="5"/>
  <c r="AQ360" i="5" s="1"/>
  <c r="DJ358" i="5"/>
  <c r="DI358" i="5"/>
  <c r="DK357" i="5"/>
  <c r="DL357" i="5" s="1"/>
  <c r="DH359" i="5"/>
  <c r="EG359" i="5"/>
  <c r="EJ359" i="5" s="1"/>
  <c r="EK359" i="5" s="1"/>
  <c r="EM358" i="5"/>
  <c r="EL358" i="5"/>
  <c r="CS355" i="5"/>
  <c r="FE355" i="5"/>
  <c r="FG355" i="5" s="1"/>
  <c r="EQ357" i="5"/>
  <c r="ER357" i="5" s="1"/>
  <c r="X355" i="5"/>
  <c r="AJ362" i="5"/>
  <c r="DS356" i="21" l="1"/>
  <c r="CQ356" i="21"/>
  <c r="AP362" i="21"/>
  <c r="AT361" i="21"/>
  <c r="AQ361" i="21"/>
  <c r="DU360" i="21"/>
  <c r="AV360" i="21"/>
  <c r="AW360" i="21" s="1"/>
  <c r="DN359" i="21"/>
  <c r="EM359" i="21"/>
  <c r="EP359" i="21" s="1"/>
  <c r="EQ359" i="21" s="1"/>
  <c r="EW357" i="21"/>
  <c r="EX357" i="21" s="1"/>
  <c r="ES358" i="21"/>
  <c r="ER358" i="21"/>
  <c r="AR360" i="21"/>
  <c r="AU360" i="21"/>
  <c r="DQ357" i="21"/>
  <c r="DR357" i="21" s="1"/>
  <c r="FK355" i="21"/>
  <c r="FM355" i="21" s="1"/>
  <c r="AD355" i="21"/>
  <c r="DE355" i="21"/>
  <c r="DP358" i="21"/>
  <c r="DO358" i="21"/>
  <c r="ES356" i="20"/>
  <c r="ER356" i="20"/>
  <c r="DS354" i="20"/>
  <c r="CQ354" i="20"/>
  <c r="DP356" i="20"/>
  <c r="DO356" i="20"/>
  <c r="EW355" i="20"/>
  <c r="EX355" i="20" s="1"/>
  <c r="DQ355" i="20"/>
  <c r="DR355" i="20" s="1"/>
  <c r="AR358" i="20"/>
  <c r="AU358" i="20"/>
  <c r="DN357" i="20"/>
  <c r="EM357" i="20"/>
  <c r="EP357" i="20" s="1"/>
  <c r="EQ357" i="20" s="1"/>
  <c r="DU358" i="20"/>
  <c r="AV358" i="20"/>
  <c r="AW358" i="20" s="1"/>
  <c r="DE353" i="20"/>
  <c r="AD353" i="20"/>
  <c r="FK353" i="20"/>
  <c r="FM353" i="20" s="1"/>
  <c r="AP360" i="20"/>
  <c r="AT359" i="20"/>
  <c r="AQ359" i="20"/>
  <c r="DM357" i="5"/>
  <c r="CK357" i="5"/>
  <c r="DO361" i="5"/>
  <c r="AP361" i="5"/>
  <c r="AQ361" i="5" s="1"/>
  <c r="EM359" i="5"/>
  <c r="EL359" i="5"/>
  <c r="DH360" i="5"/>
  <c r="EG360" i="5"/>
  <c r="EJ360" i="5" s="1"/>
  <c r="EK360" i="5" s="1"/>
  <c r="AN362" i="5"/>
  <c r="AK362" i="5"/>
  <c r="DJ359" i="5"/>
  <c r="DI359" i="5"/>
  <c r="EQ358" i="5"/>
  <c r="ER358" i="5" s="1"/>
  <c r="DK358" i="5"/>
  <c r="DL358" i="5" s="1"/>
  <c r="FE356" i="5"/>
  <c r="FG356" i="5" s="1"/>
  <c r="CS356" i="5"/>
  <c r="AO361" i="5"/>
  <c r="AL361" i="5"/>
  <c r="X356" i="5"/>
  <c r="AJ363" i="5"/>
  <c r="DS357" i="21" l="1"/>
  <c r="CQ357" i="21"/>
  <c r="ER359" i="21"/>
  <c r="ES359" i="21"/>
  <c r="DN360" i="21"/>
  <c r="EM360" i="21"/>
  <c r="EP360" i="21" s="1"/>
  <c r="EQ360" i="21" s="1"/>
  <c r="EW358" i="21"/>
  <c r="EX358" i="21" s="1"/>
  <c r="AR361" i="21"/>
  <c r="AU361" i="21"/>
  <c r="DQ358" i="21"/>
  <c r="DR358" i="21" s="1"/>
  <c r="DO359" i="21"/>
  <c r="DP359" i="21"/>
  <c r="AP363" i="21"/>
  <c r="AT362" i="21"/>
  <c r="AQ362" i="21"/>
  <c r="DU361" i="21"/>
  <c r="AV361" i="21"/>
  <c r="AW361" i="21" s="1"/>
  <c r="AD356" i="21"/>
  <c r="FK356" i="21"/>
  <c r="FM356" i="21" s="1"/>
  <c r="CY356" i="21"/>
  <c r="DS355" i="20"/>
  <c r="CQ355" i="20"/>
  <c r="DQ356" i="20"/>
  <c r="DR356" i="20" s="1"/>
  <c r="ES357" i="20"/>
  <c r="ER357" i="20"/>
  <c r="FK354" i="20"/>
  <c r="FM354" i="20" s="1"/>
  <c r="AD354" i="20"/>
  <c r="CY354" i="20"/>
  <c r="DN358" i="20"/>
  <c r="EM358" i="20"/>
  <c r="EP358" i="20" s="1"/>
  <c r="EQ358" i="20" s="1"/>
  <c r="AR359" i="20"/>
  <c r="AU359" i="20"/>
  <c r="DO357" i="20"/>
  <c r="DP357" i="20"/>
  <c r="EW356" i="20"/>
  <c r="EX356" i="20" s="1"/>
  <c r="DU359" i="20"/>
  <c r="AV359" i="20"/>
  <c r="AW359" i="20" s="1"/>
  <c r="AT360" i="20"/>
  <c r="AP361" i="20"/>
  <c r="AQ360" i="20"/>
  <c r="DM358" i="5"/>
  <c r="CK358" i="5"/>
  <c r="EL360" i="5"/>
  <c r="EM360" i="5"/>
  <c r="DI360" i="5"/>
  <c r="DJ360" i="5"/>
  <c r="AN363" i="5"/>
  <c r="AK363" i="5"/>
  <c r="EQ359" i="5"/>
  <c r="ER359" i="5" s="1"/>
  <c r="DH361" i="5"/>
  <c r="EG361" i="5"/>
  <c r="EJ361" i="5" s="1"/>
  <c r="EK361" i="5" s="1"/>
  <c r="DK359" i="5"/>
  <c r="DL359" i="5" s="1"/>
  <c r="AL362" i="5"/>
  <c r="AO362" i="5"/>
  <c r="FE357" i="5"/>
  <c r="FG357" i="5" s="1"/>
  <c r="CY357" i="5"/>
  <c r="DO362" i="5"/>
  <c r="AP362" i="5"/>
  <c r="AQ362" i="5" s="1"/>
  <c r="AJ364" i="5"/>
  <c r="X357" i="5"/>
  <c r="DS358" i="21" l="1"/>
  <c r="CQ358" i="21"/>
  <c r="DQ359" i="21"/>
  <c r="DR359" i="21" s="1"/>
  <c r="DN361" i="21"/>
  <c r="EM361" i="21"/>
  <c r="EP361" i="21" s="1"/>
  <c r="EQ361" i="21" s="1"/>
  <c r="ER360" i="21"/>
  <c r="ES360" i="21"/>
  <c r="AT363" i="21"/>
  <c r="AP364" i="21"/>
  <c r="AQ363" i="21"/>
  <c r="DU362" i="21"/>
  <c r="AV362" i="21"/>
  <c r="AW362" i="21" s="1"/>
  <c r="FK357" i="21"/>
  <c r="FM357" i="21" s="1"/>
  <c r="AD357" i="21"/>
  <c r="DE357" i="21"/>
  <c r="AU362" i="21"/>
  <c r="AR362" i="21"/>
  <c r="DP360" i="21"/>
  <c r="DO360" i="21"/>
  <c r="EW359" i="21"/>
  <c r="EX359" i="21" s="1"/>
  <c r="CQ356" i="20"/>
  <c r="DS356" i="20"/>
  <c r="EW357" i="20"/>
  <c r="EX357" i="20" s="1"/>
  <c r="AR360" i="20"/>
  <c r="AU360" i="20"/>
  <c r="DU360" i="20"/>
  <c r="AV360" i="20"/>
  <c r="AW360" i="20" s="1"/>
  <c r="ES358" i="20"/>
  <c r="ER358" i="20"/>
  <c r="DN359" i="20"/>
  <c r="EM359" i="20"/>
  <c r="EP359" i="20" s="1"/>
  <c r="EQ359" i="20" s="1"/>
  <c r="DP358" i="20"/>
  <c r="DO358" i="20"/>
  <c r="FK355" i="20"/>
  <c r="FM355" i="20" s="1"/>
  <c r="AD355" i="20"/>
  <c r="DE355" i="20"/>
  <c r="DQ357" i="20"/>
  <c r="DR357" i="20" s="1"/>
  <c r="AT361" i="20"/>
  <c r="AP362" i="20"/>
  <c r="AQ361" i="20"/>
  <c r="DM359" i="5"/>
  <c r="CK359" i="5"/>
  <c r="AL363" i="5"/>
  <c r="AO363" i="5"/>
  <c r="DO363" i="5"/>
  <c r="AP363" i="5"/>
  <c r="AQ363" i="5" s="1"/>
  <c r="AN364" i="5"/>
  <c r="AK364" i="5"/>
  <c r="DK360" i="5"/>
  <c r="DL360" i="5" s="1"/>
  <c r="EM361" i="5"/>
  <c r="EL361" i="5"/>
  <c r="DH362" i="5"/>
  <c r="EG362" i="5"/>
  <c r="EJ362" i="5" s="1"/>
  <c r="EK362" i="5" s="1"/>
  <c r="DI361" i="5"/>
  <c r="DJ361" i="5"/>
  <c r="EQ360" i="5"/>
  <c r="ER360" i="5" s="1"/>
  <c r="FE358" i="5"/>
  <c r="FG358" i="5" s="1"/>
  <c r="CS358" i="5"/>
  <c r="AJ365" i="5"/>
  <c r="DS359" i="21" l="1"/>
  <c r="CQ359" i="21"/>
  <c r="DU363" i="21"/>
  <c r="AV363" i="21"/>
  <c r="AW363" i="21" s="1"/>
  <c r="ES361" i="21"/>
  <c r="ER361" i="21"/>
  <c r="DO361" i="21"/>
  <c r="DP361" i="21"/>
  <c r="AR363" i="21"/>
  <c r="AU363" i="21"/>
  <c r="AD358" i="21"/>
  <c r="FK358" i="21"/>
  <c r="FM358" i="21" s="1"/>
  <c r="CY358" i="21"/>
  <c r="DQ360" i="21"/>
  <c r="DR360" i="21" s="1"/>
  <c r="DN362" i="21"/>
  <c r="EM362" i="21"/>
  <c r="EP362" i="21" s="1"/>
  <c r="EQ362" i="21" s="1"/>
  <c r="AP365" i="21"/>
  <c r="AT364" i="21"/>
  <c r="AQ364" i="21"/>
  <c r="EW360" i="21"/>
  <c r="EX360" i="21" s="1"/>
  <c r="DS357" i="20"/>
  <c r="CQ357" i="20"/>
  <c r="DQ358" i="20"/>
  <c r="DR358" i="20" s="1"/>
  <c r="DN360" i="20"/>
  <c r="EM360" i="20"/>
  <c r="EP360" i="20" s="1"/>
  <c r="EQ360" i="20" s="1"/>
  <c r="AR361" i="20"/>
  <c r="AU361" i="20"/>
  <c r="AT362" i="20"/>
  <c r="AP363" i="20"/>
  <c r="AQ362" i="20"/>
  <c r="ES359" i="20"/>
  <c r="ER359" i="20"/>
  <c r="DP359" i="20"/>
  <c r="DO359" i="20"/>
  <c r="EW358" i="20"/>
  <c r="EX358" i="20" s="1"/>
  <c r="DU361" i="20"/>
  <c r="AV361" i="20"/>
  <c r="AW361" i="20" s="1"/>
  <c r="FK356" i="20"/>
  <c r="FM356" i="20" s="1"/>
  <c r="CY356" i="20"/>
  <c r="AD356" i="20"/>
  <c r="DM360" i="5"/>
  <c r="CK360" i="5"/>
  <c r="AO364" i="5"/>
  <c r="AL364" i="5"/>
  <c r="AN365" i="5"/>
  <c r="AK365" i="5"/>
  <c r="DH363" i="5"/>
  <c r="EG363" i="5"/>
  <c r="EJ363" i="5" s="1"/>
  <c r="EK363" i="5" s="1"/>
  <c r="DK361" i="5"/>
  <c r="DL361" i="5" s="1"/>
  <c r="EQ361" i="5"/>
  <c r="ER361" i="5" s="1"/>
  <c r="EL362" i="5"/>
  <c r="EM362" i="5"/>
  <c r="DI362" i="5"/>
  <c r="DJ362" i="5"/>
  <c r="FE359" i="5"/>
  <c r="FG359" i="5" s="1"/>
  <c r="CY359" i="5"/>
  <c r="DO364" i="5"/>
  <c r="AP364" i="5"/>
  <c r="AQ364" i="5" s="1"/>
  <c r="X358" i="5"/>
  <c r="X359" i="5"/>
  <c r="AJ366" i="5"/>
  <c r="DS360" i="21" l="1"/>
  <c r="CQ360" i="21"/>
  <c r="AR364" i="21"/>
  <c r="AU364" i="21"/>
  <c r="AT365" i="21"/>
  <c r="AP366" i="21"/>
  <c r="AQ365" i="21"/>
  <c r="ER362" i="21"/>
  <c r="ES362" i="21"/>
  <c r="DU364" i="21"/>
  <c r="AV364" i="21"/>
  <c r="AW364" i="21" s="1"/>
  <c r="DQ361" i="21"/>
  <c r="DR361" i="21" s="1"/>
  <c r="EW361" i="21"/>
  <c r="EX361" i="21" s="1"/>
  <c r="DP362" i="21"/>
  <c r="DO362" i="21"/>
  <c r="DN363" i="21"/>
  <c r="EM363" i="21"/>
  <c r="EP363" i="21" s="1"/>
  <c r="EQ363" i="21" s="1"/>
  <c r="DE359" i="21"/>
  <c r="AD359" i="21"/>
  <c r="FK359" i="21"/>
  <c r="FM359" i="21" s="1"/>
  <c r="DS358" i="20"/>
  <c r="CQ358" i="20"/>
  <c r="ES360" i="20"/>
  <c r="ER360" i="20"/>
  <c r="EW359" i="20"/>
  <c r="EX359" i="20" s="1"/>
  <c r="DP360" i="20"/>
  <c r="DO360" i="20"/>
  <c r="AU362" i="20"/>
  <c r="AR362" i="20"/>
  <c r="DN361" i="20"/>
  <c r="EM361" i="20"/>
  <c r="EP361" i="20" s="1"/>
  <c r="EQ361" i="20" s="1"/>
  <c r="AP364" i="20"/>
  <c r="AT363" i="20"/>
  <c r="AQ363" i="20"/>
  <c r="FK357" i="20"/>
  <c r="FM357" i="20" s="1"/>
  <c r="AD357" i="20"/>
  <c r="DE357" i="20"/>
  <c r="DQ359" i="20"/>
  <c r="DR359" i="20" s="1"/>
  <c r="DU362" i="20"/>
  <c r="AV362" i="20"/>
  <c r="AW362" i="20" s="1"/>
  <c r="DM361" i="5"/>
  <c r="CK361" i="5"/>
  <c r="EM363" i="5"/>
  <c r="EL363" i="5"/>
  <c r="AL365" i="5"/>
  <c r="AO365" i="5"/>
  <c r="DK362" i="5"/>
  <c r="DL362" i="5" s="1"/>
  <c r="AN366" i="5"/>
  <c r="AK366" i="5"/>
  <c r="DO365" i="5"/>
  <c r="AP365" i="5"/>
  <c r="AQ365" i="5" s="1"/>
  <c r="EQ362" i="5"/>
  <c r="ER362" i="5" s="1"/>
  <c r="DH364" i="5"/>
  <c r="EG364" i="5"/>
  <c r="EJ364" i="5" s="1"/>
  <c r="EK364" i="5" s="1"/>
  <c r="CS360" i="5"/>
  <c r="FE360" i="5"/>
  <c r="FG360" i="5" s="1"/>
  <c r="DJ363" i="5"/>
  <c r="DI363" i="5"/>
  <c r="X360" i="5"/>
  <c r="AJ367" i="5"/>
  <c r="DS361" i="21" l="1"/>
  <c r="CQ361" i="21"/>
  <c r="DQ362" i="21"/>
  <c r="DR362" i="21" s="1"/>
  <c r="ES363" i="21"/>
  <c r="ER363" i="21"/>
  <c r="DU365" i="21"/>
  <c r="AV365" i="21"/>
  <c r="AW365" i="21" s="1"/>
  <c r="FK360" i="21"/>
  <c r="FM360" i="21" s="1"/>
  <c r="CY360" i="21"/>
  <c r="AD360" i="21"/>
  <c r="DO363" i="21"/>
  <c r="DP363" i="21"/>
  <c r="DN364" i="21"/>
  <c r="EM364" i="21"/>
  <c r="EP364" i="21" s="1"/>
  <c r="EQ364" i="21" s="1"/>
  <c r="EW362" i="21"/>
  <c r="EX362" i="21" s="1"/>
  <c r="AR365" i="21"/>
  <c r="AU365" i="21"/>
  <c r="AP367" i="21"/>
  <c r="AT366" i="21"/>
  <c r="AQ366" i="21"/>
  <c r="CQ359" i="20"/>
  <c r="DS359" i="20"/>
  <c r="DU363" i="20"/>
  <c r="AV363" i="20"/>
  <c r="AW363" i="20" s="1"/>
  <c r="AU363" i="20"/>
  <c r="AR363" i="20"/>
  <c r="DN362" i="20"/>
  <c r="EM362" i="20"/>
  <c r="EP362" i="20" s="1"/>
  <c r="EQ362" i="20" s="1"/>
  <c r="ES361" i="20"/>
  <c r="ER361" i="20"/>
  <c r="EW360" i="20"/>
  <c r="EX360" i="20" s="1"/>
  <c r="CY358" i="20"/>
  <c r="AD358" i="20"/>
  <c r="FK358" i="20"/>
  <c r="FM358" i="20" s="1"/>
  <c r="DQ360" i="20"/>
  <c r="DR360" i="20" s="1"/>
  <c r="AP365" i="20"/>
  <c r="AT364" i="20"/>
  <c r="AQ364" i="20"/>
  <c r="DP361" i="20"/>
  <c r="DO361" i="20"/>
  <c r="DM362" i="5"/>
  <c r="CK362" i="5"/>
  <c r="EL364" i="5"/>
  <c r="EM364" i="5"/>
  <c r="DK363" i="5"/>
  <c r="DL363" i="5" s="1"/>
  <c r="EQ363" i="5"/>
  <c r="ER363" i="5" s="1"/>
  <c r="DJ364" i="5"/>
  <c r="DI364" i="5"/>
  <c r="DH365" i="5"/>
  <c r="EG365" i="5"/>
  <c r="EJ365" i="5" s="1"/>
  <c r="EK365" i="5" s="1"/>
  <c r="AN367" i="5"/>
  <c r="AK367" i="5"/>
  <c r="AL366" i="5"/>
  <c r="AO366" i="5"/>
  <c r="CY361" i="5"/>
  <c r="FE361" i="5"/>
  <c r="FG361" i="5" s="1"/>
  <c r="DO366" i="5"/>
  <c r="AP366" i="5"/>
  <c r="AQ366" i="5" s="1"/>
  <c r="X361" i="5"/>
  <c r="AJ368" i="5"/>
  <c r="DS362" i="21" l="1"/>
  <c r="CQ362" i="21"/>
  <c r="DP364" i="21"/>
  <c r="DO364" i="21"/>
  <c r="DU366" i="21"/>
  <c r="AV366" i="21"/>
  <c r="AW366" i="21" s="1"/>
  <c r="EW363" i="21"/>
  <c r="EX363" i="21" s="1"/>
  <c r="AU366" i="21"/>
  <c r="AR366" i="21"/>
  <c r="ES364" i="21"/>
  <c r="ER364" i="21"/>
  <c r="AT367" i="21"/>
  <c r="AP368" i="21"/>
  <c r="AQ367" i="21"/>
  <c r="DQ363" i="21"/>
  <c r="DR363" i="21" s="1"/>
  <c r="DN365" i="21"/>
  <c r="EM365" i="21"/>
  <c r="EP365" i="21" s="1"/>
  <c r="EQ365" i="21" s="1"/>
  <c r="AD361" i="21"/>
  <c r="FK361" i="21"/>
  <c r="FM361" i="21" s="1"/>
  <c r="DE361" i="21"/>
  <c r="DS360" i="20"/>
  <c r="CQ360" i="20"/>
  <c r="DQ361" i="20"/>
  <c r="DR361" i="20" s="1"/>
  <c r="ER362" i="20"/>
  <c r="ES362" i="20"/>
  <c r="DU364" i="20"/>
  <c r="AV364" i="20"/>
  <c r="AW364" i="20" s="1"/>
  <c r="DN363" i="20"/>
  <c r="EM363" i="20"/>
  <c r="EP363" i="20" s="1"/>
  <c r="EQ363" i="20" s="1"/>
  <c r="DP362" i="20"/>
  <c r="DO362" i="20"/>
  <c r="AP366" i="20"/>
  <c r="AT365" i="20"/>
  <c r="AQ365" i="20"/>
  <c r="EW361" i="20"/>
  <c r="EX361" i="20" s="1"/>
  <c r="AU364" i="20"/>
  <c r="AR364" i="20"/>
  <c r="FK359" i="20"/>
  <c r="FM359" i="20" s="1"/>
  <c r="AD359" i="20"/>
  <c r="DE359" i="20"/>
  <c r="DM363" i="5"/>
  <c r="CK363" i="5"/>
  <c r="DO367" i="5"/>
  <c r="AP367" i="5"/>
  <c r="AQ367" i="5" s="1"/>
  <c r="EL365" i="5"/>
  <c r="EM365" i="5"/>
  <c r="DI365" i="5"/>
  <c r="DJ365" i="5"/>
  <c r="EQ364" i="5"/>
  <c r="ER364" i="5" s="1"/>
  <c r="AL367" i="5"/>
  <c r="AO367" i="5"/>
  <c r="DH366" i="5"/>
  <c r="EG366" i="5"/>
  <c r="EJ366" i="5" s="1"/>
  <c r="EK366" i="5" s="1"/>
  <c r="DK364" i="5"/>
  <c r="DL364" i="5" s="1"/>
  <c r="FE362" i="5"/>
  <c r="FG362" i="5" s="1"/>
  <c r="CS362" i="5"/>
  <c r="AN368" i="5"/>
  <c r="AK368" i="5"/>
  <c r="X362" i="5"/>
  <c r="AJ369" i="5"/>
  <c r="DS363" i="21" l="1"/>
  <c r="CQ363" i="21"/>
  <c r="DP365" i="21"/>
  <c r="DO365" i="21"/>
  <c r="EW364" i="21"/>
  <c r="EX364" i="21" s="1"/>
  <c r="AU367" i="21"/>
  <c r="AR367" i="21"/>
  <c r="AP369" i="21"/>
  <c r="AT368" i="21"/>
  <c r="AQ368" i="21"/>
  <c r="DN366" i="21"/>
  <c r="EM366" i="21"/>
  <c r="EP366" i="21" s="1"/>
  <c r="EQ366" i="21" s="1"/>
  <c r="DQ364" i="21"/>
  <c r="DR364" i="21" s="1"/>
  <c r="ES365" i="21"/>
  <c r="ER365" i="21"/>
  <c r="DU367" i="21"/>
  <c r="AV367" i="21"/>
  <c r="AW367" i="21" s="1"/>
  <c r="CY362" i="21"/>
  <c r="AD362" i="21"/>
  <c r="FK362" i="21"/>
  <c r="FM362" i="21" s="1"/>
  <c r="DS361" i="20"/>
  <c r="CQ361" i="20"/>
  <c r="DN364" i="20"/>
  <c r="EM364" i="20"/>
  <c r="EP364" i="20" s="1"/>
  <c r="EQ364" i="20" s="1"/>
  <c r="AT366" i="20"/>
  <c r="AP367" i="20"/>
  <c r="AQ366" i="20"/>
  <c r="EW362" i="20"/>
  <c r="EX362" i="20" s="1"/>
  <c r="DU365" i="20"/>
  <c r="AV365" i="20"/>
  <c r="AW365" i="20" s="1"/>
  <c r="DQ362" i="20"/>
  <c r="DR362" i="20" s="1"/>
  <c r="AR365" i="20"/>
  <c r="AU365" i="20"/>
  <c r="ER363" i="20"/>
  <c r="ES363" i="20"/>
  <c r="CY360" i="20"/>
  <c r="AD360" i="20"/>
  <c r="FK360" i="20"/>
  <c r="FM360" i="20" s="1"/>
  <c r="DO363" i="20"/>
  <c r="DP363" i="20"/>
  <c r="DM364" i="5"/>
  <c r="CK364" i="5"/>
  <c r="EQ365" i="5"/>
  <c r="ER365" i="5" s="1"/>
  <c r="DK365" i="5"/>
  <c r="DL365" i="5" s="1"/>
  <c r="DI366" i="5"/>
  <c r="DJ366" i="5"/>
  <c r="DH367" i="5"/>
  <c r="EG367" i="5"/>
  <c r="EJ367" i="5" s="1"/>
  <c r="EK367" i="5" s="1"/>
  <c r="AN369" i="5"/>
  <c r="AK369" i="5"/>
  <c r="AO368" i="5"/>
  <c r="AL368" i="5"/>
  <c r="FE363" i="5"/>
  <c r="FG363" i="5" s="1"/>
  <c r="CY363" i="5"/>
  <c r="EL366" i="5"/>
  <c r="EM366" i="5"/>
  <c r="DO368" i="5"/>
  <c r="AP368" i="5"/>
  <c r="AQ368" i="5" s="1"/>
  <c r="AJ370" i="5"/>
  <c r="X363" i="5"/>
  <c r="DS364" i="21" l="1"/>
  <c r="CQ364" i="21"/>
  <c r="AU368" i="21"/>
  <c r="AR368" i="21"/>
  <c r="EW365" i="21"/>
  <c r="EX365" i="21" s="1"/>
  <c r="AT369" i="21"/>
  <c r="AP370" i="21"/>
  <c r="AQ369" i="21"/>
  <c r="DN367" i="21"/>
  <c r="EM367" i="21"/>
  <c r="EP367" i="21" s="1"/>
  <c r="EQ367" i="21" s="1"/>
  <c r="DU368" i="21"/>
  <c r="AV368" i="21"/>
  <c r="AW368" i="21" s="1"/>
  <c r="ES366" i="21"/>
  <c r="ER366" i="21"/>
  <c r="DQ365" i="21"/>
  <c r="DR365" i="21" s="1"/>
  <c r="DO366" i="21"/>
  <c r="DP366" i="21"/>
  <c r="FK363" i="21"/>
  <c r="FM363" i="21" s="1"/>
  <c r="AD363" i="21"/>
  <c r="DE363" i="21"/>
  <c r="DS362" i="20"/>
  <c r="CQ362" i="20"/>
  <c r="AP368" i="20"/>
  <c r="AT367" i="20"/>
  <c r="AQ367" i="20"/>
  <c r="DU366" i="20"/>
  <c r="AV366" i="20"/>
  <c r="AW366" i="20" s="1"/>
  <c r="ER364" i="20"/>
  <c r="ES364" i="20"/>
  <c r="EW363" i="20"/>
  <c r="EX363" i="20" s="1"/>
  <c r="DP364" i="20"/>
  <c r="DO364" i="20"/>
  <c r="DN365" i="20"/>
  <c r="EM365" i="20"/>
  <c r="EP365" i="20" s="1"/>
  <c r="EQ365" i="20" s="1"/>
  <c r="DE361" i="20"/>
  <c r="FK361" i="20"/>
  <c r="FM361" i="20" s="1"/>
  <c r="AD361" i="20"/>
  <c r="AU366" i="20"/>
  <c r="AR366" i="20"/>
  <c r="DQ363" i="20"/>
  <c r="DR363" i="20" s="1"/>
  <c r="DM365" i="5"/>
  <c r="CK365" i="5"/>
  <c r="X365" i="5" s="1"/>
  <c r="AN370" i="5"/>
  <c r="AK370" i="5"/>
  <c r="AL369" i="5"/>
  <c r="AO369" i="5"/>
  <c r="DO369" i="5"/>
  <c r="AP369" i="5"/>
  <c r="AQ369" i="5" s="1"/>
  <c r="EL367" i="5"/>
  <c r="EM367" i="5"/>
  <c r="FE364" i="5"/>
  <c r="FG364" i="5" s="1"/>
  <c r="CS364" i="5"/>
  <c r="DK366" i="5"/>
  <c r="DL366" i="5" s="1"/>
  <c r="DH368" i="5"/>
  <c r="EG368" i="5"/>
  <c r="EJ368" i="5" s="1"/>
  <c r="EK368" i="5" s="1"/>
  <c r="EQ366" i="5"/>
  <c r="ER366" i="5" s="1"/>
  <c r="DJ367" i="5"/>
  <c r="DI367" i="5"/>
  <c r="AJ371" i="5"/>
  <c r="X364" i="5"/>
  <c r="DS365" i="21" l="1"/>
  <c r="CQ365" i="21"/>
  <c r="EW366" i="21"/>
  <c r="EX366" i="21" s="1"/>
  <c r="ER367" i="21"/>
  <c r="ES367" i="21"/>
  <c r="AU369" i="21"/>
  <c r="AR369" i="21"/>
  <c r="DQ366" i="21"/>
  <c r="DR366" i="21" s="1"/>
  <c r="DN368" i="21"/>
  <c r="EM368" i="21"/>
  <c r="EP368" i="21" s="1"/>
  <c r="EQ368" i="21" s="1"/>
  <c r="AP371" i="21"/>
  <c r="AT370" i="21"/>
  <c r="AQ370" i="21"/>
  <c r="DU369" i="21"/>
  <c r="AV369" i="21"/>
  <c r="AW369" i="21" s="1"/>
  <c r="DO367" i="21"/>
  <c r="DP367" i="21"/>
  <c r="FK364" i="21"/>
  <c r="FM364" i="21" s="1"/>
  <c r="AD364" i="21"/>
  <c r="CY364" i="21"/>
  <c r="DN366" i="20"/>
  <c r="EM366" i="20"/>
  <c r="EP366" i="20" s="1"/>
  <c r="EQ366" i="20" s="1"/>
  <c r="AR367" i="20"/>
  <c r="AU367" i="20"/>
  <c r="DU367" i="20"/>
  <c r="AV367" i="20"/>
  <c r="AW367" i="20" s="1"/>
  <c r="DS363" i="20"/>
  <c r="CQ363" i="20"/>
  <c r="DQ364" i="20"/>
  <c r="DR364" i="20" s="1"/>
  <c r="AT368" i="20"/>
  <c r="AP369" i="20"/>
  <c r="AQ368" i="20"/>
  <c r="EW364" i="20"/>
  <c r="EX364" i="20" s="1"/>
  <c r="CY362" i="20"/>
  <c r="AD362" i="20"/>
  <c r="FK362" i="20"/>
  <c r="FM362" i="20" s="1"/>
  <c r="ES365" i="20"/>
  <c r="ER365" i="20"/>
  <c r="DP365" i="20"/>
  <c r="DO365" i="20"/>
  <c r="DM366" i="5"/>
  <c r="CK366" i="5"/>
  <c r="DJ368" i="5"/>
  <c r="DI368" i="5"/>
  <c r="DK367" i="5"/>
  <c r="DL367" i="5" s="1"/>
  <c r="AL370" i="5"/>
  <c r="AO370" i="5"/>
  <c r="DO370" i="5"/>
  <c r="AP370" i="5"/>
  <c r="AQ370" i="5" s="1"/>
  <c r="DH369" i="5"/>
  <c r="EG369" i="5"/>
  <c r="EJ369" i="5" s="1"/>
  <c r="EK369" i="5" s="1"/>
  <c r="FE365" i="5"/>
  <c r="FG365" i="5" s="1"/>
  <c r="CY365" i="5"/>
  <c r="EL368" i="5"/>
  <c r="EM368" i="5"/>
  <c r="AN371" i="5"/>
  <c r="AK371" i="5"/>
  <c r="EQ367" i="5"/>
  <c r="ER367" i="5" s="1"/>
  <c r="AJ372" i="5"/>
  <c r="DS366" i="21" l="1"/>
  <c r="CQ366" i="21"/>
  <c r="AU370" i="21"/>
  <c r="AR370" i="21"/>
  <c r="DQ367" i="21"/>
  <c r="DR367" i="21" s="1"/>
  <c r="ES368" i="21"/>
  <c r="ER368" i="21"/>
  <c r="DU370" i="21"/>
  <c r="AV370" i="21"/>
  <c r="AW370" i="21" s="1"/>
  <c r="DN369" i="21"/>
  <c r="EM369" i="21"/>
  <c r="EP369" i="21" s="1"/>
  <c r="EQ369" i="21" s="1"/>
  <c r="DO368" i="21"/>
  <c r="DP368" i="21"/>
  <c r="DE365" i="21"/>
  <c r="AD365" i="21"/>
  <c r="FK365" i="21"/>
  <c r="FM365" i="21" s="1"/>
  <c r="AP372" i="21"/>
  <c r="AT371" i="21"/>
  <c r="AQ371" i="21"/>
  <c r="EW367" i="21"/>
  <c r="EX367" i="21" s="1"/>
  <c r="DS364" i="20"/>
  <c r="CQ364" i="20"/>
  <c r="DN367" i="20"/>
  <c r="EM367" i="20"/>
  <c r="EP367" i="20" s="1"/>
  <c r="EQ367" i="20" s="1"/>
  <c r="DE363" i="20"/>
  <c r="FK363" i="20"/>
  <c r="FM363" i="20" s="1"/>
  <c r="AD363" i="20"/>
  <c r="DQ365" i="20"/>
  <c r="DR365" i="20" s="1"/>
  <c r="EW365" i="20"/>
  <c r="EX365" i="20" s="1"/>
  <c r="AP370" i="20"/>
  <c r="AT369" i="20"/>
  <c r="AQ369" i="20"/>
  <c r="DU368" i="20"/>
  <c r="AV368" i="20"/>
  <c r="AW368" i="20" s="1"/>
  <c r="ES366" i="20"/>
  <c r="ER366" i="20"/>
  <c r="AU368" i="20"/>
  <c r="AR368" i="20"/>
  <c r="DO366" i="20"/>
  <c r="DP366" i="20"/>
  <c r="DM367" i="5"/>
  <c r="CK367" i="5"/>
  <c r="EQ368" i="5"/>
  <c r="ER368" i="5" s="1"/>
  <c r="AN372" i="5"/>
  <c r="AK372" i="5"/>
  <c r="DK368" i="5"/>
  <c r="DL368" i="5" s="1"/>
  <c r="DI369" i="5"/>
  <c r="DJ369" i="5"/>
  <c r="EM369" i="5"/>
  <c r="EL369" i="5"/>
  <c r="AL371" i="5"/>
  <c r="AO371" i="5"/>
  <c r="FE366" i="5"/>
  <c r="FG366" i="5" s="1"/>
  <c r="CS366" i="5"/>
  <c r="DO371" i="5"/>
  <c r="AP371" i="5"/>
  <c r="AQ371" i="5" s="1"/>
  <c r="DH370" i="5"/>
  <c r="EG370" i="5"/>
  <c r="EJ370" i="5" s="1"/>
  <c r="EK370" i="5" s="1"/>
  <c r="X367" i="5"/>
  <c r="X366" i="5"/>
  <c r="AJ373" i="5"/>
  <c r="DS367" i="21" l="1"/>
  <c r="CQ367" i="21"/>
  <c r="AR371" i="21"/>
  <c r="AU371" i="21"/>
  <c r="DU371" i="21"/>
  <c r="AV371" i="21"/>
  <c r="AW371" i="21" s="1"/>
  <c r="ES369" i="21"/>
  <c r="ER369" i="21"/>
  <c r="DN370" i="21"/>
  <c r="EM370" i="21"/>
  <c r="EP370" i="21" s="1"/>
  <c r="EQ370" i="21" s="1"/>
  <c r="DQ368" i="21"/>
  <c r="DR368" i="21" s="1"/>
  <c r="EW368" i="21"/>
  <c r="EX368" i="21" s="1"/>
  <c r="AD366" i="21"/>
  <c r="CY366" i="21"/>
  <c r="FK366" i="21"/>
  <c r="FM366" i="21" s="1"/>
  <c r="AP373" i="21"/>
  <c r="AT372" i="21"/>
  <c r="AQ372" i="21"/>
  <c r="DO369" i="21"/>
  <c r="DP369" i="21"/>
  <c r="DU369" i="20"/>
  <c r="AV369" i="20"/>
  <c r="AW369" i="20" s="1"/>
  <c r="ES367" i="20"/>
  <c r="ER367" i="20"/>
  <c r="DQ366" i="20"/>
  <c r="DR366" i="20" s="1"/>
  <c r="DP367" i="20"/>
  <c r="DO367" i="20"/>
  <c r="AT370" i="20"/>
  <c r="AP371" i="20"/>
  <c r="AQ370" i="20"/>
  <c r="EW366" i="20"/>
  <c r="EX366" i="20" s="1"/>
  <c r="CY364" i="20"/>
  <c r="AD364" i="20"/>
  <c r="FK364" i="20"/>
  <c r="FM364" i="20" s="1"/>
  <c r="DS365" i="20"/>
  <c r="CQ365" i="20"/>
  <c r="DN368" i="20"/>
  <c r="EM368" i="20"/>
  <c r="EP368" i="20" s="1"/>
  <c r="EQ368" i="20" s="1"/>
  <c r="AR369" i="20"/>
  <c r="AU369" i="20"/>
  <c r="DM368" i="5"/>
  <c r="CK368" i="5"/>
  <c r="DO372" i="5"/>
  <c r="AP372" i="5"/>
  <c r="AQ372" i="5" s="1"/>
  <c r="EQ369" i="5"/>
  <c r="ER369" i="5" s="1"/>
  <c r="AN373" i="5"/>
  <c r="AK373" i="5"/>
  <c r="DI370" i="5"/>
  <c r="DJ370" i="5"/>
  <c r="AO372" i="5"/>
  <c r="AL372" i="5"/>
  <c r="CY367" i="5"/>
  <c r="FE367" i="5"/>
  <c r="FG367" i="5" s="1"/>
  <c r="EL370" i="5"/>
  <c r="EM370" i="5"/>
  <c r="DH371" i="5"/>
  <c r="EG371" i="5"/>
  <c r="EJ371" i="5" s="1"/>
  <c r="EK371" i="5" s="1"/>
  <c r="DK369" i="5"/>
  <c r="DL369" i="5" s="1"/>
  <c r="AJ374" i="5"/>
  <c r="DS368" i="21" l="1"/>
  <c r="CQ368" i="21"/>
  <c r="DQ369" i="21"/>
  <c r="DR369" i="21" s="1"/>
  <c r="AP374" i="21"/>
  <c r="AT373" i="21"/>
  <c r="AQ373" i="21"/>
  <c r="AR372" i="21"/>
  <c r="AU372" i="21"/>
  <c r="DP370" i="21"/>
  <c r="DO370" i="21"/>
  <c r="ES370" i="21"/>
  <c r="ER370" i="21"/>
  <c r="DE367" i="21"/>
  <c r="FK367" i="21"/>
  <c r="FM367" i="21" s="1"/>
  <c r="AD367" i="21"/>
  <c r="DU372" i="21"/>
  <c r="AV372" i="21"/>
  <c r="AW372" i="21" s="1"/>
  <c r="EW369" i="21"/>
  <c r="EX369" i="21" s="1"/>
  <c r="DN371" i="21"/>
  <c r="EM371" i="21"/>
  <c r="EP371" i="21" s="1"/>
  <c r="EQ371" i="21" s="1"/>
  <c r="DS366" i="20"/>
  <c r="CQ366" i="20"/>
  <c r="DQ367" i="20"/>
  <c r="DR367" i="20" s="1"/>
  <c r="EW367" i="20"/>
  <c r="EX367" i="20" s="1"/>
  <c r="ER368" i="20"/>
  <c r="ES368" i="20"/>
  <c r="AU370" i="20"/>
  <c r="AR370" i="20"/>
  <c r="DO368" i="20"/>
  <c r="DP368" i="20"/>
  <c r="DE365" i="20"/>
  <c r="AD365" i="20"/>
  <c r="FK365" i="20"/>
  <c r="FM365" i="20" s="1"/>
  <c r="AT371" i="20"/>
  <c r="AP372" i="20"/>
  <c r="AQ371" i="20"/>
  <c r="DU370" i="20"/>
  <c r="AV370" i="20"/>
  <c r="AW370" i="20" s="1"/>
  <c r="DN369" i="20"/>
  <c r="EM369" i="20"/>
  <c r="EP369" i="20" s="1"/>
  <c r="EQ369" i="20" s="1"/>
  <c r="DM369" i="5"/>
  <c r="CK369" i="5"/>
  <c r="DO373" i="5"/>
  <c r="AP373" i="5"/>
  <c r="AQ373" i="5" s="1"/>
  <c r="AN374" i="5"/>
  <c r="AK374" i="5"/>
  <c r="DH372" i="5"/>
  <c r="EG372" i="5"/>
  <c r="EJ372" i="5" s="1"/>
  <c r="EK372" i="5" s="1"/>
  <c r="EQ370" i="5"/>
  <c r="ER370" i="5" s="1"/>
  <c r="EL371" i="5"/>
  <c r="EM371" i="5"/>
  <c r="FE368" i="5"/>
  <c r="FG368" i="5" s="1"/>
  <c r="CS368" i="5"/>
  <c r="AL373" i="5"/>
  <c r="AO373" i="5"/>
  <c r="DI371" i="5"/>
  <c r="DJ371" i="5"/>
  <c r="DK370" i="5"/>
  <c r="DL370" i="5" s="1"/>
  <c r="X369" i="5"/>
  <c r="X368" i="5"/>
  <c r="AJ375" i="5"/>
  <c r="DS369" i="21" l="1"/>
  <c r="CQ369" i="21"/>
  <c r="DQ370" i="21"/>
  <c r="DR370" i="21" s="1"/>
  <c r="DP371" i="21"/>
  <c r="DO371" i="21"/>
  <c r="DU373" i="21"/>
  <c r="AV373" i="21"/>
  <c r="AW373" i="21" s="1"/>
  <c r="AT374" i="21"/>
  <c r="AP375" i="21"/>
  <c r="AQ374" i="21"/>
  <c r="DN372" i="21"/>
  <c r="EM372" i="21"/>
  <c r="EP372" i="21" s="1"/>
  <c r="EQ372" i="21" s="1"/>
  <c r="EW370" i="21"/>
  <c r="EX370" i="21" s="1"/>
  <c r="AU373" i="21"/>
  <c r="AR373" i="21"/>
  <c r="AD368" i="21"/>
  <c r="CY368" i="21"/>
  <c r="FK368" i="21"/>
  <c r="FM368" i="21" s="1"/>
  <c r="ER371" i="21"/>
  <c r="ES371" i="21"/>
  <c r="DS367" i="20"/>
  <c r="CQ367" i="20"/>
  <c r="ES369" i="20"/>
  <c r="ER369" i="20"/>
  <c r="DP369" i="20"/>
  <c r="DO369" i="20"/>
  <c r="EW368" i="20"/>
  <c r="EX368" i="20" s="1"/>
  <c r="DN370" i="20"/>
  <c r="EM370" i="20"/>
  <c r="EP370" i="20" s="1"/>
  <c r="EQ370" i="20" s="1"/>
  <c r="AU371" i="20"/>
  <c r="AR371" i="20"/>
  <c r="CY366" i="20"/>
  <c r="AD366" i="20"/>
  <c r="FK366" i="20"/>
  <c r="FM366" i="20" s="1"/>
  <c r="DU371" i="20"/>
  <c r="AV371" i="20"/>
  <c r="AW371" i="20" s="1"/>
  <c r="DQ368" i="20"/>
  <c r="DR368" i="20" s="1"/>
  <c r="AP373" i="20"/>
  <c r="AT372" i="20"/>
  <c r="AQ372" i="20"/>
  <c r="EL372" i="5"/>
  <c r="EM372" i="5"/>
  <c r="DO374" i="5"/>
  <c r="AP374" i="5"/>
  <c r="AQ374" i="5" s="1"/>
  <c r="AL374" i="5"/>
  <c r="AO374" i="5"/>
  <c r="DJ372" i="5"/>
  <c r="DI372" i="5"/>
  <c r="DH373" i="5"/>
  <c r="EG373" i="5"/>
  <c r="EJ373" i="5" s="1"/>
  <c r="EK373" i="5" s="1"/>
  <c r="AN375" i="5"/>
  <c r="AK375" i="5"/>
  <c r="EQ371" i="5"/>
  <c r="ER371" i="5" s="1"/>
  <c r="FE369" i="5"/>
  <c r="FG369" i="5" s="1"/>
  <c r="CY369" i="5"/>
  <c r="DM370" i="5"/>
  <c r="CK370" i="5"/>
  <c r="DK371" i="5"/>
  <c r="DL371" i="5" s="1"/>
  <c r="AJ376" i="5"/>
  <c r="DS370" i="21" l="1"/>
  <c r="CQ370" i="21"/>
  <c r="ES372" i="21"/>
  <c r="ER372" i="21"/>
  <c r="AU374" i="21"/>
  <c r="AR374" i="21"/>
  <c r="EW371" i="21"/>
  <c r="EX371" i="21" s="1"/>
  <c r="DU374" i="21"/>
  <c r="AV374" i="21"/>
  <c r="AW374" i="21" s="1"/>
  <c r="DE369" i="21"/>
  <c r="AD369" i="21"/>
  <c r="FK369" i="21"/>
  <c r="FM369" i="21" s="1"/>
  <c r="DP372" i="21"/>
  <c r="DO372" i="21"/>
  <c r="AT375" i="21"/>
  <c r="AP376" i="21"/>
  <c r="AQ375" i="21"/>
  <c r="DN373" i="21"/>
  <c r="EM373" i="21"/>
  <c r="EP373" i="21" s="1"/>
  <c r="EQ373" i="21" s="1"/>
  <c r="DQ371" i="21"/>
  <c r="DR371" i="21" s="1"/>
  <c r="DQ369" i="20"/>
  <c r="DR369" i="20" s="1"/>
  <c r="EW369" i="20"/>
  <c r="EX369" i="20" s="1"/>
  <c r="AU372" i="20"/>
  <c r="AR372" i="20"/>
  <c r="DN371" i="20"/>
  <c r="EM371" i="20"/>
  <c r="EP371" i="20" s="1"/>
  <c r="EQ371" i="20" s="1"/>
  <c r="DS368" i="20"/>
  <c r="CQ368" i="20"/>
  <c r="ER370" i="20"/>
  <c r="ES370" i="20"/>
  <c r="DE367" i="20"/>
  <c r="FK367" i="20"/>
  <c r="FM367" i="20" s="1"/>
  <c r="AD367" i="20"/>
  <c r="DU372" i="20"/>
  <c r="AV372" i="20"/>
  <c r="AW372" i="20" s="1"/>
  <c r="AT373" i="20"/>
  <c r="AP374" i="20"/>
  <c r="AQ373" i="20"/>
  <c r="DP370" i="20"/>
  <c r="DO370" i="20"/>
  <c r="DM371" i="5"/>
  <c r="CK371" i="5"/>
  <c r="DK372" i="5"/>
  <c r="DL372" i="5" s="1"/>
  <c r="AL375" i="5"/>
  <c r="AO375" i="5"/>
  <c r="AN376" i="5"/>
  <c r="AK376" i="5"/>
  <c r="DH374" i="5"/>
  <c r="EG374" i="5"/>
  <c r="EJ374" i="5" s="1"/>
  <c r="EK374" i="5" s="1"/>
  <c r="FE370" i="5"/>
  <c r="FG370" i="5" s="1"/>
  <c r="CS370" i="5"/>
  <c r="EL373" i="5"/>
  <c r="EM373" i="5"/>
  <c r="DO375" i="5"/>
  <c r="AP375" i="5"/>
  <c r="AQ375" i="5" s="1"/>
  <c r="DI373" i="5"/>
  <c r="DJ373" i="5"/>
  <c r="EQ372" i="5"/>
  <c r="ER372" i="5" s="1"/>
  <c r="X371" i="5"/>
  <c r="X370" i="5"/>
  <c r="AJ377" i="5"/>
  <c r="DS371" i="21" l="1"/>
  <c r="CQ371" i="21"/>
  <c r="AU375" i="21"/>
  <c r="AR375" i="21"/>
  <c r="DQ372" i="21"/>
  <c r="DR372" i="21" s="1"/>
  <c r="AT376" i="21"/>
  <c r="AP377" i="21"/>
  <c r="AQ376" i="21"/>
  <c r="DN374" i="21"/>
  <c r="EM374" i="21"/>
  <c r="EP374" i="21" s="1"/>
  <c r="EQ374" i="21" s="1"/>
  <c r="DU375" i="21"/>
  <c r="AV375" i="21"/>
  <c r="AW375" i="21" s="1"/>
  <c r="DP373" i="21"/>
  <c r="DO373" i="21"/>
  <c r="FK370" i="21"/>
  <c r="FM370" i="21" s="1"/>
  <c r="CY370" i="21"/>
  <c r="AD370" i="21"/>
  <c r="ES373" i="21"/>
  <c r="ER373" i="21"/>
  <c r="EW372" i="21"/>
  <c r="EX372" i="21" s="1"/>
  <c r="DS369" i="20"/>
  <c r="CQ369" i="20"/>
  <c r="DO371" i="20"/>
  <c r="DP371" i="20"/>
  <c r="DN372" i="20"/>
  <c r="EM372" i="20"/>
  <c r="EP372" i="20" s="1"/>
  <c r="EQ372" i="20" s="1"/>
  <c r="AT374" i="20"/>
  <c r="AP375" i="20"/>
  <c r="AQ374" i="20"/>
  <c r="EW370" i="20"/>
  <c r="EX370" i="20" s="1"/>
  <c r="DU373" i="20"/>
  <c r="AV373" i="20"/>
  <c r="AW373" i="20" s="1"/>
  <c r="CY368" i="20"/>
  <c r="AD368" i="20"/>
  <c r="FK368" i="20"/>
  <c r="FM368" i="20" s="1"/>
  <c r="ER371" i="20"/>
  <c r="ES371" i="20"/>
  <c r="DQ370" i="20"/>
  <c r="DR370" i="20" s="1"/>
  <c r="AU373" i="20"/>
  <c r="AR373" i="20"/>
  <c r="DM372" i="5"/>
  <c r="CK372" i="5"/>
  <c r="AO376" i="5"/>
  <c r="AL376" i="5"/>
  <c r="EQ373" i="5"/>
  <c r="ER373" i="5" s="1"/>
  <c r="DH375" i="5"/>
  <c r="EG375" i="5"/>
  <c r="EJ375" i="5" s="1"/>
  <c r="EK375" i="5" s="1"/>
  <c r="EL374" i="5"/>
  <c r="EM374" i="5"/>
  <c r="CY371" i="5"/>
  <c r="FE371" i="5"/>
  <c r="FG371" i="5" s="1"/>
  <c r="DO376" i="5"/>
  <c r="AP376" i="5"/>
  <c r="AQ376" i="5" s="1"/>
  <c r="AN377" i="5"/>
  <c r="AK377" i="5"/>
  <c r="DK373" i="5"/>
  <c r="DL373" i="5" s="1"/>
  <c r="DI374" i="5"/>
  <c r="DJ374" i="5"/>
  <c r="AJ378" i="5"/>
  <c r="DS372" i="21" l="1"/>
  <c r="CQ372" i="21"/>
  <c r="EW373" i="21"/>
  <c r="EX373" i="21" s="1"/>
  <c r="DQ373" i="21"/>
  <c r="DR373" i="21" s="1"/>
  <c r="DU376" i="21"/>
  <c r="AV376" i="21"/>
  <c r="AW376" i="21" s="1"/>
  <c r="DP374" i="21"/>
  <c r="DO374" i="21"/>
  <c r="AT377" i="21"/>
  <c r="AP378" i="21"/>
  <c r="AQ377" i="21"/>
  <c r="ER374" i="21"/>
  <c r="ES374" i="21"/>
  <c r="FK371" i="21"/>
  <c r="FM371" i="21" s="1"/>
  <c r="AD371" i="21"/>
  <c r="DE371" i="21"/>
  <c r="DN375" i="21"/>
  <c r="EM375" i="21"/>
  <c r="EP375" i="21" s="1"/>
  <c r="EQ375" i="21" s="1"/>
  <c r="AU376" i="21"/>
  <c r="AR376" i="21"/>
  <c r="DS370" i="20"/>
  <c r="CQ370" i="20"/>
  <c r="ES372" i="20"/>
  <c r="ER372" i="20"/>
  <c r="AP376" i="20"/>
  <c r="AT375" i="20"/>
  <c r="AQ375" i="20"/>
  <c r="DP372" i="20"/>
  <c r="DO372" i="20"/>
  <c r="DQ371" i="20"/>
  <c r="DR371" i="20" s="1"/>
  <c r="DE369" i="20"/>
  <c r="FK369" i="20"/>
  <c r="FM369" i="20" s="1"/>
  <c r="AD369" i="20"/>
  <c r="DU374" i="20"/>
  <c r="AV374" i="20"/>
  <c r="AW374" i="20" s="1"/>
  <c r="DN373" i="20"/>
  <c r="EM373" i="20"/>
  <c r="EP373" i="20" s="1"/>
  <c r="EQ373" i="20" s="1"/>
  <c r="EW371" i="20"/>
  <c r="EX371" i="20" s="1"/>
  <c r="AR374" i="20"/>
  <c r="AU374" i="20"/>
  <c r="DM373" i="5"/>
  <c r="CK373" i="5"/>
  <c r="EL375" i="5"/>
  <c r="EM375" i="5"/>
  <c r="DO377" i="5"/>
  <c r="AP377" i="5"/>
  <c r="AQ377" i="5" s="1"/>
  <c r="AL377" i="5"/>
  <c r="AO377" i="5"/>
  <c r="DH376" i="5"/>
  <c r="EG376" i="5"/>
  <c r="EJ376" i="5" s="1"/>
  <c r="EK376" i="5" s="1"/>
  <c r="DK374" i="5"/>
  <c r="DL374" i="5" s="1"/>
  <c r="AN378" i="5"/>
  <c r="AK378" i="5"/>
  <c r="FE372" i="5"/>
  <c r="FG372" i="5" s="1"/>
  <c r="CS372" i="5"/>
  <c r="DJ375" i="5"/>
  <c r="DI375" i="5"/>
  <c r="EQ374" i="5"/>
  <c r="ER374" i="5" s="1"/>
  <c r="AJ379" i="5"/>
  <c r="X372" i="5"/>
  <c r="DS373" i="21" l="1"/>
  <c r="CQ373" i="21"/>
  <c r="DQ374" i="21"/>
  <c r="DR374" i="21" s="1"/>
  <c r="EW374" i="21"/>
  <c r="EX374" i="21" s="1"/>
  <c r="AU377" i="21"/>
  <c r="AR377" i="21"/>
  <c r="DO375" i="21"/>
  <c r="DP375" i="21"/>
  <c r="AT378" i="21"/>
  <c r="AP379" i="21"/>
  <c r="AQ378" i="21"/>
  <c r="DU377" i="21"/>
  <c r="AV377" i="21"/>
  <c r="AW377" i="21" s="1"/>
  <c r="DN376" i="21"/>
  <c r="EM376" i="21"/>
  <c r="EP376" i="21" s="1"/>
  <c r="EQ376" i="21" s="1"/>
  <c r="AD372" i="21"/>
  <c r="FK372" i="21"/>
  <c r="FM372" i="21" s="1"/>
  <c r="CY372" i="21"/>
  <c r="ER375" i="21"/>
  <c r="ES375" i="21"/>
  <c r="CQ371" i="20"/>
  <c r="DS371" i="20"/>
  <c r="DU375" i="20"/>
  <c r="AV375" i="20"/>
  <c r="AW375" i="20" s="1"/>
  <c r="AT376" i="20"/>
  <c r="AP377" i="20"/>
  <c r="AQ376" i="20"/>
  <c r="EW372" i="20"/>
  <c r="EX372" i="20" s="1"/>
  <c r="DN374" i="20"/>
  <c r="EM374" i="20"/>
  <c r="EP374" i="20" s="1"/>
  <c r="EQ374" i="20" s="1"/>
  <c r="ER373" i="20"/>
  <c r="ES373" i="20"/>
  <c r="FK370" i="20"/>
  <c r="FM370" i="20" s="1"/>
  <c r="AD370" i="20"/>
  <c r="CY370" i="20"/>
  <c r="AR375" i="20"/>
  <c r="AU375" i="20"/>
  <c r="DP373" i="20"/>
  <c r="DO373" i="20"/>
  <c r="DQ372" i="20"/>
  <c r="DR372" i="20" s="1"/>
  <c r="DM374" i="5"/>
  <c r="CK374" i="5"/>
  <c r="DO378" i="5"/>
  <c r="AP378" i="5"/>
  <c r="AQ378" i="5" s="1"/>
  <c r="DH377" i="5"/>
  <c r="EG377" i="5"/>
  <c r="EJ377" i="5" s="1"/>
  <c r="EK377" i="5" s="1"/>
  <c r="EQ375" i="5"/>
  <c r="ER375" i="5" s="1"/>
  <c r="AN379" i="5"/>
  <c r="AK379" i="5"/>
  <c r="AL378" i="5"/>
  <c r="AO378" i="5"/>
  <c r="DK375" i="5"/>
  <c r="DL375" i="5" s="1"/>
  <c r="EL376" i="5"/>
  <c r="EM376" i="5"/>
  <c r="FE373" i="5"/>
  <c r="FG373" i="5" s="1"/>
  <c r="CY373" i="5"/>
  <c r="DI376" i="5"/>
  <c r="DJ376" i="5"/>
  <c r="X374" i="5"/>
  <c r="X373" i="5"/>
  <c r="AJ380" i="5"/>
  <c r="CQ374" i="21" l="1"/>
  <c r="DS374" i="21"/>
  <c r="DU378" i="21"/>
  <c r="AV378" i="21"/>
  <c r="AW378" i="21" s="1"/>
  <c r="DP376" i="21"/>
  <c r="DO376" i="21"/>
  <c r="ER376" i="21"/>
  <c r="ES376" i="21"/>
  <c r="DQ375" i="21"/>
  <c r="DR375" i="21" s="1"/>
  <c r="AU378" i="21"/>
  <c r="AR378" i="21"/>
  <c r="FK373" i="21"/>
  <c r="FM373" i="21" s="1"/>
  <c r="AD373" i="21"/>
  <c r="DE373" i="21"/>
  <c r="EW375" i="21"/>
  <c r="EX375" i="21" s="1"/>
  <c r="DN377" i="21"/>
  <c r="EM377" i="21"/>
  <c r="EP377" i="21" s="1"/>
  <c r="EQ377" i="21" s="1"/>
  <c r="AT379" i="21"/>
  <c r="AP380" i="21"/>
  <c r="AQ379" i="21"/>
  <c r="DS372" i="20"/>
  <c r="CQ372" i="20"/>
  <c r="AT377" i="20"/>
  <c r="AP378" i="20"/>
  <c r="AQ377" i="20"/>
  <c r="DU376" i="20"/>
  <c r="AV376" i="20"/>
  <c r="AW376" i="20" s="1"/>
  <c r="AU376" i="20"/>
  <c r="AR376" i="20"/>
  <c r="DQ373" i="20"/>
  <c r="DR373" i="20" s="1"/>
  <c r="ES374" i="20"/>
  <c r="ER374" i="20"/>
  <c r="DN375" i="20"/>
  <c r="EM375" i="20"/>
  <c r="EP375" i="20" s="1"/>
  <c r="EQ375" i="20" s="1"/>
  <c r="DP374" i="20"/>
  <c r="DO374" i="20"/>
  <c r="EW373" i="20"/>
  <c r="EX373" i="20" s="1"/>
  <c r="DE371" i="20"/>
  <c r="FK371" i="20"/>
  <c r="FM371" i="20" s="1"/>
  <c r="AD371" i="20"/>
  <c r="DM375" i="5"/>
  <c r="CK375" i="5"/>
  <c r="EM377" i="5"/>
  <c r="EL377" i="5"/>
  <c r="EQ376" i="5"/>
  <c r="ER376" i="5" s="1"/>
  <c r="AN380" i="5"/>
  <c r="AK380" i="5"/>
  <c r="DI377" i="5"/>
  <c r="DJ377" i="5"/>
  <c r="DK376" i="5"/>
  <c r="DL376" i="5" s="1"/>
  <c r="DH378" i="5"/>
  <c r="EG378" i="5"/>
  <c r="EJ378" i="5" s="1"/>
  <c r="EK378" i="5" s="1"/>
  <c r="AL379" i="5"/>
  <c r="AO379" i="5"/>
  <c r="FE374" i="5"/>
  <c r="FG374" i="5" s="1"/>
  <c r="CS374" i="5"/>
  <c r="DO379" i="5"/>
  <c r="AP379" i="5"/>
  <c r="AQ379" i="5" s="1"/>
  <c r="AJ381" i="5"/>
  <c r="DS375" i="21" l="1"/>
  <c r="CQ375" i="21"/>
  <c r="DU379" i="21"/>
  <c r="AV379" i="21"/>
  <c r="AW379" i="21" s="1"/>
  <c r="AP381" i="21"/>
  <c r="AT380" i="21"/>
  <c r="AQ380" i="21"/>
  <c r="DQ376" i="21"/>
  <c r="DR376" i="21" s="1"/>
  <c r="DP377" i="21"/>
  <c r="DO377" i="21"/>
  <c r="DN378" i="21"/>
  <c r="EM378" i="21"/>
  <c r="EP378" i="21" s="1"/>
  <c r="EQ378" i="21" s="1"/>
  <c r="AR379" i="21"/>
  <c r="AU379" i="21"/>
  <c r="ER377" i="21"/>
  <c r="ES377" i="21"/>
  <c r="EW376" i="21"/>
  <c r="EX376" i="21" s="1"/>
  <c r="AD374" i="21"/>
  <c r="FK374" i="21"/>
  <c r="FM374" i="21" s="1"/>
  <c r="CY374" i="21"/>
  <c r="DS373" i="20"/>
  <c r="CQ373" i="20"/>
  <c r="DN376" i="20"/>
  <c r="EM376" i="20"/>
  <c r="EP376" i="20" s="1"/>
  <c r="EQ376" i="20" s="1"/>
  <c r="EW374" i="20"/>
  <c r="EX374" i="20" s="1"/>
  <c r="AR377" i="20"/>
  <c r="AU377" i="20"/>
  <c r="AP379" i="20"/>
  <c r="AT378" i="20"/>
  <c r="AQ378" i="20"/>
  <c r="DU377" i="20"/>
  <c r="AV377" i="20"/>
  <c r="AW377" i="20" s="1"/>
  <c r="DO375" i="20"/>
  <c r="DP375" i="20"/>
  <c r="CY372" i="20"/>
  <c r="AD372" i="20"/>
  <c r="FK372" i="20"/>
  <c r="FM372" i="20" s="1"/>
  <c r="ES375" i="20"/>
  <c r="ER375" i="20"/>
  <c r="DQ374" i="20"/>
  <c r="DR374" i="20" s="1"/>
  <c r="DM376" i="5"/>
  <c r="CK376" i="5"/>
  <c r="AO380" i="5"/>
  <c r="AL380" i="5"/>
  <c r="EQ377" i="5"/>
  <c r="ER377" i="5" s="1"/>
  <c r="EM378" i="5"/>
  <c r="EL378" i="5"/>
  <c r="DH379" i="5"/>
  <c r="EG379" i="5"/>
  <c r="EJ379" i="5" s="1"/>
  <c r="EK379" i="5" s="1"/>
  <c r="CY375" i="5"/>
  <c r="FE375" i="5"/>
  <c r="FG375" i="5" s="1"/>
  <c r="DO380" i="5"/>
  <c r="AP380" i="5"/>
  <c r="AQ380" i="5" s="1"/>
  <c r="DJ378" i="5"/>
  <c r="DI378" i="5"/>
  <c r="AN381" i="5"/>
  <c r="AK381" i="5"/>
  <c r="DK377" i="5"/>
  <c r="DL377" i="5" s="1"/>
  <c r="X375" i="5"/>
  <c r="AJ382" i="5"/>
  <c r="DS376" i="21" l="1"/>
  <c r="CQ376" i="21"/>
  <c r="DP378" i="21"/>
  <c r="DO378" i="21"/>
  <c r="EW377" i="21"/>
  <c r="EX377" i="21" s="1"/>
  <c r="DU380" i="21"/>
  <c r="AV380" i="21"/>
  <c r="AW380" i="21" s="1"/>
  <c r="AT381" i="21"/>
  <c r="AP382" i="21"/>
  <c r="AQ381" i="21"/>
  <c r="ES378" i="21"/>
  <c r="ER378" i="21"/>
  <c r="DQ377" i="21"/>
  <c r="DR377" i="21" s="1"/>
  <c r="AD375" i="21"/>
  <c r="FK375" i="21"/>
  <c r="FM375" i="21" s="1"/>
  <c r="CY375" i="21"/>
  <c r="AU380" i="21"/>
  <c r="AR380" i="21"/>
  <c r="DN379" i="21"/>
  <c r="EM379" i="21"/>
  <c r="EP379" i="21" s="1"/>
  <c r="EQ379" i="21" s="1"/>
  <c r="CQ374" i="20"/>
  <c r="DS374" i="20"/>
  <c r="DQ375" i="20"/>
  <c r="DR375" i="20" s="1"/>
  <c r="ES376" i="20"/>
  <c r="ER376" i="20"/>
  <c r="DN377" i="20"/>
  <c r="EM377" i="20"/>
  <c r="EP377" i="20" s="1"/>
  <c r="EQ377" i="20" s="1"/>
  <c r="AU378" i="20"/>
  <c r="AR378" i="20"/>
  <c r="DP376" i="20"/>
  <c r="DO376" i="20"/>
  <c r="DU378" i="20"/>
  <c r="AV378" i="20"/>
  <c r="AW378" i="20" s="1"/>
  <c r="FK373" i="20"/>
  <c r="FM373" i="20" s="1"/>
  <c r="AD373" i="20"/>
  <c r="DE373" i="20"/>
  <c r="EW375" i="20"/>
  <c r="EX375" i="20" s="1"/>
  <c r="AT379" i="20"/>
  <c r="AP380" i="20"/>
  <c r="AQ379" i="20"/>
  <c r="DK378" i="5"/>
  <c r="DL378" i="5" s="1"/>
  <c r="EQ378" i="5"/>
  <c r="ER378" i="5" s="1"/>
  <c r="AN382" i="5"/>
  <c r="AK382" i="5"/>
  <c r="DH380" i="5"/>
  <c r="EG380" i="5"/>
  <c r="EJ380" i="5" s="1"/>
  <c r="EK380" i="5" s="1"/>
  <c r="EL379" i="5"/>
  <c r="EM379" i="5"/>
  <c r="DM377" i="5"/>
  <c r="CK377" i="5"/>
  <c r="AL381" i="5"/>
  <c r="AO381" i="5"/>
  <c r="FE376" i="5"/>
  <c r="FG376" i="5" s="1"/>
  <c r="CS376" i="5"/>
  <c r="DO381" i="5"/>
  <c r="AP381" i="5"/>
  <c r="AQ381" i="5" s="1"/>
  <c r="DJ379" i="5"/>
  <c r="DI379" i="5"/>
  <c r="AJ383" i="5"/>
  <c r="X376" i="5"/>
  <c r="DS377" i="21" l="1"/>
  <c r="CQ377" i="21"/>
  <c r="DO379" i="21"/>
  <c r="DP379" i="21"/>
  <c r="EW378" i="21"/>
  <c r="EX378" i="21" s="1"/>
  <c r="AU381" i="21"/>
  <c r="AR381" i="21"/>
  <c r="DQ378" i="21"/>
  <c r="DR378" i="21" s="1"/>
  <c r="AP383" i="21"/>
  <c r="AT382" i="21"/>
  <c r="AQ382" i="21"/>
  <c r="DU381" i="21"/>
  <c r="AV381" i="21"/>
  <c r="AW381" i="21" s="1"/>
  <c r="DN380" i="21"/>
  <c r="EM380" i="21"/>
  <c r="EP380" i="21" s="1"/>
  <c r="EQ380" i="21" s="1"/>
  <c r="FK376" i="21"/>
  <c r="FM376" i="21" s="1"/>
  <c r="DE376" i="21"/>
  <c r="AD376" i="21"/>
  <c r="ES379" i="21"/>
  <c r="ER379" i="21"/>
  <c r="CQ375" i="20"/>
  <c r="DS375" i="20"/>
  <c r="EW376" i="20"/>
  <c r="EX376" i="20" s="1"/>
  <c r="DP377" i="20"/>
  <c r="DO377" i="20"/>
  <c r="DN378" i="20"/>
  <c r="EM378" i="20"/>
  <c r="EP378" i="20" s="1"/>
  <c r="EQ378" i="20" s="1"/>
  <c r="DQ376" i="20"/>
  <c r="DR376" i="20" s="1"/>
  <c r="DU379" i="20"/>
  <c r="AV379" i="20"/>
  <c r="AW379" i="20" s="1"/>
  <c r="ES377" i="20"/>
  <c r="ER377" i="20"/>
  <c r="AU379" i="20"/>
  <c r="AR379" i="20"/>
  <c r="AP381" i="20"/>
  <c r="AT380" i="20"/>
  <c r="AQ380" i="20"/>
  <c r="FK374" i="20"/>
  <c r="FM374" i="20" s="1"/>
  <c r="CY374" i="20"/>
  <c r="AD374" i="20"/>
  <c r="DM378" i="5"/>
  <c r="CK378" i="5"/>
  <c r="EL380" i="5"/>
  <c r="EM380" i="5"/>
  <c r="DI380" i="5"/>
  <c r="DJ380" i="5"/>
  <c r="DO382" i="5"/>
  <c r="AP382" i="5"/>
  <c r="AQ382" i="5" s="1"/>
  <c r="DK379" i="5"/>
  <c r="DL379" i="5" s="1"/>
  <c r="FE377" i="5"/>
  <c r="FG377" i="5" s="1"/>
  <c r="CY377" i="5"/>
  <c r="AN383" i="5"/>
  <c r="AK383" i="5"/>
  <c r="AL382" i="5"/>
  <c r="AO382" i="5"/>
  <c r="DH381" i="5"/>
  <c r="EG381" i="5"/>
  <c r="EJ381" i="5" s="1"/>
  <c r="EK381" i="5" s="1"/>
  <c r="EQ379" i="5"/>
  <c r="ER379" i="5" s="1"/>
  <c r="AJ384" i="5"/>
  <c r="X377" i="5"/>
  <c r="DS378" i="21" l="1"/>
  <c r="CQ378" i="21"/>
  <c r="DN381" i="21"/>
  <c r="EM381" i="21"/>
  <c r="EP381" i="21" s="1"/>
  <c r="EQ381" i="21" s="1"/>
  <c r="DP380" i="21"/>
  <c r="DO380" i="21"/>
  <c r="ER380" i="21"/>
  <c r="ES380" i="21"/>
  <c r="DU382" i="21"/>
  <c r="AV382" i="21"/>
  <c r="AW382" i="21" s="1"/>
  <c r="AT383" i="21"/>
  <c r="AP384" i="21"/>
  <c r="AQ383" i="21"/>
  <c r="DE377" i="21"/>
  <c r="AD377" i="21"/>
  <c r="FK377" i="21"/>
  <c r="FM377" i="21" s="1"/>
  <c r="EW379" i="21"/>
  <c r="EX379" i="21" s="1"/>
  <c r="AU382" i="21"/>
  <c r="AR382" i="21"/>
  <c r="DQ379" i="21"/>
  <c r="DR379" i="21" s="1"/>
  <c r="DS376" i="20"/>
  <c r="CQ376" i="20"/>
  <c r="DQ377" i="20"/>
  <c r="DR377" i="20" s="1"/>
  <c r="DO378" i="20"/>
  <c r="DP378" i="20"/>
  <c r="EW377" i="20"/>
  <c r="EX377" i="20" s="1"/>
  <c r="AR380" i="20"/>
  <c r="AU380" i="20"/>
  <c r="DN379" i="20"/>
  <c r="EM379" i="20"/>
  <c r="EP379" i="20" s="1"/>
  <c r="EQ379" i="20" s="1"/>
  <c r="ES378" i="20"/>
  <c r="ER378" i="20"/>
  <c r="DU380" i="20"/>
  <c r="AV380" i="20"/>
  <c r="AW380" i="20" s="1"/>
  <c r="AP382" i="20"/>
  <c r="AT381" i="20"/>
  <c r="AQ381" i="20"/>
  <c r="CY375" i="20"/>
  <c r="FK375" i="20"/>
  <c r="FM375" i="20" s="1"/>
  <c r="AD375" i="20"/>
  <c r="DM379" i="5"/>
  <c r="CK379" i="5"/>
  <c r="DO383" i="5"/>
  <c r="AP383" i="5"/>
  <c r="AQ383" i="5" s="1"/>
  <c r="AL383" i="5"/>
  <c r="AO383" i="5"/>
  <c r="EQ380" i="5"/>
  <c r="ER380" i="5" s="1"/>
  <c r="EL381" i="5"/>
  <c r="EM381" i="5"/>
  <c r="FE378" i="5"/>
  <c r="FG378" i="5" s="1"/>
  <c r="CS378" i="5"/>
  <c r="DH382" i="5"/>
  <c r="EG382" i="5"/>
  <c r="EJ382" i="5" s="1"/>
  <c r="EK382" i="5" s="1"/>
  <c r="AN384" i="5"/>
  <c r="AK384" i="5"/>
  <c r="DK380" i="5"/>
  <c r="DL380" i="5" s="1"/>
  <c r="DI381" i="5"/>
  <c r="DJ381" i="5"/>
  <c r="AJ385" i="5"/>
  <c r="X378" i="5"/>
  <c r="DS379" i="21" l="1"/>
  <c r="CQ379" i="21"/>
  <c r="DU383" i="21"/>
  <c r="AV383" i="21"/>
  <c r="AW383" i="21" s="1"/>
  <c r="EW380" i="21"/>
  <c r="EX380" i="21" s="1"/>
  <c r="DQ380" i="21"/>
  <c r="DR380" i="21" s="1"/>
  <c r="DN382" i="21"/>
  <c r="EM382" i="21"/>
  <c r="EP382" i="21" s="1"/>
  <c r="EQ382" i="21" s="1"/>
  <c r="AU383" i="21"/>
  <c r="AR383" i="21"/>
  <c r="DP381" i="21"/>
  <c r="DO381" i="21"/>
  <c r="FK378" i="21"/>
  <c r="FM378" i="21" s="1"/>
  <c r="DE378" i="21"/>
  <c r="AD378" i="21"/>
  <c r="AP385" i="21"/>
  <c r="AT384" i="21"/>
  <c r="AQ384" i="21"/>
  <c r="ES381" i="21"/>
  <c r="ER381" i="21"/>
  <c r="CQ377" i="20"/>
  <c r="DS377" i="20"/>
  <c r="DQ378" i="20"/>
  <c r="DR378" i="20" s="1"/>
  <c r="AR381" i="20"/>
  <c r="AU381" i="20"/>
  <c r="DP379" i="20"/>
  <c r="DO379" i="20"/>
  <c r="EW378" i="20"/>
  <c r="EX378" i="20" s="1"/>
  <c r="DU381" i="20"/>
  <c r="AV381" i="20"/>
  <c r="AW381" i="20" s="1"/>
  <c r="FK376" i="20"/>
  <c r="FM376" i="20" s="1"/>
  <c r="AD376" i="20"/>
  <c r="DE376" i="20"/>
  <c r="DN380" i="20"/>
  <c r="EM380" i="20"/>
  <c r="EP380" i="20" s="1"/>
  <c r="EQ380" i="20" s="1"/>
  <c r="ES379" i="20"/>
  <c r="ER379" i="20"/>
  <c r="AP383" i="20"/>
  <c r="AT382" i="20"/>
  <c r="AQ382" i="20"/>
  <c r="DM380" i="5"/>
  <c r="CK380" i="5"/>
  <c r="X380" i="5" s="1"/>
  <c r="EL382" i="5"/>
  <c r="EM382" i="5"/>
  <c r="AO384" i="5"/>
  <c r="AL384" i="5"/>
  <c r="DO384" i="5"/>
  <c r="AP384" i="5"/>
  <c r="AQ384" i="5" s="1"/>
  <c r="DJ382" i="5"/>
  <c r="DI382" i="5"/>
  <c r="DK381" i="5"/>
  <c r="DL381" i="5" s="1"/>
  <c r="DH383" i="5"/>
  <c r="EG383" i="5"/>
  <c r="EJ383" i="5" s="1"/>
  <c r="EK383" i="5" s="1"/>
  <c r="CS379" i="5"/>
  <c r="FE379" i="5"/>
  <c r="FG379" i="5" s="1"/>
  <c r="AN385" i="5"/>
  <c r="AK385" i="5"/>
  <c r="EQ381" i="5"/>
  <c r="ER381" i="5" s="1"/>
  <c r="AJ386" i="5"/>
  <c r="X379" i="5"/>
  <c r="CQ380" i="21" l="1"/>
  <c r="DS380" i="21"/>
  <c r="DU384" i="21"/>
  <c r="AV384" i="21"/>
  <c r="AW384" i="21" s="1"/>
  <c r="AT385" i="21"/>
  <c r="AP386" i="21"/>
  <c r="AQ385" i="21"/>
  <c r="AR384" i="21"/>
  <c r="AU384" i="21"/>
  <c r="DP382" i="21"/>
  <c r="DO382" i="21"/>
  <c r="DN383" i="21"/>
  <c r="EM383" i="21"/>
  <c r="EP383" i="21" s="1"/>
  <c r="EQ383" i="21" s="1"/>
  <c r="EW381" i="21"/>
  <c r="EX381" i="21" s="1"/>
  <c r="DQ381" i="21"/>
  <c r="DR381" i="21" s="1"/>
  <c r="FK379" i="21"/>
  <c r="FM379" i="21" s="1"/>
  <c r="AD379" i="21"/>
  <c r="DE379" i="21"/>
  <c r="ES382" i="21"/>
  <c r="ER382" i="21"/>
  <c r="DQ379" i="20"/>
  <c r="DR379" i="20" s="1"/>
  <c r="AR382" i="20"/>
  <c r="AU382" i="20"/>
  <c r="DU382" i="20"/>
  <c r="AV382" i="20"/>
  <c r="AW382" i="20" s="1"/>
  <c r="DS378" i="20"/>
  <c r="CQ378" i="20"/>
  <c r="EW379" i="20"/>
  <c r="EX379" i="20" s="1"/>
  <c r="DN381" i="20"/>
  <c r="EM381" i="20"/>
  <c r="EP381" i="20" s="1"/>
  <c r="EQ381" i="20" s="1"/>
  <c r="DP380" i="20"/>
  <c r="DO380" i="20"/>
  <c r="AP384" i="20"/>
  <c r="AT383" i="20"/>
  <c r="AQ383" i="20"/>
  <c r="ES380" i="20"/>
  <c r="ER380" i="20"/>
  <c r="AD377" i="20"/>
  <c r="FK377" i="20"/>
  <c r="FM377" i="20" s="1"/>
  <c r="DE377" i="20"/>
  <c r="DM381" i="5"/>
  <c r="CK381" i="5"/>
  <c r="DH384" i="5"/>
  <c r="EG384" i="5"/>
  <c r="EJ384" i="5" s="1"/>
  <c r="EK384" i="5" s="1"/>
  <c r="EM383" i="5"/>
  <c r="EL383" i="5"/>
  <c r="DJ383" i="5"/>
  <c r="DI383" i="5"/>
  <c r="EQ382" i="5"/>
  <c r="ER382" i="5" s="1"/>
  <c r="AN386" i="5"/>
  <c r="AK386" i="5"/>
  <c r="AO385" i="5"/>
  <c r="AL385" i="5"/>
  <c r="DK382" i="5"/>
  <c r="DL382" i="5" s="1"/>
  <c r="FE380" i="5"/>
  <c r="FG380" i="5" s="1"/>
  <c r="CY380" i="5"/>
  <c r="DO385" i="5"/>
  <c r="AP385" i="5"/>
  <c r="AQ385" i="5" s="1"/>
  <c r="AJ387" i="5"/>
  <c r="CQ381" i="21" l="1"/>
  <c r="DS381" i="21"/>
  <c r="DO383" i="21"/>
  <c r="DP383" i="21"/>
  <c r="AU385" i="21"/>
  <c r="AR385" i="21"/>
  <c r="ES383" i="21"/>
  <c r="ER383" i="21"/>
  <c r="AP387" i="21"/>
  <c r="AT386" i="21"/>
  <c r="AQ386" i="21"/>
  <c r="EW382" i="21"/>
  <c r="EX382" i="21" s="1"/>
  <c r="DN384" i="21"/>
  <c r="EM384" i="21"/>
  <c r="EP384" i="21" s="1"/>
  <c r="EQ384" i="21" s="1"/>
  <c r="DU385" i="21"/>
  <c r="AV385" i="21"/>
  <c r="AW385" i="21" s="1"/>
  <c r="DQ382" i="21"/>
  <c r="DR382" i="21" s="1"/>
  <c r="FK380" i="21"/>
  <c r="FM380" i="21" s="1"/>
  <c r="CY380" i="21"/>
  <c r="AD380" i="21"/>
  <c r="DS379" i="20"/>
  <c r="CQ379" i="20"/>
  <c r="AT384" i="20"/>
  <c r="AP385" i="20"/>
  <c r="AQ384" i="20"/>
  <c r="DE378" i="20"/>
  <c r="AD378" i="20"/>
  <c r="FK378" i="20"/>
  <c r="FM378" i="20" s="1"/>
  <c r="DN382" i="20"/>
  <c r="EM382" i="20"/>
  <c r="EP382" i="20" s="1"/>
  <c r="EQ382" i="20" s="1"/>
  <c r="DQ380" i="20"/>
  <c r="DR380" i="20" s="1"/>
  <c r="ER381" i="20"/>
  <c r="ES381" i="20"/>
  <c r="EW380" i="20"/>
  <c r="EX380" i="20" s="1"/>
  <c r="DO381" i="20"/>
  <c r="DP381" i="20"/>
  <c r="DU383" i="20"/>
  <c r="AV383" i="20"/>
  <c r="AW383" i="20" s="1"/>
  <c r="AU383" i="20"/>
  <c r="AR383" i="20"/>
  <c r="DM382" i="5"/>
  <c r="CK382" i="5"/>
  <c r="EQ383" i="5"/>
  <c r="ER383" i="5" s="1"/>
  <c r="AL386" i="5"/>
  <c r="AO386" i="5"/>
  <c r="EL384" i="5"/>
  <c r="EM384" i="5"/>
  <c r="AN387" i="5"/>
  <c r="AK387" i="5"/>
  <c r="DH385" i="5"/>
  <c r="EG385" i="5"/>
  <c r="EJ385" i="5" s="1"/>
  <c r="EK385" i="5" s="1"/>
  <c r="DI384" i="5"/>
  <c r="DJ384" i="5"/>
  <c r="DK383" i="5"/>
  <c r="DL383" i="5" s="1"/>
  <c r="FE381" i="5"/>
  <c r="FG381" i="5" s="1"/>
  <c r="CY381" i="5"/>
  <c r="DO386" i="5"/>
  <c r="AP386" i="5"/>
  <c r="AQ386" i="5" s="1"/>
  <c r="AJ388" i="5"/>
  <c r="X381" i="5"/>
  <c r="DS382" i="21" l="1"/>
  <c r="CQ382" i="21"/>
  <c r="DO384" i="21"/>
  <c r="DP384" i="21"/>
  <c r="AU386" i="21"/>
  <c r="AR386" i="21"/>
  <c r="AP388" i="21"/>
  <c r="AT387" i="21"/>
  <c r="AQ387" i="21"/>
  <c r="ES384" i="21"/>
  <c r="ER384" i="21"/>
  <c r="DN385" i="21"/>
  <c r="EM385" i="21"/>
  <c r="EP385" i="21" s="1"/>
  <c r="EQ385" i="21" s="1"/>
  <c r="EW383" i="21"/>
  <c r="EX383" i="21" s="1"/>
  <c r="DU386" i="21"/>
  <c r="AV386" i="21"/>
  <c r="AW386" i="21" s="1"/>
  <c r="DQ383" i="21"/>
  <c r="DR383" i="21" s="1"/>
  <c r="AD381" i="21"/>
  <c r="FK381" i="21"/>
  <c r="FM381" i="21" s="1"/>
  <c r="CY381" i="21"/>
  <c r="DS380" i="20"/>
  <c r="CQ380" i="20"/>
  <c r="EW381" i="20"/>
  <c r="EX381" i="20" s="1"/>
  <c r="AU384" i="20"/>
  <c r="AR384" i="20"/>
  <c r="AP386" i="20"/>
  <c r="AT385" i="20"/>
  <c r="AQ385" i="20"/>
  <c r="DU384" i="20"/>
  <c r="AV384" i="20"/>
  <c r="AW384" i="20" s="1"/>
  <c r="DN383" i="20"/>
  <c r="EM383" i="20"/>
  <c r="EP383" i="20" s="1"/>
  <c r="EQ383" i="20" s="1"/>
  <c r="ES382" i="20"/>
  <c r="ER382" i="20"/>
  <c r="FK379" i="20"/>
  <c r="FM379" i="20" s="1"/>
  <c r="AD379" i="20"/>
  <c r="DE379" i="20"/>
  <c r="DQ381" i="20"/>
  <c r="DR381" i="20" s="1"/>
  <c r="DO382" i="20"/>
  <c r="DP382" i="20"/>
  <c r="DM383" i="5"/>
  <c r="CK383" i="5"/>
  <c r="DK384" i="5"/>
  <c r="DL384" i="5" s="1"/>
  <c r="EM385" i="5"/>
  <c r="EL385" i="5"/>
  <c r="EQ384" i="5"/>
  <c r="ER384" i="5" s="1"/>
  <c r="DH386" i="5"/>
  <c r="EG386" i="5"/>
  <c r="EJ386" i="5" s="1"/>
  <c r="EK386" i="5" s="1"/>
  <c r="DI385" i="5"/>
  <c r="DJ385" i="5"/>
  <c r="AN388" i="5"/>
  <c r="AK388" i="5"/>
  <c r="AL387" i="5"/>
  <c r="AO387" i="5"/>
  <c r="FE382" i="5"/>
  <c r="FG382" i="5" s="1"/>
  <c r="CY382" i="5"/>
  <c r="DO387" i="5"/>
  <c r="AP387" i="5"/>
  <c r="AQ387" i="5" s="1"/>
  <c r="X382" i="5"/>
  <c r="AJ389" i="5"/>
  <c r="DS383" i="21" l="1"/>
  <c r="CQ383" i="21"/>
  <c r="DP385" i="21"/>
  <c r="DO385" i="21"/>
  <c r="EW384" i="21"/>
  <c r="EX384" i="21" s="1"/>
  <c r="DN386" i="21"/>
  <c r="EM386" i="21"/>
  <c r="EP386" i="21" s="1"/>
  <c r="EQ386" i="21" s="1"/>
  <c r="AP389" i="21"/>
  <c r="AT388" i="21"/>
  <c r="AQ388" i="21"/>
  <c r="AR387" i="21"/>
  <c r="AU387" i="21"/>
  <c r="ES385" i="21"/>
  <c r="ER385" i="21"/>
  <c r="DQ384" i="21"/>
  <c r="DR384" i="21" s="1"/>
  <c r="FK382" i="21"/>
  <c r="FM382" i="21" s="1"/>
  <c r="DE382" i="21"/>
  <c r="AD382" i="21"/>
  <c r="DU387" i="21"/>
  <c r="AV387" i="21"/>
  <c r="AW387" i="21" s="1"/>
  <c r="DS381" i="20"/>
  <c r="CQ381" i="20"/>
  <c r="ES383" i="20"/>
  <c r="ER383" i="20"/>
  <c r="AP387" i="20"/>
  <c r="AT386" i="20"/>
  <c r="AQ386" i="20"/>
  <c r="DU385" i="20"/>
  <c r="AV385" i="20"/>
  <c r="AW385" i="20" s="1"/>
  <c r="EW382" i="20"/>
  <c r="EX382" i="20" s="1"/>
  <c r="DN384" i="20"/>
  <c r="EM384" i="20"/>
  <c r="EP384" i="20" s="1"/>
  <c r="EQ384" i="20" s="1"/>
  <c r="CY380" i="20"/>
  <c r="AD380" i="20"/>
  <c r="FK380" i="20"/>
  <c r="FM380" i="20" s="1"/>
  <c r="DQ382" i="20"/>
  <c r="DR382" i="20" s="1"/>
  <c r="DO383" i="20"/>
  <c r="DP383" i="20"/>
  <c r="AU385" i="20"/>
  <c r="AR385" i="20"/>
  <c r="DM384" i="5"/>
  <c r="CK384" i="5"/>
  <c r="AO388" i="5"/>
  <c r="AL388" i="5"/>
  <c r="EQ385" i="5"/>
  <c r="ER385" i="5" s="1"/>
  <c r="AN389" i="5"/>
  <c r="AK389" i="5"/>
  <c r="DH387" i="5"/>
  <c r="EG387" i="5"/>
  <c r="EJ387" i="5" s="1"/>
  <c r="EK387" i="5" s="1"/>
  <c r="DK385" i="5"/>
  <c r="DL385" i="5" s="1"/>
  <c r="EM386" i="5"/>
  <c r="EL386" i="5"/>
  <c r="CY383" i="5"/>
  <c r="FE383" i="5"/>
  <c r="FG383" i="5" s="1"/>
  <c r="DO388" i="5"/>
  <c r="AP388" i="5"/>
  <c r="AQ388" i="5" s="1"/>
  <c r="DJ386" i="5"/>
  <c r="DI386" i="5"/>
  <c r="AJ390" i="5"/>
  <c r="X383" i="5"/>
  <c r="CQ384" i="21" l="1"/>
  <c r="DS384" i="21"/>
  <c r="AU388" i="21"/>
  <c r="AR388" i="21"/>
  <c r="EW385" i="21"/>
  <c r="EX385" i="21" s="1"/>
  <c r="ES386" i="21"/>
  <c r="ER386" i="21"/>
  <c r="DQ385" i="21"/>
  <c r="DR385" i="21" s="1"/>
  <c r="DN387" i="21"/>
  <c r="EM387" i="21"/>
  <c r="EP387" i="21" s="1"/>
  <c r="EQ387" i="21" s="1"/>
  <c r="AT389" i="21"/>
  <c r="AP390" i="21"/>
  <c r="AQ389" i="21"/>
  <c r="DU388" i="21"/>
  <c r="AV388" i="21"/>
  <c r="AW388" i="21" s="1"/>
  <c r="DP386" i="21"/>
  <c r="DO386" i="21"/>
  <c r="FK383" i="21"/>
  <c r="FM383" i="21" s="1"/>
  <c r="DE383" i="21"/>
  <c r="AD383" i="21"/>
  <c r="DS382" i="20"/>
  <c r="CQ382" i="20"/>
  <c r="DU386" i="20"/>
  <c r="AV386" i="20"/>
  <c r="AW386" i="20" s="1"/>
  <c r="ES384" i="20"/>
  <c r="ER384" i="20"/>
  <c r="AT387" i="20"/>
  <c r="AP388" i="20"/>
  <c r="AQ387" i="20"/>
  <c r="EW383" i="20"/>
  <c r="EX383" i="20" s="1"/>
  <c r="DQ383" i="20"/>
  <c r="DR383" i="20" s="1"/>
  <c r="AU386" i="20"/>
  <c r="AR386" i="20"/>
  <c r="CY381" i="20"/>
  <c r="AD381" i="20"/>
  <c r="FK381" i="20"/>
  <c r="FM381" i="20" s="1"/>
  <c r="DN385" i="20"/>
  <c r="EM385" i="20"/>
  <c r="EP385" i="20" s="1"/>
  <c r="EQ385" i="20" s="1"/>
  <c r="DO384" i="20"/>
  <c r="DP384" i="20"/>
  <c r="DM385" i="5"/>
  <c r="CK385" i="5"/>
  <c r="EQ386" i="5"/>
  <c r="ER386" i="5" s="1"/>
  <c r="AN390" i="5"/>
  <c r="AK390" i="5"/>
  <c r="AO389" i="5"/>
  <c r="AL389" i="5"/>
  <c r="EL387" i="5"/>
  <c r="EM387" i="5"/>
  <c r="CS384" i="5"/>
  <c r="FE384" i="5"/>
  <c r="FG384" i="5" s="1"/>
  <c r="DO389" i="5"/>
  <c r="AP389" i="5"/>
  <c r="AQ389" i="5" s="1"/>
  <c r="DK386" i="5"/>
  <c r="DL386" i="5" s="1"/>
  <c r="DH388" i="5"/>
  <c r="EG388" i="5"/>
  <c r="EJ388" i="5" s="1"/>
  <c r="EK388" i="5" s="1"/>
  <c r="DJ387" i="5"/>
  <c r="DI387" i="5"/>
  <c r="X384" i="5"/>
  <c r="AJ391" i="5"/>
  <c r="DS385" i="21" l="1"/>
  <c r="CQ385" i="21"/>
  <c r="DQ386" i="21"/>
  <c r="DR386" i="21" s="1"/>
  <c r="DN388" i="21"/>
  <c r="EM388" i="21"/>
  <c r="EP388" i="21" s="1"/>
  <c r="EQ388" i="21" s="1"/>
  <c r="DU389" i="21"/>
  <c r="AV389" i="21"/>
  <c r="AW389" i="21" s="1"/>
  <c r="AR389" i="21"/>
  <c r="AU389" i="21"/>
  <c r="EW386" i="21"/>
  <c r="EX386" i="21" s="1"/>
  <c r="AT390" i="21"/>
  <c r="AP391" i="21"/>
  <c r="AQ390" i="21"/>
  <c r="DP387" i="21"/>
  <c r="DO387" i="21"/>
  <c r="ES387" i="21"/>
  <c r="ER387" i="21"/>
  <c r="DE384" i="21"/>
  <c r="AD384" i="21"/>
  <c r="FK384" i="21"/>
  <c r="FM384" i="21" s="1"/>
  <c r="DS383" i="20"/>
  <c r="CQ383" i="20"/>
  <c r="EW384" i="20"/>
  <c r="EX384" i="20" s="1"/>
  <c r="DU387" i="20"/>
  <c r="AV387" i="20"/>
  <c r="AW387" i="20" s="1"/>
  <c r="DQ384" i="20"/>
  <c r="DR384" i="20" s="1"/>
  <c r="ES385" i="20"/>
  <c r="ER385" i="20"/>
  <c r="DN386" i="20"/>
  <c r="EM386" i="20"/>
  <c r="EP386" i="20" s="1"/>
  <c r="EQ386" i="20" s="1"/>
  <c r="AT388" i="20"/>
  <c r="AP389" i="20"/>
  <c r="AQ388" i="20"/>
  <c r="DP385" i="20"/>
  <c r="DO385" i="20"/>
  <c r="FK382" i="20"/>
  <c r="FM382" i="20" s="1"/>
  <c r="AD382" i="20"/>
  <c r="DE382" i="20"/>
  <c r="AU387" i="20"/>
  <c r="AR387" i="20"/>
  <c r="DM386" i="5"/>
  <c r="CK386" i="5"/>
  <c r="AO390" i="5"/>
  <c r="AL390" i="5"/>
  <c r="AN391" i="5"/>
  <c r="AK391" i="5"/>
  <c r="DK387" i="5"/>
  <c r="DL387" i="5" s="1"/>
  <c r="DO390" i="5"/>
  <c r="AP390" i="5"/>
  <c r="AQ390" i="5" s="1"/>
  <c r="EL388" i="5"/>
  <c r="EM388" i="5"/>
  <c r="FE385" i="5"/>
  <c r="FG385" i="5" s="1"/>
  <c r="CS385" i="5"/>
  <c r="DH389" i="5"/>
  <c r="EG389" i="5"/>
  <c r="EJ389" i="5" s="1"/>
  <c r="EK389" i="5" s="1"/>
  <c r="DI388" i="5"/>
  <c r="DJ388" i="5"/>
  <c r="EQ387" i="5"/>
  <c r="ER387" i="5" s="1"/>
  <c r="X385" i="5"/>
  <c r="X386" i="5"/>
  <c r="AJ392" i="5"/>
  <c r="DS386" i="21" l="1"/>
  <c r="CQ386" i="21"/>
  <c r="DU390" i="21"/>
  <c r="AV390" i="21"/>
  <c r="AW390" i="21" s="1"/>
  <c r="EW387" i="21"/>
  <c r="EX387" i="21" s="1"/>
  <c r="DQ387" i="21"/>
  <c r="DR387" i="21" s="1"/>
  <c r="DN389" i="21"/>
  <c r="EM389" i="21"/>
  <c r="EP389" i="21" s="1"/>
  <c r="EQ389" i="21" s="1"/>
  <c r="DP388" i="21"/>
  <c r="DO388" i="21"/>
  <c r="AU390" i="21"/>
  <c r="AR390" i="21"/>
  <c r="FK385" i="21"/>
  <c r="FM385" i="21" s="1"/>
  <c r="CY385" i="21"/>
  <c r="AD385" i="21"/>
  <c r="AP392" i="21"/>
  <c r="AT391" i="21"/>
  <c r="AQ391" i="21"/>
  <c r="ES388" i="21"/>
  <c r="ER388" i="21"/>
  <c r="DS384" i="20"/>
  <c r="CQ384" i="20"/>
  <c r="AU388" i="20"/>
  <c r="AR388" i="20"/>
  <c r="DN387" i="20"/>
  <c r="EM387" i="20"/>
  <c r="EP387" i="20" s="1"/>
  <c r="EQ387" i="20" s="1"/>
  <c r="DU388" i="20"/>
  <c r="AV388" i="20"/>
  <c r="AW388" i="20" s="1"/>
  <c r="DO386" i="20"/>
  <c r="DP386" i="20"/>
  <c r="AT389" i="20"/>
  <c r="AP390" i="20"/>
  <c r="AQ389" i="20"/>
  <c r="EW385" i="20"/>
  <c r="EX385" i="20" s="1"/>
  <c r="FK383" i="20"/>
  <c r="FM383" i="20" s="1"/>
  <c r="DE383" i="20"/>
  <c r="AD383" i="20"/>
  <c r="ES386" i="20"/>
  <c r="ER386" i="20"/>
  <c r="DQ385" i="20"/>
  <c r="DR385" i="20" s="1"/>
  <c r="DM387" i="5"/>
  <c r="CK387" i="5"/>
  <c r="DI389" i="5"/>
  <c r="DJ389" i="5"/>
  <c r="EM389" i="5"/>
  <c r="EL389" i="5"/>
  <c r="AL391" i="5"/>
  <c r="AO391" i="5"/>
  <c r="AN392" i="5"/>
  <c r="AK392" i="5"/>
  <c r="EQ388" i="5"/>
  <c r="ER388" i="5" s="1"/>
  <c r="DO391" i="5"/>
  <c r="AP391" i="5"/>
  <c r="AQ391" i="5" s="1"/>
  <c r="FE386" i="5"/>
  <c r="FG386" i="5" s="1"/>
  <c r="CY386" i="5"/>
  <c r="DK388" i="5"/>
  <c r="DL388" i="5" s="1"/>
  <c r="DH390" i="5"/>
  <c r="EG390" i="5"/>
  <c r="EJ390" i="5" s="1"/>
  <c r="EK390" i="5" s="1"/>
  <c r="X387" i="5"/>
  <c r="AJ393" i="5"/>
  <c r="DS387" i="21" l="1"/>
  <c r="CQ387" i="21"/>
  <c r="DU391" i="21"/>
  <c r="AV391" i="21"/>
  <c r="AW391" i="21" s="1"/>
  <c r="AP393" i="21"/>
  <c r="AT392" i="21"/>
  <c r="AQ392" i="21"/>
  <c r="DO389" i="21"/>
  <c r="DP389" i="21"/>
  <c r="AU391" i="21"/>
  <c r="AR391" i="21"/>
  <c r="DQ388" i="21"/>
  <c r="DR388" i="21" s="1"/>
  <c r="EW388" i="21"/>
  <c r="EX388" i="21" s="1"/>
  <c r="AD386" i="21"/>
  <c r="FK386" i="21"/>
  <c r="FM386" i="21" s="1"/>
  <c r="CY386" i="21"/>
  <c r="ES389" i="21"/>
  <c r="ER389" i="21"/>
  <c r="DN390" i="21"/>
  <c r="EM390" i="21"/>
  <c r="EP390" i="21" s="1"/>
  <c r="EQ390" i="21" s="1"/>
  <c r="DS385" i="20"/>
  <c r="CQ385" i="20"/>
  <c r="DN388" i="20"/>
  <c r="EM388" i="20"/>
  <c r="EP388" i="20" s="1"/>
  <c r="EQ388" i="20" s="1"/>
  <c r="AU389" i="20"/>
  <c r="AR389" i="20"/>
  <c r="DO387" i="20"/>
  <c r="DP387" i="20"/>
  <c r="EW386" i="20"/>
  <c r="EX386" i="20" s="1"/>
  <c r="AP391" i="20"/>
  <c r="AT390" i="20"/>
  <c r="AQ390" i="20"/>
  <c r="DU389" i="20"/>
  <c r="AV389" i="20"/>
  <c r="AW389" i="20" s="1"/>
  <c r="DE384" i="20"/>
  <c r="FK384" i="20"/>
  <c r="FM384" i="20" s="1"/>
  <c r="AD384" i="20"/>
  <c r="ER387" i="20"/>
  <c r="ES387" i="20"/>
  <c r="DQ386" i="20"/>
  <c r="DR386" i="20" s="1"/>
  <c r="DO392" i="5"/>
  <c r="AP392" i="5"/>
  <c r="AQ392" i="5" s="1"/>
  <c r="AN393" i="5"/>
  <c r="AK393" i="5"/>
  <c r="DM388" i="5"/>
  <c r="CK388" i="5"/>
  <c r="EQ389" i="5"/>
  <c r="ER389" i="5" s="1"/>
  <c r="EL390" i="5"/>
  <c r="EM390" i="5"/>
  <c r="DH391" i="5"/>
  <c r="EG391" i="5"/>
  <c r="EJ391" i="5" s="1"/>
  <c r="EK391" i="5" s="1"/>
  <c r="DJ390" i="5"/>
  <c r="DI390" i="5"/>
  <c r="DK389" i="5"/>
  <c r="DL389" i="5" s="1"/>
  <c r="AO392" i="5"/>
  <c r="AL392" i="5"/>
  <c r="CY387" i="5"/>
  <c r="FE387" i="5"/>
  <c r="FG387" i="5" s="1"/>
  <c r="AJ394" i="5"/>
  <c r="DS388" i="21" l="1"/>
  <c r="CQ388" i="21"/>
  <c r="EW389" i="21"/>
  <c r="EX389" i="21" s="1"/>
  <c r="DO390" i="21"/>
  <c r="DP390" i="21"/>
  <c r="AU392" i="21"/>
  <c r="AR392" i="21"/>
  <c r="AP394" i="21"/>
  <c r="AT393" i="21"/>
  <c r="AQ393" i="21"/>
  <c r="ER390" i="21"/>
  <c r="ES390" i="21"/>
  <c r="DN391" i="21"/>
  <c r="EM391" i="21"/>
  <c r="EP391" i="21" s="1"/>
  <c r="EQ391" i="21" s="1"/>
  <c r="DQ389" i="21"/>
  <c r="DR389" i="21" s="1"/>
  <c r="FK387" i="21"/>
  <c r="FM387" i="21" s="1"/>
  <c r="AD387" i="21"/>
  <c r="DE387" i="21"/>
  <c r="DU392" i="21"/>
  <c r="AV392" i="21"/>
  <c r="AW392" i="21" s="1"/>
  <c r="CQ386" i="20"/>
  <c r="DS386" i="20"/>
  <c r="DQ387" i="20"/>
  <c r="DR387" i="20" s="1"/>
  <c r="AU390" i="20"/>
  <c r="AR390" i="20"/>
  <c r="ES388" i="20"/>
  <c r="ER388" i="20"/>
  <c r="DU390" i="20"/>
  <c r="AV390" i="20"/>
  <c r="AW390" i="20" s="1"/>
  <c r="EW387" i="20"/>
  <c r="EX387" i="20" s="1"/>
  <c r="AP392" i="20"/>
  <c r="AT391" i="20"/>
  <c r="AQ391" i="20"/>
  <c r="DO388" i="20"/>
  <c r="DP388" i="20"/>
  <c r="DN389" i="20"/>
  <c r="EM389" i="20"/>
  <c r="EP389" i="20" s="1"/>
  <c r="EQ389" i="20" s="1"/>
  <c r="FK385" i="20"/>
  <c r="FM385" i="20" s="1"/>
  <c r="CY385" i="20"/>
  <c r="AD385" i="20"/>
  <c r="DM389" i="5"/>
  <c r="CK389" i="5"/>
  <c r="DK390" i="5"/>
  <c r="DL390" i="5" s="1"/>
  <c r="CY388" i="5"/>
  <c r="FE388" i="5"/>
  <c r="FG388" i="5" s="1"/>
  <c r="EL391" i="5"/>
  <c r="EM391" i="5"/>
  <c r="DJ391" i="5"/>
  <c r="DI391" i="5"/>
  <c r="DO393" i="5"/>
  <c r="AP393" i="5"/>
  <c r="AQ393" i="5" s="1"/>
  <c r="AN394" i="5"/>
  <c r="AK394" i="5"/>
  <c r="AL393" i="5"/>
  <c r="AO393" i="5"/>
  <c r="EQ390" i="5"/>
  <c r="ER390" i="5" s="1"/>
  <c r="DH392" i="5"/>
  <c r="EG392" i="5"/>
  <c r="EJ392" i="5" s="1"/>
  <c r="EK392" i="5" s="1"/>
  <c r="AJ395" i="5"/>
  <c r="DS389" i="21" l="1"/>
  <c r="CQ389" i="21"/>
  <c r="EW390" i="21"/>
  <c r="EX390" i="21" s="1"/>
  <c r="DN392" i="21"/>
  <c r="EM392" i="21"/>
  <c r="EP392" i="21" s="1"/>
  <c r="EQ392" i="21" s="1"/>
  <c r="DP391" i="21"/>
  <c r="DO391" i="21"/>
  <c r="DQ390" i="21"/>
  <c r="DR390" i="21" s="1"/>
  <c r="DU393" i="21"/>
  <c r="AV393" i="21"/>
  <c r="AW393" i="21" s="1"/>
  <c r="AU393" i="21"/>
  <c r="AR393" i="21"/>
  <c r="ES391" i="21"/>
  <c r="ER391" i="21"/>
  <c r="DE388" i="21"/>
  <c r="AD388" i="21"/>
  <c r="FK388" i="21"/>
  <c r="FM388" i="21" s="1"/>
  <c r="AP395" i="21"/>
  <c r="AT394" i="21"/>
  <c r="AQ394" i="21"/>
  <c r="DS387" i="20"/>
  <c r="CQ387" i="20"/>
  <c r="DQ388" i="20"/>
  <c r="DR388" i="20" s="1"/>
  <c r="AP393" i="20"/>
  <c r="AT392" i="20"/>
  <c r="AQ392" i="20"/>
  <c r="DU391" i="20"/>
  <c r="AV391" i="20"/>
  <c r="AW391" i="20" s="1"/>
  <c r="ES389" i="20"/>
  <c r="ER389" i="20"/>
  <c r="EW388" i="20"/>
  <c r="EX388" i="20" s="1"/>
  <c r="DO389" i="20"/>
  <c r="DP389" i="20"/>
  <c r="AU391" i="20"/>
  <c r="AR391" i="20"/>
  <c r="DN390" i="20"/>
  <c r="EM390" i="20"/>
  <c r="EP390" i="20" s="1"/>
  <c r="EQ390" i="20" s="1"/>
  <c r="FK386" i="20"/>
  <c r="FM386" i="20" s="1"/>
  <c r="CY386" i="20"/>
  <c r="AD386" i="20"/>
  <c r="DM390" i="5"/>
  <c r="CK390" i="5"/>
  <c r="EQ391" i="5"/>
  <c r="ER391" i="5" s="1"/>
  <c r="AL394" i="5"/>
  <c r="AO394" i="5"/>
  <c r="DO394" i="5"/>
  <c r="AP394" i="5"/>
  <c r="AQ394" i="5" s="1"/>
  <c r="DI392" i="5"/>
  <c r="DJ392" i="5"/>
  <c r="DH393" i="5"/>
  <c r="EG393" i="5"/>
  <c r="EJ393" i="5" s="1"/>
  <c r="EK393" i="5" s="1"/>
  <c r="AN395" i="5"/>
  <c r="AK395" i="5"/>
  <c r="DK391" i="5"/>
  <c r="DL391" i="5" s="1"/>
  <c r="FE389" i="5"/>
  <c r="FG389" i="5" s="1"/>
  <c r="CS389" i="5"/>
  <c r="EL392" i="5"/>
  <c r="EM392" i="5"/>
  <c r="X388" i="5"/>
  <c r="AJ396" i="5"/>
  <c r="X389" i="5"/>
  <c r="CQ390" i="21" l="1"/>
  <c r="DS390" i="21"/>
  <c r="EW391" i="21"/>
  <c r="EX391" i="21" s="1"/>
  <c r="DN393" i="21"/>
  <c r="EM393" i="21"/>
  <c r="EP393" i="21" s="1"/>
  <c r="EQ393" i="21" s="1"/>
  <c r="AR394" i="21"/>
  <c r="AU394" i="21"/>
  <c r="AT395" i="21"/>
  <c r="AP396" i="21"/>
  <c r="AQ395" i="21"/>
  <c r="ES392" i="21"/>
  <c r="ER392" i="21"/>
  <c r="DQ391" i="21"/>
  <c r="DR391" i="21" s="1"/>
  <c r="DU394" i="21"/>
  <c r="AV394" i="21"/>
  <c r="AW394" i="21" s="1"/>
  <c r="DP392" i="21"/>
  <c r="DO392" i="21"/>
  <c r="AD389" i="21"/>
  <c r="DE389" i="21"/>
  <c r="FK389" i="21"/>
  <c r="FM389" i="21" s="1"/>
  <c r="DS388" i="20"/>
  <c r="CQ388" i="20"/>
  <c r="DN391" i="20"/>
  <c r="EM391" i="20"/>
  <c r="EP391" i="20" s="1"/>
  <c r="EQ391" i="20" s="1"/>
  <c r="DQ389" i="20"/>
  <c r="DR389" i="20" s="1"/>
  <c r="AP394" i="20"/>
  <c r="AT393" i="20"/>
  <c r="AQ393" i="20"/>
  <c r="AR392" i="20"/>
  <c r="AU392" i="20"/>
  <c r="ES390" i="20"/>
  <c r="ER390" i="20"/>
  <c r="EW389" i="20"/>
  <c r="EX389" i="20" s="1"/>
  <c r="DP390" i="20"/>
  <c r="DO390" i="20"/>
  <c r="FK387" i="20"/>
  <c r="FM387" i="20" s="1"/>
  <c r="AD387" i="20"/>
  <c r="DE387" i="20"/>
  <c r="DU392" i="20"/>
  <c r="AV392" i="20"/>
  <c r="AW392" i="20" s="1"/>
  <c r="DM391" i="5"/>
  <c r="CK391" i="5"/>
  <c r="AL395" i="5"/>
  <c r="AO395" i="5"/>
  <c r="DO395" i="5"/>
  <c r="AP395" i="5"/>
  <c r="AQ395" i="5" s="1"/>
  <c r="EM393" i="5"/>
  <c r="EL393" i="5"/>
  <c r="DJ393" i="5"/>
  <c r="DI393" i="5"/>
  <c r="DH394" i="5"/>
  <c r="EG394" i="5"/>
  <c r="EJ394" i="5" s="1"/>
  <c r="EK394" i="5" s="1"/>
  <c r="AN396" i="5"/>
  <c r="AK396" i="5"/>
  <c r="EQ392" i="5"/>
  <c r="ER392" i="5" s="1"/>
  <c r="FE390" i="5"/>
  <c r="FG390" i="5" s="1"/>
  <c r="CS390" i="5"/>
  <c r="DK392" i="5"/>
  <c r="DL392" i="5" s="1"/>
  <c r="X390" i="5"/>
  <c r="AJ397" i="5"/>
  <c r="DS391" i="21" l="1"/>
  <c r="CQ391" i="21"/>
  <c r="EW392" i="21"/>
  <c r="EX392" i="21" s="1"/>
  <c r="DO393" i="21"/>
  <c r="DP393" i="21"/>
  <c r="DN394" i="21"/>
  <c r="EM394" i="21"/>
  <c r="EP394" i="21" s="1"/>
  <c r="EQ394" i="21" s="1"/>
  <c r="DU395" i="21"/>
  <c r="AV395" i="21"/>
  <c r="AW395" i="21" s="1"/>
  <c r="DQ392" i="21"/>
  <c r="DR392" i="21" s="1"/>
  <c r="AU395" i="21"/>
  <c r="AR395" i="21"/>
  <c r="AP397" i="21"/>
  <c r="AT396" i="21"/>
  <c r="AQ396" i="21"/>
  <c r="ES393" i="21"/>
  <c r="ER393" i="21"/>
  <c r="DE390" i="21"/>
  <c r="FK390" i="21"/>
  <c r="FM390" i="21" s="1"/>
  <c r="AD390" i="21"/>
  <c r="DS389" i="20"/>
  <c r="CQ389" i="20"/>
  <c r="AT394" i="20"/>
  <c r="AP395" i="20"/>
  <c r="AQ394" i="20"/>
  <c r="EW390" i="20"/>
  <c r="EX390" i="20" s="1"/>
  <c r="ES391" i="20"/>
  <c r="ER391" i="20"/>
  <c r="DP391" i="20"/>
  <c r="DO391" i="20"/>
  <c r="DU393" i="20"/>
  <c r="AV393" i="20"/>
  <c r="AW393" i="20" s="1"/>
  <c r="DE388" i="20"/>
  <c r="AD388" i="20"/>
  <c r="FK388" i="20"/>
  <c r="FM388" i="20" s="1"/>
  <c r="DN392" i="20"/>
  <c r="EM392" i="20"/>
  <c r="EP392" i="20" s="1"/>
  <c r="EQ392" i="20" s="1"/>
  <c r="DQ390" i="20"/>
  <c r="DR390" i="20" s="1"/>
  <c r="AU393" i="20"/>
  <c r="AR393" i="20"/>
  <c r="DM392" i="5"/>
  <c r="CK392" i="5"/>
  <c r="X392" i="5" s="1"/>
  <c r="DO396" i="5"/>
  <c r="AP396" i="5"/>
  <c r="AQ396" i="5" s="1"/>
  <c r="AO396" i="5"/>
  <c r="AL396" i="5"/>
  <c r="EM394" i="5"/>
  <c r="EL394" i="5"/>
  <c r="DH395" i="5"/>
  <c r="EG395" i="5"/>
  <c r="EJ395" i="5" s="1"/>
  <c r="EK395" i="5" s="1"/>
  <c r="DI394" i="5"/>
  <c r="DJ394" i="5"/>
  <c r="AN397" i="5"/>
  <c r="AK397" i="5"/>
  <c r="DK393" i="5"/>
  <c r="DL393" i="5" s="1"/>
  <c r="CY391" i="5"/>
  <c r="FE391" i="5"/>
  <c r="FG391" i="5" s="1"/>
  <c r="EQ393" i="5"/>
  <c r="ER393" i="5" s="1"/>
  <c r="X391" i="5"/>
  <c r="AJ398" i="5"/>
  <c r="DS392" i="21" l="1"/>
  <c r="CQ392" i="21"/>
  <c r="DU396" i="21"/>
  <c r="AV396" i="21"/>
  <c r="AW396" i="21" s="1"/>
  <c r="EW393" i="21"/>
  <c r="EX393" i="21" s="1"/>
  <c r="DO394" i="21"/>
  <c r="DP394" i="21"/>
  <c r="AP398" i="21"/>
  <c r="AT397" i="21"/>
  <c r="AQ397" i="21"/>
  <c r="DQ393" i="21"/>
  <c r="DR393" i="21" s="1"/>
  <c r="ES394" i="21"/>
  <c r="ER394" i="21"/>
  <c r="DN395" i="21"/>
  <c r="EM395" i="21"/>
  <c r="EP395" i="21" s="1"/>
  <c r="EQ395" i="21" s="1"/>
  <c r="CY391" i="21"/>
  <c r="AD391" i="21"/>
  <c r="FK391" i="21"/>
  <c r="FM391" i="21" s="1"/>
  <c r="AR396" i="21"/>
  <c r="AU396" i="21"/>
  <c r="DS390" i="20"/>
  <c r="CQ390" i="20"/>
  <c r="AU394" i="20"/>
  <c r="AR394" i="20"/>
  <c r="DN393" i="20"/>
  <c r="EM393" i="20"/>
  <c r="EP393" i="20" s="1"/>
  <c r="EQ393" i="20" s="1"/>
  <c r="AP396" i="20"/>
  <c r="AT395" i="20"/>
  <c r="AQ395" i="20"/>
  <c r="DU394" i="20"/>
  <c r="AV394" i="20"/>
  <c r="AW394" i="20" s="1"/>
  <c r="ES392" i="20"/>
  <c r="ER392" i="20"/>
  <c r="AD389" i="20"/>
  <c r="FK389" i="20"/>
  <c r="FM389" i="20" s="1"/>
  <c r="DE389" i="20"/>
  <c r="DQ391" i="20"/>
  <c r="DR391" i="20" s="1"/>
  <c r="DO392" i="20"/>
  <c r="DP392" i="20"/>
  <c r="EW391" i="20"/>
  <c r="EX391" i="20" s="1"/>
  <c r="DM393" i="5"/>
  <c r="CK393" i="5"/>
  <c r="EQ394" i="5"/>
  <c r="ER394" i="5" s="1"/>
  <c r="AL397" i="5"/>
  <c r="AO397" i="5"/>
  <c r="DO397" i="5"/>
  <c r="AP397" i="5"/>
  <c r="AQ397" i="5" s="1"/>
  <c r="AN398" i="5"/>
  <c r="AK398" i="5"/>
  <c r="DK394" i="5"/>
  <c r="DL394" i="5" s="1"/>
  <c r="DH396" i="5"/>
  <c r="EG396" i="5"/>
  <c r="EJ396" i="5" s="1"/>
  <c r="EK396" i="5" s="1"/>
  <c r="EL395" i="5"/>
  <c r="EM395" i="5"/>
  <c r="FE392" i="5"/>
  <c r="FG392" i="5" s="1"/>
  <c r="CY392" i="5"/>
  <c r="DJ395" i="5"/>
  <c r="DI395" i="5"/>
  <c r="AJ399" i="5"/>
  <c r="CQ393" i="21" l="1"/>
  <c r="DS393" i="21"/>
  <c r="AR397" i="21"/>
  <c r="AU397" i="21"/>
  <c r="AT398" i="21"/>
  <c r="AP399" i="21"/>
  <c r="AQ398" i="21"/>
  <c r="DQ394" i="21"/>
  <c r="DR394" i="21" s="1"/>
  <c r="ES395" i="21"/>
  <c r="ER395" i="21"/>
  <c r="EW394" i="21"/>
  <c r="EX394" i="21" s="1"/>
  <c r="DP395" i="21"/>
  <c r="DO395" i="21"/>
  <c r="DN396" i="21"/>
  <c r="EM396" i="21"/>
  <c r="EP396" i="21" s="1"/>
  <c r="EQ396" i="21" s="1"/>
  <c r="FK392" i="21"/>
  <c r="FM392" i="21" s="1"/>
  <c r="CY392" i="21"/>
  <c r="AD392" i="21"/>
  <c r="DU397" i="21"/>
  <c r="AV397" i="21"/>
  <c r="AW397" i="21" s="1"/>
  <c r="DS391" i="20"/>
  <c r="CQ391" i="20"/>
  <c r="DO393" i="20"/>
  <c r="DP393" i="20"/>
  <c r="DU395" i="20"/>
  <c r="AV395" i="20"/>
  <c r="AW395" i="20" s="1"/>
  <c r="EW392" i="20"/>
  <c r="EX392" i="20" s="1"/>
  <c r="AP397" i="20"/>
  <c r="AT396" i="20"/>
  <c r="AQ396" i="20"/>
  <c r="DQ392" i="20"/>
  <c r="DR392" i="20" s="1"/>
  <c r="DN394" i="20"/>
  <c r="EM394" i="20"/>
  <c r="EP394" i="20" s="1"/>
  <c r="EQ394" i="20" s="1"/>
  <c r="DE390" i="20"/>
  <c r="FK390" i="20"/>
  <c r="FM390" i="20" s="1"/>
  <c r="AD390" i="20"/>
  <c r="ES393" i="20"/>
  <c r="ER393" i="20"/>
  <c r="AR395" i="20"/>
  <c r="AU395" i="20"/>
  <c r="DM394" i="5"/>
  <c r="CK394" i="5"/>
  <c r="DH397" i="5"/>
  <c r="EG397" i="5"/>
  <c r="EJ397" i="5" s="1"/>
  <c r="EK397" i="5" s="1"/>
  <c r="DI396" i="5"/>
  <c r="DJ396" i="5"/>
  <c r="EQ395" i="5"/>
  <c r="ER395" i="5" s="1"/>
  <c r="EL396" i="5"/>
  <c r="EM396" i="5"/>
  <c r="AN399" i="5"/>
  <c r="AK399" i="5"/>
  <c r="DK395" i="5"/>
  <c r="DL395" i="5" s="1"/>
  <c r="AL398" i="5"/>
  <c r="AO398" i="5"/>
  <c r="FE393" i="5"/>
  <c r="FG393" i="5" s="1"/>
  <c r="CY393" i="5"/>
  <c r="DO398" i="5"/>
  <c r="AP398" i="5"/>
  <c r="AQ398" i="5" s="1"/>
  <c r="X393" i="5"/>
  <c r="AJ400" i="5"/>
  <c r="DS394" i="21" l="1"/>
  <c r="CQ394" i="21"/>
  <c r="DN397" i="21"/>
  <c r="EM397" i="21"/>
  <c r="EP397" i="21" s="1"/>
  <c r="EQ397" i="21" s="1"/>
  <c r="DP396" i="21"/>
  <c r="DO396" i="21"/>
  <c r="EW395" i="21"/>
  <c r="EX395" i="21" s="1"/>
  <c r="ER396" i="21"/>
  <c r="ES396" i="21"/>
  <c r="DQ395" i="21"/>
  <c r="DR395" i="21" s="1"/>
  <c r="AU398" i="21"/>
  <c r="AR398" i="21"/>
  <c r="AP400" i="21"/>
  <c r="AT399" i="21"/>
  <c r="AQ399" i="21"/>
  <c r="DU398" i="21"/>
  <c r="AV398" i="21"/>
  <c r="AW398" i="21" s="1"/>
  <c r="AD393" i="21"/>
  <c r="CY393" i="21"/>
  <c r="FK393" i="21"/>
  <c r="FM393" i="21" s="1"/>
  <c r="DS392" i="20"/>
  <c r="CQ392" i="20"/>
  <c r="ER394" i="20"/>
  <c r="ES394" i="20"/>
  <c r="DN395" i="20"/>
  <c r="EM395" i="20"/>
  <c r="EP395" i="20" s="1"/>
  <c r="EQ395" i="20" s="1"/>
  <c r="AU396" i="20"/>
  <c r="AR396" i="20"/>
  <c r="DQ393" i="20"/>
  <c r="DR393" i="20" s="1"/>
  <c r="DU396" i="20"/>
  <c r="AV396" i="20"/>
  <c r="AW396" i="20" s="1"/>
  <c r="FK391" i="20"/>
  <c r="FM391" i="20" s="1"/>
  <c r="AD391" i="20"/>
  <c r="CY391" i="20"/>
  <c r="DP394" i="20"/>
  <c r="DO394" i="20"/>
  <c r="EW393" i="20"/>
  <c r="EX393" i="20" s="1"/>
  <c r="AP398" i="20"/>
  <c r="AT397" i="20"/>
  <c r="AQ397" i="20"/>
  <c r="DM395" i="5"/>
  <c r="CK395" i="5"/>
  <c r="DK396" i="5"/>
  <c r="DL396" i="5" s="1"/>
  <c r="AN400" i="5"/>
  <c r="AK400" i="5"/>
  <c r="AL399" i="5"/>
  <c r="AO399" i="5"/>
  <c r="EL397" i="5"/>
  <c r="EM397" i="5"/>
  <c r="DO399" i="5"/>
  <c r="AP399" i="5"/>
  <c r="AQ399" i="5" s="1"/>
  <c r="DI397" i="5"/>
  <c r="DJ397" i="5"/>
  <c r="DH398" i="5"/>
  <c r="EG398" i="5"/>
  <c r="EJ398" i="5" s="1"/>
  <c r="EK398" i="5" s="1"/>
  <c r="FE394" i="5"/>
  <c r="FG394" i="5" s="1"/>
  <c r="CY394" i="5"/>
  <c r="EQ396" i="5"/>
  <c r="ER396" i="5" s="1"/>
  <c r="AJ401" i="5"/>
  <c r="X394" i="5"/>
  <c r="DS395" i="21" l="1"/>
  <c r="CQ395" i="21"/>
  <c r="DQ396" i="21"/>
  <c r="DR396" i="21" s="1"/>
  <c r="AT400" i="21"/>
  <c r="AP401" i="21"/>
  <c r="AQ400" i="21"/>
  <c r="ER397" i="21"/>
  <c r="ES397" i="21"/>
  <c r="DN398" i="21"/>
  <c r="EM398" i="21"/>
  <c r="EP398" i="21" s="1"/>
  <c r="EQ398" i="21" s="1"/>
  <c r="DP397" i="21"/>
  <c r="DO397" i="21"/>
  <c r="AR399" i="21"/>
  <c r="AU399" i="21"/>
  <c r="EW396" i="21"/>
  <c r="EX396" i="21" s="1"/>
  <c r="FK394" i="21"/>
  <c r="FM394" i="21" s="1"/>
  <c r="AD394" i="21"/>
  <c r="DE394" i="21"/>
  <c r="DU399" i="21"/>
  <c r="AV399" i="21"/>
  <c r="AW399" i="21" s="1"/>
  <c r="DS393" i="20"/>
  <c r="CQ393" i="20"/>
  <c r="ES395" i="20"/>
  <c r="ER395" i="20"/>
  <c r="DP395" i="20"/>
  <c r="DO395" i="20"/>
  <c r="DU397" i="20"/>
  <c r="AV397" i="20"/>
  <c r="AW397" i="20" s="1"/>
  <c r="DN396" i="20"/>
  <c r="EM396" i="20"/>
  <c r="EP396" i="20" s="1"/>
  <c r="EQ396" i="20" s="1"/>
  <c r="EW394" i="20"/>
  <c r="EX394" i="20" s="1"/>
  <c r="AU397" i="20"/>
  <c r="AR397" i="20"/>
  <c r="FK392" i="20"/>
  <c r="FM392" i="20" s="1"/>
  <c r="CY392" i="20"/>
  <c r="AD392" i="20"/>
  <c r="AP399" i="20"/>
  <c r="AT398" i="20"/>
  <c r="AQ398" i="20"/>
  <c r="DQ394" i="20"/>
  <c r="DR394" i="20" s="1"/>
  <c r="DM396" i="5"/>
  <c r="CK396" i="5"/>
  <c r="EL398" i="5"/>
  <c r="EM398" i="5"/>
  <c r="AO400" i="5"/>
  <c r="AL400" i="5"/>
  <c r="DO400" i="5"/>
  <c r="AP400" i="5"/>
  <c r="AQ400" i="5" s="1"/>
  <c r="DK397" i="5"/>
  <c r="DL397" i="5" s="1"/>
  <c r="AN401" i="5"/>
  <c r="AK401" i="5"/>
  <c r="DI398" i="5"/>
  <c r="DJ398" i="5"/>
  <c r="DH399" i="5"/>
  <c r="EG399" i="5"/>
  <c r="EJ399" i="5" s="1"/>
  <c r="EK399" i="5" s="1"/>
  <c r="CS395" i="5"/>
  <c r="FE395" i="5"/>
  <c r="FG395" i="5" s="1"/>
  <c r="EQ397" i="5"/>
  <c r="ER397" i="5" s="1"/>
  <c r="AJ402" i="5"/>
  <c r="X395" i="5"/>
  <c r="DS396" i="21" l="1"/>
  <c r="CQ396" i="21"/>
  <c r="ES398" i="21"/>
  <c r="ER398" i="21"/>
  <c r="AU400" i="21"/>
  <c r="AR400" i="21"/>
  <c r="DP398" i="21"/>
  <c r="DO398" i="21"/>
  <c r="DQ397" i="21"/>
  <c r="DR397" i="21" s="1"/>
  <c r="AD395" i="21"/>
  <c r="FK395" i="21"/>
  <c r="FM395" i="21" s="1"/>
  <c r="DE395" i="21"/>
  <c r="DN399" i="21"/>
  <c r="EM399" i="21"/>
  <c r="EP399" i="21" s="1"/>
  <c r="EQ399" i="21" s="1"/>
  <c r="EW397" i="21"/>
  <c r="EX397" i="21" s="1"/>
  <c r="AT401" i="21"/>
  <c r="AP402" i="21"/>
  <c r="AQ401" i="21"/>
  <c r="DU400" i="21"/>
  <c r="AV400" i="21"/>
  <c r="AW400" i="21" s="1"/>
  <c r="DS394" i="20"/>
  <c r="CQ394" i="20"/>
  <c r="DQ395" i="20"/>
  <c r="DR395" i="20" s="1"/>
  <c r="DN397" i="20"/>
  <c r="EM397" i="20"/>
  <c r="EP397" i="20" s="1"/>
  <c r="EQ397" i="20" s="1"/>
  <c r="AU398" i="20"/>
  <c r="AR398" i="20"/>
  <c r="EW395" i="20"/>
  <c r="EX395" i="20" s="1"/>
  <c r="DU398" i="20"/>
  <c r="AV398" i="20"/>
  <c r="AW398" i="20" s="1"/>
  <c r="ER396" i="20"/>
  <c r="ES396" i="20"/>
  <c r="FK393" i="20"/>
  <c r="FM393" i="20" s="1"/>
  <c r="CY393" i="20"/>
  <c r="AD393" i="20"/>
  <c r="AP400" i="20"/>
  <c r="AT399" i="20"/>
  <c r="AQ399" i="20"/>
  <c r="DP396" i="20"/>
  <c r="DO396" i="20"/>
  <c r="DM397" i="5"/>
  <c r="CK397" i="5"/>
  <c r="EL399" i="5"/>
  <c r="EM399" i="5"/>
  <c r="DJ399" i="5"/>
  <c r="DI399" i="5"/>
  <c r="DK398" i="5"/>
  <c r="DL398" i="5" s="1"/>
  <c r="AL401" i="5"/>
  <c r="AO401" i="5"/>
  <c r="DO401" i="5"/>
  <c r="AP401" i="5"/>
  <c r="AQ401" i="5" s="1"/>
  <c r="FE396" i="5"/>
  <c r="FG396" i="5" s="1"/>
  <c r="CS396" i="5"/>
  <c r="DH400" i="5"/>
  <c r="EG400" i="5"/>
  <c r="EJ400" i="5" s="1"/>
  <c r="EK400" i="5" s="1"/>
  <c r="AN402" i="5"/>
  <c r="AK402" i="5"/>
  <c r="EQ398" i="5"/>
  <c r="ER398" i="5" s="1"/>
  <c r="X396" i="5"/>
  <c r="AJ403" i="5"/>
  <c r="DS397" i="21" l="1"/>
  <c r="CQ397" i="21"/>
  <c r="EM400" i="21"/>
  <c r="EP400" i="21" s="1"/>
  <c r="EQ400" i="21" s="1"/>
  <c r="DN400" i="21"/>
  <c r="ES399" i="21"/>
  <c r="ER399" i="21"/>
  <c r="DU401" i="21"/>
  <c r="AV401" i="21"/>
  <c r="AW401" i="21" s="1"/>
  <c r="EW398" i="21"/>
  <c r="EX398" i="21" s="1"/>
  <c r="AT402" i="21"/>
  <c r="AP403" i="21"/>
  <c r="AQ402" i="21"/>
  <c r="DQ398" i="21"/>
  <c r="DR398" i="21" s="1"/>
  <c r="AD396" i="21"/>
  <c r="CY396" i="21"/>
  <c r="FK396" i="21"/>
  <c r="FM396" i="21" s="1"/>
  <c r="AR401" i="21"/>
  <c r="AU401" i="21"/>
  <c r="DO399" i="21"/>
  <c r="DP399" i="21"/>
  <c r="DS395" i="20"/>
  <c r="CQ395" i="20"/>
  <c r="ES397" i="20"/>
  <c r="ER397" i="20"/>
  <c r="DP397" i="20"/>
  <c r="DO397" i="20"/>
  <c r="DU399" i="20"/>
  <c r="AV399" i="20"/>
  <c r="AW399" i="20" s="1"/>
  <c r="DN398" i="20"/>
  <c r="EM398" i="20"/>
  <c r="EP398" i="20" s="1"/>
  <c r="EQ398" i="20" s="1"/>
  <c r="DQ396" i="20"/>
  <c r="DR396" i="20" s="1"/>
  <c r="AR399" i="20"/>
  <c r="AU399" i="20"/>
  <c r="FK394" i="20"/>
  <c r="FM394" i="20" s="1"/>
  <c r="AD394" i="20"/>
  <c r="DE394" i="20"/>
  <c r="EW396" i="20"/>
  <c r="EX396" i="20" s="1"/>
  <c r="AP401" i="20"/>
  <c r="AT400" i="20"/>
  <c r="AQ400" i="20"/>
  <c r="DM398" i="5"/>
  <c r="CK398" i="5"/>
  <c r="AN403" i="5"/>
  <c r="AK403" i="5"/>
  <c r="DK399" i="5"/>
  <c r="DL399" i="5" s="1"/>
  <c r="DI400" i="5"/>
  <c r="DJ400" i="5"/>
  <c r="DH401" i="5"/>
  <c r="EG401" i="5"/>
  <c r="EJ401" i="5" s="1"/>
  <c r="EK401" i="5" s="1"/>
  <c r="EQ399" i="5"/>
  <c r="ER399" i="5" s="1"/>
  <c r="EL400" i="5"/>
  <c r="EM400" i="5"/>
  <c r="AL402" i="5"/>
  <c r="AO402" i="5"/>
  <c r="FE397" i="5"/>
  <c r="FG397" i="5" s="1"/>
  <c r="CS397" i="5"/>
  <c r="DO402" i="5"/>
  <c r="AP402" i="5"/>
  <c r="AQ402" i="5" s="1"/>
  <c r="X397" i="5"/>
  <c r="AJ404" i="5"/>
  <c r="DS398" i="21" l="1"/>
  <c r="CQ398" i="21"/>
  <c r="AU402" i="21"/>
  <c r="AR402" i="21"/>
  <c r="AT403" i="21"/>
  <c r="AP404" i="21"/>
  <c r="AQ403" i="21"/>
  <c r="EW399" i="21"/>
  <c r="EX399" i="21" s="1"/>
  <c r="DP400" i="21"/>
  <c r="DO400" i="21"/>
  <c r="ES400" i="21"/>
  <c r="ER400" i="21"/>
  <c r="DQ399" i="21"/>
  <c r="DR399" i="21" s="1"/>
  <c r="DU402" i="21"/>
  <c r="AV402" i="21"/>
  <c r="AW402" i="21" s="1"/>
  <c r="DN401" i="21"/>
  <c r="EM401" i="21"/>
  <c r="EP401" i="21" s="1"/>
  <c r="EQ401" i="21" s="1"/>
  <c r="FK397" i="21"/>
  <c r="FM397" i="21" s="1"/>
  <c r="DE397" i="21"/>
  <c r="AD397" i="21"/>
  <c r="DS396" i="20"/>
  <c r="CQ396" i="20"/>
  <c r="DQ397" i="20"/>
  <c r="DR397" i="20" s="1"/>
  <c r="DN399" i="20"/>
  <c r="EM399" i="20"/>
  <c r="EP399" i="20" s="1"/>
  <c r="EQ399" i="20" s="1"/>
  <c r="AU400" i="20"/>
  <c r="AR400" i="20"/>
  <c r="AP402" i="20"/>
  <c r="AT401" i="20"/>
  <c r="AQ401" i="20"/>
  <c r="EW397" i="20"/>
  <c r="EX397" i="20" s="1"/>
  <c r="DU400" i="20"/>
  <c r="AV400" i="20"/>
  <c r="AW400" i="20" s="1"/>
  <c r="ES398" i="20"/>
  <c r="ER398" i="20"/>
  <c r="AD395" i="20"/>
  <c r="FK395" i="20"/>
  <c r="FM395" i="20" s="1"/>
  <c r="DE395" i="20"/>
  <c r="DP398" i="20"/>
  <c r="DO398" i="20"/>
  <c r="DM399" i="5"/>
  <c r="CK399" i="5"/>
  <c r="DK400" i="5"/>
  <c r="DL400" i="5" s="1"/>
  <c r="AN404" i="5"/>
  <c r="AK404" i="5"/>
  <c r="EQ400" i="5"/>
  <c r="ER400" i="5" s="1"/>
  <c r="AL403" i="5"/>
  <c r="AO403" i="5"/>
  <c r="DH402" i="5"/>
  <c r="EG402" i="5"/>
  <c r="EJ402" i="5" s="1"/>
  <c r="EK402" i="5" s="1"/>
  <c r="DO403" i="5"/>
  <c r="AP403" i="5"/>
  <c r="AQ403" i="5" s="1"/>
  <c r="EM401" i="5"/>
  <c r="EL401" i="5"/>
  <c r="FE398" i="5"/>
  <c r="FG398" i="5" s="1"/>
  <c r="CY398" i="5"/>
  <c r="DI401" i="5"/>
  <c r="DJ401" i="5"/>
  <c r="X398" i="5"/>
  <c r="AJ405" i="5"/>
  <c r="DS399" i="21" l="1"/>
  <c r="CQ399" i="21"/>
  <c r="DO401" i="21"/>
  <c r="DP401" i="21"/>
  <c r="ER401" i="21"/>
  <c r="ES401" i="21"/>
  <c r="EW400" i="21"/>
  <c r="EX400" i="21" s="1"/>
  <c r="DN402" i="21"/>
  <c r="EM402" i="21"/>
  <c r="EP402" i="21" s="1"/>
  <c r="EQ402" i="21" s="1"/>
  <c r="AP405" i="21"/>
  <c r="AT404" i="21"/>
  <c r="AQ404" i="21"/>
  <c r="AU403" i="21"/>
  <c r="AR403" i="21"/>
  <c r="DQ400" i="21"/>
  <c r="DR400" i="21" s="1"/>
  <c r="DU403" i="21"/>
  <c r="AV403" i="21"/>
  <c r="AW403" i="21" s="1"/>
  <c r="AD398" i="21"/>
  <c r="FK398" i="21"/>
  <c r="FM398" i="21" s="1"/>
  <c r="DE398" i="21"/>
  <c r="DS397" i="20"/>
  <c r="CQ397" i="20"/>
  <c r="DN400" i="20"/>
  <c r="EM400" i="20"/>
  <c r="EP400" i="20" s="1"/>
  <c r="EQ400" i="20" s="1"/>
  <c r="DP399" i="20"/>
  <c r="DO399" i="20"/>
  <c r="ES399" i="20"/>
  <c r="ER399" i="20"/>
  <c r="AU401" i="20"/>
  <c r="AR401" i="20"/>
  <c r="DQ398" i="20"/>
  <c r="DR398" i="20" s="1"/>
  <c r="DU401" i="20"/>
  <c r="AV401" i="20"/>
  <c r="AW401" i="20" s="1"/>
  <c r="FK396" i="20"/>
  <c r="FM396" i="20" s="1"/>
  <c r="CY396" i="20"/>
  <c r="AD396" i="20"/>
  <c r="EW398" i="20"/>
  <c r="EX398" i="20" s="1"/>
  <c r="AP403" i="20"/>
  <c r="AT402" i="20"/>
  <c r="AQ402" i="20"/>
  <c r="DM400" i="5"/>
  <c r="CK400" i="5"/>
  <c r="AO404" i="5"/>
  <c r="AL404" i="5"/>
  <c r="DO404" i="5"/>
  <c r="AP404" i="5"/>
  <c r="AQ404" i="5" s="1"/>
  <c r="EL402" i="5"/>
  <c r="EM402" i="5"/>
  <c r="DK401" i="5"/>
  <c r="DL401" i="5" s="1"/>
  <c r="DI402" i="5"/>
  <c r="DJ402" i="5"/>
  <c r="DH403" i="5"/>
  <c r="EG403" i="5"/>
  <c r="EJ403" i="5" s="1"/>
  <c r="EK403" i="5" s="1"/>
  <c r="AN405" i="5"/>
  <c r="AK405" i="5"/>
  <c r="CY399" i="5"/>
  <c r="FE399" i="5"/>
  <c r="FG399" i="5" s="1"/>
  <c r="EQ401" i="5"/>
  <c r="ER401" i="5" s="1"/>
  <c r="X399" i="5"/>
  <c r="X400" i="5"/>
  <c r="AJ406" i="5"/>
  <c r="DS400" i="21" l="1"/>
  <c r="CQ400" i="21"/>
  <c r="DU404" i="21"/>
  <c r="AV404" i="21"/>
  <c r="AW404" i="21" s="1"/>
  <c r="AU404" i="21"/>
  <c r="AR404" i="21"/>
  <c r="EW401" i="21"/>
  <c r="EX401" i="21" s="1"/>
  <c r="DN403" i="21"/>
  <c r="EM403" i="21"/>
  <c r="EP403" i="21" s="1"/>
  <c r="EQ403" i="21" s="1"/>
  <c r="AT405" i="21"/>
  <c r="AP406" i="21"/>
  <c r="AQ405" i="21"/>
  <c r="ES402" i="21"/>
  <c r="ER402" i="21"/>
  <c r="DQ401" i="21"/>
  <c r="DR401" i="21" s="1"/>
  <c r="FK399" i="21"/>
  <c r="FM399" i="21" s="1"/>
  <c r="AD399" i="21"/>
  <c r="CY399" i="21"/>
  <c r="DP402" i="21"/>
  <c r="DO402" i="21"/>
  <c r="DS398" i="20"/>
  <c r="CQ398" i="20"/>
  <c r="AR402" i="20"/>
  <c r="AU402" i="20"/>
  <c r="DQ399" i="20"/>
  <c r="DR399" i="20" s="1"/>
  <c r="ES400" i="20"/>
  <c r="ER400" i="20"/>
  <c r="DU402" i="20"/>
  <c r="AV402" i="20"/>
  <c r="AW402" i="20" s="1"/>
  <c r="DP400" i="20"/>
  <c r="DO400" i="20"/>
  <c r="EW399" i="20"/>
  <c r="EX399" i="20" s="1"/>
  <c r="DN401" i="20"/>
  <c r="EM401" i="20"/>
  <c r="EP401" i="20" s="1"/>
  <c r="EQ401" i="20" s="1"/>
  <c r="AP404" i="20"/>
  <c r="AT403" i="20"/>
  <c r="AQ403" i="20"/>
  <c r="FK397" i="20"/>
  <c r="FM397" i="20" s="1"/>
  <c r="AD397" i="20"/>
  <c r="DE397" i="20"/>
  <c r="DM401" i="5"/>
  <c r="CK401" i="5"/>
  <c r="EQ402" i="5"/>
  <c r="ER402" i="5" s="1"/>
  <c r="EM403" i="5"/>
  <c r="EL403" i="5"/>
  <c r="DH404" i="5"/>
  <c r="EG404" i="5"/>
  <c r="EJ404" i="5" s="1"/>
  <c r="EK404" i="5" s="1"/>
  <c r="DK402" i="5"/>
  <c r="DL402" i="5" s="1"/>
  <c r="AL405" i="5"/>
  <c r="AO405" i="5"/>
  <c r="FE400" i="5"/>
  <c r="FG400" i="5" s="1"/>
  <c r="CS400" i="5"/>
  <c r="DO405" i="5"/>
  <c r="AP405" i="5"/>
  <c r="AQ405" i="5" s="1"/>
  <c r="DJ403" i="5"/>
  <c r="DI403" i="5"/>
  <c r="AN406" i="5"/>
  <c r="AK406" i="5"/>
  <c r="AJ407" i="5"/>
  <c r="DS401" i="21" l="1"/>
  <c r="CQ401" i="21"/>
  <c r="DU405" i="21"/>
  <c r="AV405" i="21"/>
  <c r="AW405" i="21" s="1"/>
  <c r="EW402" i="21"/>
  <c r="EX402" i="21" s="1"/>
  <c r="ES403" i="21"/>
  <c r="ER403" i="21"/>
  <c r="AT406" i="21"/>
  <c r="AP407" i="21"/>
  <c r="AQ406" i="21"/>
  <c r="AU405" i="21"/>
  <c r="AR405" i="21"/>
  <c r="DN404" i="21"/>
  <c r="EM404" i="21"/>
  <c r="EP404" i="21" s="1"/>
  <c r="EQ404" i="21" s="1"/>
  <c r="DP403" i="21"/>
  <c r="DO403" i="21"/>
  <c r="FK400" i="21"/>
  <c r="FM400" i="21" s="1"/>
  <c r="AD400" i="21"/>
  <c r="DE400" i="21"/>
  <c r="DQ402" i="21"/>
  <c r="DR402" i="21" s="1"/>
  <c r="CQ399" i="20"/>
  <c r="DS399" i="20"/>
  <c r="EW400" i="20"/>
  <c r="EX400" i="20" s="1"/>
  <c r="DO401" i="20"/>
  <c r="DP401" i="20"/>
  <c r="DQ400" i="20"/>
  <c r="DR400" i="20" s="1"/>
  <c r="ES401" i="20"/>
  <c r="ER401" i="20"/>
  <c r="DU403" i="20"/>
  <c r="AV403" i="20"/>
  <c r="AW403" i="20" s="1"/>
  <c r="FK398" i="20"/>
  <c r="FM398" i="20" s="1"/>
  <c r="AD398" i="20"/>
  <c r="DE398" i="20"/>
  <c r="AR403" i="20"/>
  <c r="AU403" i="20"/>
  <c r="AP405" i="20"/>
  <c r="AT404" i="20"/>
  <c r="AQ404" i="20"/>
  <c r="DN402" i="20"/>
  <c r="EM402" i="20"/>
  <c r="EP402" i="20" s="1"/>
  <c r="EQ402" i="20" s="1"/>
  <c r="DM402" i="5"/>
  <c r="CK402" i="5"/>
  <c r="EQ403" i="5"/>
  <c r="ER403" i="5" s="1"/>
  <c r="DH405" i="5"/>
  <c r="EG405" i="5"/>
  <c r="EJ405" i="5" s="1"/>
  <c r="EK405" i="5" s="1"/>
  <c r="AL406" i="5"/>
  <c r="AO406" i="5"/>
  <c r="DI404" i="5"/>
  <c r="DJ404" i="5"/>
  <c r="DO406" i="5"/>
  <c r="AP406" i="5"/>
  <c r="AQ406" i="5" s="1"/>
  <c r="EL404" i="5"/>
  <c r="EM404" i="5"/>
  <c r="AN407" i="5"/>
  <c r="AK407" i="5"/>
  <c r="DK403" i="5"/>
  <c r="DL403" i="5" s="1"/>
  <c r="FE401" i="5"/>
  <c r="FG401" i="5" s="1"/>
  <c r="CY401" i="5"/>
  <c r="X401" i="5"/>
  <c r="AJ408" i="5"/>
  <c r="DS402" i="21" l="1"/>
  <c r="CQ402" i="21"/>
  <c r="ES404" i="21"/>
  <c r="ER404" i="21"/>
  <c r="AU406" i="21"/>
  <c r="AR406" i="21"/>
  <c r="AT407" i="21"/>
  <c r="AP408" i="21"/>
  <c r="AQ407" i="21"/>
  <c r="EX403" i="21"/>
  <c r="EW403" i="21"/>
  <c r="DO404" i="21"/>
  <c r="DP404" i="21"/>
  <c r="DU406" i="21"/>
  <c r="AV406" i="21"/>
  <c r="AW406" i="21" s="1"/>
  <c r="DN405" i="21"/>
  <c r="EM405" i="21"/>
  <c r="EP405" i="21" s="1"/>
  <c r="EQ405" i="21" s="1"/>
  <c r="DQ403" i="21"/>
  <c r="DR403" i="21" s="1"/>
  <c r="AD401" i="21"/>
  <c r="FK401" i="21"/>
  <c r="FM401" i="21" s="1"/>
  <c r="DE401" i="21"/>
  <c r="DS400" i="20"/>
  <c r="CQ400" i="20"/>
  <c r="DQ401" i="20"/>
  <c r="DR401" i="20" s="1"/>
  <c r="AR404" i="20"/>
  <c r="AU404" i="20"/>
  <c r="DN403" i="20"/>
  <c r="EM403" i="20"/>
  <c r="EP403" i="20" s="1"/>
  <c r="EQ403" i="20" s="1"/>
  <c r="DU404" i="20"/>
  <c r="AV404" i="20"/>
  <c r="AW404" i="20" s="1"/>
  <c r="AT405" i="20"/>
  <c r="AP406" i="20"/>
  <c r="AQ405" i="20"/>
  <c r="EW401" i="20"/>
  <c r="EX401" i="20" s="1"/>
  <c r="ES402" i="20"/>
  <c r="ER402" i="20"/>
  <c r="DO402" i="20"/>
  <c r="DP402" i="20"/>
  <c r="FK399" i="20"/>
  <c r="FM399" i="20" s="1"/>
  <c r="AD399" i="20"/>
  <c r="CY399" i="20"/>
  <c r="DM403" i="5"/>
  <c r="CK403" i="5"/>
  <c r="AL407" i="5"/>
  <c r="AO407" i="5"/>
  <c r="EM405" i="5"/>
  <c r="EL405" i="5"/>
  <c r="EQ404" i="5"/>
  <c r="ER404" i="5" s="1"/>
  <c r="DI405" i="5"/>
  <c r="DJ405" i="5"/>
  <c r="DH406" i="5"/>
  <c r="EG406" i="5"/>
  <c r="EJ406" i="5" s="1"/>
  <c r="EK406" i="5" s="1"/>
  <c r="AN408" i="5"/>
  <c r="AK408" i="5"/>
  <c r="FE402" i="5"/>
  <c r="FG402" i="5" s="1"/>
  <c r="CY402" i="5"/>
  <c r="DO407" i="5"/>
  <c r="AP407" i="5"/>
  <c r="AQ407" i="5" s="1"/>
  <c r="DK404" i="5"/>
  <c r="DL404" i="5" s="1"/>
  <c r="X402" i="5"/>
  <c r="AJ409" i="5"/>
  <c r="DS403" i="21" l="1"/>
  <c r="CQ403" i="21"/>
  <c r="DO405" i="21"/>
  <c r="DP405" i="21"/>
  <c r="ES405" i="21"/>
  <c r="ER405" i="21"/>
  <c r="DQ404" i="21"/>
  <c r="DR404" i="21" s="1"/>
  <c r="AR407" i="21"/>
  <c r="AU407" i="21"/>
  <c r="EW404" i="21"/>
  <c r="EX404" i="21" s="1"/>
  <c r="DU407" i="21"/>
  <c r="AV407" i="21"/>
  <c r="AW407" i="21" s="1"/>
  <c r="DN406" i="21"/>
  <c r="EM406" i="21"/>
  <c r="EP406" i="21" s="1"/>
  <c r="EQ406" i="21" s="1"/>
  <c r="AD402" i="21"/>
  <c r="CY402" i="21"/>
  <c r="FK402" i="21"/>
  <c r="FM402" i="21" s="1"/>
  <c r="AT408" i="21"/>
  <c r="AP409" i="21"/>
  <c r="AQ408" i="21"/>
  <c r="DS401" i="20"/>
  <c r="CQ401" i="20"/>
  <c r="AU405" i="20"/>
  <c r="AR405" i="20"/>
  <c r="DU405" i="20"/>
  <c r="AV405" i="20"/>
  <c r="AW405" i="20" s="1"/>
  <c r="ES403" i="20"/>
  <c r="ER403" i="20"/>
  <c r="DQ402" i="20"/>
  <c r="DR402" i="20" s="1"/>
  <c r="FK400" i="20"/>
  <c r="FM400" i="20" s="1"/>
  <c r="AD400" i="20"/>
  <c r="DE400" i="20"/>
  <c r="DO403" i="20"/>
  <c r="DP403" i="20"/>
  <c r="AT406" i="20"/>
  <c r="AP407" i="20"/>
  <c r="AQ406" i="20"/>
  <c r="EW402" i="20"/>
  <c r="EX402" i="20" s="1"/>
  <c r="DN404" i="20"/>
  <c r="EM404" i="20"/>
  <c r="EP404" i="20" s="1"/>
  <c r="EQ404" i="20" s="1"/>
  <c r="DK405" i="5"/>
  <c r="DL405" i="5" s="1"/>
  <c r="AN409" i="5"/>
  <c r="AK409" i="5"/>
  <c r="AO408" i="5"/>
  <c r="AL408" i="5"/>
  <c r="EQ405" i="5"/>
  <c r="ER405" i="5" s="1"/>
  <c r="DH407" i="5"/>
  <c r="EG407" i="5"/>
  <c r="EJ407" i="5" s="1"/>
  <c r="EK407" i="5" s="1"/>
  <c r="DO408" i="5"/>
  <c r="AP408" i="5"/>
  <c r="AQ408" i="5" s="1"/>
  <c r="EL406" i="5"/>
  <c r="EM406" i="5"/>
  <c r="DM404" i="5"/>
  <c r="CK404" i="5"/>
  <c r="DJ406" i="5"/>
  <c r="DI406" i="5"/>
  <c r="CS403" i="5"/>
  <c r="FE403" i="5"/>
  <c r="FG403" i="5" s="1"/>
  <c r="X403" i="5"/>
  <c r="AJ410" i="5"/>
  <c r="DS404" i="21" l="1"/>
  <c r="CQ404" i="21"/>
  <c r="AU408" i="21"/>
  <c r="AR408" i="21"/>
  <c r="DU408" i="21"/>
  <c r="AV408" i="21"/>
  <c r="AW408" i="21" s="1"/>
  <c r="AT409" i="21"/>
  <c r="AP410" i="21"/>
  <c r="AQ409" i="21"/>
  <c r="DN407" i="21"/>
  <c r="EM407" i="21"/>
  <c r="EP407" i="21" s="1"/>
  <c r="EQ407" i="21" s="1"/>
  <c r="ES406" i="21"/>
  <c r="ER406" i="21"/>
  <c r="DP406" i="21"/>
  <c r="DO406" i="21"/>
  <c r="EW405" i="21"/>
  <c r="EX405" i="21" s="1"/>
  <c r="DQ405" i="21"/>
  <c r="DR405" i="21" s="1"/>
  <c r="DE403" i="21"/>
  <c r="FK403" i="21"/>
  <c r="FM403" i="21" s="1"/>
  <c r="AD403" i="21"/>
  <c r="CQ402" i="20"/>
  <c r="DS402" i="20"/>
  <c r="DU406" i="20"/>
  <c r="AV406" i="20"/>
  <c r="AW406" i="20" s="1"/>
  <c r="DQ403" i="20"/>
  <c r="DR403" i="20" s="1"/>
  <c r="DN405" i="20"/>
  <c r="EM405" i="20"/>
  <c r="EP405" i="20" s="1"/>
  <c r="EQ405" i="20" s="1"/>
  <c r="ES404" i="20"/>
  <c r="ER404" i="20"/>
  <c r="DO404" i="20"/>
  <c r="DP404" i="20"/>
  <c r="AD401" i="20"/>
  <c r="FK401" i="20"/>
  <c r="FM401" i="20" s="1"/>
  <c r="DE401" i="20"/>
  <c r="EW403" i="20"/>
  <c r="EX403" i="20" s="1"/>
  <c r="AU406" i="20"/>
  <c r="AR406" i="20"/>
  <c r="AP408" i="20"/>
  <c r="AT407" i="20"/>
  <c r="AQ407" i="20"/>
  <c r="DM405" i="5"/>
  <c r="CK405" i="5"/>
  <c r="FE404" i="5"/>
  <c r="FG404" i="5" s="1"/>
  <c r="CY404" i="5"/>
  <c r="EL407" i="5"/>
  <c r="EM407" i="5"/>
  <c r="AN410" i="5"/>
  <c r="AK410" i="5"/>
  <c r="EQ406" i="5"/>
  <c r="ER406" i="5" s="1"/>
  <c r="DK406" i="5"/>
  <c r="DL406" i="5" s="1"/>
  <c r="DJ407" i="5"/>
  <c r="DI407" i="5"/>
  <c r="AL409" i="5"/>
  <c r="AO409" i="5"/>
  <c r="DH408" i="5"/>
  <c r="EG408" i="5"/>
  <c r="EJ408" i="5" s="1"/>
  <c r="EK408" i="5" s="1"/>
  <c r="DO409" i="5"/>
  <c r="AP409" i="5"/>
  <c r="AQ409" i="5" s="1"/>
  <c r="X404" i="5"/>
  <c r="AJ411" i="5"/>
  <c r="DS405" i="21" l="1"/>
  <c r="CQ405" i="21"/>
  <c r="DQ406" i="21"/>
  <c r="DR406" i="21" s="1"/>
  <c r="ER407" i="21"/>
  <c r="ES407" i="21"/>
  <c r="DU409" i="21"/>
  <c r="AV409" i="21"/>
  <c r="AW409" i="21" s="1"/>
  <c r="EW406" i="21"/>
  <c r="EX406" i="21" s="1"/>
  <c r="DN408" i="21"/>
  <c r="EM408" i="21"/>
  <c r="EP408" i="21" s="1"/>
  <c r="EQ408" i="21" s="1"/>
  <c r="DP407" i="21"/>
  <c r="DO407" i="21"/>
  <c r="AU409" i="21"/>
  <c r="AR409" i="21"/>
  <c r="AD404" i="21"/>
  <c r="FK404" i="21"/>
  <c r="FM404" i="21" s="1"/>
  <c r="DE404" i="21"/>
  <c r="AP411" i="21"/>
  <c r="AT410" i="21"/>
  <c r="AQ410" i="21"/>
  <c r="DS403" i="20"/>
  <c r="CQ403" i="20"/>
  <c r="DP405" i="20"/>
  <c r="DO405" i="20"/>
  <c r="AU407" i="20"/>
  <c r="AR407" i="20"/>
  <c r="AP409" i="20"/>
  <c r="AT408" i="20"/>
  <c r="AQ408" i="20"/>
  <c r="DQ404" i="20"/>
  <c r="DR404" i="20" s="1"/>
  <c r="DN406" i="20"/>
  <c r="EM406" i="20"/>
  <c r="EP406" i="20" s="1"/>
  <c r="EQ406" i="20" s="1"/>
  <c r="ER405" i="20"/>
  <c r="ES405" i="20"/>
  <c r="EW404" i="20"/>
  <c r="EX404" i="20" s="1"/>
  <c r="DU407" i="20"/>
  <c r="AV407" i="20"/>
  <c r="AW407" i="20" s="1"/>
  <c r="AD402" i="20"/>
  <c r="CY402" i="20"/>
  <c r="FK402" i="20"/>
  <c r="FM402" i="20" s="1"/>
  <c r="DM406" i="5"/>
  <c r="CK406" i="5"/>
  <c r="X406" i="5" s="1"/>
  <c r="AL410" i="5"/>
  <c r="AO410" i="5"/>
  <c r="AN411" i="5"/>
  <c r="AK411" i="5"/>
  <c r="DK407" i="5"/>
  <c r="DL407" i="5" s="1"/>
  <c r="EQ407" i="5"/>
  <c r="ER407" i="5" s="1"/>
  <c r="DO410" i="5"/>
  <c r="AP410" i="5"/>
  <c r="AQ410" i="5" s="1"/>
  <c r="DH409" i="5"/>
  <c r="EG409" i="5"/>
  <c r="EJ409" i="5" s="1"/>
  <c r="EK409" i="5" s="1"/>
  <c r="EL408" i="5"/>
  <c r="EM408" i="5"/>
  <c r="FE405" i="5"/>
  <c r="FG405" i="5" s="1"/>
  <c r="CY405" i="5"/>
  <c r="DI408" i="5"/>
  <c r="DJ408" i="5"/>
  <c r="X405" i="5"/>
  <c r="AJ412" i="5"/>
  <c r="DS406" i="21" l="1"/>
  <c r="CQ406" i="21"/>
  <c r="ES408" i="21"/>
  <c r="ER408" i="21"/>
  <c r="AR410" i="21"/>
  <c r="AU410" i="21"/>
  <c r="DQ407" i="21"/>
  <c r="DR407" i="21" s="1"/>
  <c r="DP408" i="21"/>
  <c r="DO408" i="21"/>
  <c r="DU410" i="21"/>
  <c r="AV410" i="21"/>
  <c r="AW410" i="21" s="1"/>
  <c r="EW407" i="21"/>
  <c r="EX407" i="21" s="1"/>
  <c r="DN409" i="21"/>
  <c r="EM409" i="21"/>
  <c r="EP409" i="21" s="1"/>
  <c r="EQ409" i="21" s="1"/>
  <c r="AT411" i="21"/>
  <c r="AP412" i="21"/>
  <c r="AQ411" i="21"/>
  <c r="CY405" i="21"/>
  <c r="FK405" i="21"/>
  <c r="FM405" i="21" s="1"/>
  <c r="AD405" i="21"/>
  <c r="DS404" i="20"/>
  <c r="CQ404" i="20"/>
  <c r="DU408" i="20"/>
  <c r="AV408" i="20"/>
  <c r="AW408" i="20" s="1"/>
  <c r="ES406" i="20"/>
  <c r="ER406" i="20"/>
  <c r="DP406" i="20"/>
  <c r="DO406" i="20"/>
  <c r="DQ405" i="20"/>
  <c r="DR405" i="20" s="1"/>
  <c r="AP410" i="20"/>
  <c r="AT409" i="20"/>
  <c r="AQ409" i="20"/>
  <c r="EW405" i="20"/>
  <c r="EX405" i="20" s="1"/>
  <c r="DN407" i="20"/>
  <c r="EM407" i="20"/>
  <c r="EP407" i="20" s="1"/>
  <c r="EQ407" i="20" s="1"/>
  <c r="DE403" i="20"/>
  <c r="FK403" i="20"/>
  <c r="FM403" i="20" s="1"/>
  <c r="AD403" i="20"/>
  <c r="AU408" i="20"/>
  <c r="AR408" i="20"/>
  <c r="DM407" i="5"/>
  <c r="CK407" i="5"/>
  <c r="EM409" i="5"/>
  <c r="EL409" i="5"/>
  <c r="DO411" i="5"/>
  <c r="AP411" i="5"/>
  <c r="AQ411" i="5" s="1"/>
  <c r="AL411" i="5"/>
  <c r="AO411" i="5"/>
  <c r="DH410" i="5"/>
  <c r="EG410" i="5"/>
  <c r="EJ410" i="5" s="1"/>
  <c r="EK410" i="5" s="1"/>
  <c r="EQ408" i="5"/>
  <c r="ER408" i="5" s="1"/>
  <c r="AN412" i="5"/>
  <c r="AK412" i="5"/>
  <c r="DK408" i="5"/>
  <c r="DL408" i="5" s="1"/>
  <c r="FE406" i="5"/>
  <c r="FG406" i="5" s="1"/>
  <c r="CS406" i="5"/>
  <c r="DI409" i="5"/>
  <c r="DJ409" i="5"/>
  <c r="X407" i="5"/>
  <c r="AJ413" i="5"/>
  <c r="DS407" i="21" l="1"/>
  <c r="CQ407" i="21"/>
  <c r="AU411" i="21"/>
  <c r="AR411" i="21"/>
  <c r="DN410" i="21"/>
  <c r="EM410" i="21"/>
  <c r="EP410" i="21" s="1"/>
  <c r="EQ410" i="21" s="1"/>
  <c r="DU411" i="21"/>
  <c r="AV411" i="21"/>
  <c r="AW411" i="21" s="1"/>
  <c r="ES409" i="21"/>
  <c r="ER409" i="21"/>
  <c r="DQ408" i="21"/>
  <c r="DR408" i="21" s="1"/>
  <c r="EW408" i="21"/>
  <c r="EX408" i="21" s="1"/>
  <c r="AT412" i="21"/>
  <c r="AP413" i="21"/>
  <c r="AQ412" i="21"/>
  <c r="DO409" i="21"/>
  <c r="DP409" i="21"/>
  <c r="FK406" i="21"/>
  <c r="FM406" i="21" s="1"/>
  <c r="DE406" i="21"/>
  <c r="AD406" i="21"/>
  <c r="DS405" i="20"/>
  <c r="CQ405" i="20"/>
  <c r="EW406" i="20"/>
  <c r="EX406" i="20" s="1"/>
  <c r="AU409" i="20"/>
  <c r="AR409" i="20"/>
  <c r="DQ406" i="20"/>
  <c r="DR406" i="20" s="1"/>
  <c r="DU409" i="20"/>
  <c r="AV409" i="20"/>
  <c r="AW409" i="20" s="1"/>
  <c r="AP411" i="20"/>
  <c r="AT410" i="20"/>
  <c r="AQ410" i="20"/>
  <c r="DN408" i="20"/>
  <c r="EM408" i="20"/>
  <c r="EP408" i="20" s="1"/>
  <c r="EQ408" i="20" s="1"/>
  <c r="DO407" i="20"/>
  <c r="DP407" i="20"/>
  <c r="DE404" i="20"/>
  <c r="FK404" i="20"/>
  <c r="FM404" i="20" s="1"/>
  <c r="AD404" i="20"/>
  <c r="ES407" i="20"/>
  <c r="ER407" i="20"/>
  <c r="DM408" i="5"/>
  <c r="CK408" i="5"/>
  <c r="AO412" i="5"/>
  <c r="AL412" i="5"/>
  <c r="DO412" i="5"/>
  <c r="AP412" i="5"/>
  <c r="AQ412" i="5" s="1"/>
  <c r="DH411" i="5"/>
  <c r="EG411" i="5"/>
  <c r="EJ411" i="5" s="1"/>
  <c r="EK411" i="5" s="1"/>
  <c r="DI410" i="5"/>
  <c r="DJ410" i="5"/>
  <c r="AN413" i="5"/>
  <c r="AK413" i="5"/>
  <c r="EQ409" i="5"/>
  <c r="ER409" i="5" s="1"/>
  <c r="DK409" i="5"/>
  <c r="DL409" i="5" s="1"/>
  <c r="EM410" i="5"/>
  <c r="EL410" i="5"/>
  <c r="CY407" i="5"/>
  <c r="FE407" i="5"/>
  <c r="FG407" i="5" s="1"/>
  <c r="AJ414" i="5"/>
  <c r="DS408" i="21" l="1"/>
  <c r="CQ408" i="21"/>
  <c r="AU412" i="21"/>
  <c r="AR412" i="21"/>
  <c r="DQ409" i="21"/>
  <c r="DR409" i="21" s="1"/>
  <c r="DU412" i="21"/>
  <c r="AV412" i="21"/>
  <c r="AW412" i="21" s="1"/>
  <c r="AT413" i="21"/>
  <c r="AP414" i="21"/>
  <c r="AQ413" i="21"/>
  <c r="DN411" i="21"/>
  <c r="EM411" i="21"/>
  <c r="EP411" i="21" s="1"/>
  <c r="EQ411" i="21" s="1"/>
  <c r="EW409" i="21"/>
  <c r="EX409" i="21" s="1"/>
  <c r="ES410" i="21"/>
  <c r="ER410" i="21"/>
  <c r="DP410" i="21"/>
  <c r="DO410" i="21"/>
  <c r="CY407" i="21"/>
  <c r="AD407" i="21"/>
  <c r="FK407" i="21"/>
  <c r="FM407" i="21" s="1"/>
  <c r="DS406" i="20"/>
  <c r="CQ406" i="20"/>
  <c r="ES408" i="20"/>
  <c r="ER408" i="20"/>
  <c r="DO408" i="20"/>
  <c r="DP408" i="20"/>
  <c r="AR410" i="20"/>
  <c r="AU410" i="20"/>
  <c r="AT411" i="20"/>
  <c r="AP412" i="20"/>
  <c r="AQ411" i="20"/>
  <c r="DU410" i="20"/>
  <c r="AV410" i="20"/>
  <c r="AW410" i="20" s="1"/>
  <c r="CY405" i="20"/>
  <c r="AD405" i="20"/>
  <c r="FK405" i="20"/>
  <c r="FM405" i="20" s="1"/>
  <c r="DQ407" i="20"/>
  <c r="DR407" i="20" s="1"/>
  <c r="EW407" i="20"/>
  <c r="EX407" i="20" s="1"/>
  <c r="DN409" i="20"/>
  <c r="EM409" i="20"/>
  <c r="EP409" i="20" s="1"/>
  <c r="EQ409" i="20" s="1"/>
  <c r="DM409" i="5"/>
  <c r="CK409" i="5"/>
  <c r="EM411" i="5"/>
  <c r="EL411" i="5"/>
  <c r="DH412" i="5"/>
  <c r="EG412" i="5"/>
  <c r="EJ412" i="5" s="1"/>
  <c r="EK412" i="5" s="1"/>
  <c r="AL413" i="5"/>
  <c r="AO413" i="5"/>
  <c r="DO413" i="5"/>
  <c r="AP413" i="5"/>
  <c r="AQ413" i="5" s="1"/>
  <c r="DI411" i="5"/>
  <c r="DJ411" i="5"/>
  <c r="EQ410" i="5"/>
  <c r="ER410" i="5" s="1"/>
  <c r="FE408" i="5"/>
  <c r="FG408" i="5" s="1"/>
  <c r="CY408" i="5"/>
  <c r="AN414" i="5"/>
  <c r="AK414" i="5"/>
  <c r="DK410" i="5"/>
  <c r="DL410" i="5" s="1"/>
  <c r="X408" i="5"/>
  <c r="AJ415" i="5"/>
  <c r="DS409" i="21" l="1"/>
  <c r="CQ409" i="21"/>
  <c r="ES411" i="21"/>
  <c r="ER411" i="21"/>
  <c r="AR413" i="21"/>
  <c r="AU413" i="21"/>
  <c r="DN412" i="21"/>
  <c r="EM412" i="21"/>
  <c r="EP412" i="21" s="1"/>
  <c r="EQ412" i="21" s="1"/>
  <c r="EW410" i="21"/>
  <c r="EX410" i="21" s="1"/>
  <c r="DP411" i="21"/>
  <c r="DO411" i="21"/>
  <c r="AT414" i="21"/>
  <c r="AP415" i="21"/>
  <c r="AQ414" i="21"/>
  <c r="DQ410" i="21"/>
  <c r="DR410" i="21" s="1"/>
  <c r="DU413" i="21"/>
  <c r="AV413" i="21"/>
  <c r="AW413" i="21" s="1"/>
  <c r="CY408" i="21"/>
  <c r="AD408" i="21"/>
  <c r="FK408" i="21"/>
  <c r="FM408" i="21" s="1"/>
  <c r="DQ408" i="20"/>
  <c r="DR408" i="20" s="1"/>
  <c r="EW408" i="20"/>
  <c r="EX408" i="20" s="1"/>
  <c r="ES409" i="20"/>
  <c r="ER409" i="20"/>
  <c r="DN410" i="20"/>
  <c r="EM410" i="20"/>
  <c r="EP410" i="20" s="1"/>
  <c r="EQ410" i="20" s="1"/>
  <c r="AU411" i="20"/>
  <c r="AR411" i="20"/>
  <c r="DO409" i="20"/>
  <c r="DP409" i="20"/>
  <c r="AT412" i="20"/>
  <c r="AP413" i="20"/>
  <c r="AQ412" i="20"/>
  <c r="DE406" i="20"/>
  <c r="AD406" i="20"/>
  <c r="FK406" i="20"/>
  <c r="FM406" i="20" s="1"/>
  <c r="DS407" i="20"/>
  <c r="CQ407" i="20"/>
  <c r="DU411" i="20"/>
  <c r="AV411" i="20"/>
  <c r="AW411" i="20" s="1"/>
  <c r="DM410" i="5"/>
  <c r="CK410" i="5"/>
  <c r="EL412" i="5"/>
  <c r="EM412" i="5"/>
  <c r="DI412" i="5"/>
  <c r="DJ412" i="5"/>
  <c r="EQ411" i="5"/>
  <c r="ER411" i="5" s="1"/>
  <c r="DK411" i="5"/>
  <c r="DL411" i="5" s="1"/>
  <c r="AN415" i="5"/>
  <c r="AK415" i="5"/>
  <c r="AL414" i="5"/>
  <c r="AO414" i="5"/>
  <c r="FE409" i="5"/>
  <c r="FG409" i="5" s="1"/>
  <c r="CS409" i="5"/>
  <c r="DO414" i="5"/>
  <c r="AP414" i="5"/>
  <c r="AQ414" i="5" s="1"/>
  <c r="DH413" i="5"/>
  <c r="EG413" i="5"/>
  <c r="EJ413" i="5" s="1"/>
  <c r="EK413" i="5" s="1"/>
  <c r="AJ416" i="5"/>
  <c r="X409" i="5"/>
  <c r="DS410" i="21" l="1"/>
  <c r="CQ410" i="21"/>
  <c r="AU414" i="21"/>
  <c r="AR414" i="21"/>
  <c r="DU414" i="21"/>
  <c r="AV414" i="21"/>
  <c r="AW414" i="21" s="1"/>
  <c r="DN413" i="21"/>
  <c r="EM413" i="21"/>
  <c r="EP413" i="21" s="1"/>
  <c r="EQ413" i="21" s="1"/>
  <c r="DQ411" i="21"/>
  <c r="DR411" i="21" s="1"/>
  <c r="AT415" i="21"/>
  <c r="AP416" i="21"/>
  <c r="AQ415" i="21"/>
  <c r="ES412" i="21"/>
  <c r="ER412" i="21"/>
  <c r="DP412" i="21"/>
  <c r="DO412" i="21"/>
  <c r="EW411" i="21"/>
  <c r="EX411" i="21" s="1"/>
  <c r="DE409" i="21"/>
  <c r="FK409" i="21"/>
  <c r="FM409" i="21" s="1"/>
  <c r="AD409" i="21"/>
  <c r="DS408" i="20"/>
  <c r="CQ408" i="20"/>
  <c r="EW409" i="20"/>
  <c r="EX409" i="20" s="1"/>
  <c r="DP410" i="20"/>
  <c r="DO410" i="20"/>
  <c r="DN411" i="20"/>
  <c r="EM411" i="20"/>
  <c r="EP411" i="20" s="1"/>
  <c r="EQ411" i="20" s="1"/>
  <c r="ER410" i="20"/>
  <c r="ES410" i="20"/>
  <c r="AP414" i="20"/>
  <c r="AT413" i="20"/>
  <c r="AQ413" i="20"/>
  <c r="DQ409" i="20"/>
  <c r="DR409" i="20" s="1"/>
  <c r="AU412" i="20"/>
  <c r="AR412" i="20"/>
  <c r="DU412" i="20"/>
  <c r="AV412" i="20"/>
  <c r="AW412" i="20" s="1"/>
  <c r="CY407" i="20"/>
  <c r="AD407" i="20"/>
  <c r="FK407" i="20"/>
  <c r="FM407" i="20" s="1"/>
  <c r="DM411" i="5"/>
  <c r="CK411" i="5"/>
  <c r="DJ413" i="5"/>
  <c r="DI413" i="5"/>
  <c r="DK412" i="5"/>
  <c r="DL412" i="5" s="1"/>
  <c r="AN416" i="5"/>
  <c r="AK416" i="5"/>
  <c r="EM413" i="5"/>
  <c r="EL413" i="5"/>
  <c r="AL415" i="5"/>
  <c r="AO415" i="5"/>
  <c r="DO415" i="5"/>
  <c r="AP415" i="5"/>
  <c r="AQ415" i="5" s="1"/>
  <c r="EQ412" i="5"/>
  <c r="ER412" i="5" s="1"/>
  <c r="FE410" i="5"/>
  <c r="FG410" i="5" s="1"/>
  <c r="CY410" i="5"/>
  <c r="DH414" i="5"/>
  <c r="EG414" i="5"/>
  <c r="EJ414" i="5" s="1"/>
  <c r="EK414" i="5" s="1"/>
  <c r="AJ417" i="5"/>
  <c r="X410" i="5"/>
  <c r="DS411" i="21" l="1"/>
  <c r="CQ411" i="21"/>
  <c r="AP417" i="21"/>
  <c r="AT416" i="21"/>
  <c r="AQ416" i="21"/>
  <c r="EW412" i="21"/>
  <c r="EX412" i="21" s="1"/>
  <c r="AU415" i="21"/>
  <c r="AR415" i="21"/>
  <c r="DQ412" i="21"/>
  <c r="DR412" i="21" s="1"/>
  <c r="DN414" i="21"/>
  <c r="EM414" i="21"/>
  <c r="EP414" i="21" s="1"/>
  <c r="EQ414" i="21" s="1"/>
  <c r="ER413" i="21"/>
  <c r="ES413" i="21"/>
  <c r="AD410" i="21"/>
  <c r="FK410" i="21"/>
  <c r="FM410" i="21" s="1"/>
  <c r="CY410" i="21"/>
  <c r="DU415" i="21"/>
  <c r="AV415" i="21"/>
  <c r="AW415" i="21" s="1"/>
  <c r="DO413" i="21"/>
  <c r="DP413" i="21"/>
  <c r="DS409" i="20"/>
  <c r="CQ409" i="20"/>
  <c r="ER411" i="20"/>
  <c r="ES411" i="20"/>
  <c r="DQ410" i="20"/>
  <c r="DR410" i="20" s="1"/>
  <c r="DU413" i="20"/>
  <c r="AV413" i="20"/>
  <c r="AW413" i="20" s="1"/>
  <c r="AP415" i="20"/>
  <c r="AT414" i="20"/>
  <c r="AQ414" i="20"/>
  <c r="DP411" i="20"/>
  <c r="DO411" i="20"/>
  <c r="DN412" i="20"/>
  <c r="EM412" i="20"/>
  <c r="EP412" i="20" s="1"/>
  <c r="EQ412" i="20" s="1"/>
  <c r="FK408" i="20"/>
  <c r="FM408" i="20" s="1"/>
  <c r="CY408" i="20"/>
  <c r="AD408" i="20"/>
  <c r="AU413" i="20"/>
  <c r="AR413" i="20"/>
  <c r="EW410" i="20"/>
  <c r="EX410" i="20" s="1"/>
  <c r="DM412" i="5"/>
  <c r="CK412" i="5"/>
  <c r="AO416" i="5"/>
  <c r="AL416" i="5"/>
  <c r="DO416" i="5"/>
  <c r="AP416" i="5"/>
  <c r="AQ416" i="5" s="1"/>
  <c r="DH415" i="5"/>
  <c r="EG415" i="5"/>
  <c r="EJ415" i="5" s="1"/>
  <c r="EK415" i="5" s="1"/>
  <c r="AN417" i="5"/>
  <c r="AK417" i="5"/>
  <c r="EL414" i="5"/>
  <c r="EM414" i="5"/>
  <c r="DK413" i="5"/>
  <c r="DL413" i="5" s="1"/>
  <c r="DJ414" i="5"/>
  <c r="DI414" i="5"/>
  <c r="EQ413" i="5"/>
  <c r="ER413" i="5" s="1"/>
  <c r="CS411" i="5"/>
  <c r="FE411" i="5"/>
  <c r="FG411" i="5" s="1"/>
  <c r="X411" i="5"/>
  <c r="AJ418" i="5"/>
  <c r="DS412" i="21" l="1"/>
  <c r="CQ412" i="21"/>
  <c r="DQ413" i="21"/>
  <c r="DR413" i="21" s="1"/>
  <c r="EW413" i="21"/>
  <c r="EX413" i="21" s="1"/>
  <c r="DP414" i="21"/>
  <c r="DO414" i="21"/>
  <c r="DU416" i="21"/>
  <c r="AV416" i="21"/>
  <c r="AW416" i="21" s="1"/>
  <c r="DN415" i="21"/>
  <c r="EM415" i="21"/>
  <c r="EP415" i="21" s="1"/>
  <c r="EQ415" i="21" s="1"/>
  <c r="AT417" i="21"/>
  <c r="AP418" i="21"/>
  <c r="AQ417" i="21"/>
  <c r="ES414" i="21"/>
  <c r="ER414" i="21"/>
  <c r="FK411" i="21"/>
  <c r="FM411" i="21" s="1"/>
  <c r="AD411" i="21"/>
  <c r="CY411" i="21"/>
  <c r="AU416" i="21"/>
  <c r="AR416" i="21"/>
  <c r="DS410" i="20"/>
  <c r="CQ410" i="20"/>
  <c r="DP412" i="20"/>
  <c r="DO412" i="20"/>
  <c r="ES412" i="20"/>
  <c r="ER412" i="20"/>
  <c r="DN413" i="20"/>
  <c r="EM413" i="20"/>
  <c r="EP413" i="20" s="1"/>
  <c r="EQ413" i="20" s="1"/>
  <c r="EW411" i="20"/>
  <c r="EX411" i="20" s="1"/>
  <c r="DU414" i="20"/>
  <c r="AV414" i="20"/>
  <c r="AW414" i="20" s="1"/>
  <c r="AD409" i="20"/>
  <c r="FK409" i="20"/>
  <c r="FM409" i="20" s="1"/>
  <c r="DE409" i="20"/>
  <c r="DQ411" i="20"/>
  <c r="DR411" i="20" s="1"/>
  <c r="AU414" i="20"/>
  <c r="AR414" i="20"/>
  <c r="AP416" i="20"/>
  <c r="AT415" i="20"/>
  <c r="AQ415" i="20"/>
  <c r="DM413" i="5"/>
  <c r="CK413" i="5"/>
  <c r="EM415" i="5"/>
  <c r="EL415" i="5"/>
  <c r="AN418" i="5"/>
  <c r="AK418" i="5"/>
  <c r="DH416" i="5"/>
  <c r="EG416" i="5"/>
  <c r="EJ416" i="5" s="1"/>
  <c r="EK416" i="5" s="1"/>
  <c r="DK414" i="5"/>
  <c r="DL414" i="5" s="1"/>
  <c r="DI415" i="5"/>
  <c r="DJ415" i="5"/>
  <c r="AL417" i="5"/>
  <c r="AO417" i="5"/>
  <c r="FE412" i="5"/>
  <c r="FG412" i="5" s="1"/>
  <c r="CS412" i="5"/>
  <c r="EQ414" i="5"/>
  <c r="ER414" i="5" s="1"/>
  <c r="DO417" i="5"/>
  <c r="AP417" i="5"/>
  <c r="AQ417" i="5" s="1"/>
  <c r="X412" i="5"/>
  <c r="AJ419" i="5"/>
  <c r="DS413" i="21" l="1"/>
  <c r="CQ413" i="21"/>
  <c r="AU417" i="21"/>
  <c r="AR417" i="21"/>
  <c r="DP415" i="21"/>
  <c r="DO415" i="21"/>
  <c r="ES415" i="21"/>
  <c r="ER415" i="21"/>
  <c r="EW414" i="21"/>
  <c r="EX414" i="21" s="1"/>
  <c r="AT418" i="21"/>
  <c r="AP419" i="21"/>
  <c r="AQ418" i="21"/>
  <c r="DU417" i="21"/>
  <c r="AV417" i="21"/>
  <c r="AW417" i="21" s="1"/>
  <c r="DQ414" i="21"/>
  <c r="DR414" i="21" s="1"/>
  <c r="AD412" i="21"/>
  <c r="FK412" i="21"/>
  <c r="FM412" i="21" s="1"/>
  <c r="DE412" i="21"/>
  <c r="DN416" i="21"/>
  <c r="EM416" i="21"/>
  <c r="EP416" i="21" s="1"/>
  <c r="EQ416" i="21" s="1"/>
  <c r="DS411" i="20"/>
  <c r="CQ411" i="20"/>
  <c r="EW412" i="20"/>
  <c r="EX412" i="20" s="1"/>
  <c r="DU415" i="20"/>
  <c r="AV415" i="20"/>
  <c r="AW415" i="20" s="1"/>
  <c r="AU415" i="20"/>
  <c r="AR415" i="20"/>
  <c r="DQ412" i="20"/>
  <c r="DR412" i="20" s="1"/>
  <c r="DO413" i="20"/>
  <c r="DP413" i="20"/>
  <c r="DN414" i="20"/>
  <c r="EM414" i="20"/>
  <c r="EP414" i="20" s="1"/>
  <c r="EQ414" i="20" s="1"/>
  <c r="ES413" i="20"/>
  <c r="ER413" i="20"/>
  <c r="CY410" i="20"/>
  <c r="AD410" i="20"/>
  <c r="FK410" i="20"/>
  <c r="FM410" i="20" s="1"/>
  <c r="AP417" i="20"/>
  <c r="AT416" i="20"/>
  <c r="AQ416" i="20"/>
  <c r="DM414" i="5"/>
  <c r="CK414" i="5"/>
  <c r="DK415" i="5"/>
  <c r="DL415" i="5" s="1"/>
  <c r="EL416" i="5"/>
  <c r="EM416" i="5"/>
  <c r="DH417" i="5"/>
  <c r="EG417" i="5"/>
  <c r="EJ417" i="5" s="1"/>
  <c r="EK417" i="5" s="1"/>
  <c r="DI416" i="5"/>
  <c r="DJ416" i="5"/>
  <c r="DO418" i="5"/>
  <c r="AP418" i="5"/>
  <c r="AQ418" i="5" s="1"/>
  <c r="AN419" i="5"/>
  <c r="AK419" i="5"/>
  <c r="AL418" i="5"/>
  <c r="AO418" i="5"/>
  <c r="EQ415" i="5"/>
  <c r="ER415" i="5" s="1"/>
  <c r="FE413" i="5"/>
  <c r="FG413" i="5" s="1"/>
  <c r="CY413" i="5"/>
  <c r="AJ420" i="5"/>
  <c r="X413" i="5"/>
  <c r="DS414" i="21" l="1"/>
  <c r="CQ414" i="21"/>
  <c r="AU418" i="21"/>
  <c r="AR418" i="21"/>
  <c r="DU418" i="21"/>
  <c r="AV418" i="21"/>
  <c r="AW418" i="21" s="1"/>
  <c r="DQ415" i="21"/>
  <c r="DR415" i="21" s="1"/>
  <c r="DN417" i="21"/>
  <c r="EM417" i="21"/>
  <c r="EP417" i="21" s="1"/>
  <c r="EQ417" i="21" s="1"/>
  <c r="AT419" i="21"/>
  <c r="AP420" i="21"/>
  <c r="AQ419" i="21"/>
  <c r="DO416" i="21"/>
  <c r="DP416" i="21"/>
  <c r="AD413" i="21"/>
  <c r="FK413" i="21"/>
  <c r="FM413" i="21" s="1"/>
  <c r="DE413" i="21"/>
  <c r="ES416" i="21"/>
  <c r="ER416" i="21"/>
  <c r="EW415" i="21"/>
  <c r="EX415" i="21" s="1"/>
  <c r="DS412" i="20"/>
  <c r="CQ412" i="20"/>
  <c r="DU416" i="20"/>
  <c r="AV416" i="20"/>
  <c r="AW416" i="20" s="1"/>
  <c r="DN415" i="20"/>
  <c r="EM415" i="20"/>
  <c r="EP415" i="20" s="1"/>
  <c r="EQ415" i="20" s="1"/>
  <c r="ES414" i="20"/>
  <c r="ER414" i="20"/>
  <c r="AP418" i="20"/>
  <c r="AT417" i="20"/>
  <c r="AQ417" i="20"/>
  <c r="DQ413" i="20"/>
  <c r="DR413" i="20" s="1"/>
  <c r="EW413" i="20"/>
  <c r="EX413" i="20" s="1"/>
  <c r="DP414" i="20"/>
  <c r="DO414" i="20"/>
  <c r="CY411" i="20"/>
  <c r="AD411" i="20"/>
  <c r="FK411" i="20"/>
  <c r="FM411" i="20" s="1"/>
  <c r="AR416" i="20"/>
  <c r="AU416" i="20"/>
  <c r="DO419" i="5"/>
  <c r="AP419" i="5"/>
  <c r="AQ419" i="5" s="1"/>
  <c r="EQ416" i="5"/>
  <c r="ER416" i="5" s="1"/>
  <c r="EL417" i="5"/>
  <c r="EM417" i="5"/>
  <c r="AL419" i="5"/>
  <c r="AO419" i="5"/>
  <c r="DM415" i="5"/>
  <c r="CK415" i="5"/>
  <c r="FE414" i="5"/>
  <c r="FG414" i="5" s="1"/>
  <c r="CS414" i="5"/>
  <c r="DI417" i="5"/>
  <c r="DJ417" i="5"/>
  <c r="AN420" i="5"/>
  <c r="AK420" i="5"/>
  <c r="DH418" i="5"/>
  <c r="EG418" i="5"/>
  <c r="EJ418" i="5" s="1"/>
  <c r="EK418" i="5" s="1"/>
  <c r="DK416" i="5"/>
  <c r="DL416" i="5" s="1"/>
  <c r="AJ421" i="5"/>
  <c r="X414" i="5"/>
  <c r="DS415" i="21" l="1"/>
  <c r="CQ415" i="21"/>
  <c r="DU419" i="21"/>
  <c r="AV419" i="21"/>
  <c r="AW419" i="21" s="1"/>
  <c r="ER417" i="21"/>
  <c r="ES417" i="21"/>
  <c r="DQ416" i="21"/>
  <c r="DR416" i="21" s="1"/>
  <c r="DN418" i="21"/>
  <c r="EM418" i="21"/>
  <c r="EP418" i="21" s="1"/>
  <c r="EQ418" i="21" s="1"/>
  <c r="AU419" i="21"/>
  <c r="AR419" i="21"/>
  <c r="DP417" i="21"/>
  <c r="DO417" i="21"/>
  <c r="EW416" i="21"/>
  <c r="EX416" i="21" s="1"/>
  <c r="AT420" i="21"/>
  <c r="AP421" i="21"/>
  <c r="AQ420" i="21"/>
  <c r="FK414" i="21"/>
  <c r="FM414" i="21" s="1"/>
  <c r="AD414" i="21"/>
  <c r="DE414" i="21"/>
  <c r="DS413" i="20"/>
  <c r="CQ413" i="20"/>
  <c r="ES415" i="20"/>
  <c r="ER415" i="20"/>
  <c r="DP415" i="20"/>
  <c r="DO415" i="20"/>
  <c r="AU417" i="20"/>
  <c r="AR417" i="20"/>
  <c r="DN416" i="20"/>
  <c r="EM416" i="20"/>
  <c r="EP416" i="20" s="1"/>
  <c r="EQ416" i="20" s="1"/>
  <c r="EW414" i="20"/>
  <c r="EX414" i="20" s="1"/>
  <c r="DU417" i="20"/>
  <c r="AV417" i="20"/>
  <c r="AW417" i="20" s="1"/>
  <c r="DE412" i="20"/>
  <c r="AD412" i="20"/>
  <c r="FK412" i="20"/>
  <c r="FM412" i="20" s="1"/>
  <c r="DQ414" i="20"/>
  <c r="DR414" i="20" s="1"/>
  <c r="AP419" i="20"/>
  <c r="AT418" i="20"/>
  <c r="AQ418" i="20"/>
  <c r="AN421" i="5"/>
  <c r="AK421" i="5"/>
  <c r="AO420" i="5"/>
  <c r="AL420" i="5"/>
  <c r="DK417" i="5"/>
  <c r="DL417" i="5" s="1"/>
  <c r="EQ417" i="5"/>
  <c r="ER417" i="5" s="1"/>
  <c r="DO420" i="5"/>
  <c r="AP420" i="5"/>
  <c r="AQ420" i="5" s="1"/>
  <c r="DM416" i="5"/>
  <c r="CK416" i="5"/>
  <c r="X416" i="5" s="1"/>
  <c r="EL418" i="5"/>
  <c r="EM418" i="5"/>
  <c r="CS415" i="5"/>
  <c r="FE415" i="5"/>
  <c r="FG415" i="5" s="1"/>
  <c r="DI418" i="5"/>
  <c r="DJ418" i="5"/>
  <c r="DH419" i="5"/>
  <c r="EG419" i="5"/>
  <c r="EJ419" i="5" s="1"/>
  <c r="EK419" i="5" s="1"/>
  <c r="X415" i="5"/>
  <c r="AJ422" i="5"/>
  <c r="DS416" i="21" l="1"/>
  <c r="CQ416" i="21"/>
  <c r="DQ417" i="21"/>
  <c r="DR417" i="21" s="1"/>
  <c r="AT421" i="21"/>
  <c r="AP422" i="21"/>
  <c r="AQ421" i="21"/>
  <c r="DU420" i="21"/>
  <c r="AV420" i="21"/>
  <c r="AW420" i="21" s="1"/>
  <c r="AR420" i="21"/>
  <c r="AU420" i="21"/>
  <c r="DO418" i="21"/>
  <c r="DP418" i="21"/>
  <c r="DN419" i="21"/>
  <c r="EM419" i="21"/>
  <c r="EP419" i="21" s="1"/>
  <c r="EQ419" i="21" s="1"/>
  <c r="DE415" i="21"/>
  <c r="FK415" i="21"/>
  <c r="FM415" i="21" s="1"/>
  <c r="AD415" i="21"/>
  <c r="ES418" i="21"/>
  <c r="ER418" i="21"/>
  <c r="EW417" i="21"/>
  <c r="EX417" i="21" s="1"/>
  <c r="DS414" i="20"/>
  <c r="CQ414" i="20"/>
  <c r="AU418" i="20"/>
  <c r="AR418" i="20"/>
  <c r="DQ415" i="20"/>
  <c r="DR415" i="20" s="1"/>
  <c r="DU418" i="20"/>
  <c r="AV418" i="20"/>
  <c r="AW418" i="20" s="1"/>
  <c r="EW415" i="20"/>
  <c r="EX415" i="20" s="1"/>
  <c r="DN417" i="20"/>
  <c r="EM417" i="20"/>
  <c r="EP417" i="20" s="1"/>
  <c r="EQ417" i="20" s="1"/>
  <c r="ES416" i="20"/>
  <c r="ER416" i="20"/>
  <c r="FK413" i="20"/>
  <c r="FM413" i="20" s="1"/>
  <c r="AD413" i="20"/>
  <c r="DE413" i="20"/>
  <c r="AP420" i="20"/>
  <c r="AT419" i="20"/>
  <c r="AQ419" i="20"/>
  <c r="DP416" i="20"/>
  <c r="DO416" i="20"/>
  <c r="DM417" i="5"/>
  <c r="CK417" i="5"/>
  <c r="EQ418" i="5"/>
  <c r="ER418" i="5" s="1"/>
  <c r="AN422" i="5"/>
  <c r="AK422" i="5"/>
  <c r="EM419" i="5"/>
  <c r="EL419" i="5"/>
  <c r="FE416" i="5"/>
  <c r="FG416" i="5" s="1"/>
  <c r="CY416" i="5"/>
  <c r="DJ419" i="5"/>
  <c r="DI419" i="5"/>
  <c r="AL421" i="5"/>
  <c r="AO421" i="5"/>
  <c r="DK418" i="5"/>
  <c r="DL418" i="5" s="1"/>
  <c r="DH420" i="5"/>
  <c r="EG420" i="5"/>
  <c r="EJ420" i="5" s="1"/>
  <c r="EK420" i="5" s="1"/>
  <c r="DO421" i="5"/>
  <c r="AP421" i="5"/>
  <c r="AQ421" i="5" s="1"/>
  <c r="AJ423" i="5"/>
  <c r="DS417" i="21" l="1"/>
  <c r="CQ417" i="21"/>
  <c r="ES419" i="21"/>
  <c r="ER419" i="21"/>
  <c r="DQ418" i="21"/>
  <c r="DR418" i="21" s="1"/>
  <c r="AP423" i="21"/>
  <c r="AT422" i="21"/>
  <c r="AQ422" i="21"/>
  <c r="DU421" i="21"/>
  <c r="AV421" i="21"/>
  <c r="AW421" i="21" s="1"/>
  <c r="DN420" i="21"/>
  <c r="EM420" i="21"/>
  <c r="EP420" i="21" s="1"/>
  <c r="EQ420" i="21" s="1"/>
  <c r="EW418" i="21"/>
  <c r="EX418" i="21" s="1"/>
  <c r="AU421" i="21"/>
  <c r="AR421" i="21"/>
  <c r="AD416" i="21"/>
  <c r="CY416" i="21"/>
  <c r="FK416" i="21"/>
  <c r="FM416" i="21" s="1"/>
  <c r="DO419" i="21"/>
  <c r="DP419" i="21"/>
  <c r="DS415" i="20"/>
  <c r="CQ415" i="20"/>
  <c r="DQ416" i="20"/>
  <c r="DR416" i="20" s="1"/>
  <c r="DN418" i="20"/>
  <c r="EM418" i="20"/>
  <c r="EP418" i="20" s="1"/>
  <c r="EQ418" i="20" s="1"/>
  <c r="AR419" i="20"/>
  <c r="AU419" i="20"/>
  <c r="EW416" i="20"/>
  <c r="EX416" i="20" s="1"/>
  <c r="DU419" i="20"/>
  <c r="AV419" i="20"/>
  <c r="AW419" i="20" s="1"/>
  <c r="DP417" i="20"/>
  <c r="DO417" i="20"/>
  <c r="AP421" i="20"/>
  <c r="AT420" i="20"/>
  <c r="AQ420" i="20"/>
  <c r="FK414" i="20"/>
  <c r="FM414" i="20" s="1"/>
  <c r="AD414" i="20"/>
  <c r="DE414" i="20"/>
  <c r="ES417" i="20"/>
  <c r="ER417" i="20"/>
  <c r="DM418" i="5"/>
  <c r="CK418" i="5"/>
  <c r="AL422" i="5"/>
  <c r="AO422" i="5"/>
  <c r="EQ419" i="5"/>
  <c r="ER419" i="5" s="1"/>
  <c r="AN423" i="5"/>
  <c r="AK423" i="5"/>
  <c r="EL420" i="5"/>
  <c r="EM420" i="5"/>
  <c r="FE417" i="5"/>
  <c r="FG417" i="5" s="1"/>
  <c r="CY417" i="5"/>
  <c r="DO422" i="5"/>
  <c r="AP422" i="5"/>
  <c r="AQ422" i="5" s="1"/>
  <c r="DK419" i="5"/>
  <c r="DL419" i="5" s="1"/>
  <c r="DH421" i="5"/>
  <c r="EG421" i="5"/>
  <c r="EJ421" i="5" s="1"/>
  <c r="EK421" i="5" s="1"/>
  <c r="DI420" i="5"/>
  <c r="DJ420" i="5"/>
  <c r="X417" i="5"/>
  <c r="AJ424" i="5"/>
  <c r="DS418" i="21" l="1"/>
  <c r="CQ418" i="21"/>
  <c r="ER420" i="21"/>
  <c r="ES420" i="21"/>
  <c r="DQ419" i="21"/>
  <c r="DR419" i="21" s="1"/>
  <c r="DN421" i="21"/>
  <c r="EM421" i="21"/>
  <c r="EP421" i="21" s="1"/>
  <c r="EQ421" i="21" s="1"/>
  <c r="DO420" i="21"/>
  <c r="DP420" i="21"/>
  <c r="AP424" i="21"/>
  <c r="AT423" i="21"/>
  <c r="AQ423" i="21"/>
  <c r="DU422" i="21"/>
  <c r="AV422" i="21"/>
  <c r="AW422" i="21" s="1"/>
  <c r="FK417" i="21"/>
  <c r="FM417" i="21" s="1"/>
  <c r="AD417" i="21"/>
  <c r="DE417" i="21"/>
  <c r="AU422" i="21"/>
  <c r="AR422" i="21"/>
  <c r="EW419" i="21"/>
  <c r="EX419" i="21" s="1"/>
  <c r="CQ416" i="20"/>
  <c r="DS416" i="20"/>
  <c r="AP422" i="20"/>
  <c r="AT421" i="20"/>
  <c r="AQ421" i="20"/>
  <c r="DQ417" i="20"/>
  <c r="DR417" i="20" s="1"/>
  <c r="DU420" i="20"/>
  <c r="AV420" i="20"/>
  <c r="AW420" i="20" s="1"/>
  <c r="EW417" i="20"/>
  <c r="EX417" i="20" s="1"/>
  <c r="DP418" i="20"/>
  <c r="DO418" i="20"/>
  <c r="DN419" i="20"/>
  <c r="EM419" i="20"/>
  <c r="EP419" i="20" s="1"/>
  <c r="EQ419" i="20" s="1"/>
  <c r="FK415" i="20"/>
  <c r="FM415" i="20" s="1"/>
  <c r="AD415" i="20"/>
  <c r="DE415" i="20"/>
  <c r="ES418" i="20"/>
  <c r="ER418" i="20"/>
  <c r="AU420" i="20"/>
  <c r="AR420" i="20"/>
  <c r="DO423" i="5"/>
  <c r="AP423" i="5"/>
  <c r="AQ423" i="5" s="1"/>
  <c r="AL423" i="5"/>
  <c r="AO423" i="5"/>
  <c r="DH422" i="5"/>
  <c r="EG422" i="5"/>
  <c r="EJ422" i="5" s="1"/>
  <c r="EK422" i="5" s="1"/>
  <c r="DM419" i="5"/>
  <c r="CK419" i="5"/>
  <c r="FE418" i="5"/>
  <c r="FG418" i="5" s="1"/>
  <c r="CY418" i="5"/>
  <c r="AN424" i="5"/>
  <c r="AK424" i="5"/>
  <c r="DK420" i="5"/>
  <c r="DL420" i="5" s="1"/>
  <c r="EL421" i="5"/>
  <c r="EM421" i="5"/>
  <c r="DI421" i="5"/>
  <c r="DJ421" i="5"/>
  <c r="EQ420" i="5"/>
  <c r="ER420" i="5" s="1"/>
  <c r="AJ425" i="5"/>
  <c r="X418" i="5"/>
  <c r="CQ419" i="21" l="1"/>
  <c r="DS419" i="21"/>
  <c r="AT424" i="21"/>
  <c r="AP425" i="21"/>
  <c r="AQ424" i="21"/>
  <c r="AU423" i="21"/>
  <c r="AR423" i="21"/>
  <c r="ER421" i="21"/>
  <c r="ES421" i="21"/>
  <c r="DP421" i="21"/>
  <c r="DO421" i="21"/>
  <c r="DN422" i="21"/>
  <c r="EM422" i="21"/>
  <c r="EP422" i="21" s="1"/>
  <c r="EQ422" i="21" s="1"/>
  <c r="FK418" i="21"/>
  <c r="FM418" i="21" s="1"/>
  <c r="DE418" i="21"/>
  <c r="AD418" i="21"/>
  <c r="DU423" i="21"/>
  <c r="AV423" i="21"/>
  <c r="AW423" i="21" s="1"/>
  <c r="DQ420" i="21"/>
  <c r="DR420" i="21" s="1"/>
  <c r="EW420" i="21"/>
  <c r="EX420" i="21" s="1"/>
  <c r="DS417" i="20"/>
  <c r="CQ417" i="20"/>
  <c r="DN420" i="20"/>
  <c r="EM420" i="20"/>
  <c r="EP420" i="20" s="1"/>
  <c r="EQ420" i="20" s="1"/>
  <c r="DQ418" i="20"/>
  <c r="DR418" i="20" s="1"/>
  <c r="AU421" i="20"/>
  <c r="AR421" i="20"/>
  <c r="DU421" i="20"/>
  <c r="AV421" i="20"/>
  <c r="AW421" i="20" s="1"/>
  <c r="DP419" i="20"/>
  <c r="DO419" i="20"/>
  <c r="EW418" i="20"/>
  <c r="EX418" i="20" s="1"/>
  <c r="AP423" i="20"/>
  <c r="AT422" i="20"/>
  <c r="AQ422" i="20"/>
  <c r="ES419" i="20"/>
  <c r="ER419" i="20"/>
  <c r="FK416" i="20"/>
  <c r="FM416" i="20" s="1"/>
  <c r="CY416" i="20"/>
  <c r="AD416" i="20"/>
  <c r="DM420" i="5"/>
  <c r="CK420" i="5"/>
  <c r="CY419" i="5"/>
  <c r="FE419" i="5"/>
  <c r="FG419" i="5" s="1"/>
  <c r="AN425" i="5"/>
  <c r="AK425" i="5"/>
  <c r="DI422" i="5"/>
  <c r="DJ422" i="5"/>
  <c r="DO424" i="5"/>
  <c r="AP424" i="5"/>
  <c r="AQ424" i="5" s="1"/>
  <c r="DK421" i="5"/>
  <c r="DL421" i="5" s="1"/>
  <c r="EQ421" i="5"/>
  <c r="ER421" i="5" s="1"/>
  <c r="EM422" i="5"/>
  <c r="EL422" i="5"/>
  <c r="AO424" i="5"/>
  <c r="AL424" i="5"/>
  <c r="DH423" i="5"/>
  <c r="EG423" i="5"/>
  <c r="EJ423" i="5" s="1"/>
  <c r="EK423" i="5" s="1"/>
  <c r="X419" i="5"/>
  <c r="AJ426" i="5"/>
  <c r="DS420" i="21" l="1"/>
  <c r="CQ420" i="21"/>
  <c r="ES422" i="21"/>
  <c r="ER422" i="21"/>
  <c r="DO422" i="21"/>
  <c r="DP422" i="21"/>
  <c r="DN423" i="21"/>
  <c r="EM423" i="21"/>
  <c r="EP423" i="21" s="1"/>
  <c r="EQ423" i="21" s="1"/>
  <c r="EW421" i="21"/>
  <c r="EX421" i="21" s="1"/>
  <c r="AU424" i="21"/>
  <c r="AR424" i="21"/>
  <c r="AT425" i="21"/>
  <c r="AP426" i="21"/>
  <c r="AQ425" i="21"/>
  <c r="DQ421" i="21"/>
  <c r="DR421" i="21" s="1"/>
  <c r="DU424" i="21"/>
  <c r="AV424" i="21"/>
  <c r="AW424" i="21" s="1"/>
  <c r="AD419" i="21"/>
  <c r="FK419" i="21"/>
  <c r="FM419" i="21" s="1"/>
  <c r="CY419" i="21"/>
  <c r="DS418" i="20"/>
  <c r="CQ418" i="20"/>
  <c r="DU422" i="20"/>
  <c r="AV422" i="20"/>
  <c r="AW422" i="20" s="1"/>
  <c r="ES420" i="20"/>
  <c r="ER420" i="20"/>
  <c r="DQ419" i="20"/>
  <c r="DR419" i="20" s="1"/>
  <c r="DO420" i="20"/>
  <c r="DP420" i="20"/>
  <c r="FK417" i="20"/>
  <c r="FM417" i="20" s="1"/>
  <c r="AD417" i="20"/>
  <c r="DE417" i="20"/>
  <c r="AT423" i="20"/>
  <c r="AP424" i="20"/>
  <c r="AQ423" i="20"/>
  <c r="EW419" i="20"/>
  <c r="EX419" i="20" s="1"/>
  <c r="AR422" i="20"/>
  <c r="AU422" i="20"/>
  <c r="DN421" i="20"/>
  <c r="EM421" i="20"/>
  <c r="EP421" i="20" s="1"/>
  <c r="EQ421" i="20" s="1"/>
  <c r="DM421" i="5"/>
  <c r="CK421" i="5"/>
  <c r="DO425" i="5"/>
  <c r="AP425" i="5"/>
  <c r="AQ425" i="5" s="1"/>
  <c r="EQ422" i="5"/>
  <c r="ER422" i="5" s="1"/>
  <c r="DK422" i="5"/>
  <c r="DL422" i="5" s="1"/>
  <c r="DJ423" i="5"/>
  <c r="DI423" i="5"/>
  <c r="AN426" i="5"/>
  <c r="AK426" i="5"/>
  <c r="AL425" i="5"/>
  <c r="AO425" i="5"/>
  <c r="FE420" i="5"/>
  <c r="FG420" i="5" s="1"/>
  <c r="CS420" i="5"/>
  <c r="EM423" i="5"/>
  <c r="EL423" i="5"/>
  <c r="X420" i="5"/>
  <c r="DH424" i="5"/>
  <c r="EG424" i="5"/>
  <c r="EJ424" i="5" s="1"/>
  <c r="EK424" i="5" s="1"/>
  <c r="AJ427" i="5"/>
  <c r="DS421" i="21" l="1"/>
  <c r="CQ421" i="21"/>
  <c r="DN424" i="21"/>
  <c r="EM424" i="21"/>
  <c r="EP424" i="21" s="1"/>
  <c r="EQ424" i="21" s="1"/>
  <c r="DP423" i="21"/>
  <c r="DO423" i="21"/>
  <c r="DU425" i="21"/>
  <c r="AV425" i="21"/>
  <c r="AW425" i="21" s="1"/>
  <c r="AP427" i="21"/>
  <c r="AT426" i="21"/>
  <c r="AQ426" i="21"/>
  <c r="ES423" i="21"/>
  <c r="ER423" i="21"/>
  <c r="DQ422" i="21"/>
  <c r="DR422" i="21" s="1"/>
  <c r="FK420" i="21"/>
  <c r="FM420" i="21" s="1"/>
  <c r="AD420" i="21"/>
  <c r="DE420" i="21"/>
  <c r="AR425" i="21"/>
  <c r="AU425" i="21"/>
  <c r="EW422" i="21"/>
  <c r="EX422" i="21" s="1"/>
  <c r="CQ419" i="20"/>
  <c r="DS419" i="20"/>
  <c r="DU423" i="20"/>
  <c r="AV423" i="20"/>
  <c r="AW423" i="20" s="1"/>
  <c r="ES421" i="20"/>
  <c r="ER421" i="20"/>
  <c r="EW420" i="20"/>
  <c r="EX420" i="20" s="1"/>
  <c r="DN422" i="20"/>
  <c r="EM422" i="20"/>
  <c r="EP422" i="20" s="1"/>
  <c r="EQ422" i="20" s="1"/>
  <c r="AU423" i="20"/>
  <c r="AR423" i="20"/>
  <c r="FK418" i="20"/>
  <c r="FM418" i="20" s="1"/>
  <c r="AD418" i="20"/>
  <c r="DE418" i="20"/>
  <c r="AT424" i="20"/>
  <c r="AP425" i="20"/>
  <c r="AQ424" i="20"/>
  <c r="DP421" i="20"/>
  <c r="DO421" i="20"/>
  <c r="DQ420" i="20"/>
  <c r="DR420" i="20" s="1"/>
  <c r="DM422" i="5"/>
  <c r="CK422" i="5"/>
  <c r="AN427" i="5"/>
  <c r="AK427" i="5"/>
  <c r="EL424" i="5"/>
  <c r="EM424" i="5"/>
  <c r="DJ424" i="5"/>
  <c r="DI424" i="5"/>
  <c r="AL426" i="5"/>
  <c r="AO426" i="5"/>
  <c r="DH425" i="5"/>
  <c r="EG425" i="5"/>
  <c r="EJ425" i="5" s="1"/>
  <c r="EK425" i="5" s="1"/>
  <c r="DO426" i="5"/>
  <c r="AP426" i="5"/>
  <c r="AQ426" i="5" s="1"/>
  <c r="DK423" i="5"/>
  <c r="DL423" i="5" s="1"/>
  <c r="FE421" i="5"/>
  <c r="FG421" i="5" s="1"/>
  <c r="CY421" i="5"/>
  <c r="EQ423" i="5"/>
  <c r="ER423" i="5" s="1"/>
  <c r="AJ428" i="5"/>
  <c r="X421" i="5"/>
  <c r="DS422" i="21" l="1"/>
  <c r="CQ422" i="21"/>
  <c r="AR426" i="21"/>
  <c r="AU426" i="21"/>
  <c r="DN425" i="21"/>
  <c r="EM425" i="21"/>
  <c r="EP425" i="21" s="1"/>
  <c r="EQ425" i="21" s="1"/>
  <c r="DQ423" i="21"/>
  <c r="DR423" i="21" s="1"/>
  <c r="ER424" i="21"/>
  <c r="ES424" i="21"/>
  <c r="EW423" i="21"/>
  <c r="EX423" i="21" s="1"/>
  <c r="AP428" i="21"/>
  <c r="AT427" i="21"/>
  <c r="AQ427" i="21"/>
  <c r="DP424" i="21"/>
  <c r="DO424" i="21"/>
  <c r="AD421" i="21"/>
  <c r="DE421" i="21"/>
  <c r="FK421" i="21"/>
  <c r="FM421" i="21" s="1"/>
  <c r="DU426" i="21"/>
  <c r="AV426" i="21"/>
  <c r="AW426" i="21" s="1"/>
  <c r="DS420" i="20"/>
  <c r="CQ420" i="20"/>
  <c r="EW421" i="20"/>
  <c r="EX421" i="20" s="1"/>
  <c r="DU424" i="20"/>
  <c r="AV424" i="20"/>
  <c r="AW424" i="20" s="1"/>
  <c r="DN423" i="20"/>
  <c r="EM423" i="20"/>
  <c r="EP423" i="20" s="1"/>
  <c r="EQ423" i="20" s="1"/>
  <c r="ES422" i="20"/>
  <c r="ER422" i="20"/>
  <c r="DQ421" i="20"/>
  <c r="DR421" i="20" s="1"/>
  <c r="AU424" i="20"/>
  <c r="AR424" i="20"/>
  <c r="AT425" i="20"/>
  <c r="AP426" i="20"/>
  <c r="AQ425" i="20"/>
  <c r="DP422" i="20"/>
  <c r="DO422" i="20"/>
  <c r="FK419" i="20"/>
  <c r="FM419" i="20" s="1"/>
  <c r="AD419" i="20"/>
  <c r="CY419" i="20"/>
  <c r="DM423" i="5"/>
  <c r="CK423" i="5"/>
  <c r="DH426" i="5"/>
  <c r="EG426" i="5"/>
  <c r="EJ426" i="5" s="1"/>
  <c r="EK426" i="5" s="1"/>
  <c r="EQ424" i="5"/>
  <c r="ER424" i="5" s="1"/>
  <c r="EM425" i="5"/>
  <c r="EL425" i="5"/>
  <c r="AL427" i="5"/>
  <c r="AO427" i="5"/>
  <c r="DK424" i="5"/>
  <c r="DL424" i="5" s="1"/>
  <c r="AN428" i="5"/>
  <c r="AK428" i="5"/>
  <c r="DI425" i="5"/>
  <c r="DJ425" i="5"/>
  <c r="DO427" i="5"/>
  <c r="AP427" i="5"/>
  <c r="AQ427" i="5" s="1"/>
  <c r="FE422" i="5"/>
  <c r="FG422" i="5" s="1"/>
  <c r="CY422" i="5"/>
  <c r="AJ429" i="5"/>
  <c r="DS423" i="21" l="1"/>
  <c r="CQ423" i="21"/>
  <c r="DQ424" i="21"/>
  <c r="DR424" i="21" s="1"/>
  <c r="AU427" i="21"/>
  <c r="AR427" i="21"/>
  <c r="EW424" i="21"/>
  <c r="EX424" i="21" s="1"/>
  <c r="DN426" i="21"/>
  <c r="EM426" i="21"/>
  <c r="EP426" i="21" s="1"/>
  <c r="EQ426" i="21" s="1"/>
  <c r="DU427" i="21"/>
  <c r="AV427" i="21"/>
  <c r="AW427" i="21" s="1"/>
  <c r="AP429" i="21"/>
  <c r="AT428" i="21"/>
  <c r="AQ428" i="21"/>
  <c r="ER425" i="21"/>
  <c r="ES425" i="21"/>
  <c r="DP425" i="21"/>
  <c r="DO425" i="21"/>
  <c r="CY422" i="21"/>
  <c r="AD422" i="21"/>
  <c r="FK422" i="21"/>
  <c r="FM422" i="21" s="1"/>
  <c r="DS421" i="20"/>
  <c r="CQ421" i="20"/>
  <c r="AP427" i="20"/>
  <c r="AT426" i="20"/>
  <c r="AQ426" i="20"/>
  <c r="DU425" i="20"/>
  <c r="AV425" i="20"/>
  <c r="AW425" i="20" s="1"/>
  <c r="DN424" i="20"/>
  <c r="EM424" i="20"/>
  <c r="EP424" i="20" s="1"/>
  <c r="EQ424" i="20" s="1"/>
  <c r="DQ422" i="20"/>
  <c r="DR422" i="20" s="1"/>
  <c r="DO423" i="20"/>
  <c r="DP423" i="20"/>
  <c r="EW422" i="20"/>
  <c r="EX422" i="20" s="1"/>
  <c r="FK420" i="20"/>
  <c r="FM420" i="20" s="1"/>
  <c r="AD420" i="20"/>
  <c r="DE420" i="20"/>
  <c r="ES423" i="20"/>
  <c r="ER423" i="20"/>
  <c r="AU425" i="20"/>
  <c r="AR425" i="20"/>
  <c r="EQ425" i="5"/>
  <c r="ER425" i="5" s="1"/>
  <c r="AO428" i="5"/>
  <c r="AL428" i="5"/>
  <c r="DO428" i="5"/>
  <c r="AP428" i="5"/>
  <c r="AQ428" i="5" s="1"/>
  <c r="AN429" i="5"/>
  <c r="AK429" i="5"/>
  <c r="EM426" i="5"/>
  <c r="EL426" i="5"/>
  <c r="DM424" i="5"/>
  <c r="CK424" i="5"/>
  <c r="DJ426" i="5"/>
  <c r="DI426" i="5"/>
  <c r="DK425" i="5"/>
  <c r="DL425" i="5" s="1"/>
  <c r="CS423" i="5"/>
  <c r="FE423" i="5"/>
  <c r="FG423" i="5" s="1"/>
  <c r="DH427" i="5"/>
  <c r="EG427" i="5"/>
  <c r="EJ427" i="5" s="1"/>
  <c r="EK427" i="5" s="1"/>
  <c r="X422" i="5"/>
  <c r="AJ430" i="5"/>
  <c r="X423" i="5"/>
  <c r="DS424" i="21" l="1"/>
  <c r="CQ424" i="21"/>
  <c r="AU428" i="21"/>
  <c r="AR428" i="21"/>
  <c r="DN427" i="21"/>
  <c r="EM427" i="21"/>
  <c r="EP427" i="21" s="1"/>
  <c r="EQ427" i="21" s="1"/>
  <c r="DU428" i="21"/>
  <c r="AV428" i="21"/>
  <c r="AW428" i="21" s="1"/>
  <c r="DQ425" i="21"/>
  <c r="DR425" i="21" s="1"/>
  <c r="DP426" i="21"/>
  <c r="DO426" i="21"/>
  <c r="AT429" i="21"/>
  <c r="AP430" i="21"/>
  <c r="AQ429" i="21"/>
  <c r="ES426" i="21"/>
  <c r="ER426" i="21"/>
  <c r="CY423" i="21"/>
  <c r="AD423" i="21"/>
  <c r="FK423" i="21"/>
  <c r="FM423" i="21" s="1"/>
  <c r="EW425" i="21"/>
  <c r="EX425" i="21" s="1"/>
  <c r="CQ422" i="20"/>
  <c r="DS422" i="20"/>
  <c r="DN425" i="20"/>
  <c r="EM425" i="20"/>
  <c r="EP425" i="20" s="1"/>
  <c r="EQ425" i="20" s="1"/>
  <c r="AU426" i="20"/>
  <c r="AR426" i="20"/>
  <c r="DU426" i="20"/>
  <c r="AV426" i="20"/>
  <c r="AW426" i="20" s="1"/>
  <c r="DQ423" i="20"/>
  <c r="DR423" i="20" s="1"/>
  <c r="AP428" i="20"/>
  <c r="AT427" i="20"/>
  <c r="AQ427" i="20"/>
  <c r="DO424" i="20"/>
  <c r="DP424" i="20"/>
  <c r="FK421" i="20"/>
  <c r="FM421" i="20" s="1"/>
  <c r="AD421" i="20"/>
  <c r="DE421" i="20"/>
  <c r="EW423" i="20"/>
  <c r="EX423" i="20" s="1"/>
  <c r="ES424" i="20"/>
  <c r="ER424" i="20"/>
  <c r="DM425" i="5"/>
  <c r="CK425" i="5"/>
  <c r="AO429" i="5"/>
  <c r="AL429" i="5"/>
  <c r="DK426" i="5"/>
  <c r="DL426" i="5" s="1"/>
  <c r="AN430" i="5"/>
  <c r="AK430" i="5"/>
  <c r="DO429" i="5"/>
  <c r="AP429" i="5"/>
  <c r="AQ429" i="5" s="1"/>
  <c r="EL427" i="5"/>
  <c r="EM427" i="5"/>
  <c r="FE424" i="5"/>
  <c r="FG424" i="5" s="1"/>
  <c r="CY424" i="5"/>
  <c r="DH428" i="5"/>
  <c r="EG428" i="5"/>
  <c r="EJ428" i="5" s="1"/>
  <c r="EK428" i="5" s="1"/>
  <c r="DJ427" i="5"/>
  <c r="DI427" i="5"/>
  <c r="EQ426" i="5"/>
  <c r="ER426" i="5" s="1"/>
  <c r="X424" i="5"/>
  <c r="AJ431" i="5"/>
  <c r="DS425" i="21" l="1"/>
  <c r="CQ425" i="21"/>
  <c r="EW426" i="21"/>
  <c r="EX426" i="21" s="1"/>
  <c r="DU429" i="21"/>
  <c r="AV429" i="21"/>
  <c r="AW429" i="21" s="1"/>
  <c r="AP431" i="21"/>
  <c r="AT430" i="21"/>
  <c r="AQ430" i="21"/>
  <c r="DN428" i="21"/>
  <c r="EM428" i="21"/>
  <c r="EP428" i="21" s="1"/>
  <c r="EQ428" i="21" s="1"/>
  <c r="DQ426" i="21"/>
  <c r="DR426" i="21" s="1"/>
  <c r="AD424" i="21"/>
  <c r="FK424" i="21"/>
  <c r="FM424" i="21" s="1"/>
  <c r="DE424" i="21"/>
  <c r="AR429" i="21"/>
  <c r="AU429" i="21"/>
  <c r="ER427" i="21"/>
  <c r="ES427" i="21"/>
  <c r="DP427" i="21"/>
  <c r="DO427" i="21"/>
  <c r="CQ423" i="20"/>
  <c r="DS423" i="20"/>
  <c r="DQ424" i="20"/>
  <c r="DR424" i="20" s="1"/>
  <c r="AU427" i="20"/>
  <c r="AR427" i="20"/>
  <c r="ES425" i="20"/>
  <c r="ER425" i="20"/>
  <c r="DU427" i="20"/>
  <c r="AV427" i="20"/>
  <c r="AW427" i="20" s="1"/>
  <c r="AT428" i="20"/>
  <c r="AP429" i="20"/>
  <c r="AQ428" i="20"/>
  <c r="DO425" i="20"/>
  <c r="DP425" i="20"/>
  <c r="EW424" i="20"/>
  <c r="EX424" i="20" s="1"/>
  <c r="DN426" i="20"/>
  <c r="EM426" i="20"/>
  <c r="EP426" i="20" s="1"/>
  <c r="EQ426" i="20" s="1"/>
  <c r="FK422" i="20"/>
  <c r="FM422" i="20" s="1"/>
  <c r="AD422" i="20"/>
  <c r="CY422" i="20"/>
  <c r="DM426" i="5"/>
  <c r="CK426" i="5"/>
  <c r="EL428" i="5"/>
  <c r="EM428" i="5"/>
  <c r="DO430" i="5"/>
  <c r="AP430" i="5"/>
  <c r="AQ430" i="5" s="1"/>
  <c r="DJ428" i="5"/>
  <c r="DI428" i="5"/>
  <c r="AN431" i="5"/>
  <c r="AK431" i="5"/>
  <c r="EQ427" i="5"/>
  <c r="ER427" i="5" s="1"/>
  <c r="AL430" i="5"/>
  <c r="AO430" i="5"/>
  <c r="DK427" i="5"/>
  <c r="DL427" i="5" s="1"/>
  <c r="FE425" i="5"/>
  <c r="FG425" i="5" s="1"/>
  <c r="CY425" i="5"/>
  <c r="DH429" i="5"/>
  <c r="EG429" i="5"/>
  <c r="EJ429" i="5" s="1"/>
  <c r="EK429" i="5" s="1"/>
  <c r="AJ432" i="5"/>
  <c r="X425" i="5"/>
  <c r="DS426" i="21" l="1"/>
  <c r="CQ426" i="21"/>
  <c r="DQ427" i="21"/>
  <c r="DR427" i="21" s="1"/>
  <c r="ES428" i="21"/>
  <c r="ER428" i="21"/>
  <c r="AP432" i="21"/>
  <c r="AT431" i="21"/>
  <c r="AQ431" i="21"/>
  <c r="DP428" i="21"/>
  <c r="DO428" i="21"/>
  <c r="DU430" i="21"/>
  <c r="AV430" i="21"/>
  <c r="AW430" i="21" s="1"/>
  <c r="AD425" i="21"/>
  <c r="FK425" i="21"/>
  <c r="FM425" i="21" s="1"/>
  <c r="DE425" i="21"/>
  <c r="EW427" i="21"/>
  <c r="EX427" i="21" s="1"/>
  <c r="AU430" i="21"/>
  <c r="AR430" i="21"/>
  <c r="DN429" i="21"/>
  <c r="EM429" i="21"/>
  <c r="EP429" i="21" s="1"/>
  <c r="EQ429" i="21" s="1"/>
  <c r="DS424" i="20"/>
  <c r="CQ424" i="20"/>
  <c r="EW425" i="20"/>
  <c r="EX425" i="20" s="1"/>
  <c r="DQ425" i="20"/>
  <c r="DR425" i="20" s="1"/>
  <c r="AU428" i="20"/>
  <c r="AR428" i="20"/>
  <c r="ES426" i="20"/>
  <c r="ER426" i="20"/>
  <c r="DU428" i="20"/>
  <c r="AV428" i="20"/>
  <c r="AW428" i="20" s="1"/>
  <c r="AP430" i="20"/>
  <c r="AT429" i="20"/>
  <c r="AQ429" i="20"/>
  <c r="DO426" i="20"/>
  <c r="DP426" i="20"/>
  <c r="DN427" i="20"/>
  <c r="EM427" i="20"/>
  <c r="EP427" i="20" s="1"/>
  <c r="EQ427" i="20" s="1"/>
  <c r="FK423" i="20"/>
  <c r="FM423" i="20" s="1"/>
  <c r="AD423" i="20"/>
  <c r="CY423" i="20"/>
  <c r="DK428" i="5"/>
  <c r="DL428" i="5" s="1"/>
  <c r="AN432" i="5"/>
  <c r="AK432" i="5"/>
  <c r="DH430" i="5"/>
  <c r="EG430" i="5"/>
  <c r="EJ430" i="5" s="1"/>
  <c r="EK430" i="5" s="1"/>
  <c r="EL429" i="5"/>
  <c r="EM429" i="5"/>
  <c r="EQ428" i="5"/>
  <c r="ER428" i="5" s="1"/>
  <c r="DM427" i="5"/>
  <c r="CK427" i="5"/>
  <c r="DI429" i="5"/>
  <c r="DJ429" i="5"/>
  <c r="AL431" i="5"/>
  <c r="AO431" i="5"/>
  <c r="FE426" i="5"/>
  <c r="FG426" i="5" s="1"/>
  <c r="CS426" i="5"/>
  <c r="DO431" i="5"/>
  <c r="AP431" i="5"/>
  <c r="AQ431" i="5" s="1"/>
  <c r="AJ433" i="5"/>
  <c r="X426" i="5"/>
  <c r="DS427" i="21" l="1"/>
  <c r="CQ427" i="21"/>
  <c r="DN430" i="21"/>
  <c r="EM430" i="21"/>
  <c r="EP430" i="21" s="1"/>
  <c r="EQ430" i="21" s="1"/>
  <c r="DP429" i="21"/>
  <c r="DO429" i="21"/>
  <c r="DQ428" i="21"/>
  <c r="DR428" i="21" s="1"/>
  <c r="ES429" i="21"/>
  <c r="ER429" i="21"/>
  <c r="EW428" i="21"/>
  <c r="EX428" i="21" s="1"/>
  <c r="DU431" i="21"/>
  <c r="AV431" i="21"/>
  <c r="AW431" i="21" s="1"/>
  <c r="AU431" i="21"/>
  <c r="AR431" i="21"/>
  <c r="FK426" i="21"/>
  <c r="FM426" i="21" s="1"/>
  <c r="CY426" i="21"/>
  <c r="AD426" i="21"/>
  <c r="AP433" i="21"/>
  <c r="AT432" i="21"/>
  <c r="AQ432" i="21"/>
  <c r="DS425" i="20"/>
  <c r="CQ425" i="20"/>
  <c r="DU429" i="20"/>
  <c r="AV429" i="20"/>
  <c r="AW429" i="20" s="1"/>
  <c r="AP431" i="20"/>
  <c r="AT430" i="20"/>
  <c r="AQ430" i="20"/>
  <c r="AU429" i="20"/>
  <c r="AR429" i="20"/>
  <c r="ES427" i="20"/>
  <c r="ER427" i="20"/>
  <c r="DN428" i="20"/>
  <c r="EM428" i="20"/>
  <c r="EP428" i="20" s="1"/>
  <c r="EQ428" i="20" s="1"/>
  <c r="DO427" i="20"/>
  <c r="DP427" i="20"/>
  <c r="EW426" i="20"/>
  <c r="EX426" i="20" s="1"/>
  <c r="DE424" i="20"/>
  <c r="FK424" i="20"/>
  <c r="FM424" i="20" s="1"/>
  <c r="AD424" i="20"/>
  <c r="DQ426" i="20"/>
  <c r="DR426" i="20" s="1"/>
  <c r="DM428" i="5"/>
  <c r="CK428" i="5"/>
  <c r="EM430" i="5"/>
  <c r="EL430" i="5"/>
  <c r="DK429" i="5"/>
  <c r="DL429" i="5" s="1"/>
  <c r="AN433" i="5"/>
  <c r="AK433" i="5"/>
  <c r="DJ430" i="5"/>
  <c r="DI430" i="5"/>
  <c r="CS427" i="5"/>
  <c r="FE427" i="5"/>
  <c r="FG427" i="5" s="1"/>
  <c r="AL432" i="5"/>
  <c r="AO432" i="5"/>
  <c r="DH431" i="5"/>
  <c r="EG431" i="5"/>
  <c r="EJ431" i="5" s="1"/>
  <c r="EK431" i="5" s="1"/>
  <c r="DO432" i="5"/>
  <c r="AP432" i="5"/>
  <c r="AQ432" i="5" s="1"/>
  <c r="EQ429" i="5"/>
  <c r="ER429" i="5" s="1"/>
  <c r="AJ434" i="5"/>
  <c r="X427" i="5"/>
  <c r="DS428" i="21" l="1"/>
  <c r="CQ428" i="21"/>
  <c r="DU432" i="21"/>
  <c r="AV432" i="21"/>
  <c r="AW432" i="21" s="1"/>
  <c r="EW429" i="21"/>
  <c r="EX429" i="21" s="1"/>
  <c r="ES430" i="21"/>
  <c r="ER430" i="21"/>
  <c r="AU432" i="21"/>
  <c r="AR432" i="21"/>
  <c r="DP430" i="21"/>
  <c r="DO430" i="21"/>
  <c r="DQ429" i="21"/>
  <c r="DR429" i="21" s="1"/>
  <c r="DE427" i="21"/>
  <c r="FK427" i="21"/>
  <c r="FM427" i="21" s="1"/>
  <c r="AD427" i="21"/>
  <c r="AT433" i="21"/>
  <c r="AP434" i="21"/>
  <c r="AQ433" i="21"/>
  <c r="DN431" i="21"/>
  <c r="EM431" i="21"/>
  <c r="EP431" i="21" s="1"/>
  <c r="EQ431" i="21" s="1"/>
  <c r="DS426" i="20"/>
  <c r="CQ426" i="20"/>
  <c r="DQ427" i="20"/>
  <c r="DR427" i="20" s="1"/>
  <c r="ES428" i="20"/>
  <c r="ER428" i="20"/>
  <c r="AP432" i="20"/>
  <c r="AT431" i="20"/>
  <c r="AQ431" i="20"/>
  <c r="AU430" i="20"/>
  <c r="AR430" i="20"/>
  <c r="DU430" i="20"/>
  <c r="AV430" i="20"/>
  <c r="AW430" i="20" s="1"/>
  <c r="DO428" i="20"/>
  <c r="DP428" i="20"/>
  <c r="EW427" i="20"/>
  <c r="EX427" i="20" s="1"/>
  <c r="DN429" i="20"/>
  <c r="EM429" i="20"/>
  <c r="EP429" i="20" s="1"/>
  <c r="EQ429" i="20" s="1"/>
  <c r="DE425" i="20"/>
  <c r="FK425" i="20"/>
  <c r="FM425" i="20" s="1"/>
  <c r="AD425" i="20"/>
  <c r="DM429" i="5"/>
  <c r="CK429" i="5"/>
  <c r="AO433" i="5"/>
  <c r="AL433" i="5"/>
  <c r="EQ430" i="5"/>
  <c r="ER430" i="5" s="1"/>
  <c r="EM431" i="5"/>
  <c r="EL431" i="5"/>
  <c r="DI431" i="5"/>
  <c r="DJ431" i="5"/>
  <c r="AN434" i="5"/>
  <c r="AK434" i="5"/>
  <c r="DK430" i="5"/>
  <c r="DL430" i="5" s="1"/>
  <c r="DO433" i="5"/>
  <c r="AP433" i="5"/>
  <c r="AQ433" i="5" s="1"/>
  <c r="CY428" i="5"/>
  <c r="FE428" i="5"/>
  <c r="FG428" i="5" s="1"/>
  <c r="DH432" i="5"/>
  <c r="EG432" i="5"/>
  <c r="EJ432" i="5" s="1"/>
  <c r="EK432" i="5" s="1"/>
  <c r="X429" i="5"/>
  <c r="X428" i="5"/>
  <c r="AJ435" i="5"/>
  <c r="CQ429" i="21" l="1"/>
  <c r="DS429" i="21"/>
  <c r="AU433" i="21"/>
  <c r="AR433" i="21"/>
  <c r="DQ430" i="21"/>
  <c r="DR430" i="21" s="1"/>
  <c r="DU433" i="21"/>
  <c r="AV433" i="21"/>
  <c r="AW433" i="21" s="1"/>
  <c r="EW430" i="21"/>
  <c r="EX430" i="21" s="1"/>
  <c r="ES431" i="21"/>
  <c r="ER431" i="21"/>
  <c r="DO431" i="21"/>
  <c r="DP431" i="21"/>
  <c r="AP435" i="21"/>
  <c r="AT434" i="21"/>
  <c r="AQ434" i="21"/>
  <c r="DN432" i="21"/>
  <c r="EM432" i="21"/>
  <c r="EP432" i="21" s="1"/>
  <c r="EQ432" i="21" s="1"/>
  <c r="FK428" i="21"/>
  <c r="FM428" i="21" s="1"/>
  <c r="CY428" i="21"/>
  <c r="AD428" i="21"/>
  <c r="DS427" i="20"/>
  <c r="CQ427" i="20"/>
  <c r="DU431" i="20"/>
  <c r="AV431" i="20"/>
  <c r="AW431" i="20" s="1"/>
  <c r="EW428" i="20"/>
  <c r="EX428" i="20" s="1"/>
  <c r="AP433" i="20"/>
  <c r="AT432" i="20"/>
  <c r="AQ432" i="20"/>
  <c r="DQ428" i="20"/>
  <c r="DR428" i="20" s="1"/>
  <c r="ES429" i="20"/>
  <c r="ER429" i="20"/>
  <c r="DN430" i="20"/>
  <c r="EM430" i="20"/>
  <c r="EP430" i="20" s="1"/>
  <c r="EQ430" i="20" s="1"/>
  <c r="DO429" i="20"/>
  <c r="DP429" i="20"/>
  <c r="CY426" i="20"/>
  <c r="AD426" i="20"/>
  <c r="FK426" i="20"/>
  <c r="FM426" i="20" s="1"/>
  <c r="AU431" i="20"/>
  <c r="AR431" i="20"/>
  <c r="DM430" i="5"/>
  <c r="CK430" i="5"/>
  <c r="DH433" i="5"/>
  <c r="EG433" i="5"/>
  <c r="EJ433" i="5" s="1"/>
  <c r="EK433" i="5" s="1"/>
  <c r="AN435" i="5"/>
  <c r="AK435" i="5"/>
  <c r="EL432" i="5"/>
  <c r="EM432" i="5"/>
  <c r="AL434" i="5"/>
  <c r="AO434" i="5"/>
  <c r="DO434" i="5"/>
  <c r="AP434" i="5"/>
  <c r="AQ434" i="5" s="1"/>
  <c r="EQ431" i="5"/>
  <c r="ER431" i="5" s="1"/>
  <c r="DJ432" i="5"/>
  <c r="DI432" i="5"/>
  <c r="FE429" i="5"/>
  <c r="FG429" i="5" s="1"/>
  <c r="CY429" i="5"/>
  <c r="DK431" i="5"/>
  <c r="DL431" i="5" s="1"/>
  <c r="AJ436" i="5"/>
  <c r="DS430" i="21" l="1"/>
  <c r="CQ430" i="21"/>
  <c r="DP432" i="21"/>
  <c r="DO432" i="21"/>
  <c r="DN433" i="21"/>
  <c r="EM433" i="21"/>
  <c r="EP433" i="21" s="1"/>
  <c r="EQ433" i="21" s="1"/>
  <c r="AR434" i="21"/>
  <c r="AU434" i="21"/>
  <c r="AT435" i="21"/>
  <c r="AP436" i="21"/>
  <c r="AQ435" i="21"/>
  <c r="ES432" i="21"/>
  <c r="ER432" i="21"/>
  <c r="DQ431" i="21"/>
  <c r="DR431" i="21" s="1"/>
  <c r="DU434" i="21"/>
  <c r="AV434" i="21"/>
  <c r="AW434" i="21" s="1"/>
  <c r="EW431" i="21"/>
  <c r="EX431" i="21" s="1"/>
  <c r="DE429" i="21"/>
  <c r="AD429" i="21"/>
  <c r="FK429" i="21"/>
  <c r="FM429" i="21" s="1"/>
  <c r="DS428" i="20"/>
  <c r="CQ428" i="20"/>
  <c r="AT433" i="20"/>
  <c r="AP434" i="20"/>
  <c r="AQ433" i="20"/>
  <c r="EW429" i="20"/>
  <c r="EX429" i="20" s="1"/>
  <c r="DQ429" i="20"/>
  <c r="DR429" i="20" s="1"/>
  <c r="ES430" i="20"/>
  <c r="ER430" i="20"/>
  <c r="DN431" i="20"/>
  <c r="EM431" i="20"/>
  <c r="EP431" i="20" s="1"/>
  <c r="EQ431" i="20" s="1"/>
  <c r="DU432" i="20"/>
  <c r="AV432" i="20"/>
  <c r="AW432" i="20" s="1"/>
  <c r="FK427" i="20"/>
  <c r="FM427" i="20" s="1"/>
  <c r="AD427" i="20"/>
  <c r="DE427" i="20"/>
  <c r="DO430" i="20"/>
  <c r="DP430" i="20"/>
  <c r="AU432" i="20"/>
  <c r="AR432" i="20"/>
  <c r="DM431" i="5"/>
  <c r="CK431" i="5"/>
  <c r="AL435" i="5"/>
  <c r="AO435" i="5"/>
  <c r="EQ432" i="5"/>
  <c r="ER432" i="5" s="1"/>
  <c r="AN436" i="5"/>
  <c r="AK436" i="5"/>
  <c r="EL433" i="5"/>
  <c r="EM433" i="5"/>
  <c r="DJ433" i="5"/>
  <c r="DI433" i="5"/>
  <c r="DK432" i="5"/>
  <c r="DL432" i="5" s="1"/>
  <c r="DH434" i="5"/>
  <c r="EG434" i="5"/>
  <c r="EJ434" i="5" s="1"/>
  <c r="EK434" i="5" s="1"/>
  <c r="FE430" i="5"/>
  <c r="FG430" i="5" s="1"/>
  <c r="CS430" i="5"/>
  <c r="DO435" i="5"/>
  <c r="AP435" i="5"/>
  <c r="AQ435" i="5" s="1"/>
  <c r="X430" i="5"/>
  <c r="AJ437" i="5"/>
  <c r="DS431" i="21" l="1"/>
  <c r="CQ431" i="21"/>
  <c r="DN434" i="21"/>
  <c r="EM434" i="21"/>
  <c r="EP434" i="21" s="1"/>
  <c r="EQ434" i="21" s="1"/>
  <c r="AP437" i="21"/>
  <c r="AT436" i="21"/>
  <c r="AQ436" i="21"/>
  <c r="DU435" i="21"/>
  <c r="AV435" i="21"/>
  <c r="AW435" i="21" s="1"/>
  <c r="ES433" i="21"/>
  <c r="ER433" i="21"/>
  <c r="DO433" i="21"/>
  <c r="DP433" i="21"/>
  <c r="DQ432" i="21"/>
  <c r="DR432" i="21" s="1"/>
  <c r="AR435" i="21"/>
  <c r="AU435" i="21"/>
  <c r="CY430" i="21"/>
  <c r="FK430" i="21"/>
  <c r="FM430" i="21" s="1"/>
  <c r="AD430" i="21"/>
  <c r="EW432" i="21"/>
  <c r="EX432" i="21" s="1"/>
  <c r="ES431" i="20"/>
  <c r="ER431" i="20"/>
  <c r="AU433" i="20"/>
  <c r="AR433" i="20"/>
  <c r="DS429" i="20"/>
  <c r="CQ429" i="20"/>
  <c r="DO431" i="20"/>
  <c r="DP431" i="20"/>
  <c r="AP435" i="20"/>
  <c r="AT434" i="20"/>
  <c r="AQ434" i="20"/>
  <c r="DN432" i="20"/>
  <c r="EM432" i="20"/>
  <c r="EP432" i="20" s="1"/>
  <c r="EQ432" i="20" s="1"/>
  <c r="DQ430" i="20"/>
  <c r="DR430" i="20" s="1"/>
  <c r="DU433" i="20"/>
  <c r="AV433" i="20"/>
  <c r="AW433" i="20" s="1"/>
  <c r="EW430" i="20"/>
  <c r="EX430" i="20" s="1"/>
  <c r="FK428" i="20"/>
  <c r="FM428" i="20" s="1"/>
  <c r="AD428" i="20"/>
  <c r="CY428" i="20"/>
  <c r="DM432" i="5"/>
  <c r="CK432" i="5"/>
  <c r="DO436" i="5"/>
  <c r="AP436" i="5"/>
  <c r="AQ436" i="5" s="1"/>
  <c r="DK433" i="5"/>
  <c r="DL433" i="5" s="1"/>
  <c r="AL436" i="5"/>
  <c r="AO436" i="5"/>
  <c r="DJ434" i="5"/>
  <c r="DI434" i="5"/>
  <c r="AN437" i="5"/>
  <c r="AK437" i="5"/>
  <c r="DH435" i="5"/>
  <c r="EG435" i="5"/>
  <c r="EJ435" i="5" s="1"/>
  <c r="EK435" i="5" s="1"/>
  <c r="EM434" i="5"/>
  <c r="EL434" i="5"/>
  <c r="FE431" i="5"/>
  <c r="FG431" i="5" s="1"/>
  <c r="CY431" i="5"/>
  <c r="EQ433" i="5"/>
  <c r="ER433" i="5" s="1"/>
  <c r="X431" i="5"/>
  <c r="AJ438" i="5"/>
  <c r="DS432" i="21" l="1"/>
  <c r="CQ432" i="21"/>
  <c r="DU436" i="21"/>
  <c r="AV436" i="21"/>
  <c r="AW436" i="21" s="1"/>
  <c r="DQ433" i="21"/>
  <c r="DR433" i="21" s="1"/>
  <c r="AT437" i="21"/>
  <c r="AP438" i="21"/>
  <c r="AQ437" i="21"/>
  <c r="ES434" i="21"/>
  <c r="ER434" i="21"/>
  <c r="DP434" i="21"/>
  <c r="DO434" i="21"/>
  <c r="AR436" i="21"/>
  <c r="AU436" i="21"/>
  <c r="DE431" i="21"/>
  <c r="FK431" i="21"/>
  <c r="FM431" i="21" s="1"/>
  <c r="AD431" i="21"/>
  <c r="EW433" i="21"/>
  <c r="EX433" i="21" s="1"/>
  <c r="DN435" i="21"/>
  <c r="EM435" i="21"/>
  <c r="EP435" i="21" s="1"/>
  <c r="EQ435" i="21" s="1"/>
  <c r="DS430" i="20"/>
  <c r="CQ430" i="20"/>
  <c r="DE429" i="20"/>
  <c r="AD429" i="20"/>
  <c r="FK429" i="20"/>
  <c r="FM429" i="20" s="1"/>
  <c r="ER432" i="20"/>
  <c r="ES432" i="20"/>
  <c r="DN433" i="20"/>
  <c r="EM433" i="20"/>
  <c r="EP433" i="20" s="1"/>
  <c r="EQ433" i="20" s="1"/>
  <c r="DO432" i="20"/>
  <c r="DP432" i="20"/>
  <c r="AU434" i="20"/>
  <c r="AR434" i="20"/>
  <c r="DQ431" i="20"/>
  <c r="DR431" i="20" s="1"/>
  <c r="DU434" i="20"/>
  <c r="AV434" i="20"/>
  <c r="AW434" i="20" s="1"/>
  <c r="EW431" i="20"/>
  <c r="EX431" i="20" s="1"/>
  <c r="AP436" i="20"/>
  <c r="AT435" i="20"/>
  <c r="AQ435" i="20"/>
  <c r="DM433" i="5"/>
  <c r="CK433" i="5"/>
  <c r="DI435" i="5"/>
  <c r="DJ435" i="5"/>
  <c r="EL435" i="5"/>
  <c r="EM435" i="5"/>
  <c r="AO437" i="5"/>
  <c r="AL437" i="5"/>
  <c r="EQ434" i="5"/>
  <c r="ER434" i="5" s="1"/>
  <c r="AN438" i="5"/>
  <c r="AK438" i="5"/>
  <c r="DO437" i="5"/>
  <c r="AP437" i="5"/>
  <c r="AQ437" i="5" s="1"/>
  <c r="DH436" i="5"/>
  <c r="EG436" i="5"/>
  <c r="EJ436" i="5" s="1"/>
  <c r="EK436" i="5" s="1"/>
  <c r="DK434" i="5"/>
  <c r="DL434" i="5" s="1"/>
  <c r="CS432" i="5"/>
  <c r="FE432" i="5"/>
  <c r="FG432" i="5" s="1"/>
  <c r="AJ439" i="5"/>
  <c r="X432" i="5"/>
  <c r="DS433" i="21" l="1"/>
  <c r="CQ433" i="21"/>
  <c r="ES435" i="21"/>
  <c r="ER435" i="21"/>
  <c r="EW434" i="21"/>
  <c r="EX434" i="21" s="1"/>
  <c r="DQ434" i="21"/>
  <c r="DR434" i="21" s="1"/>
  <c r="DU437" i="21"/>
  <c r="AV437" i="21"/>
  <c r="AW437" i="21" s="1"/>
  <c r="DN436" i="21"/>
  <c r="EM436" i="21"/>
  <c r="EP436" i="21" s="1"/>
  <c r="EQ436" i="21" s="1"/>
  <c r="AP439" i="21"/>
  <c r="AT438" i="21"/>
  <c r="AQ438" i="21"/>
  <c r="FK432" i="21"/>
  <c r="FM432" i="21" s="1"/>
  <c r="AD432" i="21"/>
  <c r="CY432" i="21"/>
  <c r="DP435" i="21"/>
  <c r="DO435" i="21"/>
  <c r="AR437" i="21"/>
  <c r="AU437" i="21"/>
  <c r="DS431" i="20"/>
  <c r="CQ431" i="20"/>
  <c r="DP433" i="20"/>
  <c r="DO433" i="20"/>
  <c r="EW432" i="20"/>
  <c r="EX432" i="20" s="1"/>
  <c r="DU435" i="20"/>
  <c r="AV435" i="20"/>
  <c r="AW435" i="20" s="1"/>
  <c r="AP437" i="20"/>
  <c r="AT436" i="20"/>
  <c r="AQ436" i="20"/>
  <c r="DQ432" i="20"/>
  <c r="DR432" i="20" s="1"/>
  <c r="FK430" i="20"/>
  <c r="FM430" i="20" s="1"/>
  <c r="CY430" i="20"/>
  <c r="AD430" i="20"/>
  <c r="DN434" i="20"/>
  <c r="EM434" i="20"/>
  <c r="EP434" i="20" s="1"/>
  <c r="EQ434" i="20" s="1"/>
  <c r="AU435" i="20"/>
  <c r="AR435" i="20"/>
  <c r="ES433" i="20"/>
  <c r="ER433" i="20"/>
  <c r="DM434" i="5"/>
  <c r="CK434" i="5"/>
  <c r="DH437" i="5"/>
  <c r="EG437" i="5"/>
  <c r="EJ437" i="5" s="1"/>
  <c r="EK437" i="5" s="1"/>
  <c r="EQ435" i="5"/>
  <c r="ER435" i="5" s="1"/>
  <c r="AL438" i="5"/>
  <c r="AO438" i="5"/>
  <c r="DO438" i="5"/>
  <c r="AP438" i="5"/>
  <c r="AQ438" i="5" s="1"/>
  <c r="DK435" i="5"/>
  <c r="DL435" i="5" s="1"/>
  <c r="EM436" i="5"/>
  <c r="EL436" i="5"/>
  <c r="FE433" i="5"/>
  <c r="FG433" i="5" s="1"/>
  <c r="CY433" i="5"/>
  <c r="DI436" i="5"/>
  <c r="DJ436" i="5"/>
  <c r="AN439" i="5"/>
  <c r="AK439" i="5"/>
  <c r="X433" i="5"/>
  <c r="AJ440" i="5"/>
  <c r="DS434" i="21" l="1"/>
  <c r="CQ434" i="21"/>
  <c r="AU438" i="21"/>
  <c r="AR438" i="21"/>
  <c r="ER436" i="21"/>
  <c r="ES436" i="21"/>
  <c r="EW435" i="21"/>
  <c r="EX435" i="21" s="1"/>
  <c r="DU438" i="21"/>
  <c r="AV438" i="21"/>
  <c r="AW438" i="21" s="1"/>
  <c r="DN437" i="21"/>
  <c r="EM437" i="21"/>
  <c r="EP437" i="21" s="1"/>
  <c r="EQ437" i="21" s="1"/>
  <c r="FK433" i="21"/>
  <c r="FM433" i="21" s="1"/>
  <c r="AD433" i="21"/>
  <c r="DE433" i="21"/>
  <c r="DQ435" i="21"/>
  <c r="DR435" i="21" s="1"/>
  <c r="AP440" i="21"/>
  <c r="AT439" i="21"/>
  <c r="AQ439" i="21"/>
  <c r="DO436" i="21"/>
  <c r="DP436" i="21"/>
  <c r="DS432" i="20"/>
  <c r="CQ432" i="20"/>
  <c r="DN435" i="20"/>
  <c r="EM435" i="20"/>
  <c r="EP435" i="20" s="1"/>
  <c r="EQ435" i="20" s="1"/>
  <c r="DQ433" i="20"/>
  <c r="DR433" i="20" s="1"/>
  <c r="EW433" i="20"/>
  <c r="EX433" i="20" s="1"/>
  <c r="AR436" i="20"/>
  <c r="AU436" i="20"/>
  <c r="DU436" i="20"/>
  <c r="AV436" i="20"/>
  <c r="AW436" i="20" s="1"/>
  <c r="DE431" i="20"/>
  <c r="FK431" i="20"/>
  <c r="FM431" i="20" s="1"/>
  <c r="AD431" i="20"/>
  <c r="ER434" i="20"/>
  <c r="ES434" i="20"/>
  <c r="DP434" i="20"/>
  <c r="DO434" i="20"/>
  <c r="AP438" i="20"/>
  <c r="AT437" i="20"/>
  <c r="AQ437" i="20"/>
  <c r="DM435" i="5"/>
  <c r="CK435" i="5"/>
  <c r="EL437" i="5"/>
  <c r="EM437" i="5"/>
  <c r="EQ436" i="5"/>
  <c r="ER436" i="5" s="1"/>
  <c r="AL439" i="5"/>
  <c r="AO439" i="5"/>
  <c r="DJ437" i="5"/>
  <c r="DI437" i="5"/>
  <c r="AN440" i="5"/>
  <c r="AK440" i="5"/>
  <c r="FE434" i="5"/>
  <c r="FG434" i="5" s="1"/>
  <c r="CS434" i="5"/>
  <c r="DO439" i="5"/>
  <c r="AP439" i="5"/>
  <c r="AQ439" i="5" s="1"/>
  <c r="DK436" i="5"/>
  <c r="DL436" i="5" s="1"/>
  <c r="DH438" i="5"/>
  <c r="EG438" i="5"/>
  <c r="EJ438" i="5" s="1"/>
  <c r="EK438" i="5" s="1"/>
  <c r="X434" i="5"/>
  <c r="AJ441" i="5"/>
  <c r="DS435" i="21" l="1"/>
  <c r="CQ435" i="21"/>
  <c r="DQ436" i="21"/>
  <c r="DR436" i="21" s="1"/>
  <c r="DU439" i="21"/>
  <c r="AV439" i="21"/>
  <c r="AW439" i="21" s="1"/>
  <c r="AT440" i="21"/>
  <c r="AP441" i="21"/>
  <c r="AQ440" i="21"/>
  <c r="EW436" i="21"/>
  <c r="EX436" i="21" s="1"/>
  <c r="DP437" i="21"/>
  <c r="DO437" i="21"/>
  <c r="AU439" i="21"/>
  <c r="AR439" i="21"/>
  <c r="DN438" i="21"/>
  <c r="EM438" i="21"/>
  <c r="EP438" i="21" s="1"/>
  <c r="EQ438" i="21" s="1"/>
  <c r="FK434" i="21"/>
  <c r="FM434" i="21" s="1"/>
  <c r="AD434" i="21"/>
  <c r="CY434" i="21"/>
  <c r="ES437" i="21"/>
  <c r="ER437" i="21"/>
  <c r="DS433" i="20"/>
  <c r="CQ433" i="20"/>
  <c r="EW434" i="20"/>
  <c r="EX434" i="20" s="1"/>
  <c r="AR437" i="20"/>
  <c r="AU437" i="20"/>
  <c r="DU437" i="20"/>
  <c r="AV437" i="20"/>
  <c r="AW437" i="20" s="1"/>
  <c r="ER435" i="20"/>
  <c r="ES435" i="20"/>
  <c r="AT438" i="20"/>
  <c r="AP439" i="20"/>
  <c r="AQ438" i="20"/>
  <c r="DQ434" i="20"/>
  <c r="DR434" i="20" s="1"/>
  <c r="DN436" i="20"/>
  <c r="EM436" i="20"/>
  <c r="EP436" i="20" s="1"/>
  <c r="EQ436" i="20" s="1"/>
  <c r="DO435" i="20"/>
  <c r="DP435" i="20"/>
  <c r="FK432" i="20"/>
  <c r="FM432" i="20" s="1"/>
  <c r="CY432" i="20"/>
  <c r="AD432" i="20"/>
  <c r="DM436" i="5"/>
  <c r="CK436" i="5"/>
  <c r="AN441" i="5"/>
  <c r="AK441" i="5"/>
  <c r="EM438" i="5"/>
  <c r="EL438" i="5"/>
  <c r="AL440" i="5"/>
  <c r="AO440" i="5"/>
  <c r="DH439" i="5"/>
  <c r="EG439" i="5"/>
  <c r="EJ439" i="5" s="1"/>
  <c r="EK439" i="5" s="1"/>
  <c r="DO440" i="5"/>
  <c r="AP440" i="5"/>
  <c r="AQ440" i="5" s="1"/>
  <c r="EQ437" i="5"/>
  <c r="ER437" i="5" s="1"/>
  <c r="FE435" i="5"/>
  <c r="FG435" i="5" s="1"/>
  <c r="CY435" i="5"/>
  <c r="DJ438" i="5"/>
  <c r="DI438" i="5"/>
  <c r="DK437" i="5"/>
  <c r="DL437" i="5" s="1"/>
  <c r="AJ442" i="5"/>
  <c r="X435" i="5"/>
  <c r="DS436" i="21" l="1"/>
  <c r="CQ436" i="21"/>
  <c r="ES438" i="21"/>
  <c r="ER438" i="21"/>
  <c r="DN439" i="21"/>
  <c r="EM439" i="21"/>
  <c r="EP439" i="21" s="1"/>
  <c r="EQ439" i="21" s="1"/>
  <c r="EW437" i="21"/>
  <c r="EX437" i="21" s="1"/>
  <c r="DO438" i="21"/>
  <c r="DP438" i="21"/>
  <c r="AT441" i="21"/>
  <c r="AP442" i="21"/>
  <c r="AQ441" i="21"/>
  <c r="DQ437" i="21"/>
  <c r="DR437" i="21" s="1"/>
  <c r="DU440" i="21"/>
  <c r="AV440" i="21"/>
  <c r="AW440" i="21" s="1"/>
  <c r="CY435" i="21"/>
  <c r="AD435" i="21"/>
  <c r="FK435" i="21"/>
  <c r="FM435" i="21" s="1"/>
  <c r="AU440" i="21"/>
  <c r="AR440" i="21"/>
  <c r="DS434" i="20"/>
  <c r="CQ434" i="20"/>
  <c r="AR438" i="20"/>
  <c r="AU438" i="20"/>
  <c r="DU438" i="20"/>
  <c r="AV438" i="20"/>
  <c r="AW438" i="20" s="1"/>
  <c r="DP436" i="20"/>
  <c r="DO436" i="20"/>
  <c r="DQ435" i="20"/>
  <c r="DR435" i="20" s="1"/>
  <c r="DE433" i="20"/>
  <c r="FK433" i="20"/>
  <c r="FM433" i="20" s="1"/>
  <c r="AD433" i="20"/>
  <c r="DN437" i="20"/>
  <c r="EM437" i="20"/>
  <c r="EP437" i="20" s="1"/>
  <c r="EQ437" i="20" s="1"/>
  <c r="AP440" i="20"/>
  <c r="AT439" i="20"/>
  <c r="AQ439" i="20"/>
  <c r="ES436" i="20"/>
  <c r="ER436" i="20"/>
  <c r="EW435" i="20"/>
  <c r="EX435" i="20" s="1"/>
  <c r="DM437" i="5"/>
  <c r="CK437" i="5"/>
  <c r="AN442" i="5"/>
  <c r="AK442" i="5"/>
  <c r="EQ438" i="5"/>
  <c r="ER438" i="5" s="1"/>
  <c r="AL441" i="5"/>
  <c r="AO441" i="5"/>
  <c r="DO441" i="5"/>
  <c r="AP441" i="5"/>
  <c r="AQ441" i="5" s="1"/>
  <c r="DH440" i="5"/>
  <c r="EG440" i="5"/>
  <c r="EJ440" i="5" s="1"/>
  <c r="EK440" i="5" s="1"/>
  <c r="DK438" i="5"/>
  <c r="DL438" i="5" s="1"/>
  <c r="EM439" i="5"/>
  <c r="EL439" i="5"/>
  <c r="CS436" i="5"/>
  <c r="FE436" i="5"/>
  <c r="FG436" i="5" s="1"/>
  <c r="DI439" i="5"/>
  <c r="DJ439" i="5"/>
  <c r="AJ443" i="5"/>
  <c r="X436" i="5"/>
  <c r="DS437" i="21" l="1"/>
  <c r="CQ437" i="21"/>
  <c r="DU441" i="21"/>
  <c r="AV441" i="21"/>
  <c r="AW441" i="21" s="1"/>
  <c r="DQ438" i="21"/>
  <c r="DR438" i="21" s="1"/>
  <c r="EW438" i="21"/>
  <c r="EX438" i="21" s="1"/>
  <c r="DN440" i="21"/>
  <c r="EM440" i="21"/>
  <c r="EP440" i="21" s="1"/>
  <c r="EQ440" i="21" s="1"/>
  <c r="AP443" i="21"/>
  <c r="AT442" i="21"/>
  <c r="AQ442" i="21"/>
  <c r="ER439" i="21"/>
  <c r="ES439" i="21"/>
  <c r="AD436" i="21"/>
  <c r="DE436" i="21"/>
  <c r="FK436" i="21"/>
  <c r="FM436" i="21" s="1"/>
  <c r="AR441" i="21"/>
  <c r="AU441" i="21"/>
  <c r="DP439" i="21"/>
  <c r="DO439" i="21"/>
  <c r="DS435" i="20"/>
  <c r="CQ435" i="20"/>
  <c r="DQ436" i="20"/>
  <c r="DR436" i="20" s="1"/>
  <c r="DN438" i="20"/>
  <c r="EM438" i="20"/>
  <c r="EP438" i="20" s="1"/>
  <c r="EQ438" i="20" s="1"/>
  <c r="ER437" i="20"/>
  <c r="ES437" i="20"/>
  <c r="EW436" i="20"/>
  <c r="EX436" i="20" s="1"/>
  <c r="AU439" i="20"/>
  <c r="AR439" i="20"/>
  <c r="FK434" i="20"/>
  <c r="FM434" i="20" s="1"/>
  <c r="AD434" i="20"/>
  <c r="CY434" i="20"/>
  <c r="AP441" i="20"/>
  <c r="AT440" i="20"/>
  <c r="AQ440" i="20"/>
  <c r="DP437" i="20"/>
  <c r="DO437" i="20"/>
  <c r="DU439" i="20"/>
  <c r="AV439" i="20"/>
  <c r="AW439" i="20" s="1"/>
  <c r="DM438" i="5"/>
  <c r="CK438" i="5"/>
  <c r="EQ439" i="5"/>
  <c r="ER439" i="5" s="1"/>
  <c r="EM440" i="5"/>
  <c r="EL440" i="5"/>
  <c r="AO442" i="5"/>
  <c r="AL442" i="5"/>
  <c r="DO442" i="5"/>
  <c r="AP442" i="5"/>
  <c r="AQ442" i="5" s="1"/>
  <c r="FE437" i="5"/>
  <c r="FG437" i="5" s="1"/>
  <c r="CY437" i="5"/>
  <c r="AN443" i="5"/>
  <c r="AK443" i="5"/>
  <c r="DK439" i="5"/>
  <c r="DL439" i="5" s="1"/>
  <c r="DI440" i="5"/>
  <c r="DJ440" i="5"/>
  <c r="DH441" i="5"/>
  <c r="EG441" i="5"/>
  <c r="EJ441" i="5" s="1"/>
  <c r="EK441" i="5" s="1"/>
  <c r="X437" i="5"/>
  <c r="AJ444" i="5"/>
  <c r="DS438" i="21" l="1"/>
  <c r="CQ438" i="21"/>
  <c r="DQ439" i="21"/>
  <c r="DR439" i="21" s="1"/>
  <c r="ES440" i="21"/>
  <c r="ER440" i="21"/>
  <c r="EW439" i="21"/>
  <c r="EX439" i="21" s="1"/>
  <c r="DP440" i="21"/>
  <c r="DO440" i="21"/>
  <c r="DN441" i="21"/>
  <c r="EM441" i="21"/>
  <c r="EP441" i="21" s="1"/>
  <c r="EQ441" i="21" s="1"/>
  <c r="DU442" i="21"/>
  <c r="AV442" i="21"/>
  <c r="AW442" i="21" s="1"/>
  <c r="FK437" i="21"/>
  <c r="FM437" i="21" s="1"/>
  <c r="AD437" i="21"/>
  <c r="DE437" i="21"/>
  <c r="AU442" i="21"/>
  <c r="AR442" i="21"/>
  <c r="AT443" i="21"/>
  <c r="AP444" i="21"/>
  <c r="AQ443" i="21"/>
  <c r="CQ436" i="20"/>
  <c r="DS436" i="20"/>
  <c r="ES438" i="20"/>
  <c r="ER438" i="20"/>
  <c r="DP438" i="20"/>
  <c r="DO438" i="20"/>
  <c r="DN439" i="20"/>
  <c r="EM439" i="20"/>
  <c r="EP439" i="20" s="1"/>
  <c r="EQ439" i="20" s="1"/>
  <c r="AP442" i="20"/>
  <c r="AT441" i="20"/>
  <c r="AQ441" i="20"/>
  <c r="DQ437" i="20"/>
  <c r="DR437" i="20" s="1"/>
  <c r="AR440" i="20"/>
  <c r="AU440" i="20"/>
  <c r="FK435" i="20"/>
  <c r="FM435" i="20" s="1"/>
  <c r="CY435" i="20"/>
  <c r="AD435" i="20"/>
  <c r="EW437" i="20"/>
  <c r="EX437" i="20" s="1"/>
  <c r="DU440" i="20"/>
  <c r="AV440" i="20"/>
  <c r="AW440" i="20" s="1"/>
  <c r="AL443" i="5"/>
  <c r="AO443" i="5"/>
  <c r="EQ440" i="5"/>
  <c r="ER440" i="5" s="1"/>
  <c r="EL441" i="5"/>
  <c r="EM441" i="5"/>
  <c r="DM439" i="5"/>
  <c r="CK439" i="5"/>
  <c r="AN444" i="5"/>
  <c r="AK444" i="5"/>
  <c r="DJ441" i="5"/>
  <c r="DI441" i="5"/>
  <c r="DO443" i="5"/>
  <c r="AP443" i="5"/>
  <c r="AQ443" i="5" s="1"/>
  <c r="CS438" i="5"/>
  <c r="FE438" i="5"/>
  <c r="FG438" i="5" s="1"/>
  <c r="DK440" i="5"/>
  <c r="DL440" i="5" s="1"/>
  <c r="DH442" i="5"/>
  <c r="EG442" i="5"/>
  <c r="EJ442" i="5" s="1"/>
  <c r="EK442" i="5" s="1"/>
  <c r="X438" i="5"/>
  <c r="AJ445" i="5"/>
  <c r="DS439" i="21" l="1"/>
  <c r="CQ439" i="21"/>
  <c r="AT444" i="21"/>
  <c r="AP445" i="21"/>
  <c r="AQ444" i="21"/>
  <c r="DN442" i="21"/>
  <c r="EM442" i="21"/>
  <c r="EP442" i="21" s="1"/>
  <c r="EQ442" i="21" s="1"/>
  <c r="AU443" i="21"/>
  <c r="AR443" i="21"/>
  <c r="DO441" i="21"/>
  <c r="DP441" i="21"/>
  <c r="EW440" i="21"/>
  <c r="EX440" i="21" s="1"/>
  <c r="DU443" i="21"/>
  <c r="AV443" i="21"/>
  <c r="AW443" i="21" s="1"/>
  <c r="ES441" i="21"/>
  <c r="ER441" i="21"/>
  <c r="AD438" i="21"/>
  <c r="CY438" i="21"/>
  <c r="FK438" i="21"/>
  <c r="FM438" i="21" s="1"/>
  <c r="DQ440" i="21"/>
  <c r="DR440" i="21" s="1"/>
  <c r="CQ437" i="20"/>
  <c r="DS437" i="20"/>
  <c r="ER439" i="20"/>
  <c r="ES439" i="20"/>
  <c r="DQ438" i="20"/>
  <c r="DR438" i="20" s="1"/>
  <c r="DO439" i="20"/>
  <c r="DP439" i="20"/>
  <c r="DN440" i="20"/>
  <c r="EM440" i="20"/>
  <c r="EP440" i="20" s="1"/>
  <c r="EQ440" i="20" s="1"/>
  <c r="EW438" i="20"/>
  <c r="EX438" i="20" s="1"/>
  <c r="DU441" i="20"/>
  <c r="AV441" i="20"/>
  <c r="AW441" i="20" s="1"/>
  <c r="AR441" i="20"/>
  <c r="AU441" i="20"/>
  <c r="AP443" i="20"/>
  <c r="AT442" i="20"/>
  <c r="AQ442" i="20"/>
  <c r="AD436" i="20"/>
  <c r="FK436" i="20"/>
  <c r="FM436" i="20" s="1"/>
  <c r="DE436" i="20"/>
  <c r="DM440" i="5"/>
  <c r="CK440" i="5"/>
  <c r="FE439" i="5"/>
  <c r="FG439" i="5" s="1"/>
  <c r="CS439" i="5"/>
  <c r="AN445" i="5"/>
  <c r="AK445" i="5"/>
  <c r="EQ441" i="5"/>
  <c r="ER441" i="5" s="1"/>
  <c r="EL442" i="5"/>
  <c r="EM442" i="5"/>
  <c r="DK441" i="5"/>
  <c r="DL441" i="5" s="1"/>
  <c r="DH443" i="5"/>
  <c r="EG443" i="5"/>
  <c r="EJ443" i="5" s="1"/>
  <c r="EK443" i="5" s="1"/>
  <c r="DI442" i="5"/>
  <c r="DJ442" i="5"/>
  <c r="AO444" i="5"/>
  <c r="AL444" i="5"/>
  <c r="DO444" i="5"/>
  <c r="AP444" i="5"/>
  <c r="AQ444" i="5" s="1"/>
  <c r="X439" i="5"/>
  <c r="AJ446" i="5"/>
  <c r="DS440" i="21" l="1"/>
  <c r="CQ440" i="21"/>
  <c r="AP446" i="21"/>
  <c r="AT445" i="21"/>
  <c r="AQ445" i="21"/>
  <c r="EW441" i="21"/>
  <c r="EX441" i="21" s="1"/>
  <c r="DU444" i="21"/>
  <c r="AV444" i="21"/>
  <c r="AW444" i="21" s="1"/>
  <c r="ES442" i="21"/>
  <c r="ER442" i="21"/>
  <c r="FK439" i="21"/>
  <c r="FM439" i="21" s="1"/>
  <c r="CY439" i="21"/>
  <c r="AD439" i="21"/>
  <c r="DN443" i="21"/>
  <c r="EM443" i="21"/>
  <c r="EP443" i="21" s="1"/>
  <c r="EQ443" i="21" s="1"/>
  <c r="DQ441" i="21"/>
  <c r="DR441" i="21" s="1"/>
  <c r="DO442" i="21"/>
  <c r="DP442" i="21"/>
  <c r="AU444" i="21"/>
  <c r="AR444" i="21"/>
  <c r="DS438" i="20"/>
  <c r="CQ438" i="20"/>
  <c r="DN441" i="20"/>
  <c r="EM441" i="20"/>
  <c r="EP441" i="20" s="1"/>
  <c r="EQ441" i="20" s="1"/>
  <c r="DQ439" i="20"/>
  <c r="DR439" i="20" s="1"/>
  <c r="AR442" i="20"/>
  <c r="AU442" i="20"/>
  <c r="EW439" i="20"/>
  <c r="EX439" i="20" s="1"/>
  <c r="DU442" i="20"/>
  <c r="AV442" i="20"/>
  <c r="AW442" i="20" s="1"/>
  <c r="ES440" i="20"/>
  <c r="ER440" i="20"/>
  <c r="AT443" i="20"/>
  <c r="AP444" i="20"/>
  <c r="AQ443" i="20"/>
  <c r="DP440" i="20"/>
  <c r="DO440" i="20"/>
  <c r="FK437" i="20"/>
  <c r="FM437" i="20" s="1"/>
  <c r="AD437" i="20"/>
  <c r="DE437" i="20"/>
  <c r="DM441" i="5"/>
  <c r="CK441" i="5"/>
  <c r="X441" i="5" s="1"/>
  <c r="DK442" i="5"/>
  <c r="DL442" i="5" s="1"/>
  <c r="EL443" i="5"/>
  <c r="EM443" i="5"/>
  <c r="AO445" i="5"/>
  <c r="AL445" i="5"/>
  <c r="DI443" i="5"/>
  <c r="DJ443" i="5"/>
  <c r="DO445" i="5"/>
  <c r="AP445" i="5"/>
  <c r="AQ445" i="5" s="1"/>
  <c r="ER442" i="5"/>
  <c r="EQ442" i="5"/>
  <c r="AN446" i="5"/>
  <c r="AK446" i="5"/>
  <c r="DH444" i="5"/>
  <c r="EG444" i="5"/>
  <c r="EJ444" i="5" s="1"/>
  <c r="EK444" i="5" s="1"/>
  <c r="FE440" i="5"/>
  <c r="FG440" i="5" s="1"/>
  <c r="CY440" i="5"/>
  <c r="X440" i="5"/>
  <c r="AJ447" i="5"/>
  <c r="DS441" i="21" l="1"/>
  <c r="CQ441" i="21"/>
  <c r="DQ442" i="21"/>
  <c r="DR442" i="21" s="1"/>
  <c r="DO443" i="21"/>
  <c r="DP443" i="21"/>
  <c r="ES443" i="21"/>
  <c r="ER443" i="21"/>
  <c r="AP447" i="21"/>
  <c r="AT446" i="21"/>
  <c r="AQ446" i="21"/>
  <c r="EW442" i="21"/>
  <c r="EX442" i="21" s="1"/>
  <c r="DN444" i="21"/>
  <c r="EM444" i="21"/>
  <c r="EP444" i="21" s="1"/>
  <c r="EQ444" i="21" s="1"/>
  <c r="AU445" i="21"/>
  <c r="AR445" i="21"/>
  <c r="FK440" i="21"/>
  <c r="FM440" i="21" s="1"/>
  <c r="AD440" i="21"/>
  <c r="DE440" i="21"/>
  <c r="DU445" i="21"/>
  <c r="AV445" i="21"/>
  <c r="AW445" i="21" s="1"/>
  <c r="DS439" i="20"/>
  <c r="CQ439" i="20"/>
  <c r="DU443" i="20"/>
  <c r="AV443" i="20"/>
  <c r="AW443" i="20" s="1"/>
  <c r="ES441" i="20"/>
  <c r="ER441" i="20"/>
  <c r="DQ440" i="20"/>
  <c r="DR440" i="20" s="1"/>
  <c r="DN442" i="20"/>
  <c r="EM442" i="20"/>
  <c r="EP442" i="20" s="1"/>
  <c r="EQ442" i="20" s="1"/>
  <c r="DP441" i="20"/>
  <c r="DO441" i="20"/>
  <c r="AT444" i="20"/>
  <c r="AP445" i="20"/>
  <c r="AQ444" i="20"/>
  <c r="FK438" i="20"/>
  <c r="FM438" i="20" s="1"/>
  <c r="CY438" i="20"/>
  <c r="AD438" i="20"/>
  <c r="EW440" i="20"/>
  <c r="EX440" i="20" s="1"/>
  <c r="AU443" i="20"/>
  <c r="AR443" i="20"/>
  <c r="DM442" i="5"/>
  <c r="CK442" i="5"/>
  <c r="AL446" i="5"/>
  <c r="AO446" i="5"/>
  <c r="DO446" i="5"/>
  <c r="AP446" i="5"/>
  <c r="AQ446" i="5" s="1"/>
  <c r="EQ443" i="5"/>
  <c r="ER443" i="5" s="1"/>
  <c r="DH445" i="5"/>
  <c r="EG445" i="5"/>
  <c r="EJ445" i="5" s="1"/>
  <c r="EK445" i="5" s="1"/>
  <c r="AN447" i="5"/>
  <c r="AK447" i="5"/>
  <c r="EL444" i="5"/>
  <c r="EM444" i="5"/>
  <c r="CY441" i="5"/>
  <c r="FE441" i="5"/>
  <c r="FG441" i="5" s="1"/>
  <c r="DI444" i="5"/>
  <c r="DJ444" i="5"/>
  <c r="DK443" i="5"/>
  <c r="DL443" i="5" s="1"/>
  <c r="AJ448" i="5"/>
  <c r="DS442" i="21" l="1"/>
  <c r="CQ442" i="21"/>
  <c r="DN445" i="21"/>
  <c r="EM445" i="21"/>
  <c r="EP445" i="21" s="1"/>
  <c r="EQ445" i="21" s="1"/>
  <c r="DU446" i="21"/>
  <c r="AV446" i="21"/>
  <c r="AW446" i="21" s="1"/>
  <c r="EW443" i="21"/>
  <c r="EX443" i="21" s="1"/>
  <c r="DP444" i="21"/>
  <c r="DO444" i="21"/>
  <c r="AU446" i="21"/>
  <c r="AR446" i="21"/>
  <c r="AP448" i="21"/>
  <c r="AT447" i="21"/>
  <c r="AQ447" i="21"/>
  <c r="AD441" i="21"/>
  <c r="FK441" i="21"/>
  <c r="FM441" i="21" s="1"/>
  <c r="DE441" i="21"/>
  <c r="ES444" i="21"/>
  <c r="ER444" i="21"/>
  <c r="DQ443" i="21"/>
  <c r="DR443" i="21" s="1"/>
  <c r="DS440" i="20"/>
  <c r="CQ440" i="20"/>
  <c r="EW441" i="20"/>
  <c r="EX441" i="20" s="1"/>
  <c r="DU444" i="20"/>
  <c r="AV444" i="20"/>
  <c r="AW444" i="20" s="1"/>
  <c r="AR444" i="20"/>
  <c r="AU444" i="20"/>
  <c r="DN443" i="20"/>
  <c r="EM443" i="20"/>
  <c r="EP443" i="20" s="1"/>
  <c r="EQ443" i="20" s="1"/>
  <c r="AP446" i="20"/>
  <c r="AT445" i="20"/>
  <c r="AQ445" i="20"/>
  <c r="ES442" i="20"/>
  <c r="ER442" i="20"/>
  <c r="CY439" i="20"/>
  <c r="AD439" i="20"/>
  <c r="FK439" i="20"/>
  <c r="FM439" i="20" s="1"/>
  <c r="DQ441" i="20"/>
  <c r="DR441" i="20" s="1"/>
  <c r="DP442" i="20"/>
  <c r="DO442" i="20"/>
  <c r="DM443" i="5"/>
  <c r="CK443" i="5"/>
  <c r="DH446" i="5"/>
  <c r="EG446" i="5"/>
  <c r="EJ446" i="5" s="1"/>
  <c r="EK446" i="5" s="1"/>
  <c r="AL447" i="5"/>
  <c r="AO447" i="5"/>
  <c r="AN448" i="5"/>
  <c r="AK448" i="5"/>
  <c r="DO447" i="5"/>
  <c r="AP447" i="5"/>
  <c r="AQ447" i="5" s="1"/>
  <c r="EL445" i="5"/>
  <c r="EM445" i="5"/>
  <c r="FE442" i="5"/>
  <c r="FG442" i="5" s="1"/>
  <c r="CS442" i="5"/>
  <c r="EQ444" i="5"/>
  <c r="ER444" i="5" s="1"/>
  <c r="DK444" i="5"/>
  <c r="DL444" i="5" s="1"/>
  <c r="DJ445" i="5"/>
  <c r="DI445" i="5"/>
  <c r="AJ449" i="5"/>
  <c r="X442" i="5"/>
  <c r="DS443" i="21" l="1"/>
  <c r="CQ443" i="21"/>
  <c r="DU447" i="21"/>
  <c r="AV447" i="21"/>
  <c r="AW447" i="21" s="1"/>
  <c r="AR447" i="21"/>
  <c r="AU447" i="21"/>
  <c r="AT448" i="21"/>
  <c r="AP449" i="21"/>
  <c r="AQ448" i="21"/>
  <c r="ES445" i="21"/>
  <c r="ER445" i="21"/>
  <c r="DQ444" i="21"/>
  <c r="DR444" i="21" s="1"/>
  <c r="DO445" i="21"/>
  <c r="DP445" i="21"/>
  <c r="DN446" i="21"/>
  <c r="EM446" i="21"/>
  <c r="EP446" i="21" s="1"/>
  <c r="EQ446" i="21" s="1"/>
  <c r="FK442" i="21"/>
  <c r="FM442" i="21" s="1"/>
  <c r="CY442" i="21"/>
  <c r="AD442" i="21"/>
  <c r="EW444" i="21"/>
  <c r="EX444" i="21" s="1"/>
  <c r="DS441" i="20"/>
  <c r="CQ441" i="20"/>
  <c r="EW442" i="20"/>
  <c r="EX442" i="20" s="1"/>
  <c r="AU445" i="20"/>
  <c r="AR445" i="20"/>
  <c r="DN444" i="20"/>
  <c r="EM444" i="20"/>
  <c r="EP444" i="20" s="1"/>
  <c r="EQ444" i="20" s="1"/>
  <c r="DU445" i="20"/>
  <c r="AV445" i="20"/>
  <c r="AW445" i="20" s="1"/>
  <c r="AP447" i="20"/>
  <c r="AT446" i="20"/>
  <c r="AQ446" i="20"/>
  <c r="ER443" i="20"/>
  <c r="ES443" i="20"/>
  <c r="AD440" i="20"/>
  <c r="DE440" i="20"/>
  <c r="FK440" i="20"/>
  <c r="FM440" i="20" s="1"/>
  <c r="DQ442" i="20"/>
  <c r="DR442" i="20" s="1"/>
  <c r="DO443" i="20"/>
  <c r="DP443" i="20"/>
  <c r="DM444" i="5"/>
  <c r="CK444" i="5"/>
  <c r="AL448" i="5"/>
  <c r="AO448" i="5"/>
  <c r="DO448" i="5"/>
  <c r="AP448" i="5"/>
  <c r="AQ448" i="5" s="1"/>
  <c r="AN449" i="5"/>
  <c r="AK449" i="5"/>
  <c r="EL446" i="5"/>
  <c r="EM446" i="5"/>
  <c r="EQ445" i="5"/>
  <c r="ER445" i="5" s="1"/>
  <c r="DI446" i="5"/>
  <c r="DJ446" i="5"/>
  <c r="CS443" i="5"/>
  <c r="FE443" i="5"/>
  <c r="FG443" i="5" s="1"/>
  <c r="DK445" i="5"/>
  <c r="DL445" i="5" s="1"/>
  <c r="DH447" i="5"/>
  <c r="EG447" i="5"/>
  <c r="EJ447" i="5" s="1"/>
  <c r="EK447" i="5" s="1"/>
  <c r="AJ450" i="5"/>
  <c r="X443" i="5"/>
  <c r="DS444" i="21" l="1"/>
  <c r="CQ444" i="21"/>
  <c r="ES446" i="21"/>
  <c r="ER446" i="21"/>
  <c r="DQ445" i="21"/>
  <c r="DR445" i="21" s="1"/>
  <c r="DU448" i="21"/>
  <c r="AV448" i="21"/>
  <c r="AW448" i="21" s="1"/>
  <c r="DN447" i="21"/>
  <c r="EM447" i="21"/>
  <c r="EP447" i="21" s="1"/>
  <c r="EQ447" i="21" s="1"/>
  <c r="DP446" i="21"/>
  <c r="DO446" i="21"/>
  <c r="AU448" i="21"/>
  <c r="AR448" i="21"/>
  <c r="AD443" i="21"/>
  <c r="CY443" i="21"/>
  <c r="FK443" i="21"/>
  <c r="FM443" i="21" s="1"/>
  <c r="EW445" i="21"/>
  <c r="EX445" i="21" s="1"/>
  <c r="AT449" i="21"/>
  <c r="AQ449" i="21"/>
  <c r="CQ442" i="20"/>
  <c r="DS442" i="20"/>
  <c r="EW443" i="20"/>
  <c r="EX443" i="20" s="1"/>
  <c r="DP444" i="20"/>
  <c r="DO444" i="20"/>
  <c r="DQ443" i="20"/>
  <c r="DR443" i="20" s="1"/>
  <c r="AU446" i="20"/>
  <c r="AR446" i="20"/>
  <c r="ER444" i="20"/>
  <c r="ES444" i="20"/>
  <c r="DU446" i="20"/>
  <c r="AV446" i="20"/>
  <c r="AW446" i="20" s="1"/>
  <c r="AT447" i="20"/>
  <c r="AP448" i="20"/>
  <c r="AQ447" i="20"/>
  <c r="FK441" i="20"/>
  <c r="FM441" i="20" s="1"/>
  <c r="AD441" i="20"/>
  <c r="DE441" i="20"/>
  <c r="DN445" i="20"/>
  <c r="EM445" i="20"/>
  <c r="EP445" i="20" s="1"/>
  <c r="EQ445" i="20" s="1"/>
  <c r="DM445" i="5"/>
  <c r="CK445" i="5"/>
  <c r="AO449" i="5"/>
  <c r="AL449" i="5"/>
  <c r="AN450" i="5"/>
  <c r="AK450" i="5"/>
  <c r="DH448" i="5"/>
  <c r="EG448" i="5"/>
  <c r="EJ448" i="5" s="1"/>
  <c r="EK448" i="5" s="1"/>
  <c r="EL447" i="5"/>
  <c r="EM447" i="5"/>
  <c r="DI447" i="5"/>
  <c r="DJ447" i="5"/>
  <c r="DO449" i="5"/>
  <c r="AP449" i="5"/>
  <c r="AQ449" i="5" s="1"/>
  <c r="FE444" i="5"/>
  <c r="FG444" i="5" s="1"/>
  <c r="CY444" i="5"/>
  <c r="DK446" i="5"/>
  <c r="DL446" i="5" s="1"/>
  <c r="EQ446" i="5"/>
  <c r="ER446" i="5" s="1"/>
  <c r="X444" i="5"/>
  <c r="AJ451" i="5"/>
  <c r="DS445" i="21" l="1"/>
  <c r="CQ445" i="21"/>
  <c r="AU449" i="21"/>
  <c r="AR449" i="21"/>
  <c r="DQ446" i="21"/>
  <c r="DR446" i="21" s="1"/>
  <c r="DP447" i="21"/>
  <c r="DO447" i="21"/>
  <c r="FK444" i="21"/>
  <c r="FM444" i="21" s="1"/>
  <c r="DE444" i="21"/>
  <c r="AD444" i="21"/>
  <c r="DU449" i="21"/>
  <c r="AV449" i="21"/>
  <c r="ES447" i="21"/>
  <c r="ER447" i="21"/>
  <c r="DN448" i="21"/>
  <c r="EM448" i="21"/>
  <c r="EP448" i="21" s="1"/>
  <c r="EQ448" i="21" s="1"/>
  <c r="EW446" i="21"/>
  <c r="EX446" i="21" s="1"/>
  <c r="DS443" i="20"/>
  <c r="CQ443" i="20"/>
  <c r="DQ444" i="20"/>
  <c r="DR444" i="20" s="1"/>
  <c r="AT448" i="20"/>
  <c r="AP449" i="20"/>
  <c r="AQ448" i="20"/>
  <c r="DU447" i="20"/>
  <c r="AV447" i="20"/>
  <c r="AW447" i="20" s="1"/>
  <c r="DO445" i="20"/>
  <c r="DP445" i="20"/>
  <c r="ER445" i="20"/>
  <c r="ES445" i="20"/>
  <c r="DN446" i="20"/>
  <c r="EM446" i="20"/>
  <c r="EP446" i="20" s="1"/>
  <c r="EQ446" i="20" s="1"/>
  <c r="EW444" i="20"/>
  <c r="EX444" i="20" s="1"/>
  <c r="AR447" i="20"/>
  <c r="AU447" i="20"/>
  <c r="CY442" i="20"/>
  <c r="AD442" i="20"/>
  <c r="FK442" i="20"/>
  <c r="FM442" i="20" s="1"/>
  <c r="DM446" i="5"/>
  <c r="CK446" i="5"/>
  <c r="EL448" i="5"/>
  <c r="EM448" i="5"/>
  <c r="AO450" i="5"/>
  <c r="AL450" i="5"/>
  <c r="DO450" i="5"/>
  <c r="AP450" i="5"/>
  <c r="AQ450" i="5" s="1"/>
  <c r="DH449" i="5"/>
  <c r="EG449" i="5"/>
  <c r="EJ449" i="5" s="1"/>
  <c r="EK449" i="5" s="1"/>
  <c r="AN451" i="5"/>
  <c r="AK451" i="5"/>
  <c r="DK447" i="5"/>
  <c r="DL447" i="5" s="1"/>
  <c r="FE445" i="5"/>
  <c r="FG445" i="5" s="1"/>
  <c r="CY445" i="5"/>
  <c r="DJ448" i="5"/>
  <c r="DI448" i="5"/>
  <c r="EQ447" i="5"/>
  <c r="ER447" i="5" s="1"/>
  <c r="X445" i="5"/>
  <c r="AJ452" i="5"/>
  <c r="DS446" i="21" l="1"/>
  <c r="CQ446" i="21"/>
  <c r="AW449" i="21"/>
  <c r="AW17" i="21" s="1"/>
  <c r="AV17" i="21"/>
  <c r="AV16" i="21"/>
  <c r="EW447" i="21"/>
  <c r="EX447" i="21" s="1"/>
  <c r="ES448" i="21"/>
  <c r="ER448" i="21"/>
  <c r="DQ447" i="21"/>
  <c r="DR447" i="21" s="1"/>
  <c r="DE445" i="21"/>
  <c r="AD445" i="21"/>
  <c r="FK445" i="21"/>
  <c r="FM445" i="21" s="1"/>
  <c r="DO448" i="21"/>
  <c r="DP448" i="21"/>
  <c r="DN449" i="21"/>
  <c r="EM449" i="21"/>
  <c r="EP449" i="21" s="1"/>
  <c r="EQ449" i="21" s="1"/>
  <c r="DS444" i="20"/>
  <c r="CQ444" i="20"/>
  <c r="DN447" i="20"/>
  <c r="EM447" i="20"/>
  <c r="EP447" i="20" s="1"/>
  <c r="EQ447" i="20" s="1"/>
  <c r="AU448" i="20"/>
  <c r="AR448" i="20"/>
  <c r="AT449" i="20"/>
  <c r="AQ449" i="20"/>
  <c r="DU448" i="20"/>
  <c r="AV448" i="20"/>
  <c r="AW448" i="20" s="1"/>
  <c r="DO446" i="20"/>
  <c r="DP446" i="20"/>
  <c r="EW445" i="20"/>
  <c r="EX445" i="20" s="1"/>
  <c r="DQ445" i="20"/>
  <c r="DR445" i="20" s="1"/>
  <c r="CY443" i="20"/>
  <c r="AD443" i="20"/>
  <c r="FK443" i="20"/>
  <c r="FM443" i="20" s="1"/>
  <c r="ER446" i="20"/>
  <c r="ES446" i="20"/>
  <c r="DM447" i="5"/>
  <c r="CK447" i="5"/>
  <c r="AN452" i="5"/>
  <c r="AK452" i="5"/>
  <c r="AL451" i="5"/>
  <c r="AO451" i="5"/>
  <c r="DH450" i="5"/>
  <c r="EG450" i="5"/>
  <c r="EJ450" i="5" s="1"/>
  <c r="EK450" i="5" s="1"/>
  <c r="DO451" i="5"/>
  <c r="AP451" i="5"/>
  <c r="AQ451" i="5" s="1"/>
  <c r="EQ448" i="5"/>
  <c r="ER448" i="5" s="1"/>
  <c r="DK448" i="5"/>
  <c r="DL448" i="5" s="1"/>
  <c r="EM449" i="5"/>
  <c r="EL449" i="5"/>
  <c r="FE446" i="5"/>
  <c r="FG446" i="5" s="1"/>
  <c r="CS446" i="5"/>
  <c r="DI449" i="5"/>
  <c r="DJ449" i="5"/>
  <c r="X447" i="5"/>
  <c r="X446" i="5"/>
  <c r="AJ453" i="5"/>
  <c r="DS447" i="21" l="1"/>
  <c r="CQ447" i="21"/>
  <c r="DO449" i="21"/>
  <c r="DP449" i="21"/>
  <c r="DN17" i="21"/>
  <c r="DN1" i="21"/>
  <c r="DQ448" i="21"/>
  <c r="DR448" i="21" s="1"/>
  <c r="CY446" i="21"/>
  <c r="FK446" i="21"/>
  <c r="FM446" i="21" s="1"/>
  <c r="AD446" i="21"/>
  <c r="ER449" i="21"/>
  <c r="ES449" i="21"/>
  <c r="EW448" i="21"/>
  <c r="EX448" i="21" s="1"/>
  <c r="DS445" i="20"/>
  <c r="CQ445" i="20"/>
  <c r="AU449" i="20"/>
  <c r="AR449" i="20"/>
  <c r="DU449" i="20"/>
  <c r="AV449" i="20"/>
  <c r="ES447" i="20"/>
  <c r="ER447" i="20"/>
  <c r="DQ446" i="20"/>
  <c r="DR446" i="20" s="1"/>
  <c r="DP447" i="20"/>
  <c r="DO447" i="20"/>
  <c r="FK444" i="20"/>
  <c r="FM444" i="20" s="1"/>
  <c r="DE444" i="20"/>
  <c r="AD444" i="20"/>
  <c r="EW446" i="20"/>
  <c r="EX446" i="20" s="1"/>
  <c r="DN448" i="20"/>
  <c r="EM448" i="20"/>
  <c r="EP448" i="20" s="1"/>
  <c r="EQ448" i="20" s="1"/>
  <c r="DM448" i="5"/>
  <c r="CK448" i="5"/>
  <c r="DI450" i="5"/>
  <c r="DJ450" i="5"/>
  <c r="AL452" i="5"/>
  <c r="AO452" i="5"/>
  <c r="EQ449" i="5"/>
  <c r="ER449" i="5" s="1"/>
  <c r="AN453" i="5"/>
  <c r="AK453" i="5"/>
  <c r="DO452" i="5"/>
  <c r="AP452" i="5"/>
  <c r="AQ452" i="5" s="1"/>
  <c r="EM450" i="5"/>
  <c r="EL450" i="5"/>
  <c r="DK449" i="5"/>
  <c r="DL449" i="5" s="1"/>
  <c r="FE447" i="5"/>
  <c r="FG447" i="5" s="1"/>
  <c r="CS447" i="5"/>
  <c r="DH451" i="5"/>
  <c r="EG451" i="5"/>
  <c r="EJ451" i="5" s="1"/>
  <c r="EK451" i="5" s="1"/>
  <c r="DS448" i="21" l="1"/>
  <c r="CQ448" i="21"/>
  <c r="EW449" i="21"/>
  <c r="EX449" i="21" s="1"/>
  <c r="DQ449" i="21"/>
  <c r="DR449" i="21" s="1"/>
  <c r="DN4" i="21"/>
  <c r="DN3" i="21"/>
  <c r="FK447" i="21"/>
  <c r="FM447" i="21" s="1"/>
  <c r="CY447" i="21"/>
  <c r="AD447" i="21"/>
  <c r="DP17" i="21"/>
  <c r="DP16" i="21" s="1"/>
  <c r="DO17" i="21"/>
  <c r="DS446" i="20"/>
  <c r="CQ446" i="20"/>
  <c r="AW449" i="20"/>
  <c r="AW17" i="20" s="1"/>
  <c r="AV17" i="20"/>
  <c r="AV16" i="20"/>
  <c r="EW447" i="20"/>
  <c r="EX447" i="20" s="1"/>
  <c r="DN449" i="20"/>
  <c r="EM449" i="20"/>
  <c r="EP449" i="20" s="1"/>
  <c r="EQ449" i="20" s="1"/>
  <c r="DQ447" i="20"/>
  <c r="DR447" i="20" s="1"/>
  <c r="ER448" i="20"/>
  <c r="ES448" i="20"/>
  <c r="DO448" i="20"/>
  <c r="DP448" i="20"/>
  <c r="DE445" i="20"/>
  <c r="AD445" i="20"/>
  <c r="FK445" i="20"/>
  <c r="FM445" i="20" s="1"/>
  <c r="DM449" i="5"/>
  <c r="CK449" i="5"/>
  <c r="EQ450" i="5"/>
  <c r="ER450" i="5" s="1"/>
  <c r="DO453" i="5"/>
  <c r="AP453" i="5"/>
  <c r="EM451" i="5"/>
  <c r="EL451" i="5"/>
  <c r="DI451" i="5"/>
  <c r="DJ451" i="5"/>
  <c r="DH452" i="5"/>
  <c r="EG452" i="5"/>
  <c r="EJ452" i="5" s="1"/>
  <c r="EK452" i="5" s="1"/>
  <c r="DK450" i="5"/>
  <c r="DL450" i="5" s="1"/>
  <c r="AL453" i="5"/>
  <c r="AO453" i="5"/>
  <c r="CY448" i="5"/>
  <c r="FE448" i="5"/>
  <c r="FG448" i="5" s="1"/>
  <c r="X448" i="5"/>
  <c r="X449" i="5"/>
  <c r="DS449" i="21" l="1"/>
  <c r="CQ449" i="21"/>
  <c r="DO16" i="21"/>
  <c r="AD448" i="21"/>
  <c r="DE448" i="21"/>
  <c r="FK448" i="21"/>
  <c r="FM448" i="21" s="1"/>
  <c r="CY1" i="21"/>
  <c r="CY2" i="21" s="1"/>
  <c r="CY4" i="21"/>
  <c r="CY3" i="21"/>
  <c r="DS447" i="20"/>
  <c r="CQ447" i="20"/>
  <c r="DO449" i="20"/>
  <c r="DP449" i="20"/>
  <c r="DN17" i="20"/>
  <c r="DN1" i="20"/>
  <c r="CY446" i="20"/>
  <c r="AD446" i="20"/>
  <c r="FK446" i="20"/>
  <c r="FM446" i="20" s="1"/>
  <c r="DQ448" i="20"/>
  <c r="DR448" i="20" s="1"/>
  <c r="EW448" i="20"/>
  <c r="EX448" i="20" s="1"/>
  <c r="ER449" i="20"/>
  <c r="ES449" i="20"/>
  <c r="DM450" i="5"/>
  <c r="CK450" i="5"/>
  <c r="X450" i="5" s="1"/>
  <c r="DK451" i="5"/>
  <c r="DL451" i="5" s="1"/>
  <c r="EQ451" i="5"/>
  <c r="ER451" i="5" s="1"/>
  <c r="AQ453" i="5"/>
  <c r="AQ17" i="5" s="1"/>
  <c r="AP16" i="5"/>
  <c r="AP17" i="5"/>
  <c r="DH453" i="5"/>
  <c r="EG453" i="5"/>
  <c r="EJ453" i="5" s="1"/>
  <c r="EK453" i="5" s="1"/>
  <c r="EL452" i="5"/>
  <c r="EM452" i="5"/>
  <c r="DI452" i="5"/>
  <c r="DJ452" i="5"/>
  <c r="CY449" i="5"/>
  <c r="FE449" i="5"/>
  <c r="FG449" i="5" s="1"/>
  <c r="AD449" i="21" l="1"/>
  <c r="FK449" i="21"/>
  <c r="DE449" i="21"/>
  <c r="CQ17" i="21"/>
  <c r="CQ14" i="21"/>
  <c r="CQ16" i="21"/>
  <c r="CQ4" i="21"/>
  <c r="T4" i="21" s="1"/>
  <c r="CQ3" i="21"/>
  <c r="T3" i="21" s="1"/>
  <c r="CH1" i="21"/>
  <c r="DY1" i="21" s="1"/>
  <c r="CQ1" i="21"/>
  <c r="CH3" i="21"/>
  <c r="CH4" i="21"/>
  <c r="DS448" i="20"/>
  <c r="CQ448" i="20"/>
  <c r="DP17" i="20"/>
  <c r="DP16" i="20" s="1"/>
  <c r="DO17" i="20"/>
  <c r="DO16" i="20" s="1"/>
  <c r="EW449" i="20"/>
  <c r="EX449" i="20" s="1"/>
  <c r="FK447" i="20"/>
  <c r="FM447" i="20" s="1"/>
  <c r="CY447" i="20"/>
  <c r="AD447" i="20"/>
  <c r="DN3" i="20"/>
  <c r="DN4" i="20"/>
  <c r="DQ449" i="20"/>
  <c r="DR449" i="20" s="1"/>
  <c r="DM451" i="5"/>
  <c r="CK451" i="5"/>
  <c r="DK452" i="5"/>
  <c r="DL452" i="5" s="1"/>
  <c r="EM453" i="5"/>
  <c r="EL453" i="5"/>
  <c r="EQ452" i="5"/>
  <c r="ER452" i="5" s="1"/>
  <c r="DI453" i="5"/>
  <c r="DJ453" i="5"/>
  <c r="DH17" i="5"/>
  <c r="DH1" i="5"/>
  <c r="FE450" i="5"/>
  <c r="FG450" i="5" s="1"/>
  <c r="CS450" i="5"/>
  <c r="CQ2" i="21" l="1"/>
  <c r="T2" i="21" s="1"/>
  <c r="CH2" i="21"/>
  <c r="DY2" i="21" s="1"/>
  <c r="T1" i="21"/>
  <c r="T14" i="21"/>
  <c r="FA14" i="21"/>
  <c r="CQ15" i="21"/>
  <c r="FA17" i="21"/>
  <c r="T17" i="21"/>
  <c r="DE4" i="21"/>
  <c r="DE1" i="21"/>
  <c r="DE2" i="21" s="1"/>
  <c r="DE3" i="21"/>
  <c r="FM449" i="21"/>
  <c r="FM18" i="21" s="1"/>
  <c r="FT53" i="21"/>
  <c r="FT59" i="21"/>
  <c r="FT61" i="21"/>
  <c r="FT56" i="21"/>
  <c r="FT55" i="21"/>
  <c r="FT54" i="21"/>
  <c r="FT60" i="21"/>
  <c r="FT57" i="21"/>
  <c r="FT58" i="21"/>
  <c r="T16" i="21"/>
  <c r="FA16" i="21"/>
  <c r="DS449" i="20"/>
  <c r="CQ449" i="20"/>
  <c r="DE448" i="20"/>
  <c r="FK448" i="20"/>
  <c r="FM448" i="20" s="1"/>
  <c r="AD448" i="20"/>
  <c r="CY3" i="20"/>
  <c r="CY1" i="20"/>
  <c r="CY2" i="20" s="1"/>
  <c r="CY4" i="20"/>
  <c r="DM452" i="5"/>
  <c r="CK452" i="5"/>
  <c r="EQ453" i="5"/>
  <c r="ER453" i="5" s="1"/>
  <c r="DK453" i="5"/>
  <c r="DL453" i="5" s="1"/>
  <c r="DH4" i="5"/>
  <c r="DH3" i="5"/>
  <c r="DJ17" i="5"/>
  <c r="DJ16" i="5" s="1"/>
  <c r="DI17" i="5"/>
  <c r="FE451" i="5"/>
  <c r="FG451" i="5" s="1"/>
  <c r="CS451" i="5"/>
  <c r="X451" i="5"/>
  <c r="FT64" i="21" l="1"/>
  <c r="FA15" i="21"/>
  <c r="T15" i="21"/>
  <c r="FK449" i="20"/>
  <c r="AD449" i="20"/>
  <c r="DE449" i="20"/>
  <c r="CQ16" i="20"/>
  <c r="CQ14" i="20"/>
  <c r="CQ17" i="20"/>
  <c r="CQ3" i="20"/>
  <c r="T3" i="20" s="1"/>
  <c r="CQ1" i="20"/>
  <c r="CH4" i="20"/>
  <c r="CH1" i="20"/>
  <c r="DY1" i="20" s="1"/>
  <c r="CH3" i="20"/>
  <c r="CQ4" i="20"/>
  <c r="T4" i="20" s="1"/>
  <c r="DM453" i="5"/>
  <c r="CK453" i="5"/>
  <c r="CS3" i="5"/>
  <c r="CS4" i="5"/>
  <c r="CS1" i="5"/>
  <c r="CS2" i="5" s="1"/>
  <c r="DI16" i="5"/>
  <c r="FE452" i="5"/>
  <c r="FG452" i="5" s="1"/>
  <c r="CY452" i="5"/>
  <c r="X452" i="5"/>
  <c r="CH2" i="20" l="1"/>
  <c r="DY2" i="20" s="1"/>
  <c r="CQ2" i="20"/>
  <c r="T2" i="20" s="1"/>
  <c r="T1" i="20"/>
  <c r="FA17" i="20"/>
  <c r="T17" i="20"/>
  <c r="FA14" i="20"/>
  <c r="CQ15" i="20"/>
  <c r="T14" i="20"/>
  <c r="FA16" i="20"/>
  <c r="T16" i="20"/>
  <c r="DE1" i="20"/>
  <c r="DE2" i="20" s="1"/>
  <c r="DE3" i="20"/>
  <c r="DE4" i="20"/>
  <c r="FM449" i="20"/>
  <c r="FM18" i="20" s="1"/>
  <c r="FT59" i="20"/>
  <c r="FT57" i="20"/>
  <c r="FT55" i="20"/>
  <c r="FT60" i="20"/>
  <c r="FT54" i="20"/>
  <c r="FT53" i="20"/>
  <c r="FT61" i="20"/>
  <c r="FT56" i="20"/>
  <c r="FT58" i="20"/>
  <c r="CY453" i="5"/>
  <c r="FE453" i="5"/>
  <c r="CK14" i="5"/>
  <c r="N14" i="5" s="1"/>
  <c r="CK17" i="5"/>
  <c r="CK16" i="5"/>
  <c r="CB3" i="5"/>
  <c r="CB4" i="5"/>
  <c r="CK3" i="5"/>
  <c r="N3" i="5" s="1"/>
  <c r="CK1" i="5"/>
  <c r="N1" i="5" s="1"/>
  <c r="CK4" i="5"/>
  <c r="N4" i="5" s="1"/>
  <c r="CB1" i="5"/>
  <c r="DS1" i="5" s="1"/>
  <c r="X453" i="5"/>
  <c r="EU16" i="5" l="1"/>
  <c r="N16" i="5"/>
  <c r="EU17" i="5"/>
  <c r="N17" i="5"/>
  <c r="T15" i="20"/>
  <c r="FA15" i="20"/>
  <c r="FT64" i="20"/>
  <c r="CK15" i="5"/>
  <c r="EU14" i="5"/>
  <c r="FG453" i="5"/>
  <c r="FG18" i="5" s="1"/>
  <c r="FN58" i="5"/>
  <c r="FN61" i="5"/>
  <c r="FN55" i="5"/>
  <c r="FN60" i="5"/>
  <c r="FN54" i="5"/>
  <c r="FN59" i="5"/>
  <c r="FN57" i="5"/>
  <c r="FN56" i="5"/>
  <c r="FN62" i="5"/>
  <c r="CB2" i="5"/>
  <c r="DS2" i="5" s="1"/>
  <c r="CK2" i="5"/>
  <c r="N2" i="5" s="1"/>
  <c r="CY1" i="5"/>
  <c r="CY2" i="5" s="1"/>
  <c r="CY3" i="5"/>
  <c r="CY4" i="5"/>
  <c r="EU15" i="5" l="1"/>
  <c r="N15" i="5"/>
  <c r="FN65" i="5"/>
  <c r="DJ19" i="20" l="1"/>
  <c r="EY19" i="20" s="1"/>
  <c r="CD19" i="20"/>
  <c r="CE19" i="20" s="1"/>
  <c r="CI19" i="20" s="1"/>
  <c r="CK19" i="20" s="1"/>
  <c r="BB19" i="20"/>
  <c r="BC19" i="20" s="1"/>
  <c r="BP19" i="20"/>
  <c r="EI19" i="20" s="1"/>
  <c r="AG19" i="20"/>
  <c r="FY19" i="20" s="1"/>
  <c r="GA19" i="20" s="1"/>
  <c r="BE19" i="20"/>
  <c r="BF19" i="20" s="1"/>
  <c r="AX19" i="20"/>
  <c r="M19" i="20"/>
  <c r="EZ19" i="20" l="1"/>
  <c r="EX19" i="20" s="1"/>
  <c r="FB19" i="20" l="1"/>
  <c r="ED19" i="20" l="1"/>
  <c r="DR19" i="20"/>
  <c r="DS19" i="2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tc={B63F8C54-14A8-4227-949B-5C1F436EA88A}</author>
  </authors>
  <commentList>
    <comment ref="D152" authorId="0" shapeId="0" xr:uid="{B63F8C54-14A8-4227-949B-5C1F436EA88A}">
      <text>
        <r>
          <rPr>
            <sz val="11"/>
            <color theme="1"/>
            <rFont val="맑은 고딕"/>
            <charset val="134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Slice -&gt; Lap splice 로 변경함</t>
        </r>
      </text>
    </comment>
  </commentList>
</comments>
</file>

<file path=xl/sharedStrings.xml><?xml version="1.0" encoding="utf-8"?>
<sst xmlns="http://schemas.openxmlformats.org/spreadsheetml/2006/main" count="4375" uniqueCount="706">
  <si>
    <t>Specimen</t>
  </si>
  <si>
    <t>ACI, fs
Mpa</t>
    <phoneticPr fontId="4" type="noConversion"/>
  </si>
  <si>
    <t>ACI</t>
    <phoneticPr fontId="4" type="noConversion"/>
  </si>
  <si>
    <t>phi_o</t>
    <phoneticPr fontId="4" type="noConversion"/>
  </si>
  <si>
    <t>fy,
Mpa
(hook bar yield stress)</t>
    <phoneticPr fontId="4" type="noConversion"/>
  </si>
  <si>
    <r>
      <t>f</t>
    </r>
    <r>
      <rPr>
        <sz val="11"/>
        <color theme="1"/>
        <rFont val="맑은 고딕"/>
        <family val="3"/>
        <charset val="129"/>
        <scheme val="minor"/>
      </rPr>
      <t>s
Mpa</t>
    </r>
    <phoneticPr fontId="4" type="noConversion"/>
  </si>
  <si>
    <t>test/ACI</t>
    <phoneticPr fontId="4" type="noConversion"/>
  </si>
  <si>
    <t>total
length
mm</t>
    <phoneticPr fontId="4" type="noConversion"/>
  </si>
  <si>
    <t>a1</t>
    <phoneticPr fontId="4" type="noConversion"/>
  </si>
  <si>
    <t>a2</t>
    <phoneticPr fontId="4" type="noConversion"/>
  </si>
  <si>
    <t>ita2</t>
  </si>
  <si>
    <t>fbd</t>
  </si>
  <si>
    <t>fs,EC2</t>
  </si>
  <si>
    <t>alpha2 x
alpha3</t>
  </si>
  <si>
    <t>cmin</t>
    <phoneticPr fontId="6" type="noConversion"/>
  </si>
  <si>
    <t>cmax</t>
    <phoneticPr fontId="6" type="noConversion"/>
  </si>
  <si>
    <t>a2</t>
    <phoneticPr fontId="6" type="noConversion"/>
  </si>
  <si>
    <t>fbd0</t>
    <phoneticPr fontId="6" type="noConversion"/>
  </si>
  <si>
    <t>fbd</t>
    <phoneticPr fontId="6" type="noConversion"/>
  </si>
  <si>
    <t>fs,MC2010</t>
    <phoneticPr fontId="6" type="noConversion"/>
  </si>
  <si>
    <t>test/MC2010</t>
    <phoneticPr fontId="4" type="noConversion"/>
  </si>
  <si>
    <t>C1</t>
    <phoneticPr fontId="4" type="noConversion"/>
  </si>
  <si>
    <t>avg.tau1</t>
    <phoneticPr fontId="6" type="noConversion"/>
  </si>
  <si>
    <t>tau2</t>
  </si>
  <si>
    <t>fs</t>
  </si>
  <si>
    <t>test/proposed</t>
    <phoneticPr fontId="4" type="noConversion"/>
  </si>
  <si>
    <t>normal length</t>
    <phoneticPr fontId="4" type="noConversion"/>
  </si>
  <si>
    <t>avg</t>
    <phoneticPr fontId="4" type="noConversion"/>
  </si>
  <si>
    <t>max</t>
    <phoneticPr fontId="4" type="noConversion"/>
  </si>
  <si>
    <t>min</t>
    <phoneticPr fontId="4" type="noConversion"/>
  </si>
  <si>
    <t>alpha</t>
    <phoneticPr fontId="4" type="noConversion"/>
  </si>
  <si>
    <t>l1</t>
    <phoneticPr fontId="4" type="noConversion"/>
  </si>
  <si>
    <t>l2</t>
    <phoneticPr fontId="4" type="noConversion"/>
  </si>
  <si>
    <t>l3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</si>
  <si>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</si>
  <si>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</si>
  <si>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</si>
  <si>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del_f/s1</t>
    <phoneticPr fontId="4" type="noConversion"/>
  </si>
  <si>
    <t>tau2</t>
    <phoneticPr fontId="4" type="noConversion"/>
  </si>
  <si>
    <t>fs</t>
    <phoneticPr fontId="4" type="noConversion"/>
  </si>
  <si>
    <t>MC2010</t>
    <phoneticPr fontId="4" type="noConversion"/>
  </si>
  <si>
    <t>Proposed</t>
    <phoneticPr fontId="4" type="noConversion"/>
  </si>
  <si>
    <r>
      <t>below 0.</t>
    </r>
    <r>
      <rPr>
        <sz val="11"/>
        <color theme="1"/>
        <rFont val="맑은 고딕"/>
        <family val="3"/>
        <charset val="129"/>
        <scheme val="minor"/>
      </rPr>
      <t>6</t>
    </r>
    <phoneticPr fontId="4" type="noConversion"/>
  </si>
  <si>
    <r>
      <t>0.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-0.8</t>
    </r>
    <phoneticPr fontId="4" type="noConversion"/>
  </si>
  <si>
    <t>0.8-1.0</t>
    <phoneticPr fontId="4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</si>
  <si>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.0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2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</si>
  <si>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4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</si>
  <si>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4</t>
    </r>
    <r>
      <rPr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family val="3"/>
        <charset val="129"/>
        <scheme val="minor"/>
      </rPr>
      <t>.6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</si>
  <si>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8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</si>
  <si>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1"/>
        <color theme="1"/>
        <rFont val="맑은 고딕"/>
        <family val="3"/>
        <charset val="129"/>
        <scheme val="minor"/>
      </rPr>
      <t>-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</si>
  <si>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r>
      <t xml:space="preserve">above 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</si>
  <si>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t>Simplified</t>
    <phoneticPr fontId="4" type="noConversion"/>
  </si>
  <si>
    <t>db
mm
(bar)</t>
    <phoneticPr fontId="3" type="noConversion"/>
  </si>
  <si>
    <t>ch
in.
(clear spacing of headed bars)</t>
    <phoneticPr fontId="4" type="noConversion"/>
  </si>
  <si>
    <t>Thompson</t>
    <phoneticPr fontId="3" type="noConversion"/>
  </si>
  <si>
    <t>CCT</t>
    <phoneticPr fontId="4" type="noConversion"/>
  </si>
  <si>
    <t>Anh/Ab</t>
    <phoneticPr fontId="4" type="noConversion"/>
  </si>
  <si>
    <t>Ah/Ab</t>
    <phoneticPr fontId="4" type="noConversion"/>
  </si>
  <si>
    <t>Bottom cover, mm</t>
    <phoneticPr fontId="4" type="noConversion"/>
  </si>
  <si>
    <t>c/d_b</t>
    <phoneticPr fontId="4" type="noConversion"/>
  </si>
  <si>
    <t>c2/d_b</t>
    <phoneticPr fontId="4" type="noConversion"/>
  </si>
  <si>
    <t>phi</t>
    <phoneticPr fontId="4" type="noConversion"/>
  </si>
  <si>
    <t>fs,head</t>
    <phoneticPr fontId="4" type="noConversion"/>
  </si>
  <si>
    <t>xi</t>
    <phoneticPr fontId="4" type="noConversion"/>
  </si>
  <si>
    <t>fs,bond</t>
    <phoneticPr fontId="4" type="noConversion"/>
  </si>
  <si>
    <t>head eff.d</t>
    <phoneticPr fontId="4" type="noConversion"/>
  </si>
  <si>
    <t>76x38</t>
    <phoneticPr fontId="4" type="noConversion"/>
  </si>
  <si>
    <t>51x38</t>
    <phoneticPr fontId="4" type="noConversion"/>
  </si>
  <si>
    <t>dh=57</t>
    <phoneticPr fontId="4" type="noConversion"/>
  </si>
  <si>
    <t>38x38</t>
    <phoneticPr fontId="4" type="noConversion"/>
  </si>
  <si>
    <t>102x76</t>
    <phoneticPr fontId="4" type="noConversion"/>
  </si>
  <si>
    <t>76x102</t>
    <phoneticPr fontId="4" type="noConversion"/>
  </si>
  <si>
    <t>Confined</t>
    <phoneticPr fontId="4" type="noConversion"/>
  </si>
  <si>
    <t>st</t>
    <phoneticPr fontId="4" type="noConversion"/>
  </si>
  <si>
    <t>la
mm</t>
    <phoneticPr fontId="3" type="noConversion"/>
  </si>
  <si>
    <t>La/d_b</t>
    <phoneticPr fontId="4" type="noConversion"/>
  </si>
  <si>
    <t>Ld/d_b</t>
    <phoneticPr fontId="4" type="noConversion"/>
  </si>
  <si>
    <t>dh=38</t>
    <phoneticPr fontId="4" type="noConversion"/>
  </si>
  <si>
    <t>Fsu at La, test
Mpa</t>
    <phoneticPr fontId="4" type="noConversion"/>
  </si>
  <si>
    <t>dh=38c</t>
    <phoneticPr fontId="4" type="noConversion"/>
  </si>
  <si>
    <t>38x76c</t>
    <phoneticPr fontId="4" type="noConversion"/>
  </si>
  <si>
    <t>Wright</t>
    <phoneticPr fontId="4" type="noConversion"/>
  </si>
  <si>
    <t>Stub-beam</t>
    <phoneticPr fontId="4" type="noConversion"/>
  </si>
  <si>
    <t>2-TH06-NP-3S1-208-13</t>
  </si>
  <si>
    <t>2-TH04-NP-3S1-208-19</t>
    <phoneticPr fontId="4" type="noConversion"/>
  </si>
  <si>
    <t>2-TH07-NP-NS-208-16</t>
  </si>
  <si>
    <t>2-TH08-NP-NS-20B-16</t>
  </si>
  <si>
    <t>2-TH09-NP-NS-20B-16</t>
  </si>
  <si>
    <t>3-TH04-NP-4S1 -308-19</t>
  </si>
  <si>
    <t>3-TH05-NP-4S 1-308-19</t>
  </si>
  <si>
    <t>3-TH06-NP-4S1 -308-19</t>
  </si>
  <si>
    <t>3-TH 1O-NP-4S1-208-19</t>
  </si>
  <si>
    <t>3-THl 1-NP-451-208-19</t>
  </si>
  <si>
    <t>3-TH 12-NP-4S 1-208-19</t>
  </si>
  <si>
    <t>- 4-THO 1-P-NS-308-292</t>
  </si>
  <si>
    <t>* * 4-TH02-P-NS-308-292</t>
  </si>
  <si>
    <t>-4-TH3-P-NS-308-292</t>
    <phoneticPr fontId="4" type="noConversion"/>
  </si>
  <si>
    <t>-4-TH07-NP-3S1 -309-19</t>
  </si>
  <si>
    <t>4-TH08-NP-3S 1-309-19</t>
  </si>
  <si>
    <t>4-TH09-NP-3S 1-309-1 9</t>
  </si>
  <si>
    <t>4-TH1 O-NP-4S2-308-19</t>
  </si>
  <si>
    <t>4-TH11-NP-4S2-308-19</t>
  </si>
  <si>
    <t>4-TH12-NP-4S2-308-19</t>
  </si>
  <si>
    <t>4-TH13-NP-4S2-208-19</t>
  </si>
  <si>
    <t>4-TH14-NP-4S2-208-19</t>
  </si>
  <si>
    <t>4-TH15-NP-452-208-19</t>
  </si>
  <si>
    <t>- 4-TH 16-NP-551-308-19</t>
  </si>
  <si>
    <t>* *4-TH18-NP-5S1-308-19</t>
  </si>
  <si>
    <t>4-TH20-NP-5S1-208-19</t>
  </si>
  <si>
    <t>~ 4-TH21-NP-5S1-208-19</t>
  </si>
  <si>
    <t>-4-TH17-NP-551-308-19</t>
    <phoneticPr fontId="4" type="noConversion"/>
  </si>
  <si>
    <t>-4-TH19-NP-551-208-19</t>
    <phoneticPr fontId="4" type="noConversion"/>
  </si>
  <si>
    <t>#18-M-0.9L-(1)</t>
  </si>
  <si>
    <t>#18-M-0.7L-(1)</t>
  </si>
  <si>
    <t>#18-M-0.7L-2R-(1)</t>
  </si>
  <si>
    <t>#18-M-0.5L-(1)</t>
  </si>
  <si>
    <t>#11-M-0.9L-(1)</t>
  </si>
  <si>
    <t>#11-M-0.7L-(1)</t>
  </si>
  <si>
    <t>#11-M-0.7L-2R-(1)</t>
  </si>
  <si>
    <t>#11-M-0.5L-(1)</t>
  </si>
  <si>
    <t>#8-M-0.9L-(1)</t>
  </si>
  <si>
    <t>#8-M-0.7L-(1)</t>
  </si>
  <si>
    <t>#8-M-0.7L-2R-(1)</t>
  </si>
  <si>
    <t>#8-M-0.5L-(1)</t>
  </si>
  <si>
    <t>Nb</t>
    <phoneticPr fontId="4" type="noConversion"/>
  </si>
  <si>
    <t>hef</t>
    <phoneticPr fontId="4" type="noConversion"/>
  </si>
  <si>
    <t>Area ratio</t>
    <phoneticPr fontId="4" type="noConversion"/>
  </si>
  <si>
    <t>HD-10db-2C.1</t>
    <phoneticPr fontId="4" type="noConversion"/>
  </si>
  <si>
    <t>Chun</t>
    <phoneticPr fontId="4" type="noConversion"/>
  </si>
  <si>
    <t>D29-S2-F42-L15</t>
  </si>
  <si>
    <t>D29-S2-F42-L20</t>
  </si>
  <si>
    <t>D29-S2-F42-L25</t>
  </si>
  <si>
    <t>D29-S4-F42-L15</t>
  </si>
  <si>
    <t>D29-S4-F42-L20</t>
  </si>
  <si>
    <t>D25-S2-F42-L20</t>
  </si>
  <si>
    <t>D25-S2-F42-L25</t>
  </si>
  <si>
    <t>D29-S2-F21-L20</t>
  </si>
  <si>
    <t>D29-S2-F21-L25</t>
  </si>
  <si>
    <t>D29-S2-F42-L15-Con.</t>
  </si>
  <si>
    <t>D29-S2-F42-L20-Con.</t>
  </si>
  <si>
    <t>D29-S2-F42-L30</t>
  </si>
  <si>
    <t>D29-S2-C3.5-F42-L15</t>
  </si>
  <si>
    <t>D29-S2-C3.5-F42-L20</t>
  </si>
  <si>
    <t>D29-S2-C3.5-F42-L25</t>
  </si>
  <si>
    <t>D29-S2-F70-L15</t>
  </si>
  <si>
    <t>D29-S2-F70-L20</t>
  </si>
  <si>
    <t>D29-S2-F70-L25</t>
  </si>
  <si>
    <t>D29-S2-F42-L20-LCon.</t>
  </si>
  <si>
    <t>D29-S2-F42-L25-Lcon.</t>
  </si>
  <si>
    <t>D29-S2-F42-L15-Con.2</t>
  </si>
  <si>
    <t>D29-S2-F42-L20-Con.2</t>
  </si>
  <si>
    <t>D29-S2-F70-L15-Con.</t>
  </si>
  <si>
    <t>D29-S2-F70-L20-Con.</t>
  </si>
  <si>
    <t>D22-L4-C1-1</t>
  </si>
  <si>
    <t>D32-L4-C1-2</t>
    <phoneticPr fontId="4" type="noConversion"/>
  </si>
  <si>
    <t>D43-L7-C1-S42</t>
  </si>
  <si>
    <t>D43-L7-C1-S42-HP0.5</t>
  </si>
  <si>
    <t>D43-L7-C1-S70</t>
  </si>
  <si>
    <t>D43-L10-C1-S42</t>
  </si>
  <si>
    <t>D43-L10-C1-S70</t>
  </si>
  <si>
    <t>D43-L13-C1-S42</t>
  </si>
  <si>
    <t>D43-L13-C2-S42</t>
  </si>
  <si>
    <t>D43-L13-C1-S42-T1.5</t>
  </si>
  <si>
    <t>D43-L13-C2-S42-T1.5</t>
  </si>
  <si>
    <t>D43-L16-C1-S42</t>
  </si>
  <si>
    <t>D43-L16-C2-S42</t>
  </si>
  <si>
    <t>D43-L16-C1-S42-T1.5</t>
  </si>
  <si>
    <t>D43-L16-C2-S42-T1.5</t>
  </si>
  <si>
    <t>D57-L7-C1-S42</t>
  </si>
  <si>
    <t>D57-L7-C1-S42-HP0.5</t>
  </si>
  <si>
    <t>D57-L7-C1-S70</t>
  </si>
  <si>
    <t>D57-L10-C1-S42</t>
  </si>
  <si>
    <t>D57-L10-C1-S42-HP0.5</t>
  </si>
  <si>
    <t>D57-L10-C1-S70</t>
  </si>
  <si>
    <t>D57-L13-C1-S42</t>
  </si>
  <si>
    <t>D57-L13-C1-S42-HP0.5</t>
  </si>
  <si>
    <t>D57-L13-C1-S42-HP1.0a</t>
  </si>
  <si>
    <t>D57-L13-C1-S42-HP1.0b</t>
  </si>
  <si>
    <t>D57-L13-C2-S42</t>
  </si>
  <si>
    <t>D57-L16-C1-S42</t>
  </si>
  <si>
    <t>D57-L16-C2-S42</t>
  </si>
  <si>
    <t>D43-L10-C1-S42- HP0.5</t>
  </si>
  <si>
    <t>Bashandy</t>
    <phoneticPr fontId="4" type="noConversion"/>
  </si>
  <si>
    <t>shear failure</t>
    <phoneticPr fontId="4" type="noConversion"/>
  </si>
  <si>
    <t>fs,head
Modified</t>
    <phoneticPr fontId="4" type="noConversion"/>
  </si>
  <si>
    <t>fs,head
flexural</t>
    <phoneticPr fontId="4" type="noConversion"/>
  </si>
  <si>
    <t>head thickness</t>
    <phoneticPr fontId="4" type="noConversion"/>
  </si>
  <si>
    <t>head fy</t>
    <phoneticPr fontId="4" type="noConversion"/>
  </si>
  <si>
    <t>l3 by la/ld</t>
    <phoneticPr fontId="4" type="noConversion"/>
  </si>
  <si>
    <t>l2 by la/ld</t>
    <phoneticPr fontId="4" type="noConversion"/>
  </si>
  <si>
    <t>cs</t>
    <phoneticPr fontId="4" type="noConversion"/>
  </si>
  <si>
    <t>cmin</t>
    <phoneticPr fontId="4" type="noConversion"/>
  </si>
  <si>
    <t>cmax</t>
    <phoneticPr fontId="4" type="noConversion"/>
  </si>
  <si>
    <t>c</t>
    <phoneticPr fontId="4" type="noConversion"/>
  </si>
  <si>
    <t>w</t>
    <phoneticPr fontId="4" type="noConversion"/>
  </si>
  <si>
    <t>(cw+K)db</t>
    <phoneticPr fontId="4" type="noConversion"/>
  </si>
  <si>
    <t>Joint tau</t>
    <phoneticPr fontId="4" type="noConversion"/>
  </si>
  <si>
    <t>ACI 408 tau</t>
    <phoneticPr fontId="4" type="noConversion"/>
  </si>
  <si>
    <t>Total</t>
    <phoneticPr fontId="4" type="noConversion"/>
  </si>
  <si>
    <t>Splice</t>
    <phoneticPr fontId="4" type="noConversion"/>
  </si>
  <si>
    <t>Joint</t>
    <phoneticPr fontId="4" type="noConversion"/>
  </si>
  <si>
    <t>ACI 
보강</t>
    <phoneticPr fontId="4" type="noConversion"/>
  </si>
  <si>
    <t>Thompson 
보강</t>
    <phoneticPr fontId="4" type="noConversion"/>
  </si>
  <si>
    <t>Pro
보강</t>
    <phoneticPr fontId="4" type="noConversion"/>
  </si>
  <si>
    <t>Simple
보강</t>
    <phoneticPr fontId="4" type="noConversion"/>
  </si>
  <si>
    <t>cmin</t>
    <phoneticPr fontId="6" type="noConversion"/>
  </si>
  <si>
    <t>cmax</t>
    <phoneticPr fontId="6" type="noConversion"/>
  </si>
  <si>
    <t>a2</t>
    <phoneticPr fontId="6" type="noConversion"/>
  </si>
  <si>
    <t>kd</t>
    <phoneticPr fontId="6" type="noConversion"/>
  </si>
  <si>
    <t>Ktr</t>
    <phoneticPr fontId="6" type="noConversion"/>
  </si>
  <si>
    <t>a3</t>
    <phoneticPr fontId="6" type="noConversion"/>
  </si>
  <si>
    <t>ita3</t>
    <phoneticPr fontId="6" type="noConversion"/>
  </si>
  <si>
    <t>ita4</t>
    <phoneticPr fontId="6" type="noConversion"/>
  </si>
  <si>
    <t>fbd0</t>
    <phoneticPr fontId="6" type="noConversion"/>
  </si>
  <si>
    <t>Thompson</t>
    <phoneticPr fontId="4" type="noConversion"/>
  </si>
  <si>
    <t>ACI 408</t>
    <phoneticPr fontId="4" type="noConversion"/>
  </si>
  <si>
    <t>EC2</t>
    <phoneticPr fontId="4" type="noConversion"/>
  </si>
  <si>
    <t>cov</t>
    <phoneticPr fontId="4" type="noConversion"/>
  </si>
  <si>
    <t>CCT</t>
    <phoneticPr fontId="4" type="noConversion"/>
  </si>
  <si>
    <t>paper equation</t>
    <phoneticPr fontId="4" type="noConversion"/>
  </si>
  <si>
    <t>Ld</t>
    <phoneticPr fontId="4" type="noConversion"/>
  </si>
  <si>
    <t>fcm
Mpa</t>
    <phoneticPr fontId="3" type="noConversion"/>
  </si>
  <si>
    <t>b
mm</t>
    <phoneticPr fontId="4" type="noConversion"/>
  </si>
  <si>
    <t>cso,avg
mm</t>
    <phoneticPr fontId="4" type="noConversion"/>
  </si>
  <si>
    <t>cth
in.
(clear cover from tail of hook to col. back face)</t>
    <phoneticPr fontId="4" type="noConversion"/>
  </si>
  <si>
    <t>Nh
(num. of hooked bars)</t>
    <phoneticPr fontId="4" type="noConversion"/>
  </si>
  <si>
    <t>fyt
MPa</t>
    <phoneticPr fontId="4" type="noConversion"/>
  </si>
  <si>
    <t>dtr
in.
(trans. Rebar dia. Inside hook)</t>
    <phoneticPr fontId="4" type="noConversion"/>
  </si>
  <si>
    <t>Ntr
(num. of stirrups)</t>
    <phoneticPr fontId="4" type="noConversion"/>
  </si>
  <si>
    <t>ACI pullout</t>
    <phoneticPr fontId="4" type="noConversion"/>
  </si>
  <si>
    <t>cd</t>
    <phoneticPr fontId="4" type="noConversion"/>
  </si>
  <si>
    <t>a3</t>
    <phoneticPr fontId="4" type="noConversion"/>
  </si>
  <si>
    <t>fbd</t>
    <phoneticPr fontId="6" type="noConversion"/>
  </si>
  <si>
    <t>a1</t>
    <phoneticPr fontId="4" type="noConversion"/>
  </si>
  <si>
    <t>fs,MC2010</t>
    <phoneticPr fontId="6" type="noConversion"/>
  </si>
  <si>
    <t>test/ACI</t>
    <phoneticPr fontId="4" type="noConversion"/>
  </si>
  <si>
    <t>test/Thompson</t>
    <phoneticPr fontId="4" type="noConversion"/>
  </si>
  <si>
    <t>test/MC2010</t>
    <phoneticPr fontId="4" type="noConversion"/>
  </si>
  <si>
    <t>test/proposed</t>
    <phoneticPr fontId="4" type="noConversion"/>
  </si>
  <si>
    <t>Simplified</t>
    <phoneticPr fontId="4" type="noConversion"/>
  </si>
  <si>
    <t>ACI 
무보강</t>
    <phoneticPr fontId="4" type="noConversion"/>
  </si>
  <si>
    <t>Thompson 
무보강</t>
    <phoneticPr fontId="4" type="noConversion"/>
  </si>
  <si>
    <t>MC 
무보강</t>
    <phoneticPr fontId="4" type="noConversion"/>
  </si>
  <si>
    <t>Pro
무보강</t>
    <phoneticPr fontId="4" type="noConversion"/>
  </si>
  <si>
    <t>Simple
무보강</t>
    <phoneticPr fontId="4" type="noConversion"/>
  </si>
  <si>
    <t>total
length
mm</t>
    <phoneticPr fontId="4" type="noConversion"/>
  </si>
  <si>
    <t>normal length</t>
    <phoneticPr fontId="4" type="noConversion"/>
  </si>
  <si>
    <t>C1</t>
    <phoneticPr fontId="4" type="noConversion"/>
  </si>
  <si>
    <t>existing
modi.tau_u</t>
    <phoneticPr fontId="6" type="noConversion"/>
  </si>
  <si>
    <t>del_f/s1</t>
    <phoneticPr fontId="4" type="noConversion"/>
  </si>
  <si>
    <t>avg.tau1</t>
    <phoneticPr fontId="6" type="noConversion"/>
  </si>
  <si>
    <t>tau3</t>
    <phoneticPr fontId="4" type="noConversion"/>
  </si>
  <si>
    <t>무보강</t>
    <phoneticPr fontId="4" type="noConversion"/>
  </si>
  <si>
    <t>a2</t>
    <phoneticPr fontId="4" type="noConversion"/>
  </si>
  <si>
    <t>a3</t>
    <phoneticPr fontId="4" type="noConversion"/>
  </si>
  <si>
    <t>보강</t>
    <phoneticPr fontId="4" type="noConversion"/>
  </si>
  <si>
    <t>alpha</t>
    <phoneticPr fontId="4" type="noConversion"/>
  </si>
  <si>
    <t>l1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</si>
  <si>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</si>
  <si>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</si>
  <si>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</si>
  <si>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</t>
    <phoneticPr fontId="4" type="noConversion"/>
  </si>
  <si>
    <t>tau1</t>
    <phoneticPr fontId="4" type="noConversion"/>
  </si>
  <si>
    <t>tau2</t>
    <phoneticPr fontId="4" type="noConversion"/>
  </si>
  <si>
    <t>l2</t>
    <phoneticPr fontId="4" type="noConversion"/>
  </si>
  <si>
    <t>l3</t>
    <phoneticPr fontId="4" type="noConversion"/>
  </si>
  <si>
    <t>fs</t>
    <phoneticPr fontId="4" type="noConversion"/>
  </si>
  <si>
    <t>l2 by la/ld</t>
    <phoneticPr fontId="4" type="noConversion"/>
  </si>
  <si>
    <t>l3 by la/ld</t>
    <phoneticPr fontId="4" type="noConversion"/>
  </si>
  <si>
    <t>ACI</t>
    <phoneticPr fontId="4" type="noConversion"/>
  </si>
  <si>
    <t>MC2010</t>
    <phoneticPr fontId="4" type="noConversion"/>
  </si>
  <si>
    <t>Proposed</t>
    <phoneticPr fontId="4" type="noConversion"/>
  </si>
  <si>
    <t>Thompson</t>
    <phoneticPr fontId="3" type="noConversion"/>
  </si>
  <si>
    <t>dh=38</t>
    <phoneticPr fontId="4" type="noConversion"/>
  </si>
  <si>
    <t>38x38</t>
    <phoneticPr fontId="4" type="noConversion"/>
  </si>
  <si>
    <t>CCT</t>
    <phoneticPr fontId="4" type="noConversion"/>
  </si>
  <si>
    <t>51x38</t>
    <phoneticPr fontId="4" type="noConversion"/>
  </si>
  <si>
    <t>38x51</t>
    <phoneticPr fontId="4" type="noConversion"/>
  </si>
  <si>
    <t>dh=57</t>
    <phoneticPr fontId="4" type="noConversion"/>
  </si>
  <si>
    <t>51x51</t>
    <phoneticPr fontId="4" type="noConversion"/>
  </si>
  <si>
    <t>76x38</t>
    <phoneticPr fontId="4" type="noConversion"/>
  </si>
  <si>
    <t>38x76</t>
    <phoneticPr fontId="4" type="noConversion"/>
  </si>
  <si>
    <t>76x76</t>
    <phoneticPr fontId="4" type="noConversion"/>
  </si>
  <si>
    <t>dh=52</t>
    <phoneticPr fontId="4" type="noConversion"/>
  </si>
  <si>
    <t>76x51</t>
    <phoneticPr fontId="4" type="noConversion"/>
  </si>
  <si>
    <t>51x76</t>
    <phoneticPr fontId="4" type="noConversion"/>
  </si>
  <si>
    <t>dh=76</t>
    <phoneticPr fontId="4" type="noConversion"/>
  </si>
  <si>
    <t>102x51</t>
    <phoneticPr fontId="4" type="noConversion"/>
  </si>
  <si>
    <t>51x102</t>
    <phoneticPr fontId="4" type="noConversion"/>
  </si>
  <si>
    <t>102x76</t>
    <phoneticPr fontId="4" type="noConversion"/>
  </si>
  <si>
    <t>76x102</t>
    <phoneticPr fontId="4" type="noConversion"/>
  </si>
  <si>
    <t>102x102</t>
    <phoneticPr fontId="4" type="noConversion"/>
  </si>
  <si>
    <t>Confined</t>
    <phoneticPr fontId="4" type="noConversion"/>
  </si>
  <si>
    <t>Lap splice</t>
    <phoneticPr fontId="4" type="noConversion"/>
  </si>
  <si>
    <t>dh=38c</t>
    <phoneticPr fontId="4" type="noConversion"/>
  </si>
  <si>
    <t>38x76c</t>
    <phoneticPr fontId="4" type="noConversion"/>
  </si>
  <si>
    <t>debonding</t>
    <phoneticPr fontId="4" type="noConversion"/>
  </si>
  <si>
    <t>Chun</t>
    <phoneticPr fontId="4" type="noConversion"/>
  </si>
  <si>
    <t>Wright</t>
    <phoneticPr fontId="4" type="noConversion"/>
  </si>
  <si>
    <t>1-TH01-P-NS-2DB-292</t>
    <phoneticPr fontId="4" type="noConversion"/>
  </si>
  <si>
    <t>1-TH02-P-NS-2DB-292</t>
    <phoneticPr fontId="4" type="noConversion"/>
  </si>
  <si>
    <t>1-TH03-P-NS-2DB-292</t>
    <phoneticPr fontId="4" type="noConversion"/>
  </si>
  <si>
    <t>2-TH04-NP-3S1-208-19</t>
    <phoneticPr fontId="4" type="noConversion"/>
  </si>
  <si>
    <t>2-TH05-NP-3S1-208-19</t>
    <phoneticPr fontId="4" type="noConversion"/>
  </si>
  <si>
    <t>-4-TH3-P-NS-308-292</t>
    <phoneticPr fontId="4" type="noConversion"/>
  </si>
  <si>
    <t>-4-TH17-NP-551-308-19</t>
    <phoneticPr fontId="4" type="noConversion"/>
  </si>
  <si>
    <t>-4-TH19-NP-551-208-19</t>
    <phoneticPr fontId="4" type="noConversion"/>
  </si>
  <si>
    <t>Hong 2007</t>
    <phoneticPr fontId="4" type="noConversion"/>
  </si>
  <si>
    <t>shear failure</t>
    <phoneticPr fontId="4" type="noConversion"/>
  </si>
  <si>
    <t>Joint type</t>
    <phoneticPr fontId="4" type="noConversion"/>
  </si>
  <si>
    <t>Chun 2016</t>
    <phoneticPr fontId="4" type="noConversion"/>
  </si>
  <si>
    <t>D22-L4-C1-2</t>
    <phoneticPr fontId="4" type="noConversion"/>
  </si>
  <si>
    <t>D32-L4-C1-1</t>
    <phoneticPr fontId="4" type="noConversion"/>
  </si>
  <si>
    <t>D32-L4-C1-2</t>
    <phoneticPr fontId="4" type="noConversion"/>
  </si>
  <si>
    <t>D22-L4-C1.5-1</t>
    <phoneticPr fontId="4" type="noConversion"/>
  </si>
  <si>
    <t>D22-L4-C1.5-2</t>
    <phoneticPr fontId="4" type="noConversion"/>
  </si>
  <si>
    <t>D22-L4-C1-Tr-1</t>
    <phoneticPr fontId="4" type="noConversion"/>
  </si>
  <si>
    <t>D22-L4-C1-Tr-2</t>
    <phoneticPr fontId="4" type="noConversion"/>
  </si>
  <si>
    <t>D22-L6-C1-1</t>
    <phoneticPr fontId="4" type="noConversion"/>
  </si>
  <si>
    <t>D22-L6-C1-2</t>
    <phoneticPr fontId="4" type="noConversion"/>
  </si>
  <si>
    <t>D32-L4-C1.5-1</t>
    <phoneticPr fontId="4" type="noConversion"/>
  </si>
  <si>
    <t>D32-L4-C1.5-2</t>
    <phoneticPr fontId="4" type="noConversion"/>
  </si>
  <si>
    <t>D32-L4-C1-Tr-1</t>
    <phoneticPr fontId="4" type="noConversion"/>
  </si>
  <si>
    <t>D32-L4-C1-Tr-2</t>
    <phoneticPr fontId="4" type="noConversion"/>
  </si>
  <si>
    <t>D32-L6-C1-1</t>
    <phoneticPr fontId="4" type="noConversion"/>
  </si>
  <si>
    <t>D32-L6-C1-2</t>
    <phoneticPr fontId="4" type="noConversion"/>
  </si>
  <si>
    <t>Chun 2017</t>
    <phoneticPr fontId="4" type="noConversion"/>
  </si>
  <si>
    <t>Bashandy</t>
    <phoneticPr fontId="4" type="noConversion"/>
  </si>
  <si>
    <t>T1</t>
    <phoneticPr fontId="4" type="noConversion"/>
  </si>
  <si>
    <r>
      <t>T2</t>
    </r>
    <r>
      <rPr>
        <sz val="11"/>
        <color theme="1"/>
        <rFont val="맑은 고딕"/>
        <family val="2"/>
        <charset val="129"/>
        <scheme val="minor"/>
      </rPr>
      <t/>
    </r>
  </si>
  <si>
    <r>
      <t>T3</t>
    </r>
    <r>
      <rPr>
        <sz val="11"/>
        <color theme="1"/>
        <rFont val="맑은 고딕"/>
        <family val="2"/>
        <charset val="129"/>
        <scheme val="minor"/>
      </rPr>
      <t/>
    </r>
  </si>
  <si>
    <r>
      <t>T4</t>
    </r>
    <r>
      <rPr>
        <sz val="11"/>
        <color theme="1"/>
        <rFont val="맑은 고딕"/>
        <family val="2"/>
        <charset val="129"/>
        <scheme val="minor"/>
      </rPr>
      <t/>
    </r>
  </si>
  <si>
    <r>
      <t>T5</t>
    </r>
    <r>
      <rPr>
        <sz val="11"/>
        <color theme="1"/>
        <rFont val="맑은 고딕"/>
        <family val="2"/>
        <charset val="129"/>
        <scheme val="minor"/>
      </rPr>
      <t/>
    </r>
  </si>
  <si>
    <r>
      <t>T6</t>
    </r>
    <r>
      <rPr>
        <sz val="11"/>
        <color theme="1"/>
        <rFont val="맑은 고딕"/>
        <family val="2"/>
        <charset val="129"/>
        <scheme val="minor"/>
      </rPr>
      <t/>
    </r>
  </si>
  <si>
    <r>
      <t>T7</t>
    </r>
    <r>
      <rPr>
        <sz val="11"/>
        <color theme="1"/>
        <rFont val="맑은 고딕"/>
        <family val="2"/>
        <charset val="129"/>
        <scheme val="minor"/>
      </rPr>
      <t/>
    </r>
  </si>
  <si>
    <r>
      <t>T8</t>
    </r>
    <r>
      <rPr>
        <sz val="11"/>
        <color theme="1"/>
        <rFont val="맑은 고딕"/>
        <family val="2"/>
        <charset val="129"/>
        <scheme val="minor"/>
      </rPr>
      <t/>
    </r>
  </si>
  <si>
    <r>
      <t>T9</t>
    </r>
    <r>
      <rPr>
        <sz val="11"/>
        <color theme="1"/>
        <rFont val="맑은 고딕"/>
        <family val="2"/>
        <charset val="129"/>
        <scheme val="minor"/>
      </rPr>
      <t/>
    </r>
  </si>
  <si>
    <r>
      <t>T10</t>
    </r>
    <r>
      <rPr>
        <sz val="11"/>
        <color theme="1"/>
        <rFont val="맑은 고딕"/>
        <family val="2"/>
        <charset val="129"/>
        <scheme val="minor"/>
      </rPr>
      <t/>
    </r>
  </si>
  <si>
    <r>
      <t>T11</t>
    </r>
    <r>
      <rPr>
        <sz val="11"/>
        <color theme="1"/>
        <rFont val="맑은 고딕"/>
        <family val="2"/>
        <charset val="129"/>
        <scheme val="minor"/>
      </rPr>
      <t/>
    </r>
  </si>
  <si>
    <r>
      <t>T12</t>
    </r>
    <r>
      <rPr>
        <sz val="11"/>
        <color theme="1"/>
        <rFont val="맑은 고딕"/>
        <family val="2"/>
        <charset val="129"/>
        <scheme val="minor"/>
      </rPr>
      <t/>
    </r>
  </si>
  <si>
    <r>
      <t>T13</t>
    </r>
    <r>
      <rPr>
        <sz val="11"/>
        <color theme="1"/>
        <rFont val="맑은 고딕"/>
        <family val="2"/>
        <charset val="129"/>
        <scheme val="minor"/>
      </rPr>
      <t/>
    </r>
  </si>
  <si>
    <r>
      <t>T14</t>
    </r>
    <r>
      <rPr>
        <sz val="11"/>
        <color theme="1"/>
        <rFont val="맑은 고딕"/>
        <family val="2"/>
        <charset val="129"/>
        <scheme val="minor"/>
      </rPr>
      <t/>
    </r>
  </si>
  <si>
    <r>
      <t>T15</t>
    </r>
    <r>
      <rPr>
        <sz val="11"/>
        <color theme="1"/>
        <rFont val="맑은 고딕"/>
        <family val="2"/>
        <charset val="129"/>
        <scheme val="minor"/>
      </rPr>
      <t/>
    </r>
  </si>
  <si>
    <r>
      <t>T16</t>
    </r>
    <r>
      <rPr>
        <sz val="11"/>
        <color theme="1"/>
        <rFont val="맑은 고딕"/>
        <family val="2"/>
        <charset val="129"/>
        <scheme val="minor"/>
      </rPr>
      <t/>
    </r>
  </si>
  <si>
    <r>
      <t>T17</t>
    </r>
    <r>
      <rPr>
        <sz val="11"/>
        <color theme="1"/>
        <rFont val="맑은 고딕"/>
        <family val="2"/>
        <charset val="129"/>
        <scheme val="minor"/>
      </rPr>
      <t/>
    </r>
  </si>
  <si>
    <r>
      <t>T18</t>
    </r>
    <r>
      <rPr>
        <sz val="11"/>
        <color theme="1"/>
        <rFont val="맑은 고딕"/>
        <family val="2"/>
        <charset val="129"/>
        <scheme val="minor"/>
      </rPr>
      <t/>
    </r>
  </si>
  <si>
    <r>
      <t>T19</t>
    </r>
    <r>
      <rPr>
        <sz val="11"/>
        <color theme="1"/>
        <rFont val="맑은 고딕"/>
        <family val="2"/>
        <charset val="129"/>
        <scheme val="minor"/>
      </rPr>
      <t/>
    </r>
  </si>
  <si>
    <r>
      <t>T20</t>
    </r>
    <r>
      <rPr>
        <sz val="11"/>
        <color theme="1"/>
        <rFont val="맑은 고딕"/>
        <family val="2"/>
        <charset val="129"/>
        <scheme val="minor"/>
      </rPr>
      <t/>
    </r>
  </si>
  <si>
    <r>
      <t>T21</t>
    </r>
    <r>
      <rPr>
        <sz val="11"/>
        <color theme="1"/>
        <rFont val="맑은 고딕"/>
        <family val="2"/>
        <charset val="129"/>
        <scheme val="minor"/>
      </rPr>
      <t/>
    </r>
  </si>
  <si>
    <r>
      <t>T22</t>
    </r>
    <r>
      <rPr>
        <sz val="11"/>
        <color theme="1"/>
        <rFont val="맑은 고딕"/>
        <family val="2"/>
        <charset val="129"/>
        <scheme val="minor"/>
      </rPr>
      <t/>
    </r>
  </si>
  <si>
    <r>
      <t>T23</t>
    </r>
    <r>
      <rPr>
        <sz val="11"/>
        <color theme="1"/>
        <rFont val="맑은 고딕"/>
        <family val="2"/>
        <charset val="129"/>
        <scheme val="minor"/>
      </rPr>
      <t/>
    </r>
  </si>
  <si>
    <r>
      <t>T24</t>
    </r>
    <r>
      <rPr>
        <sz val="11"/>
        <color theme="1"/>
        <rFont val="맑은 고딕"/>
        <family val="2"/>
        <charset val="129"/>
        <scheme val="minor"/>
      </rPr>
      <t/>
    </r>
  </si>
  <si>
    <r>
      <t>T25</t>
    </r>
    <r>
      <rPr>
        <sz val="11"/>
        <color theme="1"/>
        <rFont val="맑은 고딕"/>
        <family val="2"/>
        <charset val="129"/>
        <scheme val="minor"/>
      </rPr>
      <t/>
    </r>
  </si>
  <si>
    <r>
      <t>T26</t>
    </r>
    <r>
      <rPr>
        <sz val="11"/>
        <color theme="1"/>
        <rFont val="맑은 고딕"/>
        <family val="2"/>
        <charset val="129"/>
        <scheme val="minor"/>
      </rPr>
      <t/>
    </r>
  </si>
  <si>
    <r>
      <t>T27</t>
    </r>
    <r>
      <rPr>
        <sz val="11"/>
        <color theme="1"/>
        <rFont val="맑은 고딕"/>
        <family val="2"/>
        <charset val="129"/>
        <scheme val="minor"/>
      </rPr>
      <t/>
    </r>
  </si>
  <si>
    <r>
      <t>T28</t>
    </r>
    <r>
      <rPr>
        <sz val="11"/>
        <color theme="1"/>
        <rFont val="맑은 고딕"/>
        <family val="2"/>
        <charset val="129"/>
        <scheme val="minor"/>
      </rPr>
      <t/>
    </r>
  </si>
  <si>
    <r>
      <t>T29</t>
    </r>
    <r>
      <rPr>
        <sz val="11"/>
        <color theme="1"/>
        <rFont val="맑은 고딕"/>
        <family val="2"/>
        <charset val="129"/>
        <scheme val="minor"/>
      </rPr>
      <t/>
    </r>
  </si>
  <si>
    <r>
      <t>T30</t>
    </r>
    <r>
      <rPr>
        <sz val="11"/>
        <color theme="1"/>
        <rFont val="맑은 고딕"/>
        <family val="2"/>
        <charset val="129"/>
        <scheme val="minor"/>
      </rPr>
      <t/>
    </r>
  </si>
  <si>
    <r>
      <t>T31</t>
    </r>
    <r>
      <rPr>
        <sz val="11"/>
        <color theme="1"/>
        <rFont val="맑은 고딕"/>
        <family val="2"/>
        <charset val="129"/>
        <scheme val="minor"/>
      </rPr>
      <t/>
    </r>
  </si>
  <si>
    <r>
      <t>T32</t>
    </r>
    <r>
      <rPr>
        <sz val="11"/>
        <color theme="1"/>
        <rFont val="맑은 고딕"/>
        <family val="2"/>
        <charset val="129"/>
        <scheme val="minor"/>
      </rPr>
      <t/>
    </r>
  </si>
  <si>
    <t>Choi 2002</t>
    <phoneticPr fontId="4" type="noConversion"/>
  </si>
  <si>
    <t>HD-10db-2A.1</t>
    <phoneticPr fontId="4" type="noConversion"/>
  </si>
  <si>
    <t>HD-10db-2A.2</t>
    <phoneticPr fontId="4" type="noConversion"/>
  </si>
  <si>
    <t>HD-10db-2C.1</t>
    <phoneticPr fontId="4" type="noConversion"/>
  </si>
  <si>
    <t>HD-10db-2C.2</t>
    <phoneticPr fontId="4" type="noConversion"/>
  </si>
  <si>
    <t>Pullout</t>
    <phoneticPr fontId="4" type="noConversion"/>
  </si>
  <si>
    <t>MC 
보강</t>
    <phoneticPr fontId="4" type="noConversion"/>
  </si>
  <si>
    <t>차이값 보정</t>
    <phoneticPr fontId="4" type="noConversion"/>
  </si>
  <si>
    <t>head bearing</t>
    <phoneticPr fontId="4" type="noConversion"/>
  </si>
  <si>
    <t>dh/d_b</t>
    <phoneticPr fontId="4" type="noConversion"/>
  </si>
  <si>
    <t>Thompson</t>
    <phoneticPr fontId="4" type="noConversion"/>
  </si>
  <si>
    <t>ACI 318-14</t>
    <phoneticPr fontId="4" type="noConversion"/>
  </si>
  <si>
    <t>Thompson et al.</t>
    <phoneticPr fontId="4" type="noConversion"/>
  </si>
  <si>
    <t>fib MC 2010</t>
    <phoneticPr fontId="4" type="noConversion"/>
  </si>
  <si>
    <t>Chun</t>
    <phoneticPr fontId="4" type="noConversion"/>
  </si>
  <si>
    <t>phi</t>
    <phoneticPr fontId="4" type="noConversion"/>
  </si>
  <si>
    <t>test/Chun</t>
    <phoneticPr fontId="4" type="noConversion"/>
  </si>
  <si>
    <t>Eff. Anh/Ab</t>
    <phoneticPr fontId="4" type="noConversion"/>
  </si>
  <si>
    <t>eff. Anh/Ad</t>
    <phoneticPr fontId="4" type="noConversion"/>
  </si>
  <si>
    <t>Proposed method (Eq. (21))</t>
    <phoneticPr fontId="4" type="noConversion"/>
  </si>
  <si>
    <t>Proposed method (Eq. (22))</t>
    <phoneticPr fontId="4" type="noConversion"/>
  </si>
  <si>
    <t>Shao 2016</t>
    <phoneticPr fontId="4" type="noConversion"/>
  </si>
  <si>
    <t>Joint type</t>
    <phoneticPr fontId="4" type="noConversion"/>
  </si>
  <si>
    <t>8-5-T4.0-0-i-3-3-15.5</t>
  </si>
  <si>
    <t>8-5-T4.0-0-i-4-3-15.5</t>
  </si>
  <si>
    <t>8-5-T4.0-4#3-i-3-3-12.5</t>
  </si>
  <si>
    <t>8-5-T4.0-4#3-i-4-3-12.5</t>
  </si>
  <si>
    <t>8-5-T4.0-4#4-i-3-3-12.5</t>
  </si>
  <si>
    <t>8-5-T4.0-4#4-i-4-3-12.5</t>
  </si>
  <si>
    <t>8-5g-T4.0-0-i-2.5-3-12.5</t>
  </si>
  <si>
    <t>8-5g-T4.0-0-i-3.5-3-12.5</t>
  </si>
  <si>
    <t>8-5g-T4.0-5#3-i-2.5-3-9.5</t>
  </si>
  <si>
    <t>8-5g-T4.0-5#3-i-3.5-3-9.5</t>
  </si>
  <si>
    <t>8-5g-T4.0-4#4-i-2.5-3-9.5</t>
  </si>
  <si>
    <t>8-5g-T4.0-4#4-i-3.5-3-9.5</t>
  </si>
  <si>
    <t>8-5-T4.0-0-i-2.5-3-12.5</t>
  </si>
  <si>
    <t>8-5-T4.0-0-i-3.5-3-12.5</t>
  </si>
  <si>
    <t>8-5-T4.0-5#3-i-2.5-3-9.5</t>
  </si>
  <si>
    <t>8-5-T4.0-5#3-i-3.5-3-9.5</t>
  </si>
  <si>
    <t>8-5-T4.0-4#4-i-2.5-3-9.5</t>
  </si>
  <si>
    <t>8-5-T4.0-4#4-i-3.5-3-9.5</t>
  </si>
  <si>
    <t>8-8-F4.1-0-i-2.5-3-10.5</t>
  </si>
  <si>
    <t>8-8-F4.1-2#3-i-2.5-3-10</t>
  </si>
  <si>
    <t>(3@3)8-8-F4.1-0-i-2.5-3-10.5</t>
  </si>
  <si>
    <t>G2</t>
    <phoneticPr fontId="4" type="noConversion"/>
  </si>
  <si>
    <t>G3</t>
    <phoneticPr fontId="4" type="noConversion"/>
  </si>
  <si>
    <t>G4</t>
    <phoneticPr fontId="4" type="noConversion"/>
  </si>
  <si>
    <t>(3@3)8-8-F4.1-0-i-2.5-3-10.5-HP</t>
  </si>
  <si>
    <t>(3@3)8-8-F4.1-2#3-i-2.5-3-10</t>
  </si>
  <si>
    <t>(3@3)8-8-F4.1-2#3-i-2.5-3-10-HP</t>
  </si>
  <si>
    <t>(3@4)8-8-F4.1-0-i-2.5-3-10.5</t>
  </si>
  <si>
    <t>(3@4)8-8-F4.1-2#3-i-2.5-3-10</t>
  </si>
  <si>
    <t>(3@4)8-8-F4.1-2#3-i-2.5-3-10-HP</t>
  </si>
  <si>
    <t>(3@5)8-8-F4.1-0-i-2.5-3-10.5</t>
  </si>
  <si>
    <t>(3@5)8-8-F4.1-0-i-2.5-3-10.5-HP</t>
  </si>
  <si>
    <t>(3@5)8-8-F4.1-2#3-i-2.5-3-10.5</t>
  </si>
  <si>
    <t>(3@5)8-8-F4.1-2#3-i-2.5-3-10.5-HP</t>
  </si>
  <si>
    <t>G5</t>
    <phoneticPr fontId="4" type="noConversion"/>
  </si>
  <si>
    <t>8-12-F4.1-0-i-2.5-3-10</t>
  </si>
  <si>
    <t>8-12-F4.1-5#3-i-2.5-3-10</t>
  </si>
  <si>
    <t>(3@3)8-12-F4.1-0-i-2.5-3-10</t>
  </si>
  <si>
    <t>(3@3)8-12-F4.1-5#3-i-2.5-3-10</t>
  </si>
  <si>
    <t>(3@4)8-12-F4.1-0-i-2.5-3-10</t>
  </si>
  <si>
    <t>(3@4)8-12-F4.1-5#3-i-2.5-3-10</t>
  </si>
  <si>
    <t>(3@5)8-12-F4.1-0-i-2.5-3-10</t>
  </si>
  <si>
    <t>(3@5)8-12-F4.1-5#3-i-2.5-3-10</t>
  </si>
  <si>
    <t>G6</t>
    <phoneticPr fontId="4" type="noConversion"/>
  </si>
  <si>
    <t>8-5-S6.5-0-i-2.5-3-11.25</t>
  </si>
  <si>
    <t>8-5-S6.5-0-i-2.5-3-14.25</t>
  </si>
  <si>
    <t>8-5-O4.5-0-i-2.5-3-11.25</t>
  </si>
  <si>
    <t>8-5-O4.5-0-i-2.5-3-14.25</t>
  </si>
  <si>
    <t>8-5-S6.5-2#3-i-2.5-3-9.25</t>
  </si>
  <si>
    <t>8-5-S6.5-2#3-i-2.5-3-12.25</t>
  </si>
  <si>
    <t>8-5-O4.5-2#3-i-2.5-3-9.25</t>
  </si>
  <si>
    <t>8-5-O4.5-2#3-i-2.5-3-12.25</t>
  </si>
  <si>
    <t>8-5-S6.5-5#3-i-2.5-3-8.25</t>
  </si>
  <si>
    <t>8-5-S6.5-5#3-i-2.5-3-11.25</t>
  </si>
  <si>
    <t>8-5-O4.5-5#3-i-2.5-3-8.25</t>
  </si>
  <si>
    <t>8-5-O4.5-5#3-i-2.5-3-11.25</t>
  </si>
  <si>
    <t>G7</t>
    <phoneticPr fontId="4" type="noConversion"/>
  </si>
  <si>
    <t>8-5-T9.5-0-i-2.5-3-14.5</t>
  </si>
  <si>
    <t>8-5-O9.1-0-i-2.5-3-14.5</t>
  </si>
  <si>
    <t>8-5-T9.5-5#3-i-2.5-3-14.5</t>
  </si>
  <si>
    <t>8-5-O9.1-5#3-i-2.5-3-14.5</t>
  </si>
  <si>
    <t>(3@5.5)8-5-T9.5-0-i-2.5-3-14.5</t>
  </si>
  <si>
    <t>(3@5.5)8-5-O9.1-0-i-2.5-3-14.5</t>
  </si>
  <si>
    <t>(3@5.5)8-5-T9.5-5#3-i-2.5-3-14.5</t>
  </si>
  <si>
    <t>(3@5.5)8-5-O9.1-5#3-i-2.5-3-14.5</t>
  </si>
  <si>
    <t>(4@3.7)8-5-T9.5-0-i-2.5-3-14.5</t>
  </si>
  <si>
    <t>(4@3.7)8-5-O9.1-0-i-2.5-3-14.5</t>
  </si>
  <si>
    <t>(4@3.7)8-5-T9.5-5#3-i-2.5-3-14.5</t>
  </si>
  <si>
    <t>(4@3.7)8-5-O9.1-5#3-i-2.5-3-14.5</t>
  </si>
  <si>
    <t>G8</t>
    <phoneticPr fontId="4" type="noConversion"/>
  </si>
  <si>
    <t>8-15-T4.0-0-i-2.5-4.5-9.5</t>
  </si>
  <si>
    <t>8-15-S9.5-0-i-2.5-3-9.5</t>
  </si>
  <si>
    <t>8-15-S14.9-0-i-2.5-3-9.5</t>
  </si>
  <si>
    <t>8-15-T4.0-2#3-i-2.5-4.5-7</t>
  </si>
  <si>
    <t>8-15-S9.5-2#3-i-2.5-3-7</t>
  </si>
  <si>
    <t>8-15-S14.9-2#3-i-2.5-3-7</t>
  </si>
  <si>
    <t>8-15-T4.0-5#3-i-2.5-4.5-5.5</t>
  </si>
  <si>
    <t>8-15-S9.5-5#3-i-2.5-3-5.5</t>
  </si>
  <si>
    <t>8-15-S14.9-5#3-i-2.5-3-5.5</t>
  </si>
  <si>
    <t>G9</t>
    <phoneticPr fontId="4" type="noConversion"/>
  </si>
  <si>
    <t>8-8-T9.5-0-i-2.5-3-9.5</t>
  </si>
  <si>
    <t>8-8-T9.5-2#3-i-2.5-3-9.5</t>
  </si>
  <si>
    <t>(3@4)8-8-T9.5-0-i-2.5-3-9.5</t>
  </si>
  <si>
    <t>(3@4)8-8-T9.5-2#3-i-2.5-3-9.5</t>
  </si>
  <si>
    <t>(3@5)8-8-T9.5-0-i-2.5-3-9.5</t>
  </si>
  <si>
    <t>(3@5)8-8-T9.5-2#3-i-2.5-3-9.5</t>
  </si>
  <si>
    <t>(3@7)8-8-T9.5-0-i-2.5-3-9.5</t>
  </si>
  <si>
    <t>(3@7)8-8-T9.5-2#3-i-2.5-3-9.5</t>
  </si>
  <si>
    <t>8-8-T9.5-0-i-2.5-3-14.5</t>
  </si>
  <si>
    <t>(3@4)8-8-T9.5-0-i-2.5-3-14.5</t>
  </si>
  <si>
    <t>(3@4)8-8-T9.5-2#3-i-2.5-3-14.5</t>
  </si>
  <si>
    <t>(3@5)8-8-T9.5-0-i-2.5-3-14.5</t>
  </si>
  <si>
    <t>(3@5)8-8-T9.5-2#3-i-2.5-3-14.5</t>
  </si>
  <si>
    <t>(3@7)8-8-T9.5-0-i-2.5-3-14.5</t>
  </si>
  <si>
    <t>(3@7)8-8-T9.5-2#3-i-2.5-3-14.5</t>
  </si>
  <si>
    <t>G10</t>
    <phoneticPr fontId="4" type="noConversion"/>
  </si>
  <si>
    <t>(2@9)8-12-F4.1-0-i-2.5-3-12</t>
  </si>
  <si>
    <t>(2@9)8-12-F9.1-0-i-2.5-3-12</t>
  </si>
  <si>
    <t>(2@9)8-12-F4.1-5#3-i-2.5-3-12</t>
  </si>
  <si>
    <t>(2@9)8-12-F9.1-5#3-i-2.5-3-12</t>
  </si>
  <si>
    <t>(3@4.5)8-12-F4.1-0-i-2.5-3-12</t>
  </si>
  <si>
    <t>(3@4.5)8-12-F9.1-0-i-2.5-3-12</t>
  </si>
  <si>
    <t>(3@4.5)8-12-F4.1-5#3-i-2.5-3-12</t>
  </si>
  <si>
    <t>(3@4.5)8-12-F9.1-5#3-i-2.5-3-12</t>
  </si>
  <si>
    <t>(4@3)8-12-F4.1-0-i-2.5-3-12</t>
  </si>
  <si>
    <t>(4@3)8-12-F9.1-0-i-2.5-3-12</t>
  </si>
  <si>
    <t>(4@3)8-12-F4.1-5#3-i-2.5-3-12</t>
  </si>
  <si>
    <t>(4@3)8-12-F9.1-5#3-i-2.5-3-12</t>
  </si>
  <si>
    <t>G11</t>
    <phoneticPr fontId="4" type="noConversion"/>
  </si>
  <si>
    <t>8-8-O4.5-0-i-2.5-3-9.5</t>
  </si>
  <si>
    <t>(2@9)8-8-O4.5-0-i-2.5-3-9.5</t>
  </si>
  <si>
    <t>(2@7)8-8-O4.5-0-i-2.5-3-9.5</t>
  </si>
  <si>
    <t>(2@5)8-8-O4.5-0-i-2.5-3-9.5</t>
  </si>
  <si>
    <t>(2@3)8-8-O4.5-0-i-2.5-3-9.5</t>
  </si>
  <si>
    <t>(2@9)8-8-T4.0-0-i-2.5-3-9.5</t>
  </si>
  <si>
    <t>(2@9)8-8-T4.0-5#3-i-2.5-3-9.5</t>
  </si>
  <si>
    <t>(3@4.5)8-8-T4.0-0-i-2.5-3-9.5</t>
  </si>
  <si>
    <t>(3@4.5)8-8-T4.0-5#3-i-2.5-3-9.5</t>
  </si>
  <si>
    <t>(4@3)8-8-T4.0-0-i-2.5-3-9.5</t>
  </si>
  <si>
    <t>(4@3)8-8-T4.0-5#3-i-2.5-3-9.5</t>
  </si>
  <si>
    <t>(3@3)8-8-T4.0-0-i-2.5-3-9.5</t>
  </si>
  <si>
    <t>(3@3)8-8-T4.0-5#3-i-2.5-3-9.5</t>
  </si>
  <si>
    <t>G12</t>
    <phoneticPr fontId="4" type="noConversion"/>
  </si>
  <si>
    <t>8-5-F4.1-0-i-2.5-7-6</t>
  </si>
  <si>
    <t>8-5-F4.1-5#3-i-2.5-7-6</t>
  </si>
  <si>
    <t>(3@3)8-5-F4.1-0-i-2.5-7-6</t>
  </si>
  <si>
    <t>(3@3)8-5-F4.1-5#3-i-2.5-7-6</t>
  </si>
  <si>
    <t>(3@5)8-5-F4.1-0-i-2.5-7-6</t>
  </si>
  <si>
    <t>(3@5)8-5-F4.1-5#3-i-2.5-7-6</t>
  </si>
  <si>
    <t>(3@7)8-5-F4.1-0-i-2.5-7-6</t>
  </si>
  <si>
    <t>(3@7)8-5-F4.1-5#3-i-2.5-7-6</t>
  </si>
  <si>
    <t>8-5-F9.1-0-i-2.5-7-6</t>
  </si>
  <si>
    <t>8-5-F9.1-5#3-i-2.5-7-6</t>
  </si>
  <si>
    <t>(3@5.5)8-5-F9.1-0-i-2.5-7-6</t>
  </si>
  <si>
    <t>(3@5.5)8-5-F9.1-5#3-i-2.5-7-6</t>
  </si>
  <si>
    <t>(4@3.7)8-5-T9.5-0-i-2.5-6.5-6</t>
  </si>
  <si>
    <t>(4@3.7)8-5-F9.1-5#3-i-2.5-7-6</t>
  </si>
  <si>
    <t>G13</t>
    <phoneticPr fontId="4" type="noConversion"/>
  </si>
  <si>
    <t>5-5-F4.0-0-i-2.5-5-4</t>
  </si>
  <si>
    <t>5-5-F13.1-0-i-2.5-5-4</t>
  </si>
  <si>
    <t>5-5-F4.0-2#3-i-2.5-5-4</t>
  </si>
  <si>
    <t>5-5-F13.1-2#3-i-2.5-5-4</t>
  </si>
  <si>
    <t>5-5-F4.0-5#3-i-2.5-5-4</t>
  </si>
  <si>
    <t>5-5-F13.1-5#3-i-2.5-5-4</t>
  </si>
  <si>
    <t>5-5-F4.0-0-i-2.5-3-6</t>
  </si>
  <si>
    <t>5-5-F13.1-0-i-2.5-3-6</t>
  </si>
  <si>
    <t>5-5-F4.0-2#3-i-2.5-3-6</t>
  </si>
  <si>
    <t>5-5-F13.1-2#3-i-2.5-3-6</t>
  </si>
  <si>
    <t>5-5-F4.0-5#3-i-2.5-3-6</t>
  </si>
  <si>
    <t>G14</t>
    <phoneticPr fontId="4" type="noConversion"/>
  </si>
  <si>
    <t>5-12-F4.0-0-i-2.5-5-4</t>
  </si>
  <si>
    <t>5-12-F13.1-0-i-2.5-5-4</t>
  </si>
  <si>
    <t>5-12-F4.0-2#3-i-2.5-5-4</t>
  </si>
  <si>
    <t>5-12-F13.1-2#3-i-2.5-5-4</t>
  </si>
  <si>
    <t>5-12-F4.0-5#3-i-2.5-5-4</t>
  </si>
  <si>
    <t>5-12-F13.1-5#3-i-2.5-5-4</t>
  </si>
  <si>
    <t>5-12-F4.0-0-i-2.5-3-6</t>
  </si>
  <si>
    <t>5-12-F13.1-0-i-2.5-3-6</t>
  </si>
  <si>
    <t>(3@5.9)5-12-F4.0-0-i-2.5-4-5</t>
  </si>
  <si>
    <t>(3@5.9)5-12-F4.0-2#3-i-2.5-4-5</t>
  </si>
  <si>
    <t>(3@5.9)5-12-F4.0-5#3-i-2.5-4-5</t>
  </si>
  <si>
    <t>(4@3.9)5-12-F4.0-0-i-2.5-4-5</t>
  </si>
  <si>
    <t>(4@3.9)5-12-F4.0-2#3-i-2.5-4-5</t>
  </si>
  <si>
    <t>(4@3.9)5-12-F4.0-5#3-i-2.5-4-5</t>
  </si>
  <si>
    <t>G15</t>
    <phoneticPr fontId="4" type="noConversion"/>
  </si>
  <si>
    <t>11-5a-F3.8-0-i-2.5-3-17</t>
  </si>
  <si>
    <t>11-5a-F3.8-2#3-i-2.5-3-17</t>
  </si>
  <si>
    <t>11-5a-F3.8-6#3-i-2.5-3-17</t>
  </si>
  <si>
    <t>11-5a-F3.8-0-i-2.5-3-12</t>
  </si>
  <si>
    <t>11-5a-F3.8-2#3-i-2.5-3-12</t>
  </si>
  <si>
    <t>11-5a-F3.8-6#3-i-2.5-3-12</t>
  </si>
  <si>
    <t>11-5a-F8.6-0-i-2.5-3-12</t>
  </si>
  <si>
    <t>11-5a- F8.6-6#3-i-2.5-3-12</t>
  </si>
  <si>
    <t>G16</t>
    <phoneticPr fontId="4" type="noConversion"/>
  </si>
  <si>
    <t>8-8-F4.1-0-i-2.5-3-10-DB</t>
  </si>
  <si>
    <t>8-8-F9.1-0-i-2.5-3-10-DB</t>
  </si>
  <si>
    <t>8-8-F9.1-5#3-i-2.5-3-10-DB</t>
  </si>
  <si>
    <t>8-5-F4.1-0-i-2.5-3-10-DB</t>
  </si>
  <si>
    <t>8-5-F9.1-0-i-2.5-3-10-DB</t>
  </si>
  <si>
    <t>8-5-F4.1-3#4-i-2.5-3-10-DB</t>
  </si>
  <si>
    <t>8-5-F9.1-3#4-i-2.5-3-10-DB</t>
  </si>
  <si>
    <t>8-5-F4.1-5#3-i-2.5-3-10-DB</t>
  </si>
  <si>
    <t>8-5-F9.1-5#3-i-2.5-3-10-DB</t>
  </si>
  <si>
    <t>G17</t>
    <phoneticPr fontId="4" type="noConversion"/>
  </si>
  <si>
    <t>11-8-F3.8-0-i-2.5-3-14.5</t>
  </si>
  <si>
    <t>11-8-F3.8-2#3-i-2.5-3-14.5</t>
  </si>
  <si>
    <t>11-8-F3.8-6#3-i-2.5-3-14.5</t>
  </si>
  <si>
    <t>(3@5.35)11-8-F3.8-0-i-2.5-3-14.5</t>
  </si>
  <si>
    <t>(3@5.35)11-8-F3.8-2#3-i-2.5-3-14.5</t>
  </si>
  <si>
    <t>(3@5.35)11-8-F3.8-6#3-i-2.5-3-14.5</t>
  </si>
  <si>
    <t>8-8-O12.9-0-i-2.5-3-9.5</t>
  </si>
  <si>
    <t>8-8-S14.9-0-i-2.5-3-8.25</t>
  </si>
  <si>
    <t>8-8-O12.9-5#3-i-2.5-3-9.5</t>
  </si>
  <si>
    <t>8-8-S14.9-5#3-i-2.5-3-8.25</t>
  </si>
  <si>
    <t>G18</t>
    <phoneticPr fontId="4" type="noConversion"/>
  </si>
  <si>
    <t>11-5-F3.8-0-i-2.5-3-12</t>
  </si>
  <si>
    <t>11-5-F3.8-6#3-i-2.5-3-12</t>
  </si>
  <si>
    <t>11-5-F3.8-0-i-2.5-3-17</t>
  </si>
  <si>
    <t>11-5-F3.8-6#3-i-2.5-3-17</t>
  </si>
  <si>
    <t>11-5- F8.6-0-i-2.5-3-14.5</t>
  </si>
  <si>
    <t>11-5- F8.6-6#3-i-2.5-3-14.5</t>
  </si>
  <si>
    <t>(3@5.35)11-5- F8.6-0-i-2.5-3-14.5</t>
  </si>
  <si>
    <t>(3@5.35)11-5- F8.6-6#3-i-2.5-3-14.5</t>
  </si>
  <si>
    <t>G19</t>
    <phoneticPr fontId="4" type="noConversion"/>
  </si>
  <si>
    <t>11-12-O4.5-0-i-2.5-3-16.75</t>
  </si>
  <si>
    <t>11-12-S5.5-0-i-2.5-3-16.75</t>
  </si>
  <si>
    <t>11-12-O4.5-6#3-i-2.5-3-16.75</t>
  </si>
  <si>
    <t>11-12-S5.5-6#3-i-2.5-3-16.75</t>
  </si>
  <si>
    <t>(3@5.35)11-12-O4.5-0-i-2.5-3-16.75</t>
  </si>
  <si>
    <t>(3@5.35)11-12-S5.5-0-i-2.5-3-16.75</t>
  </si>
  <si>
    <t>(3@5.35)11-12-O4.5-6#3-i-2.5-3-16.75</t>
  </si>
  <si>
    <t>(3@5.35)11-12-S5.5-6#3-i-2.5-3-16.75</t>
  </si>
  <si>
    <t>G20</t>
    <phoneticPr fontId="4" type="noConversion"/>
  </si>
  <si>
    <t>11-5-O4.5-0-i-2.5-3-19.25</t>
  </si>
  <si>
    <t>11-5-S5.5-0-i-2.5-3-19.25</t>
  </si>
  <si>
    <t>11-5-O4.5-6#3-i-2.5-3-19.25</t>
  </si>
  <si>
    <t>11-5-S5.5-6#3-i-2.5-3-19.25</t>
  </si>
  <si>
    <t>(3@5.35)11-5-O4.5-0-i-2.5-3-19.25</t>
  </si>
  <si>
    <t>(3@5.35)11-5-S5.5-0-i-2.5-3-19.25</t>
  </si>
  <si>
    <t>(3@5.35)11-5-O4.5-6#3-i-2.5-3-19.25</t>
  </si>
  <si>
    <t>Punching shear</t>
    <phoneticPr fontId="4" type="noConversion"/>
  </si>
  <si>
    <t>fte</t>
    <phoneticPr fontId="4" type="noConversion"/>
  </si>
  <si>
    <t>Shao</t>
    <phoneticPr fontId="4" type="noConversion"/>
  </si>
  <si>
    <t>phi_cs</t>
    <phoneticPr fontId="4" type="noConversion"/>
  </si>
  <si>
    <t>shao</t>
    <phoneticPr fontId="4" type="noConversion"/>
  </si>
  <si>
    <t>Proposed</t>
    <phoneticPr fontId="4" type="noConversion"/>
  </si>
  <si>
    <t>(3@5.35)11-5-S5.5-6#3-i-2.5-3-19.25</t>
    <phoneticPr fontId="4" type="noConversion"/>
  </si>
  <si>
    <t>CCT</t>
    <phoneticPr fontId="4" type="noConversion"/>
  </si>
  <si>
    <t>Shao</t>
    <phoneticPr fontId="4" type="noConversion"/>
  </si>
  <si>
    <t>H-2-8-5-9-F4.1-I</t>
  </si>
  <si>
    <t>H-2-8-5-10.4-F4.1-I</t>
  </si>
  <si>
    <t>H-3-8-5-9-F4.1-I</t>
  </si>
  <si>
    <t>H-3-8-5-11.4-F4.1-I</t>
  </si>
  <si>
    <t>H-3-8-5-14-F4.1-I</t>
  </si>
  <si>
    <t>H-2-8-5-9-F4.1-II</t>
  </si>
  <si>
    <t>H-2-8-5-13-F4.1-II</t>
  </si>
  <si>
    <t>H-3-8-5-9-F4.1-II</t>
  </si>
  <si>
    <t>H-3-8-5-11-F4.1-II</t>
  </si>
  <si>
    <t>H-3-8-5-13-F4.1-II</t>
  </si>
  <si>
    <t>Pullout</t>
    <phoneticPr fontId="4" type="noConversion"/>
  </si>
  <si>
    <t>8-5-T9.5-8#5-6</t>
  </si>
  <si>
    <t>8-5-T4.0-8#5-6</t>
  </si>
  <si>
    <t>8-5-F4.1-8#5-6</t>
  </si>
  <si>
    <t>8-5-F9.1-8#5-6</t>
  </si>
  <si>
    <t>8-5-F4.1-2#8-6</t>
  </si>
  <si>
    <t>8-5-F9.1-2#8-6</t>
  </si>
  <si>
    <t>8-5-T4.0-2#8-6</t>
  </si>
  <si>
    <t>8-5-T9.5-2#8-6</t>
  </si>
  <si>
    <t>8-8-O12.9-6#5-6</t>
  </si>
  <si>
    <t>8-8-O9.1-6#5-6</t>
  </si>
  <si>
    <t>8-8-S6.5-6#5-6</t>
  </si>
  <si>
    <t>8-8-O4.5-6#5-6</t>
  </si>
  <si>
    <t>8-5-S14.9-6#5-6</t>
  </si>
  <si>
    <t>8-5-S6.5-6#5-6</t>
  </si>
  <si>
    <t>8-5-O12.9-6#5-6</t>
  </si>
  <si>
    <t>8-5-O4.5-6#5-6</t>
  </si>
  <si>
    <t>8-5-S9.5-6#5-6</t>
  </si>
  <si>
    <t>8-5-F4.1-6#5-63</t>
  </si>
  <si>
    <t>8-5-F4.1-0-6</t>
  </si>
  <si>
    <t>8-5-F4.1-2#5-6</t>
  </si>
  <si>
    <t>8-5-F4.1-4#5-6</t>
  </si>
  <si>
    <t>8-5-F4.1-6#5-6</t>
  </si>
  <si>
    <t>Splice</t>
    <phoneticPr fontId="4" type="noConversion"/>
  </si>
  <si>
    <t>(3)6-5-S4.0-12-0.5</t>
  </si>
  <si>
    <t>(3)6-5-S4.0-12-1.0</t>
  </si>
  <si>
    <t>(3)6-5-S4.0-12-1.9</t>
  </si>
  <si>
    <t>(3)6-12-S4.0-12-0.5</t>
  </si>
  <si>
    <t>(3)6-12-S4.0-12-1.0</t>
  </si>
  <si>
    <t>(3)6-12-S4.0-12-1.9</t>
  </si>
  <si>
    <t>기둥주근에 
의한 풀아웃 
강도증가 
가정</t>
    <phoneticPr fontId="4" type="noConversion"/>
  </si>
  <si>
    <t>Fh</t>
    <phoneticPr fontId="4" type="noConversion"/>
  </si>
  <si>
    <t>*</t>
    <phoneticPr fontId="4" type="noConversion"/>
  </si>
  <si>
    <t>Shao
무보강</t>
    <phoneticPr fontId="4" type="noConversion"/>
  </si>
  <si>
    <t>Shao
보강</t>
    <phoneticPr fontId="4" type="noConversion"/>
  </si>
  <si>
    <t>Sim</t>
    <phoneticPr fontId="4" type="noConversion"/>
  </si>
  <si>
    <t>Shao et al.</t>
    <phoneticPr fontId="4" type="noConversion"/>
  </si>
  <si>
    <t>Hong</t>
    <phoneticPr fontId="4" type="noConversion"/>
  </si>
  <si>
    <t>Choi</t>
    <phoneticPr fontId="4" type="noConversion"/>
  </si>
  <si>
    <t>G1</t>
    <phoneticPr fontId="4" type="noConversion"/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</si>
  <si>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</si>
  <si>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</si>
  <si>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</si>
  <si>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</si>
  <si>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</si>
  <si>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</si>
  <si>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</si>
  <si>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</si>
  <si>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</si>
  <si>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</si>
  <si>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</si>
  <si>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</si>
  <si>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</si>
  <si>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</si>
  <si>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</si>
  <si>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</si>
  <si>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</si>
  <si>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</si>
  <si>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</si>
  <si>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Author</t>
    <phoneticPr fontId="4" type="noConversion"/>
  </si>
  <si>
    <t>Year</t>
    <phoneticPr fontId="4" type="noConversion"/>
  </si>
  <si>
    <t>Test type</t>
    <phoneticPr fontId="4" type="noConversion"/>
  </si>
  <si>
    <t>Remark</t>
    <phoneticPr fontId="4" type="noConversion"/>
  </si>
  <si>
    <t>No.</t>
    <phoneticPr fontId="4" type="noConversion"/>
  </si>
  <si>
    <t>fy</t>
    <phoneticPr fontId="4" type="noConversion"/>
  </si>
  <si>
    <t>db</t>
    <phoneticPr fontId="3" type="noConversion"/>
  </si>
  <si>
    <t>b</t>
    <phoneticPr fontId="4" type="noConversion"/>
  </si>
  <si>
    <t>dtr</t>
    <phoneticPr fontId="4" type="noConversion"/>
  </si>
  <si>
    <t>ld</t>
    <phoneticPr fontId="4" type="noConversion"/>
  </si>
  <si>
    <t>fc</t>
    <phoneticPr fontId="3" type="noConversion"/>
  </si>
  <si>
    <t>cso,avg</t>
    <phoneticPr fontId="4" type="noConversion"/>
  </si>
  <si>
    <t>cbc</t>
    <phoneticPr fontId="4" type="noConversion"/>
  </si>
  <si>
    <t>csi</t>
    <phoneticPr fontId="4" type="noConversion"/>
  </si>
  <si>
    <t>n</t>
    <phoneticPr fontId="4" type="noConversion"/>
  </si>
  <si>
    <t>cb</t>
    <phoneticPr fontId="4" type="noConversion"/>
  </si>
  <si>
    <t>fsu,test</t>
    <phoneticPr fontId="4" type="noConversion"/>
  </si>
  <si>
    <t>ntr</t>
    <phoneticPr fontId="4" type="noConversion"/>
  </si>
  <si>
    <t>ad</t>
    <phoneticPr fontId="4" type="noConversion"/>
  </si>
  <si>
    <t>am1</t>
    <phoneticPr fontId="4" type="noConversion"/>
  </si>
  <si>
    <t>am2</t>
    <phoneticPr fontId="4" type="noConversion"/>
  </si>
  <si>
    <t>am3</t>
    <phoneticPr fontId="4" type="noConversion"/>
  </si>
  <si>
    <t>tauu</t>
    <phoneticPr fontId="4" type="noConversion"/>
  </si>
  <si>
    <t>phi_o1</t>
    <phoneticPr fontId="4" type="noConversion"/>
  </si>
  <si>
    <t>phi_cs1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</si>
</sst>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);[Red]\(0.0\)"/>
  </numFmts>
  <fonts count="12" x14ac:knownFonts="1">
    <font>
      <sz val="11"/>
      <color theme="1"/>
      <name val="맑은 고딕"/>
      <charset val="134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name val="맑은 고딕"/>
      <family val="3"/>
      <charset val="134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34"/>
      <scheme val="minor"/>
    </font>
    <font>
      <sz val="9"/>
      <color theme="1"/>
      <name val="SimSun"/>
    </font>
    <font>
      <sz val="9"/>
      <color theme="1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54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176" fontId="5" fillId="0" borderId="0" xfId="0" applyNumberFormat="1" applyFont="1">
      <alignment vertical="center"/>
    </xf>
    <xf numFmtId="0" fontId="7" fillId="0" borderId="0" xfId="0" applyFont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0" borderId="0" xfId="0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176" fontId="7" fillId="0" borderId="0" xfId="0" applyNumberFormat="1" applyFont="1">
      <alignment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2" borderId="0" xfId="0" applyFont="1" applyFill="1" applyAlignment="1">
      <alignment vertical="center" wrapText="1"/>
    </xf>
    <xf numFmtId="176" fontId="7" fillId="2" borderId="0" xfId="0" applyNumberFormat="1" applyFont="1" applyFill="1" applyAlignment="1">
      <alignment vertical="center" wrapText="1"/>
    </xf>
    <xf numFmtId="176" fontId="7" fillId="0" borderId="0" xfId="0" applyNumberFormat="1" applyFont="1" applyAlignment="1">
      <alignment vertical="center" wrapText="1"/>
    </xf>
    <xf numFmtId="176" fontId="7" fillId="3" borderId="0" xfId="0" applyNumberFormat="1" applyFont="1" applyFill="1">
      <alignment vertical="center"/>
    </xf>
    <xf numFmtId="0" fontId="7" fillId="3" borderId="0" xfId="0" applyFont="1" applyFill="1">
      <alignment vertical="center"/>
    </xf>
    <xf numFmtId="0" fontId="9" fillId="3" borderId="0" xfId="0" applyFont="1" applyFill="1" applyAlignment="1">
      <alignment vertical="center" wrapText="1"/>
    </xf>
    <xf numFmtId="0" fontId="7" fillId="3" borderId="0" xfId="0" applyFont="1" applyFill="1" applyAlignment="1">
      <alignment horizontal="center" vertical="center"/>
    </xf>
    <xf numFmtId="177" fontId="7" fillId="3" borderId="0" xfId="0" applyNumberFormat="1" applyFont="1" applyFill="1">
      <alignment vertical="center"/>
    </xf>
    <xf numFmtId="177" fontId="7" fillId="0" borderId="0" xfId="0" applyNumberFormat="1" applyFont="1">
      <alignment vertical="center"/>
    </xf>
    <xf numFmtId="0" fontId="9" fillId="0" borderId="0" xfId="0" applyFont="1" applyAlignment="1">
      <alignment vertical="center" wrapText="1"/>
    </xf>
    <xf numFmtId="0" fontId="7" fillId="5" borderId="0" xfId="0" applyFont="1" applyFill="1">
      <alignment vertical="center"/>
    </xf>
    <xf numFmtId="0" fontId="9" fillId="5" borderId="0" xfId="0" applyFont="1" applyFill="1" applyAlignment="1">
      <alignment vertical="center" wrapText="1"/>
    </xf>
    <xf numFmtId="0" fontId="7" fillId="5" borderId="0" xfId="0" quotePrefix="1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176" fontId="7" fillId="5" borderId="0" xfId="0" applyNumberFormat="1" applyFont="1" applyFill="1">
      <alignment vertical="center"/>
    </xf>
    <xf numFmtId="177" fontId="7" fillId="5" borderId="0" xfId="0" applyNumberFormat="1" applyFont="1" applyFill="1">
      <alignment vertical="center"/>
    </xf>
    <xf numFmtId="0" fontId="7" fillId="0" borderId="0" xfId="0" quotePrefix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58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" fillId="6" borderId="0" xfId="0" applyFont="1" applyFill="1">
      <alignment vertical="center"/>
    </xf>
    <xf numFmtId="0" fontId="7" fillId="7" borderId="0" xfId="0" applyFont="1" applyFill="1" applyAlignment="1">
      <alignment horizontal="center"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center" vertical="center"/>
    </xf>
    <xf numFmtId="176" fontId="7" fillId="8" borderId="0" xfId="0" applyNumberFormat="1" applyFont="1" applyFill="1">
      <alignment vertical="center"/>
    </xf>
    <xf numFmtId="0" fontId="7" fillId="8" borderId="0" xfId="0" applyFont="1" applyFill="1" applyAlignment="1">
      <alignment vertical="center" wrapText="1"/>
    </xf>
    <xf numFmtId="0" fontId="9" fillId="8" borderId="0" xfId="0" applyFont="1" applyFill="1" applyAlignment="1">
      <alignment horizontal="center" vertical="center" wrapText="1"/>
    </xf>
    <xf numFmtId="0" fontId="11" fillId="0" borderId="0" xfId="1" applyFont="1">
      <alignment vertical="center"/>
    </xf>
    <xf numFmtId="0" fontId="7" fillId="2" borderId="0" xfId="0" applyFont="1" applyFill="1">
      <alignment vertical="center"/>
    </xf>
    <xf numFmtId="0" fontId="2" fillId="0" borderId="0" xfId="1">
      <alignment vertical="center"/>
    </xf>
    <xf numFmtId="0" fontId="7" fillId="9" borderId="0" xfId="0" applyFont="1" applyFill="1">
      <alignment vertical="center"/>
    </xf>
    <xf numFmtId="0" fontId="7" fillId="10" borderId="0" xfId="0" applyFont="1" applyFill="1">
      <alignment vertical="center"/>
    </xf>
    <xf numFmtId="0" fontId="7" fillId="10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(2)'!$CM$19:$CM$1274</c:f>
              <c:numCache>
                <c:formatCode>General</c:formatCode>
                <c:ptCount val="1256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1">
                  <c:v>2.3528332898435282</c:v>
                </c:pt>
                <c:pt idx="72">
                  <c:v>2.443326877914433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  <c:pt idx="93">
                  <c:v>1.7953312467938294</c:v>
                </c:pt>
                <c:pt idx="94">
                  <c:v>1.831237871729706</c:v>
                </c:pt>
                <c:pt idx="95">
                  <c:v>1.6123926213913415</c:v>
                </c:pt>
                <c:pt idx="96">
                  <c:v>1.3116247118041748</c:v>
                </c:pt>
                <c:pt idx="97">
                  <c:v>1.4479206035118344</c:v>
                </c:pt>
                <c:pt idx="99">
                  <c:v>2.2227731979793113</c:v>
                </c:pt>
                <c:pt idx="100">
                  <c:v>2.4110463620978315</c:v>
                </c:pt>
                <c:pt idx="101">
                  <c:v>2.5273971248800322</c:v>
                </c:pt>
                <c:pt idx="102">
                  <c:v>1.3824226365890593</c:v>
                </c:pt>
                <c:pt idx="103">
                  <c:v>1.4532205613739437</c:v>
                </c:pt>
                <c:pt idx="104">
                  <c:v>0.61420983369428661</c:v>
                </c:pt>
                <c:pt idx="105">
                  <c:v>0.54186300232164242</c:v>
                </c:pt>
                <c:pt idx="106">
                  <c:v>0.51262897658330853</c:v>
                </c:pt>
                <c:pt idx="107">
                  <c:v>0.45906358661802343</c:v>
                </c:pt>
                <c:pt idx="108">
                  <c:v>0.65948812271662183</c:v>
                </c:pt>
                <c:pt idx="109">
                  <c:v>0.55958059367820834</c:v>
                </c:pt>
                <c:pt idx="110">
                  <c:v>0.73210140610978902</c:v>
                </c:pt>
                <c:pt idx="111">
                  <c:v>0.66309184733714488</c:v>
                </c:pt>
                <c:pt idx="112">
                  <c:v>0.60128328600164638</c:v>
                </c:pt>
                <c:pt idx="113">
                  <c:v>0.48132789852004199</c:v>
                </c:pt>
                <c:pt idx="114">
                  <c:v>0.48191848489859418</c:v>
                </c:pt>
                <c:pt idx="115">
                  <c:v>0.49549976015662306</c:v>
                </c:pt>
                <c:pt idx="116">
                  <c:v>0.47567976975035814</c:v>
                </c:pt>
                <c:pt idx="117">
                  <c:v>0.55100572882280319</c:v>
                </c:pt>
                <c:pt idx="118">
                  <c:v>0.51746624967706734</c:v>
                </c:pt>
                <c:pt idx="119">
                  <c:v>0.44463766638918378</c:v>
                </c:pt>
                <c:pt idx="120">
                  <c:v>0.95281269073088048</c:v>
                </c:pt>
                <c:pt idx="121">
                  <c:v>0.86373257863259068</c:v>
                </c:pt>
                <c:pt idx="122">
                  <c:v>0.72199184778006298</c:v>
                </c:pt>
                <c:pt idx="123">
                  <c:v>0.68409475652881924</c:v>
                </c:pt>
                <c:pt idx="124">
                  <c:v>1.0441446283860925</c:v>
                </c:pt>
                <c:pt idx="125">
                  <c:v>1.0216415113950128</c:v>
                </c:pt>
                <c:pt idx="126">
                  <c:v>0.89758034666207365</c:v>
                </c:pt>
                <c:pt idx="127">
                  <c:v>0.85046536405258744</c:v>
                </c:pt>
                <c:pt idx="128">
                  <c:v>1.0312669232625022</c:v>
                </c:pt>
                <c:pt idx="129">
                  <c:v>1.1167926656965317</c:v>
                </c:pt>
                <c:pt idx="130">
                  <c:v>1.0188718881271357</c:v>
                </c:pt>
                <c:pt idx="131">
                  <c:v>0.84200250071297089</c:v>
                </c:pt>
                <c:pt idx="132">
                  <c:v>0.77018186092151664</c:v>
                </c:pt>
                <c:pt idx="133">
                  <c:v>0.85145258489605702</c:v>
                </c:pt>
                <c:pt idx="146">
                  <c:v>1.225569165623946</c:v>
                </c:pt>
                <c:pt idx="147">
                  <c:v>1.6353994946085937</c:v>
                </c:pt>
                <c:pt idx="148">
                  <c:v>1.6466492454395782</c:v>
                </c:pt>
                <c:pt idx="149">
                  <c:v>1.1492110320426716</c:v>
                </c:pt>
                <c:pt idx="150">
                  <c:v>1.2977932364143214</c:v>
                </c:pt>
                <c:pt idx="151">
                  <c:v>1.2492919484799965</c:v>
                </c:pt>
                <c:pt idx="152">
                  <c:v>1.0258198988853873</c:v>
                </c:pt>
                <c:pt idx="153">
                  <c:v>1.1857746057227556</c:v>
                </c:pt>
                <c:pt idx="154">
                  <c:v>1.0748023074035522</c:v>
                </c:pt>
                <c:pt idx="155">
                  <c:v>1.455820984567487</c:v>
                </c:pt>
                <c:pt idx="156">
                  <c:v>1.0036837852778606</c:v>
                </c:pt>
                <c:pt idx="157">
                  <c:v>1.0650980029084989</c:v>
                </c:pt>
                <c:pt idx="158">
                  <c:v>0.77877380307996769</c:v>
                </c:pt>
                <c:pt idx="159">
                  <c:v>1.1204472084630297</c:v>
                </c:pt>
                <c:pt idx="160">
                  <c:v>1.2645047592598222</c:v>
                </c:pt>
                <c:pt idx="161">
                  <c:v>1.6052395746292354</c:v>
                </c:pt>
                <c:pt idx="162">
                  <c:v>1.2272571830982304</c:v>
                </c:pt>
                <c:pt idx="163">
                  <c:v>0.97260860076002498</c:v>
                </c:pt>
                <c:pt idx="164">
                  <c:v>1.2522004464825935</c:v>
                </c:pt>
                <c:pt idx="165">
                  <c:v>0.96416295721336365</c:v>
                </c:pt>
                <c:pt idx="166">
                  <c:v>1.0082013097225628</c:v>
                </c:pt>
                <c:pt idx="167">
                  <c:v>1.3457994703813709</c:v>
                </c:pt>
                <c:pt idx="168">
                  <c:v>1.3457994703813709</c:v>
                </c:pt>
                <c:pt idx="169">
                  <c:v>1.3503926426352324</c:v>
                </c:pt>
                <c:pt idx="170">
                  <c:v>1.263122369811867</c:v>
                </c:pt>
                <c:pt idx="171">
                  <c:v>0.9367326404971309</c:v>
                </c:pt>
                <c:pt idx="172">
                  <c:v>1.0799976325731626</c:v>
                </c:pt>
                <c:pt idx="173">
                  <c:v>2.6807730162772905</c:v>
                </c:pt>
                <c:pt idx="174">
                  <c:v>2.6459783222607123</c:v>
                </c:pt>
                <c:pt idx="175">
                  <c:v>2.1667604910323823</c:v>
                </c:pt>
                <c:pt idx="176">
                  <c:v>2.2917050740919138</c:v>
                </c:pt>
                <c:pt idx="177">
                  <c:v>2.7923113189478994</c:v>
                </c:pt>
                <c:pt idx="178">
                  <c:v>2.9110887407240416</c:v>
                </c:pt>
                <c:pt idx="179">
                  <c:v>3.0215309048316823</c:v>
                </c:pt>
                <c:pt idx="180">
                  <c:v>2.9673517299864245</c:v>
                </c:pt>
                <c:pt idx="181">
                  <c:v>3.0048603894946799</c:v>
                </c:pt>
                <c:pt idx="182">
                  <c:v>2.9965251318261785</c:v>
                </c:pt>
                <c:pt idx="183">
                  <c:v>2.0282460326686236</c:v>
                </c:pt>
                <c:pt idx="184">
                  <c:v>2.0324136615028738</c:v>
                </c:pt>
                <c:pt idx="185">
                  <c:v>2.9465135858151714</c:v>
                </c:pt>
                <c:pt idx="186">
                  <c:v>2.9340106993124198</c:v>
                </c:pt>
                <c:pt idx="187">
                  <c:v>3.0236147192488074</c:v>
                </c:pt>
                <c:pt idx="188">
                  <c:v>3.0048603894946799</c:v>
                </c:pt>
                <c:pt idx="189">
                  <c:v>3.0173632759974316</c:v>
                </c:pt>
                <c:pt idx="190">
                  <c:v>3.0111118327460558</c:v>
                </c:pt>
                <c:pt idx="191">
                  <c:v>1.9879589539375342</c:v>
                </c:pt>
                <c:pt idx="192">
                  <c:v>2.0087970981087873</c:v>
                </c:pt>
                <c:pt idx="201">
                  <c:v>1.3969859269328866</c:v>
                </c:pt>
                <c:pt idx="202">
                  <c:v>1.1134799594082712</c:v>
                </c:pt>
                <c:pt idx="204">
                  <c:v>1.358105561906104</c:v>
                </c:pt>
                <c:pt idx="205">
                  <c:v>1.4638998500136373</c:v>
                </c:pt>
                <c:pt idx="206">
                  <c:v>1.6460556821950687</c:v>
                </c:pt>
                <c:pt idx="208">
                  <c:v>1.2849691500444007</c:v>
                </c:pt>
                <c:pt idx="212">
                  <c:v>1.9019036068701081</c:v>
                </c:pt>
                <c:pt idx="213">
                  <c:v>1.6585658139235577</c:v>
                </c:pt>
                <c:pt idx="214">
                  <c:v>1.392282311688124</c:v>
                </c:pt>
                <c:pt idx="215">
                  <c:v>1.2591811613326145</c:v>
                </c:pt>
                <c:pt idx="216">
                  <c:v>1.4893706384463696</c:v>
                </c:pt>
                <c:pt idx="217">
                  <c:v>1.8089684795295491</c:v>
                </c:pt>
                <c:pt idx="218">
                  <c:v>1.3817749686699512</c:v>
                </c:pt>
                <c:pt idx="219">
                  <c:v>1.1704446793439585</c:v>
                </c:pt>
                <c:pt idx="220">
                  <c:v>1.7749963445318506</c:v>
                </c:pt>
                <c:pt idx="221">
                  <c:v>1.6101312326699513</c:v>
                </c:pt>
                <c:pt idx="222">
                  <c:v>1.9695008503860747</c:v>
                </c:pt>
                <c:pt idx="224">
                  <c:v>1.7475574825592937</c:v>
                </c:pt>
                <c:pt idx="225">
                  <c:v>1.856778540561977</c:v>
                </c:pt>
                <c:pt idx="226">
                  <c:v>1.9336107560335067</c:v>
                </c:pt>
                <c:pt idx="227">
                  <c:v>1.8183624328262118</c:v>
                </c:pt>
                <c:pt idx="228">
                  <c:v>1.8375704866940943</c:v>
                </c:pt>
                <c:pt idx="229">
                  <c:v>1.4644210077964666</c:v>
                </c:pt>
                <c:pt idx="230">
                  <c:v>1.7518995465387628</c:v>
                </c:pt>
                <c:pt idx="231">
                  <c:v>1.9832832128026687</c:v>
                </c:pt>
                <c:pt idx="232">
                  <c:v>2.1708095946524519</c:v>
                </c:pt>
                <c:pt idx="233">
                  <c:v>2.4582402550876643</c:v>
                </c:pt>
                <c:pt idx="234">
                  <c:v>2.3883510004126491</c:v>
                </c:pt>
                <c:pt idx="235">
                  <c:v>2.0214170272337286</c:v>
                </c:pt>
                <c:pt idx="236">
                  <c:v>1.8768022880578519</c:v>
                </c:pt>
                <c:pt idx="237">
                  <c:v>2.3041574627484738</c:v>
                </c:pt>
                <c:pt idx="238">
                  <c:v>2.1598119902405912</c:v>
                </c:pt>
                <c:pt idx="239">
                  <c:v>2.7386157194045646</c:v>
                </c:pt>
                <c:pt idx="240">
                  <c:v>2.6444397211552655</c:v>
                </c:pt>
                <c:pt idx="241">
                  <c:v>1.6762495741046421</c:v>
                </c:pt>
                <c:pt idx="242">
                  <c:v>1.8062284359078113</c:v>
                </c:pt>
                <c:pt idx="243">
                  <c:v>2.0614005199370671</c:v>
                </c:pt>
                <c:pt idx="244">
                  <c:v>2.2135974214669707</c:v>
                </c:pt>
                <c:pt idx="245">
                  <c:v>2.4359566257244731</c:v>
                </c:pt>
                <c:pt idx="246">
                  <c:v>2.3464502423270477</c:v>
                </c:pt>
                <c:pt idx="247">
                  <c:v>1.5955182052279357</c:v>
                </c:pt>
                <c:pt idx="248">
                  <c:v>1.6139869347016558</c:v>
                </c:pt>
                <c:pt idx="249">
                  <c:v>1.1259394815356814</c:v>
                </c:pt>
                <c:pt idx="250">
                  <c:v>1.0617977042412712</c:v>
                </c:pt>
                <c:pt idx="251">
                  <c:v>1.3503150456948545</c:v>
                </c:pt>
                <c:pt idx="252">
                  <c:v>1.2114030022601903</c:v>
                </c:pt>
                <c:pt idx="253">
                  <c:v>1.1776103187568816</c:v>
                </c:pt>
                <c:pt idx="254">
                  <c:v>1.2513247658643978</c:v>
                </c:pt>
                <c:pt idx="255">
                  <c:v>1.5049553082665195</c:v>
                </c:pt>
                <c:pt idx="256">
                  <c:v>1.3763102007627221</c:v>
                </c:pt>
                <c:pt idx="257">
                  <c:v>1.2838814274188568</c:v>
                </c:pt>
                <c:pt idx="258">
                  <c:v>1.2590855307150328</c:v>
                </c:pt>
                <c:pt idx="259">
                  <c:v>1.43924293656133</c:v>
                </c:pt>
                <c:pt idx="260">
                  <c:v>1.3649163783859324</c:v>
                </c:pt>
                <c:pt idx="261">
                  <c:v>1.6063308950541133</c:v>
                </c:pt>
                <c:pt idx="262">
                  <c:v>0.81001138963256536</c:v>
                </c:pt>
                <c:pt idx="263">
                  <c:v>1.1713310769181029</c:v>
                </c:pt>
                <c:pt idx="264">
                  <c:v>0.92052495066192941</c:v>
                </c:pt>
                <c:pt idx="265">
                  <c:v>1.2562768305586147</c:v>
                </c:pt>
                <c:pt idx="266">
                  <c:v>1.0356151544498595</c:v>
                </c:pt>
                <c:pt idx="267">
                  <c:v>1.3541745362490702</c:v>
                </c:pt>
                <c:pt idx="268">
                  <c:v>1.8390393434000243</c:v>
                </c:pt>
                <c:pt idx="269">
                  <c:v>1.6572818324293288</c:v>
                </c:pt>
                <c:pt idx="270">
                  <c:v>1.6131871866776055</c:v>
                </c:pt>
                <c:pt idx="271">
                  <c:v>1.6201617118162046</c:v>
                </c:pt>
                <c:pt idx="272">
                  <c:v>1.82784459240108</c:v>
                </c:pt>
                <c:pt idx="273">
                  <c:v>1.8391049780038722</c:v>
                </c:pt>
                <c:pt idx="274">
                  <c:v>1.9077931730661086</c:v>
                </c:pt>
                <c:pt idx="275">
                  <c:v>1.7236171863934053</c:v>
                </c:pt>
                <c:pt idx="276">
                  <c:v>1.9404936547645257</c:v>
                </c:pt>
                <c:pt idx="277">
                  <c:v>2.0072616038610884</c:v>
                </c:pt>
                <c:pt idx="278">
                  <c:v>2.2236759501220891</c:v>
                </c:pt>
                <c:pt idx="279">
                  <c:v>1.9213175916594305</c:v>
                </c:pt>
                <c:pt idx="280">
                  <c:v>1.8054709650544303</c:v>
                </c:pt>
                <c:pt idx="281">
                  <c:v>1.8677285845390659</c:v>
                </c:pt>
                <c:pt idx="282">
                  <c:v>2.2833360622400622</c:v>
                </c:pt>
                <c:pt idx="283">
                  <c:v>2.3970089307971794</c:v>
                </c:pt>
                <c:pt idx="284">
                  <c:v>1.4605943328712707</c:v>
                </c:pt>
                <c:pt idx="285">
                  <c:v>1.4956926848165499</c:v>
                </c:pt>
                <c:pt idx="286">
                  <c:v>1.7873571707283726</c:v>
                </c:pt>
                <c:pt idx="287">
                  <c:v>1.94348082358257</c:v>
                </c:pt>
                <c:pt idx="288">
                  <c:v>1.138404725831345</c:v>
                </c:pt>
                <c:pt idx="289">
                  <c:v>1.1653553762193458</c:v>
                </c:pt>
                <c:pt idx="290">
                  <c:v>1.4186878203980968</c:v>
                </c:pt>
                <c:pt idx="291">
                  <c:v>1.6446863940483587</c:v>
                </c:pt>
                <c:pt idx="292">
                  <c:v>1.3826741523751238</c:v>
                </c:pt>
                <c:pt idx="293">
                  <c:v>1.3564374511915354</c:v>
                </c:pt>
                <c:pt idx="294">
                  <c:v>1.4185824218381531</c:v>
                </c:pt>
                <c:pt idx="295">
                  <c:v>1.3186172092729258</c:v>
                </c:pt>
                <c:pt idx="296">
                  <c:v>1.4986693583302733</c:v>
                </c:pt>
                <c:pt idx="297">
                  <c:v>1.7874689706362066</c:v>
                </c:pt>
                <c:pt idx="298">
                  <c:v>1.8149834332410735</c:v>
                </c:pt>
                <c:pt idx="299">
                  <c:v>2.1228194150362767</c:v>
                </c:pt>
                <c:pt idx="300">
                  <c:v>2.3338738280128664</c:v>
                </c:pt>
                <c:pt idx="301">
                  <c:v>1.4596088729345433</c:v>
                </c:pt>
                <c:pt idx="302">
                  <c:v>1.5710468122095345</c:v>
                </c:pt>
                <c:pt idx="303">
                  <c:v>0.91498469141284478</c:v>
                </c:pt>
                <c:pt idx="304">
                  <c:v>1.1363803486620696</c:v>
                </c:pt>
                <c:pt idx="305">
                  <c:v>0.93791006665785359</c:v>
                </c:pt>
                <c:pt idx="306">
                  <c:v>1.1894844324913778</c:v>
                </c:pt>
                <c:pt idx="307">
                  <c:v>1.4321594010787457</c:v>
                </c:pt>
                <c:pt idx="308">
                  <c:v>1.3973460333516139</c:v>
                </c:pt>
                <c:pt idx="309">
                  <c:v>1.6356284688674503</c:v>
                </c:pt>
                <c:pt idx="310">
                  <c:v>1.1040775899972763</c:v>
                </c:pt>
                <c:pt idx="311">
                  <c:v>1.2440728666081811</c:v>
                </c:pt>
                <c:pt idx="312">
                  <c:v>1.2808577222300848</c:v>
                </c:pt>
                <c:pt idx="313">
                  <c:v>1.4971936540610968</c:v>
                </c:pt>
                <c:pt idx="314">
                  <c:v>1.4154260804349856</c:v>
                </c:pt>
                <c:pt idx="315">
                  <c:v>1.5434167366445322</c:v>
                </c:pt>
                <c:pt idx="316">
                  <c:v>1.1915791690728934</c:v>
                </c:pt>
                <c:pt idx="317">
                  <c:v>1.1697553747675289</c:v>
                </c:pt>
                <c:pt idx="318">
                  <c:v>1.6982641257732274</c:v>
                </c:pt>
                <c:pt idx="319">
                  <c:v>1.8155185532534488</c:v>
                </c:pt>
                <c:pt idx="320">
                  <c:v>1.1211859345052924</c:v>
                </c:pt>
                <c:pt idx="321">
                  <c:v>1.1394053233213677</c:v>
                </c:pt>
                <c:pt idx="322">
                  <c:v>1.3115617934430026</c:v>
                </c:pt>
                <c:pt idx="323">
                  <c:v>1.6603365473541258</c:v>
                </c:pt>
                <c:pt idx="324">
                  <c:v>0.74775564447069376</c:v>
                </c:pt>
                <c:pt idx="325">
                  <c:v>0.74286383936633327</c:v>
                </c:pt>
                <c:pt idx="326">
                  <c:v>0.95796747993591125</c:v>
                </c:pt>
                <c:pt idx="327">
                  <c:v>1.3194912606521252</c:v>
                </c:pt>
                <c:pt idx="328">
                  <c:v>1.5489495283908705</c:v>
                </c:pt>
                <c:pt idx="329">
                  <c:v>1.592350856628868</c:v>
                </c:pt>
                <c:pt idx="330">
                  <c:v>1.4368641121280543</c:v>
                </c:pt>
                <c:pt idx="331">
                  <c:v>1.3868862299670786</c:v>
                </c:pt>
                <c:pt idx="332">
                  <c:v>1.2927149427470916</c:v>
                </c:pt>
                <c:pt idx="333">
                  <c:v>1.5963886352920298</c:v>
                </c:pt>
                <c:pt idx="334">
                  <c:v>1.9571780539059229</c:v>
                </c:pt>
                <c:pt idx="335">
                  <c:v>1.0569642492667561</c:v>
                </c:pt>
                <c:pt idx="336">
                  <c:v>1.6690368485066298</c:v>
                </c:pt>
                <c:pt idx="337">
                  <c:v>0.6762959582481799</c:v>
                </c:pt>
                <c:pt idx="338">
                  <c:v>1.2318469896840969</c:v>
                </c:pt>
                <c:pt idx="339">
                  <c:v>1.008028750577413</c:v>
                </c:pt>
                <c:pt idx="340">
                  <c:v>1.484875890338786</c:v>
                </c:pt>
                <c:pt idx="341">
                  <c:v>1.3394776532788442</c:v>
                </c:pt>
                <c:pt idx="342">
                  <c:v>2.3047517444972305</c:v>
                </c:pt>
                <c:pt idx="343">
                  <c:v>0.94753660934956419</c:v>
                </c:pt>
                <c:pt idx="344">
                  <c:v>1.5206207882635787</c:v>
                </c:pt>
                <c:pt idx="345">
                  <c:v>1.0756848664437799</c:v>
                </c:pt>
                <c:pt idx="346">
                  <c:v>1.6970283766363055</c:v>
                </c:pt>
                <c:pt idx="347">
                  <c:v>1.2320270071792656</c:v>
                </c:pt>
                <c:pt idx="348">
                  <c:v>1.9689290757805624</c:v>
                </c:pt>
                <c:pt idx="349">
                  <c:v>1.549123414564981</c:v>
                </c:pt>
                <c:pt idx="350">
                  <c:v>2.4818328297426966</c:v>
                </c:pt>
                <c:pt idx="351">
                  <c:v>1.0293098714399596</c:v>
                </c:pt>
                <c:pt idx="352">
                  <c:v>1.9189222315857666</c:v>
                </c:pt>
                <c:pt idx="353">
                  <c:v>0.9854100070923747</c:v>
                </c:pt>
                <c:pt idx="354">
                  <c:v>1.4570935247342094</c:v>
                </c:pt>
                <c:pt idx="355">
                  <c:v>2.7668023552772643</c:v>
                </c:pt>
                <c:pt idx="356">
                  <c:v>2.934133580701908</c:v>
                </c:pt>
                <c:pt idx="357">
                  <c:v>2.3698771228746178</c:v>
                </c:pt>
                <c:pt idx="358">
                  <c:v>3.2401840760672038</c:v>
                </c:pt>
                <c:pt idx="359">
                  <c:v>2.9224686635449011</c:v>
                </c:pt>
                <c:pt idx="360">
                  <c:v>3.9007223111414722</c:v>
                </c:pt>
                <c:pt idx="361">
                  <c:v>2.532004102831912</c:v>
                </c:pt>
                <c:pt idx="362">
                  <c:v>2.6369174561121116</c:v>
                </c:pt>
                <c:pt idx="363">
                  <c:v>2.9352047561738659</c:v>
                </c:pt>
                <c:pt idx="364">
                  <c:v>3.6290967896398789</c:v>
                </c:pt>
                <c:pt idx="365">
                  <c:v>3.3338667883001012</c:v>
                </c:pt>
                <c:pt idx="366">
                  <c:v>2.1115754540609921</c:v>
                </c:pt>
                <c:pt idx="367">
                  <c:v>2.3031448610076581</c:v>
                </c:pt>
                <c:pt idx="368">
                  <c:v>2.3986355660050145</c:v>
                </c:pt>
                <c:pt idx="369">
                  <c:v>2.6884096648583249</c:v>
                </c:pt>
                <c:pt idx="370">
                  <c:v>2.7924997043954289</c:v>
                </c:pt>
                <c:pt idx="371">
                  <c:v>2.9556646784895912</c:v>
                </c:pt>
                <c:pt idx="372">
                  <c:v>2.1049069152958855</c:v>
                </c:pt>
                <c:pt idx="373">
                  <c:v>2.2205679862486321</c:v>
                </c:pt>
                <c:pt idx="374">
                  <c:v>1.6842236249136839</c:v>
                </c:pt>
                <c:pt idx="375">
                  <c:v>2.0657822514428021</c:v>
                </c:pt>
                <c:pt idx="376">
                  <c:v>2.3306453144673411</c:v>
                </c:pt>
                <c:pt idx="377">
                  <c:v>1.4962356997225408</c:v>
                </c:pt>
                <c:pt idx="378">
                  <c:v>1.8611828164544308</c:v>
                </c:pt>
                <c:pt idx="379">
                  <c:v>2.8079296323692664</c:v>
                </c:pt>
                <c:pt idx="380">
                  <c:v>1.3194133857352812</c:v>
                </c:pt>
                <c:pt idx="381">
                  <c:v>1.5194412968967341</c:v>
                </c:pt>
                <c:pt idx="382">
                  <c:v>1.5576906050232835</c:v>
                </c:pt>
                <c:pt idx="383">
                  <c:v>1.0724109928974139</c:v>
                </c:pt>
                <c:pt idx="384">
                  <c:v>1.2698053240076526</c:v>
                </c:pt>
                <c:pt idx="385">
                  <c:v>1.4621260776285192</c:v>
                </c:pt>
                <c:pt idx="386">
                  <c:v>1.1920751277688835</c:v>
                </c:pt>
                <c:pt idx="387">
                  <c:v>1.4139539769720177</c:v>
                </c:pt>
                <c:pt idx="388">
                  <c:v>1.1780867637368739</c:v>
                </c:pt>
                <c:pt idx="389">
                  <c:v>1.2257314455075607</c:v>
                </c:pt>
                <c:pt idx="390">
                  <c:v>1.6426498729849517</c:v>
                </c:pt>
                <c:pt idx="391">
                  <c:v>1.1750757483839116</c:v>
                </c:pt>
                <c:pt idx="392">
                  <c:v>1.3019412546037261</c:v>
                </c:pt>
                <c:pt idx="393">
                  <c:v>1.8239105992369686</c:v>
                </c:pt>
                <c:pt idx="394">
                  <c:v>1.2347592325690142</c:v>
                </c:pt>
                <c:pt idx="395">
                  <c:v>1.9881084721453528</c:v>
                </c:pt>
                <c:pt idx="396">
                  <c:v>2.0269272380347223</c:v>
                </c:pt>
                <c:pt idx="397">
                  <c:v>0.83592963820390698</c:v>
                </c:pt>
                <c:pt idx="398">
                  <c:v>0.9227648214974592</c:v>
                </c:pt>
                <c:pt idx="399">
                  <c:v>1.175019755063784</c:v>
                </c:pt>
                <c:pt idx="400">
                  <c:v>0.55205944197966095</c:v>
                </c:pt>
                <c:pt idx="401">
                  <c:v>0.7619369171435395</c:v>
                </c:pt>
                <c:pt idx="402">
                  <c:v>0.85750356169367992</c:v>
                </c:pt>
                <c:pt idx="403">
                  <c:v>1.8712130928348991</c:v>
                </c:pt>
                <c:pt idx="404">
                  <c:v>1.828802295834536</c:v>
                </c:pt>
                <c:pt idx="405">
                  <c:v>1.8953979767016702</c:v>
                </c:pt>
                <c:pt idx="406">
                  <c:v>2.2447171992350321</c:v>
                </c:pt>
                <c:pt idx="407">
                  <c:v>1.029499805763189</c:v>
                </c:pt>
                <c:pt idx="408">
                  <c:v>1.3273452162350488</c:v>
                </c:pt>
                <c:pt idx="409">
                  <c:v>1.4461652827060305</c:v>
                </c:pt>
                <c:pt idx="410">
                  <c:v>1.6555682834433088</c:v>
                </c:pt>
                <c:pt idx="411">
                  <c:v>1.0544550371119625</c:v>
                </c:pt>
                <c:pt idx="412">
                  <c:v>1.417064822746245</c:v>
                </c:pt>
                <c:pt idx="413">
                  <c:v>0.79839866095245215</c:v>
                </c:pt>
                <c:pt idx="414">
                  <c:v>0.93945017082886029</c:v>
                </c:pt>
                <c:pt idx="415">
                  <c:v>1.3547088906311604</c:v>
                </c:pt>
                <c:pt idx="416">
                  <c:v>1.4726317169163174</c:v>
                </c:pt>
                <c:pt idx="417">
                  <c:v>1.6408489371767041</c:v>
                </c:pt>
                <c:pt idx="418">
                  <c:v>1.6642603569394416</c:v>
                </c:pt>
                <c:pt idx="419">
                  <c:v>0.8642990042491514</c:v>
                </c:pt>
                <c:pt idx="420">
                  <c:v>0.91364035374588859</c:v>
                </c:pt>
                <c:pt idx="421">
                  <c:v>1.0938128811765657</c:v>
                </c:pt>
                <c:pt idx="422">
                  <c:v>1.3018488380744442</c:v>
                </c:pt>
                <c:pt idx="423">
                  <c:v>1.5717122916807</c:v>
                </c:pt>
                <c:pt idx="424">
                  <c:v>1.6360866860192729</c:v>
                </c:pt>
                <c:pt idx="425">
                  <c:v>1.7887440939579493</c:v>
                </c:pt>
                <c:pt idx="426">
                  <c:v>1.7774258058598467</c:v>
                </c:pt>
                <c:pt idx="427">
                  <c:v>1.2773447721685958</c:v>
                </c:pt>
                <c:pt idx="428">
                  <c:v>1.2781265433947568</c:v>
                </c:pt>
                <c:pt idx="429">
                  <c:v>1.4145583723311854</c:v>
                </c:pt>
                <c:pt idx="430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FD-4B48-B911-BF7D82A21CD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FD-4B48-B911-BF7D82A2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(2)'!$L$19:$L$1540</c:f>
              <c:numCache>
                <c:formatCode>General</c:formatCode>
                <c:ptCount val="1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(2)'!$CO$19:$CO$1533</c:f>
              <c:numCache>
                <c:formatCode>General</c:formatCode>
                <c:ptCount val="1515"/>
                <c:pt idx="33">
                  <c:v>2.2448997323364419</c:v>
                </c:pt>
                <c:pt idx="34">
                  <c:v>2.4029912627826699</c:v>
                </c:pt>
                <c:pt idx="35">
                  <c:v>2.4820370280057844</c:v>
                </c:pt>
                <c:pt idx="36">
                  <c:v>2.3766426743749656</c:v>
                </c:pt>
                <c:pt idx="37">
                  <c:v>1.9061201255553553</c:v>
                </c:pt>
                <c:pt idx="38">
                  <c:v>2.3064651049039719</c:v>
                </c:pt>
                <c:pt idx="39">
                  <c:v>2.3700400963612549</c:v>
                </c:pt>
                <c:pt idx="40">
                  <c:v>2.7366865752487546</c:v>
                </c:pt>
                <c:pt idx="41">
                  <c:v>2.487306745687325</c:v>
                </c:pt>
                <c:pt idx="42">
                  <c:v>2.4424867368613805</c:v>
                </c:pt>
                <c:pt idx="45">
                  <c:v>2.5096252436778972</c:v>
                </c:pt>
                <c:pt idx="46">
                  <c:v>2.4424867368613805</c:v>
                </c:pt>
                <c:pt idx="47">
                  <c:v>2.4677981562832656</c:v>
                </c:pt>
                <c:pt idx="48">
                  <c:v>2.4135306981457521</c:v>
                </c:pt>
                <c:pt idx="49">
                  <c:v>2.1785739750394941</c:v>
                </c:pt>
                <c:pt idx="50">
                  <c:v>2.7426618734479877</c:v>
                </c:pt>
                <c:pt idx="51">
                  <c:v>2.4677981562832656</c:v>
                </c:pt>
                <c:pt idx="52">
                  <c:v>2.4820370280057844</c:v>
                </c:pt>
                <c:pt idx="53">
                  <c:v>2.2467121229116414</c:v>
                </c:pt>
                <c:pt idx="54">
                  <c:v>2.4702470471950893</c:v>
                </c:pt>
                <c:pt idx="55">
                  <c:v>2.1320011347179846</c:v>
                </c:pt>
                <c:pt idx="56">
                  <c:v>2.4424867368613805</c:v>
                </c:pt>
                <c:pt idx="57">
                  <c:v>2.1785739750394941</c:v>
                </c:pt>
                <c:pt idx="58">
                  <c:v>2.4424867368613805</c:v>
                </c:pt>
                <c:pt idx="59">
                  <c:v>2.4424867368613805</c:v>
                </c:pt>
                <c:pt idx="60">
                  <c:v>1.8318650526460354</c:v>
                </c:pt>
                <c:pt idx="61">
                  <c:v>1.9146612132176075</c:v>
                </c:pt>
                <c:pt idx="62">
                  <c:v>1.7852922123245258</c:v>
                </c:pt>
                <c:pt idx="63">
                  <c:v>1.9405350133962238</c:v>
                </c:pt>
                <c:pt idx="64">
                  <c:v>2.0026321338249029</c:v>
                </c:pt>
                <c:pt idx="65">
                  <c:v>2.2096225352538337</c:v>
                </c:pt>
                <c:pt idx="66">
                  <c:v>2.0336806940392425</c:v>
                </c:pt>
                <c:pt idx="67">
                  <c:v>2.0285059340035194</c:v>
                </c:pt>
                <c:pt idx="68">
                  <c:v>2.2406710954681732</c:v>
                </c:pt>
                <c:pt idx="69">
                  <c:v>2.2406710954681732</c:v>
                </c:pt>
                <c:pt idx="70">
                  <c:v>2.2406710954681732</c:v>
                </c:pt>
                <c:pt idx="71">
                  <c:v>1.4826985349440416</c:v>
                </c:pt>
                <c:pt idx="72">
                  <c:v>1.2185908491732296</c:v>
                </c:pt>
                <c:pt idx="73">
                  <c:v>2.0699040142893055</c:v>
                </c:pt>
                <c:pt idx="74">
                  <c:v>2.4433965358125338</c:v>
                </c:pt>
                <c:pt idx="75">
                  <c:v>3.0026539653912536</c:v>
                </c:pt>
                <c:pt idx="76">
                  <c:v>3.8981849746145723</c:v>
                </c:pt>
                <c:pt idx="77">
                  <c:v>3.1952110472071253</c:v>
                </c:pt>
                <c:pt idx="78">
                  <c:v>2.6461887821679895</c:v>
                </c:pt>
                <c:pt idx="79">
                  <c:v>3.4546329439959318</c:v>
                </c:pt>
                <c:pt idx="80">
                  <c:v>2.6214605817225052</c:v>
                </c:pt>
                <c:pt idx="81">
                  <c:v>2.5235419107783099</c:v>
                </c:pt>
                <c:pt idx="82">
                  <c:v>2.7529945752455824</c:v>
                </c:pt>
                <c:pt idx="83">
                  <c:v>2.9114273470236065</c:v>
                </c:pt>
                <c:pt idx="84">
                  <c:v>3.3090738012822221</c:v>
                </c:pt>
                <c:pt idx="93">
                  <c:v>1.5912506932943413</c:v>
                </c:pt>
                <c:pt idx="94">
                  <c:v>1.6230757071602282</c:v>
                </c:pt>
                <c:pt idx="95">
                  <c:v>1.9806924856322257</c:v>
                </c:pt>
                <c:pt idx="96">
                  <c:v>1.6112237033175585</c:v>
                </c:pt>
                <c:pt idx="97">
                  <c:v>1.9686051937206492</c:v>
                </c:pt>
                <c:pt idx="99">
                  <c:v>1.8123015909449176</c:v>
                </c:pt>
                <c:pt idx="100">
                  <c:v>1.7884331182103927</c:v>
                </c:pt>
                <c:pt idx="101">
                  <c:v>1.6614358911336635</c:v>
                </c:pt>
                <c:pt idx="102">
                  <c:v>1.5204083730371372</c:v>
                </c:pt>
                <c:pt idx="103">
                  <c:v>1.2844983117151416</c:v>
                </c:pt>
                <c:pt idx="104">
                  <c:v>1.0541358701847023</c:v>
                </c:pt>
                <c:pt idx="105">
                  <c:v>1.0562631624203553</c:v>
                </c:pt>
                <c:pt idx="106">
                  <c:v>1.087922276280366</c:v>
                </c:pt>
                <c:pt idx="107">
                  <c:v>1.0354817743263687</c:v>
                </c:pt>
                <c:pt idx="108">
                  <c:v>1.0289496401861169</c:v>
                </c:pt>
                <c:pt idx="109">
                  <c:v>0.99163670685487904</c:v>
                </c:pt>
                <c:pt idx="110">
                  <c:v>1.0051735552994816</c:v>
                </c:pt>
                <c:pt idx="111">
                  <c:v>1.0340613603698168</c:v>
                </c:pt>
                <c:pt idx="112">
                  <c:v>1.0208544753847986</c:v>
                </c:pt>
                <c:pt idx="113">
                  <c:v>0.93826101076031576</c:v>
                </c:pt>
                <c:pt idx="114">
                  <c:v>1.0227472090377634</c:v>
                </c:pt>
                <c:pt idx="115">
                  <c:v>0.96588647204020084</c:v>
                </c:pt>
                <c:pt idx="116">
                  <c:v>1.0095071514226617</c:v>
                </c:pt>
                <c:pt idx="117">
                  <c:v>0.94566200598879258</c:v>
                </c:pt>
                <c:pt idx="118">
                  <c:v>1.0087061397213788</c:v>
                </c:pt>
                <c:pt idx="119">
                  <c:v>0.94362832425548338</c:v>
                </c:pt>
                <c:pt idx="120">
                  <c:v>0.96971903969624063</c:v>
                </c:pt>
                <c:pt idx="121">
                  <c:v>0.99843661456327815</c:v>
                </c:pt>
                <c:pt idx="122">
                  <c:v>1.1405352016323931</c:v>
                </c:pt>
                <c:pt idx="123">
                  <c:v>1.2229100477673867</c:v>
                </c:pt>
                <c:pt idx="124">
                  <c:v>0.84329893260419375</c:v>
                </c:pt>
                <c:pt idx="125">
                  <c:v>0.93717831569316634</c:v>
                </c:pt>
                <c:pt idx="126">
                  <c:v>0.91350667374896166</c:v>
                </c:pt>
                <c:pt idx="127">
                  <c:v>0.98310030198501008</c:v>
                </c:pt>
                <c:pt idx="128">
                  <c:v>1.509884619762391</c:v>
                </c:pt>
                <c:pt idx="129">
                  <c:v>1.7381964470031006</c:v>
                </c:pt>
                <c:pt idx="130">
                  <c:v>1.6300711355971114</c:v>
                </c:pt>
                <c:pt idx="131">
                  <c:v>1.2327813458867027</c:v>
                </c:pt>
                <c:pt idx="132">
                  <c:v>1.1987250770178246</c:v>
                </c:pt>
                <c:pt idx="133">
                  <c:v>1.362220607067554</c:v>
                </c:pt>
                <c:pt idx="146">
                  <c:v>0.88534408249407859</c:v>
                </c:pt>
                <c:pt idx="147">
                  <c:v>0.98476546344529348</c:v>
                </c:pt>
                <c:pt idx="148">
                  <c:v>1.1895298986663618</c:v>
                </c:pt>
                <c:pt idx="149">
                  <c:v>1.00807985266901</c:v>
                </c:pt>
                <c:pt idx="150">
                  <c:v>0.94893254593398446</c:v>
                </c:pt>
                <c:pt idx="151">
                  <c:v>1.0958701302456109</c:v>
                </c:pt>
                <c:pt idx="152">
                  <c:v>1.0172127143791025</c:v>
                </c:pt>
                <c:pt idx="153">
                  <c:v>0.94066025167937894</c:v>
                </c:pt>
                <c:pt idx="154">
                  <c:v>0.76127438140166614</c:v>
                </c:pt>
                <c:pt idx="155">
                  <c:v>0.9624039053840493</c:v>
                </c:pt>
                <c:pt idx="156">
                  <c:v>1.0835992283701597</c:v>
                </c:pt>
                <c:pt idx="157">
                  <c:v>0.91992270156739442</c:v>
                </c:pt>
                <c:pt idx="158">
                  <c:v>0.60055816701751907</c:v>
                </c:pt>
                <c:pt idx="159">
                  <c:v>0.8064397361857164</c:v>
                </c:pt>
                <c:pt idx="160">
                  <c:v>0.913470930321853</c:v>
                </c:pt>
                <c:pt idx="161">
                  <c:v>0.96504995295689378</c:v>
                </c:pt>
                <c:pt idx="162">
                  <c:v>0.88656349656218902</c:v>
                </c:pt>
                <c:pt idx="163">
                  <c:v>0.85316543926317967</c:v>
                </c:pt>
                <c:pt idx="164">
                  <c:v>0.91412308338752946</c:v>
                </c:pt>
                <c:pt idx="165">
                  <c:v>0.8457569800117225</c:v>
                </c:pt>
                <c:pt idx="166">
                  <c:v>0.99974195472107696</c:v>
                </c:pt>
                <c:pt idx="167">
                  <c:v>1.1105974873373516</c:v>
                </c:pt>
                <c:pt idx="168">
                  <c:v>0.95321963141319743</c:v>
                </c:pt>
                <c:pt idx="169">
                  <c:v>1.114387922447718</c:v>
                </c:pt>
                <c:pt idx="170">
                  <c:v>1.0020192712466374</c:v>
                </c:pt>
                <c:pt idx="171">
                  <c:v>1.0113172906851617</c:v>
                </c:pt>
                <c:pt idx="172">
                  <c:v>0.93279147752607849</c:v>
                </c:pt>
                <c:pt idx="173">
                  <c:v>1.343745872820697</c:v>
                </c:pt>
                <c:pt idx="174">
                  <c:v>1.3263049234389535</c:v>
                </c:pt>
                <c:pt idx="175">
                  <c:v>1.0860954842267581</c:v>
                </c:pt>
                <c:pt idx="176">
                  <c:v>1.1487243479157463</c:v>
                </c:pt>
                <c:pt idx="177">
                  <c:v>1.3996547964651125</c:v>
                </c:pt>
                <c:pt idx="178">
                  <c:v>1.459192351240121</c:v>
                </c:pt>
                <c:pt idx="179">
                  <c:v>1.346268295107405</c:v>
                </c:pt>
                <c:pt idx="180">
                  <c:v>1.3221283118847895</c:v>
                </c:pt>
                <c:pt idx="181">
                  <c:v>1.0758540599694522</c:v>
                </c:pt>
                <c:pt idx="182">
                  <c:v>1.0728697213842386</c:v>
                </c:pt>
                <c:pt idx="183">
                  <c:v>1.334372389913568</c:v>
                </c:pt>
                <c:pt idx="184">
                  <c:v>1.3371142509887328</c:v>
                </c:pt>
                <c:pt idx="185">
                  <c:v>1.476949165822141</c:v>
                </c:pt>
                <c:pt idx="186">
                  <c:v>1.4706820547931927</c:v>
                </c:pt>
                <c:pt idx="187">
                  <c:v>1.3471967560005826</c:v>
                </c:pt>
                <c:pt idx="188">
                  <c:v>1.3388406079619848</c:v>
                </c:pt>
                <c:pt idx="189">
                  <c:v>1.0803305678472723</c:v>
                </c:pt>
                <c:pt idx="190">
                  <c:v>1.0780923139083622</c:v>
                </c:pt>
                <c:pt idx="191">
                  <c:v>1.307867732853641</c:v>
                </c:pt>
                <c:pt idx="192">
                  <c:v>1.3215770382294654</c:v>
                </c:pt>
                <c:pt idx="201">
                  <c:v>0.83984320870467188</c:v>
                </c:pt>
                <c:pt idx="202">
                  <c:v>0.66940443987931186</c:v>
                </c:pt>
                <c:pt idx="204">
                  <c:v>0.96186866879752408</c:v>
                </c:pt>
                <c:pt idx="205">
                  <c:v>0.90949475269668878</c:v>
                </c:pt>
                <c:pt idx="206">
                  <c:v>0.84492033037199443</c:v>
                </c:pt>
                <c:pt idx="208">
                  <c:v>0.87763375463944127</c:v>
                </c:pt>
                <c:pt idx="212">
                  <c:v>0.96033014178643861</c:v>
                </c:pt>
                <c:pt idx="213">
                  <c:v>0.88138653561678071</c:v>
                </c:pt>
                <c:pt idx="214">
                  <c:v>0.73987952301775617</c:v>
                </c:pt>
                <c:pt idx="215">
                  <c:v>0.76452366947646233</c:v>
                </c:pt>
                <c:pt idx="216">
                  <c:v>0.90428537265476261</c:v>
                </c:pt>
                <c:pt idx="217">
                  <c:v>0.92854346416666433</c:v>
                </c:pt>
                <c:pt idx="218">
                  <c:v>1.0350535220775872</c:v>
                </c:pt>
                <c:pt idx="219">
                  <c:v>0.58198738963793162</c:v>
                </c:pt>
                <c:pt idx="220">
                  <c:v>1.0777057029606696</c:v>
                </c:pt>
                <c:pt idx="221">
                  <c:v>0.96798239324432744</c:v>
                </c:pt>
                <c:pt idx="222">
                  <c:v>1.223615596955703</c:v>
                </c:pt>
                <c:pt idx="224">
                  <c:v>0.91159169350602032</c:v>
                </c:pt>
                <c:pt idx="225">
                  <c:v>1.0829854421475513</c:v>
                </c:pt>
                <c:pt idx="226">
                  <c:v>1.127798632857105</c:v>
                </c:pt>
                <c:pt idx="227">
                  <c:v>1.0605788467927744</c:v>
                </c:pt>
                <c:pt idx="228">
                  <c:v>1.0717821444701627</c:v>
                </c:pt>
                <c:pt idx="229">
                  <c:v>1.0564220201122723</c:v>
                </c:pt>
                <c:pt idx="230">
                  <c:v>1.2384810622137228</c:v>
                </c:pt>
                <c:pt idx="231">
                  <c:v>1.2831551863086319</c:v>
                </c:pt>
                <c:pt idx="232">
                  <c:v>1.3880254124322593</c:v>
                </c:pt>
                <c:pt idx="233">
                  <c:v>1.5938804335037966</c:v>
                </c:pt>
                <c:pt idx="234">
                  <c:v>1.5345408049582523</c:v>
                </c:pt>
                <c:pt idx="235">
                  <c:v>1.4359155871172888</c:v>
                </c:pt>
                <c:pt idx="236">
                  <c:v>1.2194946641051669</c:v>
                </c:pt>
                <c:pt idx="237">
                  <c:v>1.317149532036703</c:v>
                </c:pt>
                <c:pt idx="238">
                  <c:v>1.2346358259905077</c:v>
                </c:pt>
                <c:pt idx="239">
                  <c:v>1.5339299197210992</c:v>
                </c:pt>
                <c:pt idx="240">
                  <c:v>1.5068032599175301</c:v>
                </c:pt>
                <c:pt idx="241">
                  <c:v>1.2029201868693087</c:v>
                </c:pt>
                <c:pt idx="242">
                  <c:v>1.1802672611961667</c:v>
                </c:pt>
                <c:pt idx="243">
                  <c:v>1.162421606270974</c:v>
                </c:pt>
                <c:pt idx="244">
                  <c:v>1.2306592685757356</c:v>
                </c:pt>
                <c:pt idx="245">
                  <c:v>1.36903463434048</c:v>
                </c:pt>
                <c:pt idx="246">
                  <c:v>1.3187310543950901</c:v>
                </c:pt>
                <c:pt idx="247">
                  <c:v>1.0522667203632556</c:v>
                </c:pt>
                <c:pt idx="248">
                  <c:v>0.93815471277091533</c:v>
                </c:pt>
                <c:pt idx="249">
                  <c:v>0.74532206536108792</c:v>
                </c:pt>
                <c:pt idx="250">
                  <c:v>0.63101344107675594</c:v>
                </c:pt>
                <c:pt idx="251">
                  <c:v>0.79280396895483174</c:v>
                </c:pt>
                <c:pt idx="252">
                  <c:v>0.71854812201195861</c:v>
                </c:pt>
                <c:pt idx="253">
                  <c:v>0.78120180007439466</c:v>
                </c:pt>
                <c:pt idx="254">
                  <c:v>0.72735175301753507</c:v>
                </c:pt>
                <c:pt idx="255">
                  <c:v>0.89437660671396491</c:v>
                </c:pt>
                <c:pt idx="256">
                  <c:v>0.90132392311400156</c:v>
                </c:pt>
                <c:pt idx="257">
                  <c:v>0.76007708503607152</c:v>
                </c:pt>
                <c:pt idx="258">
                  <c:v>0.72849406166503683</c:v>
                </c:pt>
                <c:pt idx="259">
                  <c:v>0.84166253600077767</c:v>
                </c:pt>
                <c:pt idx="260">
                  <c:v>0.85705077547664621</c:v>
                </c:pt>
                <c:pt idx="261">
                  <c:v>0.9393747924293061</c:v>
                </c:pt>
                <c:pt idx="262">
                  <c:v>0.51887396146108922</c:v>
                </c:pt>
                <c:pt idx="263">
                  <c:v>0.68498893387023563</c:v>
                </c:pt>
                <c:pt idx="264">
                  <c:v>0.58489828600310911</c:v>
                </c:pt>
                <c:pt idx="265">
                  <c:v>0.72611787808674999</c:v>
                </c:pt>
                <c:pt idx="266">
                  <c:v>0.65802619294675391</c:v>
                </c:pt>
                <c:pt idx="267">
                  <c:v>0.77575340422431527</c:v>
                </c:pt>
                <c:pt idx="268">
                  <c:v>1.2322823459064642</c:v>
                </c:pt>
                <c:pt idx="269">
                  <c:v>1.277411567533927</c:v>
                </c:pt>
                <c:pt idx="270">
                  <c:v>1.0896845617861677</c:v>
                </c:pt>
                <c:pt idx="271">
                  <c:v>1.2105023884032184</c:v>
                </c:pt>
                <c:pt idx="272">
                  <c:v>1.0203025240427521</c:v>
                </c:pt>
                <c:pt idx="273">
                  <c:v>1.1868583452849486</c:v>
                </c:pt>
                <c:pt idx="274">
                  <c:v>1.0799763404341667</c:v>
                </c:pt>
                <c:pt idx="275">
                  <c:v>1.0995962911600672</c:v>
                </c:pt>
                <c:pt idx="276">
                  <c:v>1.0300511509764076</c:v>
                </c:pt>
                <c:pt idx="277">
                  <c:v>1.2265309375291311</c:v>
                </c:pt>
                <c:pt idx="278">
                  <c:v>1.1559069266391626</c:v>
                </c:pt>
                <c:pt idx="279">
                  <c:v>1.1836647429125442</c:v>
                </c:pt>
                <c:pt idx="280">
                  <c:v>1.3465046140644013</c:v>
                </c:pt>
                <c:pt idx="281">
                  <c:v>1.3682820765439294</c:v>
                </c:pt>
                <c:pt idx="282">
                  <c:v>1.5751753462483433</c:v>
                </c:pt>
                <c:pt idx="283">
                  <c:v>1.6397503433727931</c:v>
                </c:pt>
                <c:pt idx="284">
                  <c:v>1.1051503511747058</c:v>
                </c:pt>
                <c:pt idx="285">
                  <c:v>1.1349688403690872</c:v>
                </c:pt>
                <c:pt idx="286">
                  <c:v>1.2344253536743985</c:v>
                </c:pt>
                <c:pt idx="287">
                  <c:v>1.3364980881517277</c:v>
                </c:pt>
                <c:pt idx="288">
                  <c:v>0.85476926926907693</c:v>
                </c:pt>
                <c:pt idx="289">
                  <c:v>0.87687303494811975</c:v>
                </c:pt>
                <c:pt idx="290">
                  <c:v>0.98202522476536125</c:v>
                </c:pt>
                <c:pt idx="291">
                  <c:v>1.1384629532737178</c:v>
                </c:pt>
                <c:pt idx="292">
                  <c:v>0.85947111258748954</c:v>
                </c:pt>
                <c:pt idx="293">
                  <c:v>0.82077752133214454</c:v>
                </c:pt>
                <c:pt idx="294">
                  <c:v>0.89074846193263224</c:v>
                </c:pt>
                <c:pt idx="295">
                  <c:v>0.63823159385634853</c:v>
                </c:pt>
                <c:pt idx="296">
                  <c:v>0.72537968297729583</c:v>
                </c:pt>
                <c:pt idx="297">
                  <c:v>0.8608381695530406</c:v>
                </c:pt>
                <c:pt idx="298">
                  <c:v>0.75324722752883644</c:v>
                </c:pt>
                <c:pt idx="299">
                  <c:v>0.89432702193294766</c:v>
                </c:pt>
                <c:pt idx="300">
                  <c:v>0.96859506161635667</c:v>
                </c:pt>
                <c:pt idx="301">
                  <c:v>0.90138018464758518</c:v>
                </c:pt>
                <c:pt idx="302">
                  <c:v>0.8799612495668504</c:v>
                </c:pt>
                <c:pt idx="303">
                  <c:v>0.56097986424367119</c:v>
                </c:pt>
                <c:pt idx="304">
                  <c:v>0.65029501043448246</c:v>
                </c:pt>
                <c:pt idx="305">
                  <c:v>0.58300548044000222</c:v>
                </c:pt>
                <c:pt idx="306">
                  <c:v>0.67482991273653969</c:v>
                </c:pt>
                <c:pt idx="307">
                  <c:v>0.89023117394172224</c:v>
                </c:pt>
                <c:pt idx="308">
                  <c:v>0.79963293487855847</c:v>
                </c:pt>
                <c:pt idx="309">
                  <c:v>1.23092698317647</c:v>
                </c:pt>
                <c:pt idx="310">
                  <c:v>0.83559856691156109</c:v>
                </c:pt>
                <c:pt idx="311">
                  <c:v>0.85920996290500906</c:v>
                </c:pt>
                <c:pt idx="312">
                  <c:v>0.96939099825013697</c:v>
                </c:pt>
                <c:pt idx="313">
                  <c:v>1.0239011603223291</c:v>
                </c:pt>
                <c:pt idx="314">
                  <c:v>1.070038706952406</c:v>
                </c:pt>
                <c:pt idx="315">
                  <c:v>1.0695643990149271</c:v>
                </c:pt>
                <c:pt idx="316">
                  <c:v>0.83116481100661199</c:v>
                </c:pt>
                <c:pt idx="317">
                  <c:v>0.81037608951469353</c:v>
                </c:pt>
                <c:pt idx="318">
                  <c:v>1.0821892471927714</c:v>
                </c:pt>
                <c:pt idx="319">
                  <c:v>1.1638954318825405</c:v>
                </c:pt>
                <c:pt idx="320">
                  <c:v>0.78644289346564267</c:v>
                </c:pt>
                <c:pt idx="321">
                  <c:v>0.80888078104723415</c:v>
                </c:pt>
                <c:pt idx="322">
                  <c:v>0.84206870494089237</c:v>
                </c:pt>
                <c:pt idx="323">
                  <c:v>1.0551953276997568</c:v>
                </c:pt>
                <c:pt idx="324">
                  <c:v>0.52517845184720147</c:v>
                </c:pt>
                <c:pt idx="325">
                  <c:v>0.52030326339174249</c:v>
                </c:pt>
                <c:pt idx="326">
                  <c:v>0.61183706342117261</c:v>
                </c:pt>
                <c:pt idx="327">
                  <c:v>0.84018279528395989</c:v>
                </c:pt>
                <c:pt idx="328">
                  <c:v>0.92955461647292403</c:v>
                </c:pt>
                <c:pt idx="329">
                  <c:v>0.95371766512172973</c:v>
                </c:pt>
                <c:pt idx="330">
                  <c:v>0.87300925776748195</c:v>
                </c:pt>
                <c:pt idx="331">
                  <c:v>0.83820875142810081</c:v>
                </c:pt>
                <c:pt idx="332">
                  <c:v>0.78129334238051362</c:v>
                </c:pt>
                <c:pt idx="333">
                  <c:v>0.98584840742699886</c:v>
                </c:pt>
                <c:pt idx="334">
                  <c:v>1.1152011703167652</c:v>
                </c:pt>
                <c:pt idx="335">
                  <c:v>0.64506316073421432</c:v>
                </c:pt>
                <c:pt idx="336">
                  <c:v>0.93378530054610154</c:v>
                </c:pt>
                <c:pt idx="337">
                  <c:v>0.42355464883704419</c:v>
                </c:pt>
                <c:pt idx="338">
                  <c:v>0.70792013470807091</c:v>
                </c:pt>
                <c:pt idx="339">
                  <c:v>0.62523555326919822</c:v>
                </c:pt>
                <c:pt idx="340">
                  <c:v>0.83825051850203269</c:v>
                </c:pt>
                <c:pt idx="341">
                  <c:v>0.62969958773609069</c:v>
                </c:pt>
                <c:pt idx="342">
                  <c:v>1.0367754136289835</c:v>
                </c:pt>
                <c:pt idx="343">
                  <c:v>0.44996267153002917</c:v>
                </c:pt>
                <c:pt idx="344">
                  <c:v>0.6669389422208678</c:v>
                </c:pt>
                <c:pt idx="345">
                  <c:v>0.50449832197238131</c:v>
                </c:pt>
                <c:pt idx="346">
                  <c:v>0.76639480246858727</c:v>
                </c:pt>
                <c:pt idx="347">
                  <c:v>0.5833875545987004</c:v>
                </c:pt>
                <c:pt idx="348">
                  <c:v>0.872504984363912</c:v>
                </c:pt>
                <c:pt idx="349">
                  <c:v>0.71231037080251502</c:v>
                </c:pt>
                <c:pt idx="350">
                  <c:v>1.106485599503142</c:v>
                </c:pt>
                <c:pt idx="351">
                  <c:v>0.48976913315039056</c:v>
                </c:pt>
                <c:pt idx="352">
                  <c:v>0.86321287970569793</c:v>
                </c:pt>
                <c:pt idx="353">
                  <c:v>0.46513579599200511</c:v>
                </c:pt>
                <c:pt idx="354">
                  <c:v>0.64106948259639507</c:v>
                </c:pt>
                <c:pt idx="355">
                  <c:v>1.2743226144407223</c:v>
                </c:pt>
                <c:pt idx="356">
                  <c:v>1.4196953239300236</c:v>
                </c:pt>
                <c:pt idx="357">
                  <c:v>1.0497519954137509</c:v>
                </c:pt>
                <c:pt idx="358">
                  <c:v>1.4990162397903857</c:v>
                </c:pt>
                <c:pt idx="359">
                  <c:v>1.3659234137605867</c:v>
                </c:pt>
                <c:pt idx="360">
                  <c:v>1.8310172843631967</c:v>
                </c:pt>
                <c:pt idx="361">
                  <c:v>1.4504857015864872</c:v>
                </c:pt>
                <c:pt idx="362">
                  <c:v>1.5383471514809657</c:v>
                </c:pt>
                <c:pt idx="363">
                  <c:v>1.6814635194694538</c:v>
                </c:pt>
                <c:pt idx="364">
                  <c:v>2.068307828817685</c:v>
                </c:pt>
                <c:pt idx="365">
                  <c:v>1.9195379344609871</c:v>
                </c:pt>
                <c:pt idx="366">
                  <c:v>0.97254086403226603</c:v>
                </c:pt>
                <c:pt idx="367">
                  <c:v>1.0717854033241645</c:v>
                </c:pt>
                <c:pt idx="368">
                  <c:v>1.1162227053376048</c:v>
                </c:pt>
                <c:pt idx="369">
                  <c:v>1.2437471613413587</c:v>
                </c:pt>
                <c:pt idx="370">
                  <c:v>1.3164149033494428</c:v>
                </c:pt>
                <c:pt idx="371">
                  <c:v>1.3754403004160058</c:v>
                </c:pt>
                <c:pt idx="372">
                  <c:v>1.2058184978422544</c:v>
                </c:pt>
                <c:pt idx="373">
                  <c:v>1.2753133471511944</c:v>
                </c:pt>
                <c:pt idx="374">
                  <c:v>0.87936714367783619</c:v>
                </c:pt>
                <c:pt idx="375">
                  <c:v>1.0914926228511777</c:v>
                </c:pt>
                <c:pt idx="376">
                  <c:v>1.2141990046156852</c:v>
                </c:pt>
                <c:pt idx="377">
                  <c:v>0.79391723730830444</c:v>
                </c:pt>
                <c:pt idx="378">
                  <c:v>0.97069279237337602</c:v>
                </c:pt>
                <c:pt idx="379">
                  <c:v>1.4899148153597199</c:v>
                </c:pt>
                <c:pt idx="380">
                  <c:v>1.0477514047953278</c:v>
                </c:pt>
                <c:pt idx="381">
                  <c:v>0.9895836477926353</c:v>
                </c:pt>
                <c:pt idx="382">
                  <c:v>0.98836811047695539</c:v>
                </c:pt>
                <c:pt idx="383">
                  <c:v>0.70400056799858857</c:v>
                </c:pt>
                <c:pt idx="384">
                  <c:v>0.7044109601561066</c:v>
                </c:pt>
                <c:pt idx="385">
                  <c:v>0.78942251868503899</c:v>
                </c:pt>
                <c:pt idx="386">
                  <c:v>0.79283341728023848</c:v>
                </c:pt>
                <c:pt idx="387">
                  <c:v>0.77910977528454672</c:v>
                </c:pt>
                <c:pt idx="388">
                  <c:v>0.74030382552754892</c:v>
                </c:pt>
                <c:pt idx="389">
                  <c:v>0.76063616135424206</c:v>
                </c:pt>
                <c:pt idx="390">
                  <c:v>0.94250763551701122</c:v>
                </c:pt>
                <c:pt idx="391">
                  <c:v>0.73841171855110732</c:v>
                </c:pt>
                <c:pt idx="392">
                  <c:v>0.80542668268051976</c:v>
                </c:pt>
                <c:pt idx="393">
                  <c:v>1.0735026055940766</c:v>
                </c:pt>
                <c:pt idx="394">
                  <c:v>0.71294115138339709</c:v>
                </c:pt>
                <c:pt idx="395">
                  <c:v>1.1684207947786249</c:v>
                </c:pt>
                <c:pt idx="396">
                  <c:v>1.1817708532653595</c:v>
                </c:pt>
                <c:pt idx="397">
                  <c:v>0.60951935748641473</c:v>
                </c:pt>
                <c:pt idx="398">
                  <c:v>0.55788863885703999</c:v>
                </c:pt>
                <c:pt idx="399">
                  <c:v>0.70122789556506115</c:v>
                </c:pt>
                <c:pt idx="400">
                  <c:v>0.39567942283543261</c:v>
                </c:pt>
                <c:pt idx="401">
                  <c:v>0.48899944075446833</c:v>
                </c:pt>
                <c:pt idx="402">
                  <c:v>0.51563362796658507</c:v>
                </c:pt>
                <c:pt idx="403">
                  <c:v>1.1749618201465732</c:v>
                </c:pt>
                <c:pt idx="404">
                  <c:v>1.0359885288999844</c:v>
                </c:pt>
                <c:pt idx="405">
                  <c:v>1.0729595846360971</c:v>
                </c:pt>
                <c:pt idx="406">
                  <c:v>1.1868247628736053</c:v>
                </c:pt>
                <c:pt idx="407">
                  <c:v>0.68470671862790344</c:v>
                </c:pt>
                <c:pt idx="408">
                  <c:v>0.72953503068804071</c:v>
                </c:pt>
                <c:pt idx="409">
                  <c:v>1.1280239260463714</c:v>
                </c:pt>
                <c:pt idx="410">
                  <c:v>1.056751021942246</c:v>
                </c:pt>
                <c:pt idx="411">
                  <c:v>0.78019756280710717</c:v>
                </c:pt>
                <c:pt idx="412">
                  <c:v>0.8439802865874686</c:v>
                </c:pt>
                <c:pt idx="413">
                  <c:v>0.59492712262465242</c:v>
                </c:pt>
                <c:pt idx="414">
                  <c:v>0.55782635351741428</c:v>
                </c:pt>
                <c:pt idx="415">
                  <c:v>1.0458762065595366</c:v>
                </c:pt>
                <c:pt idx="416">
                  <c:v>1.1231993253354746</c:v>
                </c:pt>
                <c:pt idx="417">
                  <c:v>1.0436892102875694</c:v>
                </c:pt>
                <c:pt idx="418">
                  <c:v>1.0585804325386099</c:v>
                </c:pt>
                <c:pt idx="419">
                  <c:v>0.66829991143050049</c:v>
                </c:pt>
                <c:pt idx="420">
                  <c:v>0.70142745650926142</c:v>
                </c:pt>
                <c:pt idx="421">
                  <c:v>0.69930309621863518</c:v>
                </c:pt>
                <c:pt idx="422">
                  <c:v>0.8267117077633499</c:v>
                </c:pt>
                <c:pt idx="423">
                  <c:v>1.3007003755234947</c:v>
                </c:pt>
                <c:pt idx="424">
                  <c:v>1.3425283319770762</c:v>
                </c:pt>
                <c:pt idx="425">
                  <c:v>1.2175479015295021</c:v>
                </c:pt>
                <c:pt idx="426">
                  <c:v>1.1967680745785221</c:v>
                </c:pt>
                <c:pt idx="427">
                  <c:v>1.0434037473596134</c:v>
                </c:pt>
                <c:pt idx="428">
                  <c:v>1.0392943971333077</c:v>
                </c:pt>
                <c:pt idx="429">
                  <c:v>0.9576858753337375</c:v>
                </c:pt>
                <c:pt idx="430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EF-4778-8810-4D674387151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EF-4778-8810-4D674387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(2)'!$CP$19:$CP$1274</c:f>
              <c:numCache>
                <c:formatCode>General</c:formatCode>
                <c:ptCount val="1256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1">
                  <c:v>1.1836659892345631</c:v>
                </c:pt>
                <c:pt idx="72">
                  <c:v>1.2291916042051232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  <c:pt idx="93">
                  <c:v>1.1308190177150246</c:v>
                </c:pt>
                <c:pt idx="94">
                  <c:v>1.153435398069325</c:v>
                </c:pt>
                <c:pt idx="95">
                  <c:v>1.4218289471474532</c:v>
                </c:pt>
                <c:pt idx="96">
                  <c:v>1.1566078623132587</c:v>
                </c:pt>
                <c:pt idx="97">
                  <c:v>1.4186615178324093</c:v>
                </c:pt>
                <c:pt idx="99">
                  <c:v>1.400050385593772</c:v>
                </c:pt>
                <c:pt idx="100">
                  <c:v>1.5186373454602673</c:v>
                </c:pt>
                <c:pt idx="101">
                  <c:v>1.5919227937666609</c:v>
                </c:pt>
                <c:pt idx="102">
                  <c:v>1.2190384003358494</c:v>
                </c:pt>
                <c:pt idx="103">
                  <c:v>0.86666480781610633</c:v>
                </c:pt>
                <c:pt idx="104">
                  <c:v>2.0620757981693512</c:v>
                </c:pt>
                <c:pt idx="105">
                  <c:v>2.0790709283740432</c:v>
                </c:pt>
                <c:pt idx="106">
                  <c:v>2.1513002317439862</c:v>
                </c:pt>
                <c:pt idx="107">
                  <c:v>2.0549414002750783</c:v>
                </c:pt>
                <c:pt idx="108">
                  <c:v>1.5655964947726944</c:v>
                </c:pt>
                <c:pt idx="109">
                  <c:v>1.5181946392806425</c:v>
                </c:pt>
                <c:pt idx="110">
                  <c:v>2.036802381456603</c:v>
                </c:pt>
                <c:pt idx="111">
                  <c:v>2.1083528164023853</c:v>
                </c:pt>
                <c:pt idx="112">
                  <c:v>2.0910614612904879</c:v>
                </c:pt>
                <c:pt idx="113">
                  <c:v>1.5597043022488204</c:v>
                </c:pt>
                <c:pt idx="114">
                  <c:v>1.7080197420332173</c:v>
                </c:pt>
                <c:pt idx="115">
                  <c:v>1.9011800804706829</c:v>
                </c:pt>
                <c:pt idx="116">
                  <c:v>1.9962390844942171</c:v>
                </c:pt>
                <c:pt idx="117">
                  <c:v>1.8498817761092701</c:v>
                </c:pt>
                <c:pt idx="118">
                  <c:v>1.9854631733644836</c:v>
                </c:pt>
                <c:pt idx="119">
                  <c:v>1.8659677045971768</c:v>
                </c:pt>
                <c:pt idx="120">
                  <c:v>1.5838702482855289</c:v>
                </c:pt>
                <c:pt idx="121">
                  <c:v>1.640904537037251</c:v>
                </c:pt>
                <c:pt idx="122">
                  <c:v>1.3716278950619074</c:v>
                </c:pt>
                <c:pt idx="123">
                  <c:v>1.5901530156531671</c:v>
                </c:pt>
                <c:pt idx="124">
                  <c:v>1.735692259240688</c:v>
                </c:pt>
                <c:pt idx="125">
                  <c:v>1.9408972554070749</c:v>
                </c:pt>
                <c:pt idx="126">
                  <c:v>1.4920569597297801</c:v>
                </c:pt>
                <c:pt idx="127">
                  <c:v>1.6156997072823751</c:v>
                </c:pt>
                <c:pt idx="128">
                  <c:v>3.7310919948288381</c:v>
                </c:pt>
                <c:pt idx="129">
                  <c:v>3.1701289154882781</c:v>
                </c:pt>
                <c:pt idx="130">
                  <c:v>2.3102564407786246</c:v>
                </c:pt>
                <c:pt idx="131">
                  <c:v>3.0463391379773341</c:v>
                </c:pt>
                <c:pt idx="132">
                  <c:v>2.1862390956597899</c:v>
                </c:pt>
                <c:pt idx="133">
                  <c:v>1.9306390147730439</c:v>
                </c:pt>
                <c:pt idx="146">
                  <c:v>1.6422049905298932</c:v>
                </c:pt>
                <c:pt idx="147">
                  <c:v>2.1073737173267033</c:v>
                </c:pt>
                <c:pt idx="148">
                  <c:v>2.2064324759153546</c:v>
                </c:pt>
                <c:pt idx="149">
                  <c:v>1.9358600623361049</c:v>
                </c:pt>
                <c:pt idx="150">
                  <c:v>2.1023636487990696</c:v>
                </c:pt>
                <c:pt idx="151">
                  <c:v>2.1044475921552754</c:v>
                </c:pt>
                <c:pt idx="152">
                  <c:v>2.2497610402163333</c:v>
                </c:pt>
                <c:pt idx="153">
                  <c:v>2.3709127261355487</c:v>
                </c:pt>
                <c:pt idx="154">
                  <c:v>1.3696603978665678</c:v>
                </c:pt>
                <c:pt idx="155">
                  <c:v>1.7563551268489346</c:v>
                </c:pt>
                <c:pt idx="156">
                  <c:v>2.4470066431310555</c:v>
                </c:pt>
                <c:pt idx="157">
                  <c:v>2.3674235347733665</c:v>
                </c:pt>
                <c:pt idx="158">
                  <c:v>1.1032364714470975</c:v>
                </c:pt>
                <c:pt idx="159">
                  <c:v>1.5026876752908058</c:v>
                </c:pt>
                <c:pt idx="160">
                  <c:v>1.8849788364696016</c:v>
                </c:pt>
                <c:pt idx="161">
                  <c:v>1.9011798782047624</c:v>
                </c:pt>
                <c:pt idx="162">
                  <c:v>1.8294544169209646</c:v>
                </c:pt>
                <c:pt idx="163">
                  <c:v>1.8226729491803071</c:v>
                </c:pt>
                <c:pt idx="164">
                  <c:v>1.8644117767866515</c:v>
                </c:pt>
                <c:pt idx="165">
                  <c:v>1.8068457746941986</c:v>
                </c:pt>
                <c:pt idx="166">
                  <c:v>2.1930232163612731</c:v>
                </c:pt>
                <c:pt idx="167">
                  <c:v>1.9872973133746143</c:v>
                </c:pt>
                <c:pt idx="168">
                  <c:v>1.7418839452233523</c:v>
                </c:pt>
                <c:pt idx="169">
                  <c:v>1.9940798980618999</c:v>
                </c:pt>
                <c:pt idx="170">
                  <c:v>2.7475233917965838</c:v>
                </c:pt>
                <c:pt idx="171">
                  <c:v>2.265085466053149</c:v>
                </c:pt>
                <c:pt idx="172">
                  <c:v>2.6115103020377481</c:v>
                </c:pt>
                <c:pt idx="173">
                  <c:v>2.0431311987564142</c:v>
                </c:pt>
                <c:pt idx="174">
                  <c:v>2.0166126817224077</c:v>
                </c:pt>
                <c:pt idx="175">
                  <c:v>1.6385819386206548</c:v>
                </c:pt>
                <c:pt idx="176">
                  <c:v>1.7330695102637437</c:v>
                </c:pt>
                <c:pt idx="177">
                  <c:v>2.1778234715106537</c:v>
                </c:pt>
                <c:pt idx="178">
                  <c:v>2.2704622311196889</c:v>
                </c:pt>
                <c:pt idx="179">
                  <c:v>2.1412749657081402</c:v>
                </c:pt>
                <c:pt idx="180">
                  <c:v>2.1028796904609597</c:v>
                </c:pt>
                <c:pt idx="181">
                  <c:v>1.4576202750016511</c:v>
                </c:pt>
                <c:pt idx="182">
                  <c:v>1.4535769455286924</c:v>
                </c:pt>
                <c:pt idx="183">
                  <c:v>2.1468664925268488</c:v>
                </c:pt>
                <c:pt idx="184">
                  <c:v>2.1512778620320412</c:v>
                </c:pt>
                <c:pt idx="185">
                  <c:v>2.5208731734666308</c:v>
                </c:pt>
                <c:pt idx="186">
                  <c:v>2.5101763990389081</c:v>
                </c:pt>
                <c:pt idx="187">
                  <c:v>2.3123528247792344</c:v>
                </c:pt>
                <c:pt idx="188">
                  <c:v>2.2980101814828782</c:v>
                </c:pt>
                <c:pt idx="189">
                  <c:v>1.5698116262713619</c:v>
                </c:pt>
                <c:pt idx="190">
                  <c:v>1.5665592541174849</c:v>
                </c:pt>
                <c:pt idx="191">
                  <c:v>2.3082111104392879</c:v>
                </c:pt>
                <c:pt idx="192">
                  <c:v>2.3324061954543751</c:v>
                </c:pt>
                <c:pt idx="201">
                  <c:v>1.8689394540824167</c:v>
                </c:pt>
                <c:pt idx="202">
                  <c:v>1.4896546825186321</c:v>
                </c:pt>
                <c:pt idx="204">
                  <c:v>1.4898103684061734</c:v>
                </c:pt>
                <c:pt idx="205">
                  <c:v>1.7872696358516886</c:v>
                </c:pt>
                <c:pt idx="206">
                  <c:v>1.4756849269594856</c:v>
                </c:pt>
                <c:pt idx="208">
                  <c:v>1.9996706233260206</c:v>
                </c:pt>
                <c:pt idx="212">
                  <c:v>2.0799992915128129</c:v>
                </c:pt>
                <c:pt idx="213">
                  <c:v>1.6798354215963835</c:v>
                </c:pt>
                <c:pt idx="214">
                  <c:v>1.4101370740923769</c:v>
                </c:pt>
                <c:pt idx="215">
                  <c:v>1.7042311000948527</c:v>
                </c:pt>
                <c:pt idx="216">
                  <c:v>2.0157796507391934</c:v>
                </c:pt>
                <c:pt idx="217">
                  <c:v>1.621735854662433</c:v>
                </c:pt>
                <c:pt idx="218">
                  <c:v>2.40472000951072</c:v>
                </c:pt>
                <c:pt idx="219">
                  <c:v>1.2578535434363767</c:v>
                </c:pt>
                <c:pt idx="220">
                  <c:v>2.4023580290102506</c:v>
                </c:pt>
                <c:pt idx="221">
                  <c:v>2.1540931293374417</c:v>
                </c:pt>
                <c:pt idx="222">
                  <c:v>2.4045559316413061</c:v>
                </c:pt>
                <c:pt idx="224">
                  <c:v>1.7317254832977322</c:v>
                </c:pt>
                <c:pt idx="225">
                  <c:v>1.1680419353862352</c:v>
                </c:pt>
                <c:pt idx="226">
                  <c:v>1.2163747051263551</c:v>
                </c:pt>
                <c:pt idx="227">
                  <c:v>1.1438755505161751</c:v>
                </c:pt>
                <c:pt idx="228">
                  <c:v>1.155958742951205</c:v>
                </c:pt>
                <c:pt idx="229">
                  <c:v>2.2412780879293885</c:v>
                </c:pt>
                <c:pt idx="230">
                  <c:v>2.4919518773596629</c:v>
                </c:pt>
                <c:pt idx="231">
                  <c:v>1.9925512065399069</c:v>
                </c:pt>
                <c:pt idx="232">
                  <c:v>2.1497046820266013</c:v>
                </c:pt>
                <c:pt idx="233">
                  <c:v>2.4762708991717561</c:v>
                </c:pt>
                <c:pt idx="234">
                  <c:v>2.3791959121494619</c:v>
                </c:pt>
                <c:pt idx="235">
                  <c:v>2.925738413369023</c:v>
                </c:pt>
                <c:pt idx="236">
                  <c:v>2.4912609005764317</c:v>
                </c:pt>
                <c:pt idx="237">
                  <c:v>1.9928712367167702</c:v>
                </c:pt>
                <c:pt idx="238">
                  <c:v>1.8680264963021465</c:v>
                </c:pt>
                <c:pt idx="239">
                  <c:v>2.3117895381902884</c:v>
                </c:pt>
                <c:pt idx="240">
                  <c:v>2.2783935747554356</c:v>
                </c:pt>
                <c:pt idx="241">
                  <c:v>2.4503091561673487</c:v>
                </c:pt>
                <c:pt idx="242">
                  <c:v>2.464405365659859</c:v>
                </c:pt>
                <c:pt idx="243">
                  <c:v>1.7541416390117137</c:v>
                </c:pt>
                <c:pt idx="244">
                  <c:v>1.8521184980842436</c:v>
                </c:pt>
                <c:pt idx="245">
                  <c:v>2.0646055726394699</c:v>
                </c:pt>
                <c:pt idx="246">
                  <c:v>1.9887440503128282</c:v>
                </c:pt>
                <c:pt idx="247">
                  <c:v>2.0981161961904866</c:v>
                </c:pt>
                <c:pt idx="248">
                  <c:v>1.4241119729792726</c:v>
                </c:pt>
                <c:pt idx="249">
                  <c:v>2.2615324624297557</c:v>
                </c:pt>
                <c:pt idx="250">
                  <c:v>1.2602405718186387</c:v>
                </c:pt>
                <c:pt idx="251">
                  <c:v>1.558977806437378</c:v>
                </c:pt>
                <c:pt idx="252">
                  <c:v>1.403560420438748</c:v>
                </c:pt>
                <c:pt idx="253">
                  <c:v>2.086483754349207</c:v>
                </c:pt>
                <c:pt idx="254">
                  <c:v>1.3055898286674923</c:v>
                </c:pt>
                <c:pt idx="255">
                  <c:v>1.5893823893222023</c:v>
                </c:pt>
                <c:pt idx="256">
                  <c:v>2.1410207028238033</c:v>
                </c:pt>
                <c:pt idx="257">
                  <c:v>1.2889917932026622</c:v>
                </c:pt>
                <c:pt idx="258">
                  <c:v>1.2436496327327959</c:v>
                </c:pt>
                <c:pt idx="259">
                  <c:v>1.4123483500887095</c:v>
                </c:pt>
                <c:pt idx="260">
                  <c:v>1.69869931801179</c:v>
                </c:pt>
                <c:pt idx="261">
                  <c:v>1.4276855307204448</c:v>
                </c:pt>
                <c:pt idx="262">
                  <c:v>1.5505160658075436</c:v>
                </c:pt>
                <c:pt idx="263">
                  <c:v>1.327905273969467</c:v>
                </c:pt>
                <c:pt idx="264">
                  <c:v>1.5394082854992828</c:v>
                </c:pt>
                <c:pt idx="265">
                  <c:v>1.3041776129638663</c:v>
                </c:pt>
                <c:pt idx="266">
                  <c:v>1.5591928452133359</c:v>
                </c:pt>
                <c:pt idx="267">
                  <c:v>1.2867765285178476</c:v>
                </c:pt>
                <c:pt idx="268">
                  <c:v>2.4770380092837767</c:v>
                </c:pt>
                <c:pt idx="269">
                  <c:v>2.6266050555862779</c:v>
                </c:pt>
                <c:pt idx="270">
                  <c:v>2.1908242801756375</c:v>
                </c:pt>
                <c:pt idx="271">
                  <c:v>2.4865940372331328</c:v>
                </c:pt>
                <c:pt idx="272">
                  <c:v>1.5356140074541944</c:v>
                </c:pt>
                <c:pt idx="273">
                  <c:v>1.8406542325921853</c:v>
                </c:pt>
                <c:pt idx="274">
                  <c:v>1.6297829441924288</c:v>
                </c:pt>
                <c:pt idx="275">
                  <c:v>1.7009346912288954</c:v>
                </c:pt>
                <c:pt idx="276">
                  <c:v>1.5360321943493134</c:v>
                </c:pt>
                <c:pt idx="277">
                  <c:v>1.8796659253520858</c:v>
                </c:pt>
                <c:pt idx="278">
                  <c:v>1.7173665161974321</c:v>
                </c:pt>
                <c:pt idx="279">
                  <c:v>1.8171227048853755</c:v>
                </c:pt>
                <c:pt idx="280">
                  <c:v>2.7828854061681736</c:v>
                </c:pt>
                <c:pt idx="281">
                  <c:v>2.8340574735559572</c:v>
                </c:pt>
                <c:pt idx="282">
                  <c:v>2.4832159252410291</c:v>
                </c:pt>
                <c:pt idx="283">
                  <c:v>2.5779011788509294</c:v>
                </c:pt>
                <c:pt idx="284">
                  <c:v>2.6017009421166457</c:v>
                </c:pt>
                <c:pt idx="285">
                  <c:v>2.6718785957852038</c:v>
                </c:pt>
                <c:pt idx="286">
                  <c:v>2.07681002443538</c:v>
                </c:pt>
                <c:pt idx="287">
                  <c:v>2.2462580983596228</c:v>
                </c:pt>
                <c:pt idx="288">
                  <c:v>2.4011941361609206</c:v>
                </c:pt>
                <c:pt idx="289">
                  <c:v>2.4849976799745499</c:v>
                </c:pt>
                <c:pt idx="290">
                  <c:v>1.8658608872278868</c:v>
                </c:pt>
                <c:pt idx="291">
                  <c:v>2.1748805779303244</c:v>
                </c:pt>
                <c:pt idx="292">
                  <c:v>1.6975806823821411</c:v>
                </c:pt>
                <c:pt idx="293">
                  <c:v>1.6305911704223137</c:v>
                </c:pt>
                <c:pt idx="294">
                  <c:v>1.766925326900822</c:v>
                </c:pt>
                <c:pt idx="295">
                  <c:v>0.9376818002668581</c:v>
                </c:pt>
                <c:pt idx="296">
                  <c:v>1.064962613941582</c:v>
                </c:pt>
                <c:pt idx="297">
                  <c:v>1.2628251185675932</c:v>
                </c:pt>
                <c:pt idx="298">
                  <c:v>1.0819795390748945</c:v>
                </c:pt>
                <c:pt idx="299">
                  <c:v>1.2863275135782164</c:v>
                </c:pt>
                <c:pt idx="300">
                  <c:v>1.3903224753056873</c:v>
                </c:pt>
                <c:pt idx="301">
                  <c:v>1.778110273541323</c:v>
                </c:pt>
                <c:pt idx="302">
                  <c:v>1.3261917540087973</c:v>
                </c:pt>
                <c:pt idx="303">
                  <c:v>1.4662176354583463</c:v>
                </c:pt>
                <c:pt idx="304">
                  <c:v>1.1693210304983437</c:v>
                </c:pt>
                <c:pt idx="305">
                  <c:v>1.3814805708874047</c:v>
                </c:pt>
                <c:pt idx="306">
                  <c:v>1.135794330016441</c:v>
                </c:pt>
                <c:pt idx="307">
                  <c:v>1.9007473496514582</c:v>
                </c:pt>
                <c:pt idx="308">
                  <c:v>1.2465084055760451</c:v>
                </c:pt>
                <c:pt idx="309">
                  <c:v>2.5310260142964327</c:v>
                </c:pt>
                <c:pt idx="310">
                  <c:v>2.2861965775808342</c:v>
                </c:pt>
                <c:pt idx="311">
                  <c:v>1.6098848942849813</c:v>
                </c:pt>
                <c:pt idx="312">
                  <c:v>2.4195505115416949</c:v>
                </c:pt>
                <c:pt idx="313">
                  <c:v>1.8142342529807116</c:v>
                </c:pt>
                <c:pt idx="314">
                  <c:v>2.3816145832236102</c:v>
                </c:pt>
                <c:pt idx="315">
                  <c:v>1.7402317112501877</c:v>
                </c:pt>
                <c:pt idx="316">
                  <c:v>1.7387293263231325</c:v>
                </c:pt>
                <c:pt idx="317">
                  <c:v>1.6958647820047847</c:v>
                </c:pt>
                <c:pt idx="318">
                  <c:v>1.6791826063123738</c:v>
                </c:pt>
                <c:pt idx="319">
                  <c:v>1.8213525057863174</c:v>
                </c:pt>
                <c:pt idx="320">
                  <c:v>2.0229921718988586</c:v>
                </c:pt>
                <c:pt idx="321">
                  <c:v>2.031798351198606</c:v>
                </c:pt>
                <c:pt idx="322">
                  <c:v>1.480786619334987</c:v>
                </c:pt>
                <c:pt idx="323">
                  <c:v>1.8583151699805556</c:v>
                </c:pt>
                <c:pt idx="324">
                  <c:v>1.6139119314551313</c:v>
                </c:pt>
                <c:pt idx="325">
                  <c:v>1.6110043760740964</c:v>
                </c:pt>
                <c:pt idx="326">
                  <c:v>1.210157472156175</c:v>
                </c:pt>
                <c:pt idx="327">
                  <c:v>1.6719644295655374</c:v>
                </c:pt>
                <c:pt idx="328">
                  <c:v>1.8337996312449061</c:v>
                </c:pt>
                <c:pt idx="329">
                  <c:v>1.9330039509882082</c:v>
                </c:pt>
                <c:pt idx="330">
                  <c:v>1.8593356056871713</c:v>
                </c:pt>
                <c:pt idx="331">
                  <c:v>1.9248504433329023</c:v>
                </c:pt>
                <c:pt idx="332">
                  <c:v>2.3056645935694262</c:v>
                </c:pt>
                <c:pt idx="333">
                  <c:v>2.0071880883821756</c:v>
                </c:pt>
                <c:pt idx="334">
                  <c:v>1.6863998078567315</c:v>
                </c:pt>
                <c:pt idx="335">
                  <c:v>1.6085443951442955</c:v>
                </c:pt>
                <c:pt idx="336">
                  <c:v>1.5854083437965325</c:v>
                </c:pt>
                <c:pt idx="337">
                  <c:v>1.2785278291453337</c:v>
                </c:pt>
                <c:pt idx="338">
                  <c:v>1.3648020603300197</c:v>
                </c:pt>
                <c:pt idx="339">
                  <c:v>1.8403532904522368</c:v>
                </c:pt>
                <c:pt idx="340">
                  <c:v>1.6160351505021928</c:v>
                </c:pt>
                <c:pt idx="341">
                  <c:v>1.1999749830361903</c:v>
                </c:pt>
                <c:pt idx="342">
                  <c:v>1.5062005078727565</c:v>
                </c:pt>
                <c:pt idx="343">
                  <c:v>1.2952494313519984</c:v>
                </c:pt>
                <c:pt idx="344">
                  <c:v>1.2128980641796907</c:v>
                </c:pt>
                <c:pt idx="345">
                  <c:v>1.1769159164509957</c:v>
                </c:pt>
                <c:pt idx="346">
                  <c:v>1.2107403341866605</c:v>
                </c:pt>
                <c:pt idx="347">
                  <c:v>1.2042946298692805</c:v>
                </c:pt>
                <c:pt idx="348">
                  <c:v>1.2794051660441645</c:v>
                </c:pt>
                <c:pt idx="349">
                  <c:v>1.3739090586186062</c:v>
                </c:pt>
                <c:pt idx="350">
                  <c:v>1.6053699459000061</c:v>
                </c:pt>
                <c:pt idx="351">
                  <c:v>1.0889899457954362</c:v>
                </c:pt>
                <c:pt idx="352">
                  <c:v>1.341364270969104</c:v>
                </c:pt>
                <c:pt idx="353">
                  <c:v>1.257331544831237</c:v>
                </c:pt>
                <c:pt idx="354">
                  <c:v>1.110892903790949</c:v>
                </c:pt>
                <c:pt idx="355">
                  <c:v>2.2144618783538053</c:v>
                </c:pt>
                <c:pt idx="356">
                  <c:v>2.4750448366435061</c:v>
                </c:pt>
                <c:pt idx="357">
                  <c:v>1.5143982955032453</c:v>
                </c:pt>
                <c:pt idx="358">
                  <c:v>2.1764869904684927</c:v>
                </c:pt>
                <c:pt idx="359">
                  <c:v>1.9863436008609694</c:v>
                </c:pt>
                <c:pt idx="360">
                  <c:v>2.6644569105298475</c:v>
                </c:pt>
                <c:pt idx="361">
                  <c:v>2.5931035552926835</c:v>
                </c:pt>
                <c:pt idx="362">
                  <c:v>2.7480125744508079</c:v>
                </c:pt>
                <c:pt idx="363">
                  <c:v>2.5330512129740694</c:v>
                </c:pt>
                <c:pt idx="364">
                  <c:v>3.1127012279879973</c:v>
                </c:pt>
                <c:pt idx="365">
                  <c:v>2.8945674563557766</c:v>
                </c:pt>
                <c:pt idx="366">
                  <c:v>1.6669977276459687</c:v>
                </c:pt>
                <c:pt idx="367">
                  <c:v>1.8612559860866686</c:v>
                </c:pt>
                <c:pt idx="368">
                  <c:v>1.6221431392145302</c:v>
                </c:pt>
                <c:pt idx="369">
                  <c:v>1.8058506934321912</c:v>
                </c:pt>
                <c:pt idx="370">
                  <c:v>1.9168839313547983</c:v>
                </c:pt>
                <c:pt idx="371">
                  <c:v>1.998849365856767</c:v>
                </c:pt>
                <c:pt idx="372">
                  <c:v>2.1557001426297702</c:v>
                </c:pt>
                <c:pt idx="373">
                  <c:v>2.286184797887004</c:v>
                </c:pt>
                <c:pt idx="374">
                  <c:v>1.9215262652462428</c:v>
                </c:pt>
                <c:pt idx="375">
                  <c:v>1.6234698697084089</c:v>
                </c:pt>
                <c:pt idx="376">
                  <c:v>1.8155256055766906</c:v>
                </c:pt>
                <c:pt idx="377">
                  <c:v>2.1211516680774762</c:v>
                </c:pt>
                <c:pt idx="378">
                  <c:v>1.6274350232766979</c:v>
                </c:pt>
                <c:pt idx="379">
                  <c:v>2.4759285563802655</c:v>
                </c:pt>
                <c:pt idx="380">
                  <c:v>2.2941543676388276</c:v>
                </c:pt>
                <c:pt idx="381">
                  <c:v>1.7842564847212592</c:v>
                </c:pt>
                <c:pt idx="382">
                  <c:v>1.8045919059789592</c:v>
                </c:pt>
                <c:pt idx="383">
                  <c:v>1.5060365839377243</c:v>
                </c:pt>
                <c:pt idx="384">
                  <c:v>1.2157566864232063</c:v>
                </c:pt>
                <c:pt idx="385">
                  <c:v>1.3777434130786441</c:v>
                </c:pt>
                <c:pt idx="386">
                  <c:v>1.6947960419312951</c:v>
                </c:pt>
                <c:pt idx="387">
                  <c:v>1.3511429952518712</c:v>
                </c:pt>
                <c:pt idx="388">
                  <c:v>1.4710480015697462</c:v>
                </c:pt>
                <c:pt idx="389">
                  <c:v>1.5114046550490408</c:v>
                </c:pt>
                <c:pt idx="390">
                  <c:v>1.4270672320523956</c:v>
                </c:pt>
                <c:pt idx="391">
                  <c:v>1.4607969295572343</c:v>
                </c:pt>
                <c:pt idx="392">
                  <c:v>1.5947279576294371</c:v>
                </c:pt>
                <c:pt idx="393">
                  <c:v>1.6336463933251026</c:v>
                </c:pt>
                <c:pt idx="394">
                  <c:v>1.0808097379491979</c:v>
                </c:pt>
                <c:pt idx="395">
                  <c:v>1.7775641495303378</c:v>
                </c:pt>
                <c:pt idx="396">
                  <c:v>1.7950049412928319</c:v>
                </c:pt>
                <c:pt idx="397">
                  <c:v>1.3247580696530805</c:v>
                </c:pt>
                <c:pt idx="398">
                  <c:v>0.98576721669453882</c:v>
                </c:pt>
                <c:pt idx="399">
                  <c:v>1.2659980689885524</c:v>
                </c:pt>
                <c:pt idx="400">
                  <c:v>0.97421045534617501</c:v>
                </c:pt>
                <c:pt idx="401">
                  <c:v>0.90408286404901339</c:v>
                </c:pt>
                <c:pt idx="402">
                  <c:v>0.97932977761083995</c:v>
                </c:pt>
                <c:pt idx="403">
                  <c:v>2.3271560244615728</c:v>
                </c:pt>
                <c:pt idx="404">
                  <c:v>2.0222401134029506</c:v>
                </c:pt>
                <c:pt idx="405">
                  <c:v>1.619194018773322</c:v>
                </c:pt>
                <c:pt idx="406">
                  <c:v>1.7685688302516001</c:v>
                </c:pt>
                <c:pt idx="407">
                  <c:v>1.4636595926987293</c:v>
                </c:pt>
                <c:pt idx="408">
                  <c:v>1.2709246341543179</c:v>
                </c:pt>
                <c:pt idx="409">
                  <c:v>2.5013919662580109</c:v>
                </c:pt>
                <c:pt idx="410">
                  <c:v>1.9231804683588229</c:v>
                </c:pt>
                <c:pt idx="411">
                  <c:v>1.6918717566043429</c:v>
                </c:pt>
                <c:pt idx="412">
                  <c:v>1.5077547081053122</c:v>
                </c:pt>
                <c:pt idx="413">
                  <c:v>1.4641340932293478</c:v>
                </c:pt>
                <c:pt idx="414">
                  <c:v>1.0740402328627483</c:v>
                </c:pt>
                <c:pt idx="415">
                  <c:v>2.3204475658747277</c:v>
                </c:pt>
                <c:pt idx="416">
                  <c:v>2.4849682952396512</c:v>
                </c:pt>
                <c:pt idx="417">
                  <c:v>1.8797523578064703</c:v>
                </c:pt>
                <c:pt idx="418">
                  <c:v>1.8781266693934733</c:v>
                </c:pt>
                <c:pt idx="419">
                  <c:v>1.6692162339833787</c:v>
                </c:pt>
                <c:pt idx="420">
                  <c:v>1.7546609281607246</c:v>
                </c:pt>
                <c:pt idx="421">
                  <c:v>1.362526465650822</c:v>
                </c:pt>
                <c:pt idx="422">
                  <c:v>1.5923242948877245</c:v>
                </c:pt>
                <c:pt idx="423">
                  <c:v>2.9117840723050152</c:v>
                </c:pt>
                <c:pt idx="424">
                  <c:v>3.0089257747662694</c:v>
                </c:pt>
                <c:pt idx="425">
                  <c:v>2.2274697736606179</c:v>
                </c:pt>
                <c:pt idx="426">
                  <c:v>2.1543030398289051</c:v>
                </c:pt>
                <c:pt idx="427">
                  <c:v>2.6426335066380755</c:v>
                </c:pt>
                <c:pt idx="428">
                  <c:v>2.6344829075564871</c:v>
                </c:pt>
                <c:pt idx="429">
                  <c:v>1.9041057081226844</c:v>
                </c:pt>
                <c:pt idx="430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9D-45CA-9A31-A0FCF329CB8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9D-45CA-9A31-A0FCF329C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E-4B23-A636-D816B661FE23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1E-4B23-A636-D816B661FE23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1E-4B23-A636-D816B661FE2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1E-4B23-A636-D816B661FE2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1E-4B23-A636-D816B661F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A-44DA-B5A6-E5C86946D04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A-44DA-B5A6-E5C86946D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'headed (2)'!$FP$52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(2)'!$FP$53:$FP$61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42</c:v>
                </c:pt>
                <c:pt idx="4">
                  <c:v>50</c:v>
                </c:pt>
                <c:pt idx="5">
                  <c:v>39</c:v>
                </c:pt>
                <c:pt idx="6">
                  <c:v>36</c:v>
                </c:pt>
                <c:pt idx="7">
                  <c:v>38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4-4EB4-BC34-F971CBE6CC87}"/>
            </c:ext>
          </c:extLst>
        </c:ser>
        <c:ser>
          <c:idx val="3"/>
          <c:order val="1"/>
          <c:tx>
            <c:strRef>
              <c:f>'headed (2)'!$FS$52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(2)'!$FS$53:$FS$61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18</c:v>
                </c:pt>
                <c:pt idx="4">
                  <c:v>37</c:v>
                </c:pt>
                <c:pt idx="5">
                  <c:v>48</c:v>
                </c:pt>
                <c:pt idx="6">
                  <c:v>59</c:v>
                </c:pt>
                <c:pt idx="7">
                  <c:v>70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4-4EB4-BC34-F971CBE6CC87}"/>
            </c:ext>
          </c:extLst>
        </c:ser>
        <c:ser>
          <c:idx val="1"/>
          <c:order val="2"/>
          <c:tx>
            <c:strRef>
              <c:f>'headed (2)'!$FQ$52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(2)'!$FQ$53:$FQ$61</c:f>
              <c:numCache>
                <c:formatCode>General</c:formatCode>
                <c:ptCount val="9"/>
                <c:pt idx="0">
                  <c:v>67</c:v>
                </c:pt>
                <c:pt idx="1">
                  <c:v>64</c:v>
                </c:pt>
                <c:pt idx="2">
                  <c:v>72</c:v>
                </c:pt>
                <c:pt idx="3">
                  <c:v>67</c:v>
                </c:pt>
                <c:pt idx="4">
                  <c:v>47</c:v>
                </c:pt>
                <c:pt idx="5">
                  <c:v>29</c:v>
                </c:pt>
                <c:pt idx="6">
                  <c:v>11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4-4EB4-BC34-F971CBE6CC87}"/>
            </c:ext>
          </c:extLst>
        </c:ser>
        <c:ser>
          <c:idx val="2"/>
          <c:order val="3"/>
          <c:tx>
            <c:strRef>
              <c:f>'headed (2)'!$FR$52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(2)'!$FR$53:$FR$61</c:f>
              <c:numCache>
                <c:formatCode>General</c:formatCode>
                <c:ptCount val="9"/>
                <c:pt idx="0">
                  <c:v>2</c:v>
                </c:pt>
                <c:pt idx="1">
                  <c:v>22</c:v>
                </c:pt>
                <c:pt idx="2">
                  <c:v>47</c:v>
                </c:pt>
                <c:pt idx="3">
                  <c:v>77</c:v>
                </c:pt>
                <c:pt idx="4">
                  <c:v>99</c:v>
                </c:pt>
                <c:pt idx="5">
                  <c:v>51</c:v>
                </c:pt>
                <c:pt idx="6">
                  <c:v>29</c:v>
                </c:pt>
                <c:pt idx="7">
                  <c:v>10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4-4EB4-BC34-F971CBE6CC87}"/>
            </c:ext>
          </c:extLst>
        </c:ser>
        <c:ser>
          <c:idx val="4"/>
          <c:order val="4"/>
          <c:tx>
            <c:strRef>
              <c:f>'headed (2)'!$FT$52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(2)'!$FT$53:$FT$61</c:f>
              <c:numCache>
                <c:formatCode>General</c:formatCode>
                <c:ptCount val="9"/>
                <c:pt idx="0">
                  <c:v>2</c:v>
                </c:pt>
                <c:pt idx="1">
                  <c:v>43</c:v>
                </c:pt>
                <c:pt idx="2">
                  <c:v>99</c:v>
                </c:pt>
                <c:pt idx="3">
                  <c:v>131</c:v>
                </c:pt>
                <c:pt idx="4">
                  <c:v>61</c:v>
                </c:pt>
                <c:pt idx="5">
                  <c:v>20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4-4EB4-BC34-F971CBE6CC87}"/>
            </c:ext>
          </c:extLst>
        </c:ser>
        <c:ser>
          <c:idx val="5"/>
          <c:order val="5"/>
          <c:tx>
            <c:strRef>
              <c:f>'headed (2)'!$FU$52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(2)'!$FU$53:$FU$61</c:f>
              <c:numCache>
                <c:formatCode>General</c:formatCode>
                <c:ptCount val="9"/>
                <c:pt idx="0">
                  <c:v>1</c:v>
                </c:pt>
                <c:pt idx="1">
                  <c:v>40</c:v>
                </c:pt>
                <c:pt idx="2">
                  <c:v>79</c:v>
                </c:pt>
                <c:pt idx="3">
                  <c:v>132</c:v>
                </c:pt>
                <c:pt idx="4">
                  <c:v>59</c:v>
                </c:pt>
                <c:pt idx="5">
                  <c:v>33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34-4EB4-BC34-F971CBE6C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(2)'!$CN$19:$CN$1274</c:f>
              <c:numCache>
                <c:formatCode>General</c:formatCode>
                <c:ptCount val="1256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1">
                  <c:v>1.0603012480015854</c:v>
                </c:pt>
                <c:pt idx="72">
                  <c:v>1.1010820652324156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  <c:pt idx="93">
                  <c:v>0.89989367736896064</c:v>
                </c:pt>
                <c:pt idx="94">
                  <c:v>0.95827467991952697</c:v>
                </c:pt>
                <c:pt idx="95">
                  <c:v>1.2520548489010888</c:v>
                </c:pt>
                <c:pt idx="96">
                  <c:v>1.0924564066911284</c:v>
                </c:pt>
                <c:pt idx="97">
                  <c:v>1.4385492279045442</c:v>
                </c:pt>
                <c:pt idx="99">
                  <c:v>1.0964753435843184</c:v>
                </c:pt>
                <c:pt idx="100">
                  <c:v>1.3499284524843498</c:v>
                </c:pt>
                <c:pt idx="101">
                  <c:v>1.4150724528723346</c:v>
                </c:pt>
                <c:pt idx="102">
                  <c:v>1.1514242240977519</c:v>
                </c:pt>
                <c:pt idx="103">
                  <c:v>1.2103920415043752</c:v>
                </c:pt>
                <c:pt idx="104">
                  <c:v>0.98889947765901709</c:v>
                </c:pt>
                <c:pt idx="105">
                  <c:v>1.0354664092518509</c:v>
                </c:pt>
                <c:pt idx="106">
                  <c:v>1.1033232586947157</c:v>
                </c:pt>
                <c:pt idx="107">
                  <c:v>1.0867811160460317</c:v>
                </c:pt>
                <c:pt idx="108">
                  <c:v>0.77650146238179429</c:v>
                </c:pt>
                <c:pt idx="109">
                  <c:v>0.80578352227830852</c:v>
                </c:pt>
                <c:pt idx="110">
                  <c:v>0.97908756048600731</c:v>
                </c:pt>
                <c:pt idx="111">
                  <c:v>1.0724802699593621</c:v>
                </c:pt>
                <c:pt idx="112">
                  <c:v>1.1122454261824155</c:v>
                </c:pt>
                <c:pt idx="113">
                  <c:v>0.91978760058883746</c:v>
                </c:pt>
                <c:pt idx="114">
                  <c:v>1.0372255519526359</c:v>
                </c:pt>
                <c:pt idx="115">
                  <c:v>1.1381558379870296</c:v>
                </c:pt>
                <c:pt idx="116">
                  <c:v>1.2065051061599386</c:v>
                </c:pt>
                <c:pt idx="117">
                  <c:v>0.77377372810250911</c:v>
                </c:pt>
                <c:pt idx="118">
                  <c:v>0.87476124465258653</c:v>
                </c:pt>
                <c:pt idx="119">
                  <c:v>0.85635510739673315</c:v>
                </c:pt>
                <c:pt idx="120">
                  <c:v>1.534062010214629</c:v>
                </c:pt>
                <c:pt idx="121">
                  <c:v>1.6505390992161655</c:v>
                </c:pt>
                <c:pt idx="122">
                  <c:v>1.3796814008832563</c:v>
                </c:pt>
                <c:pt idx="123">
                  <c:v>1.4842327749104667</c:v>
                </c:pt>
                <c:pt idx="124">
                  <c:v>1.6980354434639466</c:v>
                </c:pt>
                <c:pt idx="125">
                  <c:v>1.9697711735090395</c:v>
                </c:pt>
                <c:pt idx="126">
                  <c:v>1.2604661889669859</c:v>
                </c:pt>
                <c:pt idx="127">
                  <c:v>1.4376863048688344</c:v>
                </c:pt>
                <c:pt idx="128">
                  <c:v>1.3695980744789717</c:v>
                </c:pt>
                <c:pt idx="129">
                  <c:v>1.3183356396956087</c:v>
                </c:pt>
                <c:pt idx="130">
                  <c:v>1.0612072731063289</c:v>
                </c:pt>
                <c:pt idx="131">
                  <c:v>0.91924067665647879</c:v>
                </c:pt>
                <c:pt idx="132">
                  <c:v>0.74093720873945756</c:v>
                </c:pt>
                <c:pt idx="133">
                  <c:v>0.7169147487158688</c:v>
                </c:pt>
                <c:pt idx="146">
                  <c:v>0.90312510104777988</c:v>
                </c:pt>
                <c:pt idx="147">
                  <c:v>1.2051301348381576</c:v>
                </c:pt>
                <c:pt idx="148">
                  <c:v>1.0456058464242541</c:v>
                </c:pt>
                <c:pt idx="149">
                  <c:v>1.0908038636893671</c:v>
                </c:pt>
                <c:pt idx="150">
                  <c:v>1.2318345691778092</c:v>
                </c:pt>
                <c:pt idx="151">
                  <c:v>0.99373675554928043</c:v>
                </c:pt>
                <c:pt idx="152">
                  <c:v>1.2458889866861822</c:v>
                </c:pt>
                <c:pt idx="153">
                  <c:v>0.98594819394372424</c:v>
                </c:pt>
                <c:pt idx="154">
                  <c:v>1.3640135061669056</c:v>
                </c:pt>
                <c:pt idx="155">
                  <c:v>1.2391787313228477</c:v>
                </c:pt>
                <c:pt idx="156">
                  <c:v>1.4094913723233622</c:v>
                </c:pt>
                <c:pt idx="157">
                  <c:v>1.030525017017395</c:v>
                </c:pt>
                <c:pt idx="158">
                  <c:v>1.1277553972230727</c:v>
                </c:pt>
                <c:pt idx="159">
                  <c:v>1.0981770978672198</c:v>
                </c:pt>
                <c:pt idx="160">
                  <c:v>0.90484340828935073</c:v>
                </c:pt>
                <c:pt idx="161">
                  <c:v>1.1486634883673195</c:v>
                </c:pt>
                <c:pt idx="162">
                  <c:v>0.74018668744226179</c:v>
                </c:pt>
                <c:pt idx="163">
                  <c:v>0.92876242882583326</c:v>
                </c:pt>
                <c:pt idx="164">
                  <c:v>1.1957499935155482</c:v>
                </c:pt>
                <c:pt idx="165">
                  <c:v>0.78412977643373516</c:v>
                </c:pt>
                <c:pt idx="166">
                  <c:v>1.2794913017249394</c:v>
                </c:pt>
                <c:pt idx="167">
                  <c:v>1.7079314414824931</c:v>
                </c:pt>
                <c:pt idx="168">
                  <c:v>1.7079314414824931</c:v>
                </c:pt>
                <c:pt idx="169">
                  <c:v>1.713760559030215</c:v>
                </c:pt>
                <c:pt idx="170">
                  <c:v>1.0888822788843875</c:v>
                </c:pt>
                <c:pt idx="171">
                  <c:v>1.3564982372258658</c:v>
                </c:pt>
                <c:pt idx="172">
                  <c:v>1.0825378953499341</c:v>
                </c:pt>
                <c:pt idx="173">
                  <c:v>0.59445291391391852</c:v>
                </c:pt>
                <c:pt idx="174">
                  <c:v>0.58673730087196796</c:v>
                </c:pt>
                <c:pt idx="175">
                  <c:v>0.48047226670328519</c:v>
                </c:pt>
                <c:pt idx="176">
                  <c:v>0.50817833171756221</c:v>
                </c:pt>
                <c:pt idx="177">
                  <c:v>0.80281511391392391</c:v>
                </c:pt>
                <c:pt idx="178">
                  <c:v>0.8369647120430983</c:v>
                </c:pt>
                <c:pt idx="179">
                  <c:v>0.6624856895159994</c:v>
                </c:pt>
                <c:pt idx="180">
                  <c:v>0.65060663577295397</c:v>
                </c:pt>
                <c:pt idx="181">
                  <c:v>0.86392492109244645</c:v>
                </c:pt>
                <c:pt idx="182">
                  <c:v>0.86152845806583767</c:v>
                </c:pt>
                <c:pt idx="183">
                  <c:v>0.84672542437358489</c:v>
                </c:pt>
                <c:pt idx="184">
                  <c:v>0.84846527113599635</c:v>
                </c:pt>
                <c:pt idx="185">
                  <c:v>0.84714967990618539</c:v>
                </c:pt>
                <c:pt idx="186">
                  <c:v>0.84355498536627227</c:v>
                </c:pt>
                <c:pt idx="187">
                  <c:v>0.66294257619842423</c:v>
                </c:pt>
                <c:pt idx="188">
                  <c:v>0.65883059605660077</c:v>
                </c:pt>
                <c:pt idx="189">
                  <c:v>0.86751961563235958</c:v>
                </c:pt>
                <c:pt idx="190">
                  <c:v>0.86572226836240296</c:v>
                </c:pt>
                <c:pt idx="191">
                  <c:v>0.82990690567027392</c:v>
                </c:pt>
                <c:pt idx="192">
                  <c:v>0.83860613948233131</c:v>
                </c:pt>
                <c:pt idx="201">
                  <c:v>1.1673908961949973</c:v>
                </c:pt>
                <c:pt idx="202">
                  <c:v>0.93616200442259556</c:v>
                </c:pt>
                <c:pt idx="204">
                  <c:v>0.96859314347723358</c:v>
                </c:pt>
                <c:pt idx="205">
                  <c:v>0.94434196074609311</c:v>
                </c:pt>
                <c:pt idx="206">
                  <c:v>1.3402299947705487</c:v>
                </c:pt>
                <c:pt idx="208">
                  <c:v>1.2037060430031272</c:v>
                </c:pt>
                <c:pt idx="212">
                  <c:v>1.1245321162479069</c:v>
                </c:pt>
                <c:pt idx="213">
                  <c:v>0.84030922499865146</c:v>
                </c:pt>
                <c:pt idx="214">
                  <c:v>0.90909331832794082</c:v>
                </c:pt>
                <c:pt idx="215">
                  <c:v>1.0854292606452445</c:v>
                </c:pt>
                <c:pt idx="216">
                  <c:v>1.2957491504586884</c:v>
                </c:pt>
                <c:pt idx="217">
                  <c:v>1.5460337955680008</c:v>
                </c:pt>
                <c:pt idx="218">
                  <c:v>1.5694434629296043</c:v>
                </c:pt>
                <c:pt idx="219">
                  <c:v>0.80682929714224561</c:v>
                </c:pt>
                <c:pt idx="220">
                  <c:v>1.0809639304684351</c:v>
                </c:pt>
                <c:pt idx="221">
                  <c:v>1.150729195314697</c:v>
                </c:pt>
                <c:pt idx="222">
                  <c:v>1.6206841797361613</c:v>
                </c:pt>
                <c:pt idx="224">
                  <c:v>0.8023458423199622</c:v>
                </c:pt>
                <c:pt idx="225">
                  <c:v>1.3998474838990453</c:v>
                </c:pt>
                <c:pt idx="226">
                  <c:v>1.4577722073707298</c:v>
                </c:pt>
                <c:pt idx="227">
                  <c:v>1.370885122163203</c:v>
                </c:pt>
                <c:pt idx="228">
                  <c:v>1.3853663030311241</c:v>
                </c:pt>
                <c:pt idx="229">
                  <c:v>1.2278134241721037</c:v>
                </c:pt>
                <c:pt idx="230">
                  <c:v>1.1607520360147285</c:v>
                </c:pt>
                <c:pt idx="231">
                  <c:v>1.3545925525527256</c:v>
                </c:pt>
                <c:pt idx="232">
                  <c:v>1.1090994673594974</c:v>
                </c:pt>
                <c:pt idx="233">
                  <c:v>1.6652174139737159</c:v>
                </c:pt>
                <c:pt idx="234">
                  <c:v>1.2892640281505934</c:v>
                </c:pt>
                <c:pt idx="235">
                  <c:v>1.4554882873727251</c:v>
                </c:pt>
                <c:pt idx="236">
                  <c:v>1.0571790917983603</c:v>
                </c:pt>
                <c:pt idx="237">
                  <c:v>1.291398223149377</c:v>
                </c:pt>
                <c:pt idx="238">
                  <c:v>0.98896690726937853</c:v>
                </c:pt>
                <c:pt idx="239">
                  <c:v>1.5989486965805586</c:v>
                </c:pt>
                <c:pt idx="240">
                  <c:v>1.0675308808670825</c:v>
                </c:pt>
                <c:pt idx="241">
                  <c:v>1.20136195127303</c:v>
                </c:pt>
                <c:pt idx="242">
                  <c:v>0.97623728551679267</c:v>
                </c:pt>
                <c:pt idx="243">
                  <c:v>1.1452294549129385</c:v>
                </c:pt>
                <c:pt idx="244">
                  <c:v>0.90791333117970996</c:v>
                </c:pt>
                <c:pt idx="245">
                  <c:v>1.2821131703909106</c:v>
                </c:pt>
                <c:pt idx="246">
                  <c:v>0.99688435001099218</c:v>
                </c:pt>
                <c:pt idx="247">
                  <c:v>0.85192180139138174</c:v>
                </c:pt>
                <c:pt idx="248">
                  <c:v>0.81662774630172397</c:v>
                </c:pt>
                <c:pt idx="249">
                  <c:v>0.81746174328873611</c:v>
                </c:pt>
                <c:pt idx="250">
                  <c:v>0.7586320747468619</c:v>
                </c:pt>
                <c:pt idx="251">
                  <c:v>0.95611409237498801</c:v>
                </c:pt>
                <c:pt idx="252">
                  <c:v>0.85366845179986306</c:v>
                </c:pt>
                <c:pt idx="253">
                  <c:v>0.77672385358421936</c:v>
                </c:pt>
                <c:pt idx="254">
                  <c:v>0.7859933198358483</c:v>
                </c:pt>
                <c:pt idx="255">
                  <c:v>0.95277592599578431</c:v>
                </c:pt>
                <c:pt idx="256">
                  <c:v>0.80622815303489503</c:v>
                </c:pt>
                <c:pt idx="257">
                  <c:v>0.73385385804964465</c:v>
                </c:pt>
                <c:pt idx="258">
                  <c:v>0.71701953337023638</c:v>
                </c:pt>
                <c:pt idx="259">
                  <c:v>0.80509042965258459</c:v>
                </c:pt>
                <c:pt idx="260">
                  <c:v>0.57642292425190167</c:v>
                </c:pt>
                <c:pt idx="261">
                  <c:v>0.69797901215906277</c:v>
                </c:pt>
                <c:pt idx="262">
                  <c:v>0.4928999465797696</c:v>
                </c:pt>
                <c:pt idx="263">
                  <c:v>0.72046711424605314</c:v>
                </c:pt>
                <c:pt idx="264">
                  <c:v>0.49066280340487506</c:v>
                </c:pt>
                <c:pt idx="265">
                  <c:v>0.669304928325827</c:v>
                </c:pt>
                <c:pt idx="266">
                  <c:v>0.49438820310668369</c:v>
                </c:pt>
                <c:pt idx="267">
                  <c:v>0.62160230418122031</c:v>
                </c:pt>
                <c:pt idx="268">
                  <c:v>1.0359520772360065</c:v>
                </c:pt>
                <c:pt idx="269">
                  <c:v>1.2275258020375239</c:v>
                </c:pt>
                <c:pt idx="270">
                  <c:v>1.0632468913492648</c:v>
                </c:pt>
                <c:pt idx="271">
                  <c:v>1.2988441374566582</c:v>
                </c:pt>
                <c:pt idx="272">
                  <c:v>0.80819333280719641</c:v>
                </c:pt>
                <c:pt idx="273">
                  <c:v>1.1361105927087192</c:v>
                </c:pt>
                <c:pt idx="274">
                  <c:v>1.0500571164680419</c:v>
                </c:pt>
                <c:pt idx="275">
                  <c:v>1.1959371887849268</c:v>
                </c:pt>
                <c:pt idx="276">
                  <c:v>0.82553769724572112</c:v>
                </c:pt>
                <c:pt idx="277">
                  <c:v>1.1009675588314105</c:v>
                </c:pt>
                <c:pt idx="278">
                  <c:v>1.0025651410576439</c:v>
                </c:pt>
                <c:pt idx="279">
                  <c:v>1.234614567429962</c:v>
                </c:pt>
                <c:pt idx="280">
                  <c:v>1.120617834841011</c:v>
                </c:pt>
                <c:pt idx="281">
                  <c:v>1.1480565833145751</c:v>
                </c:pt>
                <c:pt idx="282">
                  <c:v>1.3627342427712779</c:v>
                </c:pt>
                <c:pt idx="283">
                  <c:v>1.5116668594823293</c:v>
                </c:pt>
                <c:pt idx="284">
                  <c:v>0.96270814852336062</c:v>
                </c:pt>
                <c:pt idx="285">
                  <c:v>1.0113237551807197</c:v>
                </c:pt>
                <c:pt idx="286">
                  <c:v>1.1153185331872824</c:v>
                </c:pt>
                <c:pt idx="287">
                  <c:v>1.2311656641884943</c:v>
                </c:pt>
                <c:pt idx="288">
                  <c:v>0.84984536998681193</c:v>
                </c:pt>
                <c:pt idx="289">
                  <c:v>0.89380352149223619</c:v>
                </c:pt>
                <c:pt idx="290">
                  <c:v>1.0844496648388597</c:v>
                </c:pt>
                <c:pt idx="291">
                  <c:v>1.286108770983347</c:v>
                </c:pt>
                <c:pt idx="292">
                  <c:v>0.50217959988721583</c:v>
                </c:pt>
                <c:pt idx="293">
                  <c:v>0.31990801144331121</c:v>
                </c:pt>
                <c:pt idx="294">
                  <c:v>0.28765333046043823</c:v>
                </c:pt>
                <c:pt idx="295">
                  <c:v>0.36370914366668056</c:v>
                </c:pt>
                <c:pt idx="296">
                  <c:v>0.27806290348537888</c:v>
                </c:pt>
                <c:pt idx="297">
                  <c:v>0.23714039746372731</c:v>
                </c:pt>
                <c:pt idx="298">
                  <c:v>0.40190648659950207</c:v>
                </c:pt>
                <c:pt idx="299">
                  <c:v>0.33217224555956837</c:v>
                </c:pt>
                <c:pt idx="300">
                  <c:v>0.27235882594617306</c:v>
                </c:pt>
                <c:pt idx="301">
                  <c:v>0.46864687134043465</c:v>
                </c:pt>
                <c:pt idx="302">
                  <c:v>0.47226601043541899</c:v>
                </c:pt>
                <c:pt idx="303">
                  <c:v>0.35794457872586288</c:v>
                </c:pt>
                <c:pt idx="304">
                  <c:v>0.45940995038759902</c:v>
                </c:pt>
                <c:pt idx="305">
                  <c:v>0.32199066895060052</c:v>
                </c:pt>
                <c:pt idx="306">
                  <c:v>0.40510257215472878</c:v>
                </c:pt>
                <c:pt idx="307">
                  <c:v>0.43987521847038291</c:v>
                </c:pt>
                <c:pt idx="308">
                  <c:v>0.4326213705365124</c:v>
                </c:pt>
                <c:pt idx="309">
                  <c:v>0.74207568066944496</c:v>
                </c:pt>
                <c:pt idx="310">
                  <c:v>0.6575621344835334</c:v>
                </c:pt>
                <c:pt idx="311">
                  <c:v>0.73356045990636276</c:v>
                </c:pt>
                <c:pt idx="312">
                  <c:v>0.66276113614729903</c:v>
                </c:pt>
                <c:pt idx="313">
                  <c:v>0.76743593066722315</c:v>
                </c:pt>
                <c:pt idx="314">
                  <c:v>0.64880283352095725</c:v>
                </c:pt>
                <c:pt idx="315">
                  <c:v>0.70747117484998001</c:v>
                </c:pt>
                <c:pt idx="316">
                  <c:v>0.60498251517291257</c:v>
                </c:pt>
                <c:pt idx="317">
                  <c:v>0.41793296290343485</c:v>
                </c:pt>
                <c:pt idx="318">
                  <c:v>0.85652179496619263</c:v>
                </c:pt>
                <c:pt idx="319">
                  <c:v>0.68298923262112032</c:v>
                </c:pt>
                <c:pt idx="320">
                  <c:v>0.67150740811789156</c:v>
                </c:pt>
                <c:pt idx="321">
                  <c:v>0.48810110256896716</c:v>
                </c:pt>
                <c:pt idx="322">
                  <c:v>0.76487499850326324</c:v>
                </c:pt>
                <c:pt idx="323">
                  <c:v>0.69322407599081759</c:v>
                </c:pt>
                <c:pt idx="324">
                  <c:v>0.5200351608810676</c:v>
                </c:pt>
                <c:pt idx="325">
                  <c:v>0.37461773422610073</c:v>
                </c:pt>
                <c:pt idx="326">
                  <c:v>0.65494056852337501</c:v>
                </c:pt>
                <c:pt idx="327">
                  <c:v>0.66010873732007236</c:v>
                </c:pt>
                <c:pt idx="328">
                  <c:v>0.75814578138002153</c:v>
                </c:pt>
                <c:pt idx="329">
                  <c:v>0.77612733545937562</c:v>
                </c:pt>
                <c:pt idx="330">
                  <c:v>0.71791639666428142</c:v>
                </c:pt>
                <c:pt idx="331">
                  <c:v>0.73254402066519331</c:v>
                </c:pt>
                <c:pt idx="332">
                  <c:v>0.86694554396548273</c:v>
                </c:pt>
                <c:pt idx="333">
                  <c:v>0.8432014000061423</c:v>
                </c:pt>
                <c:pt idx="334">
                  <c:v>1.0453690663130164</c:v>
                </c:pt>
                <c:pt idx="335">
                  <c:v>0.63577930885779754</c:v>
                </c:pt>
                <c:pt idx="336">
                  <c:v>0.99135777498064259</c:v>
                </c:pt>
                <c:pt idx="337">
                  <c:v>0.49914036531945671</c:v>
                </c:pt>
                <c:pt idx="338">
                  <c:v>0.89909960937938926</c:v>
                </c:pt>
                <c:pt idx="339">
                  <c:v>0.71535247587434603</c:v>
                </c:pt>
                <c:pt idx="340">
                  <c:v>1.0631873753884515</c:v>
                </c:pt>
                <c:pt idx="341">
                  <c:v>0.52668416203155555</c:v>
                </c:pt>
                <c:pt idx="342">
                  <c:v>0.95552213561783861</c:v>
                </c:pt>
                <c:pt idx="343">
                  <c:v>0.52039815711170379</c:v>
                </c:pt>
                <c:pt idx="344">
                  <c:v>0.82075602055380337</c:v>
                </c:pt>
                <c:pt idx="345">
                  <c:v>0.47739495721251607</c:v>
                </c:pt>
                <c:pt idx="346">
                  <c:v>0.75241129452250288</c:v>
                </c:pt>
                <c:pt idx="347">
                  <c:v>0.48850410476532213</c:v>
                </c:pt>
                <c:pt idx="348">
                  <c:v>0.7635698161114719</c:v>
                </c:pt>
                <c:pt idx="349">
                  <c:v>0.41214381234063702</c:v>
                </c:pt>
                <c:pt idx="350">
                  <c:v>0.72668089753626275</c:v>
                </c:pt>
                <c:pt idx="351">
                  <c:v>0.30623753916933311</c:v>
                </c:pt>
                <c:pt idx="352">
                  <c:v>0.57441747158643486</c:v>
                </c:pt>
                <c:pt idx="353">
                  <c:v>0.35037218833658679</c:v>
                </c:pt>
                <c:pt idx="354">
                  <c:v>0.51638109101570362</c:v>
                </c:pt>
                <c:pt idx="355">
                  <c:v>0.84814643886623231</c:v>
                </c:pt>
                <c:pt idx="356">
                  <c:v>0.5633106192111631</c:v>
                </c:pt>
                <c:pt idx="357">
                  <c:v>0.68470929712525452</c:v>
                </c:pt>
                <c:pt idx="358">
                  <c:v>0.55887635658398238</c:v>
                </c:pt>
                <c:pt idx="359">
                  <c:v>0.90146916130082411</c:v>
                </c:pt>
                <c:pt idx="360">
                  <c:v>0.72138824438006166</c:v>
                </c:pt>
                <c:pt idx="361">
                  <c:v>1.1047126070269926</c:v>
                </c:pt>
                <c:pt idx="362">
                  <c:v>0.70195438626366125</c:v>
                </c:pt>
                <c:pt idx="363">
                  <c:v>1.280628927387689</c:v>
                </c:pt>
                <c:pt idx="364">
                  <c:v>0.92432247546723945</c:v>
                </c:pt>
                <c:pt idx="365">
                  <c:v>1.4676385799383138</c:v>
                </c:pt>
                <c:pt idx="366">
                  <c:v>0.42358808752356875</c:v>
                </c:pt>
                <c:pt idx="367">
                  <c:v>0.27663125137739181</c:v>
                </c:pt>
                <c:pt idx="368">
                  <c:v>0.48120655876859975</c:v>
                </c:pt>
                <c:pt idx="369">
                  <c:v>0.30905277621926552</c:v>
                </c:pt>
                <c:pt idx="370">
                  <c:v>0.5908614973408699</c:v>
                </c:pt>
                <c:pt idx="371">
                  <c:v>0.34891933006853126</c:v>
                </c:pt>
                <c:pt idx="372">
                  <c:v>0.62050244700404289</c:v>
                </c:pt>
                <c:pt idx="373">
                  <c:v>0.37950693499442612</c:v>
                </c:pt>
                <c:pt idx="374">
                  <c:v>0.52894243541533204</c:v>
                </c:pt>
                <c:pt idx="375">
                  <c:v>0.66189035654118</c:v>
                </c:pt>
                <c:pt idx="376">
                  <c:v>0.73841264422949071</c:v>
                </c:pt>
                <c:pt idx="377">
                  <c:v>0.57924197602338701</c:v>
                </c:pt>
                <c:pt idx="378">
                  <c:v>0.69335828153035006</c:v>
                </c:pt>
                <c:pt idx="379">
                  <c:v>1.0608164855263091</c:v>
                </c:pt>
                <c:pt idx="380">
                  <c:v>1.3165021171618716</c:v>
                </c:pt>
                <c:pt idx="381">
                  <c:v>1.5403477162307675</c:v>
                </c:pt>
                <c:pt idx="382">
                  <c:v>1.5655798326009769</c:v>
                </c:pt>
                <c:pt idx="383">
                  <c:v>0.79853904935095166</c:v>
                </c:pt>
                <c:pt idx="384">
                  <c:v>1.0189518781041382</c:v>
                </c:pt>
                <c:pt idx="385">
                  <c:v>1.1086962907496114</c:v>
                </c:pt>
                <c:pt idx="386">
                  <c:v>0.67444137681039384</c:v>
                </c:pt>
                <c:pt idx="387">
                  <c:v>0.79577622498559542</c:v>
                </c:pt>
                <c:pt idx="388">
                  <c:v>0.61339267247076401</c:v>
                </c:pt>
                <c:pt idx="389">
                  <c:v>0.44632318044701325</c:v>
                </c:pt>
                <c:pt idx="390">
                  <c:v>0.57896116065618985</c:v>
                </c:pt>
                <c:pt idx="391">
                  <c:v>0.73416103151904566</c:v>
                </c:pt>
                <c:pt idx="392">
                  <c:v>0.57325182832669397</c:v>
                </c:pt>
                <c:pt idx="393">
                  <c:v>1.180884224215198</c:v>
                </c:pt>
                <c:pt idx="394">
                  <c:v>0.54367121796819906</c:v>
                </c:pt>
                <c:pt idx="395">
                  <c:v>1.2145959956381271</c:v>
                </c:pt>
                <c:pt idx="396">
                  <c:v>0.90863669033174643</c:v>
                </c:pt>
                <c:pt idx="397">
                  <c:v>0.53274470935221885</c:v>
                </c:pt>
                <c:pt idx="398">
                  <c:v>0.60989160828240396</c:v>
                </c:pt>
                <c:pt idx="399">
                  <c:v>0.79714874635462929</c:v>
                </c:pt>
                <c:pt idx="400">
                  <c:v>0.3406160978101801</c:v>
                </c:pt>
                <c:pt idx="401">
                  <c:v>0.49783010673441874</c:v>
                </c:pt>
                <c:pt idx="402">
                  <c:v>0.5379511912567736</c:v>
                </c:pt>
                <c:pt idx="403">
                  <c:v>0.54260887003559544</c:v>
                </c:pt>
                <c:pt idx="404">
                  <c:v>0.41091602122326432</c:v>
                </c:pt>
                <c:pt idx="405">
                  <c:v>0.5244575585719754</c:v>
                </c:pt>
                <c:pt idx="406">
                  <c:v>0.49664029362132861</c:v>
                </c:pt>
                <c:pt idx="407">
                  <c:v>0.66616304477937771</c:v>
                </c:pt>
                <c:pt idx="408">
                  <c:v>0.87004023622459381</c:v>
                </c:pt>
                <c:pt idx="409">
                  <c:v>1.2208596095211808</c:v>
                </c:pt>
                <c:pt idx="410">
                  <c:v>1.4241940133982856</c:v>
                </c:pt>
                <c:pt idx="411">
                  <c:v>0.59847188698183496</c:v>
                </c:pt>
                <c:pt idx="412">
                  <c:v>0.79965874804680204</c:v>
                </c:pt>
                <c:pt idx="413">
                  <c:v>0.44995900132926242</c:v>
                </c:pt>
                <c:pt idx="414">
                  <c:v>0.50958151653858841</c:v>
                </c:pt>
                <c:pt idx="415">
                  <c:v>0.83585626412376812</c:v>
                </c:pt>
                <c:pt idx="416">
                  <c:v>0.85659529371851961</c:v>
                </c:pt>
                <c:pt idx="417">
                  <c:v>1.0348011851555312</c:v>
                </c:pt>
                <c:pt idx="418">
                  <c:v>0.9737603915445785</c:v>
                </c:pt>
                <c:pt idx="419">
                  <c:v>0.5342286604936749</c:v>
                </c:pt>
                <c:pt idx="420">
                  <c:v>0.53774723965388971</c:v>
                </c:pt>
                <c:pt idx="421">
                  <c:v>0.69664976517292798</c:v>
                </c:pt>
                <c:pt idx="422">
                  <c:v>0.75924280927749677</c:v>
                </c:pt>
                <c:pt idx="423">
                  <c:v>1.4864627253401679</c:v>
                </c:pt>
                <c:pt idx="424">
                  <c:v>1.3570171756610661</c:v>
                </c:pt>
                <c:pt idx="425">
                  <c:v>1.725882500076503</c:v>
                </c:pt>
                <c:pt idx="426">
                  <c:v>1.4395206022092937</c:v>
                </c:pt>
                <c:pt idx="427">
                  <c:v>1.1827384584448524</c:v>
                </c:pt>
                <c:pt idx="428">
                  <c:v>1.0426934131363037</c:v>
                </c:pt>
                <c:pt idx="429">
                  <c:v>1.3843179703848905</c:v>
                </c:pt>
                <c:pt idx="430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C-4994-96E4-7AB0E64AAE7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C-4994-96E4-7AB0E64AA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(2)'!$M$153:$M$243</c:f>
              <c:numCache>
                <c:formatCode>General</c:formatCode>
                <c:ptCount val="91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</c:numCache>
            </c:numRef>
          </c:xVal>
          <c:yVal>
            <c:numRef>
              <c:f>'headed (2)'!$CQ$153:$CQ$243</c:f>
              <c:numCache>
                <c:formatCode>General</c:formatCode>
                <c:ptCount val="9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8-4921-82D5-76AD06A4801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88-4921-82D5-76AD06A48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EA-4F49-A4F7-5EDA2EB93D4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EA-4F49-A4F7-5EDA2EB93D4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EA-4F49-A4F7-5EDA2EB93D4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EA-4F49-A4F7-5EDA2EB93D4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EA-4F49-A4F7-5EDA2EB9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(2)'!$W$104:$W$146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8F-44AC-A1FB-D214E2AFE21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8F-44AC-A1FB-D214E2AFE21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(2)'!$W$153:$W$540</c:f>
              <c:numCache>
                <c:formatCode>General</c:formatCode>
                <c:ptCount val="3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4.4639504822285474</c:v>
                </c:pt>
                <c:pt idx="60">
                  <c:v>4.4639504822285474</c:v>
                </c:pt>
                <c:pt idx="61">
                  <c:v>7.0469088920093164</c:v>
                </c:pt>
                <c:pt idx="62">
                  <c:v>5.3152807724479523</c:v>
                </c:pt>
                <c:pt idx="63">
                  <c:v>4.4639504822285474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5.3152807724479523</c:v>
                </c:pt>
                <c:pt idx="67">
                  <c:v>2.0051727652257014</c:v>
                </c:pt>
                <c:pt idx="68">
                  <c:v>1.9505332604034158</c:v>
                </c:pt>
                <c:pt idx="69">
                  <c:v>4.4639504822285474</c:v>
                </c:pt>
                <c:pt idx="70">
                  <c:v>5.3152807724479523</c:v>
                </c:pt>
                <c:pt idx="71">
                  <c:v>5.3152807724479523</c:v>
                </c:pt>
                <c:pt idx="72">
                  <c:v>2.0051727652257014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2.1293534580036226</c:v>
                </c:pt>
                <c:pt idx="77">
                  <c:v>1.9505332604034158</c:v>
                </c:pt>
                <c:pt idx="78">
                  <c:v>3.1973074158937482</c:v>
                </c:pt>
                <c:pt idx="79">
                  <c:v>5.3152807724479523</c:v>
                </c:pt>
                <c:pt idx="80">
                  <c:v>2.205004992017336</c:v>
                </c:pt>
                <c:pt idx="81">
                  <c:v>1.9505332604034158</c:v>
                </c:pt>
                <c:pt idx="82">
                  <c:v>1.9505332604034158</c:v>
                </c:pt>
                <c:pt idx="83">
                  <c:v>2.0051727652257014</c:v>
                </c:pt>
                <c:pt idx="84">
                  <c:v>1.9505332604034158</c:v>
                </c:pt>
                <c:pt idx="85">
                  <c:v>2.0051727652257014</c:v>
                </c:pt>
                <c:pt idx="86">
                  <c:v>7.0469088920093164</c:v>
                </c:pt>
                <c:pt idx="87">
                  <c:v>4.4639504822285474</c:v>
                </c:pt>
                <c:pt idx="88">
                  <c:v>5.3152807724479523</c:v>
                </c:pt>
                <c:pt idx="89">
                  <c:v>2.8188046643066431</c:v>
                </c:pt>
                <c:pt idx="90">
                  <c:v>6.4993959172819435</c:v>
                </c:pt>
                <c:pt idx="91">
                  <c:v>2.5739077706444626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6.5</c:v>
                </c:pt>
                <c:pt idx="135">
                  <c:v>6.5</c:v>
                </c:pt>
                <c:pt idx="136">
                  <c:v>4.5</c:v>
                </c:pt>
                <c:pt idx="137">
                  <c:v>4.5</c:v>
                </c:pt>
                <c:pt idx="138">
                  <c:v>6.5</c:v>
                </c:pt>
                <c:pt idx="139">
                  <c:v>6.5</c:v>
                </c:pt>
                <c:pt idx="140">
                  <c:v>4.5</c:v>
                </c:pt>
                <c:pt idx="141">
                  <c:v>4.5</c:v>
                </c:pt>
                <c:pt idx="142">
                  <c:v>6.5</c:v>
                </c:pt>
                <c:pt idx="143">
                  <c:v>6.5</c:v>
                </c:pt>
                <c:pt idx="144">
                  <c:v>4.5</c:v>
                </c:pt>
                <c:pt idx="145">
                  <c:v>4.5</c:v>
                </c:pt>
                <c:pt idx="146">
                  <c:v>9.5</c:v>
                </c:pt>
                <c:pt idx="147">
                  <c:v>9.1</c:v>
                </c:pt>
                <c:pt idx="148">
                  <c:v>9.5</c:v>
                </c:pt>
                <c:pt idx="149">
                  <c:v>9.1</c:v>
                </c:pt>
                <c:pt idx="150">
                  <c:v>9.5</c:v>
                </c:pt>
                <c:pt idx="151">
                  <c:v>9.1</c:v>
                </c:pt>
                <c:pt idx="152">
                  <c:v>9.5</c:v>
                </c:pt>
                <c:pt idx="153">
                  <c:v>9.1</c:v>
                </c:pt>
                <c:pt idx="154">
                  <c:v>9.5</c:v>
                </c:pt>
                <c:pt idx="155">
                  <c:v>9.1</c:v>
                </c:pt>
                <c:pt idx="156">
                  <c:v>9.5</c:v>
                </c:pt>
                <c:pt idx="157">
                  <c:v>9.1</c:v>
                </c:pt>
                <c:pt idx="158">
                  <c:v>4</c:v>
                </c:pt>
                <c:pt idx="159">
                  <c:v>9.5</c:v>
                </c:pt>
                <c:pt idx="160">
                  <c:v>14.9</c:v>
                </c:pt>
                <c:pt idx="161">
                  <c:v>4</c:v>
                </c:pt>
                <c:pt idx="162">
                  <c:v>9.5</c:v>
                </c:pt>
                <c:pt idx="163">
                  <c:v>14.9</c:v>
                </c:pt>
                <c:pt idx="164">
                  <c:v>4</c:v>
                </c:pt>
                <c:pt idx="165">
                  <c:v>9.5</c:v>
                </c:pt>
                <c:pt idx="166">
                  <c:v>14.9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4.0999999999999996</c:v>
                </c:pt>
                <c:pt idx="183">
                  <c:v>9.1</c:v>
                </c:pt>
                <c:pt idx="184">
                  <c:v>4.0999999999999996</c:v>
                </c:pt>
                <c:pt idx="185">
                  <c:v>9.1</c:v>
                </c:pt>
                <c:pt idx="186">
                  <c:v>4.0999999999999996</c:v>
                </c:pt>
                <c:pt idx="187">
                  <c:v>9.1</c:v>
                </c:pt>
                <c:pt idx="188">
                  <c:v>4.0999999999999996</c:v>
                </c:pt>
                <c:pt idx="189">
                  <c:v>9.1</c:v>
                </c:pt>
                <c:pt idx="190">
                  <c:v>4.0999999999999996</c:v>
                </c:pt>
                <c:pt idx="191">
                  <c:v>9.1</c:v>
                </c:pt>
                <c:pt idx="192">
                  <c:v>4.0999999999999996</c:v>
                </c:pt>
                <c:pt idx="193">
                  <c:v>9.1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9.5</c:v>
                </c:pt>
                <c:pt idx="220">
                  <c:v>9.1</c:v>
                </c:pt>
                <c:pt idx="221">
                  <c:v>4</c:v>
                </c:pt>
                <c:pt idx="222">
                  <c:v>13.1</c:v>
                </c:pt>
                <c:pt idx="223">
                  <c:v>4</c:v>
                </c:pt>
                <c:pt idx="224">
                  <c:v>13.1</c:v>
                </c:pt>
                <c:pt idx="225">
                  <c:v>4</c:v>
                </c:pt>
                <c:pt idx="226">
                  <c:v>13.1</c:v>
                </c:pt>
                <c:pt idx="227">
                  <c:v>4</c:v>
                </c:pt>
                <c:pt idx="228">
                  <c:v>13.1</c:v>
                </c:pt>
                <c:pt idx="229">
                  <c:v>4</c:v>
                </c:pt>
                <c:pt idx="230">
                  <c:v>13.1</c:v>
                </c:pt>
                <c:pt idx="231">
                  <c:v>4</c:v>
                </c:pt>
                <c:pt idx="232">
                  <c:v>4</c:v>
                </c:pt>
                <c:pt idx="233">
                  <c:v>13.1</c:v>
                </c:pt>
                <c:pt idx="234">
                  <c:v>4</c:v>
                </c:pt>
                <c:pt idx="235">
                  <c:v>13.1</c:v>
                </c:pt>
                <c:pt idx="236">
                  <c:v>4</c:v>
                </c:pt>
                <c:pt idx="237">
                  <c:v>13.1</c:v>
                </c:pt>
                <c:pt idx="238">
                  <c:v>4</c:v>
                </c:pt>
                <c:pt idx="239">
                  <c:v>13.1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8.6</c:v>
                </c:pt>
                <c:pt idx="253">
                  <c:v>8.6</c:v>
                </c:pt>
                <c:pt idx="254">
                  <c:v>4.0999999999999996</c:v>
                </c:pt>
                <c:pt idx="255">
                  <c:v>9.1</c:v>
                </c:pt>
                <c:pt idx="256">
                  <c:v>9.1</c:v>
                </c:pt>
                <c:pt idx="257">
                  <c:v>4.0999999999999996</c:v>
                </c:pt>
                <c:pt idx="258">
                  <c:v>9.1</c:v>
                </c:pt>
                <c:pt idx="259">
                  <c:v>4.0999999999999996</c:v>
                </c:pt>
                <c:pt idx="260">
                  <c:v>9.1</c:v>
                </c:pt>
                <c:pt idx="261">
                  <c:v>4.0999999999999996</c:v>
                </c:pt>
                <c:pt idx="262">
                  <c:v>9.1</c:v>
                </c:pt>
                <c:pt idx="263">
                  <c:v>3.8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12.9</c:v>
                </c:pt>
                <c:pt idx="270">
                  <c:v>14.9</c:v>
                </c:pt>
                <c:pt idx="271">
                  <c:v>12.9</c:v>
                </c:pt>
                <c:pt idx="272">
                  <c:v>14.9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4.5</c:v>
                </c:pt>
                <c:pt idx="282">
                  <c:v>5.5</c:v>
                </c:pt>
                <c:pt idx="283">
                  <c:v>4.5</c:v>
                </c:pt>
                <c:pt idx="284">
                  <c:v>5.5</c:v>
                </c:pt>
                <c:pt idx="285">
                  <c:v>4.5</c:v>
                </c:pt>
                <c:pt idx="286">
                  <c:v>5.5</c:v>
                </c:pt>
                <c:pt idx="287">
                  <c:v>4.5</c:v>
                </c:pt>
                <c:pt idx="288">
                  <c:v>5.5</c:v>
                </c:pt>
                <c:pt idx="289">
                  <c:v>4.5</c:v>
                </c:pt>
                <c:pt idx="290">
                  <c:v>5.5</c:v>
                </c:pt>
                <c:pt idx="291">
                  <c:v>4.5</c:v>
                </c:pt>
                <c:pt idx="292">
                  <c:v>5.5</c:v>
                </c:pt>
                <c:pt idx="293">
                  <c:v>4.5</c:v>
                </c:pt>
                <c:pt idx="294">
                  <c:v>5.5</c:v>
                </c:pt>
                <c:pt idx="295">
                  <c:v>4.5</c:v>
                </c:pt>
                <c:pt idx="296">
                  <c:v>5.5</c:v>
                </c:pt>
                <c:pt idx="312">
                  <c:v>9.5</c:v>
                </c:pt>
                <c:pt idx="313">
                  <c:v>9.5</c:v>
                </c:pt>
                <c:pt idx="314">
                  <c:v>4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9.1</c:v>
                </c:pt>
                <c:pt idx="319">
                  <c:v>9.1</c:v>
                </c:pt>
                <c:pt idx="320">
                  <c:v>4.0999999999999996</c:v>
                </c:pt>
                <c:pt idx="321">
                  <c:v>9.1</c:v>
                </c:pt>
                <c:pt idx="322">
                  <c:v>4</c:v>
                </c:pt>
                <c:pt idx="323">
                  <c:v>9.5</c:v>
                </c:pt>
                <c:pt idx="324">
                  <c:v>12.9</c:v>
                </c:pt>
                <c:pt idx="325">
                  <c:v>9.1</c:v>
                </c:pt>
                <c:pt idx="326">
                  <c:v>6.5</c:v>
                </c:pt>
                <c:pt idx="327">
                  <c:v>4.5</c:v>
                </c:pt>
                <c:pt idx="328">
                  <c:v>14</c:v>
                </c:pt>
                <c:pt idx="329">
                  <c:v>6.5</c:v>
                </c:pt>
                <c:pt idx="330">
                  <c:v>12.9</c:v>
                </c:pt>
                <c:pt idx="331">
                  <c:v>4.5</c:v>
                </c:pt>
                <c:pt idx="332">
                  <c:v>9.5</c:v>
                </c:pt>
                <c:pt idx="333">
                  <c:v>9.5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8F-44AC-A1FB-D214E2AFE21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(2)'!$W$19:$W$93</c:f>
              <c:numCache>
                <c:formatCode>General</c:formatCode>
                <c:ptCount val="75"/>
                <c:pt idx="0">
                  <c:v>8.3959536742577185</c:v>
                </c:pt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1.18</c:v>
                </c:pt>
                <c:pt idx="34">
                  <c:v>1.85</c:v>
                </c:pt>
                <c:pt idx="35">
                  <c:v>2.8</c:v>
                </c:pt>
                <c:pt idx="36">
                  <c:v>2.8</c:v>
                </c:pt>
                <c:pt idx="37">
                  <c:v>4.04</c:v>
                </c:pt>
                <c:pt idx="38">
                  <c:v>4.0599999999999996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10.39</c:v>
                </c:pt>
                <c:pt idx="43">
                  <c:v>1.18</c:v>
                </c:pt>
                <c:pt idx="44">
                  <c:v>1.85</c:v>
                </c:pt>
                <c:pt idx="45">
                  <c:v>1.85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4.04</c:v>
                </c:pt>
                <c:pt idx="50">
                  <c:v>4.0599999999999996</c:v>
                </c:pt>
                <c:pt idx="51">
                  <c:v>4.7</c:v>
                </c:pt>
                <c:pt idx="52">
                  <c:v>4.7</c:v>
                </c:pt>
                <c:pt idx="53">
                  <c:v>10.39</c:v>
                </c:pt>
                <c:pt idx="54">
                  <c:v>10.39</c:v>
                </c:pt>
                <c:pt idx="55">
                  <c:v>1.18</c:v>
                </c:pt>
                <c:pt idx="56">
                  <c:v>1.85</c:v>
                </c:pt>
                <c:pt idx="57">
                  <c:v>4.04</c:v>
                </c:pt>
                <c:pt idx="58">
                  <c:v>4.0599999999999996</c:v>
                </c:pt>
                <c:pt idx="59">
                  <c:v>10.39</c:v>
                </c:pt>
                <c:pt idx="60">
                  <c:v>1.1000000000000001</c:v>
                </c:pt>
                <c:pt idx="61">
                  <c:v>1.56</c:v>
                </c:pt>
                <c:pt idx="62">
                  <c:v>2.85</c:v>
                </c:pt>
                <c:pt idx="63">
                  <c:v>2.85</c:v>
                </c:pt>
                <c:pt idx="64">
                  <c:v>3.53</c:v>
                </c:pt>
                <c:pt idx="65">
                  <c:v>4.13</c:v>
                </c:pt>
                <c:pt idx="66">
                  <c:v>4.13</c:v>
                </c:pt>
                <c:pt idx="67">
                  <c:v>4.7699999999999996</c:v>
                </c:pt>
                <c:pt idx="68">
                  <c:v>6.69</c:v>
                </c:pt>
                <c:pt idx="69">
                  <c:v>6.69</c:v>
                </c:pt>
                <c:pt idx="70">
                  <c:v>9.26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8F-44AC-A1FB-D214E2AFE2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8F-44AC-A1FB-D214E2AF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(2)'!$CQ$19:$CQ$1274</c:f>
              <c:numCache>
                <c:formatCode>General</c:formatCode>
                <c:ptCount val="1256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F-4000-AEE4-DA6FBE78B7C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F-4000-AEE4-DA6FBE78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(2)'!$CU$19:$CU$103</c:f>
              <c:numCache>
                <c:formatCode>General</c:formatCode>
                <c:ptCount val="85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E1-4573-A9F2-3BB43DE834D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(2)'!$DA$19:$DA$103</c:f>
              <c:numCache>
                <c:formatCode>General</c:formatCode>
                <c:ptCount val="85"/>
                <c:pt idx="71">
                  <c:v>2.3528332898435282</c:v>
                </c:pt>
                <c:pt idx="72">
                  <c:v>2.443326877914433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E1-4573-A9F2-3BB43DE834D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E1-4573-A9F2-3BB43DE8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(2)'!$CW$19:$CW$103</c:f>
              <c:numCache>
                <c:formatCode>General</c:formatCode>
                <c:ptCount val="85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2D-4E25-B462-C56ED63F1B6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(2)'!$DC$19:$DC$103</c:f>
              <c:numCache>
                <c:formatCode>General</c:formatCode>
                <c:ptCount val="85"/>
                <c:pt idx="71">
                  <c:v>1.1836659892345631</c:v>
                </c:pt>
                <c:pt idx="72">
                  <c:v>1.2291916042051232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2D-4E25-B462-C56ED63F1B6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2D-4E25-B462-C56ED63F1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(2)'!$CU$165:$CU$191</c:f>
              <c:numCache>
                <c:formatCode>General</c:formatCode>
                <c:ptCount val="27"/>
                <c:pt idx="0">
                  <c:v>1.225569165623946</c:v>
                </c:pt>
                <c:pt idx="2">
                  <c:v>1.6466492454395782</c:v>
                </c:pt>
                <c:pt idx="3">
                  <c:v>1.1492110320426716</c:v>
                </c:pt>
                <c:pt idx="5">
                  <c:v>1.2492919484799965</c:v>
                </c:pt>
                <c:pt idx="6">
                  <c:v>1.0258198988853873</c:v>
                </c:pt>
                <c:pt idx="7">
                  <c:v>1.1857746057227556</c:v>
                </c:pt>
                <c:pt idx="10">
                  <c:v>1.0036837852778606</c:v>
                </c:pt>
                <c:pt idx="11">
                  <c:v>1.0650980029084989</c:v>
                </c:pt>
                <c:pt idx="14">
                  <c:v>1.2645047592598222</c:v>
                </c:pt>
                <c:pt idx="16">
                  <c:v>1.2272571830982304</c:v>
                </c:pt>
                <c:pt idx="17">
                  <c:v>0.97260860076002498</c:v>
                </c:pt>
                <c:pt idx="19">
                  <c:v>0.96416295721336365</c:v>
                </c:pt>
                <c:pt idx="20">
                  <c:v>1.0082013097225628</c:v>
                </c:pt>
                <c:pt idx="24">
                  <c:v>1.263122369811867</c:v>
                </c:pt>
                <c:pt idx="25">
                  <c:v>0.9367326404971309</c:v>
                </c:pt>
                <c:pt idx="26">
                  <c:v>1.0799976325731626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8-4726-A25D-F7867C47C5A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(2)'!$DA$165:$DA$191</c:f>
              <c:numCache>
                <c:formatCode>General</c:formatCode>
                <c:ptCount val="27"/>
                <c:pt idx="1">
                  <c:v>1.6353994946085937</c:v>
                </c:pt>
                <c:pt idx="4">
                  <c:v>1.2977932364143214</c:v>
                </c:pt>
                <c:pt idx="8">
                  <c:v>1.0748023074035522</c:v>
                </c:pt>
                <c:pt idx="9">
                  <c:v>1.455820984567487</c:v>
                </c:pt>
                <c:pt idx="12">
                  <c:v>0.77877380307996769</c:v>
                </c:pt>
                <c:pt idx="13">
                  <c:v>1.1204472084630297</c:v>
                </c:pt>
                <c:pt idx="15">
                  <c:v>1.6052395746292354</c:v>
                </c:pt>
                <c:pt idx="18">
                  <c:v>1.2522004464825935</c:v>
                </c:pt>
                <c:pt idx="21">
                  <c:v>1.3457994703813709</c:v>
                </c:pt>
                <c:pt idx="22">
                  <c:v>1.3457994703813709</c:v>
                </c:pt>
                <c:pt idx="23">
                  <c:v>1.3503926426352324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58-4726-A25D-F7867C47C5A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(2)'!$CU$212:$CU$449</c:f>
              <c:numCache>
                <c:formatCode>General</c:formatCode>
                <c:ptCount val="238"/>
                <c:pt idx="8">
                  <c:v>1.3969859269328866</c:v>
                </c:pt>
                <c:pt idx="9">
                  <c:v>1.1134799594082712</c:v>
                </c:pt>
                <c:pt idx="11">
                  <c:v>1.358105561906104</c:v>
                </c:pt>
                <c:pt idx="12">
                  <c:v>1.4638998500136373</c:v>
                </c:pt>
                <c:pt idx="15">
                  <c:v>1.2849691500444007</c:v>
                </c:pt>
                <c:pt idx="19">
                  <c:v>1.9019036068701081</c:v>
                </c:pt>
                <c:pt idx="20">
                  <c:v>1.6585658139235577</c:v>
                </c:pt>
                <c:pt idx="21">
                  <c:v>1.392282311688124</c:v>
                </c:pt>
                <c:pt idx="22">
                  <c:v>1.2591811613326145</c:v>
                </c:pt>
                <c:pt idx="23">
                  <c:v>1.4893706384463696</c:v>
                </c:pt>
                <c:pt idx="25">
                  <c:v>1.3817749686699512</c:v>
                </c:pt>
                <c:pt idx="26">
                  <c:v>1.1704446793439585</c:v>
                </c:pt>
                <c:pt idx="27">
                  <c:v>1.7749963445318506</c:v>
                </c:pt>
                <c:pt idx="28">
                  <c:v>1.6101312326699513</c:v>
                </c:pt>
                <c:pt idx="29">
                  <c:v>1.9695008503860747</c:v>
                </c:pt>
                <c:pt idx="31">
                  <c:v>1.7475574825592937</c:v>
                </c:pt>
                <c:pt idx="36">
                  <c:v>1.4644210077964666</c:v>
                </c:pt>
                <c:pt idx="37">
                  <c:v>1.7518995465387628</c:v>
                </c:pt>
                <c:pt idx="42">
                  <c:v>2.0214170272337286</c:v>
                </c:pt>
                <c:pt idx="43">
                  <c:v>1.8768022880578519</c:v>
                </c:pt>
                <c:pt idx="48">
                  <c:v>1.6762495741046421</c:v>
                </c:pt>
                <c:pt idx="49">
                  <c:v>1.8062284359078113</c:v>
                </c:pt>
                <c:pt idx="54">
                  <c:v>1.5955182052279357</c:v>
                </c:pt>
                <c:pt idx="56">
                  <c:v>1.1259394815356814</c:v>
                </c:pt>
                <c:pt idx="60">
                  <c:v>1.1776103187568816</c:v>
                </c:pt>
                <c:pt idx="63">
                  <c:v>1.3763102007627221</c:v>
                </c:pt>
                <c:pt idx="67">
                  <c:v>1.3649163783859324</c:v>
                </c:pt>
                <c:pt idx="69">
                  <c:v>0.81001138963256536</c:v>
                </c:pt>
                <c:pt idx="71">
                  <c:v>0.92052495066192941</c:v>
                </c:pt>
                <c:pt idx="73">
                  <c:v>1.0356151544498595</c:v>
                </c:pt>
                <c:pt idx="75">
                  <c:v>1.8390393434000243</c:v>
                </c:pt>
                <c:pt idx="76">
                  <c:v>1.6572818324293288</c:v>
                </c:pt>
                <c:pt idx="77">
                  <c:v>1.6131871866776055</c:v>
                </c:pt>
                <c:pt idx="78">
                  <c:v>1.6201617118162046</c:v>
                </c:pt>
                <c:pt idx="87">
                  <c:v>1.8054709650544303</c:v>
                </c:pt>
                <c:pt idx="88">
                  <c:v>1.8677285845390659</c:v>
                </c:pt>
                <c:pt idx="91">
                  <c:v>1.4605943328712707</c:v>
                </c:pt>
                <c:pt idx="92">
                  <c:v>1.4956926848165499</c:v>
                </c:pt>
                <c:pt idx="95">
                  <c:v>1.138404725831345</c:v>
                </c:pt>
                <c:pt idx="96">
                  <c:v>1.1653553762193458</c:v>
                </c:pt>
                <c:pt idx="99">
                  <c:v>1.3826741523751238</c:v>
                </c:pt>
                <c:pt idx="100">
                  <c:v>1.3564374511915354</c:v>
                </c:pt>
                <c:pt idx="101">
                  <c:v>1.4185824218381531</c:v>
                </c:pt>
                <c:pt idx="108">
                  <c:v>1.4596088729345433</c:v>
                </c:pt>
                <c:pt idx="110">
                  <c:v>0.91498469141284478</c:v>
                </c:pt>
                <c:pt idx="112">
                  <c:v>0.93791006665785359</c:v>
                </c:pt>
                <c:pt idx="114">
                  <c:v>1.4321594010787457</c:v>
                </c:pt>
                <c:pt idx="116">
                  <c:v>1.6356284688674503</c:v>
                </c:pt>
                <c:pt idx="117">
                  <c:v>1.1040775899972763</c:v>
                </c:pt>
                <c:pt idx="119">
                  <c:v>1.2808577222300848</c:v>
                </c:pt>
                <c:pt idx="121">
                  <c:v>1.4154260804349856</c:v>
                </c:pt>
                <c:pt idx="123">
                  <c:v>1.1915791690728934</c:v>
                </c:pt>
                <c:pt idx="124">
                  <c:v>1.1697553747675289</c:v>
                </c:pt>
                <c:pt idx="127">
                  <c:v>1.1211859345052924</c:v>
                </c:pt>
                <c:pt idx="128">
                  <c:v>1.1394053233213677</c:v>
                </c:pt>
                <c:pt idx="131">
                  <c:v>0.74775564447069376</c:v>
                </c:pt>
                <c:pt idx="132">
                  <c:v>0.74286383936633327</c:v>
                </c:pt>
                <c:pt idx="135">
                  <c:v>1.5489495283908705</c:v>
                </c:pt>
                <c:pt idx="136">
                  <c:v>1.592350856628868</c:v>
                </c:pt>
                <c:pt idx="137">
                  <c:v>1.4368641121280543</c:v>
                </c:pt>
                <c:pt idx="138">
                  <c:v>1.3868862299670786</c:v>
                </c:pt>
                <c:pt idx="139">
                  <c:v>1.2927149427470916</c:v>
                </c:pt>
                <c:pt idx="140">
                  <c:v>1.5963886352920298</c:v>
                </c:pt>
                <c:pt idx="142">
                  <c:v>1.0569642492667561</c:v>
                </c:pt>
                <c:pt idx="144">
                  <c:v>0.6762959582481799</c:v>
                </c:pt>
                <c:pt idx="146">
                  <c:v>1.008028750577413</c:v>
                </c:pt>
                <c:pt idx="148">
                  <c:v>1.3394776532788442</c:v>
                </c:pt>
                <c:pt idx="150">
                  <c:v>0.94753660934956419</c:v>
                </c:pt>
                <c:pt idx="152">
                  <c:v>1.0756848664437799</c:v>
                </c:pt>
                <c:pt idx="154">
                  <c:v>1.2320270071792656</c:v>
                </c:pt>
                <c:pt idx="156">
                  <c:v>1.549123414564981</c:v>
                </c:pt>
                <c:pt idx="158">
                  <c:v>1.0293098714399596</c:v>
                </c:pt>
                <c:pt idx="160">
                  <c:v>0.9854100070923747</c:v>
                </c:pt>
                <c:pt idx="162">
                  <c:v>2.7668023552772643</c:v>
                </c:pt>
                <c:pt idx="163">
                  <c:v>2.934133580701908</c:v>
                </c:pt>
                <c:pt idx="168">
                  <c:v>2.532004102831912</c:v>
                </c:pt>
                <c:pt idx="169">
                  <c:v>2.6369174561121116</c:v>
                </c:pt>
                <c:pt idx="173">
                  <c:v>2.1115754540609921</c:v>
                </c:pt>
                <c:pt idx="174">
                  <c:v>2.3031448610076581</c:v>
                </c:pt>
                <c:pt idx="179">
                  <c:v>2.1049069152958855</c:v>
                </c:pt>
                <c:pt idx="180">
                  <c:v>2.2205679862486321</c:v>
                </c:pt>
                <c:pt idx="181">
                  <c:v>1.6842236249136839</c:v>
                </c:pt>
                <c:pt idx="184">
                  <c:v>1.4962356997225408</c:v>
                </c:pt>
                <c:pt idx="187">
                  <c:v>1.3194133857352812</c:v>
                </c:pt>
                <c:pt idx="190">
                  <c:v>1.0724109928974139</c:v>
                </c:pt>
                <c:pt idx="193">
                  <c:v>1.1920751277688835</c:v>
                </c:pt>
                <c:pt idx="195">
                  <c:v>1.1780867637368739</c:v>
                </c:pt>
                <c:pt idx="196">
                  <c:v>1.2257314455075607</c:v>
                </c:pt>
                <c:pt idx="198">
                  <c:v>1.1750757483839116</c:v>
                </c:pt>
                <c:pt idx="199">
                  <c:v>1.3019412546037261</c:v>
                </c:pt>
                <c:pt idx="204">
                  <c:v>0.83592963820390698</c:v>
                </c:pt>
                <c:pt idx="207">
                  <c:v>0.55205944197966095</c:v>
                </c:pt>
                <c:pt idx="210">
                  <c:v>1.8712130928348991</c:v>
                </c:pt>
                <c:pt idx="211">
                  <c:v>1.828802295834536</c:v>
                </c:pt>
                <c:pt idx="214">
                  <c:v>1.029499805763189</c:v>
                </c:pt>
                <c:pt idx="216">
                  <c:v>1.4461652827060305</c:v>
                </c:pt>
                <c:pt idx="218">
                  <c:v>1.0544550371119625</c:v>
                </c:pt>
                <c:pt idx="220">
                  <c:v>0.79839866095245215</c:v>
                </c:pt>
                <c:pt idx="222">
                  <c:v>1.3547088906311604</c:v>
                </c:pt>
                <c:pt idx="223">
                  <c:v>1.4726317169163174</c:v>
                </c:pt>
                <c:pt idx="226">
                  <c:v>0.8642990042491514</c:v>
                </c:pt>
                <c:pt idx="227">
                  <c:v>0.91364035374588859</c:v>
                </c:pt>
                <c:pt idx="230">
                  <c:v>1.5717122916807</c:v>
                </c:pt>
                <c:pt idx="231">
                  <c:v>1.6360866860192729</c:v>
                </c:pt>
                <c:pt idx="234">
                  <c:v>1.2773447721685958</c:v>
                </c:pt>
                <c:pt idx="235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58-4726-A25D-F7867C47C5A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(2)'!$DA$212:$DA$449</c:f>
              <c:numCache>
                <c:formatCode>General</c:formatCode>
                <c:ptCount val="238"/>
                <c:pt idx="13">
                  <c:v>1.6460556821950687</c:v>
                </c:pt>
                <c:pt idx="24">
                  <c:v>1.8089684795295491</c:v>
                </c:pt>
                <c:pt idx="32">
                  <c:v>1.856778540561977</c:v>
                </c:pt>
                <c:pt idx="33">
                  <c:v>1.9336107560335067</c:v>
                </c:pt>
                <c:pt idx="34">
                  <c:v>1.8183624328262118</c:v>
                </c:pt>
                <c:pt idx="35">
                  <c:v>1.8375704866940943</c:v>
                </c:pt>
                <c:pt idx="38">
                  <c:v>1.9832832128026687</c:v>
                </c:pt>
                <c:pt idx="39">
                  <c:v>2.1708095946524519</c:v>
                </c:pt>
                <c:pt idx="40">
                  <c:v>2.4582402550876643</c:v>
                </c:pt>
                <c:pt idx="41">
                  <c:v>2.3883510004126491</c:v>
                </c:pt>
                <c:pt idx="44">
                  <c:v>2.3041574627484738</c:v>
                </c:pt>
                <c:pt idx="45">
                  <c:v>2.1598119902405912</c:v>
                </c:pt>
                <c:pt idx="46">
                  <c:v>2.7386157194045646</c:v>
                </c:pt>
                <c:pt idx="47">
                  <c:v>2.6444397211552655</c:v>
                </c:pt>
                <c:pt idx="50">
                  <c:v>2.0614005199370671</c:v>
                </c:pt>
                <c:pt idx="51">
                  <c:v>2.2135974214669707</c:v>
                </c:pt>
                <c:pt idx="52">
                  <c:v>2.4359566257244731</c:v>
                </c:pt>
                <c:pt idx="53">
                  <c:v>2.3464502423270477</c:v>
                </c:pt>
                <c:pt idx="55">
                  <c:v>1.6139869347016558</c:v>
                </c:pt>
                <c:pt idx="57">
                  <c:v>1.0617977042412712</c:v>
                </c:pt>
                <c:pt idx="58">
                  <c:v>1.3503150456948545</c:v>
                </c:pt>
                <c:pt idx="59">
                  <c:v>1.2114030022601903</c:v>
                </c:pt>
                <c:pt idx="61">
                  <c:v>1.2513247658643978</c:v>
                </c:pt>
                <c:pt idx="62">
                  <c:v>1.5049553082665195</c:v>
                </c:pt>
                <c:pt idx="64">
                  <c:v>1.2838814274188568</c:v>
                </c:pt>
                <c:pt idx="65">
                  <c:v>1.2590855307150328</c:v>
                </c:pt>
                <c:pt idx="66">
                  <c:v>1.43924293656133</c:v>
                </c:pt>
                <c:pt idx="68">
                  <c:v>1.6063308950541133</c:v>
                </c:pt>
                <c:pt idx="70">
                  <c:v>1.1713310769181029</c:v>
                </c:pt>
                <c:pt idx="72">
                  <c:v>1.2562768305586147</c:v>
                </c:pt>
                <c:pt idx="74">
                  <c:v>1.3541745362490702</c:v>
                </c:pt>
                <c:pt idx="79">
                  <c:v>1.82784459240108</c:v>
                </c:pt>
                <c:pt idx="80">
                  <c:v>1.8391049780038722</c:v>
                </c:pt>
                <c:pt idx="81">
                  <c:v>1.9077931730661086</c:v>
                </c:pt>
                <c:pt idx="82">
                  <c:v>1.7236171863934053</c:v>
                </c:pt>
                <c:pt idx="83">
                  <c:v>1.9404936547645257</c:v>
                </c:pt>
                <c:pt idx="84">
                  <c:v>2.0072616038610884</c:v>
                </c:pt>
                <c:pt idx="85">
                  <c:v>2.2236759501220891</c:v>
                </c:pt>
                <c:pt idx="86">
                  <c:v>1.9213175916594305</c:v>
                </c:pt>
                <c:pt idx="89">
                  <c:v>2.2833360622400622</c:v>
                </c:pt>
                <c:pt idx="90">
                  <c:v>2.3970089307971794</c:v>
                </c:pt>
                <c:pt idx="93">
                  <c:v>1.7873571707283726</c:v>
                </c:pt>
                <c:pt idx="94">
                  <c:v>1.94348082358257</c:v>
                </c:pt>
                <c:pt idx="97">
                  <c:v>1.4186878203980968</c:v>
                </c:pt>
                <c:pt idx="98">
                  <c:v>1.6446863940483587</c:v>
                </c:pt>
                <c:pt idx="102">
                  <c:v>1.3186172092729258</c:v>
                </c:pt>
                <c:pt idx="103">
                  <c:v>1.4986693583302733</c:v>
                </c:pt>
                <c:pt idx="104">
                  <c:v>1.7874689706362066</c:v>
                </c:pt>
                <c:pt idx="105">
                  <c:v>1.8149834332410735</c:v>
                </c:pt>
                <c:pt idx="106">
                  <c:v>2.1228194150362767</c:v>
                </c:pt>
                <c:pt idx="107">
                  <c:v>2.3338738280128664</c:v>
                </c:pt>
                <c:pt idx="109">
                  <c:v>1.5710468122095345</c:v>
                </c:pt>
                <c:pt idx="111">
                  <c:v>1.1363803486620696</c:v>
                </c:pt>
                <c:pt idx="113">
                  <c:v>1.1894844324913778</c:v>
                </c:pt>
                <c:pt idx="115">
                  <c:v>1.3973460333516139</c:v>
                </c:pt>
                <c:pt idx="118">
                  <c:v>1.2440728666081811</c:v>
                </c:pt>
                <c:pt idx="120">
                  <c:v>1.4971936540610968</c:v>
                </c:pt>
                <c:pt idx="122">
                  <c:v>1.5434167366445322</c:v>
                </c:pt>
                <c:pt idx="125">
                  <c:v>1.6982641257732274</c:v>
                </c:pt>
                <c:pt idx="126">
                  <c:v>1.8155185532534488</c:v>
                </c:pt>
                <c:pt idx="129">
                  <c:v>1.3115617934430026</c:v>
                </c:pt>
                <c:pt idx="130">
                  <c:v>1.6603365473541258</c:v>
                </c:pt>
                <c:pt idx="133">
                  <c:v>0.95796747993591125</c:v>
                </c:pt>
                <c:pt idx="134">
                  <c:v>1.3194912606521252</c:v>
                </c:pt>
                <c:pt idx="141">
                  <c:v>1.9571780539059229</c:v>
                </c:pt>
                <c:pt idx="143">
                  <c:v>1.6690368485066298</c:v>
                </c:pt>
                <c:pt idx="145">
                  <c:v>1.2318469896840969</c:v>
                </c:pt>
                <c:pt idx="147">
                  <c:v>1.484875890338786</c:v>
                </c:pt>
                <c:pt idx="149">
                  <c:v>2.3047517444972305</c:v>
                </c:pt>
                <c:pt idx="151">
                  <c:v>1.5206207882635787</c:v>
                </c:pt>
                <c:pt idx="153">
                  <c:v>1.6970283766363055</c:v>
                </c:pt>
                <c:pt idx="155">
                  <c:v>1.9689290757805624</c:v>
                </c:pt>
                <c:pt idx="157">
                  <c:v>2.4818328297426966</c:v>
                </c:pt>
                <c:pt idx="159">
                  <c:v>1.9189222315857666</c:v>
                </c:pt>
                <c:pt idx="161">
                  <c:v>1.4570935247342094</c:v>
                </c:pt>
                <c:pt idx="164">
                  <c:v>2.3698771228746178</c:v>
                </c:pt>
                <c:pt idx="165">
                  <c:v>3.2401840760672038</c:v>
                </c:pt>
                <c:pt idx="166">
                  <c:v>2.9224686635449011</c:v>
                </c:pt>
                <c:pt idx="167">
                  <c:v>3.9007223111414722</c:v>
                </c:pt>
                <c:pt idx="170">
                  <c:v>2.9352047561738659</c:v>
                </c:pt>
                <c:pt idx="171">
                  <c:v>3.6290967896398789</c:v>
                </c:pt>
                <c:pt idx="172">
                  <c:v>3.3338667883001012</c:v>
                </c:pt>
                <c:pt idx="175">
                  <c:v>2.3986355660050145</c:v>
                </c:pt>
                <c:pt idx="176">
                  <c:v>2.6884096648583249</c:v>
                </c:pt>
                <c:pt idx="177">
                  <c:v>2.7924997043954289</c:v>
                </c:pt>
                <c:pt idx="178">
                  <c:v>2.9556646784895912</c:v>
                </c:pt>
                <c:pt idx="182">
                  <c:v>2.0657822514428021</c:v>
                </c:pt>
                <c:pt idx="183">
                  <c:v>2.3306453144673411</c:v>
                </c:pt>
                <c:pt idx="185">
                  <c:v>1.8611828164544308</c:v>
                </c:pt>
                <c:pt idx="186">
                  <c:v>2.8079296323692664</c:v>
                </c:pt>
                <c:pt idx="188">
                  <c:v>1.5194412968967341</c:v>
                </c:pt>
                <c:pt idx="189">
                  <c:v>1.5576906050232835</c:v>
                </c:pt>
                <c:pt idx="191">
                  <c:v>1.2698053240076526</c:v>
                </c:pt>
                <c:pt idx="192">
                  <c:v>1.4621260776285192</c:v>
                </c:pt>
                <c:pt idx="194">
                  <c:v>1.4139539769720177</c:v>
                </c:pt>
                <c:pt idx="197">
                  <c:v>1.6426498729849517</c:v>
                </c:pt>
                <c:pt idx="200">
                  <c:v>1.8239105992369686</c:v>
                </c:pt>
                <c:pt idx="201">
                  <c:v>1.2347592325690142</c:v>
                </c:pt>
                <c:pt idx="202">
                  <c:v>1.9881084721453528</c:v>
                </c:pt>
                <c:pt idx="203">
                  <c:v>2.0269272380347223</c:v>
                </c:pt>
                <c:pt idx="205">
                  <c:v>0.9227648214974592</c:v>
                </c:pt>
                <c:pt idx="206">
                  <c:v>1.175019755063784</c:v>
                </c:pt>
                <c:pt idx="208">
                  <c:v>0.7619369171435395</c:v>
                </c:pt>
                <c:pt idx="209">
                  <c:v>0.85750356169367992</c:v>
                </c:pt>
                <c:pt idx="212">
                  <c:v>1.8953979767016702</c:v>
                </c:pt>
                <c:pt idx="213">
                  <c:v>2.2447171992350321</c:v>
                </c:pt>
                <c:pt idx="215">
                  <c:v>1.3273452162350488</c:v>
                </c:pt>
                <c:pt idx="217">
                  <c:v>1.6555682834433088</c:v>
                </c:pt>
                <c:pt idx="219">
                  <c:v>1.417064822746245</c:v>
                </c:pt>
                <c:pt idx="221">
                  <c:v>0.93945017082886029</c:v>
                </c:pt>
                <c:pt idx="224">
                  <c:v>1.6408489371767041</c:v>
                </c:pt>
                <c:pt idx="225">
                  <c:v>1.6642603569394416</c:v>
                </c:pt>
                <c:pt idx="228">
                  <c:v>1.0938128811765657</c:v>
                </c:pt>
                <c:pt idx="229">
                  <c:v>1.3018488380744442</c:v>
                </c:pt>
                <c:pt idx="232">
                  <c:v>1.7887440939579493</c:v>
                </c:pt>
                <c:pt idx="233">
                  <c:v>1.7774258058598467</c:v>
                </c:pt>
                <c:pt idx="236">
                  <c:v>1.4145583723311854</c:v>
                </c:pt>
                <c:pt idx="237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58-4726-A25D-F7867C47C5A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58-4726-A25D-F7867C47C5A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(2)'!$CU$192:$CU$211</c:f>
              <c:numCache>
                <c:formatCode>General</c:formatCode>
                <c:ptCount val="20"/>
                <c:pt idx="0">
                  <c:v>2.6807730162772905</c:v>
                </c:pt>
                <c:pt idx="1">
                  <c:v>2.6459783222607123</c:v>
                </c:pt>
                <c:pt idx="2">
                  <c:v>2.1667604910323823</c:v>
                </c:pt>
                <c:pt idx="3">
                  <c:v>2.2917050740919138</c:v>
                </c:pt>
                <c:pt idx="4">
                  <c:v>2.7923113189478994</c:v>
                </c:pt>
                <c:pt idx="5">
                  <c:v>2.9110887407240416</c:v>
                </c:pt>
                <c:pt idx="6">
                  <c:v>3.0215309048316823</c:v>
                </c:pt>
                <c:pt idx="7">
                  <c:v>2.9673517299864245</c:v>
                </c:pt>
                <c:pt idx="10">
                  <c:v>2.0282460326686236</c:v>
                </c:pt>
                <c:pt idx="11">
                  <c:v>2.0324136615028738</c:v>
                </c:pt>
                <c:pt idx="12">
                  <c:v>2.9465135858151714</c:v>
                </c:pt>
                <c:pt idx="13">
                  <c:v>2.9340106993124198</c:v>
                </c:pt>
                <c:pt idx="14">
                  <c:v>3.0236147192488074</c:v>
                </c:pt>
                <c:pt idx="15">
                  <c:v>3.0048603894946799</c:v>
                </c:pt>
                <c:pt idx="18">
                  <c:v>1.9879589539375342</c:v>
                </c:pt>
                <c:pt idx="19">
                  <c:v>2.0087970981087873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58-4726-A25D-F7867C47C5A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(2)'!$DA$192:$DA$211</c:f>
              <c:numCache>
                <c:formatCode>General</c:formatCode>
                <c:ptCount val="20"/>
                <c:pt idx="8">
                  <c:v>3.0048603894946799</c:v>
                </c:pt>
                <c:pt idx="9">
                  <c:v>2.9965251318261785</c:v>
                </c:pt>
                <c:pt idx="16">
                  <c:v>3.0173632759974316</c:v>
                </c:pt>
                <c:pt idx="17">
                  <c:v>3.0111118327460558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58-4726-A25D-F7867C47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'headed (2)'!$CR$52:$CR$1274</c:f>
              <c:numCache>
                <c:formatCode>General</c:formatCode>
                <c:ptCount val="1223"/>
                <c:pt idx="0">
                  <c:v>1.121877261169794</c:v>
                </c:pt>
                <c:pt idx="1">
                  <c:v>1.1998368896021039</c:v>
                </c:pt>
                <c:pt idx="2">
                  <c:v>1.2379464417646227</c:v>
                </c:pt>
                <c:pt idx="3">
                  <c:v>1.1853797138765283</c:v>
                </c:pt>
                <c:pt idx="4">
                  <c:v>0.95155081061725866</c:v>
                </c:pt>
                <c:pt idx="5">
                  <c:v>1.1513943056540974</c:v>
                </c:pt>
                <c:pt idx="6">
                  <c:v>1.1806252210562127</c:v>
                </c:pt>
                <c:pt idx="7">
                  <c:v>1.3657607623619461</c:v>
                </c:pt>
                <c:pt idx="8">
                  <c:v>1.2393430683283218</c:v>
                </c:pt>
                <c:pt idx="9">
                  <c:v>1.2156689397553775</c:v>
                </c:pt>
                <c:pt idx="12">
                  <c:v>1.5595184773545239</c:v>
                </c:pt>
                <c:pt idx="13">
                  <c:v>1.4780071547414189</c:v>
                </c:pt>
                <c:pt idx="14">
                  <c:v>1.5118027134906338</c:v>
                </c:pt>
                <c:pt idx="15">
                  <c:v>1.462792979371798</c:v>
                </c:pt>
                <c:pt idx="16">
                  <c:v>1.3069168110853688</c:v>
                </c:pt>
                <c:pt idx="17">
                  <c:v>1.6633962074813795</c:v>
                </c:pt>
                <c:pt idx="18">
                  <c:v>1.4916330668423277</c:v>
                </c:pt>
                <c:pt idx="19">
                  <c:v>1.4864600348804182</c:v>
                </c:pt>
                <c:pt idx="20">
                  <c:v>1.3389539545467144</c:v>
                </c:pt>
                <c:pt idx="21">
                  <c:v>1.462886612654708</c:v>
                </c:pt>
                <c:pt idx="22">
                  <c:v>1.6594714708343867</c:v>
                </c:pt>
                <c:pt idx="23">
                  <c:v>1.8118062019953518</c:v>
                </c:pt>
                <c:pt idx="24">
                  <c:v>1.5309604404548034</c:v>
                </c:pt>
                <c:pt idx="25">
                  <c:v>1.7159791174041488</c:v>
                </c:pt>
                <c:pt idx="26">
                  <c:v>1.6549322135268125</c:v>
                </c:pt>
                <c:pt idx="27">
                  <c:v>1.3632451207336602</c:v>
                </c:pt>
                <c:pt idx="28">
                  <c:v>1.4204803422427006</c:v>
                </c:pt>
                <c:pt idx="29">
                  <c:v>1.3192185620272767</c:v>
                </c:pt>
                <c:pt idx="30">
                  <c:v>1.433933219594866</c:v>
                </c:pt>
                <c:pt idx="31">
                  <c:v>1.4782390424361687</c:v>
                </c:pt>
                <c:pt idx="32">
                  <c:v>1.6299079458025423</c:v>
                </c:pt>
                <c:pt idx="33">
                  <c:v>1.5001260484786865</c:v>
                </c:pt>
                <c:pt idx="34">
                  <c:v>1.4954634150959114</c:v>
                </c:pt>
                <c:pt idx="35">
                  <c:v>1.6500544563540349</c:v>
                </c:pt>
                <c:pt idx="36">
                  <c:v>1.6500544563540349</c:v>
                </c:pt>
                <c:pt idx="37">
                  <c:v>1.6487439106558772</c:v>
                </c:pt>
                <c:pt idx="38">
                  <c:v>1.3702187218050508</c:v>
                </c:pt>
                <c:pt idx="39">
                  <c:v>1.3661223216497842</c:v>
                </c:pt>
                <c:pt idx="40">
                  <c:v>1.2379438411590769</c:v>
                </c:pt>
                <c:pt idx="41">
                  <c:v>1.4653825476444258</c:v>
                </c:pt>
                <c:pt idx="42">
                  <c:v>1.0724330257730104</c:v>
                </c:pt>
                <c:pt idx="43">
                  <c:v>1.4821353465266294</c:v>
                </c:pt>
                <c:pt idx="44">
                  <c:v>1.4709480943819242</c:v>
                </c:pt>
                <c:pt idx="45">
                  <c:v>1.3186099499673773</c:v>
                </c:pt>
                <c:pt idx="46">
                  <c:v>1.793169919181012</c:v>
                </c:pt>
                <c:pt idx="47">
                  <c:v>0.92555359594594022</c:v>
                </c:pt>
                <c:pt idx="48">
                  <c:v>1.0386003539475714</c:v>
                </c:pt>
                <c:pt idx="49">
                  <c:v>1.2673692173920306</c:v>
                </c:pt>
                <c:pt idx="50">
                  <c:v>1.4251104346911909</c:v>
                </c:pt>
                <c:pt idx="51">
                  <c:v>1.6808276036174601</c:v>
                </c:pt>
                <c:pt idx="60">
                  <c:v>0.80409497946677988</c:v>
                </c:pt>
                <c:pt idx="61">
                  <c:v>0.82013855883724562</c:v>
                </c:pt>
                <c:pt idx="62">
                  <c:v>1.2021807798100808</c:v>
                </c:pt>
                <c:pt idx="63">
                  <c:v>0.97816940092545301</c:v>
                </c:pt>
                <c:pt idx="64">
                  <c:v>1.2586178925728151</c:v>
                </c:pt>
                <c:pt idx="66">
                  <c:v>0.98110685664411379</c:v>
                </c:pt>
                <c:pt idx="67">
                  <c:v>1.0487505984287993</c:v>
                </c:pt>
                <c:pt idx="68">
                  <c:v>1.0748032245531951</c:v>
                </c:pt>
                <c:pt idx="69">
                  <c:v>0.99828830815771896</c:v>
                </c:pt>
                <c:pt idx="70">
                  <c:v>0.9769003202032982</c:v>
                </c:pt>
                <c:pt idx="71">
                  <c:v>1.1921334586493271</c:v>
                </c:pt>
                <c:pt idx="72">
                  <c:v>1.2330838124645049</c:v>
                </c:pt>
                <c:pt idx="73">
                  <c:v>1.282416942736895</c:v>
                </c:pt>
                <c:pt idx="74">
                  <c:v>1.2211258658072901</c:v>
                </c:pt>
                <c:pt idx="75">
                  <c:v>0.91310238557343271</c:v>
                </c:pt>
                <c:pt idx="76">
                  <c:v>0.93081825114400285</c:v>
                </c:pt>
                <c:pt idx="77">
                  <c:v>1.1425483020450971</c:v>
                </c:pt>
                <c:pt idx="78">
                  <c:v>1.276229936668285</c:v>
                </c:pt>
                <c:pt idx="79">
                  <c:v>1.317244290552404</c:v>
                </c:pt>
                <c:pt idx="80">
                  <c:v>1.0094326350055061</c:v>
                </c:pt>
                <c:pt idx="81">
                  <c:v>1.1186948523610185</c:v>
                </c:pt>
                <c:pt idx="82">
                  <c:v>1.1275778761630597</c:v>
                </c:pt>
                <c:pt idx="83">
                  <c:v>1.1899830557976832</c:v>
                </c:pt>
                <c:pt idx="84">
                  <c:v>1.0694592128006695</c:v>
                </c:pt>
                <c:pt idx="85">
                  <c:v>1.1775656452638794</c:v>
                </c:pt>
                <c:pt idx="86">
                  <c:v>1.1123266588575653</c:v>
                </c:pt>
                <c:pt idx="87">
                  <c:v>1.1269337764078953</c:v>
                </c:pt>
                <c:pt idx="88">
                  <c:v>1.1221539038315145</c:v>
                </c:pt>
                <c:pt idx="89">
                  <c:v>1.3078849210171859</c:v>
                </c:pt>
                <c:pt idx="90">
                  <c:v>1.4007274122258497</c:v>
                </c:pt>
                <c:pt idx="91">
                  <c:v>0.99736422977580386</c:v>
                </c:pt>
                <c:pt idx="92">
                  <c:v>1.0520214823303664</c:v>
                </c:pt>
                <c:pt idx="93">
                  <c:v>0.97318154685335856</c:v>
                </c:pt>
                <c:pt idx="94">
                  <c:v>1.0046444472606173</c:v>
                </c:pt>
                <c:pt idx="95">
                  <c:v>1.0330895299523886</c:v>
                </c:pt>
                <c:pt idx="96">
                  <c:v>1.0452859834815846</c:v>
                </c:pt>
                <c:pt idx="97">
                  <c:v>0.86568447721291919</c:v>
                </c:pt>
                <c:pt idx="98">
                  <c:v>0.84349061145916415</c:v>
                </c:pt>
                <c:pt idx="99">
                  <c:v>0.72336424582212799</c:v>
                </c:pt>
                <c:pt idx="100">
                  <c:v>0.75208681135225364</c:v>
                </c:pt>
                <c:pt idx="113">
                  <c:v>1.0049803374710342</c:v>
                </c:pt>
                <c:pt idx="114">
                  <c:v>1.336765961716297</c:v>
                </c:pt>
                <c:pt idx="115">
                  <c:v>1.3502706830387621</c:v>
                </c:pt>
                <c:pt idx="116">
                  <c:v>1.0412218156152346</c:v>
                </c:pt>
                <c:pt idx="117">
                  <c:v>1.1716971921552939</c:v>
                </c:pt>
                <c:pt idx="118">
                  <c:v>1.131898315070766</c:v>
                </c:pt>
                <c:pt idx="119">
                  <c:v>1.1972859454860088</c:v>
                </c:pt>
                <c:pt idx="120">
                  <c:v>1.1825979304836267</c:v>
                </c:pt>
                <c:pt idx="121">
                  <c:v>1.1802441564682067</c:v>
                </c:pt>
                <c:pt idx="122">
                  <c:v>1.3701259564751176</c:v>
                </c:pt>
                <c:pt idx="123">
                  <c:v>1.2158256317980205</c:v>
                </c:pt>
                <c:pt idx="124">
                  <c:v>1.1078654557321155</c:v>
                </c:pt>
                <c:pt idx="125">
                  <c:v>0.88558461738800009</c:v>
                </c:pt>
                <c:pt idx="126">
                  <c:v>1.0971269956239666</c:v>
                </c:pt>
                <c:pt idx="127">
                  <c:v>1.3493245422364921</c:v>
                </c:pt>
                <c:pt idx="128">
                  <c:v>1.6978913823018422</c:v>
                </c:pt>
                <c:pt idx="129">
                  <c:v>1.3095784928162608</c:v>
                </c:pt>
                <c:pt idx="130">
                  <c:v>1.1362985571149462</c:v>
                </c:pt>
                <c:pt idx="131">
                  <c:v>1.4489090299456451</c:v>
                </c:pt>
                <c:pt idx="132">
                  <c:v>1.1264315123772384</c:v>
                </c:pt>
                <c:pt idx="133">
                  <c:v>1.250702910301895</c:v>
                </c:pt>
                <c:pt idx="134">
                  <c:v>1.6061312508358303</c:v>
                </c:pt>
                <c:pt idx="135">
                  <c:v>1.5076213914643732</c:v>
                </c:pt>
                <c:pt idx="136">
                  <c:v>1.6116129274598434</c:v>
                </c:pt>
                <c:pt idx="137">
                  <c:v>1.353732099805089</c:v>
                </c:pt>
                <c:pt idx="138">
                  <c:v>1.2140631955584191</c:v>
                </c:pt>
                <c:pt idx="139">
                  <c:v>1.2142589675863487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1.1179242582161224</c:v>
                </c:pt>
                <c:pt idx="153">
                  <c:v>1.1131805909252479</c:v>
                </c:pt>
                <c:pt idx="154">
                  <c:v>1.0396608877230671</c:v>
                </c:pt>
                <c:pt idx="155">
                  <c:v>1.0332122674684099</c:v>
                </c:pt>
                <c:pt idx="156">
                  <c:v>1.1141268495754608</c:v>
                </c:pt>
                <c:pt idx="157">
                  <c:v>1.111818575715843</c:v>
                </c:pt>
                <c:pt idx="158">
                  <c:v>1</c:v>
                </c:pt>
                <c:pt idx="159">
                  <c:v>1</c:v>
                </c:pt>
                <c:pt idx="168">
                  <c:v>1.3383380886118024</c:v>
                </c:pt>
                <c:pt idx="169">
                  <c:v>1.0667341823935248</c:v>
                </c:pt>
                <c:pt idx="171">
                  <c:v>0.96123910886210173</c:v>
                </c:pt>
                <c:pt idx="172">
                  <c:v>1.0800473563193289</c:v>
                </c:pt>
                <c:pt idx="173">
                  <c:v>1.5688980242628909</c:v>
                </c:pt>
                <c:pt idx="175">
                  <c:v>1.3081102480693489</c:v>
                </c:pt>
                <c:pt idx="179">
                  <c:v>1.6772269266410664</c:v>
                </c:pt>
                <c:pt idx="180">
                  <c:v>1.1150394683014302</c:v>
                </c:pt>
                <c:pt idx="181">
                  <c:v>0.93601937017964099</c:v>
                </c:pt>
                <c:pt idx="182">
                  <c:v>1.2119877238401617</c:v>
                </c:pt>
                <c:pt idx="183">
                  <c:v>1.4335498222786425</c:v>
                </c:pt>
                <c:pt idx="184">
                  <c:v>1.7241744032031006</c:v>
                </c:pt>
                <c:pt idx="185">
                  <c:v>1.4709966291791812</c:v>
                </c:pt>
                <c:pt idx="186">
                  <c:v>1.024630490427666</c:v>
                </c:pt>
                <c:pt idx="187">
                  <c:v>1.7084704294313242</c:v>
                </c:pt>
                <c:pt idx="188">
                  <c:v>1.5425351929470028</c:v>
                </c:pt>
                <c:pt idx="189">
                  <c:v>1.4530735737887628</c:v>
                </c:pt>
                <c:pt idx="191">
                  <c:v>1.162098744070923</c:v>
                </c:pt>
                <c:pt idx="192">
                  <c:v>1.0129564999845371</c:v>
                </c:pt>
                <c:pt idx="193">
                  <c:v>1.0548719413632073</c:v>
                </c:pt>
                <c:pt idx="194">
                  <c:v>0.99199877929520175</c:v>
                </c:pt>
                <c:pt idx="195">
                  <c:v>1.0024776396398694</c:v>
                </c:pt>
                <c:pt idx="196">
                  <c:v>0.91851247644247092</c:v>
                </c:pt>
                <c:pt idx="197">
                  <c:v>1</c:v>
                </c:pt>
                <c:pt idx="198">
                  <c:v>1.1669913938500407</c:v>
                </c:pt>
                <c:pt idx="199">
                  <c:v>1.0958321519136152</c:v>
                </c:pt>
                <c:pt idx="200">
                  <c:v>1.4482630142707176</c:v>
                </c:pt>
                <c:pt idx="201">
                  <c:v>1.2065212017848979</c:v>
                </c:pt>
                <c:pt idx="202">
                  <c:v>1.2638608456589822</c:v>
                </c:pt>
                <c:pt idx="203">
                  <c:v>1.0429653107588621</c:v>
                </c:pt>
                <c:pt idx="204">
                  <c:v>1.267632927019867</c:v>
                </c:pt>
                <c:pt idx="205">
                  <c:v>1.0864732280294513</c:v>
                </c:pt>
                <c:pt idx="206">
                  <c:v>1.5147236131087898</c:v>
                </c:pt>
                <c:pt idx="207">
                  <c:v>1.2694084672363284</c:v>
                </c:pt>
                <c:pt idx="208">
                  <c:v>1.0591467407093387</c:v>
                </c:pt>
                <c:pt idx="209">
                  <c:v>0.99943469121787187</c:v>
                </c:pt>
                <c:pt idx="210">
                  <c:v>1.1787430355325779</c:v>
                </c:pt>
                <c:pt idx="211">
                  <c:v>1.0953486974677027</c:v>
                </c:pt>
                <c:pt idx="212">
                  <c:v>1.3410351127446876</c:v>
                </c:pt>
                <c:pt idx="213">
                  <c:v>1.1378780950693508</c:v>
                </c:pt>
                <c:pt idx="214">
                  <c:v>0.94606036381909953</c:v>
                </c:pt>
                <c:pt idx="215">
                  <c:v>0.9280417512964777</c:v>
                </c:pt>
                <c:pt idx="216">
                  <c:v>1.0537522781326267</c:v>
                </c:pt>
                <c:pt idx="217">
                  <c:v>0.99104241411838778</c:v>
                </c:pt>
                <c:pt idx="218">
                  <c:v>1.246854111705707</c:v>
                </c:pt>
                <c:pt idx="219">
                  <c:v>1.1108598911062268</c:v>
                </c:pt>
                <c:pt idx="220">
                  <c:v>1.0069882788145434</c:v>
                </c:pt>
                <c:pt idx="221">
                  <c:v>1.0429659273597731</c:v>
                </c:pt>
                <c:pt idx="222">
                  <c:v>1.2415241895472264</c:v>
                </c:pt>
                <c:pt idx="223">
                  <c:v>1.0607370982090985</c:v>
                </c:pt>
                <c:pt idx="224">
                  <c:v>0.98254513569119484</c:v>
                </c:pt>
                <c:pt idx="225">
                  <c:v>0.97651110382324768</c:v>
                </c:pt>
                <c:pt idx="226">
                  <c:v>1.0887563493315389</c:v>
                </c:pt>
                <c:pt idx="227">
                  <c:v>0.78300596637240216</c:v>
                </c:pt>
                <c:pt idx="228">
                  <c:v>0.88968810745173232</c:v>
                </c:pt>
                <c:pt idx="229">
                  <c:v>0.74214693971252432</c:v>
                </c:pt>
                <c:pt idx="230">
                  <c:v>1.015645214075779</c:v>
                </c:pt>
                <c:pt idx="231">
                  <c:v>0.76591341717817985</c:v>
                </c:pt>
                <c:pt idx="232">
                  <c:v>0.99490267950518141</c:v>
                </c:pt>
                <c:pt idx="233">
                  <c:v>0.782670244439856</c:v>
                </c:pt>
                <c:pt idx="234">
                  <c:v>0.95490274844904621</c:v>
                </c:pt>
                <c:pt idx="235">
                  <c:v>1.10521720654621</c:v>
                </c:pt>
                <c:pt idx="236">
                  <c:v>1.1039912468916053</c:v>
                </c:pt>
                <c:pt idx="237">
                  <c:v>0.97146948096887209</c:v>
                </c:pt>
                <c:pt idx="238">
                  <c:v>1.0425960964081298</c:v>
                </c:pt>
                <c:pt idx="239">
                  <c:v>0.96545639129394512</c:v>
                </c:pt>
                <c:pt idx="240">
                  <c:v>1.1029753689711439</c:v>
                </c:pt>
                <c:pt idx="241">
                  <c:v>1.0443012016693149</c:v>
                </c:pt>
                <c:pt idx="242">
                  <c:v>1.035801217585661</c:v>
                </c:pt>
                <c:pt idx="243">
                  <c:v>0.97511909646297612</c:v>
                </c:pt>
                <c:pt idx="244">
                  <c:v>1.0745054096439952</c:v>
                </c:pt>
                <c:pt idx="245">
                  <c:v>1.0849879495526928</c:v>
                </c:pt>
                <c:pt idx="246">
                  <c:v>1.0658353776281775</c:v>
                </c:pt>
                <c:pt idx="247">
                  <c:v>1.164038324517964</c:v>
                </c:pt>
                <c:pt idx="248">
                  <c:v>1.1851863092498804</c:v>
                </c:pt>
                <c:pt idx="249">
                  <c:v>1.4000927741086981</c:v>
                </c:pt>
                <c:pt idx="250">
                  <c:v>1.4707672066107018</c:v>
                </c:pt>
                <c:pt idx="251">
                  <c:v>1.1693024959062237</c:v>
                </c:pt>
                <c:pt idx="252">
                  <c:v>1.1994142932326093</c:v>
                </c:pt>
                <c:pt idx="253">
                  <c:v>1.3354151143487145</c:v>
                </c:pt>
                <c:pt idx="254">
                  <c:v>1.4489801776685771</c:v>
                </c:pt>
                <c:pt idx="255">
                  <c:v>1.0759579072343315</c:v>
                </c:pt>
                <c:pt idx="256">
                  <c:v>1.1152914305964363</c:v>
                </c:pt>
                <c:pt idx="257">
                  <c:v>1.2732119156908908</c:v>
                </c:pt>
                <c:pt idx="258">
                  <c:v>1.486801599498017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0.65440646347147291</c:v>
                </c:pt>
                <c:pt idx="263">
                  <c:v>0.74645745582544709</c:v>
                </c:pt>
                <c:pt idx="264">
                  <c:v>0.86626402070750652</c:v>
                </c:pt>
                <c:pt idx="265">
                  <c:v>0.78909154398737613</c:v>
                </c:pt>
                <c:pt idx="266">
                  <c:v>0.93712665612600687</c:v>
                </c:pt>
                <c:pt idx="267">
                  <c:v>1.0095343957325076</c:v>
                </c:pt>
                <c:pt idx="268">
                  <c:v>0.82535245957938552</c:v>
                </c:pt>
                <c:pt idx="269">
                  <c:v>0.87025939203289582</c:v>
                </c:pt>
                <c:pt idx="270">
                  <c:v>0.74722430214469848</c:v>
                </c:pt>
                <c:pt idx="271">
                  <c:v>0.93212965513993562</c:v>
                </c:pt>
                <c:pt idx="272">
                  <c:v>0.70351864336481917</c:v>
                </c:pt>
                <c:pt idx="273">
                  <c:v>0.88584801505264343</c:v>
                </c:pt>
                <c:pt idx="274">
                  <c:v>0.93461795122954905</c:v>
                </c:pt>
                <c:pt idx="275">
                  <c:v>0.8760822339448866</c:v>
                </c:pt>
                <c:pt idx="276">
                  <c:v>1.0546620803021731</c:v>
                </c:pt>
                <c:pt idx="277">
                  <c:v>1.0088869571220103</c:v>
                </c:pt>
                <c:pt idx="278">
                  <c:v>1.127721019295898</c:v>
                </c:pt>
                <c:pt idx="279">
                  <c:v>1.0815801265431821</c:v>
                </c:pt>
                <c:pt idx="280">
                  <c:v>1.2575697339160365</c:v>
                </c:pt>
                <c:pt idx="281">
                  <c:v>1.0377227912290949</c:v>
                </c:pt>
                <c:pt idx="282">
                  <c:v>1.0851045143939175</c:v>
                </c:pt>
                <c:pt idx="283">
                  <c:v>0.78234204586737066</c:v>
                </c:pt>
                <c:pt idx="284">
                  <c:v>0.76733459610941368</c:v>
                </c:pt>
                <c:pt idx="285">
                  <c:v>1.0136499429452763</c:v>
                </c:pt>
                <c:pt idx="286">
                  <c:v>1.0886125437537382</c:v>
                </c:pt>
                <c:pt idx="287">
                  <c:v>0.94794472349162318</c:v>
                </c:pt>
                <c:pt idx="288">
                  <c:v>0.95810293219723919</c:v>
                </c:pt>
                <c:pt idx="289">
                  <c:v>0.94032104183423759</c:v>
                </c:pt>
                <c:pt idx="290">
                  <c:v>1.1917519000638892</c:v>
                </c:pt>
                <c:pt idx="291">
                  <c:v>0.73918547860307671</c:v>
                </c:pt>
                <c:pt idx="292">
                  <c:v>0.73435132953628823</c:v>
                </c:pt>
                <c:pt idx="293">
                  <c:v>0.80046699672781108</c:v>
                </c:pt>
                <c:pt idx="294">
                  <c:v>1.1085878003695551</c:v>
                </c:pt>
                <c:pt idx="295">
                  <c:v>0.85520549534192214</c:v>
                </c:pt>
                <c:pt idx="296">
                  <c:v>0.94115541649385537</c:v>
                </c:pt>
                <c:pt idx="297">
                  <c:v>0.93310480003574625</c:v>
                </c:pt>
                <c:pt idx="298">
                  <c:v>0.98697622127594653</c:v>
                </c:pt>
                <c:pt idx="299">
                  <c:v>1.0864891795569402</c:v>
                </c:pt>
                <c:pt idx="300">
                  <c:v>0.96674260066309403</c:v>
                </c:pt>
                <c:pt idx="301">
                  <c:v>1.0879820523592281</c:v>
                </c:pt>
                <c:pt idx="302">
                  <c:v>0.82233348350740842</c:v>
                </c:pt>
                <c:pt idx="303">
                  <c:v>1.1130622636058647</c:v>
                </c:pt>
                <c:pt idx="304">
                  <c:v>0.63480838312555887</c:v>
                </c:pt>
                <c:pt idx="305">
                  <c:v>0.97995058160380566</c:v>
                </c:pt>
                <c:pt idx="306">
                  <c:v>0.90003950832799662</c:v>
                </c:pt>
                <c:pt idx="307">
                  <c:v>1.2625217719196895</c:v>
                </c:pt>
                <c:pt idx="308">
                  <c:v>0.63292489521379602</c:v>
                </c:pt>
                <c:pt idx="309">
                  <c:v>1.0771457263688171</c:v>
                </c:pt>
                <c:pt idx="310">
                  <c:v>0.73924512696546085</c:v>
                </c:pt>
                <c:pt idx="311">
                  <c:v>1.1248507186141501</c:v>
                </c:pt>
                <c:pt idx="312">
                  <c:v>0.68467739710453912</c:v>
                </c:pt>
                <c:pt idx="313">
                  <c:v>1.0359680488784047</c:v>
                </c:pt>
                <c:pt idx="314">
                  <c:v>0.67868729013532503</c:v>
                </c:pt>
                <c:pt idx="315">
                  <c:v>1.0002692328949259</c:v>
                </c:pt>
                <c:pt idx="316">
                  <c:v>0.72633374341804824</c:v>
                </c:pt>
                <c:pt idx="317">
                  <c:v>1.1618512131976952</c:v>
                </c:pt>
                <c:pt idx="318">
                  <c:v>0.63898823880641586</c:v>
                </c:pt>
                <c:pt idx="319">
                  <c:v>1.0767191342865152</c:v>
                </c:pt>
                <c:pt idx="320">
                  <c:v>0.75400013200926497</c:v>
                </c:pt>
                <c:pt idx="321">
                  <c:v>0.95972228420837502</c:v>
                </c:pt>
                <c:pt idx="322">
                  <c:v>0.89951817016281221</c:v>
                </c:pt>
                <c:pt idx="323">
                  <c:v>0.97894457082747688</c:v>
                </c:pt>
                <c:pt idx="324">
                  <c:v>0.74462905197182427</c:v>
                </c:pt>
                <c:pt idx="325">
                  <c:v>1.0414859751276166</c:v>
                </c:pt>
                <c:pt idx="326">
                  <c:v>0.94846759987164653</c:v>
                </c:pt>
                <c:pt idx="327">
                  <c:v>1.2792539211145848</c:v>
                </c:pt>
                <c:pt idx="328">
                  <c:v>0.95692750390543657</c:v>
                </c:pt>
                <c:pt idx="329">
                  <c:v>1.000825177613299</c:v>
                </c:pt>
                <c:pt idx="330">
                  <c:v>1.1093102722998569</c:v>
                </c:pt>
                <c:pt idx="331">
                  <c:v>1.3796539954432834</c:v>
                </c:pt>
                <c:pt idx="332">
                  <c:v>1.2648314968012164</c:v>
                </c:pt>
                <c:pt idx="333">
                  <c:v>0.67646352686461653</c:v>
                </c:pt>
                <c:pt idx="334">
                  <c:v>0.75051026424073697</c:v>
                </c:pt>
                <c:pt idx="335">
                  <c:v>0.77281597321579087</c:v>
                </c:pt>
                <c:pt idx="336">
                  <c:v>0.86413021470864393</c:v>
                </c:pt>
                <c:pt idx="337">
                  <c:v>0.91208253125064931</c:v>
                </c:pt>
                <c:pt idx="338">
                  <c:v>0.95614243505191698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0.82625634412902194</c:v>
                </c:pt>
                <c:pt idx="342">
                  <c:v>0.9601139047349182</c:v>
                </c:pt>
                <c:pt idx="343">
                  <c:v>1.0627262740118579</c:v>
                </c:pt>
                <c:pt idx="344">
                  <c:v>0.93527480684988118</c:v>
                </c:pt>
                <c:pt idx="345">
                  <c:v>1.0625500982773062</c:v>
                </c:pt>
                <c:pt idx="346">
                  <c:v>1.4822322141280799</c:v>
                </c:pt>
                <c:pt idx="347">
                  <c:v>1.0182198876788391</c:v>
                </c:pt>
                <c:pt idx="348">
                  <c:v>1.1905256945812908</c:v>
                </c:pt>
                <c:pt idx="349">
                  <c:v>1.1753055919076683</c:v>
                </c:pt>
                <c:pt idx="350">
                  <c:v>0.74669552116938287</c:v>
                </c:pt>
                <c:pt idx="351">
                  <c:v>0.90336797784402101</c:v>
                </c:pt>
                <c:pt idx="352">
                  <c:v>0.99108586662496612</c:v>
                </c:pt>
                <c:pt idx="353">
                  <c:v>0.8348184273807373</c:v>
                </c:pt>
                <c:pt idx="354">
                  <c:v>0.95553229503146886</c:v>
                </c:pt>
                <c:pt idx="355">
                  <c:v>0.67335839175112699</c:v>
                </c:pt>
                <c:pt idx="356">
                  <c:v>0.69192281388318311</c:v>
                </c:pt>
                <c:pt idx="357">
                  <c:v>0.84853134899852589</c:v>
                </c:pt>
                <c:pt idx="358">
                  <c:v>0.6648035989042731</c:v>
                </c:pt>
                <c:pt idx="359">
                  <c:v>0.72846501506533778</c:v>
                </c:pt>
                <c:pt idx="360">
                  <c:v>1.0134345640672162</c:v>
                </c:pt>
                <c:pt idx="361">
                  <c:v>0.67317534853537886</c:v>
                </c:pt>
                <c:pt idx="362">
                  <c:v>1.0383544149159285</c:v>
                </c:pt>
                <c:pt idx="363">
                  <c:v>1.0615276951705674</c:v>
                </c:pt>
                <c:pt idx="364">
                  <c:v>0.61746193238869718</c:v>
                </c:pt>
                <c:pt idx="365">
                  <c:v>0.68724341538301104</c:v>
                </c:pt>
                <c:pt idx="366">
                  <c:v>0.85028063832166845</c:v>
                </c:pt>
                <c:pt idx="367">
                  <c:v>0.49532268932934714</c:v>
                </c:pt>
                <c:pt idx="368">
                  <c:v>0.69404556824261776</c:v>
                </c:pt>
                <c:pt idx="369">
                  <c:v>0.73678053201601534</c:v>
                </c:pt>
                <c:pt idx="370">
                  <c:v>1.0734511207027237</c:v>
                </c:pt>
                <c:pt idx="371">
                  <c:v>0.97228115444619168</c:v>
                </c:pt>
                <c:pt idx="372">
                  <c:v>0.98184147159351287</c:v>
                </c:pt>
                <c:pt idx="373">
                  <c:v>1.1065773777959143</c:v>
                </c:pt>
                <c:pt idx="374">
                  <c:v>0.72096580896252627</c:v>
                </c:pt>
                <c:pt idx="375">
                  <c:v>0.93377048827409681</c:v>
                </c:pt>
                <c:pt idx="376">
                  <c:v>1.1167546869959355</c:v>
                </c:pt>
                <c:pt idx="377">
                  <c:v>1.2956424138648808</c:v>
                </c:pt>
                <c:pt idx="378">
                  <c:v>0.78437925291382093</c:v>
                </c:pt>
                <c:pt idx="379">
                  <c:v>1.059782127050285</c:v>
                </c:pt>
                <c:pt idx="380">
                  <c:v>0.73718451657272832</c:v>
                </c:pt>
                <c:pt idx="381">
                  <c:v>0.85852739822939572</c:v>
                </c:pt>
                <c:pt idx="382">
                  <c:v>1.0416632154626597</c:v>
                </c:pt>
                <c:pt idx="383">
                  <c:v>1.1153119606929831</c:v>
                </c:pt>
                <c:pt idx="384">
                  <c:v>1.2692714892463186</c:v>
                </c:pt>
                <c:pt idx="385">
                  <c:v>1.2571639757274684</c:v>
                </c:pt>
                <c:pt idx="386">
                  <c:v>0.8085349544542425</c:v>
                </c:pt>
                <c:pt idx="387">
                  <c:v>0.85080970194489203</c:v>
                </c:pt>
                <c:pt idx="388">
                  <c:v>1.0293844757547645</c:v>
                </c:pt>
                <c:pt idx="389">
                  <c:v>1.2091353781823571</c:v>
                </c:pt>
                <c:pt idx="390">
                  <c:v>1.2582112350998493</c:v>
                </c:pt>
                <c:pt idx="391">
                  <c:v>1.3026075869753657</c:v>
                </c:pt>
                <c:pt idx="392">
                  <c:v>1.4455193526381414</c:v>
                </c:pt>
                <c:pt idx="393">
                  <c:v>1.3999644400429421</c:v>
                </c:pt>
                <c:pt idx="394">
                  <c:v>1.2264020383181997</c:v>
                </c:pt>
                <c:pt idx="395">
                  <c:v>1.2265000402860071</c:v>
                </c:pt>
                <c:pt idx="396">
                  <c:v>1.3786937883911297</c:v>
                </c:pt>
                <c:pt idx="39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0-4ED5-B2D3-A41A2DD5D4F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00-4ED5-B2D3-A41A2DD5D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B-43C5-AD03-472DB035DA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B-43C5-AD03-472DB035D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(2)'!$CY$104:$CY$146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3E-4D4C-A1BA-4A481B9CB8F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(2)'!$DE$104:$DE$146</c:f>
              <c:numCache>
                <c:formatCode>General</c:formatCode>
                <c:ptCount val="43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3E-4D4C-A1BA-4A481B9CB8F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3E-4D4C-A1BA-4A481B9CB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7-4D21-A7F1-28F5D5608B6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7-4D21-A7F1-28F5D5608B6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7-4D21-A7F1-28F5D5608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9-4436-BA3A-51B44434380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9-4436-BA3A-51B44434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8-4097-9FD9-9E799DB2355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68-4097-9FD9-9E799DB23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A-4414-B101-199E25887D5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A-4414-B101-199E25887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7-4A68-8145-3229C21C841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A7-4A68-8145-3229C21C841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'headed (2)'!$CY$192:$CY$250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7-4A68-8145-3229C21C84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'headed (2)'!$DE$192:$DE$250</c:f>
              <c:numCache>
                <c:formatCode>General</c:formatCode>
                <c:ptCount val="59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1</c:v>
                </c:pt>
                <c:pt idx="53">
                  <c:v>1</c:v>
                </c:pt>
                <c:pt idx="54">
                  <c:v>0.97944761192161567</c:v>
                </c:pt>
                <c:pt idx="55">
                  <c:v>0.98979388951233693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A7-4A68-8145-3229C21C84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7-4A68-8145-3229C21C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F3-4DC9-918B-AF66BE9EE37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F3-4DC9-918B-AF66BE9EE37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F3-4DC9-918B-AF66BE9EE37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F3-4DC9-918B-AF66BE9EE37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F3-4DC9-918B-AF66BE9E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1.5393668987809279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1.2064345058631663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1.6111289830132571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1.1800386873366524</c:v>
                </c:pt>
                <c:pt idx="34">
                  <c:v>1.5227273061218662</c:v>
                </c:pt>
                <c:pt idx="35">
                  <c:v>1.0136353606109705</c:v>
                </c:pt>
                <c:pt idx="36">
                  <c:v>1.5537534775920558</c:v>
                </c:pt>
                <c:pt idx="37">
                  <c:v>1.0553000677007287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1.4565711461993656</c:v>
                </c:pt>
                <c:pt idx="56">
                  <c:v>1.4915728202248597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1.0645811088058519</c:v>
                </c:pt>
                <c:pt idx="60">
                  <c:v>1.3749910064068995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0.94993877984601438</c:v>
                </c:pt>
                <c:pt idx="75">
                  <c:v>1.1355499502132003</c:v>
                </c:pt>
                <c:pt idx="76">
                  <c:v>0.92589724491094383</c:v>
                </c:pt>
                <c:pt idx="77">
                  <c:v>1.1302150740598296</c:v>
                </c:pt>
                <c:pt idx="78">
                  <c:v>1.2089329841498877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1.1462553729482183</c:v>
                </c:pt>
                <c:pt idx="82">
                  <c:v>1.2431637729407938</c:v>
                </c:pt>
                <c:pt idx="83">
                  <c:v>1.2741789583907734</c:v>
                </c:pt>
                <c:pt idx="84">
                  <c:v>1.7850791723869082</c:v>
                </c:pt>
                <c:pt idx="85">
                  <c:v>1.1894014660168526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1.2147441524469329</c:v>
                </c:pt>
                <c:pt idx="92">
                  <c:v>1.5317584810057567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1.1169384460611274</c:v>
                </c:pt>
                <c:pt idx="96">
                  <c:v>0.89354564303152395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1.0879292646151721</c:v>
                </c:pt>
                <c:pt idx="102">
                  <c:v>1.2123746121170023</c:v>
                </c:pt>
                <c:pt idx="103">
                  <c:v>1.325810070867135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0.98508375291617878</c:v>
                </c:pt>
                <c:pt idx="107">
                  <c:v>1.676977781714432</c:v>
                </c:pt>
                <c:pt idx="108">
                  <c:v>0.87280886698648519</c:v>
                </c:pt>
                <c:pt idx="109">
                  <c:v>1.1117656600092876</c:v>
                </c:pt>
                <c:pt idx="110">
                  <c:v>1.0334238077499565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0.89669723004929791</c:v>
                </c:pt>
                <c:pt idx="115">
                  <c:v>1.2840983524179472</c:v>
                </c:pt>
                <c:pt idx="116">
                  <c:v>0.88086947875987576</c:v>
                </c:pt>
                <c:pt idx="117">
                  <c:v>1.2490921086446241</c:v>
                </c:pt>
                <c:pt idx="118">
                  <c:v>0.86015700533062411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0.82933543612103122</c:v>
                </c:pt>
                <c:pt idx="123">
                  <c:v>1.3735243604164213</c:v>
                </c:pt>
                <c:pt idx="124">
                  <c:v>0.91676427599558874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1.2473828124201516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1.3066748939789545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0.61109115495116417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0.81738841739739598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1.0135027696838101</c:v>
                </c:pt>
                <c:pt idx="191">
                  <c:v>1.0526254652208762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1.2560274378694603</c:v>
                </c:pt>
                <c:pt idx="199">
                  <c:v>1.3090510837932749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C-4EC3-88B8-86DC085B00E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8C-4EC3-88B8-86DC085B0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(2)'!$CQ$165:$CQ$574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3">
                  <c:v>1.0904414032234904</c:v>
                </c:pt>
                <c:pt idx="44">
                  <c:v>1.0881822014212317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D-451E-B54F-0666CE3554C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2D-451E-B54F-0666CE355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1.5393668987809279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1.2064345058631663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1.6111289830132571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1.1800386873366524</c:v>
                </c:pt>
                <c:pt idx="34">
                  <c:v>1.5227273061218662</c:v>
                </c:pt>
                <c:pt idx="35">
                  <c:v>1.0136353606109705</c:v>
                </c:pt>
                <c:pt idx="36">
                  <c:v>1.5537534775920558</c:v>
                </c:pt>
                <c:pt idx="37">
                  <c:v>1.0553000677007287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1.4565711461993656</c:v>
                </c:pt>
                <c:pt idx="56">
                  <c:v>1.4915728202248597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1.0645811088058519</c:v>
                </c:pt>
                <c:pt idx="60">
                  <c:v>1.3749910064068995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0.94993877984601438</c:v>
                </c:pt>
                <c:pt idx="75">
                  <c:v>1.1355499502132003</c:v>
                </c:pt>
                <c:pt idx="76">
                  <c:v>0.92589724491094383</c:v>
                </c:pt>
                <c:pt idx="77">
                  <c:v>1.1302150740598296</c:v>
                </c:pt>
                <c:pt idx="78">
                  <c:v>1.2089329841498877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1.1462553729482183</c:v>
                </c:pt>
                <c:pt idx="82">
                  <c:v>1.2431637729407938</c:v>
                </c:pt>
                <c:pt idx="83">
                  <c:v>1.2741789583907734</c:v>
                </c:pt>
                <c:pt idx="84">
                  <c:v>1.7850791723869082</c:v>
                </c:pt>
                <c:pt idx="85">
                  <c:v>1.1894014660168526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1.2147441524469329</c:v>
                </c:pt>
                <c:pt idx="92">
                  <c:v>1.5317584810057567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1.1169384460611274</c:v>
                </c:pt>
                <c:pt idx="96">
                  <c:v>0.89354564303152395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1.0879292646151721</c:v>
                </c:pt>
                <c:pt idx="102">
                  <c:v>1.2123746121170023</c:v>
                </c:pt>
                <c:pt idx="103">
                  <c:v>1.325810070867135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0.98508375291617878</c:v>
                </c:pt>
                <c:pt idx="107">
                  <c:v>1.676977781714432</c:v>
                </c:pt>
                <c:pt idx="108">
                  <c:v>0.87280886698648519</c:v>
                </c:pt>
                <c:pt idx="109">
                  <c:v>1.1117656600092876</c:v>
                </c:pt>
                <c:pt idx="110">
                  <c:v>1.0334238077499565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0.89669723004929791</c:v>
                </c:pt>
                <c:pt idx="115">
                  <c:v>1.2840983524179472</c:v>
                </c:pt>
                <c:pt idx="116">
                  <c:v>0.88086947875987576</c:v>
                </c:pt>
                <c:pt idx="117">
                  <c:v>1.2490921086446241</c:v>
                </c:pt>
                <c:pt idx="118">
                  <c:v>0.86015700533062411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0.82933543612103122</c:v>
                </c:pt>
                <c:pt idx="123">
                  <c:v>1.3735243604164213</c:v>
                </c:pt>
                <c:pt idx="124">
                  <c:v>0.91676427599558874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1.2473828124201516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1.3066748939789545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0.61109115495116417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0.81738841739739598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1.0135027696838101</c:v>
                </c:pt>
                <c:pt idx="191">
                  <c:v>1.0526254652208762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1.2560274378694603</c:v>
                </c:pt>
                <c:pt idx="199">
                  <c:v>1.3090510837932749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46-465A-A8E1-7E2479AF2E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46-465A-A8E1-7E2479AF2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(2)'!$L$165:$L$248</c:f>
              <c:numCache>
                <c:formatCode>General</c:formatCode>
                <c:ptCount val="8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</c:numCache>
            </c:numRef>
          </c:xVal>
          <c:yVal>
            <c:numRef>
              <c:f>'headed (2)'!$CS$165:$CS$248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1.4569265550499924</c:v>
                </c:pt>
                <c:pt idx="11">
                  <c:v>1.2368593271543291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1.8117952467104248</c:v>
                </c:pt>
                <c:pt idx="15">
                  <c:v>1.5788211461636792</c:v>
                </c:pt>
                <c:pt idx="16">
                  <c:v>1.9447556217215154</c:v>
                </c:pt>
                <c:pt idx="17">
                  <c:v>1.3935634697003241</c:v>
                </c:pt>
                <c:pt idx="18">
                  <c:v>1.2315922030510305</c:v>
                </c:pt>
                <c:pt idx="19">
                  <c:v>1.5278471025630567</c:v>
                </c:pt>
                <c:pt idx="20">
                  <c:v>1.3610023686073467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1.5621311103571764</c:v>
                </c:pt>
                <c:pt idx="56">
                  <c:v>1.2451103850199845</c:v>
                </c:pt>
                <c:pt idx="58">
                  <c:v>1.08971818573285</c:v>
                </c:pt>
                <c:pt idx="59">
                  <c:v>1.2471485696372469</c:v>
                </c:pt>
                <c:pt idx="60">
                  <c:v>1.468755792642539</c:v>
                </c:pt>
                <c:pt idx="62">
                  <c:v>1.487260947268513</c:v>
                </c:pt>
                <c:pt idx="66">
                  <c:v>2.137444489225357</c:v>
                </c:pt>
                <c:pt idx="67">
                  <c:v>1.3834883569132823</c:v>
                </c:pt>
                <c:pt idx="68">
                  <c:v>1.1613686665831682</c:v>
                </c:pt>
                <c:pt idx="69">
                  <c:v>1.3945799441927671</c:v>
                </c:pt>
                <c:pt idx="70">
                  <c:v>1.6382270596938808</c:v>
                </c:pt>
                <c:pt idx="71">
                  <c:v>1.5581202263866585</c:v>
                </c:pt>
                <c:pt idx="72">
                  <c:v>1.5091778057773073</c:v>
                </c:pt>
                <c:pt idx="73">
                  <c:v>1.2783623766584251</c:v>
                </c:pt>
                <c:pt idx="74">
                  <c:v>1.9673389851519778</c:v>
                </c:pt>
                <c:pt idx="75">
                  <c:v>1.7846087148297018</c:v>
                </c:pt>
                <c:pt idx="76">
                  <c:v>1.4623838231453203</c:v>
                </c:pt>
                <c:pt idx="78">
                  <c:v>1.4376383901517891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F3-4E39-B2EA-D96E7E64A19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F3-4E39-B2EA-D96E7E64A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(2)'!$CS$19:$CS$1274</c:f>
              <c:numCache>
                <c:formatCode>General</c:formatCode>
                <c:ptCount val="1256"/>
                <c:pt idx="33">
                  <c:v>1.5930332009124273</c:v>
                </c:pt>
                <c:pt idx="34">
                  <c:v>1.7052186375964011</c:v>
                </c:pt>
                <c:pt idx="35">
                  <c:v>1.7613113559383879</c:v>
                </c:pt>
                <c:pt idx="36">
                  <c:v>1.6865210648157389</c:v>
                </c:pt>
                <c:pt idx="37">
                  <c:v>1.2702582624412369</c:v>
                </c:pt>
                <c:pt idx="38">
                  <c:v>1.5370523175621236</c:v>
                </c:pt>
                <c:pt idx="39">
                  <c:v>1.6971965460652709</c:v>
                </c:pt>
                <c:pt idx="40">
                  <c:v>1.8237563767965093</c:v>
                </c:pt>
                <c:pt idx="41">
                  <c:v>1.7650508704945205</c:v>
                </c:pt>
                <c:pt idx="42">
                  <c:v>1.7490759164690128</c:v>
                </c:pt>
                <c:pt idx="45">
                  <c:v>1.1149602303559443</c:v>
                </c:pt>
                <c:pt idx="46">
                  <c:v>1.1660506109793418</c:v>
                </c:pt>
                <c:pt idx="47">
                  <c:v>1.0963775598500118</c:v>
                </c:pt>
                <c:pt idx="48">
                  <c:v>1.1417984444724441</c:v>
                </c:pt>
                <c:pt idx="49">
                  <c:v>1.04005785428454</c:v>
                </c:pt>
                <c:pt idx="50">
                  <c:v>1.218492251746139</c:v>
                </c:pt>
                <c:pt idx="51">
                  <c:v>1.0963775598500118</c:v>
                </c:pt>
                <c:pt idx="52">
                  <c:v>1.1742075706255921</c:v>
                </c:pt>
                <c:pt idx="53">
                  <c:v>0.99815487289008331</c:v>
                </c:pt>
                <c:pt idx="54">
                  <c:v>1.1576556740616271</c:v>
                </c:pt>
                <c:pt idx="55">
                  <c:v>0.61069430303833316</c:v>
                </c:pt>
                <c:pt idx="56">
                  <c:v>0.69963036658760502</c:v>
                </c:pt>
                <c:pt idx="57">
                  <c:v>0.62403471257072396</c:v>
                </c:pt>
                <c:pt idx="58">
                  <c:v>0.69963036658760502</c:v>
                </c:pt>
                <c:pt idx="59">
                  <c:v>0.69963036658760502</c:v>
                </c:pt>
                <c:pt idx="60">
                  <c:v>1.4756448295332454</c:v>
                </c:pt>
                <c:pt idx="61">
                  <c:v>1.5423406410375728</c:v>
                </c:pt>
                <c:pt idx="62">
                  <c:v>1.4381284355620612</c:v>
                </c:pt>
                <c:pt idx="63">
                  <c:v>1.5631830821326751</c:v>
                </c:pt>
                <c:pt idx="64">
                  <c:v>1.6132049407609208</c:v>
                </c:pt>
                <c:pt idx="65">
                  <c:v>1.7799444695217395</c:v>
                </c:pt>
                <c:pt idx="66">
                  <c:v>1.6382158700750435</c:v>
                </c:pt>
                <c:pt idx="67">
                  <c:v>1.6340473818560231</c:v>
                </c:pt>
                <c:pt idx="68">
                  <c:v>1.8049553988358622</c:v>
                </c:pt>
                <c:pt idx="69">
                  <c:v>1.8049553988358622</c:v>
                </c:pt>
                <c:pt idx="70">
                  <c:v>1.8049553988358622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0.9881784838807981</c:v>
                </c:pt>
                <c:pt idx="74">
                  <c:v>1.145072460213131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2.1241819020208603</c:v>
                </c:pt>
                <c:pt idx="78">
                  <c:v>1.5514224951198869</c:v>
                </c:pt>
                <c:pt idx="79">
                  <c:v>1.812172949810944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1.7428905183278425</c:v>
                </c:pt>
                <c:pt idx="83">
                  <c:v>1.6449265106206508</c:v>
                </c:pt>
                <c:pt idx="84">
                  <c:v>1.7096051977404618</c:v>
                </c:pt>
                <c:pt idx="93">
                  <c:v>1.0626551710850494</c:v>
                </c:pt>
                <c:pt idx="94">
                  <c:v>1.0839082745067503</c:v>
                </c:pt>
                <c:pt idx="95">
                  <c:v>1.0697592602127863</c:v>
                </c:pt>
                <c:pt idx="96">
                  <c:v>0.846776273098786</c:v>
                </c:pt>
                <c:pt idx="97">
                  <c:v>0.94242710418345987</c:v>
                </c:pt>
                <c:pt idx="99">
                  <c:v>1.2496789206294021</c:v>
                </c:pt>
                <c:pt idx="100">
                  <c:v>1.1935209055402785</c:v>
                </c:pt>
                <c:pt idx="101">
                  <c:v>1.1365535412883889</c:v>
                </c:pt>
                <c:pt idx="102">
                  <c:v>0.77573488574208971</c:v>
                </c:pt>
                <c:pt idx="103">
                  <c:v>0.81546254835421828</c:v>
                </c:pt>
                <c:pt idx="104">
                  <c:v>0.87260289867724583</c:v>
                </c:pt>
                <c:pt idx="105">
                  <c:v>0.76982034570805091</c:v>
                </c:pt>
                <c:pt idx="106">
                  <c:v>0.72828780389600911</c:v>
                </c:pt>
                <c:pt idx="107">
                  <c:v>0.64700664238800421</c:v>
                </c:pt>
                <c:pt idx="108">
                  <c:v>0.87837130726225165</c:v>
                </c:pt>
                <c:pt idx="109">
                  <c:v>0.74530460922177599</c:v>
                </c:pt>
                <c:pt idx="110">
                  <c:v>0.82546206924273469</c:v>
                </c:pt>
                <c:pt idx="111">
                  <c:v>0.74765212009280479</c:v>
                </c:pt>
                <c:pt idx="112">
                  <c:v>0.67796146998460671</c:v>
                </c:pt>
                <c:pt idx="113">
                  <c:v>0.64442853496754349</c:v>
                </c:pt>
                <c:pt idx="114">
                  <c:v>0.64521924482639936</c:v>
                </c:pt>
                <c:pt idx="115">
                  <c:v>0.58907047894788955</c:v>
                </c:pt>
                <c:pt idx="116">
                  <c:v>0.56550765978997408</c:v>
                </c:pt>
                <c:pt idx="117">
                  <c:v>0.86909765137264661</c:v>
                </c:pt>
                <c:pt idx="118">
                  <c:v>0.81619605520213756</c:v>
                </c:pt>
                <c:pt idx="119">
                  <c:v>0.70132401780331832</c:v>
                </c:pt>
                <c:pt idx="120">
                  <c:v>1.146690173406641</c:v>
                </c:pt>
                <c:pt idx="121">
                  <c:v>1.0394841189714128</c:v>
                </c:pt>
                <c:pt idx="122">
                  <c:v>0.86890210970430914</c:v>
                </c:pt>
                <c:pt idx="123">
                  <c:v>0.81675316740153681</c:v>
                </c:pt>
                <c:pt idx="124">
                  <c:v>1.2466232555076091</c:v>
                </c:pt>
                <c:pt idx="125">
                  <c:v>1.2197563750009797</c:v>
                </c:pt>
                <c:pt idx="126">
                  <c:v>1.199290707588252</c:v>
                </c:pt>
                <c:pt idx="127">
                  <c:v>1.1363386152860215</c:v>
                </c:pt>
                <c:pt idx="128">
                  <c:v>1.2369414191987771</c:v>
                </c:pt>
                <c:pt idx="129">
                  <c:v>1.2848498400414692</c:v>
                </c:pt>
                <c:pt idx="130">
                  <c:v>1.0824086965667323</c:v>
                </c:pt>
                <c:pt idx="131">
                  <c:v>1.1566380294527625</c:v>
                </c:pt>
                <c:pt idx="132">
                  <c:v>1.0147969426278216</c:v>
                </c:pt>
                <c:pt idx="133">
                  <c:v>1.0359485906892771</c:v>
                </c:pt>
                <c:pt idx="146">
                  <c:v>1.3838937040210169</c:v>
                </c:pt>
                <c:pt idx="147">
                  <c:v>1.4372631142025567</c:v>
                </c:pt>
                <c:pt idx="148">
                  <c:v>2.0310855779776316</c:v>
                </c:pt>
                <c:pt idx="149">
                  <c:v>1.3258623595815355</c:v>
                </c:pt>
                <c:pt idx="150">
                  <c:v>1.1653373728318932</c:v>
                </c:pt>
                <c:pt idx="151">
                  <c:v>1.6096593536070971</c:v>
                </c:pt>
                <c:pt idx="152">
                  <c:v>1.489058878211396</c:v>
                </c:pt>
                <c:pt idx="153">
                  <c:v>1.3655809367192053</c:v>
                </c:pt>
                <c:pt idx="154">
                  <c:v>1.1449507661346809</c:v>
                </c:pt>
                <c:pt idx="155">
                  <c:v>1.2505080698215565</c:v>
                </c:pt>
                <c:pt idx="156">
                  <c:v>1.4569265550499924</c:v>
                </c:pt>
                <c:pt idx="157">
                  <c:v>1.2368593271543291</c:v>
                </c:pt>
                <c:pt idx="158">
                  <c:v>0.83618018255731019</c:v>
                </c:pt>
                <c:pt idx="159">
                  <c:v>0.97651019906997372</c:v>
                </c:pt>
                <c:pt idx="160">
                  <c:v>1.8117952467104248</c:v>
                </c:pt>
                <c:pt idx="161">
                  <c:v>1.5788211461636792</c:v>
                </c:pt>
                <c:pt idx="162">
                  <c:v>1.9447556217215154</c:v>
                </c:pt>
                <c:pt idx="163">
                  <c:v>1.3935634697003241</c:v>
                </c:pt>
                <c:pt idx="164">
                  <c:v>1.2315922030510305</c:v>
                </c:pt>
                <c:pt idx="165">
                  <c:v>1.5278471025630567</c:v>
                </c:pt>
                <c:pt idx="166">
                  <c:v>1.3610023686073467</c:v>
                </c:pt>
                <c:pt idx="167">
                  <c:v>1.2470860052703576</c:v>
                </c:pt>
                <c:pt idx="168">
                  <c:v>1.2470860052703576</c:v>
                </c:pt>
                <c:pt idx="169">
                  <c:v>1.2513422714999494</c:v>
                </c:pt>
                <c:pt idx="170">
                  <c:v>1.3641026017932405</c:v>
                </c:pt>
                <c:pt idx="171">
                  <c:v>1.27455209712855</c:v>
                </c:pt>
                <c:pt idx="172">
                  <c:v>1.1755868754691567</c:v>
                </c:pt>
                <c:pt idx="173">
                  <c:v>3.203833724920901</c:v>
                </c:pt>
                <c:pt idx="174">
                  <c:v>3.1622500423555562</c:v>
                </c:pt>
                <c:pt idx="175">
                  <c:v>2.5895293233873948</c:v>
                </c:pt>
                <c:pt idx="176">
                  <c:v>2.7388525471447704</c:v>
                </c:pt>
                <c:pt idx="177">
                  <c:v>2.9072970877236819</c:v>
                </c:pt>
                <c:pt idx="178">
                  <c:v>3.0309656951865547</c:v>
                </c:pt>
                <c:pt idx="179">
                  <c:v>3.1459558038801037</c:v>
                </c:pt>
                <c:pt idx="180">
                  <c:v>3.0895455618794947</c:v>
                </c:pt>
                <c:pt idx="181">
                  <c:v>2.7149668974723982</c:v>
                </c:pt>
                <c:pt idx="182">
                  <c:v>2.7074357826389104</c:v>
                </c:pt>
                <c:pt idx="183">
                  <c:v>2.1117680338689433</c:v>
                </c:pt>
                <c:pt idx="184">
                  <c:v>2.1161072832536054</c:v>
                </c:pt>
                <c:pt idx="185">
                  <c:v>3.6717330366569469</c:v>
                </c:pt>
                <c:pt idx="186">
                  <c:v>3.6561528398960266</c:v>
                </c:pt>
                <c:pt idx="187">
                  <c:v>3.7678109166826239</c:v>
                </c:pt>
                <c:pt idx="188">
                  <c:v>3.7444406215412429</c:v>
                </c:pt>
                <c:pt idx="189">
                  <c:v>3.0790396611328834</c:v>
                </c:pt>
                <c:pt idx="190">
                  <c:v>3.0726604353156195</c:v>
                </c:pt>
                <c:pt idx="191">
                  <c:v>2.4772512849863699</c:v>
                </c:pt>
                <c:pt idx="192">
                  <c:v>2.5032182795879043</c:v>
                </c:pt>
                <c:pt idx="201">
                  <c:v>1.5621311103571764</c:v>
                </c:pt>
                <c:pt idx="202">
                  <c:v>1.2451103850199845</c:v>
                </c:pt>
                <c:pt idx="204">
                  <c:v>1.08971818573285</c:v>
                </c:pt>
                <c:pt idx="205">
                  <c:v>1.2471485696372469</c:v>
                </c:pt>
                <c:pt idx="206">
                  <c:v>1.468755792642539</c:v>
                </c:pt>
                <c:pt idx="208">
                  <c:v>1.487260947268513</c:v>
                </c:pt>
                <c:pt idx="212">
                  <c:v>2.137444489225357</c:v>
                </c:pt>
                <c:pt idx="213">
                  <c:v>1.3834883569132823</c:v>
                </c:pt>
                <c:pt idx="214">
                  <c:v>1.1613686665831682</c:v>
                </c:pt>
                <c:pt idx="215">
                  <c:v>1.3945799441927671</c:v>
                </c:pt>
                <c:pt idx="216">
                  <c:v>1.6382270596938808</c:v>
                </c:pt>
                <c:pt idx="217">
                  <c:v>1.5581202263866585</c:v>
                </c:pt>
                <c:pt idx="218">
                  <c:v>1.5091778057773073</c:v>
                </c:pt>
                <c:pt idx="219">
                  <c:v>1.2783623766584251</c:v>
                </c:pt>
                <c:pt idx="220">
                  <c:v>1.9673389851519778</c:v>
                </c:pt>
                <c:pt idx="221">
                  <c:v>1.7846087148297018</c:v>
                </c:pt>
                <c:pt idx="222">
                  <c:v>1.4623838231453203</c:v>
                </c:pt>
                <c:pt idx="224">
                  <c:v>1.4376383901517891</c:v>
                </c:pt>
                <c:pt idx="225">
                  <c:v>1.2269966870795557</c:v>
                </c:pt>
                <c:pt idx="226">
                  <c:v>1.2777689637862957</c:v>
                </c:pt>
                <c:pt idx="227">
                  <c:v>1.2016105487261854</c:v>
                </c:pt>
                <c:pt idx="228">
                  <c:v>1.2143036179028706</c:v>
                </c:pt>
                <c:pt idx="229">
                  <c:v>0.92942217759542134</c:v>
                </c:pt>
                <c:pt idx="230">
                  <c:v>1.1242757318376362</c:v>
                </c:pt>
                <c:pt idx="231">
                  <c:v>1.1200335813374223</c:v>
                </c:pt>
                <c:pt idx="232">
                  <c:v>1.2442613749021638</c:v>
                </c:pt>
                <c:pt idx="233">
                  <c:v>1.400091193706031</c:v>
                </c:pt>
                <c:pt idx="234">
                  <c:v>1.3452828172806048</c:v>
                </c:pt>
                <c:pt idx="235">
                  <c:v>1.3479209893794599</c:v>
                </c:pt>
                <c:pt idx="236">
                  <c:v>1.2726513426267121</c:v>
                </c:pt>
                <c:pt idx="237">
                  <c:v>1.3025245533720942</c:v>
                </c:pt>
                <c:pt idx="238">
                  <c:v>1.2673808375373148</c:v>
                </c:pt>
                <c:pt idx="239">
                  <c:v>1.5549193028146699</c:v>
                </c:pt>
                <c:pt idx="240">
                  <c:v>1.5517610994655895</c:v>
                </c:pt>
                <c:pt idx="241">
                  <c:v>1.4145986516145845</c:v>
                </c:pt>
                <c:pt idx="242">
                  <c:v>1.2305684841268119</c:v>
                </c:pt>
                <c:pt idx="243">
                  <c:v>1.2121832107334114</c:v>
                </c:pt>
                <c:pt idx="244">
                  <c:v>1.327132930109501</c:v>
                </c:pt>
                <c:pt idx="245">
                  <c:v>1.4604454373528053</c:v>
                </c:pt>
                <c:pt idx="246">
                  <c:v>1.3940506960947452</c:v>
                </c:pt>
                <c:pt idx="247">
                  <c:v>1.4542450707802723</c:v>
                </c:pt>
                <c:pt idx="248">
                  <c:v>1.3171284334108457</c:v>
                </c:pt>
                <c:pt idx="249">
                  <c:v>1.5393668987809279</c:v>
                </c:pt>
                <c:pt idx="250">
                  <c:v>1.0875170850034528</c:v>
                </c:pt>
                <c:pt idx="251">
                  <c:v>1.7132857924449365</c:v>
                </c:pt>
                <c:pt idx="252">
                  <c:v>1.1703923382083732</c:v>
                </c:pt>
                <c:pt idx="253">
                  <c:v>1.2064345058631663</c:v>
                </c:pt>
                <c:pt idx="254">
                  <c:v>1.4674396207834461</c:v>
                </c:pt>
                <c:pt idx="255">
                  <c:v>1.3339172849165912</c:v>
                </c:pt>
                <c:pt idx="256">
                  <c:v>1.6111289830132571</c:v>
                </c:pt>
                <c:pt idx="257">
                  <c:v>1.4016929584772584</c:v>
                </c:pt>
                <c:pt idx="258">
                  <c:v>1.4064662597202062</c:v>
                </c:pt>
                <c:pt idx="259">
                  <c:v>1.500601767058964</c:v>
                </c:pt>
                <c:pt idx="260">
                  <c:v>1.0809846369960703</c:v>
                </c:pt>
                <c:pt idx="261">
                  <c:v>1.130169014844719</c:v>
                </c:pt>
                <c:pt idx="262">
                  <c:v>1.1800386873366524</c:v>
                </c:pt>
                <c:pt idx="263">
                  <c:v>1.5227273061218662</c:v>
                </c:pt>
                <c:pt idx="264">
                  <c:v>1.0136353606109705</c:v>
                </c:pt>
                <c:pt idx="265">
                  <c:v>1.5537534775920558</c:v>
                </c:pt>
                <c:pt idx="266">
                  <c:v>1.0553000677007287</c:v>
                </c:pt>
                <c:pt idx="267">
                  <c:v>1.225964360942069</c:v>
                </c:pt>
                <c:pt idx="268">
                  <c:v>1.2044626549109341</c:v>
                </c:pt>
                <c:pt idx="269">
                  <c:v>1.3567777131762069</c:v>
                </c:pt>
                <c:pt idx="270">
                  <c:v>1.0565427698472931</c:v>
                </c:pt>
                <c:pt idx="271">
                  <c:v>1.0611106737887328</c:v>
                </c:pt>
                <c:pt idx="272">
                  <c:v>1.085175517695939</c:v>
                </c:pt>
                <c:pt idx="273">
                  <c:v>1.3648258889866054</c:v>
                </c:pt>
                <c:pt idx="274">
                  <c:v>1.1326402982209955</c:v>
                </c:pt>
                <c:pt idx="275">
                  <c:v>1.279120760819896</c:v>
                </c:pt>
                <c:pt idx="276">
                  <c:v>1.4158899377768372</c:v>
                </c:pt>
                <c:pt idx="277">
                  <c:v>1.4646074726472567</c:v>
                </c:pt>
                <c:pt idx="278">
                  <c:v>1.2980121403329294</c:v>
                </c:pt>
                <c:pt idx="279">
                  <c:v>1.4018980369375771</c:v>
                </c:pt>
                <c:pt idx="280">
                  <c:v>1.15289897228001</c:v>
                </c:pt>
                <c:pt idx="281">
                  <c:v>1.1926541092551828</c:v>
                </c:pt>
                <c:pt idx="282">
                  <c:v>1.3111850107642649</c:v>
                </c:pt>
                <c:pt idx="283">
                  <c:v>1.3404573544493805</c:v>
                </c:pt>
                <c:pt idx="284">
                  <c:v>1.4565711461993656</c:v>
                </c:pt>
                <c:pt idx="285">
                  <c:v>1.4915728202248597</c:v>
                </c:pt>
                <c:pt idx="286">
                  <c:v>1.2857433234217517</c:v>
                </c:pt>
                <c:pt idx="287">
                  <c:v>1.3838059891279431</c:v>
                </c:pt>
                <c:pt idx="288">
                  <c:v>1.0645811088058519</c:v>
                </c:pt>
                <c:pt idx="289">
                  <c:v>1.3749910064068995</c:v>
                </c:pt>
                <c:pt idx="290">
                  <c:v>1.5219922977142373</c:v>
                </c:pt>
                <c:pt idx="291">
                  <c:v>1.4168183015224551</c:v>
                </c:pt>
                <c:pt idx="292">
                  <c:v>1.1832182811484149</c:v>
                </c:pt>
                <c:pt idx="293">
                  <c:v>1.1607663213543273</c:v>
                </c:pt>
                <c:pt idx="294">
                  <c:v>1.213946649650911</c:v>
                </c:pt>
                <c:pt idx="295">
                  <c:v>1.0155616105585565</c:v>
                </c:pt>
                <c:pt idx="296">
                  <c:v>1.1496958567038023</c:v>
                </c:pt>
                <c:pt idx="297">
                  <c:v>1.3712468718361366</c:v>
                </c:pt>
                <c:pt idx="298">
                  <c:v>1.7084818805310933</c:v>
                </c:pt>
                <c:pt idx="299">
                  <c:v>1.9886149364652124</c:v>
                </c:pt>
                <c:pt idx="300">
                  <c:v>1.7490612046742806</c:v>
                </c:pt>
                <c:pt idx="301">
                  <c:v>1.0824061436066807</c:v>
                </c:pt>
                <c:pt idx="302">
                  <c:v>1.099511672686895</c:v>
                </c:pt>
                <c:pt idx="303">
                  <c:v>0.94993877984601438</c:v>
                </c:pt>
                <c:pt idx="304">
                  <c:v>1.1355499502132003</c:v>
                </c:pt>
                <c:pt idx="305">
                  <c:v>0.92589724491094383</c:v>
                </c:pt>
                <c:pt idx="306">
                  <c:v>1.1302150740598296</c:v>
                </c:pt>
                <c:pt idx="307">
                  <c:v>1.2089329841498877</c:v>
                </c:pt>
                <c:pt idx="308">
                  <c:v>1.0909464990682394</c:v>
                </c:pt>
                <c:pt idx="309">
                  <c:v>1.2494913437411292</c:v>
                </c:pt>
                <c:pt idx="310">
                  <c:v>1.1462553729482183</c:v>
                </c:pt>
                <c:pt idx="311">
                  <c:v>1.2431637729407938</c:v>
                </c:pt>
                <c:pt idx="312">
                  <c:v>1.2741789583907734</c:v>
                </c:pt>
                <c:pt idx="313">
                  <c:v>1.7850791723869082</c:v>
                </c:pt>
                <c:pt idx="314">
                  <c:v>1.1894014660168526</c:v>
                </c:pt>
                <c:pt idx="315">
                  <c:v>1.2104901444923288</c:v>
                </c:pt>
                <c:pt idx="316">
                  <c:v>0.9500605438440255</c:v>
                </c:pt>
                <c:pt idx="317">
                  <c:v>0.93266016758314585</c:v>
                </c:pt>
                <c:pt idx="318">
                  <c:v>1.2028972243265701</c:v>
                </c:pt>
                <c:pt idx="319">
                  <c:v>1.6074371142265871</c:v>
                </c:pt>
                <c:pt idx="320">
                  <c:v>1.2147441524469329</c:v>
                </c:pt>
                <c:pt idx="321">
                  <c:v>1.5317584810057567</c:v>
                </c:pt>
                <c:pt idx="322">
                  <c:v>1.2530999155051654</c:v>
                </c:pt>
                <c:pt idx="323">
                  <c:v>1.5863282977600779</c:v>
                </c:pt>
                <c:pt idx="324">
                  <c:v>1.1169384460611274</c:v>
                </c:pt>
                <c:pt idx="325">
                  <c:v>0.89354564303152395</c:v>
                </c:pt>
                <c:pt idx="326">
                  <c:v>1.2738805592629094</c:v>
                </c:pt>
                <c:pt idx="327">
                  <c:v>1.7624587508377958</c:v>
                </c:pt>
                <c:pt idx="328">
                  <c:v>1.066177573233374</c:v>
                </c:pt>
                <c:pt idx="329">
                  <c:v>1.0960517053259571</c:v>
                </c:pt>
                <c:pt idx="330">
                  <c:v>1.0879292646151721</c:v>
                </c:pt>
                <c:pt idx="331">
                  <c:v>1.2123746121170023</c:v>
                </c:pt>
                <c:pt idx="332">
                  <c:v>1.325810070867135</c:v>
                </c:pt>
                <c:pt idx="333">
                  <c:v>1.1020916631669231</c:v>
                </c:pt>
                <c:pt idx="334">
                  <c:v>1.1890280478040305</c:v>
                </c:pt>
                <c:pt idx="335">
                  <c:v>0.98508375291617878</c:v>
                </c:pt>
                <c:pt idx="336">
                  <c:v>1.676977781714432</c:v>
                </c:pt>
                <c:pt idx="337">
                  <c:v>0.87280886698648519</c:v>
                </c:pt>
                <c:pt idx="338">
                  <c:v>1.1117656600092876</c:v>
                </c:pt>
                <c:pt idx="339">
                  <c:v>1.0334238077499565</c:v>
                </c:pt>
                <c:pt idx="340">
                  <c:v>1.3530591037272715</c:v>
                </c:pt>
                <c:pt idx="341">
                  <c:v>0.8536087311591446</c:v>
                </c:pt>
                <c:pt idx="342">
                  <c:v>1.3047954564429862</c:v>
                </c:pt>
                <c:pt idx="343">
                  <c:v>0.89669723004929791</c:v>
                </c:pt>
                <c:pt idx="344">
                  <c:v>1.2840983524179472</c:v>
                </c:pt>
                <c:pt idx="345">
                  <c:v>0.88086947875987576</c:v>
                </c:pt>
                <c:pt idx="346">
                  <c:v>1.2490921086446241</c:v>
                </c:pt>
                <c:pt idx="347">
                  <c:v>0.86015700533062411</c:v>
                </c:pt>
                <c:pt idx="348">
                  <c:v>1.2211878714437694</c:v>
                </c:pt>
                <c:pt idx="349">
                  <c:v>0.98770988832965423</c:v>
                </c:pt>
                <c:pt idx="350">
                  <c:v>1.405758816311484</c:v>
                </c:pt>
                <c:pt idx="351">
                  <c:v>0.82933543612103122</c:v>
                </c:pt>
                <c:pt idx="352">
                  <c:v>1.3735243604164213</c:v>
                </c:pt>
                <c:pt idx="353">
                  <c:v>0.91676427599558874</c:v>
                </c:pt>
                <c:pt idx="354">
                  <c:v>1.1875804167963844</c:v>
                </c:pt>
                <c:pt idx="355">
                  <c:v>1.3853708991438167</c:v>
                </c:pt>
                <c:pt idx="356">
                  <c:v>1.4691556370667194</c:v>
                </c:pt>
                <c:pt idx="357">
                  <c:v>1.1002142240916057</c:v>
                </c:pt>
                <c:pt idx="358">
                  <c:v>1.5042537753350267</c:v>
                </c:pt>
                <c:pt idx="359">
                  <c:v>1.356754559997581</c:v>
                </c:pt>
                <c:pt idx="360">
                  <c:v>1.799506429845696</c:v>
                </c:pt>
                <c:pt idx="361">
                  <c:v>1.2598222395057197</c:v>
                </c:pt>
                <c:pt idx="362">
                  <c:v>1.3120228562170784</c:v>
                </c:pt>
                <c:pt idx="363">
                  <c:v>1.3540876305298664</c:v>
                </c:pt>
                <c:pt idx="364">
                  <c:v>1.6741983885487828</c:v>
                </c:pt>
                <c:pt idx="365">
                  <c:v>1.5380009760396056</c:v>
                </c:pt>
                <c:pt idx="366">
                  <c:v>1.3010744184441332</c:v>
                </c:pt>
                <c:pt idx="367">
                  <c:v>1.419112376432075</c:v>
                </c:pt>
                <c:pt idx="368">
                  <c:v>1.3703241283774616</c:v>
                </c:pt>
                <c:pt idx="369">
                  <c:v>1.5358700933690845</c:v>
                </c:pt>
                <c:pt idx="370">
                  <c:v>1.5953360225510751</c:v>
                </c:pt>
                <c:pt idx="371">
                  <c:v>1.6885510586641708</c:v>
                </c:pt>
                <c:pt idx="372">
                  <c:v>1.2969655123763921</c:v>
                </c:pt>
                <c:pt idx="373">
                  <c:v>1.368231571250613</c:v>
                </c:pt>
                <c:pt idx="374">
                  <c:v>1.2473828124201516</c:v>
                </c:pt>
                <c:pt idx="375">
                  <c:v>1.418561096358864</c:v>
                </c:pt>
                <c:pt idx="376">
                  <c:v>1.6217447857525504</c:v>
                </c:pt>
                <c:pt idx="377">
                  <c:v>1.3066748939789545</c:v>
                </c:pt>
                <c:pt idx="378">
                  <c:v>1.4956819971499853</c:v>
                </c:pt>
                <c:pt idx="379">
                  <c:v>2.2308393728048879</c:v>
                </c:pt>
                <c:pt idx="380">
                  <c:v>0.95053003455679075</c:v>
                </c:pt>
                <c:pt idx="381">
                  <c:v>0.96797883882138447</c:v>
                </c:pt>
                <c:pt idx="382">
                  <c:v>0.9673044426554136</c:v>
                </c:pt>
                <c:pt idx="383">
                  <c:v>0.76825652258018351</c:v>
                </c:pt>
                <c:pt idx="384">
                  <c:v>1.0055163450729336</c:v>
                </c:pt>
                <c:pt idx="385">
                  <c:v>0.90287337363807318</c:v>
                </c:pt>
                <c:pt idx="386">
                  <c:v>0.85398182075671547</c:v>
                </c:pt>
                <c:pt idx="387">
                  <c:v>0.87804597345881741</c:v>
                </c:pt>
                <c:pt idx="388">
                  <c:v>0.8312726172672158</c:v>
                </c:pt>
                <c:pt idx="389">
                  <c:v>0.86489129505352247</c:v>
                </c:pt>
                <c:pt idx="390">
                  <c:v>1.0296890870286513</c:v>
                </c:pt>
                <c:pt idx="391">
                  <c:v>0.74693440629475993</c:v>
                </c:pt>
                <c:pt idx="392">
                  <c:v>0.8275761961520568</c:v>
                </c:pt>
                <c:pt idx="393">
                  <c:v>1.0515170046860745</c:v>
                </c:pt>
                <c:pt idx="394">
                  <c:v>0.71186072951306811</c:v>
                </c:pt>
                <c:pt idx="395">
                  <c:v>1.1226686234334839</c:v>
                </c:pt>
                <c:pt idx="396">
                  <c:v>1.1445892636173558</c:v>
                </c:pt>
                <c:pt idx="397">
                  <c:v>0.72823307370272738</c:v>
                </c:pt>
                <c:pt idx="398">
                  <c:v>0.71086754061834379</c:v>
                </c:pt>
                <c:pt idx="399">
                  <c:v>1.102942521630832</c:v>
                </c:pt>
                <c:pt idx="400">
                  <c:v>0.61109115495116417</c:v>
                </c:pt>
                <c:pt idx="401">
                  <c:v>0.7718247303008392</c:v>
                </c:pt>
                <c:pt idx="402">
                  <c:v>0.8346761269586771</c:v>
                </c:pt>
                <c:pt idx="403">
                  <c:v>1.378337467570502</c:v>
                </c:pt>
                <c:pt idx="404">
                  <c:v>1.3470976313599901</c:v>
                </c:pt>
                <c:pt idx="405">
                  <c:v>1.2226871085348725</c:v>
                </c:pt>
                <c:pt idx="406">
                  <c:v>1.4480266495732195</c:v>
                </c:pt>
                <c:pt idx="407">
                  <c:v>0.80994045632785505</c:v>
                </c:pt>
                <c:pt idx="408">
                  <c:v>0.92343789210776062</c:v>
                </c:pt>
                <c:pt idx="409">
                  <c:v>1.1377445264616732</c:v>
                </c:pt>
                <c:pt idx="410">
                  <c:v>1.1621411039397247</c:v>
                </c:pt>
                <c:pt idx="411">
                  <c:v>0.83703352176496904</c:v>
                </c:pt>
                <c:pt idx="412">
                  <c:v>0.99472144636362514</c:v>
                </c:pt>
                <c:pt idx="413">
                  <c:v>0.81738841739739598</c:v>
                </c:pt>
                <c:pt idx="414">
                  <c:v>0.8900725411588033</c:v>
                </c:pt>
                <c:pt idx="415">
                  <c:v>1.2488912988332597</c:v>
                </c:pt>
                <c:pt idx="416">
                  <c:v>1.3338607110128451</c:v>
                </c:pt>
                <c:pt idx="417">
                  <c:v>1.3088116847320996</c:v>
                </c:pt>
                <c:pt idx="418">
                  <c:v>1.3330135927123574</c:v>
                </c:pt>
                <c:pt idx="419">
                  <c:v>1.0135027696838101</c:v>
                </c:pt>
                <c:pt idx="420">
                  <c:v>1.0526254652208762</c:v>
                </c:pt>
                <c:pt idx="421">
                  <c:v>1.1608850073852048</c:v>
                </c:pt>
                <c:pt idx="422">
                  <c:v>1.3841922978836163</c:v>
                </c:pt>
                <c:pt idx="423">
                  <c:v>1.2184121174982501</c:v>
                </c:pt>
                <c:pt idx="424">
                  <c:v>1.3173670073694528</c:v>
                </c:pt>
                <c:pt idx="425">
                  <c:v>1.1997735337343924</c:v>
                </c:pt>
                <c:pt idx="426">
                  <c:v>1.265578045451847</c:v>
                </c:pt>
                <c:pt idx="427">
                  <c:v>1.2560274378694603</c:v>
                </c:pt>
                <c:pt idx="428">
                  <c:v>1.3090510837932749</c:v>
                </c:pt>
                <c:pt idx="429">
                  <c:v>1.255358081169357</c:v>
                </c:pt>
                <c:pt idx="430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9F-45A5-9AA5-534842264DE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9F-45A5-9AA5-534842264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6-4327-9E77-CFE5A31B473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6-4327-9E77-CFE5A31B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'headed (2)'!$CQ$52:$CQ$1274</c:f>
              <c:numCache>
                <c:formatCode>General</c:formatCode>
                <c:ptCount val="1223"/>
                <c:pt idx="0">
                  <c:v>0.97772168955200822</c:v>
                </c:pt>
                <c:pt idx="1">
                  <c:v>1.0711542892578541</c:v>
                </c:pt>
                <c:pt idx="2">
                  <c:v>1.1358656375632361</c:v>
                </c:pt>
                <c:pt idx="3">
                  <c:v>1.0876335510425041</c:v>
                </c:pt>
                <c:pt idx="4">
                  <c:v>0.88170720161183924</c:v>
                </c:pt>
                <c:pt idx="5">
                  <c:v>1.0672069378723441</c:v>
                </c:pt>
                <c:pt idx="6">
                  <c:v>1.1197809722276568</c:v>
                </c:pt>
                <c:pt idx="7">
                  <c:v>1.2773071017135704</c:v>
                </c:pt>
                <c:pt idx="8">
                  <c:v>1.1734211874058873</c:v>
                </c:pt>
                <c:pt idx="9">
                  <c:v>1.2108105529790076</c:v>
                </c:pt>
                <c:pt idx="12">
                  <c:v>1.2439497251559821</c:v>
                </c:pt>
                <c:pt idx="13">
                  <c:v>1.2629060562532859</c:v>
                </c:pt>
                <c:pt idx="14">
                  <c:v>1.2588189822404476</c:v>
                </c:pt>
                <c:pt idx="15">
                  <c:v>1.245856482021686</c:v>
                </c:pt>
                <c:pt idx="16">
                  <c:v>1.1526891216084647</c:v>
                </c:pt>
                <c:pt idx="17">
                  <c:v>1.4331139899777334</c:v>
                </c:pt>
                <c:pt idx="18">
                  <c:v>1.3016046889462036</c:v>
                </c:pt>
                <c:pt idx="19">
                  <c:v>1.3236602712925347</c:v>
                </c:pt>
                <c:pt idx="20">
                  <c:v>1.2501439525632614</c:v>
                </c:pt>
                <c:pt idx="21">
                  <c:v>1.3871008429046237</c:v>
                </c:pt>
                <c:pt idx="22">
                  <c:v>1.2315999827566606</c:v>
                </c:pt>
                <c:pt idx="23">
                  <c:v>1.4619141424540527</c:v>
                </c:pt>
                <c:pt idx="24">
                  <c:v>1.3777074136323781</c:v>
                </c:pt>
                <c:pt idx="25">
                  <c:v>1.5451342388757128</c:v>
                </c:pt>
                <c:pt idx="26">
                  <c:v>1.6605239427889933</c:v>
                </c:pt>
                <c:pt idx="27">
                  <c:v>1.1015400381976519</c:v>
                </c:pt>
                <c:pt idx="28">
                  <c:v>1.1865605272060056</c:v>
                </c:pt>
                <c:pt idx="29">
                  <c:v>1.1587731438285154</c:v>
                </c:pt>
                <c:pt idx="30">
                  <c:v>1.2595360259005601</c:v>
                </c:pt>
                <c:pt idx="31">
                  <c:v>1.3198908746235813</c:v>
                </c:pt>
                <c:pt idx="32">
                  <c:v>1.4725994513297929</c:v>
                </c:pt>
                <c:pt idx="33">
                  <c:v>1.3553432889288257</c:v>
                </c:pt>
                <c:pt idx="34">
                  <c:v>1.3657953537061176</c:v>
                </c:pt>
                <c:pt idx="35">
                  <c:v>1.5462310523396727</c:v>
                </c:pt>
                <c:pt idx="36">
                  <c:v>1.5462310523396727</c:v>
                </c:pt>
                <c:pt idx="37">
                  <c:v>1.5858446483348607</c:v>
                </c:pt>
                <c:pt idx="38">
                  <c:v>1.2124437123028964</c:v>
                </c:pt>
                <c:pt idx="39">
                  <c:v>1.2055484567032204</c:v>
                </c:pt>
                <c:pt idx="40">
                  <c:v>1.1055834412003578</c:v>
                </c:pt>
                <c:pt idx="41">
                  <c:v>1.300942585699558</c:v>
                </c:pt>
                <c:pt idx="42">
                  <c:v>1.1561639069038447</c:v>
                </c:pt>
                <c:pt idx="43">
                  <c:v>1.4442027183793973</c:v>
                </c:pt>
                <c:pt idx="44">
                  <c:v>1.5772980431508556</c:v>
                </c:pt>
                <c:pt idx="45">
                  <c:v>1.2450645673170533</c:v>
                </c:pt>
                <c:pt idx="46">
                  <c:v>1.6794082019601415</c:v>
                </c:pt>
                <c:pt idx="47">
                  <c:v>0.99039775367630722</c:v>
                </c:pt>
                <c:pt idx="48">
                  <c:v>0.94669817807579748</c:v>
                </c:pt>
                <c:pt idx="49">
                  <c:v>1.3487999940488067</c:v>
                </c:pt>
                <c:pt idx="50">
                  <c:v>1.3585563667404681</c:v>
                </c:pt>
                <c:pt idx="51">
                  <c:v>1.5585926361575473</c:v>
                </c:pt>
                <c:pt idx="60">
                  <c:v>0.74963962286101182</c:v>
                </c:pt>
                <c:pt idx="61">
                  <c:v>0.75988377667231821</c:v>
                </c:pt>
                <c:pt idx="62">
                  <c:v>1.1164683616764477</c:v>
                </c:pt>
                <c:pt idx="63">
                  <c:v>0.89784065148977055</c:v>
                </c:pt>
                <c:pt idx="64">
                  <c:v>1.1499959349398579</c:v>
                </c:pt>
                <c:pt idx="66">
                  <c:v>0.91356273471495697</c:v>
                </c:pt>
                <c:pt idx="67">
                  <c:v>0.96116962804794615</c:v>
                </c:pt>
                <c:pt idx="68">
                  <c:v>0.98080807123647029</c:v>
                </c:pt>
                <c:pt idx="69">
                  <c:v>0.91362974984847978</c:v>
                </c:pt>
                <c:pt idx="70">
                  <c:v>0.88891200438416107</c:v>
                </c:pt>
                <c:pt idx="71">
                  <c:v>1.1567904160258464</c:v>
                </c:pt>
                <c:pt idx="72">
                  <c:v>1.2028473585857065</c:v>
                </c:pt>
                <c:pt idx="73">
                  <c:v>1.2649074665071125</c:v>
                </c:pt>
                <c:pt idx="74">
                  <c:v>1.2218671658492044</c:v>
                </c:pt>
                <c:pt idx="75">
                  <c:v>0.8697189751249067</c:v>
                </c:pt>
                <c:pt idx="76">
                  <c:v>0.89347049803591605</c:v>
                </c:pt>
                <c:pt idx="77">
                  <c:v>1.0888038558182622</c:v>
                </c:pt>
                <c:pt idx="78">
                  <c:v>1.2204018199828255</c:v>
                </c:pt>
                <c:pt idx="79">
                  <c:v>1.2715293577383433</c:v>
                </c:pt>
                <c:pt idx="80">
                  <c:v>0.98237511321915549</c:v>
                </c:pt>
                <c:pt idx="81">
                  <c:v>1.0994263216866613</c:v>
                </c:pt>
                <c:pt idx="82">
                  <c:v>1.0703841422803833</c:v>
                </c:pt>
                <c:pt idx="83">
                  <c:v>1.1360427524926529</c:v>
                </c:pt>
                <c:pt idx="84">
                  <c:v>1.052109744420656</c:v>
                </c:pt>
                <c:pt idx="85">
                  <c:v>1.1695813654354281</c:v>
                </c:pt>
                <c:pt idx="86">
                  <c:v>1.1235877075133753</c:v>
                </c:pt>
                <c:pt idx="87">
                  <c:v>1.1046714701548845</c:v>
                </c:pt>
                <c:pt idx="88">
                  <c:v>1.1231070404717092</c:v>
                </c:pt>
                <c:pt idx="89">
                  <c:v>1.2855692591244996</c:v>
                </c:pt>
                <c:pt idx="90">
                  <c:v>1.3945416640120281</c:v>
                </c:pt>
                <c:pt idx="91">
                  <c:v>0.98457361518909292</c:v>
                </c:pt>
                <c:pt idx="92">
                  <c:v>1.0696097344059088</c:v>
                </c:pt>
                <c:pt idx="93">
                  <c:v>0.98161770338061449</c:v>
                </c:pt>
                <c:pt idx="94">
                  <c:v>1.0495656592307139</c:v>
                </c:pt>
                <c:pt idx="95">
                  <c:v>0.98217058503586896</c:v>
                </c:pt>
                <c:pt idx="96">
                  <c:v>0.99040992596962307</c:v>
                </c:pt>
                <c:pt idx="97">
                  <c:v>0.81721497365135776</c:v>
                </c:pt>
                <c:pt idx="98">
                  <c:v>0.81303221963079941</c:v>
                </c:pt>
                <c:pt idx="99">
                  <c:v>0.69659629554846381</c:v>
                </c:pt>
                <c:pt idx="100">
                  <c:v>0.75208681135225364</c:v>
                </c:pt>
                <c:pt idx="113">
                  <c:v>0.96129394656467926</c:v>
                </c:pt>
                <c:pt idx="114">
                  <c:v>1.2785719938235214</c:v>
                </c:pt>
                <c:pt idx="115">
                  <c:v>1.3098915185197448</c:v>
                </c:pt>
                <c:pt idx="116">
                  <c:v>0.98353055359065744</c:v>
                </c:pt>
                <c:pt idx="117">
                  <c:v>1.1067090057702911</c:v>
                </c:pt>
                <c:pt idx="118">
                  <c:v>1.0925318620009352</c:v>
                </c:pt>
                <c:pt idx="119">
                  <c:v>1.1437168102008413</c:v>
                </c:pt>
                <c:pt idx="120">
                  <c:v>1.112459169884874</c:v>
                </c:pt>
                <c:pt idx="121">
                  <c:v>1.1206763468020458</c:v>
                </c:pt>
                <c:pt idx="122">
                  <c:v>1.285171889692756</c:v>
                </c:pt>
                <c:pt idx="123">
                  <c:v>1.1618846803400318</c:v>
                </c:pt>
                <c:pt idx="124">
                  <c:v>1.0461407976053076</c:v>
                </c:pt>
                <c:pt idx="125">
                  <c:v>0.84308759932066202</c:v>
                </c:pt>
                <c:pt idx="126">
                  <c:v>1.0360993957423605</c:v>
                </c:pt>
                <c:pt idx="127">
                  <c:v>1.2987627920477962</c:v>
                </c:pt>
                <c:pt idx="128">
                  <c:v>1.634175742192578</c:v>
                </c:pt>
                <c:pt idx="129">
                  <c:v>1.2828934748820127</c:v>
                </c:pt>
                <c:pt idx="130">
                  <c:v>1.0755836101514773</c:v>
                </c:pt>
                <c:pt idx="131">
                  <c:v>1.3714309698264442</c:v>
                </c:pt>
                <c:pt idx="132">
                  <c:v>1.0895526539249616</c:v>
                </c:pt>
                <c:pt idx="133">
                  <c:v>1.1605850652682879</c:v>
                </c:pt>
                <c:pt idx="134">
                  <c:v>1.4903787129361226</c:v>
                </c:pt>
                <c:pt idx="135">
                  <c:v>1.3995998347943011</c:v>
                </c:pt>
                <c:pt idx="136">
                  <c:v>1.4954653297038225</c:v>
                </c:pt>
                <c:pt idx="137">
                  <c:v>1.2421247257802632</c:v>
                </c:pt>
                <c:pt idx="138">
                  <c:v>1.1290382156017438</c:v>
                </c:pt>
                <c:pt idx="139">
                  <c:v>1.118054357765794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1.0926922449567047</c:v>
                </c:pt>
                <c:pt idx="153">
                  <c:v>1.0880556442001699</c:v>
                </c:pt>
                <c:pt idx="154">
                  <c:v>1.0122350649057119</c:v>
                </c:pt>
                <c:pt idx="155">
                  <c:v>1.0059565565775579</c:v>
                </c:pt>
                <c:pt idx="156">
                  <c:v>1.0904414032234904</c:v>
                </c:pt>
                <c:pt idx="157">
                  <c:v>1.0881822014212317</c:v>
                </c:pt>
                <c:pt idx="158">
                  <c:v>1</c:v>
                </c:pt>
                <c:pt idx="159">
                  <c:v>1</c:v>
                </c:pt>
                <c:pt idx="168">
                  <c:v>1.2380919937878554</c:v>
                </c:pt>
                <c:pt idx="169">
                  <c:v>0.98516281921633742</c:v>
                </c:pt>
                <c:pt idx="171">
                  <c:v>0.93206382246205521</c:v>
                </c:pt>
                <c:pt idx="172">
                  <c:v>1.0324950798962937</c:v>
                </c:pt>
                <c:pt idx="173">
                  <c:v>1.4559039363893846</c:v>
                </c:pt>
                <c:pt idx="175">
                  <c:v>1.2033493663218637</c:v>
                </c:pt>
                <c:pt idx="179">
                  <c:v>1.6270397075880396</c:v>
                </c:pt>
                <c:pt idx="180">
                  <c:v>1.0787425247853666</c:v>
                </c:pt>
                <c:pt idx="181">
                  <c:v>0.864466025227837</c:v>
                </c:pt>
                <c:pt idx="182">
                  <c:v>1.1163081599228812</c:v>
                </c:pt>
                <c:pt idx="183">
                  <c:v>1.3187489627900544</c:v>
                </c:pt>
                <c:pt idx="184">
                  <c:v>1.5899976895949632</c:v>
                </c:pt>
                <c:pt idx="185">
                  <c:v>1.3244193650535829</c:v>
                </c:pt>
                <c:pt idx="186">
                  <c:v>0.96172270015417394</c:v>
                </c:pt>
                <c:pt idx="187">
                  <c:v>1.7054171816068107</c:v>
                </c:pt>
                <c:pt idx="188">
                  <c:v>1.4957640290850434</c:v>
                </c:pt>
                <c:pt idx="189">
                  <c:v>1.3582301682762954</c:v>
                </c:pt>
                <c:pt idx="191">
                  <c:v>1.1369631936734077</c:v>
                </c:pt>
                <c:pt idx="192">
                  <c:v>1</c:v>
                </c:pt>
                <c:pt idx="193">
                  <c:v>1</c:v>
                </c:pt>
                <c:pt idx="194">
                  <c:v>0.97944761192161567</c:v>
                </c:pt>
                <c:pt idx="195">
                  <c:v>0.98979388951233693</c:v>
                </c:pt>
                <c:pt idx="196">
                  <c:v>0.84833333333333338</c:v>
                </c:pt>
                <c:pt idx="197">
                  <c:v>1</c:v>
                </c:pt>
                <c:pt idx="198">
                  <c:v>1.0732340453544049</c:v>
                </c:pt>
                <c:pt idx="199">
                  <c:v>1.0025154962900582</c:v>
                </c:pt>
                <c:pt idx="200">
                  <c:v>1.3316690082587483</c:v>
                </c:pt>
                <c:pt idx="201">
                  <c:v>1.097611405753202</c:v>
                </c:pt>
                <c:pt idx="202">
                  <c:v>1.1737171323264513</c:v>
                </c:pt>
                <c:pt idx="203">
                  <c:v>0.98499999999999999</c:v>
                </c:pt>
                <c:pt idx="204">
                  <c:v>1.1793748514869569</c:v>
                </c:pt>
                <c:pt idx="205">
                  <c:v>1.0114255979953197</c:v>
                </c:pt>
                <c:pt idx="206">
                  <c:v>1.4143463626576895</c:v>
                </c:pt>
                <c:pt idx="207">
                  <c:v>1.1787643163301271</c:v>
                </c:pt>
                <c:pt idx="208">
                  <c:v>0.98628051473021827</c:v>
                </c:pt>
                <c:pt idx="209">
                  <c:v>0.96916666666666662</c:v>
                </c:pt>
                <c:pt idx="210">
                  <c:v>1.1078590441518625</c:v>
                </c:pt>
                <c:pt idx="211">
                  <c:v>1.0255837865554474</c:v>
                </c:pt>
                <c:pt idx="212">
                  <c:v>1.2622199993298189</c:v>
                </c:pt>
                <c:pt idx="213">
                  <c:v>1.0612133921380551</c:v>
                </c:pt>
                <c:pt idx="214">
                  <c:v>0.89800579941581282</c:v>
                </c:pt>
                <c:pt idx="215">
                  <c:v>0.88210240843168164</c:v>
                </c:pt>
                <c:pt idx="216">
                  <c:v>1.0355623876435345</c:v>
                </c:pt>
                <c:pt idx="217">
                  <c:v>0.97531366488201143</c:v>
                </c:pt>
                <c:pt idx="218">
                  <c:v>1.2275313013278444</c:v>
                </c:pt>
                <c:pt idx="219">
                  <c:v>1.0909962422431996</c:v>
                </c:pt>
                <c:pt idx="220">
                  <c:v>0.98097068748379734</c:v>
                </c:pt>
                <c:pt idx="221">
                  <c:v>1.0184221931806774</c:v>
                </c:pt>
                <c:pt idx="222">
                  <c:v>1.2076437156812905</c:v>
                </c:pt>
                <c:pt idx="223">
                  <c:v>1.026278911927931</c:v>
                </c:pt>
                <c:pt idx="224">
                  <c:v>0.95166687424883689</c:v>
                </c:pt>
                <c:pt idx="225">
                  <c:v>0.94979047422646845</c:v>
                </c:pt>
                <c:pt idx="226">
                  <c:v>1.0555684263285166</c:v>
                </c:pt>
                <c:pt idx="227">
                  <c:v>0.75449639049580097</c:v>
                </c:pt>
                <c:pt idx="228">
                  <c:v>0.85631332847185648</c:v>
                </c:pt>
                <c:pt idx="229">
                  <c:v>0.73864862864762737</c:v>
                </c:pt>
                <c:pt idx="230">
                  <c:v>1.0122595831277816</c:v>
                </c:pt>
                <c:pt idx="231">
                  <c:v>0.75738494469674067</c:v>
                </c:pt>
                <c:pt idx="232">
                  <c:v>0.98660780016235983</c:v>
                </c:pt>
                <c:pt idx="233">
                  <c:v>0.7688185795271586</c:v>
                </c:pt>
                <c:pt idx="234">
                  <c:v>0.93949066396852476</c:v>
                </c:pt>
                <c:pt idx="235">
                  <c:v>1.051317145691999</c:v>
                </c:pt>
                <c:pt idx="236">
                  <c:v>1.0428358329621183</c:v>
                </c:pt>
                <c:pt idx="237">
                  <c:v>0.90762534595970545</c:v>
                </c:pt>
                <c:pt idx="238">
                  <c:v>0.96668345094347008</c:v>
                </c:pt>
                <c:pt idx="239">
                  <c:v>0.92467198904083814</c:v>
                </c:pt>
                <c:pt idx="240">
                  <c:v>1.0457977173215069</c:v>
                </c:pt>
                <c:pt idx="241">
                  <c:v>0.98277763354811387</c:v>
                </c:pt>
                <c:pt idx="242">
                  <c:v>0.96655501262970034</c:v>
                </c:pt>
                <c:pt idx="243">
                  <c:v>0.94029242605845686</c:v>
                </c:pt>
                <c:pt idx="244">
                  <c:v>1.0210557999824699</c:v>
                </c:pt>
                <c:pt idx="245">
                  <c:v>1.0263095681968797</c:v>
                </c:pt>
                <c:pt idx="246">
                  <c:v>0.99617785069192466</c:v>
                </c:pt>
                <c:pt idx="247">
                  <c:v>1.1112596892664182</c:v>
                </c:pt>
                <c:pt idx="248">
                  <c:v>1.1281282791225913</c:v>
                </c:pt>
                <c:pt idx="249">
                  <c:v>1.3411331667214759</c:v>
                </c:pt>
                <c:pt idx="250">
                  <c:v>1.4014181325909159</c:v>
                </c:pt>
                <c:pt idx="251">
                  <c:v>1.1403447227271795</c:v>
                </c:pt>
                <c:pt idx="252">
                  <c:v>1.1667495807153807</c:v>
                </c:pt>
                <c:pt idx="253">
                  <c:v>1.3055599870590859</c:v>
                </c:pt>
                <c:pt idx="254">
                  <c:v>1.4151480032461179</c:v>
                </c:pt>
                <c:pt idx="255">
                  <c:v>1.0695354015578697</c:v>
                </c:pt>
                <c:pt idx="256">
                  <c:v>1.1086028706787405</c:v>
                </c:pt>
                <c:pt idx="257">
                  <c:v>1.2682678827222702</c:v>
                </c:pt>
                <c:pt idx="258">
                  <c:v>1.4782200012625968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0.64304013454181963</c:v>
                </c:pt>
                <c:pt idx="263">
                  <c:v>0.76838286120630295</c:v>
                </c:pt>
                <c:pt idx="264">
                  <c:v>0.89552419733717004</c:v>
                </c:pt>
                <c:pt idx="265">
                  <c:v>0.7840718743477787</c:v>
                </c:pt>
                <c:pt idx="266">
                  <c:v>0.98409766607899973</c:v>
                </c:pt>
                <c:pt idx="267">
                  <c:v>1.1028377286200142</c:v>
                </c:pt>
                <c:pt idx="268">
                  <c:v>0.81958454427477145</c:v>
                </c:pt>
                <c:pt idx="269">
                  <c:v>0.86504992090891586</c:v>
                </c:pt>
                <c:pt idx="270">
                  <c:v>0.77187994815402661</c:v>
                </c:pt>
                <c:pt idx="271">
                  <c:v>0.96079814882500592</c:v>
                </c:pt>
                <c:pt idx="272">
                  <c:v>0.72179535196685451</c:v>
                </c:pt>
                <c:pt idx="273">
                  <c:v>0.90958443196571492</c:v>
                </c:pt>
                <c:pt idx="274">
                  <c:v>0.94633885858091515</c:v>
                </c:pt>
                <c:pt idx="275">
                  <c:v>0.88772695202762453</c:v>
                </c:pt>
                <c:pt idx="276">
                  <c:v>1.040321922403797</c:v>
                </c:pt>
                <c:pt idx="277">
                  <c:v>1.0201564955106805</c:v>
                </c:pt>
                <c:pt idx="278">
                  <c:v>1.1408969245623375</c:v>
                </c:pt>
                <c:pt idx="279">
                  <c:v>1.0927712921092712</c:v>
                </c:pt>
                <c:pt idx="280">
                  <c:v>1.2733735889849789</c:v>
                </c:pt>
                <c:pt idx="281">
                  <c:v>1.0374944577148659</c:v>
                </c:pt>
                <c:pt idx="282">
                  <c:v>1.0877385129806194</c:v>
                </c:pt>
                <c:pt idx="283">
                  <c:v>0.77596899224806193</c:v>
                </c:pt>
                <c:pt idx="284">
                  <c:v>0.76884181445606981</c:v>
                </c:pt>
                <c:pt idx="285">
                  <c:v>1</c:v>
                </c:pt>
                <c:pt idx="286">
                  <c:v>1.0970371571867716</c:v>
                </c:pt>
                <c:pt idx="287">
                  <c:v>0.93271114834467483</c:v>
                </c:pt>
                <c:pt idx="288">
                  <c:v>0.98191767642597505</c:v>
                </c:pt>
                <c:pt idx="289">
                  <c:v>0.92990729725452292</c:v>
                </c:pt>
                <c:pt idx="290">
                  <c:v>1.2334336233137346</c:v>
                </c:pt>
                <c:pt idx="291">
                  <c:v>0.73708254508719195</c:v>
                </c:pt>
                <c:pt idx="292">
                  <c:v>0.76475423221277683</c:v>
                </c:pt>
                <c:pt idx="293">
                  <c:v>0.80505769112623204</c:v>
                </c:pt>
                <c:pt idx="294">
                  <c:v>1.1698808414795534</c:v>
                </c:pt>
                <c:pt idx="295">
                  <c:v>0.81066942187607538</c:v>
                </c:pt>
                <c:pt idx="296">
                  <c:v>0.89753775945612424</c:v>
                </c:pt>
                <c:pt idx="297">
                  <c:v>0.89515643202731698</c:v>
                </c:pt>
                <c:pt idx="298">
                  <c:v>0.95550025830198404</c:v>
                </c:pt>
                <c:pt idx="299">
                  <c:v>1.0643352713979048</c:v>
                </c:pt>
                <c:pt idx="300">
                  <c:v>0.9161935541106252</c:v>
                </c:pt>
                <c:pt idx="301">
                  <c:v>1.0276805768179793</c:v>
                </c:pt>
                <c:pt idx="302">
                  <c:v>0.79497862339968595</c:v>
                </c:pt>
                <c:pt idx="303">
                  <c:v>1.0750809484919404</c:v>
                </c:pt>
                <c:pt idx="304">
                  <c:v>0.62319362436667958</c:v>
                </c:pt>
                <c:pt idx="305">
                  <c:v>0.96051437093285852</c:v>
                </c:pt>
                <c:pt idx="306">
                  <c:v>0.87917179348650509</c:v>
                </c:pt>
                <c:pt idx="307">
                  <c:v>1.2347092535127056</c:v>
                </c:pt>
                <c:pt idx="308">
                  <c:v>0.60184794055467938</c:v>
                </c:pt>
                <c:pt idx="309">
                  <c:v>1.0219610040497915</c:v>
                </c:pt>
                <c:pt idx="310">
                  <c:v>0.7330357782373077</c:v>
                </c:pt>
                <c:pt idx="311">
                  <c:v>1.1198131819366681</c:v>
                </c:pt>
                <c:pt idx="312">
                  <c:v>0.66486057633594775</c:v>
                </c:pt>
                <c:pt idx="313">
                  <c:v>1.0063627542062954</c:v>
                </c:pt>
                <c:pt idx="314">
                  <c:v>0.65201390875330911</c:v>
                </c:pt>
                <c:pt idx="315">
                  <c:v>0.96063482258325084</c:v>
                </c:pt>
                <c:pt idx="316">
                  <c:v>0.72042570438964904</c:v>
                </c:pt>
                <c:pt idx="317">
                  <c:v>1.1550340401026544</c:v>
                </c:pt>
                <c:pt idx="318">
                  <c:v>0.65535916327208799</c:v>
                </c:pt>
                <c:pt idx="319">
                  <c:v>1.1105084560718819</c:v>
                </c:pt>
                <c:pt idx="320">
                  <c:v>0.79874270242833545</c:v>
                </c:pt>
                <c:pt idx="321">
                  <c:v>1.023547164422965</c:v>
                </c:pt>
                <c:pt idx="322">
                  <c:v>0.85551395808440578</c:v>
                </c:pt>
                <c:pt idx="323">
                  <c:v>0.98139244277365356</c:v>
                </c:pt>
                <c:pt idx="324">
                  <c:v>0.70984876435598188</c:v>
                </c:pt>
                <c:pt idx="325">
                  <c:v>1.0481130483497585</c:v>
                </c:pt>
                <c:pt idx="326">
                  <c:v>0.90063459723224326</c:v>
                </c:pt>
                <c:pt idx="327">
                  <c:v>1.2858428339267387</c:v>
                </c:pt>
                <c:pt idx="328">
                  <c:v>0.89396556017501727</c:v>
                </c:pt>
                <c:pt idx="329">
                  <c:v>0.98338913792026705</c:v>
                </c:pt>
                <c:pt idx="330">
                  <c:v>1.036322161226584</c:v>
                </c:pt>
                <c:pt idx="331">
                  <c:v>1.3610574349331113</c:v>
                </c:pt>
                <c:pt idx="332">
                  <c:v>1.1811110675219012</c:v>
                </c:pt>
                <c:pt idx="333">
                  <c:v>0.65825114412661645</c:v>
                </c:pt>
                <c:pt idx="334">
                  <c:v>0.77378912538861899</c:v>
                </c:pt>
                <c:pt idx="335">
                  <c:v>0.75899280575539563</c:v>
                </c:pt>
                <c:pt idx="336">
                  <c:v>0.8904869210020433</c:v>
                </c:pt>
                <c:pt idx="337">
                  <c:v>0.90287769784172656</c:v>
                </c:pt>
                <c:pt idx="338">
                  <c:v>0.98498574494393953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0.81191613543819985</c:v>
                </c:pt>
                <c:pt idx="342">
                  <c:v>0.9430316920738141</c:v>
                </c:pt>
                <c:pt idx="343">
                  <c:v>1.0458763223941501</c:v>
                </c:pt>
                <c:pt idx="344">
                  <c:v>0.93075915185163327</c:v>
                </c:pt>
                <c:pt idx="345">
                  <c:v>1.0597976267559761</c:v>
                </c:pt>
                <c:pt idx="346">
                  <c:v>1.4770163586145215</c:v>
                </c:pt>
                <c:pt idx="347">
                  <c:v>0.9223210736286156</c:v>
                </c:pt>
                <c:pt idx="348">
                  <c:v>1.0760378613885915</c:v>
                </c:pt>
                <c:pt idx="349">
                  <c:v>1.0622002196076112</c:v>
                </c:pt>
                <c:pt idx="350">
                  <c:v>0.68598892644176579</c:v>
                </c:pt>
                <c:pt idx="351">
                  <c:v>0.83117670323868909</c:v>
                </c:pt>
                <c:pt idx="352">
                  <c:v>0.90798285629871378</c:v>
                </c:pt>
                <c:pt idx="353">
                  <c:v>0.80065106847835565</c:v>
                </c:pt>
                <c:pt idx="354">
                  <c:v>0.91366453911512724</c:v>
                </c:pt>
                <c:pt idx="355">
                  <c:v>0.63658061415316614</c:v>
                </c:pt>
                <c:pt idx="356">
                  <c:v>0.67872485494033818</c:v>
                </c:pt>
                <c:pt idx="357">
                  <c:v>0.83340478977310528</c:v>
                </c:pt>
                <c:pt idx="358">
                  <c:v>0.61800778838527559</c:v>
                </c:pt>
                <c:pt idx="359">
                  <c:v>0.70367808719437008</c:v>
                </c:pt>
                <c:pt idx="360">
                  <c:v>0.9393306132040562</c:v>
                </c:pt>
                <c:pt idx="361">
                  <c:v>0.65027889870200761</c:v>
                </c:pt>
                <c:pt idx="362">
                  <c:v>0.95884996399514588</c:v>
                </c:pt>
                <c:pt idx="363">
                  <c:v>1.0237310466798923</c:v>
                </c:pt>
                <c:pt idx="364">
                  <c:v>0.58197921135499686</c:v>
                </c:pt>
                <c:pt idx="365">
                  <c:v>0.64761509962742803</c:v>
                </c:pt>
                <c:pt idx="366">
                  <c:v>0.80079303363680798</c:v>
                </c:pt>
                <c:pt idx="367">
                  <c:v>0.47564989032534455</c:v>
                </c:pt>
                <c:pt idx="368">
                  <c:v>0.66704150177213273</c:v>
                </c:pt>
                <c:pt idx="369">
                  <c:v>0.70702684009784134</c:v>
                </c:pt>
                <c:pt idx="370">
                  <c:v>1.0814969925658282</c:v>
                </c:pt>
                <c:pt idx="371">
                  <c:v>0.99576500752813224</c:v>
                </c:pt>
                <c:pt idx="372">
                  <c:v>0.99413885294838056</c:v>
                </c:pt>
                <c:pt idx="373">
                  <c:v>1.1394424782402843</c:v>
                </c:pt>
                <c:pt idx="374">
                  <c:v>0.67339603919552049</c:v>
                </c:pt>
                <c:pt idx="375">
                  <c:v>0.8706995887826271</c:v>
                </c:pt>
                <c:pt idx="376">
                  <c:v>1.0281950348313329</c:v>
                </c:pt>
                <c:pt idx="377">
                  <c:v>1.1970277979743196</c:v>
                </c:pt>
                <c:pt idx="378">
                  <c:v>0.75774169091366828</c:v>
                </c:pt>
                <c:pt idx="379">
                  <c:v>1.0238289667935871</c:v>
                </c:pt>
                <c:pt idx="380">
                  <c:v>0.73182258163771818</c:v>
                </c:pt>
                <c:pt idx="381">
                  <c:v>0.85256630700679548</c:v>
                </c:pt>
                <c:pt idx="382">
                  <c:v>0.99737956201403044</c:v>
                </c:pt>
                <c:pt idx="383">
                  <c:v>1.0728433505360115</c:v>
                </c:pt>
                <c:pt idx="384">
                  <c:v>1.2159686517391213</c:v>
                </c:pt>
                <c:pt idx="385">
                  <c:v>1.2091576243153148</c:v>
                </c:pt>
                <c:pt idx="386">
                  <c:v>0.79048475314469613</c:v>
                </c:pt>
                <c:pt idx="387">
                  <c:v>0.83691102883897983</c:v>
                </c:pt>
                <c:pt idx="388">
                  <c:v>1.006304469333855</c:v>
                </c:pt>
                <c:pt idx="389">
                  <c:v>1.189548271882735</c:v>
                </c:pt>
                <c:pt idx="390">
                  <c:v>1.1596127136690846</c:v>
                </c:pt>
                <c:pt idx="391">
                  <c:v>1.2217011324137843</c:v>
                </c:pt>
                <c:pt idx="392">
                  <c:v>1.3325481105008794</c:v>
                </c:pt>
                <c:pt idx="393">
                  <c:v>1.3127262358757383</c:v>
                </c:pt>
                <c:pt idx="394">
                  <c:v>1.1515856076091984</c:v>
                </c:pt>
                <c:pt idx="395">
                  <c:v>1.1740740153975369</c:v>
                </c:pt>
                <c:pt idx="396">
                  <c:v>1.2956263023911716</c:v>
                </c:pt>
                <c:pt idx="3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B1-4153-8FA5-30ECA848ABD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B1-4153-8FA5-30ECA848A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(2)'!$CQ$19:$CQ$533</c:f>
              <c:numCache>
                <c:formatCode>General</c:formatCode>
                <c:ptCount val="51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2-45CF-A5DD-36ECCBDFA3D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82-45CF-A5DD-36ECCBDF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D-4F08-A2C0-267AF3D990D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4D-4F08-A2C0-267AF3D99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(2)'!$CS$104:$CS$152</c:f>
              <c:numCache>
                <c:formatCode>General</c:formatCode>
                <c:ptCount val="49"/>
                <c:pt idx="8">
                  <c:v>1.0626551710850494</c:v>
                </c:pt>
                <c:pt idx="9">
                  <c:v>1.0839082745067503</c:v>
                </c:pt>
                <c:pt idx="10">
                  <c:v>1.0697592602127863</c:v>
                </c:pt>
                <c:pt idx="11">
                  <c:v>0.846776273098786</c:v>
                </c:pt>
                <c:pt idx="12">
                  <c:v>0.94242710418345987</c:v>
                </c:pt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19">
                  <c:v>0.87260289867724583</c:v>
                </c:pt>
                <c:pt idx="20">
                  <c:v>0.76982034570805091</c:v>
                </c:pt>
                <c:pt idx="21">
                  <c:v>0.72828780389600911</c:v>
                </c:pt>
                <c:pt idx="22">
                  <c:v>0.64700664238800421</c:v>
                </c:pt>
                <c:pt idx="23">
                  <c:v>0.87837130726225165</c:v>
                </c:pt>
                <c:pt idx="24">
                  <c:v>0.74530460922177599</c:v>
                </c:pt>
                <c:pt idx="25">
                  <c:v>0.82546206924273469</c:v>
                </c:pt>
                <c:pt idx="26">
                  <c:v>0.74765212009280479</c:v>
                </c:pt>
                <c:pt idx="27">
                  <c:v>0.67796146998460671</c:v>
                </c:pt>
                <c:pt idx="28">
                  <c:v>0.64442853496754349</c:v>
                </c:pt>
                <c:pt idx="29">
                  <c:v>0.64521924482639936</c:v>
                </c:pt>
                <c:pt idx="30">
                  <c:v>0.58907047894788955</c:v>
                </c:pt>
                <c:pt idx="31">
                  <c:v>0.56550765978997408</c:v>
                </c:pt>
                <c:pt idx="32">
                  <c:v>0.86909765137264661</c:v>
                </c:pt>
                <c:pt idx="33">
                  <c:v>0.81619605520213756</c:v>
                </c:pt>
                <c:pt idx="34">
                  <c:v>0.70132401780331832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1.2369414191987771</c:v>
                </c:pt>
                <c:pt idx="44">
                  <c:v>1.2848498400414692</c:v>
                </c:pt>
                <c:pt idx="45">
                  <c:v>1.0824086965667323</c:v>
                </c:pt>
                <c:pt idx="46">
                  <c:v>1.1566380294527625</c:v>
                </c:pt>
                <c:pt idx="47">
                  <c:v>1.0147969426278216</c:v>
                </c:pt>
                <c:pt idx="48">
                  <c:v>1.0359485906892771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59-44C4-8409-E52138AFDF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59-44C4-8409-E52138AFD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(2)'!$CO$165:$CO$574</c:f>
              <c:numCache>
                <c:formatCode>General</c:formatCode>
                <c:ptCount val="410"/>
                <c:pt idx="0">
                  <c:v>0.88534408249407859</c:v>
                </c:pt>
                <c:pt idx="1">
                  <c:v>0.98476546344529348</c:v>
                </c:pt>
                <c:pt idx="2">
                  <c:v>1.1895298986663618</c:v>
                </c:pt>
                <c:pt idx="3">
                  <c:v>1.00807985266901</c:v>
                </c:pt>
                <c:pt idx="4">
                  <c:v>0.94893254593398446</c:v>
                </c:pt>
                <c:pt idx="5">
                  <c:v>1.0958701302456109</c:v>
                </c:pt>
                <c:pt idx="6">
                  <c:v>1.0172127143791025</c:v>
                </c:pt>
                <c:pt idx="7">
                  <c:v>0.94066025167937894</c:v>
                </c:pt>
                <c:pt idx="8">
                  <c:v>0.76127438140166614</c:v>
                </c:pt>
                <c:pt idx="9">
                  <c:v>0.9624039053840493</c:v>
                </c:pt>
                <c:pt idx="10">
                  <c:v>1.0835992283701597</c:v>
                </c:pt>
                <c:pt idx="11">
                  <c:v>0.91992270156739442</c:v>
                </c:pt>
                <c:pt idx="12">
                  <c:v>0.60055816701751907</c:v>
                </c:pt>
                <c:pt idx="13">
                  <c:v>0.8064397361857164</c:v>
                </c:pt>
                <c:pt idx="14">
                  <c:v>0.913470930321853</c:v>
                </c:pt>
                <c:pt idx="15">
                  <c:v>0.96504995295689378</c:v>
                </c:pt>
                <c:pt idx="16">
                  <c:v>0.88656349656218902</c:v>
                </c:pt>
                <c:pt idx="17">
                  <c:v>0.85316543926317967</c:v>
                </c:pt>
                <c:pt idx="18">
                  <c:v>0.91412308338752946</c:v>
                </c:pt>
                <c:pt idx="19">
                  <c:v>0.8457569800117225</c:v>
                </c:pt>
                <c:pt idx="20">
                  <c:v>0.99974195472107696</c:v>
                </c:pt>
                <c:pt idx="21">
                  <c:v>1.1105974873373516</c:v>
                </c:pt>
                <c:pt idx="22">
                  <c:v>0.95321963141319743</c:v>
                </c:pt>
                <c:pt idx="23">
                  <c:v>1.114387922447718</c:v>
                </c:pt>
                <c:pt idx="24">
                  <c:v>1.0020192712466374</c:v>
                </c:pt>
                <c:pt idx="25">
                  <c:v>1.0113172906851617</c:v>
                </c:pt>
                <c:pt idx="26">
                  <c:v>0.93279147752607849</c:v>
                </c:pt>
                <c:pt idx="27">
                  <c:v>1.343745872820697</c:v>
                </c:pt>
                <c:pt idx="28">
                  <c:v>1.3263049234389535</c:v>
                </c:pt>
                <c:pt idx="29">
                  <c:v>1.0860954842267581</c:v>
                </c:pt>
                <c:pt idx="30">
                  <c:v>1.1487243479157463</c:v>
                </c:pt>
                <c:pt idx="31">
                  <c:v>1.3996547964651125</c:v>
                </c:pt>
                <c:pt idx="32">
                  <c:v>1.459192351240121</c:v>
                </c:pt>
                <c:pt idx="33">
                  <c:v>1.346268295107405</c:v>
                </c:pt>
                <c:pt idx="34">
                  <c:v>1.3221283118847895</c:v>
                </c:pt>
                <c:pt idx="35">
                  <c:v>1.0758540599694522</c:v>
                </c:pt>
                <c:pt idx="36">
                  <c:v>1.0728697213842386</c:v>
                </c:pt>
                <c:pt idx="37">
                  <c:v>1.334372389913568</c:v>
                </c:pt>
                <c:pt idx="38">
                  <c:v>1.3371142509887328</c:v>
                </c:pt>
                <c:pt idx="39">
                  <c:v>1.476949165822141</c:v>
                </c:pt>
                <c:pt idx="40">
                  <c:v>1.4706820547931927</c:v>
                </c:pt>
                <c:pt idx="41">
                  <c:v>1.3471967560005826</c:v>
                </c:pt>
                <c:pt idx="42">
                  <c:v>1.3388406079619848</c:v>
                </c:pt>
                <c:pt idx="43">
                  <c:v>1.0803305678472723</c:v>
                </c:pt>
                <c:pt idx="44">
                  <c:v>1.0780923139083622</c:v>
                </c:pt>
                <c:pt idx="45">
                  <c:v>1.307867732853641</c:v>
                </c:pt>
                <c:pt idx="46">
                  <c:v>1.3215770382294654</c:v>
                </c:pt>
                <c:pt idx="55">
                  <c:v>0.83984320870467188</c:v>
                </c:pt>
                <c:pt idx="56">
                  <c:v>0.66940443987931186</c:v>
                </c:pt>
                <c:pt idx="58">
                  <c:v>0.96186866879752408</c:v>
                </c:pt>
                <c:pt idx="59">
                  <c:v>0.90949475269668878</c:v>
                </c:pt>
                <c:pt idx="60">
                  <c:v>0.84492033037199443</c:v>
                </c:pt>
                <c:pt idx="62">
                  <c:v>0.87763375463944127</c:v>
                </c:pt>
                <c:pt idx="66">
                  <c:v>0.96033014178643861</c:v>
                </c:pt>
                <c:pt idx="67">
                  <c:v>0.88138653561678071</c:v>
                </c:pt>
                <c:pt idx="68">
                  <c:v>0.73987952301775617</c:v>
                </c:pt>
                <c:pt idx="69">
                  <c:v>0.76452366947646233</c:v>
                </c:pt>
                <c:pt idx="70">
                  <c:v>0.90428537265476261</c:v>
                </c:pt>
                <c:pt idx="71">
                  <c:v>0.92854346416666433</c:v>
                </c:pt>
                <c:pt idx="72">
                  <c:v>1.0350535220775872</c:v>
                </c:pt>
                <c:pt idx="73">
                  <c:v>0.58198738963793162</c:v>
                </c:pt>
                <c:pt idx="74">
                  <c:v>1.0777057029606696</c:v>
                </c:pt>
                <c:pt idx="75">
                  <c:v>0.96798239324432744</c:v>
                </c:pt>
                <c:pt idx="76">
                  <c:v>1.223615596955703</c:v>
                </c:pt>
                <c:pt idx="78">
                  <c:v>0.91159169350602032</c:v>
                </c:pt>
                <c:pt idx="79">
                  <c:v>1.0829854421475513</c:v>
                </c:pt>
                <c:pt idx="80">
                  <c:v>1.127798632857105</c:v>
                </c:pt>
                <c:pt idx="81">
                  <c:v>1.0605788467927744</c:v>
                </c:pt>
                <c:pt idx="82">
                  <c:v>1.0717821444701627</c:v>
                </c:pt>
                <c:pt idx="83">
                  <c:v>1.0564220201122723</c:v>
                </c:pt>
                <c:pt idx="84">
                  <c:v>1.2384810622137228</c:v>
                </c:pt>
                <c:pt idx="85">
                  <c:v>1.2831551863086319</c:v>
                </c:pt>
                <c:pt idx="86">
                  <c:v>1.3880254124322593</c:v>
                </c:pt>
                <c:pt idx="87">
                  <c:v>1.5938804335037966</c:v>
                </c:pt>
                <c:pt idx="88">
                  <c:v>1.5345408049582523</c:v>
                </c:pt>
                <c:pt idx="89">
                  <c:v>1.4359155871172888</c:v>
                </c:pt>
                <c:pt idx="90">
                  <c:v>1.2194946641051669</c:v>
                </c:pt>
                <c:pt idx="91">
                  <c:v>1.317149532036703</c:v>
                </c:pt>
                <c:pt idx="92">
                  <c:v>1.2346358259905077</c:v>
                </c:pt>
                <c:pt idx="93">
                  <c:v>1.5339299197210992</c:v>
                </c:pt>
                <c:pt idx="94">
                  <c:v>1.5068032599175301</c:v>
                </c:pt>
                <c:pt idx="95">
                  <c:v>1.2029201868693087</c:v>
                </c:pt>
                <c:pt idx="96">
                  <c:v>1.1802672611961667</c:v>
                </c:pt>
                <c:pt idx="97">
                  <c:v>1.162421606270974</c:v>
                </c:pt>
                <c:pt idx="98">
                  <c:v>1.2306592685757356</c:v>
                </c:pt>
                <c:pt idx="99">
                  <c:v>1.36903463434048</c:v>
                </c:pt>
                <c:pt idx="100">
                  <c:v>1.3187310543950901</c:v>
                </c:pt>
                <c:pt idx="101">
                  <c:v>1.0522667203632556</c:v>
                </c:pt>
                <c:pt idx="102">
                  <c:v>0.93815471277091533</c:v>
                </c:pt>
                <c:pt idx="103">
                  <c:v>0.74532206536108792</c:v>
                </c:pt>
                <c:pt idx="104">
                  <c:v>0.63101344107675594</c:v>
                </c:pt>
                <c:pt idx="105">
                  <c:v>0.79280396895483174</c:v>
                </c:pt>
                <c:pt idx="106">
                  <c:v>0.71854812201195861</c:v>
                </c:pt>
                <c:pt idx="107">
                  <c:v>0.78120180007439466</c:v>
                </c:pt>
                <c:pt idx="108">
                  <c:v>0.72735175301753507</c:v>
                </c:pt>
                <c:pt idx="109">
                  <c:v>0.89437660671396491</c:v>
                </c:pt>
                <c:pt idx="110">
                  <c:v>0.90132392311400156</c:v>
                </c:pt>
                <c:pt idx="111">
                  <c:v>0.76007708503607152</c:v>
                </c:pt>
                <c:pt idx="112">
                  <c:v>0.72849406166503683</c:v>
                </c:pt>
                <c:pt idx="113">
                  <c:v>0.84166253600077767</c:v>
                </c:pt>
                <c:pt idx="114">
                  <c:v>0.85705077547664621</c:v>
                </c:pt>
                <c:pt idx="115">
                  <c:v>0.9393747924293061</c:v>
                </c:pt>
                <c:pt idx="116">
                  <c:v>0.51887396146108922</c:v>
                </c:pt>
                <c:pt idx="117">
                  <c:v>0.68498893387023563</c:v>
                </c:pt>
                <c:pt idx="118">
                  <c:v>0.58489828600310911</c:v>
                </c:pt>
                <c:pt idx="119">
                  <c:v>0.72611787808674999</c:v>
                </c:pt>
                <c:pt idx="120">
                  <c:v>0.65802619294675391</c:v>
                </c:pt>
                <c:pt idx="121">
                  <c:v>0.77575340422431527</c:v>
                </c:pt>
                <c:pt idx="122">
                  <c:v>1.2322823459064642</c:v>
                </c:pt>
                <c:pt idx="123">
                  <c:v>1.277411567533927</c:v>
                </c:pt>
                <c:pt idx="124">
                  <c:v>1.0896845617861677</c:v>
                </c:pt>
                <c:pt idx="125">
                  <c:v>1.2105023884032184</c:v>
                </c:pt>
                <c:pt idx="126">
                  <c:v>1.0203025240427521</c:v>
                </c:pt>
                <c:pt idx="127">
                  <c:v>1.1868583452849486</c:v>
                </c:pt>
                <c:pt idx="128">
                  <c:v>1.0799763404341667</c:v>
                </c:pt>
                <c:pt idx="129">
                  <c:v>1.0995962911600672</c:v>
                </c:pt>
                <c:pt idx="130">
                  <c:v>1.0300511509764076</c:v>
                </c:pt>
                <c:pt idx="131">
                  <c:v>1.2265309375291311</c:v>
                </c:pt>
                <c:pt idx="132">
                  <c:v>1.1559069266391626</c:v>
                </c:pt>
                <c:pt idx="133">
                  <c:v>1.1836647429125442</c:v>
                </c:pt>
                <c:pt idx="134">
                  <c:v>1.3465046140644013</c:v>
                </c:pt>
                <c:pt idx="135">
                  <c:v>1.3682820765439294</c:v>
                </c:pt>
                <c:pt idx="136">
                  <c:v>1.5751753462483433</c:v>
                </c:pt>
                <c:pt idx="137">
                  <c:v>1.6397503433727931</c:v>
                </c:pt>
                <c:pt idx="138">
                  <c:v>1.1051503511747058</c:v>
                </c:pt>
                <c:pt idx="139">
                  <c:v>1.1349688403690872</c:v>
                </c:pt>
                <c:pt idx="140">
                  <c:v>1.2344253536743985</c:v>
                </c:pt>
                <c:pt idx="141">
                  <c:v>1.3364980881517277</c:v>
                </c:pt>
                <c:pt idx="142">
                  <c:v>0.85476926926907693</c:v>
                </c:pt>
                <c:pt idx="143">
                  <c:v>0.87687303494811975</c:v>
                </c:pt>
                <c:pt idx="144">
                  <c:v>0.98202522476536125</c:v>
                </c:pt>
                <c:pt idx="145">
                  <c:v>1.1384629532737178</c:v>
                </c:pt>
                <c:pt idx="146">
                  <c:v>0.85947111258748954</c:v>
                </c:pt>
                <c:pt idx="147">
                  <c:v>0.82077752133214454</c:v>
                </c:pt>
                <c:pt idx="148">
                  <c:v>0.89074846193263224</c:v>
                </c:pt>
                <c:pt idx="149">
                  <c:v>0.63823159385634853</c:v>
                </c:pt>
                <c:pt idx="150">
                  <c:v>0.72537968297729583</c:v>
                </c:pt>
                <c:pt idx="151">
                  <c:v>0.8608381695530406</c:v>
                </c:pt>
                <c:pt idx="152">
                  <c:v>0.75324722752883644</c:v>
                </c:pt>
                <c:pt idx="153">
                  <c:v>0.89432702193294766</c:v>
                </c:pt>
                <c:pt idx="154">
                  <c:v>0.96859506161635667</c:v>
                </c:pt>
                <c:pt idx="155">
                  <c:v>0.90138018464758518</c:v>
                </c:pt>
                <c:pt idx="156">
                  <c:v>0.8799612495668504</c:v>
                </c:pt>
                <c:pt idx="157">
                  <c:v>0.56097986424367119</c:v>
                </c:pt>
                <c:pt idx="158">
                  <c:v>0.65029501043448246</c:v>
                </c:pt>
                <c:pt idx="159">
                  <c:v>0.58300548044000222</c:v>
                </c:pt>
                <c:pt idx="160">
                  <c:v>0.67482991273653969</c:v>
                </c:pt>
                <c:pt idx="161">
                  <c:v>0.89023117394172224</c:v>
                </c:pt>
                <c:pt idx="162">
                  <c:v>0.79963293487855847</c:v>
                </c:pt>
                <c:pt idx="163">
                  <c:v>1.23092698317647</c:v>
                </c:pt>
                <c:pt idx="164">
                  <c:v>0.83559856691156109</c:v>
                </c:pt>
                <c:pt idx="165">
                  <c:v>0.85920996290500906</c:v>
                </c:pt>
                <c:pt idx="166">
                  <c:v>0.96939099825013697</c:v>
                </c:pt>
                <c:pt idx="167">
                  <c:v>1.0239011603223291</c:v>
                </c:pt>
                <c:pt idx="168">
                  <c:v>1.070038706952406</c:v>
                </c:pt>
                <c:pt idx="169">
                  <c:v>1.0695643990149271</c:v>
                </c:pt>
                <c:pt idx="170">
                  <c:v>0.83116481100661199</c:v>
                </c:pt>
                <c:pt idx="171">
                  <c:v>0.81037608951469353</c:v>
                </c:pt>
                <c:pt idx="172">
                  <c:v>1.0821892471927714</c:v>
                </c:pt>
                <c:pt idx="173">
                  <c:v>1.1638954318825405</c:v>
                </c:pt>
                <c:pt idx="174">
                  <c:v>0.78644289346564267</c:v>
                </c:pt>
                <c:pt idx="175">
                  <c:v>0.80888078104723415</c:v>
                </c:pt>
                <c:pt idx="176">
                  <c:v>0.84206870494089237</c:v>
                </c:pt>
                <c:pt idx="177">
                  <c:v>1.0551953276997568</c:v>
                </c:pt>
                <c:pt idx="178">
                  <c:v>0.52517845184720147</c:v>
                </c:pt>
                <c:pt idx="179">
                  <c:v>0.52030326339174249</c:v>
                </c:pt>
                <c:pt idx="180">
                  <c:v>0.61183706342117261</c:v>
                </c:pt>
                <c:pt idx="181">
                  <c:v>0.84018279528395989</c:v>
                </c:pt>
                <c:pt idx="182">
                  <c:v>0.92955461647292403</c:v>
                </c:pt>
                <c:pt idx="183">
                  <c:v>0.95371766512172973</c:v>
                </c:pt>
                <c:pt idx="184">
                  <c:v>0.87300925776748195</c:v>
                </c:pt>
                <c:pt idx="185">
                  <c:v>0.83820875142810081</c:v>
                </c:pt>
                <c:pt idx="186">
                  <c:v>0.78129334238051362</c:v>
                </c:pt>
                <c:pt idx="187">
                  <c:v>0.98584840742699886</c:v>
                </c:pt>
                <c:pt idx="188">
                  <c:v>1.1152011703167652</c:v>
                </c:pt>
                <c:pt idx="189">
                  <c:v>0.64506316073421432</c:v>
                </c:pt>
                <c:pt idx="190">
                  <c:v>0.93378530054610154</c:v>
                </c:pt>
                <c:pt idx="191">
                  <c:v>0.42355464883704419</c:v>
                </c:pt>
                <c:pt idx="192">
                  <c:v>0.70792013470807091</c:v>
                </c:pt>
                <c:pt idx="193">
                  <c:v>0.62523555326919822</c:v>
                </c:pt>
                <c:pt idx="194">
                  <c:v>0.83825051850203269</c:v>
                </c:pt>
                <c:pt idx="195">
                  <c:v>0.62969958773609069</c:v>
                </c:pt>
                <c:pt idx="196">
                  <c:v>1.0367754136289835</c:v>
                </c:pt>
                <c:pt idx="197">
                  <c:v>0.44996267153002917</c:v>
                </c:pt>
                <c:pt idx="198">
                  <c:v>0.6669389422208678</c:v>
                </c:pt>
                <c:pt idx="199">
                  <c:v>0.50449832197238131</c:v>
                </c:pt>
                <c:pt idx="200">
                  <c:v>0.76639480246858727</c:v>
                </c:pt>
                <c:pt idx="201">
                  <c:v>0.5833875545987004</c:v>
                </c:pt>
                <c:pt idx="202">
                  <c:v>0.872504984363912</c:v>
                </c:pt>
                <c:pt idx="203">
                  <c:v>0.71231037080251502</c:v>
                </c:pt>
                <c:pt idx="204">
                  <c:v>1.106485599503142</c:v>
                </c:pt>
                <c:pt idx="205">
                  <c:v>0.48976913315039056</c:v>
                </c:pt>
                <c:pt idx="206">
                  <c:v>0.86321287970569793</c:v>
                </c:pt>
                <c:pt idx="207">
                  <c:v>0.46513579599200511</c:v>
                </c:pt>
                <c:pt idx="208">
                  <c:v>0.64106948259639507</c:v>
                </c:pt>
                <c:pt idx="209">
                  <c:v>1.2743226144407223</c:v>
                </c:pt>
                <c:pt idx="210">
                  <c:v>1.4196953239300236</c:v>
                </c:pt>
                <c:pt idx="211">
                  <c:v>1.0497519954137509</c:v>
                </c:pt>
                <c:pt idx="212">
                  <c:v>1.4990162397903857</c:v>
                </c:pt>
                <c:pt idx="213">
                  <c:v>1.3659234137605867</c:v>
                </c:pt>
                <c:pt idx="214">
                  <c:v>1.8310172843631967</c:v>
                </c:pt>
                <c:pt idx="215">
                  <c:v>1.4504857015864872</c:v>
                </c:pt>
                <c:pt idx="216">
                  <c:v>1.5383471514809657</c:v>
                </c:pt>
                <c:pt idx="217">
                  <c:v>1.6814635194694538</c:v>
                </c:pt>
                <c:pt idx="218">
                  <c:v>2.068307828817685</c:v>
                </c:pt>
                <c:pt idx="219">
                  <c:v>1.9195379344609871</c:v>
                </c:pt>
                <c:pt idx="220">
                  <c:v>0.97254086403226603</c:v>
                </c:pt>
                <c:pt idx="221">
                  <c:v>1.0717854033241645</c:v>
                </c:pt>
                <c:pt idx="222">
                  <c:v>1.1162227053376048</c:v>
                </c:pt>
                <c:pt idx="223">
                  <c:v>1.2437471613413587</c:v>
                </c:pt>
                <c:pt idx="224">
                  <c:v>1.3164149033494428</c:v>
                </c:pt>
                <c:pt idx="225">
                  <c:v>1.3754403004160058</c:v>
                </c:pt>
                <c:pt idx="226">
                  <c:v>1.2058184978422544</c:v>
                </c:pt>
                <c:pt idx="227">
                  <c:v>1.2753133471511944</c:v>
                </c:pt>
                <c:pt idx="228">
                  <c:v>0.87936714367783619</c:v>
                </c:pt>
                <c:pt idx="229">
                  <c:v>1.0914926228511777</c:v>
                </c:pt>
                <c:pt idx="230">
                  <c:v>1.2141990046156852</c:v>
                </c:pt>
                <c:pt idx="231">
                  <c:v>0.79391723730830444</c:v>
                </c:pt>
                <c:pt idx="232">
                  <c:v>0.97069279237337602</c:v>
                </c:pt>
                <c:pt idx="233">
                  <c:v>1.4899148153597199</c:v>
                </c:pt>
                <c:pt idx="234">
                  <c:v>1.0477514047953278</c:v>
                </c:pt>
                <c:pt idx="235">
                  <c:v>0.9895836477926353</c:v>
                </c:pt>
                <c:pt idx="236">
                  <c:v>0.98836811047695539</c:v>
                </c:pt>
                <c:pt idx="237">
                  <c:v>0.70400056799858857</c:v>
                </c:pt>
                <c:pt idx="238">
                  <c:v>0.7044109601561066</c:v>
                </c:pt>
                <c:pt idx="239">
                  <c:v>0.78942251868503899</c:v>
                </c:pt>
                <c:pt idx="240">
                  <c:v>0.79283341728023848</c:v>
                </c:pt>
                <c:pt idx="241">
                  <c:v>0.77910977528454672</c:v>
                </c:pt>
                <c:pt idx="242">
                  <c:v>0.74030382552754892</c:v>
                </c:pt>
                <c:pt idx="243">
                  <c:v>0.76063616135424206</c:v>
                </c:pt>
                <c:pt idx="244">
                  <c:v>0.94250763551701122</c:v>
                </c:pt>
                <c:pt idx="245">
                  <c:v>0.73841171855110732</c:v>
                </c:pt>
                <c:pt idx="246">
                  <c:v>0.80542668268051976</c:v>
                </c:pt>
                <c:pt idx="247">
                  <c:v>1.0735026055940766</c:v>
                </c:pt>
                <c:pt idx="248">
                  <c:v>0.71294115138339709</c:v>
                </c:pt>
                <c:pt idx="249">
                  <c:v>1.1684207947786249</c:v>
                </c:pt>
                <c:pt idx="250">
                  <c:v>1.1817708532653595</c:v>
                </c:pt>
                <c:pt idx="251">
                  <c:v>0.60951935748641473</c:v>
                </c:pt>
                <c:pt idx="252">
                  <c:v>0.55788863885703999</c:v>
                </c:pt>
                <c:pt idx="253">
                  <c:v>0.70122789556506115</c:v>
                </c:pt>
                <c:pt idx="254">
                  <c:v>0.39567942283543261</c:v>
                </c:pt>
                <c:pt idx="255">
                  <c:v>0.48899944075446833</c:v>
                </c:pt>
                <c:pt idx="256">
                  <c:v>0.51563362796658507</c:v>
                </c:pt>
                <c:pt idx="257">
                  <c:v>1.1749618201465732</c:v>
                </c:pt>
                <c:pt idx="258">
                  <c:v>1.0359885288999844</c:v>
                </c:pt>
                <c:pt idx="259">
                  <c:v>1.0729595846360971</c:v>
                </c:pt>
                <c:pt idx="260">
                  <c:v>1.1868247628736053</c:v>
                </c:pt>
                <c:pt idx="261">
                  <c:v>0.68470671862790344</c:v>
                </c:pt>
                <c:pt idx="262">
                  <c:v>0.72953503068804071</c:v>
                </c:pt>
                <c:pt idx="263">
                  <c:v>1.1280239260463714</c:v>
                </c:pt>
                <c:pt idx="264">
                  <c:v>1.056751021942246</c:v>
                </c:pt>
                <c:pt idx="265">
                  <c:v>0.78019756280710717</c:v>
                </c:pt>
                <c:pt idx="266">
                  <c:v>0.8439802865874686</c:v>
                </c:pt>
                <c:pt idx="267">
                  <c:v>0.59492712262465242</c:v>
                </c:pt>
                <c:pt idx="268">
                  <c:v>0.55782635351741428</c:v>
                </c:pt>
                <c:pt idx="269">
                  <c:v>1.0458762065595366</c:v>
                </c:pt>
                <c:pt idx="270">
                  <c:v>1.1231993253354746</c:v>
                </c:pt>
                <c:pt idx="271">
                  <c:v>1.0436892102875694</c:v>
                </c:pt>
                <c:pt idx="272">
                  <c:v>1.0585804325386099</c:v>
                </c:pt>
                <c:pt idx="273">
                  <c:v>0.66829991143050049</c:v>
                </c:pt>
                <c:pt idx="274">
                  <c:v>0.70142745650926142</c:v>
                </c:pt>
                <c:pt idx="275">
                  <c:v>0.69930309621863518</c:v>
                </c:pt>
                <c:pt idx="276">
                  <c:v>0.8267117077633499</c:v>
                </c:pt>
                <c:pt idx="277">
                  <c:v>1.3007003755234947</c:v>
                </c:pt>
                <c:pt idx="278">
                  <c:v>1.3425283319770762</c:v>
                </c:pt>
                <c:pt idx="279">
                  <c:v>1.2175479015295021</c:v>
                </c:pt>
                <c:pt idx="280">
                  <c:v>1.1967680745785221</c:v>
                </c:pt>
                <c:pt idx="281">
                  <c:v>1.0434037473596134</c:v>
                </c:pt>
                <c:pt idx="282">
                  <c:v>1.0392943971333077</c:v>
                </c:pt>
                <c:pt idx="283">
                  <c:v>0.9576858753337375</c:v>
                </c:pt>
                <c:pt idx="284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E-4609-A720-840A9D8B253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3E-4609-A720-840A9D8B2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709150765275E-2"/>
          <c:y val="4.4357218943319003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C-40A7-AB73-D319476E00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4C-40A7-AB73-D319476E00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4C-40A7-AB73-D319476E00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4C-40A7-AB73-D319476E00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4C-40A7-AB73-D319476E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(2)'!$CS$165:$CS$574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1.4569265550499924</c:v>
                </c:pt>
                <c:pt idx="11">
                  <c:v>1.2368593271543291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1.8117952467104248</c:v>
                </c:pt>
                <c:pt idx="15">
                  <c:v>1.5788211461636792</c:v>
                </c:pt>
                <c:pt idx="16">
                  <c:v>1.9447556217215154</c:v>
                </c:pt>
                <c:pt idx="17">
                  <c:v>1.3935634697003241</c:v>
                </c:pt>
                <c:pt idx="18">
                  <c:v>1.2315922030510305</c:v>
                </c:pt>
                <c:pt idx="19">
                  <c:v>1.5278471025630567</c:v>
                </c:pt>
                <c:pt idx="20">
                  <c:v>1.3610023686073467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1.5621311103571764</c:v>
                </c:pt>
                <c:pt idx="56">
                  <c:v>1.2451103850199845</c:v>
                </c:pt>
                <c:pt idx="58">
                  <c:v>1.08971818573285</c:v>
                </c:pt>
                <c:pt idx="59">
                  <c:v>1.2471485696372469</c:v>
                </c:pt>
                <c:pt idx="60">
                  <c:v>1.468755792642539</c:v>
                </c:pt>
                <c:pt idx="62">
                  <c:v>1.487260947268513</c:v>
                </c:pt>
                <c:pt idx="66">
                  <c:v>2.137444489225357</c:v>
                </c:pt>
                <c:pt idx="67">
                  <c:v>1.3834883569132823</c:v>
                </c:pt>
                <c:pt idx="68">
                  <c:v>1.1613686665831682</c:v>
                </c:pt>
                <c:pt idx="69">
                  <c:v>1.3945799441927671</c:v>
                </c:pt>
                <c:pt idx="70">
                  <c:v>1.6382270596938808</c:v>
                </c:pt>
                <c:pt idx="71">
                  <c:v>1.5581202263866585</c:v>
                </c:pt>
                <c:pt idx="72">
                  <c:v>1.5091778057773073</c:v>
                </c:pt>
                <c:pt idx="73">
                  <c:v>1.2783623766584251</c:v>
                </c:pt>
                <c:pt idx="74">
                  <c:v>1.9673389851519778</c:v>
                </c:pt>
                <c:pt idx="75">
                  <c:v>1.7846087148297018</c:v>
                </c:pt>
                <c:pt idx="76">
                  <c:v>1.4623838231453203</c:v>
                </c:pt>
                <c:pt idx="78">
                  <c:v>1.4376383901517891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1.5393668987809279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1.2064345058631663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1.6111289830132571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1.1800386873366524</c:v>
                </c:pt>
                <c:pt idx="117">
                  <c:v>1.5227273061218662</c:v>
                </c:pt>
                <c:pt idx="118">
                  <c:v>1.0136353606109705</c:v>
                </c:pt>
                <c:pt idx="119">
                  <c:v>1.5537534775920558</c:v>
                </c:pt>
                <c:pt idx="120">
                  <c:v>1.0553000677007287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1.4565711461993656</c:v>
                </c:pt>
                <c:pt idx="139">
                  <c:v>1.4915728202248597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1.0645811088058519</c:v>
                </c:pt>
                <c:pt idx="143">
                  <c:v>1.3749910064068995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0.94993877984601438</c:v>
                </c:pt>
                <c:pt idx="158">
                  <c:v>1.1355499502132003</c:v>
                </c:pt>
                <c:pt idx="159">
                  <c:v>0.92589724491094383</c:v>
                </c:pt>
                <c:pt idx="160">
                  <c:v>1.1302150740598296</c:v>
                </c:pt>
                <c:pt idx="161">
                  <c:v>1.2089329841498877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1.1462553729482183</c:v>
                </c:pt>
                <c:pt idx="165">
                  <c:v>1.2431637729407938</c:v>
                </c:pt>
                <c:pt idx="166">
                  <c:v>1.2741789583907734</c:v>
                </c:pt>
                <c:pt idx="167">
                  <c:v>1.7850791723869082</c:v>
                </c:pt>
                <c:pt idx="168">
                  <c:v>1.1894014660168526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1.2147441524469329</c:v>
                </c:pt>
                <c:pt idx="175">
                  <c:v>1.5317584810057567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1.1169384460611274</c:v>
                </c:pt>
                <c:pt idx="179">
                  <c:v>0.89354564303152395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1.0879292646151721</c:v>
                </c:pt>
                <c:pt idx="185">
                  <c:v>1.2123746121170023</c:v>
                </c:pt>
                <c:pt idx="186">
                  <c:v>1.325810070867135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0.98508375291617878</c:v>
                </c:pt>
                <c:pt idx="190">
                  <c:v>1.676977781714432</c:v>
                </c:pt>
                <c:pt idx="191">
                  <c:v>0.87280886698648519</c:v>
                </c:pt>
                <c:pt idx="192">
                  <c:v>1.1117656600092876</c:v>
                </c:pt>
                <c:pt idx="193">
                  <c:v>1.0334238077499565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0.89669723004929791</c:v>
                </c:pt>
                <c:pt idx="198">
                  <c:v>1.2840983524179472</c:v>
                </c:pt>
                <c:pt idx="199">
                  <c:v>0.88086947875987576</c:v>
                </c:pt>
                <c:pt idx="200">
                  <c:v>1.2490921086446241</c:v>
                </c:pt>
                <c:pt idx="201">
                  <c:v>0.86015700533062411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0.82933543612103122</c:v>
                </c:pt>
                <c:pt idx="206">
                  <c:v>1.3735243604164213</c:v>
                </c:pt>
                <c:pt idx="207">
                  <c:v>0.91676427599558874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1.2473828124201516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1.3066748939789545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0.61109115495116417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0.81738841739739598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1.0135027696838101</c:v>
                </c:pt>
                <c:pt idx="274">
                  <c:v>1.0526254652208762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1.2560274378694603</c:v>
                </c:pt>
                <c:pt idx="282">
                  <c:v>1.3090510837932749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2-4BD8-9D57-D60E959A68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B2-4BD8-9D57-D60E959A6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A-49C3-8003-1F4DD422B01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9A-49C3-8003-1F4DD422B01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9A-49C3-8003-1F4DD422B01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9A-49C3-8003-1F4DD422B01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9A-49C3-8003-1F4DD422B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(2)'!$CR$19:$CR$1274</c:f>
              <c:numCache>
                <c:formatCode>General</c:formatCode>
                <c:ptCount val="1256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1-4E47-92A4-34AEF6C5DE3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51-4E47-92A4-34AEF6C5D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(2)'!$CV$19:$CV$103</c:f>
              <c:numCache>
                <c:formatCode>General</c:formatCode>
                <c:ptCount val="85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2-4257-A770-31E50F7F0C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(2)'!$DB$19:$DB$103</c:f>
              <c:numCache>
                <c:formatCode>General</c:formatCode>
                <c:ptCount val="85"/>
                <c:pt idx="71">
                  <c:v>1.0603012480015854</c:v>
                </c:pt>
                <c:pt idx="72">
                  <c:v>1.1010820652324156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42-4257-A770-31E50F7F0C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42-4257-A770-31E50F7F0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(2)'!$CX$19:$CX$103</c:f>
              <c:numCache>
                <c:formatCode>General</c:formatCode>
                <c:ptCount val="85"/>
                <c:pt idx="33">
                  <c:v>1.5930332009124273</c:v>
                </c:pt>
                <c:pt idx="34">
                  <c:v>1.7052186375964011</c:v>
                </c:pt>
                <c:pt idx="35">
                  <c:v>1.7613113559383879</c:v>
                </c:pt>
                <c:pt idx="36">
                  <c:v>1.6865210648157389</c:v>
                </c:pt>
                <c:pt idx="37">
                  <c:v>1.2702582624412369</c:v>
                </c:pt>
                <c:pt idx="38">
                  <c:v>1.5370523175621236</c:v>
                </c:pt>
                <c:pt idx="39">
                  <c:v>1.6971965460652709</c:v>
                </c:pt>
                <c:pt idx="40">
                  <c:v>1.8237563767965093</c:v>
                </c:pt>
                <c:pt idx="41">
                  <c:v>1.7650508704945205</c:v>
                </c:pt>
                <c:pt idx="42">
                  <c:v>1.7490759164690128</c:v>
                </c:pt>
                <c:pt idx="45">
                  <c:v>1.1149602303559443</c:v>
                </c:pt>
                <c:pt idx="46">
                  <c:v>1.1660506109793418</c:v>
                </c:pt>
                <c:pt idx="47">
                  <c:v>1.0963775598500118</c:v>
                </c:pt>
                <c:pt idx="48">
                  <c:v>1.1417984444724441</c:v>
                </c:pt>
                <c:pt idx="49">
                  <c:v>1.04005785428454</c:v>
                </c:pt>
                <c:pt idx="50">
                  <c:v>1.218492251746139</c:v>
                </c:pt>
                <c:pt idx="51">
                  <c:v>1.0963775598500118</c:v>
                </c:pt>
                <c:pt idx="52">
                  <c:v>1.1742075706255921</c:v>
                </c:pt>
                <c:pt idx="53">
                  <c:v>0.99815487289008331</c:v>
                </c:pt>
                <c:pt idx="54">
                  <c:v>1.1576556740616271</c:v>
                </c:pt>
                <c:pt idx="55">
                  <c:v>0.61069430303833316</c:v>
                </c:pt>
                <c:pt idx="56">
                  <c:v>0.69963036658760502</c:v>
                </c:pt>
                <c:pt idx="57">
                  <c:v>0.62403471257072396</c:v>
                </c:pt>
                <c:pt idx="58">
                  <c:v>0.69963036658760502</c:v>
                </c:pt>
                <c:pt idx="59">
                  <c:v>0.69963036658760502</c:v>
                </c:pt>
                <c:pt idx="60">
                  <c:v>1.4756448295332454</c:v>
                </c:pt>
                <c:pt idx="61">
                  <c:v>1.5423406410375728</c:v>
                </c:pt>
                <c:pt idx="62">
                  <c:v>1.4381284355620612</c:v>
                </c:pt>
                <c:pt idx="63">
                  <c:v>1.5631830821326751</c:v>
                </c:pt>
                <c:pt idx="64">
                  <c:v>1.6132049407609208</c:v>
                </c:pt>
                <c:pt idx="65">
                  <c:v>1.7799444695217395</c:v>
                </c:pt>
                <c:pt idx="66">
                  <c:v>1.6382158700750435</c:v>
                </c:pt>
                <c:pt idx="67">
                  <c:v>1.6340473818560231</c:v>
                </c:pt>
                <c:pt idx="68">
                  <c:v>1.8049553988358622</c:v>
                </c:pt>
                <c:pt idx="69">
                  <c:v>1.8049553988358622</c:v>
                </c:pt>
                <c:pt idx="70">
                  <c:v>1.8049553988358622</c:v>
                </c:pt>
                <c:pt idx="73">
                  <c:v>0.9881784838807981</c:v>
                </c:pt>
                <c:pt idx="74">
                  <c:v>1.145072460213131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2.1241819020208603</c:v>
                </c:pt>
                <c:pt idx="78">
                  <c:v>1.5514224951198869</c:v>
                </c:pt>
                <c:pt idx="79">
                  <c:v>1.812172949810944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1.7428905183278425</c:v>
                </c:pt>
                <c:pt idx="83">
                  <c:v>1.6449265106206508</c:v>
                </c:pt>
                <c:pt idx="84">
                  <c:v>1.7096051977404618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E-4AFA-A263-B76778F614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(2)'!$DD$19:$DD$103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E-4AFA-A263-B76778F614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E-4AFA-A263-B76778F6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9-466A-AA12-4DDE6FAA49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79-466A-AA12-4DDE6FAA49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79-466A-AA12-4DDE6FAA4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(2)'!$CZ$19:$CZ$103</c:f>
              <c:numCache>
                <c:formatCode>General</c:formatCode>
                <c:ptCount val="8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4-4A93-BEC1-47FC83225B1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(2)'!$DF$19:$DF$103</c:f>
              <c:numCache>
                <c:formatCode>General</c:formatCode>
                <c:ptCount val="85"/>
                <c:pt idx="71">
                  <c:v>1.3702187218050508</c:v>
                </c:pt>
                <c:pt idx="72">
                  <c:v>1.3661223216497842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D4-4A93-BEC1-47FC83225B1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D4-4A93-BEC1-47FC83225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(2)'!$CU$104:$CU$152</c:f>
              <c:numCache>
                <c:formatCode>General</c:formatCode>
                <c:ptCount val="49"/>
                <c:pt idx="8">
                  <c:v>1.7953312467938294</c:v>
                </c:pt>
                <c:pt idx="9">
                  <c:v>1.831237871729706</c:v>
                </c:pt>
                <c:pt idx="10">
                  <c:v>1.6123926213913415</c:v>
                </c:pt>
                <c:pt idx="11">
                  <c:v>1.3116247118041748</c:v>
                </c:pt>
                <c:pt idx="12">
                  <c:v>1.4479206035118344</c:v>
                </c:pt>
                <c:pt idx="19">
                  <c:v>0.61420983369428661</c:v>
                </c:pt>
                <c:pt idx="20">
                  <c:v>0.54186300232164242</c:v>
                </c:pt>
                <c:pt idx="21">
                  <c:v>0.51262897658330853</c:v>
                </c:pt>
                <c:pt idx="22">
                  <c:v>0.45906358661802343</c:v>
                </c:pt>
                <c:pt idx="23">
                  <c:v>0.65948812271662183</c:v>
                </c:pt>
                <c:pt idx="24">
                  <c:v>0.55958059367820834</c:v>
                </c:pt>
                <c:pt idx="25">
                  <c:v>0.73210140610978902</c:v>
                </c:pt>
                <c:pt idx="26">
                  <c:v>0.66309184733714488</c:v>
                </c:pt>
                <c:pt idx="27">
                  <c:v>0.60128328600164638</c:v>
                </c:pt>
                <c:pt idx="28">
                  <c:v>0.48132789852004199</c:v>
                </c:pt>
                <c:pt idx="29">
                  <c:v>0.48191848489859418</c:v>
                </c:pt>
                <c:pt idx="30">
                  <c:v>0.49549976015662306</c:v>
                </c:pt>
                <c:pt idx="31">
                  <c:v>0.47567976975035814</c:v>
                </c:pt>
                <c:pt idx="32">
                  <c:v>0.55100572882280319</c:v>
                </c:pt>
                <c:pt idx="33">
                  <c:v>0.51746624967706734</c:v>
                </c:pt>
                <c:pt idx="34">
                  <c:v>0.44463766638918378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29-43C8-A531-8530343E608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(2)'!$DA$104:$DA$152</c:f>
              <c:numCache>
                <c:formatCode>General</c:formatCode>
                <c:ptCount val="49"/>
                <c:pt idx="14">
                  <c:v>2.2227731979793113</c:v>
                </c:pt>
                <c:pt idx="15">
                  <c:v>2.4110463620978315</c:v>
                </c:pt>
                <c:pt idx="16">
                  <c:v>2.5273971248800322</c:v>
                </c:pt>
                <c:pt idx="17">
                  <c:v>1.3824226365890593</c:v>
                </c:pt>
                <c:pt idx="18">
                  <c:v>1.4532205613739437</c:v>
                </c:pt>
                <c:pt idx="35">
                  <c:v>0.95281269073088048</c:v>
                </c:pt>
                <c:pt idx="36">
                  <c:v>0.86373257863259068</c:v>
                </c:pt>
                <c:pt idx="37">
                  <c:v>0.72199184778006298</c:v>
                </c:pt>
                <c:pt idx="38">
                  <c:v>0.68409475652881924</c:v>
                </c:pt>
                <c:pt idx="39">
                  <c:v>1.0441446283860925</c:v>
                </c:pt>
                <c:pt idx="40">
                  <c:v>1.0216415113950128</c:v>
                </c:pt>
                <c:pt idx="41">
                  <c:v>0.89758034666207365</c:v>
                </c:pt>
                <c:pt idx="42">
                  <c:v>0.85046536405258744</c:v>
                </c:pt>
                <c:pt idx="43">
                  <c:v>1.0312669232625022</c:v>
                </c:pt>
                <c:pt idx="44">
                  <c:v>1.1167926656965317</c:v>
                </c:pt>
                <c:pt idx="45">
                  <c:v>1.0188718881271357</c:v>
                </c:pt>
                <c:pt idx="46">
                  <c:v>0.84200250071297089</c:v>
                </c:pt>
                <c:pt idx="47">
                  <c:v>0.77018186092151664</c:v>
                </c:pt>
                <c:pt idx="48">
                  <c:v>0.85145258489605702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29-43C8-A531-8530343E608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29-43C8-A531-8530343E6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(2)'!$CW$104:$CW$152</c:f>
              <c:numCache>
                <c:formatCode>General</c:formatCode>
                <c:ptCount val="49"/>
                <c:pt idx="8">
                  <c:v>1.1308190177150246</c:v>
                </c:pt>
                <c:pt idx="9">
                  <c:v>1.153435398069325</c:v>
                </c:pt>
                <c:pt idx="10">
                  <c:v>1.4218289471474532</c:v>
                </c:pt>
                <c:pt idx="11">
                  <c:v>1.1566078623132587</c:v>
                </c:pt>
                <c:pt idx="12">
                  <c:v>1.4186615178324093</c:v>
                </c:pt>
                <c:pt idx="19">
                  <c:v>2.0620757981693512</c:v>
                </c:pt>
                <c:pt idx="20">
                  <c:v>2.0790709283740432</c:v>
                </c:pt>
                <c:pt idx="21">
                  <c:v>2.1513002317439862</c:v>
                </c:pt>
                <c:pt idx="22">
                  <c:v>2.0549414002750783</c:v>
                </c:pt>
                <c:pt idx="23">
                  <c:v>1.5655964947726944</c:v>
                </c:pt>
                <c:pt idx="24">
                  <c:v>1.5181946392806425</c:v>
                </c:pt>
                <c:pt idx="25">
                  <c:v>2.036802381456603</c:v>
                </c:pt>
                <c:pt idx="26">
                  <c:v>2.1083528164023853</c:v>
                </c:pt>
                <c:pt idx="27">
                  <c:v>2.0910614612904879</c:v>
                </c:pt>
                <c:pt idx="28">
                  <c:v>1.5597043022488204</c:v>
                </c:pt>
                <c:pt idx="29">
                  <c:v>1.7080197420332173</c:v>
                </c:pt>
                <c:pt idx="30">
                  <c:v>1.9011800804706829</c:v>
                </c:pt>
                <c:pt idx="31">
                  <c:v>1.9962390844942171</c:v>
                </c:pt>
                <c:pt idx="32">
                  <c:v>1.8498817761092701</c:v>
                </c:pt>
                <c:pt idx="33">
                  <c:v>1.9854631733644836</c:v>
                </c:pt>
                <c:pt idx="34">
                  <c:v>1.8659677045971768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C-4401-962B-537AAB29FD1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(2)'!$DC$104:$DC$152</c:f>
              <c:numCache>
                <c:formatCode>General</c:formatCode>
                <c:ptCount val="49"/>
                <c:pt idx="14">
                  <c:v>1.400050385593772</c:v>
                </c:pt>
                <c:pt idx="15">
                  <c:v>1.5186373454602673</c:v>
                </c:pt>
                <c:pt idx="16">
                  <c:v>1.5919227937666609</c:v>
                </c:pt>
                <c:pt idx="17">
                  <c:v>1.2190384003358494</c:v>
                </c:pt>
                <c:pt idx="18">
                  <c:v>0.86666480781610633</c:v>
                </c:pt>
                <c:pt idx="35">
                  <c:v>1.5838702482855289</c:v>
                </c:pt>
                <c:pt idx="36">
                  <c:v>1.640904537037251</c:v>
                </c:pt>
                <c:pt idx="37">
                  <c:v>1.3716278950619074</c:v>
                </c:pt>
                <c:pt idx="38">
                  <c:v>1.5901530156531671</c:v>
                </c:pt>
                <c:pt idx="39">
                  <c:v>1.735692259240688</c:v>
                </c:pt>
                <c:pt idx="40">
                  <c:v>1.9408972554070749</c:v>
                </c:pt>
                <c:pt idx="41">
                  <c:v>1.4920569597297801</c:v>
                </c:pt>
                <c:pt idx="42">
                  <c:v>1.6156997072823751</c:v>
                </c:pt>
                <c:pt idx="43">
                  <c:v>3.7310919948288381</c:v>
                </c:pt>
                <c:pt idx="44">
                  <c:v>3.1701289154882781</c:v>
                </c:pt>
                <c:pt idx="45">
                  <c:v>2.3102564407786246</c:v>
                </c:pt>
                <c:pt idx="46">
                  <c:v>3.0463391379773341</c:v>
                </c:pt>
                <c:pt idx="47">
                  <c:v>2.1862390956597899</c:v>
                </c:pt>
                <c:pt idx="48">
                  <c:v>1.9306390147730439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5C-4401-962B-537AAB29FD1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5C-4401-962B-537AAB29F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(2)'!$CV$104:$CV$152</c:f>
              <c:numCache>
                <c:formatCode>General</c:formatCode>
                <c:ptCount val="49"/>
                <c:pt idx="8">
                  <c:v>0.89989367736896064</c:v>
                </c:pt>
                <c:pt idx="9">
                  <c:v>0.95827467991952697</c:v>
                </c:pt>
                <c:pt idx="10">
                  <c:v>1.2520548489010888</c:v>
                </c:pt>
                <c:pt idx="11">
                  <c:v>1.0924564066911284</c:v>
                </c:pt>
                <c:pt idx="12">
                  <c:v>1.4385492279045442</c:v>
                </c:pt>
                <c:pt idx="19">
                  <c:v>0.98889947765901709</c:v>
                </c:pt>
                <c:pt idx="20">
                  <c:v>1.0354664092518509</c:v>
                </c:pt>
                <c:pt idx="21">
                  <c:v>1.1033232586947157</c:v>
                </c:pt>
                <c:pt idx="22">
                  <c:v>1.0867811160460317</c:v>
                </c:pt>
                <c:pt idx="23">
                  <c:v>0.77650146238179429</c:v>
                </c:pt>
                <c:pt idx="24">
                  <c:v>0.80578352227830852</c:v>
                </c:pt>
                <c:pt idx="25">
                  <c:v>0.97908756048600731</c:v>
                </c:pt>
                <c:pt idx="26">
                  <c:v>1.0724802699593621</c:v>
                </c:pt>
                <c:pt idx="27">
                  <c:v>1.1122454261824155</c:v>
                </c:pt>
                <c:pt idx="28">
                  <c:v>0.91978760058883746</c:v>
                </c:pt>
                <c:pt idx="29">
                  <c:v>1.0372255519526359</c:v>
                </c:pt>
                <c:pt idx="30">
                  <c:v>1.1381558379870296</c:v>
                </c:pt>
                <c:pt idx="31">
                  <c:v>1.2065051061599386</c:v>
                </c:pt>
                <c:pt idx="32">
                  <c:v>0.77377372810250911</c:v>
                </c:pt>
                <c:pt idx="33">
                  <c:v>0.87476124465258653</c:v>
                </c:pt>
                <c:pt idx="34">
                  <c:v>0.85635510739673315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AA-455C-A1FA-50F487B3E65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(2)'!$DB$104:$DB$152</c:f>
              <c:numCache>
                <c:formatCode>General</c:formatCode>
                <c:ptCount val="49"/>
                <c:pt idx="14">
                  <c:v>1.0964753435843184</c:v>
                </c:pt>
                <c:pt idx="15">
                  <c:v>1.3499284524843498</c:v>
                </c:pt>
                <c:pt idx="16">
                  <c:v>1.4150724528723346</c:v>
                </c:pt>
                <c:pt idx="17">
                  <c:v>1.1514242240977519</c:v>
                </c:pt>
                <c:pt idx="18">
                  <c:v>1.2103920415043752</c:v>
                </c:pt>
                <c:pt idx="35">
                  <c:v>1.534062010214629</c:v>
                </c:pt>
                <c:pt idx="36">
                  <c:v>1.6505390992161655</c:v>
                </c:pt>
                <c:pt idx="37">
                  <c:v>1.3796814008832563</c:v>
                </c:pt>
                <c:pt idx="38">
                  <c:v>1.4842327749104667</c:v>
                </c:pt>
                <c:pt idx="39">
                  <c:v>1.6980354434639466</c:v>
                </c:pt>
                <c:pt idx="40">
                  <c:v>1.9697711735090395</c:v>
                </c:pt>
                <c:pt idx="41">
                  <c:v>1.2604661889669859</c:v>
                </c:pt>
                <c:pt idx="42">
                  <c:v>1.4376863048688344</c:v>
                </c:pt>
                <c:pt idx="43">
                  <c:v>1.3695980744789717</c:v>
                </c:pt>
                <c:pt idx="44">
                  <c:v>1.3183356396956087</c:v>
                </c:pt>
                <c:pt idx="45">
                  <c:v>1.0612072731063289</c:v>
                </c:pt>
                <c:pt idx="46">
                  <c:v>0.91924067665647879</c:v>
                </c:pt>
                <c:pt idx="47">
                  <c:v>0.74093720873945756</c:v>
                </c:pt>
                <c:pt idx="48">
                  <c:v>0.7169147487158688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AA-455C-A1FA-50F487B3E65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AA-455C-A1FA-50F487B3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(2)'!$CX$104:$CX$152</c:f>
              <c:numCache>
                <c:formatCode>General</c:formatCode>
                <c:ptCount val="49"/>
                <c:pt idx="8">
                  <c:v>1.0626551710850494</c:v>
                </c:pt>
                <c:pt idx="9">
                  <c:v>1.0839082745067503</c:v>
                </c:pt>
                <c:pt idx="10">
                  <c:v>1.0697592602127863</c:v>
                </c:pt>
                <c:pt idx="11">
                  <c:v>0.846776273098786</c:v>
                </c:pt>
                <c:pt idx="12">
                  <c:v>0.94242710418345987</c:v>
                </c:pt>
                <c:pt idx="19">
                  <c:v>0.87260289867724583</c:v>
                </c:pt>
                <c:pt idx="20">
                  <c:v>0.76982034570805091</c:v>
                </c:pt>
                <c:pt idx="21">
                  <c:v>0.72828780389600911</c:v>
                </c:pt>
                <c:pt idx="22">
                  <c:v>0.64700664238800421</c:v>
                </c:pt>
                <c:pt idx="23">
                  <c:v>0.87837130726225165</c:v>
                </c:pt>
                <c:pt idx="24">
                  <c:v>0.74530460922177599</c:v>
                </c:pt>
                <c:pt idx="25">
                  <c:v>0.82546206924273469</c:v>
                </c:pt>
                <c:pt idx="26">
                  <c:v>0.74765212009280479</c:v>
                </c:pt>
                <c:pt idx="27">
                  <c:v>0.67796146998460671</c:v>
                </c:pt>
                <c:pt idx="28">
                  <c:v>0.64442853496754349</c:v>
                </c:pt>
                <c:pt idx="29">
                  <c:v>0.64521924482639936</c:v>
                </c:pt>
                <c:pt idx="30">
                  <c:v>0.58907047894788955</c:v>
                </c:pt>
                <c:pt idx="31">
                  <c:v>0.56550765978997408</c:v>
                </c:pt>
                <c:pt idx="32">
                  <c:v>0.86909765137264661</c:v>
                </c:pt>
                <c:pt idx="33">
                  <c:v>0.81619605520213756</c:v>
                </c:pt>
                <c:pt idx="34">
                  <c:v>0.70132401780331832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D8-45C7-A328-BD3636C39E1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(2)'!$DD$104:$DD$152</c:f>
              <c:numCache>
                <c:formatCode>General</c:formatCode>
                <c:ptCount val="49"/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1.2369414191987771</c:v>
                </c:pt>
                <c:pt idx="44">
                  <c:v>1.2848498400414692</c:v>
                </c:pt>
                <c:pt idx="45">
                  <c:v>1.0824086965667323</c:v>
                </c:pt>
                <c:pt idx="46">
                  <c:v>1.1566380294527625</c:v>
                </c:pt>
                <c:pt idx="47">
                  <c:v>1.0147969426278216</c:v>
                </c:pt>
                <c:pt idx="48">
                  <c:v>1.0359485906892771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8-45C7-A328-BD3636C39E1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D8-45C7-A328-BD3636C39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B-41AA-B06C-7B7A48A0A23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1B-41AA-B06C-7B7A48A0A23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1B-41AA-B06C-7B7A48A0A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(2)'!$CZ$104:$CZ$152</c:f>
              <c:numCache>
                <c:formatCode>General</c:formatCode>
                <c:ptCount val="49"/>
                <c:pt idx="8">
                  <c:v>0.80409497946677988</c:v>
                </c:pt>
                <c:pt idx="9">
                  <c:v>0.82013855883724562</c:v>
                </c:pt>
                <c:pt idx="10">
                  <c:v>1.2021807798100808</c:v>
                </c:pt>
                <c:pt idx="11">
                  <c:v>0.97816940092545301</c:v>
                </c:pt>
                <c:pt idx="12">
                  <c:v>1.2586178925728151</c:v>
                </c:pt>
                <c:pt idx="19">
                  <c:v>1.1921334586493271</c:v>
                </c:pt>
                <c:pt idx="20">
                  <c:v>1.2330838124645049</c:v>
                </c:pt>
                <c:pt idx="21">
                  <c:v>1.282416942736895</c:v>
                </c:pt>
                <c:pt idx="22">
                  <c:v>1.2211258658072901</c:v>
                </c:pt>
                <c:pt idx="23">
                  <c:v>0.91310238557343271</c:v>
                </c:pt>
                <c:pt idx="24">
                  <c:v>0.93081825114400285</c:v>
                </c:pt>
                <c:pt idx="25">
                  <c:v>1.1425483020450971</c:v>
                </c:pt>
                <c:pt idx="26">
                  <c:v>1.276229936668285</c:v>
                </c:pt>
                <c:pt idx="27">
                  <c:v>1.317244290552404</c:v>
                </c:pt>
                <c:pt idx="28">
                  <c:v>1.0094326350055061</c:v>
                </c:pt>
                <c:pt idx="29">
                  <c:v>1.1186948523610185</c:v>
                </c:pt>
                <c:pt idx="30">
                  <c:v>1.1275778761630597</c:v>
                </c:pt>
                <c:pt idx="31">
                  <c:v>1.1899830557976832</c:v>
                </c:pt>
                <c:pt idx="32">
                  <c:v>1.0694592128006695</c:v>
                </c:pt>
                <c:pt idx="33">
                  <c:v>1.1775656452638794</c:v>
                </c:pt>
                <c:pt idx="34">
                  <c:v>1.1123266588575653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2-4697-8A5B-7293AA3A8F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(2)'!$DF$104:$DF$152</c:f>
              <c:numCache>
                <c:formatCode>General</c:formatCode>
                <c:ptCount val="49"/>
                <c:pt idx="14">
                  <c:v>0.98110685664411379</c:v>
                </c:pt>
                <c:pt idx="15">
                  <c:v>1.0487505984287993</c:v>
                </c:pt>
                <c:pt idx="16">
                  <c:v>1.0748032245531951</c:v>
                </c:pt>
                <c:pt idx="17">
                  <c:v>0.99828830815771896</c:v>
                </c:pt>
                <c:pt idx="18">
                  <c:v>0.9769003202032982</c:v>
                </c:pt>
                <c:pt idx="35">
                  <c:v>1.1269337764078953</c:v>
                </c:pt>
                <c:pt idx="36">
                  <c:v>1.1221539038315145</c:v>
                </c:pt>
                <c:pt idx="37">
                  <c:v>1.3078849210171859</c:v>
                </c:pt>
                <c:pt idx="38">
                  <c:v>1.4007274122258497</c:v>
                </c:pt>
                <c:pt idx="39">
                  <c:v>0.99736422977580386</c:v>
                </c:pt>
                <c:pt idx="40">
                  <c:v>1.0520214823303664</c:v>
                </c:pt>
                <c:pt idx="41">
                  <c:v>0.97318154685335856</c:v>
                </c:pt>
                <c:pt idx="42">
                  <c:v>1.0046444472606173</c:v>
                </c:pt>
                <c:pt idx="43">
                  <c:v>1.0330895299523886</c:v>
                </c:pt>
                <c:pt idx="44">
                  <c:v>1.0452859834815846</c:v>
                </c:pt>
                <c:pt idx="45">
                  <c:v>0.86568447721291919</c:v>
                </c:pt>
                <c:pt idx="46">
                  <c:v>0.84349061145916415</c:v>
                </c:pt>
                <c:pt idx="47">
                  <c:v>0.72336424582212799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12-4697-8A5B-7293AA3A8F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12-4697-8A5B-7293AA3A8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(2)'!$CW$165:$CW$191</c:f>
              <c:numCache>
                <c:formatCode>General</c:formatCode>
                <c:ptCount val="27"/>
                <c:pt idx="0">
                  <c:v>1.6422049905298932</c:v>
                </c:pt>
                <c:pt idx="2">
                  <c:v>2.2064324759153546</c:v>
                </c:pt>
                <c:pt idx="3">
                  <c:v>1.9358600623361049</c:v>
                </c:pt>
                <c:pt idx="5">
                  <c:v>2.1044475921552754</c:v>
                </c:pt>
                <c:pt idx="6">
                  <c:v>2.2497610402163333</c:v>
                </c:pt>
                <c:pt idx="7">
                  <c:v>2.3709127261355487</c:v>
                </c:pt>
                <c:pt idx="10">
                  <c:v>2.4470066431310555</c:v>
                </c:pt>
                <c:pt idx="11">
                  <c:v>2.3674235347733665</c:v>
                </c:pt>
                <c:pt idx="14">
                  <c:v>1.8849788364696016</c:v>
                </c:pt>
                <c:pt idx="16">
                  <c:v>1.8294544169209646</c:v>
                </c:pt>
                <c:pt idx="17">
                  <c:v>1.8226729491803071</c:v>
                </c:pt>
                <c:pt idx="19">
                  <c:v>1.8068457746941986</c:v>
                </c:pt>
                <c:pt idx="20">
                  <c:v>2.1930232163612731</c:v>
                </c:pt>
                <c:pt idx="24">
                  <c:v>2.7475233917965838</c:v>
                </c:pt>
                <c:pt idx="25">
                  <c:v>2.265085466053149</c:v>
                </c:pt>
                <c:pt idx="26">
                  <c:v>2.6115103020377481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40-44CF-9982-48119B179061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(2)'!$DC$165:$DC$191</c:f>
              <c:numCache>
                <c:formatCode>General</c:formatCode>
                <c:ptCount val="27"/>
                <c:pt idx="1">
                  <c:v>2.1073737173267033</c:v>
                </c:pt>
                <c:pt idx="4">
                  <c:v>2.1023636487990696</c:v>
                </c:pt>
                <c:pt idx="8">
                  <c:v>1.3696603978665678</c:v>
                </c:pt>
                <c:pt idx="9">
                  <c:v>1.7563551268489346</c:v>
                </c:pt>
                <c:pt idx="12">
                  <c:v>1.1032364714470975</c:v>
                </c:pt>
                <c:pt idx="13">
                  <c:v>1.5026876752908058</c:v>
                </c:pt>
                <c:pt idx="15">
                  <c:v>1.9011798782047624</c:v>
                </c:pt>
                <c:pt idx="18">
                  <c:v>1.8644117767866515</c:v>
                </c:pt>
                <c:pt idx="21">
                  <c:v>1.9872973133746143</c:v>
                </c:pt>
                <c:pt idx="22">
                  <c:v>1.7418839452233523</c:v>
                </c:pt>
                <c:pt idx="23">
                  <c:v>1.9940798980618999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0-44CF-9982-48119B179061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(2)'!$CW$212:$CW$449</c:f>
              <c:numCache>
                <c:formatCode>General</c:formatCode>
                <c:ptCount val="238"/>
                <c:pt idx="8">
                  <c:v>1.8689394540824167</c:v>
                </c:pt>
                <c:pt idx="9">
                  <c:v>1.4896546825186321</c:v>
                </c:pt>
                <c:pt idx="11">
                  <c:v>1.4898103684061734</c:v>
                </c:pt>
                <c:pt idx="12">
                  <c:v>1.7872696358516886</c:v>
                </c:pt>
                <c:pt idx="15">
                  <c:v>1.9996706233260206</c:v>
                </c:pt>
                <c:pt idx="19">
                  <c:v>2.0799992915128129</c:v>
                </c:pt>
                <c:pt idx="20">
                  <c:v>1.6798354215963835</c:v>
                </c:pt>
                <c:pt idx="21">
                  <c:v>1.4101370740923769</c:v>
                </c:pt>
                <c:pt idx="22">
                  <c:v>1.7042311000948527</c:v>
                </c:pt>
                <c:pt idx="23">
                  <c:v>2.0157796507391934</c:v>
                </c:pt>
                <c:pt idx="25">
                  <c:v>2.40472000951072</c:v>
                </c:pt>
                <c:pt idx="26">
                  <c:v>1.2578535434363767</c:v>
                </c:pt>
                <c:pt idx="27">
                  <c:v>2.4023580290102506</c:v>
                </c:pt>
                <c:pt idx="28">
                  <c:v>2.1540931293374417</c:v>
                </c:pt>
                <c:pt idx="29">
                  <c:v>2.4045559316413061</c:v>
                </c:pt>
                <c:pt idx="31">
                  <c:v>1.7317254832977322</c:v>
                </c:pt>
                <c:pt idx="36">
                  <c:v>2.2412780879293885</c:v>
                </c:pt>
                <c:pt idx="37">
                  <c:v>2.4919518773596629</c:v>
                </c:pt>
                <c:pt idx="42">
                  <c:v>2.925738413369023</c:v>
                </c:pt>
                <c:pt idx="43">
                  <c:v>2.4912609005764317</c:v>
                </c:pt>
                <c:pt idx="48">
                  <c:v>2.4503091561673487</c:v>
                </c:pt>
                <c:pt idx="49">
                  <c:v>2.464405365659859</c:v>
                </c:pt>
                <c:pt idx="54">
                  <c:v>2.0981161961904866</c:v>
                </c:pt>
                <c:pt idx="56">
                  <c:v>2.2615324624297557</c:v>
                </c:pt>
                <c:pt idx="60">
                  <c:v>2.086483754349207</c:v>
                </c:pt>
                <c:pt idx="63">
                  <c:v>2.1410207028238033</c:v>
                </c:pt>
                <c:pt idx="67">
                  <c:v>1.69869931801179</c:v>
                </c:pt>
                <c:pt idx="69">
                  <c:v>1.5505160658075436</c:v>
                </c:pt>
                <c:pt idx="71">
                  <c:v>1.5394082854992828</c:v>
                </c:pt>
                <c:pt idx="73">
                  <c:v>1.5591928452133359</c:v>
                </c:pt>
                <c:pt idx="75">
                  <c:v>2.4770380092837767</c:v>
                </c:pt>
                <c:pt idx="76">
                  <c:v>2.6266050555862779</c:v>
                </c:pt>
                <c:pt idx="77">
                  <c:v>2.1908242801756375</c:v>
                </c:pt>
                <c:pt idx="78">
                  <c:v>2.4865940372331328</c:v>
                </c:pt>
                <c:pt idx="87">
                  <c:v>2.7828854061681736</c:v>
                </c:pt>
                <c:pt idx="88">
                  <c:v>2.8340574735559572</c:v>
                </c:pt>
                <c:pt idx="91">
                  <c:v>2.6017009421166457</c:v>
                </c:pt>
                <c:pt idx="92">
                  <c:v>2.6718785957852038</c:v>
                </c:pt>
                <c:pt idx="95">
                  <c:v>2.4011941361609206</c:v>
                </c:pt>
                <c:pt idx="96">
                  <c:v>2.4849976799745499</c:v>
                </c:pt>
                <c:pt idx="99">
                  <c:v>1.6975806823821411</c:v>
                </c:pt>
                <c:pt idx="100">
                  <c:v>1.6305911704223137</c:v>
                </c:pt>
                <c:pt idx="101">
                  <c:v>1.766925326900822</c:v>
                </c:pt>
                <c:pt idx="108">
                  <c:v>1.778110273541323</c:v>
                </c:pt>
                <c:pt idx="110">
                  <c:v>1.4662176354583463</c:v>
                </c:pt>
                <c:pt idx="112">
                  <c:v>1.3814805708874047</c:v>
                </c:pt>
                <c:pt idx="114">
                  <c:v>1.9007473496514582</c:v>
                </c:pt>
                <c:pt idx="116">
                  <c:v>2.5310260142964327</c:v>
                </c:pt>
                <c:pt idx="117">
                  <c:v>2.2861965775808342</c:v>
                </c:pt>
                <c:pt idx="119">
                  <c:v>2.4195505115416949</c:v>
                </c:pt>
                <c:pt idx="121">
                  <c:v>2.3816145832236102</c:v>
                </c:pt>
                <c:pt idx="123">
                  <c:v>1.7387293263231325</c:v>
                </c:pt>
                <c:pt idx="124">
                  <c:v>1.6958647820047847</c:v>
                </c:pt>
                <c:pt idx="127">
                  <c:v>2.0229921718988586</c:v>
                </c:pt>
                <c:pt idx="128">
                  <c:v>2.031798351198606</c:v>
                </c:pt>
                <c:pt idx="131">
                  <c:v>1.6139119314551313</c:v>
                </c:pt>
                <c:pt idx="132">
                  <c:v>1.6110043760740964</c:v>
                </c:pt>
                <c:pt idx="135">
                  <c:v>1.8337996312449061</c:v>
                </c:pt>
                <c:pt idx="136">
                  <c:v>1.9330039509882082</c:v>
                </c:pt>
                <c:pt idx="137">
                  <c:v>1.8593356056871713</c:v>
                </c:pt>
                <c:pt idx="138">
                  <c:v>1.9248504433329023</c:v>
                </c:pt>
                <c:pt idx="139">
                  <c:v>2.3056645935694262</c:v>
                </c:pt>
                <c:pt idx="140">
                  <c:v>2.0071880883821756</c:v>
                </c:pt>
                <c:pt idx="142">
                  <c:v>1.6085443951442955</c:v>
                </c:pt>
                <c:pt idx="144">
                  <c:v>1.2785278291453337</c:v>
                </c:pt>
                <c:pt idx="146">
                  <c:v>1.8403532904522368</c:v>
                </c:pt>
                <c:pt idx="148">
                  <c:v>1.1999749830361903</c:v>
                </c:pt>
                <c:pt idx="150">
                  <c:v>1.2952494313519984</c:v>
                </c:pt>
                <c:pt idx="152">
                  <c:v>1.1769159164509957</c:v>
                </c:pt>
                <c:pt idx="154">
                  <c:v>1.2042946298692805</c:v>
                </c:pt>
                <c:pt idx="156">
                  <c:v>1.3739090586186062</c:v>
                </c:pt>
                <c:pt idx="158">
                  <c:v>1.0889899457954362</c:v>
                </c:pt>
                <c:pt idx="160">
                  <c:v>1.257331544831237</c:v>
                </c:pt>
                <c:pt idx="162">
                  <c:v>2.2144618783538053</c:v>
                </c:pt>
                <c:pt idx="163">
                  <c:v>2.4750448366435061</c:v>
                </c:pt>
                <c:pt idx="168">
                  <c:v>2.5931035552926835</c:v>
                </c:pt>
                <c:pt idx="169">
                  <c:v>2.7480125744508079</c:v>
                </c:pt>
                <c:pt idx="173">
                  <c:v>1.6669977276459687</c:v>
                </c:pt>
                <c:pt idx="174">
                  <c:v>1.8612559860866686</c:v>
                </c:pt>
                <c:pt idx="179">
                  <c:v>2.1557001426297702</c:v>
                </c:pt>
                <c:pt idx="180">
                  <c:v>2.286184797887004</c:v>
                </c:pt>
                <c:pt idx="181">
                  <c:v>1.9215262652462428</c:v>
                </c:pt>
                <c:pt idx="184">
                  <c:v>2.1211516680774762</c:v>
                </c:pt>
                <c:pt idx="187">
                  <c:v>2.2941543676388276</c:v>
                </c:pt>
                <c:pt idx="190">
                  <c:v>1.5060365839377243</c:v>
                </c:pt>
                <c:pt idx="193">
                  <c:v>1.6947960419312951</c:v>
                </c:pt>
                <c:pt idx="195">
                  <c:v>1.4710480015697462</c:v>
                </c:pt>
                <c:pt idx="196">
                  <c:v>1.5114046550490408</c:v>
                </c:pt>
                <c:pt idx="198">
                  <c:v>1.4607969295572343</c:v>
                </c:pt>
                <c:pt idx="199">
                  <c:v>1.5947279576294371</c:v>
                </c:pt>
                <c:pt idx="204">
                  <c:v>1.3247580696530805</c:v>
                </c:pt>
                <c:pt idx="207">
                  <c:v>0.97421045534617501</c:v>
                </c:pt>
                <c:pt idx="210">
                  <c:v>2.3271560244615728</c:v>
                </c:pt>
                <c:pt idx="211">
                  <c:v>2.0222401134029506</c:v>
                </c:pt>
                <c:pt idx="214">
                  <c:v>1.4636595926987293</c:v>
                </c:pt>
                <c:pt idx="216">
                  <c:v>2.5013919662580109</c:v>
                </c:pt>
                <c:pt idx="218">
                  <c:v>1.6918717566043429</c:v>
                </c:pt>
                <c:pt idx="220">
                  <c:v>1.4641340932293478</c:v>
                </c:pt>
                <c:pt idx="222">
                  <c:v>2.3204475658747277</c:v>
                </c:pt>
                <c:pt idx="223">
                  <c:v>2.4849682952396512</c:v>
                </c:pt>
                <c:pt idx="226">
                  <c:v>1.6692162339833787</c:v>
                </c:pt>
                <c:pt idx="227">
                  <c:v>1.7546609281607246</c:v>
                </c:pt>
                <c:pt idx="230">
                  <c:v>2.9117840723050152</c:v>
                </c:pt>
                <c:pt idx="231">
                  <c:v>3.0089257747662694</c:v>
                </c:pt>
                <c:pt idx="234">
                  <c:v>2.6426335066380755</c:v>
                </c:pt>
                <c:pt idx="235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40-44CF-9982-48119B17906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(2)'!$DC$212:$DC$449</c:f>
              <c:numCache>
                <c:formatCode>General</c:formatCode>
                <c:ptCount val="238"/>
                <c:pt idx="13">
                  <c:v>1.4756849269594856</c:v>
                </c:pt>
                <c:pt idx="24">
                  <c:v>1.621735854662433</c:v>
                </c:pt>
                <c:pt idx="32">
                  <c:v>1.1680419353862352</c:v>
                </c:pt>
                <c:pt idx="33">
                  <c:v>1.2163747051263551</c:v>
                </c:pt>
                <c:pt idx="34">
                  <c:v>1.1438755505161751</c:v>
                </c:pt>
                <c:pt idx="35">
                  <c:v>1.155958742951205</c:v>
                </c:pt>
                <c:pt idx="38">
                  <c:v>1.9925512065399069</c:v>
                </c:pt>
                <c:pt idx="39">
                  <c:v>2.1497046820266013</c:v>
                </c:pt>
                <c:pt idx="40">
                  <c:v>2.4762708991717561</c:v>
                </c:pt>
                <c:pt idx="41">
                  <c:v>2.3791959121494619</c:v>
                </c:pt>
                <c:pt idx="44">
                  <c:v>1.9928712367167702</c:v>
                </c:pt>
                <c:pt idx="45">
                  <c:v>1.8680264963021465</c:v>
                </c:pt>
                <c:pt idx="46">
                  <c:v>2.3117895381902884</c:v>
                </c:pt>
                <c:pt idx="47">
                  <c:v>2.2783935747554356</c:v>
                </c:pt>
                <c:pt idx="50">
                  <c:v>1.7541416390117137</c:v>
                </c:pt>
                <c:pt idx="51">
                  <c:v>1.8521184980842436</c:v>
                </c:pt>
                <c:pt idx="52">
                  <c:v>2.0646055726394699</c:v>
                </c:pt>
                <c:pt idx="53">
                  <c:v>1.9887440503128282</c:v>
                </c:pt>
                <c:pt idx="55">
                  <c:v>1.4241119729792726</c:v>
                </c:pt>
                <c:pt idx="57">
                  <c:v>1.2602405718186387</c:v>
                </c:pt>
                <c:pt idx="58">
                  <c:v>1.558977806437378</c:v>
                </c:pt>
                <c:pt idx="59">
                  <c:v>1.403560420438748</c:v>
                </c:pt>
                <c:pt idx="61">
                  <c:v>1.3055898286674923</c:v>
                </c:pt>
                <c:pt idx="62">
                  <c:v>1.5893823893222023</c:v>
                </c:pt>
                <c:pt idx="64">
                  <c:v>1.2889917932026622</c:v>
                </c:pt>
                <c:pt idx="65">
                  <c:v>1.2436496327327959</c:v>
                </c:pt>
                <c:pt idx="66">
                  <c:v>1.4123483500887095</c:v>
                </c:pt>
                <c:pt idx="68">
                  <c:v>1.4276855307204448</c:v>
                </c:pt>
                <c:pt idx="70">
                  <c:v>1.327905273969467</c:v>
                </c:pt>
                <c:pt idx="72">
                  <c:v>1.3041776129638663</c:v>
                </c:pt>
                <c:pt idx="74">
                  <c:v>1.2867765285178476</c:v>
                </c:pt>
                <c:pt idx="79">
                  <c:v>1.5356140074541944</c:v>
                </c:pt>
                <c:pt idx="80">
                  <c:v>1.8406542325921853</c:v>
                </c:pt>
                <c:pt idx="81">
                  <c:v>1.6297829441924288</c:v>
                </c:pt>
                <c:pt idx="82">
                  <c:v>1.7009346912288954</c:v>
                </c:pt>
                <c:pt idx="83">
                  <c:v>1.5360321943493134</c:v>
                </c:pt>
                <c:pt idx="84">
                  <c:v>1.8796659253520858</c:v>
                </c:pt>
                <c:pt idx="85">
                  <c:v>1.7173665161974321</c:v>
                </c:pt>
                <c:pt idx="86">
                  <c:v>1.8171227048853755</c:v>
                </c:pt>
                <c:pt idx="89">
                  <c:v>2.4832159252410291</c:v>
                </c:pt>
                <c:pt idx="90">
                  <c:v>2.5779011788509294</c:v>
                </c:pt>
                <c:pt idx="93">
                  <c:v>2.07681002443538</c:v>
                </c:pt>
                <c:pt idx="94">
                  <c:v>2.2462580983596228</c:v>
                </c:pt>
                <c:pt idx="97">
                  <c:v>1.8658608872278868</c:v>
                </c:pt>
                <c:pt idx="98">
                  <c:v>2.1748805779303244</c:v>
                </c:pt>
                <c:pt idx="102">
                  <c:v>0.9376818002668581</c:v>
                </c:pt>
                <c:pt idx="103">
                  <c:v>1.064962613941582</c:v>
                </c:pt>
                <c:pt idx="104">
                  <c:v>1.2628251185675932</c:v>
                </c:pt>
                <c:pt idx="105">
                  <c:v>1.0819795390748945</c:v>
                </c:pt>
                <c:pt idx="106">
                  <c:v>1.2863275135782164</c:v>
                </c:pt>
                <c:pt idx="107">
                  <c:v>1.3903224753056873</c:v>
                </c:pt>
                <c:pt idx="109">
                  <c:v>1.3261917540087973</c:v>
                </c:pt>
                <c:pt idx="111">
                  <c:v>1.1693210304983437</c:v>
                </c:pt>
                <c:pt idx="113">
                  <c:v>1.135794330016441</c:v>
                </c:pt>
                <c:pt idx="115">
                  <c:v>1.2465084055760451</c:v>
                </c:pt>
                <c:pt idx="118">
                  <c:v>1.6098848942849813</c:v>
                </c:pt>
                <c:pt idx="120">
                  <c:v>1.8142342529807116</c:v>
                </c:pt>
                <c:pt idx="122">
                  <c:v>1.7402317112501877</c:v>
                </c:pt>
                <c:pt idx="125">
                  <c:v>1.6791826063123738</c:v>
                </c:pt>
                <c:pt idx="126">
                  <c:v>1.8213525057863174</c:v>
                </c:pt>
                <c:pt idx="129">
                  <c:v>1.480786619334987</c:v>
                </c:pt>
                <c:pt idx="130">
                  <c:v>1.8583151699805556</c:v>
                </c:pt>
                <c:pt idx="133">
                  <c:v>1.210157472156175</c:v>
                </c:pt>
                <c:pt idx="134">
                  <c:v>1.6719644295655374</c:v>
                </c:pt>
                <c:pt idx="141">
                  <c:v>1.6863998078567315</c:v>
                </c:pt>
                <c:pt idx="143">
                  <c:v>1.5854083437965325</c:v>
                </c:pt>
                <c:pt idx="145">
                  <c:v>1.3648020603300197</c:v>
                </c:pt>
                <c:pt idx="147">
                  <c:v>1.6160351505021928</c:v>
                </c:pt>
                <c:pt idx="149">
                  <c:v>1.5062005078727565</c:v>
                </c:pt>
                <c:pt idx="151">
                  <c:v>1.2128980641796907</c:v>
                </c:pt>
                <c:pt idx="153">
                  <c:v>1.2107403341866605</c:v>
                </c:pt>
                <c:pt idx="155">
                  <c:v>1.2794051660441645</c:v>
                </c:pt>
                <c:pt idx="157">
                  <c:v>1.6053699459000061</c:v>
                </c:pt>
                <c:pt idx="159">
                  <c:v>1.341364270969104</c:v>
                </c:pt>
                <c:pt idx="161">
                  <c:v>1.110892903790949</c:v>
                </c:pt>
                <c:pt idx="164">
                  <c:v>1.5143982955032453</c:v>
                </c:pt>
                <c:pt idx="165">
                  <c:v>2.1764869904684927</c:v>
                </c:pt>
                <c:pt idx="166">
                  <c:v>1.9863436008609694</c:v>
                </c:pt>
                <c:pt idx="167">
                  <c:v>2.6644569105298475</c:v>
                </c:pt>
                <c:pt idx="170">
                  <c:v>2.5330512129740694</c:v>
                </c:pt>
                <c:pt idx="171">
                  <c:v>3.1127012279879973</c:v>
                </c:pt>
                <c:pt idx="172">
                  <c:v>2.8945674563557766</c:v>
                </c:pt>
                <c:pt idx="175">
                  <c:v>1.6221431392145302</c:v>
                </c:pt>
                <c:pt idx="176">
                  <c:v>1.8058506934321912</c:v>
                </c:pt>
                <c:pt idx="177">
                  <c:v>1.9168839313547983</c:v>
                </c:pt>
                <c:pt idx="178">
                  <c:v>1.998849365856767</c:v>
                </c:pt>
                <c:pt idx="182">
                  <c:v>1.6234698697084089</c:v>
                </c:pt>
                <c:pt idx="183">
                  <c:v>1.8155256055766906</c:v>
                </c:pt>
                <c:pt idx="185">
                  <c:v>1.6274350232766979</c:v>
                </c:pt>
                <c:pt idx="186">
                  <c:v>2.4759285563802655</c:v>
                </c:pt>
                <c:pt idx="188">
                  <c:v>1.7842564847212592</c:v>
                </c:pt>
                <c:pt idx="189">
                  <c:v>1.8045919059789592</c:v>
                </c:pt>
                <c:pt idx="191">
                  <c:v>1.2157566864232063</c:v>
                </c:pt>
                <c:pt idx="192">
                  <c:v>1.3777434130786441</c:v>
                </c:pt>
                <c:pt idx="194">
                  <c:v>1.3511429952518712</c:v>
                </c:pt>
                <c:pt idx="197">
                  <c:v>1.4270672320523956</c:v>
                </c:pt>
                <c:pt idx="200">
                  <c:v>1.6336463933251026</c:v>
                </c:pt>
                <c:pt idx="201">
                  <c:v>1.0808097379491979</c:v>
                </c:pt>
                <c:pt idx="202">
                  <c:v>1.7775641495303378</c:v>
                </c:pt>
                <c:pt idx="203">
                  <c:v>1.7950049412928319</c:v>
                </c:pt>
                <c:pt idx="205">
                  <c:v>0.98576721669453882</c:v>
                </c:pt>
                <c:pt idx="206">
                  <c:v>1.2659980689885524</c:v>
                </c:pt>
                <c:pt idx="208">
                  <c:v>0.90408286404901339</c:v>
                </c:pt>
                <c:pt idx="209">
                  <c:v>0.97932977761083995</c:v>
                </c:pt>
                <c:pt idx="212">
                  <c:v>1.619194018773322</c:v>
                </c:pt>
                <c:pt idx="213">
                  <c:v>1.7685688302516001</c:v>
                </c:pt>
                <c:pt idx="215">
                  <c:v>1.2709246341543179</c:v>
                </c:pt>
                <c:pt idx="217">
                  <c:v>1.9231804683588229</c:v>
                </c:pt>
                <c:pt idx="219">
                  <c:v>1.5077547081053122</c:v>
                </c:pt>
                <c:pt idx="221">
                  <c:v>1.0740402328627483</c:v>
                </c:pt>
                <c:pt idx="224">
                  <c:v>1.8797523578064703</c:v>
                </c:pt>
                <c:pt idx="225">
                  <c:v>1.8781266693934733</c:v>
                </c:pt>
                <c:pt idx="228">
                  <c:v>1.362526465650822</c:v>
                </c:pt>
                <c:pt idx="229">
                  <c:v>1.5923242948877245</c:v>
                </c:pt>
                <c:pt idx="232">
                  <c:v>2.2274697736606179</c:v>
                </c:pt>
                <c:pt idx="233">
                  <c:v>2.1543030398289051</c:v>
                </c:pt>
                <c:pt idx="236">
                  <c:v>1.9041057081226844</c:v>
                </c:pt>
                <c:pt idx="237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40-44CF-9982-48119B17906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40-44CF-9982-48119B179061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(2)'!$CW$192:$CW$211</c:f>
              <c:numCache>
                <c:formatCode>General</c:formatCode>
                <c:ptCount val="20"/>
                <c:pt idx="0">
                  <c:v>2.0431311987564142</c:v>
                </c:pt>
                <c:pt idx="1">
                  <c:v>2.0166126817224077</c:v>
                </c:pt>
                <c:pt idx="2">
                  <c:v>1.6385819386206548</c:v>
                </c:pt>
                <c:pt idx="3">
                  <c:v>1.7330695102637437</c:v>
                </c:pt>
                <c:pt idx="4">
                  <c:v>2.1778234715106537</c:v>
                </c:pt>
                <c:pt idx="5">
                  <c:v>2.2704622311196889</c:v>
                </c:pt>
                <c:pt idx="6">
                  <c:v>2.1412749657081402</c:v>
                </c:pt>
                <c:pt idx="7">
                  <c:v>2.1028796904609597</c:v>
                </c:pt>
                <c:pt idx="10">
                  <c:v>2.1468664925268488</c:v>
                </c:pt>
                <c:pt idx="11">
                  <c:v>2.1512778620320412</c:v>
                </c:pt>
                <c:pt idx="12">
                  <c:v>2.5208731734666308</c:v>
                </c:pt>
                <c:pt idx="13">
                  <c:v>2.5101763990389081</c:v>
                </c:pt>
                <c:pt idx="14">
                  <c:v>2.3123528247792344</c:v>
                </c:pt>
                <c:pt idx="15">
                  <c:v>2.2980101814828782</c:v>
                </c:pt>
                <c:pt idx="18">
                  <c:v>2.3082111104392879</c:v>
                </c:pt>
                <c:pt idx="19">
                  <c:v>2.3324061954543751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40-44CF-9982-48119B179061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(2)'!$DC$192:$DC$211</c:f>
              <c:numCache>
                <c:formatCode>General</c:formatCode>
                <c:ptCount val="20"/>
                <c:pt idx="8">
                  <c:v>1.4576202750016511</c:v>
                </c:pt>
                <c:pt idx="9">
                  <c:v>1.4535769455286924</c:v>
                </c:pt>
                <c:pt idx="16">
                  <c:v>1.5698116262713619</c:v>
                </c:pt>
                <c:pt idx="17">
                  <c:v>1.5665592541174849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40-44CF-9982-48119B179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(2)'!$CV$165:$CV$191</c:f>
              <c:numCache>
                <c:formatCode>General</c:formatCode>
                <c:ptCount val="27"/>
                <c:pt idx="0">
                  <c:v>0.90312510104777988</c:v>
                </c:pt>
                <c:pt idx="2">
                  <c:v>1.0456058464242541</c:v>
                </c:pt>
                <c:pt idx="3">
                  <c:v>1.0908038636893671</c:v>
                </c:pt>
                <c:pt idx="5">
                  <c:v>0.99373675554928043</c:v>
                </c:pt>
                <c:pt idx="6">
                  <c:v>1.2458889866861822</c:v>
                </c:pt>
                <c:pt idx="7">
                  <c:v>0.98594819394372424</c:v>
                </c:pt>
                <c:pt idx="10">
                  <c:v>1.4094913723233622</c:v>
                </c:pt>
                <c:pt idx="11">
                  <c:v>1.030525017017395</c:v>
                </c:pt>
                <c:pt idx="14">
                  <c:v>0.90484340828935073</c:v>
                </c:pt>
                <c:pt idx="16">
                  <c:v>0.74018668744226179</c:v>
                </c:pt>
                <c:pt idx="17">
                  <c:v>0.92876242882583326</c:v>
                </c:pt>
                <c:pt idx="19">
                  <c:v>0.78412977643373516</c:v>
                </c:pt>
                <c:pt idx="20">
                  <c:v>1.2794913017249394</c:v>
                </c:pt>
                <c:pt idx="24">
                  <c:v>1.0888822788843875</c:v>
                </c:pt>
                <c:pt idx="25">
                  <c:v>1.3564982372258658</c:v>
                </c:pt>
                <c:pt idx="26">
                  <c:v>1.0825378953499341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FC-41BA-85BA-5CD9A9222E2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(2)'!$DB$165:$DB$191</c:f>
              <c:numCache>
                <c:formatCode>General</c:formatCode>
                <c:ptCount val="27"/>
                <c:pt idx="1">
                  <c:v>1.2051301348381576</c:v>
                </c:pt>
                <c:pt idx="4">
                  <c:v>1.2318345691778092</c:v>
                </c:pt>
                <c:pt idx="8">
                  <c:v>1.3640135061669056</c:v>
                </c:pt>
                <c:pt idx="9">
                  <c:v>1.2391787313228477</c:v>
                </c:pt>
                <c:pt idx="12">
                  <c:v>1.1277553972230727</c:v>
                </c:pt>
                <c:pt idx="13">
                  <c:v>1.0981770978672198</c:v>
                </c:pt>
                <c:pt idx="15">
                  <c:v>1.1486634883673195</c:v>
                </c:pt>
                <c:pt idx="18">
                  <c:v>1.1957499935155482</c:v>
                </c:pt>
                <c:pt idx="21">
                  <c:v>1.7079314414824931</c:v>
                </c:pt>
                <c:pt idx="22">
                  <c:v>1.7079314414824931</c:v>
                </c:pt>
                <c:pt idx="23">
                  <c:v>1.713760559030215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FC-41BA-85BA-5CD9A9222E2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(2)'!$CV$212:$CV$449</c:f>
              <c:numCache>
                <c:formatCode>General</c:formatCode>
                <c:ptCount val="238"/>
                <c:pt idx="8">
                  <c:v>1.1673908961949973</c:v>
                </c:pt>
                <c:pt idx="9">
                  <c:v>0.93616200442259556</c:v>
                </c:pt>
                <c:pt idx="11">
                  <c:v>0.96859314347723358</c:v>
                </c:pt>
                <c:pt idx="12">
                  <c:v>0.94434196074609311</c:v>
                </c:pt>
                <c:pt idx="15">
                  <c:v>1.2037060430031272</c:v>
                </c:pt>
                <c:pt idx="19">
                  <c:v>1.1245321162479069</c:v>
                </c:pt>
                <c:pt idx="20">
                  <c:v>0.84030922499865146</c:v>
                </c:pt>
                <c:pt idx="21">
                  <c:v>0.90909331832794082</c:v>
                </c:pt>
                <c:pt idx="22">
                  <c:v>1.0854292606452445</c:v>
                </c:pt>
                <c:pt idx="23">
                  <c:v>1.2957491504586884</c:v>
                </c:pt>
                <c:pt idx="25">
                  <c:v>1.5694434629296043</c:v>
                </c:pt>
                <c:pt idx="26">
                  <c:v>0.80682929714224561</c:v>
                </c:pt>
                <c:pt idx="27">
                  <c:v>1.0809639304684351</c:v>
                </c:pt>
                <c:pt idx="28">
                  <c:v>1.150729195314697</c:v>
                </c:pt>
                <c:pt idx="29">
                  <c:v>1.6206841797361613</c:v>
                </c:pt>
                <c:pt idx="31">
                  <c:v>0.8023458423199622</c:v>
                </c:pt>
                <c:pt idx="36">
                  <c:v>1.2278134241721037</c:v>
                </c:pt>
                <c:pt idx="37">
                  <c:v>1.1607520360147285</c:v>
                </c:pt>
                <c:pt idx="42">
                  <c:v>1.4554882873727251</c:v>
                </c:pt>
                <c:pt idx="43">
                  <c:v>1.0571790917983603</c:v>
                </c:pt>
                <c:pt idx="48">
                  <c:v>1.20136195127303</c:v>
                </c:pt>
                <c:pt idx="49">
                  <c:v>0.97623728551679267</c:v>
                </c:pt>
                <c:pt idx="54">
                  <c:v>0.85192180139138174</c:v>
                </c:pt>
                <c:pt idx="56">
                  <c:v>0.81746174328873611</c:v>
                </c:pt>
                <c:pt idx="60">
                  <c:v>0.77672385358421936</c:v>
                </c:pt>
                <c:pt idx="63">
                  <c:v>0.80622815303489503</c:v>
                </c:pt>
                <c:pt idx="67">
                  <c:v>0.57642292425190167</c:v>
                </c:pt>
                <c:pt idx="69">
                  <c:v>0.4928999465797696</c:v>
                </c:pt>
                <c:pt idx="71">
                  <c:v>0.49066280340487506</c:v>
                </c:pt>
                <c:pt idx="73">
                  <c:v>0.49438820310668369</c:v>
                </c:pt>
                <c:pt idx="75">
                  <c:v>1.0359520772360065</c:v>
                </c:pt>
                <c:pt idx="76">
                  <c:v>1.2275258020375239</c:v>
                </c:pt>
                <c:pt idx="77">
                  <c:v>1.0632468913492648</c:v>
                </c:pt>
                <c:pt idx="78">
                  <c:v>1.2988441374566582</c:v>
                </c:pt>
                <c:pt idx="87">
                  <c:v>1.120617834841011</c:v>
                </c:pt>
                <c:pt idx="88">
                  <c:v>1.1480565833145751</c:v>
                </c:pt>
                <c:pt idx="91">
                  <c:v>0.96270814852336062</c:v>
                </c:pt>
                <c:pt idx="92">
                  <c:v>1.0113237551807197</c:v>
                </c:pt>
                <c:pt idx="95">
                  <c:v>0.84984536998681193</c:v>
                </c:pt>
                <c:pt idx="96">
                  <c:v>0.89380352149223619</c:v>
                </c:pt>
                <c:pt idx="99">
                  <c:v>0.50217959988721583</c:v>
                </c:pt>
                <c:pt idx="100">
                  <c:v>0.31990801144331121</c:v>
                </c:pt>
                <c:pt idx="101">
                  <c:v>0.28765333046043823</c:v>
                </c:pt>
                <c:pt idx="108">
                  <c:v>0.46864687134043465</c:v>
                </c:pt>
                <c:pt idx="110">
                  <c:v>0.35794457872586288</c:v>
                </c:pt>
                <c:pt idx="112">
                  <c:v>0.32199066895060052</c:v>
                </c:pt>
                <c:pt idx="114">
                  <c:v>0.43987521847038291</c:v>
                </c:pt>
                <c:pt idx="116">
                  <c:v>0.74207568066944496</c:v>
                </c:pt>
                <c:pt idx="117">
                  <c:v>0.6575621344835334</c:v>
                </c:pt>
                <c:pt idx="119">
                  <c:v>0.66276113614729903</c:v>
                </c:pt>
                <c:pt idx="121">
                  <c:v>0.64880283352095725</c:v>
                </c:pt>
                <c:pt idx="123">
                  <c:v>0.60498251517291257</c:v>
                </c:pt>
                <c:pt idx="124">
                  <c:v>0.41793296290343485</c:v>
                </c:pt>
                <c:pt idx="127">
                  <c:v>0.67150740811789156</c:v>
                </c:pt>
                <c:pt idx="128">
                  <c:v>0.48810110256896716</c:v>
                </c:pt>
                <c:pt idx="131">
                  <c:v>0.5200351608810676</c:v>
                </c:pt>
                <c:pt idx="132">
                  <c:v>0.37461773422610073</c:v>
                </c:pt>
                <c:pt idx="135">
                  <c:v>0.75814578138002153</c:v>
                </c:pt>
                <c:pt idx="136">
                  <c:v>0.77612733545937562</c:v>
                </c:pt>
                <c:pt idx="137">
                  <c:v>0.71791639666428142</c:v>
                </c:pt>
                <c:pt idx="138">
                  <c:v>0.73254402066519331</c:v>
                </c:pt>
                <c:pt idx="139">
                  <c:v>0.86694554396548273</c:v>
                </c:pt>
                <c:pt idx="140">
                  <c:v>0.8432014000061423</c:v>
                </c:pt>
                <c:pt idx="142">
                  <c:v>0.63577930885779754</c:v>
                </c:pt>
                <c:pt idx="144">
                  <c:v>0.49914036531945671</c:v>
                </c:pt>
                <c:pt idx="146">
                  <c:v>0.71535247587434603</c:v>
                </c:pt>
                <c:pt idx="148">
                  <c:v>0.52668416203155555</c:v>
                </c:pt>
                <c:pt idx="150">
                  <c:v>0.52039815711170379</c:v>
                </c:pt>
                <c:pt idx="152">
                  <c:v>0.47739495721251607</c:v>
                </c:pt>
                <c:pt idx="154">
                  <c:v>0.48850410476532213</c:v>
                </c:pt>
                <c:pt idx="156">
                  <c:v>0.41214381234063702</c:v>
                </c:pt>
                <c:pt idx="158">
                  <c:v>0.30623753916933311</c:v>
                </c:pt>
                <c:pt idx="160">
                  <c:v>0.35037218833658679</c:v>
                </c:pt>
                <c:pt idx="162">
                  <c:v>0.84814643886623231</c:v>
                </c:pt>
                <c:pt idx="163">
                  <c:v>0.5633106192111631</c:v>
                </c:pt>
                <c:pt idx="168">
                  <c:v>1.1047126070269926</c:v>
                </c:pt>
                <c:pt idx="169">
                  <c:v>0.70195438626366125</c:v>
                </c:pt>
                <c:pt idx="173">
                  <c:v>0.42358808752356875</c:v>
                </c:pt>
                <c:pt idx="174">
                  <c:v>0.27663125137739181</c:v>
                </c:pt>
                <c:pt idx="179">
                  <c:v>0.62050244700404289</c:v>
                </c:pt>
                <c:pt idx="180">
                  <c:v>0.37950693499442612</c:v>
                </c:pt>
                <c:pt idx="181">
                  <c:v>0.52894243541533204</c:v>
                </c:pt>
                <c:pt idx="184">
                  <c:v>0.57924197602338701</c:v>
                </c:pt>
                <c:pt idx="187">
                  <c:v>1.3165021171618716</c:v>
                </c:pt>
                <c:pt idx="190">
                  <c:v>0.79853904935095166</c:v>
                </c:pt>
                <c:pt idx="193">
                  <c:v>0.67444137681039384</c:v>
                </c:pt>
                <c:pt idx="195">
                  <c:v>0.61339267247076401</c:v>
                </c:pt>
                <c:pt idx="196">
                  <c:v>0.44632318044701325</c:v>
                </c:pt>
                <c:pt idx="198">
                  <c:v>0.73416103151904566</c:v>
                </c:pt>
                <c:pt idx="199">
                  <c:v>0.57325182832669397</c:v>
                </c:pt>
                <c:pt idx="204">
                  <c:v>0.53274470935221885</c:v>
                </c:pt>
                <c:pt idx="207">
                  <c:v>0.3406160978101801</c:v>
                </c:pt>
                <c:pt idx="210">
                  <c:v>0.54260887003559544</c:v>
                </c:pt>
                <c:pt idx="211">
                  <c:v>0.41091602122326432</c:v>
                </c:pt>
                <c:pt idx="214">
                  <c:v>0.66616304477937771</c:v>
                </c:pt>
                <c:pt idx="216">
                  <c:v>1.2208596095211808</c:v>
                </c:pt>
                <c:pt idx="218">
                  <c:v>0.59847188698183496</c:v>
                </c:pt>
                <c:pt idx="220">
                  <c:v>0.44995900132926242</c:v>
                </c:pt>
                <c:pt idx="222">
                  <c:v>0.83585626412376812</c:v>
                </c:pt>
                <c:pt idx="223">
                  <c:v>0.85659529371851961</c:v>
                </c:pt>
                <c:pt idx="226">
                  <c:v>0.5342286604936749</c:v>
                </c:pt>
                <c:pt idx="227">
                  <c:v>0.53774723965388971</c:v>
                </c:pt>
                <c:pt idx="230">
                  <c:v>1.4864627253401679</c:v>
                </c:pt>
                <c:pt idx="231">
                  <c:v>1.3570171756610661</c:v>
                </c:pt>
                <c:pt idx="234">
                  <c:v>1.1827384584448524</c:v>
                </c:pt>
                <c:pt idx="235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FC-41BA-85BA-5CD9A9222E2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(2)'!$DB$212:$DB$449</c:f>
              <c:numCache>
                <c:formatCode>General</c:formatCode>
                <c:ptCount val="238"/>
                <c:pt idx="13">
                  <c:v>1.3402299947705487</c:v>
                </c:pt>
                <c:pt idx="24">
                  <c:v>1.5460337955680008</c:v>
                </c:pt>
                <c:pt idx="32">
                  <c:v>1.3998474838990453</c:v>
                </c:pt>
                <c:pt idx="33">
                  <c:v>1.4577722073707298</c:v>
                </c:pt>
                <c:pt idx="34">
                  <c:v>1.370885122163203</c:v>
                </c:pt>
                <c:pt idx="35">
                  <c:v>1.3853663030311241</c:v>
                </c:pt>
                <c:pt idx="38">
                  <c:v>1.3545925525527256</c:v>
                </c:pt>
                <c:pt idx="39">
                  <c:v>1.1090994673594974</c:v>
                </c:pt>
                <c:pt idx="40">
                  <c:v>1.6652174139737159</c:v>
                </c:pt>
                <c:pt idx="41">
                  <c:v>1.2892640281505934</c:v>
                </c:pt>
                <c:pt idx="44">
                  <c:v>1.291398223149377</c:v>
                </c:pt>
                <c:pt idx="45">
                  <c:v>0.98896690726937853</c:v>
                </c:pt>
                <c:pt idx="46">
                  <c:v>1.5989486965805586</c:v>
                </c:pt>
                <c:pt idx="47">
                  <c:v>1.0675308808670825</c:v>
                </c:pt>
                <c:pt idx="50">
                  <c:v>1.1452294549129385</c:v>
                </c:pt>
                <c:pt idx="51">
                  <c:v>0.90791333117970996</c:v>
                </c:pt>
                <c:pt idx="52">
                  <c:v>1.2821131703909106</c:v>
                </c:pt>
                <c:pt idx="53">
                  <c:v>0.99688435001099218</c:v>
                </c:pt>
                <c:pt idx="55">
                  <c:v>0.81662774630172397</c:v>
                </c:pt>
                <c:pt idx="57">
                  <c:v>0.7586320747468619</c:v>
                </c:pt>
                <c:pt idx="58">
                  <c:v>0.95611409237498801</c:v>
                </c:pt>
                <c:pt idx="59">
                  <c:v>0.85366845179986306</c:v>
                </c:pt>
                <c:pt idx="61">
                  <c:v>0.7859933198358483</c:v>
                </c:pt>
                <c:pt idx="62">
                  <c:v>0.95277592599578431</c:v>
                </c:pt>
                <c:pt idx="64">
                  <c:v>0.73385385804964465</c:v>
                </c:pt>
                <c:pt idx="65">
                  <c:v>0.71701953337023638</c:v>
                </c:pt>
                <c:pt idx="66">
                  <c:v>0.80509042965258459</c:v>
                </c:pt>
                <c:pt idx="68">
                  <c:v>0.69797901215906277</c:v>
                </c:pt>
                <c:pt idx="70">
                  <c:v>0.72046711424605314</c:v>
                </c:pt>
                <c:pt idx="72">
                  <c:v>0.669304928325827</c:v>
                </c:pt>
                <c:pt idx="74">
                  <c:v>0.62160230418122031</c:v>
                </c:pt>
                <c:pt idx="79">
                  <c:v>0.80819333280719641</c:v>
                </c:pt>
                <c:pt idx="80">
                  <c:v>1.1361105927087192</c:v>
                </c:pt>
                <c:pt idx="81">
                  <c:v>1.0500571164680419</c:v>
                </c:pt>
                <c:pt idx="82">
                  <c:v>1.1959371887849268</c:v>
                </c:pt>
                <c:pt idx="83">
                  <c:v>0.82553769724572112</c:v>
                </c:pt>
                <c:pt idx="84">
                  <c:v>1.1009675588314105</c:v>
                </c:pt>
                <c:pt idx="85">
                  <c:v>1.0025651410576439</c:v>
                </c:pt>
                <c:pt idx="86">
                  <c:v>1.234614567429962</c:v>
                </c:pt>
                <c:pt idx="89">
                  <c:v>1.3627342427712779</c:v>
                </c:pt>
                <c:pt idx="90">
                  <c:v>1.5116668594823293</c:v>
                </c:pt>
                <c:pt idx="93">
                  <c:v>1.1153185331872824</c:v>
                </c:pt>
                <c:pt idx="94">
                  <c:v>1.2311656641884943</c:v>
                </c:pt>
                <c:pt idx="97">
                  <c:v>1.0844496648388597</c:v>
                </c:pt>
                <c:pt idx="98">
                  <c:v>1.286108770983347</c:v>
                </c:pt>
                <c:pt idx="102">
                  <c:v>0.36370914366668056</c:v>
                </c:pt>
                <c:pt idx="103">
                  <c:v>0.27806290348537888</c:v>
                </c:pt>
                <c:pt idx="104">
                  <c:v>0.23714039746372731</c:v>
                </c:pt>
                <c:pt idx="105">
                  <c:v>0.40190648659950207</c:v>
                </c:pt>
                <c:pt idx="106">
                  <c:v>0.33217224555956837</c:v>
                </c:pt>
                <c:pt idx="107">
                  <c:v>0.27235882594617306</c:v>
                </c:pt>
                <c:pt idx="109">
                  <c:v>0.47226601043541899</c:v>
                </c:pt>
                <c:pt idx="111">
                  <c:v>0.45940995038759902</c:v>
                </c:pt>
                <c:pt idx="113">
                  <c:v>0.40510257215472878</c:v>
                </c:pt>
                <c:pt idx="115">
                  <c:v>0.4326213705365124</c:v>
                </c:pt>
                <c:pt idx="118">
                  <c:v>0.73356045990636276</c:v>
                </c:pt>
                <c:pt idx="120">
                  <c:v>0.76743593066722315</c:v>
                </c:pt>
                <c:pt idx="122">
                  <c:v>0.70747117484998001</c:v>
                </c:pt>
                <c:pt idx="125">
                  <c:v>0.85652179496619263</c:v>
                </c:pt>
                <c:pt idx="126">
                  <c:v>0.68298923262112032</c:v>
                </c:pt>
                <c:pt idx="129">
                  <c:v>0.76487499850326324</c:v>
                </c:pt>
                <c:pt idx="130">
                  <c:v>0.69322407599081759</c:v>
                </c:pt>
                <c:pt idx="133">
                  <c:v>0.65494056852337501</c:v>
                </c:pt>
                <c:pt idx="134">
                  <c:v>0.66010873732007236</c:v>
                </c:pt>
                <c:pt idx="141">
                  <c:v>1.0453690663130164</c:v>
                </c:pt>
                <c:pt idx="143">
                  <c:v>0.99135777498064259</c:v>
                </c:pt>
                <c:pt idx="145">
                  <c:v>0.89909960937938926</c:v>
                </c:pt>
                <c:pt idx="147">
                  <c:v>1.0631873753884515</c:v>
                </c:pt>
                <c:pt idx="149">
                  <c:v>0.95552213561783861</c:v>
                </c:pt>
                <c:pt idx="151">
                  <c:v>0.82075602055380337</c:v>
                </c:pt>
                <c:pt idx="153">
                  <c:v>0.75241129452250288</c:v>
                </c:pt>
                <c:pt idx="155">
                  <c:v>0.7635698161114719</c:v>
                </c:pt>
                <c:pt idx="157">
                  <c:v>0.72668089753626275</c:v>
                </c:pt>
                <c:pt idx="159">
                  <c:v>0.57441747158643486</c:v>
                </c:pt>
                <c:pt idx="161">
                  <c:v>0.51638109101570362</c:v>
                </c:pt>
                <c:pt idx="164">
                  <c:v>0.68470929712525452</c:v>
                </c:pt>
                <c:pt idx="165">
                  <c:v>0.55887635658398238</c:v>
                </c:pt>
                <c:pt idx="166">
                  <c:v>0.90146916130082411</c:v>
                </c:pt>
                <c:pt idx="167">
                  <c:v>0.72138824438006166</c:v>
                </c:pt>
                <c:pt idx="170">
                  <c:v>1.280628927387689</c:v>
                </c:pt>
                <c:pt idx="171">
                  <c:v>0.92432247546723945</c:v>
                </c:pt>
                <c:pt idx="172">
                  <c:v>1.4676385799383138</c:v>
                </c:pt>
                <c:pt idx="175">
                  <c:v>0.48120655876859975</c:v>
                </c:pt>
                <c:pt idx="176">
                  <c:v>0.30905277621926552</c:v>
                </c:pt>
                <c:pt idx="177">
                  <c:v>0.5908614973408699</c:v>
                </c:pt>
                <c:pt idx="178">
                  <c:v>0.34891933006853126</c:v>
                </c:pt>
                <c:pt idx="182">
                  <c:v>0.66189035654118</c:v>
                </c:pt>
                <c:pt idx="183">
                  <c:v>0.73841264422949071</c:v>
                </c:pt>
                <c:pt idx="185">
                  <c:v>0.69335828153035006</c:v>
                </c:pt>
                <c:pt idx="186">
                  <c:v>1.0608164855263091</c:v>
                </c:pt>
                <c:pt idx="188">
                  <c:v>1.5403477162307675</c:v>
                </c:pt>
                <c:pt idx="189">
                  <c:v>1.5655798326009769</c:v>
                </c:pt>
                <c:pt idx="191">
                  <c:v>1.0189518781041382</c:v>
                </c:pt>
                <c:pt idx="192">
                  <c:v>1.1086962907496114</c:v>
                </c:pt>
                <c:pt idx="194">
                  <c:v>0.79577622498559542</c:v>
                </c:pt>
                <c:pt idx="197">
                  <c:v>0.57896116065618985</c:v>
                </c:pt>
                <c:pt idx="200">
                  <c:v>1.180884224215198</c:v>
                </c:pt>
                <c:pt idx="201">
                  <c:v>0.54367121796819906</c:v>
                </c:pt>
                <c:pt idx="202">
                  <c:v>1.2145959956381271</c:v>
                </c:pt>
                <c:pt idx="203">
                  <c:v>0.90863669033174643</c:v>
                </c:pt>
                <c:pt idx="205">
                  <c:v>0.60989160828240396</c:v>
                </c:pt>
                <c:pt idx="206">
                  <c:v>0.79714874635462929</c:v>
                </c:pt>
                <c:pt idx="208">
                  <c:v>0.49783010673441874</c:v>
                </c:pt>
                <c:pt idx="209">
                  <c:v>0.5379511912567736</c:v>
                </c:pt>
                <c:pt idx="212">
                  <c:v>0.5244575585719754</c:v>
                </c:pt>
                <c:pt idx="213">
                  <c:v>0.49664029362132861</c:v>
                </c:pt>
                <c:pt idx="215">
                  <c:v>0.87004023622459381</c:v>
                </c:pt>
                <c:pt idx="217">
                  <c:v>1.4241940133982856</c:v>
                </c:pt>
                <c:pt idx="219">
                  <c:v>0.79965874804680204</c:v>
                </c:pt>
                <c:pt idx="221">
                  <c:v>0.50958151653858841</c:v>
                </c:pt>
                <c:pt idx="224">
                  <c:v>1.0348011851555312</c:v>
                </c:pt>
                <c:pt idx="225">
                  <c:v>0.9737603915445785</c:v>
                </c:pt>
                <c:pt idx="228">
                  <c:v>0.69664976517292798</c:v>
                </c:pt>
                <c:pt idx="229">
                  <c:v>0.75924280927749677</c:v>
                </c:pt>
                <c:pt idx="232">
                  <c:v>1.725882500076503</c:v>
                </c:pt>
                <c:pt idx="233">
                  <c:v>1.4395206022092937</c:v>
                </c:pt>
                <c:pt idx="236">
                  <c:v>1.3843179703848905</c:v>
                </c:pt>
                <c:pt idx="237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FC-41BA-85BA-5CD9A9222E2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FC-41BA-85BA-5CD9A9222E2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(2)'!$CV$192:$CV$211</c:f>
              <c:numCache>
                <c:formatCode>General</c:formatCode>
                <c:ptCount val="20"/>
                <c:pt idx="0">
                  <c:v>0.59445291391391852</c:v>
                </c:pt>
                <c:pt idx="1">
                  <c:v>0.58673730087196796</c:v>
                </c:pt>
                <c:pt idx="2">
                  <c:v>0.48047226670328519</c:v>
                </c:pt>
                <c:pt idx="3">
                  <c:v>0.50817833171756221</c:v>
                </c:pt>
                <c:pt idx="4">
                  <c:v>0.80281511391392391</c:v>
                </c:pt>
                <c:pt idx="5">
                  <c:v>0.8369647120430983</c:v>
                </c:pt>
                <c:pt idx="6">
                  <c:v>0.6624856895159994</c:v>
                </c:pt>
                <c:pt idx="7">
                  <c:v>0.65060663577295397</c:v>
                </c:pt>
                <c:pt idx="10">
                  <c:v>0.84672542437358489</c:v>
                </c:pt>
                <c:pt idx="11">
                  <c:v>0.84846527113599635</c:v>
                </c:pt>
                <c:pt idx="12">
                  <c:v>0.84714967990618539</c:v>
                </c:pt>
                <c:pt idx="13">
                  <c:v>0.84355498536627227</c:v>
                </c:pt>
                <c:pt idx="14">
                  <c:v>0.66294257619842423</c:v>
                </c:pt>
                <c:pt idx="15">
                  <c:v>0.65883059605660077</c:v>
                </c:pt>
                <c:pt idx="18">
                  <c:v>0.82990690567027392</c:v>
                </c:pt>
                <c:pt idx="19">
                  <c:v>0.83860613948233131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FC-41BA-85BA-5CD9A9222E2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(2)'!$DB$192:$DB$211</c:f>
              <c:numCache>
                <c:formatCode>General</c:formatCode>
                <c:ptCount val="20"/>
                <c:pt idx="8">
                  <c:v>0.86392492109244645</c:v>
                </c:pt>
                <c:pt idx="9">
                  <c:v>0.86152845806583767</c:v>
                </c:pt>
                <c:pt idx="16">
                  <c:v>0.86751961563235958</c:v>
                </c:pt>
                <c:pt idx="17">
                  <c:v>0.86572226836240296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FC-41BA-85BA-5CD9A9222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(2)'!$CX$165:$CX$191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10">
                  <c:v>1.4569265550499924</c:v>
                </c:pt>
                <c:pt idx="11">
                  <c:v>1.2368593271543291</c:v>
                </c:pt>
                <c:pt idx="14">
                  <c:v>1.8117952467104248</c:v>
                </c:pt>
                <c:pt idx="16">
                  <c:v>1.9447556217215154</c:v>
                </c:pt>
                <c:pt idx="17">
                  <c:v>1.3935634697003241</c:v>
                </c:pt>
                <c:pt idx="19">
                  <c:v>1.5278471025630567</c:v>
                </c:pt>
                <c:pt idx="20">
                  <c:v>1.3610023686073467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3-44D6-9B1A-8E905E61380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(2)'!$DD$165:$DD$191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3-44D6-9B1A-8E905E61380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(2)'!$CX$212:$CX$449</c:f>
              <c:numCache>
                <c:formatCode>General</c:formatCode>
                <c:ptCount val="238"/>
                <c:pt idx="8">
                  <c:v>1.5621311103571764</c:v>
                </c:pt>
                <c:pt idx="9">
                  <c:v>1.2451103850199845</c:v>
                </c:pt>
                <c:pt idx="11">
                  <c:v>1.08971818573285</c:v>
                </c:pt>
                <c:pt idx="12">
                  <c:v>1.2471485696372469</c:v>
                </c:pt>
                <c:pt idx="15">
                  <c:v>1.487260947268513</c:v>
                </c:pt>
                <c:pt idx="19">
                  <c:v>2.137444489225357</c:v>
                </c:pt>
                <c:pt idx="20">
                  <c:v>1.3834883569132823</c:v>
                </c:pt>
                <c:pt idx="21">
                  <c:v>1.1613686665831682</c:v>
                </c:pt>
                <c:pt idx="22">
                  <c:v>1.3945799441927671</c:v>
                </c:pt>
                <c:pt idx="23">
                  <c:v>1.6382270596938808</c:v>
                </c:pt>
                <c:pt idx="25">
                  <c:v>1.5091778057773073</c:v>
                </c:pt>
                <c:pt idx="26">
                  <c:v>1.2783623766584251</c:v>
                </c:pt>
                <c:pt idx="27">
                  <c:v>1.9673389851519778</c:v>
                </c:pt>
                <c:pt idx="28">
                  <c:v>1.7846087148297018</c:v>
                </c:pt>
                <c:pt idx="29">
                  <c:v>1.4623838231453203</c:v>
                </c:pt>
                <c:pt idx="31">
                  <c:v>1.4376383901517891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1.5393668987809279</c:v>
                </c:pt>
                <c:pt idx="60">
                  <c:v>1.2064345058631663</c:v>
                </c:pt>
                <c:pt idx="63">
                  <c:v>1.6111289830132571</c:v>
                </c:pt>
                <c:pt idx="67">
                  <c:v>1.0809846369960703</c:v>
                </c:pt>
                <c:pt idx="69">
                  <c:v>1.1800386873366524</c:v>
                </c:pt>
                <c:pt idx="71">
                  <c:v>1.0136353606109705</c:v>
                </c:pt>
                <c:pt idx="73">
                  <c:v>1.0553000677007287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1.4565711461993656</c:v>
                </c:pt>
                <c:pt idx="92">
                  <c:v>1.4915728202248597</c:v>
                </c:pt>
                <c:pt idx="95">
                  <c:v>1.0645811088058519</c:v>
                </c:pt>
                <c:pt idx="96">
                  <c:v>1.3749910064068995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0.94993877984601438</c:v>
                </c:pt>
                <c:pt idx="112">
                  <c:v>0.92589724491094383</c:v>
                </c:pt>
                <c:pt idx="114">
                  <c:v>1.2089329841498877</c:v>
                </c:pt>
                <c:pt idx="116">
                  <c:v>1.2494913437411292</c:v>
                </c:pt>
                <c:pt idx="117">
                  <c:v>1.1462553729482183</c:v>
                </c:pt>
                <c:pt idx="119">
                  <c:v>1.2741789583907734</c:v>
                </c:pt>
                <c:pt idx="121">
                  <c:v>1.1894014660168526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1.2147441524469329</c:v>
                </c:pt>
                <c:pt idx="128">
                  <c:v>1.5317584810057567</c:v>
                </c:pt>
                <c:pt idx="131">
                  <c:v>1.1169384460611274</c:v>
                </c:pt>
                <c:pt idx="132">
                  <c:v>0.89354564303152395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1.0879292646151721</c:v>
                </c:pt>
                <c:pt idx="138">
                  <c:v>1.2123746121170023</c:v>
                </c:pt>
                <c:pt idx="139">
                  <c:v>1.325810070867135</c:v>
                </c:pt>
                <c:pt idx="140">
                  <c:v>1.1020916631669231</c:v>
                </c:pt>
                <c:pt idx="142">
                  <c:v>0.98508375291617878</c:v>
                </c:pt>
                <c:pt idx="144">
                  <c:v>0.87280886698648519</c:v>
                </c:pt>
                <c:pt idx="146">
                  <c:v>1.0334238077499565</c:v>
                </c:pt>
                <c:pt idx="148">
                  <c:v>0.8536087311591446</c:v>
                </c:pt>
                <c:pt idx="150">
                  <c:v>0.89669723004929791</c:v>
                </c:pt>
                <c:pt idx="152">
                  <c:v>0.88086947875987576</c:v>
                </c:pt>
                <c:pt idx="154">
                  <c:v>0.86015700533062411</c:v>
                </c:pt>
                <c:pt idx="156">
                  <c:v>0.98770988832965423</c:v>
                </c:pt>
                <c:pt idx="158">
                  <c:v>0.82933543612103122</c:v>
                </c:pt>
                <c:pt idx="160">
                  <c:v>0.91676427599558874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1.2473828124201516</c:v>
                </c:pt>
                <c:pt idx="184">
                  <c:v>1.3066748939789545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0.61109115495116417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0.81738841739739598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1.0135027696838101</c:v>
                </c:pt>
                <c:pt idx="227">
                  <c:v>1.0526254652208762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1.2560274378694603</c:v>
                </c:pt>
                <c:pt idx="235">
                  <c:v>1.3090510837932749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3-44D6-9B1A-8E905E61380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(2)'!$DD$212:$DD$449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3-44D6-9B1A-8E905E61380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3-44D6-9B1A-8E905E61380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(2)'!$CX$192:$CX$211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3-44D6-9B1A-8E905E61380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(2)'!$DD$192:$DD$211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3-44D6-9B1A-8E905E61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(2)'!$CY$165:$CY$191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B-465D-BEC5-BA78728B0A9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(2)'!$DE$165:$DE$191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AB-465D-BEC5-BA78728B0A9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(2)'!$CY$212:$CY$449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AB-465D-BEC5-BA78728B0A9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(2)'!$DE$212:$DE$449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1</c:v>
                </c:pt>
                <c:pt idx="33">
                  <c:v>1</c:v>
                </c:pt>
                <c:pt idx="34">
                  <c:v>0.97944761192161567</c:v>
                </c:pt>
                <c:pt idx="35">
                  <c:v>0.98979388951233693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AB-465D-BEC5-BA78728B0A9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AB-465D-BEC5-BA78728B0A9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(2)'!$CY$192:$CY$211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AB-465D-BEC5-BA78728B0A9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(2)'!$DE$192:$DE$211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AB-465D-BEC5-BA78728B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(2)'!$CZ$165:$CZ$191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F-4678-AFA1-A249048ACD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(2)'!$DF$165:$DF$191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F-4678-AFA1-A249048ACD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(2)'!$CZ$212:$CZ$449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7F-4678-AFA1-A249048ACD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(2)'!$DF$212:$DF$449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1.0129564999845371</c:v>
                </c:pt>
                <c:pt idx="33">
                  <c:v>1.0548719413632073</c:v>
                </c:pt>
                <c:pt idx="34">
                  <c:v>0.99199877929520175</c:v>
                </c:pt>
                <c:pt idx="35">
                  <c:v>1.0024776396398694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7F-4678-AFA1-A249048ACD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7F-4678-AFA1-A249048ACD3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(2)'!$CZ$192:$CZ$211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1.1179242582161224</c:v>
                </c:pt>
                <c:pt idx="13">
                  <c:v>1.1131805909252479</c:v>
                </c:pt>
                <c:pt idx="14">
                  <c:v>1.0396608877230671</c:v>
                </c:pt>
                <c:pt idx="15">
                  <c:v>1.0332122674684099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7F-4678-AFA1-A249048ACD3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(2)'!$DF$192:$DF$211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1.1141268495754608</c:v>
                </c:pt>
                <c:pt idx="17">
                  <c:v>1.111818575715843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7F-4678-AFA1-A249048AC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headed!$CG$20:$CG$1278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0-413B-A3F2-CC5F4E39295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E0-413B-A3F2-CC5F4E39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headed!$CI$19:$CI$1537</c:f>
              <c:numCache>
                <c:formatCode>General</c:formatCode>
                <c:ptCount val="1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1-4180-9109-0E96F534634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1-4180-9109-0E96F5346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headed!$CJ$20:$CJ$1278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6D-4DC7-A0D6-D59178FB1CF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6D-4DC7-A0D6-D59178FB1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4-4D53-BFBF-B59F328B8724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E4-4D53-BFBF-B59F328B8724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E4-4D53-BFBF-B59F328B872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E4-4D53-BFBF-B59F328B872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E4-4D53-BFBF-B59F328B8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B-4857-B34E-F3A68BB9378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B-4857-B34E-F3A68BB93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headed!$FJ$53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headed!$FJ$54:$FJ$62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D-49D1-87BF-EFE511C5AF4E}"/>
            </c:ext>
          </c:extLst>
        </c:ser>
        <c:ser>
          <c:idx val="3"/>
          <c:order val="1"/>
          <c:tx>
            <c:strRef>
              <c:f>headed!$FM$53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headed!$FM$54:$FM$62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D-49D1-87BF-EFE511C5AF4E}"/>
            </c:ext>
          </c:extLst>
        </c:ser>
        <c:ser>
          <c:idx val="1"/>
          <c:order val="2"/>
          <c:tx>
            <c:strRef>
              <c:f>headed!$FK$53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headed!$FK$54:$FK$62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D-49D1-87BF-EFE511C5AF4E}"/>
            </c:ext>
          </c:extLst>
        </c:ser>
        <c:ser>
          <c:idx val="2"/>
          <c:order val="3"/>
          <c:tx>
            <c:strRef>
              <c:f>headed!$FL$53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headed!$FL$54:$FL$62</c:f>
              <c:numCache>
                <c:formatCode>General</c:formatCode>
                <c:ptCount val="9"/>
                <c:pt idx="0">
                  <c:v>0</c:v>
                </c:pt>
                <c:pt idx="1">
                  <c:v>9</c:v>
                </c:pt>
                <c:pt idx="2">
                  <c:v>30</c:v>
                </c:pt>
                <c:pt idx="3">
                  <c:v>52</c:v>
                </c:pt>
                <c:pt idx="4">
                  <c:v>92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BD-49D1-87BF-EFE511C5AF4E}"/>
            </c:ext>
          </c:extLst>
        </c:ser>
        <c:ser>
          <c:idx val="4"/>
          <c:order val="4"/>
          <c:tx>
            <c:strRef>
              <c:f>headed!$FN$53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headed!$FN$54:$FN$62</c:f>
              <c:numCache>
                <c:formatCode>General</c:formatCode>
                <c:ptCount val="9"/>
                <c:pt idx="0">
                  <c:v>2</c:v>
                </c:pt>
                <c:pt idx="1">
                  <c:v>39</c:v>
                </c:pt>
                <c:pt idx="2">
                  <c:v>77</c:v>
                </c:pt>
                <c:pt idx="3">
                  <c:v>84</c:v>
                </c:pt>
                <c:pt idx="4">
                  <c:v>32</c:v>
                </c:pt>
                <c:pt idx="5">
                  <c:v>10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BD-49D1-87BF-EFE511C5AF4E}"/>
            </c:ext>
          </c:extLst>
        </c:ser>
        <c:ser>
          <c:idx val="5"/>
          <c:order val="5"/>
          <c:tx>
            <c:strRef>
              <c:f>headed!$FO$53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headed!$FO$54:$FO$62</c:f>
              <c:numCache>
                <c:formatCode>General</c:formatCode>
                <c:ptCount val="9"/>
                <c:pt idx="0">
                  <c:v>1</c:v>
                </c:pt>
                <c:pt idx="1">
                  <c:v>38</c:v>
                </c:pt>
                <c:pt idx="2">
                  <c:v>63</c:v>
                </c:pt>
                <c:pt idx="3">
                  <c:v>86</c:v>
                </c:pt>
                <c:pt idx="4">
                  <c:v>38</c:v>
                </c:pt>
                <c:pt idx="5">
                  <c:v>15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BD-49D1-87BF-EFE511C5A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headed!$CH$20:$CH$1278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4-43B9-8A72-2D6EA6660BF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84-43B9-8A72-2D6EA6660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headed!$CK$156:$CK$247</c:f>
              <c:numCache>
                <c:formatCode>General</c:formatCode>
                <c:ptCount val="9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9-4BB0-BD51-B228AD519D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09-4BB0-BD51-B228AD51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72-4D63-A8FE-6F8835215AA6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72-4D63-A8FE-6F8835215AA6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72-4D63-A8FE-6F8835215AA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72-4D63-A8FE-6F8835215AA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72-4D63-A8FE-6F883521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D-4B57-BE9B-29CDFF59FC6D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FD-4B57-BE9B-29CDFF59FC6D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FD-4B57-BE9B-29CDFF59FC6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FD-4B57-BE9B-29CDFF59FC6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FD-4B57-BE9B-29CDFF59F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headed!$Q$105:$Q$147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B-4DDB-AD8A-A784BFE4A419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FB-4DDB-AD8A-A784BFE4A419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headed!$Q$156:$Q$544</c:f>
              <c:numCache>
                <c:formatCode>General</c:formatCode>
                <c:ptCount val="38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4.4639504822285474</c:v>
                </c:pt>
                <c:pt idx="61">
                  <c:v>4.4639504822285474</c:v>
                </c:pt>
                <c:pt idx="62">
                  <c:v>7.0469088920093164</c:v>
                </c:pt>
                <c:pt idx="63">
                  <c:v>5.3152807724479523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4.4639504822285474</c:v>
                </c:pt>
                <c:pt idx="67">
                  <c:v>5.3152807724479523</c:v>
                </c:pt>
                <c:pt idx="68">
                  <c:v>2.0051727652257014</c:v>
                </c:pt>
                <c:pt idx="69">
                  <c:v>1.9505332604034158</c:v>
                </c:pt>
                <c:pt idx="70">
                  <c:v>4.4639504822285474</c:v>
                </c:pt>
                <c:pt idx="71">
                  <c:v>5.3152807724479523</c:v>
                </c:pt>
                <c:pt idx="72">
                  <c:v>5.3152807724479523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2.0051727652257014</c:v>
                </c:pt>
                <c:pt idx="77">
                  <c:v>2.1293534580036226</c:v>
                </c:pt>
                <c:pt idx="78">
                  <c:v>1.9505332604034158</c:v>
                </c:pt>
                <c:pt idx="79">
                  <c:v>3.1973074158937482</c:v>
                </c:pt>
                <c:pt idx="80">
                  <c:v>5.3152807724479523</c:v>
                </c:pt>
                <c:pt idx="81">
                  <c:v>2.205004992017336</c:v>
                </c:pt>
                <c:pt idx="82">
                  <c:v>1.9505332604034158</c:v>
                </c:pt>
                <c:pt idx="83">
                  <c:v>1.9505332604034158</c:v>
                </c:pt>
                <c:pt idx="84">
                  <c:v>2.0051727652257014</c:v>
                </c:pt>
                <c:pt idx="85">
                  <c:v>1.9505332604034158</c:v>
                </c:pt>
                <c:pt idx="86">
                  <c:v>2.0051727652257014</c:v>
                </c:pt>
                <c:pt idx="87">
                  <c:v>7.0469088920093164</c:v>
                </c:pt>
                <c:pt idx="88">
                  <c:v>4.4639504822285474</c:v>
                </c:pt>
                <c:pt idx="89">
                  <c:v>5.3152807724479523</c:v>
                </c:pt>
                <c:pt idx="90">
                  <c:v>2.8188046643066431</c:v>
                </c:pt>
                <c:pt idx="91">
                  <c:v>6.4993959172819435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2.5739077706444626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4.0999999999999996</c:v>
                </c:pt>
                <c:pt idx="135">
                  <c:v>6.5</c:v>
                </c:pt>
                <c:pt idx="136">
                  <c:v>6.5</c:v>
                </c:pt>
                <c:pt idx="137">
                  <c:v>4.5</c:v>
                </c:pt>
                <c:pt idx="138">
                  <c:v>4.5</c:v>
                </c:pt>
                <c:pt idx="139">
                  <c:v>6.5</c:v>
                </c:pt>
                <c:pt idx="140">
                  <c:v>6.5</c:v>
                </c:pt>
                <c:pt idx="141">
                  <c:v>4.5</c:v>
                </c:pt>
                <c:pt idx="142">
                  <c:v>4.5</c:v>
                </c:pt>
                <c:pt idx="143">
                  <c:v>6.5</c:v>
                </c:pt>
                <c:pt idx="144">
                  <c:v>6.5</c:v>
                </c:pt>
                <c:pt idx="145">
                  <c:v>4.5</c:v>
                </c:pt>
                <c:pt idx="146">
                  <c:v>4.5</c:v>
                </c:pt>
                <c:pt idx="147">
                  <c:v>9.5</c:v>
                </c:pt>
                <c:pt idx="148">
                  <c:v>9.1</c:v>
                </c:pt>
                <c:pt idx="149">
                  <c:v>9.5</c:v>
                </c:pt>
                <c:pt idx="150">
                  <c:v>9.1</c:v>
                </c:pt>
                <c:pt idx="151">
                  <c:v>9.5</c:v>
                </c:pt>
                <c:pt idx="152">
                  <c:v>9.1</c:v>
                </c:pt>
                <c:pt idx="153">
                  <c:v>9.5</c:v>
                </c:pt>
                <c:pt idx="154">
                  <c:v>9.1</c:v>
                </c:pt>
                <c:pt idx="155">
                  <c:v>9.5</c:v>
                </c:pt>
                <c:pt idx="156">
                  <c:v>9.1</c:v>
                </c:pt>
                <c:pt idx="157">
                  <c:v>9.5</c:v>
                </c:pt>
                <c:pt idx="158">
                  <c:v>9.1</c:v>
                </c:pt>
                <c:pt idx="159">
                  <c:v>4</c:v>
                </c:pt>
                <c:pt idx="160">
                  <c:v>9.5</c:v>
                </c:pt>
                <c:pt idx="161">
                  <c:v>14.9</c:v>
                </c:pt>
                <c:pt idx="162">
                  <c:v>4</c:v>
                </c:pt>
                <c:pt idx="163">
                  <c:v>9.5</c:v>
                </c:pt>
                <c:pt idx="164">
                  <c:v>14.9</c:v>
                </c:pt>
                <c:pt idx="165">
                  <c:v>4</c:v>
                </c:pt>
                <c:pt idx="166">
                  <c:v>9.5</c:v>
                </c:pt>
                <c:pt idx="167">
                  <c:v>14.9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4.0999999999999996</c:v>
                </c:pt>
                <c:pt idx="184">
                  <c:v>9.1</c:v>
                </c:pt>
                <c:pt idx="185">
                  <c:v>4.0999999999999996</c:v>
                </c:pt>
                <c:pt idx="186">
                  <c:v>9.1</c:v>
                </c:pt>
                <c:pt idx="187">
                  <c:v>4.0999999999999996</c:v>
                </c:pt>
                <c:pt idx="188">
                  <c:v>9.1</c:v>
                </c:pt>
                <c:pt idx="189">
                  <c:v>4.0999999999999996</c:v>
                </c:pt>
                <c:pt idx="190">
                  <c:v>9.1</c:v>
                </c:pt>
                <c:pt idx="191">
                  <c:v>4.0999999999999996</c:v>
                </c:pt>
                <c:pt idx="192">
                  <c:v>9.1</c:v>
                </c:pt>
                <c:pt idx="193">
                  <c:v>4.0999999999999996</c:v>
                </c:pt>
                <c:pt idx="194">
                  <c:v>9.1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9.1</c:v>
                </c:pt>
                <c:pt idx="220">
                  <c:v>9.5</c:v>
                </c:pt>
                <c:pt idx="221">
                  <c:v>9.1</c:v>
                </c:pt>
                <c:pt idx="222">
                  <c:v>4</c:v>
                </c:pt>
                <c:pt idx="223">
                  <c:v>13.1</c:v>
                </c:pt>
                <c:pt idx="224">
                  <c:v>4</c:v>
                </c:pt>
                <c:pt idx="225">
                  <c:v>13.1</c:v>
                </c:pt>
                <c:pt idx="226">
                  <c:v>4</c:v>
                </c:pt>
                <c:pt idx="227">
                  <c:v>13.1</c:v>
                </c:pt>
                <c:pt idx="228">
                  <c:v>4</c:v>
                </c:pt>
                <c:pt idx="229">
                  <c:v>13.1</c:v>
                </c:pt>
                <c:pt idx="230">
                  <c:v>4</c:v>
                </c:pt>
                <c:pt idx="231">
                  <c:v>13.1</c:v>
                </c:pt>
                <c:pt idx="232">
                  <c:v>4</c:v>
                </c:pt>
                <c:pt idx="233">
                  <c:v>4</c:v>
                </c:pt>
                <c:pt idx="234">
                  <c:v>13.1</c:v>
                </c:pt>
                <c:pt idx="235">
                  <c:v>4</c:v>
                </c:pt>
                <c:pt idx="236">
                  <c:v>13.1</c:v>
                </c:pt>
                <c:pt idx="237">
                  <c:v>4</c:v>
                </c:pt>
                <c:pt idx="238">
                  <c:v>13.1</c:v>
                </c:pt>
                <c:pt idx="239">
                  <c:v>4</c:v>
                </c:pt>
                <c:pt idx="240">
                  <c:v>13.1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3.8</c:v>
                </c:pt>
                <c:pt idx="253">
                  <c:v>8.6</c:v>
                </c:pt>
                <c:pt idx="254">
                  <c:v>8.6</c:v>
                </c:pt>
                <c:pt idx="255">
                  <c:v>4.0999999999999996</c:v>
                </c:pt>
                <c:pt idx="256">
                  <c:v>9.1</c:v>
                </c:pt>
                <c:pt idx="257">
                  <c:v>9.1</c:v>
                </c:pt>
                <c:pt idx="258">
                  <c:v>4.0999999999999996</c:v>
                </c:pt>
                <c:pt idx="259">
                  <c:v>9.1</c:v>
                </c:pt>
                <c:pt idx="260">
                  <c:v>4.0999999999999996</c:v>
                </c:pt>
                <c:pt idx="261">
                  <c:v>9.1</c:v>
                </c:pt>
                <c:pt idx="262">
                  <c:v>4.0999999999999996</c:v>
                </c:pt>
                <c:pt idx="263">
                  <c:v>9.1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3.8</c:v>
                </c:pt>
                <c:pt idx="270">
                  <c:v>12.9</c:v>
                </c:pt>
                <c:pt idx="271">
                  <c:v>14.9</c:v>
                </c:pt>
                <c:pt idx="272">
                  <c:v>12.9</c:v>
                </c:pt>
                <c:pt idx="273">
                  <c:v>14.9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3.9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8.6</c:v>
                </c:pt>
                <c:pt idx="282">
                  <c:v>4.5</c:v>
                </c:pt>
                <c:pt idx="283">
                  <c:v>5.5</c:v>
                </c:pt>
                <c:pt idx="284">
                  <c:v>4.5</c:v>
                </c:pt>
                <c:pt idx="285">
                  <c:v>5.5</c:v>
                </c:pt>
                <c:pt idx="286">
                  <c:v>4.5</c:v>
                </c:pt>
                <c:pt idx="287">
                  <c:v>5.5</c:v>
                </c:pt>
                <c:pt idx="288">
                  <c:v>4.5</c:v>
                </c:pt>
                <c:pt idx="289">
                  <c:v>5.5</c:v>
                </c:pt>
                <c:pt idx="290">
                  <c:v>4.5</c:v>
                </c:pt>
                <c:pt idx="291">
                  <c:v>5.5</c:v>
                </c:pt>
                <c:pt idx="292">
                  <c:v>4.5</c:v>
                </c:pt>
                <c:pt idx="293">
                  <c:v>5.5</c:v>
                </c:pt>
                <c:pt idx="294">
                  <c:v>4.5</c:v>
                </c:pt>
                <c:pt idx="295">
                  <c:v>5.5</c:v>
                </c:pt>
                <c:pt idx="296">
                  <c:v>4.5</c:v>
                </c:pt>
                <c:pt idx="297">
                  <c:v>5.5</c:v>
                </c:pt>
                <c:pt idx="313">
                  <c:v>9.5</c:v>
                </c:pt>
                <c:pt idx="314">
                  <c:v>9.5</c:v>
                </c:pt>
                <c:pt idx="315">
                  <c:v>4</c:v>
                </c:pt>
                <c:pt idx="316">
                  <c:v>4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9.1</c:v>
                </c:pt>
                <c:pt idx="320">
                  <c:v>9.1</c:v>
                </c:pt>
                <c:pt idx="321">
                  <c:v>4.0999999999999996</c:v>
                </c:pt>
                <c:pt idx="322">
                  <c:v>9.1</c:v>
                </c:pt>
                <c:pt idx="323">
                  <c:v>4</c:v>
                </c:pt>
                <c:pt idx="324">
                  <c:v>9.5</c:v>
                </c:pt>
                <c:pt idx="325">
                  <c:v>12.9</c:v>
                </c:pt>
                <c:pt idx="326">
                  <c:v>9.1</c:v>
                </c:pt>
                <c:pt idx="327">
                  <c:v>6.5</c:v>
                </c:pt>
                <c:pt idx="328">
                  <c:v>4.5</c:v>
                </c:pt>
                <c:pt idx="329">
                  <c:v>14</c:v>
                </c:pt>
                <c:pt idx="330">
                  <c:v>6.5</c:v>
                </c:pt>
                <c:pt idx="331">
                  <c:v>12.9</c:v>
                </c:pt>
                <c:pt idx="332">
                  <c:v>4.5</c:v>
                </c:pt>
                <c:pt idx="333">
                  <c:v>9.5</c:v>
                </c:pt>
                <c:pt idx="334">
                  <c:v>9.5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  <c:pt idx="344">
                  <c:v>4.0999999999999996</c:v>
                </c:pt>
              </c:numCache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FB-4DDB-AD8A-A784BFE4A41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headed!$Q$19:$Q$94</c:f>
              <c:numCache>
                <c:formatCode>General</c:formatCode>
                <c:ptCount val="76"/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8.3959536742577185</c:v>
                </c:pt>
                <c:pt idx="34">
                  <c:v>1.18</c:v>
                </c:pt>
                <c:pt idx="35">
                  <c:v>1.85</c:v>
                </c:pt>
                <c:pt idx="36">
                  <c:v>2.8</c:v>
                </c:pt>
                <c:pt idx="37">
                  <c:v>2.8</c:v>
                </c:pt>
                <c:pt idx="38">
                  <c:v>4.04</c:v>
                </c:pt>
                <c:pt idx="39">
                  <c:v>4.0599999999999996</c:v>
                </c:pt>
                <c:pt idx="40">
                  <c:v>4.7</c:v>
                </c:pt>
                <c:pt idx="41">
                  <c:v>4.7</c:v>
                </c:pt>
                <c:pt idx="42">
                  <c:v>4.7</c:v>
                </c:pt>
                <c:pt idx="43">
                  <c:v>10.39</c:v>
                </c:pt>
                <c:pt idx="44">
                  <c:v>1.18</c:v>
                </c:pt>
                <c:pt idx="45">
                  <c:v>1.85</c:v>
                </c:pt>
                <c:pt idx="46">
                  <c:v>1.85</c:v>
                </c:pt>
                <c:pt idx="47">
                  <c:v>2.8</c:v>
                </c:pt>
                <c:pt idx="48">
                  <c:v>2.8</c:v>
                </c:pt>
                <c:pt idx="49">
                  <c:v>2.8</c:v>
                </c:pt>
                <c:pt idx="50">
                  <c:v>4.04</c:v>
                </c:pt>
                <c:pt idx="51">
                  <c:v>4.0599999999999996</c:v>
                </c:pt>
                <c:pt idx="52">
                  <c:v>4.7</c:v>
                </c:pt>
                <c:pt idx="53">
                  <c:v>4.7</c:v>
                </c:pt>
                <c:pt idx="54">
                  <c:v>10.39</c:v>
                </c:pt>
                <c:pt idx="55">
                  <c:v>10.39</c:v>
                </c:pt>
                <c:pt idx="56">
                  <c:v>1.18</c:v>
                </c:pt>
                <c:pt idx="57">
                  <c:v>1.85</c:v>
                </c:pt>
                <c:pt idx="58">
                  <c:v>4.04</c:v>
                </c:pt>
                <c:pt idx="59">
                  <c:v>4.0599999999999996</c:v>
                </c:pt>
                <c:pt idx="60">
                  <c:v>10.39</c:v>
                </c:pt>
                <c:pt idx="61">
                  <c:v>1.1000000000000001</c:v>
                </c:pt>
                <c:pt idx="62">
                  <c:v>1.56</c:v>
                </c:pt>
                <c:pt idx="63">
                  <c:v>2.85</c:v>
                </c:pt>
                <c:pt idx="64">
                  <c:v>2.85</c:v>
                </c:pt>
                <c:pt idx="65">
                  <c:v>3.53</c:v>
                </c:pt>
                <c:pt idx="66">
                  <c:v>4.13</c:v>
                </c:pt>
                <c:pt idx="67">
                  <c:v>4.13</c:v>
                </c:pt>
                <c:pt idx="68">
                  <c:v>4.7699999999999996</c:v>
                </c:pt>
                <c:pt idx="69">
                  <c:v>6.69</c:v>
                </c:pt>
                <c:pt idx="70">
                  <c:v>6.69</c:v>
                </c:pt>
                <c:pt idx="71">
                  <c:v>9.26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  <c:pt idx="75">
                  <c:v>4.7</c:v>
                </c:pt>
              </c:numCache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FB-4DDB-AD8A-A784BFE4A4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FB-4DDB-AD8A-A784BFE4A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headed!$CK$20:$CK$1278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0.96129394656467926</c:v>
                </c:pt>
                <c:pt idx="150">
                  <c:v>1.2785719938235214</c:v>
                </c:pt>
                <c:pt idx="151">
                  <c:v>1.3098915185197448</c:v>
                </c:pt>
                <c:pt idx="152">
                  <c:v>0.98353055359065744</c:v>
                </c:pt>
                <c:pt idx="153">
                  <c:v>1.1067090057702911</c:v>
                </c:pt>
                <c:pt idx="154">
                  <c:v>1.0925318620009352</c:v>
                </c:pt>
                <c:pt idx="155">
                  <c:v>1.1437168102008413</c:v>
                </c:pt>
                <c:pt idx="156">
                  <c:v>1.112459169884874</c:v>
                </c:pt>
                <c:pt idx="157">
                  <c:v>1.1206763468020458</c:v>
                </c:pt>
                <c:pt idx="158">
                  <c:v>1.285171889692756</c:v>
                </c:pt>
                <c:pt idx="159">
                  <c:v>1.1618846803400318</c:v>
                </c:pt>
                <c:pt idx="160">
                  <c:v>1.0461407976053076</c:v>
                </c:pt>
                <c:pt idx="161">
                  <c:v>0.84308759932066202</c:v>
                </c:pt>
                <c:pt idx="162">
                  <c:v>1.0360993957423605</c:v>
                </c:pt>
                <c:pt idx="163">
                  <c:v>1.2987627920477962</c:v>
                </c:pt>
                <c:pt idx="164">
                  <c:v>1.634175742192578</c:v>
                </c:pt>
                <c:pt idx="165">
                  <c:v>1.2828934748820127</c:v>
                </c:pt>
                <c:pt idx="166">
                  <c:v>1.0755836101514773</c:v>
                </c:pt>
                <c:pt idx="167">
                  <c:v>1.3714309698264442</c:v>
                </c:pt>
                <c:pt idx="168">
                  <c:v>1.0895526539249616</c:v>
                </c:pt>
                <c:pt idx="169">
                  <c:v>1.1605850652682879</c:v>
                </c:pt>
                <c:pt idx="170">
                  <c:v>1.4903787129361226</c:v>
                </c:pt>
                <c:pt idx="171">
                  <c:v>1.3995998347943011</c:v>
                </c:pt>
                <c:pt idx="172">
                  <c:v>1.4954653297038225</c:v>
                </c:pt>
                <c:pt idx="173">
                  <c:v>1.2421247257802632</c:v>
                </c:pt>
                <c:pt idx="174">
                  <c:v>1.1290382156017438</c:v>
                </c:pt>
                <c:pt idx="175">
                  <c:v>1.118054357765794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1.2380919937878554</c:v>
                </c:pt>
                <c:pt idx="205">
                  <c:v>0.98516281921633742</c:v>
                </c:pt>
                <c:pt idx="207">
                  <c:v>0.93206382246205521</c:v>
                </c:pt>
                <c:pt idx="208">
                  <c:v>1.0324950798962937</c:v>
                </c:pt>
                <c:pt idx="209">
                  <c:v>1.4559039363893846</c:v>
                </c:pt>
                <c:pt idx="211">
                  <c:v>1.2033493663218637</c:v>
                </c:pt>
                <c:pt idx="215">
                  <c:v>1.6270397075880396</c:v>
                </c:pt>
                <c:pt idx="216">
                  <c:v>1.0787425247853666</c:v>
                </c:pt>
                <c:pt idx="217">
                  <c:v>0.864466025227837</c:v>
                </c:pt>
                <c:pt idx="218">
                  <c:v>1.1163081599228812</c:v>
                </c:pt>
                <c:pt idx="219">
                  <c:v>1.3187489627900544</c:v>
                </c:pt>
                <c:pt idx="220">
                  <c:v>1.5899976895949632</c:v>
                </c:pt>
                <c:pt idx="221">
                  <c:v>1.3244193650535829</c:v>
                </c:pt>
                <c:pt idx="222">
                  <c:v>0.96172270015417394</c:v>
                </c:pt>
                <c:pt idx="223">
                  <c:v>1.7054171816068107</c:v>
                </c:pt>
                <c:pt idx="224">
                  <c:v>1.4957640290850434</c:v>
                </c:pt>
                <c:pt idx="225">
                  <c:v>1.3582301682762954</c:v>
                </c:pt>
                <c:pt idx="227">
                  <c:v>1.1369631936734077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0.84833333333333338</c:v>
                </c:pt>
                <c:pt idx="233">
                  <c:v>1</c:v>
                </c:pt>
                <c:pt idx="234">
                  <c:v>1.0732340453544049</c:v>
                </c:pt>
                <c:pt idx="235">
                  <c:v>1.0025154962900582</c:v>
                </c:pt>
                <c:pt idx="236">
                  <c:v>1.3316690082587483</c:v>
                </c:pt>
                <c:pt idx="237">
                  <c:v>1.097611405753202</c:v>
                </c:pt>
                <c:pt idx="238">
                  <c:v>1.1737171323264513</c:v>
                </c:pt>
                <c:pt idx="239">
                  <c:v>0.98499999999999999</c:v>
                </c:pt>
                <c:pt idx="240">
                  <c:v>1.1793748514869569</c:v>
                </c:pt>
                <c:pt idx="241">
                  <c:v>1.0114255979953197</c:v>
                </c:pt>
                <c:pt idx="242">
                  <c:v>1.4143463626576895</c:v>
                </c:pt>
                <c:pt idx="243">
                  <c:v>1.1787643163301271</c:v>
                </c:pt>
                <c:pt idx="244">
                  <c:v>0.98628051473021827</c:v>
                </c:pt>
                <c:pt idx="245">
                  <c:v>0.96916666666666662</c:v>
                </c:pt>
                <c:pt idx="246">
                  <c:v>1.1078590441518625</c:v>
                </c:pt>
                <c:pt idx="247">
                  <c:v>1.0255837865554474</c:v>
                </c:pt>
                <c:pt idx="248">
                  <c:v>1.2622199993298189</c:v>
                </c:pt>
                <c:pt idx="249">
                  <c:v>1.0612133921380551</c:v>
                </c:pt>
                <c:pt idx="250">
                  <c:v>0.89800579941581282</c:v>
                </c:pt>
                <c:pt idx="251">
                  <c:v>0.88210240843168164</c:v>
                </c:pt>
                <c:pt idx="252">
                  <c:v>1.0355623876435345</c:v>
                </c:pt>
                <c:pt idx="253">
                  <c:v>0.97531366488201143</c:v>
                </c:pt>
                <c:pt idx="254">
                  <c:v>1.2275313013278444</c:v>
                </c:pt>
                <c:pt idx="255">
                  <c:v>1.0909962422431996</c:v>
                </c:pt>
                <c:pt idx="256">
                  <c:v>0.98097068748379734</c:v>
                </c:pt>
                <c:pt idx="257">
                  <c:v>1.0184221931806774</c:v>
                </c:pt>
                <c:pt idx="258">
                  <c:v>1.2076437156812905</c:v>
                </c:pt>
                <c:pt idx="259">
                  <c:v>1.026278911927931</c:v>
                </c:pt>
                <c:pt idx="260">
                  <c:v>0.95166687424883689</c:v>
                </c:pt>
                <c:pt idx="261">
                  <c:v>0.94979047422646845</c:v>
                </c:pt>
                <c:pt idx="262">
                  <c:v>1.0555684263285166</c:v>
                </c:pt>
                <c:pt idx="263">
                  <c:v>0.75449639049580097</c:v>
                </c:pt>
                <c:pt idx="264">
                  <c:v>0.85631332847185648</c:v>
                </c:pt>
                <c:pt idx="265">
                  <c:v>0.73864862864762737</c:v>
                </c:pt>
                <c:pt idx="266">
                  <c:v>1.0122595831277816</c:v>
                </c:pt>
                <c:pt idx="267">
                  <c:v>0.75738494469674067</c:v>
                </c:pt>
                <c:pt idx="268">
                  <c:v>0.98660780016235983</c:v>
                </c:pt>
                <c:pt idx="269">
                  <c:v>0.7688185795271586</c:v>
                </c:pt>
                <c:pt idx="270">
                  <c:v>0.93949066396852476</c:v>
                </c:pt>
                <c:pt idx="271">
                  <c:v>1.051317145691999</c:v>
                </c:pt>
                <c:pt idx="272">
                  <c:v>1.0428358329621183</c:v>
                </c:pt>
                <c:pt idx="273">
                  <c:v>0.90762534595970545</c:v>
                </c:pt>
                <c:pt idx="274">
                  <c:v>0.96668345094347008</c:v>
                </c:pt>
                <c:pt idx="275">
                  <c:v>0.92467198904083814</c:v>
                </c:pt>
                <c:pt idx="276">
                  <c:v>1.0457977173215069</c:v>
                </c:pt>
                <c:pt idx="277">
                  <c:v>0.98277763354811387</c:v>
                </c:pt>
                <c:pt idx="278">
                  <c:v>0.96655501262970034</c:v>
                </c:pt>
                <c:pt idx="279">
                  <c:v>0.94029242605845686</c:v>
                </c:pt>
                <c:pt idx="280">
                  <c:v>1.0210557999824699</c:v>
                </c:pt>
                <c:pt idx="281">
                  <c:v>1.0263095681968797</c:v>
                </c:pt>
                <c:pt idx="282">
                  <c:v>0.99617785069192466</c:v>
                </c:pt>
                <c:pt idx="283">
                  <c:v>1.1112596892664182</c:v>
                </c:pt>
                <c:pt idx="284">
                  <c:v>1.1281282791225913</c:v>
                </c:pt>
                <c:pt idx="285">
                  <c:v>1.3411331667214759</c:v>
                </c:pt>
                <c:pt idx="286">
                  <c:v>1.4014181325909159</c:v>
                </c:pt>
                <c:pt idx="287">
                  <c:v>1.1403447227271795</c:v>
                </c:pt>
                <c:pt idx="288">
                  <c:v>1.1667495807153807</c:v>
                </c:pt>
                <c:pt idx="289">
                  <c:v>1.3055599870590859</c:v>
                </c:pt>
                <c:pt idx="290">
                  <c:v>1.4151480032461179</c:v>
                </c:pt>
                <c:pt idx="291">
                  <c:v>1.0695354015578697</c:v>
                </c:pt>
                <c:pt idx="292">
                  <c:v>1.1086028706787405</c:v>
                </c:pt>
                <c:pt idx="293">
                  <c:v>1.2682678827222702</c:v>
                </c:pt>
                <c:pt idx="294">
                  <c:v>1.4782200012625968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0.64304013454181963</c:v>
                </c:pt>
                <c:pt idx="299">
                  <c:v>0.76838286120630295</c:v>
                </c:pt>
                <c:pt idx="300">
                  <c:v>0.89552419733717004</c:v>
                </c:pt>
                <c:pt idx="301">
                  <c:v>0.7840718743477787</c:v>
                </c:pt>
                <c:pt idx="302">
                  <c:v>0.98409766607899973</c:v>
                </c:pt>
                <c:pt idx="303">
                  <c:v>1.1028377286200142</c:v>
                </c:pt>
                <c:pt idx="304">
                  <c:v>0.81958454427477145</c:v>
                </c:pt>
                <c:pt idx="305">
                  <c:v>0.86504992090891586</c:v>
                </c:pt>
                <c:pt idx="306">
                  <c:v>0.77187994815402661</c:v>
                </c:pt>
                <c:pt idx="307">
                  <c:v>0.96079814882500592</c:v>
                </c:pt>
                <c:pt idx="308">
                  <c:v>0.72179535196685451</c:v>
                </c:pt>
                <c:pt idx="309">
                  <c:v>0.90958443196571492</c:v>
                </c:pt>
                <c:pt idx="310">
                  <c:v>0.94633885858091515</c:v>
                </c:pt>
                <c:pt idx="311">
                  <c:v>0.88772695202762453</c:v>
                </c:pt>
                <c:pt idx="312">
                  <c:v>1.040321922403797</c:v>
                </c:pt>
                <c:pt idx="313">
                  <c:v>1.0201564955106805</c:v>
                </c:pt>
                <c:pt idx="314">
                  <c:v>1.1408969245623375</c:v>
                </c:pt>
                <c:pt idx="315">
                  <c:v>1.0927712921092712</c:v>
                </c:pt>
                <c:pt idx="316">
                  <c:v>1.2733735889849789</c:v>
                </c:pt>
                <c:pt idx="317">
                  <c:v>1.0374944577148659</c:v>
                </c:pt>
                <c:pt idx="318">
                  <c:v>1.0877385129806194</c:v>
                </c:pt>
                <c:pt idx="319">
                  <c:v>0.77596899224806193</c:v>
                </c:pt>
                <c:pt idx="320">
                  <c:v>0.76884181445606981</c:v>
                </c:pt>
                <c:pt idx="321">
                  <c:v>1</c:v>
                </c:pt>
                <c:pt idx="322">
                  <c:v>1.0970371571867716</c:v>
                </c:pt>
                <c:pt idx="323">
                  <c:v>0.93271114834467483</c:v>
                </c:pt>
                <c:pt idx="324">
                  <c:v>0.98191767642597505</c:v>
                </c:pt>
                <c:pt idx="325">
                  <c:v>0.92990729725452292</c:v>
                </c:pt>
                <c:pt idx="326">
                  <c:v>1.2334336233137346</c:v>
                </c:pt>
                <c:pt idx="327">
                  <c:v>0.73708254508719195</c:v>
                </c:pt>
                <c:pt idx="328">
                  <c:v>0.76475423221277683</c:v>
                </c:pt>
                <c:pt idx="329">
                  <c:v>0.80505769112623204</c:v>
                </c:pt>
                <c:pt idx="330">
                  <c:v>1.1698808414795534</c:v>
                </c:pt>
                <c:pt idx="331">
                  <c:v>0.81066942187607538</c:v>
                </c:pt>
                <c:pt idx="332">
                  <c:v>0.89753775945612424</c:v>
                </c:pt>
                <c:pt idx="333">
                  <c:v>0.89515643202731698</c:v>
                </c:pt>
                <c:pt idx="334">
                  <c:v>0.95550025830198404</c:v>
                </c:pt>
                <c:pt idx="335">
                  <c:v>1.0643352713979048</c:v>
                </c:pt>
                <c:pt idx="336">
                  <c:v>0.9161935541106252</c:v>
                </c:pt>
                <c:pt idx="337">
                  <c:v>1.0276805768179793</c:v>
                </c:pt>
                <c:pt idx="338">
                  <c:v>0.79497862339968595</c:v>
                </c:pt>
                <c:pt idx="339">
                  <c:v>1.0750809484919404</c:v>
                </c:pt>
                <c:pt idx="340">
                  <c:v>0.62319362436667958</c:v>
                </c:pt>
                <c:pt idx="341">
                  <c:v>0.96051437093285852</c:v>
                </c:pt>
                <c:pt idx="342">
                  <c:v>0.87917179348650509</c:v>
                </c:pt>
                <c:pt idx="343">
                  <c:v>1.2347092535127056</c:v>
                </c:pt>
                <c:pt idx="344">
                  <c:v>0.60184794055467938</c:v>
                </c:pt>
                <c:pt idx="345">
                  <c:v>1.0219610040497915</c:v>
                </c:pt>
                <c:pt idx="346">
                  <c:v>0.7330357782373077</c:v>
                </c:pt>
                <c:pt idx="347">
                  <c:v>1.1198131819366681</c:v>
                </c:pt>
                <c:pt idx="348">
                  <c:v>0.66486057633594775</c:v>
                </c:pt>
                <c:pt idx="349">
                  <c:v>1.0063627542062954</c:v>
                </c:pt>
                <c:pt idx="350">
                  <c:v>0.65201390875330911</c:v>
                </c:pt>
                <c:pt idx="351">
                  <c:v>0.96063482258325084</c:v>
                </c:pt>
                <c:pt idx="352">
                  <c:v>0.72042570438964904</c:v>
                </c:pt>
                <c:pt idx="353">
                  <c:v>1.1550340401026544</c:v>
                </c:pt>
                <c:pt idx="354">
                  <c:v>0.65535916327208799</c:v>
                </c:pt>
                <c:pt idx="355">
                  <c:v>1.1105084560718819</c:v>
                </c:pt>
                <c:pt idx="356">
                  <c:v>0.79874270242833545</c:v>
                </c:pt>
                <c:pt idx="357">
                  <c:v>1.023547164422965</c:v>
                </c:pt>
                <c:pt idx="358">
                  <c:v>0.85551395808440578</c:v>
                </c:pt>
                <c:pt idx="359">
                  <c:v>0.98139244277365356</c:v>
                </c:pt>
                <c:pt idx="360">
                  <c:v>0.70984876435598188</c:v>
                </c:pt>
                <c:pt idx="361">
                  <c:v>1.0481130483497585</c:v>
                </c:pt>
                <c:pt idx="362">
                  <c:v>0.90063459723224326</c:v>
                </c:pt>
                <c:pt idx="363">
                  <c:v>1.2858428339267387</c:v>
                </c:pt>
                <c:pt idx="364">
                  <c:v>0.89396556017501727</c:v>
                </c:pt>
                <c:pt idx="365">
                  <c:v>0.98338913792026705</c:v>
                </c:pt>
                <c:pt idx="366">
                  <c:v>1.036322161226584</c:v>
                </c:pt>
                <c:pt idx="367">
                  <c:v>1.3610574349331113</c:v>
                </c:pt>
                <c:pt idx="368">
                  <c:v>1.1811110675219012</c:v>
                </c:pt>
                <c:pt idx="369">
                  <c:v>0.65825114412661645</c:v>
                </c:pt>
                <c:pt idx="370">
                  <c:v>0.77378912538861899</c:v>
                </c:pt>
                <c:pt idx="371">
                  <c:v>0.75899280575539563</c:v>
                </c:pt>
                <c:pt idx="372">
                  <c:v>0.8904869210020433</c:v>
                </c:pt>
                <c:pt idx="373">
                  <c:v>0.90287769784172656</c:v>
                </c:pt>
                <c:pt idx="374">
                  <c:v>0.98498574494393953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0.81191613543819985</c:v>
                </c:pt>
                <c:pt idx="378">
                  <c:v>0.9430316920738141</c:v>
                </c:pt>
                <c:pt idx="379">
                  <c:v>1.0458763223941501</c:v>
                </c:pt>
                <c:pt idx="380">
                  <c:v>0.93075915185163327</c:v>
                </c:pt>
                <c:pt idx="381">
                  <c:v>1.0597976267559761</c:v>
                </c:pt>
                <c:pt idx="382">
                  <c:v>1.4770163586145215</c:v>
                </c:pt>
                <c:pt idx="383">
                  <c:v>0.9223210736286156</c:v>
                </c:pt>
                <c:pt idx="384">
                  <c:v>1.0760378613885915</c:v>
                </c:pt>
                <c:pt idx="385">
                  <c:v>1.0622002196076112</c:v>
                </c:pt>
                <c:pt idx="386">
                  <c:v>0.68598892644176579</c:v>
                </c:pt>
                <c:pt idx="387">
                  <c:v>0.83117670323868909</c:v>
                </c:pt>
                <c:pt idx="388">
                  <c:v>0.90798285629871378</c:v>
                </c:pt>
                <c:pt idx="389">
                  <c:v>0.80065106847835565</c:v>
                </c:pt>
                <c:pt idx="390">
                  <c:v>0.91366453911512724</c:v>
                </c:pt>
                <c:pt idx="391">
                  <c:v>0.63658061415316614</c:v>
                </c:pt>
                <c:pt idx="392">
                  <c:v>0.67872485494033818</c:v>
                </c:pt>
                <c:pt idx="393">
                  <c:v>0.83340478977310528</c:v>
                </c:pt>
                <c:pt idx="394">
                  <c:v>0.61800778838527559</c:v>
                </c:pt>
                <c:pt idx="395">
                  <c:v>0.70367808719437008</c:v>
                </c:pt>
                <c:pt idx="396">
                  <c:v>0.9393306132040562</c:v>
                </c:pt>
                <c:pt idx="397">
                  <c:v>0.65027889870200761</c:v>
                </c:pt>
                <c:pt idx="398">
                  <c:v>0.95884996399514588</c:v>
                </c:pt>
                <c:pt idx="399">
                  <c:v>1.0237310466798923</c:v>
                </c:pt>
                <c:pt idx="400">
                  <c:v>0.58197921135499686</c:v>
                </c:pt>
                <c:pt idx="401">
                  <c:v>0.64761509962742803</c:v>
                </c:pt>
                <c:pt idx="402">
                  <c:v>0.80079303363680798</c:v>
                </c:pt>
                <c:pt idx="403">
                  <c:v>0.47564989032534455</c:v>
                </c:pt>
                <c:pt idx="404">
                  <c:v>0.66704150177213273</c:v>
                </c:pt>
                <c:pt idx="405">
                  <c:v>0.70702684009784134</c:v>
                </c:pt>
                <c:pt idx="406">
                  <c:v>1.0814969925658282</c:v>
                </c:pt>
                <c:pt idx="407">
                  <c:v>0.99576500752813224</c:v>
                </c:pt>
                <c:pt idx="408">
                  <c:v>0.99413885294838056</c:v>
                </c:pt>
                <c:pt idx="409">
                  <c:v>1.1394424782402843</c:v>
                </c:pt>
                <c:pt idx="410">
                  <c:v>0.67339603919552049</c:v>
                </c:pt>
                <c:pt idx="411">
                  <c:v>0.8706995887826271</c:v>
                </c:pt>
                <c:pt idx="412">
                  <c:v>1.0281950348313329</c:v>
                </c:pt>
                <c:pt idx="413">
                  <c:v>1.1970277979743196</c:v>
                </c:pt>
                <c:pt idx="414">
                  <c:v>0.75774169091366828</c:v>
                </c:pt>
                <c:pt idx="415">
                  <c:v>1.0238289667935871</c:v>
                </c:pt>
                <c:pt idx="416">
                  <c:v>0.73182258163771818</c:v>
                </c:pt>
                <c:pt idx="417">
                  <c:v>0.85256630700679548</c:v>
                </c:pt>
                <c:pt idx="418">
                  <c:v>0.99737956201403044</c:v>
                </c:pt>
                <c:pt idx="419">
                  <c:v>1.0728433505360115</c:v>
                </c:pt>
                <c:pt idx="420">
                  <c:v>1.2159686517391213</c:v>
                </c:pt>
                <c:pt idx="421">
                  <c:v>1.2091576243153148</c:v>
                </c:pt>
                <c:pt idx="422">
                  <c:v>0.79048475314469613</c:v>
                </c:pt>
                <c:pt idx="423">
                  <c:v>0.83691102883897983</c:v>
                </c:pt>
                <c:pt idx="424">
                  <c:v>1.006304469333855</c:v>
                </c:pt>
                <c:pt idx="425">
                  <c:v>1.189548271882735</c:v>
                </c:pt>
                <c:pt idx="426">
                  <c:v>1.1596127136690846</c:v>
                </c:pt>
                <c:pt idx="427">
                  <c:v>1.2217011324137843</c:v>
                </c:pt>
                <c:pt idx="428">
                  <c:v>1.3325481105008794</c:v>
                </c:pt>
                <c:pt idx="429">
                  <c:v>1.3127262358757383</c:v>
                </c:pt>
                <c:pt idx="430">
                  <c:v>1.1515856076091984</c:v>
                </c:pt>
                <c:pt idx="431">
                  <c:v>1.1740740153975369</c:v>
                </c:pt>
                <c:pt idx="432">
                  <c:v>1.2956263023911716</c:v>
                </c:pt>
                <c:pt idx="433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1-481B-8B5B-D57A9C7417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1-481B-8B5B-D57A9C741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headed!$CO$20:$CO$104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08-476B-B3CC-D58F32BC84C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headed!$CU$20:$CU$104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08-476B-B3CC-D58F32BC84C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08-476B-B3CC-D58F32BC8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headed!$CQ$20:$CQ$104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D-4F95-975A-B088513EABA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headed!$CW$20:$CW$104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8D-4F95-975A-B088513EABA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8D-4F95-975A-B088513EA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headed!$CO$169:$CO$195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7-43C2-AE9E-C9B5E0DAAFD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headed!$CU$169:$CU$195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87-43C2-AE9E-C9B5E0DAAFD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headed!$CO$216:$CO$453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87-43C2-AE9E-C9B5E0DAAFD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headed!$CU$216:$CU$453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87-43C2-AE9E-C9B5E0DAAFD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87-43C2-AE9E-C9B5E0DAAFD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headed!$CO$196:$CO$215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87-43C2-AE9E-C9B5E0DAAFD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headed!$CU$196:$CU$215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87-43C2-AE9E-C9B5E0DAA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headed!$CL$53:$CL$1278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1.0049803374710342</c:v>
                </c:pt>
                <c:pt idx="117">
                  <c:v>1.336765961716297</c:v>
                </c:pt>
                <c:pt idx="118">
                  <c:v>1.3502706830387621</c:v>
                </c:pt>
                <c:pt idx="119">
                  <c:v>1.0412218156152346</c:v>
                </c:pt>
                <c:pt idx="120">
                  <c:v>1.1716971921552939</c:v>
                </c:pt>
                <c:pt idx="121">
                  <c:v>1.131898315070766</c:v>
                </c:pt>
                <c:pt idx="122">
                  <c:v>1.1972859454860088</c:v>
                </c:pt>
                <c:pt idx="123">
                  <c:v>1.1825979304836267</c:v>
                </c:pt>
                <c:pt idx="124">
                  <c:v>1.1802441564682067</c:v>
                </c:pt>
                <c:pt idx="125">
                  <c:v>1.3701259564751176</c:v>
                </c:pt>
                <c:pt idx="126">
                  <c:v>1.2158256317980205</c:v>
                </c:pt>
                <c:pt idx="127">
                  <c:v>1.1078654557321155</c:v>
                </c:pt>
                <c:pt idx="128">
                  <c:v>0.88558461738800009</c:v>
                </c:pt>
                <c:pt idx="129">
                  <c:v>1.0971269956239666</c:v>
                </c:pt>
                <c:pt idx="130">
                  <c:v>1.3493245422364921</c:v>
                </c:pt>
                <c:pt idx="131">
                  <c:v>1.6978913823018422</c:v>
                </c:pt>
                <c:pt idx="132">
                  <c:v>1.3095784928162608</c:v>
                </c:pt>
                <c:pt idx="133">
                  <c:v>1.1362985571149462</c:v>
                </c:pt>
                <c:pt idx="134">
                  <c:v>1.4489090299456451</c:v>
                </c:pt>
                <c:pt idx="135">
                  <c:v>1.1264315123772384</c:v>
                </c:pt>
                <c:pt idx="136">
                  <c:v>1.250702910301895</c:v>
                </c:pt>
                <c:pt idx="137">
                  <c:v>1.6061312508358303</c:v>
                </c:pt>
                <c:pt idx="138">
                  <c:v>1.5076213914643732</c:v>
                </c:pt>
                <c:pt idx="139">
                  <c:v>1.6116129274598434</c:v>
                </c:pt>
                <c:pt idx="140">
                  <c:v>1.353732099805089</c:v>
                </c:pt>
                <c:pt idx="141">
                  <c:v>1.2140631955584191</c:v>
                </c:pt>
                <c:pt idx="142">
                  <c:v>1.2142589675863487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1.3383380886118024</c:v>
                </c:pt>
                <c:pt idx="172">
                  <c:v>1.0667341823935248</c:v>
                </c:pt>
                <c:pt idx="174">
                  <c:v>0.96123910886210173</c:v>
                </c:pt>
                <c:pt idx="175">
                  <c:v>1.0800473563193289</c:v>
                </c:pt>
                <c:pt idx="176">
                  <c:v>1.5688980242628909</c:v>
                </c:pt>
                <c:pt idx="178">
                  <c:v>1.3081102480693489</c:v>
                </c:pt>
                <c:pt idx="182">
                  <c:v>1.6772269266410664</c:v>
                </c:pt>
                <c:pt idx="183">
                  <c:v>1.1150394683014302</c:v>
                </c:pt>
                <c:pt idx="184">
                  <c:v>0.93601937017964099</c:v>
                </c:pt>
                <c:pt idx="185">
                  <c:v>1.2119877238401617</c:v>
                </c:pt>
                <c:pt idx="186">
                  <c:v>1.4335498222786425</c:v>
                </c:pt>
                <c:pt idx="187">
                  <c:v>1.7241744032031006</c:v>
                </c:pt>
                <c:pt idx="188">
                  <c:v>1.4709966291791812</c:v>
                </c:pt>
                <c:pt idx="189">
                  <c:v>1.024630490427666</c:v>
                </c:pt>
                <c:pt idx="190">
                  <c:v>1.7084704294313242</c:v>
                </c:pt>
                <c:pt idx="191">
                  <c:v>1.5425351929470028</c:v>
                </c:pt>
                <c:pt idx="192">
                  <c:v>1.4530735737887628</c:v>
                </c:pt>
                <c:pt idx="194">
                  <c:v>1.162098744070923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0.91851247644247092</c:v>
                </c:pt>
                <c:pt idx="200">
                  <c:v>1</c:v>
                </c:pt>
                <c:pt idx="201">
                  <c:v>1.1669913938500407</c:v>
                </c:pt>
                <c:pt idx="202">
                  <c:v>1.0958321519136152</c:v>
                </c:pt>
                <c:pt idx="203">
                  <c:v>1.4482630142707176</c:v>
                </c:pt>
                <c:pt idx="204">
                  <c:v>1.2065212017848979</c:v>
                </c:pt>
                <c:pt idx="205">
                  <c:v>1.2638608456589822</c:v>
                </c:pt>
                <c:pt idx="206">
                  <c:v>1.0429653107588621</c:v>
                </c:pt>
                <c:pt idx="207">
                  <c:v>1.267632927019867</c:v>
                </c:pt>
                <c:pt idx="208">
                  <c:v>1.0864732280294513</c:v>
                </c:pt>
                <c:pt idx="209">
                  <c:v>1.5147236131087898</c:v>
                </c:pt>
                <c:pt idx="210">
                  <c:v>1.2694084672363284</c:v>
                </c:pt>
                <c:pt idx="211">
                  <c:v>1.0591467407093387</c:v>
                </c:pt>
                <c:pt idx="212">
                  <c:v>0.99943469121787187</c:v>
                </c:pt>
                <c:pt idx="213">
                  <c:v>1.1787430355325779</c:v>
                </c:pt>
                <c:pt idx="214">
                  <c:v>1.0953486974677027</c:v>
                </c:pt>
                <c:pt idx="215">
                  <c:v>1.3410351127446876</c:v>
                </c:pt>
                <c:pt idx="216">
                  <c:v>1.1378780950693508</c:v>
                </c:pt>
                <c:pt idx="217">
                  <c:v>0.94606036381909953</c:v>
                </c:pt>
                <c:pt idx="218">
                  <c:v>0.9280417512964777</c:v>
                </c:pt>
                <c:pt idx="219">
                  <c:v>1.0537522781326267</c:v>
                </c:pt>
                <c:pt idx="220">
                  <c:v>0.99104241411838778</c:v>
                </c:pt>
                <c:pt idx="221">
                  <c:v>1.246854111705707</c:v>
                </c:pt>
                <c:pt idx="222">
                  <c:v>1.1108598911062268</c:v>
                </c:pt>
                <c:pt idx="223">
                  <c:v>1.0069882788145434</c:v>
                </c:pt>
                <c:pt idx="224">
                  <c:v>1.0429659273597731</c:v>
                </c:pt>
                <c:pt idx="225">
                  <c:v>1.2415241895472264</c:v>
                </c:pt>
                <c:pt idx="226">
                  <c:v>1.0607370982090985</c:v>
                </c:pt>
                <c:pt idx="227">
                  <c:v>0.98254513569119484</c:v>
                </c:pt>
                <c:pt idx="228">
                  <c:v>0.97651110382324768</c:v>
                </c:pt>
                <c:pt idx="229">
                  <c:v>1.0887563493315389</c:v>
                </c:pt>
                <c:pt idx="230">
                  <c:v>0.78300596637240216</c:v>
                </c:pt>
                <c:pt idx="231">
                  <c:v>0.88968810745173232</c:v>
                </c:pt>
                <c:pt idx="232">
                  <c:v>0.74214693971252432</c:v>
                </c:pt>
                <c:pt idx="233">
                  <c:v>1.015645214075779</c:v>
                </c:pt>
                <c:pt idx="234">
                  <c:v>0.76591341717817985</c:v>
                </c:pt>
                <c:pt idx="235">
                  <c:v>0.99490267950518141</c:v>
                </c:pt>
                <c:pt idx="236">
                  <c:v>0.782670244439856</c:v>
                </c:pt>
                <c:pt idx="237">
                  <c:v>0.95490274844904621</c:v>
                </c:pt>
                <c:pt idx="238">
                  <c:v>1.10521720654621</c:v>
                </c:pt>
                <c:pt idx="239">
                  <c:v>1.1039912468916053</c:v>
                </c:pt>
                <c:pt idx="240">
                  <c:v>0.97146948096887209</c:v>
                </c:pt>
                <c:pt idx="241">
                  <c:v>1.0425960964081298</c:v>
                </c:pt>
                <c:pt idx="242">
                  <c:v>0.96545639129394512</c:v>
                </c:pt>
                <c:pt idx="243">
                  <c:v>1.1029753689711439</c:v>
                </c:pt>
                <c:pt idx="244">
                  <c:v>1.0443012016693149</c:v>
                </c:pt>
                <c:pt idx="245">
                  <c:v>1.035801217585661</c:v>
                </c:pt>
                <c:pt idx="246">
                  <c:v>0.97511909646297612</c:v>
                </c:pt>
                <c:pt idx="247">
                  <c:v>1.0745054096439952</c:v>
                </c:pt>
                <c:pt idx="248">
                  <c:v>1.0849879495526928</c:v>
                </c:pt>
                <c:pt idx="249">
                  <c:v>1.0658353776281775</c:v>
                </c:pt>
                <c:pt idx="250">
                  <c:v>1.164038324517964</c:v>
                </c:pt>
                <c:pt idx="251">
                  <c:v>1.1851863092498804</c:v>
                </c:pt>
                <c:pt idx="252">
                  <c:v>1.4000927741086981</c:v>
                </c:pt>
                <c:pt idx="253">
                  <c:v>1.4707672066107018</c:v>
                </c:pt>
                <c:pt idx="254">
                  <c:v>1.1693024959062237</c:v>
                </c:pt>
                <c:pt idx="255">
                  <c:v>1.1994142932326093</c:v>
                </c:pt>
                <c:pt idx="256">
                  <c:v>1.3354151143487145</c:v>
                </c:pt>
                <c:pt idx="257">
                  <c:v>1.4489801776685771</c:v>
                </c:pt>
                <c:pt idx="258">
                  <c:v>1.0759579072343315</c:v>
                </c:pt>
                <c:pt idx="259">
                  <c:v>1.1152914305964363</c:v>
                </c:pt>
                <c:pt idx="260">
                  <c:v>1.2732119156908908</c:v>
                </c:pt>
                <c:pt idx="261">
                  <c:v>1.486801599498017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0.65440646347147291</c:v>
                </c:pt>
                <c:pt idx="266">
                  <c:v>0.74645745582544709</c:v>
                </c:pt>
                <c:pt idx="267">
                  <c:v>0.86626402070750652</c:v>
                </c:pt>
                <c:pt idx="268">
                  <c:v>0.78909154398737613</c:v>
                </c:pt>
                <c:pt idx="269">
                  <c:v>0.93712665612600687</c:v>
                </c:pt>
                <c:pt idx="270">
                  <c:v>1.0095343957325076</c:v>
                </c:pt>
                <c:pt idx="271">
                  <c:v>0.82535245957938552</c:v>
                </c:pt>
                <c:pt idx="272">
                  <c:v>0.87025939203289582</c:v>
                </c:pt>
                <c:pt idx="273">
                  <c:v>0.74722430214469848</c:v>
                </c:pt>
                <c:pt idx="274">
                  <c:v>0.93212965513993562</c:v>
                </c:pt>
                <c:pt idx="275">
                  <c:v>0.70351864336481917</c:v>
                </c:pt>
                <c:pt idx="276">
                  <c:v>0.88584801505264343</c:v>
                </c:pt>
                <c:pt idx="277">
                  <c:v>0.93461795122954905</c:v>
                </c:pt>
                <c:pt idx="278">
                  <c:v>0.8760822339448866</c:v>
                </c:pt>
                <c:pt idx="279">
                  <c:v>1.0546620803021731</c:v>
                </c:pt>
                <c:pt idx="280">
                  <c:v>1.0088869571220103</c:v>
                </c:pt>
                <c:pt idx="281">
                  <c:v>1.127721019295898</c:v>
                </c:pt>
                <c:pt idx="282">
                  <c:v>1.0815801265431821</c:v>
                </c:pt>
                <c:pt idx="283">
                  <c:v>1.2575697339160365</c:v>
                </c:pt>
                <c:pt idx="284">
                  <c:v>1.0377227912290949</c:v>
                </c:pt>
                <c:pt idx="285">
                  <c:v>1.0851045143939175</c:v>
                </c:pt>
                <c:pt idx="286">
                  <c:v>0.78234204586737066</c:v>
                </c:pt>
                <c:pt idx="287">
                  <c:v>0.76733459610941368</c:v>
                </c:pt>
                <c:pt idx="288">
                  <c:v>1.0136499429452763</c:v>
                </c:pt>
                <c:pt idx="289">
                  <c:v>1.0886125437537382</c:v>
                </c:pt>
                <c:pt idx="290">
                  <c:v>0.94794472349162318</c:v>
                </c:pt>
                <c:pt idx="291">
                  <c:v>0.95810293219723919</c:v>
                </c:pt>
                <c:pt idx="292">
                  <c:v>0.94032104183423759</c:v>
                </c:pt>
                <c:pt idx="293">
                  <c:v>1.1917519000638892</c:v>
                </c:pt>
                <c:pt idx="294">
                  <c:v>0.73918547860307671</c:v>
                </c:pt>
                <c:pt idx="295">
                  <c:v>0.73435132953628823</c:v>
                </c:pt>
                <c:pt idx="296">
                  <c:v>0.80046699672781108</c:v>
                </c:pt>
                <c:pt idx="297">
                  <c:v>1.1085878003695551</c:v>
                </c:pt>
                <c:pt idx="298">
                  <c:v>0.85520549534192214</c:v>
                </c:pt>
                <c:pt idx="299">
                  <c:v>0.94115541649385537</c:v>
                </c:pt>
                <c:pt idx="300">
                  <c:v>0.93310480003574625</c:v>
                </c:pt>
                <c:pt idx="301">
                  <c:v>0.98697622127594653</c:v>
                </c:pt>
                <c:pt idx="302">
                  <c:v>1.0864891795569402</c:v>
                </c:pt>
                <c:pt idx="303">
                  <c:v>0.96674260066309403</c:v>
                </c:pt>
                <c:pt idx="304">
                  <c:v>1.0879820523592281</c:v>
                </c:pt>
                <c:pt idx="305">
                  <c:v>0.82233348350740842</c:v>
                </c:pt>
                <c:pt idx="306">
                  <c:v>1.1130622636058647</c:v>
                </c:pt>
                <c:pt idx="307">
                  <c:v>0.63480838312555887</c:v>
                </c:pt>
                <c:pt idx="308">
                  <c:v>0.97995058160380566</c:v>
                </c:pt>
                <c:pt idx="309">
                  <c:v>0.90003950832799662</c:v>
                </c:pt>
                <c:pt idx="310">
                  <c:v>1.2625217719196895</c:v>
                </c:pt>
                <c:pt idx="311">
                  <c:v>0.63292489521379602</c:v>
                </c:pt>
                <c:pt idx="312">
                  <c:v>1.0771457263688171</c:v>
                </c:pt>
                <c:pt idx="313">
                  <c:v>0.73924512696546085</c:v>
                </c:pt>
                <c:pt idx="314">
                  <c:v>1.1248507186141501</c:v>
                </c:pt>
                <c:pt idx="315">
                  <c:v>0.68467739710453912</c:v>
                </c:pt>
                <c:pt idx="316">
                  <c:v>1.0359680488784047</c:v>
                </c:pt>
                <c:pt idx="317">
                  <c:v>0.67868729013532503</c:v>
                </c:pt>
                <c:pt idx="318">
                  <c:v>1.0002692328949259</c:v>
                </c:pt>
                <c:pt idx="319">
                  <c:v>0.72633374341804824</c:v>
                </c:pt>
                <c:pt idx="320">
                  <c:v>1.1618512131976952</c:v>
                </c:pt>
                <c:pt idx="321">
                  <c:v>0.63898823880641586</c:v>
                </c:pt>
                <c:pt idx="322">
                  <c:v>1.0767191342865152</c:v>
                </c:pt>
                <c:pt idx="323">
                  <c:v>0.75400013200926497</c:v>
                </c:pt>
                <c:pt idx="324">
                  <c:v>0.95972228420837502</c:v>
                </c:pt>
                <c:pt idx="325">
                  <c:v>0.89951817016281221</c:v>
                </c:pt>
                <c:pt idx="326">
                  <c:v>0.97894457082747688</c:v>
                </c:pt>
                <c:pt idx="327">
                  <c:v>0.74462905197182427</c:v>
                </c:pt>
                <c:pt idx="328">
                  <c:v>1.0414859751276166</c:v>
                </c:pt>
                <c:pt idx="329">
                  <c:v>0.94846759987164653</c:v>
                </c:pt>
                <c:pt idx="330">
                  <c:v>1.2792539211145848</c:v>
                </c:pt>
                <c:pt idx="331">
                  <c:v>0.95692750390543657</c:v>
                </c:pt>
                <c:pt idx="332">
                  <c:v>1.000825177613299</c:v>
                </c:pt>
                <c:pt idx="333">
                  <c:v>1.1093102722998569</c:v>
                </c:pt>
                <c:pt idx="334">
                  <c:v>1.3796539954432834</c:v>
                </c:pt>
                <c:pt idx="335">
                  <c:v>1.2648314968012164</c:v>
                </c:pt>
                <c:pt idx="336">
                  <c:v>0.67646352686461653</c:v>
                </c:pt>
                <c:pt idx="337">
                  <c:v>0.75051026424073697</c:v>
                </c:pt>
                <c:pt idx="338">
                  <c:v>0.77281597321579087</c:v>
                </c:pt>
                <c:pt idx="339">
                  <c:v>0.86413021470864393</c:v>
                </c:pt>
                <c:pt idx="340">
                  <c:v>0.91208253125064931</c:v>
                </c:pt>
                <c:pt idx="341">
                  <c:v>0.95614243505191698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0.82625634412902194</c:v>
                </c:pt>
                <c:pt idx="345">
                  <c:v>0.9601139047349182</c:v>
                </c:pt>
                <c:pt idx="346">
                  <c:v>1.0627262740118579</c:v>
                </c:pt>
                <c:pt idx="347">
                  <c:v>0.93527480684988118</c:v>
                </c:pt>
                <c:pt idx="348">
                  <c:v>1.0625500982773062</c:v>
                </c:pt>
                <c:pt idx="349">
                  <c:v>1.4822322141280799</c:v>
                </c:pt>
                <c:pt idx="350">
                  <c:v>1.0182198876788391</c:v>
                </c:pt>
                <c:pt idx="351">
                  <c:v>1.1905256945812908</c:v>
                </c:pt>
                <c:pt idx="352">
                  <c:v>1.1753055919076683</c:v>
                </c:pt>
                <c:pt idx="353">
                  <c:v>0.74669552116938287</c:v>
                </c:pt>
                <c:pt idx="354">
                  <c:v>0.90336797784402101</c:v>
                </c:pt>
                <c:pt idx="355">
                  <c:v>0.99108586662496612</c:v>
                </c:pt>
                <c:pt idx="356">
                  <c:v>0.8348184273807373</c:v>
                </c:pt>
                <c:pt idx="357">
                  <c:v>0.95553229503146886</c:v>
                </c:pt>
                <c:pt idx="358">
                  <c:v>0.67335839175112699</c:v>
                </c:pt>
                <c:pt idx="359">
                  <c:v>0.69192281388318311</c:v>
                </c:pt>
                <c:pt idx="360">
                  <c:v>0.84853134899852589</c:v>
                </c:pt>
                <c:pt idx="361">
                  <c:v>0.6648035989042731</c:v>
                </c:pt>
                <c:pt idx="362">
                  <c:v>0.72846501506533778</c:v>
                </c:pt>
                <c:pt idx="363">
                  <c:v>1.0134345640672162</c:v>
                </c:pt>
                <c:pt idx="364">
                  <c:v>0.67317534853537886</c:v>
                </c:pt>
                <c:pt idx="365">
                  <c:v>1.0383544149159285</c:v>
                </c:pt>
                <c:pt idx="366">
                  <c:v>1.0615276951705674</c:v>
                </c:pt>
                <c:pt idx="367">
                  <c:v>0.61746193238869718</c:v>
                </c:pt>
                <c:pt idx="368">
                  <c:v>0.68724341538301104</c:v>
                </c:pt>
                <c:pt idx="369">
                  <c:v>0.85028063832166845</c:v>
                </c:pt>
                <c:pt idx="370">
                  <c:v>0.49532268932934714</c:v>
                </c:pt>
                <c:pt idx="371">
                  <c:v>0.69404556824261776</c:v>
                </c:pt>
                <c:pt idx="372">
                  <c:v>0.73678053201601534</c:v>
                </c:pt>
                <c:pt idx="373">
                  <c:v>1.0734511207027237</c:v>
                </c:pt>
                <c:pt idx="374">
                  <c:v>0.97228115444619168</c:v>
                </c:pt>
                <c:pt idx="375">
                  <c:v>0.98184147159351287</c:v>
                </c:pt>
                <c:pt idx="376">
                  <c:v>1.1065773777959143</c:v>
                </c:pt>
                <c:pt idx="377">
                  <c:v>0.72096580896252627</c:v>
                </c:pt>
                <c:pt idx="378">
                  <c:v>0.93377048827409681</c:v>
                </c:pt>
                <c:pt idx="379">
                  <c:v>1.1167546869959355</c:v>
                </c:pt>
                <c:pt idx="380">
                  <c:v>1.2956424138648808</c:v>
                </c:pt>
                <c:pt idx="381">
                  <c:v>0.78437925291382093</c:v>
                </c:pt>
                <c:pt idx="382">
                  <c:v>1.059782127050285</c:v>
                </c:pt>
                <c:pt idx="383">
                  <c:v>0.73718451657272832</c:v>
                </c:pt>
                <c:pt idx="384">
                  <c:v>0.85852739822939572</c:v>
                </c:pt>
                <c:pt idx="385">
                  <c:v>1.0416632154626597</c:v>
                </c:pt>
                <c:pt idx="386">
                  <c:v>1.1153119606929831</c:v>
                </c:pt>
                <c:pt idx="387">
                  <c:v>1.2692714892463186</c:v>
                </c:pt>
                <c:pt idx="388">
                  <c:v>1.2571639757274684</c:v>
                </c:pt>
                <c:pt idx="389">
                  <c:v>0.8085349544542425</c:v>
                </c:pt>
                <c:pt idx="390">
                  <c:v>0.85080970194489203</c:v>
                </c:pt>
                <c:pt idx="391">
                  <c:v>1.0293844757547645</c:v>
                </c:pt>
                <c:pt idx="392">
                  <c:v>1.2091353781823571</c:v>
                </c:pt>
                <c:pt idx="393">
                  <c:v>1.2582112350998493</c:v>
                </c:pt>
                <c:pt idx="394">
                  <c:v>1.3026075869753657</c:v>
                </c:pt>
                <c:pt idx="395">
                  <c:v>1.4455193526381414</c:v>
                </c:pt>
                <c:pt idx="396">
                  <c:v>1.3999644400429421</c:v>
                </c:pt>
                <c:pt idx="397">
                  <c:v>1.2264020383181997</c:v>
                </c:pt>
                <c:pt idx="398">
                  <c:v>1.2265000402860071</c:v>
                </c:pt>
                <c:pt idx="399">
                  <c:v>1.3786937883911297</c:v>
                </c:pt>
                <c:pt idx="40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2-45F8-9155-8EB3F88EDB0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02-45F8-9155-8EB3F88ED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5-4B6E-8036-3A3A3FE4122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15-4B6E-8036-3A3A3FE41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9-4CCF-8D6B-1B692B98431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headed!$CY$105:$CY$147</c:f>
              <c:numCache>
                <c:formatCode>General</c:formatCode>
                <c:ptCount val="43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79-4CCF-8D6B-1B692B98431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79-4CCF-8D6B-1B692B98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0-4B98-A2C4-429BC809CF2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0-4B98-A2C4-429BC809CF2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0-4B98-A2C4-429BC809C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3-42F6-BB61-38E21F49BFF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3-42F6-BB61-38E21F49B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B6-43C9-AA87-4411F24FD3B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B6-43C9-AA87-4411F24FD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20-4619-B963-7998D7002FE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20-4619-B963-7998D7002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7-40D1-A02D-FDE9DF6747F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A7-40D1-A02D-FDE9DF6747F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headed!$CS$196:$CS$254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A7-40D1-A02D-FDE9DF6747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headed!$CY$196:$CY$254</c:f>
              <c:numCache>
                <c:formatCode>General</c:formatCode>
                <c:ptCount val="59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A7-40D1-A02D-FDE9DF6747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A7-40D1-A02D-FDE9DF67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7-4066-A4E7-D8E629D483C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B7-4066-A4E7-D8E629D483C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B7-4066-A4E7-D8E629D483C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B7-4066-A4E7-D8E629D483C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B7-4066-A4E7-D8E629D48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A-4B0B-98D7-5EB06C736A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A-4B0B-98D7-5EB06C73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headed!$CK$169:$CK$578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54-4956-918E-65409DFF936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54-4956-918E-65409DFF9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B1-42E6-BA53-40105D8215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B1-42E6-BA53-40105D82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headed!$CM$169:$CM$252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D-4AED-A567-69CA78265B4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9D-4AED-A567-69CA78265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headed!$CM$20:$CM$1278</c:f>
              <c:numCache>
                <c:formatCode>General</c:formatCode>
                <c:ptCount val="1259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9">
                  <c:v>1.3838937040210169</c:v>
                </c:pt>
                <c:pt idx="150">
                  <c:v>1.4372631142025567</c:v>
                </c:pt>
                <c:pt idx="151">
                  <c:v>2.0310855779776316</c:v>
                </c:pt>
                <c:pt idx="152">
                  <c:v>1.3258623595815355</c:v>
                </c:pt>
                <c:pt idx="153">
                  <c:v>1.1653373728318932</c:v>
                </c:pt>
                <c:pt idx="154">
                  <c:v>1.6096593536070971</c:v>
                </c:pt>
                <c:pt idx="155">
                  <c:v>1.7181448594746873</c:v>
                </c:pt>
                <c:pt idx="156">
                  <c:v>1.5756703115990831</c:v>
                </c:pt>
                <c:pt idx="157">
                  <c:v>1.1449507661346809</c:v>
                </c:pt>
                <c:pt idx="158">
                  <c:v>1.2505080698215565</c:v>
                </c:pt>
                <c:pt idx="159">
                  <c:v>1.6810691019807604</c:v>
                </c:pt>
                <c:pt idx="160">
                  <c:v>1.4271453774857643</c:v>
                </c:pt>
                <c:pt idx="161">
                  <c:v>0.83618018255731019</c:v>
                </c:pt>
                <c:pt idx="162">
                  <c:v>0.97651019906997372</c:v>
                </c:pt>
                <c:pt idx="163">
                  <c:v>1.9012666169183468</c:v>
                </c:pt>
                <c:pt idx="164">
                  <c:v>1.5788211461636792</c:v>
                </c:pt>
                <c:pt idx="165">
                  <c:v>2.0407929363744293</c:v>
                </c:pt>
                <c:pt idx="166">
                  <c:v>1.4623814188213276</c:v>
                </c:pt>
                <c:pt idx="167">
                  <c:v>1.2315922030510305</c:v>
                </c:pt>
                <c:pt idx="168">
                  <c:v>1.6032963421957998</c:v>
                </c:pt>
                <c:pt idx="169">
                  <c:v>1.4282123621188205</c:v>
                </c:pt>
                <c:pt idx="170">
                  <c:v>1.2470860052703576</c:v>
                </c:pt>
                <c:pt idx="171">
                  <c:v>1.2470860052703576</c:v>
                </c:pt>
                <c:pt idx="172">
                  <c:v>1.2513422714999494</c:v>
                </c:pt>
                <c:pt idx="173">
                  <c:v>1.4314656932398204</c:v>
                </c:pt>
                <c:pt idx="174">
                  <c:v>1.3374929414311942</c:v>
                </c:pt>
                <c:pt idx="175">
                  <c:v>1.2336405483318309</c:v>
                </c:pt>
                <c:pt idx="176">
                  <c:v>3.203833724920901</c:v>
                </c:pt>
                <c:pt idx="177">
                  <c:v>3.1622500423555562</c:v>
                </c:pt>
                <c:pt idx="178">
                  <c:v>2.5895293233873948</c:v>
                </c:pt>
                <c:pt idx="179">
                  <c:v>2.7388525471447704</c:v>
                </c:pt>
                <c:pt idx="180">
                  <c:v>2.9072970877236819</c:v>
                </c:pt>
                <c:pt idx="181">
                  <c:v>3.0309656951865547</c:v>
                </c:pt>
                <c:pt idx="182">
                  <c:v>3.1459558038801037</c:v>
                </c:pt>
                <c:pt idx="183">
                  <c:v>3.0895455618794947</c:v>
                </c:pt>
                <c:pt idx="184">
                  <c:v>2.7149668974723982</c:v>
                </c:pt>
                <c:pt idx="185">
                  <c:v>2.7074357826389104</c:v>
                </c:pt>
                <c:pt idx="186">
                  <c:v>2.1117680338689433</c:v>
                </c:pt>
                <c:pt idx="187">
                  <c:v>2.1161072832536054</c:v>
                </c:pt>
                <c:pt idx="188">
                  <c:v>3.6717330366569469</c:v>
                </c:pt>
                <c:pt idx="189">
                  <c:v>3.6561528398960266</c:v>
                </c:pt>
                <c:pt idx="190">
                  <c:v>3.7678109166826239</c:v>
                </c:pt>
                <c:pt idx="191">
                  <c:v>3.7444406215412429</c:v>
                </c:pt>
                <c:pt idx="192">
                  <c:v>3.0790396611328834</c:v>
                </c:pt>
                <c:pt idx="193">
                  <c:v>3.0726604353156195</c:v>
                </c:pt>
                <c:pt idx="194">
                  <c:v>2.4772512849863699</c:v>
                </c:pt>
                <c:pt idx="195">
                  <c:v>2.5032182795879043</c:v>
                </c:pt>
                <c:pt idx="204">
                  <c:v>1.8963655360936886</c:v>
                </c:pt>
                <c:pt idx="205">
                  <c:v>1.5115148831805576</c:v>
                </c:pt>
                <c:pt idx="207">
                  <c:v>1.08971818573285</c:v>
                </c:pt>
                <c:pt idx="208">
                  <c:v>1.4378533266448839</c:v>
                </c:pt>
                <c:pt idx="209">
                  <c:v>1.468755792642539</c:v>
                </c:pt>
                <c:pt idx="211">
                  <c:v>1.805476112010334</c:v>
                </c:pt>
                <c:pt idx="215">
                  <c:v>2.5947732797879901</c:v>
                </c:pt>
                <c:pt idx="216">
                  <c:v>1.5950411881888569</c:v>
                </c:pt>
                <c:pt idx="217">
                  <c:v>1.338956593754866</c:v>
                </c:pt>
                <c:pt idx="218">
                  <c:v>1.6929650308865152</c:v>
                </c:pt>
                <c:pt idx="219">
                  <c:v>1.9887430163203406</c:v>
                </c:pt>
                <c:pt idx="220">
                  <c:v>1.5581202263866585</c:v>
                </c:pt>
                <c:pt idx="221">
                  <c:v>1.832082313538461</c:v>
                </c:pt>
                <c:pt idx="222">
                  <c:v>1.5518814891149317</c:v>
                </c:pt>
                <c:pt idx="223">
                  <c:v>2.3882719091374538</c:v>
                </c:pt>
                <c:pt idx="224">
                  <c:v>2.1664445703547215</c:v>
                </c:pt>
                <c:pt idx="225">
                  <c:v>1.6860007669757939</c:v>
                </c:pt>
                <c:pt idx="227">
                  <c:v>1.6574714449565529</c:v>
                </c:pt>
                <c:pt idx="228">
                  <c:v>1.2269966870795557</c:v>
                </c:pt>
                <c:pt idx="229">
                  <c:v>1.2777689637862957</c:v>
                </c:pt>
                <c:pt idx="230">
                  <c:v>1.2016105487261854</c:v>
                </c:pt>
                <c:pt idx="231">
                  <c:v>1.2143036179028706</c:v>
                </c:pt>
                <c:pt idx="232">
                  <c:v>0.92942217759542134</c:v>
                </c:pt>
                <c:pt idx="233">
                  <c:v>1.1242757318376362</c:v>
                </c:pt>
                <c:pt idx="234">
                  <c:v>1.1200335813374223</c:v>
                </c:pt>
                <c:pt idx="235">
                  <c:v>1.2442613749021638</c:v>
                </c:pt>
                <c:pt idx="236">
                  <c:v>1.400091193706031</c:v>
                </c:pt>
                <c:pt idx="237">
                  <c:v>1.3452828172806048</c:v>
                </c:pt>
                <c:pt idx="238">
                  <c:v>1.3479209893794599</c:v>
                </c:pt>
                <c:pt idx="239">
                  <c:v>1.2726513426267121</c:v>
                </c:pt>
                <c:pt idx="240">
                  <c:v>1.3025245533720942</c:v>
                </c:pt>
                <c:pt idx="241">
                  <c:v>1.2673808375373148</c:v>
                </c:pt>
                <c:pt idx="242">
                  <c:v>1.5549193028146699</c:v>
                </c:pt>
                <c:pt idx="243">
                  <c:v>1.5517610994655895</c:v>
                </c:pt>
                <c:pt idx="244">
                  <c:v>1.4145986516145845</c:v>
                </c:pt>
                <c:pt idx="245">
                  <c:v>1.2305684841268119</c:v>
                </c:pt>
                <c:pt idx="246">
                  <c:v>1.2121832107334114</c:v>
                </c:pt>
                <c:pt idx="247">
                  <c:v>1.327132930109501</c:v>
                </c:pt>
                <c:pt idx="248">
                  <c:v>1.4604454373528053</c:v>
                </c:pt>
                <c:pt idx="249">
                  <c:v>1.3940506960947452</c:v>
                </c:pt>
                <c:pt idx="250">
                  <c:v>1.4542450707802723</c:v>
                </c:pt>
                <c:pt idx="251">
                  <c:v>1.3171284334108457</c:v>
                </c:pt>
                <c:pt idx="252">
                  <c:v>1.8814484318433564</c:v>
                </c:pt>
                <c:pt idx="253">
                  <c:v>1.0875170850034528</c:v>
                </c:pt>
                <c:pt idx="254">
                  <c:v>1.7132857924449365</c:v>
                </c:pt>
                <c:pt idx="255">
                  <c:v>1.1703923382083732</c:v>
                </c:pt>
                <c:pt idx="256">
                  <c:v>1.4382760123279739</c:v>
                </c:pt>
                <c:pt idx="257">
                  <c:v>1.4674396207834461</c:v>
                </c:pt>
                <c:pt idx="258">
                  <c:v>1.3339172849165912</c:v>
                </c:pt>
                <c:pt idx="259">
                  <c:v>1.8589949803999117</c:v>
                </c:pt>
                <c:pt idx="260">
                  <c:v>1.4016929584772584</c:v>
                </c:pt>
                <c:pt idx="261">
                  <c:v>1.4064662597202062</c:v>
                </c:pt>
                <c:pt idx="262">
                  <c:v>1.500601767058964</c:v>
                </c:pt>
                <c:pt idx="263">
                  <c:v>1.0809846369960703</c:v>
                </c:pt>
                <c:pt idx="264">
                  <c:v>1.130169014844719</c:v>
                </c:pt>
                <c:pt idx="265">
                  <c:v>1.4405154544410637</c:v>
                </c:pt>
                <c:pt idx="266">
                  <c:v>1.5227273061218662</c:v>
                </c:pt>
                <c:pt idx="267">
                  <c:v>1.2067087626321074</c:v>
                </c:pt>
                <c:pt idx="268">
                  <c:v>1.5537534775920558</c:v>
                </c:pt>
                <c:pt idx="269">
                  <c:v>1.2155644280465276</c:v>
                </c:pt>
                <c:pt idx="270">
                  <c:v>1.225964360942069</c:v>
                </c:pt>
                <c:pt idx="271">
                  <c:v>1.2044626549109341</c:v>
                </c:pt>
                <c:pt idx="272">
                  <c:v>1.3567777131762069</c:v>
                </c:pt>
                <c:pt idx="273">
                  <c:v>1.0565427698472931</c:v>
                </c:pt>
                <c:pt idx="274">
                  <c:v>1.0611106737887328</c:v>
                </c:pt>
                <c:pt idx="275">
                  <c:v>1.085175517695939</c:v>
                </c:pt>
                <c:pt idx="276">
                  <c:v>1.3648258889866054</c:v>
                </c:pt>
                <c:pt idx="277">
                  <c:v>1.1326402982209955</c:v>
                </c:pt>
                <c:pt idx="278">
                  <c:v>1.279120760819896</c:v>
                </c:pt>
                <c:pt idx="279">
                  <c:v>1.4158899377768372</c:v>
                </c:pt>
                <c:pt idx="280">
                  <c:v>1.4646074726472567</c:v>
                </c:pt>
                <c:pt idx="281">
                  <c:v>1.2980121403329294</c:v>
                </c:pt>
                <c:pt idx="282">
                  <c:v>1.4018980369375771</c:v>
                </c:pt>
                <c:pt idx="283">
                  <c:v>1.15289897228001</c:v>
                </c:pt>
                <c:pt idx="284">
                  <c:v>1.1926541092551828</c:v>
                </c:pt>
                <c:pt idx="285">
                  <c:v>1.3111850107642649</c:v>
                </c:pt>
                <c:pt idx="286">
                  <c:v>1.3404573544493805</c:v>
                </c:pt>
                <c:pt idx="287">
                  <c:v>1.6507806323592806</c:v>
                </c:pt>
                <c:pt idx="288">
                  <c:v>1.6904491962548411</c:v>
                </c:pt>
                <c:pt idx="289">
                  <c:v>1.2857433234217517</c:v>
                </c:pt>
                <c:pt idx="290">
                  <c:v>1.3838059891279431</c:v>
                </c:pt>
                <c:pt idx="291">
                  <c:v>1.2756690101615786</c:v>
                </c:pt>
                <c:pt idx="292">
                  <c:v>1.6536048066223732</c:v>
                </c:pt>
                <c:pt idx="293">
                  <c:v>1.5219922977142373</c:v>
                </c:pt>
                <c:pt idx="294">
                  <c:v>1.4168183015224551</c:v>
                </c:pt>
                <c:pt idx="295">
                  <c:v>1.1832182811484149</c:v>
                </c:pt>
                <c:pt idx="296">
                  <c:v>1.1607663213543273</c:v>
                </c:pt>
                <c:pt idx="297">
                  <c:v>1.213946649650911</c:v>
                </c:pt>
                <c:pt idx="298">
                  <c:v>1.0155616105585565</c:v>
                </c:pt>
                <c:pt idx="299">
                  <c:v>1.1496958567038023</c:v>
                </c:pt>
                <c:pt idx="300">
                  <c:v>1.3712468718361366</c:v>
                </c:pt>
                <c:pt idx="301">
                  <c:v>1.7084818805310933</c:v>
                </c:pt>
                <c:pt idx="302">
                  <c:v>1.9886149364652124</c:v>
                </c:pt>
                <c:pt idx="303">
                  <c:v>1.7490612046742806</c:v>
                </c:pt>
                <c:pt idx="304">
                  <c:v>1.0824061436066807</c:v>
                </c:pt>
                <c:pt idx="305">
                  <c:v>1.099511672686895</c:v>
                </c:pt>
                <c:pt idx="306">
                  <c:v>1.1308794998166836</c:v>
                </c:pt>
                <c:pt idx="307">
                  <c:v>1.1355499502132003</c:v>
                </c:pt>
                <c:pt idx="308">
                  <c:v>1.0683429748972426</c:v>
                </c:pt>
                <c:pt idx="309">
                  <c:v>1.1302150740598296</c:v>
                </c:pt>
                <c:pt idx="310">
                  <c:v>1.2855169740960342</c:v>
                </c:pt>
                <c:pt idx="311">
                  <c:v>1.0909464990682394</c:v>
                </c:pt>
                <c:pt idx="312">
                  <c:v>1.2494913437411292</c:v>
                </c:pt>
                <c:pt idx="313">
                  <c:v>1.3645897297002598</c:v>
                </c:pt>
                <c:pt idx="314">
                  <c:v>1.2431637729407938</c:v>
                </c:pt>
                <c:pt idx="315">
                  <c:v>1.4751944683659082</c:v>
                </c:pt>
                <c:pt idx="316">
                  <c:v>1.7850791723869082</c:v>
                </c:pt>
                <c:pt idx="317">
                  <c:v>1.261486403351207</c:v>
                </c:pt>
                <c:pt idx="318">
                  <c:v>1.2104901444923288</c:v>
                </c:pt>
                <c:pt idx="319">
                  <c:v>0.9500605438440255</c:v>
                </c:pt>
                <c:pt idx="320">
                  <c:v>0.93266016758314585</c:v>
                </c:pt>
                <c:pt idx="321">
                  <c:v>1.2028972243265701</c:v>
                </c:pt>
                <c:pt idx="322">
                  <c:v>1.6074371142265871</c:v>
                </c:pt>
                <c:pt idx="323">
                  <c:v>1.4291107675846266</c:v>
                </c:pt>
                <c:pt idx="324">
                  <c:v>1.7965068604388503</c:v>
                </c:pt>
                <c:pt idx="325">
                  <c:v>1.2530999155051654</c:v>
                </c:pt>
                <c:pt idx="326">
                  <c:v>1.5863282977600779</c:v>
                </c:pt>
                <c:pt idx="327">
                  <c:v>1.3651469896302668</c:v>
                </c:pt>
                <c:pt idx="328">
                  <c:v>1.0921113414829737</c:v>
                </c:pt>
                <c:pt idx="329">
                  <c:v>1.2738805592629094</c:v>
                </c:pt>
                <c:pt idx="330">
                  <c:v>1.7624587508377958</c:v>
                </c:pt>
                <c:pt idx="331">
                  <c:v>1.066177573233374</c:v>
                </c:pt>
                <c:pt idx="332">
                  <c:v>1.0960517053259571</c:v>
                </c:pt>
                <c:pt idx="333">
                  <c:v>1.1538643715615464</c:v>
                </c:pt>
                <c:pt idx="334">
                  <c:v>1.3842072343068135</c:v>
                </c:pt>
                <c:pt idx="335">
                  <c:v>1.6164798403189902</c:v>
                </c:pt>
                <c:pt idx="336">
                  <c:v>1.1020916631669231</c:v>
                </c:pt>
                <c:pt idx="337">
                  <c:v>1.1890280478040305</c:v>
                </c:pt>
                <c:pt idx="338">
                  <c:v>1.1553451423090986</c:v>
                </c:pt>
                <c:pt idx="339">
                  <c:v>1.676977781714432</c:v>
                </c:pt>
                <c:pt idx="340">
                  <c:v>1.0676265150499875</c:v>
                </c:pt>
                <c:pt idx="341">
                  <c:v>1.1117656600092876</c:v>
                </c:pt>
                <c:pt idx="342">
                  <c:v>1.2584341542185216</c:v>
                </c:pt>
                <c:pt idx="343">
                  <c:v>1.3530591037272715</c:v>
                </c:pt>
                <c:pt idx="344">
                  <c:v>0.8536087311591446</c:v>
                </c:pt>
                <c:pt idx="345">
                  <c:v>1.3047954564429862</c:v>
                </c:pt>
                <c:pt idx="346">
                  <c:v>1.0919377043810194</c:v>
                </c:pt>
                <c:pt idx="347">
                  <c:v>1.2840983524179472</c:v>
                </c:pt>
                <c:pt idx="348">
                  <c:v>1.0111147713391568</c:v>
                </c:pt>
                <c:pt idx="349">
                  <c:v>1.2490921086446241</c:v>
                </c:pt>
                <c:pt idx="350">
                  <c:v>0.90990733440606342</c:v>
                </c:pt>
                <c:pt idx="351">
                  <c:v>1.2211878714437694</c:v>
                </c:pt>
                <c:pt idx="352">
                  <c:v>0.98770988832965423</c:v>
                </c:pt>
                <c:pt idx="353">
                  <c:v>1.405758816311484</c:v>
                </c:pt>
                <c:pt idx="354">
                  <c:v>0.93991349427050186</c:v>
                </c:pt>
                <c:pt idx="355">
                  <c:v>1.3735243604164213</c:v>
                </c:pt>
                <c:pt idx="356">
                  <c:v>1.1044927574542696</c:v>
                </c:pt>
                <c:pt idx="357">
                  <c:v>1.1875804167963844</c:v>
                </c:pt>
                <c:pt idx="358">
                  <c:v>1.3853708991438167</c:v>
                </c:pt>
                <c:pt idx="359">
                  <c:v>1.4691556370667194</c:v>
                </c:pt>
                <c:pt idx="360">
                  <c:v>1.1002142240916057</c:v>
                </c:pt>
                <c:pt idx="361">
                  <c:v>1.5042537753350267</c:v>
                </c:pt>
                <c:pt idx="362">
                  <c:v>1.356754559997581</c:v>
                </c:pt>
                <c:pt idx="363">
                  <c:v>1.799506429845696</c:v>
                </c:pt>
                <c:pt idx="364">
                  <c:v>1.2598222395057197</c:v>
                </c:pt>
                <c:pt idx="365">
                  <c:v>1.3120228562170784</c:v>
                </c:pt>
                <c:pt idx="366">
                  <c:v>1.3540876305298664</c:v>
                </c:pt>
                <c:pt idx="367">
                  <c:v>1.6741983885487828</c:v>
                </c:pt>
                <c:pt idx="368">
                  <c:v>1.5380009760396056</c:v>
                </c:pt>
                <c:pt idx="369">
                  <c:v>1.3010744184441332</c:v>
                </c:pt>
                <c:pt idx="370">
                  <c:v>1.419112376432075</c:v>
                </c:pt>
                <c:pt idx="371">
                  <c:v>1.3703241283774616</c:v>
                </c:pt>
                <c:pt idx="372">
                  <c:v>1.5358700933690845</c:v>
                </c:pt>
                <c:pt idx="373">
                  <c:v>1.5953360225510751</c:v>
                </c:pt>
                <c:pt idx="374">
                  <c:v>1.6885510586641708</c:v>
                </c:pt>
                <c:pt idx="375">
                  <c:v>1.2969655123763921</c:v>
                </c:pt>
                <c:pt idx="376">
                  <c:v>1.368231571250613</c:v>
                </c:pt>
                <c:pt idx="377">
                  <c:v>1.3871339650041066</c:v>
                </c:pt>
                <c:pt idx="378">
                  <c:v>1.418561096358864</c:v>
                </c:pt>
                <c:pt idx="379">
                  <c:v>1.6217447857525504</c:v>
                </c:pt>
                <c:pt idx="380">
                  <c:v>1.5631748888459425</c:v>
                </c:pt>
                <c:pt idx="381">
                  <c:v>1.4956819971499853</c:v>
                </c:pt>
                <c:pt idx="382">
                  <c:v>2.2308393728048879</c:v>
                </c:pt>
                <c:pt idx="383">
                  <c:v>0.95053003455679075</c:v>
                </c:pt>
                <c:pt idx="384">
                  <c:v>0.96797883882138447</c:v>
                </c:pt>
                <c:pt idx="385">
                  <c:v>0.9673044426554136</c:v>
                </c:pt>
                <c:pt idx="386">
                  <c:v>0.76825652258018351</c:v>
                </c:pt>
                <c:pt idx="387">
                  <c:v>1.0055163450729336</c:v>
                </c:pt>
                <c:pt idx="388">
                  <c:v>0.90287337363807318</c:v>
                </c:pt>
                <c:pt idx="389">
                  <c:v>0.85398182075671547</c:v>
                </c:pt>
                <c:pt idx="390">
                  <c:v>0.87804597345881741</c:v>
                </c:pt>
                <c:pt idx="391">
                  <c:v>0.8312726172672158</c:v>
                </c:pt>
                <c:pt idx="392">
                  <c:v>0.86489129505352247</c:v>
                </c:pt>
                <c:pt idx="393">
                  <c:v>1.0296890870286513</c:v>
                </c:pt>
                <c:pt idx="394">
                  <c:v>0.74693440629475993</c:v>
                </c:pt>
                <c:pt idx="395">
                  <c:v>0.8275761961520568</c:v>
                </c:pt>
                <c:pt idx="396">
                  <c:v>1.0515170046860745</c:v>
                </c:pt>
                <c:pt idx="397">
                  <c:v>0.71186072951306811</c:v>
                </c:pt>
                <c:pt idx="398">
                  <c:v>1.1226686234334839</c:v>
                </c:pt>
                <c:pt idx="399">
                  <c:v>1.1445892636173558</c:v>
                </c:pt>
                <c:pt idx="400">
                  <c:v>0.72823307370272738</c:v>
                </c:pt>
                <c:pt idx="401">
                  <c:v>0.71086754061834379</c:v>
                </c:pt>
                <c:pt idx="402">
                  <c:v>1.102942521630832</c:v>
                </c:pt>
                <c:pt idx="403">
                  <c:v>0.69730791094744238</c:v>
                </c:pt>
                <c:pt idx="404">
                  <c:v>0.7718247303008392</c:v>
                </c:pt>
                <c:pt idx="405">
                  <c:v>0.8346761269586771</c:v>
                </c:pt>
                <c:pt idx="406">
                  <c:v>1.378337467570502</c:v>
                </c:pt>
                <c:pt idx="407">
                  <c:v>1.3470976313599901</c:v>
                </c:pt>
                <c:pt idx="408">
                  <c:v>1.2226871085348725</c:v>
                </c:pt>
                <c:pt idx="409">
                  <c:v>1.4480266495732195</c:v>
                </c:pt>
                <c:pt idx="410">
                  <c:v>0.80994045632785505</c:v>
                </c:pt>
                <c:pt idx="411">
                  <c:v>0.92343789210776062</c:v>
                </c:pt>
                <c:pt idx="412">
                  <c:v>1.1377445264616732</c:v>
                </c:pt>
                <c:pt idx="413">
                  <c:v>1.1621411039397247</c:v>
                </c:pt>
                <c:pt idx="414">
                  <c:v>0.83703352176496904</c:v>
                </c:pt>
                <c:pt idx="415">
                  <c:v>0.99472144636362514</c:v>
                </c:pt>
                <c:pt idx="416">
                  <c:v>0.93509962123722112</c:v>
                </c:pt>
                <c:pt idx="417">
                  <c:v>0.8900725411588033</c:v>
                </c:pt>
                <c:pt idx="418">
                  <c:v>1.2488912988332597</c:v>
                </c:pt>
                <c:pt idx="419">
                  <c:v>1.3338607110128451</c:v>
                </c:pt>
                <c:pt idx="420">
                  <c:v>1.3088116847320996</c:v>
                </c:pt>
                <c:pt idx="421">
                  <c:v>1.3330135927123574</c:v>
                </c:pt>
                <c:pt idx="422">
                  <c:v>1.1579794213606953</c:v>
                </c:pt>
                <c:pt idx="423">
                  <c:v>1.2026791278589977</c:v>
                </c:pt>
                <c:pt idx="424">
                  <c:v>1.1608850073852048</c:v>
                </c:pt>
                <c:pt idx="425">
                  <c:v>1.3841922978836163</c:v>
                </c:pt>
                <c:pt idx="426">
                  <c:v>1.2184121174982501</c:v>
                </c:pt>
                <c:pt idx="427">
                  <c:v>1.3173670073694528</c:v>
                </c:pt>
                <c:pt idx="428">
                  <c:v>1.1997735337343924</c:v>
                </c:pt>
                <c:pt idx="429">
                  <c:v>1.265578045451847</c:v>
                </c:pt>
                <c:pt idx="430">
                  <c:v>1.4332360429327682</c:v>
                </c:pt>
                <c:pt idx="431">
                  <c:v>1.495658681836104</c:v>
                </c:pt>
                <c:pt idx="432">
                  <c:v>1.255358081169357</c:v>
                </c:pt>
                <c:pt idx="433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BF-4545-90F2-08EF791FE00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BF-4545-90F2-08EF791FE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9-4BE6-9F2B-F9817E47B8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09-4BE6-9F2B-F9817E47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headed!$CK$53:$CK$1278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0.98353055359065744</c:v>
                </c:pt>
                <c:pt idx="120">
                  <c:v>1.1067090057702911</c:v>
                </c:pt>
                <c:pt idx="121">
                  <c:v>1.0925318620009352</c:v>
                </c:pt>
                <c:pt idx="122">
                  <c:v>1.1437168102008413</c:v>
                </c:pt>
                <c:pt idx="123">
                  <c:v>1.112459169884874</c:v>
                </c:pt>
                <c:pt idx="124">
                  <c:v>1.1206763468020458</c:v>
                </c:pt>
                <c:pt idx="125">
                  <c:v>1.285171889692756</c:v>
                </c:pt>
                <c:pt idx="126">
                  <c:v>1.1618846803400318</c:v>
                </c:pt>
                <c:pt idx="127">
                  <c:v>1.0461407976053076</c:v>
                </c:pt>
                <c:pt idx="128">
                  <c:v>0.84308759932066202</c:v>
                </c:pt>
                <c:pt idx="129">
                  <c:v>1.0360993957423605</c:v>
                </c:pt>
                <c:pt idx="130">
                  <c:v>1.2987627920477962</c:v>
                </c:pt>
                <c:pt idx="131">
                  <c:v>1.634175742192578</c:v>
                </c:pt>
                <c:pt idx="132">
                  <c:v>1.2828934748820127</c:v>
                </c:pt>
                <c:pt idx="133">
                  <c:v>1.0755836101514773</c:v>
                </c:pt>
                <c:pt idx="134">
                  <c:v>1.3714309698264442</c:v>
                </c:pt>
                <c:pt idx="135">
                  <c:v>1.0895526539249616</c:v>
                </c:pt>
                <c:pt idx="136">
                  <c:v>1.1605850652682879</c:v>
                </c:pt>
                <c:pt idx="137">
                  <c:v>1.4903787129361226</c:v>
                </c:pt>
                <c:pt idx="138">
                  <c:v>1.3995998347943011</c:v>
                </c:pt>
                <c:pt idx="139">
                  <c:v>1.4954653297038225</c:v>
                </c:pt>
                <c:pt idx="140">
                  <c:v>1.2421247257802632</c:v>
                </c:pt>
                <c:pt idx="141">
                  <c:v>1.1290382156017438</c:v>
                </c:pt>
                <c:pt idx="142">
                  <c:v>1.118054357765794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1.2380919937878554</c:v>
                </c:pt>
                <c:pt idx="172">
                  <c:v>0.98516281921633742</c:v>
                </c:pt>
                <c:pt idx="174">
                  <c:v>0.93206382246205521</c:v>
                </c:pt>
                <c:pt idx="175">
                  <c:v>1.0324950798962937</c:v>
                </c:pt>
                <c:pt idx="176">
                  <c:v>1.4559039363893846</c:v>
                </c:pt>
                <c:pt idx="178">
                  <c:v>1.2033493663218637</c:v>
                </c:pt>
                <c:pt idx="182">
                  <c:v>1.6270397075880396</c:v>
                </c:pt>
                <c:pt idx="183">
                  <c:v>1.0787425247853666</c:v>
                </c:pt>
                <c:pt idx="184">
                  <c:v>0.864466025227837</c:v>
                </c:pt>
                <c:pt idx="185">
                  <c:v>1.1163081599228812</c:v>
                </c:pt>
                <c:pt idx="186">
                  <c:v>1.3187489627900544</c:v>
                </c:pt>
                <c:pt idx="187">
                  <c:v>1.5899976895949632</c:v>
                </c:pt>
                <c:pt idx="188">
                  <c:v>1.3244193650535829</c:v>
                </c:pt>
                <c:pt idx="189">
                  <c:v>0.96172270015417394</c:v>
                </c:pt>
                <c:pt idx="190">
                  <c:v>1.7054171816068107</c:v>
                </c:pt>
                <c:pt idx="191">
                  <c:v>1.4957640290850434</c:v>
                </c:pt>
                <c:pt idx="192">
                  <c:v>1.3582301682762954</c:v>
                </c:pt>
                <c:pt idx="194">
                  <c:v>1.1369631936734077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0.84833333333333338</c:v>
                </c:pt>
                <c:pt idx="200">
                  <c:v>1</c:v>
                </c:pt>
                <c:pt idx="201">
                  <c:v>1.0732340453544049</c:v>
                </c:pt>
                <c:pt idx="202">
                  <c:v>1.0025154962900582</c:v>
                </c:pt>
                <c:pt idx="203">
                  <c:v>1.3316690082587483</c:v>
                </c:pt>
                <c:pt idx="204">
                  <c:v>1.097611405753202</c:v>
                </c:pt>
                <c:pt idx="205">
                  <c:v>1.1737171323264513</c:v>
                </c:pt>
                <c:pt idx="206">
                  <c:v>0.98499999999999999</c:v>
                </c:pt>
                <c:pt idx="207">
                  <c:v>1.1793748514869569</c:v>
                </c:pt>
                <c:pt idx="208">
                  <c:v>1.0114255979953197</c:v>
                </c:pt>
                <c:pt idx="209">
                  <c:v>1.4143463626576895</c:v>
                </c:pt>
                <c:pt idx="210">
                  <c:v>1.1787643163301271</c:v>
                </c:pt>
                <c:pt idx="211">
                  <c:v>0.98628051473021827</c:v>
                </c:pt>
                <c:pt idx="212">
                  <c:v>0.96916666666666662</c:v>
                </c:pt>
                <c:pt idx="213">
                  <c:v>1.1078590441518625</c:v>
                </c:pt>
                <c:pt idx="214">
                  <c:v>1.0255837865554474</c:v>
                </c:pt>
                <c:pt idx="215">
                  <c:v>1.2622199993298189</c:v>
                </c:pt>
                <c:pt idx="216">
                  <c:v>1.0612133921380551</c:v>
                </c:pt>
                <c:pt idx="217">
                  <c:v>0.89800579941581282</c:v>
                </c:pt>
                <c:pt idx="218">
                  <c:v>0.88210240843168164</c:v>
                </c:pt>
                <c:pt idx="219">
                  <c:v>1.0355623876435345</c:v>
                </c:pt>
                <c:pt idx="220">
                  <c:v>0.97531366488201143</c:v>
                </c:pt>
                <c:pt idx="221">
                  <c:v>1.2275313013278444</c:v>
                </c:pt>
                <c:pt idx="222">
                  <c:v>1.0909962422431996</c:v>
                </c:pt>
                <c:pt idx="223">
                  <c:v>0.98097068748379734</c:v>
                </c:pt>
                <c:pt idx="224">
                  <c:v>1.0184221931806774</c:v>
                </c:pt>
                <c:pt idx="225">
                  <c:v>1.2076437156812905</c:v>
                </c:pt>
                <c:pt idx="226">
                  <c:v>1.026278911927931</c:v>
                </c:pt>
                <c:pt idx="227">
                  <c:v>0.95166687424883689</c:v>
                </c:pt>
                <c:pt idx="228">
                  <c:v>0.94979047422646845</c:v>
                </c:pt>
                <c:pt idx="229">
                  <c:v>1.0555684263285166</c:v>
                </c:pt>
                <c:pt idx="230">
                  <c:v>0.75449639049580097</c:v>
                </c:pt>
                <c:pt idx="231">
                  <c:v>0.85631332847185648</c:v>
                </c:pt>
                <c:pt idx="232">
                  <c:v>0.73864862864762737</c:v>
                </c:pt>
                <c:pt idx="233">
                  <c:v>1.0122595831277816</c:v>
                </c:pt>
                <c:pt idx="234">
                  <c:v>0.75738494469674067</c:v>
                </c:pt>
                <c:pt idx="235">
                  <c:v>0.98660780016235983</c:v>
                </c:pt>
                <c:pt idx="236">
                  <c:v>0.7688185795271586</c:v>
                </c:pt>
                <c:pt idx="237">
                  <c:v>0.93949066396852476</c:v>
                </c:pt>
                <c:pt idx="238">
                  <c:v>1.051317145691999</c:v>
                </c:pt>
                <c:pt idx="239">
                  <c:v>1.0428358329621183</c:v>
                </c:pt>
                <c:pt idx="240">
                  <c:v>0.90762534595970545</c:v>
                </c:pt>
                <c:pt idx="241">
                  <c:v>0.96668345094347008</c:v>
                </c:pt>
                <c:pt idx="242">
                  <c:v>0.92467198904083814</c:v>
                </c:pt>
                <c:pt idx="243">
                  <c:v>1.0457977173215069</c:v>
                </c:pt>
                <c:pt idx="244">
                  <c:v>0.98277763354811387</c:v>
                </c:pt>
                <c:pt idx="245">
                  <c:v>0.96655501262970034</c:v>
                </c:pt>
                <c:pt idx="246">
                  <c:v>0.94029242605845686</c:v>
                </c:pt>
                <c:pt idx="247">
                  <c:v>1.0210557999824699</c:v>
                </c:pt>
                <c:pt idx="248">
                  <c:v>1.0263095681968797</c:v>
                </c:pt>
                <c:pt idx="249">
                  <c:v>0.99617785069192466</c:v>
                </c:pt>
                <c:pt idx="250">
                  <c:v>1.1112596892664182</c:v>
                </c:pt>
                <c:pt idx="251">
                  <c:v>1.1281282791225913</c:v>
                </c:pt>
                <c:pt idx="252">
                  <c:v>1.3411331667214759</c:v>
                </c:pt>
                <c:pt idx="253">
                  <c:v>1.4014181325909159</c:v>
                </c:pt>
                <c:pt idx="254">
                  <c:v>1.1403447227271795</c:v>
                </c:pt>
                <c:pt idx="255">
                  <c:v>1.1667495807153807</c:v>
                </c:pt>
                <c:pt idx="256">
                  <c:v>1.3055599870590859</c:v>
                </c:pt>
                <c:pt idx="257">
                  <c:v>1.4151480032461179</c:v>
                </c:pt>
                <c:pt idx="258">
                  <c:v>1.0695354015578697</c:v>
                </c:pt>
                <c:pt idx="259">
                  <c:v>1.1086028706787405</c:v>
                </c:pt>
                <c:pt idx="260">
                  <c:v>1.2682678827222702</c:v>
                </c:pt>
                <c:pt idx="261">
                  <c:v>1.4782200012625968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0.64304013454181963</c:v>
                </c:pt>
                <c:pt idx="266">
                  <c:v>0.76838286120630295</c:v>
                </c:pt>
                <c:pt idx="267">
                  <c:v>0.89552419733717004</c:v>
                </c:pt>
                <c:pt idx="268">
                  <c:v>0.7840718743477787</c:v>
                </c:pt>
                <c:pt idx="269">
                  <c:v>0.98409766607899973</c:v>
                </c:pt>
                <c:pt idx="270">
                  <c:v>1.1028377286200142</c:v>
                </c:pt>
                <c:pt idx="271">
                  <c:v>0.81958454427477145</c:v>
                </c:pt>
                <c:pt idx="272">
                  <c:v>0.86504992090891586</c:v>
                </c:pt>
                <c:pt idx="273">
                  <c:v>0.77187994815402661</c:v>
                </c:pt>
                <c:pt idx="274">
                  <c:v>0.96079814882500592</c:v>
                </c:pt>
                <c:pt idx="275">
                  <c:v>0.72179535196685451</c:v>
                </c:pt>
                <c:pt idx="276">
                  <c:v>0.90958443196571492</c:v>
                </c:pt>
                <c:pt idx="277">
                  <c:v>0.94633885858091515</c:v>
                </c:pt>
                <c:pt idx="278">
                  <c:v>0.88772695202762453</c:v>
                </c:pt>
                <c:pt idx="279">
                  <c:v>1.040321922403797</c:v>
                </c:pt>
                <c:pt idx="280">
                  <c:v>1.0201564955106805</c:v>
                </c:pt>
                <c:pt idx="281">
                  <c:v>1.1408969245623375</c:v>
                </c:pt>
                <c:pt idx="282">
                  <c:v>1.0927712921092712</c:v>
                </c:pt>
                <c:pt idx="283">
                  <c:v>1.2733735889849789</c:v>
                </c:pt>
                <c:pt idx="284">
                  <c:v>1.0374944577148659</c:v>
                </c:pt>
                <c:pt idx="285">
                  <c:v>1.0877385129806194</c:v>
                </c:pt>
                <c:pt idx="286">
                  <c:v>0.77596899224806193</c:v>
                </c:pt>
                <c:pt idx="287">
                  <c:v>0.76884181445606981</c:v>
                </c:pt>
                <c:pt idx="288">
                  <c:v>1</c:v>
                </c:pt>
                <c:pt idx="289">
                  <c:v>1.0970371571867716</c:v>
                </c:pt>
                <c:pt idx="290">
                  <c:v>0.93271114834467483</c:v>
                </c:pt>
                <c:pt idx="291">
                  <c:v>0.98191767642597505</c:v>
                </c:pt>
                <c:pt idx="292">
                  <c:v>0.92990729725452292</c:v>
                </c:pt>
                <c:pt idx="293">
                  <c:v>1.2334336233137346</c:v>
                </c:pt>
                <c:pt idx="294">
                  <c:v>0.73708254508719195</c:v>
                </c:pt>
                <c:pt idx="295">
                  <c:v>0.76475423221277683</c:v>
                </c:pt>
                <c:pt idx="296">
                  <c:v>0.80505769112623204</c:v>
                </c:pt>
                <c:pt idx="297">
                  <c:v>1.1698808414795534</c:v>
                </c:pt>
                <c:pt idx="298">
                  <c:v>0.81066942187607538</c:v>
                </c:pt>
                <c:pt idx="299">
                  <c:v>0.89753775945612424</c:v>
                </c:pt>
                <c:pt idx="300">
                  <c:v>0.89515643202731698</c:v>
                </c:pt>
                <c:pt idx="301">
                  <c:v>0.95550025830198404</c:v>
                </c:pt>
                <c:pt idx="302">
                  <c:v>1.0643352713979048</c:v>
                </c:pt>
                <c:pt idx="303">
                  <c:v>0.9161935541106252</c:v>
                </c:pt>
                <c:pt idx="304">
                  <c:v>1.0276805768179793</c:v>
                </c:pt>
                <c:pt idx="305">
                  <c:v>0.79497862339968595</c:v>
                </c:pt>
                <c:pt idx="306">
                  <c:v>1.0750809484919404</c:v>
                </c:pt>
                <c:pt idx="307">
                  <c:v>0.62319362436667958</c:v>
                </c:pt>
                <c:pt idx="308">
                  <c:v>0.96051437093285852</c:v>
                </c:pt>
                <c:pt idx="309">
                  <c:v>0.87917179348650509</c:v>
                </c:pt>
                <c:pt idx="310">
                  <c:v>1.2347092535127056</c:v>
                </c:pt>
                <c:pt idx="311">
                  <c:v>0.60184794055467938</c:v>
                </c:pt>
                <c:pt idx="312">
                  <c:v>1.0219610040497915</c:v>
                </c:pt>
                <c:pt idx="313">
                  <c:v>0.7330357782373077</c:v>
                </c:pt>
                <c:pt idx="314">
                  <c:v>1.1198131819366681</c:v>
                </c:pt>
                <c:pt idx="315">
                  <c:v>0.66486057633594775</c:v>
                </c:pt>
                <c:pt idx="316">
                  <c:v>1.0063627542062954</c:v>
                </c:pt>
                <c:pt idx="317">
                  <c:v>0.65201390875330911</c:v>
                </c:pt>
                <c:pt idx="318">
                  <c:v>0.96063482258325084</c:v>
                </c:pt>
                <c:pt idx="319">
                  <c:v>0.72042570438964904</c:v>
                </c:pt>
                <c:pt idx="320">
                  <c:v>1.1550340401026544</c:v>
                </c:pt>
                <c:pt idx="321">
                  <c:v>0.65535916327208799</c:v>
                </c:pt>
                <c:pt idx="322">
                  <c:v>1.1105084560718819</c:v>
                </c:pt>
                <c:pt idx="323">
                  <c:v>0.79874270242833545</c:v>
                </c:pt>
                <c:pt idx="324">
                  <c:v>1.023547164422965</c:v>
                </c:pt>
                <c:pt idx="325">
                  <c:v>0.85551395808440578</c:v>
                </c:pt>
                <c:pt idx="326">
                  <c:v>0.98139244277365356</c:v>
                </c:pt>
                <c:pt idx="327">
                  <c:v>0.70984876435598188</c:v>
                </c:pt>
                <c:pt idx="328">
                  <c:v>1.0481130483497585</c:v>
                </c:pt>
                <c:pt idx="329">
                  <c:v>0.90063459723224326</c:v>
                </c:pt>
                <c:pt idx="330">
                  <c:v>1.2858428339267387</c:v>
                </c:pt>
                <c:pt idx="331">
                  <c:v>0.89396556017501727</c:v>
                </c:pt>
                <c:pt idx="332">
                  <c:v>0.98338913792026705</c:v>
                </c:pt>
                <c:pt idx="333">
                  <c:v>1.036322161226584</c:v>
                </c:pt>
                <c:pt idx="334">
                  <c:v>1.3610574349331113</c:v>
                </c:pt>
                <c:pt idx="335">
                  <c:v>1.1811110675219012</c:v>
                </c:pt>
                <c:pt idx="336">
                  <c:v>0.65825114412661645</c:v>
                </c:pt>
                <c:pt idx="337">
                  <c:v>0.77378912538861899</c:v>
                </c:pt>
                <c:pt idx="338">
                  <c:v>0.75899280575539563</c:v>
                </c:pt>
                <c:pt idx="339">
                  <c:v>0.8904869210020433</c:v>
                </c:pt>
                <c:pt idx="340">
                  <c:v>0.90287769784172656</c:v>
                </c:pt>
                <c:pt idx="341">
                  <c:v>0.98498574494393953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0.81191613543819985</c:v>
                </c:pt>
                <c:pt idx="345">
                  <c:v>0.9430316920738141</c:v>
                </c:pt>
                <c:pt idx="346">
                  <c:v>1.0458763223941501</c:v>
                </c:pt>
                <c:pt idx="347">
                  <c:v>0.93075915185163327</c:v>
                </c:pt>
                <c:pt idx="348">
                  <c:v>1.0597976267559761</c:v>
                </c:pt>
                <c:pt idx="349">
                  <c:v>1.4770163586145215</c:v>
                </c:pt>
                <c:pt idx="350">
                  <c:v>0.9223210736286156</c:v>
                </c:pt>
                <c:pt idx="351">
                  <c:v>1.0760378613885915</c:v>
                </c:pt>
                <c:pt idx="352">
                  <c:v>1.0622002196076112</c:v>
                </c:pt>
                <c:pt idx="353">
                  <c:v>0.68598892644176579</c:v>
                </c:pt>
                <c:pt idx="354">
                  <c:v>0.83117670323868909</c:v>
                </c:pt>
                <c:pt idx="355">
                  <c:v>0.90798285629871378</c:v>
                </c:pt>
                <c:pt idx="356">
                  <c:v>0.80065106847835565</c:v>
                </c:pt>
                <c:pt idx="357">
                  <c:v>0.91366453911512724</c:v>
                </c:pt>
                <c:pt idx="358">
                  <c:v>0.63658061415316614</c:v>
                </c:pt>
                <c:pt idx="359">
                  <c:v>0.67872485494033818</c:v>
                </c:pt>
                <c:pt idx="360">
                  <c:v>0.83340478977310528</c:v>
                </c:pt>
                <c:pt idx="361">
                  <c:v>0.61800778838527559</c:v>
                </c:pt>
                <c:pt idx="362">
                  <c:v>0.70367808719437008</c:v>
                </c:pt>
                <c:pt idx="363">
                  <c:v>0.9393306132040562</c:v>
                </c:pt>
                <c:pt idx="364">
                  <c:v>0.65027889870200761</c:v>
                </c:pt>
                <c:pt idx="365">
                  <c:v>0.95884996399514588</c:v>
                </c:pt>
                <c:pt idx="366">
                  <c:v>1.0237310466798923</c:v>
                </c:pt>
                <c:pt idx="367">
                  <c:v>0.58197921135499686</c:v>
                </c:pt>
                <c:pt idx="368">
                  <c:v>0.64761509962742803</c:v>
                </c:pt>
                <c:pt idx="369">
                  <c:v>0.80079303363680798</c:v>
                </c:pt>
                <c:pt idx="370">
                  <c:v>0.47564989032534455</c:v>
                </c:pt>
                <c:pt idx="371">
                  <c:v>0.66704150177213273</c:v>
                </c:pt>
                <c:pt idx="372">
                  <c:v>0.70702684009784134</c:v>
                </c:pt>
                <c:pt idx="373">
                  <c:v>1.0814969925658282</c:v>
                </c:pt>
                <c:pt idx="374">
                  <c:v>0.99576500752813224</c:v>
                </c:pt>
                <c:pt idx="375">
                  <c:v>0.99413885294838056</c:v>
                </c:pt>
                <c:pt idx="376">
                  <c:v>1.1394424782402843</c:v>
                </c:pt>
                <c:pt idx="377">
                  <c:v>0.67339603919552049</c:v>
                </c:pt>
                <c:pt idx="378">
                  <c:v>0.8706995887826271</c:v>
                </c:pt>
                <c:pt idx="379">
                  <c:v>1.0281950348313329</c:v>
                </c:pt>
                <c:pt idx="380">
                  <c:v>1.1970277979743196</c:v>
                </c:pt>
                <c:pt idx="381">
                  <c:v>0.75774169091366828</c:v>
                </c:pt>
                <c:pt idx="382">
                  <c:v>1.0238289667935871</c:v>
                </c:pt>
                <c:pt idx="383">
                  <c:v>0.73182258163771818</c:v>
                </c:pt>
                <c:pt idx="384">
                  <c:v>0.85256630700679548</c:v>
                </c:pt>
                <c:pt idx="385">
                  <c:v>0.99737956201403044</c:v>
                </c:pt>
                <c:pt idx="386">
                  <c:v>1.0728433505360115</c:v>
                </c:pt>
                <c:pt idx="387">
                  <c:v>1.2159686517391213</c:v>
                </c:pt>
                <c:pt idx="388">
                  <c:v>1.2091576243153148</c:v>
                </c:pt>
                <c:pt idx="389">
                  <c:v>0.79048475314469613</c:v>
                </c:pt>
                <c:pt idx="390">
                  <c:v>0.83691102883897983</c:v>
                </c:pt>
                <c:pt idx="391">
                  <c:v>1.006304469333855</c:v>
                </c:pt>
                <c:pt idx="392">
                  <c:v>1.189548271882735</c:v>
                </c:pt>
                <c:pt idx="393">
                  <c:v>1.1596127136690846</c:v>
                </c:pt>
                <c:pt idx="394">
                  <c:v>1.2217011324137843</c:v>
                </c:pt>
                <c:pt idx="395">
                  <c:v>1.3325481105008794</c:v>
                </c:pt>
                <c:pt idx="396">
                  <c:v>1.3127262358757383</c:v>
                </c:pt>
                <c:pt idx="397">
                  <c:v>1.1515856076091984</c:v>
                </c:pt>
                <c:pt idx="398">
                  <c:v>1.1740740153975369</c:v>
                </c:pt>
                <c:pt idx="399">
                  <c:v>1.2956263023911716</c:v>
                </c:pt>
                <c:pt idx="40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5-477F-9E4A-EB5B862236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85-477F-9E4A-EB5B86223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0.96129394656467926</c:v>
                </c:pt>
                <c:pt idx="151">
                  <c:v>1.2785719938235214</c:v>
                </c:pt>
                <c:pt idx="152">
                  <c:v>1.3098915185197448</c:v>
                </c:pt>
                <c:pt idx="153">
                  <c:v>0.98353055359065744</c:v>
                </c:pt>
                <c:pt idx="154">
                  <c:v>1.1067090057702911</c:v>
                </c:pt>
                <c:pt idx="155">
                  <c:v>1.0925318620009352</c:v>
                </c:pt>
                <c:pt idx="156">
                  <c:v>1.1437168102008413</c:v>
                </c:pt>
                <c:pt idx="157">
                  <c:v>1.112459169884874</c:v>
                </c:pt>
                <c:pt idx="158">
                  <c:v>1.1206763468020458</c:v>
                </c:pt>
                <c:pt idx="159">
                  <c:v>1.285171889692756</c:v>
                </c:pt>
                <c:pt idx="160">
                  <c:v>1.1618846803400318</c:v>
                </c:pt>
                <c:pt idx="161">
                  <c:v>1.0461407976053076</c:v>
                </c:pt>
                <c:pt idx="162">
                  <c:v>0.84308759932066202</c:v>
                </c:pt>
                <c:pt idx="163">
                  <c:v>1.0360993957423605</c:v>
                </c:pt>
                <c:pt idx="164">
                  <c:v>1.2987627920477962</c:v>
                </c:pt>
                <c:pt idx="165">
                  <c:v>1.634175742192578</c:v>
                </c:pt>
                <c:pt idx="166">
                  <c:v>1.2828934748820127</c:v>
                </c:pt>
                <c:pt idx="167">
                  <c:v>1.0755836101514773</c:v>
                </c:pt>
                <c:pt idx="168">
                  <c:v>1.3714309698264442</c:v>
                </c:pt>
                <c:pt idx="169">
                  <c:v>1.0895526539249616</c:v>
                </c:pt>
                <c:pt idx="170">
                  <c:v>1.1605850652682879</c:v>
                </c:pt>
                <c:pt idx="171">
                  <c:v>1.4903787129361226</c:v>
                </c:pt>
                <c:pt idx="172">
                  <c:v>1.3995998347943011</c:v>
                </c:pt>
                <c:pt idx="173">
                  <c:v>1.4954653297038225</c:v>
                </c:pt>
                <c:pt idx="174">
                  <c:v>1.2421247257802632</c:v>
                </c:pt>
                <c:pt idx="175">
                  <c:v>1.1290382156017438</c:v>
                </c:pt>
                <c:pt idx="176">
                  <c:v>1.118054357765794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1.2380919937878554</c:v>
                </c:pt>
                <c:pt idx="206">
                  <c:v>0.98516281921633742</c:v>
                </c:pt>
                <c:pt idx="208">
                  <c:v>0.93206382246205521</c:v>
                </c:pt>
                <c:pt idx="209">
                  <c:v>1.0324950798962937</c:v>
                </c:pt>
                <c:pt idx="210">
                  <c:v>1.4559039363893846</c:v>
                </c:pt>
                <c:pt idx="212">
                  <c:v>1.2033493663218637</c:v>
                </c:pt>
                <c:pt idx="216">
                  <c:v>1.6270397075880396</c:v>
                </c:pt>
                <c:pt idx="217">
                  <c:v>1.0787425247853666</c:v>
                </c:pt>
                <c:pt idx="218">
                  <c:v>0.864466025227837</c:v>
                </c:pt>
                <c:pt idx="219">
                  <c:v>1.1163081599228812</c:v>
                </c:pt>
                <c:pt idx="220">
                  <c:v>1.3187489627900544</c:v>
                </c:pt>
                <c:pt idx="221">
                  <c:v>1.5899976895949632</c:v>
                </c:pt>
                <c:pt idx="222">
                  <c:v>1.3244193650535829</c:v>
                </c:pt>
                <c:pt idx="223">
                  <c:v>0.96172270015417394</c:v>
                </c:pt>
                <c:pt idx="224">
                  <c:v>1.7054171816068107</c:v>
                </c:pt>
                <c:pt idx="225">
                  <c:v>1.4957640290850434</c:v>
                </c:pt>
                <c:pt idx="226">
                  <c:v>1.3582301682762954</c:v>
                </c:pt>
                <c:pt idx="228">
                  <c:v>1.1369631936734077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0.84833333333333338</c:v>
                </c:pt>
                <c:pt idx="234">
                  <c:v>1</c:v>
                </c:pt>
                <c:pt idx="235">
                  <c:v>1.0732340453544049</c:v>
                </c:pt>
                <c:pt idx="236">
                  <c:v>1.0025154962900582</c:v>
                </c:pt>
                <c:pt idx="237">
                  <c:v>1.3316690082587483</c:v>
                </c:pt>
                <c:pt idx="238">
                  <c:v>1.097611405753202</c:v>
                </c:pt>
                <c:pt idx="239">
                  <c:v>1.1737171323264513</c:v>
                </c:pt>
                <c:pt idx="240">
                  <c:v>0.98499999999999999</c:v>
                </c:pt>
                <c:pt idx="241">
                  <c:v>1.1793748514869569</c:v>
                </c:pt>
                <c:pt idx="242">
                  <c:v>1.0114255979953197</c:v>
                </c:pt>
                <c:pt idx="243">
                  <c:v>1.4143463626576895</c:v>
                </c:pt>
                <c:pt idx="244">
                  <c:v>1.1787643163301271</c:v>
                </c:pt>
                <c:pt idx="245">
                  <c:v>0.98628051473021827</c:v>
                </c:pt>
                <c:pt idx="246">
                  <c:v>0.96916666666666662</c:v>
                </c:pt>
                <c:pt idx="247">
                  <c:v>1.1078590441518625</c:v>
                </c:pt>
                <c:pt idx="248">
                  <c:v>1.0255837865554474</c:v>
                </c:pt>
                <c:pt idx="249">
                  <c:v>1.2622199993298189</c:v>
                </c:pt>
                <c:pt idx="250">
                  <c:v>1.0612133921380551</c:v>
                </c:pt>
                <c:pt idx="251">
                  <c:v>0.89800579941581282</c:v>
                </c:pt>
                <c:pt idx="252">
                  <c:v>0.88210240843168164</c:v>
                </c:pt>
                <c:pt idx="253">
                  <c:v>1.0355623876435345</c:v>
                </c:pt>
                <c:pt idx="254">
                  <c:v>0.97531366488201143</c:v>
                </c:pt>
                <c:pt idx="255">
                  <c:v>1.2275313013278444</c:v>
                </c:pt>
                <c:pt idx="256">
                  <c:v>1.0909962422431996</c:v>
                </c:pt>
                <c:pt idx="257">
                  <c:v>0.98097068748379734</c:v>
                </c:pt>
                <c:pt idx="258">
                  <c:v>1.0184221931806774</c:v>
                </c:pt>
                <c:pt idx="259">
                  <c:v>1.2076437156812905</c:v>
                </c:pt>
                <c:pt idx="260">
                  <c:v>1.026278911927931</c:v>
                </c:pt>
                <c:pt idx="261">
                  <c:v>0.95166687424883689</c:v>
                </c:pt>
                <c:pt idx="262">
                  <c:v>0.94979047422646845</c:v>
                </c:pt>
                <c:pt idx="263">
                  <c:v>1.0555684263285166</c:v>
                </c:pt>
                <c:pt idx="264">
                  <c:v>0.75449639049580097</c:v>
                </c:pt>
                <c:pt idx="265">
                  <c:v>0.85631332847185648</c:v>
                </c:pt>
                <c:pt idx="266">
                  <c:v>0.73864862864762737</c:v>
                </c:pt>
                <c:pt idx="267">
                  <c:v>1.0122595831277816</c:v>
                </c:pt>
                <c:pt idx="268">
                  <c:v>0.75738494469674067</c:v>
                </c:pt>
                <c:pt idx="269">
                  <c:v>0.98660780016235983</c:v>
                </c:pt>
                <c:pt idx="270">
                  <c:v>0.7688185795271586</c:v>
                </c:pt>
                <c:pt idx="271">
                  <c:v>0.93949066396852476</c:v>
                </c:pt>
                <c:pt idx="272">
                  <c:v>1.051317145691999</c:v>
                </c:pt>
                <c:pt idx="273">
                  <c:v>1.0428358329621183</c:v>
                </c:pt>
                <c:pt idx="274">
                  <c:v>0.90762534595970545</c:v>
                </c:pt>
                <c:pt idx="275">
                  <c:v>0.96668345094347008</c:v>
                </c:pt>
                <c:pt idx="276">
                  <c:v>0.92467198904083814</c:v>
                </c:pt>
                <c:pt idx="277">
                  <c:v>1.0457977173215069</c:v>
                </c:pt>
                <c:pt idx="278">
                  <c:v>0.98277763354811387</c:v>
                </c:pt>
                <c:pt idx="279">
                  <c:v>0.96655501262970034</c:v>
                </c:pt>
                <c:pt idx="280">
                  <c:v>0.94029242605845686</c:v>
                </c:pt>
                <c:pt idx="281">
                  <c:v>1.0210557999824699</c:v>
                </c:pt>
                <c:pt idx="282">
                  <c:v>1.0263095681968797</c:v>
                </c:pt>
                <c:pt idx="283">
                  <c:v>0.99617785069192466</c:v>
                </c:pt>
                <c:pt idx="284">
                  <c:v>1.1112596892664182</c:v>
                </c:pt>
                <c:pt idx="285">
                  <c:v>1.1281282791225913</c:v>
                </c:pt>
                <c:pt idx="286">
                  <c:v>1.3411331667214759</c:v>
                </c:pt>
                <c:pt idx="287">
                  <c:v>1.4014181325909159</c:v>
                </c:pt>
                <c:pt idx="288">
                  <c:v>1.1403447227271795</c:v>
                </c:pt>
                <c:pt idx="289">
                  <c:v>1.1667495807153807</c:v>
                </c:pt>
                <c:pt idx="290">
                  <c:v>1.3055599870590859</c:v>
                </c:pt>
                <c:pt idx="291">
                  <c:v>1.4151480032461179</c:v>
                </c:pt>
                <c:pt idx="292">
                  <c:v>1.0695354015578697</c:v>
                </c:pt>
                <c:pt idx="293">
                  <c:v>1.1086028706787405</c:v>
                </c:pt>
                <c:pt idx="294">
                  <c:v>1.2682678827222702</c:v>
                </c:pt>
                <c:pt idx="295">
                  <c:v>1.4782200012625968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0.64304013454181963</c:v>
                </c:pt>
                <c:pt idx="300">
                  <c:v>0.76838286120630295</c:v>
                </c:pt>
                <c:pt idx="301">
                  <c:v>0.89552419733717004</c:v>
                </c:pt>
                <c:pt idx="302">
                  <c:v>0.7840718743477787</c:v>
                </c:pt>
                <c:pt idx="303">
                  <c:v>0.98409766607899973</c:v>
                </c:pt>
                <c:pt idx="304">
                  <c:v>1.1028377286200142</c:v>
                </c:pt>
                <c:pt idx="305">
                  <c:v>0.81958454427477145</c:v>
                </c:pt>
                <c:pt idx="306">
                  <c:v>0.86504992090891586</c:v>
                </c:pt>
                <c:pt idx="307">
                  <c:v>0.77187994815402661</c:v>
                </c:pt>
                <c:pt idx="308">
                  <c:v>0.96079814882500592</c:v>
                </c:pt>
                <c:pt idx="309">
                  <c:v>0.72179535196685451</c:v>
                </c:pt>
                <c:pt idx="310">
                  <c:v>0.90958443196571492</c:v>
                </c:pt>
                <c:pt idx="311">
                  <c:v>0.94633885858091515</c:v>
                </c:pt>
                <c:pt idx="312">
                  <c:v>0.88772695202762453</c:v>
                </c:pt>
                <c:pt idx="313">
                  <c:v>1.040321922403797</c:v>
                </c:pt>
                <c:pt idx="314">
                  <c:v>1.0201564955106805</c:v>
                </c:pt>
                <c:pt idx="315">
                  <c:v>1.1408969245623375</c:v>
                </c:pt>
                <c:pt idx="316">
                  <c:v>1.0927712921092712</c:v>
                </c:pt>
                <c:pt idx="317">
                  <c:v>1.2733735889849789</c:v>
                </c:pt>
                <c:pt idx="318">
                  <c:v>1.0374944577148659</c:v>
                </c:pt>
                <c:pt idx="319">
                  <c:v>1.0877385129806194</c:v>
                </c:pt>
                <c:pt idx="320">
                  <c:v>0.77596899224806193</c:v>
                </c:pt>
                <c:pt idx="321">
                  <c:v>0.76884181445606981</c:v>
                </c:pt>
                <c:pt idx="322">
                  <c:v>1</c:v>
                </c:pt>
                <c:pt idx="323">
                  <c:v>1.0970371571867716</c:v>
                </c:pt>
                <c:pt idx="324">
                  <c:v>0.93271114834467483</c:v>
                </c:pt>
                <c:pt idx="325">
                  <c:v>0.98191767642597505</c:v>
                </c:pt>
                <c:pt idx="326">
                  <c:v>0.92990729725452292</c:v>
                </c:pt>
                <c:pt idx="327">
                  <c:v>1.2334336233137346</c:v>
                </c:pt>
                <c:pt idx="328">
                  <c:v>0.73708254508719195</c:v>
                </c:pt>
                <c:pt idx="329">
                  <c:v>0.76475423221277683</c:v>
                </c:pt>
                <c:pt idx="330">
                  <c:v>0.80505769112623204</c:v>
                </c:pt>
                <c:pt idx="331">
                  <c:v>1.1698808414795534</c:v>
                </c:pt>
                <c:pt idx="332">
                  <c:v>0.81066942187607538</c:v>
                </c:pt>
                <c:pt idx="333">
                  <c:v>0.89753775945612424</c:v>
                </c:pt>
                <c:pt idx="334">
                  <c:v>0.89515643202731698</c:v>
                </c:pt>
                <c:pt idx="335">
                  <c:v>0.95550025830198404</c:v>
                </c:pt>
                <c:pt idx="336">
                  <c:v>1.0643352713979048</c:v>
                </c:pt>
                <c:pt idx="337">
                  <c:v>0.9161935541106252</c:v>
                </c:pt>
                <c:pt idx="338">
                  <c:v>1.0276805768179793</c:v>
                </c:pt>
                <c:pt idx="339">
                  <c:v>0.79497862339968595</c:v>
                </c:pt>
                <c:pt idx="340">
                  <c:v>1.0750809484919404</c:v>
                </c:pt>
                <c:pt idx="341">
                  <c:v>0.62319362436667958</c:v>
                </c:pt>
                <c:pt idx="342">
                  <c:v>0.96051437093285852</c:v>
                </c:pt>
                <c:pt idx="343">
                  <c:v>0.87917179348650509</c:v>
                </c:pt>
                <c:pt idx="344">
                  <c:v>1.2347092535127056</c:v>
                </c:pt>
                <c:pt idx="345">
                  <c:v>0.60184794055467938</c:v>
                </c:pt>
                <c:pt idx="346">
                  <c:v>1.0219610040497915</c:v>
                </c:pt>
                <c:pt idx="347">
                  <c:v>0.7330357782373077</c:v>
                </c:pt>
                <c:pt idx="348">
                  <c:v>1.1198131819366681</c:v>
                </c:pt>
                <c:pt idx="349">
                  <c:v>0.66486057633594775</c:v>
                </c:pt>
                <c:pt idx="350">
                  <c:v>1.0063627542062954</c:v>
                </c:pt>
                <c:pt idx="351">
                  <c:v>0.65201390875330911</c:v>
                </c:pt>
                <c:pt idx="352">
                  <c:v>0.96063482258325084</c:v>
                </c:pt>
                <c:pt idx="353">
                  <c:v>0.72042570438964904</c:v>
                </c:pt>
                <c:pt idx="354">
                  <c:v>1.1550340401026544</c:v>
                </c:pt>
                <c:pt idx="355">
                  <c:v>0.65535916327208799</c:v>
                </c:pt>
                <c:pt idx="356">
                  <c:v>1.1105084560718819</c:v>
                </c:pt>
                <c:pt idx="357">
                  <c:v>0.79874270242833545</c:v>
                </c:pt>
                <c:pt idx="358">
                  <c:v>1.023547164422965</c:v>
                </c:pt>
                <c:pt idx="359">
                  <c:v>0.85551395808440578</c:v>
                </c:pt>
                <c:pt idx="360">
                  <c:v>0.98139244277365356</c:v>
                </c:pt>
                <c:pt idx="361">
                  <c:v>0.70984876435598188</c:v>
                </c:pt>
                <c:pt idx="362">
                  <c:v>1.0481130483497585</c:v>
                </c:pt>
                <c:pt idx="363">
                  <c:v>0.90063459723224326</c:v>
                </c:pt>
                <c:pt idx="364">
                  <c:v>1.2858428339267387</c:v>
                </c:pt>
                <c:pt idx="365">
                  <c:v>0.89396556017501727</c:v>
                </c:pt>
                <c:pt idx="366">
                  <c:v>0.98338913792026705</c:v>
                </c:pt>
                <c:pt idx="367">
                  <c:v>1.036322161226584</c:v>
                </c:pt>
                <c:pt idx="368">
                  <c:v>1.3610574349331113</c:v>
                </c:pt>
                <c:pt idx="369">
                  <c:v>1.1811110675219012</c:v>
                </c:pt>
                <c:pt idx="370">
                  <c:v>0.65825114412661645</c:v>
                </c:pt>
                <c:pt idx="371">
                  <c:v>0.77378912538861899</c:v>
                </c:pt>
                <c:pt idx="372">
                  <c:v>0.75899280575539563</c:v>
                </c:pt>
                <c:pt idx="373">
                  <c:v>0.8904869210020433</c:v>
                </c:pt>
                <c:pt idx="374">
                  <c:v>0.90287769784172656</c:v>
                </c:pt>
                <c:pt idx="375">
                  <c:v>0.98498574494393953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0.81191613543819985</c:v>
                </c:pt>
                <c:pt idx="379">
                  <c:v>0.9430316920738141</c:v>
                </c:pt>
                <c:pt idx="380">
                  <c:v>1.0458763223941501</c:v>
                </c:pt>
                <c:pt idx="381">
                  <c:v>0.93075915185163327</c:v>
                </c:pt>
                <c:pt idx="382">
                  <c:v>1.0597976267559761</c:v>
                </c:pt>
                <c:pt idx="383">
                  <c:v>1.4770163586145215</c:v>
                </c:pt>
                <c:pt idx="384">
                  <c:v>0.9223210736286156</c:v>
                </c:pt>
                <c:pt idx="385">
                  <c:v>1.0760378613885915</c:v>
                </c:pt>
                <c:pt idx="386">
                  <c:v>1.0622002196076112</c:v>
                </c:pt>
                <c:pt idx="387">
                  <c:v>0.68598892644176579</c:v>
                </c:pt>
                <c:pt idx="388">
                  <c:v>0.83117670323868909</c:v>
                </c:pt>
                <c:pt idx="389">
                  <c:v>0.90798285629871378</c:v>
                </c:pt>
                <c:pt idx="390">
                  <c:v>0.80065106847835565</c:v>
                </c:pt>
                <c:pt idx="391">
                  <c:v>0.91366453911512724</c:v>
                </c:pt>
                <c:pt idx="392">
                  <c:v>0.63658061415316614</c:v>
                </c:pt>
                <c:pt idx="393">
                  <c:v>0.67872485494033818</c:v>
                </c:pt>
                <c:pt idx="394">
                  <c:v>0.83340478977310528</c:v>
                </c:pt>
                <c:pt idx="395">
                  <c:v>0.61800778838527559</c:v>
                </c:pt>
                <c:pt idx="396">
                  <c:v>0.70367808719437008</c:v>
                </c:pt>
                <c:pt idx="397">
                  <c:v>0.9393306132040562</c:v>
                </c:pt>
                <c:pt idx="398">
                  <c:v>0.65027889870200761</c:v>
                </c:pt>
                <c:pt idx="399">
                  <c:v>0.95884996399514588</c:v>
                </c:pt>
                <c:pt idx="400">
                  <c:v>1.0237310466798923</c:v>
                </c:pt>
                <c:pt idx="401">
                  <c:v>0.58197921135499686</c:v>
                </c:pt>
                <c:pt idx="402">
                  <c:v>0.64761509962742803</c:v>
                </c:pt>
                <c:pt idx="403">
                  <c:v>0.80079303363680798</c:v>
                </c:pt>
                <c:pt idx="404">
                  <c:v>0.47564989032534455</c:v>
                </c:pt>
                <c:pt idx="405">
                  <c:v>0.66704150177213273</c:v>
                </c:pt>
                <c:pt idx="406">
                  <c:v>0.70702684009784134</c:v>
                </c:pt>
                <c:pt idx="407">
                  <c:v>1.0814969925658282</c:v>
                </c:pt>
                <c:pt idx="408">
                  <c:v>0.99576500752813224</c:v>
                </c:pt>
                <c:pt idx="409">
                  <c:v>0.99413885294838056</c:v>
                </c:pt>
                <c:pt idx="410">
                  <c:v>1.1394424782402843</c:v>
                </c:pt>
                <c:pt idx="411">
                  <c:v>0.67339603919552049</c:v>
                </c:pt>
                <c:pt idx="412">
                  <c:v>0.8706995887826271</c:v>
                </c:pt>
                <c:pt idx="413">
                  <c:v>1.0281950348313329</c:v>
                </c:pt>
                <c:pt idx="414">
                  <c:v>1.1970277979743196</c:v>
                </c:pt>
                <c:pt idx="415">
                  <c:v>0.75774169091366828</c:v>
                </c:pt>
                <c:pt idx="416">
                  <c:v>1.0238289667935871</c:v>
                </c:pt>
                <c:pt idx="417">
                  <c:v>0.73182258163771818</c:v>
                </c:pt>
                <c:pt idx="418">
                  <c:v>0.85256630700679548</c:v>
                </c:pt>
                <c:pt idx="419">
                  <c:v>0.99737956201403044</c:v>
                </c:pt>
                <c:pt idx="420">
                  <c:v>1.0728433505360115</c:v>
                </c:pt>
                <c:pt idx="421">
                  <c:v>1.2159686517391213</c:v>
                </c:pt>
                <c:pt idx="422">
                  <c:v>1.2091576243153148</c:v>
                </c:pt>
                <c:pt idx="423">
                  <c:v>0.79048475314469613</c:v>
                </c:pt>
                <c:pt idx="424">
                  <c:v>0.83691102883897983</c:v>
                </c:pt>
                <c:pt idx="425">
                  <c:v>1.006304469333855</c:v>
                </c:pt>
                <c:pt idx="426">
                  <c:v>1.189548271882735</c:v>
                </c:pt>
                <c:pt idx="427">
                  <c:v>1.1596127136690846</c:v>
                </c:pt>
                <c:pt idx="428">
                  <c:v>1.2217011324137843</c:v>
                </c:pt>
                <c:pt idx="429">
                  <c:v>1.3325481105008794</c:v>
                </c:pt>
                <c:pt idx="430">
                  <c:v>1.3127262358757383</c:v>
                </c:pt>
                <c:pt idx="431">
                  <c:v>1.1515856076091984</c:v>
                </c:pt>
                <c:pt idx="432">
                  <c:v>1.1740740153975369</c:v>
                </c:pt>
                <c:pt idx="433">
                  <c:v>1.2956263023911716</c:v>
                </c:pt>
                <c:pt idx="43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F-4B4B-ABAD-AA6443AA13C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3F-4B4B-ABAD-AA6443AA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C-496B-88B5-306D076DE9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AC-496B-88B5-306D076DE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headed!$CM$105:$CM$153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0-4435-99F4-B633F77973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0-4435-99F4-B633F779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headed!$CI$169:$CI$578</c:f>
              <c:numCache>
                <c:formatCode>General</c:formatCode>
                <c:ptCount val="4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0</c:v>
                </c:pt>
                <c:pt idx="56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8-4B02-882D-97CB45022FA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58-4B02-882D-97CB4502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2C-4437-88B1-E9BA83C1AD5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437-88B1-E9BA83C1AD5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437-88B1-E9BA83C1AD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2C-4437-88B1-E9BA83C1AD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2C-4437-88B1-E9BA83C1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headed!$CM$169:$CM$578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2-49B8-A146-A76E9AD6575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2-49B8-A146-A76E9AD65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8-4187-B59B-492866B1C6D6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28-4187-B59B-492866B1C6D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28-4187-B59B-492866B1C6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28-4187-B59B-492866B1C6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28-4187-B59B-492866B1C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headed!$CL$20:$CL$1278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1.0049803374710342</c:v>
                </c:pt>
                <c:pt idx="150">
                  <c:v>1.336765961716297</c:v>
                </c:pt>
                <c:pt idx="151">
                  <c:v>1.3502706830387621</c:v>
                </c:pt>
                <c:pt idx="152">
                  <c:v>1.0412218156152346</c:v>
                </c:pt>
                <c:pt idx="153">
                  <c:v>1.1716971921552939</c:v>
                </c:pt>
                <c:pt idx="154">
                  <c:v>1.131898315070766</c:v>
                </c:pt>
                <c:pt idx="155">
                  <c:v>1.1972859454860088</c:v>
                </c:pt>
                <c:pt idx="156">
                  <c:v>1.1825979304836267</c:v>
                </c:pt>
                <c:pt idx="157">
                  <c:v>1.1802441564682067</c:v>
                </c:pt>
                <c:pt idx="158">
                  <c:v>1.3701259564751176</c:v>
                </c:pt>
                <c:pt idx="159">
                  <c:v>1.2158256317980205</c:v>
                </c:pt>
                <c:pt idx="160">
                  <c:v>1.1078654557321155</c:v>
                </c:pt>
                <c:pt idx="161">
                  <c:v>0.88558461738800009</c:v>
                </c:pt>
                <c:pt idx="162">
                  <c:v>1.0971269956239666</c:v>
                </c:pt>
                <c:pt idx="163">
                  <c:v>1.3493245422364921</c:v>
                </c:pt>
                <c:pt idx="164">
                  <c:v>1.6978913823018422</c:v>
                </c:pt>
                <c:pt idx="165">
                  <c:v>1.3095784928162608</c:v>
                </c:pt>
                <c:pt idx="166">
                  <c:v>1.1362985571149462</c:v>
                </c:pt>
                <c:pt idx="167">
                  <c:v>1.4489090299456451</c:v>
                </c:pt>
                <c:pt idx="168">
                  <c:v>1.1264315123772384</c:v>
                </c:pt>
                <c:pt idx="169">
                  <c:v>1.250702910301895</c:v>
                </c:pt>
                <c:pt idx="170">
                  <c:v>1.6061312508358303</c:v>
                </c:pt>
                <c:pt idx="171">
                  <c:v>1.5076213914643732</c:v>
                </c:pt>
                <c:pt idx="172">
                  <c:v>1.6116129274598434</c:v>
                </c:pt>
                <c:pt idx="173">
                  <c:v>1.353732099805089</c:v>
                </c:pt>
                <c:pt idx="174">
                  <c:v>1.2140631955584191</c:v>
                </c:pt>
                <c:pt idx="175">
                  <c:v>1.2142589675863487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1.3383380886118024</c:v>
                </c:pt>
                <c:pt idx="205">
                  <c:v>1.0667341823935248</c:v>
                </c:pt>
                <c:pt idx="207">
                  <c:v>0.96123910886210173</c:v>
                </c:pt>
                <c:pt idx="208">
                  <c:v>1.0800473563193289</c:v>
                </c:pt>
                <c:pt idx="209">
                  <c:v>1.5688980242628909</c:v>
                </c:pt>
                <c:pt idx="211">
                  <c:v>1.3081102480693489</c:v>
                </c:pt>
                <c:pt idx="215">
                  <c:v>1.6772269266410664</c:v>
                </c:pt>
                <c:pt idx="216">
                  <c:v>1.1150394683014302</c:v>
                </c:pt>
                <c:pt idx="217">
                  <c:v>0.93601937017964099</c:v>
                </c:pt>
                <c:pt idx="218">
                  <c:v>1.2119877238401617</c:v>
                </c:pt>
                <c:pt idx="219">
                  <c:v>1.4335498222786425</c:v>
                </c:pt>
                <c:pt idx="220">
                  <c:v>1.7241744032031006</c:v>
                </c:pt>
                <c:pt idx="221">
                  <c:v>1.4709966291791812</c:v>
                </c:pt>
                <c:pt idx="222">
                  <c:v>1.024630490427666</c:v>
                </c:pt>
                <c:pt idx="223">
                  <c:v>1.7084704294313242</c:v>
                </c:pt>
                <c:pt idx="224">
                  <c:v>1.5425351929470028</c:v>
                </c:pt>
                <c:pt idx="225">
                  <c:v>1.4530735737887628</c:v>
                </c:pt>
                <c:pt idx="227">
                  <c:v>1.162098744070923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0.91851247644247092</c:v>
                </c:pt>
                <c:pt idx="233">
                  <c:v>1</c:v>
                </c:pt>
                <c:pt idx="234">
                  <c:v>1.1669913938500407</c:v>
                </c:pt>
                <c:pt idx="235">
                  <c:v>1.0958321519136152</c:v>
                </c:pt>
                <c:pt idx="236">
                  <c:v>1.4482630142707176</c:v>
                </c:pt>
                <c:pt idx="237">
                  <c:v>1.2065212017848979</c:v>
                </c:pt>
                <c:pt idx="238">
                  <c:v>1.2638608456589822</c:v>
                </c:pt>
                <c:pt idx="239">
                  <c:v>1.0429653107588621</c:v>
                </c:pt>
                <c:pt idx="240">
                  <c:v>1.267632927019867</c:v>
                </c:pt>
                <c:pt idx="241">
                  <c:v>1.0864732280294513</c:v>
                </c:pt>
                <c:pt idx="242">
                  <c:v>1.5147236131087898</c:v>
                </c:pt>
                <c:pt idx="243">
                  <c:v>1.2694084672363284</c:v>
                </c:pt>
                <c:pt idx="244">
                  <c:v>1.0591467407093387</c:v>
                </c:pt>
                <c:pt idx="245">
                  <c:v>0.99943469121787187</c:v>
                </c:pt>
                <c:pt idx="246">
                  <c:v>1.1787430355325779</c:v>
                </c:pt>
                <c:pt idx="247">
                  <c:v>1.0953486974677027</c:v>
                </c:pt>
                <c:pt idx="248">
                  <c:v>1.3410351127446876</c:v>
                </c:pt>
                <c:pt idx="249">
                  <c:v>1.1378780950693508</c:v>
                </c:pt>
                <c:pt idx="250">
                  <c:v>0.94606036381909953</c:v>
                </c:pt>
                <c:pt idx="251">
                  <c:v>0.9280417512964777</c:v>
                </c:pt>
                <c:pt idx="252">
                  <c:v>1.0537522781326267</c:v>
                </c:pt>
                <c:pt idx="253">
                  <c:v>0.99104241411838778</c:v>
                </c:pt>
                <c:pt idx="254">
                  <c:v>1.246854111705707</c:v>
                </c:pt>
                <c:pt idx="255">
                  <c:v>1.1108598911062268</c:v>
                </c:pt>
                <c:pt idx="256">
                  <c:v>1.0069882788145434</c:v>
                </c:pt>
                <c:pt idx="257">
                  <c:v>1.0429659273597731</c:v>
                </c:pt>
                <c:pt idx="258">
                  <c:v>1.2415241895472264</c:v>
                </c:pt>
                <c:pt idx="259">
                  <c:v>1.0607370982090985</c:v>
                </c:pt>
                <c:pt idx="260">
                  <c:v>0.98254513569119484</c:v>
                </c:pt>
                <c:pt idx="261">
                  <c:v>0.97651110382324768</c:v>
                </c:pt>
                <c:pt idx="262">
                  <c:v>1.0887563493315389</c:v>
                </c:pt>
                <c:pt idx="263">
                  <c:v>0.78300596637240216</c:v>
                </c:pt>
                <c:pt idx="264">
                  <c:v>0.88968810745173232</c:v>
                </c:pt>
                <c:pt idx="265">
                  <c:v>0.74214693971252432</c:v>
                </c:pt>
                <c:pt idx="266">
                  <c:v>1.015645214075779</c:v>
                </c:pt>
                <c:pt idx="267">
                  <c:v>0.76591341717817985</c:v>
                </c:pt>
                <c:pt idx="268">
                  <c:v>0.99490267950518141</c:v>
                </c:pt>
                <c:pt idx="269">
                  <c:v>0.782670244439856</c:v>
                </c:pt>
                <c:pt idx="270">
                  <c:v>0.95490274844904621</c:v>
                </c:pt>
                <c:pt idx="271">
                  <c:v>1.10521720654621</c:v>
                </c:pt>
                <c:pt idx="272">
                  <c:v>1.1039912468916053</c:v>
                </c:pt>
                <c:pt idx="273">
                  <c:v>0.97146948096887209</c:v>
                </c:pt>
                <c:pt idx="274">
                  <c:v>1.0425960964081298</c:v>
                </c:pt>
                <c:pt idx="275">
                  <c:v>0.96545639129394512</c:v>
                </c:pt>
                <c:pt idx="276">
                  <c:v>1.1029753689711439</c:v>
                </c:pt>
                <c:pt idx="277">
                  <c:v>1.0443012016693149</c:v>
                </c:pt>
                <c:pt idx="278">
                  <c:v>1.035801217585661</c:v>
                </c:pt>
                <c:pt idx="279">
                  <c:v>0.97511909646297612</c:v>
                </c:pt>
                <c:pt idx="280">
                  <c:v>1.0745054096439952</c:v>
                </c:pt>
                <c:pt idx="281">
                  <c:v>1.0849879495526928</c:v>
                </c:pt>
                <c:pt idx="282">
                  <c:v>1.0658353776281775</c:v>
                </c:pt>
                <c:pt idx="283">
                  <c:v>1.164038324517964</c:v>
                </c:pt>
                <c:pt idx="284">
                  <c:v>1.1851863092498804</c:v>
                </c:pt>
                <c:pt idx="285">
                  <c:v>1.4000927741086981</c:v>
                </c:pt>
                <c:pt idx="286">
                  <c:v>1.4707672066107018</c:v>
                </c:pt>
                <c:pt idx="287">
                  <c:v>1.1693024959062237</c:v>
                </c:pt>
                <c:pt idx="288">
                  <c:v>1.1994142932326093</c:v>
                </c:pt>
                <c:pt idx="289">
                  <c:v>1.3354151143487145</c:v>
                </c:pt>
                <c:pt idx="290">
                  <c:v>1.4489801776685771</c:v>
                </c:pt>
                <c:pt idx="291">
                  <c:v>1.0759579072343315</c:v>
                </c:pt>
                <c:pt idx="292">
                  <c:v>1.1152914305964363</c:v>
                </c:pt>
                <c:pt idx="293">
                  <c:v>1.2732119156908908</c:v>
                </c:pt>
                <c:pt idx="294">
                  <c:v>1.486801599498017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0.65440646347147291</c:v>
                </c:pt>
                <c:pt idx="299">
                  <c:v>0.74645745582544709</c:v>
                </c:pt>
                <c:pt idx="300">
                  <c:v>0.86626402070750652</c:v>
                </c:pt>
                <c:pt idx="301">
                  <c:v>0.78909154398737613</c:v>
                </c:pt>
                <c:pt idx="302">
                  <c:v>0.93712665612600687</c:v>
                </c:pt>
                <c:pt idx="303">
                  <c:v>1.0095343957325076</c:v>
                </c:pt>
                <c:pt idx="304">
                  <c:v>0.82535245957938552</c:v>
                </c:pt>
                <c:pt idx="305">
                  <c:v>0.87025939203289582</c:v>
                </c:pt>
                <c:pt idx="306">
                  <c:v>0.74722430214469848</c:v>
                </c:pt>
                <c:pt idx="307">
                  <c:v>0.93212965513993562</c:v>
                </c:pt>
                <c:pt idx="308">
                  <c:v>0.70351864336481917</c:v>
                </c:pt>
                <c:pt idx="309">
                  <c:v>0.88584801505264343</c:v>
                </c:pt>
                <c:pt idx="310">
                  <c:v>0.93461795122954905</c:v>
                </c:pt>
                <c:pt idx="311">
                  <c:v>0.8760822339448866</c:v>
                </c:pt>
                <c:pt idx="312">
                  <c:v>1.0546620803021731</c:v>
                </c:pt>
                <c:pt idx="313">
                  <c:v>1.0088869571220103</c:v>
                </c:pt>
                <c:pt idx="314">
                  <c:v>1.127721019295898</c:v>
                </c:pt>
                <c:pt idx="315">
                  <c:v>1.0815801265431821</c:v>
                </c:pt>
                <c:pt idx="316">
                  <c:v>1.2575697339160365</c:v>
                </c:pt>
                <c:pt idx="317">
                  <c:v>1.0377227912290949</c:v>
                </c:pt>
                <c:pt idx="318">
                  <c:v>1.0851045143939175</c:v>
                </c:pt>
                <c:pt idx="319">
                  <c:v>0.78234204586737066</c:v>
                </c:pt>
                <c:pt idx="320">
                  <c:v>0.76733459610941368</c:v>
                </c:pt>
                <c:pt idx="321">
                  <c:v>1.0136499429452763</c:v>
                </c:pt>
                <c:pt idx="322">
                  <c:v>1.0886125437537382</c:v>
                </c:pt>
                <c:pt idx="323">
                  <c:v>0.94794472349162318</c:v>
                </c:pt>
                <c:pt idx="324">
                  <c:v>0.95810293219723919</c:v>
                </c:pt>
                <c:pt idx="325">
                  <c:v>0.94032104183423759</c:v>
                </c:pt>
                <c:pt idx="326">
                  <c:v>1.1917519000638892</c:v>
                </c:pt>
                <c:pt idx="327">
                  <c:v>0.73918547860307671</c:v>
                </c:pt>
                <c:pt idx="328">
                  <c:v>0.73435132953628823</c:v>
                </c:pt>
                <c:pt idx="329">
                  <c:v>0.80046699672781108</c:v>
                </c:pt>
                <c:pt idx="330">
                  <c:v>1.1085878003695551</c:v>
                </c:pt>
                <c:pt idx="331">
                  <c:v>0.85520549534192214</c:v>
                </c:pt>
                <c:pt idx="332">
                  <c:v>0.94115541649385537</c:v>
                </c:pt>
                <c:pt idx="333">
                  <c:v>0.93310480003574625</c:v>
                </c:pt>
                <c:pt idx="334">
                  <c:v>0.98697622127594653</c:v>
                </c:pt>
                <c:pt idx="335">
                  <c:v>1.0864891795569402</c:v>
                </c:pt>
                <c:pt idx="336">
                  <c:v>0.96674260066309403</c:v>
                </c:pt>
                <c:pt idx="337">
                  <c:v>1.0879820523592281</c:v>
                </c:pt>
                <c:pt idx="338">
                  <c:v>0.82233348350740842</c:v>
                </c:pt>
                <c:pt idx="339">
                  <c:v>1.1130622636058647</c:v>
                </c:pt>
                <c:pt idx="340">
                  <c:v>0.63480838312555887</c:v>
                </c:pt>
                <c:pt idx="341">
                  <c:v>0.97995058160380566</c:v>
                </c:pt>
                <c:pt idx="342">
                  <c:v>0.90003950832799662</c:v>
                </c:pt>
                <c:pt idx="343">
                  <c:v>1.2625217719196895</c:v>
                </c:pt>
                <c:pt idx="344">
                  <c:v>0.63292489521379602</c:v>
                </c:pt>
                <c:pt idx="345">
                  <c:v>1.0771457263688171</c:v>
                </c:pt>
                <c:pt idx="346">
                  <c:v>0.73924512696546085</c:v>
                </c:pt>
                <c:pt idx="347">
                  <c:v>1.1248507186141501</c:v>
                </c:pt>
                <c:pt idx="348">
                  <c:v>0.68467739710453912</c:v>
                </c:pt>
                <c:pt idx="349">
                  <c:v>1.0359680488784047</c:v>
                </c:pt>
                <c:pt idx="350">
                  <c:v>0.67868729013532503</c:v>
                </c:pt>
                <c:pt idx="351">
                  <c:v>1.0002692328949259</c:v>
                </c:pt>
                <c:pt idx="352">
                  <c:v>0.72633374341804824</c:v>
                </c:pt>
                <c:pt idx="353">
                  <c:v>1.1618512131976952</c:v>
                </c:pt>
                <c:pt idx="354">
                  <c:v>0.63898823880641586</c:v>
                </c:pt>
                <c:pt idx="355">
                  <c:v>1.0767191342865152</c:v>
                </c:pt>
                <c:pt idx="356">
                  <c:v>0.75400013200926497</c:v>
                </c:pt>
                <c:pt idx="357">
                  <c:v>0.95972228420837502</c:v>
                </c:pt>
                <c:pt idx="358">
                  <c:v>0.89951817016281221</c:v>
                </c:pt>
                <c:pt idx="359">
                  <c:v>0.97894457082747688</c:v>
                </c:pt>
                <c:pt idx="360">
                  <c:v>0.74462905197182427</c:v>
                </c:pt>
                <c:pt idx="361">
                  <c:v>1.0414859751276166</c:v>
                </c:pt>
                <c:pt idx="362">
                  <c:v>0.94846759987164653</c:v>
                </c:pt>
                <c:pt idx="363">
                  <c:v>1.2792539211145848</c:v>
                </c:pt>
                <c:pt idx="364">
                  <c:v>0.95692750390543657</c:v>
                </c:pt>
                <c:pt idx="365">
                  <c:v>1.000825177613299</c:v>
                </c:pt>
                <c:pt idx="366">
                  <c:v>1.1093102722998569</c:v>
                </c:pt>
                <c:pt idx="367">
                  <c:v>1.3796539954432834</c:v>
                </c:pt>
                <c:pt idx="368">
                  <c:v>1.2648314968012164</c:v>
                </c:pt>
                <c:pt idx="369">
                  <c:v>0.67646352686461653</c:v>
                </c:pt>
                <c:pt idx="370">
                  <c:v>0.75051026424073697</c:v>
                </c:pt>
                <c:pt idx="371">
                  <c:v>0.77281597321579087</c:v>
                </c:pt>
                <c:pt idx="372">
                  <c:v>0.86413021470864393</c:v>
                </c:pt>
                <c:pt idx="373">
                  <c:v>0.91208253125064931</c:v>
                </c:pt>
                <c:pt idx="374">
                  <c:v>0.95614243505191698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0.82625634412902194</c:v>
                </c:pt>
                <c:pt idx="378">
                  <c:v>0.9601139047349182</c:v>
                </c:pt>
                <c:pt idx="379">
                  <c:v>1.0627262740118579</c:v>
                </c:pt>
                <c:pt idx="380">
                  <c:v>0.93527480684988118</c:v>
                </c:pt>
                <c:pt idx="381">
                  <c:v>1.0625500982773062</c:v>
                </c:pt>
                <c:pt idx="382">
                  <c:v>1.4822322141280799</c:v>
                </c:pt>
                <c:pt idx="383">
                  <c:v>1.0182198876788391</c:v>
                </c:pt>
                <c:pt idx="384">
                  <c:v>1.1905256945812908</c:v>
                </c:pt>
                <c:pt idx="385">
                  <c:v>1.1753055919076683</c:v>
                </c:pt>
                <c:pt idx="386">
                  <c:v>0.74669552116938287</c:v>
                </c:pt>
                <c:pt idx="387">
                  <c:v>0.90336797784402101</c:v>
                </c:pt>
                <c:pt idx="388">
                  <c:v>0.99108586662496612</c:v>
                </c:pt>
                <c:pt idx="389">
                  <c:v>0.8348184273807373</c:v>
                </c:pt>
                <c:pt idx="390">
                  <c:v>0.95553229503146886</c:v>
                </c:pt>
                <c:pt idx="391">
                  <c:v>0.67335839175112699</c:v>
                </c:pt>
                <c:pt idx="392">
                  <c:v>0.69192281388318311</c:v>
                </c:pt>
                <c:pt idx="393">
                  <c:v>0.84853134899852589</c:v>
                </c:pt>
                <c:pt idx="394">
                  <c:v>0.6648035989042731</c:v>
                </c:pt>
                <c:pt idx="395">
                  <c:v>0.72846501506533778</c:v>
                </c:pt>
                <c:pt idx="396">
                  <c:v>1.0134345640672162</c:v>
                </c:pt>
                <c:pt idx="397">
                  <c:v>0.67317534853537886</c:v>
                </c:pt>
                <c:pt idx="398">
                  <c:v>1.0383544149159285</c:v>
                </c:pt>
                <c:pt idx="399">
                  <c:v>1.0615276951705674</c:v>
                </c:pt>
                <c:pt idx="400">
                  <c:v>0.61746193238869718</c:v>
                </c:pt>
                <c:pt idx="401">
                  <c:v>0.68724341538301104</c:v>
                </c:pt>
                <c:pt idx="402">
                  <c:v>0.85028063832166845</c:v>
                </c:pt>
                <c:pt idx="403">
                  <c:v>0.49532268932934714</c:v>
                </c:pt>
                <c:pt idx="404">
                  <c:v>0.69404556824261776</c:v>
                </c:pt>
                <c:pt idx="405">
                  <c:v>0.73678053201601534</c:v>
                </c:pt>
                <c:pt idx="406">
                  <c:v>1.0734511207027237</c:v>
                </c:pt>
                <c:pt idx="407">
                  <c:v>0.97228115444619168</c:v>
                </c:pt>
                <c:pt idx="408">
                  <c:v>0.98184147159351287</c:v>
                </c:pt>
                <c:pt idx="409">
                  <c:v>1.1065773777959143</c:v>
                </c:pt>
                <c:pt idx="410">
                  <c:v>0.72096580896252627</c:v>
                </c:pt>
                <c:pt idx="411">
                  <c:v>0.93377048827409681</c:v>
                </c:pt>
                <c:pt idx="412">
                  <c:v>1.1167546869959355</c:v>
                </c:pt>
                <c:pt idx="413">
                  <c:v>1.2956424138648808</c:v>
                </c:pt>
                <c:pt idx="414">
                  <c:v>0.78437925291382093</c:v>
                </c:pt>
                <c:pt idx="415">
                  <c:v>1.059782127050285</c:v>
                </c:pt>
                <c:pt idx="416">
                  <c:v>0.73718451657272832</c:v>
                </c:pt>
                <c:pt idx="417">
                  <c:v>0.85852739822939572</c:v>
                </c:pt>
                <c:pt idx="418">
                  <c:v>1.0416632154626597</c:v>
                </c:pt>
                <c:pt idx="419">
                  <c:v>1.1153119606929831</c:v>
                </c:pt>
                <c:pt idx="420">
                  <c:v>1.2692714892463186</c:v>
                </c:pt>
                <c:pt idx="421">
                  <c:v>1.2571639757274684</c:v>
                </c:pt>
                <c:pt idx="422">
                  <c:v>0.8085349544542425</c:v>
                </c:pt>
                <c:pt idx="423">
                  <c:v>0.85080970194489203</c:v>
                </c:pt>
                <c:pt idx="424">
                  <c:v>1.0293844757547645</c:v>
                </c:pt>
                <c:pt idx="425">
                  <c:v>1.2091353781823571</c:v>
                </c:pt>
                <c:pt idx="426">
                  <c:v>1.2582112350998493</c:v>
                </c:pt>
                <c:pt idx="427">
                  <c:v>1.3026075869753657</c:v>
                </c:pt>
                <c:pt idx="428">
                  <c:v>1.4455193526381414</c:v>
                </c:pt>
                <c:pt idx="429">
                  <c:v>1.3999644400429421</c:v>
                </c:pt>
                <c:pt idx="430">
                  <c:v>1.2264020383181997</c:v>
                </c:pt>
                <c:pt idx="431">
                  <c:v>1.2265000402860071</c:v>
                </c:pt>
                <c:pt idx="432">
                  <c:v>1.3786937883911297</c:v>
                </c:pt>
                <c:pt idx="433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2-477E-AB27-6E58FDC3CFD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C2-477E-AB27-6E58FDC3C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12-4C05-88A1-661B3877ECB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2-4C05-88A1-661B3877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headed!$CP$20:$CP$104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1-4AC3-90AB-F5D88D759B4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headed!$CV$20:$CV$104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D1-4AC3-90AB-F5D88D759B4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D1-4AC3-90AB-F5D88D759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headed!$CR$20:$CR$104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D-49AF-835D-8A5A49C6D40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headed!$CX$20:$CX$104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D-49AF-835D-8A5A49C6D40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D-49AF-835D-8A5A49C6D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E-4678-981D-94C257D85F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E-4678-981D-94C257D85F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3E-4678-981D-94C257D8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headed!$CT$20:$CT$104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54-41F9-8353-2A64A47D44E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headed!$CZ$20:$CZ$104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54-41F9-8353-2A64A47D44E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54-41F9-8353-2A64A47D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headed!$CO$105:$CO$153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F2-45E3-BD65-B592DB0DDF0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headed!$CU$105:$CU$153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2-45E3-BD65-B592DB0DDF0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F2-45E3-BD65-B592DB0DD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headed!$CQ$105:$CQ$153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7-437C-8E48-4E31E0CC8A9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headed!$CW$105:$CW$153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7-437C-8E48-4E31E0CC8A9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7-437C-8E48-4E31E0CC8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headed!$CP$105:$CP$153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EC-4CCB-869F-24171BE9294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headed!$CV$105:$CV$153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EC-4CCB-869F-24171BE9294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EC-4CCB-869F-24171BE92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headed!$CR$105:$CR$153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8-4FCF-959B-F6F07E3D39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headed!$CX$105:$CX$153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98-4FCF-959B-F6F07E3D39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98-4FCF-959B-F6F07E3D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C-41C7-9E8D-6079A3419B3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C-41C7-9E8D-6079A3419B3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8C-41C7-9E8D-6079A3419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headed!$CT$105:$CT$153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2-4990-BDE4-B097826801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headed!$CZ$105:$CZ$153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92-4990-BDE4-B097826801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92-4990-BDE4-B09782680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headed!$CQ$169:$CQ$195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2-44E5-8DE7-7B6A53B4EF7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headed!$CW$169:$CW$195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2-44E5-8DE7-7B6A53B4EF7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headed!$CQ$216:$CQ$453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F2-44E5-8DE7-7B6A53B4EF7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headed!$CW$216:$CW$453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F2-44E5-8DE7-7B6A53B4EF7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F2-44E5-8DE7-7B6A53B4EF7D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headed!$CQ$196:$CQ$215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F2-44E5-8DE7-7B6A53B4EF7D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headed!$CW$196:$CW$215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F2-44E5-8DE7-7B6A53B4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headed!$CP$169:$CP$195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66-4385-AB52-62D05E75BE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headed!$CV$169:$CV$195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66-4385-AB52-62D05E75BE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headed!$CP$216:$CP$453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66-4385-AB52-62D05E75BE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headed!$CV$216:$CV$453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66-4385-AB52-62D05E75BE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66-4385-AB52-62D05E75BE1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headed!$CP$196:$CP$215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66-4385-AB52-62D05E75BE1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headed!$CV$196:$CV$215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66-4385-AB52-62D05E75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headed!$CR$169:$CR$195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F-4F82-9609-FB89BD6C3C3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headed!$CX$169:$CX$195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F-4F82-9609-FB89BD6C3C3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headed!$CR$216:$CR$453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2F-4F82-9609-FB89BD6C3C3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headed!$CX$216:$CX$453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2F-4F82-9609-FB89BD6C3C3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2F-4F82-9609-FB89BD6C3C3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headed!$CR$196:$CR$215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2F-4F82-9609-FB89BD6C3C3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headed!$CX$196:$CX$215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2F-4F82-9609-FB89BD6C3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headed!$CS$169:$CS$195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BB-469E-AA28-FAB02997FB9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headed!$CY$169:$CY$195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BB-469E-AA28-FAB02997FB9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headed!$CS$216:$CS$453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BB-469E-AA28-FAB02997FB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headed!$CY$216:$CY$453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BB-469E-AA28-FAB02997FB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BB-469E-AA28-FAB02997FB9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BB-469E-AA28-FAB02997FB9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BB-469E-AA28-FAB02997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headed!$CT$169:$CT$195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50-45A0-8E91-D8CE6BB2B5B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headed!$CZ$169:$CZ$195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0-45A0-8E91-D8CE6BB2B5B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headed!$CT$216:$CT$453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0-45A0-8E91-D8CE6BB2B5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headed!$CZ$216:$CZ$453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50-45A0-8E91-D8CE6BB2B5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0-45A0-8E91-D8CE6BB2B5B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headed!$CT$196:$CT$215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0-45A0-8E91-D8CE6BB2B5B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headed!$CZ$196:$CZ$215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50-45A0-8E91-D8CE6BB2B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headed_backup!$CM$19:$CM$1274</c:f>
              <c:numCache>
                <c:formatCode>General</c:formatCode>
                <c:ptCount val="1256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1">
                  <c:v>2.3528332898435282</c:v>
                </c:pt>
                <c:pt idx="72">
                  <c:v>2.443326877914433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  <c:pt idx="93">
                  <c:v>1.7953312467938294</c:v>
                </c:pt>
                <c:pt idx="94">
                  <c:v>1.831237871729706</c:v>
                </c:pt>
                <c:pt idx="95">
                  <c:v>1.6123926213913415</c:v>
                </c:pt>
                <c:pt idx="96">
                  <c:v>1.3116247118041748</c:v>
                </c:pt>
                <c:pt idx="97">
                  <c:v>1.4479206035118344</c:v>
                </c:pt>
                <c:pt idx="99">
                  <c:v>2.2227731979793113</c:v>
                </c:pt>
                <c:pt idx="100">
                  <c:v>2.4110463620978315</c:v>
                </c:pt>
                <c:pt idx="101">
                  <c:v>2.5273971248800322</c:v>
                </c:pt>
                <c:pt idx="102">
                  <c:v>1.3824226365890593</c:v>
                </c:pt>
                <c:pt idx="103">
                  <c:v>1.4532205613739437</c:v>
                </c:pt>
                <c:pt idx="104">
                  <c:v>0.61420983369428661</c:v>
                </c:pt>
                <c:pt idx="105">
                  <c:v>0.54186300232164242</c:v>
                </c:pt>
                <c:pt idx="106">
                  <c:v>0.51262897658330853</c:v>
                </c:pt>
                <c:pt idx="107">
                  <c:v>0.45906358661802343</c:v>
                </c:pt>
                <c:pt idx="108">
                  <c:v>0.65948812271662183</c:v>
                </c:pt>
                <c:pt idx="109">
                  <c:v>0.55958059367820834</c:v>
                </c:pt>
                <c:pt idx="110">
                  <c:v>0.73210140610978902</c:v>
                </c:pt>
                <c:pt idx="111">
                  <c:v>0.66309184733714488</c:v>
                </c:pt>
                <c:pt idx="112">
                  <c:v>0.60128328600164638</c:v>
                </c:pt>
                <c:pt idx="113">
                  <c:v>0.48132789852004199</c:v>
                </c:pt>
                <c:pt idx="114">
                  <c:v>0.48191848489859418</c:v>
                </c:pt>
                <c:pt idx="115">
                  <c:v>0.49549976015662306</c:v>
                </c:pt>
                <c:pt idx="116">
                  <c:v>0.47567976975035814</c:v>
                </c:pt>
                <c:pt idx="117">
                  <c:v>0.55100572882280319</c:v>
                </c:pt>
                <c:pt idx="118">
                  <c:v>0.51746624967706734</c:v>
                </c:pt>
                <c:pt idx="119">
                  <c:v>0.44463766638918378</c:v>
                </c:pt>
                <c:pt idx="120">
                  <c:v>0.95281269073088048</c:v>
                </c:pt>
                <c:pt idx="121">
                  <c:v>0.86373257863259068</c:v>
                </c:pt>
                <c:pt idx="122">
                  <c:v>0.72199184778006298</c:v>
                </c:pt>
                <c:pt idx="123">
                  <c:v>0.68409475652881924</c:v>
                </c:pt>
                <c:pt idx="124">
                  <c:v>1.0441446283860925</c:v>
                </c:pt>
                <c:pt idx="125">
                  <c:v>1.0216415113950128</c:v>
                </c:pt>
                <c:pt idx="126">
                  <c:v>0.89758034666207365</c:v>
                </c:pt>
                <c:pt idx="127">
                  <c:v>0.85046536405258744</c:v>
                </c:pt>
                <c:pt idx="128">
                  <c:v>1.0312669232625022</c:v>
                </c:pt>
                <c:pt idx="129">
                  <c:v>1.1167926656965317</c:v>
                </c:pt>
                <c:pt idx="130">
                  <c:v>1.0188718881271357</c:v>
                </c:pt>
                <c:pt idx="131">
                  <c:v>0.84200250071297089</c:v>
                </c:pt>
                <c:pt idx="132">
                  <c:v>0.77018186092151664</c:v>
                </c:pt>
                <c:pt idx="133">
                  <c:v>0.85145258489605702</c:v>
                </c:pt>
                <c:pt idx="146">
                  <c:v>1.225569165623946</c:v>
                </c:pt>
                <c:pt idx="147">
                  <c:v>1.6353994946085937</c:v>
                </c:pt>
                <c:pt idx="148">
                  <c:v>1.6466492454395782</c:v>
                </c:pt>
                <c:pt idx="149">
                  <c:v>1.1492110320426716</c:v>
                </c:pt>
                <c:pt idx="150">
                  <c:v>1.2977932364143214</c:v>
                </c:pt>
                <c:pt idx="151">
                  <c:v>1.2492919484799965</c:v>
                </c:pt>
                <c:pt idx="152">
                  <c:v>1.0258198988853873</c:v>
                </c:pt>
                <c:pt idx="153">
                  <c:v>1.1857746057227556</c:v>
                </c:pt>
                <c:pt idx="154">
                  <c:v>1.0748023074035522</c:v>
                </c:pt>
                <c:pt idx="155">
                  <c:v>1.455820984567487</c:v>
                </c:pt>
                <c:pt idx="156">
                  <c:v>1.0036837852778606</c:v>
                </c:pt>
                <c:pt idx="157">
                  <c:v>1.0650980029084989</c:v>
                </c:pt>
                <c:pt idx="158">
                  <c:v>0.77877380307996769</c:v>
                </c:pt>
                <c:pt idx="159">
                  <c:v>1.1204472084630297</c:v>
                </c:pt>
                <c:pt idx="160">
                  <c:v>1.2645047592598222</c:v>
                </c:pt>
                <c:pt idx="161">
                  <c:v>1.6052395746292354</c:v>
                </c:pt>
                <c:pt idx="162">
                  <c:v>1.2272571830982304</c:v>
                </c:pt>
                <c:pt idx="163">
                  <c:v>0.97260860076002498</c:v>
                </c:pt>
                <c:pt idx="164">
                  <c:v>1.2522004464825935</c:v>
                </c:pt>
                <c:pt idx="165">
                  <c:v>0.96416295721336365</c:v>
                </c:pt>
                <c:pt idx="166">
                  <c:v>1.0082013097225628</c:v>
                </c:pt>
                <c:pt idx="167">
                  <c:v>1.3457994703813709</c:v>
                </c:pt>
                <c:pt idx="168">
                  <c:v>1.3457994703813709</c:v>
                </c:pt>
                <c:pt idx="169">
                  <c:v>1.3503926426352324</c:v>
                </c:pt>
                <c:pt idx="170">
                  <c:v>1.263122369811867</c:v>
                </c:pt>
                <c:pt idx="171">
                  <c:v>0.9367326404971309</c:v>
                </c:pt>
                <c:pt idx="172">
                  <c:v>1.0799976325731626</c:v>
                </c:pt>
                <c:pt idx="173">
                  <c:v>2.6807730162772905</c:v>
                </c:pt>
                <c:pt idx="174">
                  <c:v>2.6459783222607123</c:v>
                </c:pt>
                <c:pt idx="175">
                  <c:v>2.1667604910323823</c:v>
                </c:pt>
                <c:pt idx="176">
                  <c:v>2.2917050740919138</c:v>
                </c:pt>
                <c:pt idx="177">
                  <c:v>2.7923113189478994</c:v>
                </c:pt>
                <c:pt idx="178">
                  <c:v>2.9110887407240416</c:v>
                </c:pt>
                <c:pt idx="179">
                  <c:v>3.0215309048316823</c:v>
                </c:pt>
                <c:pt idx="180">
                  <c:v>2.9673517299864245</c:v>
                </c:pt>
                <c:pt idx="181">
                  <c:v>3.0048603894946799</c:v>
                </c:pt>
                <c:pt idx="182">
                  <c:v>2.9965251318261785</c:v>
                </c:pt>
                <c:pt idx="183">
                  <c:v>2.0282460326686236</c:v>
                </c:pt>
                <c:pt idx="184">
                  <c:v>2.0324136615028738</c:v>
                </c:pt>
                <c:pt idx="185">
                  <c:v>2.9465135858151714</c:v>
                </c:pt>
                <c:pt idx="186">
                  <c:v>2.9340106993124198</c:v>
                </c:pt>
                <c:pt idx="187">
                  <c:v>3.0236147192488074</c:v>
                </c:pt>
                <c:pt idx="188">
                  <c:v>3.0048603894946799</c:v>
                </c:pt>
                <c:pt idx="189">
                  <c:v>3.0173632759974316</c:v>
                </c:pt>
                <c:pt idx="190">
                  <c:v>3.0111118327460558</c:v>
                </c:pt>
                <c:pt idx="191">
                  <c:v>1.9879589539375342</c:v>
                </c:pt>
                <c:pt idx="192">
                  <c:v>2.0087970981087873</c:v>
                </c:pt>
                <c:pt idx="201">
                  <c:v>1.3969859269328866</c:v>
                </c:pt>
                <c:pt idx="202">
                  <c:v>1.1134799594082712</c:v>
                </c:pt>
                <c:pt idx="204">
                  <c:v>1.358105561906104</c:v>
                </c:pt>
                <c:pt idx="205">
                  <c:v>1.4638998500136373</c:v>
                </c:pt>
                <c:pt idx="206">
                  <c:v>1.6460556821950687</c:v>
                </c:pt>
                <c:pt idx="208">
                  <c:v>1.2849691500444007</c:v>
                </c:pt>
                <c:pt idx="212">
                  <c:v>1.9019036068701081</c:v>
                </c:pt>
                <c:pt idx="213">
                  <c:v>1.6585658139235577</c:v>
                </c:pt>
                <c:pt idx="214">
                  <c:v>1.392282311688124</c:v>
                </c:pt>
                <c:pt idx="215">
                  <c:v>1.2591811613326145</c:v>
                </c:pt>
                <c:pt idx="216">
                  <c:v>1.4893706384463696</c:v>
                </c:pt>
                <c:pt idx="217">
                  <c:v>1.8089684795295491</c:v>
                </c:pt>
                <c:pt idx="218">
                  <c:v>1.3817749686699512</c:v>
                </c:pt>
                <c:pt idx="219">
                  <c:v>1.1704446793439585</c:v>
                </c:pt>
                <c:pt idx="220">
                  <c:v>1.7749963445318506</c:v>
                </c:pt>
                <c:pt idx="221">
                  <c:v>1.6101312326699513</c:v>
                </c:pt>
                <c:pt idx="222">
                  <c:v>1.9695008503860747</c:v>
                </c:pt>
                <c:pt idx="224">
                  <c:v>1.7475574825592937</c:v>
                </c:pt>
                <c:pt idx="225">
                  <c:v>1.856778540561977</c:v>
                </c:pt>
                <c:pt idx="226">
                  <c:v>1.9336107560335067</c:v>
                </c:pt>
                <c:pt idx="227">
                  <c:v>1.8183624328262118</c:v>
                </c:pt>
                <c:pt idx="228">
                  <c:v>1.8375704866940943</c:v>
                </c:pt>
                <c:pt idx="229">
                  <c:v>1.4644210077964666</c:v>
                </c:pt>
                <c:pt idx="230">
                  <c:v>1.7518995465387628</c:v>
                </c:pt>
                <c:pt idx="231">
                  <c:v>1.9832832128026687</c:v>
                </c:pt>
                <c:pt idx="232">
                  <c:v>2.1708095946524519</c:v>
                </c:pt>
                <c:pt idx="233">
                  <c:v>2.4582402550876643</c:v>
                </c:pt>
                <c:pt idx="234">
                  <c:v>2.3883510004126491</c:v>
                </c:pt>
                <c:pt idx="235">
                  <c:v>2.0214170272337286</c:v>
                </c:pt>
                <c:pt idx="236">
                  <c:v>1.8768022880578519</c:v>
                </c:pt>
                <c:pt idx="237">
                  <c:v>2.3041574627484738</c:v>
                </c:pt>
                <c:pt idx="238">
                  <c:v>2.1598119902405912</c:v>
                </c:pt>
                <c:pt idx="239">
                  <c:v>2.7386157194045646</c:v>
                </c:pt>
                <c:pt idx="240">
                  <c:v>2.6444397211552655</c:v>
                </c:pt>
                <c:pt idx="241">
                  <c:v>1.6762495741046421</c:v>
                </c:pt>
                <c:pt idx="242">
                  <c:v>1.8062284359078113</c:v>
                </c:pt>
                <c:pt idx="243">
                  <c:v>2.0614005199370671</c:v>
                </c:pt>
                <c:pt idx="244">
                  <c:v>2.2135974214669707</c:v>
                </c:pt>
                <c:pt idx="245">
                  <c:v>2.4359566257244731</c:v>
                </c:pt>
                <c:pt idx="246">
                  <c:v>2.3464502423270477</c:v>
                </c:pt>
                <c:pt idx="247">
                  <c:v>1.5955182052279357</c:v>
                </c:pt>
                <c:pt idx="248">
                  <c:v>1.6139869347016558</c:v>
                </c:pt>
                <c:pt idx="249">
                  <c:v>1.1259394815356814</c:v>
                </c:pt>
                <c:pt idx="250">
                  <c:v>1.0617977042412712</c:v>
                </c:pt>
                <c:pt idx="251">
                  <c:v>1.3503150456948545</c:v>
                </c:pt>
                <c:pt idx="252">
                  <c:v>1.2114030022601903</c:v>
                </c:pt>
                <c:pt idx="253">
                  <c:v>1.1776103187568816</c:v>
                </c:pt>
                <c:pt idx="254">
                  <c:v>1.2513247658643978</c:v>
                </c:pt>
                <c:pt idx="255">
                  <c:v>1.5049553082665195</c:v>
                </c:pt>
                <c:pt idx="256">
                  <c:v>1.3763102007627221</c:v>
                </c:pt>
                <c:pt idx="257">
                  <c:v>1.2838814274188568</c:v>
                </c:pt>
                <c:pt idx="258">
                  <c:v>1.2590855307150328</c:v>
                </c:pt>
                <c:pt idx="259">
                  <c:v>1.43924293656133</c:v>
                </c:pt>
                <c:pt idx="260">
                  <c:v>1.3649163783859324</c:v>
                </c:pt>
                <c:pt idx="261">
                  <c:v>1.6063308950541133</c:v>
                </c:pt>
                <c:pt idx="262">
                  <c:v>0.81001138963256536</c:v>
                </c:pt>
                <c:pt idx="263">
                  <c:v>1.1713310769181029</c:v>
                </c:pt>
                <c:pt idx="264">
                  <c:v>0.92052495066192941</c:v>
                </c:pt>
                <c:pt idx="265">
                  <c:v>1.2562768305586147</c:v>
                </c:pt>
                <c:pt idx="266">
                  <c:v>1.0356151544498595</c:v>
                </c:pt>
                <c:pt idx="267">
                  <c:v>1.3541745362490702</c:v>
                </c:pt>
                <c:pt idx="268">
                  <c:v>1.8390393434000243</c:v>
                </c:pt>
                <c:pt idx="269">
                  <c:v>1.6572818324293288</c:v>
                </c:pt>
                <c:pt idx="270">
                  <c:v>1.6131871866776055</c:v>
                </c:pt>
                <c:pt idx="271">
                  <c:v>1.6201617118162046</c:v>
                </c:pt>
                <c:pt idx="272">
                  <c:v>1.82784459240108</c:v>
                </c:pt>
                <c:pt idx="273">
                  <c:v>1.8391049780038722</c:v>
                </c:pt>
                <c:pt idx="274">
                  <c:v>1.9077931730661086</c:v>
                </c:pt>
                <c:pt idx="275">
                  <c:v>1.7236171863934053</c:v>
                </c:pt>
                <c:pt idx="276">
                  <c:v>1.9404936547645257</c:v>
                </c:pt>
                <c:pt idx="277">
                  <c:v>2.0072616038610884</c:v>
                </c:pt>
                <c:pt idx="278">
                  <c:v>2.2236759501220891</c:v>
                </c:pt>
                <c:pt idx="279">
                  <c:v>1.9213175916594305</c:v>
                </c:pt>
                <c:pt idx="280">
                  <c:v>1.8054709650544303</c:v>
                </c:pt>
                <c:pt idx="281">
                  <c:v>1.8677285845390659</c:v>
                </c:pt>
                <c:pt idx="282">
                  <c:v>2.2833360622400622</c:v>
                </c:pt>
                <c:pt idx="283">
                  <c:v>2.3970089307971794</c:v>
                </c:pt>
                <c:pt idx="284">
                  <c:v>1.4605943328712707</c:v>
                </c:pt>
                <c:pt idx="285">
                  <c:v>1.4956926848165499</c:v>
                </c:pt>
                <c:pt idx="286">
                  <c:v>1.7873571707283726</c:v>
                </c:pt>
                <c:pt idx="287">
                  <c:v>1.94348082358257</c:v>
                </c:pt>
                <c:pt idx="288">
                  <c:v>1.138404725831345</c:v>
                </c:pt>
                <c:pt idx="289">
                  <c:v>1.1653553762193458</c:v>
                </c:pt>
                <c:pt idx="290">
                  <c:v>1.4186878203980968</c:v>
                </c:pt>
                <c:pt idx="291">
                  <c:v>1.6446863940483587</c:v>
                </c:pt>
                <c:pt idx="292">
                  <c:v>1.3826741523751238</c:v>
                </c:pt>
                <c:pt idx="293">
                  <c:v>1.3564374511915354</c:v>
                </c:pt>
                <c:pt idx="294">
                  <c:v>1.4185824218381531</c:v>
                </c:pt>
                <c:pt idx="295">
                  <c:v>1.3186172092729258</c:v>
                </c:pt>
                <c:pt idx="296">
                  <c:v>1.4986693583302733</c:v>
                </c:pt>
                <c:pt idx="297">
                  <c:v>1.7874689706362066</c:v>
                </c:pt>
                <c:pt idx="298">
                  <c:v>1.8149834332410735</c:v>
                </c:pt>
                <c:pt idx="299">
                  <c:v>2.1228194150362767</c:v>
                </c:pt>
                <c:pt idx="300">
                  <c:v>2.3338738280128664</c:v>
                </c:pt>
                <c:pt idx="301">
                  <c:v>1.4596088729345433</c:v>
                </c:pt>
                <c:pt idx="302">
                  <c:v>1.5710468122095345</c:v>
                </c:pt>
                <c:pt idx="303">
                  <c:v>0.91498469141284478</c:v>
                </c:pt>
                <c:pt idx="304">
                  <c:v>1.1363803486620696</c:v>
                </c:pt>
                <c:pt idx="305">
                  <c:v>0.93791006665785359</c:v>
                </c:pt>
                <c:pt idx="306">
                  <c:v>1.1894844324913778</c:v>
                </c:pt>
                <c:pt idx="307">
                  <c:v>1.4321594010787457</c:v>
                </c:pt>
                <c:pt idx="308">
                  <c:v>1.3973460333516139</c:v>
                </c:pt>
                <c:pt idx="309">
                  <c:v>1.6356284688674503</c:v>
                </c:pt>
                <c:pt idx="310">
                  <c:v>1.1040775899972763</c:v>
                </c:pt>
                <c:pt idx="311">
                  <c:v>1.2440728666081811</c:v>
                </c:pt>
                <c:pt idx="312">
                  <c:v>1.2808577222300848</c:v>
                </c:pt>
                <c:pt idx="313">
                  <c:v>1.4971936540610968</c:v>
                </c:pt>
                <c:pt idx="314">
                  <c:v>1.4154260804349856</c:v>
                </c:pt>
                <c:pt idx="315">
                  <c:v>1.5434167366445322</c:v>
                </c:pt>
                <c:pt idx="316">
                  <c:v>1.1915791690728934</c:v>
                </c:pt>
                <c:pt idx="317">
                  <c:v>1.1697553747675289</c:v>
                </c:pt>
                <c:pt idx="318">
                  <c:v>1.6982641257732274</c:v>
                </c:pt>
                <c:pt idx="319">
                  <c:v>1.8155185532534488</c:v>
                </c:pt>
                <c:pt idx="320">
                  <c:v>1.1211859345052924</c:v>
                </c:pt>
                <c:pt idx="321">
                  <c:v>1.1394053233213677</c:v>
                </c:pt>
                <c:pt idx="322">
                  <c:v>1.3115617934430026</c:v>
                </c:pt>
                <c:pt idx="323">
                  <c:v>1.6603365473541258</c:v>
                </c:pt>
                <c:pt idx="324">
                  <c:v>0.74775564447069376</c:v>
                </c:pt>
                <c:pt idx="325">
                  <c:v>0.74286383936633327</c:v>
                </c:pt>
                <c:pt idx="326">
                  <c:v>0.95796747993591125</c:v>
                </c:pt>
                <c:pt idx="327">
                  <c:v>1.3194912606521252</c:v>
                </c:pt>
                <c:pt idx="328">
                  <c:v>1.5489495283908705</c:v>
                </c:pt>
                <c:pt idx="329">
                  <c:v>1.592350856628868</c:v>
                </c:pt>
                <c:pt idx="330">
                  <c:v>1.4368641121280543</c:v>
                </c:pt>
                <c:pt idx="331">
                  <c:v>1.3868862299670786</c:v>
                </c:pt>
                <c:pt idx="332">
                  <c:v>1.2927149427470916</c:v>
                </c:pt>
                <c:pt idx="333">
                  <c:v>1.5963886352920298</c:v>
                </c:pt>
                <c:pt idx="334">
                  <c:v>1.9571780539059229</c:v>
                </c:pt>
                <c:pt idx="335">
                  <c:v>1.0569642492667561</c:v>
                </c:pt>
                <c:pt idx="336">
                  <c:v>1.6690368485066298</c:v>
                </c:pt>
                <c:pt idx="337">
                  <c:v>0.6762959582481799</c:v>
                </c:pt>
                <c:pt idx="338">
                  <c:v>1.2318469896840969</c:v>
                </c:pt>
                <c:pt idx="339">
                  <c:v>1.008028750577413</c:v>
                </c:pt>
                <c:pt idx="340">
                  <c:v>1.484875890338786</c:v>
                </c:pt>
                <c:pt idx="341">
                  <c:v>1.3394776532788442</c:v>
                </c:pt>
                <c:pt idx="342">
                  <c:v>2.3047517444972305</c:v>
                </c:pt>
                <c:pt idx="343">
                  <c:v>0.94753660934956419</c:v>
                </c:pt>
                <c:pt idx="344">
                  <c:v>1.5206207882635787</c:v>
                </c:pt>
                <c:pt idx="345">
                  <c:v>1.0756848664437799</c:v>
                </c:pt>
                <c:pt idx="346">
                  <c:v>1.6970283766363055</c:v>
                </c:pt>
                <c:pt idx="347">
                  <c:v>1.2320270071792656</c:v>
                </c:pt>
                <c:pt idx="348">
                  <c:v>1.9689290757805624</c:v>
                </c:pt>
                <c:pt idx="349">
                  <c:v>1.549123414564981</c:v>
                </c:pt>
                <c:pt idx="350">
                  <c:v>2.4818328297426966</c:v>
                </c:pt>
                <c:pt idx="351">
                  <c:v>1.0293098714399596</c:v>
                </c:pt>
                <c:pt idx="352">
                  <c:v>1.9189222315857666</c:v>
                </c:pt>
                <c:pt idx="353">
                  <c:v>0.9854100070923747</c:v>
                </c:pt>
                <c:pt idx="354">
                  <c:v>1.4570935247342094</c:v>
                </c:pt>
                <c:pt idx="355">
                  <c:v>2.7668023552772643</c:v>
                </c:pt>
                <c:pt idx="356">
                  <c:v>2.934133580701908</c:v>
                </c:pt>
                <c:pt idx="357">
                  <c:v>2.3698771228746178</c:v>
                </c:pt>
                <c:pt idx="358">
                  <c:v>3.2401840760672038</c:v>
                </c:pt>
                <c:pt idx="359">
                  <c:v>2.9224686635449011</c:v>
                </c:pt>
                <c:pt idx="360">
                  <c:v>3.9007223111414722</c:v>
                </c:pt>
                <c:pt idx="361">
                  <c:v>2.532004102831912</c:v>
                </c:pt>
                <c:pt idx="362">
                  <c:v>2.6369174561121116</c:v>
                </c:pt>
                <c:pt idx="363">
                  <c:v>2.9352047561738659</c:v>
                </c:pt>
                <c:pt idx="364">
                  <c:v>3.6290967896398789</c:v>
                </c:pt>
                <c:pt idx="365">
                  <c:v>3.3338667883001012</c:v>
                </c:pt>
                <c:pt idx="366">
                  <c:v>2.1115754540609921</c:v>
                </c:pt>
                <c:pt idx="367">
                  <c:v>2.3031448610076581</c:v>
                </c:pt>
                <c:pt idx="368">
                  <c:v>2.3986355660050145</c:v>
                </c:pt>
                <c:pt idx="369">
                  <c:v>2.6884096648583249</c:v>
                </c:pt>
                <c:pt idx="370">
                  <c:v>2.7924997043954289</c:v>
                </c:pt>
                <c:pt idx="371">
                  <c:v>2.9556646784895912</c:v>
                </c:pt>
                <c:pt idx="372">
                  <c:v>2.1049069152958855</c:v>
                </c:pt>
                <c:pt idx="373">
                  <c:v>2.2205679862486321</c:v>
                </c:pt>
                <c:pt idx="374">
                  <c:v>1.6842236249136839</c:v>
                </c:pt>
                <c:pt idx="375">
                  <c:v>2.0657822514428021</c:v>
                </c:pt>
                <c:pt idx="376">
                  <c:v>2.3306453144673411</c:v>
                </c:pt>
                <c:pt idx="377">
                  <c:v>1.4962356997225408</c:v>
                </c:pt>
                <c:pt idx="378">
                  <c:v>1.8611828164544308</c:v>
                </c:pt>
                <c:pt idx="379">
                  <c:v>2.8079296323692664</c:v>
                </c:pt>
                <c:pt idx="380">
                  <c:v>1.3194133857352812</c:v>
                </c:pt>
                <c:pt idx="381">
                  <c:v>1.5194412968967341</c:v>
                </c:pt>
                <c:pt idx="382">
                  <c:v>1.5576906050232835</c:v>
                </c:pt>
                <c:pt idx="383">
                  <c:v>1.0724109928974139</c:v>
                </c:pt>
                <c:pt idx="384">
                  <c:v>1.2698053240076526</c:v>
                </c:pt>
                <c:pt idx="385">
                  <c:v>1.4621260776285192</c:v>
                </c:pt>
                <c:pt idx="386">
                  <c:v>1.1920751277688835</c:v>
                </c:pt>
                <c:pt idx="387">
                  <c:v>1.4139539769720177</c:v>
                </c:pt>
                <c:pt idx="388">
                  <c:v>1.1780867637368739</c:v>
                </c:pt>
                <c:pt idx="389">
                  <c:v>1.2257314455075607</c:v>
                </c:pt>
                <c:pt idx="390">
                  <c:v>1.6426498729849517</c:v>
                </c:pt>
                <c:pt idx="391">
                  <c:v>1.1750757483839116</c:v>
                </c:pt>
                <c:pt idx="392">
                  <c:v>1.3019412546037261</c:v>
                </c:pt>
                <c:pt idx="393">
                  <c:v>1.8239105992369686</c:v>
                </c:pt>
                <c:pt idx="394">
                  <c:v>1.2347592325690142</c:v>
                </c:pt>
                <c:pt idx="395">
                  <c:v>1.9881084721453528</c:v>
                </c:pt>
                <c:pt idx="396">
                  <c:v>2.0269272380347223</c:v>
                </c:pt>
                <c:pt idx="397">
                  <c:v>0.83592963820390698</c:v>
                </c:pt>
                <c:pt idx="398">
                  <c:v>0.9227648214974592</c:v>
                </c:pt>
                <c:pt idx="399">
                  <c:v>1.175019755063784</c:v>
                </c:pt>
                <c:pt idx="400">
                  <c:v>0.55205944197966095</c:v>
                </c:pt>
                <c:pt idx="401">
                  <c:v>0.7619369171435395</c:v>
                </c:pt>
                <c:pt idx="402">
                  <c:v>0.85750356169367992</c:v>
                </c:pt>
                <c:pt idx="403">
                  <c:v>1.8712130928348991</c:v>
                </c:pt>
                <c:pt idx="404">
                  <c:v>1.828802295834536</c:v>
                </c:pt>
                <c:pt idx="405">
                  <c:v>1.8953979767016702</c:v>
                </c:pt>
                <c:pt idx="406">
                  <c:v>2.2447171992350321</c:v>
                </c:pt>
                <c:pt idx="407">
                  <c:v>1.029499805763189</c:v>
                </c:pt>
                <c:pt idx="408">
                  <c:v>1.3273452162350488</c:v>
                </c:pt>
                <c:pt idx="409">
                  <c:v>1.4461652827060305</c:v>
                </c:pt>
                <c:pt idx="410">
                  <c:v>1.6555682834433088</c:v>
                </c:pt>
                <c:pt idx="411">
                  <c:v>1.0544550371119625</c:v>
                </c:pt>
                <c:pt idx="412">
                  <c:v>1.417064822746245</c:v>
                </c:pt>
                <c:pt idx="413">
                  <c:v>0.79839866095245215</c:v>
                </c:pt>
                <c:pt idx="414">
                  <c:v>0.93945017082886029</c:v>
                </c:pt>
                <c:pt idx="415">
                  <c:v>1.3547088906311604</c:v>
                </c:pt>
                <c:pt idx="416">
                  <c:v>1.4726317169163174</c:v>
                </c:pt>
                <c:pt idx="417">
                  <c:v>1.6408489371767041</c:v>
                </c:pt>
                <c:pt idx="418">
                  <c:v>1.6642603569394416</c:v>
                </c:pt>
                <c:pt idx="419">
                  <c:v>0.8642990042491514</c:v>
                </c:pt>
                <c:pt idx="420">
                  <c:v>0.91364035374588859</c:v>
                </c:pt>
                <c:pt idx="421">
                  <c:v>1.0938128811765657</c:v>
                </c:pt>
                <c:pt idx="422">
                  <c:v>1.3018488380744442</c:v>
                </c:pt>
                <c:pt idx="423">
                  <c:v>1.5717122916807</c:v>
                </c:pt>
                <c:pt idx="424">
                  <c:v>1.6360866860192729</c:v>
                </c:pt>
                <c:pt idx="425">
                  <c:v>1.7887440939579493</c:v>
                </c:pt>
                <c:pt idx="426">
                  <c:v>1.7774258058598467</c:v>
                </c:pt>
                <c:pt idx="427">
                  <c:v>1.2773447721685958</c:v>
                </c:pt>
                <c:pt idx="428">
                  <c:v>1.2781265433947568</c:v>
                </c:pt>
                <c:pt idx="429">
                  <c:v>1.4145583723311854</c:v>
                </c:pt>
                <c:pt idx="430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D-4E48-90A8-2FE42027CB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D-4E48-90A8-2FE42027C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headed_backup!$L$19:$L$1540</c:f>
              <c:numCache>
                <c:formatCode>General</c:formatCode>
                <c:ptCount val="1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headed_backup!$CO$19:$CO$1533</c:f>
              <c:numCache>
                <c:formatCode>General</c:formatCode>
                <c:ptCount val="1515"/>
                <c:pt idx="33">
                  <c:v>2.2448997323364419</c:v>
                </c:pt>
                <c:pt idx="34">
                  <c:v>2.4029912627826699</c:v>
                </c:pt>
                <c:pt idx="35">
                  <c:v>2.4820370280057844</c:v>
                </c:pt>
                <c:pt idx="36">
                  <c:v>2.3766426743749656</c:v>
                </c:pt>
                <c:pt idx="37">
                  <c:v>1.9061201255553553</c:v>
                </c:pt>
                <c:pt idx="38">
                  <c:v>2.3064651049039719</c:v>
                </c:pt>
                <c:pt idx="39">
                  <c:v>2.3700400963612549</c:v>
                </c:pt>
                <c:pt idx="40">
                  <c:v>2.7366865752487546</c:v>
                </c:pt>
                <c:pt idx="41">
                  <c:v>2.487306745687325</c:v>
                </c:pt>
                <c:pt idx="42">
                  <c:v>2.4424867368613805</c:v>
                </c:pt>
                <c:pt idx="45">
                  <c:v>2.5096252436778972</c:v>
                </c:pt>
                <c:pt idx="46">
                  <c:v>2.4424867368613805</c:v>
                </c:pt>
                <c:pt idx="47">
                  <c:v>2.4677981562832656</c:v>
                </c:pt>
                <c:pt idx="48">
                  <c:v>2.4135306981457521</c:v>
                </c:pt>
                <c:pt idx="49">
                  <c:v>2.1785739750394941</c:v>
                </c:pt>
                <c:pt idx="50">
                  <c:v>2.7426618734479877</c:v>
                </c:pt>
                <c:pt idx="51">
                  <c:v>2.4677981562832656</c:v>
                </c:pt>
                <c:pt idx="52">
                  <c:v>2.4820370280057844</c:v>
                </c:pt>
                <c:pt idx="53">
                  <c:v>2.2467121229116414</c:v>
                </c:pt>
                <c:pt idx="54">
                  <c:v>2.4702470471950893</c:v>
                </c:pt>
                <c:pt idx="55">
                  <c:v>2.1320011347179846</c:v>
                </c:pt>
                <c:pt idx="56">
                  <c:v>2.4424867368613805</c:v>
                </c:pt>
                <c:pt idx="57">
                  <c:v>2.1785739750394941</c:v>
                </c:pt>
                <c:pt idx="58">
                  <c:v>2.4424867368613805</c:v>
                </c:pt>
                <c:pt idx="59">
                  <c:v>2.4424867368613805</c:v>
                </c:pt>
                <c:pt idx="60">
                  <c:v>1.8318650526460354</c:v>
                </c:pt>
                <c:pt idx="61">
                  <c:v>1.9146612132176075</c:v>
                </c:pt>
                <c:pt idx="62">
                  <c:v>1.7852922123245258</c:v>
                </c:pt>
                <c:pt idx="63">
                  <c:v>1.9405350133962238</c:v>
                </c:pt>
                <c:pt idx="64">
                  <c:v>2.0026321338249029</c:v>
                </c:pt>
                <c:pt idx="65">
                  <c:v>2.2096225352538337</c:v>
                </c:pt>
                <c:pt idx="66">
                  <c:v>2.0336806940392425</c:v>
                </c:pt>
                <c:pt idx="67">
                  <c:v>2.0285059340035194</c:v>
                </c:pt>
                <c:pt idx="68">
                  <c:v>2.2406710954681732</c:v>
                </c:pt>
                <c:pt idx="69">
                  <c:v>2.2406710954681732</c:v>
                </c:pt>
                <c:pt idx="70">
                  <c:v>2.2406710954681732</c:v>
                </c:pt>
                <c:pt idx="71">
                  <c:v>1.4826985349440416</c:v>
                </c:pt>
                <c:pt idx="72">
                  <c:v>1.2185908491732296</c:v>
                </c:pt>
                <c:pt idx="73">
                  <c:v>2.0699040142893055</c:v>
                </c:pt>
                <c:pt idx="74">
                  <c:v>2.4433965358125338</c:v>
                </c:pt>
                <c:pt idx="75">
                  <c:v>3.0026539653912536</c:v>
                </c:pt>
                <c:pt idx="76">
                  <c:v>3.8981849746145723</c:v>
                </c:pt>
                <c:pt idx="77">
                  <c:v>3.1952110472071253</c:v>
                </c:pt>
                <c:pt idx="78">
                  <c:v>2.6461887821679895</c:v>
                </c:pt>
                <c:pt idx="79">
                  <c:v>3.4546329439959318</c:v>
                </c:pt>
                <c:pt idx="80">
                  <c:v>2.6214605817225052</c:v>
                </c:pt>
                <c:pt idx="81">
                  <c:v>2.5235419107783099</c:v>
                </c:pt>
                <c:pt idx="82">
                  <c:v>2.7529945752455824</c:v>
                </c:pt>
                <c:pt idx="83">
                  <c:v>2.9114273470236065</c:v>
                </c:pt>
                <c:pt idx="84">
                  <c:v>3.3090738012822221</c:v>
                </c:pt>
                <c:pt idx="93">
                  <c:v>1.5912506932943413</c:v>
                </c:pt>
                <c:pt idx="94">
                  <c:v>1.6230757071602282</c:v>
                </c:pt>
                <c:pt idx="95">
                  <c:v>1.9806924856322257</c:v>
                </c:pt>
                <c:pt idx="96">
                  <c:v>1.6112237033175585</c:v>
                </c:pt>
                <c:pt idx="97">
                  <c:v>1.9686051937206492</c:v>
                </c:pt>
                <c:pt idx="99">
                  <c:v>1.8123015909449176</c:v>
                </c:pt>
                <c:pt idx="100">
                  <c:v>1.7884331182103927</c:v>
                </c:pt>
                <c:pt idx="101">
                  <c:v>1.6614358911336635</c:v>
                </c:pt>
                <c:pt idx="102">
                  <c:v>1.5204083730371372</c:v>
                </c:pt>
                <c:pt idx="103">
                  <c:v>1.2844983117151416</c:v>
                </c:pt>
                <c:pt idx="104">
                  <c:v>1.0541358701847023</c:v>
                </c:pt>
                <c:pt idx="105">
                  <c:v>1.0562631624203553</c:v>
                </c:pt>
                <c:pt idx="106">
                  <c:v>1.087922276280366</c:v>
                </c:pt>
                <c:pt idx="107">
                  <c:v>1.0354817743263687</c:v>
                </c:pt>
                <c:pt idx="108">
                  <c:v>1.0289496401861169</c:v>
                </c:pt>
                <c:pt idx="109">
                  <c:v>0.99163670685487904</c:v>
                </c:pt>
                <c:pt idx="110">
                  <c:v>1.0051735552994816</c:v>
                </c:pt>
                <c:pt idx="111">
                  <c:v>1.0340613603698168</c:v>
                </c:pt>
                <c:pt idx="112">
                  <c:v>1.0208544753847986</c:v>
                </c:pt>
                <c:pt idx="113">
                  <c:v>0.93826101076031576</c:v>
                </c:pt>
                <c:pt idx="114">
                  <c:v>1.0227472090377634</c:v>
                </c:pt>
                <c:pt idx="115">
                  <c:v>0.96588647204020084</c:v>
                </c:pt>
                <c:pt idx="116">
                  <c:v>1.0095071514226617</c:v>
                </c:pt>
                <c:pt idx="117">
                  <c:v>0.94566200598879258</c:v>
                </c:pt>
                <c:pt idx="118">
                  <c:v>1.0087061397213788</c:v>
                </c:pt>
                <c:pt idx="119">
                  <c:v>0.94362832425548338</c:v>
                </c:pt>
                <c:pt idx="120">
                  <c:v>0.96971903969624063</c:v>
                </c:pt>
                <c:pt idx="121">
                  <c:v>0.99843661456327815</c:v>
                </c:pt>
                <c:pt idx="122">
                  <c:v>1.1405352016323931</c:v>
                </c:pt>
                <c:pt idx="123">
                  <c:v>1.2229100477673867</c:v>
                </c:pt>
                <c:pt idx="124">
                  <c:v>0.84329893260419375</c:v>
                </c:pt>
                <c:pt idx="125">
                  <c:v>0.93717831569316634</c:v>
                </c:pt>
                <c:pt idx="126">
                  <c:v>0.91350667374896166</c:v>
                </c:pt>
                <c:pt idx="127">
                  <c:v>0.98310030198501008</c:v>
                </c:pt>
                <c:pt idx="128">
                  <c:v>1.509884619762391</c:v>
                </c:pt>
                <c:pt idx="129">
                  <c:v>1.7381964470031006</c:v>
                </c:pt>
                <c:pt idx="130">
                  <c:v>1.6300711355971114</c:v>
                </c:pt>
                <c:pt idx="131">
                  <c:v>1.2327813458867027</c:v>
                </c:pt>
                <c:pt idx="132">
                  <c:v>1.1987250770178246</c:v>
                </c:pt>
                <c:pt idx="133">
                  <c:v>1.362220607067554</c:v>
                </c:pt>
                <c:pt idx="146">
                  <c:v>0.88534408249407859</c:v>
                </c:pt>
                <c:pt idx="147">
                  <c:v>0.98476546344529348</c:v>
                </c:pt>
                <c:pt idx="148">
                  <c:v>1.1895298986663618</c:v>
                </c:pt>
                <c:pt idx="149">
                  <c:v>1.00807985266901</c:v>
                </c:pt>
                <c:pt idx="150">
                  <c:v>0.94893254593398446</c:v>
                </c:pt>
                <c:pt idx="151">
                  <c:v>1.0958701302456109</c:v>
                </c:pt>
                <c:pt idx="152">
                  <c:v>1.0172127143791025</c:v>
                </c:pt>
                <c:pt idx="153">
                  <c:v>0.94066025167937894</c:v>
                </c:pt>
                <c:pt idx="154">
                  <c:v>0.76127438140166614</c:v>
                </c:pt>
                <c:pt idx="155">
                  <c:v>0.9624039053840493</c:v>
                </c:pt>
                <c:pt idx="156">
                  <c:v>1.0835992283701597</c:v>
                </c:pt>
                <c:pt idx="157">
                  <c:v>0.91992270156739442</c:v>
                </c:pt>
                <c:pt idx="158">
                  <c:v>0.60055816701751907</c:v>
                </c:pt>
                <c:pt idx="159">
                  <c:v>0.8064397361857164</c:v>
                </c:pt>
                <c:pt idx="160">
                  <c:v>0.913470930321853</c:v>
                </c:pt>
                <c:pt idx="161">
                  <c:v>0.96504995295689378</c:v>
                </c:pt>
                <c:pt idx="162">
                  <c:v>0.88656349656218902</c:v>
                </c:pt>
                <c:pt idx="163">
                  <c:v>0.85316543926317967</c:v>
                </c:pt>
                <c:pt idx="164">
                  <c:v>0.91412308338752946</c:v>
                </c:pt>
                <c:pt idx="165">
                  <c:v>0.8457569800117225</c:v>
                </c:pt>
                <c:pt idx="166">
                  <c:v>0.99974195472107696</c:v>
                </c:pt>
                <c:pt idx="167">
                  <c:v>1.1105974873373516</c:v>
                </c:pt>
                <c:pt idx="168">
                  <c:v>0.95321963141319743</c:v>
                </c:pt>
                <c:pt idx="169">
                  <c:v>1.114387922447718</c:v>
                </c:pt>
                <c:pt idx="170">
                  <c:v>1.0020192712466374</c:v>
                </c:pt>
                <c:pt idx="171">
                  <c:v>1.0113172906851617</c:v>
                </c:pt>
                <c:pt idx="172">
                  <c:v>0.93279147752607849</c:v>
                </c:pt>
                <c:pt idx="173">
                  <c:v>1.343745872820697</c:v>
                </c:pt>
                <c:pt idx="174">
                  <c:v>1.3263049234389535</c:v>
                </c:pt>
                <c:pt idx="175">
                  <c:v>1.0860954842267581</c:v>
                </c:pt>
                <c:pt idx="176">
                  <c:v>1.1487243479157463</c:v>
                </c:pt>
                <c:pt idx="177">
                  <c:v>1.3996547964651125</c:v>
                </c:pt>
                <c:pt idx="178">
                  <c:v>1.459192351240121</c:v>
                </c:pt>
                <c:pt idx="179">
                  <c:v>1.346268295107405</c:v>
                </c:pt>
                <c:pt idx="180">
                  <c:v>1.3221283118847895</c:v>
                </c:pt>
                <c:pt idx="181">
                  <c:v>1.0758540599694522</c:v>
                </c:pt>
                <c:pt idx="182">
                  <c:v>1.0728697213842386</c:v>
                </c:pt>
                <c:pt idx="183">
                  <c:v>1.334372389913568</c:v>
                </c:pt>
                <c:pt idx="184">
                  <c:v>1.3371142509887328</c:v>
                </c:pt>
                <c:pt idx="185">
                  <c:v>1.476949165822141</c:v>
                </c:pt>
                <c:pt idx="186">
                  <c:v>1.4706820547931927</c:v>
                </c:pt>
                <c:pt idx="187">
                  <c:v>1.3471967560005826</c:v>
                </c:pt>
                <c:pt idx="188">
                  <c:v>1.3388406079619848</c:v>
                </c:pt>
                <c:pt idx="189">
                  <c:v>1.0803305678472723</c:v>
                </c:pt>
                <c:pt idx="190">
                  <c:v>1.0780923139083622</c:v>
                </c:pt>
                <c:pt idx="191">
                  <c:v>1.307867732853641</c:v>
                </c:pt>
                <c:pt idx="192">
                  <c:v>1.3215770382294654</c:v>
                </c:pt>
                <c:pt idx="201">
                  <c:v>0.83984320870467188</c:v>
                </c:pt>
                <c:pt idx="202">
                  <c:v>0.66940443987931186</c:v>
                </c:pt>
                <c:pt idx="204">
                  <c:v>0.96186866879752408</c:v>
                </c:pt>
                <c:pt idx="205">
                  <c:v>0.90949475269668878</c:v>
                </c:pt>
                <c:pt idx="206">
                  <c:v>0.84492033037199443</c:v>
                </c:pt>
                <c:pt idx="208">
                  <c:v>0.87763375463944127</c:v>
                </c:pt>
                <c:pt idx="212">
                  <c:v>0.96033014178643861</c:v>
                </c:pt>
                <c:pt idx="213">
                  <c:v>0.88138653561678071</c:v>
                </c:pt>
                <c:pt idx="214">
                  <c:v>0.73987952301775617</c:v>
                </c:pt>
                <c:pt idx="215">
                  <c:v>0.76452366947646233</c:v>
                </c:pt>
                <c:pt idx="216">
                  <c:v>0.90428537265476261</c:v>
                </c:pt>
                <c:pt idx="217">
                  <c:v>0.92854346416666433</c:v>
                </c:pt>
                <c:pt idx="218">
                  <c:v>1.0350535220775872</c:v>
                </c:pt>
                <c:pt idx="219">
                  <c:v>0.58198738963793162</c:v>
                </c:pt>
                <c:pt idx="220">
                  <c:v>1.0777057029606696</c:v>
                </c:pt>
                <c:pt idx="221">
                  <c:v>0.96798239324432744</c:v>
                </c:pt>
                <c:pt idx="222">
                  <c:v>1.223615596955703</c:v>
                </c:pt>
                <c:pt idx="224">
                  <c:v>0.91159169350602032</c:v>
                </c:pt>
                <c:pt idx="225">
                  <c:v>1.0829854421475513</c:v>
                </c:pt>
                <c:pt idx="226">
                  <c:v>1.127798632857105</c:v>
                </c:pt>
                <c:pt idx="227">
                  <c:v>1.0605788467927744</c:v>
                </c:pt>
                <c:pt idx="228">
                  <c:v>1.0717821444701627</c:v>
                </c:pt>
                <c:pt idx="229">
                  <c:v>1.0564220201122723</c:v>
                </c:pt>
                <c:pt idx="230">
                  <c:v>1.2384810622137228</c:v>
                </c:pt>
                <c:pt idx="231">
                  <c:v>1.2831551863086319</c:v>
                </c:pt>
                <c:pt idx="232">
                  <c:v>1.3880254124322593</c:v>
                </c:pt>
                <c:pt idx="233">
                  <c:v>1.5938804335037966</c:v>
                </c:pt>
                <c:pt idx="234">
                  <c:v>1.5345408049582523</c:v>
                </c:pt>
                <c:pt idx="235">
                  <c:v>1.4359155871172888</c:v>
                </c:pt>
                <c:pt idx="236">
                  <c:v>1.2194946641051669</c:v>
                </c:pt>
                <c:pt idx="237">
                  <c:v>1.317149532036703</c:v>
                </c:pt>
                <c:pt idx="238">
                  <c:v>1.2346358259905077</c:v>
                </c:pt>
                <c:pt idx="239">
                  <c:v>1.5339299197210992</c:v>
                </c:pt>
                <c:pt idx="240">
                  <c:v>1.5068032599175301</c:v>
                </c:pt>
                <c:pt idx="241">
                  <c:v>1.2029201868693087</c:v>
                </c:pt>
                <c:pt idx="242">
                  <c:v>1.1802672611961667</c:v>
                </c:pt>
                <c:pt idx="243">
                  <c:v>1.162421606270974</c:v>
                </c:pt>
                <c:pt idx="244">
                  <c:v>1.2306592685757356</c:v>
                </c:pt>
                <c:pt idx="245">
                  <c:v>1.36903463434048</c:v>
                </c:pt>
                <c:pt idx="246">
                  <c:v>1.3187310543950901</c:v>
                </c:pt>
                <c:pt idx="247">
                  <c:v>1.0522667203632556</c:v>
                </c:pt>
                <c:pt idx="248">
                  <c:v>0.93815471277091533</c:v>
                </c:pt>
                <c:pt idx="249">
                  <c:v>0.74532206536108792</c:v>
                </c:pt>
                <c:pt idx="250">
                  <c:v>0.63101344107675594</c:v>
                </c:pt>
                <c:pt idx="251">
                  <c:v>0.79280396895483174</c:v>
                </c:pt>
                <c:pt idx="252">
                  <c:v>0.71854812201195861</c:v>
                </c:pt>
                <c:pt idx="253">
                  <c:v>0.78120180007439466</c:v>
                </c:pt>
                <c:pt idx="254">
                  <c:v>0.72735175301753507</c:v>
                </c:pt>
                <c:pt idx="255">
                  <c:v>0.89437660671396491</c:v>
                </c:pt>
                <c:pt idx="256">
                  <c:v>0.90132392311400156</c:v>
                </c:pt>
                <c:pt idx="257">
                  <c:v>0.76007708503607152</c:v>
                </c:pt>
                <c:pt idx="258">
                  <c:v>0.72849406166503683</c:v>
                </c:pt>
                <c:pt idx="259">
                  <c:v>0.84166253600077767</c:v>
                </c:pt>
                <c:pt idx="260">
                  <c:v>0.85705077547664621</c:v>
                </c:pt>
                <c:pt idx="261">
                  <c:v>0.9393747924293061</c:v>
                </c:pt>
                <c:pt idx="262">
                  <c:v>0.51887396146108922</c:v>
                </c:pt>
                <c:pt idx="263">
                  <c:v>0.68498893387023563</c:v>
                </c:pt>
                <c:pt idx="264">
                  <c:v>0.58489828600310911</c:v>
                </c:pt>
                <c:pt idx="265">
                  <c:v>0.72611787808674999</c:v>
                </c:pt>
                <c:pt idx="266">
                  <c:v>0.65802619294675391</c:v>
                </c:pt>
                <c:pt idx="267">
                  <c:v>0.77575340422431527</c:v>
                </c:pt>
                <c:pt idx="268">
                  <c:v>1.2322823459064642</c:v>
                </c:pt>
                <c:pt idx="269">
                  <c:v>1.277411567533927</c:v>
                </c:pt>
                <c:pt idx="270">
                  <c:v>1.0896845617861677</c:v>
                </c:pt>
                <c:pt idx="271">
                  <c:v>1.2105023884032184</c:v>
                </c:pt>
                <c:pt idx="272">
                  <c:v>1.0203025240427521</c:v>
                </c:pt>
                <c:pt idx="273">
                  <c:v>1.1868583452849486</c:v>
                </c:pt>
                <c:pt idx="274">
                  <c:v>1.0799763404341667</c:v>
                </c:pt>
                <c:pt idx="275">
                  <c:v>1.0995962911600672</c:v>
                </c:pt>
                <c:pt idx="276">
                  <c:v>1.0300511509764076</c:v>
                </c:pt>
                <c:pt idx="277">
                  <c:v>1.2265309375291311</c:v>
                </c:pt>
                <c:pt idx="278">
                  <c:v>1.1559069266391626</c:v>
                </c:pt>
                <c:pt idx="279">
                  <c:v>1.1836647429125442</c:v>
                </c:pt>
                <c:pt idx="280">
                  <c:v>1.3465046140644013</c:v>
                </c:pt>
                <c:pt idx="281">
                  <c:v>1.3682820765439294</c:v>
                </c:pt>
                <c:pt idx="282">
                  <c:v>1.5751753462483433</c:v>
                </c:pt>
                <c:pt idx="283">
                  <c:v>1.6397503433727931</c:v>
                </c:pt>
                <c:pt idx="284">
                  <c:v>1.1051503511747058</c:v>
                </c:pt>
                <c:pt idx="285">
                  <c:v>1.1349688403690872</c:v>
                </c:pt>
                <c:pt idx="286">
                  <c:v>1.2344253536743985</c:v>
                </c:pt>
                <c:pt idx="287">
                  <c:v>1.3364980881517277</c:v>
                </c:pt>
                <c:pt idx="288">
                  <c:v>0.85476926926907693</c:v>
                </c:pt>
                <c:pt idx="289">
                  <c:v>0.87687303494811975</c:v>
                </c:pt>
                <c:pt idx="290">
                  <c:v>0.98202522476536125</c:v>
                </c:pt>
                <c:pt idx="291">
                  <c:v>1.1384629532737178</c:v>
                </c:pt>
                <c:pt idx="292">
                  <c:v>0.85947111258748954</c:v>
                </c:pt>
                <c:pt idx="293">
                  <c:v>0.82077752133214454</c:v>
                </c:pt>
                <c:pt idx="294">
                  <c:v>0.89074846193263224</c:v>
                </c:pt>
                <c:pt idx="295">
                  <c:v>0.63823159385634853</c:v>
                </c:pt>
                <c:pt idx="296">
                  <c:v>0.72537968297729583</c:v>
                </c:pt>
                <c:pt idx="297">
                  <c:v>0.8608381695530406</c:v>
                </c:pt>
                <c:pt idx="298">
                  <c:v>0.75324722752883644</c:v>
                </c:pt>
                <c:pt idx="299">
                  <c:v>0.89432702193294766</c:v>
                </c:pt>
                <c:pt idx="300">
                  <c:v>0.96859506161635667</c:v>
                </c:pt>
                <c:pt idx="301">
                  <c:v>0.90138018464758518</c:v>
                </c:pt>
                <c:pt idx="302">
                  <c:v>0.8799612495668504</c:v>
                </c:pt>
                <c:pt idx="303">
                  <c:v>0.56097986424367119</c:v>
                </c:pt>
                <c:pt idx="304">
                  <c:v>0.65029501043448246</c:v>
                </c:pt>
                <c:pt idx="305">
                  <c:v>0.58300548044000222</c:v>
                </c:pt>
                <c:pt idx="306">
                  <c:v>0.67482991273653969</c:v>
                </c:pt>
                <c:pt idx="307">
                  <c:v>0.89023117394172224</c:v>
                </c:pt>
                <c:pt idx="308">
                  <c:v>0.79963293487855847</c:v>
                </c:pt>
                <c:pt idx="309">
                  <c:v>1.23092698317647</c:v>
                </c:pt>
                <c:pt idx="310">
                  <c:v>0.83559856691156109</c:v>
                </c:pt>
                <c:pt idx="311">
                  <c:v>0.85920996290500906</c:v>
                </c:pt>
                <c:pt idx="312">
                  <c:v>0.96939099825013697</c:v>
                </c:pt>
                <c:pt idx="313">
                  <c:v>1.0239011603223291</c:v>
                </c:pt>
                <c:pt idx="314">
                  <c:v>1.070038706952406</c:v>
                </c:pt>
                <c:pt idx="315">
                  <c:v>1.0695643990149271</c:v>
                </c:pt>
                <c:pt idx="316">
                  <c:v>0.83116481100661199</c:v>
                </c:pt>
                <c:pt idx="317">
                  <c:v>0.81037608951469353</c:v>
                </c:pt>
                <c:pt idx="318">
                  <c:v>1.0821892471927714</c:v>
                </c:pt>
                <c:pt idx="319">
                  <c:v>1.1638954318825405</c:v>
                </c:pt>
                <c:pt idx="320">
                  <c:v>0.78644289346564267</c:v>
                </c:pt>
                <c:pt idx="321">
                  <c:v>0.80888078104723415</c:v>
                </c:pt>
                <c:pt idx="322">
                  <c:v>0.84206870494089237</c:v>
                </c:pt>
                <c:pt idx="323">
                  <c:v>1.0551953276997568</c:v>
                </c:pt>
                <c:pt idx="324">
                  <c:v>0.52517845184720147</c:v>
                </c:pt>
                <c:pt idx="325">
                  <c:v>0.52030326339174249</c:v>
                </c:pt>
                <c:pt idx="326">
                  <c:v>0.61183706342117261</c:v>
                </c:pt>
                <c:pt idx="327">
                  <c:v>0.84018279528395989</c:v>
                </c:pt>
                <c:pt idx="328">
                  <c:v>0.92955461647292403</c:v>
                </c:pt>
                <c:pt idx="329">
                  <c:v>0.95371766512172973</c:v>
                </c:pt>
                <c:pt idx="330">
                  <c:v>0.87300925776748195</c:v>
                </c:pt>
                <c:pt idx="331">
                  <c:v>0.83820875142810081</c:v>
                </c:pt>
                <c:pt idx="332">
                  <c:v>0.78129334238051362</c:v>
                </c:pt>
                <c:pt idx="333">
                  <c:v>0.98584840742699886</c:v>
                </c:pt>
                <c:pt idx="334">
                  <c:v>1.1152011703167652</c:v>
                </c:pt>
                <c:pt idx="335">
                  <c:v>0.64506316073421432</c:v>
                </c:pt>
                <c:pt idx="336">
                  <c:v>0.93378530054610154</c:v>
                </c:pt>
                <c:pt idx="337">
                  <c:v>0.42355464883704419</c:v>
                </c:pt>
                <c:pt idx="338">
                  <c:v>0.70792013470807091</c:v>
                </c:pt>
                <c:pt idx="339">
                  <c:v>0.62523555326919822</c:v>
                </c:pt>
                <c:pt idx="340">
                  <c:v>0.83825051850203269</c:v>
                </c:pt>
                <c:pt idx="341">
                  <c:v>0.62969958773609069</c:v>
                </c:pt>
                <c:pt idx="342">
                  <c:v>1.0367754136289835</c:v>
                </c:pt>
                <c:pt idx="343">
                  <c:v>0.44996267153002917</c:v>
                </c:pt>
                <c:pt idx="344">
                  <c:v>0.6669389422208678</c:v>
                </c:pt>
                <c:pt idx="345">
                  <c:v>0.50449832197238131</c:v>
                </c:pt>
                <c:pt idx="346">
                  <c:v>0.76639480246858727</c:v>
                </c:pt>
                <c:pt idx="347">
                  <c:v>0.5833875545987004</c:v>
                </c:pt>
                <c:pt idx="348">
                  <c:v>0.872504984363912</c:v>
                </c:pt>
                <c:pt idx="349">
                  <c:v>0.71231037080251502</c:v>
                </c:pt>
                <c:pt idx="350">
                  <c:v>1.106485599503142</c:v>
                </c:pt>
                <c:pt idx="351">
                  <c:v>0.48976913315039056</c:v>
                </c:pt>
                <c:pt idx="352">
                  <c:v>0.86321287970569793</c:v>
                </c:pt>
                <c:pt idx="353">
                  <c:v>0.46513579599200511</c:v>
                </c:pt>
                <c:pt idx="354">
                  <c:v>0.64106948259639507</c:v>
                </c:pt>
                <c:pt idx="355">
                  <c:v>1.2743226144407223</c:v>
                </c:pt>
                <c:pt idx="356">
                  <c:v>1.4196953239300236</c:v>
                </c:pt>
                <c:pt idx="357">
                  <c:v>1.0497519954137509</c:v>
                </c:pt>
                <c:pt idx="358">
                  <c:v>1.4990162397903857</c:v>
                </c:pt>
                <c:pt idx="359">
                  <c:v>1.3659234137605867</c:v>
                </c:pt>
                <c:pt idx="360">
                  <c:v>1.8310172843631967</c:v>
                </c:pt>
                <c:pt idx="361">
                  <c:v>1.4504857015864872</c:v>
                </c:pt>
                <c:pt idx="362">
                  <c:v>1.5383471514809657</c:v>
                </c:pt>
                <c:pt idx="363">
                  <c:v>1.6814635194694538</c:v>
                </c:pt>
                <c:pt idx="364">
                  <c:v>2.068307828817685</c:v>
                </c:pt>
                <c:pt idx="365">
                  <c:v>1.9195379344609871</c:v>
                </c:pt>
                <c:pt idx="366">
                  <c:v>0.97254086403226603</c:v>
                </c:pt>
                <c:pt idx="367">
                  <c:v>1.0717854033241645</c:v>
                </c:pt>
                <c:pt idx="368">
                  <c:v>1.1162227053376048</c:v>
                </c:pt>
                <c:pt idx="369">
                  <c:v>1.2437471613413587</c:v>
                </c:pt>
                <c:pt idx="370">
                  <c:v>1.3164149033494428</c:v>
                </c:pt>
                <c:pt idx="371">
                  <c:v>1.3754403004160058</c:v>
                </c:pt>
                <c:pt idx="372">
                  <c:v>1.2058184978422544</c:v>
                </c:pt>
                <c:pt idx="373">
                  <c:v>1.2753133471511944</c:v>
                </c:pt>
                <c:pt idx="374">
                  <c:v>0.87936714367783619</c:v>
                </c:pt>
                <c:pt idx="375">
                  <c:v>1.0914926228511777</c:v>
                </c:pt>
                <c:pt idx="376">
                  <c:v>1.2141990046156852</c:v>
                </c:pt>
                <c:pt idx="377">
                  <c:v>0.79391723730830444</c:v>
                </c:pt>
                <c:pt idx="378">
                  <c:v>0.97069279237337602</c:v>
                </c:pt>
                <c:pt idx="379">
                  <c:v>1.4899148153597199</c:v>
                </c:pt>
                <c:pt idx="380">
                  <c:v>1.0477514047953278</c:v>
                </c:pt>
                <c:pt idx="381">
                  <c:v>0.9895836477926353</c:v>
                </c:pt>
                <c:pt idx="382">
                  <c:v>0.98836811047695539</c:v>
                </c:pt>
                <c:pt idx="383">
                  <c:v>0.70400056799858857</c:v>
                </c:pt>
                <c:pt idx="384">
                  <c:v>0.7044109601561066</c:v>
                </c:pt>
                <c:pt idx="385">
                  <c:v>0.78942251868503899</c:v>
                </c:pt>
                <c:pt idx="386">
                  <c:v>0.79283341728023848</c:v>
                </c:pt>
                <c:pt idx="387">
                  <c:v>0.77910977528454672</c:v>
                </c:pt>
                <c:pt idx="388">
                  <c:v>0.74030382552754892</c:v>
                </c:pt>
                <c:pt idx="389">
                  <c:v>0.76063616135424206</c:v>
                </c:pt>
                <c:pt idx="390">
                  <c:v>0.94250763551701122</c:v>
                </c:pt>
                <c:pt idx="391">
                  <c:v>0.73841171855110732</c:v>
                </c:pt>
                <c:pt idx="392">
                  <c:v>0.80542668268051976</c:v>
                </c:pt>
                <c:pt idx="393">
                  <c:v>1.0735026055940766</c:v>
                </c:pt>
                <c:pt idx="394">
                  <c:v>0.71294115138339709</c:v>
                </c:pt>
                <c:pt idx="395">
                  <c:v>1.1684207947786249</c:v>
                </c:pt>
                <c:pt idx="396">
                  <c:v>1.1817708532653595</c:v>
                </c:pt>
                <c:pt idx="397">
                  <c:v>0.60951935748641473</c:v>
                </c:pt>
                <c:pt idx="398">
                  <c:v>0.55788863885703999</c:v>
                </c:pt>
                <c:pt idx="399">
                  <c:v>0.70122789556506115</c:v>
                </c:pt>
                <c:pt idx="400">
                  <c:v>0.39567942283543261</c:v>
                </c:pt>
                <c:pt idx="401">
                  <c:v>0.48899944075446833</c:v>
                </c:pt>
                <c:pt idx="402">
                  <c:v>0.51563362796658507</c:v>
                </c:pt>
                <c:pt idx="403">
                  <c:v>1.1749618201465732</c:v>
                </c:pt>
                <c:pt idx="404">
                  <c:v>1.0359885288999844</c:v>
                </c:pt>
                <c:pt idx="405">
                  <c:v>1.0729595846360971</c:v>
                </c:pt>
                <c:pt idx="406">
                  <c:v>1.1868247628736053</c:v>
                </c:pt>
                <c:pt idx="407">
                  <c:v>0.68470671862790344</c:v>
                </c:pt>
                <c:pt idx="408">
                  <c:v>0.72953503068804071</c:v>
                </c:pt>
                <c:pt idx="409">
                  <c:v>1.1280239260463714</c:v>
                </c:pt>
                <c:pt idx="410">
                  <c:v>1.056751021942246</c:v>
                </c:pt>
                <c:pt idx="411">
                  <c:v>0.78019756280710717</c:v>
                </c:pt>
                <c:pt idx="412">
                  <c:v>0.8439802865874686</c:v>
                </c:pt>
                <c:pt idx="413">
                  <c:v>0.59492712262465242</c:v>
                </c:pt>
                <c:pt idx="414">
                  <c:v>0.55782635351741428</c:v>
                </c:pt>
                <c:pt idx="415">
                  <c:v>1.0458762065595366</c:v>
                </c:pt>
                <c:pt idx="416">
                  <c:v>1.1231993253354746</c:v>
                </c:pt>
                <c:pt idx="417">
                  <c:v>1.0436892102875694</c:v>
                </c:pt>
                <c:pt idx="418">
                  <c:v>1.0585804325386099</c:v>
                </c:pt>
                <c:pt idx="419">
                  <c:v>0.66829991143050049</c:v>
                </c:pt>
                <c:pt idx="420">
                  <c:v>0.70142745650926142</c:v>
                </c:pt>
                <c:pt idx="421">
                  <c:v>0.69930309621863518</c:v>
                </c:pt>
                <c:pt idx="422">
                  <c:v>0.8267117077633499</c:v>
                </c:pt>
                <c:pt idx="423">
                  <c:v>1.3007003755234947</c:v>
                </c:pt>
                <c:pt idx="424">
                  <c:v>1.3425283319770762</c:v>
                </c:pt>
                <c:pt idx="425">
                  <c:v>1.2175479015295021</c:v>
                </c:pt>
                <c:pt idx="426">
                  <c:v>1.1967680745785221</c:v>
                </c:pt>
                <c:pt idx="427">
                  <c:v>1.0434037473596134</c:v>
                </c:pt>
                <c:pt idx="428">
                  <c:v>1.0392943971333077</c:v>
                </c:pt>
                <c:pt idx="429">
                  <c:v>0.9576858753337375</c:v>
                </c:pt>
                <c:pt idx="430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A25-9D47-8674D47CAD7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9C-4A25-9D47-8674D47CA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headed_backup!$CP$19:$CP$1274</c:f>
              <c:numCache>
                <c:formatCode>General</c:formatCode>
                <c:ptCount val="1256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1">
                  <c:v>1.1836659892345631</c:v>
                </c:pt>
                <c:pt idx="72">
                  <c:v>1.2291916042051232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  <c:pt idx="93">
                  <c:v>1.1308190177150246</c:v>
                </c:pt>
                <c:pt idx="94">
                  <c:v>1.153435398069325</c:v>
                </c:pt>
                <c:pt idx="95">
                  <c:v>1.4218289471474532</c:v>
                </c:pt>
                <c:pt idx="96">
                  <c:v>1.1566078623132587</c:v>
                </c:pt>
                <c:pt idx="97">
                  <c:v>1.4186615178324093</c:v>
                </c:pt>
                <c:pt idx="99">
                  <c:v>1.400050385593772</c:v>
                </c:pt>
                <c:pt idx="100">
                  <c:v>1.5186373454602673</c:v>
                </c:pt>
                <c:pt idx="101">
                  <c:v>1.5919227937666609</c:v>
                </c:pt>
                <c:pt idx="102">
                  <c:v>1.2190384003358494</c:v>
                </c:pt>
                <c:pt idx="103">
                  <c:v>0.86666480781610633</c:v>
                </c:pt>
                <c:pt idx="104">
                  <c:v>2.0620757981693512</c:v>
                </c:pt>
                <c:pt idx="105">
                  <c:v>2.0790709283740432</c:v>
                </c:pt>
                <c:pt idx="106">
                  <c:v>2.1513002317439862</c:v>
                </c:pt>
                <c:pt idx="107">
                  <c:v>2.0549414002750783</c:v>
                </c:pt>
                <c:pt idx="108">
                  <c:v>1.5655964947726944</c:v>
                </c:pt>
                <c:pt idx="109">
                  <c:v>1.5181946392806425</c:v>
                </c:pt>
                <c:pt idx="110">
                  <c:v>2.036802381456603</c:v>
                </c:pt>
                <c:pt idx="111">
                  <c:v>2.1083528164023853</c:v>
                </c:pt>
                <c:pt idx="112">
                  <c:v>2.0910614612904879</c:v>
                </c:pt>
                <c:pt idx="113">
                  <c:v>1.5597043022488204</c:v>
                </c:pt>
                <c:pt idx="114">
                  <c:v>1.7080197420332173</c:v>
                </c:pt>
                <c:pt idx="115">
                  <c:v>1.9011800804706829</c:v>
                </c:pt>
                <c:pt idx="116">
                  <c:v>1.9962390844942171</c:v>
                </c:pt>
                <c:pt idx="117">
                  <c:v>1.8498817761092701</c:v>
                </c:pt>
                <c:pt idx="118">
                  <c:v>1.9854631733644836</c:v>
                </c:pt>
                <c:pt idx="119">
                  <c:v>1.8659677045971768</c:v>
                </c:pt>
                <c:pt idx="120">
                  <c:v>1.5838702482855289</c:v>
                </c:pt>
                <c:pt idx="121">
                  <c:v>1.640904537037251</c:v>
                </c:pt>
                <c:pt idx="122">
                  <c:v>1.3716278950619074</c:v>
                </c:pt>
                <c:pt idx="123">
                  <c:v>1.5901530156531671</c:v>
                </c:pt>
                <c:pt idx="124">
                  <c:v>1.735692259240688</c:v>
                </c:pt>
                <c:pt idx="125">
                  <c:v>1.9408972554070749</c:v>
                </c:pt>
                <c:pt idx="126">
                  <c:v>1.4920569597297801</c:v>
                </c:pt>
                <c:pt idx="127">
                  <c:v>1.6156997072823751</c:v>
                </c:pt>
                <c:pt idx="128">
                  <c:v>3.7310919948288381</c:v>
                </c:pt>
                <c:pt idx="129">
                  <c:v>3.1701289154882781</c:v>
                </c:pt>
                <c:pt idx="130">
                  <c:v>2.3102564407786246</c:v>
                </c:pt>
                <c:pt idx="131">
                  <c:v>3.0463391379773341</c:v>
                </c:pt>
                <c:pt idx="132">
                  <c:v>2.1862390956597899</c:v>
                </c:pt>
                <c:pt idx="133">
                  <c:v>1.9306390147730439</c:v>
                </c:pt>
                <c:pt idx="146">
                  <c:v>1.6422049905298932</c:v>
                </c:pt>
                <c:pt idx="147">
                  <c:v>2.1073737173267033</c:v>
                </c:pt>
                <c:pt idx="148">
                  <c:v>2.2064324759153546</c:v>
                </c:pt>
                <c:pt idx="149">
                  <c:v>1.9358600623361049</c:v>
                </c:pt>
                <c:pt idx="150">
                  <c:v>2.1023636487990696</c:v>
                </c:pt>
                <c:pt idx="151">
                  <c:v>2.1044475921552754</c:v>
                </c:pt>
                <c:pt idx="152">
                  <c:v>2.2497610402163333</c:v>
                </c:pt>
                <c:pt idx="153">
                  <c:v>2.3709127261355487</c:v>
                </c:pt>
                <c:pt idx="154">
                  <c:v>1.3696603978665678</c:v>
                </c:pt>
                <c:pt idx="155">
                  <c:v>1.7563551268489346</c:v>
                </c:pt>
                <c:pt idx="156">
                  <c:v>2.4470066431310555</c:v>
                </c:pt>
                <c:pt idx="157">
                  <c:v>2.3674235347733665</c:v>
                </c:pt>
                <c:pt idx="158">
                  <c:v>1.1032364714470975</c:v>
                </c:pt>
                <c:pt idx="159">
                  <c:v>1.5026876752908058</c:v>
                </c:pt>
                <c:pt idx="160">
                  <c:v>1.8849788364696016</c:v>
                </c:pt>
                <c:pt idx="161">
                  <c:v>1.9011798782047624</c:v>
                </c:pt>
                <c:pt idx="162">
                  <c:v>1.8294544169209646</c:v>
                </c:pt>
                <c:pt idx="163">
                  <c:v>1.8226729491803071</c:v>
                </c:pt>
                <c:pt idx="164">
                  <c:v>1.8644117767866515</c:v>
                </c:pt>
                <c:pt idx="165">
                  <c:v>1.8068457746941986</c:v>
                </c:pt>
                <c:pt idx="166">
                  <c:v>2.1930232163612731</c:v>
                </c:pt>
                <c:pt idx="167">
                  <c:v>1.9872973133746143</c:v>
                </c:pt>
                <c:pt idx="168">
                  <c:v>1.7418839452233523</c:v>
                </c:pt>
                <c:pt idx="169">
                  <c:v>1.9940798980618999</c:v>
                </c:pt>
                <c:pt idx="170">
                  <c:v>2.7475233917965838</c:v>
                </c:pt>
                <c:pt idx="171">
                  <c:v>2.265085466053149</c:v>
                </c:pt>
                <c:pt idx="172">
                  <c:v>2.6115103020377481</c:v>
                </c:pt>
                <c:pt idx="173">
                  <c:v>2.0431311987564142</c:v>
                </c:pt>
                <c:pt idx="174">
                  <c:v>2.0166126817224077</c:v>
                </c:pt>
                <c:pt idx="175">
                  <c:v>1.6385819386206548</c:v>
                </c:pt>
                <c:pt idx="176">
                  <c:v>1.7330695102637437</c:v>
                </c:pt>
                <c:pt idx="177">
                  <c:v>2.1778234715106537</c:v>
                </c:pt>
                <c:pt idx="178">
                  <c:v>2.2704622311196889</c:v>
                </c:pt>
                <c:pt idx="179">
                  <c:v>2.1412749657081402</c:v>
                </c:pt>
                <c:pt idx="180">
                  <c:v>2.1028796904609597</c:v>
                </c:pt>
                <c:pt idx="181">
                  <c:v>1.4576202750016511</c:v>
                </c:pt>
                <c:pt idx="182">
                  <c:v>1.4535769455286924</c:v>
                </c:pt>
                <c:pt idx="183">
                  <c:v>2.1468664925268488</c:v>
                </c:pt>
                <c:pt idx="184">
                  <c:v>2.1512778620320412</c:v>
                </c:pt>
                <c:pt idx="185">
                  <c:v>2.5208731734666308</c:v>
                </c:pt>
                <c:pt idx="186">
                  <c:v>2.5101763990389081</c:v>
                </c:pt>
                <c:pt idx="187">
                  <c:v>2.3123528247792344</c:v>
                </c:pt>
                <c:pt idx="188">
                  <c:v>2.2980101814828782</c:v>
                </c:pt>
                <c:pt idx="189">
                  <c:v>1.5698116262713619</c:v>
                </c:pt>
                <c:pt idx="190">
                  <c:v>1.5665592541174849</c:v>
                </c:pt>
                <c:pt idx="191">
                  <c:v>2.3082111104392879</c:v>
                </c:pt>
                <c:pt idx="192">
                  <c:v>2.3324061954543751</c:v>
                </c:pt>
                <c:pt idx="201">
                  <c:v>1.8689394540824167</c:v>
                </c:pt>
                <c:pt idx="202">
                  <c:v>1.4896546825186321</c:v>
                </c:pt>
                <c:pt idx="204">
                  <c:v>1.4898103684061734</c:v>
                </c:pt>
                <c:pt idx="205">
                  <c:v>1.7872696358516886</c:v>
                </c:pt>
                <c:pt idx="206">
                  <c:v>1.4756849269594856</c:v>
                </c:pt>
                <c:pt idx="208">
                  <c:v>1.9996706233260206</c:v>
                </c:pt>
                <c:pt idx="212">
                  <c:v>2.0799992915128129</c:v>
                </c:pt>
                <c:pt idx="213">
                  <c:v>1.6798354215963835</c:v>
                </c:pt>
                <c:pt idx="214">
                  <c:v>1.4101370740923769</c:v>
                </c:pt>
                <c:pt idx="215">
                  <c:v>1.7042311000948527</c:v>
                </c:pt>
                <c:pt idx="216">
                  <c:v>2.0157796507391934</c:v>
                </c:pt>
                <c:pt idx="217">
                  <c:v>1.621735854662433</c:v>
                </c:pt>
                <c:pt idx="218">
                  <c:v>2.40472000951072</c:v>
                </c:pt>
                <c:pt idx="219">
                  <c:v>1.2578535434363767</c:v>
                </c:pt>
                <c:pt idx="220">
                  <c:v>2.4023580290102506</c:v>
                </c:pt>
                <c:pt idx="221">
                  <c:v>2.1540931293374417</c:v>
                </c:pt>
                <c:pt idx="222">
                  <c:v>2.4045559316413061</c:v>
                </c:pt>
                <c:pt idx="224">
                  <c:v>1.7317254832977322</c:v>
                </c:pt>
                <c:pt idx="225">
                  <c:v>1.1680419353862352</c:v>
                </c:pt>
                <c:pt idx="226">
                  <c:v>1.2163747051263551</c:v>
                </c:pt>
                <c:pt idx="227">
                  <c:v>1.1438755505161751</c:v>
                </c:pt>
                <c:pt idx="228">
                  <c:v>1.155958742951205</c:v>
                </c:pt>
                <c:pt idx="229">
                  <c:v>2.2412780879293885</c:v>
                </c:pt>
                <c:pt idx="230">
                  <c:v>2.4919518773596629</c:v>
                </c:pt>
                <c:pt idx="231">
                  <c:v>1.9925512065399069</c:v>
                </c:pt>
                <c:pt idx="232">
                  <c:v>2.1497046820266013</c:v>
                </c:pt>
                <c:pt idx="233">
                  <c:v>2.4762708991717561</c:v>
                </c:pt>
                <c:pt idx="234">
                  <c:v>2.3791959121494619</c:v>
                </c:pt>
                <c:pt idx="235">
                  <c:v>2.925738413369023</c:v>
                </c:pt>
                <c:pt idx="236">
                  <c:v>2.4912609005764317</c:v>
                </c:pt>
                <c:pt idx="237">
                  <c:v>1.9928712367167702</c:v>
                </c:pt>
                <c:pt idx="238">
                  <c:v>1.8680264963021465</c:v>
                </c:pt>
                <c:pt idx="239">
                  <c:v>2.3117895381902884</c:v>
                </c:pt>
                <c:pt idx="240">
                  <c:v>2.2783935747554356</c:v>
                </c:pt>
                <c:pt idx="241">
                  <c:v>2.4503091561673487</c:v>
                </c:pt>
                <c:pt idx="242">
                  <c:v>2.464405365659859</c:v>
                </c:pt>
                <c:pt idx="243">
                  <c:v>1.7541416390117137</c:v>
                </c:pt>
                <c:pt idx="244">
                  <c:v>1.8521184980842436</c:v>
                </c:pt>
                <c:pt idx="245">
                  <c:v>2.0646055726394699</c:v>
                </c:pt>
                <c:pt idx="246">
                  <c:v>1.9887440503128282</c:v>
                </c:pt>
                <c:pt idx="247">
                  <c:v>2.0981161961904866</c:v>
                </c:pt>
                <c:pt idx="248">
                  <c:v>1.4241119729792726</c:v>
                </c:pt>
                <c:pt idx="249">
                  <c:v>2.2615324624297557</c:v>
                </c:pt>
                <c:pt idx="250">
                  <c:v>1.2602405718186387</c:v>
                </c:pt>
                <c:pt idx="251">
                  <c:v>1.558977806437378</c:v>
                </c:pt>
                <c:pt idx="252">
                  <c:v>1.403560420438748</c:v>
                </c:pt>
                <c:pt idx="253">
                  <c:v>2.086483754349207</c:v>
                </c:pt>
                <c:pt idx="254">
                  <c:v>1.3055898286674923</c:v>
                </c:pt>
                <c:pt idx="255">
                  <c:v>1.5893823893222023</c:v>
                </c:pt>
                <c:pt idx="256">
                  <c:v>2.1410207028238033</c:v>
                </c:pt>
                <c:pt idx="257">
                  <c:v>1.2889917932026622</c:v>
                </c:pt>
                <c:pt idx="258">
                  <c:v>1.2436496327327959</c:v>
                </c:pt>
                <c:pt idx="259">
                  <c:v>1.4123483500887095</c:v>
                </c:pt>
                <c:pt idx="260">
                  <c:v>1.69869931801179</c:v>
                </c:pt>
                <c:pt idx="261">
                  <c:v>1.4276855307204448</c:v>
                </c:pt>
                <c:pt idx="262">
                  <c:v>1.5505160658075436</c:v>
                </c:pt>
                <c:pt idx="263">
                  <c:v>1.327905273969467</c:v>
                </c:pt>
                <c:pt idx="264">
                  <c:v>1.5394082854992828</c:v>
                </c:pt>
                <c:pt idx="265">
                  <c:v>1.3041776129638663</c:v>
                </c:pt>
                <c:pt idx="266">
                  <c:v>1.5591928452133359</c:v>
                </c:pt>
                <c:pt idx="267">
                  <c:v>1.2867765285178476</c:v>
                </c:pt>
                <c:pt idx="268">
                  <c:v>2.4770380092837767</c:v>
                </c:pt>
                <c:pt idx="269">
                  <c:v>2.6266050555862779</c:v>
                </c:pt>
                <c:pt idx="270">
                  <c:v>2.1908242801756375</c:v>
                </c:pt>
                <c:pt idx="271">
                  <c:v>2.4865940372331328</c:v>
                </c:pt>
                <c:pt idx="272">
                  <c:v>1.5356140074541944</c:v>
                </c:pt>
                <c:pt idx="273">
                  <c:v>1.8406542325921853</c:v>
                </c:pt>
                <c:pt idx="274">
                  <c:v>1.6297829441924288</c:v>
                </c:pt>
                <c:pt idx="275">
                  <c:v>1.7009346912288954</c:v>
                </c:pt>
                <c:pt idx="276">
                  <c:v>1.5360321943493134</c:v>
                </c:pt>
                <c:pt idx="277">
                  <c:v>1.8796659253520858</c:v>
                </c:pt>
                <c:pt idx="278">
                  <c:v>1.7173665161974321</c:v>
                </c:pt>
                <c:pt idx="279">
                  <c:v>1.8171227048853755</c:v>
                </c:pt>
                <c:pt idx="280">
                  <c:v>2.7828854061681736</c:v>
                </c:pt>
                <c:pt idx="281">
                  <c:v>2.8340574735559572</c:v>
                </c:pt>
                <c:pt idx="282">
                  <c:v>2.4832159252410291</c:v>
                </c:pt>
                <c:pt idx="283">
                  <c:v>2.5779011788509294</c:v>
                </c:pt>
                <c:pt idx="284">
                  <c:v>2.6017009421166457</c:v>
                </c:pt>
                <c:pt idx="285">
                  <c:v>2.6718785957852038</c:v>
                </c:pt>
                <c:pt idx="286">
                  <c:v>2.07681002443538</c:v>
                </c:pt>
                <c:pt idx="287">
                  <c:v>2.2462580983596228</c:v>
                </c:pt>
                <c:pt idx="288">
                  <c:v>2.4011941361609206</c:v>
                </c:pt>
                <c:pt idx="289">
                  <c:v>2.4849976799745499</c:v>
                </c:pt>
                <c:pt idx="290">
                  <c:v>1.8658608872278868</c:v>
                </c:pt>
                <c:pt idx="291">
                  <c:v>2.1748805779303244</c:v>
                </c:pt>
                <c:pt idx="292">
                  <c:v>1.6975806823821411</c:v>
                </c:pt>
                <c:pt idx="293">
                  <c:v>1.6305911704223137</c:v>
                </c:pt>
                <c:pt idx="294">
                  <c:v>1.766925326900822</c:v>
                </c:pt>
                <c:pt idx="295">
                  <c:v>0.9376818002668581</c:v>
                </c:pt>
                <c:pt idx="296">
                  <c:v>1.064962613941582</c:v>
                </c:pt>
                <c:pt idx="297">
                  <c:v>1.2628251185675932</c:v>
                </c:pt>
                <c:pt idx="298">
                  <c:v>1.0819795390748945</c:v>
                </c:pt>
                <c:pt idx="299">
                  <c:v>1.2863275135782164</c:v>
                </c:pt>
                <c:pt idx="300">
                  <c:v>1.3903224753056873</c:v>
                </c:pt>
                <c:pt idx="301">
                  <c:v>1.778110273541323</c:v>
                </c:pt>
                <c:pt idx="302">
                  <c:v>1.3261917540087973</c:v>
                </c:pt>
                <c:pt idx="303">
                  <c:v>1.4662176354583463</c:v>
                </c:pt>
                <c:pt idx="304">
                  <c:v>1.1693210304983437</c:v>
                </c:pt>
                <c:pt idx="305">
                  <c:v>1.3814805708874047</c:v>
                </c:pt>
                <c:pt idx="306">
                  <c:v>1.135794330016441</c:v>
                </c:pt>
                <c:pt idx="307">
                  <c:v>1.9007473496514582</c:v>
                </c:pt>
                <c:pt idx="308">
                  <c:v>1.2465084055760451</c:v>
                </c:pt>
                <c:pt idx="309">
                  <c:v>2.5310260142964327</c:v>
                </c:pt>
                <c:pt idx="310">
                  <c:v>2.2861965775808342</c:v>
                </c:pt>
                <c:pt idx="311">
                  <c:v>1.6098848942849813</c:v>
                </c:pt>
                <c:pt idx="312">
                  <c:v>2.4195505115416949</c:v>
                </c:pt>
                <c:pt idx="313">
                  <c:v>1.8142342529807116</c:v>
                </c:pt>
                <c:pt idx="314">
                  <c:v>2.3816145832236102</c:v>
                </c:pt>
                <c:pt idx="315">
                  <c:v>1.7402317112501877</c:v>
                </c:pt>
                <c:pt idx="316">
                  <c:v>1.7387293263231325</c:v>
                </c:pt>
                <c:pt idx="317">
                  <c:v>1.6958647820047847</c:v>
                </c:pt>
                <c:pt idx="318">
                  <c:v>1.6791826063123738</c:v>
                </c:pt>
                <c:pt idx="319">
                  <c:v>1.8213525057863174</c:v>
                </c:pt>
                <c:pt idx="320">
                  <c:v>2.0229921718988586</c:v>
                </c:pt>
                <c:pt idx="321">
                  <c:v>2.031798351198606</c:v>
                </c:pt>
                <c:pt idx="322">
                  <c:v>1.480786619334987</c:v>
                </c:pt>
                <c:pt idx="323">
                  <c:v>1.8583151699805556</c:v>
                </c:pt>
                <c:pt idx="324">
                  <c:v>1.6139119314551313</c:v>
                </c:pt>
                <c:pt idx="325">
                  <c:v>1.6110043760740964</c:v>
                </c:pt>
                <c:pt idx="326">
                  <c:v>1.210157472156175</c:v>
                </c:pt>
                <c:pt idx="327">
                  <c:v>1.6719644295655374</c:v>
                </c:pt>
                <c:pt idx="328">
                  <c:v>1.8337996312449061</c:v>
                </c:pt>
                <c:pt idx="329">
                  <c:v>1.9330039509882082</c:v>
                </c:pt>
                <c:pt idx="330">
                  <c:v>1.8593356056871713</c:v>
                </c:pt>
                <c:pt idx="331">
                  <c:v>1.9248504433329023</c:v>
                </c:pt>
                <c:pt idx="332">
                  <c:v>2.3056645935694262</c:v>
                </c:pt>
                <c:pt idx="333">
                  <c:v>2.0071880883821756</c:v>
                </c:pt>
                <c:pt idx="334">
                  <c:v>1.6863998078567315</c:v>
                </c:pt>
                <c:pt idx="335">
                  <c:v>1.6085443951442955</c:v>
                </c:pt>
                <c:pt idx="336">
                  <c:v>1.5854083437965325</c:v>
                </c:pt>
                <c:pt idx="337">
                  <c:v>1.2785278291453337</c:v>
                </c:pt>
                <c:pt idx="338">
                  <c:v>1.3648020603300197</c:v>
                </c:pt>
                <c:pt idx="339">
                  <c:v>1.8403532904522368</c:v>
                </c:pt>
                <c:pt idx="340">
                  <c:v>1.6160351505021928</c:v>
                </c:pt>
                <c:pt idx="341">
                  <c:v>1.1999749830361903</c:v>
                </c:pt>
                <c:pt idx="342">
                  <c:v>1.5062005078727565</c:v>
                </c:pt>
                <c:pt idx="343">
                  <c:v>1.2952494313519984</c:v>
                </c:pt>
                <c:pt idx="344">
                  <c:v>1.2128980641796907</c:v>
                </c:pt>
                <c:pt idx="345">
                  <c:v>1.1769159164509957</c:v>
                </c:pt>
                <c:pt idx="346">
                  <c:v>1.2107403341866605</c:v>
                </c:pt>
                <c:pt idx="347">
                  <c:v>1.2042946298692805</c:v>
                </c:pt>
                <c:pt idx="348">
                  <c:v>1.2794051660441645</c:v>
                </c:pt>
                <c:pt idx="349">
                  <c:v>1.3739090586186062</c:v>
                </c:pt>
                <c:pt idx="350">
                  <c:v>1.6053699459000061</c:v>
                </c:pt>
                <c:pt idx="351">
                  <c:v>1.0889899457954362</c:v>
                </c:pt>
                <c:pt idx="352">
                  <c:v>1.341364270969104</c:v>
                </c:pt>
                <c:pt idx="353">
                  <c:v>1.257331544831237</c:v>
                </c:pt>
                <c:pt idx="354">
                  <c:v>1.110892903790949</c:v>
                </c:pt>
                <c:pt idx="355">
                  <c:v>2.2144618783538053</c:v>
                </c:pt>
                <c:pt idx="356">
                  <c:v>2.4750448366435061</c:v>
                </c:pt>
                <c:pt idx="357">
                  <c:v>1.5143982955032453</c:v>
                </c:pt>
                <c:pt idx="358">
                  <c:v>2.1764869904684927</c:v>
                </c:pt>
                <c:pt idx="359">
                  <c:v>1.9863436008609694</c:v>
                </c:pt>
                <c:pt idx="360">
                  <c:v>2.6644569105298475</c:v>
                </c:pt>
                <c:pt idx="361">
                  <c:v>2.5931035552926835</c:v>
                </c:pt>
                <c:pt idx="362">
                  <c:v>2.7480125744508079</c:v>
                </c:pt>
                <c:pt idx="363">
                  <c:v>2.5330512129740694</c:v>
                </c:pt>
                <c:pt idx="364">
                  <c:v>3.1127012279879973</c:v>
                </c:pt>
                <c:pt idx="365">
                  <c:v>2.8945674563557766</c:v>
                </c:pt>
                <c:pt idx="366">
                  <c:v>1.6669977276459687</c:v>
                </c:pt>
                <c:pt idx="367">
                  <c:v>1.8612559860866686</c:v>
                </c:pt>
                <c:pt idx="368">
                  <c:v>1.6221431392145302</c:v>
                </c:pt>
                <c:pt idx="369">
                  <c:v>1.8058506934321912</c:v>
                </c:pt>
                <c:pt idx="370">
                  <c:v>1.9168839313547983</c:v>
                </c:pt>
                <c:pt idx="371">
                  <c:v>1.998849365856767</c:v>
                </c:pt>
                <c:pt idx="372">
                  <c:v>2.1557001426297702</c:v>
                </c:pt>
                <c:pt idx="373">
                  <c:v>2.286184797887004</c:v>
                </c:pt>
                <c:pt idx="374">
                  <c:v>1.9215262652462428</c:v>
                </c:pt>
                <c:pt idx="375">
                  <c:v>1.6234698697084089</c:v>
                </c:pt>
                <c:pt idx="376">
                  <c:v>1.8155256055766906</c:v>
                </c:pt>
                <c:pt idx="377">
                  <c:v>2.1211516680774762</c:v>
                </c:pt>
                <c:pt idx="378">
                  <c:v>1.6274350232766979</c:v>
                </c:pt>
                <c:pt idx="379">
                  <c:v>2.4759285563802655</c:v>
                </c:pt>
                <c:pt idx="380">
                  <c:v>2.2941543676388276</c:v>
                </c:pt>
                <c:pt idx="381">
                  <c:v>1.7842564847212592</c:v>
                </c:pt>
                <c:pt idx="382">
                  <c:v>1.8045919059789592</c:v>
                </c:pt>
                <c:pt idx="383">
                  <c:v>1.5060365839377243</c:v>
                </c:pt>
                <c:pt idx="384">
                  <c:v>1.2157566864232063</c:v>
                </c:pt>
                <c:pt idx="385">
                  <c:v>1.3777434130786441</c:v>
                </c:pt>
                <c:pt idx="386">
                  <c:v>1.6947960419312951</c:v>
                </c:pt>
                <c:pt idx="387">
                  <c:v>1.3511429952518712</c:v>
                </c:pt>
                <c:pt idx="388">
                  <c:v>1.4710480015697462</c:v>
                </c:pt>
                <c:pt idx="389">
                  <c:v>1.5114046550490408</c:v>
                </c:pt>
                <c:pt idx="390">
                  <c:v>1.4270672320523956</c:v>
                </c:pt>
                <c:pt idx="391">
                  <c:v>1.4607969295572343</c:v>
                </c:pt>
                <c:pt idx="392">
                  <c:v>1.5947279576294371</c:v>
                </c:pt>
                <c:pt idx="393">
                  <c:v>1.6336463933251026</c:v>
                </c:pt>
                <c:pt idx="394">
                  <c:v>1.0808097379491979</c:v>
                </c:pt>
                <c:pt idx="395">
                  <c:v>1.7775641495303378</c:v>
                </c:pt>
                <c:pt idx="396">
                  <c:v>1.7950049412928319</c:v>
                </c:pt>
                <c:pt idx="397">
                  <c:v>1.3247580696530805</c:v>
                </c:pt>
                <c:pt idx="398">
                  <c:v>0.98576721669453882</c:v>
                </c:pt>
                <c:pt idx="399">
                  <c:v>1.2659980689885524</c:v>
                </c:pt>
                <c:pt idx="400">
                  <c:v>0.97421045534617501</c:v>
                </c:pt>
                <c:pt idx="401">
                  <c:v>0.90408286404901339</c:v>
                </c:pt>
                <c:pt idx="402">
                  <c:v>0.97932977761083995</c:v>
                </c:pt>
                <c:pt idx="403">
                  <c:v>2.3271560244615728</c:v>
                </c:pt>
                <c:pt idx="404">
                  <c:v>2.0222401134029506</c:v>
                </c:pt>
                <c:pt idx="405">
                  <c:v>1.619194018773322</c:v>
                </c:pt>
                <c:pt idx="406">
                  <c:v>1.7685688302516001</c:v>
                </c:pt>
                <c:pt idx="407">
                  <c:v>1.4636595926987293</c:v>
                </c:pt>
                <c:pt idx="408">
                  <c:v>1.2709246341543179</c:v>
                </c:pt>
                <c:pt idx="409">
                  <c:v>2.5013919662580109</c:v>
                </c:pt>
                <c:pt idx="410">
                  <c:v>1.9231804683588229</c:v>
                </c:pt>
                <c:pt idx="411">
                  <c:v>1.6918717566043429</c:v>
                </c:pt>
                <c:pt idx="412">
                  <c:v>1.5077547081053122</c:v>
                </c:pt>
                <c:pt idx="413">
                  <c:v>1.4641340932293478</c:v>
                </c:pt>
                <c:pt idx="414">
                  <c:v>1.0740402328627483</c:v>
                </c:pt>
                <c:pt idx="415">
                  <c:v>2.3204475658747277</c:v>
                </c:pt>
                <c:pt idx="416">
                  <c:v>2.4849682952396512</c:v>
                </c:pt>
                <c:pt idx="417">
                  <c:v>1.8797523578064703</c:v>
                </c:pt>
                <c:pt idx="418">
                  <c:v>1.8781266693934733</c:v>
                </c:pt>
                <c:pt idx="419">
                  <c:v>1.6692162339833787</c:v>
                </c:pt>
                <c:pt idx="420">
                  <c:v>1.7546609281607246</c:v>
                </c:pt>
                <c:pt idx="421">
                  <c:v>1.362526465650822</c:v>
                </c:pt>
                <c:pt idx="422">
                  <c:v>1.5923242948877245</c:v>
                </c:pt>
                <c:pt idx="423">
                  <c:v>2.9117840723050152</c:v>
                </c:pt>
                <c:pt idx="424">
                  <c:v>3.0089257747662694</c:v>
                </c:pt>
                <c:pt idx="425">
                  <c:v>2.2274697736606179</c:v>
                </c:pt>
                <c:pt idx="426">
                  <c:v>2.1543030398289051</c:v>
                </c:pt>
                <c:pt idx="427">
                  <c:v>2.6426335066380755</c:v>
                </c:pt>
                <c:pt idx="428">
                  <c:v>2.6344829075564871</c:v>
                </c:pt>
                <c:pt idx="429">
                  <c:v>1.9041057081226844</c:v>
                </c:pt>
                <c:pt idx="430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E-4754-8625-811C9957E5B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E-4754-8625-811C9957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98-4821-B590-B967D692157A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98-4821-B590-B967D692157A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8-4821-B590-B967D692157A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98-4821-B590-B967D692157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98-4821-B590-B967D6921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8-425A-A03C-4ABAF9ACFA7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8-425A-A03C-4ABAF9AC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headed_backup!$FP$52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headed_backup!$FP$53:$FP$61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42</c:v>
                </c:pt>
                <c:pt idx="4">
                  <c:v>50</c:v>
                </c:pt>
                <c:pt idx="5">
                  <c:v>39</c:v>
                </c:pt>
                <c:pt idx="6">
                  <c:v>36</c:v>
                </c:pt>
                <c:pt idx="7">
                  <c:v>38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C-40E1-8F26-F35E20834646}"/>
            </c:ext>
          </c:extLst>
        </c:ser>
        <c:ser>
          <c:idx val="3"/>
          <c:order val="1"/>
          <c:tx>
            <c:strRef>
              <c:f>headed_backup!$FS$52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headed_backup!$FS$53:$FS$61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18</c:v>
                </c:pt>
                <c:pt idx="4">
                  <c:v>37</c:v>
                </c:pt>
                <c:pt idx="5">
                  <c:v>48</c:v>
                </c:pt>
                <c:pt idx="6">
                  <c:v>59</c:v>
                </c:pt>
                <c:pt idx="7">
                  <c:v>70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C-40E1-8F26-F35E20834646}"/>
            </c:ext>
          </c:extLst>
        </c:ser>
        <c:ser>
          <c:idx val="1"/>
          <c:order val="2"/>
          <c:tx>
            <c:strRef>
              <c:f>headed_backup!$FQ$52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headed_backup!$FQ$53:$FQ$61</c:f>
              <c:numCache>
                <c:formatCode>General</c:formatCode>
                <c:ptCount val="9"/>
                <c:pt idx="0">
                  <c:v>67</c:v>
                </c:pt>
                <c:pt idx="1">
                  <c:v>64</c:v>
                </c:pt>
                <c:pt idx="2">
                  <c:v>72</c:v>
                </c:pt>
                <c:pt idx="3">
                  <c:v>67</c:v>
                </c:pt>
                <c:pt idx="4">
                  <c:v>47</c:v>
                </c:pt>
                <c:pt idx="5">
                  <c:v>29</c:v>
                </c:pt>
                <c:pt idx="6">
                  <c:v>11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C-40E1-8F26-F35E20834646}"/>
            </c:ext>
          </c:extLst>
        </c:ser>
        <c:ser>
          <c:idx val="2"/>
          <c:order val="3"/>
          <c:tx>
            <c:strRef>
              <c:f>headed_backup!$FR$52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headed_backup!$FR$53:$FR$61</c:f>
              <c:numCache>
                <c:formatCode>General</c:formatCode>
                <c:ptCount val="9"/>
                <c:pt idx="0">
                  <c:v>0</c:v>
                </c:pt>
                <c:pt idx="1">
                  <c:v>12</c:v>
                </c:pt>
                <c:pt idx="2">
                  <c:v>43</c:v>
                </c:pt>
                <c:pt idx="3">
                  <c:v>64</c:v>
                </c:pt>
                <c:pt idx="4">
                  <c:v>98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C-40E1-8F26-F35E20834646}"/>
            </c:ext>
          </c:extLst>
        </c:ser>
        <c:ser>
          <c:idx val="4"/>
          <c:order val="4"/>
          <c:tx>
            <c:strRef>
              <c:f>headed_backup!$FT$52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headed_backup!$FT$53:$FT$61</c:f>
              <c:numCache>
                <c:formatCode>General</c:formatCode>
                <c:ptCount val="9"/>
                <c:pt idx="0">
                  <c:v>2</c:v>
                </c:pt>
                <c:pt idx="1">
                  <c:v>43</c:v>
                </c:pt>
                <c:pt idx="2">
                  <c:v>99</c:v>
                </c:pt>
                <c:pt idx="3">
                  <c:v>131</c:v>
                </c:pt>
                <c:pt idx="4">
                  <c:v>61</c:v>
                </c:pt>
                <c:pt idx="5">
                  <c:v>20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EC-40E1-8F26-F35E20834646}"/>
            </c:ext>
          </c:extLst>
        </c:ser>
        <c:ser>
          <c:idx val="5"/>
          <c:order val="5"/>
          <c:tx>
            <c:strRef>
              <c:f>headed_backup!$FU$52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headed_backup!$FU$53:$FU$61</c:f>
              <c:numCache>
                <c:formatCode>General</c:formatCode>
                <c:ptCount val="9"/>
                <c:pt idx="0">
                  <c:v>1</c:v>
                </c:pt>
                <c:pt idx="1">
                  <c:v>40</c:v>
                </c:pt>
                <c:pt idx="2">
                  <c:v>79</c:v>
                </c:pt>
                <c:pt idx="3">
                  <c:v>132</c:v>
                </c:pt>
                <c:pt idx="4">
                  <c:v>59</c:v>
                </c:pt>
                <c:pt idx="5">
                  <c:v>33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EC-40E1-8F26-F35E20834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headed_backup!$CN$19:$CN$1274</c:f>
              <c:numCache>
                <c:formatCode>General</c:formatCode>
                <c:ptCount val="1256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1">
                  <c:v>1.0603012480015854</c:v>
                </c:pt>
                <c:pt idx="72">
                  <c:v>1.1010820652324156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  <c:pt idx="93">
                  <c:v>0.89989367736896064</c:v>
                </c:pt>
                <c:pt idx="94">
                  <c:v>0.95827467991952697</c:v>
                </c:pt>
                <c:pt idx="95">
                  <c:v>1.2520548489010888</c:v>
                </c:pt>
                <c:pt idx="96">
                  <c:v>1.0924564066911284</c:v>
                </c:pt>
                <c:pt idx="97">
                  <c:v>1.4385492279045442</c:v>
                </c:pt>
                <c:pt idx="99">
                  <c:v>1.0964753435843184</c:v>
                </c:pt>
                <c:pt idx="100">
                  <c:v>1.3499284524843498</c:v>
                </c:pt>
                <c:pt idx="101">
                  <c:v>1.4150724528723346</c:v>
                </c:pt>
                <c:pt idx="102">
                  <c:v>1.1514242240977519</c:v>
                </c:pt>
                <c:pt idx="103">
                  <c:v>1.2103920415043752</c:v>
                </c:pt>
                <c:pt idx="104">
                  <c:v>0.98889947765901709</c:v>
                </c:pt>
                <c:pt idx="105">
                  <c:v>1.0354664092518509</c:v>
                </c:pt>
                <c:pt idx="106">
                  <c:v>1.1033232586947157</c:v>
                </c:pt>
                <c:pt idx="107">
                  <c:v>1.0867811160460317</c:v>
                </c:pt>
                <c:pt idx="108">
                  <c:v>0.77650146238179429</c:v>
                </c:pt>
                <c:pt idx="109">
                  <c:v>0.80578352227830852</c:v>
                </c:pt>
                <c:pt idx="110">
                  <c:v>0.97908756048600731</c:v>
                </c:pt>
                <c:pt idx="111">
                  <c:v>1.0724802699593621</c:v>
                </c:pt>
                <c:pt idx="112">
                  <c:v>1.1122454261824155</c:v>
                </c:pt>
                <c:pt idx="113">
                  <c:v>0.91978760058883746</c:v>
                </c:pt>
                <c:pt idx="114">
                  <c:v>1.0372255519526359</c:v>
                </c:pt>
                <c:pt idx="115">
                  <c:v>1.1381558379870296</c:v>
                </c:pt>
                <c:pt idx="116">
                  <c:v>1.2065051061599386</c:v>
                </c:pt>
                <c:pt idx="117">
                  <c:v>0.77377372810250911</c:v>
                </c:pt>
                <c:pt idx="118">
                  <c:v>0.87476124465258653</c:v>
                </c:pt>
                <c:pt idx="119">
                  <c:v>0.85635510739673315</c:v>
                </c:pt>
                <c:pt idx="120">
                  <c:v>1.534062010214629</c:v>
                </c:pt>
                <c:pt idx="121">
                  <c:v>1.6505390992161655</c:v>
                </c:pt>
                <c:pt idx="122">
                  <c:v>1.3796814008832563</c:v>
                </c:pt>
                <c:pt idx="123">
                  <c:v>1.4842327749104667</c:v>
                </c:pt>
                <c:pt idx="124">
                  <c:v>1.6980354434639466</c:v>
                </c:pt>
                <c:pt idx="125">
                  <c:v>1.9697711735090395</c:v>
                </c:pt>
                <c:pt idx="126">
                  <c:v>1.2604661889669859</c:v>
                </c:pt>
                <c:pt idx="127">
                  <c:v>1.4376863048688344</c:v>
                </c:pt>
                <c:pt idx="128">
                  <c:v>1.3695980744789717</c:v>
                </c:pt>
                <c:pt idx="129">
                  <c:v>1.3183356396956087</c:v>
                </c:pt>
                <c:pt idx="130">
                  <c:v>1.0612072731063289</c:v>
                </c:pt>
                <c:pt idx="131">
                  <c:v>0.91924067665647879</c:v>
                </c:pt>
                <c:pt idx="132">
                  <c:v>0.74093720873945756</c:v>
                </c:pt>
                <c:pt idx="133">
                  <c:v>0.7169147487158688</c:v>
                </c:pt>
                <c:pt idx="146">
                  <c:v>0.90312510104777988</c:v>
                </c:pt>
                <c:pt idx="147">
                  <c:v>1.2051301348381576</c:v>
                </c:pt>
                <c:pt idx="148">
                  <c:v>1.0456058464242541</c:v>
                </c:pt>
                <c:pt idx="149">
                  <c:v>1.0908038636893671</c:v>
                </c:pt>
                <c:pt idx="150">
                  <c:v>1.2318345691778092</c:v>
                </c:pt>
                <c:pt idx="151">
                  <c:v>0.99373675554928043</c:v>
                </c:pt>
                <c:pt idx="152">
                  <c:v>1.2458889866861822</c:v>
                </c:pt>
                <c:pt idx="153">
                  <c:v>0.98594819394372424</c:v>
                </c:pt>
                <c:pt idx="154">
                  <c:v>1.3640135061669056</c:v>
                </c:pt>
                <c:pt idx="155">
                  <c:v>1.2391787313228477</c:v>
                </c:pt>
                <c:pt idx="156">
                  <c:v>1.4094913723233622</c:v>
                </c:pt>
                <c:pt idx="157">
                  <c:v>1.030525017017395</c:v>
                </c:pt>
                <c:pt idx="158">
                  <c:v>1.1277553972230727</c:v>
                </c:pt>
                <c:pt idx="159">
                  <c:v>1.0981770978672198</c:v>
                </c:pt>
                <c:pt idx="160">
                  <c:v>0.90484340828935073</c:v>
                </c:pt>
                <c:pt idx="161">
                  <c:v>1.1486634883673195</c:v>
                </c:pt>
                <c:pt idx="162">
                  <c:v>0.74018668744226179</c:v>
                </c:pt>
                <c:pt idx="163">
                  <c:v>0.92876242882583326</c:v>
                </c:pt>
                <c:pt idx="164">
                  <c:v>1.1957499935155482</c:v>
                </c:pt>
                <c:pt idx="165">
                  <c:v>0.78412977643373516</c:v>
                </c:pt>
                <c:pt idx="166">
                  <c:v>1.2794913017249394</c:v>
                </c:pt>
                <c:pt idx="167">
                  <c:v>1.7079314414824931</c:v>
                </c:pt>
                <c:pt idx="168">
                  <c:v>1.7079314414824931</c:v>
                </c:pt>
                <c:pt idx="169">
                  <c:v>1.713760559030215</c:v>
                </c:pt>
                <c:pt idx="170">
                  <c:v>1.0888822788843875</c:v>
                </c:pt>
                <c:pt idx="171">
                  <c:v>1.3564982372258658</c:v>
                </c:pt>
                <c:pt idx="172">
                  <c:v>1.0825378953499341</c:v>
                </c:pt>
                <c:pt idx="173">
                  <c:v>0.59445291391391852</c:v>
                </c:pt>
                <c:pt idx="174">
                  <c:v>0.58673730087196796</c:v>
                </c:pt>
                <c:pt idx="175">
                  <c:v>0.48047226670328519</c:v>
                </c:pt>
                <c:pt idx="176">
                  <c:v>0.50817833171756221</c:v>
                </c:pt>
                <c:pt idx="177">
                  <c:v>0.80281511391392391</c:v>
                </c:pt>
                <c:pt idx="178">
                  <c:v>0.8369647120430983</c:v>
                </c:pt>
                <c:pt idx="179">
                  <c:v>0.6624856895159994</c:v>
                </c:pt>
                <c:pt idx="180">
                  <c:v>0.65060663577295397</c:v>
                </c:pt>
                <c:pt idx="181">
                  <c:v>0.86392492109244645</c:v>
                </c:pt>
                <c:pt idx="182">
                  <c:v>0.86152845806583767</c:v>
                </c:pt>
                <c:pt idx="183">
                  <c:v>0.84672542437358489</c:v>
                </c:pt>
                <c:pt idx="184">
                  <c:v>0.84846527113599635</c:v>
                </c:pt>
                <c:pt idx="185">
                  <c:v>0.84714967990618539</c:v>
                </c:pt>
                <c:pt idx="186">
                  <c:v>0.84355498536627227</c:v>
                </c:pt>
                <c:pt idx="187">
                  <c:v>0.66294257619842423</c:v>
                </c:pt>
                <c:pt idx="188">
                  <c:v>0.65883059605660077</c:v>
                </c:pt>
                <c:pt idx="189">
                  <c:v>0.86751961563235958</c:v>
                </c:pt>
                <c:pt idx="190">
                  <c:v>0.86572226836240296</c:v>
                </c:pt>
                <c:pt idx="191">
                  <c:v>0.82990690567027392</c:v>
                </c:pt>
                <c:pt idx="192">
                  <c:v>0.83860613948233131</c:v>
                </c:pt>
                <c:pt idx="201">
                  <c:v>1.1673908961949973</c:v>
                </c:pt>
                <c:pt idx="202">
                  <c:v>0.93616200442259556</c:v>
                </c:pt>
                <c:pt idx="204">
                  <c:v>0.96859314347723358</c:v>
                </c:pt>
                <c:pt idx="205">
                  <c:v>0.94434196074609311</c:v>
                </c:pt>
                <c:pt idx="206">
                  <c:v>1.3402299947705487</c:v>
                </c:pt>
                <c:pt idx="208">
                  <c:v>1.2037060430031272</c:v>
                </c:pt>
                <c:pt idx="212">
                  <c:v>1.1245321162479069</c:v>
                </c:pt>
                <c:pt idx="213">
                  <c:v>0.84030922499865146</c:v>
                </c:pt>
                <c:pt idx="214">
                  <c:v>0.90909331832794082</c:v>
                </c:pt>
                <c:pt idx="215">
                  <c:v>1.0854292606452445</c:v>
                </c:pt>
                <c:pt idx="216">
                  <c:v>1.2957491504586884</c:v>
                </c:pt>
                <c:pt idx="217">
                  <c:v>1.5460337955680008</c:v>
                </c:pt>
                <c:pt idx="218">
                  <c:v>1.5694434629296043</c:v>
                </c:pt>
                <c:pt idx="219">
                  <c:v>0.80682929714224561</c:v>
                </c:pt>
                <c:pt idx="220">
                  <c:v>1.0809639304684351</c:v>
                </c:pt>
                <c:pt idx="221">
                  <c:v>1.150729195314697</c:v>
                </c:pt>
                <c:pt idx="222">
                  <c:v>1.6206841797361613</c:v>
                </c:pt>
                <c:pt idx="224">
                  <c:v>0.8023458423199622</c:v>
                </c:pt>
                <c:pt idx="225">
                  <c:v>1.3998474838990453</c:v>
                </c:pt>
                <c:pt idx="226">
                  <c:v>1.4577722073707298</c:v>
                </c:pt>
                <c:pt idx="227">
                  <c:v>1.370885122163203</c:v>
                </c:pt>
                <c:pt idx="228">
                  <c:v>1.3853663030311241</c:v>
                </c:pt>
                <c:pt idx="229">
                  <c:v>1.2278134241721037</c:v>
                </c:pt>
                <c:pt idx="230">
                  <c:v>1.1607520360147285</c:v>
                </c:pt>
                <c:pt idx="231">
                  <c:v>1.3545925525527256</c:v>
                </c:pt>
                <c:pt idx="232">
                  <c:v>1.1090994673594974</c:v>
                </c:pt>
                <c:pt idx="233">
                  <c:v>1.6652174139737159</c:v>
                </c:pt>
                <c:pt idx="234">
                  <c:v>1.2892640281505934</c:v>
                </c:pt>
                <c:pt idx="235">
                  <c:v>1.4554882873727251</c:v>
                </c:pt>
                <c:pt idx="236">
                  <c:v>1.0571790917983603</c:v>
                </c:pt>
                <c:pt idx="237">
                  <c:v>1.291398223149377</c:v>
                </c:pt>
                <c:pt idx="238">
                  <c:v>0.98896690726937853</c:v>
                </c:pt>
                <c:pt idx="239">
                  <c:v>1.5989486965805586</c:v>
                </c:pt>
                <c:pt idx="240">
                  <c:v>1.0675308808670825</c:v>
                </c:pt>
                <c:pt idx="241">
                  <c:v>1.20136195127303</c:v>
                </c:pt>
                <c:pt idx="242">
                  <c:v>0.97623728551679267</c:v>
                </c:pt>
                <c:pt idx="243">
                  <c:v>1.1452294549129385</c:v>
                </c:pt>
                <c:pt idx="244">
                  <c:v>0.90791333117970996</c:v>
                </c:pt>
                <c:pt idx="245">
                  <c:v>1.2821131703909106</c:v>
                </c:pt>
                <c:pt idx="246">
                  <c:v>0.99688435001099218</c:v>
                </c:pt>
                <c:pt idx="247">
                  <c:v>0.85192180139138174</c:v>
                </c:pt>
                <c:pt idx="248">
                  <c:v>0.81662774630172397</c:v>
                </c:pt>
                <c:pt idx="249">
                  <c:v>0.81746174328873611</c:v>
                </c:pt>
                <c:pt idx="250">
                  <c:v>0.7586320747468619</c:v>
                </c:pt>
                <c:pt idx="251">
                  <c:v>0.95611409237498801</c:v>
                </c:pt>
                <c:pt idx="252">
                  <c:v>0.85366845179986306</c:v>
                </c:pt>
                <c:pt idx="253">
                  <c:v>0.77672385358421936</c:v>
                </c:pt>
                <c:pt idx="254">
                  <c:v>0.7859933198358483</c:v>
                </c:pt>
                <c:pt idx="255">
                  <c:v>0.95277592599578431</c:v>
                </c:pt>
                <c:pt idx="256">
                  <c:v>0.80622815303489503</c:v>
                </c:pt>
                <c:pt idx="257">
                  <c:v>0.73385385804964465</c:v>
                </c:pt>
                <c:pt idx="258">
                  <c:v>0.71701953337023638</c:v>
                </c:pt>
                <c:pt idx="259">
                  <c:v>0.80509042965258459</c:v>
                </c:pt>
                <c:pt idx="260">
                  <c:v>0.57642292425190167</c:v>
                </c:pt>
                <c:pt idx="261">
                  <c:v>0.69797901215906277</c:v>
                </c:pt>
                <c:pt idx="262">
                  <c:v>0.4928999465797696</c:v>
                </c:pt>
                <c:pt idx="263">
                  <c:v>0.72046711424605314</c:v>
                </c:pt>
                <c:pt idx="264">
                  <c:v>0.49066280340487506</c:v>
                </c:pt>
                <c:pt idx="265">
                  <c:v>0.669304928325827</c:v>
                </c:pt>
                <c:pt idx="266">
                  <c:v>0.49438820310668369</c:v>
                </c:pt>
                <c:pt idx="267">
                  <c:v>0.62160230418122031</c:v>
                </c:pt>
                <c:pt idx="268">
                  <c:v>1.0359520772360065</c:v>
                </c:pt>
                <c:pt idx="269">
                  <c:v>1.2275258020375239</c:v>
                </c:pt>
                <c:pt idx="270">
                  <c:v>1.0632468913492648</c:v>
                </c:pt>
                <c:pt idx="271">
                  <c:v>1.2988441374566582</c:v>
                </c:pt>
                <c:pt idx="272">
                  <c:v>0.80819333280719641</c:v>
                </c:pt>
                <c:pt idx="273">
                  <c:v>1.1361105927087192</c:v>
                </c:pt>
                <c:pt idx="274">
                  <c:v>1.0500571164680419</c:v>
                </c:pt>
                <c:pt idx="275">
                  <c:v>1.1959371887849268</c:v>
                </c:pt>
                <c:pt idx="276">
                  <c:v>0.82553769724572112</c:v>
                </c:pt>
                <c:pt idx="277">
                  <c:v>1.1009675588314105</c:v>
                </c:pt>
                <c:pt idx="278">
                  <c:v>1.0025651410576439</c:v>
                </c:pt>
                <c:pt idx="279">
                  <c:v>1.234614567429962</c:v>
                </c:pt>
                <c:pt idx="280">
                  <c:v>1.120617834841011</c:v>
                </c:pt>
                <c:pt idx="281">
                  <c:v>1.1480565833145751</c:v>
                </c:pt>
                <c:pt idx="282">
                  <c:v>1.3627342427712779</c:v>
                </c:pt>
                <c:pt idx="283">
                  <c:v>1.5116668594823293</c:v>
                </c:pt>
                <c:pt idx="284">
                  <c:v>0.96270814852336062</c:v>
                </c:pt>
                <c:pt idx="285">
                  <c:v>1.0113237551807197</c:v>
                </c:pt>
                <c:pt idx="286">
                  <c:v>1.1153185331872824</c:v>
                </c:pt>
                <c:pt idx="287">
                  <c:v>1.2311656641884943</c:v>
                </c:pt>
                <c:pt idx="288">
                  <c:v>0.84984536998681193</c:v>
                </c:pt>
                <c:pt idx="289">
                  <c:v>0.89380352149223619</c:v>
                </c:pt>
                <c:pt idx="290">
                  <c:v>1.0844496648388597</c:v>
                </c:pt>
                <c:pt idx="291">
                  <c:v>1.286108770983347</c:v>
                </c:pt>
                <c:pt idx="292">
                  <c:v>0.50217959988721583</c:v>
                </c:pt>
                <c:pt idx="293">
                  <c:v>0.31990801144331121</c:v>
                </c:pt>
                <c:pt idx="294">
                  <c:v>0.28765333046043823</c:v>
                </c:pt>
                <c:pt idx="295">
                  <c:v>0.36370914366668056</c:v>
                </c:pt>
                <c:pt idx="296">
                  <c:v>0.27806290348537888</c:v>
                </c:pt>
                <c:pt idx="297">
                  <c:v>0.23714039746372731</c:v>
                </c:pt>
                <c:pt idx="298">
                  <c:v>0.40190648659950207</c:v>
                </c:pt>
                <c:pt idx="299">
                  <c:v>0.33217224555956837</c:v>
                </c:pt>
                <c:pt idx="300">
                  <c:v>0.27235882594617306</c:v>
                </c:pt>
                <c:pt idx="301">
                  <c:v>0.46864687134043465</c:v>
                </c:pt>
                <c:pt idx="302">
                  <c:v>0.47226601043541899</c:v>
                </c:pt>
                <c:pt idx="303">
                  <c:v>0.35794457872586288</c:v>
                </c:pt>
                <c:pt idx="304">
                  <c:v>0.45940995038759902</c:v>
                </c:pt>
                <c:pt idx="305">
                  <c:v>0.32199066895060052</c:v>
                </c:pt>
                <c:pt idx="306">
                  <c:v>0.40510257215472878</c:v>
                </c:pt>
                <c:pt idx="307">
                  <c:v>0.43987521847038291</c:v>
                </c:pt>
                <c:pt idx="308">
                  <c:v>0.4326213705365124</c:v>
                </c:pt>
                <c:pt idx="309">
                  <c:v>0.74207568066944496</c:v>
                </c:pt>
                <c:pt idx="310">
                  <c:v>0.6575621344835334</c:v>
                </c:pt>
                <c:pt idx="311">
                  <c:v>0.73356045990636276</c:v>
                </c:pt>
                <c:pt idx="312">
                  <c:v>0.66276113614729903</c:v>
                </c:pt>
                <c:pt idx="313">
                  <c:v>0.76743593066722315</c:v>
                </c:pt>
                <c:pt idx="314">
                  <c:v>0.64880283352095725</c:v>
                </c:pt>
                <c:pt idx="315">
                  <c:v>0.70747117484998001</c:v>
                </c:pt>
                <c:pt idx="316">
                  <c:v>0.60498251517291257</c:v>
                </c:pt>
                <c:pt idx="317">
                  <c:v>0.41793296290343485</c:v>
                </c:pt>
                <c:pt idx="318">
                  <c:v>0.85652179496619263</c:v>
                </c:pt>
                <c:pt idx="319">
                  <c:v>0.68298923262112032</c:v>
                </c:pt>
                <c:pt idx="320">
                  <c:v>0.67150740811789156</c:v>
                </c:pt>
                <c:pt idx="321">
                  <c:v>0.48810110256896716</c:v>
                </c:pt>
                <c:pt idx="322">
                  <c:v>0.76487499850326324</c:v>
                </c:pt>
                <c:pt idx="323">
                  <c:v>0.69322407599081759</c:v>
                </c:pt>
                <c:pt idx="324">
                  <c:v>0.5200351608810676</c:v>
                </c:pt>
                <c:pt idx="325">
                  <c:v>0.37461773422610073</c:v>
                </c:pt>
                <c:pt idx="326">
                  <c:v>0.65494056852337501</c:v>
                </c:pt>
                <c:pt idx="327">
                  <c:v>0.66010873732007236</c:v>
                </c:pt>
                <c:pt idx="328">
                  <c:v>0.75814578138002153</c:v>
                </c:pt>
                <c:pt idx="329">
                  <c:v>0.77612733545937562</c:v>
                </c:pt>
                <c:pt idx="330">
                  <c:v>0.71791639666428142</c:v>
                </c:pt>
                <c:pt idx="331">
                  <c:v>0.73254402066519331</c:v>
                </c:pt>
                <c:pt idx="332">
                  <c:v>0.86694554396548273</c:v>
                </c:pt>
                <c:pt idx="333">
                  <c:v>0.8432014000061423</c:v>
                </c:pt>
                <c:pt idx="334">
                  <c:v>1.0453690663130164</c:v>
                </c:pt>
                <c:pt idx="335">
                  <c:v>0.63577930885779754</c:v>
                </c:pt>
                <c:pt idx="336">
                  <c:v>0.99135777498064259</c:v>
                </c:pt>
                <c:pt idx="337">
                  <c:v>0.49914036531945671</c:v>
                </c:pt>
                <c:pt idx="338">
                  <c:v>0.89909960937938926</c:v>
                </c:pt>
                <c:pt idx="339">
                  <c:v>0.71535247587434603</c:v>
                </c:pt>
                <c:pt idx="340">
                  <c:v>1.0631873753884515</c:v>
                </c:pt>
                <c:pt idx="341">
                  <c:v>0.52668416203155555</c:v>
                </c:pt>
                <c:pt idx="342">
                  <c:v>0.95552213561783861</c:v>
                </c:pt>
                <c:pt idx="343">
                  <c:v>0.52039815711170379</c:v>
                </c:pt>
                <c:pt idx="344">
                  <c:v>0.82075602055380337</c:v>
                </c:pt>
                <c:pt idx="345">
                  <c:v>0.47739495721251607</c:v>
                </c:pt>
                <c:pt idx="346">
                  <c:v>0.75241129452250288</c:v>
                </c:pt>
                <c:pt idx="347">
                  <c:v>0.48850410476532213</c:v>
                </c:pt>
                <c:pt idx="348">
                  <c:v>0.7635698161114719</c:v>
                </c:pt>
                <c:pt idx="349">
                  <c:v>0.41214381234063702</c:v>
                </c:pt>
                <c:pt idx="350">
                  <c:v>0.72668089753626275</c:v>
                </c:pt>
                <c:pt idx="351">
                  <c:v>0.30623753916933311</c:v>
                </c:pt>
                <c:pt idx="352">
                  <c:v>0.57441747158643486</c:v>
                </c:pt>
                <c:pt idx="353">
                  <c:v>0.35037218833658679</c:v>
                </c:pt>
                <c:pt idx="354">
                  <c:v>0.51638109101570362</c:v>
                </c:pt>
                <c:pt idx="355">
                  <c:v>0.84814643886623231</c:v>
                </c:pt>
                <c:pt idx="356">
                  <c:v>0.5633106192111631</c:v>
                </c:pt>
                <c:pt idx="357">
                  <c:v>0.68470929712525452</c:v>
                </c:pt>
                <c:pt idx="358">
                  <c:v>0.55887635658398238</c:v>
                </c:pt>
                <c:pt idx="359">
                  <c:v>0.90146916130082411</c:v>
                </c:pt>
                <c:pt idx="360">
                  <c:v>0.72138824438006166</c:v>
                </c:pt>
                <c:pt idx="361">
                  <c:v>1.1047126070269926</c:v>
                </c:pt>
                <c:pt idx="362">
                  <c:v>0.70195438626366125</c:v>
                </c:pt>
                <c:pt idx="363">
                  <c:v>1.280628927387689</c:v>
                </c:pt>
                <c:pt idx="364">
                  <c:v>0.92432247546723945</c:v>
                </c:pt>
                <c:pt idx="365">
                  <c:v>1.4676385799383138</c:v>
                </c:pt>
                <c:pt idx="366">
                  <c:v>0.42358808752356875</c:v>
                </c:pt>
                <c:pt idx="367">
                  <c:v>0.27663125137739181</c:v>
                </c:pt>
                <c:pt idx="368">
                  <c:v>0.48120655876859975</c:v>
                </c:pt>
                <c:pt idx="369">
                  <c:v>0.30905277621926552</c:v>
                </c:pt>
                <c:pt idx="370">
                  <c:v>0.5908614973408699</c:v>
                </c:pt>
                <c:pt idx="371">
                  <c:v>0.34891933006853126</c:v>
                </c:pt>
                <c:pt idx="372">
                  <c:v>0.62050244700404289</c:v>
                </c:pt>
                <c:pt idx="373">
                  <c:v>0.37950693499442612</c:v>
                </c:pt>
                <c:pt idx="374">
                  <c:v>0.52894243541533204</c:v>
                </c:pt>
                <c:pt idx="375">
                  <c:v>0.66189035654118</c:v>
                </c:pt>
                <c:pt idx="376">
                  <c:v>0.73841264422949071</c:v>
                </c:pt>
                <c:pt idx="377">
                  <c:v>0.57924197602338701</c:v>
                </c:pt>
                <c:pt idx="378">
                  <c:v>0.69335828153035006</c:v>
                </c:pt>
                <c:pt idx="379">
                  <c:v>1.0608164855263091</c:v>
                </c:pt>
                <c:pt idx="380">
                  <c:v>1.3165021171618716</c:v>
                </c:pt>
                <c:pt idx="381">
                  <c:v>1.5403477162307675</c:v>
                </c:pt>
                <c:pt idx="382">
                  <c:v>1.5655798326009769</c:v>
                </c:pt>
                <c:pt idx="383">
                  <c:v>0.79853904935095166</c:v>
                </c:pt>
                <c:pt idx="384">
                  <c:v>1.0189518781041382</c:v>
                </c:pt>
                <c:pt idx="385">
                  <c:v>1.1086962907496114</c:v>
                </c:pt>
                <c:pt idx="386">
                  <c:v>0.67444137681039384</c:v>
                </c:pt>
                <c:pt idx="387">
                  <c:v>0.79577622498559542</c:v>
                </c:pt>
                <c:pt idx="388">
                  <c:v>0.61339267247076401</c:v>
                </c:pt>
                <c:pt idx="389">
                  <c:v>0.44632318044701325</c:v>
                </c:pt>
                <c:pt idx="390">
                  <c:v>0.57896116065618985</c:v>
                </c:pt>
                <c:pt idx="391">
                  <c:v>0.73416103151904566</c:v>
                </c:pt>
                <c:pt idx="392">
                  <c:v>0.57325182832669397</c:v>
                </c:pt>
                <c:pt idx="393">
                  <c:v>1.180884224215198</c:v>
                </c:pt>
                <c:pt idx="394">
                  <c:v>0.54367121796819906</c:v>
                </c:pt>
                <c:pt idx="395">
                  <c:v>1.2145959956381271</c:v>
                </c:pt>
                <c:pt idx="396">
                  <c:v>0.90863669033174643</c:v>
                </c:pt>
                <c:pt idx="397">
                  <c:v>0.53274470935221885</c:v>
                </c:pt>
                <c:pt idx="398">
                  <c:v>0.60989160828240396</c:v>
                </c:pt>
                <c:pt idx="399">
                  <c:v>0.79714874635462929</c:v>
                </c:pt>
                <c:pt idx="400">
                  <c:v>0.3406160978101801</c:v>
                </c:pt>
                <c:pt idx="401">
                  <c:v>0.49783010673441874</c:v>
                </c:pt>
                <c:pt idx="402">
                  <c:v>0.5379511912567736</c:v>
                </c:pt>
                <c:pt idx="403">
                  <c:v>0.54260887003559544</c:v>
                </c:pt>
                <c:pt idx="404">
                  <c:v>0.41091602122326432</c:v>
                </c:pt>
                <c:pt idx="405">
                  <c:v>0.5244575585719754</c:v>
                </c:pt>
                <c:pt idx="406">
                  <c:v>0.49664029362132861</c:v>
                </c:pt>
                <c:pt idx="407">
                  <c:v>0.66616304477937771</c:v>
                </c:pt>
                <c:pt idx="408">
                  <c:v>0.87004023622459381</c:v>
                </c:pt>
                <c:pt idx="409">
                  <c:v>1.2208596095211808</c:v>
                </c:pt>
                <c:pt idx="410">
                  <c:v>1.4241940133982856</c:v>
                </c:pt>
                <c:pt idx="411">
                  <c:v>0.59847188698183496</c:v>
                </c:pt>
                <c:pt idx="412">
                  <c:v>0.79965874804680204</c:v>
                </c:pt>
                <c:pt idx="413">
                  <c:v>0.44995900132926242</c:v>
                </c:pt>
                <c:pt idx="414">
                  <c:v>0.50958151653858841</c:v>
                </c:pt>
                <c:pt idx="415">
                  <c:v>0.83585626412376812</c:v>
                </c:pt>
                <c:pt idx="416">
                  <c:v>0.85659529371851961</c:v>
                </c:pt>
                <c:pt idx="417">
                  <c:v>1.0348011851555312</c:v>
                </c:pt>
                <c:pt idx="418">
                  <c:v>0.9737603915445785</c:v>
                </c:pt>
                <c:pt idx="419">
                  <c:v>0.5342286604936749</c:v>
                </c:pt>
                <c:pt idx="420">
                  <c:v>0.53774723965388971</c:v>
                </c:pt>
                <c:pt idx="421">
                  <c:v>0.69664976517292798</c:v>
                </c:pt>
                <c:pt idx="422">
                  <c:v>0.75924280927749677</c:v>
                </c:pt>
                <c:pt idx="423">
                  <c:v>1.4864627253401679</c:v>
                </c:pt>
                <c:pt idx="424">
                  <c:v>1.3570171756610661</c:v>
                </c:pt>
                <c:pt idx="425">
                  <c:v>1.725882500076503</c:v>
                </c:pt>
                <c:pt idx="426">
                  <c:v>1.4395206022092937</c:v>
                </c:pt>
                <c:pt idx="427">
                  <c:v>1.1827384584448524</c:v>
                </c:pt>
                <c:pt idx="428">
                  <c:v>1.0426934131363037</c:v>
                </c:pt>
                <c:pt idx="429">
                  <c:v>1.3843179703848905</c:v>
                </c:pt>
                <c:pt idx="430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18-4D88-BE01-64E7C320D1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18-4D88-BE01-64E7C320D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headed_backup!$M$153:$M$243</c:f>
              <c:numCache>
                <c:formatCode>General</c:formatCode>
                <c:ptCount val="91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</c:numCache>
            </c:numRef>
          </c:xVal>
          <c:yVal>
            <c:numRef>
              <c:f>headed_backup!$CQ$153:$CQ$243</c:f>
              <c:numCache>
                <c:formatCode>General</c:formatCode>
                <c:ptCount val="9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D-42B7-9921-AE5623C8D82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7D-42B7-9921-AE5623C8D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C-475D-A43A-C13E708889FF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9C-475D-A43A-C13E708889FF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9C-475D-A43A-C13E708889F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9C-475D-A43A-C13E708889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9C-475D-A43A-C13E7088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C-40F5-A3EE-2956FDD6C57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1C-40F5-A3EE-2956FDD6C57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C-40F5-A3EE-2956FDD6C57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1C-40F5-A3EE-2956FDD6C57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C-40F5-A3EE-2956FDD6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headed_backup!$W$104:$W$146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D-42AE-86A2-B8A09CF16E6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ED-42AE-86A2-B8A09CF16E6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headed_backup!$W$153:$W$540</c:f>
              <c:numCache>
                <c:formatCode>General</c:formatCode>
                <c:ptCount val="3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4.4639504822285474</c:v>
                </c:pt>
                <c:pt idx="60">
                  <c:v>4.4639504822285474</c:v>
                </c:pt>
                <c:pt idx="61">
                  <c:v>7.0469088920093164</c:v>
                </c:pt>
                <c:pt idx="62">
                  <c:v>5.3152807724479523</c:v>
                </c:pt>
                <c:pt idx="63">
                  <c:v>4.4639504822285474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5.3152807724479523</c:v>
                </c:pt>
                <c:pt idx="67">
                  <c:v>2.0051727652257014</c:v>
                </c:pt>
                <c:pt idx="68">
                  <c:v>1.9505332604034158</c:v>
                </c:pt>
                <c:pt idx="69">
                  <c:v>4.4639504822285474</c:v>
                </c:pt>
                <c:pt idx="70">
                  <c:v>5.3152807724479523</c:v>
                </c:pt>
                <c:pt idx="71">
                  <c:v>5.3152807724479523</c:v>
                </c:pt>
                <c:pt idx="72">
                  <c:v>2.0051727652257014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2.1293534580036226</c:v>
                </c:pt>
                <c:pt idx="77">
                  <c:v>1.9505332604034158</c:v>
                </c:pt>
                <c:pt idx="78">
                  <c:v>3.1973074158937482</c:v>
                </c:pt>
                <c:pt idx="79">
                  <c:v>5.3152807724479523</c:v>
                </c:pt>
                <c:pt idx="80">
                  <c:v>2.205004992017336</c:v>
                </c:pt>
                <c:pt idx="81">
                  <c:v>1.9505332604034158</c:v>
                </c:pt>
                <c:pt idx="82">
                  <c:v>1.9505332604034158</c:v>
                </c:pt>
                <c:pt idx="83">
                  <c:v>2.0051727652257014</c:v>
                </c:pt>
                <c:pt idx="84">
                  <c:v>1.9505332604034158</c:v>
                </c:pt>
                <c:pt idx="85">
                  <c:v>2.0051727652257014</c:v>
                </c:pt>
                <c:pt idx="86">
                  <c:v>7.0469088920093164</c:v>
                </c:pt>
                <c:pt idx="87">
                  <c:v>4.4639504822285474</c:v>
                </c:pt>
                <c:pt idx="88">
                  <c:v>5.3152807724479523</c:v>
                </c:pt>
                <c:pt idx="89">
                  <c:v>2.8188046643066431</c:v>
                </c:pt>
                <c:pt idx="90">
                  <c:v>6.4993959172819435</c:v>
                </c:pt>
                <c:pt idx="91">
                  <c:v>2.5739077706444626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6.5</c:v>
                </c:pt>
                <c:pt idx="135">
                  <c:v>6.5</c:v>
                </c:pt>
                <c:pt idx="136">
                  <c:v>4.5</c:v>
                </c:pt>
                <c:pt idx="137">
                  <c:v>4.5</c:v>
                </c:pt>
                <c:pt idx="138">
                  <c:v>6.5</c:v>
                </c:pt>
                <c:pt idx="139">
                  <c:v>6.5</c:v>
                </c:pt>
                <c:pt idx="140">
                  <c:v>4.5</c:v>
                </c:pt>
                <c:pt idx="141">
                  <c:v>4.5</c:v>
                </c:pt>
                <c:pt idx="142">
                  <c:v>6.5</c:v>
                </c:pt>
                <c:pt idx="143">
                  <c:v>6.5</c:v>
                </c:pt>
                <c:pt idx="144">
                  <c:v>4.5</c:v>
                </c:pt>
                <c:pt idx="145">
                  <c:v>4.5</c:v>
                </c:pt>
                <c:pt idx="146">
                  <c:v>9.5</c:v>
                </c:pt>
                <c:pt idx="147">
                  <c:v>9.1</c:v>
                </c:pt>
                <c:pt idx="148">
                  <c:v>9.5</c:v>
                </c:pt>
                <c:pt idx="149">
                  <c:v>9.1</c:v>
                </c:pt>
                <c:pt idx="150">
                  <c:v>9.5</c:v>
                </c:pt>
                <c:pt idx="151">
                  <c:v>9.1</c:v>
                </c:pt>
                <c:pt idx="152">
                  <c:v>9.5</c:v>
                </c:pt>
                <c:pt idx="153">
                  <c:v>9.1</c:v>
                </c:pt>
                <c:pt idx="154">
                  <c:v>9.5</c:v>
                </c:pt>
                <c:pt idx="155">
                  <c:v>9.1</c:v>
                </c:pt>
                <c:pt idx="156">
                  <c:v>9.5</c:v>
                </c:pt>
                <c:pt idx="157">
                  <c:v>9.1</c:v>
                </c:pt>
                <c:pt idx="158">
                  <c:v>4</c:v>
                </c:pt>
                <c:pt idx="159">
                  <c:v>9.5</c:v>
                </c:pt>
                <c:pt idx="160">
                  <c:v>14.9</c:v>
                </c:pt>
                <c:pt idx="161">
                  <c:v>4</c:v>
                </c:pt>
                <c:pt idx="162">
                  <c:v>9.5</c:v>
                </c:pt>
                <c:pt idx="163">
                  <c:v>14.9</c:v>
                </c:pt>
                <c:pt idx="164">
                  <c:v>4</c:v>
                </c:pt>
                <c:pt idx="165">
                  <c:v>9.5</c:v>
                </c:pt>
                <c:pt idx="166">
                  <c:v>14.9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4.0999999999999996</c:v>
                </c:pt>
                <c:pt idx="183">
                  <c:v>9.1</c:v>
                </c:pt>
                <c:pt idx="184">
                  <c:v>4.0999999999999996</c:v>
                </c:pt>
                <c:pt idx="185">
                  <c:v>9.1</c:v>
                </c:pt>
                <c:pt idx="186">
                  <c:v>4.0999999999999996</c:v>
                </c:pt>
                <c:pt idx="187">
                  <c:v>9.1</c:v>
                </c:pt>
                <c:pt idx="188">
                  <c:v>4.0999999999999996</c:v>
                </c:pt>
                <c:pt idx="189">
                  <c:v>9.1</c:v>
                </c:pt>
                <c:pt idx="190">
                  <c:v>4.0999999999999996</c:v>
                </c:pt>
                <c:pt idx="191">
                  <c:v>9.1</c:v>
                </c:pt>
                <c:pt idx="192">
                  <c:v>4.0999999999999996</c:v>
                </c:pt>
                <c:pt idx="193">
                  <c:v>9.1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9.5</c:v>
                </c:pt>
                <c:pt idx="220">
                  <c:v>9.1</c:v>
                </c:pt>
                <c:pt idx="221">
                  <c:v>4</c:v>
                </c:pt>
                <c:pt idx="222">
                  <c:v>13.1</c:v>
                </c:pt>
                <c:pt idx="223">
                  <c:v>4</c:v>
                </c:pt>
                <c:pt idx="224">
                  <c:v>13.1</c:v>
                </c:pt>
                <c:pt idx="225">
                  <c:v>4</c:v>
                </c:pt>
                <c:pt idx="226">
                  <c:v>13.1</c:v>
                </c:pt>
                <c:pt idx="227">
                  <c:v>4</c:v>
                </c:pt>
                <c:pt idx="228">
                  <c:v>13.1</c:v>
                </c:pt>
                <c:pt idx="229">
                  <c:v>4</c:v>
                </c:pt>
                <c:pt idx="230">
                  <c:v>13.1</c:v>
                </c:pt>
                <c:pt idx="231">
                  <c:v>4</c:v>
                </c:pt>
                <c:pt idx="232">
                  <c:v>4</c:v>
                </c:pt>
                <c:pt idx="233">
                  <c:v>13.1</c:v>
                </c:pt>
                <c:pt idx="234">
                  <c:v>4</c:v>
                </c:pt>
                <c:pt idx="235">
                  <c:v>13.1</c:v>
                </c:pt>
                <c:pt idx="236">
                  <c:v>4</c:v>
                </c:pt>
                <c:pt idx="237">
                  <c:v>13.1</c:v>
                </c:pt>
                <c:pt idx="238">
                  <c:v>4</c:v>
                </c:pt>
                <c:pt idx="239">
                  <c:v>13.1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8.6</c:v>
                </c:pt>
                <c:pt idx="253">
                  <c:v>8.6</c:v>
                </c:pt>
                <c:pt idx="254">
                  <c:v>4.0999999999999996</c:v>
                </c:pt>
                <c:pt idx="255">
                  <c:v>9.1</c:v>
                </c:pt>
                <c:pt idx="256">
                  <c:v>9.1</c:v>
                </c:pt>
                <c:pt idx="257">
                  <c:v>4.0999999999999996</c:v>
                </c:pt>
                <c:pt idx="258">
                  <c:v>9.1</c:v>
                </c:pt>
                <c:pt idx="259">
                  <c:v>4.0999999999999996</c:v>
                </c:pt>
                <c:pt idx="260">
                  <c:v>9.1</c:v>
                </c:pt>
                <c:pt idx="261">
                  <c:v>4.0999999999999996</c:v>
                </c:pt>
                <c:pt idx="262">
                  <c:v>9.1</c:v>
                </c:pt>
                <c:pt idx="263">
                  <c:v>3.8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12.9</c:v>
                </c:pt>
                <c:pt idx="270">
                  <c:v>14.9</c:v>
                </c:pt>
                <c:pt idx="271">
                  <c:v>12.9</c:v>
                </c:pt>
                <c:pt idx="272">
                  <c:v>14.9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4.5</c:v>
                </c:pt>
                <c:pt idx="282">
                  <c:v>5.5</c:v>
                </c:pt>
                <c:pt idx="283">
                  <c:v>4.5</c:v>
                </c:pt>
                <c:pt idx="284">
                  <c:v>5.5</c:v>
                </c:pt>
                <c:pt idx="285">
                  <c:v>4.5</c:v>
                </c:pt>
                <c:pt idx="286">
                  <c:v>5.5</c:v>
                </c:pt>
                <c:pt idx="287">
                  <c:v>4.5</c:v>
                </c:pt>
                <c:pt idx="288">
                  <c:v>5.5</c:v>
                </c:pt>
                <c:pt idx="289">
                  <c:v>4.5</c:v>
                </c:pt>
                <c:pt idx="290">
                  <c:v>5.5</c:v>
                </c:pt>
                <c:pt idx="291">
                  <c:v>4.5</c:v>
                </c:pt>
                <c:pt idx="292">
                  <c:v>5.5</c:v>
                </c:pt>
                <c:pt idx="293">
                  <c:v>4.5</c:v>
                </c:pt>
                <c:pt idx="294">
                  <c:v>5.5</c:v>
                </c:pt>
                <c:pt idx="295">
                  <c:v>4.5</c:v>
                </c:pt>
                <c:pt idx="296">
                  <c:v>5.5</c:v>
                </c:pt>
                <c:pt idx="312">
                  <c:v>9.5</c:v>
                </c:pt>
                <c:pt idx="313">
                  <c:v>9.5</c:v>
                </c:pt>
                <c:pt idx="314">
                  <c:v>4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9.1</c:v>
                </c:pt>
                <c:pt idx="319">
                  <c:v>9.1</c:v>
                </c:pt>
                <c:pt idx="320">
                  <c:v>4.0999999999999996</c:v>
                </c:pt>
                <c:pt idx="321">
                  <c:v>9.1</c:v>
                </c:pt>
                <c:pt idx="322">
                  <c:v>4</c:v>
                </c:pt>
                <c:pt idx="323">
                  <c:v>9.5</c:v>
                </c:pt>
                <c:pt idx="324">
                  <c:v>12.9</c:v>
                </c:pt>
                <c:pt idx="325">
                  <c:v>9.1</c:v>
                </c:pt>
                <c:pt idx="326">
                  <c:v>6.5</c:v>
                </c:pt>
                <c:pt idx="327">
                  <c:v>4.5</c:v>
                </c:pt>
                <c:pt idx="328">
                  <c:v>14</c:v>
                </c:pt>
                <c:pt idx="329">
                  <c:v>6.5</c:v>
                </c:pt>
                <c:pt idx="330">
                  <c:v>12.9</c:v>
                </c:pt>
                <c:pt idx="331">
                  <c:v>4.5</c:v>
                </c:pt>
                <c:pt idx="332">
                  <c:v>9.5</c:v>
                </c:pt>
                <c:pt idx="333">
                  <c:v>9.5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ED-42AE-86A2-B8A09CF16E6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headed_backup!$W$19:$W$93</c:f>
              <c:numCache>
                <c:formatCode>General</c:formatCode>
                <c:ptCount val="75"/>
                <c:pt idx="0">
                  <c:v>8.3959536742577185</c:v>
                </c:pt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1.18</c:v>
                </c:pt>
                <c:pt idx="34">
                  <c:v>1.85</c:v>
                </c:pt>
                <c:pt idx="35">
                  <c:v>2.8</c:v>
                </c:pt>
                <c:pt idx="36">
                  <c:v>2.8</c:v>
                </c:pt>
                <c:pt idx="37">
                  <c:v>4.04</c:v>
                </c:pt>
                <c:pt idx="38">
                  <c:v>4.0599999999999996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10.39</c:v>
                </c:pt>
                <c:pt idx="43">
                  <c:v>1.18</c:v>
                </c:pt>
                <c:pt idx="44">
                  <c:v>1.85</c:v>
                </c:pt>
                <c:pt idx="45">
                  <c:v>1.85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4.04</c:v>
                </c:pt>
                <c:pt idx="50">
                  <c:v>4.0599999999999996</c:v>
                </c:pt>
                <c:pt idx="51">
                  <c:v>4.7</c:v>
                </c:pt>
                <c:pt idx="52">
                  <c:v>4.7</c:v>
                </c:pt>
                <c:pt idx="53">
                  <c:v>10.39</c:v>
                </c:pt>
                <c:pt idx="54">
                  <c:v>10.39</c:v>
                </c:pt>
                <c:pt idx="55">
                  <c:v>1.18</c:v>
                </c:pt>
                <c:pt idx="56">
                  <c:v>1.85</c:v>
                </c:pt>
                <c:pt idx="57">
                  <c:v>4.04</c:v>
                </c:pt>
                <c:pt idx="58">
                  <c:v>4.0599999999999996</c:v>
                </c:pt>
                <c:pt idx="59">
                  <c:v>10.39</c:v>
                </c:pt>
                <c:pt idx="60">
                  <c:v>1.1000000000000001</c:v>
                </c:pt>
                <c:pt idx="61">
                  <c:v>1.56</c:v>
                </c:pt>
                <c:pt idx="62">
                  <c:v>2.85</c:v>
                </c:pt>
                <c:pt idx="63">
                  <c:v>2.85</c:v>
                </c:pt>
                <c:pt idx="64">
                  <c:v>3.53</c:v>
                </c:pt>
                <c:pt idx="65">
                  <c:v>4.13</c:v>
                </c:pt>
                <c:pt idx="66">
                  <c:v>4.13</c:v>
                </c:pt>
                <c:pt idx="67">
                  <c:v>4.7699999999999996</c:v>
                </c:pt>
                <c:pt idx="68">
                  <c:v>6.69</c:v>
                </c:pt>
                <c:pt idx="69">
                  <c:v>6.69</c:v>
                </c:pt>
                <c:pt idx="70">
                  <c:v>9.26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ED-42AE-86A2-B8A09CF16E6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ED-42AE-86A2-B8A09CF16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headed_backup!$CQ$19:$CQ$1274</c:f>
              <c:numCache>
                <c:formatCode>General</c:formatCode>
                <c:ptCount val="1256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F-4EBC-AAF7-CF5E668CAE3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9F-4EBC-AAF7-CF5E668CA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headed_backup!$CU$19:$CU$103</c:f>
              <c:numCache>
                <c:formatCode>General</c:formatCode>
                <c:ptCount val="85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1-4DD8-B43B-AE98E3F8883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headed_backup!$DA$19:$DA$103</c:f>
              <c:numCache>
                <c:formatCode>General</c:formatCode>
                <c:ptCount val="85"/>
                <c:pt idx="71">
                  <c:v>2.3528332898435282</c:v>
                </c:pt>
                <c:pt idx="72">
                  <c:v>2.443326877914433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1-4DD8-B43B-AE98E3F8883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A1-4DD8-B43B-AE98E3F8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headed_backup!$CW$19:$CW$103</c:f>
              <c:numCache>
                <c:formatCode>General</c:formatCode>
                <c:ptCount val="85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BC-436E-9E32-9BA4FD23348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headed_backup!$DC$19:$DC$103</c:f>
              <c:numCache>
                <c:formatCode>General</c:formatCode>
                <c:ptCount val="85"/>
                <c:pt idx="71">
                  <c:v>1.1836659892345631</c:v>
                </c:pt>
                <c:pt idx="72">
                  <c:v>1.2291916042051232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BC-436E-9E32-9BA4FD23348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BC-436E-9E32-9BA4FD233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headed_backup!$CU$165:$CU$191</c:f>
              <c:numCache>
                <c:formatCode>General</c:formatCode>
                <c:ptCount val="27"/>
                <c:pt idx="0">
                  <c:v>1.225569165623946</c:v>
                </c:pt>
                <c:pt idx="2">
                  <c:v>1.6466492454395782</c:v>
                </c:pt>
                <c:pt idx="3">
                  <c:v>1.1492110320426716</c:v>
                </c:pt>
                <c:pt idx="5">
                  <c:v>1.2492919484799965</c:v>
                </c:pt>
                <c:pt idx="6">
                  <c:v>1.0258198988853873</c:v>
                </c:pt>
                <c:pt idx="7">
                  <c:v>1.1857746057227556</c:v>
                </c:pt>
                <c:pt idx="10">
                  <c:v>1.0036837852778606</c:v>
                </c:pt>
                <c:pt idx="11">
                  <c:v>1.0650980029084989</c:v>
                </c:pt>
                <c:pt idx="14">
                  <c:v>1.2645047592598222</c:v>
                </c:pt>
                <c:pt idx="16">
                  <c:v>1.2272571830982304</c:v>
                </c:pt>
                <c:pt idx="17">
                  <c:v>0.97260860076002498</c:v>
                </c:pt>
                <c:pt idx="19">
                  <c:v>0.96416295721336365</c:v>
                </c:pt>
                <c:pt idx="20">
                  <c:v>1.0082013097225628</c:v>
                </c:pt>
                <c:pt idx="24">
                  <c:v>1.263122369811867</c:v>
                </c:pt>
                <c:pt idx="25">
                  <c:v>0.9367326404971309</c:v>
                </c:pt>
                <c:pt idx="26">
                  <c:v>1.0799976325731626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C-401C-9A78-B18AF9D338F5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headed_backup!$DA$165:$DA$191</c:f>
              <c:numCache>
                <c:formatCode>General</c:formatCode>
                <c:ptCount val="27"/>
                <c:pt idx="1">
                  <c:v>1.6353994946085937</c:v>
                </c:pt>
                <c:pt idx="4">
                  <c:v>1.2977932364143214</c:v>
                </c:pt>
                <c:pt idx="8">
                  <c:v>1.0748023074035522</c:v>
                </c:pt>
                <c:pt idx="9">
                  <c:v>1.455820984567487</c:v>
                </c:pt>
                <c:pt idx="12">
                  <c:v>0.77877380307996769</c:v>
                </c:pt>
                <c:pt idx="13">
                  <c:v>1.1204472084630297</c:v>
                </c:pt>
                <c:pt idx="15">
                  <c:v>1.6052395746292354</c:v>
                </c:pt>
                <c:pt idx="18">
                  <c:v>1.2522004464825935</c:v>
                </c:pt>
                <c:pt idx="21">
                  <c:v>1.3457994703813709</c:v>
                </c:pt>
                <c:pt idx="22">
                  <c:v>1.3457994703813709</c:v>
                </c:pt>
                <c:pt idx="23">
                  <c:v>1.3503926426352324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C-401C-9A78-B18AF9D338F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headed_backup!$CU$212:$CU$449</c:f>
              <c:numCache>
                <c:formatCode>General</c:formatCode>
                <c:ptCount val="238"/>
                <c:pt idx="8">
                  <c:v>1.3969859269328866</c:v>
                </c:pt>
                <c:pt idx="9">
                  <c:v>1.1134799594082712</c:v>
                </c:pt>
                <c:pt idx="11">
                  <c:v>1.358105561906104</c:v>
                </c:pt>
                <c:pt idx="12">
                  <c:v>1.4638998500136373</c:v>
                </c:pt>
                <c:pt idx="15">
                  <c:v>1.2849691500444007</c:v>
                </c:pt>
                <c:pt idx="19">
                  <c:v>1.9019036068701081</c:v>
                </c:pt>
                <c:pt idx="20">
                  <c:v>1.6585658139235577</c:v>
                </c:pt>
                <c:pt idx="21">
                  <c:v>1.392282311688124</c:v>
                </c:pt>
                <c:pt idx="22">
                  <c:v>1.2591811613326145</c:v>
                </c:pt>
                <c:pt idx="23">
                  <c:v>1.4893706384463696</c:v>
                </c:pt>
                <c:pt idx="25">
                  <c:v>1.3817749686699512</c:v>
                </c:pt>
                <c:pt idx="26">
                  <c:v>1.1704446793439585</c:v>
                </c:pt>
                <c:pt idx="27">
                  <c:v>1.7749963445318506</c:v>
                </c:pt>
                <c:pt idx="28">
                  <c:v>1.6101312326699513</c:v>
                </c:pt>
                <c:pt idx="29">
                  <c:v>1.9695008503860747</c:v>
                </c:pt>
                <c:pt idx="31">
                  <c:v>1.7475574825592937</c:v>
                </c:pt>
                <c:pt idx="36">
                  <c:v>1.4644210077964666</c:v>
                </c:pt>
                <c:pt idx="37">
                  <c:v>1.7518995465387628</c:v>
                </c:pt>
                <c:pt idx="42">
                  <c:v>2.0214170272337286</c:v>
                </c:pt>
                <c:pt idx="43">
                  <c:v>1.8768022880578519</c:v>
                </c:pt>
                <c:pt idx="48">
                  <c:v>1.6762495741046421</c:v>
                </c:pt>
                <c:pt idx="49">
                  <c:v>1.8062284359078113</c:v>
                </c:pt>
                <c:pt idx="54">
                  <c:v>1.5955182052279357</c:v>
                </c:pt>
                <c:pt idx="56">
                  <c:v>1.1259394815356814</c:v>
                </c:pt>
                <c:pt idx="60">
                  <c:v>1.1776103187568816</c:v>
                </c:pt>
                <c:pt idx="63">
                  <c:v>1.3763102007627221</c:v>
                </c:pt>
                <c:pt idx="67">
                  <c:v>1.3649163783859324</c:v>
                </c:pt>
                <c:pt idx="69">
                  <c:v>0.81001138963256536</c:v>
                </c:pt>
                <c:pt idx="71">
                  <c:v>0.92052495066192941</c:v>
                </c:pt>
                <c:pt idx="73">
                  <c:v>1.0356151544498595</c:v>
                </c:pt>
                <c:pt idx="75">
                  <c:v>1.8390393434000243</c:v>
                </c:pt>
                <c:pt idx="76">
                  <c:v>1.6572818324293288</c:v>
                </c:pt>
                <c:pt idx="77">
                  <c:v>1.6131871866776055</c:v>
                </c:pt>
                <c:pt idx="78">
                  <c:v>1.6201617118162046</c:v>
                </c:pt>
                <c:pt idx="87">
                  <c:v>1.8054709650544303</c:v>
                </c:pt>
                <c:pt idx="88">
                  <c:v>1.8677285845390659</c:v>
                </c:pt>
                <c:pt idx="91">
                  <c:v>1.4605943328712707</c:v>
                </c:pt>
                <c:pt idx="92">
                  <c:v>1.4956926848165499</c:v>
                </c:pt>
                <c:pt idx="95">
                  <c:v>1.138404725831345</c:v>
                </c:pt>
                <c:pt idx="96">
                  <c:v>1.1653553762193458</c:v>
                </c:pt>
                <c:pt idx="99">
                  <c:v>1.3826741523751238</c:v>
                </c:pt>
                <c:pt idx="100">
                  <c:v>1.3564374511915354</c:v>
                </c:pt>
                <c:pt idx="101">
                  <c:v>1.4185824218381531</c:v>
                </c:pt>
                <c:pt idx="108">
                  <c:v>1.4596088729345433</c:v>
                </c:pt>
                <c:pt idx="110">
                  <c:v>0.91498469141284478</c:v>
                </c:pt>
                <c:pt idx="112">
                  <c:v>0.93791006665785359</c:v>
                </c:pt>
                <c:pt idx="114">
                  <c:v>1.4321594010787457</c:v>
                </c:pt>
                <c:pt idx="116">
                  <c:v>1.6356284688674503</c:v>
                </c:pt>
                <c:pt idx="117">
                  <c:v>1.1040775899972763</c:v>
                </c:pt>
                <c:pt idx="119">
                  <c:v>1.2808577222300848</c:v>
                </c:pt>
                <c:pt idx="121">
                  <c:v>1.4154260804349856</c:v>
                </c:pt>
                <c:pt idx="123">
                  <c:v>1.1915791690728934</c:v>
                </c:pt>
                <c:pt idx="124">
                  <c:v>1.1697553747675289</c:v>
                </c:pt>
                <c:pt idx="127">
                  <c:v>1.1211859345052924</c:v>
                </c:pt>
                <c:pt idx="128">
                  <c:v>1.1394053233213677</c:v>
                </c:pt>
                <c:pt idx="131">
                  <c:v>0.74775564447069376</c:v>
                </c:pt>
                <c:pt idx="132">
                  <c:v>0.74286383936633327</c:v>
                </c:pt>
                <c:pt idx="135">
                  <c:v>1.5489495283908705</c:v>
                </c:pt>
                <c:pt idx="136">
                  <c:v>1.592350856628868</c:v>
                </c:pt>
                <c:pt idx="137">
                  <c:v>1.4368641121280543</c:v>
                </c:pt>
                <c:pt idx="138">
                  <c:v>1.3868862299670786</c:v>
                </c:pt>
                <c:pt idx="139">
                  <c:v>1.2927149427470916</c:v>
                </c:pt>
                <c:pt idx="140">
                  <c:v>1.5963886352920298</c:v>
                </c:pt>
                <c:pt idx="142">
                  <c:v>1.0569642492667561</c:v>
                </c:pt>
                <c:pt idx="144">
                  <c:v>0.6762959582481799</c:v>
                </c:pt>
                <c:pt idx="146">
                  <c:v>1.008028750577413</c:v>
                </c:pt>
                <c:pt idx="148">
                  <c:v>1.3394776532788442</c:v>
                </c:pt>
                <c:pt idx="150">
                  <c:v>0.94753660934956419</c:v>
                </c:pt>
                <c:pt idx="152">
                  <c:v>1.0756848664437799</c:v>
                </c:pt>
                <c:pt idx="154">
                  <c:v>1.2320270071792656</c:v>
                </c:pt>
                <c:pt idx="156">
                  <c:v>1.549123414564981</c:v>
                </c:pt>
                <c:pt idx="158">
                  <c:v>1.0293098714399596</c:v>
                </c:pt>
                <c:pt idx="160">
                  <c:v>0.9854100070923747</c:v>
                </c:pt>
                <c:pt idx="162">
                  <c:v>2.7668023552772643</c:v>
                </c:pt>
                <c:pt idx="163">
                  <c:v>2.934133580701908</c:v>
                </c:pt>
                <c:pt idx="168">
                  <c:v>2.532004102831912</c:v>
                </c:pt>
                <c:pt idx="169">
                  <c:v>2.6369174561121116</c:v>
                </c:pt>
                <c:pt idx="173">
                  <c:v>2.1115754540609921</c:v>
                </c:pt>
                <c:pt idx="174">
                  <c:v>2.3031448610076581</c:v>
                </c:pt>
                <c:pt idx="179">
                  <c:v>2.1049069152958855</c:v>
                </c:pt>
                <c:pt idx="180">
                  <c:v>2.2205679862486321</c:v>
                </c:pt>
                <c:pt idx="181">
                  <c:v>1.6842236249136839</c:v>
                </c:pt>
                <c:pt idx="184">
                  <c:v>1.4962356997225408</c:v>
                </c:pt>
                <c:pt idx="187">
                  <c:v>1.3194133857352812</c:v>
                </c:pt>
                <c:pt idx="190">
                  <c:v>1.0724109928974139</c:v>
                </c:pt>
                <c:pt idx="193">
                  <c:v>1.1920751277688835</c:v>
                </c:pt>
                <c:pt idx="195">
                  <c:v>1.1780867637368739</c:v>
                </c:pt>
                <c:pt idx="196">
                  <c:v>1.2257314455075607</c:v>
                </c:pt>
                <c:pt idx="198">
                  <c:v>1.1750757483839116</c:v>
                </c:pt>
                <c:pt idx="199">
                  <c:v>1.3019412546037261</c:v>
                </c:pt>
                <c:pt idx="204">
                  <c:v>0.83592963820390698</c:v>
                </c:pt>
                <c:pt idx="207">
                  <c:v>0.55205944197966095</c:v>
                </c:pt>
                <c:pt idx="210">
                  <c:v>1.8712130928348991</c:v>
                </c:pt>
                <c:pt idx="211">
                  <c:v>1.828802295834536</c:v>
                </c:pt>
                <c:pt idx="214">
                  <c:v>1.029499805763189</c:v>
                </c:pt>
                <c:pt idx="216">
                  <c:v>1.4461652827060305</c:v>
                </c:pt>
                <c:pt idx="218">
                  <c:v>1.0544550371119625</c:v>
                </c:pt>
                <c:pt idx="220">
                  <c:v>0.79839866095245215</c:v>
                </c:pt>
                <c:pt idx="222">
                  <c:v>1.3547088906311604</c:v>
                </c:pt>
                <c:pt idx="223">
                  <c:v>1.4726317169163174</c:v>
                </c:pt>
                <c:pt idx="226">
                  <c:v>0.8642990042491514</c:v>
                </c:pt>
                <c:pt idx="227">
                  <c:v>0.91364035374588859</c:v>
                </c:pt>
                <c:pt idx="230">
                  <c:v>1.5717122916807</c:v>
                </c:pt>
                <c:pt idx="231">
                  <c:v>1.6360866860192729</c:v>
                </c:pt>
                <c:pt idx="234">
                  <c:v>1.2773447721685958</c:v>
                </c:pt>
                <c:pt idx="235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2C-401C-9A78-B18AF9D338F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headed_backup!$DA$212:$DA$449</c:f>
              <c:numCache>
                <c:formatCode>General</c:formatCode>
                <c:ptCount val="238"/>
                <c:pt idx="13">
                  <c:v>1.6460556821950687</c:v>
                </c:pt>
                <c:pt idx="24">
                  <c:v>1.8089684795295491</c:v>
                </c:pt>
                <c:pt idx="32">
                  <c:v>1.856778540561977</c:v>
                </c:pt>
                <c:pt idx="33">
                  <c:v>1.9336107560335067</c:v>
                </c:pt>
                <c:pt idx="34">
                  <c:v>1.8183624328262118</c:v>
                </c:pt>
                <c:pt idx="35">
                  <c:v>1.8375704866940943</c:v>
                </c:pt>
                <c:pt idx="38">
                  <c:v>1.9832832128026687</c:v>
                </c:pt>
                <c:pt idx="39">
                  <c:v>2.1708095946524519</c:v>
                </c:pt>
                <c:pt idx="40">
                  <c:v>2.4582402550876643</c:v>
                </c:pt>
                <c:pt idx="41">
                  <c:v>2.3883510004126491</c:v>
                </c:pt>
                <c:pt idx="44">
                  <c:v>2.3041574627484738</c:v>
                </c:pt>
                <c:pt idx="45">
                  <c:v>2.1598119902405912</c:v>
                </c:pt>
                <c:pt idx="46">
                  <c:v>2.7386157194045646</c:v>
                </c:pt>
                <c:pt idx="47">
                  <c:v>2.6444397211552655</c:v>
                </c:pt>
                <c:pt idx="50">
                  <c:v>2.0614005199370671</c:v>
                </c:pt>
                <c:pt idx="51">
                  <c:v>2.2135974214669707</c:v>
                </c:pt>
                <c:pt idx="52">
                  <c:v>2.4359566257244731</c:v>
                </c:pt>
                <c:pt idx="53">
                  <c:v>2.3464502423270477</c:v>
                </c:pt>
                <c:pt idx="55">
                  <c:v>1.6139869347016558</c:v>
                </c:pt>
                <c:pt idx="57">
                  <c:v>1.0617977042412712</c:v>
                </c:pt>
                <c:pt idx="58">
                  <c:v>1.3503150456948545</c:v>
                </c:pt>
                <c:pt idx="59">
                  <c:v>1.2114030022601903</c:v>
                </c:pt>
                <c:pt idx="61">
                  <c:v>1.2513247658643978</c:v>
                </c:pt>
                <c:pt idx="62">
                  <c:v>1.5049553082665195</c:v>
                </c:pt>
                <c:pt idx="64">
                  <c:v>1.2838814274188568</c:v>
                </c:pt>
                <c:pt idx="65">
                  <c:v>1.2590855307150328</c:v>
                </c:pt>
                <c:pt idx="66">
                  <c:v>1.43924293656133</c:v>
                </c:pt>
                <c:pt idx="68">
                  <c:v>1.6063308950541133</c:v>
                </c:pt>
                <c:pt idx="70">
                  <c:v>1.1713310769181029</c:v>
                </c:pt>
                <c:pt idx="72">
                  <c:v>1.2562768305586147</c:v>
                </c:pt>
                <c:pt idx="74">
                  <c:v>1.3541745362490702</c:v>
                </c:pt>
                <c:pt idx="79">
                  <c:v>1.82784459240108</c:v>
                </c:pt>
                <c:pt idx="80">
                  <c:v>1.8391049780038722</c:v>
                </c:pt>
                <c:pt idx="81">
                  <c:v>1.9077931730661086</c:v>
                </c:pt>
                <c:pt idx="82">
                  <c:v>1.7236171863934053</c:v>
                </c:pt>
                <c:pt idx="83">
                  <c:v>1.9404936547645257</c:v>
                </c:pt>
                <c:pt idx="84">
                  <c:v>2.0072616038610884</c:v>
                </c:pt>
                <c:pt idx="85">
                  <c:v>2.2236759501220891</c:v>
                </c:pt>
                <c:pt idx="86">
                  <c:v>1.9213175916594305</c:v>
                </c:pt>
                <c:pt idx="89">
                  <c:v>2.2833360622400622</c:v>
                </c:pt>
                <c:pt idx="90">
                  <c:v>2.3970089307971794</c:v>
                </c:pt>
                <c:pt idx="93">
                  <c:v>1.7873571707283726</c:v>
                </c:pt>
                <c:pt idx="94">
                  <c:v>1.94348082358257</c:v>
                </c:pt>
                <c:pt idx="97">
                  <c:v>1.4186878203980968</c:v>
                </c:pt>
                <c:pt idx="98">
                  <c:v>1.6446863940483587</c:v>
                </c:pt>
                <c:pt idx="102">
                  <c:v>1.3186172092729258</c:v>
                </c:pt>
                <c:pt idx="103">
                  <c:v>1.4986693583302733</c:v>
                </c:pt>
                <c:pt idx="104">
                  <c:v>1.7874689706362066</c:v>
                </c:pt>
                <c:pt idx="105">
                  <c:v>1.8149834332410735</c:v>
                </c:pt>
                <c:pt idx="106">
                  <c:v>2.1228194150362767</c:v>
                </c:pt>
                <c:pt idx="107">
                  <c:v>2.3338738280128664</c:v>
                </c:pt>
                <c:pt idx="109">
                  <c:v>1.5710468122095345</c:v>
                </c:pt>
                <c:pt idx="111">
                  <c:v>1.1363803486620696</c:v>
                </c:pt>
                <c:pt idx="113">
                  <c:v>1.1894844324913778</c:v>
                </c:pt>
                <c:pt idx="115">
                  <c:v>1.3973460333516139</c:v>
                </c:pt>
                <c:pt idx="118">
                  <c:v>1.2440728666081811</c:v>
                </c:pt>
                <c:pt idx="120">
                  <c:v>1.4971936540610968</c:v>
                </c:pt>
                <c:pt idx="122">
                  <c:v>1.5434167366445322</c:v>
                </c:pt>
                <c:pt idx="125">
                  <c:v>1.6982641257732274</c:v>
                </c:pt>
                <c:pt idx="126">
                  <c:v>1.8155185532534488</c:v>
                </c:pt>
                <c:pt idx="129">
                  <c:v>1.3115617934430026</c:v>
                </c:pt>
                <c:pt idx="130">
                  <c:v>1.6603365473541258</c:v>
                </c:pt>
                <c:pt idx="133">
                  <c:v>0.95796747993591125</c:v>
                </c:pt>
                <c:pt idx="134">
                  <c:v>1.3194912606521252</c:v>
                </c:pt>
                <c:pt idx="141">
                  <c:v>1.9571780539059229</c:v>
                </c:pt>
                <c:pt idx="143">
                  <c:v>1.6690368485066298</c:v>
                </c:pt>
                <c:pt idx="145">
                  <c:v>1.2318469896840969</c:v>
                </c:pt>
                <c:pt idx="147">
                  <c:v>1.484875890338786</c:v>
                </c:pt>
                <c:pt idx="149">
                  <c:v>2.3047517444972305</c:v>
                </c:pt>
                <c:pt idx="151">
                  <c:v>1.5206207882635787</c:v>
                </c:pt>
                <c:pt idx="153">
                  <c:v>1.6970283766363055</c:v>
                </c:pt>
                <c:pt idx="155">
                  <c:v>1.9689290757805624</c:v>
                </c:pt>
                <c:pt idx="157">
                  <c:v>2.4818328297426966</c:v>
                </c:pt>
                <c:pt idx="159">
                  <c:v>1.9189222315857666</c:v>
                </c:pt>
                <c:pt idx="161">
                  <c:v>1.4570935247342094</c:v>
                </c:pt>
                <c:pt idx="164">
                  <c:v>2.3698771228746178</c:v>
                </c:pt>
                <c:pt idx="165">
                  <c:v>3.2401840760672038</c:v>
                </c:pt>
                <c:pt idx="166">
                  <c:v>2.9224686635449011</c:v>
                </c:pt>
                <c:pt idx="167">
                  <c:v>3.9007223111414722</c:v>
                </c:pt>
                <c:pt idx="170">
                  <c:v>2.9352047561738659</c:v>
                </c:pt>
                <c:pt idx="171">
                  <c:v>3.6290967896398789</c:v>
                </c:pt>
                <c:pt idx="172">
                  <c:v>3.3338667883001012</c:v>
                </c:pt>
                <c:pt idx="175">
                  <c:v>2.3986355660050145</c:v>
                </c:pt>
                <c:pt idx="176">
                  <c:v>2.6884096648583249</c:v>
                </c:pt>
                <c:pt idx="177">
                  <c:v>2.7924997043954289</c:v>
                </c:pt>
                <c:pt idx="178">
                  <c:v>2.9556646784895912</c:v>
                </c:pt>
                <c:pt idx="182">
                  <c:v>2.0657822514428021</c:v>
                </c:pt>
                <c:pt idx="183">
                  <c:v>2.3306453144673411</c:v>
                </c:pt>
                <c:pt idx="185">
                  <c:v>1.8611828164544308</c:v>
                </c:pt>
                <c:pt idx="186">
                  <c:v>2.8079296323692664</c:v>
                </c:pt>
                <c:pt idx="188">
                  <c:v>1.5194412968967341</c:v>
                </c:pt>
                <c:pt idx="189">
                  <c:v>1.5576906050232835</c:v>
                </c:pt>
                <c:pt idx="191">
                  <c:v>1.2698053240076526</c:v>
                </c:pt>
                <c:pt idx="192">
                  <c:v>1.4621260776285192</c:v>
                </c:pt>
                <c:pt idx="194">
                  <c:v>1.4139539769720177</c:v>
                </c:pt>
                <c:pt idx="197">
                  <c:v>1.6426498729849517</c:v>
                </c:pt>
                <c:pt idx="200">
                  <c:v>1.8239105992369686</c:v>
                </c:pt>
                <c:pt idx="201">
                  <c:v>1.2347592325690142</c:v>
                </c:pt>
                <c:pt idx="202">
                  <c:v>1.9881084721453528</c:v>
                </c:pt>
                <c:pt idx="203">
                  <c:v>2.0269272380347223</c:v>
                </c:pt>
                <c:pt idx="205">
                  <c:v>0.9227648214974592</c:v>
                </c:pt>
                <c:pt idx="206">
                  <c:v>1.175019755063784</c:v>
                </c:pt>
                <c:pt idx="208">
                  <c:v>0.7619369171435395</c:v>
                </c:pt>
                <c:pt idx="209">
                  <c:v>0.85750356169367992</c:v>
                </c:pt>
                <c:pt idx="212">
                  <c:v>1.8953979767016702</c:v>
                </c:pt>
                <c:pt idx="213">
                  <c:v>2.2447171992350321</c:v>
                </c:pt>
                <c:pt idx="215">
                  <c:v>1.3273452162350488</c:v>
                </c:pt>
                <c:pt idx="217">
                  <c:v>1.6555682834433088</c:v>
                </c:pt>
                <c:pt idx="219">
                  <c:v>1.417064822746245</c:v>
                </c:pt>
                <c:pt idx="221">
                  <c:v>0.93945017082886029</c:v>
                </c:pt>
                <c:pt idx="224">
                  <c:v>1.6408489371767041</c:v>
                </c:pt>
                <c:pt idx="225">
                  <c:v>1.6642603569394416</c:v>
                </c:pt>
                <c:pt idx="228">
                  <c:v>1.0938128811765657</c:v>
                </c:pt>
                <c:pt idx="229">
                  <c:v>1.3018488380744442</c:v>
                </c:pt>
                <c:pt idx="232">
                  <c:v>1.7887440939579493</c:v>
                </c:pt>
                <c:pt idx="233">
                  <c:v>1.7774258058598467</c:v>
                </c:pt>
                <c:pt idx="236">
                  <c:v>1.4145583723311854</c:v>
                </c:pt>
                <c:pt idx="237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2C-401C-9A78-B18AF9D338F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2C-401C-9A78-B18AF9D338F5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headed_backup!$CU$192:$CU$211</c:f>
              <c:numCache>
                <c:formatCode>General</c:formatCode>
                <c:ptCount val="20"/>
                <c:pt idx="0">
                  <c:v>2.6807730162772905</c:v>
                </c:pt>
                <c:pt idx="1">
                  <c:v>2.6459783222607123</c:v>
                </c:pt>
                <c:pt idx="2">
                  <c:v>2.1667604910323823</c:v>
                </c:pt>
                <c:pt idx="3">
                  <c:v>2.2917050740919138</c:v>
                </c:pt>
                <c:pt idx="4">
                  <c:v>2.7923113189478994</c:v>
                </c:pt>
                <c:pt idx="5">
                  <c:v>2.9110887407240416</c:v>
                </c:pt>
                <c:pt idx="6">
                  <c:v>3.0215309048316823</c:v>
                </c:pt>
                <c:pt idx="7">
                  <c:v>2.9673517299864245</c:v>
                </c:pt>
                <c:pt idx="10">
                  <c:v>2.0282460326686236</c:v>
                </c:pt>
                <c:pt idx="11">
                  <c:v>2.0324136615028738</c:v>
                </c:pt>
                <c:pt idx="12">
                  <c:v>2.9465135858151714</c:v>
                </c:pt>
                <c:pt idx="13">
                  <c:v>2.9340106993124198</c:v>
                </c:pt>
                <c:pt idx="14">
                  <c:v>3.0236147192488074</c:v>
                </c:pt>
                <c:pt idx="15">
                  <c:v>3.0048603894946799</c:v>
                </c:pt>
                <c:pt idx="18">
                  <c:v>1.9879589539375342</c:v>
                </c:pt>
                <c:pt idx="19">
                  <c:v>2.0087970981087873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2C-401C-9A78-B18AF9D338F5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headed_backup!$DA$192:$DA$211</c:f>
              <c:numCache>
                <c:formatCode>General</c:formatCode>
                <c:ptCount val="20"/>
                <c:pt idx="8">
                  <c:v>3.0048603894946799</c:v>
                </c:pt>
                <c:pt idx="9">
                  <c:v>2.9965251318261785</c:v>
                </c:pt>
                <c:pt idx="16">
                  <c:v>3.0173632759974316</c:v>
                </c:pt>
                <c:pt idx="17">
                  <c:v>3.0111118327460558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2C-401C-9A78-B18AF9D3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headed_backup!$CR$52:$CR$1274</c:f>
              <c:numCache>
                <c:formatCode>General</c:formatCode>
                <c:ptCount val="1223"/>
                <c:pt idx="0">
                  <c:v>1.121877261169794</c:v>
                </c:pt>
                <c:pt idx="1">
                  <c:v>1.1998368896021039</c:v>
                </c:pt>
                <c:pt idx="2">
                  <c:v>1.2379464417646227</c:v>
                </c:pt>
                <c:pt idx="3">
                  <c:v>1.1853797138765283</c:v>
                </c:pt>
                <c:pt idx="4">
                  <c:v>0.95155081061725866</c:v>
                </c:pt>
                <c:pt idx="5">
                  <c:v>1.1513943056540974</c:v>
                </c:pt>
                <c:pt idx="6">
                  <c:v>1.1806252210562127</c:v>
                </c:pt>
                <c:pt idx="7">
                  <c:v>1.3657607623619461</c:v>
                </c:pt>
                <c:pt idx="8">
                  <c:v>1.2393430683283218</c:v>
                </c:pt>
                <c:pt idx="9">
                  <c:v>1.2156689397553775</c:v>
                </c:pt>
                <c:pt idx="12">
                  <c:v>1.5595184773545239</c:v>
                </c:pt>
                <c:pt idx="13">
                  <c:v>1.4780071547414189</c:v>
                </c:pt>
                <c:pt idx="14">
                  <c:v>1.5118027134906338</c:v>
                </c:pt>
                <c:pt idx="15">
                  <c:v>1.462792979371798</c:v>
                </c:pt>
                <c:pt idx="16">
                  <c:v>1.3069168110853688</c:v>
                </c:pt>
                <c:pt idx="17">
                  <c:v>1.6633962074813795</c:v>
                </c:pt>
                <c:pt idx="18">
                  <c:v>1.4916330668423277</c:v>
                </c:pt>
                <c:pt idx="19">
                  <c:v>1.4864600348804182</c:v>
                </c:pt>
                <c:pt idx="20">
                  <c:v>1.3389539545467144</c:v>
                </c:pt>
                <c:pt idx="21">
                  <c:v>1.462886612654708</c:v>
                </c:pt>
                <c:pt idx="22">
                  <c:v>1.6594714708343867</c:v>
                </c:pt>
                <c:pt idx="23">
                  <c:v>1.8118062019953518</c:v>
                </c:pt>
                <c:pt idx="24">
                  <c:v>1.5309604404548034</c:v>
                </c:pt>
                <c:pt idx="25">
                  <c:v>1.7159791174041488</c:v>
                </c:pt>
                <c:pt idx="26">
                  <c:v>1.6549322135268125</c:v>
                </c:pt>
                <c:pt idx="27">
                  <c:v>1.3632451207336602</c:v>
                </c:pt>
                <c:pt idx="28">
                  <c:v>1.4204803422427006</c:v>
                </c:pt>
                <c:pt idx="29">
                  <c:v>1.3192185620272767</c:v>
                </c:pt>
                <c:pt idx="30">
                  <c:v>1.433933219594866</c:v>
                </c:pt>
                <c:pt idx="31">
                  <c:v>1.4782390424361687</c:v>
                </c:pt>
                <c:pt idx="32">
                  <c:v>1.6299079458025423</c:v>
                </c:pt>
                <c:pt idx="33">
                  <c:v>1.5001260484786865</c:v>
                </c:pt>
                <c:pt idx="34">
                  <c:v>1.4954634150959114</c:v>
                </c:pt>
                <c:pt idx="35">
                  <c:v>1.6500544563540349</c:v>
                </c:pt>
                <c:pt idx="36">
                  <c:v>1.6500544563540349</c:v>
                </c:pt>
                <c:pt idx="37">
                  <c:v>1.6487439106558772</c:v>
                </c:pt>
                <c:pt idx="38">
                  <c:v>1.3702187218050508</c:v>
                </c:pt>
                <c:pt idx="39">
                  <c:v>1.3661223216497842</c:v>
                </c:pt>
                <c:pt idx="40">
                  <c:v>1.2379438411590769</c:v>
                </c:pt>
                <c:pt idx="41">
                  <c:v>1.4653825476444258</c:v>
                </c:pt>
                <c:pt idx="42">
                  <c:v>1.0724330257730104</c:v>
                </c:pt>
                <c:pt idx="43">
                  <c:v>1.4821353465266294</c:v>
                </c:pt>
                <c:pt idx="44">
                  <c:v>1.4709480943819242</c:v>
                </c:pt>
                <c:pt idx="45">
                  <c:v>1.3186099499673773</c:v>
                </c:pt>
                <c:pt idx="46">
                  <c:v>1.793169919181012</c:v>
                </c:pt>
                <c:pt idx="47">
                  <c:v>0.92555359594594022</c:v>
                </c:pt>
                <c:pt idx="48">
                  <c:v>1.0386003539475714</c:v>
                </c:pt>
                <c:pt idx="49">
                  <c:v>1.2673692173920306</c:v>
                </c:pt>
                <c:pt idx="50">
                  <c:v>1.4251104346911909</c:v>
                </c:pt>
                <c:pt idx="51">
                  <c:v>1.6808276036174601</c:v>
                </c:pt>
                <c:pt idx="60">
                  <c:v>0.80409497946677988</c:v>
                </c:pt>
                <c:pt idx="61">
                  <c:v>0.82013855883724562</c:v>
                </c:pt>
                <c:pt idx="62">
                  <c:v>1.2021807798100808</c:v>
                </c:pt>
                <c:pt idx="63">
                  <c:v>0.97816940092545301</c:v>
                </c:pt>
                <c:pt idx="64">
                  <c:v>1.2586178925728151</c:v>
                </c:pt>
                <c:pt idx="66">
                  <c:v>0.98110685664411379</c:v>
                </c:pt>
                <c:pt idx="67">
                  <c:v>1.0487505984287993</c:v>
                </c:pt>
                <c:pt idx="68">
                  <c:v>1.0748032245531951</c:v>
                </c:pt>
                <c:pt idx="69">
                  <c:v>0.99828830815771896</c:v>
                </c:pt>
                <c:pt idx="70">
                  <c:v>0.9769003202032982</c:v>
                </c:pt>
                <c:pt idx="71">
                  <c:v>1.1921334586493271</c:v>
                </c:pt>
                <c:pt idx="72">
                  <c:v>1.2330838124645049</c:v>
                </c:pt>
                <c:pt idx="73">
                  <c:v>1.282416942736895</c:v>
                </c:pt>
                <c:pt idx="74">
                  <c:v>1.2211258658072901</c:v>
                </c:pt>
                <c:pt idx="75">
                  <c:v>0.91310238557343271</c:v>
                </c:pt>
                <c:pt idx="76">
                  <c:v>0.93081825114400285</c:v>
                </c:pt>
                <c:pt idx="77">
                  <c:v>1.1425483020450971</c:v>
                </c:pt>
                <c:pt idx="78">
                  <c:v>1.276229936668285</c:v>
                </c:pt>
                <c:pt idx="79">
                  <c:v>1.317244290552404</c:v>
                </c:pt>
                <c:pt idx="80">
                  <c:v>1.0094326350055061</c:v>
                </c:pt>
                <c:pt idx="81">
                  <c:v>1.1186948523610185</c:v>
                </c:pt>
                <c:pt idx="82">
                  <c:v>1.1275778761630597</c:v>
                </c:pt>
                <c:pt idx="83">
                  <c:v>1.1899830557976832</c:v>
                </c:pt>
                <c:pt idx="84">
                  <c:v>1.0694592128006695</c:v>
                </c:pt>
                <c:pt idx="85">
                  <c:v>1.1775656452638794</c:v>
                </c:pt>
                <c:pt idx="86">
                  <c:v>1.1123266588575653</c:v>
                </c:pt>
                <c:pt idx="87">
                  <c:v>1.1269337764078953</c:v>
                </c:pt>
                <c:pt idx="88">
                  <c:v>1.1221539038315145</c:v>
                </c:pt>
                <c:pt idx="89">
                  <c:v>1.3078849210171859</c:v>
                </c:pt>
                <c:pt idx="90">
                  <c:v>1.4007274122258497</c:v>
                </c:pt>
                <c:pt idx="91">
                  <c:v>0.99736422977580386</c:v>
                </c:pt>
                <c:pt idx="92">
                  <c:v>1.0520214823303664</c:v>
                </c:pt>
                <c:pt idx="93">
                  <c:v>0.97318154685335856</c:v>
                </c:pt>
                <c:pt idx="94">
                  <c:v>1.0046444472606173</c:v>
                </c:pt>
                <c:pt idx="95">
                  <c:v>1.0330895299523886</c:v>
                </c:pt>
                <c:pt idx="96">
                  <c:v>1.0452859834815846</c:v>
                </c:pt>
                <c:pt idx="97">
                  <c:v>0.86568447721291919</c:v>
                </c:pt>
                <c:pt idx="98">
                  <c:v>0.84349061145916415</c:v>
                </c:pt>
                <c:pt idx="99">
                  <c:v>0.72336424582212799</c:v>
                </c:pt>
                <c:pt idx="100">
                  <c:v>0.75208681135225364</c:v>
                </c:pt>
                <c:pt idx="113">
                  <c:v>1.0049803374710342</c:v>
                </c:pt>
                <c:pt idx="114">
                  <c:v>1.336765961716297</c:v>
                </c:pt>
                <c:pt idx="115">
                  <c:v>1.3502706830387621</c:v>
                </c:pt>
                <c:pt idx="116">
                  <c:v>1.0412218156152346</c:v>
                </c:pt>
                <c:pt idx="117">
                  <c:v>1.1716971921552939</c:v>
                </c:pt>
                <c:pt idx="118">
                  <c:v>1.131898315070766</c:v>
                </c:pt>
                <c:pt idx="119">
                  <c:v>1.1972859454860088</c:v>
                </c:pt>
                <c:pt idx="120">
                  <c:v>1.1825979304836267</c:v>
                </c:pt>
                <c:pt idx="121">
                  <c:v>1.1802441564682067</c:v>
                </c:pt>
                <c:pt idx="122">
                  <c:v>1.3701259564751176</c:v>
                </c:pt>
                <c:pt idx="123">
                  <c:v>1.2158256317980205</c:v>
                </c:pt>
                <c:pt idx="124">
                  <c:v>1.1078654557321155</c:v>
                </c:pt>
                <c:pt idx="125">
                  <c:v>0.88558461738800009</c:v>
                </c:pt>
                <c:pt idx="126">
                  <c:v>1.0971269956239666</c:v>
                </c:pt>
                <c:pt idx="127">
                  <c:v>1.3493245422364921</c:v>
                </c:pt>
                <c:pt idx="128">
                  <c:v>1.6978913823018422</c:v>
                </c:pt>
                <c:pt idx="129">
                  <c:v>1.3095784928162608</c:v>
                </c:pt>
                <c:pt idx="130">
                  <c:v>1.1362985571149462</c:v>
                </c:pt>
                <c:pt idx="131">
                  <c:v>1.4489090299456451</c:v>
                </c:pt>
                <c:pt idx="132">
                  <c:v>1.1264315123772384</c:v>
                </c:pt>
                <c:pt idx="133">
                  <c:v>1.250702910301895</c:v>
                </c:pt>
                <c:pt idx="134">
                  <c:v>1.6061312508358303</c:v>
                </c:pt>
                <c:pt idx="135">
                  <c:v>1.5076213914643732</c:v>
                </c:pt>
                <c:pt idx="136">
                  <c:v>1.6116129274598434</c:v>
                </c:pt>
                <c:pt idx="137">
                  <c:v>1.353732099805089</c:v>
                </c:pt>
                <c:pt idx="138">
                  <c:v>1.2140631955584191</c:v>
                </c:pt>
                <c:pt idx="139">
                  <c:v>1.2142589675863487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1.1179242582161224</c:v>
                </c:pt>
                <c:pt idx="153">
                  <c:v>1.1131805909252479</c:v>
                </c:pt>
                <c:pt idx="154">
                  <c:v>1.0396608877230671</c:v>
                </c:pt>
                <c:pt idx="155">
                  <c:v>1.0332122674684099</c:v>
                </c:pt>
                <c:pt idx="156">
                  <c:v>1.1141268495754608</c:v>
                </c:pt>
                <c:pt idx="157">
                  <c:v>1.111818575715843</c:v>
                </c:pt>
                <c:pt idx="158">
                  <c:v>1</c:v>
                </c:pt>
                <c:pt idx="159">
                  <c:v>1</c:v>
                </c:pt>
                <c:pt idx="168">
                  <c:v>1.3383380886118024</c:v>
                </c:pt>
                <c:pt idx="169">
                  <c:v>1.0667341823935248</c:v>
                </c:pt>
                <c:pt idx="171">
                  <c:v>0.96123910886210173</c:v>
                </c:pt>
                <c:pt idx="172">
                  <c:v>1.0800473563193289</c:v>
                </c:pt>
                <c:pt idx="173">
                  <c:v>1.5688980242628909</c:v>
                </c:pt>
                <c:pt idx="175">
                  <c:v>1.3081102480693489</c:v>
                </c:pt>
                <c:pt idx="179">
                  <c:v>1.6772269266410664</c:v>
                </c:pt>
                <c:pt idx="180">
                  <c:v>1.1150394683014302</c:v>
                </c:pt>
                <c:pt idx="181">
                  <c:v>0.93601937017964099</c:v>
                </c:pt>
                <c:pt idx="182">
                  <c:v>1.2119877238401617</c:v>
                </c:pt>
                <c:pt idx="183">
                  <c:v>1.4335498222786425</c:v>
                </c:pt>
                <c:pt idx="184">
                  <c:v>1.7241744032031006</c:v>
                </c:pt>
                <c:pt idx="185">
                  <c:v>1.4709966291791812</c:v>
                </c:pt>
                <c:pt idx="186">
                  <c:v>1.024630490427666</c:v>
                </c:pt>
                <c:pt idx="187">
                  <c:v>1.7084704294313242</c:v>
                </c:pt>
                <c:pt idx="188">
                  <c:v>1.5425351929470028</c:v>
                </c:pt>
                <c:pt idx="189">
                  <c:v>1.4530735737887628</c:v>
                </c:pt>
                <c:pt idx="191">
                  <c:v>1.162098744070923</c:v>
                </c:pt>
                <c:pt idx="192">
                  <c:v>1.0129564999845371</c:v>
                </c:pt>
                <c:pt idx="193">
                  <c:v>1.0548719413632073</c:v>
                </c:pt>
                <c:pt idx="194">
                  <c:v>0.99199877929520175</c:v>
                </c:pt>
                <c:pt idx="195">
                  <c:v>1.0024776396398694</c:v>
                </c:pt>
                <c:pt idx="196">
                  <c:v>0.91851247644247092</c:v>
                </c:pt>
                <c:pt idx="197">
                  <c:v>1</c:v>
                </c:pt>
                <c:pt idx="198">
                  <c:v>1.1669913938500407</c:v>
                </c:pt>
                <c:pt idx="199">
                  <c:v>1.0958321519136152</c:v>
                </c:pt>
                <c:pt idx="200">
                  <c:v>1.4482630142707176</c:v>
                </c:pt>
                <c:pt idx="201">
                  <c:v>1.2065212017848979</c:v>
                </c:pt>
                <c:pt idx="202">
                  <c:v>1.2638608456589822</c:v>
                </c:pt>
                <c:pt idx="203">
                  <c:v>1.0429653107588621</c:v>
                </c:pt>
                <c:pt idx="204">
                  <c:v>1.267632927019867</c:v>
                </c:pt>
                <c:pt idx="205">
                  <c:v>1.0864732280294513</c:v>
                </c:pt>
                <c:pt idx="206">
                  <c:v>1.5147236131087898</c:v>
                </c:pt>
                <c:pt idx="207">
                  <c:v>1.2694084672363284</c:v>
                </c:pt>
                <c:pt idx="208">
                  <c:v>1.0591467407093387</c:v>
                </c:pt>
                <c:pt idx="209">
                  <c:v>0.99943469121787187</c:v>
                </c:pt>
                <c:pt idx="210">
                  <c:v>1.1787430355325779</c:v>
                </c:pt>
                <c:pt idx="211">
                  <c:v>1.0953486974677027</c:v>
                </c:pt>
                <c:pt idx="212">
                  <c:v>1.3410351127446876</c:v>
                </c:pt>
                <c:pt idx="213">
                  <c:v>1.1378780950693508</c:v>
                </c:pt>
                <c:pt idx="214">
                  <c:v>0.94606036381909953</c:v>
                </c:pt>
                <c:pt idx="215">
                  <c:v>0.9280417512964777</c:v>
                </c:pt>
                <c:pt idx="216">
                  <c:v>1.0537522781326267</c:v>
                </c:pt>
                <c:pt idx="217">
                  <c:v>0.99104241411838778</c:v>
                </c:pt>
                <c:pt idx="218">
                  <c:v>1.246854111705707</c:v>
                </c:pt>
                <c:pt idx="219">
                  <c:v>1.1108598911062268</c:v>
                </c:pt>
                <c:pt idx="220">
                  <c:v>1.0069882788145434</c:v>
                </c:pt>
                <c:pt idx="221">
                  <c:v>1.0429659273597731</c:v>
                </c:pt>
                <c:pt idx="222">
                  <c:v>1.2415241895472264</c:v>
                </c:pt>
                <c:pt idx="223">
                  <c:v>1.0607370982090985</c:v>
                </c:pt>
                <c:pt idx="224">
                  <c:v>0.98254513569119484</c:v>
                </c:pt>
                <c:pt idx="225">
                  <c:v>0.97651110382324768</c:v>
                </c:pt>
                <c:pt idx="226">
                  <c:v>1.0887563493315389</c:v>
                </c:pt>
                <c:pt idx="227">
                  <c:v>0.78300596637240216</c:v>
                </c:pt>
                <c:pt idx="228">
                  <c:v>0.88968810745173232</c:v>
                </c:pt>
                <c:pt idx="229">
                  <c:v>0.74214693971252432</c:v>
                </c:pt>
                <c:pt idx="230">
                  <c:v>1.015645214075779</c:v>
                </c:pt>
                <c:pt idx="231">
                  <c:v>0.76591341717817985</c:v>
                </c:pt>
                <c:pt idx="232">
                  <c:v>0.99490267950518141</c:v>
                </c:pt>
                <c:pt idx="233">
                  <c:v>0.782670244439856</c:v>
                </c:pt>
                <c:pt idx="234">
                  <c:v>0.95490274844904621</c:v>
                </c:pt>
                <c:pt idx="235">
                  <c:v>1.10521720654621</c:v>
                </c:pt>
                <c:pt idx="236">
                  <c:v>1.1039912468916053</c:v>
                </c:pt>
                <c:pt idx="237">
                  <c:v>0.97146948096887209</c:v>
                </c:pt>
                <c:pt idx="238">
                  <c:v>1.0425960964081298</c:v>
                </c:pt>
                <c:pt idx="239">
                  <c:v>0.96545639129394512</c:v>
                </c:pt>
                <c:pt idx="240">
                  <c:v>1.1029753689711439</c:v>
                </c:pt>
                <c:pt idx="241">
                  <c:v>1.0443012016693149</c:v>
                </c:pt>
                <c:pt idx="242">
                  <c:v>1.035801217585661</c:v>
                </c:pt>
                <c:pt idx="243">
                  <c:v>0.97511909646297612</c:v>
                </c:pt>
                <c:pt idx="244">
                  <c:v>1.0745054096439952</c:v>
                </c:pt>
                <c:pt idx="245">
                  <c:v>1.0849879495526928</c:v>
                </c:pt>
                <c:pt idx="246">
                  <c:v>1.0658353776281775</c:v>
                </c:pt>
                <c:pt idx="247">
                  <c:v>1.164038324517964</c:v>
                </c:pt>
                <c:pt idx="248">
                  <c:v>1.1851863092498804</c:v>
                </c:pt>
                <c:pt idx="249">
                  <c:v>1.4000927741086981</c:v>
                </c:pt>
                <c:pt idx="250">
                  <c:v>1.4707672066107018</c:v>
                </c:pt>
                <c:pt idx="251">
                  <c:v>1.1693024959062237</c:v>
                </c:pt>
                <c:pt idx="252">
                  <c:v>1.1994142932326093</c:v>
                </c:pt>
                <c:pt idx="253">
                  <c:v>1.3354151143487145</c:v>
                </c:pt>
                <c:pt idx="254">
                  <c:v>1.4489801776685771</c:v>
                </c:pt>
                <c:pt idx="255">
                  <c:v>1.0759579072343315</c:v>
                </c:pt>
                <c:pt idx="256">
                  <c:v>1.1152914305964363</c:v>
                </c:pt>
                <c:pt idx="257">
                  <c:v>1.2732119156908908</c:v>
                </c:pt>
                <c:pt idx="258">
                  <c:v>1.486801599498017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0.65440646347147291</c:v>
                </c:pt>
                <c:pt idx="263">
                  <c:v>0.74645745582544709</c:v>
                </c:pt>
                <c:pt idx="264">
                  <c:v>0.86626402070750652</c:v>
                </c:pt>
                <c:pt idx="265">
                  <c:v>0.78909154398737613</c:v>
                </c:pt>
                <c:pt idx="266">
                  <c:v>0.93712665612600687</c:v>
                </c:pt>
                <c:pt idx="267">
                  <c:v>1.0095343957325076</c:v>
                </c:pt>
                <c:pt idx="268">
                  <c:v>0.82535245957938552</c:v>
                </c:pt>
                <c:pt idx="269">
                  <c:v>0.87025939203289582</c:v>
                </c:pt>
                <c:pt idx="270">
                  <c:v>0.74722430214469848</c:v>
                </c:pt>
                <c:pt idx="271">
                  <c:v>0.93212965513993562</c:v>
                </c:pt>
                <c:pt idx="272">
                  <c:v>0.70351864336481917</c:v>
                </c:pt>
                <c:pt idx="273">
                  <c:v>0.88584801505264343</c:v>
                </c:pt>
                <c:pt idx="274">
                  <c:v>0.93461795122954905</c:v>
                </c:pt>
                <c:pt idx="275">
                  <c:v>0.8760822339448866</c:v>
                </c:pt>
                <c:pt idx="276">
                  <c:v>1.0546620803021731</c:v>
                </c:pt>
                <c:pt idx="277">
                  <c:v>1.0088869571220103</c:v>
                </c:pt>
                <c:pt idx="278">
                  <c:v>1.127721019295898</c:v>
                </c:pt>
                <c:pt idx="279">
                  <c:v>1.0815801265431821</c:v>
                </c:pt>
                <c:pt idx="280">
                  <c:v>1.2575697339160365</c:v>
                </c:pt>
                <c:pt idx="281">
                  <c:v>1.0377227912290949</c:v>
                </c:pt>
                <c:pt idx="282">
                  <c:v>1.0851045143939175</c:v>
                </c:pt>
                <c:pt idx="283">
                  <c:v>0.78234204586737066</c:v>
                </c:pt>
                <c:pt idx="284">
                  <c:v>0.76733459610941368</c:v>
                </c:pt>
                <c:pt idx="285">
                  <c:v>1.0136499429452763</c:v>
                </c:pt>
                <c:pt idx="286">
                  <c:v>1.0886125437537382</c:v>
                </c:pt>
                <c:pt idx="287">
                  <c:v>0.94794472349162318</c:v>
                </c:pt>
                <c:pt idx="288">
                  <c:v>0.95810293219723919</c:v>
                </c:pt>
                <c:pt idx="289">
                  <c:v>0.94032104183423759</c:v>
                </c:pt>
                <c:pt idx="290">
                  <c:v>1.1917519000638892</c:v>
                </c:pt>
                <c:pt idx="291">
                  <c:v>0.73918547860307671</c:v>
                </c:pt>
                <c:pt idx="292">
                  <c:v>0.73435132953628823</c:v>
                </c:pt>
                <c:pt idx="293">
                  <c:v>0.80046699672781108</c:v>
                </c:pt>
                <c:pt idx="294">
                  <c:v>1.1085878003695551</c:v>
                </c:pt>
                <c:pt idx="295">
                  <c:v>0.85520549534192214</c:v>
                </c:pt>
                <c:pt idx="296">
                  <c:v>0.94115541649385537</c:v>
                </c:pt>
                <c:pt idx="297">
                  <c:v>0.93310480003574625</c:v>
                </c:pt>
                <c:pt idx="298">
                  <c:v>0.98697622127594653</c:v>
                </c:pt>
                <c:pt idx="299">
                  <c:v>1.0864891795569402</c:v>
                </c:pt>
                <c:pt idx="300">
                  <c:v>0.96674260066309403</c:v>
                </c:pt>
                <c:pt idx="301">
                  <c:v>1.0879820523592281</c:v>
                </c:pt>
                <c:pt idx="302">
                  <c:v>0.82233348350740842</c:v>
                </c:pt>
                <c:pt idx="303">
                  <c:v>1.1130622636058647</c:v>
                </c:pt>
                <c:pt idx="304">
                  <c:v>0.63480838312555887</c:v>
                </c:pt>
                <c:pt idx="305">
                  <c:v>0.97995058160380566</c:v>
                </c:pt>
                <c:pt idx="306">
                  <c:v>0.90003950832799662</c:v>
                </c:pt>
                <c:pt idx="307">
                  <c:v>1.2625217719196895</c:v>
                </c:pt>
                <c:pt idx="308">
                  <c:v>0.63292489521379602</c:v>
                </c:pt>
                <c:pt idx="309">
                  <c:v>1.0771457263688171</c:v>
                </c:pt>
                <c:pt idx="310">
                  <c:v>0.73924512696546085</c:v>
                </c:pt>
                <c:pt idx="311">
                  <c:v>1.1248507186141501</c:v>
                </c:pt>
                <c:pt idx="312">
                  <c:v>0.68467739710453912</c:v>
                </c:pt>
                <c:pt idx="313">
                  <c:v>1.0359680488784047</c:v>
                </c:pt>
                <c:pt idx="314">
                  <c:v>0.67868729013532503</c:v>
                </c:pt>
                <c:pt idx="315">
                  <c:v>1.0002692328949259</c:v>
                </c:pt>
                <c:pt idx="316">
                  <c:v>0.72633374341804824</c:v>
                </c:pt>
                <c:pt idx="317">
                  <c:v>1.1618512131976952</c:v>
                </c:pt>
                <c:pt idx="318">
                  <c:v>0.63898823880641586</c:v>
                </c:pt>
                <c:pt idx="319">
                  <c:v>1.0767191342865152</c:v>
                </c:pt>
                <c:pt idx="320">
                  <c:v>0.75400013200926497</c:v>
                </c:pt>
                <c:pt idx="321">
                  <c:v>0.95972228420837502</c:v>
                </c:pt>
                <c:pt idx="322">
                  <c:v>0.89951817016281221</c:v>
                </c:pt>
                <c:pt idx="323">
                  <c:v>0.97894457082747688</c:v>
                </c:pt>
                <c:pt idx="324">
                  <c:v>0.74462905197182427</c:v>
                </c:pt>
                <c:pt idx="325">
                  <c:v>1.0414859751276166</c:v>
                </c:pt>
                <c:pt idx="326">
                  <c:v>0.94846759987164653</c:v>
                </c:pt>
                <c:pt idx="327">
                  <c:v>1.2792539211145848</c:v>
                </c:pt>
                <c:pt idx="328">
                  <c:v>0.95692750390543657</c:v>
                </c:pt>
                <c:pt idx="329">
                  <c:v>1.000825177613299</c:v>
                </c:pt>
                <c:pt idx="330">
                  <c:v>1.1093102722998569</c:v>
                </c:pt>
                <c:pt idx="331">
                  <c:v>1.3796539954432834</c:v>
                </c:pt>
                <c:pt idx="332">
                  <c:v>1.2648314968012164</c:v>
                </c:pt>
                <c:pt idx="333">
                  <c:v>0.67646352686461653</c:v>
                </c:pt>
                <c:pt idx="334">
                  <c:v>0.75051026424073697</c:v>
                </c:pt>
                <c:pt idx="335">
                  <c:v>0.77281597321579087</c:v>
                </c:pt>
                <c:pt idx="336">
                  <c:v>0.86413021470864393</c:v>
                </c:pt>
                <c:pt idx="337">
                  <c:v>0.91208253125064931</c:v>
                </c:pt>
                <c:pt idx="338">
                  <c:v>0.95614243505191698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0.82625634412902194</c:v>
                </c:pt>
                <c:pt idx="342">
                  <c:v>0.9601139047349182</c:v>
                </c:pt>
                <c:pt idx="343">
                  <c:v>1.0627262740118579</c:v>
                </c:pt>
                <c:pt idx="344">
                  <c:v>0.93527480684988118</c:v>
                </c:pt>
                <c:pt idx="345">
                  <c:v>1.0625500982773062</c:v>
                </c:pt>
                <c:pt idx="346">
                  <c:v>1.4822322141280799</c:v>
                </c:pt>
                <c:pt idx="347">
                  <c:v>1.0182198876788391</c:v>
                </c:pt>
                <c:pt idx="348">
                  <c:v>1.1905256945812908</c:v>
                </c:pt>
                <c:pt idx="349">
                  <c:v>1.1753055919076683</c:v>
                </c:pt>
                <c:pt idx="350">
                  <c:v>0.74669552116938287</c:v>
                </c:pt>
                <c:pt idx="351">
                  <c:v>0.90336797784402101</c:v>
                </c:pt>
                <c:pt idx="352">
                  <c:v>0.99108586662496612</c:v>
                </c:pt>
                <c:pt idx="353">
                  <c:v>0.8348184273807373</c:v>
                </c:pt>
                <c:pt idx="354">
                  <c:v>0.95553229503146886</c:v>
                </c:pt>
                <c:pt idx="355">
                  <c:v>0.67335839175112699</c:v>
                </c:pt>
                <c:pt idx="356">
                  <c:v>0.69192281388318311</c:v>
                </c:pt>
                <c:pt idx="357">
                  <c:v>0.84853134899852589</c:v>
                </c:pt>
                <c:pt idx="358">
                  <c:v>0.6648035989042731</c:v>
                </c:pt>
                <c:pt idx="359">
                  <c:v>0.72846501506533778</c:v>
                </c:pt>
                <c:pt idx="360">
                  <c:v>1.0134345640672162</c:v>
                </c:pt>
                <c:pt idx="361">
                  <c:v>0.67317534853537886</c:v>
                </c:pt>
                <c:pt idx="362">
                  <c:v>1.0383544149159285</c:v>
                </c:pt>
                <c:pt idx="363">
                  <c:v>1.0615276951705674</c:v>
                </c:pt>
                <c:pt idx="364">
                  <c:v>0.61746193238869718</c:v>
                </c:pt>
                <c:pt idx="365">
                  <c:v>0.68724341538301104</c:v>
                </c:pt>
                <c:pt idx="366">
                  <c:v>0.85028063832166845</c:v>
                </c:pt>
                <c:pt idx="367">
                  <c:v>0.49532268932934714</c:v>
                </c:pt>
                <c:pt idx="368">
                  <c:v>0.69404556824261776</c:v>
                </c:pt>
                <c:pt idx="369">
                  <c:v>0.73678053201601534</c:v>
                </c:pt>
                <c:pt idx="370">
                  <c:v>1.0734511207027237</c:v>
                </c:pt>
                <c:pt idx="371">
                  <c:v>0.97228115444619168</c:v>
                </c:pt>
                <c:pt idx="372">
                  <c:v>0.98184147159351287</c:v>
                </c:pt>
                <c:pt idx="373">
                  <c:v>1.1065773777959143</c:v>
                </c:pt>
                <c:pt idx="374">
                  <c:v>0.72096580896252627</c:v>
                </c:pt>
                <c:pt idx="375">
                  <c:v>0.93377048827409681</c:v>
                </c:pt>
                <c:pt idx="376">
                  <c:v>1.1167546869959355</c:v>
                </c:pt>
                <c:pt idx="377">
                  <c:v>1.2956424138648808</c:v>
                </c:pt>
                <c:pt idx="378">
                  <c:v>0.78437925291382093</c:v>
                </c:pt>
                <c:pt idx="379">
                  <c:v>1.059782127050285</c:v>
                </c:pt>
                <c:pt idx="380">
                  <c:v>0.73718451657272832</c:v>
                </c:pt>
                <c:pt idx="381">
                  <c:v>0.85852739822939572</c:v>
                </c:pt>
                <c:pt idx="382">
                  <c:v>1.0416632154626597</c:v>
                </c:pt>
                <c:pt idx="383">
                  <c:v>1.1153119606929831</c:v>
                </c:pt>
                <c:pt idx="384">
                  <c:v>1.2692714892463186</c:v>
                </c:pt>
                <c:pt idx="385">
                  <c:v>1.2571639757274684</c:v>
                </c:pt>
                <c:pt idx="386">
                  <c:v>0.8085349544542425</c:v>
                </c:pt>
                <c:pt idx="387">
                  <c:v>0.85080970194489203</c:v>
                </c:pt>
                <c:pt idx="388">
                  <c:v>1.0293844757547645</c:v>
                </c:pt>
                <c:pt idx="389">
                  <c:v>1.2091353781823571</c:v>
                </c:pt>
                <c:pt idx="390">
                  <c:v>1.2582112350998493</c:v>
                </c:pt>
                <c:pt idx="391">
                  <c:v>1.3026075869753657</c:v>
                </c:pt>
                <c:pt idx="392">
                  <c:v>1.4455193526381414</c:v>
                </c:pt>
                <c:pt idx="393">
                  <c:v>1.3999644400429421</c:v>
                </c:pt>
                <c:pt idx="394">
                  <c:v>1.2264020383181997</c:v>
                </c:pt>
                <c:pt idx="395">
                  <c:v>1.2265000402860071</c:v>
                </c:pt>
                <c:pt idx="396">
                  <c:v>1.3786937883911297</c:v>
                </c:pt>
                <c:pt idx="39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E-436C-8A5B-AE63D9A8B33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BE-436C-8A5B-AE63D9A8B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E-4400-8FCF-FF5D91FF991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E-4400-8FCF-FF5D91FF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headed_backup!$CY$104:$CY$146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8-4A41-94CC-FD8F7F5D6F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headed_backup!$DE$104:$DE$146</c:f>
              <c:numCache>
                <c:formatCode>General</c:formatCode>
                <c:ptCount val="43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8-4A41-94CC-FD8F7F5D6F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8-4A41-94CC-FD8F7F5D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5-4F52-9C41-9E939D34C8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35-4F52-9C41-9E939D34C8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35-4F52-9C41-9E939D34C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3-4B6D-9431-DAF54755C61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03-4B6D-9431-DAF54755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A-464D-A10E-E86E6D753B7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CA-464D-A10E-E86E6D753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2-4540-BC73-158A553A4ED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2-4540-BC73-158A553A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E1-445D-9713-5B58D1F238F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E1-445D-9713-5B58D1F238F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headed_backup!$CY$192:$CY$250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E1-445D-9713-5B58D1F238F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headed_backup!$DE$192:$DE$250</c:f>
              <c:numCache>
                <c:formatCode>General</c:formatCode>
                <c:ptCount val="59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1</c:v>
                </c:pt>
                <c:pt idx="53">
                  <c:v>1</c:v>
                </c:pt>
                <c:pt idx="54">
                  <c:v>0.97944761192161567</c:v>
                </c:pt>
                <c:pt idx="55">
                  <c:v>0.98979388951233693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1-445D-9713-5B58D1F238F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E1-445D-9713-5B58D1F23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D-4A9E-9823-CD8DE15528D9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4D-4A9E-9823-CD8DE15528D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4D-4A9E-9823-CD8DE15528D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4D-4A9E-9823-CD8DE15528D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4D-4A9E-9823-CD8DE1552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9-4CF0-9A3F-DB6EF68C5B6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19-4CF0-9A3F-DB6EF68C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headed_backup!$CQ$165:$CQ$574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3">
                  <c:v>1.0904414032234904</c:v>
                </c:pt>
                <c:pt idx="44">
                  <c:v>1.0881822014212317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50-4EDC-B44C-349FD764E8E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50-4EDC-B44C-349FD764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2-4D57-86DA-D568288AF5C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2-4D57-86DA-D568288A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headed_backup!$L$165:$L$248</c:f>
              <c:numCache>
                <c:formatCode>General</c:formatCode>
                <c:ptCount val="8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</c:numCache>
            </c:numRef>
          </c:xVal>
          <c:yVal>
            <c:numRef>
              <c:f>headed_backup!$CS$165:$CS$248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C-4FF4-AE44-F6033C21ED1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C-4FF4-AE44-F6033C21E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headed_backup!$CS$19:$CS$1274</c:f>
              <c:numCache>
                <c:formatCode>General</c:formatCode>
                <c:ptCount val="1256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1.2261405820212108</c:v>
                </c:pt>
                <c:pt idx="94">
                  <c:v>1.2506633936616351</c:v>
                </c:pt>
                <c:pt idx="95">
                  <c:v>1.2343376079378301</c:v>
                </c:pt>
                <c:pt idx="96">
                  <c:v>0.97704954588321469</c:v>
                </c:pt>
                <c:pt idx="97">
                  <c:v>1.0874158894424537</c:v>
                </c:pt>
                <c:pt idx="99">
                  <c:v>1.2496789206294021</c:v>
                </c:pt>
                <c:pt idx="100">
                  <c:v>1.1935209055402785</c:v>
                </c:pt>
                <c:pt idx="101">
                  <c:v>1.1365535412883889</c:v>
                </c:pt>
                <c:pt idx="102">
                  <c:v>0.77573488574208971</c:v>
                </c:pt>
                <c:pt idx="103">
                  <c:v>0.81546254835421828</c:v>
                </c:pt>
                <c:pt idx="104">
                  <c:v>1.0907536233465573</c:v>
                </c:pt>
                <c:pt idx="105">
                  <c:v>0.96227543213506361</c:v>
                </c:pt>
                <c:pt idx="106">
                  <c:v>0.9103597548700112</c:v>
                </c:pt>
                <c:pt idx="107">
                  <c:v>0.80875830298500517</c:v>
                </c:pt>
                <c:pt idx="108">
                  <c:v>1.0735649310983073</c:v>
                </c:pt>
                <c:pt idx="109">
                  <c:v>0.91092785571550405</c:v>
                </c:pt>
                <c:pt idx="110">
                  <c:v>1.0318275865534183</c:v>
                </c:pt>
                <c:pt idx="111">
                  <c:v>0.93456515011600594</c:v>
                </c:pt>
                <c:pt idx="112">
                  <c:v>0.84745183748075836</c:v>
                </c:pt>
                <c:pt idx="113">
                  <c:v>0.80553566870942928</c:v>
                </c:pt>
                <c:pt idx="114">
                  <c:v>0.80652405603299926</c:v>
                </c:pt>
                <c:pt idx="115">
                  <c:v>0.73633809868486189</c:v>
                </c:pt>
                <c:pt idx="116">
                  <c:v>0.70688457473746746</c:v>
                </c:pt>
                <c:pt idx="117">
                  <c:v>1.0863720642158083</c:v>
                </c:pt>
                <c:pt idx="118">
                  <c:v>1.0202450690026719</c:v>
                </c:pt>
                <c:pt idx="119">
                  <c:v>0.87665502225414782</c:v>
                </c:pt>
                <c:pt idx="120">
                  <c:v>1.146690173406641</c:v>
                </c:pt>
                <c:pt idx="121">
                  <c:v>1.0394841189714128</c:v>
                </c:pt>
                <c:pt idx="122">
                  <c:v>0.86890210970430914</c:v>
                </c:pt>
                <c:pt idx="123">
                  <c:v>0.81675316740153681</c:v>
                </c:pt>
                <c:pt idx="124">
                  <c:v>1.2466232555076091</c:v>
                </c:pt>
                <c:pt idx="125">
                  <c:v>1.2197563750009797</c:v>
                </c:pt>
                <c:pt idx="126">
                  <c:v>1.199290707588252</c:v>
                </c:pt>
                <c:pt idx="127">
                  <c:v>1.1363386152860215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6">
                  <c:v>1.3838937040210169</c:v>
                </c:pt>
                <c:pt idx="147">
                  <c:v>1.4372631142025567</c:v>
                </c:pt>
                <c:pt idx="148">
                  <c:v>2.0310855779776316</c:v>
                </c:pt>
                <c:pt idx="149">
                  <c:v>1.3258623595815355</c:v>
                </c:pt>
                <c:pt idx="150">
                  <c:v>1.1653373728318932</c:v>
                </c:pt>
                <c:pt idx="151">
                  <c:v>1.6096593536070971</c:v>
                </c:pt>
                <c:pt idx="152">
                  <c:v>1.7181448594746873</c:v>
                </c:pt>
                <c:pt idx="153">
                  <c:v>1.5756703115990831</c:v>
                </c:pt>
                <c:pt idx="154">
                  <c:v>1.1449507661346809</c:v>
                </c:pt>
                <c:pt idx="155">
                  <c:v>1.2505080698215565</c:v>
                </c:pt>
                <c:pt idx="156">
                  <c:v>1.6810691019807604</c:v>
                </c:pt>
                <c:pt idx="157">
                  <c:v>1.4271453774857643</c:v>
                </c:pt>
                <c:pt idx="158">
                  <c:v>0.83618018255731019</c:v>
                </c:pt>
                <c:pt idx="159">
                  <c:v>0.97651019906997372</c:v>
                </c:pt>
                <c:pt idx="160">
                  <c:v>1.9012666169183468</c:v>
                </c:pt>
                <c:pt idx="161">
                  <c:v>1.5788211461636792</c:v>
                </c:pt>
                <c:pt idx="162">
                  <c:v>2.0407929363744293</c:v>
                </c:pt>
                <c:pt idx="163">
                  <c:v>1.4623814188213276</c:v>
                </c:pt>
                <c:pt idx="164">
                  <c:v>1.2315922030510305</c:v>
                </c:pt>
                <c:pt idx="165">
                  <c:v>1.6032963421957998</c:v>
                </c:pt>
                <c:pt idx="166">
                  <c:v>1.4282123621188205</c:v>
                </c:pt>
                <c:pt idx="167">
                  <c:v>1.2470860052703576</c:v>
                </c:pt>
                <c:pt idx="168">
                  <c:v>1.2470860052703576</c:v>
                </c:pt>
                <c:pt idx="169">
                  <c:v>1.2513422714999494</c:v>
                </c:pt>
                <c:pt idx="170">
                  <c:v>1.4314656932398204</c:v>
                </c:pt>
                <c:pt idx="171">
                  <c:v>1.3374929414311942</c:v>
                </c:pt>
                <c:pt idx="172">
                  <c:v>1.2336405483318309</c:v>
                </c:pt>
                <c:pt idx="173">
                  <c:v>3.203833724920901</c:v>
                </c:pt>
                <c:pt idx="174">
                  <c:v>3.1622500423555562</c:v>
                </c:pt>
                <c:pt idx="175">
                  <c:v>2.5895293233873948</c:v>
                </c:pt>
                <c:pt idx="176">
                  <c:v>2.7388525471447704</c:v>
                </c:pt>
                <c:pt idx="177">
                  <c:v>2.9072970877236819</c:v>
                </c:pt>
                <c:pt idx="178">
                  <c:v>3.0309656951865547</c:v>
                </c:pt>
                <c:pt idx="179">
                  <c:v>3.1459558038801037</c:v>
                </c:pt>
                <c:pt idx="180">
                  <c:v>3.0895455618794947</c:v>
                </c:pt>
                <c:pt idx="181">
                  <c:v>2.7149668974723982</c:v>
                </c:pt>
                <c:pt idx="182">
                  <c:v>2.7074357826389104</c:v>
                </c:pt>
                <c:pt idx="183">
                  <c:v>2.1117680338689433</c:v>
                </c:pt>
                <c:pt idx="184">
                  <c:v>2.1161072832536054</c:v>
                </c:pt>
                <c:pt idx="185">
                  <c:v>3.6717330366569469</c:v>
                </c:pt>
                <c:pt idx="186">
                  <c:v>3.6561528398960266</c:v>
                </c:pt>
                <c:pt idx="187">
                  <c:v>3.7678109166826239</c:v>
                </c:pt>
                <c:pt idx="188">
                  <c:v>3.7444406215412429</c:v>
                </c:pt>
                <c:pt idx="189">
                  <c:v>3.0790396611328834</c:v>
                </c:pt>
                <c:pt idx="190">
                  <c:v>3.0726604353156195</c:v>
                </c:pt>
                <c:pt idx="191">
                  <c:v>2.4772512849863699</c:v>
                </c:pt>
                <c:pt idx="192">
                  <c:v>2.5032182795879043</c:v>
                </c:pt>
                <c:pt idx="201">
                  <c:v>1.8963655360936886</c:v>
                </c:pt>
                <c:pt idx="202">
                  <c:v>1.5115148831805576</c:v>
                </c:pt>
                <c:pt idx="204">
                  <c:v>1.08971818573285</c:v>
                </c:pt>
                <c:pt idx="205">
                  <c:v>1.4378533266448839</c:v>
                </c:pt>
                <c:pt idx="206">
                  <c:v>1.468755792642539</c:v>
                </c:pt>
                <c:pt idx="208">
                  <c:v>1.805476112010334</c:v>
                </c:pt>
                <c:pt idx="212">
                  <c:v>2.5947732797879901</c:v>
                </c:pt>
                <c:pt idx="213">
                  <c:v>1.5950411881888569</c:v>
                </c:pt>
                <c:pt idx="214">
                  <c:v>1.338956593754866</c:v>
                </c:pt>
                <c:pt idx="215">
                  <c:v>1.6929650308865152</c:v>
                </c:pt>
                <c:pt idx="216">
                  <c:v>1.9887430163203406</c:v>
                </c:pt>
                <c:pt idx="217">
                  <c:v>1.5581202263866585</c:v>
                </c:pt>
                <c:pt idx="218">
                  <c:v>1.832082313538461</c:v>
                </c:pt>
                <c:pt idx="219">
                  <c:v>1.5518814891149317</c:v>
                </c:pt>
                <c:pt idx="220">
                  <c:v>2.3882719091374538</c:v>
                </c:pt>
                <c:pt idx="221">
                  <c:v>2.1664445703547215</c:v>
                </c:pt>
                <c:pt idx="222">
                  <c:v>1.6860007669757939</c:v>
                </c:pt>
                <c:pt idx="224">
                  <c:v>1.6574714449565529</c:v>
                </c:pt>
                <c:pt idx="225">
                  <c:v>1.2269966870795557</c:v>
                </c:pt>
                <c:pt idx="226">
                  <c:v>1.2777689637862957</c:v>
                </c:pt>
                <c:pt idx="227">
                  <c:v>1.2016105487261854</c:v>
                </c:pt>
                <c:pt idx="228">
                  <c:v>1.2143036179028706</c:v>
                </c:pt>
                <c:pt idx="229">
                  <c:v>0.92942217759542134</c:v>
                </c:pt>
                <c:pt idx="230">
                  <c:v>1.1242757318376362</c:v>
                </c:pt>
                <c:pt idx="231">
                  <c:v>1.1200335813374223</c:v>
                </c:pt>
                <c:pt idx="232">
                  <c:v>1.2442613749021638</c:v>
                </c:pt>
                <c:pt idx="233">
                  <c:v>1.400091193706031</c:v>
                </c:pt>
                <c:pt idx="234">
                  <c:v>1.3452828172806048</c:v>
                </c:pt>
                <c:pt idx="235">
                  <c:v>1.3479209893794599</c:v>
                </c:pt>
                <c:pt idx="236">
                  <c:v>1.2726513426267121</c:v>
                </c:pt>
                <c:pt idx="237">
                  <c:v>1.3025245533720942</c:v>
                </c:pt>
                <c:pt idx="238">
                  <c:v>1.2673808375373148</c:v>
                </c:pt>
                <c:pt idx="239">
                  <c:v>1.5549193028146699</c:v>
                </c:pt>
                <c:pt idx="240">
                  <c:v>1.5517610994655895</c:v>
                </c:pt>
                <c:pt idx="241">
                  <c:v>1.4145986516145845</c:v>
                </c:pt>
                <c:pt idx="242">
                  <c:v>1.2305684841268119</c:v>
                </c:pt>
                <c:pt idx="243">
                  <c:v>1.2121832107334114</c:v>
                </c:pt>
                <c:pt idx="244">
                  <c:v>1.327132930109501</c:v>
                </c:pt>
                <c:pt idx="245">
                  <c:v>1.4604454373528053</c:v>
                </c:pt>
                <c:pt idx="246">
                  <c:v>1.3940506960947452</c:v>
                </c:pt>
                <c:pt idx="247">
                  <c:v>1.4542450707802723</c:v>
                </c:pt>
                <c:pt idx="248">
                  <c:v>1.3171284334108457</c:v>
                </c:pt>
                <c:pt idx="249">
                  <c:v>1.8814484318433564</c:v>
                </c:pt>
                <c:pt idx="250">
                  <c:v>1.0875170850034528</c:v>
                </c:pt>
                <c:pt idx="251">
                  <c:v>1.7132857924449365</c:v>
                </c:pt>
                <c:pt idx="252">
                  <c:v>1.1703923382083732</c:v>
                </c:pt>
                <c:pt idx="253">
                  <c:v>1.4382760123279739</c:v>
                </c:pt>
                <c:pt idx="254">
                  <c:v>1.4674396207834461</c:v>
                </c:pt>
                <c:pt idx="255">
                  <c:v>1.3339172849165912</c:v>
                </c:pt>
                <c:pt idx="256">
                  <c:v>1.8589949803999117</c:v>
                </c:pt>
                <c:pt idx="257">
                  <c:v>1.4016929584772584</c:v>
                </c:pt>
                <c:pt idx="258">
                  <c:v>1.4064662597202062</c:v>
                </c:pt>
                <c:pt idx="259">
                  <c:v>1.500601767058964</c:v>
                </c:pt>
                <c:pt idx="260">
                  <c:v>1.0809846369960703</c:v>
                </c:pt>
                <c:pt idx="261">
                  <c:v>1.130169014844719</c:v>
                </c:pt>
                <c:pt idx="262">
                  <c:v>1.4405154544410637</c:v>
                </c:pt>
                <c:pt idx="263">
                  <c:v>1.5227273061218662</c:v>
                </c:pt>
                <c:pt idx="264">
                  <c:v>1.2067087626321074</c:v>
                </c:pt>
                <c:pt idx="265">
                  <c:v>1.5537534775920558</c:v>
                </c:pt>
                <c:pt idx="266">
                  <c:v>1.2155644280465276</c:v>
                </c:pt>
                <c:pt idx="267">
                  <c:v>1.225964360942069</c:v>
                </c:pt>
                <c:pt idx="268">
                  <c:v>1.2044626549109341</c:v>
                </c:pt>
                <c:pt idx="269">
                  <c:v>1.3567777131762069</c:v>
                </c:pt>
                <c:pt idx="270">
                  <c:v>1.0565427698472931</c:v>
                </c:pt>
                <c:pt idx="271">
                  <c:v>1.0611106737887328</c:v>
                </c:pt>
                <c:pt idx="272">
                  <c:v>1.085175517695939</c:v>
                </c:pt>
                <c:pt idx="273">
                  <c:v>1.3648258889866054</c:v>
                </c:pt>
                <c:pt idx="274">
                  <c:v>1.1326402982209955</c:v>
                </c:pt>
                <c:pt idx="275">
                  <c:v>1.279120760819896</c:v>
                </c:pt>
                <c:pt idx="276">
                  <c:v>1.4158899377768372</c:v>
                </c:pt>
                <c:pt idx="277">
                  <c:v>1.4646074726472567</c:v>
                </c:pt>
                <c:pt idx="278">
                  <c:v>1.2980121403329294</c:v>
                </c:pt>
                <c:pt idx="279">
                  <c:v>1.4018980369375771</c:v>
                </c:pt>
                <c:pt idx="280">
                  <c:v>1.15289897228001</c:v>
                </c:pt>
                <c:pt idx="281">
                  <c:v>1.1926541092551828</c:v>
                </c:pt>
                <c:pt idx="282">
                  <c:v>1.3111850107642649</c:v>
                </c:pt>
                <c:pt idx="283">
                  <c:v>1.3404573544493805</c:v>
                </c:pt>
                <c:pt idx="284">
                  <c:v>1.6507806323592806</c:v>
                </c:pt>
                <c:pt idx="285">
                  <c:v>1.6904491962548411</c:v>
                </c:pt>
                <c:pt idx="286">
                  <c:v>1.2857433234217517</c:v>
                </c:pt>
                <c:pt idx="287">
                  <c:v>1.3838059891279431</c:v>
                </c:pt>
                <c:pt idx="288">
                  <c:v>1.2756690101615786</c:v>
                </c:pt>
                <c:pt idx="289">
                  <c:v>1.6536048066223732</c:v>
                </c:pt>
                <c:pt idx="290">
                  <c:v>1.5219922977142373</c:v>
                </c:pt>
                <c:pt idx="291">
                  <c:v>1.4168183015224551</c:v>
                </c:pt>
                <c:pt idx="292">
                  <c:v>1.1832182811484149</c:v>
                </c:pt>
                <c:pt idx="293">
                  <c:v>1.1607663213543273</c:v>
                </c:pt>
                <c:pt idx="294">
                  <c:v>1.213946649650911</c:v>
                </c:pt>
                <c:pt idx="295">
                  <c:v>1.0155616105585565</c:v>
                </c:pt>
                <c:pt idx="296">
                  <c:v>1.1496958567038023</c:v>
                </c:pt>
                <c:pt idx="297">
                  <c:v>1.3712468718361366</c:v>
                </c:pt>
                <c:pt idx="298">
                  <c:v>1.7084818805310933</c:v>
                </c:pt>
                <c:pt idx="299">
                  <c:v>1.9886149364652124</c:v>
                </c:pt>
                <c:pt idx="300">
                  <c:v>1.7490612046742806</c:v>
                </c:pt>
                <c:pt idx="301">
                  <c:v>1.0824061436066807</c:v>
                </c:pt>
                <c:pt idx="302">
                  <c:v>1.099511672686895</c:v>
                </c:pt>
                <c:pt idx="303">
                  <c:v>1.1308794998166836</c:v>
                </c:pt>
                <c:pt idx="304">
                  <c:v>1.1355499502132003</c:v>
                </c:pt>
                <c:pt idx="305">
                  <c:v>1.0683429748972426</c:v>
                </c:pt>
                <c:pt idx="306">
                  <c:v>1.1302150740598296</c:v>
                </c:pt>
                <c:pt idx="307">
                  <c:v>1.2855169740960342</c:v>
                </c:pt>
                <c:pt idx="308">
                  <c:v>1.0909464990682394</c:v>
                </c:pt>
                <c:pt idx="309">
                  <c:v>1.2494913437411292</c:v>
                </c:pt>
                <c:pt idx="310">
                  <c:v>1.3645897297002598</c:v>
                </c:pt>
                <c:pt idx="311">
                  <c:v>1.2431637729407938</c:v>
                </c:pt>
                <c:pt idx="312">
                  <c:v>1.4751944683659082</c:v>
                </c:pt>
                <c:pt idx="313">
                  <c:v>1.7850791723869082</c:v>
                </c:pt>
                <c:pt idx="314">
                  <c:v>1.261486403351207</c:v>
                </c:pt>
                <c:pt idx="315">
                  <c:v>1.2104901444923288</c:v>
                </c:pt>
                <c:pt idx="316">
                  <c:v>0.9500605438440255</c:v>
                </c:pt>
                <c:pt idx="317">
                  <c:v>0.93266016758314585</c:v>
                </c:pt>
                <c:pt idx="318">
                  <c:v>1.2028972243265701</c:v>
                </c:pt>
                <c:pt idx="319">
                  <c:v>1.6074371142265871</c:v>
                </c:pt>
                <c:pt idx="320">
                  <c:v>1.4291107675846266</c:v>
                </c:pt>
                <c:pt idx="321">
                  <c:v>1.7965068604388503</c:v>
                </c:pt>
                <c:pt idx="322">
                  <c:v>1.2530999155051654</c:v>
                </c:pt>
                <c:pt idx="323">
                  <c:v>1.5863282977600779</c:v>
                </c:pt>
                <c:pt idx="324">
                  <c:v>1.3651469896302668</c:v>
                </c:pt>
                <c:pt idx="325">
                  <c:v>1.0921113414829737</c:v>
                </c:pt>
                <c:pt idx="326">
                  <c:v>1.2738805592629094</c:v>
                </c:pt>
                <c:pt idx="327">
                  <c:v>1.7624587508377958</c:v>
                </c:pt>
                <c:pt idx="328">
                  <c:v>1.066177573233374</c:v>
                </c:pt>
                <c:pt idx="329">
                  <c:v>1.0960517053259571</c:v>
                </c:pt>
                <c:pt idx="330">
                  <c:v>1.1538643715615464</c:v>
                </c:pt>
                <c:pt idx="331">
                  <c:v>1.3842072343068135</c:v>
                </c:pt>
                <c:pt idx="332">
                  <c:v>1.6164798403189902</c:v>
                </c:pt>
                <c:pt idx="333">
                  <c:v>1.1020916631669231</c:v>
                </c:pt>
                <c:pt idx="334">
                  <c:v>1.1890280478040305</c:v>
                </c:pt>
                <c:pt idx="335">
                  <c:v>1.1553451423090986</c:v>
                </c:pt>
                <c:pt idx="336">
                  <c:v>1.676977781714432</c:v>
                </c:pt>
                <c:pt idx="337">
                  <c:v>1.0676265150499875</c:v>
                </c:pt>
                <c:pt idx="338">
                  <c:v>1.1117656600092876</c:v>
                </c:pt>
                <c:pt idx="339">
                  <c:v>1.2584341542185216</c:v>
                </c:pt>
                <c:pt idx="340">
                  <c:v>1.3530591037272715</c:v>
                </c:pt>
                <c:pt idx="341">
                  <c:v>0.8536087311591446</c:v>
                </c:pt>
                <c:pt idx="342">
                  <c:v>1.3047954564429862</c:v>
                </c:pt>
                <c:pt idx="343">
                  <c:v>1.0919377043810194</c:v>
                </c:pt>
                <c:pt idx="344">
                  <c:v>1.2840983524179472</c:v>
                </c:pt>
                <c:pt idx="345">
                  <c:v>1.0111147713391568</c:v>
                </c:pt>
                <c:pt idx="346">
                  <c:v>1.2490921086446241</c:v>
                </c:pt>
                <c:pt idx="347">
                  <c:v>0.90990733440606342</c:v>
                </c:pt>
                <c:pt idx="348">
                  <c:v>1.2211878714437694</c:v>
                </c:pt>
                <c:pt idx="349">
                  <c:v>0.98770988832965423</c:v>
                </c:pt>
                <c:pt idx="350">
                  <c:v>1.405758816311484</c:v>
                </c:pt>
                <c:pt idx="351">
                  <c:v>0.93991349427050186</c:v>
                </c:pt>
                <c:pt idx="352">
                  <c:v>1.3735243604164213</c:v>
                </c:pt>
                <c:pt idx="353">
                  <c:v>1.1044927574542696</c:v>
                </c:pt>
                <c:pt idx="354">
                  <c:v>1.1875804167963844</c:v>
                </c:pt>
                <c:pt idx="355">
                  <c:v>1.3853708991438167</c:v>
                </c:pt>
                <c:pt idx="356">
                  <c:v>1.4691556370667194</c:v>
                </c:pt>
                <c:pt idx="357">
                  <c:v>1.1002142240916057</c:v>
                </c:pt>
                <c:pt idx="358">
                  <c:v>1.5042537753350267</c:v>
                </c:pt>
                <c:pt idx="359">
                  <c:v>1.356754559997581</c:v>
                </c:pt>
                <c:pt idx="360">
                  <c:v>1.799506429845696</c:v>
                </c:pt>
                <c:pt idx="361">
                  <c:v>1.2598222395057197</c:v>
                </c:pt>
                <c:pt idx="362">
                  <c:v>1.3120228562170784</c:v>
                </c:pt>
                <c:pt idx="363">
                  <c:v>1.3540876305298664</c:v>
                </c:pt>
                <c:pt idx="364">
                  <c:v>1.6741983885487828</c:v>
                </c:pt>
                <c:pt idx="365">
                  <c:v>1.5380009760396056</c:v>
                </c:pt>
                <c:pt idx="366">
                  <c:v>1.3010744184441332</c:v>
                </c:pt>
                <c:pt idx="367">
                  <c:v>1.419112376432075</c:v>
                </c:pt>
                <c:pt idx="368">
                  <c:v>1.3703241283774616</c:v>
                </c:pt>
                <c:pt idx="369">
                  <c:v>1.5358700933690845</c:v>
                </c:pt>
                <c:pt idx="370">
                  <c:v>1.5953360225510751</c:v>
                </c:pt>
                <c:pt idx="371">
                  <c:v>1.6885510586641708</c:v>
                </c:pt>
                <c:pt idx="372">
                  <c:v>1.2969655123763921</c:v>
                </c:pt>
                <c:pt idx="373">
                  <c:v>1.368231571250613</c:v>
                </c:pt>
                <c:pt idx="374">
                  <c:v>1.3871339650041066</c:v>
                </c:pt>
                <c:pt idx="375">
                  <c:v>1.418561096358864</c:v>
                </c:pt>
                <c:pt idx="376">
                  <c:v>1.6217447857525504</c:v>
                </c:pt>
                <c:pt idx="377">
                  <c:v>1.5631748888459425</c:v>
                </c:pt>
                <c:pt idx="378">
                  <c:v>1.4956819971499853</c:v>
                </c:pt>
                <c:pt idx="379">
                  <c:v>2.2308393728048879</c:v>
                </c:pt>
                <c:pt idx="380">
                  <c:v>0.95053003455679075</c:v>
                </c:pt>
                <c:pt idx="381">
                  <c:v>0.96797883882138447</c:v>
                </c:pt>
                <c:pt idx="382">
                  <c:v>0.9673044426554136</c:v>
                </c:pt>
                <c:pt idx="383">
                  <c:v>0.76825652258018351</c:v>
                </c:pt>
                <c:pt idx="384">
                  <c:v>1.0055163450729336</c:v>
                </c:pt>
                <c:pt idx="385">
                  <c:v>0.90287337363807318</c:v>
                </c:pt>
                <c:pt idx="386">
                  <c:v>0.85398182075671547</c:v>
                </c:pt>
                <c:pt idx="387">
                  <c:v>0.87804597345881741</c:v>
                </c:pt>
                <c:pt idx="388">
                  <c:v>0.8312726172672158</c:v>
                </c:pt>
                <c:pt idx="389">
                  <c:v>0.86489129505352247</c:v>
                </c:pt>
                <c:pt idx="390">
                  <c:v>1.0296890870286513</c:v>
                </c:pt>
                <c:pt idx="391">
                  <c:v>0.74693440629475993</c:v>
                </c:pt>
                <c:pt idx="392">
                  <c:v>0.8275761961520568</c:v>
                </c:pt>
                <c:pt idx="393">
                  <c:v>1.0515170046860745</c:v>
                </c:pt>
                <c:pt idx="394">
                  <c:v>0.71186072951306811</c:v>
                </c:pt>
                <c:pt idx="395">
                  <c:v>1.1226686234334839</c:v>
                </c:pt>
                <c:pt idx="396">
                  <c:v>1.1445892636173558</c:v>
                </c:pt>
                <c:pt idx="397">
                  <c:v>0.72823307370272738</c:v>
                </c:pt>
                <c:pt idx="398">
                  <c:v>0.71086754061834379</c:v>
                </c:pt>
                <c:pt idx="399">
                  <c:v>1.102942521630832</c:v>
                </c:pt>
                <c:pt idx="400">
                  <c:v>0.69730791094744238</c:v>
                </c:pt>
                <c:pt idx="401">
                  <c:v>0.7718247303008392</c:v>
                </c:pt>
                <c:pt idx="402">
                  <c:v>0.8346761269586771</c:v>
                </c:pt>
                <c:pt idx="403">
                  <c:v>1.378337467570502</c:v>
                </c:pt>
                <c:pt idx="404">
                  <c:v>1.3470976313599901</c:v>
                </c:pt>
                <c:pt idx="405">
                  <c:v>1.2226871085348725</c:v>
                </c:pt>
                <c:pt idx="406">
                  <c:v>1.4480266495732195</c:v>
                </c:pt>
                <c:pt idx="407">
                  <c:v>0.80994045632785505</c:v>
                </c:pt>
                <c:pt idx="408">
                  <c:v>0.92343789210776062</c:v>
                </c:pt>
                <c:pt idx="409">
                  <c:v>1.1377445264616732</c:v>
                </c:pt>
                <c:pt idx="410">
                  <c:v>1.1621411039397247</c:v>
                </c:pt>
                <c:pt idx="411">
                  <c:v>0.83703352176496904</c:v>
                </c:pt>
                <c:pt idx="412">
                  <c:v>0.99472144636362514</c:v>
                </c:pt>
                <c:pt idx="413">
                  <c:v>0.93509962123722112</c:v>
                </c:pt>
                <c:pt idx="414">
                  <c:v>0.8900725411588033</c:v>
                </c:pt>
                <c:pt idx="415">
                  <c:v>1.2488912988332597</c:v>
                </c:pt>
                <c:pt idx="416">
                  <c:v>1.3338607110128451</c:v>
                </c:pt>
                <c:pt idx="417">
                  <c:v>1.3088116847320996</c:v>
                </c:pt>
                <c:pt idx="418">
                  <c:v>1.3330135927123574</c:v>
                </c:pt>
                <c:pt idx="419">
                  <c:v>1.1579794213606953</c:v>
                </c:pt>
                <c:pt idx="420">
                  <c:v>1.2026791278589977</c:v>
                </c:pt>
                <c:pt idx="421">
                  <c:v>1.1608850073852048</c:v>
                </c:pt>
                <c:pt idx="422">
                  <c:v>1.3841922978836163</c:v>
                </c:pt>
                <c:pt idx="423">
                  <c:v>1.2184121174982501</c:v>
                </c:pt>
                <c:pt idx="424">
                  <c:v>1.3173670073694528</c:v>
                </c:pt>
                <c:pt idx="425">
                  <c:v>1.1997735337343924</c:v>
                </c:pt>
                <c:pt idx="426">
                  <c:v>1.265578045451847</c:v>
                </c:pt>
                <c:pt idx="427">
                  <c:v>1.4332360429327682</c:v>
                </c:pt>
                <c:pt idx="428">
                  <c:v>1.495658681836104</c:v>
                </c:pt>
                <c:pt idx="429">
                  <c:v>1.255358081169357</c:v>
                </c:pt>
                <c:pt idx="430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8-4BFB-BFF2-17AD4BAA90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F8-4BFB-BFF2-17AD4BAA9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2-4252-9FF0-47ACA032D0B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82-4252-9FF0-47ACA032D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headed_backup!$CQ$52:$CQ$1274</c:f>
              <c:numCache>
                <c:formatCode>General</c:formatCode>
                <c:ptCount val="1223"/>
                <c:pt idx="0">
                  <c:v>0.97772168955200822</c:v>
                </c:pt>
                <c:pt idx="1">
                  <c:v>1.0711542892578541</c:v>
                </c:pt>
                <c:pt idx="2">
                  <c:v>1.1358656375632361</c:v>
                </c:pt>
                <c:pt idx="3">
                  <c:v>1.0876335510425041</c:v>
                </c:pt>
                <c:pt idx="4">
                  <c:v>0.88170720161183924</c:v>
                </c:pt>
                <c:pt idx="5">
                  <c:v>1.0672069378723441</c:v>
                </c:pt>
                <c:pt idx="6">
                  <c:v>1.1197809722276568</c:v>
                </c:pt>
                <c:pt idx="7">
                  <c:v>1.2773071017135704</c:v>
                </c:pt>
                <c:pt idx="8">
                  <c:v>1.1734211874058873</c:v>
                </c:pt>
                <c:pt idx="9">
                  <c:v>1.2108105529790076</c:v>
                </c:pt>
                <c:pt idx="12">
                  <c:v>1.2439497251559821</c:v>
                </c:pt>
                <c:pt idx="13">
                  <c:v>1.2629060562532859</c:v>
                </c:pt>
                <c:pt idx="14">
                  <c:v>1.2588189822404476</c:v>
                </c:pt>
                <c:pt idx="15">
                  <c:v>1.245856482021686</c:v>
                </c:pt>
                <c:pt idx="16">
                  <c:v>1.1526891216084647</c:v>
                </c:pt>
                <c:pt idx="17">
                  <c:v>1.4331139899777334</c:v>
                </c:pt>
                <c:pt idx="18">
                  <c:v>1.3016046889462036</c:v>
                </c:pt>
                <c:pt idx="19">
                  <c:v>1.3236602712925347</c:v>
                </c:pt>
                <c:pt idx="20">
                  <c:v>1.2501439525632614</c:v>
                </c:pt>
                <c:pt idx="21">
                  <c:v>1.3871008429046237</c:v>
                </c:pt>
                <c:pt idx="22">
                  <c:v>1.2315999827566606</c:v>
                </c:pt>
                <c:pt idx="23">
                  <c:v>1.4619141424540527</c:v>
                </c:pt>
                <c:pt idx="24">
                  <c:v>1.3777074136323781</c:v>
                </c:pt>
                <c:pt idx="25">
                  <c:v>1.5451342388757128</c:v>
                </c:pt>
                <c:pt idx="26">
                  <c:v>1.6605239427889933</c:v>
                </c:pt>
                <c:pt idx="27">
                  <c:v>1.1015400381976519</c:v>
                </c:pt>
                <c:pt idx="28">
                  <c:v>1.1865605272060056</c:v>
                </c:pt>
                <c:pt idx="29">
                  <c:v>1.1587731438285154</c:v>
                </c:pt>
                <c:pt idx="30">
                  <c:v>1.2595360259005601</c:v>
                </c:pt>
                <c:pt idx="31">
                  <c:v>1.3198908746235813</c:v>
                </c:pt>
                <c:pt idx="32">
                  <c:v>1.4725994513297929</c:v>
                </c:pt>
                <c:pt idx="33">
                  <c:v>1.3553432889288257</c:v>
                </c:pt>
                <c:pt idx="34">
                  <c:v>1.3657953537061176</c:v>
                </c:pt>
                <c:pt idx="35">
                  <c:v>1.5462310523396727</c:v>
                </c:pt>
                <c:pt idx="36">
                  <c:v>1.5462310523396727</c:v>
                </c:pt>
                <c:pt idx="37">
                  <c:v>1.5858446483348607</c:v>
                </c:pt>
                <c:pt idx="38">
                  <c:v>1.2124437123028964</c:v>
                </c:pt>
                <c:pt idx="39">
                  <c:v>1.2055484567032204</c:v>
                </c:pt>
                <c:pt idx="40">
                  <c:v>1.1055834412003578</c:v>
                </c:pt>
                <c:pt idx="41">
                  <c:v>1.300942585699558</c:v>
                </c:pt>
                <c:pt idx="42">
                  <c:v>1.1561639069038447</c:v>
                </c:pt>
                <c:pt idx="43">
                  <c:v>1.4442027183793973</c:v>
                </c:pt>
                <c:pt idx="44">
                  <c:v>1.5772980431508556</c:v>
                </c:pt>
                <c:pt idx="45">
                  <c:v>1.2450645673170533</c:v>
                </c:pt>
                <c:pt idx="46">
                  <c:v>1.6794082019601415</c:v>
                </c:pt>
                <c:pt idx="47">
                  <c:v>0.99039775367630722</c:v>
                </c:pt>
                <c:pt idx="48">
                  <c:v>0.94669817807579748</c:v>
                </c:pt>
                <c:pt idx="49">
                  <c:v>1.3487999940488067</c:v>
                </c:pt>
                <c:pt idx="50">
                  <c:v>1.3585563667404681</c:v>
                </c:pt>
                <c:pt idx="51">
                  <c:v>1.5585926361575473</c:v>
                </c:pt>
                <c:pt idx="60">
                  <c:v>0.74963962286101182</c:v>
                </c:pt>
                <c:pt idx="61">
                  <c:v>0.75988377667231821</c:v>
                </c:pt>
                <c:pt idx="62">
                  <c:v>1.1164683616764477</c:v>
                </c:pt>
                <c:pt idx="63">
                  <c:v>0.89784065148977055</c:v>
                </c:pt>
                <c:pt idx="64">
                  <c:v>1.1499959349398579</c:v>
                </c:pt>
                <c:pt idx="66">
                  <c:v>0.91356273471495697</c:v>
                </c:pt>
                <c:pt idx="67">
                  <c:v>0.96116962804794615</c:v>
                </c:pt>
                <c:pt idx="68">
                  <c:v>0.98080807123647029</c:v>
                </c:pt>
                <c:pt idx="69">
                  <c:v>0.91362974984847978</c:v>
                </c:pt>
                <c:pt idx="70">
                  <c:v>0.88891200438416107</c:v>
                </c:pt>
                <c:pt idx="71">
                  <c:v>1.1567904160258464</c:v>
                </c:pt>
                <c:pt idx="72">
                  <c:v>1.2028473585857065</c:v>
                </c:pt>
                <c:pt idx="73">
                  <c:v>1.2649074665071125</c:v>
                </c:pt>
                <c:pt idx="74">
                  <c:v>1.2218671658492044</c:v>
                </c:pt>
                <c:pt idx="75">
                  <c:v>0.8697189751249067</c:v>
                </c:pt>
                <c:pt idx="76">
                  <c:v>0.89347049803591605</c:v>
                </c:pt>
                <c:pt idx="77">
                  <c:v>1.0888038558182622</c:v>
                </c:pt>
                <c:pt idx="78">
                  <c:v>1.2204018199828255</c:v>
                </c:pt>
                <c:pt idx="79">
                  <c:v>1.2715293577383433</c:v>
                </c:pt>
                <c:pt idx="80">
                  <c:v>0.98237511321915549</c:v>
                </c:pt>
                <c:pt idx="81">
                  <c:v>1.0994263216866613</c:v>
                </c:pt>
                <c:pt idx="82">
                  <c:v>1.0703841422803833</c:v>
                </c:pt>
                <c:pt idx="83">
                  <c:v>1.1360427524926529</c:v>
                </c:pt>
                <c:pt idx="84">
                  <c:v>1.052109744420656</c:v>
                </c:pt>
                <c:pt idx="85">
                  <c:v>1.1695813654354281</c:v>
                </c:pt>
                <c:pt idx="86">
                  <c:v>1.1235877075133753</c:v>
                </c:pt>
                <c:pt idx="87">
                  <c:v>1.1046714701548845</c:v>
                </c:pt>
                <c:pt idx="88">
                  <c:v>1.1231070404717092</c:v>
                </c:pt>
                <c:pt idx="89">
                  <c:v>1.2855692591244996</c:v>
                </c:pt>
                <c:pt idx="90">
                  <c:v>1.3945416640120281</c:v>
                </c:pt>
                <c:pt idx="91">
                  <c:v>0.98457361518909292</c:v>
                </c:pt>
                <c:pt idx="92">
                  <c:v>1.0696097344059088</c:v>
                </c:pt>
                <c:pt idx="93">
                  <c:v>0.98161770338061449</c:v>
                </c:pt>
                <c:pt idx="94">
                  <c:v>1.0495656592307139</c:v>
                </c:pt>
                <c:pt idx="95">
                  <c:v>0.98217058503586896</c:v>
                </c:pt>
                <c:pt idx="96">
                  <c:v>0.99040992596962307</c:v>
                </c:pt>
                <c:pt idx="97">
                  <c:v>0.81721497365135776</c:v>
                </c:pt>
                <c:pt idx="98">
                  <c:v>0.81303221963079941</c:v>
                </c:pt>
                <c:pt idx="99">
                  <c:v>0.69659629554846381</c:v>
                </c:pt>
                <c:pt idx="100">
                  <c:v>0.75208681135225364</c:v>
                </c:pt>
                <c:pt idx="113">
                  <c:v>0.96129394656467926</c:v>
                </c:pt>
                <c:pt idx="114">
                  <c:v>1.2785719938235214</c:v>
                </c:pt>
                <c:pt idx="115">
                  <c:v>1.3098915185197448</c:v>
                </c:pt>
                <c:pt idx="116">
                  <c:v>0.98353055359065744</c:v>
                </c:pt>
                <c:pt idx="117">
                  <c:v>1.1067090057702911</c:v>
                </c:pt>
                <c:pt idx="118">
                  <c:v>1.0925318620009352</c:v>
                </c:pt>
                <c:pt idx="119">
                  <c:v>1.1437168102008413</c:v>
                </c:pt>
                <c:pt idx="120">
                  <c:v>1.112459169884874</c:v>
                </c:pt>
                <c:pt idx="121">
                  <c:v>1.1206763468020458</c:v>
                </c:pt>
                <c:pt idx="122">
                  <c:v>1.285171889692756</c:v>
                </c:pt>
                <c:pt idx="123">
                  <c:v>1.1618846803400318</c:v>
                </c:pt>
                <c:pt idx="124">
                  <c:v>1.0461407976053076</c:v>
                </c:pt>
                <c:pt idx="125">
                  <c:v>0.84308759932066202</c:v>
                </c:pt>
                <c:pt idx="126">
                  <c:v>1.0360993957423605</c:v>
                </c:pt>
                <c:pt idx="127">
                  <c:v>1.2987627920477962</c:v>
                </c:pt>
                <c:pt idx="128">
                  <c:v>1.634175742192578</c:v>
                </c:pt>
                <c:pt idx="129">
                  <c:v>1.2828934748820127</c:v>
                </c:pt>
                <c:pt idx="130">
                  <c:v>1.0755836101514773</c:v>
                </c:pt>
                <c:pt idx="131">
                  <c:v>1.3714309698264442</c:v>
                </c:pt>
                <c:pt idx="132">
                  <c:v>1.0895526539249616</c:v>
                </c:pt>
                <c:pt idx="133">
                  <c:v>1.1605850652682879</c:v>
                </c:pt>
                <c:pt idx="134">
                  <c:v>1.4903787129361226</c:v>
                </c:pt>
                <c:pt idx="135">
                  <c:v>1.3995998347943011</c:v>
                </c:pt>
                <c:pt idx="136">
                  <c:v>1.4954653297038225</c:v>
                </c:pt>
                <c:pt idx="137">
                  <c:v>1.2421247257802632</c:v>
                </c:pt>
                <c:pt idx="138">
                  <c:v>1.1290382156017438</c:v>
                </c:pt>
                <c:pt idx="139">
                  <c:v>1.118054357765794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1.0926922449567047</c:v>
                </c:pt>
                <c:pt idx="153">
                  <c:v>1.0880556442001699</c:v>
                </c:pt>
                <c:pt idx="154">
                  <c:v>1.0122350649057119</c:v>
                </c:pt>
                <c:pt idx="155">
                  <c:v>1.0059565565775579</c:v>
                </c:pt>
                <c:pt idx="156">
                  <c:v>1.0904414032234904</c:v>
                </c:pt>
                <c:pt idx="157">
                  <c:v>1.0881822014212317</c:v>
                </c:pt>
                <c:pt idx="158">
                  <c:v>1</c:v>
                </c:pt>
                <c:pt idx="159">
                  <c:v>1</c:v>
                </c:pt>
                <c:pt idx="168">
                  <c:v>1.2380919937878554</c:v>
                </c:pt>
                <c:pt idx="169">
                  <c:v>0.98516281921633742</c:v>
                </c:pt>
                <c:pt idx="171">
                  <c:v>0.93206382246205521</c:v>
                </c:pt>
                <c:pt idx="172">
                  <c:v>1.0324950798962937</c:v>
                </c:pt>
                <c:pt idx="173">
                  <c:v>1.4559039363893846</c:v>
                </c:pt>
                <c:pt idx="175">
                  <c:v>1.2033493663218637</c:v>
                </c:pt>
                <c:pt idx="179">
                  <c:v>1.6270397075880396</c:v>
                </c:pt>
                <c:pt idx="180">
                  <c:v>1.0787425247853666</c:v>
                </c:pt>
                <c:pt idx="181">
                  <c:v>0.864466025227837</c:v>
                </c:pt>
                <c:pt idx="182">
                  <c:v>1.1163081599228812</c:v>
                </c:pt>
                <c:pt idx="183">
                  <c:v>1.3187489627900544</c:v>
                </c:pt>
                <c:pt idx="184">
                  <c:v>1.5899976895949632</c:v>
                </c:pt>
                <c:pt idx="185">
                  <c:v>1.3244193650535829</c:v>
                </c:pt>
                <c:pt idx="186">
                  <c:v>0.96172270015417394</c:v>
                </c:pt>
                <c:pt idx="187">
                  <c:v>1.7054171816068107</c:v>
                </c:pt>
                <c:pt idx="188">
                  <c:v>1.4957640290850434</c:v>
                </c:pt>
                <c:pt idx="189">
                  <c:v>1.3582301682762954</c:v>
                </c:pt>
                <c:pt idx="191">
                  <c:v>1.1369631936734077</c:v>
                </c:pt>
                <c:pt idx="192">
                  <c:v>1</c:v>
                </c:pt>
                <c:pt idx="193">
                  <c:v>1</c:v>
                </c:pt>
                <c:pt idx="194">
                  <c:v>0.97944761192161567</c:v>
                </c:pt>
                <c:pt idx="195">
                  <c:v>0.98979388951233693</c:v>
                </c:pt>
                <c:pt idx="196">
                  <c:v>0.84833333333333338</c:v>
                </c:pt>
                <c:pt idx="197">
                  <c:v>1</c:v>
                </c:pt>
                <c:pt idx="198">
                  <c:v>1.0732340453544049</c:v>
                </c:pt>
                <c:pt idx="199">
                  <c:v>1.0025154962900582</c:v>
                </c:pt>
                <c:pt idx="200">
                  <c:v>1.3316690082587483</c:v>
                </c:pt>
                <c:pt idx="201">
                  <c:v>1.097611405753202</c:v>
                </c:pt>
                <c:pt idx="202">
                  <c:v>1.1737171323264513</c:v>
                </c:pt>
                <c:pt idx="203">
                  <c:v>0.98499999999999999</c:v>
                </c:pt>
                <c:pt idx="204">
                  <c:v>1.1793748514869569</c:v>
                </c:pt>
                <c:pt idx="205">
                  <c:v>1.0114255979953197</c:v>
                </c:pt>
                <c:pt idx="206">
                  <c:v>1.4143463626576895</c:v>
                </c:pt>
                <c:pt idx="207">
                  <c:v>1.1787643163301271</c:v>
                </c:pt>
                <c:pt idx="208">
                  <c:v>0.98628051473021827</c:v>
                </c:pt>
                <c:pt idx="209">
                  <c:v>0.96916666666666662</c:v>
                </c:pt>
                <c:pt idx="210">
                  <c:v>1.1078590441518625</c:v>
                </c:pt>
                <c:pt idx="211">
                  <c:v>1.0255837865554474</c:v>
                </c:pt>
                <c:pt idx="212">
                  <c:v>1.2622199993298189</c:v>
                </c:pt>
                <c:pt idx="213">
                  <c:v>1.0612133921380551</c:v>
                </c:pt>
                <c:pt idx="214">
                  <c:v>0.89800579941581282</c:v>
                </c:pt>
                <c:pt idx="215">
                  <c:v>0.88210240843168164</c:v>
                </c:pt>
                <c:pt idx="216">
                  <c:v>1.0355623876435345</c:v>
                </c:pt>
                <c:pt idx="217">
                  <c:v>0.97531366488201143</c:v>
                </c:pt>
                <c:pt idx="218">
                  <c:v>1.2275313013278444</c:v>
                </c:pt>
                <c:pt idx="219">
                  <c:v>1.0909962422431996</c:v>
                </c:pt>
                <c:pt idx="220">
                  <c:v>0.98097068748379734</c:v>
                </c:pt>
                <c:pt idx="221">
                  <c:v>1.0184221931806774</c:v>
                </c:pt>
                <c:pt idx="222">
                  <c:v>1.2076437156812905</c:v>
                </c:pt>
                <c:pt idx="223">
                  <c:v>1.026278911927931</c:v>
                </c:pt>
                <c:pt idx="224">
                  <c:v>0.95166687424883689</c:v>
                </c:pt>
                <c:pt idx="225">
                  <c:v>0.94979047422646845</c:v>
                </c:pt>
                <c:pt idx="226">
                  <c:v>1.0555684263285166</c:v>
                </c:pt>
                <c:pt idx="227">
                  <c:v>0.75449639049580097</c:v>
                </c:pt>
                <c:pt idx="228">
                  <c:v>0.85631332847185648</c:v>
                </c:pt>
                <c:pt idx="229">
                  <c:v>0.73864862864762737</c:v>
                </c:pt>
                <c:pt idx="230">
                  <c:v>1.0122595831277816</c:v>
                </c:pt>
                <c:pt idx="231">
                  <c:v>0.75738494469674067</c:v>
                </c:pt>
                <c:pt idx="232">
                  <c:v>0.98660780016235983</c:v>
                </c:pt>
                <c:pt idx="233">
                  <c:v>0.7688185795271586</c:v>
                </c:pt>
                <c:pt idx="234">
                  <c:v>0.93949066396852476</c:v>
                </c:pt>
                <c:pt idx="235">
                  <c:v>1.051317145691999</c:v>
                </c:pt>
                <c:pt idx="236">
                  <c:v>1.0428358329621183</c:v>
                </c:pt>
                <c:pt idx="237">
                  <c:v>0.90762534595970545</c:v>
                </c:pt>
                <c:pt idx="238">
                  <c:v>0.96668345094347008</c:v>
                </c:pt>
                <c:pt idx="239">
                  <c:v>0.92467198904083814</c:v>
                </c:pt>
                <c:pt idx="240">
                  <c:v>1.0457977173215069</c:v>
                </c:pt>
                <c:pt idx="241">
                  <c:v>0.98277763354811387</c:v>
                </c:pt>
                <c:pt idx="242">
                  <c:v>0.96655501262970034</c:v>
                </c:pt>
                <c:pt idx="243">
                  <c:v>0.94029242605845686</c:v>
                </c:pt>
                <c:pt idx="244">
                  <c:v>1.0210557999824699</c:v>
                </c:pt>
                <c:pt idx="245">
                  <c:v>1.0263095681968797</c:v>
                </c:pt>
                <c:pt idx="246">
                  <c:v>0.99617785069192466</c:v>
                </c:pt>
                <c:pt idx="247">
                  <c:v>1.1112596892664182</c:v>
                </c:pt>
                <c:pt idx="248">
                  <c:v>1.1281282791225913</c:v>
                </c:pt>
                <c:pt idx="249">
                  <c:v>1.3411331667214759</c:v>
                </c:pt>
                <c:pt idx="250">
                  <c:v>1.4014181325909159</c:v>
                </c:pt>
                <c:pt idx="251">
                  <c:v>1.1403447227271795</c:v>
                </c:pt>
                <c:pt idx="252">
                  <c:v>1.1667495807153807</c:v>
                </c:pt>
                <c:pt idx="253">
                  <c:v>1.3055599870590859</c:v>
                </c:pt>
                <c:pt idx="254">
                  <c:v>1.4151480032461179</c:v>
                </c:pt>
                <c:pt idx="255">
                  <c:v>1.0695354015578697</c:v>
                </c:pt>
                <c:pt idx="256">
                  <c:v>1.1086028706787405</c:v>
                </c:pt>
                <c:pt idx="257">
                  <c:v>1.2682678827222702</c:v>
                </c:pt>
                <c:pt idx="258">
                  <c:v>1.4782200012625968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0.64304013454181963</c:v>
                </c:pt>
                <c:pt idx="263">
                  <c:v>0.76838286120630295</c:v>
                </c:pt>
                <c:pt idx="264">
                  <c:v>0.89552419733717004</c:v>
                </c:pt>
                <c:pt idx="265">
                  <c:v>0.7840718743477787</c:v>
                </c:pt>
                <c:pt idx="266">
                  <c:v>0.98409766607899973</c:v>
                </c:pt>
                <c:pt idx="267">
                  <c:v>1.1028377286200142</c:v>
                </c:pt>
                <c:pt idx="268">
                  <c:v>0.81958454427477145</c:v>
                </c:pt>
                <c:pt idx="269">
                  <c:v>0.86504992090891586</c:v>
                </c:pt>
                <c:pt idx="270">
                  <c:v>0.77187994815402661</c:v>
                </c:pt>
                <c:pt idx="271">
                  <c:v>0.96079814882500592</c:v>
                </c:pt>
                <c:pt idx="272">
                  <c:v>0.72179535196685451</c:v>
                </c:pt>
                <c:pt idx="273">
                  <c:v>0.90958443196571492</c:v>
                </c:pt>
                <c:pt idx="274">
                  <c:v>0.94633885858091515</c:v>
                </c:pt>
                <c:pt idx="275">
                  <c:v>0.88772695202762453</c:v>
                </c:pt>
                <c:pt idx="276">
                  <c:v>1.040321922403797</c:v>
                </c:pt>
                <c:pt idx="277">
                  <c:v>1.0201564955106805</c:v>
                </c:pt>
                <c:pt idx="278">
                  <c:v>1.1408969245623375</c:v>
                </c:pt>
                <c:pt idx="279">
                  <c:v>1.0927712921092712</c:v>
                </c:pt>
                <c:pt idx="280">
                  <c:v>1.2733735889849789</c:v>
                </c:pt>
                <c:pt idx="281">
                  <c:v>1.0374944577148659</c:v>
                </c:pt>
                <c:pt idx="282">
                  <c:v>1.0877385129806194</c:v>
                </c:pt>
                <c:pt idx="283">
                  <c:v>0.77596899224806193</c:v>
                </c:pt>
                <c:pt idx="284">
                  <c:v>0.76884181445606981</c:v>
                </c:pt>
                <c:pt idx="285">
                  <c:v>1</c:v>
                </c:pt>
                <c:pt idx="286">
                  <c:v>1.0970371571867716</c:v>
                </c:pt>
                <c:pt idx="287">
                  <c:v>0.93271114834467483</c:v>
                </c:pt>
                <c:pt idx="288">
                  <c:v>0.98191767642597505</c:v>
                </c:pt>
                <c:pt idx="289">
                  <c:v>0.92990729725452292</c:v>
                </c:pt>
                <c:pt idx="290">
                  <c:v>1.2334336233137346</c:v>
                </c:pt>
                <c:pt idx="291">
                  <c:v>0.73708254508719195</c:v>
                </c:pt>
                <c:pt idx="292">
                  <c:v>0.76475423221277683</c:v>
                </c:pt>
                <c:pt idx="293">
                  <c:v>0.80505769112623204</c:v>
                </c:pt>
                <c:pt idx="294">
                  <c:v>1.1698808414795534</c:v>
                </c:pt>
                <c:pt idx="295">
                  <c:v>0.81066942187607538</c:v>
                </c:pt>
                <c:pt idx="296">
                  <c:v>0.89753775945612424</c:v>
                </c:pt>
                <c:pt idx="297">
                  <c:v>0.89515643202731698</c:v>
                </c:pt>
                <c:pt idx="298">
                  <c:v>0.95550025830198404</c:v>
                </c:pt>
                <c:pt idx="299">
                  <c:v>1.0643352713979048</c:v>
                </c:pt>
                <c:pt idx="300">
                  <c:v>0.9161935541106252</c:v>
                </c:pt>
                <c:pt idx="301">
                  <c:v>1.0276805768179793</c:v>
                </c:pt>
                <c:pt idx="302">
                  <c:v>0.79497862339968595</c:v>
                </c:pt>
                <c:pt idx="303">
                  <c:v>1.0750809484919404</c:v>
                </c:pt>
                <c:pt idx="304">
                  <c:v>0.62319362436667958</c:v>
                </c:pt>
                <c:pt idx="305">
                  <c:v>0.96051437093285852</c:v>
                </c:pt>
                <c:pt idx="306">
                  <c:v>0.87917179348650509</c:v>
                </c:pt>
                <c:pt idx="307">
                  <c:v>1.2347092535127056</c:v>
                </c:pt>
                <c:pt idx="308">
                  <c:v>0.60184794055467938</c:v>
                </c:pt>
                <c:pt idx="309">
                  <c:v>1.0219610040497915</c:v>
                </c:pt>
                <c:pt idx="310">
                  <c:v>0.7330357782373077</c:v>
                </c:pt>
                <c:pt idx="311">
                  <c:v>1.1198131819366681</c:v>
                </c:pt>
                <c:pt idx="312">
                  <c:v>0.66486057633594775</c:v>
                </c:pt>
                <c:pt idx="313">
                  <c:v>1.0063627542062954</c:v>
                </c:pt>
                <c:pt idx="314">
                  <c:v>0.65201390875330911</c:v>
                </c:pt>
                <c:pt idx="315">
                  <c:v>0.96063482258325084</c:v>
                </c:pt>
                <c:pt idx="316">
                  <c:v>0.72042570438964904</c:v>
                </c:pt>
                <c:pt idx="317">
                  <c:v>1.1550340401026544</c:v>
                </c:pt>
                <c:pt idx="318">
                  <c:v>0.65535916327208799</c:v>
                </c:pt>
                <c:pt idx="319">
                  <c:v>1.1105084560718819</c:v>
                </c:pt>
                <c:pt idx="320">
                  <c:v>0.79874270242833545</c:v>
                </c:pt>
                <c:pt idx="321">
                  <c:v>1.023547164422965</c:v>
                </c:pt>
                <c:pt idx="322">
                  <c:v>0.85551395808440578</c:v>
                </c:pt>
                <c:pt idx="323">
                  <c:v>0.98139244277365356</c:v>
                </c:pt>
                <c:pt idx="324">
                  <c:v>0.70984876435598188</c:v>
                </c:pt>
                <c:pt idx="325">
                  <c:v>1.0481130483497585</c:v>
                </c:pt>
                <c:pt idx="326">
                  <c:v>0.90063459723224326</c:v>
                </c:pt>
                <c:pt idx="327">
                  <c:v>1.2858428339267387</c:v>
                </c:pt>
                <c:pt idx="328">
                  <c:v>0.89396556017501727</c:v>
                </c:pt>
                <c:pt idx="329">
                  <c:v>0.98338913792026705</c:v>
                </c:pt>
                <c:pt idx="330">
                  <c:v>1.036322161226584</c:v>
                </c:pt>
                <c:pt idx="331">
                  <c:v>1.3610574349331113</c:v>
                </c:pt>
                <c:pt idx="332">
                  <c:v>1.1811110675219012</c:v>
                </c:pt>
                <c:pt idx="333">
                  <c:v>0.65825114412661645</c:v>
                </c:pt>
                <c:pt idx="334">
                  <c:v>0.77378912538861899</c:v>
                </c:pt>
                <c:pt idx="335">
                  <c:v>0.75899280575539563</c:v>
                </c:pt>
                <c:pt idx="336">
                  <c:v>0.8904869210020433</c:v>
                </c:pt>
                <c:pt idx="337">
                  <c:v>0.90287769784172656</c:v>
                </c:pt>
                <c:pt idx="338">
                  <c:v>0.98498574494393953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0.81191613543819985</c:v>
                </c:pt>
                <c:pt idx="342">
                  <c:v>0.9430316920738141</c:v>
                </c:pt>
                <c:pt idx="343">
                  <c:v>1.0458763223941501</c:v>
                </c:pt>
                <c:pt idx="344">
                  <c:v>0.93075915185163327</c:v>
                </c:pt>
                <c:pt idx="345">
                  <c:v>1.0597976267559761</c:v>
                </c:pt>
                <c:pt idx="346">
                  <c:v>1.4770163586145215</c:v>
                </c:pt>
                <c:pt idx="347">
                  <c:v>0.9223210736286156</c:v>
                </c:pt>
                <c:pt idx="348">
                  <c:v>1.0760378613885915</c:v>
                </c:pt>
                <c:pt idx="349">
                  <c:v>1.0622002196076112</c:v>
                </c:pt>
                <c:pt idx="350">
                  <c:v>0.68598892644176579</c:v>
                </c:pt>
                <c:pt idx="351">
                  <c:v>0.83117670323868909</c:v>
                </c:pt>
                <c:pt idx="352">
                  <c:v>0.90798285629871378</c:v>
                </c:pt>
                <c:pt idx="353">
                  <c:v>0.80065106847835565</c:v>
                </c:pt>
                <c:pt idx="354">
                  <c:v>0.91366453911512724</c:v>
                </c:pt>
                <c:pt idx="355">
                  <c:v>0.63658061415316614</c:v>
                </c:pt>
                <c:pt idx="356">
                  <c:v>0.67872485494033818</c:v>
                </c:pt>
                <c:pt idx="357">
                  <c:v>0.83340478977310528</c:v>
                </c:pt>
                <c:pt idx="358">
                  <c:v>0.61800778838527559</c:v>
                </c:pt>
                <c:pt idx="359">
                  <c:v>0.70367808719437008</c:v>
                </c:pt>
                <c:pt idx="360">
                  <c:v>0.9393306132040562</c:v>
                </c:pt>
                <c:pt idx="361">
                  <c:v>0.65027889870200761</c:v>
                </c:pt>
                <c:pt idx="362">
                  <c:v>0.95884996399514588</c:v>
                </c:pt>
                <c:pt idx="363">
                  <c:v>1.0237310466798923</c:v>
                </c:pt>
                <c:pt idx="364">
                  <c:v>0.58197921135499686</c:v>
                </c:pt>
                <c:pt idx="365">
                  <c:v>0.64761509962742803</c:v>
                </c:pt>
                <c:pt idx="366">
                  <c:v>0.80079303363680798</c:v>
                </c:pt>
                <c:pt idx="367">
                  <c:v>0.47564989032534455</c:v>
                </c:pt>
                <c:pt idx="368">
                  <c:v>0.66704150177213273</c:v>
                </c:pt>
                <c:pt idx="369">
                  <c:v>0.70702684009784134</c:v>
                </c:pt>
                <c:pt idx="370">
                  <c:v>1.0814969925658282</c:v>
                </c:pt>
                <c:pt idx="371">
                  <c:v>0.99576500752813224</c:v>
                </c:pt>
                <c:pt idx="372">
                  <c:v>0.99413885294838056</c:v>
                </c:pt>
                <c:pt idx="373">
                  <c:v>1.1394424782402843</c:v>
                </c:pt>
                <c:pt idx="374">
                  <c:v>0.67339603919552049</c:v>
                </c:pt>
                <c:pt idx="375">
                  <c:v>0.8706995887826271</c:v>
                </c:pt>
                <c:pt idx="376">
                  <c:v>1.0281950348313329</c:v>
                </c:pt>
                <c:pt idx="377">
                  <c:v>1.1970277979743196</c:v>
                </c:pt>
                <c:pt idx="378">
                  <c:v>0.75774169091366828</c:v>
                </c:pt>
                <c:pt idx="379">
                  <c:v>1.0238289667935871</c:v>
                </c:pt>
                <c:pt idx="380">
                  <c:v>0.73182258163771818</c:v>
                </c:pt>
                <c:pt idx="381">
                  <c:v>0.85256630700679548</c:v>
                </c:pt>
                <c:pt idx="382">
                  <c:v>0.99737956201403044</c:v>
                </c:pt>
                <c:pt idx="383">
                  <c:v>1.0728433505360115</c:v>
                </c:pt>
                <c:pt idx="384">
                  <c:v>1.2159686517391213</c:v>
                </c:pt>
                <c:pt idx="385">
                  <c:v>1.2091576243153148</c:v>
                </c:pt>
                <c:pt idx="386">
                  <c:v>0.79048475314469613</c:v>
                </c:pt>
                <c:pt idx="387">
                  <c:v>0.83691102883897983</c:v>
                </c:pt>
                <c:pt idx="388">
                  <c:v>1.006304469333855</c:v>
                </c:pt>
                <c:pt idx="389">
                  <c:v>1.189548271882735</c:v>
                </c:pt>
                <c:pt idx="390">
                  <c:v>1.1596127136690846</c:v>
                </c:pt>
                <c:pt idx="391">
                  <c:v>1.2217011324137843</c:v>
                </c:pt>
                <c:pt idx="392">
                  <c:v>1.3325481105008794</c:v>
                </c:pt>
                <c:pt idx="393">
                  <c:v>1.3127262358757383</c:v>
                </c:pt>
                <c:pt idx="394">
                  <c:v>1.1515856076091984</c:v>
                </c:pt>
                <c:pt idx="395">
                  <c:v>1.1740740153975369</c:v>
                </c:pt>
                <c:pt idx="396">
                  <c:v>1.2956263023911716</c:v>
                </c:pt>
                <c:pt idx="3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8-464F-9CB9-B00E08AB35B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8-464F-9CB9-B00E08AB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headed_backup!$CQ$19:$CQ$533</c:f>
              <c:numCache>
                <c:formatCode>General</c:formatCode>
                <c:ptCount val="51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9-4258-9D83-D020A5D907F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9-4258-9D83-D020A5D9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5-47F2-A91F-1759D95C5E9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75-47F2-A91F-1759D95C5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headed_backup!$CS$104:$CS$152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C-43DA-B265-45B5FB0B80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FC-43DA-B265-45B5FB0B8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headed_backup!$CO$165:$CO$574</c:f>
              <c:numCache>
                <c:formatCode>General</c:formatCode>
                <c:ptCount val="410"/>
                <c:pt idx="0">
                  <c:v>0.88534408249407859</c:v>
                </c:pt>
                <c:pt idx="1">
                  <c:v>0.98476546344529348</c:v>
                </c:pt>
                <c:pt idx="2">
                  <c:v>1.1895298986663618</c:v>
                </c:pt>
                <c:pt idx="3">
                  <c:v>1.00807985266901</c:v>
                </c:pt>
                <c:pt idx="4">
                  <c:v>0.94893254593398446</c:v>
                </c:pt>
                <c:pt idx="5">
                  <c:v>1.0958701302456109</c:v>
                </c:pt>
                <c:pt idx="6">
                  <c:v>1.0172127143791025</c:v>
                </c:pt>
                <c:pt idx="7">
                  <c:v>0.94066025167937894</c:v>
                </c:pt>
                <c:pt idx="8">
                  <c:v>0.76127438140166614</c:v>
                </c:pt>
                <c:pt idx="9">
                  <c:v>0.9624039053840493</c:v>
                </c:pt>
                <c:pt idx="10">
                  <c:v>1.0835992283701597</c:v>
                </c:pt>
                <c:pt idx="11">
                  <c:v>0.91992270156739442</c:v>
                </c:pt>
                <c:pt idx="12">
                  <c:v>0.60055816701751907</c:v>
                </c:pt>
                <c:pt idx="13">
                  <c:v>0.8064397361857164</c:v>
                </c:pt>
                <c:pt idx="14">
                  <c:v>0.913470930321853</c:v>
                </c:pt>
                <c:pt idx="15">
                  <c:v>0.96504995295689378</c:v>
                </c:pt>
                <c:pt idx="16">
                  <c:v>0.88656349656218902</c:v>
                </c:pt>
                <c:pt idx="17">
                  <c:v>0.85316543926317967</c:v>
                </c:pt>
                <c:pt idx="18">
                  <c:v>0.91412308338752946</c:v>
                </c:pt>
                <c:pt idx="19">
                  <c:v>0.8457569800117225</c:v>
                </c:pt>
                <c:pt idx="20">
                  <c:v>0.99974195472107696</c:v>
                </c:pt>
                <c:pt idx="21">
                  <c:v>1.1105974873373516</c:v>
                </c:pt>
                <c:pt idx="22">
                  <c:v>0.95321963141319743</c:v>
                </c:pt>
                <c:pt idx="23">
                  <c:v>1.114387922447718</c:v>
                </c:pt>
                <c:pt idx="24">
                  <c:v>1.0020192712466374</c:v>
                </c:pt>
                <c:pt idx="25">
                  <c:v>1.0113172906851617</c:v>
                </c:pt>
                <c:pt idx="26">
                  <c:v>0.93279147752607849</c:v>
                </c:pt>
                <c:pt idx="27">
                  <c:v>1.343745872820697</c:v>
                </c:pt>
                <c:pt idx="28">
                  <c:v>1.3263049234389535</c:v>
                </c:pt>
                <c:pt idx="29">
                  <c:v>1.0860954842267581</c:v>
                </c:pt>
                <c:pt idx="30">
                  <c:v>1.1487243479157463</c:v>
                </c:pt>
                <c:pt idx="31">
                  <c:v>1.3996547964651125</c:v>
                </c:pt>
                <c:pt idx="32">
                  <c:v>1.459192351240121</c:v>
                </c:pt>
                <c:pt idx="33">
                  <c:v>1.346268295107405</c:v>
                </c:pt>
                <c:pt idx="34">
                  <c:v>1.3221283118847895</c:v>
                </c:pt>
                <c:pt idx="35">
                  <c:v>1.0758540599694522</c:v>
                </c:pt>
                <c:pt idx="36">
                  <c:v>1.0728697213842386</c:v>
                </c:pt>
                <c:pt idx="37">
                  <c:v>1.334372389913568</c:v>
                </c:pt>
                <c:pt idx="38">
                  <c:v>1.3371142509887328</c:v>
                </c:pt>
                <c:pt idx="39">
                  <c:v>1.476949165822141</c:v>
                </c:pt>
                <c:pt idx="40">
                  <c:v>1.4706820547931927</c:v>
                </c:pt>
                <c:pt idx="41">
                  <c:v>1.3471967560005826</c:v>
                </c:pt>
                <c:pt idx="42">
                  <c:v>1.3388406079619848</c:v>
                </c:pt>
                <c:pt idx="43">
                  <c:v>1.0803305678472723</c:v>
                </c:pt>
                <c:pt idx="44">
                  <c:v>1.0780923139083622</c:v>
                </c:pt>
                <c:pt idx="45">
                  <c:v>1.307867732853641</c:v>
                </c:pt>
                <c:pt idx="46">
                  <c:v>1.3215770382294654</c:v>
                </c:pt>
                <c:pt idx="55">
                  <c:v>0.83984320870467188</c:v>
                </c:pt>
                <c:pt idx="56">
                  <c:v>0.66940443987931186</c:v>
                </c:pt>
                <c:pt idx="58">
                  <c:v>0.96186866879752408</c:v>
                </c:pt>
                <c:pt idx="59">
                  <c:v>0.90949475269668878</c:v>
                </c:pt>
                <c:pt idx="60">
                  <c:v>0.84492033037199443</c:v>
                </c:pt>
                <c:pt idx="62">
                  <c:v>0.87763375463944127</c:v>
                </c:pt>
                <c:pt idx="66">
                  <c:v>0.96033014178643861</c:v>
                </c:pt>
                <c:pt idx="67">
                  <c:v>0.88138653561678071</c:v>
                </c:pt>
                <c:pt idx="68">
                  <c:v>0.73987952301775617</c:v>
                </c:pt>
                <c:pt idx="69">
                  <c:v>0.76452366947646233</c:v>
                </c:pt>
                <c:pt idx="70">
                  <c:v>0.90428537265476261</c:v>
                </c:pt>
                <c:pt idx="71">
                  <c:v>0.92854346416666433</c:v>
                </c:pt>
                <c:pt idx="72">
                  <c:v>1.0350535220775872</c:v>
                </c:pt>
                <c:pt idx="73">
                  <c:v>0.58198738963793162</c:v>
                </c:pt>
                <c:pt idx="74">
                  <c:v>1.0777057029606696</c:v>
                </c:pt>
                <c:pt idx="75">
                  <c:v>0.96798239324432744</c:v>
                </c:pt>
                <c:pt idx="76">
                  <c:v>1.223615596955703</c:v>
                </c:pt>
                <c:pt idx="78">
                  <c:v>0.91159169350602032</c:v>
                </c:pt>
                <c:pt idx="79">
                  <c:v>1.0829854421475513</c:v>
                </c:pt>
                <c:pt idx="80">
                  <c:v>1.127798632857105</c:v>
                </c:pt>
                <c:pt idx="81">
                  <c:v>1.0605788467927744</c:v>
                </c:pt>
                <c:pt idx="82">
                  <c:v>1.0717821444701627</c:v>
                </c:pt>
                <c:pt idx="83">
                  <c:v>1.0564220201122723</c:v>
                </c:pt>
                <c:pt idx="84">
                  <c:v>1.2384810622137228</c:v>
                </c:pt>
                <c:pt idx="85">
                  <c:v>1.2831551863086319</c:v>
                </c:pt>
                <c:pt idx="86">
                  <c:v>1.3880254124322593</c:v>
                </c:pt>
                <c:pt idx="87">
                  <c:v>1.5938804335037966</c:v>
                </c:pt>
                <c:pt idx="88">
                  <c:v>1.5345408049582523</c:v>
                </c:pt>
                <c:pt idx="89">
                  <c:v>1.4359155871172888</c:v>
                </c:pt>
                <c:pt idx="90">
                  <c:v>1.2194946641051669</c:v>
                </c:pt>
                <c:pt idx="91">
                  <c:v>1.317149532036703</c:v>
                </c:pt>
                <c:pt idx="92">
                  <c:v>1.2346358259905077</c:v>
                </c:pt>
                <c:pt idx="93">
                  <c:v>1.5339299197210992</c:v>
                </c:pt>
                <c:pt idx="94">
                  <c:v>1.5068032599175301</c:v>
                </c:pt>
                <c:pt idx="95">
                  <c:v>1.2029201868693087</c:v>
                </c:pt>
                <c:pt idx="96">
                  <c:v>1.1802672611961667</c:v>
                </c:pt>
                <c:pt idx="97">
                  <c:v>1.162421606270974</c:v>
                </c:pt>
                <c:pt idx="98">
                  <c:v>1.2306592685757356</c:v>
                </c:pt>
                <c:pt idx="99">
                  <c:v>1.36903463434048</c:v>
                </c:pt>
                <c:pt idx="100">
                  <c:v>1.3187310543950901</c:v>
                </c:pt>
                <c:pt idx="101">
                  <c:v>1.0522667203632556</c:v>
                </c:pt>
                <c:pt idx="102">
                  <c:v>0.93815471277091533</c:v>
                </c:pt>
                <c:pt idx="103">
                  <c:v>0.74532206536108792</c:v>
                </c:pt>
                <c:pt idx="104">
                  <c:v>0.63101344107675594</c:v>
                </c:pt>
                <c:pt idx="105">
                  <c:v>0.79280396895483174</c:v>
                </c:pt>
                <c:pt idx="106">
                  <c:v>0.71854812201195861</c:v>
                </c:pt>
                <c:pt idx="107">
                  <c:v>0.78120180007439466</c:v>
                </c:pt>
                <c:pt idx="108">
                  <c:v>0.72735175301753507</c:v>
                </c:pt>
                <c:pt idx="109">
                  <c:v>0.89437660671396491</c:v>
                </c:pt>
                <c:pt idx="110">
                  <c:v>0.90132392311400156</c:v>
                </c:pt>
                <c:pt idx="111">
                  <c:v>0.76007708503607152</c:v>
                </c:pt>
                <c:pt idx="112">
                  <c:v>0.72849406166503683</c:v>
                </c:pt>
                <c:pt idx="113">
                  <c:v>0.84166253600077767</c:v>
                </c:pt>
                <c:pt idx="114">
                  <c:v>0.85705077547664621</c:v>
                </c:pt>
                <c:pt idx="115">
                  <c:v>0.9393747924293061</c:v>
                </c:pt>
                <c:pt idx="116">
                  <c:v>0.51887396146108922</c:v>
                </c:pt>
                <c:pt idx="117">
                  <c:v>0.68498893387023563</c:v>
                </c:pt>
                <c:pt idx="118">
                  <c:v>0.58489828600310911</c:v>
                </c:pt>
                <c:pt idx="119">
                  <c:v>0.72611787808674999</c:v>
                </c:pt>
                <c:pt idx="120">
                  <c:v>0.65802619294675391</c:v>
                </c:pt>
                <c:pt idx="121">
                  <c:v>0.77575340422431527</c:v>
                </c:pt>
                <c:pt idx="122">
                  <c:v>1.2322823459064642</c:v>
                </c:pt>
                <c:pt idx="123">
                  <c:v>1.277411567533927</c:v>
                </c:pt>
                <c:pt idx="124">
                  <c:v>1.0896845617861677</c:v>
                </c:pt>
                <c:pt idx="125">
                  <c:v>1.2105023884032184</c:v>
                </c:pt>
                <c:pt idx="126">
                  <c:v>1.0203025240427521</c:v>
                </c:pt>
                <c:pt idx="127">
                  <c:v>1.1868583452849486</c:v>
                </c:pt>
                <c:pt idx="128">
                  <c:v>1.0799763404341667</c:v>
                </c:pt>
                <c:pt idx="129">
                  <c:v>1.0995962911600672</c:v>
                </c:pt>
                <c:pt idx="130">
                  <c:v>1.0300511509764076</c:v>
                </c:pt>
                <c:pt idx="131">
                  <c:v>1.2265309375291311</c:v>
                </c:pt>
                <c:pt idx="132">
                  <c:v>1.1559069266391626</c:v>
                </c:pt>
                <c:pt idx="133">
                  <c:v>1.1836647429125442</c:v>
                </c:pt>
                <c:pt idx="134">
                  <c:v>1.3465046140644013</c:v>
                </c:pt>
                <c:pt idx="135">
                  <c:v>1.3682820765439294</c:v>
                </c:pt>
                <c:pt idx="136">
                  <c:v>1.5751753462483433</c:v>
                </c:pt>
                <c:pt idx="137">
                  <c:v>1.6397503433727931</c:v>
                </c:pt>
                <c:pt idx="138">
                  <c:v>1.1051503511747058</c:v>
                </c:pt>
                <c:pt idx="139">
                  <c:v>1.1349688403690872</c:v>
                </c:pt>
                <c:pt idx="140">
                  <c:v>1.2344253536743985</c:v>
                </c:pt>
                <c:pt idx="141">
                  <c:v>1.3364980881517277</c:v>
                </c:pt>
                <c:pt idx="142">
                  <c:v>0.85476926926907693</c:v>
                </c:pt>
                <c:pt idx="143">
                  <c:v>0.87687303494811975</c:v>
                </c:pt>
                <c:pt idx="144">
                  <c:v>0.98202522476536125</c:v>
                </c:pt>
                <c:pt idx="145">
                  <c:v>1.1384629532737178</c:v>
                </c:pt>
                <c:pt idx="146">
                  <c:v>0.85947111258748954</c:v>
                </c:pt>
                <c:pt idx="147">
                  <c:v>0.82077752133214454</c:v>
                </c:pt>
                <c:pt idx="148">
                  <c:v>0.89074846193263224</c:v>
                </c:pt>
                <c:pt idx="149">
                  <c:v>0.63823159385634853</c:v>
                </c:pt>
                <c:pt idx="150">
                  <c:v>0.72537968297729583</c:v>
                </c:pt>
                <c:pt idx="151">
                  <c:v>0.8608381695530406</c:v>
                </c:pt>
                <c:pt idx="152">
                  <c:v>0.75324722752883644</c:v>
                </c:pt>
                <c:pt idx="153">
                  <c:v>0.89432702193294766</c:v>
                </c:pt>
                <c:pt idx="154">
                  <c:v>0.96859506161635667</c:v>
                </c:pt>
                <c:pt idx="155">
                  <c:v>0.90138018464758518</c:v>
                </c:pt>
                <c:pt idx="156">
                  <c:v>0.8799612495668504</c:v>
                </c:pt>
                <c:pt idx="157">
                  <c:v>0.56097986424367119</c:v>
                </c:pt>
                <c:pt idx="158">
                  <c:v>0.65029501043448246</c:v>
                </c:pt>
                <c:pt idx="159">
                  <c:v>0.58300548044000222</c:v>
                </c:pt>
                <c:pt idx="160">
                  <c:v>0.67482991273653969</c:v>
                </c:pt>
                <c:pt idx="161">
                  <c:v>0.89023117394172224</c:v>
                </c:pt>
                <c:pt idx="162">
                  <c:v>0.79963293487855847</c:v>
                </c:pt>
                <c:pt idx="163">
                  <c:v>1.23092698317647</c:v>
                </c:pt>
                <c:pt idx="164">
                  <c:v>0.83559856691156109</c:v>
                </c:pt>
                <c:pt idx="165">
                  <c:v>0.85920996290500906</c:v>
                </c:pt>
                <c:pt idx="166">
                  <c:v>0.96939099825013697</c:v>
                </c:pt>
                <c:pt idx="167">
                  <c:v>1.0239011603223291</c:v>
                </c:pt>
                <c:pt idx="168">
                  <c:v>1.070038706952406</c:v>
                </c:pt>
                <c:pt idx="169">
                  <c:v>1.0695643990149271</c:v>
                </c:pt>
                <c:pt idx="170">
                  <c:v>0.83116481100661199</c:v>
                </c:pt>
                <c:pt idx="171">
                  <c:v>0.81037608951469353</c:v>
                </c:pt>
                <c:pt idx="172">
                  <c:v>1.0821892471927714</c:v>
                </c:pt>
                <c:pt idx="173">
                  <c:v>1.1638954318825405</c:v>
                </c:pt>
                <c:pt idx="174">
                  <c:v>0.78644289346564267</c:v>
                </c:pt>
                <c:pt idx="175">
                  <c:v>0.80888078104723415</c:v>
                </c:pt>
                <c:pt idx="176">
                  <c:v>0.84206870494089237</c:v>
                </c:pt>
                <c:pt idx="177">
                  <c:v>1.0551953276997568</c:v>
                </c:pt>
                <c:pt idx="178">
                  <c:v>0.52517845184720147</c:v>
                </c:pt>
                <c:pt idx="179">
                  <c:v>0.52030326339174249</c:v>
                </c:pt>
                <c:pt idx="180">
                  <c:v>0.61183706342117261</c:v>
                </c:pt>
                <c:pt idx="181">
                  <c:v>0.84018279528395989</c:v>
                </c:pt>
                <c:pt idx="182">
                  <c:v>0.92955461647292403</c:v>
                </c:pt>
                <c:pt idx="183">
                  <c:v>0.95371766512172973</c:v>
                </c:pt>
                <c:pt idx="184">
                  <c:v>0.87300925776748195</c:v>
                </c:pt>
                <c:pt idx="185">
                  <c:v>0.83820875142810081</c:v>
                </c:pt>
                <c:pt idx="186">
                  <c:v>0.78129334238051362</c:v>
                </c:pt>
                <c:pt idx="187">
                  <c:v>0.98584840742699886</c:v>
                </c:pt>
                <c:pt idx="188">
                  <c:v>1.1152011703167652</c:v>
                </c:pt>
                <c:pt idx="189">
                  <c:v>0.64506316073421432</c:v>
                </c:pt>
                <c:pt idx="190">
                  <c:v>0.93378530054610154</c:v>
                </c:pt>
                <c:pt idx="191">
                  <c:v>0.42355464883704419</c:v>
                </c:pt>
                <c:pt idx="192">
                  <c:v>0.70792013470807091</c:v>
                </c:pt>
                <c:pt idx="193">
                  <c:v>0.62523555326919822</c:v>
                </c:pt>
                <c:pt idx="194">
                  <c:v>0.83825051850203269</c:v>
                </c:pt>
                <c:pt idx="195">
                  <c:v>0.62969958773609069</c:v>
                </c:pt>
                <c:pt idx="196">
                  <c:v>1.0367754136289835</c:v>
                </c:pt>
                <c:pt idx="197">
                  <c:v>0.44996267153002917</c:v>
                </c:pt>
                <c:pt idx="198">
                  <c:v>0.6669389422208678</c:v>
                </c:pt>
                <c:pt idx="199">
                  <c:v>0.50449832197238131</c:v>
                </c:pt>
                <c:pt idx="200">
                  <c:v>0.76639480246858727</c:v>
                </c:pt>
                <c:pt idx="201">
                  <c:v>0.5833875545987004</c:v>
                </c:pt>
                <c:pt idx="202">
                  <c:v>0.872504984363912</c:v>
                </c:pt>
                <c:pt idx="203">
                  <c:v>0.71231037080251502</c:v>
                </c:pt>
                <c:pt idx="204">
                  <c:v>1.106485599503142</c:v>
                </c:pt>
                <c:pt idx="205">
                  <c:v>0.48976913315039056</c:v>
                </c:pt>
                <c:pt idx="206">
                  <c:v>0.86321287970569793</c:v>
                </c:pt>
                <c:pt idx="207">
                  <c:v>0.46513579599200511</c:v>
                </c:pt>
                <c:pt idx="208">
                  <c:v>0.64106948259639507</c:v>
                </c:pt>
                <c:pt idx="209">
                  <c:v>1.2743226144407223</c:v>
                </c:pt>
                <c:pt idx="210">
                  <c:v>1.4196953239300236</c:v>
                </c:pt>
                <c:pt idx="211">
                  <c:v>1.0497519954137509</c:v>
                </c:pt>
                <c:pt idx="212">
                  <c:v>1.4990162397903857</c:v>
                </c:pt>
                <c:pt idx="213">
                  <c:v>1.3659234137605867</c:v>
                </c:pt>
                <c:pt idx="214">
                  <c:v>1.8310172843631967</c:v>
                </c:pt>
                <c:pt idx="215">
                  <c:v>1.4504857015864872</c:v>
                </c:pt>
                <c:pt idx="216">
                  <c:v>1.5383471514809657</c:v>
                </c:pt>
                <c:pt idx="217">
                  <c:v>1.6814635194694538</c:v>
                </c:pt>
                <c:pt idx="218">
                  <c:v>2.068307828817685</c:v>
                </c:pt>
                <c:pt idx="219">
                  <c:v>1.9195379344609871</c:v>
                </c:pt>
                <c:pt idx="220">
                  <c:v>0.97254086403226603</c:v>
                </c:pt>
                <c:pt idx="221">
                  <c:v>1.0717854033241645</c:v>
                </c:pt>
                <c:pt idx="222">
                  <c:v>1.1162227053376048</c:v>
                </c:pt>
                <c:pt idx="223">
                  <c:v>1.2437471613413587</c:v>
                </c:pt>
                <c:pt idx="224">
                  <c:v>1.3164149033494428</c:v>
                </c:pt>
                <c:pt idx="225">
                  <c:v>1.3754403004160058</c:v>
                </c:pt>
                <c:pt idx="226">
                  <c:v>1.2058184978422544</c:v>
                </c:pt>
                <c:pt idx="227">
                  <c:v>1.2753133471511944</c:v>
                </c:pt>
                <c:pt idx="228">
                  <c:v>0.87936714367783619</c:v>
                </c:pt>
                <c:pt idx="229">
                  <c:v>1.0914926228511777</c:v>
                </c:pt>
                <c:pt idx="230">
                  <c:v>1.2141990046156852</c:v>
                </c:pt>
                <c:pt idx="231">
                  <c:v>0.79391723730830444</c:v>
                </c:pt>
                <c:pt idx="232">
                  <c:v>0.97069279237337602</c:v>
                </c:pt>
                <c:pt idx="233">
                  <c:v>1.4899148153597199</c:v>
                </c:pt>
                <c:pt idx="234">
                  <c:v>1.0477514047953278</c:v>
                </c:pt>
                <c:pt idx="235">
                  <c:v>0.9895836477926353</c:v>
                </c:pt>
                <c:pt idx="236">
                  <c:v>0.98836811047695539</c:v>
                </c:pt>
                <c:pt idx="237">
                  <c:v>0.70400056799858857</c:v>
                </c:pt>
                <c:pt idx="238">
                  <c:v>0.7044109601561066</c:v>
                </c:pt>
                <c:pt idx="239">
                  <c:v>0.78942251868503899</c:v>
                </c:pt>
                <c:pt idx="240">
                  <c:v>0.79283341728023848</c:v>
                </c:pt>
                <c:pt idx="241">
                  <c:v>0.77910977528454672</c:v>
                </c:pt>
                <c:pt idx="242">
                  <c:v>0.74030382552754892</c:v>
                </c:pt>
                <c:pt idx="243">
                  <c:v>0.76063616135424206</c:v>
                </c:pt>
                <c:pt idx="244">
                  <c:v>0.94250763551701122</c:v>
                </c:pt>
                <c:pt idx="245">
                  <c:v>0.73841171855110732</c:v>
                </c:pt>
                <c:pt idx="246">
                  <c:v>0.80542668268051976</c:v>
                </c:pt>
                <c:pt idx="247">
                  <c:v>1.0735026055940766</c:v>
                </c:pt>
                <c:pt idx="248">
                  <c:v>0.71294115138339709</c:v>
                </c:pt>
                <c:pt idx="249">
                  <c:v>1.1684207947786249</c:v>
                </c:pt>
                <c:pt idx="250">
                  <c:v>1.1817708532653595</c:v>
                </c:pt>
                <c:pt idx="251">
                  <c:v>0.60951935748641473</c:v>
                </c:pt>
                <c:pt idx="252">
                  <c:v>0.55788863885703999</c:v>
                </c:pt>
                <c:pt idx="253">
                  <c:v>0.70122789556506115</c:v>
                </c:pt>
                <c:pt idx="254">
                  <c:v>0.39567942283543261</c:v>
                </c:pt>
                <c:pt idx="255">
                  <c:v>0.48899944075446833</c:v>
                </c:pt>
                <c:pt idx="256">
                  <c:v>0.51563362796658507</c:v>
                </c:pt>
                <c:pt idx="257">
                  <c:v>1.1749618201465732</c:v>
                </c:pt>
                <c:pt idx="258">
                  <c:v>1.0359885288999844</c:v>
                </c:pt>
                <c:pt idx="259">
                  <c:v>1.0729595846360971</c:v>
                </c:pt>
                <c:pt idx="260">
                  <c:v>1.1868247628736053</c:v>
                </c:pt>
                <c:pt idx="261">
                  <c:v>0.68470671862790344</c:v>
                </c:pt>
                <c:pt idx="262">
                  <c:v>0.72953503068804071</c:v>
                </c:pt>
                <c:pt idx="263">
                  <c:v>1.1280239260463714</c:v>
                </c:pt>
                <c:pt idx="264">
                  <c:v>1.056751021942246</c:v>
                </c:pt>
                <c:pt idx="265">
                  <c:v>0.78019756280710717</c:v>
                </c:pt>
                <c:pt idx="266">
                  <c:v>0.8439802865874686</c:v>
                </c:pt>
                <c:pt idx="267">
                  <c:v>0.59492712262465242</c:v>
                </c:pt>
                <c:pt idx="268">
                  <c:v>0.55782635351741428</c:v>
                </c:pt>
                <c:pt idx="269">
                  <c:v>1.0458762065595366</c:v>
                </c:pt>
                <c:pt idx="270">
                  <c:v>1.1231993253354746</c:v>
                </c:pt>
                <c:pt idx="271">
                  <c:v>1.0436892102875694</c:v>
                </c:pt>
                <c:pt idx="272">
                  <c:v>1.0585804325386099</c:v>
                </c:pt>
                <c:pt idx="273">
                  <c:v>0.66829991143050049</c:v>
                </c:pt>
                <c:pt idx="274">
                  <c:v>0.70142745650926142</c:v>
                </c:pt>
                <c:pt idx="275">
                  <c:v>0.69930309621863518</c:v>
                </c:pt>
                <c:pt idx="276">
                  <c:v>0.8267117077633499</c:v>
                </c:pt>
                <c:pt idx="277">
                  <c:v>1.3007003755234947</c:v>
                </c:pt>
                <c:pt idx="278">
                  <c:v>1.3425283319770762</c:v>
                </c:pt>
                <c:pt idx="279">
                  <c:v>1.2175479015295021</c:v>
                </c:pt>
                <c:pt idx="280">
                  <c:v>1.1967680745785221</c:v>
                </c:pt>
                <c:pt idx="281">
                  <c:v>1.0434037473596134</c:v>
                </c:pt>
                <c:pt idx="282">
                  <c:v>1.0392943971333077</c:v>
                </c:pt>
                <c:pt idx="283">
                  <c:v>0.9576858753337375</c:v>
                </c:pt>
                <c:pt idx="284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E-47C8-85E5-E5C84F67135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EE-47C8-85E5-E5C84F67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F-47D3-B340-262AA0B792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F-47D3-B340-262AA0B792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F-47D3-B340-262AA0B792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F-47D3-B340-262AA0B792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F-47D3-B340-262AA0B79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headed_backup!$CS$165:$CS$574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5-47F0-8821-4590A6DDF6A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5-47F0-8821-4590A6DDF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B1-4CFA-8F02-61508DF9A1E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1-4CFA-8F02-61508DF9A1E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B1-4CFA-8F02-61508DF9A1E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B1-4CFA-8F02-61508DF9A1E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B1-4CFA-8F02-61508DF9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headed_backup!$CR$19:$CR$1274</c:f>
              <c:numCache>
                <c:formatCode>General</c:formatCode>
                <c:ptCount val="1256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8E-4E7C-A36A-28EFD14628B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8E-4E7C-A36A-28EFD1462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C-46C6-B29C-837A81C470E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C-46C6-B29C-837A81C4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headed_backup!$CV$19:$CV$103</c:f>
              <c:numCache>
                <c:formatCode>General</c:formatCode>
                <c:ptCount val="85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2-429D-8DD6-808545B88C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headed_backup!$DB$19:$DB$103</c:f>
              <c:numCache>
                <c:formatCode>General</c:formatCode>
                <c:ptCount val="85"/>
                <c:pt idx="71">
                  <c:v>1.0603012480015854</c:v>
                </c:pt>
                <c:pt idx="72">
                  <c:v>1.1010820652324156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2-429D-8DD6-808545B88C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2-429D-8DD6-808545B8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headed_backup!$CX$19:$CX$103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A-4966-AC5E-CCBC7DD8F7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headed_backup!$DD$19:$DD$103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A-4966-AC5E-CCBC7DD8F7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AA-4966-AC5E-CCBC7DD8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D-49A7-A5D0-B39CBBA249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D-49A7-A5D0-B39CBBA249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6D-49A7-A5D0-B39CBBA24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headed_backup!$CZ$19:$CZ$103</c:f>
              <c:numCache>
                <c:formatCode>General</c:formatCode>
                <c:ptCount val="8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0-477C-9EA7-CBA0993193E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headed_backup!$DF$19:$DF$103</c:f>
              <c:numCache>
                <c:formatCode>General</c:formatCode>
                <c:ptCount val="85"/>
                <c:pt idx="71">
                  <c:v>1.3702187218050508</c:v>
                </c:pt>
                <c:pt idx="72">
                  <c:v>1.3661223216497842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0-477C-9EA7-CBA0993193E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E0-477C-9EA7-CBA099319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headed_backup!$CU$104:$CU$152</c:f>
              <c:numCache>
                <c:formatCode>General</c:formatCode>
                <c:ptCount val="49"/>
                <c:pt idx="8">
                  <c:v>1.7953312467938294</c:v>
                </c:pt>
                <c:pt idx="9">
                  <c:v>1.831237871729706</c:v>
                </c:pt>
                <c:pt idx="10">
                  <c:v>1.6123926213913415</c:v>
                </c:pt>
                <c:pt idx="11">
                  <c:v>1.3116247118041748</c:v>
                </c:pt>
                <c:pt idx="12">
                  <c:v>1.4479206035118344</c:v>
                </c:pt>
                <c:pt idx="19">
                  <c:v>0.61420983369428661</c:v>
                </c:pt>
                <c:pt idx="20">
                  <c:v>0.54186300232164242</c:v>
                </c:pt>
                <c:pt idx="21">
                  <c:v>0.51262897658330853</c:v>
                </c:pt>
                <c:pt idx="22">
                  <c:v>0.45906358661802343</c:v>
                </c:pt>
                <c:pt idx="23">
                  <c:v>0.65948812271662183</c:v>
                </c:pt>
                <c:pt idx="24">
                  <c:v>0.55958059367820834</c:v>
                </c:pt>
                <c:pt idx="25">
                  <c:v>0.73210140610978902</c:v>
                </c:pt>
                <c:pt idx="26">
                  <c:v>0.66309184733714488</c:v>
                </c:pt>
                <c:pt idx="27">
                  <c:v>0.60128328600164638</c:v>
                </c:pt>
                <c:pt idx="28">
                  <c:v>0.48132789852004199</c:v>
                </c:pt>
                <c:pt idx="29">
                  <c:v>0.48191848489859418</c:v>
                </c:pt>
                <c:pt idx="30">
                  <c:v>0.49549976015662306</c:v>
                </c:pt>
                <c:pt idx="31">
                  <c:v>0.47567976975035814</c:v>
                </c:pt>
                <c:pt idx="32">
                  <c:v>0.55100572882280319</c:v>
                </c:pt>
                <c:pt idx="33">
                  <c:v>0.51746624967706734</c:v>
                </c:pt>
                <c:pt idx="34">
                  <c:v>0.44463766638918378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4-4764-90AE-11E7145E1F1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headed_backup!$DA$104:$DA$152</c:f>
              <c:numCache>
                <c:formatCode>General</c:formatCode>
                <c:ptCount val="49"/>
                <c:pt idx="14">
                  <c:v>2.2227731979793113</c:v>
                </c:pt>
                <c:pt idx="15">
                  <c:v>2.4110463620978315</c:v>
                </c:pt>
                <c:pt idx="16">
                  <c:v>2.5273971248800322</c:v>
                </c:pt>
                <c:pt idx="17">
                  <c:v>1.3824226365890593</c:v>
                </c:pt>
                <c:pt idx="18">
                  <c:v>1.4532205613739437</c:v>
                </c:pt>
                <c:pt idx="35">
                  <c:v>0.95281269073088048</c:v>
                </c:pt>
                <c:pt idx="36">
                  <c:v>0.86373257863259068</c:v>
                </c:pt>
                <c:pt idx="37">
                  <c:v>0.72199184778006298</c:v>
                </c:pt>
                <c:pt idx="38">
                  <c:v>0.68409475652881924</c:v>
                </c:pt>
                <c:pt idx="39">
                  <c:v>1.0441446283860925</c:v>
                </c:pt>
                <c:pt idx="40">
                  <c:v>1.0216415113950128</c:v>
                </c:pt>
                <c:pt idx="41">
                  <c:v>0.89758034666207365</c:v>
                </c:pt>
                <c:pt idx="42">
                  <c:v>0.85046536405258744</c:v>
                </c:pt>
                <c:pt idx="43">
                  <c:v>1.0312669232625022</c:v>
                </c:pt>
                <c:pt idx="44">
                  <c:v>1.1167926656965317</c:v>
                </c:pt>
                <c:pt idx="45">
                  <c:v>1.0188718881271357</c:v>
                </c:pt>
                <c:pt idx="46">
                  <c:v>0.84200250071297089</c:v>
                </c:pt>
                <c:pt idx="47">
                  <c:v>0.77018186092151664</c:v>
                </c:pt>
                <c:pt idx="48">
                  <c:v>0.85145258489605702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F4-4764-90AE-11E7145E1F1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F4-4764-90AE-11E7145E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headed_backup!$CW$104:$CW$152</c:f>
              <c:numCache>
                <c:formatCode>General</c:formatCode>
                <c:ptCount val="49"/>
                <c:pt idx="8">
                  <c:v>1.1308190177150246</c:v>
                </c:pt>
                <c:pt idx="9">
                  <c:v>1.153435398069325</c:v>
                </c:pt>
                <c:pt idx="10">
                  <c:v>1.4218289471474532</c:v>
                </c:pt>
                <c:pt idx="11">
                  <c:v>1.1566078623132587</c:v>
                </c:pt>
                <c:pt idx="12">
                  <c:v>1.4186615178324093</c:v>
                </c:pt>
                <c:pt idx="19">
                  <c:v>2.0620757981693512</c:v>
                </c:pt>
                <c:pt idx="20">
                  <c:v>2.0790709283740432</c:v>
                </c:pt>
                <c:pt idx="21">
                  <c:v>2.1513002317439862</c:v>
                </c:pt>
                <c:pt idx="22">
                  <c:v>2.0549414002750783</c:v>
                </c:pt>
                <c:pt idx="23">
                  <c:v>1.5655964947726944</c:v>
                </c:pt>
                <c:pt idx="24">
                  <c:v>1.5181946392806425</c:v>
                </c:pt>
                <c:pt idx="25">
                  <c:v>2.036802381456603</c:v>
                </c:pt>
                <c:pt idx="26">
                  <c:v>2.1083528164023853</c:v>
                </c:pt>
                <c:pt idx="27">
                  <c:v>2.0910614612904879</c:v>
                </c:pt>
                <c:pt idx="28">
                  <c:v>1.5597043022488204</c:v>
                </c:pt>
                <c:pt idx="29">
                  <c:v>1.7080197420332173</c:v>
                </c:pt>
                <c:pt idx="30">
                  <c:v>1.9011800804706829</c:v>
                </c:pt>
                <c:pt idx="31">
                  <c:v>1.9962390844942171</c:v>
                </c:pt>
                <c:pt idx="32">
                  <c:v>1.8498817761092701</c:v>
                </c:pt>
                <c:pt idx="33">
                  <c:v>1.9854631733644836</c:v>
                </c:pt>
                <c:pt idx="34">
                  <c:v>1.8659677045971768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AA-457C-99EF-AC220CDC75A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headed_backup!$DC$104:$DC$152</c:f>
              <c:numCache>
                <c:formatCode>General</c:formatCode>
                <c:ptCount val="49"/>
                <c:pt idx="14">
                  <c:v>1.400050385593772</c:v>
                </c:pt>
                <c:pt idx="15">
                  <c:v>1.5186373454602673</c:v>
                </c:pt>
                <c:pt idx="16">
                  <c:v>1.5919227937666609</c:v>
                </c:pt>
                <c:pt idx="17">
                  <c:v>1.2190384003358494</c:v>
                </c:pt>
                <c:pt idx="18">
                  <c:v>0.86666480781610633</c:v>
                </c:pt>
                <c:pt idx="35">
                  <c:v>1.5838702482855289</c:v>
                </c:pt>
                <c:pt idx="36">
                  <c:v>1.640904537037251</c:v>
                </c:pt>
                <c:pt idx="37">
                  <c:v>1.3716278950619074</c:v>
                </c:pt>
                <c:pt idx="38">
                  <c:v>1.5901530156531671</c:v>
                </c:pt>
                <c:pt idx="39">
                  <c:v>1.735692259240688</c:v>
                </c:pt>
                <c:pt idx="40">
                  <c:v>1.9408972554070749</c:v>
                </c:pt>
                <c:pt idx="41">
                  <c:v>1.4920569597297801</c:v>
                </c:pt>
                <c:pt idx="42">
                  <c:v>1.6156997072823751</c:v>
                </c:pt>
                <c:pt idx="43">
                  <c:v>3.7310919948288381</c:v>
                </c:pt>
                <c:pt idx="44">
                  <c:v>3.1701289154882781</c:v>
                </c:pt>
                <c:pt idx="45">
                  <c:v>2.3102564407786246</c:v>
                </c:pt>
                <c:pt idx="46">
                  <c:v>3.0463391379773341</c:v>
                </c:pt>
                <c:pt idx="47">
                  <c:v>2.1862390956597899</c:v>
                </c:pt>
                <c:pt idx="48">
                  <c:v>1.9306390147730439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AA-457C-99EF-AC220CDC75A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AA-457C-99EF-AC220CDC7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headed_backup!$CV$104:$CV$152</c:f>
              <c:numCache>
                <c:formatCode>General</c:formatCode>
                <c:ptCount val="49"/>
                <c:pt idx="8">
                  <c:v>0.89989367736896064</c:v>
                </c:pt>
                <c:pt idx="9">
                  <c:v>0.95827467991952697</c:v>
                </c:pt>
                <c:pt idx="10">
                  <c:v>1.2520548489010888</c:v>
                </c:pt>
                <c:pt idx="11">
                  <c:v>1.0924564066911284</c:v>
                </c:pt>
                <c:pt idx="12">
                  <c:v>1.4385492279045442</c:v>
                </c:pt>
                <c:pt idx="19">
                  <c:v>0.98889947765901709</c:v>
                </c:pt>
                <c:pt idx="20">
                  <c:v>1.0354664092518509</c:v>
                </c:pt>
                <c:pt idx="21">
                  <c:v>1.1033232586947157</c:v>
                </c:pt>
                <c:pt idx="22">
                  <c:v>1.0867811160460317</c:v>
                </c:pt>
                <c:pt idx="23">
                  <c:v>0.77650146238179429</c:v>
                </c:pt>
                <c:pt idx="24">
                  <c:v>0.80578352227830852</c:v>
                </c:pt>
                <c:pt idx="25">
                  <c:v>0.97908756048600731</c:v>
                </c:pt>
                <c:pt idx="26">
                  <c:v>1.0724802699593621</c:v>
                </c:pt>
                <c:pt idx="27">
                  <c:v>1.1122454261824155</c:v>
                </c:pt>
                <c:pt idx="28">
                  <c:v>0.91978760058883746</c:v>
                </c:pt>
                <c:pt idx="29">
                  <c:v>1.0372255519526359</c:v>
                </c:pt>
                <c:pt idx="30">
                  <c:v>1.1381558379870296</c:v>
                </c:pt>
                <c:pt idx="31">
                  <c:v>1.2065051061599386</c:v>
                </c:pt>
                <c:pt idx="32">
                  <c:v>0.77377372810250911</c:v>
                </c:pt>
                <c:pt idx="33">
                  <c:v>0.87476124465258653</c:v>
                </c:pt>
                <c:pt idx="34">
                  <c:v>0.85635510739673315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FC-486A-B8D9-93D0FD5BA53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headed_backup!$DB$104:$DB$152</c:f>
              <c:numCache>
                <c:formatCode>General</c:formatCode>
                <c:ptCount val="49"/>
                <c:pt idx="14">
                  <c:v>1.0964753435843184</c:v>
                </c:pt>
                <c:pt idx="15">
                  <c:v>1.3499284524843498</c:v>
                </c:pt>
                <c:pt idx="16">
                  <c:v>1.4150724528723346</c:v>
                </c:pt>
                <c:pt idx="17">
                  <c:v>1.1514242240977519</c:v>
                </c:pt>
                <c:pt idx="18">
                  <c:v>1.2103920415043752</c:v>
                </c:pt>
                <c:pt idx="35">
                  <c:v>1.534062010214629</c:v>
                </c:pt>
                <c:pt idx="36">
                  <c:v>1.6505390992161655</c:v>
                </c:pt>
                <c:pt idx="37">
                  <c:v>1.3796814008832563</c:v>
                </c:pt>
                <c:pt idx="38">
                  <c:v>1.4842327749104667</c:v>
                </c:pt>
                <c:pt idx="39">
                  <c:v>1.6980354434639466</c:v>
                </c:pt>
                <c:pt idx="40">
                  <c:v>1.9697711735090395</c:v>
                </c:pt>
                <c:pt idx="41">
                  <c:v>1.2604661889669859</c:v>
                </c:pt>
                <c:pt idx="42">
                  <c:v>1.4376863048688344</c:v>
                </c:pt>
                <c:pt idx="43">
                  <c:v>1.3695980744789717</c:v>
                </c:pt>
                <c:pt idx="44">
                  <c:v>1.3183356396956087</c:v>
                </c:pt>
                <c:pt idx="45">
                  <c:v>1.0612072731063289</c:v>
                </c:pt>
                <c:pt idx="46">
                  <c:v>0.91924067665647879</c:v>
                </c:pt>
                <c:pt idx="47">
                  <c:v>0.74093720873945756</c:v>
                </c:pt>
                <c:pt idx="48">
                  <c:v>0.7169147487158688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C-486A-B8D9-93D0FD5BA53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FC-486A-B8D9-93D0FD5B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headed_backup!$CX$104:$CX$152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C7-4D89-B4F0-AE85150DC9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headed_backup!$DD$104:$DD$152</c:f>
              <c:numCache>
                <c:formatCode>General</c:formatCode>
                <c:ptCount val="49"/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C7-4D89-B4F0-AE85150DC9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C7-4D89-B4F0-AE85150D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34-4632-AC2E-CA25178B0E0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34-4632-AC2E-CA25178B0E0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34-4632-AC2E-CA25178B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headed_backup!$CZ$104:$CZ$152</c:f>
              <c:numCache>
                <c:formatCode>General</c:formatCode>
                <c:ptCount val="49"/>
                <c:pt idx="8">
                  <c:v>0.80409497946677988</c:v>
                </c:pt>
                <c:pt idx="9">
                  <c:v>0.82013855883724562</c:v>
                </c:pt>
                <c:pt idx="10">
                  <c:v>1.2021807798100808</c:v>
                </c:pt>
                <c:pt idx="11">
                  <c:v>0.97816940092545301</c:v>
                </c:pt>
                <c:pt idx="12">
                  <c:v>1.2586178925728151</c:v>
                </c:pt>
                <c:pt idx="19">
                  <c:v>1.1921334586493271</c:v>
                </c:pt>
                <c:pt idx="20">
                  <c:v>1.2330838124645049</c:v>
                </c:pt>
                <c:pt idx="21">
                  <c:v>1.282416942736895</c:v>
                </c:pt>
                <c:pt idx="22">
                  <c:v>1.2211258658072901</c:v>
                </c:pt>
                <c:pt idx="23">
                  <c:v>0.91310238557343271</c:v>
                </c:pt>
                <c:pt idx="24">
                  <c:v>0.93081825114400285</c:v>
                </c:pt>
                <c:pt idx="25">
                  <c:v>1.1425483020450971</c:v>
                </c:pt>
                <c:pt idx="26">
                  <c:v>1.276229936668285</c:v>
                </c:pt>
                <c:pt idx="27">
                  <c:v>1.317244290552404</c:v>
                </c:pt>
                <c:pt idx="28">
                  <c:v>1.0094326350055061</c:v>
                </c:pt>
                <c:pt idx="29">
                  <c:v>1.1186948523610185</c:v>
                </c:pt>
                <c:pt idx="30">
                  <c:v>1.1275778761630597</c:v>
                </c:pt>
                <c:pt idx="31">
                  <c:v>1.1899830557976832</c:v>
                </c:pt>
                <c:pt idx="32">
                  <c:v>1.0694592128006695</c:v>
                </c:pt>
                <c:pt idx="33">
                  <c:v>1.1775656452638794</c:v>
                </c:pt>
                <c:pt idx="34">
                  <c:v>1.1123266588575653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6-4CE3-B8FA-37CF405B0C1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headed_backup!$DF$104:$DF$152</c:f>
              <c:numCache>
                <c:formatCode>General</c:formatCode>
                <c:ptCount val="49"/>
                <c:pt idx="14">
                  <c:v>0.98110685664411379</c:v>
                </c:pt>
                <c:pt idx="15">
                  <c:v>1.0487505984287993</c:v>
                </c:pt>
                <c:pt idx="16">
                  <c:v>1.0748032245531951</c:v>
                </c:pt>
                <c:pt idx="17">
                  <c:v>0.99828830815771896</c:v>
                </c:pt>
                <c:pt idx="18">
                  <c:v>0.9769003202032982</c:v>
                </c:pt>
                <c:pt idx="35">
                  <c:v>1.1269337764078953</c:v>
                </c:pt>
                <c:pt idx="36">
                  <c:v>1.1221539038315145</c:v>
                </c:pt>
                <c:pt idx="37">
                  <c:v>1.3078849210171859</c:v>
                </c:pt>
                <c:pt idx="38">
                  <c:v>1.4007274122258497</c:v>
                </c:pt>
                <c:pt idx="39">
                  <c:v>0.99736422977580386</c:v>
                </c:pt>
                <c:pt idx="40">
                  <c:v>1.0520214823303664</c:v>
                </c:pt>
                <c:pt idx="41">
                  <c:v>0.97318154685335856</c:v>
                </c:pt>
                <c:pt idx="42">
                  <c:v>1.0046444472606173</c:v>
                </c:pt>
                <c:pt idx="43">
                  <c:v>1.0330895299523886</c:v>
                </c:pt>
                <c:pt idx="44">
                  <c:v>1.0452859834815846</c:v>
                </c:pt>
                <c:pt idx="45">
                  <c:v>0.86568447721291919</c:v>
                </c:pt>
                <c:pt idx="46">
                  <c:v>0.84349061145916415</c:v>
                </c:pt>
                <c:pt idx="47">
                  <c:v>0.72336424582212799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56-4CE3-B8FA-37CF405B0C1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56-4CE3-B8FA-37CF405B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headed_backup!$CW$165:$CW$191</c:f>
              <c:numCache>
                <c:formatCode>General</c:formatCode>
                <c:ptCount val="27"/>
                <c:pt idx="0">
                  <c:v>1.6422049905298932</c:v>
                </c:pt>
                <c:pt idx="2">
                  <c:v>2.2064324759153546</c:v>
                </c:pt>
                <c:pt idx="3">
                  <c:v>1.9358600623361049</c:v>
                </c:pt>
                <c:pt idx="5">
                  <c:v>2.1044475921552754</c:v>
                </c:pt>
                <c:pt idx="6">
                  <c:v>2.2497610402163333</c:v>
                </c:pt>
                <c:pt idx="7">
                  <c:v>2.3709127261355487</c:v>
                </c:pt>
                <c:pt idx="10">
                  <c:v>2.4470066431310555</c:v>
                </c:pt>
                <c:pt idx="11">
                  <c:v>2.3674235347733665</c:v>
                </c:pt>
                <c:pt idx="14">
                  <c:v>1.8849788364696016</c:v>
                </c:pt>
                <c:pt idx="16">
                  <c:v>1.8294544169209646</c:v>
                </c:pt>
                <c:pt idx="17">
                  <c:v>1.8226729491803071</c:v>
                </c:pt>
                <c:pt idx="19">
                  <c:v>1.8068457746941986</c:v>
                </c:pt>
                <c:pt idx="20">
                  <c:v>2.1930232163612731</c:v>
                </c:pt>
                <c:pt idx="24">
                  <c:v>2.7475233917965838</c:v>
                </c:pt>
                <c:pt idx="25">
                  <c:v>2.265085466053149</c:v>
                </c:pt>
                <c:pt idx="26">
                  <c:v>2.6115103020377481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A1-4053-924A-E5813386235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headed_backup!$DC$165:$DC$191</c:f>
              <c:numCache>
                <c:formatCode>General</c:formatCode>
                <c:ptCount val="27"/>
                <c:pt idx="1">
                  <c:v>2.1073737173267033</c:v>
                </c:pt>
                <c:pt idx="4">
                  <c:v>2.1023636487990696</c:v>
                </c:pt>
                <c:pt idx="8">
                  <c:v>1.3696603978665678</c:v>
                </c:pt>
                <c:pt idx="9">
                  <c:v>1.7563551268489346</c:v>
                </c:pt>
                <c:pt idx="12">
                  <c:v>1.1032364714470975</c:v>
                </c:pt>
                <c:pt idx="13">
                  <c:v>1.5026876752908058</c:v>
                </c:pt>
                <c:pt idx="15">
                  <c:v>1.9011798782047624</c:v>
                </c:pt>
                <c:pt idx="18">
                  <c:v>1.8644117767866515</c:v>
                </c:pt>
                <c:pt idx="21">
                  <c:v>1.9872973133746143</c:v>
                </c:pt>
                <c:pt idx="22">
                  <c:v>1.7418839452233523</c:v>
                </c:pt>
                <c:pt idx="23">
                  <c:v>1.9940798980618999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A1-4053-924A-E5813386235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headed_backup!$CW$212:$CW$449</c:f>
              <c:numCache>
                <c:formatCode>General</c:formatCode>
                <c:ptCount val="238"/>
                <c:pt idx="8">
                  <c:v>1.8689394540824167</c:v>
                </c:pt>
                <c:pt idx="9">
                  <c:v>1.4896546825186321</c:v>
                </c:pt>
                <c:pt idx="11">
                  <c:v>1.4898103684061734</c:v>
                </c:pt>
                <c:pt idx="12">
                  <c:v>1.7872696358516886</c:v>
                </c:pt>
                <c:pt idx="15">
                  <c:v>1.9996706233260206</c:v>
                </c:pt>
                <c:pt idx="19">
                  <c:v>2.0799992915128129</c:v>
                </c:pt>
                <c:pt idx="20">
                  <c:v>1.6798354215963835</c:v>
                </c:pt>
                <c:pt idx="21">
                  <c:v>1.4101370740923769</c:v>
                </c:pt>
                <c:pt idx="22">
                  <c:v>1.7042311000948527</c:v>
                </c:pt>
                <c:pt idx="23">
                  <c:v>2.0157796507391934</c:v>
                </c:pt>
                <c:pt idx="25">
                  <c:v>2.40472000951072</c:v>
                </c:pt>
                <c:pt idx="26">
                  <c:v>1.2578535434363767</c:v>
                </c:pt>
                <c:pt idx="27">
                  <c:v>2.4023580290102506</c:v>
                </c:pt>
                <c:pt idx="28">
                  <c:v>2.1540931293374417</c:v>
                </c:pt>
                <c:pt idx="29">
                  <c:v>2.4045559316413061</c:v>
                </c:pt>
                <c:pt idx="31">
                  <c:v>1.7317254832977322</c:v>
                </c:pt>
                <c:pt idx="36">
                  <c:v>2.2412780879293885</c:v>
                </c:pt>
                <c:pt idx="37">
                  <c:v>2.4919518773596629</c:v>
                </c:pt>
                <c:pt idx="42">
                  <c:v>2.925738413369023</c:v>
                </c:pt>
                <c:pt idx="43">
                  <c:v>2.4912609005764317</c:v>
                </c:pt>
                <c:pt idx="48">
                  <c:v>2.4503091561673487</c:v>
                </c:pt>
                <c:pt idx="49">
                  <c:v>2.464405365659859</c:v>
                </c:pt>
                <c:pt idx="54">
                  <c:v>2.0981161961904866</c:v>
                </c:pt>
                <c:pt idx="56">
                  <c:v>2.2615324624297557</c:v>
                </c:pt>
                <c:pt idx="60">
                  <c:v>2.086483754349207</c:v>
                </c:pt>
                <c:pt idx="63">
                  <c:v>2.1410207028238033</c:v>
                </c:pt>
                <c:pt idx="67">
                  <c:v>1.69869931801179</c:v>
                </c:pt>
                <c:pt idx="69">
                  <c:v>1.5505160658075436</c:v>
                </c:pt>
                <c:pt idx="71">
                  <c:v>1.5394082854992828</c:v>
                </c:pt>
                <c:pt idx="73">
                  <c:v>1.5591928452133359</c:v>
                </c:pt>
                <c:pt idx="75">
                  <c:v>2.4770380092837767</c:v>
                </c:pt>
                <c:pt idx="76">
                  <c:v>2.6266050555862779</c:v>
                </c:pt>
                <c:pt idx="77">
                  <c:v>2.1908242801756375</c:v>
                </c:pt>
                <c:pt idx="78">
                  <c:v>2.4865940372331328</c:v>
                </c:pt>
                <c:pt idx="87">
                  <c:v>2.7828854061681736</c:v>
                </c:pt>
                <c:pt idx="88">
                  <c:v>2.8340574735559572</c:v>
                </c:pt>
                <c:pt idx="91">
                  <c:v>2.6017009421166457</c:v>
                </c:pt>
                <c:pt idx="92">
                  <c:v>2.6718785957852038</c:v>
                </c:pt>
                <c:pt idx="95">
                  <c:v>2.4011941361609206</c:v>
                </c:pt>
                <c:pt idx="96">
                  <c:v>2.4849976799745499</c:v>
                </c:pt>
                <c:pt idx="99">
                  <c:v>1.6975806823821411</c:v>
                </c:pt>
                <c:pt idx="100">
                  <c:v>1.6305911704223137</c:v>
                </c:pt>
                <c:pt idx="101">
                  <c:v>1.766925326900822</c:v>
                </c:pt>
                <c:pt idx="108">
                  <c:v>1.778110273541323</c:v>
                </c:pt>
                <c:pt idx="110">
                  <c:v>1.4662176354583463</c:v>
                </c:pt>
                <c:pt idx="112">
                  <c:v>1.3814805708874047</c:v>
                </c:pt>
                <c:pt idx="114">
                  <c:v>1.9007473496514582</c:v>
                </c:pt>
                <c:pt idx="116">
                  <c:v>2.5310260142964327</c:v>
                </c:pt>
                <c:pt idx="117">
                  <c:v>2.2861965775808342</c:v>
                </c:pt>
                <c:pt idx="119">
                  <c:v>2.4195505115416949</c:v>
                </c:pt>
                <c:pt idx="121">
                  <c:v>2.3816145832236102</c:v>
                </c:pt>
                <c:pt idx="123">
                  <c:v>1.7387293263231325</c:v>
                </c:pt>
                <c:pt idx="124">
                  <c:v>1.6958647820047847</c:v>
                </c:pt>
                <c:pt idx="127">
                  <c:v>2.0229921718988586</c:v>
                </c:pt>
                <c:pt idx="128">
                  <c:v>2.031798351198606</c:v>
                </c:pt>
                <c:pt idx="131">
                  <c:v>1.6139119314551313</c:v>
                </c:pt>
                <c:pt idx="132">
                  <c:v>1.6110043760740964</c:v>
                </c:pt>
                <c:pt idx="135">
                  <c:v>1.8337996312449061</c:v>
                </c:pt>
                <c:pt idx="136">
                  <c:v>1.9330039509882082</c:v>
                </c:pt>
                <c:pt idx="137">
                  <c:v>1.8593356056871713</c:v>
                </c:pt>
                <c:pt idx="138">
                  <c:v>1.9248504433329023</c:v>
                </c:pt>
                <c:pt idx="139">
                  <c:v>2.3056645935694262</c:v>
                </c:pt>
                <c:pt idx="140">
                  <c:v>2.0071880883821756</c:v>
                </c:pt>
                <c:pt idx="142">
                  <c:v>1.6085443951442955</c:v>
                </c:pt>
                <c:pt idx="144">
                  <c:v>1.2785278291453337</c:v>
                </c:pt>
                <c:pt idx="146">
                  <c:v>1.8403532904522368</c:v>
                </c:pt>
                <c:pt idx="148">
                  <c:v>1.1999749830361903</c:v>
                </c:pt>
                <c:pt idx="150">
                  <c:v>1.2952494313519984</c:v>
                </c:pt>
                <c:pt idx="152">
                  <c:v>1.1769159164509957</c:v>
                </c:pt>
                <c:pt idx="154">
                  <c:v>1.2042946298692805</c:v>
                </c:pt>
                <c:pt idx="156">
                  <c:v>1.3739090586186062</c:v>
                </c:pt>
                <c:pt idx="158">
                  <c:v>1.0889899457954362</c:v>
                </c:pt>
                <c:pt idx="160">
                  <c:v>1.257331544831237</c:v>
                </c:pt>
                <c:pt idx="162">
                  <c:v>2.2144618783538053</c:v>
                </c:pt>
                <c:pt idx="163">
                  <c:v>2.4750448366435061</c:v>
                </c:pt>
                <c:pt idx="168">
                  <c:v>2.5931035552926835</c:v>
                </c:pt>
                <c:pt idx="169">
                  <c:v>2.7480125744508079</c:v>
                </c:pt>
                <c:pt idx="173">
                  <c:v>1.6669977276459687</c:v>
                </c:pt>
                <c:pt idx="174">
                  <c:v>1.8612559860866686</c:v>
                </c:pt>
                <c:pt idx="179">
                  <c:v>2.1557001426297702</c:v>
                </c:pt>
                <c:pt idx="180">
                  <c:v>2.286184797887004</c:v>
                </c:pt>
                <c:pt idx="181">
                  <c:v>1.9215262652462428</c:v>
                </c:pt>
                <c:pt idx="184">
                  <c:v>2.1211516680774762</c:v>
                </c:pt>
                <c:pt idx="187">
                  <c:v>2.2941543676388276</c:v>
                </c:pt>
                <c:pt idx="190">
                  <c:v>1.5060365839377243</c:v>
                </c:pt>
                <c:pt idx="193">
                  <c:v>1.6947960419312951</c:v>
                </c:pt>
                <c:pt idx="195">
                  <c:v>1.4710480015697462</c:v>
                </c:pt>
                <c:pt idx="196">
                  <c:v>1.5114046550490408</c:v>
                </c:pt>
                <c:pt idx="198">
                  <c:v>1.4607969295572343</c:v>
                </c:pt>
                <c:pt idx="199">
                  <c:v>1.5947279576294371</c:v>
                </c:pt>
                <c:pt idx="204">
                  <c:v>1.3247580696530805</c:v>
                </c:pt>
                <c:pt idx="207">
                  <c:v>0.97421045534617501</c:v>
                </c:pt>
                <c:pt idx="210">
                  <c:v>2.3271560244615728</c:v>
                </c:pt>
                <c:pt idx="211">
                  <c:v>2.0222401134029506</c:v>
                </c:pt>
                <c:pt idx="214">
                  <c:v>1.4636595926987293</c:v>
                </c:pt>
                <c:pt idx="216">
                  <c:v>2.5013919662580109</c:v>
                </c:pt>
                <c:pt idx="218">
                  <c:v>1.6918717566043429</c:v>
                </c:pt>
                <c:pt idx="220">
                  <c:v>1.4641340932293478</c:v>
                </c:pt>
                <c:pt idx="222">
                  <c:v>2.3204475658747277</c:v>
                </c:pt>
                <c:pt idx="223">
                  <c:v>2.4849682952396512</c:v>
                </c:pt>
                <c:pt idx="226">
                  <c:v>1.6692162339833787</c:v>
                </c:pt>
                <c:pt idx="227">
                  <c:v>1.7546609281607246</c:v>
                </c:pt>
                <c:pt idx="230">
                  <c:v>2.9117840723050152</c:v>
                </c:pt>
                <c:pt idx="231">
                  <c:v>3.0089257747662694</c:v>
                </c:pt>
                <c:pt idx="234">
                  <c:v>2.6426335066380755</c:v>
                </c:pt>
                <c:pt idx="235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A1-4053-924A-E5813386235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headed_backup!$DC$212:$DC$449</c:f>
              <c:numCache>
                <c:formatCode>General</c:formatCode>
                <c:ptCount val="238"/>
                <c:pt idx="13">
                  <c:v>1.4756849269594856</c:v>
                </c:pt>
                <c:pt idx="24">
                  <c:v>1.621735854662433</c:v>
                </c:pt>
                <c:pt idx="32">
                  <c:v>1.1680419353862352</c:v>
                </c:pt>
                <c:pt idx="33">
                  <c:v>1.2163747051263551</c:v>
                </c:pt>
                <c:pt idx="34">
                  <c:v>1.1438755505161751</c:v>
                </c:pt>
                <c:pt idx="35">
                  <c:v>1.155958742951205</c:v>
                </c:pt>
                <c:pt idx="38">
                  <c:v>1.9925512065399069</c:v>
                </c:pt>
                <c:pt idx="39">
                  <c:v>2.1497046820266013</c:v>
                </c:pt>
                <c:pt idx="40">
                  <c:v>2.4762708991717561</c:v>
                </c:pt>
                <c:pt idx="41">
                  <c:v>2.3791959121494619</c:v>
                </c:pt>
                <c:pt idx="44">
                  <c:v>1.9928712367167702</c:v>
                </c:pt>
                <c:pt idx="45">
                  <c:v>1.8680264963021465</c:v>
                </c:pt>
                <c:pt idx="46">
                  <c:v>2.3117895381902884</c:v>
                </c:pt>
                <c:pt idx="47">
                  <c:v>2.2783935747554356</c:v>
                </c:pt>
                <c:pt idx="50">
                  <c:v>1.7541416390117137</c:v>
                </c:pt>
                <c:pt idx="51">
                  <c:v>1.8521184980842436</c:v>
                </c:pt>
                <c:pt idx="52">
                  <c:v>2.0646055726394699</c:v>
                </c:pt>
                <c:pt idx="53">
                  <c:v>1.9887440503128282</c:v>
                </c:pt>
                <c:pt idx="55">
                  <c:v>1.4241119729792726</c:v>
                </c:pt>
                <c:pt idx="57">
                  <c:v>1.2602405718186387</c:v>
                </c:pt>
                <c:pt idx="58">
                  <c:v>1.558977806437378</c:v>
                </c:pt>
                <c:pt idx="59">
                  <c:v>1.403560420438748</c:v>
                </c:pt>
                <c:pt idx="61">
                  <c:v>1.3055898286674923</c:v>
                </c:pt>
                <c:pt idx="62">
                  <c:v>1.5893823893222023</c:v>
                </c:pt>
                <c:pt idx="64">
                  <c:v>1.2889917932026622</c:v>
                </c:pt>
                <c:pt idx="65">
                  <c:v>1.2436496327327959</c:v>
                </c:pt>
                <c:pt idx="66">
                  <c:v>1.4123483500887095</c:v>
                </c:pt>
                <c:pt idx="68">
                  <c:v>1.4276855307204448</c:v>
                </c:pt>
                <c:pt idx="70">
                  <c:v>1.327905273969467</c:v>
                </c:pt>
                <c:pt idx="72">
                  <c:v>1.3041776129638663</c:v>
                </c:pt>
                <c:pt idx="74">
                  <c:v>1.2867765285178476</c:v>
                </c:pt>
                <c:pt idx="79">
                  <c:v>1.5356140074541944</c:v>
                </c:pt>
                <c:pt idx="80">
                  <c:v>1.8406542325921853</c:v>
                </c:pt>
                <c:pt idx="81">
                  <c:v>1.6297829441924288</c:v>
                </c:pt>
                <c:pt idx="82">
                  <c:v>1.7009346912288954</c:v>
                </c:pt>
                <c:pt idx="83">
                  <c:v>1.5360321943493134</c:v>
                </c:pt>
                <c:pt idx="84">
                  <c:v>1.8796659253520858</c:v>
                </c:pt>
                <c:pt idx="85">
                  <c:v>1.7173665161974321</c:v>
                </c:pt>
                <c:pt idx="86">
                  <c:v>1.8171227048853755</c:v>
                </c:pt>
                <c:pt idx="89">
                  <c:v>2.4832159252410291</c:v>
                </c:pt>
                <c:pt idx="90">
                  <c:v>2.5779011788509294</c:v>
                </c:pt>
                <c:pt idx="93">
                  <c:v>2.07681002443538</c:v>
                </c:pt>
                <c:pt idx="94">
                  <c:v>2.2462580983596228</c:v>
                </c:pt>
                <c:pt idx="97">
                  <c:v>1.8658608872278868</c:v>
                </c:pt>
                <c:pt idx="98">
                  <c:v>2.1748805779303244</c:v>
                </c:pt>
                <c:pt idx="102">
                  <c:v>0.9376818002668581</c:v>
                </c:pt>
                <c:pt idx="103">
                  <c:v>1.064962613941582</c:v>
                </c:pt>
                <c:pt idx="104">
                  <c:v>1.2628251185675932</c:v>
                </c:pt>
                <c:pt idx="105">
                  <c:v>1.0819795390748945</c:v>
                </c:pt>
                <c:pt idx="106">
                  <c:v>1.2863275135782164</c:v>
                </c:pt>
                <c:pt idx="107">
                  <c:v>1.3903224753056873</c:v>
                </c:pt>
                <c:pt idx="109">
                  <c:v>1.3261917540087973</c:v>
                </c:pt>
                <c:pt idx="111">
                  <c:v>1.1693210304983437</c:v>
                </c:pt>
                <c:pt idx="113">
                  <c:v>1.135794330016441</c:v>
                </c:pt>
                <c:pt idx="115">
                  <c:v>1.2465084055760451</c:v>
                </c:pt>
                <c:pt idx="118">
                  <c:v>1.6098848942849813</c:v>
                </c:pt>
                <c:pt idx="120">
                  <c:v>1.8142342529807116</c:v>
                </c:pt>
                <c:pt idx="122">
                  <c:v>1.7402317112501877</c:v>
                </c:pt>
                <c:pt idx="125">
                  <c:v>1.6791826063123738</c:v>
                </c:pt>
                <c:pt idx="126">
                  <c:v>1.8213525057863174</c:v>
                </c:pt>
                <c:pt idx="129">
                  <c:v>1.480786619334987</c:v>
                </c:pt>
                <c:pt idx="130">
                  <c:v>1.8583151699805556</c:v>
                </c:pt>
                <c:pt idx="133">
                  <c:v>1.210157472156175</c:v>
                </c:pt>
                <c:pt idx="134">
                  <c:v>1.6719644295655374</c:v>
                </c:pt>
                <c:pt idx="141">
                  <c:v>1.6863998078567315</c:v>
                </c:pt>
                <c:pt idx="143">
                  <c:v>1.5854083437965325</c:v>
                </c:pt>
                <c:pt idx="145">
                  <c:v>1.3648020603300197</c:v>
                </c:pt>
                <c:pt idx="147">
                  <c:v>1.6160351505021928</c:v>
                </c:pt>
                <c:pt idx="149">
                  <c:v>1.5062005078727565</c:v>
                </c:pt>
                <c:pt idx="151">
                  <c:v>1.2128980641796907</c:v>
                </c:pt>
                <c:pt idx="153">
                  <c:v>1.2107403341866605</c:v>
                </c:pt>
                <c:pt idx="155">
                  <c:v>1.2794051660441645</c:v>
                </c:pt>
                <c:pt idx="157">
                  <c:v>1.6053699459000061</c:v>
                </c:pt>
                <c:pt idx="159">
                  <c:v>1.341364270969104</c:v>
                </c:pt>
                <c:pt idx="161">
                  <c:v>1.110892903790949</c:v>
                </c:pt>
                <c:pt idx="164">
                  <c:v>1.5143982955032453</c:v>
                </c:pt>
                <c:pt idx="165">
                  <c:v>2.1764869904684927</c:v>
                </c:pt>
                <c:pt idx="166">
                  <c:v>1.9863436008609694</c:v>
                </c:pt>
                <c:pt idx="167">
                  <c:v>2.6644569105298475</c:v>
                </c:pt>
                <c:pt idx="170">
                  <c:v>2.5330512129740694</c:v>
                </c:pt>
                <c:pt idx="171">
                  <c:v>3.1127012279879973</c:v>
                </c:pt>
                <c:pt idx="172">
                  <c:v>2.8945674563557766</c:v>
                </c:pt>
                <c:pt idx="175">
                  <c:v>1.6221431392145302</c:v>
                </c:pt>
                <c:pt idx="176">
                  <c:v>1.8058506934321912</c:v>
                </c:pt>
                <c:pt idx="177">
                  <c:v>1.9168839313547983</c:v>
                </c:pt>
                <c:pt idx="178">
                  <c:v>1.998849365856767</c:v>
                </c:pt>
                <c:pt idx="182">
                  <c:v>1.6234698697084089</c:v>
                </c:pt>
                <c:pt idx="183">
                  <c:v>1.8155256055766906</c:v>
                </c:pt>
                <c:pt idx="185">
                  <c:v>1.6274350232766979</c:v>
                </c:pt>
                <c:pt idx="186">
                  <c:v>2.4759285563802655</c:v>
                </c:pt>
                <c:pt idx="188">
                  <c:v>1.7842564847212592</c:v>
                </c:pt>
                <c:pt idx="189">
                  <c:v>1.8045919059789592</c:v>
                </c:pt>
                <c:pt idx="191">
                  <c:v>1.2157566864232063</c:v>
                </c:pt>
                <c:pt idx="192">
                  <c:v>1.3777434130786441</c:v>
                </c:pt>
                <c:pt idx="194">
                  <c:v>1.3511429952518712</c:v>
                </c:pt>
                <c:pt idx="197">
                  <c:v>1.4270672320523956</c:v>
                </c:pt>
                <c:pt idx="200">
                  <c:v>1.6336463933251026</c:v>
                </c:pt>
                <c:pt idx="201">
                  <c:v>1.0808097379491979</c:v>
                </c:pt>
                <c:pt idx="202">
                  <c:v>1.7775641495303378</c:v>
                </c:pt>
                <c:pt idx="203">
                  <c:v>1.7950049412928319</c:v>
                </c:pt>
                <c:pt idx="205">
                  <c:v>0.98576721669453882</c:v>
                </c:pt>
                <c:pt idx="206">
                  <c:v>1.2659980689885524</c:v>
                </c:pt>
                <c:pt idx="208">
                  <c:v>0.90408286404901339</c:v>
                </c:pt>
                <c:pt idx="209">
                  <c:v>0.97932977761083995</c:v>
                </c:pt>
                <c:pt idx="212">
                  <c:v>1.619194018773322</c:v>
                </c:pt>
                <c:pt idx="213">
                  <c:v>1.7685688302516001</c:v>
                </c:pt>
                <c:pt idx="215">
                  <c:v>1.2709246341543179</c:v>
                </c:pt>
                <c:pt idx="217">
                  <c:v>1.9231804683588229</c:v>
                </c:pt>
                <c:pt idx="219">
                  <c:v>1.5077547081053122</c:v>
                </c:pt>
                <c:pt idx="221">
                  <c:v>1.0740402328627483</c:v>
                </c:pt>
                <c:pt idx="224">
                  <c:v>1.8797523578064703</c:v>
                </c:pt>
                <c:pt idx="225">
                  <c:v>1.8781266693934733</c:v>
                </c:pt>
                <c:pt idx="228">
                  <c:v>1.362526465650822</c:v>
                </c:pt>
                <c:pt idx="229">
                  <c:v>1.5923242948877245</c:v>
                </c:pt>
                <c:pt idx="232">
                  <c:v>2.2274697736606179</c:v>
                </c:pt>
                <c:pt idx="233">
                  <c:v>2.1543030398289051</c:v>
                </c:pt>
                <c:pt idx="236">
                  <c:v>1.9041057081226844</c:v>
                </c:pt>
                <c:pt idx="237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A1-4053-924A-E5813386235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A1-4053-924A-E58133862352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headed_backup!$CW$192:$CW$211</c:f>
              <c:numCache>
                <c:formatCode>General</c:formatCode>
                <c:ptCount val="20"/>
                <c:pt idx="0">
                  <c:v>2.0431311987564142</c:v>
                </c:pt>
                <c:pt idx="1">
                  <c:v>2.0166126817224077</c:v>
                </c:pt>
                <c:pt idx="2">
                  <c:v>1.6385819386206548</c:v>
                </c:pt>
                <c:pt idx="3">
                  <c:v>1.7330695102637437</c:v>
                </c:pt>
                <c:pt idx="4">
                  <c:v>2.1778234715106537</c:v>
                </c:pt>
                <c:pt idx="5">
                  <c:v>2.2704622311196889</c:v>
                </c:pt>
                <c:pt idx="6">
                  <c:v>2.1412749657081402</c:v>
                </c:pt>
                <c:pt idx="7">
                  <c:v>2.1028796904609597</c:v>
                </c:pt>
                <c:pt idx="10">
                  <c:v>2.1468664925268488</c:v>
                </c:pt>
                <c:pt idx="11">
                  <c:v>2.1512778620320412</c:v>
                </c:pt>
                <c:pt idx="12">
                  <c:v>2.5208731734666308</c:v>
                </c:pt>
                <c:pt idx="13">
                  <c:v>2.5101763990389081</c:v>
                </c:pt>
                <c:pt idx="14">
                  <c:v>2.3123528247792344</c:v>
                </c:pt>
                <c:pt idx="15">
                  <c:v>2.2980101814828782</c:v>
                </c:pt>
                <c:pt idx="18">
                  <c:v>2.3082111104392879</c:v>
                </c:pt>
                <c:pt idx="19">
                  <c:v>2.3324061954543751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A1-4053-924A-E58133862352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headed_backup!$DC$192:$DC$211</c:f>
              <c:numCache>
                <c:formatCode>General</c:formatCode>
                <c:ptCount val="20"/>
                <c:pt idx="8">
                  <c:v>1.4576202750016511</c:v>
                </c:pt>
                <c:pt idx="9">
                  <c:v>1.4535769455286924</c:v>
                </c:pt>
                <c:pt idx="16">
                  <c:v>1.5698116262713619</c:v>
                </c:pt>
                <c:pt idx="17">
                  <c:v>1.5665592541174849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1-4053-924A-E5813386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headed_backup!$CV$165:$CV$191</c:f>
              <c:numCache>
                <c:formatCode>General</c:formatCode>
                <c:ptCount val="27"/>
                <c:pt idx="0">
                  <c:v>0.90312510104777988</c:v>
                </c:pt>
                <c:pt idx="2">
                  <c:v>1.0456058464242541</c:v>
                </c:pt>
                <c:pt idx="3">
                  <c:v>1.0908038636893671</c:v>
                </c:pt>
                <c:pt idx="5">
                  <c:v>0.99373675554928043</c:v>
                </c:pt>
                <c:pt idx="6">
                  <c:v>1.2458889866861822</c:v>
                </c:pt>
                <c:pt idx="7">
                  <c:v>0.98594819394372424</c:v>
                </c:pt>
                <c:pt idx="10">
                  <c:v>1.4094913723233622</c:v>
                </c:pt>
                <c:pt idx="11">
                  <c:v>1.030525017017395</c:v>
                </c:pt>
                <c:pt idx="14">
                  <c:v>0.90484340828935073</c:v>
                </c:pt>
                <c:pt idx="16">
                  <c:v>0.74018668744226179</c:v>
                </c:pt>
                <c:pt idx="17">
                  <c:v>0.92876242882583326</c:v>
                </c:pt>
                <c:pt idx="19">
                  <c:v>0.78412977643373516</c:v>
                </c:pt>
                <c:pt idx="20">
                  <c:v>1.2794913017249394</c:v>
                </c:pt>
                <c:pt idx="24">
                  <c:v>1.0888822788843875</c:v>
                </c:pt>
                <c:pt idx="25">
                  <c:v>1.3564982372258658</c:v>
                </c:pt>
                <c:pt idx="26">
                  <c:v>1.0825378953499341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B3-4D36-8C2F-924218484DE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headed_backup!$DB$165:$DB$191</c:f>
              <c:numCache>
                <c:formatCode>General</c:formatCode>
                <c:ptCount val="27"/>
                <c:pt idx="1">
                  <c:v>1.2051301348381576</c:v>
                </c:pt>
                <c:pt idx="4">
                  <c:v>1.2318345691778092</c:v>
                </c:pt>
                <c:pt idx="8">
                  <c:v>1.3640135061669056</c:v>
                </c:pt>
                <c:pt idx="9">
                  <c:v>1.2391787313228477</c:v>
                </c:pt>
                <c:pt idx="12">
                  <c:v>1.1277553972230727</c:v>
                </c:pt>
                <c:pt idx="13">
                  <c:v>1.0981770978672198</c:v>
                </c:pt>
                <c:pt idx="15">
                  <c:v>1.1486634883673195</c:v>
                </c:pt>
                <c:pt idx="18">
                  <c:v>1.1957499935155482</c:v>
                </c:pt>
                <c:pt idx="21">
                  <c:v>1.7079314414824931</c:v>
                </c:pt>
                <c:pt idx="22">
                  <c:v>1.7079314414824931</c:v>
                </c:pt>
                <c:pt idx="23">
                  <c:v>1.713760559030215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3-4D36-8C2F-924218484DE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headed_backup!$CV$212:$CV$449</c:f>
              <c:numCache>
                <c:formatCode>General</c:formatCode>
                <c:ptCount val="238"/>
                <c:pt idx="8">
                  <c:v>1.1673908961949973</c:v>
                </c:pt>
                <c:pt idx="9">
                  <c:v>0.93616200442259556</c:v>
                </c:pt>
                <c:pt idx="11">
                  <c:v>0.96859314347723358</c:v>
                </c:pt>
                <c:pt idx="12">
                  <c:v>0.94434196074609311</c:v>
                </c:pt>
                <c:pt idx="15">
                  <c:v>1.2037060430031272</c:v>
                </c:pt>
                <c:pt idx="19">
                  <c:v>1.1245321162479069</c:v>
                </c:pt>
                <c:pt idx="20">
                  <c:v>0.84030922499865146</c:v>
                </c:pt>
                <c:pt idx="21">
                  <c:v>0.90909331832794082</c:v>
                </c:pt>
                <c:pt idx="22">
                  <c:v>1.0854292606452445</c:v>
                </c:pt>
                <c:pt idx="23">
                  <c:v>1.2957491504586884</c:v>
                </c:pt>
                <c:pt idx="25">
                  <c:v>1.5694434629296043</c:v>
                </c:pt>
                <c:pt idx="26">
                  <c:v>0.80682929714224561</c:v>
                </c:pt>
                <c:pt idx="27">
                  <c:v>1.0809639304684351</c:v>
                </c:pt>
                <c:pt idx="28">
                  <c:v>1.150729195314697</c:v>
                </c:pt>
                <c:pt idx="29">
                  <c:v>1.6206841797361613</c:v>
                </c:pt>
                <c:pt idx="31">
                  <c:v>0.8023458423199622</c:v>
                </c:pt>
                <c:pt idx="36">
                  <c:v>1.2278134241721037</c:v>
                </c:pt>
                <c:pt idx="37">
                  <c:v>1.1607520360147285</c:v>
                </c:pt>
                <c:pt idx="42">
                  <c:v>1.4554882873727251</c:v>
                </c:pt>
                <c:pt idx="43">
                  <c:v>1.0571790917983603</c:v>
                </c:pt>
                <c:pt idx="48">
                  <c:v>1.20136195127303</c:v>
                </c:pt>
                <c:pt idx="49">
                  <c:v>0.97623728551679267</c:v>
                </c:pt>
                <c:pt idx="54">
                  <c:v>0.85192180139138174</c:v>
                </c:pt>
                <c:pt idx="56">
                  <c:v>0.81746174328873611</c:v>
                </c:pt>
                <c:pt idx="60">
                  <c:v>0.77672385358421936</c:v>
                </c:pt>
                <c:pt idx="63">
                  <c:v>0.80622815303489503</c:v>
                </c:pt>
                <c:pt idx="67">
                  <c:v>0.57642292425190167</c:v>
                </c:pt>
                <c:pt idx="69">
                  <c:v>0.4928999465797696</c:v>
                </c:pt>
                <c:pt idx="71">
                  <c:v>0.49066280340487506</c:v>
                </c:pt>
                <c:pt idx="73">
                  <c:v>0.49438820310668369</c:v>
                </c:pt>
                <c:pt idx="75">
                  <c:v>1.0359520772360065</c:v>
                </c:pt>
                <c:pt idx="76">
                  <c:v>1.2275258020375239</c:v>
                </c:pt>
                <c:pt idx="77">
                  <c:v>1.0632468913492648</c:v>
                </c:pt>
                <c:pt idx="78">
                  <c:v>1.2988441374566582</c:v>
                </c:pt>
                <c:pt idx="87">
                  <c:v>1.120617834841011</c:v>
                </c:pt>
                <c:pt idx="88">
                  <c:v>1.1480565833145751</c:v>
                </c:pt>
                <c:pt idx="91">
                  <c:v>0.96270814852336062</c:v>
                </c:pt>
                <c:pt idx="92">
                  <c:v>1.0113237551807197</c:v>
                </c:pt>
                <c:pt idx="95">
                  <c:v>0.84984536998681193</c:v>
                </c:pt>
                <c:pt idx="96">
                  <c:v>0.89380352149223619</c:v>
                </c:pt>
                <c:pt idx="99">
                  <c:v>0.50217959988721583</c:v>
                </c:pt>
                <c:pt idx="100">
                  <c:v>0.31990801144331121</c:v>
                </c:pt>
                <c:pt idx="101">
                  <c:v>0.28765333046043823</c:v>
                </c:pt>
                <c:pt idx="108">
                  <c:v>0.46864687134043465</c:v>
                </c:pt>
                <c:pt idx="110">
                  <c:v>0.35794457872586288</c:v>
                </c:pt>
                <c:pt idx="112">
                  <c:v>0.32199066895060052</c:v>
                </c:pt>
                <c:pt idx="114">
                  <c:v>0.43987521847038291</c:v>
                </c:pt>
                <c:pt idx="116">
                  <c:v>0.74207568066944496</c:v>
                </c:pt>
                <c:pt idx="117">
                  <c:v>0.6575621344835334</c:v>
                </c:pt>
                <c:pt idx="119">
                  <c:v>0.66276113614729903</c:v>
                </c:pt>
                <c:pt idx="121">
                  <c:v>0.64880283352095725</c:v>
                </c:pt>
                <c:pt idx="123">
                  <c:v>0.60498251517291257</c:v>
                </c:pt>
                <c:pt idx="124">
                  <c:v>0.41793296290343485</c:v>
                </c:pt>
                <c:pt idx="127">
                  <c:v>0.67150740811789156</c:v>
                </c:pt>
                <c:pt idx="128">
                  <c:v>0.48810110256896716</c:v>
                </c:pt>
                <c:pt idx="131">
                  <c:v>0.5200351608810676</c:v>
                </c:pt>
                <c:pt idx="132">
                  <c:v>0.37461773422610073</c:v>
                </c:pt>
                <c:pt idx="135">
                  <c:v>0.75814578138002153</c:v>
                </c:pt>
                <c:pt idx="136">
                  <c:v>0.77612733545937562</c:v>
                </c:pt>
                <c:pt idx="137">
                  <c:v>0.71791639666428142</c:v>
                </c:pt>
                <c:pt idx="138">
                  <c:v>0.73254402066519331</c:v>
                </c:pt>
                <c:pt idx="139">
                  <c:v>0.86694554396548273</c:v>
                </c:pt>
                <c:pt idx="140">
                  <c:v>0.8432014000061423</c:v>
                </c:pt>
                <c:pt idx="142">
                  <c:v>0.63577930885779754</c:v>
                </c:pt>
                <c:pt idx="144">
                  <c:v>0.49914036531945671</c:v>
                </c:pt>
                <c:pt idx="146">
                  <c:v>0.71535247587434603</c:v>
                </c:pt>
                <c:pt idx="148">
                  <c:v>0.52668416203155555</c:v>
                </c:pt>
                <c:pt idx="150">
                  <c:v>0.52039815711170379</c:v>
                </c:pt>
                <c:pt idx="152">
                  <c:v>0.47739495721251607</c:v>
                </c:pt>
                <c:pt idx="154">
                  <c:v>0.48850410476532213</c:v>
                </c:pt>
                <c:pt idx="156">
                  <c:v>0.41214381234063702</c:v>
                </c:pt>
                <c:pt idx="158">
                  <c:v>0.30623753916933311</c:v>
                </c:pt>
                <c:pt idx="160">
                  <c:v>0.35037218833658679</c:v>
                </c:pt>
                <c:pt idx="162">
                  <c:v>0.84814643886623231</c:v>
                </c:pt>
                <c:pt idx="163">
                  <c:v>0.5633106192111631</c:v>
                </c:pt>
                <c:pt idx="168">
                  <c:v>1.1047126070269926</c:v>
                </c:pt>
                <c:pt idx="169">
                  <c:v>0.70195438626366125</c:v>
                </c:pt>
                <c:pt idx="173">
                  <c:v>0.42358808752356875</c:v>
                </c:pt>
                <c:pt idx="174">
                  <c:v>0.27663125137739181</c:v>
                </c:pt>
                <c:pt idx="179">
                  <c:v>0.62050244700404289</c:v>
                </c:pt>
                <c:pt idx="180">
                  <c:v>0.37950693499442612</c:v>
                </c:pt>
                <c:pt idx="181">
                  <c:v>0.52894243541533204</c:v>
                </c:pt>
                <c:pt idx="184">
                  <c:v>0.57924197602338701</c:v>
                </c:pt>
                <c:pt idx="187">
                  <c:v>1.3165021171618716</c:v>
                </c:pt>
                <c:pt idx="190">
                  <c:v>0.79853904935095166</c:v>
                </c:pt>
                <c:pt idx="193">
                  <c:v>0.67444137681039384</c:v>
                </c:pt>
                <c:pt idx="195">
                  <c:v>0.61339267247076401</c:v>
                </c:pt>
                <c:pt idx="196">
                  <c:v>0.44632318044701325</c:v>
                </c:pt>
                <c:pt idx="198">
                  <c:v>0.73416103151904566</c:v>
                </c:pt>
                <c:pt idx="199">
                  <c:v>0.57325182832669397</c:v>
                </c:pt>
                <c:pt idx="204">
                  <c:v>0.53274470935221885</c:v>
                </c:pt>
                <c:pt idx="207">
                  <c:v>0.3406160978101801</c:v>
                </c:pt>
                <c:pt idx="210">
                  <c:v>0.54260887003559544</c:v>
                </c:pt>
                <c:pt idx="211">
                  <c:v>0.41091602122326432</c:v>
                </c:pt>
                <c:pt idx="214">
                  <c:v>0.66616304477937771</c:v>
                </c:pt>
                <c:pt idx="216">
                  <c:v>1.2208596095211808</c:v>
                </c:pt>
                <c:pt idx="218">
                  <c:v>0.59847188698183496</c:v>
                </c:pt>
                <c:pt idx="220">
                  <c:v>0.44995900132926242</c:v>
                </c:pt>
                <c:pt idx="222">
                  <c:v>0.83585626412376812</c:v>
                </c:pt>
                <c:pt idx="223">
                  <c:v>0.85659529371851961</c:v>
                </c:pt>
                <c:pt idx="226">
                  <c:v>0.5342286604936749</c:v>
                </c:pt>
                <c:pt idx="227">
                  <c:v>0.53774723965388971</c:v>
                </c:pt>
                <c:pt idx="230">
                  <c:v>1.4864627253401679</c:v>
                </c:pt>
                <c:pt idx="231">
                  <c:v>1.3570171756610661</c:v>
                </c:pt>
                <c:pt idx="234">
                  <c:v>1.1827384584448524</c:v>
                </c:pt>
                <c:pt idx="235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B3-4D36-8C2F-924218484DE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headed_backup!$DB$212:$DB$449</c:f>
              <c:numCache>
                <c:formatCode>General</c:formatCode>
                <c:ptCount val="238"/>
                <c:pt idx="13">
                  <c:v>1.3402299947705487</c:v>
                </c:pt>
                <c:pt idx="24">
                  <c:v>1.5460337955680008</c:v>
                </c:pt>
                <c:pt idx="32">
                  <c:v>1.3998474838990453</c:v>
                </c:pt>
                <c:pt idx="33">
                  <c:v>1.4577722073707298</c:v>
                </c:pt>
                <c:pt idx="34">
                  <c:v>1.370885122163203</c:v>
                </c:pt>
                <c:pt idx="35">
                  <c:v>1.3853663030311241</c:v>
                </c:pt>
                <c:pt idx="38">
                  <c:v>1.3545925525527256</c:v>
                </c:pt>
                <c:pt idx="39">
                  <c:v>1.1090994673594974</c:v>
                </c:pt>
                <c:pt idx="40">
                  <c:v>1.6652174139737159</c:v>
                </c:pt>
                <c:pt idx="41">
                  <c:v>1.2892640281505934</c:v>
                </c:pt>
                <c:pt idx="44">
                  <c:v>1.291398223149377</c:v>
                </c:pt>
                <c:pt idx="45">
                  <c:v>0.98896690726937853</c:v>
                </c:pt>
                <c:pt idx="46">
                  <c:v>1.5989486965805586</c:v>
                </c:pt>
                <c:pt idx="47">
                  <c:v>1.0675308808670825</c:v>
                </c:pt>
                <c:pt idx="50">
                  <c:v>1.1452294549129385</c:v>
                </c:pt>
                <c:pt idx="51">
                  <c:v>0.90791333117970996</c:v>
                </c:pt>
                <c:pt idx="52">
                  <c:v>1.2821131703909106</c:v>
                </c:pt>
                <c:pt idx="53">
                  <c:v>0.99688435001099218</c:v>
                </c:pt>
                <c:pt idx="55">
                  <c:v>0.81662774630172397</c:v>
                </c:pt>
                <c:pt idx="57">
                  <c:v>0.7586320747468619</c:v>
                </c:pt>
                <c:pt idx="58">
                  <c:v>0.95611409237498801</c:v>
                </c:pt>
                <c:pt idx="59">
                  <c:v>0.85366845179986306</c:v>
                </c:pt>
                <c:pt idx="61">
                  <c:v>0.7859933198358483</c:v>
                </c:pt>
                <c:pt idx="62">
                  <c:v>0.95277592599578431</c:v>
                </c:pt>
                <c:pt idx="64">
                  <c:v>0.73385385804964465</c:v>
                </c:pt>
                <c:pt idx="65">
                  <c:v>0.71701953337023638</c:v>
                </c:pt>
                <c:pt idx="66">
                  <c:v>0.80509042965258459</c:v>
                </c:pt>
                <c:pt idx="68">
                  <c:v>0.69797901215906277</c:v>
                </c:pt>
                <c:pt idx="70">
                  <c:v>0.72046711424605314</c:v>
                </c:pt>
                <c:pt idx="72">
                  <c:v>0.669304928325827</c:v>
                </c:pt>
                <c:pt idx="74">
                  <c:v>0.62160230418122031</c:v>
                </c:pt>
                <c:pt idx="79">
                  <c:v>0.80819333280719641</c:v>
                </c:pt>
                <c:pt idx="80">
                  <c:v>1.1361105927087192</c:v>
                </c:pt>
                <c:pt idx="81">
                  <c:v>1.0500571164680419</c:v>
                </c:pt>
                <c:pt idx="82">
                  <c:v>1.1959371887849268</c:v>
                </c:pt>
                <c:pt idx="83">
                  <c:v>0.82553769724572112</c:v>
                </c:pt>
                <c:pt idx="84">
                  <c:v>1.1009675588314105</c:v>
                </c:pt>
                <c:pt idx="85">
                  <c:v>1.0025651410576439</c:v>
                </c:pt>
                <c:pt idx="86">
                  <c:v>1.234614567429962</c:v>
                </c:pt>
                <c:pt idx="89">
                  <c:v>1.3627342427712779</c:v>
                </c:pt>
                <c:pt idx="90">
                  <c:v>1.5116668594823293</c:v>
                </c:pt>
                <c:pt idx="93">
                  <c:v>1.1153185331872824</c:v>
                </c:pt>
                <c:pt idx="94">
                  <c:v>1.2311656641884943</c:v>
                </c:pt>
                <c:pt idx="97">
                  <c:v>1.0844496648388597</c:v>
                </c:pt>
                <c:pt idx="98">
                  <c:v>1.286108770983347</c:v>
                </c:pt>
                <c:pt idx="102">
                  <c:v>0.36370914366668056</c:v>
                </c:pt>
                <c:pt idx="103">
                  <c:v>0.27806290348537888</c:v>
                </c:pt>
                <c:pt idx="104">
                  <c:v>0.23714039746372731</c:v>
                </c:pt>
                <c:pt idx="105">
                  <c:v>0.40190648659950207</c:v>
                </c:pt>
                <c:pt idx="106">
                  <c:v>0.33217224555956837</c:v>
                </c:pt>
                <c:pt idx="107">
                  <c:v>0.27235882594617306</c:v>
                </c:pt>
                <c:pt idx="109">
                  <c:v>0.47226601043541899</c:v>
                </c:pt>
                <c:pt idx="111">
                  <c:v>0.45940995038759902</c:v>
                </c:pt>
                <c:pt idx="113">
                  <c:v>0.40510257215472878</c:v>
                </c:pt>
                <c:pt idx="115">
                  <c:v>0.4326213705365124</c:v>
                </c:pt>
                <c:pt idx="118">
                  <c:v>0.73356045990636276</c:v>
                </c:pt>
                <c:pt idx="120">
                  <c:v>0.76743593066722315</c:v>
                </c:pt>
                <c:pt idx="122">
                  <c:v>0.70747117484998001</c:v>
                </c:pt>
                <c:pt idx="125">
                  <c:v>0.85652179496619263</c:v>
                </c:pt>
                <c:pt idx="126">
                  <c:v>0.68298923262112032</c:v>
                </c:pt>
                <c:pt idx="129">
                  <c:v>0.76487499850326324</c:v>
                </c:pt>
                <c:pt idx="130">
                  <c:v>0.69322407599081759</c:v>
                </c:pt>
                <c:pt idx="133">
                  <c:v>0.65494056852337501</c:v>
                </c:pt>
                <c:pt idx="134">
                  <c:v>0.66010873732007236</c:v>
                </c:pt>
                <c:pt idx="141">
                  <c:v>1.0453690663130164</c:v>
                </c:pt>
                <c:pt idx="143">
                  <c:v>0.99135777498064259</c:v>
                </c:pt>
                <c:pt idx="145">
                  <c:v>0.89909960937938926</c:v>
                </c:pt>
                <c:pt idx="147">
                  <c:v>1.0631873753884515</c:v>
                </c:pt>
                <c:pt idx="149">
                  <c:v>0.95552213561783861</c:v>
                </c:pt>
                <c:pt idx="151">
                  <c:v>0.82075602055380337</c:v>
                </c:pt>
                <c:pt idx="153">
                  <c:v>0.75241129452250288</c:v>
                </c:pt>
                <c:pt idx="155">
                  <c:v>0.7635698161114719</c:v>
                </c:pt>
                <c:pt idx="157">
                  <c:v>0.72668089753626275</c:v>
                </c:pt>
                <c:pt idx="159">
                  <c:v>0.57441747158643486</c:v>
                </c:pt>
                <c:pt idx="161">
                  <c:v>0.51638109101570362</c:v>
                </c:pt>
                <c:pt idx="164">
                  <c:v>0.68470929712525452</c:v>
                </c:pt>
                <c:pt idx="165">
                  <c:v>0.55887635658398238</c:v>
                </c:pt>
                <c:pt idx="166">
                  <c:v>0.90146916130082411</c:v>
                </c:pt>
                <c:pt idx="167">
                  <c:v>0.72138824438006166</c:v>
                </c:pt>
                <c:pt idx="170">
                  <c:v>1.280628927387689</c:v>
                </c:pt>
                <c:pt idx="171">
                  <c:v>0.92432247546723945</c:v>
                </c:pt>
                <c:pt idx="172">
                  <c:v>1.4676385799383138</c:v>
                </c:pt>
                <c:pt idx="175">
                  <c:v>0.48120655876859975</c:v>
                </c:pt>
                <c:pt idx="176">
                  <c:v>0.30905277621926552</c:v>
                </c:pt>
                <c:pt idx="177">
                  <c:v>0.5908614973408699</c:v>
                </c:pt>
                <c:pt idx="178">
                  <c:v>0.34891933006853126</c:v>
                </c:pt>
                <c:pt idx="182">
                  <c:v>0.66189035654118</c:v>
                </c:pt>
                <c:pt idx="183">
                  <c:v>0.73841264422949071</c:v>
                </c:pt>
                <c:pt idx="185">
                  <c:v>0.69335828153035006</c:v>
                </c:pt>
                <c:pt idx="186">
                  <c:v>1.0608164855263091</c:v>
                </c:pt>
                <c:pt idx="188">
                  <c:v>1.5403477162307675</c:v>
                </c:pt>
                <c:pt idx="189">
                  <c:v>1.5655798326009769</c:v>
                </c:pt>
                <c:pt idx="191">
                  <c:v>1.0189518781041382</c:v>
                </c:pt>
                <c:pt idx="192">
                  <c:v>1.1086962907496114</c:v>
                </c:pt>
                <c:pt idx="194">
                  <c:v>0.79577622498559542</c:v>
                </c:pt>
                <c:pt idx="197">
                  <c:v>0.57896116065618985</c:v>
                </c:pt>
                <c:pt idx="200">
                  <c:v>1.180884224215198</c:v>
                </c:pt>
                <c:pt idx="201">
                  <c:v>0.54367121796819906</c:v>
                </c:pt>
                <c:pt idx="202">
                  <c:v>1.2145959956381271</c:v>
                </c:pt>
                <c:pt idx="203">
                  <c:v>0.90863669033174643</c:v>
                </c:pt>
                <c:pt idx="205">
                  <c:v>0.60989160828240396</c:v>
                </c:pt>
                <c:pt idx="206">
                  <c:v>0.79714874635462929</c:v>
                </c:pt>
                <c:pt idx="208">
                  <c:v>0.49783010673441874</c:v>
                </c:pt>
                <c:pt idx="209">
                  <c:v>0.5379511912567736</c:v>
                </c:pt>
                <c:pt idx="212">
                  <c:v>0.5244575585719754</c:v>
                </c:pt>
                <c:pt idx="213">
                  <c:v>0.49664029362132861</c:v>
                </c:pt>
                <c:pt idx="215">
                  <c:v>0.87004023622459381</c:v>
                </c:pt>
                <c:pt idx="217">
                  <c:v>1.4241940133982856</c:v>
                </c:pt>
                <c:pt idx="219">
                  <c:v>0.79965874804680204</c:v>
                </c:pt>
                <c:pt idx="221">
                  <c:v>0.50958151653858841</c:v>
                </c:pt>
                <c:pt idx="224">
                  <c:v>1.0348011851555312</c:v>
                </c:pt>
                <c:pt idx="225">
                  <c:v>0.9737603915445785</c:v>
                </c:pt>
                <c:pt idx="228">
                  <c:v>0.69664976517292798</c:v>
                </c:pt>
                <c:pt idx="229">
                  <c:v>0.75924280927749677</c:v>
                </c:pt>
                <c:pt idx="232">
                  <c:v>1.725882500076503</c:v>
                </c:pt>
                <c:pt idx="233">
                  <c:v>1.4395206022092937</c:v>
                </c:pt>
                <c:pt idx="236">
                  <c:v>1.3843179703848905</c:v>
                </c:pt>
                <c:pt idx="237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B3-4D36-8C2F-924218484DE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B3-4D36-8C2F-924218484DE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headed_backup!$CV$192:$CV$211</c:f>
              <c:numCache>
                <c:formatCode>General</c:formatCode>
                <c:ptCount val="20"/>
                <c:pt idx="0">
                  <c:v>0.59445291391391852</c:v>
                </c:pt>
                <c:pt idx="1">
                  <c:v>0.58673730087196796</c:v>
                </c:pt>
                <c:pt idx="2">
                  <c:v>0.48047226670328519</c:v>
                </c:pt>
                <c:pt idx="3">
                  <c:v>0.50817833171756221</c:v>
                </c:pt>
                <c:pt idx="4">
                  <c:v>0.80281511391392391</c:v>
                </c:pt>
                <c:pt idx="5">
                  <c:v>0.8369647120430983</c:v>
                </c:pt>
                <c:pt idx="6">
                  <c:v>0.6624856895159994</c:v>
                </c:pt>
                <c:pt idx="7">
                  <c:v>0.65060663577295397</c:v>
                </c:pt>
                <c:pt idx="10">
                  <c:v>0.84672542437358489</c:v>
                </c:pt>
                <c:pt idx="11">
                  <c:v>0.84846527113599635</c:v>
                </c:pt>
                <c:pt idx="12">
                  <c:v>0.84714967990618539</c:v>
                </c:pt>
                <c:pt idx="13">
                  <c:v>0.84355498536627227</c:v>
                </c:pt>
                <c:pt idx="14">
                  <c:v>0.66294257619842423</c:v>
                </c:pt>
                <c:pt idx="15">
                  <c:v>0.65883059605660077</c:v>
                </c:pt>
                <c:pt idx="18">
                  <c:v>0.82990690567027392</c:v>
                </c:pt>
                <c:pt idx="19">
                  <c:v>0.83860613948233131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B3-4D36-8C2F-924218484DE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headed_backup!$DB$192:$DB$211</c:f>
              <c:numCache>
                <c:formatCode>General</c:formatCode>
                <c:ptCount val="20"/>
                <c:pt idx="8">
                  <c:v>0.86392492109244645</c:v>
                </c:pt>
                <c:pt idx="9">
                  <c:v>0.86152845806583767</c:v>
                </c:pt>
                <c:pt idx="16">
                  <c:v>0.86751961563235958</c:v>
                </c:pt>
                <c:pt idx="17">
                  <c:v>0.86572226836240296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3-4D36-8C2F-92421848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headed_backup!$CX$165:$CX$191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4-485E-82EC-8066EEB4D9A4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headed_backup!$DD$165:$DD$191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4-485E-82EC-8066EEB4D9A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headed_backup!$CX$212:$CX$449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04-485E-82EC-8066EEB4D9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headed_backup!$DD$212:$DD$449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04-485E-82EC-8066EEB4D9A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04-485E-82EC-8066EEB4D9A4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headed_backup!$CX$192:$CX$211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04-485E-82EC-8066EEB4D9A4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headed_backup!$DD$192:$DD$211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04-485E-82EC-8066EEB4D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headed_backup!$CY$165:$CY$191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B-4F13-AB76-7810AF9F20D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headed_backup!$DE$165:$DE$191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2B-4F13-AB76-7810AF9F20D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headed_backup!$CY$212:$CY$449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B-4F13-AB76-7810AF9F20D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headed_backup!$DE$212:$DE$449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1</c:v>
                </c:pt>
                <c:pt idx="33">
                  <c:v>1</c:v>
                </c:pt>
                <c:pt idx="34">
                  <c:v>0.97944761192161567</c:v>
                </c:pt>
                <c:pt idx="35">
                  <c:v>0.98979388951233693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B-4F13-AB76-7810AF9F20D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B-4F13-AB76-7810AF9F20DE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headed_backup!$CY$192:$CY$211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2B-4F13-AB76-7810AF9F20DE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headed_backup!$DE$192:$DE$211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B-4F13-AB76-7810AF9F2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headed_backup!$CZ$165:$CZ$191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1-44C3-A171-B585E934413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headed_backup!$DF$165:$DF$191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1-44C3-A171-B585E934413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headed_backup!$CZ$212:$CZ$449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1-44C3-A171-B585E934413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headed_backup!$DF$212:$DF$449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1.0129564999845371</c:v>
                </c:pt>
                <c:pt idx="33">
                  <c:v>1.0548719413632073</c:v>
                </c:pt>
                <c:pt idx="34">
                  <c:v>0.99199877929520175</c:v>
                </c:pt>
                <c:pt idx="35">
                  <c:v>1.0024776396398694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1-44C3-A171-B585E934413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11-44C3-A171-B585E9344138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headed_backup!$CZ$192:$CZ$211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1.1179242582161224</c:v>
                </c:pt>
                <c:pt idx="13">
                  <c:v>1.1131805909252479</c:v>
                </c:pt>
                <c:pt idx="14">
                  <c:v>1.0396608877230671</c:v>
                </c:pt>
                <c:pt idx="15">
                  <c:v>1.0332122674684099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11-44C3-A171-B585E9344138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headed_backup!$DF$192:$DF$211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1.1141268495754608</c:v>
                </c:pt>
                <c:pt idx="17">
                  <c:v>1.111818575715843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1-44C3-A171-B585E9344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50" Type="http://schemas.openxmlformats.org/officeDocument/2006/relationships/chart" Target="../charts/chart49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29" Type="http://schemas.openxmlformats.org/officeDocument/2006/relationships/chart" Target="../charts/chart28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53" Type="http://schemas.openxmlformats.org/officeDocument/2006/relationships/chart" Target="../charts/chart52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8" Type="http://schemas.openxmlformats.org/officeDocument/2006/relationships/image" Target="../media/image2.emf"/><Relationship Id="rId51" Type="http://schemas.openxmlformats.org/officeDocument/2006/relationships/chart" Target="../charts/chart50.xml"/><Relationship Id="rId3" Type="http://schemas.openxmlformats.org/officeDocument/2006/relationships/chart" Target="../charts/chart3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20" Type="http://schemas.openxmlformats.org/officeDocument/2006/relationships/chart" Target="../charts/chart19.xml"/><Relationship Id="rId41" Type="http://schemas.openxmlformats.org/officeDocument/2006/relationships/chart" Target="../charts/chart40.xml"/><Relationship Id="rId54" Type="http://schemas.openxmlformats.org/officeDocument/2006/relationships/chart" Target="../charts/chart53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26" Type="http://schemas.openxmlformats.org/officeDocument/2006/relationships/chart" Target="../charts/chart78.xml"/><Relationship Id="rId39" Type="http://schemas.openxmlformats.org/officeDocument/2006/relationships/chart" Target="../charts/chart91.xml"/><Relationship Id="rId21" Type="http://schemas.openxmlformats.org/officeDocument/2006/relationships/chart" Target="../charts/chart73.xml"/><Relationship Id="rId34" Type="http://schemas.openxmlformats.org/officeDocument/2006/relationships/chart" Target="../charts/chart86.xml"/><Relationship Id="rId42" Type="http://schemas.openxmlformats.org/officeDocument/2006/relationships/chart" Target="../charts/chart94.xml"/><Relationship Id="rId47" Type="http://schemas.openxmlformats.org/officeDocument/2006/relationships/chart" Target="../charts/chart99.xml"/><Relationship Id="rId50" Type="http://schemas.openxmlformats.org/officeDocument/2006/relationships/chart" Target="../charts/chart102.xml"/><Relationship Id="rId55" Type="http://schemas.openxmlformats.org/officeDocument/2006/relationships/chart" Target="../charts/chart107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6" Type="http://schemas.openxmlformats.org/officeDocument/2006/relationships/chart" Target="../charts/chart68.xml"/><Relationship Id="rId29" Type="http://schemas.openxmlformats.org/officeDocument/2006/relationships/chart" Target="../charts/chart81.xml"/><Relationship Id="rId11" Type="http://schemas.openxmlformats.org/officeDocument/2006/relationships/chart" Target="../charts/chart63.xml"/><Relationship Id="rId24" Type="http://schemas.openxmlformats.org/officeDocument/2006/relationships/chart" Target="../charts/chart76.xml"/><Relationship Id="rId32" Type="http://schemas.openxmlformats.org/officeDocument/2006/relationships/chart" Target="../charts/chart84.xml"/><Relationship Id="rId37" Type="http://schemas.openxmlformats.org/officeDocument/2006/relationships/chart" Target="../charts/chart89.xml"/><Relationship Id="rId40" Type="http://schemas.openxmlformats.org/officeDocument/2006/relationships/chart" Target="../charts/chart92.xml"/><Relationship Id="rId45" Type="http://schemas.openxmlformats.org/officeDocument/2006/relationships/chart" Target="../charts/chart97.xml"/><Relationship Id="rId53" Type="http://schemas.openxmlformats.org/officeDocument/2006/relationships/chart" Target="../charts/chart105.xml"/><Relationship Id="rId5" Type="http://schemas.openxmlformats.org/officeDocument/2006/relationships/chart" Target="../charts/chart58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31" Type="http://schemas.openxmlformats.org/officeDocument/2006/relationships/chart" Target="../charts/chart83.xml"/><Relationship Id="rId44" Type="http://schemas.openxmlformats.org/officeDocument/2006/relationships/chart" Target="../charts/chart96.xml"/><Relationship Id="rId52" Type="http://schemas.openxmlformats.org/officeDocument/2006/relationships/chart" Target="../charts/chart104.xml"/><Relationship Id="rId4" Type="http://schemas.openxmlformats.org/officeDocument/2006/relationships/chart" Target="../charts/chart57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Relationship Id="rId22" Type="http://schemas.openxmlformats.org/officeDocument/2006/relationships/chart" Target="../charts/chart74.xml"/><Relationship Id="rId27" Type="http://schemas.openxmlformats.org/officeDocument/2006/relationships/chart" Target="../charts/chart79.xml"/><Relationship Id="rId30" Type="http://schemas.openxmlformats.org/officeDocument/2006/relationships/chart" Target="../charts/chart82.xml"/><Relationship Id="rId35" Type="http://schemas.openxmlformats.org/officeDocument/2006/relationships/chart" Target="../charts/chart87.xml"/><Relationship Id="rId43" Type="http://schemas.openxmlformats.org/officeDocument/2006/relationships/chart" Target="../charts/chart95.xml"/><Relationship Id="rId48" Type="http://schemas.openxmlformats.org/officeDocument/2006/relationships/chart" Target="../charts/chart100.xml"/><Relationship Id="rId56" Type="http://schemas.openxmlformats.org/officeDocument/2006/relationships/chart" Target="../charts/chart108.xml"/><Relationship Id="rId8" Type="http://schemas.openxmlformats.org/officeDocument/2006/relationships/image" Target="../media/image2.emf"/><Relationship Id="rId51" Type="http://schemas.openxmlformats.org/officeDocument/2006/relationships/chart" Target="../charts/chart103.xml"/><Relationship Id="rId3" Type="http://schemas.openxmlformats.org/officeDocument/2006/relationships/chart" Target="../charts/chart56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5" Type="http://schemas.openxmlformats.org/officeDocument/2006/relationships/chart" Target="../charts/chart77.xml"/><Relationship Id="rId33" Type="http://schemas.openxmlformats.org/officeDocument/2006/relationships/chart" Target="../charts/chart85.xml"/><Relationship Id="rId38" Type="http://schemas.openxmlformats.org/officeDocument/2006/relationships/chart" Target="../charts/chart90.xml"/><Relationship Id="rId46" Type="http://schemas.openxmlformats.org/officeDocument/2006/relationships/chart" Target="../charts/chart98.xml"/><Relationship Id="rId20" Type="http://schemas.openxmlformats.org/officeDocument/2006/relationships/chart" Target="../charts/chart72.xml"/><Relationship Id="rId41" Type="http://schemas.openxmlformats.org/officeDocument/2006/relationships/chart" Target="../charts/chart93.xml"/><Relationship Id="rId54" Type="http://schemas.openxmlformats.org/officeDocument/2006/relationships/chart" Target="../charts/chart106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15" Type="http://schemas.openxmlformats.org/officeDocument/2006/relationships/chart" Target="../charts/chart67.xml"/><Relationship Id="rId23" Type="http://schemas.openxmlformats.org/officeDocument/2006/relationships/chart" Target="../charts/chart75.xml"/><Relationship Id="rId28" Type="http://schemas.openxmlformats.org/officeDocument/2006/relationships/chart" Target="../charts/chart80.xml"/><Relationship Id="rId36" Type="http://schemas.openxmlformats.org/officeDocument/2006/relationships/chart" Target="../charts/chart88.xml"/><Relationship Id="rId49" Type="http://schemas.openxmlformats.org/officeDocument/2006/relationships/chart" Target="../charts/chart101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0.xml"/><Relationship Id="rId18" Type="http://schemas.openxmlformats.org/officeDocument/2006/relationships/chart" Target="../charts/chart125.xml"/><Relationship Id="rId26" Type="http://schemas.openxmlformats.org/officeDocument/2006/relationships/chart" Target="../charts/chart133.xml"/><Relationship Id="rId39" Type="http://schemas.openxmlformats.org/officeDocument/2006/relationships/chart" Target="../charts/chart146.xml"/><Relationship Id="rId21" Type="http://schemas.openxmlformats.org/officeDocument/2006/relationships/chart" Target="../charts/chart128.xml"/><Relationship Id="rId34" Type="http://schemas.openxmlformats.org/officeDocument/2006/relationships/chart" Target="../charts/chart141.xml"/><Relationship Id="rId42" Type="http://schemas.openxmlformats.org/officeDocument/2006/relationships/chart" Target="../charts/chart149.xml"/><Relationship Id="rId47" Type="http://schemas.openxmlformats.org/officeDocument/2006/relationships/chart" Target="../charts/chart154.xml"/><Relationship Id="rId50" Type="http://schemas.openxmlformats.org/officeDocument/2006/relationships/chart" Target="../charts/chart157.xml"/><Relationship Id="rId55" Type="http://schemas.openxmlformats.org/officeDocument/2006/relationships/chart" Target="../charts/chart162.xml"/><Relationship Id="rId7" Type="http://schemas.openxmlformats.org/officeDocument/2006/relationships/chart" Target="../charts/chart115.xml"/><Relationship Id="rId2" Type="http://schemas.openxmlformats.org/officeDocument/2006/relationships/chart" Target="../charts/chart110.xml"/><Relationship Id="rId16" Type="http://schemas.openxmlformats.org/officeDocument/2006/relationships/chart" Target="../charts/chart123.xml"/><Relationship Id="rId29" Type="http://schemas.openxmlformats.org/officeDocument/2006/relationships/chart" Target="../charts/chart136.xml"/><Relationship Id="rId11" Type="http://schemas.openxmlformats.org/officeDocument/2006/relationships/chart" Target="../charts/chart118.xml"/><Relationship Id="rId24" Type="http://schemas.openxmlformats.org/officeDocument/2006/relationships/chart" Target="../charts/chart131.xml"/><Relationship Id="rId32" Type="http://schemas.openxmlformats.org/officeDocument/2006/relationships/chart" Target="../charts/chart139.xml"/><Relationship Id="rId37" Type="http://schemas.openxmlformats.org/officeDocument/2006/relationships/chart" Target="../charts/chart144.xml"/><Relationship Id="rId40" Type="http://schemas.openxmlformats.org/officeDocument/2006/relationships/chart" Target="../charts/chart147.xml"/><Relationship Id="rId45" Type="http://schemas.openxmlformats.org/officeDocument/2006/relationships/chart" Target="../charts/chart152.xml"/><Relationship Id="rId53" Type="http://schemas.openxmlformats.org/officeDocument/2006/relationships/chart" Target="../charts/chart160.xml"/><Relationship Id="rId5" Type="http://schemas.openxmlformats.org/officeDocument/2006/relationships/chart" Target="../charts/chart113.xml"/><Relationship Id="rId10" Type="http://schemas.openxmlformats.org/officeDocument/2006/relationships/chart" Target="../charts/chart117.xml"/><Relationship Id="rId19" Type="http://schemas.openxmlformats.org/officeDocument/2006/relationships/chart" Target="../charts/chart126.xml"/><Relationship Id="rId31" Type="http://schemas.openxmlformats.org/officeDocument/2006/relationships/chart" Target="../charts/chart138.xml"/><Relationship Id="rId44" Type="http://schemas.openxmlformats.org/officeDocument/2006/relationships/chart" Target="../charts/chart151.xml"/><Relationship Id="rId52" Type="http://schemas.openxmlformats.org/officeDocument/2006/relationships/chart" Target="../charts/chart159.xml"/><Relationship Id="rId4" Type="http://schemas.openxmlformats.org/officeDocument/2006/relationships/chart" Target="../charts/chart112.xml"/><Relationship Id="rId9" Type="http://schemas.openxmlformats.org/officeDocument/2006/relationships/chart" Target="../charts/chart116.xml"/><Relationship Id="rId14" Type="http://schemas.openxmlformats.org/officeDocument/2006/relationships/chart" Target="../charts/chart121.xml"/><Relationship Id="rId22" Type="http://schemas.openxmlformats.org/officeDocument/2006/relationships/chart" Target="../charts/chart129.xml"/><Relationship Id="rId27" Type="http://schemas.openxmlformats.org/officeDocument/2006/relationships/chart" Target="../charts/chart134.xml"/><Relationship Id="rId30" Type="http://schemas.openxmlformats.org/officeDocument/2006/relationships/chart" Target="../charts/chart137.xml"/><Relationship Id="rId35" Type="http://schemas.openxmlformats.org/officeDocument/2006/relationships/chart" Target="../charts/chart142.xml"/><Relationship Id="rId43" Type="http://schemas.openxmlformats.org/officeDocument/2006/relationships/chart" Target="../charts/chart150.xml"/><Relationship Id="rId48" Type="http://schemas.openxmlformats.org/officeDocument/2006/relationships/chart" Target="../charts/chart155.xml"/><Relationship Id="rId56" Type="http://schemas.openxmlformats.org/officeDocument/2006/relationships/chart" Target="../charts/chart163.xml"/><Relationship Id="rId8" Type="http://schemas.openxmlformats.org/officeDocument/2006/relationships/image" Target="../media/image2.emf"/><Relationship Id="rId51" Type="http://schemas.openxmlformats.org/officeDocument/2006/relationships/chart" Target="../charts/chart158.xml"/><Relationship Id="rId3" Type="http://schemas.openxmlformats.org/officeDocument/2006/relationships/chart" Target="../charts/chart111.xml"/><Relationship Id="rId12" Type="http://schemas.openxmlformats.org/officeDocument/2006/relationships/chart" Target="../charts/chart119.xml"/><Relationship Id="rId17" Type="http://schemas.openxmlformats.org/officeDocument/2006/relationships/chart" Target="../charts/chart124.xml"/><Relationship Id="rId25" Type="http://schemas.openxmlformats.org/officeDocument/2006/relationships/chart" Target="../charts/chart132.xml"/><Relationship Id="rId33" Type="http://schemas.openxmlformats.org/officeDocument/2006/relationships/chart" Target="../charts/chart140.xml"/><Relationship Id="rId38" Type="http://schemas.openxmlformats.org/officeDocument/2006/relationships/chart" Target="../charts/chart145.xml"/><Relationship Id="rId46" Type="http://schemas.openxmlformats.org/officeDocument/2006/relationships/chart" Target="../charts/chart153.xml"/><Relationship Id="rId20" Type="http://schemas.openxmlformats.org/officeDocument/2006/relationships/chart" Target="../charts/chart127.xml"/><Relationship Id="rId41" Type="http://schemas.openxmlformats.org/officeDocument/2006/relationships/chart" Target="../charts/chart148.xml"/><Relationship Id="rId54" Type="http://schemas.openxmlformats.org/officeDocument/2006/relationships/chart" Target="../charts/chart161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5" Type="http://schemas.openxmlformats.org/officeDocument/2006/relationships/chart" Target="../charts/chart122.xml"/><Relationship Id="rId23" Type="http://schemas.openxmlformats.org/officeDocument/2006/relationships/chart" Target="../charts/chart130.xml"/><Relationship Id="rId28" Type="http://schemas.openxmlformats.org/officeDocument/2006/relationships/chart" Target="../charts/chart135.xml"/><Relationship Id="rId36" Type="http://schemas.openxmlformats.org/officeDocument/2006/relationships/chart" Target="../charts/chart143.xml"/><Relationship Id="rId49" Type="http://schemas.openxmlformats.org/officeDocument/2006/relationships/chart" Target="../charts/chart1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EF101C0-0D7F-4285-8991-3ACD5FC84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5122A6-064A-4173-BA41-BC60C5920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FA17ECF-6F8F-443E-8DB1-47490EC9E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5BF8A1A-688D-4665-883A-D0FC03256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5C92CD3-A566-4B5A-80EA-1CAB4004C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D173921-9657-44CD-B0E7-119B77FC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743C47E-2169-46AA-AAFD-795A78217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182</xdr:row>
      <xdr:rowOff>72839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DCB8CC04-CDD4-4E6E-8884-F7FC6E1F0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7424865" y="2451281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EF63F113-2C97-4BFA-8DF8-082389650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38E8DE66-09D9-4718-8932-9D164E5E5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4CB26014-A099-49EE-87A8-2C965DB3D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ED58C2B3-5D5D-423A-B7DC-750B4C87D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BAD38EB4-5014-43E8-B116-D510DE72B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45F7907D-9DE0-4230-99FB-EE3BB0FEC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2FB5E358-D373-4A4B-8B25-BF09B35C1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AE36373-62C4-4140-B82F-301EC7E75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0898D0A1-998D-449B-B3AB-9DB8D4C2D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312391</xdr:colOff>
      <xdr:row>0</xdr:row>
      <xdr:rowOff>0</xdr:rowOff>
    </xdr:from>
    <xdr:to>
      <xdr:col>26</xdr:col>
      <xdr:colOff>90385</xdr:colOff>
      <xdr:row>13</xdr:row>
      <xdr:rowOff>107482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F17C191C-0F68-450A-B69F-82607079C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251711</xdr:colOff>
      <xdr:row>114</xdr:row>
      <xdr:rowOff>113456</xdr:rowOff>
    </xdr:from>
    <xdr:to>
      <xdr:col>43</xdr:col>
      <xdr:colOff>336317</xdr:colOff>
      <xdr:row>128</xdr:row>
      <xdr:rowOff>69900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90E060B1-3C23-4A1F-8678-B380D65F3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9356335B-35F8-4821-8B3E-EBBD580A4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7B3F09E4-B237-49F6-8141-7F0E3007E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0FA939FB-1B47-4261-A50F-CB41CD970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D8C55DB2-53AF-416B-AFD9-215EDDFA2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F31587C-E3BE-433D-883F-B5346B98E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018D1F19-72E6-4164-917B-731EBEDEC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58FC491B-FC70-453D-813F-CD0B18D90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5068AA57-E499-4DF0-A1A2-4B5DD3229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352D49DA-2AC5-422C-B3B7-A06270E57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805C1C40-990F-47BB-B87B-055910B16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A64A823F-6250-4011-9126-2D5CA6D81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83</xdr:col>
      <xdr:colOff>0</xdr:colOff>
      <xdr:row>194</xdr:row>
      <xdr:rowOff>0</xdr:rowOff>
    </xdr:from>
    <xdr:to>
      <xdr:col>87</xdr:col>
      <xdr:colOff>187764</xdr:colOff>
      <xdr:row>203</xdr:row>
      <xdr:rowOff>28058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A12A30D9-EC54-43AB-BCE2-EDDDFB85D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30AE2DC2-9A0A-4877-A79B-F59FCD252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84E044E5-4CA8-4A6E-A50A-7EB96E3D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E0978DE4-AA36-4639-8353-E2A8C6575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D142FF29-714B-4B06-B50A-FCC19F0F2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144275</xdr:colOff>
      <xdr:row>177</xdr:row>
      <xdr:rowOff>80400</xdr:rowOff>
    </xdr:from>
    <xdr:to>
      <xdr:col>5</xdr:col>
      <xdr:colOff>1829591</xdr:colOff>
      <xdr:row>191</xdr:row>
      <xdr:rowOff>44046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6D1F23A2-20B8-4ABF-A885-C5258F122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</xdr:col>
      <xdr:colOff>293316</xdr:colOff>
      <xdr:row>177</xdr:row>
      <xdr:rowOff>19888</xdr:rowOff>
    </xdr:from>
    <xdr:to>
      <xdr:col>22</xdr:col>
      <xdr:colOff>64828</xdr:colOff>
      <xdr:row>190</xdr:row>
      <xdr:rowOff>135935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C06F7739-205A-449A-8C48-E3BDC0432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E05B35EE-E7D9-440C-89AA-AD3A6162B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087AFF39-26F4-466E-A7EC-8FC06E44E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C273A452-10B2-49BB-B60D-76D88100A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4B5C52E9-9E46-475C-AD97-F1BC5595D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98D9F76B-EC2D-47D0-B541-BA36622FC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4F64FE4D-B2B3-4C87-90B2-97CAC58A7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9E3AA5E6-416A-49EA-A174-FCD33AFB9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CB0CB3AF-F775-47C1-887B-831DF6849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E1C6E1C2-6A58-4522-874D-BB9F65383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8E1882DC-6630-4427-B34A-99BB071E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058FB09B-F443-4956-A5B2-74ED98CE1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51B26ECF-B168-468B-841A-E1136069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720A1366-E8FB-4434-B1E9-512C76E61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9AFD2543-42A6-4B57-BFA6-881CD6DB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E6C55941-8A91-443E-B78C-1EE9A8600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632510F4-B817-486D-A387-B0BBE7E76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E34222D6-7B63-446F-B16E-08D547AC2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314567</xdr:colOff>
      <xdr:row>47</xdr:row>
      <xdr:rowOff>80039</xdr:rowOff>
    </xdr:from>
    <xdr:to>
      <xdr:col>74</xdr:col>
      <xdr:colOff>9273</xdr:colOff>
      <xdr:row>56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79</xdr:col>
      <xdr:colOff>282548</xdr:colOff>
      <xdr:row>47</xdr:row>
      <xdr:rowOff>84043</xdr:rowOff>
    </xdr:from>
    <xdr:to>
      <xdr:col>83</xdr:col>
      <xdr:colOff>470312</xdr:colOff>
      <xdr:row>56</xdr:row>
      <xdr:rowOff>112102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314728</xdr:colOff>
      <xdr:row>57</xdr:row>
      <xdr:rowOff>103493</xdr:rowOff>
    </xdr:from>
    <xdr:to>
      <xdr:col>74</xdr:col>
      <xdr:colOff>9434</xdr:colOff>
      <xdr:row>66</xdr:row>
      <xdr:rowOff>131552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117</xdr:col>
      <xdr:colOff>267741</xdr:colOff>
      <xdr:row>58</xdr:row>
      <xdr:rowOff>86445</xdr:rowOff>
    </xdr:from>
    <xdr:to>
      <xdr:col>121</xdr:col>
      <xdr:colOff>638375</xdr:colOff>
      <xdr:row>70</xdr:row>
      <xdr:rowOff>128584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117</xdr:col>
      <xdr:colOff>111259</xdr:colOff>
      <xdr:row>73</xdr:row>
      <xdr:rowOff>131349</xdr:rowOff>
    </xdr:from>
    <xdr:to>
      <xdr:col>122</xdr:col>
      <xdr:colOff>235323</xdr:colOff>
      <xdr:row>86</xdr:row>
      <xdr:rowOff>131349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164</xdr:col>
      <xdr:colOff>310564</xdr:colOff>
      <xdr:row>66</xdr:row>
      <xdr:rowOff>113659</xdr:rowOff>
    </xdr:from>
    <xdr:to>
      <xdr:col>171</xdr:col>
      <xdr:colOff>160887</xdr:colOff>
      <xdr:row>84</xdr:row>
      <xdr:rowOff>32018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243490</xdr:colOff>
      <xdr:row>47</xdr:row>
      <xdr:rowOff>91245</xdr:rowOff>
    </xdr:from>
    <xdr:to>
      <xdr:col>78</xdr:col>
      <xdr:colOff>431254</xdr:colOff>
      <xdr:row>56</xdr:row>
      <xdr:rowOff>119304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63</xdr:col>
      <xdr:colOff>431015</xdr:colOff>
      <xdr:row>155</xdr:row>
      <xdr:rowOff>27214</xdr:rowOff>
    </xdr:from>
    <xdr:to>
      <xdr:col>72</xdr:col>
      <xdr:colOff>361895</xdr:colOff>
      <xdr:row>185</xdr:row>
      <xdr:rowOff>72839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6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3873721" y="22696714"/>
          <a:ext cx="4368408" cy="4752095"/>
        </a:xfrm>
        <a:prstGeom prst="rect">
          <a:avLst/>
        </a:prstGeom>
        <a:noFill/>
      </xdr:spPr>
    </xdr:pic>
    <xdr:clientData/>
  </xdr:twoCellAnchor>
  <xdr:twoCellAnchor>
    <xdr:from>
      <xdr:col>148</xdr:col>
      <xdr:colOff>285750</xdr:colOff>
      <xdr:row>158</xdr:row>
      <xdr:rowOff>81642</xdr:rowOff>
    </xdr:from>
    <xdr:to>
      <xdr:col>156</xdr:col>
      <xdr:colOff>523608</xdr:colOff>
      <xdr:row>199</xdr:row>
      <xdr:rowOff>104142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131</xdr:col>
      <xdr:colOff>291352</xdr:colOff>
      <xdr:row>60</xdr:row>
      <xdr:rowOff>21608</xdr:rowOff>
    </xdr:from>
    <xdr:to>
      <xdr:col>139</xdr:col>
      <xdr:colOff>190501</xdr:colOff>
      <xdr:row>77</xdr:row>
      <xdr:rowOff>132958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122</xdr:col>
      <xdr:colOff>81642</xdr:colOff>
      <xdr:row>255</xdr:row>
      <xdr:rowOff>149680</xdr:rowOff>
    </xdr:from>
    <xdr:to>
      <xdr:col>131</xdr:col>
      <xdr:colOff>224516</xdr:colOff>
      <xdr:row>273</xdr:row>
      <xdr:rowOff>104145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135</xdr:col>
      <xdr:colOff>653143</xdr:colOff>
      <xdr:row>57</xdr:row>
      <xdr:rowOff>81642</xdr:rowOff>
    </xdr:from>
    <xdr:to>
      <xdr:col>144</xdr:col>
      <xdr:colOff>115660</xdr:colOff>
      <xdr:row>75</xdr:row>
      <xdr:rowOff>36108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74</xdr:col>
      <xdr:colOff>402613</xdr:colOff>
      <xdr:row>57</xdr:row>
      <xdr:rowOff>124064</xdr:rowOff>
    </xdr:from>
    <xdr:to>
      <xdr:col>79</xdr:col>
      <xdr:colOff>97319</xdr:colOff>
      <xdr:row>66</xdr:row>
      <xdr:rowOff>152123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92</xdr:col>
      <xdr:colOff>22707</xdr:colOff>
      <xdr:row>55</xdr:row>
      <xdr:rowOff>121066</xdr:rowOff>
    </xdr:from>
    <xdr:to>
      <xdr:col>102</xdr:col>
      <xdr:colOff>288957</xdr:colOff>
      <xdr:row>69</xdr:row>
      <xdr:rowOff>114128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102</xdr:col>
      <xdr:colOff>232319</xdr:colOff>
      <xdr:row>55</xdr:row>
      <xdr:rowOff>81141</xdr:rowOff>
    </xdr:from>
    <xdr:to>
      <xdr:col>108</xdr:col>
      <xdr:colOff>629537</xdr:colOff>
      <xdr:row>69</xdr:row>
      <xdr:rowOff>74203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192198</xdr:colOff>
      <xdr:row>124</xdr:row>
      <xdr:rowOff>143473</xdr:rowOff>
    </xdr:from>
    <xdr:to>
      <xdr:col>103</xdr:col>
      <xdr:colOff>125073</xdr:colOff>
      <xdr:row>138</xdr:row>
      <xdr:rowOff>136535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257734</xdr:colOff>
      <xdr:row>75</xdr:row>
      <xdr:rowOff>78441</xdr:rowOff>
    </xdr:from>
    <xdr:to>
      <xdr:col>85</xdr:col>
      <xdr:colOff>445498</xdr:colOff>
      <xdr:row>84</xdr:row>
      <xdr:rowOff>106500</xdr:rowOff>
    </xdr:to>
    <xdr:graphicFrame macro="">
      <xdr:nvGraphicFramePr>
        <xdr:cNvPr id="59" name="차트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288851</xdr:colOff>
      <xdr:row>0</xdr:row>
      <xdr:rowOff>0</xdr:rowOff>
    </xdr:from>
    <xdr:to>
      <xdr:col>34</xdr:col>
      <xdr:colOff>134363</xdr:colOff>
      <xdr:row>13</xdr:row>
      <xdr:rowOff>109697</xdr:rowOff>
    </xdr:to>
    <xdr:graphicFrame macro="">
      <xdr:nvGraphicFramePr>
        <xdr:cNvPr id="65" name="차트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</xdr:col>
      <xdr:colOff>286083</xdr:colOff>
      <xdr:row>27</xdr:row>
      <xdr:rowOff>60431</xdr:rowOff>
    </xdr:from>
    <xdr:to>
      <xdr:col>36</xdr:col>
      <xdr:colOff>206952</xdr:colOff>
      <xdr:row>41</xdr:row>
      <xdr:rowOff>16874</xdr:rowOff>
    </xdr:to>
    <xdr:graphicFrame macro="">
      <xdr:nvGraphicFramePr>
        <xdr:cNvPr id="66" name="차트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</xdr:col>
      <xdr:colOff>94549</xdr:colOff>
      <xdr:row>114</xdr:row>
      <xdr:rowOff>65831</xdr:rowOff>
    </xdr:from>
    <xdr:to>
      <xdr:col>34</xdr:col>
      <xdr:colOff>198205</xdr:colOff>
      <xdr:row>128</xdr:row>
      <xdr:rowOff>22275</xdr:rowOff>
    </xdr:to>
    <xdr:graphicFrame macro="">
      <xdr:nvGraphicFramePr>
        <xdr:cNvPr id="67" name="차트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156881</xdr:colOff>
      <xdr:row>453</xdr:row>
      <xdr:rowOff>33616</xdr:rowOff>
    </xdr:from>
    <xdr:to>
      <xdr:col>9</xdr:col>
      <xdr:colOff>327882</xdr:colOff>
      <xdr:row>466</xdr:row>
      <xdr:rowOff>154147</xdr:rowOff>
    </xdr:to>
    <xdr:graphicFrame macro="">
      <xdr:nvGraphicFramePr>
        <xdr:cNvPr id="69" name="차트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235328</xdr:colOff>
      <xdr:row>254</xdr:row>
      <xdr:rowOff>67236</xdr:rowOff>
    </xdr:from>
    <xdr:to>
      <xdr:col>22</xdr:col>
      <xdr:colOff>25328</xdr:colOff>
      <xdr:row>268</xdr:row>
      <xdr:rowOff>30882</xdr:rowOff>
    </xdr:to>
    <xdr:graphicFrame macro="">
      <xdr:nvGraphicFramePr>
        <xdr:cNvPr id="70" name="차트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104</xdr:col>
      <xdr:colOff>591811</xdr:colOff>
      <xdr:row>255</xdr:row>
      <xdr:rowOff>123964</xdr:rowOff>
    </xdr:from>
    <xdr:to>
      <xdr:col>110</xdr:col>
      <xdr:colOff>488967</xdr:colOff>
      <xdr:row>269</xdr:row>
      <xdr:rowOff>87610</xdr:rowOff>
    </xdr:to>
    <xdr:graphicFrame macro="">
      <xdr:nvGraphicFramePr>
        <xdr:cNvPr id="72" name="차트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44</xdr:col>
      <xdr:colOff>168087</xdr:colOff>
      <xdr:row>164</xdr:row>
      <xdr:rowOff>78441</xdr:rowOff>
    </xdr:from>
    <xdr:to>
      <xdr:col>52</xdr:col>
      <xdr:colOff>342289</xdr:colOff>
      <xdr:row>178</xdr:row>
      <xdr:rowOff>42088</xdr:rowOff>
    </xdr:to>
    <xdr:graphicFrame macro="">
      <xdr:nvGraphicFramePr>
        <xdr:cNvPr id="73" name="차트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105</xdr:col>
      <xdr:colOff>209406</xdr:colOff>
      <xdr:row>174</xdr:row>
      <xdr:rowOff>129567</xdr:rowOff>
    </xdr:from>
    <xdr:to>
      <xdr:col>111</xdr:col>
      <xdr:colOff>214821</xdr:colOff>
      <xdr:row>188</xdr:row>
      <xdr:rowOff>95314</xdr:rowOff>
    </xdr:to>
    <xdr:graphicFrame macro="">
      <xdr:nvGraphicFramePr>
        <xdr:cNvPr id="75" name="차트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123265</xdr:colOff>
      <xdr:row>453</xdr:row>
      <xdr:rowOff>11206</xdr:rowOff>
    </xdr:from>
    <xdr:to>
      <xdr:col>19</xdr:col>
      <xdr:colOff>294266</xdr:colOff>
      <xdr:row>466</xdr:row>
      <xdr:rowOff>131737</xdr:rowOff>
    </xdr:to>
    <xdr:graphicFrame macro="">
      <xdr:nvGraphicFramePr>
        <xdr:cNvPr id="76" name="차트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111</xdr:col>
      <xdr:colOff>23813</xdr:colOff>
      <xdr:row>176</xdr:row>
      <xdr:rowOff>107157</xdr:rowOff>
    </xdr:from>
    <xdr:to>
      <xdr:col>117</xdr:col>
      <xdr:colOff>414730</xdr:colOff>
      <xdr:row>190</xdr:row>
      <xdr:rowOff>72904</xdr:rowOff>
    </xdr:to>
    <xdr:graphicFrame macro="">
      <xdr:nvGraphicFramePr>
        <xdr:cNvPr id="78" name="차트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117</xdr:col>
      <xdr:colOff>0</xdr:colOff>
      <xdr:row>171</xdr:row>
      <xdr:rowOff>0</xdr:rowOff>
    </xdr:from>
    <xdr:to>
      <xdr:col>122</xdr:col>
      <xdr:colOff>327883</xdr:colOff>
      <xdr:row>184</xdr:row>
      <xdr:rowOff>120530</xdr:rowOff>
    </xdr:to>
    <xdr:graphicFrame macro="">
      <xdr:nvGraphicFramePr>
        <xdr:cNvPr id="79" name="차트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83</xdr:col>
      <xdr:colOff>326372</xdr:colOff>
      <xdr:row>175</xdr:row>
      <xdr:rowOff>135172</xdr:rowOff>
    </xdr:from>
    <xdr:to>
      <xdr:col>90</xdr:col>
      <xdr:colOff>421032</xdr:colOff>
      <xdr:row>189</xdr:row>
      <xdr:rowOff>98818</xdr:rowOff>
    </xdr:to>
    <xdr:graphicFrame macro="">
      <xdr:nvGraphicFramePr>
        <xdr:cNvPr id="80" name="차트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79</xdr:col>
      <xdr:colOff>392207</xdr:colOff>
      <xdr:row>57</xdr:row>
      <xdr:rowOff>89647</xdr:rowOff>
    </xdr:from>
    <xdr:to>
      <xdr:col>84</xdr:col>
      <xdr:colOff>86913</xdr:colOff>
      <xdr:row>66</xdr:row>
      <xdr:rowOff>117706</xdr:rowOff>
    </xdr:to>
    <xdr:graphicFrame macro="">
      <xdr:nvGraphicFramePr>
        <xdr:cNvPr id="68" name="차트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44</xdr:col>
      <xdr:colOff>22411</xdr:colOff>
      <xdr:row>178</xdr:row>
      <xdr:rowOff>22411</xdr:rowOff>
    </xdr:from>
    <xdr:to>
      <xdr:col>52</xdr:col>
      <xdr:colOff>215824</xdr:colOff>
      <xdr:row>191</xdr:row>
      <xdr:rowOff>142940</xdr:rowOff>
    </xdr:to>
    <xdr:graphicFrame macro="">
      <xdr:nvGraphicFramePr>
        <xdr:cNvPr id="71" name="차트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77</xdr:col>
      <xdr:colOff>0</xdr:colOff>
      <xdr:row>198</xdr:row>
      <xdr:rowOff>0</xdr:rowOff>
    </xdr:from>
    <xdr:to>
      <xdr:col>81</xdr:col>
      <xdr:colOff>187764</xdr:colOff>
      <xdr:row>207</xdr:row>
      <xdr:rowOff>28058</xdr:rowOff>
    </xdr:to>
    <xdr:graphicFrame macro="">
      <xdr:nvGraphicFramePr>
        <xdr:cNvPr id="81" name="차트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103</xdr:col>
      <xdr:colOff>145676</xdr:colOff>
      <xdr:row>36</xdr:row>
      <xdr:rowOff>100854</xdr:rowOff>
    </xdr:from>
    <xdr:to>
      <xdr:col>109</xdr:col>
      <xdr:colOff>799</xdr:colOff>
      <xdr:row>49</xdr:row>
      <xdr:rowOff>100854</xdr:rowOff>
    </xdr:to>
    <xdr:graphicFrame macro="">
      <xdr:nvGraphicFramePr>
        <xdr:cNvPr id="82" name="차트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110</xdr:col>
      <xdr:colOff>0</xdr:colOff>
      <xdr:row>36</xdr:row>
      <xdr:rowOff>0</xdr:rowOff>
    </xdr:from>
    <xdr:to>
      <xdr:col>116</xdr:col>
      <xdr:colOff>168888</xdr:colOff>
      <xdr:row>49</xdr:row>
      <xdr:rowOff>0</xdr:rowOff>
    </xdr:to>
    <xdr:graphicFrame macro="">
      <xdr:nvGraphicFramePr>
        <xdr:cNvPr id="83" name="차트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43</xdr:col>
      <xdr:colOff>44824</xdr:colOff>
      <xdr:row>115</xdr:row>
      <xdr:rowOff>145676</xdr:rowOff>
    </xdr:from>
    <xdr:to>
      <xdr:col>50</xdr:col>
      <xdr:colOff>201707</xdr:colOff>
      <xdr:row>129</xdr:row>
      <xdr:rowOff>102121</xdr:rowOff>
    </xdr:to>
    <xdr:graphicFrame macro="">
      <xdr:nvGraphicFramePr>
        <xdr:cNvPr id="84" name="차트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77</xdr:col>
      <xdr:colOff>392207</xdr:colOff>
      <xdr:row>164</xdr:row>
      <xdr:rowOff>0</xdr:rowOff>
    </xdr:from>
    <xdr:to>
      <xdr:col>85</xdr:col>
      <xdr:colOff>47737</xdr:colOff>
      <xdr:row>177</xdr:row>
      <xdr:rowOff>120530</xdr:rowOff>
    </xdr:to>
    <xdr:graphicFrame macro="">
      <xdr:nvGraphicFramePr>
        <xdr:cNvPr id="86" name="차트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178</xdr:row>
      <xdr:rowOff>123262</xdr:rowOff>
    </xdr:from>
    <xdr:to>
      <xdr:col>14</xdr:col>
      <xdr:colOff>319879</xdr:colOff>
      <xdr:row>192</xdr:row>
      <xdr:rowOff>86908</xdr:rowOff>
    </xdr:to>
    <xdr:graphicFrame macro="">
      <xdr:nvGraphicFramePr>
        <xdr:cNvPr id="87" name="차트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145679</xdr:colOff>
      <xdr:row>178</xdr:row>
      <xdr:rowOff>100851</xdr:rowOff>
    </xdr:from>
    <xdr:to>
      <xdr:col>25</xdr:col>
      <xdr:colOff>2916</xdr:colOff>
      <xdr:row>192</xdr:row>
      <xdr:rowOff>64498</xdr:rowOff>
    </xdr:to>
    <xdr:graphicFrame macro="">
      <xdr:nvGraphicFramePr>
        <xdr:cNvPr id="88" name="차트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22411</xdr:colOff>
      <xdr:row>253</xdr:row>
      <xdr:rowOff>100853</xdr:rowOff>
    </xdr:from>
    <xdr:to>
      <xdr:col>12</xdr:col>
      <xdr:colOff>174202</xdr:colOff>
      <xdr:row>267</xdr:row>
      <xdr:rowOff>64499</xdr:rowOff>
    </xdr:to>
    <xdr:graphicFrame macro="">
      <xdr:nvGraphicFramePr>
        <xdr:cNvPr id="89" name="차트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75</xdr:col>
      <xdr:colOff>0</xdr:colOff>
      <xdr:row>68</xdr:row>
      <xdr:rowOff>0</xdr:rowOff>
    </xdr:from>
    <xdr:to>
      <xdr:col>79</xdr:col>
      <xdr:colOff>194768</xdr:colOff>
      <xdr:row>77</xdr:row>
      <xdr:rowOff>28058</xdr:rowOff>
    </xdr:to>
    <xdr:graphicFrame macro="">
      <xdr:nvGraphicFramePr>
        <xdr:cNvPr id="74" name="차트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23</xdr:col>
      <xdr:colOff>0</xdr:colOff>
      <xdr:row>75</xdr:row>
      <xdr:rowOff>71437</xdr:rowOff>
    </xdr:from>
    <xdr:to>
      <xdr:col>35</xdr:col>
      <xdr:colOff>226830</xdr:colOff>
      <xdr:row>89</xdr:row>
      <xdr:rowOff>35083</xdr:rowOff>
    </xdr:to>
    <xdr:graphicFrame macro="">
      <xdr:nvGraphicFramePr>
        <xdr:cNvPr id="77" name="차트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109</xdr:col>
      <xdr:colOff>0</xdr:colOff>
      <xdr:row>56</xdr:row>
      <xdr:rowOff>0</xdr:rowOff>
    </xdr:from>
    <xdr:to>
      <xdr:col>115</xdr:col>
      <xdr:colOff>421031</xdr:colOff>
      <xdr:row>69</xdr:row>
      <xdr:rowOff>147843</xdr:rowOff>
    </xdr:to>
    <xdr:graphicFrame macro="">
      <xdr:nvGraphicFramePr>
        <xdr:cNvPr id="90" name="차트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92</xdr:col>
      <xdr:colOff>0</xdr:colOff>
      <xdr:row>70</xdr:row>
      <xdr:rowOff>39925</xdr:rowOff>
    </xdr:from>
    <xdr:to>
      <xdr:col>102</xdr:col>
      <xdr:colOff>266250</xdr:colOff>
      <xdr:row>84</xdr:row>
      <xdr:rowOff>32988</xdr:rowOff>
    </xdr:to>
    <xdr:graphicFrame macro="">
      <xdr:nvGraphicFramePr>
        <xdr:cNvPr id="91" name="차트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102</xdr:col>
      <xdr:colOff>209612</xdr:colOff>
      <xdr:row>70</xdr:row>
      <xdr:rowOff>0</xdr:rowOff>
    </xdr:from>
    <xdr:to>
      <xdr:col>108</xdr:col>
      <xdr:colOff>606830</xdr:colOff>
      <xdr:row>83</xdr:row>
      <xdr:rowOff>147844</xdr:rowOff>
    </xdr:to>
    <xdr:graphicFrame macro="">
      <xdr:nvGraphicFramePr>
        <xdr:cNvPr id="92" name="차트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108</xdr:col>
      <xdr:colOff>667855</xdr:colOff>
      <xdr:row>70</xdr:row>
      <xdr:rowOff>73640</xdr:rowOff>
    </xdr:from>
    <xdr:to>
      <xdr:col>115</xdr:col>
      <xdr:colOff>398324</xdr:colOff>
      <xdr:row>84</xdr:row>
      <xdr:rowOff>66703</xdr:rowOff>
    </xdr:to>
    <xdr:graphicFrame macro="">
      <xdr:nvGraphicFramePr>
        <xdr:cNvPr id="93" name="차트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92</xdr:col>
      <xdr:colOff>22707</xdr:colOff>
      <xdr:row>88</xdr:row>
      <xdr:rowOff>39925</xdr:rowOff>
    </xdr:from>
    <xdr:to>
      <xdr:col>102</xdr:col>
      <xdr:colOff>288957</xdr:colOff>
      <xdr:row>102</xdr:row>
      <xdr:rowOff>32987</xdr:rowOff>
    </xdr:to>
    <xdr:graphicFrame macro="">
      <xdr:nvGraphicFramePr>
        <xdr:cNvPr id="94" name="차트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102</xdr:col>
      <xdr:colOff>232319</xdr:colOff>
      <xdr:row>88</xdr:row>
      <xdr:rowOff>0</xdr:rowOff>
    </xdr:from>
    <xdr:to>
      <xdr:col>108</xdr:col>
      <xdr:colOff>629537</xdr:colOff>
      <xdr:row>101</xdr:row>
      <xdr:rowOff>147843</xdr:rowOff>
    </xdr:to>
    <xdr:graphicFrame macro="">
      <xdr:nvGraphicFramePr>
        <xdr:cNvPr id="95" name="차트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109</xdr:col>
      <xdr:colOff>0</xdr:colOff>
      <xdr:row>88</xdr:row>
      <xdr:rowOff>73640</xdr:rowOff>
    </xdr:from>
    <xdr:to>
      <xdr:col>115</xdr:col>
      <xdr:colOff>421031</xdr:colOff>
      <xdr:row>102</xdr:row>
      <xdr:rowOff>66702</xdr:rowOff>
    </xdr:to>
    <xdr:graphicFrame macro="">
      <xdr:nvGraphicFramePr>
        <xdr:cNvPr id="96" name="차트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92</xdr:col>
      <xdr:colOff>0</xdr:colOff>
      <xdr:row>102</xdr:row>
      <xdr:rowOff>113565</xdr:rowOff>
    </xdr:from>
    <xdr:to>
      <xdr:col>102</xdr:col>
      <xdr:colOff>266250</xdr:colOff>
      <xdr:row>116</xdr:row>
      <xdr:rowOff>106628</xdr:rowOff>
    </xdr:to>
    <xdr:graphicFrame macro="">
      <xdr:nvGraphicFramePr>
        <xdr:cNvPr id="97" name="차트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102</xdr:col>
      <xdr:colOff>209612</xdr:colOff>
      <xdr:row>102</xdr:row>
      <xdr:rowOff>73640</xdr:rowOff>
    </xdr:from>
    <xdr:to>
      <xdr:col>108</xdr:col>
      <xdr:colOff>606830</xdr:colOff>
      <xdr:row>116</xdr:row>
      <xdr:rowOff>66703</xdr:rowOff>
    </xdr:to>
    <xdr:graphicFrame macro="">
      <xdr:nvGraphicFramePr>
        <xdr:cNvPr id="98" name="차트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108</xdr:col>
      <xdr:colOff>667855</xdr:colOff>
      <xdr:row>102</xdr:row>
      <xdr:rowOff>147280</xdr:rowOff>
    </xdr:from>
    <xdr:to>
      <xdr:col>115</xdr:col>
      <xdr:colOff>398324</xdr:colOff>
      <xdr:row>116</xdr:row>
      <xdr:rowOff>140343</xdr:rowOff>
    </xdr:to>
    <xdr:graphicFrame macro="">
      <xdr:nvGraphicFramePr>
        <xdr:cNvPr id="99" name="차트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104</xdr:col>
      <xdr:colOff>0</xdr:colOff>
      <xdr:row>125</xdr:row>
      <xdr:rowOff>0</xdr:rowOff>
    </xdr:from>
    <xdr:to>
      <xdr:col>109</xdr:col>
      <xdr:colOff>373406</xdr:colOff>
      <xdr:row>138</xdr:row>
      <xdr:rowOff>147844</xdr:rowOff>
    </xdr:to>
    <xdr:graphicFrame macro="">
      <xdr:nvGraphicFramePr>
        <xdr:cNvPr id="100" name="차트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110</xdr:col>
      <xdr:colOff>0</xdr:colOff>
      <xdr:row>125</xdr:row>
      <xdr:rowOff>0</xdr:rowOff>
    </xdr:from>
    <xdr:to>
      <xdr:col>116</xdr:col>
      <xdr:colOff>385313</xdr:colOff>
      <xdr:row>138</xdr:row>
      <xdr:rowOff>147844</xdr:rowOff>
    </xdr:to>
    <xdr:graphicFrame macro="">
      <xdr:nvGraphicFramePr>
        <xdr:cNvPr id="101" name="차트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92</xdr:col>
      <xdr:colOff>214312</xdr:colOff>
      <xdr:row>139</xdr:row>
      <xdr:rowOff>0</xdr:rowOff>
    </xdr:from>
    <xdr:to>
      <xdr:col>103</xdr:col>
      <xdr:colOff>147187</xdr:colOff>
      <xdr:row>152</xdr:row>
      <xdr:rowOff>147844</xdr:rowOff>
    </xdr:to>
    <xdr:graphicFrame macro="">
      <xdr:nvGraphicFramePr>
        <xdr:cNvPr id="102" name="차트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104</xdr:col>
      <xdr:colOff>22114</xdr:colOff>
      <xdr:row>139</xdr:row>
      <xdr:rowOff>11309</xdr:rowOff>
    </xdr:from>
    <xdr:to>
      <xdr:col>109</xdr:col>
      <xdr:colOff>395520</xdr:colOff>
      <xdr:row>153</xdr:row>
      <xdr:rowOff>4371</xdr:rowOff>
    </xdr:to>
    <xdr:graphicFrame macro="">
      <xdr:nvGraphicFramePr>
        <xdr:cNvPr id="103" name="차트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110</xdr:col>
      <xdr:colOff>22114</xdr:colOff>
      <xdr:row>139</xdr:row>
      <xdr:rowOff>11309</xdr:rowOff>
    </xdr:from>
    <xdr:to>
      <xdr:col>116</xdr:col>
      <xdr:colOff>407427</xdr:colOff>
      <xdr:row>153</xdr:row>
      <xdr:rowOff>4371</xdr:rowOff>
    </xdr:to>
    <xdr:graphicFrame macro="">
      <xdr:nvGraphicFramePr>
        <xdr:cNvPr id="104" name="차트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1BC95F5-EFDE-4F62-80C7-961C1B81D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3F16454-8E77-4E83-8C2C-AF5D8DC0B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9A241B7-D480-4890-AE1B-F48C48354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BFEEEAC-A8BC-46A3-84CA-3D1021D39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3064767-4C8C-41A2-B3C0-E5A09D375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01428CD-702E-4B82-9F8E-192152F7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1EAEB9DF-9285-4BAD-8A91-440AE5F59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182</xdr:row>
      <xdr:rowOff>72839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2E738E62-2125-4F10-8C43-368E763FB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18435" y="2405688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F861B840-CDE4-49E8-AECE-A658D6012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83317DDF-E21F-40E0-B2A5-7E0184019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128</xdr:col>
      <xdr:colOff>81642</xdr:colOff>
      <xdr:row>251</xdr:row>
      <xdr:rowOff>149680</xdr:rowOff>
    </xdr:from>
    <xdr:to>
      <xdr:col>137</xdr:col>
      <xdr:colOff>224516</xdr:colOff>
      <xdr:row>269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745DBCC4-5CE0-47F8-A66C-CC709F5A8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F3C4E4D0-E31E-49E6-A095-CE665ED88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337BD404-9ACE-49CF-B58C-DBF163C44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489E21A1-D281-43DE-8FA0-7369716FD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9B656DED-E52F-493A-A489-63E8F5E47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54FDC9D8-8B1B-46C0-873F-08B740B55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1CF1F3EB-A8ED-4D63-A555-E97CC67B1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CE7A6D6-21FB-4470-9005-C7551C74E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222584</xdr:colOff>
      <xdr:row>23</xdr:row>
      <xdr:rowOff>60430</xdr:rowOff>
    </xdr:from>
    <xdr:to>
      <xdr:col>39</xdr:col>
      <xdr:colOff>578</xdr:colOff>
      <xdr:row>37</xdr:row>
      <xdr:rowOff>16873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25E1765-F881-4DB3-ABD3-34F8EF39A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94549</xdr:colOff>
      <xdr:row>113</xdr:row>
      <xdr:rowOff>65831</xdr:rowOff>
    </xdr:from>
    <xdr:to>
      <xdr:col>40</xdr:col>
      <xdr:colOff>198205</xdr:colOff>
      <xdr:row>127</xdr:row>
      <xdr:rowOff>22275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824F0DF4-9217-44E5-A300-F5DF59607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2A50C165-6051-4F9E-9F12-A443E1B43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F0BD8EB5-74A3-46F6-B5FC-1FA1929FD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ADD4D62D-A013-48E6-B534-B47CDAAE2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F81B5EAE-32E0-4B68-A17E-AB8B67489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7C204B81-4D31-45EE-B653-1E4AA1C0A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C7F1C929-F973-4E86-B08E-981598DC5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7E0A9DB4-BDCD-4E60-86B3-179BE44C6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9BBD8BCA-3612-485A-B7FA-5C53D5353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612A00E7-5066-45AD-96E2-441E5B431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106ABF35-5B5B-4EA5-8205-5CBE7B37A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8513E521-7A30-483C-8162-8F1277ACE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83</xdr:col>
      <xdr:colOff>0</xdr:colOff>
      <xdr:row>194</xdr:row>
      <xdr:rowOff>0</xdr:rowOff>
    </xdr:from>
    <xdr:to>
      <xdr:col>87</xdr:col>
      <xdr:colOff>187764</xdr:colOff>
      <xdr:row>203</xdr:row>
      <xdr:rowOff>28058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61B43C54-2618-4F43-8000-3C72DE14B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F53C8BC3-E34F-4DD8-8DDC-E27D557CC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70C26454-E6F9-4137-8DE8-B19E10660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F8753E4D-1EB0-4988-9249-016309AF6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464EB05E-AD18-446E-ADA1-5727783BE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168088</xdr:colOff>
      <xdr:row>174</xdr:row>
      <xdr:rowOff>123262</xdr:rowOff>
    </xdr:from>
    <xdr:to>
      <xdr:col>20</xdr:col>
      <xdr:colOff>319879</xdr:colOff>
      <xdr:row>188</xdr:row>
      <xdr:rowOff>86908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09F44099-C571-484C-BAD5-2E3357C37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</xdr:col>
      <xdr:colOff>145679</xdr:colOff>
      <xdr:row>174</xdr:row>
      <xdr:rowOff>100851</xdr:rowOff>
    </xdr:from>
    <xdr:to>
      <xdr:col>31</xdr:col>
      <xdr:colOff>2916</xdr:colOff>
      <xdr:row>188</xdr:row>
      <xdr:rowOff>64498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82CFEAFA-30AF-4475-BAC8-22B206E30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7A08F358-FFF6-4626-B602-0FDC96A60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26160CC6-F9C2-4CE9-B476-6C1CB7688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29</xdr:col>
      <xdr:colOff>0</xdr:colOff>
      <xdr:row>74</xdr:row>
      <xdr:rowOff>71437</xdr:rowOff>
    </xdr:from>
    <xdr:to>
      <xdr:col>41</xdr:col>
      <xdr:colOff>226830</xdr:colOff>
      <xdr:row>88</xdr:row>
      <xdr:rowOff>35083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ACACF40-C889-417F-9777-727224AA7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F1B1DA3F-C8AF-46DC-8C2F-EB9D1AE62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F38176B5-29FA-41E1-8712-CFACA5B6A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8E4AE6A5-B0EF-4559-B0F5-4D2703BB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75AA5763-7677-4AFB-B8A4-4404C5FA5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B157E97A-EF15-4B2F-9763-7CAF5A57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5A0A5782-168F-473C-A04F-88537A19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10264F29-7F62-4717-A64C-4A1BBB75C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A01B0CB7-7D75-428D-AA3D-CD2658AB2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D5249457-A9F4-43FD-9EF3-6385060DA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1C7795D0-795F-439B-A0E7-13BC07681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31D11C8E-DAC2-4359-9117-1BBA021BC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E6C2C84D-7BB8-4408-AB3E-D1EAE0B03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34E620E5-B15D-4222-B939-814342D91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D43E9195-8038-41A4-9BE9-EC279385F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5BC30DCA-5A06-429C-8938-0F527BE45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백장운" id="{9B22B0B4-DED9-475E-B22B-631295BAD583}" userId="S::056153@office.khu.ac.kr::5b72474f-107f-48e2-8be2-0a652bb22d42" providerId="AD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52" dT="2022-07-25T10:32:41.79" personId="{9B22B0B4-DED9-475E-B22B-631295BAD583}" id="{B63F8C54-14A8-4227-949B-5C1F436EA88A}">
    <text>Slice -&gt; Lap splice 로 변경함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E79A-436C-4558-9A9E-2DCDC7B5B502}">
  <sheetPr>
    <pageSetUpPr autoPageBreaks="0"/>
  </sheetPr>
  <dimension ref="A1:GF620"/>
  <sheetViews>
    <sheetView tabSelected="1" zoomScaleNormal="100" workbookViewId="0">
      <pane xSplit="6" ySplit="18" topLeftCell="G43" activePane="bottomRight" state="frozen"/>
      <selection pane="topRight" activeCell="E1" sqref="E1"/>
      <selection pane="bottomLeft" activeCell="A3" sqref="A3"/>
      <selection pane="bottomRight" activeCell="AB62" sqref="AB62:AB63"/>
    </sheetView>
  </sheetViews>
  <sheetFormatPr defaultColWidth="9" defaultRowHeight="12" customHeight="1" x14ac:dyDescent="0.3"/>
  <cols>
    <col min="1" max="1" width="3.75" style="4" bestFit="1" customWidth="1"/>
    <col min="2" max="2" width="8.375" style="4" bestFit="1" customWidth="1"/>
    <col min="3" max="5" width="8.375" style="4" customWidth="1"/>
    <col min="6" max="6" width="28.75" style="4" bestFit="1" customWidth="1"/>
    <col min="7" max="19" width="5" style="4" customWidth="1"/>
    <col min="20" max="20" width="5.25" style="4" customWidth="1"/>
    <col min="21" max="28" width="5" style="4" customWidth="1"/>
    <col min="29" max="29" width="4" style="4" customWidth="1"/>
    <col min="30" max="30" width="5.37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125" style="4" customWidth="1"/>
    <col min="43" max="44" width="6.25" style="38" customWidth="1"/>
    <col min="45" max="47" width="4.25" style="38" customWidth="1"/>
    <col min="48" max="48" width="4.75" style="38" customWidth="1"/>
    <col min="49" max="49" width="2.875" style="4" customWidth="1"/>
    <col min="50" max="51" width="5.625" style="4" customWidth="1"/>
    <col min="52" max="52" width="5.625" style="38" customWidth="1"/>
    <col min="53" max="62" width="5.625" style="4" customWidth="1"/>
    <col min="63" max="67" width="4.625" style="4" customWidth="1"/>
    <col min="68" max="68" width="7.25" style="4" customWidth="1"/>
    <col min="69" max="69" width="4.625" style="4" customWidth="1"/>
    <col min="70" max="97" width="6.5" style="4" customWidth="1"/>
    <col min="98" max="98" width="2.625" style="4" customWidth="1"/>
    <col min="99" max="110" width="4.375" style="4" customWidth="1"/>
    <col min="111" max="111" width="9" style="4"/>
    <col min="112" max="112" width="6.1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625" style="4" customWidth="1"/>
    <col min="138" max="139" width="9" style="4"/>
    <col min="140" max="140" width="4.125" style="4" customWidth="1"/>
    <col min="141" max="177" width="6.25" style="4" customWidth="1"/>
    <col min="178" max="179" width="9" style="4"/>
    <col min="180" max="183" width="4.875" style="4" customWidth="1"/>
    <col min="184" max="16384" width="9" style="4"/>
  </cols>
  <sheetData>
    <row r="1" spans="7:173" ht="12" customHeight="1" x14ac:dyDescent="0.3">
      <c r="R1" s="4" t="str">
        <f>CK1</f>
        <v>Total</v>
      </c>
      <c r="S1" s="4" t="str">
        <f>CL1</f>
        <v>avg</v>
      </c>
      <c r="T1" s="4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5" t="s">
        <v>27</v>
      </c>
      <c r="CM1" s="5">
        <f t="shared" ref="CM1:CS1" si="1">AVERAGE(CM19:CM1247)</f>
        <v>1.6782626178573583</v>
      </c>
      <c r="CN1" s="5">
        <f t="shared" si="1"/>
        <v>0.95300717452398231</v>
      </c>
      <c r="CO1" s="5">
        <f t="shared" si="1"/>
        <v>1.2156305950114661</v>
      </c>
      <c r="CP1" s="5">
        <f t="shared" si="1"/>
        <v>1.8817218178144222</v>
      </c>
      <c r="CQ1" s="5">
        <f t="shared" si="1"/>
        <v>1.056096550409896</v>
      </c>
      <c r="CR1" s="5">
        <f t="shared" si="1"/>
        <v>1.1033176043872563</v>
      </c>
      <c r="CS1" s="5">
        <f t="shared" si="1"/>
        <v>1.3408754842421382</v>
      </c>
      <c r="CT1" s="5"/>
      <c r="CU1" s="5">
        <f t="shared" ref="CU1:DF1" si="2">AVERAGE(CU19:CU1247)</f>
        <v>1.6264688144681267</v>
      </c>
      <c r="CV1" s="5">
        <f t="shared" si="2"/>
        <v>0.92871449891049684</v>
      </c>
      <c r="CW1" s="5">
        <f t="shared" si="2"/>
        <v>2.029709456924492</v>
      </c>
      <c r="CX1" s="5">
        <f t="shared" si="2"/>
        <v>1.3618802190230541</v>
      </c>
      <c r="CY1" s="5">
        <f t="shared" si="2"/>
        <v>1.0534566143088782</v>
      </c>
      <c r="CZ1" s="5">
        <f t="shared" si="2"/>
        <v>1.1081129801433647</v>
      </c>
      <c r="DA1" s="5">
        <f t="shared" si="2"/>
        <v>1.7478815613740522</v>
      </c>
      <c r="DB1" s="5">
        <f t="shared" si="2"/>
        <v>0.98566031642002905</v>
      </c>
      <c r="DC1" s="5">
        <f t="shared" si="2"/>
        <v>1.6828033678417915</v>
      </c>
      <c r="DD1" s="5">
        <f t="shared" si="2"/>
        <v>1.312641847231425</v>
      </c>
      <c r="DE1" s="5">
        <f t="shared" si="2"/>
        <v>1.059645035948277</v>
      </c>
      <c r="DF1" s="5">
        <f t="shared" si="2"/>
        <v>1.0968718720397586</v>
      </c>
      <c r="DI1" s="4" t="e">
        <f>FC1</f>
        <v>#DIV/0!</v>
      </c>
      <c r="DN1" s="6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3">
      <c r="S2" s="4" t="str">
        <f>CL2</f>
        <v>cov</v>
      </c>
      <c r="T2" s="4">
        <f>CQ2</f>
        <v>0.20738367794348314</v>
      </c>
      <c r="AY2" s="4" t="s">
        <v>214</v>
      </c>
      <c r="BK2" s="52" t="s">
        <v>215</v>
      </c>
      <c r="BL2" s="52"/>
      <c r="BM2" s="52"/>
      <c r="BN2" s="52"/>
      <c r="BO2" s="52"/>
      <c r="BP2" s="52"/>
      <c r="BR2" s="52" t="s">
        <v>216</v>
      </c>
      <c r="BS2" s="52"/>
      <c r="BT2" s="52"/>
      <c r="BU2" s="52"/>
      <c r="BV2" s="52"/>
      <c r="BW2" s="52"/>
      <c r="BX2" s="52"/>
      <c r="BY2" s="52"/>
      <c r="BZ2" s="7" t="s">
        <v>40</v>
      </c>
      <c r="CA2" s="7"/>
      <c r="CB2" s="7"/>
      <c r="CC2" s="7"/>
      <c r="CD2" s="7">
        <f t="shared" ref="CD2:CI2" si="3">STDEVP(CM19:CM633)/CM1</f>
        <v>0.38591498806886199</v>
      </c>
      <c r="CE2" s="7">
        <f t="shared" si="3"/>
        <v>0.3786238886999081</v>
      </c>
      <c r="CF2" s="7">
        <f t="shared" si="3"/>
        <v>0.47257792553020578</v>
      </c>
      <c r="CG2" s="7">
        <f t="shared" si="3"/>
        <v>0.28230105625285867</v>
      </c>
      <c r="CH2" s="7">
        <f t="shared" si="3"/>
        <v>0.20738367794348314</v>
      </c>
      <c r="CI2" s="7">
        <f t="shared" si="3"/>
        <v>0.2245803838061915</v>
      </c>
      <c r="CJ2" s="7"/>
      <c r="CK2" s="7"/>
      <c r="CL2" s="8" t="s">
        <v>217</v>
      </c>
      <c r="CM2" s="5">
        <f t="shared" ref="CM2:CS2" si="4">STDEVP(CM19:CM1247)/CM1</f>
        <v>0.38591498806886199</v>
      </c>
      <c r="CN2" s="5">
        <f t="shared" si="4"/>
        <v>0.3786238886999081</v>
      </c>
      <c r="CO2" s="5">
        <f t="shared" si="4"/>
        <v>0.47257792553020578</v>
      </c>
      <c r="CP2" s="5">
        <f t="shared" si="4"/>
        <v>0.28230105625285867</v>
      </c>
      <c r="CQ2" s="5">
        <f t="shared" si="4"/>
        <v>0.20738367794348314</v>
      </c>
      <c r="CR2" s="5">
        <f t="shared" si="4"/>
        <v>0.2245803838061915</v>
      </c>
      <c r="CS2" s="5">
        <f t="shared" si="4"/>
        <v>0.37852064180429407</v>
      </c>
      <c r="CT2" s="5"/>
      <c r="CU2" s="5">
        <f t="shared" ref="CU2:DF2" si="5">STDEVP(CU19:CU1247)/CU1</f>
        <v>0.40152484677778294</v>
      </c>
      <c r="CV2" s="5">
        <f t="shared" si="5"/>
        <v>0.38055189275349616</v>
      </c>
      <c r="CW2" s="5">
        <f t="shared" si="5"/>
        <v>0.25927404713422825</v>
      </c>
      <c r="CX2" s="5">
        <f t="shared" si="5"/>
        <v>0.43602597932332887</v>
      </c>
      <c r="CY2" s="5">
        <f t="shared" si="5"/>
        <v>0.22212324371066888</v>
      </c>
      <c r="CZ2" s="5">
        <f t="shared" si="5"/>
        <v>0.24363584087003703</v>
      </c>
      <c r="DA2" s="5">
        <f t="shared" si="5"/>
        <v>0.36255356727067367</v>
      </c>
      <c r="DB2" s="5">
        <f t="shared" si="5"/>
        <v>0.3733912807304916</v>
      </c>
      <c r="DC2" s="5">
        <f t="shared" si="5"/>
        <v>0.27887315563098203</v>
      </c>
      <c r="DD2" s="5">
        <f t="shared" si="5"/>
        <v>0.27309721186484237</v>
      </c>
      <c r="DE2" s="5">
        <f t="shared" si="5"/>
        <v>0.18594941660962594</v>
      </c>
      <c r="DF2" s="5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3">
      <c r="T3" s="4">
        <f>CQ3</f>
        <v>1.7054171816068107</v>
      </c>
      <c r="AX3" s="7"/>
      <c r="AY3" s="7"/>
      <c r="AZ3" s="39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>
        <f t="shared" ref="CD3:CI3" si="8">MAX(CM19:CM633)</f>
        <v>3.9007223111414722</v>
      </c>
      <c r="CE3" s="7">
        <f t="shared" si="8"/>
        <v>2.2796227071273441</v>
      </c>
      <c r="CF3" s="7">
        <f t="shared" si="8"/>
        <v>3.8981849746145723</v>
      </c>
      <c r="CG3" s="7">
        <f t="shared" si="8"/>
        <v>4.1928664127323829</v>
      </c>
      <c r="CH3" s="7">
        <f t="shared" si="8"/>
        <v>1.7054171816068107</v>
      </c>
      <c r="CI3" s="7">
        <f t="shared" si="8"/>
        <v>1.8118062019953518</v>
      </c>
      <c r="CJ3" s="7"/>
      <c r="CK3" s="7"/>
      <c r="CL3" s="7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3">
      <c r="J4" s="4">
        <f>500*0.145</f>
        <v>72.5</v>
      </c>
      <c r="M4" s="4">
        <f>43/25.4</f>
        <v>1.6929133858267718</v>
      </c>
      <c r="T4" s="4">
        <f>CQ4</f>
        <v>0.47564989032534455</v>
      </c>
      <c r="AX4" s="7"/>
      <c r="AY4" s="7"/>
      <c r="AZ4" s="39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>
        <f t="shared" ref="CD4:CI4" si="11">MIN(CM19:CM633)</f>
        <v>0.44463766638918378</v>
      </c>
      <c r="CE4" s="7">
        <f t="shared" si="11"/>
        <v>0.23714039746372731</v>
      </c>
      <c r="CF4" s="7">
        <f t="shared" si="11"/>
        <v>0.39567942283543261</v>
      </c>
      <c r="CG4" s="7">
        <f t="shared" si="11"/>
        <v>0.86666480781610633</v>
      </c>
      <c r="CH4" s="7">
        <f t="shared" si="11"/>
        <v>0.47564989032534455</v>
      </c>
      <c r="CI4" s="7">
        <f t="shared" si="11"/>
        <v>0.49532268932934714</v>
      </c>
      <c r="CJ4" s="7"/>
      <c r="CK4" s="7"/>
      <c r="CL4" s="7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0.56550765978997408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0.56550765978997408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3">
      <c r="J5" s="4">
        <f>28.7/25.4</f>
        <v>1.1299212598425197</v>
      </c>
      <c r="M5" s="4">
        <f>57.3/25.4</f>
        <v>2.2559055118110236</v>
      </c>
      <c r="AX5" s="7"/>
      <c r="AY5" s="7"/>
      <c r="AZ5" s="39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3">
      <c r="G6" s="9"/>
      <c r="H6" s="9"/>
      <c r="J6" s="4">
        <f>130*0.145</f>
        <v>18.849999999999998</v>
      </c>
      <c r="R6" s="4" t="str">
        <f>CK6</f>
        <v>CCT</v>
      </c>
      <c r="S6" s="4" t="str">
        <f>CL6</f>
        <v>avg</v>
      </c>
      <c r="T6" s="4">
        <f t="shared" ref="T6:T17" si="14">CQ6</f>
        <v>1.2833475794749885</v>
      </c>
      <c r="AX6" s="7"/>
      <c r="AY6" s="7"/>
      <c r="AZ6" s="39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 t="s">
        <v>55</v>
      </c>
      <c r="CL6" s="5" t="s">
        <v>27</v>
      </c>
      <c r="CM6" s="5">
        <f t="shared" ref="CM6:CS6" si="15">AVERAGE(CM19:CM103)</f>
        <v>2.2817899242208832</v>
      </c>
      <c r="CN6" s="5">
        <f t="shared" si="15"/>
        <v>1.2446302262494444</v>
      </c>
      <c r="CO6" s="5">
        <f t="shared" si="15"/>
        <v>2.3962790075813931</v>
      </c>
      <c r="CP6" s="5">
        <f t="shared" si="15"/>
        <v>2.1440962859626134</v>
      </c>
      <c r="CQ6" s="5">
        <f t="shared" si="15"/>
        <v>1.2833475794749885</v>
      </c>
      <c r="CR6" s="5">
        <f t="shared" si="15"/>
        <v>1.4097758472861859</v>
      </c>
      <c r="CS6" s="5">
        <f t="shared" si="15"/>
        <v>1.395726239153553</v>
      </c>
      <c r="CT6" s="5"/>
      <c r="CU6" s="5">
        <f t="shared" ref="CU6:DF6" si="16">AVERAGE(CU19:CU103)</f>
        <v>2.2769445009017959</v>
      </c>
      <c r="CV6" s="5">
        <f t="shared" si="16"/>
        <v>1.2514609999841295</v>
      </c>
      <c r="CW6" s="5">
        <f t="shared" si="16"/>
        <v>2.1831657646810618</v>
      </c>
      <c r="CX6" s="5">
        <f t="shared" si="16"/>
        <v>1.4165813587513074</v>
      </c>
      <c r="CY6" s="5">
        <f t="shared" si="16"/>
        <v>1.2864455584321524</v>
      </c>
      <c r="CZ6" s="5">
        <f t="shared" si="16"/>
        <v>1.4115094025178012</v>
      </c>
      <c r="DA6" s="5">
        <f t="shared" si="16"/>
        <v>2.3980800838789804</v>
      </c>
      <c r="DB6" s="5">
        <f t="shared" si="16"/>
        <v>1.0806916566170006</v>
      </c>
      <c r="DC6" s="5">
        <f t="shared" si="16"/>
        <v>1.2064287967198433</v>
      </c>
      <c r="DD6" s="5">
        <f t="shared" si="16"/>
        <v>0.89520336880745377</v>
      </c>
      <c r="DE6" s="5">
        <f t="shared" si="16"/>
        <v>1.2089960845030583</v>
      </c>
      <c r="DF6" s="5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3">
      <c r="G7" s="9"/>
      <c r="H7" s="9"/>
      <c r="J7" s="4">
        <f>226*0.145</f>
        <v>32.769999999999996</v>
      </c>
      <c r="S7" s="4" t="str">
        <f>CL7</f>
        <v>cov</v>
      </c>
      <c r="T7" s="4">
        <f t="shared" si="14"/>
        <v>0.14427891700440762</v>
      </c>
      <c r="AX7" s="7"/>
      <c r="AY7" s="7"/>
      <c r="AZ7" s="39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8" t="s">
        <v>217</v>
      </c>
      <c r="CM7" s="5">
        <f t="shared" ref="CM7:CS7" si="17">STDEVP(CM19:CM103)/CM6</f>
        <v>0.11214664336210099</v>
      </c>
      <c r="CN7" s="5">
        <f t="shared" si="17"/>
        <v>0.25926576533104256</v>
      </c>
      <c r="CO7" s="5">
        <f t="shared" si="17"/>
        <v>0.19110733671463734</v>
      </c>
      <c r="CP7" s="5">
        <f t="shared" si="17"/>
        <v>0.34157126164590873</v>
      </c>
      <c r="CQ7" s="5">
        <f t="shared" si="17"/>
        <v>0.14427891700440762</v>
      </c>
      <c r="CR7" s="5">
        <f t="shared" si="17"/>
        <v>0.14762196597760932</v>
      </c>
      <c r="CS7" s="5">
        <f t="shared" si="17"/>
        <v>0.27574724573767473</v>
      </c>
      <c r="CT7" s="5"/>
      <c r="CU7" s="5">
        <f t="shared" ref="CU7:DF7" si="18">STDEVP(CU19:CU103)/CU6</f>
        <v>0.11413613135489725</v>
      </c>
      <c r="CV7" s="5">
        <f t="shared" si="18"/>
        <v>0.26172765716051666</v>
      </c>
      <c r="CW7" s="5">
        <f t="shared" si="18"/>
        <v>0.33046980749033161</v>
      </c>
      <c r="CX7" s="5">
        <f t="shared" si="18"/>
        <v>0.26732996076934434</v>
      </c>
      <c r="CY7" s="5">
        <f t="shared" si="18"/>
        <v>0.1464041129891939</v>
      </c>
      <c r="CZ7" s="5">
        <f t="shared" si="18"/>
        <v>0.15035535689457027</v>
      </c>
      <c r="DA7" s="5">
        <f t="shared" si="18"/>
        <v>1.8867924528301862E-2</v>
      </c>
      <c r="DB7" s="5">
        <f t="shared" si="18"/>
        <v>1.8867924528301862E-2</v>
      </c>
      <c r="DC7" s="5">
        <f t="shared" si="18"/>
        <v>1.8867924528301865E-2</v>
      </c>
      <c r="DD7" s="5">
        <f t="shared" si="18"/>
        <v>1.88679245283019E-2</v>
      </c>
      <c r="DE7" s="5">
        <f t="shared" si="18"/>
        <v>2.8516451327094939E-3</v>
      </c>
      <c r="DF7" s="5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3">
      <c r="T8" s="4">
        <f t="shared" si="14"/>
        <v>1.6794082019601415</v>
      </c>
      <c r="AX8" s="7"/>
      <c r="AY8" s="7"/>
      <c r="AZ8" s="39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>
        <f>500*0.154</f>
        <v>77</v>
      </c>
      <c r="CK8" s="7"/>
      <c r="CL8" s="7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2.1241819020208603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2.1241819020208603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3">
      <c r="T9" s="4">
        <f t="shared" si="14"/>
        <v>0.88170720161183924</v>
      </c>
      <c r="AX9" s="7"/>
      <c r="AY9" s="7"/>
      <c r="AZ9" s="39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0.61069430303833316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0.61069430303833316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53" t="s">
        <v>219</v>
      </c>
      <c r="DM9" s="53"/>
      <c r="DN9" s="53"/>
      <c r="DO9" s="53"/>
      <c r="DP9" s="53"/>
      <c r="DQ9" s="53"/>
      <c r="DR9" s="53"/>
      <c r="DZ9" s="4" t="e">
        <f>MIN(1,MAX(0.85,(1-0.2*(BR9-2*#REF!)/#REF!)*IF(P9&gt;=2,0.7,1)))</f>
        <v>#REF!</v>
      </c>
      <c r="ED9" s="53" t="s">
        <v>51</v>
      </c>
      <c r="EE9" s="53"/>
      <c r="EF9" s="53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4" t="e">
        <f>EQ9^0.4</f>
        <v>#DIV/0!</v>
      </c>
      <c r="ES9" s="4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3">
      <c r="R10" s="4" t="str">
        <f>CK10</f>
        <v>Splice</v>
      </c>
      <c r="S10" s="4" t="str">
        <f>CL10</f>
        <v>avg</v>
      </c>
      <c r="T10" s="4">
        <f t="shared" si="14"/>
        <v>1.0300130388436419</v>
      </c>
      <c r="AX10" s="7"/>
      <c r="AY10" s="7"/>
      <c r="AZ10" s="39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 t="s">
        <v>199</v>
      </c>
      <c r="CL10" s="5" t="s">
        <v>27</v>
      </c>
      <c r="CM10" s="5">
        <f t="shared" ref="CM10:CS10" si="23">AVERAGE(CM104:CM152)</f>
        <v>0.98633113248028081</v>
      </c>
      <c r="CN10" s="5">
        <f t="shared" si="23"/>
        <v>1.1543090513133545</v>
      </c>
      <c r="CO10" s="5">
        <f t="shared" si="23"/>
        <v>1.2417841640681262</v>
      </c>
      <c r="CP10" s="5">
        <f t="shared" si="23"/>
        <v>1.8189278742084238</v>
      </c>
      <c r="CQ10" s="5">
        <f t="shared" si="23"/>
        <v>1.0300130388436419</v>
      </c>
      <c r="CR10" s="5">
        <f t="shared" si="23"/>
        <v>1.0676176870118286</v>
      </c>
      <c r="CS10" s="5">
        <f t="shared" si="23"/>
        <v>0.9346302958867051</v>
      </c>
      <c r="CT10" s="5"/>
      <c r="CU10" s="5">
        <f t="shared" ref="CU10:DF10" si="24">AVERAGE(CU104:CU152)</f>
        <v>0.79949301278601104</v>
      </c>
      <c r="CV10" s="5">
        <f t="shared" si="24"/>
        <v>1.0194457866935724</v>
      </c>
      <c r="CW10" s="5">
        <f t="shared" si="24"/>
        <v>1.753104988483839</v>
      </c>
      <c r="CX10" s="5">
        <f t="shared" si="24"/>
        <v>0.7966113805938202</v>
      </c>
      <c r="CY10" s="5">
        <f t="shared" si="24"/>
        <v>1.0713177337312305</v>
      </c>
      <c r="CZ10" s="5">
        <f t="shared" si="24"/>
        <v>1.1131878473096661</v>
      </c>
      <c r="DA10" s="5">
        <f t="shared" si="24"/>
        <v>1.1928364226686854</v>
      </c>
      <c r="DB10" s="5">
        <f t="shared" si="24"/>
        <v>1.3033684490510089</v>
      </c>
      <c r="DC10" s="5">
        <f t="shared" si="24"/>
        <v>1.8916794847461227</v>
      </c>
      <c r="DD10" s="5">
        <f t="shared" si="24"/>
        <v>1.0871775180525252</v>
      </c>
      <c r="DE10" s="5">
        <f t="shared" si="24"/>
        <v>0.98436048133630683</v>
      </c>
      <c r="DF10" s="5">
        <f t="shared" si="24"/>
        <v>1.0172506677352713</v>
      </c>
      <c r="DI10" s="4">
        <f>1/3.1</f>
        <v>0.32258064516129031</v>
      </c>
      <c r="DL10" s="10"/>
      <c r="DM10" s="10"/>
      <c r="DN10" s="10"/>
      <c r="DO10" s="10"/>
      <c r="DP10" s="10"/>
      <c r="DQ10" s="10"/>
      <c r="DR10" s="10"/>
      <c r="DT10" s="4">
        <v>1</v>
      </c>
      <c r="ED10" s="10"/>
      <c r="EE10" s="10"/>
      <c r="EF10" s="10"/>
    </row>
    <row r="11" spans="7:173" ht="12" customHeight="1" x14ac:dyDescent="0.3">
      <c r="S11" s="4" t="str">
        <f>CL11</f>
        <v>cov</v>
      </c>
      <c r="T11" s="4">
        <f t="shared" si="14"/>
        <v>0.15934382407073391</v>
      </c>
      <c r="AX11" s="7"/>
      <c r="AY11" s="7"/>
      <c r="AZ11" s="39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8" t="s">
        <v>217</v>
      </c>
      <c r="CM11" s="5">
        <f t="shared" ref="CM11:CS11" si="25">STDEVP(CM104:CM152)/CM10</f>
        <v>0.55207244761722296</v>
      </c>
      <c r="CN11" s="5">
        <f t="shared" si="25"/>
        <v>0.2430018890487293</v>
      </c>
      <c r="CO11" s="5">
        <f t="shared" si="25"/>
        <v>0.26423267654880483</v>
      </c>
      <c r="CP11" s="5">
        <f t="shared" si="25"/>
        <v>0.30043336407413007</v>
      </c>
      <c r="CQ11" s="5">
        <f t="shared" si="25"/>
        <v>0.15934382407073391</v>
      </c>
      <c r="CR11" s="5">
        <f t="shared" si="25"/>
        <v>0.14982983429619767</v>
      </c>
      <c r="CS11" s="5">
        <f t="shared" si="25"/>
        <v>0.22577409361854661</v>
      </c>
      <c r="CT11" s="5"/>
      <c r="CU11" s="5">
        <f t="shared" ref="CU11:DF11" si="26">STDEVP(CU104:CU152)/CU10</f>
        <v>0.57931133326434092</v>
      </c>
      <c r="CV11" s="5">
        <f t="shared" si="26"/>
        <v>0.15886659523565255</v>
      </c>
      <c r="CW11" s="5">
        <f t="shared" si="26"/>
        <v>0.19216965788990065</v>
      </c>
      <c r="CX11" s="5">
        <f t="shared" si="26"/>
        <v>0.18762940169200265</v>
      </c>
      <c r="CY11" s="5">
        <f t="shared" si="26"/>
        <v>0.14171909034808791</v>
      </c>
      <c r="CZ11" s="5">
        <f t="shared" si="26"/>
        <v>0.13222150845223379</v>
      </c>
      <c r="DA11" s="5">
        <f t="shared" si="26"/>
        <v>0.46367622315518181</v>
      </c>
      <c r="DB11" s="5">
        <f t="shared" si="26"/>
        <v>0.23564435910799594</v>
      </c>
      <c r="DC11" s="5">
        <f t="shared" si="26"/>
        <v>0.37123279914485935</v>
      </c>
      <c r="DD11" s="5">
        <f t="shared" si="26"/>
        <v>0.14463229029701211</v>
      </c>
      <c r="DE11" s="5">
        <f t="shared" si="26"/>
        <v>0.16773814683173383</v>
      </c>
      <c r="DF11" s="5">
        <f t="shared" si="26"/>
        <v>0.15571776093937953</v>
      </c>
      <c r="DI11" s="4">
        <f>2.8/3.1</f>
        <v>0.90322580645161277</v>
      </c>
      <c r="DL11" s="10"/>
      <c r="DM11" s="10"/>
      <c r="DN11" s="10"/>
      <c r="DO11" s="10"/>
      <c r="DP11" s="10"/>
      <c r="DQ11" s="10"/>
      <c r="DR11" s="10"/>
      <c r="DT11" s="4">
        <v>1</v>
      </c>
      <c r="ED11" s="10"/>
      <c r="EE11" s="10"/>
      <c r="EF11" s="10"/>
    </row>
    <row r="12" spans="7:173" ht="12" customHeight="1" x14ac:dyDescent="0.3">
      <c r="T12" s="4">
        <f t="shared" si="14"/>
        <v>1.3945416640120281</v>
      </c>
      <c r="AX12" s="7"/>
      <c r="AY12" s="7"/>
      <c r="AZ12" s="39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1.2848498400414692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1.0839082745067503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1.2848498400414692</v>
      </c>
      <c r="DE12" s="4">
        <f t="shared" si="28"/>
        <v>1.3945416640120281</v>
      </c>
      <c r="DF12" s="4">
        <f t="shared" si="28"/>
        <v>1.4007274122258497</v>
      </c>
      <c r="DL12" s="10"/>
      <c r="DM12" s="10"/>
      <c r="DN12" s="10"/>
      <c r="DO12" s="10"/>
      <c r="DP12" s="10"/>
      <c r="DQ12" s="10"/>
      <c r="DR12" s="10"/>
      <c r="ED12" s="10"/>
      <c r="EE12" s="10"/>
      <c r="EF12" s="10"/>
      <c r="EG12" s="4">
        <f>MIN(EG248:EG449)</f>
        <v>0.59499999999999997</v>
      </c>
    </row>
    <row r="13" spans="7:173" ht="12" customHeight="1" x14ac:dyDescent="0.3">
      <c r="T13" s="4">
        <f t="shared" si="14"/>
        <v>0.69659629554846381</v>
      </c>
      <c r="AX13" s="7"/>
      <c r="AY13" s="7"/>
      <c r="AZ13" s="39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0.56550765978997408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0.56550765978997408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10"/>
      <c r="DM13" s="10"/>
      <c r="DN13" s="10"/>
      <c r="DO13" s="10"/>
      <c r="DP13" s="10"/>
      <c r="DQ13" s="10"/>
      <c r="DR13" s="10"/>
      <c r="DT13" s="4">
        <f>DT14/2</f>
        <v>4.4708269225635169</v>
      </c>
      <c r="ED13" s="10"/>
      <c r="EE13" s="10"/>
      <c r="EF13" s="10"/>
      <c r="EG13" s="4">
        <f>MAX(EG248:EG449)</f>
        <v>0.85</v>
      </c>
    </row>
    <row r="14" spans="7:173" ht="12" customHeight="1" x14ac:dyDescent="0.3">
      <c r="R14" s="4" t="str">
        <f>CK14</f>
        <v>Joint</v>
      </c>
      <c r="S14" s="4" t="str">
        <f>CL14</f>
        <v>avg</v>
      </c>
      <c r="T14" s="4">
        <f t="shared" si="14"/>
        <v>1.0180182810718719</v>
      </c>
      <c r="V14" s="4">
        <f>MIN(V52:V449)</f>
        <v>1.1000000000000001</v>
      </c>
      <c r="AX14" s="7"/>
      <c r="AY14" s="7"/>
      <c r="AZ14" s="39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 t="s">
        <v>200</v>
      </c>
      <c r="CL14" s="5" t="s">
        <v>27</v>
      </c>
      <c r="CM14" s="5">
        <f t="shared" ref="CM14:CS14" si="31">AVERAGE(CM153:CM1250)</f>
        <v>1.669040824857015</v>
      </c>
      <c r="CN14" s="5">
        <f t="shared" si="31"/>
        <v>0.86948972929207036</v>
      </c>
      <c r="CO14" s="5">
        <f t="shared" si="31"/>
        <v>0.99393847917839173</v>
      </c>
      <c r="CP14" s="5">
        <f t="shared" si="31"/>
        <v>1.8425817231163766</v>
      </c>
      <c r="CQ14" s="5">
        <f t="shared" si="31"/>
        <v>1.0180182810718719</v>
      </c>
      <c r="CR14" s="5">
        <f t="shared" si="31"/>
        <v>1.0520448536495079</v>
      </c>
      <c r="CS14" s="5">
        <f t="shared" si="31"/>
        <v>1.3907178081854823</v>
      </c>
      <c r="CT14" s="5"/>
      <c r="CU14" s="5">
        <f t="shared" ref="CU14:DF14" si="32">AVERAGE(CU153:CU250)</f>
        <v>1.7380213993724096</v>
      </c>
      <c r="CV14" s="5">
        <f t="shared" si="32"/>
        <v>0.96528440360240864</v>
      </c>
      <c r="CW14" s="5">
        <f t="shared" si="32"/>
        <v>2.0760603347966615</v>
      </c>
      <c r="CX14" s="5">
        <f t="shared" si="32"/>
        <v>1.9501705975747947</v>
      </c>
      <c r="CY14" s="5">
        <f t="shared" si="32"/>
        <v>1.1124209478300024</v>
      </c>
      <c r="CZ14" s="5">
        <f t="shared" si="32"/>
        <v>1.1577133888431765</v>
      </c>
      <c r="DA14" s="5">
        <f t="shared" si="32"/>
        <v>1.7807708572615539</v>
      </c>
      <c r="DB14" s="5">
        <f t="shared" si="32"/>
        <v>1.2751613219537503</v>
      </c>
      <c r="DC14" s="5">
        <f t="shared" si="32"/>
        <v>1.6023782214677935</v>
      </c>
      <c r="DD14" s="5">
        <f t="shared" si="32"/>
        <v>1.5458349786497587</v>
      </c>
      <c r="DE14" s="5">
        <f t="shared" si="32"/>
        <v>1.1967439817282877</v>
      </c>
      <c r="DF14" s="5">
        <f t="shared" si="32"/>
        <v>1.2573647713056622</v>
      </c>
      <c r="DL14" s="10"/>
      <c r="DM14" s="10"/>
      <c r="DN14" s="10"/>
      <c r="DO14" s="10"/>
      <c r="DP14" s="10"/>
      <c r="DQ14" s="10"/>
      <c r="DR14" s="10"/>
      <c r="DT14" s="4">
        <f>4*SQRT(DT16-1)</f>
        <v>8.9416538451270338</v>
      </c>
      <c r="ED14" s="10"/>
      <c r="EE14" s="10"/>
      <c r="EF14" s="10"/>
      <c r="FA14" s="4">
        <f>CQ14</f>
        <v>1.0180182810718719</v>
      </c>
    </row>
    <row r="15" spans="7:173" ht="12" customHeight="1" x14ac:dyDescent="0.3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4">
        <f t="shared" si="14"/>
        <v>0.20255153606460594</v>
      </c>
      <c r="V15" s="4">
        <f>MAX(V52:V449)</f>
        <v>14.9</v>
      </c>
      <c r="AX15" s="7"/>
      <c r="AY15" s="7"/>
      <c r="AZ15" s="39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8" t="s">
        <v>217</v>
      </c>
      <c r="CM15" s="5">
        <f t="shared" ref="CM15:CS15" si="34">STDEVP(CM153:CM1250)/CM14</f>
        <v>0.36196459445130136</v>
      </c>
      <c r="CN15" s="5">
        <f t="shared" si="34"/>
        <v>0.38826128710075614</v>
      </c>
      <c r="CO15" s="5">
        <f t="shared" si="34"/>
        <v>0.28209464377030802</v>
      </c>
      <c r="CP15" s="5">
        <f t="shared" si="34"/>
        <v>0.25342623023887761</v>
      </c>
      <c r="CQ15" s="5">
        <f t="shared" si="34"/>
        <v>0.20255153606460594</v>
      </c>
      <c r="CR15" s="5">
        <f t="shared" si="34"/>
        <v>0.21227716493069995</v>
      </c>
      <c r="CS15" s="5">
        <f t="shared" si="34"/>
        <v>0.38174731181772276</v>
      </c>
      <c r="CT15" s="5"/>
      <c r="CU15" s="5">
        <f t="shared" ref="CU15:DF15" si="35">STDEVP(CU153:CU250)/CU14</f>
        <v>0.38544619722563678</v>
      </c>
      <c r="CV15" s="5">
        <f t="shared" si="35"/>
        <v>0.26123251548085896</v>
      </c>
      <c r="CW15" s="5">
        <f t="shared" si="35"/>
        <v>0.15907989993243515</v>
      </c>
      <c r="CX15" s="5">
        <f t="shared" si="35"/>
        <v>0.41462924968944409</v>
      </c>
      <c r="CY15" s="5">
        <f t="shared" si="35"/>
        <v>0.1561058888850923</v>
      </c>
      <c r="CZ15" s="5">
        <f t="shared" si="35"/>
        <v>0.16287841064143715</v>
      </c>
      <c r="DA15" s="5">
        <f t="shared" si="35"/>
        <v>0.36482030465642928</v>
      </c>
      <c r="DB15" s="5">
        <f t="shared" si="35"/>
        <v>0.20384204654847091</v>
      </c>
      <c r="DC15" s="5">
        <f t="shared" si="35"/>
        <v>0.20100269345354277</v>
      </c>
      <c r="DD15" s="5">
        <f t="shared" si="35"/>
        <v>0.42698748516502844</v>
      </c>
      <c r="DE15" s="5">
        <f t="shared" si="35"/>
        <v>0.18877140626779254</v>
      </c>
      <c r="DF15" s="5">
        <f t="shared" si="35"/>
        <v>0.20559257407560289</v>
      </c>
      <c r="DL15" s="10"/>
      <c r="DM15" s="10"/>
      <c r="DN15" s="10"/>
      <c r="DO15" s="10"/>
      <c r="DP15" s="10"/>
      <c r="DQ15" s="10"/>
      <c r="DR15" s="10"/>
      <c r="ED15" s="10"/>
      <c r="EE15" s="10"/>
      <c r="EF15" s="10"/>
      <c r="FA15" s="4">
        <f t="shared" ref="FA15:FA17" si="36">CQ15</f>
        <v>0.20255153606460594</v>
      </c>
    </row>
    <row r="16" spans="7:173" ht="12" customHeight="1" x14ac:dyDescent="0.3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4">
        <f t="shared" si="14"/>
        <v>1.7054171816068107</v>
      </c>
      <c r="AU16" s="4"/>
      <c r="AV16" s="4">
        <f>MIN(AV19:AV449)</f>
        <v>0.77786069301609739</v>
      </c>
      <c r="AX16" s="7"/>
      <c r="AY16" s="7"/>
      <c r="AZ16" s="39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 t="s">
        <v>378</v>
      </c>
      <c r="CI16" s="7"/>
      <c r="CJ16" s="7"/>
      <c r="CK16" s="7"/>
      <c r="CL16" s="7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10"/>
      <c r="DM16" s="10"/>
      <c r="DO16" s="4">
        <f>(DO17-DP17)*4*DT17</f>
        <v>-1.87987201748873</v>
      </c>
      <c r="DP16" s="4">
        <f>3*DP17+0.5</f>
        <v>3.0331702057417442</v>
      </c>
      <c r="DQ16" s="10"/>
      <c r="DR16" s="10"/>
      <c r="DT16" s="4">
        <f>DT17^2</f>
        <v>5.9970733428796921</v>
      </c>
      <c r="ED16" s="10"/>
      <c r="EE16" s="10"/>
      <c r="EF16" s="10"/>
      <c r="FA16" s="4">
        <f t="shared" si="36"/>
        <v>1.7054171816068107</v>
      </c>
    </row>
    <row r="17" spans="1:184" ht="12" customHeight="1" x14ac:dyDescent="0.3">
      <c r="T17" s="4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7"/>
      <c r="AY17" s="7"/>
      <c r="AZ17" s="39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0.61109115495116417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10"/>
      <c r="DM17" s="10"/>
      <c r="DN17" s="4">
        <f>AVERAGE(DN19:DN449)</f>
        <v>0.34388828740873584</v>
      </c>
      <c r="DO17" s="4">
        <f>DN17^0.4</f>
        <v>0.65247962384151792</v>
      </c>
      <c r="DP17" s="4">
        <f>1/1.4*(1-DN17^1.4)/(1-DN17)</f>
        <v>0.84439006858058141</v>
      </c>
      <c r="DQ17" s="10"/>
      <c r="DR17" s="10"/>
      <c r="DT17" s="4">
        <f>AVERAGE(DT52:DT449)</f>
        <v>2.4488922685327936</v>
      </c>
      <c r="ED17" s="10"/>
      <c r="EE17" s="10"/>
      <c r="EF17" s="10"/>
      <c r="FA17" s="4">
        <f t="shared" si="36"/>
        <v>0.47564989032534455</v>
      </c>
    </row>
    <row r="18" spans="1:184" ht="80.25" customHeight="1" x14ac:dyDescent="0.3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0" t="s">
        <v>0</v>
      </c>
      <c r="G18" s="50" t="s">
        <v>686</v>
      </c>
      <c r="H18" s="50" t="s">
        <v>690</v>
      </c>
      <c r="I18" s="11" t="s">
        <v>74</v>
      </c>
      <c r="J18" s="50" t="s">
        <v>691</v>
      </c>
      <c r="K18" s="50" t="s">
        <v>687</v>
      </c>
      <c r="L18" s="11" t="s">
        <v>76</v>
      </c>
      <c r="M18" s="11" t="s">
        <v>75</v>
      </c>
      <c r="N18" s="50" t="s">
        <v>688</v>
      </c>
      <c r="O18" s="50" t="s">
        <v>692</v>
      </c>
      <c r="P18" s="50" t="s">
        <v>693</v>
      </c>
      <c r="Q18" s="49" t="s">
        <v>694</v>
      </c>
      <c r="R18" s="49" t="s">
        <v>695</v>
      </c>
      <c r="S18" s="49" t="s">
        <v>696</v>
      </c>
      <c r="T18" s="12" t="s">
        <v>59</v>
      </c>
      <c r="U18" s="12" t="s">
        <v>60</v>
      </c>
      <c r="V18" s="12" t="s">
        <v>56</v>
      </c>
      <c r="W18" s="12" t="s">
        <v>377</v>
      </c>
      <c r="X18" s="49" t="s">
        <v>57</v>
      </c>
      <c r="Y18" s="12" t="s">
        <v>65</v>
      </c>
      <c r="Z18" s="12" t="s">
        <v>187</v>
      </c>
      <c r="AA18" s="12" t="s">
        <v>186</v>
      </c>
      <c r="AB18" s="50" t="s">
        <v>697</v>
      </c>
      <c r="AC18" s="13"/>
      <c r="AD18" s="13" t="s">
        <v>226</v>
      </c>
      <c r="AE18" s="49" t="s">
        <v>689</v>
      </c>
      <c r="AF18" s="49" t="s">
        <v>698</v>
      </c>
      <c r="AG18" s="49" t="s">
        <v>73</v>
      </c>
      <c r="AH18" s="49" t="s">
        <v>228</v>
      </c>
      <c r="AI18" s="49" t="s">
        <v>228</v>
      </c>
      <c r="AJ18" s="12"/>
      <c r="AK18" s="12" t="s">
        <v>125</v>
      </c>
      <c r="AL18" s="12" t="s">
        <v>126</v>
      </c>
      <c r="AM18" s="12" t="s">
        <v>124</v>
      </c>
      <c r="AP18" s="14" t="s">
        <v>652</v>
      </c>
      <c r="AQ18" s="38" t="s">
        <v>229</v>
      </c>
      <c r="AR18" s="38" t="s">
        <v>603</v>
      </c>
      <c r="AS18" s="38" t="s">
        <v>604</v>
      </c>
      <c r="AX18" s="14" t="s">
        <v>1</v>
      </c>
      <c r="AY18" s="14" t="s">
        <v>61</v>
      </c>
      <c r="AZ18" s="41" t="s">
        <v>62</v>
      </c>
      <c r="BA18" s="14" t="s">
        <v>63</v>
      </c>
      <c r="BB18" s="14" t="s">
        <v>64</v>
      </c>
      <c r="BC18" s="14" t="s">
        <v>39</v>
      </c>
      <c r="BD18" s="14"/>
      <c r="BE18" s="14" t="s">
        <v>61</v>
      </c>
      <c r="BF18" s="14" t="s">
        <v>39</v>
      </c>
      <c r="BG18" s="14"/>
      <c r="BH18" s="15" t="s">
        <v>184</v>
      </c>
      <c r="BI18" s="15" t="s">
        <v>185</v>
      </c>
      <c r="BJ18" s="15"/>
      <c r="BK18" s="14" t="s">
        <v>190</v>
      </c>
      <c r="BL18" s="14" t="s">
        <v>191</v>
      </c>
      <c r="BM18" s="14" t="s">
        <v>192</v>
      </c>
      <c r="BN18" s="14" t="s">
        <v>193</v>
      </c>
      <c r="BO18" s="14" t="s">
        <v>194</v>
      </c>
      <c r="BP18" s="14" t="s">
        <v>195</v>
      </c>
      <c r="BQ18" s="14"/>
      <c r="BR18" s="14" t="s">
        <v>230</v>
      </c>
      <c r="BS18" s="14" t="s">
        <v>8</v>
      </c>
      <c r="BT18" s="14" t="s">
        <v>9</v>
      </c>
      <c r="BU18" s="14" t="s">
        <v>231</v>
      </c>
      <c r="BV18" s="14" t="s">
        <v>13</v>
      </c>
      <c r="BW18" s="4" t="s">
        <v>10</v>
      </c>
      <c r="BX18" s="9" t="s">
        <v>11</v>
      </c>
      <c r="BY18" s="9" t="s">
        <v>12</v>
      </c>
      <c r="BZ18" s="9" t="s">
        <v>14</v>
      </c>
      <c r="CA18" s="9" t="s">
        <v>15</v>
      </c>
      <c r="CB18" s="9" t="s">
        <v>16</v>
      </c>
      <c r="CC18" s="9" t="s">
        <v>208</v>
      </c>
      <c r="CD18" s="9" t="s">
        <v>209</v>
      </c>
      <c r="CE18" s="9" t="s">
        <v>210</v>
      </c>
      <c r="CF18" s="9" t="s">
        <v>211</v>
      </c>
      <c r="CG18" s="9" t="s">
        <v>212</v>
      </c>
      <c r="CH18" s="9" t="s">
        <v>17</v>
      </c>
      <c r="CI18" s="9" t="s">
        <v>18</v>
      </c>
      <c r="CJ18" s="9" t="s">
        <v>8</v>
      </c>
      <c r="CK18" s="9" t="s">
        <v>19</v>
      </c>
      <c r="CL18" s="14"/>
      <c r="CM18" s="4" t="s">
        <v>6</v>
      </c>
      <c r="CN18" s="9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14" t="s">
        <v>240</v>
      </c>
      <c r="CV18" s="14" t="s">
        <v>241</v>
      </c>
      <c r="CW18" s="14" t="s">
        <v>242</v>
      </c>
      <c r="CX18" s="14" t="s">
        <v>655</v>
      </c>
      <c r="CY18" s="14" t="s">
        <v>243</v>
      </c>
      <c r="CZ18" s="14" t="s">
        <v>244</v>
      </c>
      <c r="DA18" s="14" t="s">
        <v>201</v>
      </c>
      <c r="DB18" s="14" t="s">
        <v>202</v>
      </c>
      <c r="DC18" s="14" t="s">
        <v>366</v>
      </c>
      <c r="DD18" s="14" t="s">
        <v>656</v>
      </c>
      <c r="DE18" s="14" t="s">
        <v>203</v>
      </c>
      <c r="DF18" s="14" t="s">
        <v>204</v>
      </c>
      <c r="DG18" s="14"/>
      <c r="DH18" s="14"/>
      <c r="DI18" s="14" t="s">
        <v>7</v>
      </c>
      <c r="DJ18" s="14"/>
      <c r="DK18" s="14" t="s">
        <v>26</v>
      </c>
      <c r="DL18" s="4" t="s">
        <v>21</v>
      </c>
      <c r="DM18" s="16" t="s">
        <v>248</v>
      </c>
      <c r="DN18" s="17" t="s">
        <v>37</v>
      </c>
      <c r="DO18" s="9" t="s">
        <v>22</v>
      </c>
      <c r="DP18" s="9" t="s">
        <v>23</v>
      </c>
      <c r="DQ18" s="9" t="s">
        <v>251</v>
      </c>
      <c r="DR18" s="9" t="s">
        <v>24</v>
      </c>
      <c r="DS18" s="9"/>
      <c r="DT18" s="18" t="s">
        <v>369</v>
      </c>
      <c r="DU18" s="18" t="s">
        <v>368</v>
      </c>
      <c r="DV18" s="9" t="s">
        <v>24</v>
      </c>
      <c r="DW18" s="9" t="s">
        <v>252</v>
      </c>
      <c r="DX18" s="9" t="s">
        <v>699</v>
      </c>
      <c r="DY18" s="9" t="s">
        <v>700</v>
      </c>
      <c r="DZ18" s="9" t="s">
        <v>701</v>
      </c>
      <c r="EA18" s="9" t="s">
        <v>702</v>
      </c>
      <c r="EB18" s="14" t="s">
        <v>13</v>
      </c>
      <c r="EC18" s="14"/>
      <c r="ED18" s="9" t="s">
        <v>24</v>
      </c>
      <c r="EE18" s="9" t="s">
        <v>653</v>
      </c>
      <c r="EF18" s="9" t="s">
        <v>703</v>
      </c>
      <c r="EG18" s="14"/>
      <c r="EH18" s="16" t="s">
        <v>248</v>
      </c>
      <c r="EI18" s="16"/>
      <c r="EJ18" s="17" t="s">
        <v>30</v>
      </c>
      <c r="EK18" s="17" t="s">
        <v>31</v>
      </c>
      <c r="EL18" s="17"/>
      <c r="EM18" s="17" t="s">
        <v>34</v>
      </c>
      <c r="EN18" s="17" t="s">
        <v>35</v>
      </c>
      <c r="EO18" s="17" t="s">
        <v>36</v>
      </c>
      <c r="EP18" s="17" t="s">
        <v>261</v>
      </c>
      <c r="EQ18" s="17" t="s">
        <v>37</v>
      </c>
      <c r="ER18" s="17" t="s">
        <v>262</v>
      </c>
      <c r="ES18" s="17" t="s">
        <v>38</v>
      </c>
      <c r="ET18" s="17" t="s">
        <v>32</v>
      </c>
      <c r="EU18" s="17" t="s">
        <v>33</v>
      </c>
      <c r="EV18" s="17" t="s">
        <v>21</v>
      </c>
      <c r="EW18" s="17" t="s">
        <v>251</v>
      </c>
      <c r="EX18" s="16" t="s">
        <v>39</v>
      </c>
      <c r="EY18" s="17" t="s">
        <v>189</v>
      </c>
      <c r="EZ18" s="17" t="s">
        <v>188</v>
      </c>
      <c r="FA18" s="17"/>
      <c r="FB18" s="9" t="s">
        <v>367</v>
      </c>
      <c r="FC18" s="9" t="s">
        <v>252</v>
      </c>
      <c r="FD18" s="9" t="s">
        <v>255</v>
      </c>
      <c r="FE18" s="9"/>
      <c r="FF18" s="9"/>
      <c r="FG18" s="9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9">
        <f>SUM(FM19:FM619)</f>
        <v>45</v>
      </c>
      <c r="FN18" s="9"/>
      <c r="FO18" s="9"/>
      <c r="FQ18" s="1" t="s">
        <v>606</v>
      </c>
      <c r="FR18" s="1" t="s">
        <v>3</v>
      </c>
      <c r="FS18" s="1"/>
      <c r="FT18" s="2" t="s">
        <v>5</v>
      </c>
      <c r="FX18" s="1" t="s">
        <v>705</v>
      </c>
      <c r="FY18" s="1" t="s">
        <v>704</v>
      </c>
      <c r="FZ18" s="1"/>
      <c r="GA18" s="2" t="s">
        <v>5</v>
      </c>
    </row>
    <row r="19" spans="1:184" s="25" customFormat="1" ht="12" customHeight="1" x14ac:dyDescent="0.3">
      <c r="A19" s="25">
        <v>1</v>
      </c>
      <c r="B19" s="26" t="s">
        <v>81</v>
      </c>
      <c r="C19" s="26"/>
      <c r="D19" s="26" t="s">
        <v>82</v>
      </c>
      <c r="E19" s="26"/>
      <c r="F19" s="27" t="s">
        <v>299</v>
      </c>
      <c r="G19" s="28">
        <f>75*6.9</f>
        <v>517.5</v>
      </c>
      <c r="H19" s="28">
        <f>0.5*25.4</f>
        <v>12.7</v>
      </c>
      <c r="I19" s="28">
        <f>H19</f>
        <v>12.7</v>
      </c>
      <c r="J19" s="28">
        <v>28.46</v>
      </c>
      <c r="K19" s="28">
        <v>25.4</v>
      </c>
      <c r="L19" s="28">
        <f>H19/K19</f>
        <v>0.5</v>
      </c>
      <c r="M19" s="28">
        <f>I19/K19</f>
        <v>0.5</v>
      </c>
      <c r="N19" s="28">
        <v>229</v>
      </c>
      <c r="O19" s="28">
        <f>(N19-K19)/2</f>
        <v>101.8</v>
      </c>
      <c r="P19" s="28">
        <v>305</v>
      </c>
      <c r="Q19" s="28">
        <v>0</v>
      </c>
      <c r="R19" s="28">
        <v>1</v>
      </c>
      <c r="S19" s="28">
        <v>45.47</v>
      </c>
      <c r="T19" s="7">
        <f t="shared" ref="T19:T82" si="42">MIN(N19/2/K19, (S19+K19/2)/K19)</f>
        <v>2.2901574803149609</v>
      </c>
      <c r="U19" s="28">
        <f>T19</f>
        <v>2.2901574803149609</v>
      </c>
      <c r="V19" s="28">
        <f>(44+25)^2/(PI()/4*K19^2)-1</f>
        <v>8.3959536742577185</v>
      </c>
      <c r="W19" s="7">
        <f t="shared" ref="W19:W51" si="43">MIN(W$16,V19)</f>
        <v>8.3959536742577185</v>
      </c>
      <c r="X19" s="28">
        <f t="shared" ref="X19:X82" si="44">W19+1</f>
        <v>9.3959536742577185</v>
      </c>
      <c r="Y19" s="28">
        <f t="shared" ref="Y19:Y59" si="45">K19*X19^0.5</f>
        <v>77.858162529590359</v>
      </c>
      <c r="Z19" s="28"/>
      <c r="AA19" s="28"/>
      <c r="AB19" s="28">
        <f>190.6/(PI()/4*K19^2)*1000</f>
        <v>376.15391100893112</v>
      </c>
      <c r="AC19" s="28"/>
      <c r="AD19" s="28"/>
      <c r="AE19" s="28">
        <v>0</v>
      </c>
      <c r="AF19" s="28">
        <v>0</v>
      </c>
      <c r="AG19" s="28">
        <f>I19</f>
        <v>12.7</v>
      </c>
      <c r="AH19" s="28"/>
      <c r="AI19" s="28"/>
      <c r="AJ19" s="28"/>
      <c r="AK19" s="4">
        <v>35</v>
      </c>
      <c r="AL19" s="25">
        <f>MIN(9*AK19^2,N19*(1.5*AK19+S19+K19/2))/(9*AK19^2)</f>
        <v>1</v>
      </c>
      <c r="AM19" s="25">
        <f>MIN(10*J19^0.5*AK19^1.5,100*3.9*J19^0.5*AK19^(5/3))/(PI()/4*K19^2)/R19</f>
        <v>21.800286431765276</v>
      </c>
      <c r="AN19" s="4">
        <f>MIN(0.7+0.3*(MIN(O19,S19)+0.5*K19)/1.5/H19,1)</f>
        <v>1</v>
      </c>
      <c r="AO19" s="25">
        <v>1.25</v>
      </c>
      <c r="AP19" s="25">
        <v>5</v>
      </c>
      <c r="AQ19" s="38">
        <f>AL19*AN19*AO19*AP19*AM19</f>
        <v>136.25179019853297</v>
      </c>
      <c r="AR19" s="38">
        <f>AQ19</f>
        <v>136.25179019853297</v>
      </c>
      <c r="AS19" s="38"/>
      <c r="AT19" s="38">
        <f t="shared" ref="AT19:AT49" si="46">AP19* (J19^0.5/AK19^0.5)/(PI()/4*K19^2)/R19/0.72 *(0.7+(MIN(O19,S19)+0.5*K19)/5/H19) *(N19*MIN(S19+0.5*K19+1.5*H19,1000))</f>
        <v>353.17274725274638</v>
      </c>
      <c r="AU19" s="38">
        <f t="shared" ref="AU19:AU82" si="47">AQ19/AT19</f>
        <v>0.38579361306444476</v>
      </c>
      <c r="AV19" s="38"/>
      <c r="AX19" s="25">
        <f t="shared" ref="AX19:AX51" si="48">I19/K19*J19^0.5/0.19</f>
        <v>14.038924914051726</v>
      </c>
      <c r="AY19" s="25">
        <f t="shared" ref="AY19:AY59" si="49">MIN(0.6+0.4*(U19/T19),2)</f>
        <v>1</v>
      </c>
      <c r="AZ19" s="38">
        <f>2*J19*T19*V19^0.5*AY19*0.7/0.7</f>
        <v>377.71589001257809</v>
      </c>
      <c r="BA19" s="25">
        <f t="shared" ref="BA19:BA59" si="50">MAX(1-0.7*W19/5,0.3)</f>
        <v>0.3</v>
      </c>
      <c r="BB19" s="25">
        <f t="shared" ref="BB19:BB82" si="51">BA19*G19*I19/(G19*K19/2.75/J19^0.5)</f>
        <v>2.2006014802776082</v>
      </c>
      <c r="BC19" s="25">
        <f t="shared" ref="BC19:BC82" si="52">AZ19+BB19</f>
        <v>379.9164914928557</v>
      </c>
      <c r="BE19" s="36">
        <f t="shared" ref="BE19:BE82" si="53">MAX(1, (0.9+0.1*MIN(2,T19-0.5))*(0.9+0.1*MIN(3.5,O19/O19))+0.45*MIN(2.5,(40*2*PI()*AE19^2/4/AG19/R19)/K19))</f>
        <v>1.0790157480314961</v>
      </c>
      <c r="BF19" s="36">
        <f t="shared" ref="BF19:BF82" si="54">(1.6*M19+22)*BE19*J19^0.5</f>
        <v>131.24418733049674</v>
      </c>
      <c r="BK19" s="25">
        <f t="shared" ref="BK19:BK51" si="55">IF(R19=1,O19,MIN(O19,Q19/2+6.4))</f>
        <v>101.8</v>
      </c>
      <c r="BL19" s="25">
        <f t="shared" ref="BL19:BL51" si="56">MIN(S19,BK19)</f>
        <v>45.47</v>
      </c>
      <c r="BM19" s="25">
        <f t="shared" ref="BM19:BM51" si="57">MAX(S19,BK19)</f>
        <v>101.8</v>
      </c>
      <c r="BN19" s="25">
        <f t="shared" ref="BN19:BN51" si="58">BL19+K19/2</f>
        <v>58.17</v>
      </c>
      <c r="BO19" s="25">
        <f t="shared" ref="BO19:BO51" si="59">MIN(1.25, 0.1*BM19/BL19+0.9)</f>
        <v>1.1238838794809765</v>
      </c>
      <c r="BP19" s="25">
        <f>MIN(4, (BN19*BO19+(6*J19^0.5*(0.03*K19+0.22)*(AE19^2/4*PI())*2/AG19/R19))/K19)</f>
        <v>2.573871073598756</v>
      </c>
      <c r="BR19" s="25">
        <f t="shared" ref="BR19:BR51" si="60">IF(Q19=0,O19,MIN(Q19/2,O19))</f>
        <v>101.8</v>
      </c>
      <c r="BV19" s="29"/>
      <c r="BX19" s="29"/>
      <c r="BY19" s="29"/>
      <c r="BZ19" s="29">
        <f t="shared" ref="BZ19:BZ51" si="61">IF(Q19=0,MIN(O19,P19),MIN(Q19/2,O19,P19))</f>
        <v>101.8</v>
      </c>
      <c r="CA19" s="29">
        <f t="shared" ref="CA19:CA51" si="62">MAX(Q19/2,O19)</f>
        <v>101.8</v>
      </c>
      <c r="CB19" s="29">
        <f t="shared" ref="CB19:CB82" si="63">(BZ19/K19)^0.5*(CA19/BZ19)^0.15</f>
        <v>2.001967536137395</v>
      </c>
      <c r="CC19" s="29">
        <v>0</v>
      </c>
      <c r="CD19" s="29">
        <f t="shared" ref="CD19:CD37" si="64">MIN(PI()*AE19^2/4*AF19*2/R19/K19/MAX(0.01,AG19),0.05)</f>
        <v>0</v>
      </c>
      <c r="CE19" s="29">
        <f t="shared" ref="CE19:CE82" si="65">MAX(0,CC19*(CD19-0.5/50))</f>
        <v>0</v>
      </c>
      <c r="CF19" s="29">
        <f t="shared" ref="CF19:CF51" si="66">MIN(1,(25/K19)^0.3)</f>
        <v>0.99524931562137331</v>
      </c>
      <c r="CG19" s="29">
        <f t="shared" ref="CG19:CG51" si="67">IF(G19&gt;=800,0.68,IF(G19&gt;=700,0.75-(G19-700)*0.07/100,IF(G19&gt;=600,0.85-(G19-600)*0.1/100,IF(G19&gt;=500,1-(G19-500)*0.15/100,1.2-(G19-400)*0.2/100))))</f>
        <v>0.97375</v>
      </c>
      <c r="CH19" s="29">
        <f t="shared" ref="CH19:CH82" si="68">1.75*CF19*CG19*(J19/25)^0.5</f>
        <v>1.8095260954698043</v>
      </c>
      <c r="CI19" s="29">
        <f t="shared" ref="CI19:CI82" si="69">MIN((CB19+CE19)*CH19,2.5*CH19,J19^0.5)</f>
        <v>3.6226124989240045</v>
      </c>
      <c r="CJ19" s="29">
        <v>1</v>
      </c>
      <c r="CK19" s="2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25">
        <f t="shared" ref="DI19:DI51" si="72">H19</f>
        <v>12.7</v>
      </c>
      <c r="DJ19" s="25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3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4"/>
      <c r="DU19" s="4">
        <f>MIN(DT$10*AT19)</f>
        <v>353.17274725274638</v>
      </c>
      <c r="DX19" s="25">
        <f>IF(K19&lt;=19,1.1,IF(22&lt;=K19&lt;=29,1,IF(K19&gt;=32,0.9,0)))</f>
        <v>0</v>
      </c>
      <c r="DY19" s="25">
        <f t="shared" ref="DY19:DY51" si="80">IF(P19&gt;1*K19,0.85,1)</f>
        <v>0.85</v>
      </c>
      <c r="DZ19" s="25">
        <f t="shared" ref="DZ19:DZ82" si="81">MIN(1,MAX(0.7,(1-0.1*(BR19-1*K19)/K19)))</f>
        <v>0.7</v>
      </c>
      <c r="EA19" s="25">
        <f t="shared" ref="EA19:EA82" si="82">MIN(1,MAX(0.7,1-0.3*(PI()*AE19^2/4*AF19*2-0.25*PI()/4*K19^2)/(PI()/4*K19^2)))</f>
        <v>1</v>
      </c>
      <c r="EB19" s="25">
        <f t="shared" ref="EB19:EB82" si="83">IF(DZ19*EA19&lt;0.7,0.7,DZ19*EA19)</f>
        <v>0.7</v>
      </c>
      <c r="ED19" s="4">
        <f>MIN(DM19/K19*3*H19+EE19-FB19,MAX(G19,AB19))</f>
        <v>517.5</v>
      </c>
      <c r="EE19" s="25">
        <f>8.8*N19*508*J19^0.5/R19/K19^2/H19^0.5*(0.7+MIN(S19,O19)/5/H19)</f>
        <v>3363.6638970811728</v>
      </c>
      <c r="EH19" s="4">
        <f t="shared" ref="EH19:EH82" si="84">IF(K19&lt;22.2,1.1*5*(J19/30)^0.5,IF(K19&gt;=31.8,0.9*5*(J19/30)^0.5,1*5*(J19/30)^0.5))/DY19/EB19</f>
        <v>8.1848336869692275</v>
      </c>
      <c r="EI19" s="25">
        <f t="shared" ref="EI19:EI51" si="85">IF(K19&lt;22.2,1.1*5*(J19/30)^0.5,IF(K19&gt;=31.8,0.9*5*(J19/30)^0.5,1*5*(J19/30)^0.5))*BP19/2.5</f>
        <v>5.0138761872474067</v>
      </c>
      <c r="EK19" s="4">
        <f t="shared" ref="EK19:EK51" si="86">EL19*K19</f>
        <v>77.858162529590359</v>
      </c>
      <c r="EL19" s="4">
        <f t="shared" ref="EL19:EL51" si="87">X19^0.5</f>
        <v>3.0652819893539514</v>
      </c>
      <c r="EM19" s="4">
        <f t="shared" ref="EM19:EM51" si="88">MIN(DU19)/(4700*J19^0.5)/W19*EK19</f>
        <v>0.130618891639665</v>
      </c>
      <c r="EP19" s="25">
        <f t="shared" ref="EP19:EP51" si="89">EM19</f>
        <v>0.130618891639665</v>
      </c>
      <c r="EQ19" s="25">
        <f t="shared" ref="EQ19:EQ51" si="90">MIN(0.999, EP19/(0.3*(J19/30)^0.5))</f>
        <v>0.44702099307513243</v>
      </c>
      <c r="ER19" s="4">
        <f t="shared" ref="ER19:ER51" si="91">EH19/1*EQ19^0.4</f>
        <v>5.9311789414130152</v>
      </c>
      <c r="ES19" s="25">
        <f t="shared" ref="ES19:ES51" si="92">EH19/1.4*(1-EQ19^1.4)/(1-EQ19)</f>
        <v>7.1476133518602776</v>
      </c>
      <c r="ET19" s="4">
        <f t="shared" ref="ET19:ET51" si="93">MAX(0,DI19*ET$9-EK19)</f>
        <v>0</v>
      </c>
      <c r="EU19" s="4">
        <f t="shared" ref="EU19:EU51" si="94">MAX(0,DI19-EK19-ET19)</f>
        <v>0</v>
      </c>
      <c r="EV19" s="25">
        <f t="shared" ref="EV19:EV82" si="95">EU19/(1-0.3*(J19/30)^0.5)/200000/K19</f>
        <v>0</v>
      </c>
      <c r="EW19" s="25">
        <f t="shared" ref="EW19:EW51" si="96">MAX(0.5*EH19, (1-2*EV19*(EK19*ER19+ET19*ES19))/(1/EH19+EV19*EU19))</f>
        <v>8.1848336869692275</v>
      </c>
      <c r="EX19" s="4">
        <f t="shared" ref="EX19:EX51" si="97">MIN(4/K19*(1*ER19*EK19+ES19*EY19+EZ19*EW19)+DU19,MAX(G19,AB19))</f>
        <v>425.89569119174138</v>
      </c>
      <c r="EY19" s="4">
        <f t="shared" ref="EY19:EY51" si="98">IF(DJ19&lt;=ET$9, MAX(0,DI19*DJ19-EK19), MAX(0,DI19*ET$9-EK19))</f>
        <v>0</v>
      </c>
      <c r="EZ19" s="4">
        <f t="shared" ref="EZ19:EZ51" si="99">MAX(0, DI19*DJ19-EY19-EK19)</f>
        <v>0</v>
      </c>
      <c r="FB19" s="4">
        <f t="shared" ref="FB19:FB82" si="100">4/K19*(1*ER19*EK19+ES19*ET19+EU19*EW19)+DU19 - (4/K19*(1*ER19*EK19+ES19*EY19+EZ19*EW19)+DU19)</f>
        <v>0</v>
      </c>
      <c r="FG19" s="23"/>
      <c r="FH19" s="23"/>
      <c r="FI19" s="23"/>
      <c r="FJ19" s="23"/>
      <c r="FK19" s="23"/>
      <c r="FL19" s="23"/>
      <c r="FM19" s="30"/>
      <c r="FN19" s="3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0.85000000000000009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13.547917993669552</v>
      </c>
      <c r="GB19" s="4"/>
    </row>
    <row r="20" spans="1:184" s="25" customFormat="1" ht="12" customHeight="1" x14ac:dyDescent="0.3">
      <c r="A20" s="25">
        <v>2</v>
      </c>
      <c r="B20" s="26" t="s">
        <v>81</v>
      </c>
      <c r="C20" s="26"/>
      <c r="D20" s="26" t="s">
        <v>82</v>
      </c>
      <c r="E20" s="26"/>
      <c r="F20" s="28" t="s">
        <v>300</v>
      </c>
      <c r="G20" s="28">
        <f t="shared" ref="G20:G51" si="105">75*6.9</f>
        <v>517.5</v>
      </c>
      <c r="H20" s="28">
        <f>0.5*25.4</f>
        <v>12.7</v>
      </c>
      <c r="I20" s="28">
        <f>H20</f>
        <v>12.7</v>
      </c>
      <c r="J20" s="28">
        <v>28.46</v>
      </c>
      <c r="K20" s="28">
        <v>25.4</v>
      </c>
      <c r="L20" s="28">
        <f t="shared" ref="L20:L51" si="106">H20/K20</f>
        <v>0.5</v>
      </c>
      <c r="M20" s="28">
        <f t="shared" ref="M20:M51" si="107">I20/K20</f>
        <v>0.5</v>
      </c>
      <c r="N20" s="28">
        <v>229</v>
      </c>
      <c r="O20" s="28">
        <f t="shared" ref="O20:O83" si="108">(N20-K20)/2</f>
        <v>101.8</v>
      </c>
      <c r="P20" s="28">
        <v>305</v>
      </c>
      <c r="Q20" s="28">
        <v>0</v>
      </c>
      <c r="R20" s="28">
        <v>1</v>
      </c>
      <c r="S20" s="28">
        <v>45.39</v>
      </c>
      <c r="T20" s="7">
        <f t="shared" si="42"/>
        <v>2.2870078740157482</v>
      </c>
      <c r="U20" s="28">
        <f t="shared" ref="U20:U51" si="109">T20</f>
        <v>2.2870078740157482</v>
      </c>
      <c r="V20" s="28">
        <f t="shared" ref="V20:V51" si="110">(44+25)^2/(PI()/4*K20^2)-1</f>
        <v>8.3959536742577185</v>
      </c>
      <c r="W20" s="7">
        <f t="shared" si="43"/>
        <v>8.3959536742577185</v>
      </c>
      <c r="X20" s="28">
        <f t="shared" si="44"/>
        <v>9.3959536742577185</v>
      </c>
      <c r="Y20" s="28">
        <f t="shared" si="45"/>
        <v>77.858162529590359</v>
      </c>
      <c r="Z20" s="28"/>
      <c r="AA20" s="28"/>
      <c r="AB20" s="28">
        <f>196.74/(PI()/4*K20^2)*1000</f>
        <v>388.27135599106572</v>
      </c>
      <c r="AC20" s="28"/>
      <c r="AD20" s="28"/>
      <c r="AE20" s="28">
        <v>0</v>
      </c>
      <c r="AF20" s="28">
        <v>0</v>
      </c>
      <c r="AG20" s="28">
        <f t="shared" ref="AG20:AG21" si="111">I20</f>
        <v>12.7</v>
      </c>
      <c r="AH20" s="28"/>
      <c r="AI20" s="28"/>
      <c r="AJ20" s="28"/>
      <c r="AK20" s="4">
        <v>1</v>
      </c>
      <c r="AL20" s="25">
        <f t="shared" ref="AL20:AL51" si="112">MIN(9*AK20^2,N20*(1.5*AK20+S20+K20/2))/(9*AK20^2)</f>
        <v>1</v>
      </c>
      <c r="AM20" s="25">
        <f t="shared" ref="AM20:AM83" si="113">MIN(10*J20^0.5*AK20^1.5,100*3.9*J20^0.5*AK20^(5/3))/(PI()/4*K20^2)/R20</f>
        <v>0.10528345618346728</v>
      </c>
      <c r="AN20" s="4">
        <f t="shared" ref="AN20:AN83" si="114">MIN(0.7+0.3*(MIN(O20,S20)+0.5*K20)/1.5/H20,1)</f>
        <v>1</v>
      </c>
      <c r="AO20" s="25">
        <v>1.25</v>
      </c>
      <c r="AP20" s="25">
        <f t="shared" ref="AP20:AP83" si="115">AP19</f>
        <v>5</v>
      </c>
      <c r="AQ20" s="38">
        <f t="shared" ref="AQ20:AQ83" si="116">AL20*AN20*AO20*AP20*AM20</f>
        <v>0.65802160114667052</v>
      </c>
      <c r="AR20" s="38">
        <f t="shared" ref="AR20:AR83" si="117">AQ20</f>
        <v>0.65802160114667052</v>
      </c>
      <c r="AS20" s="38"/>
      <c r="AT20" s="38">
        <f t="shared" si="46"/>
        <v>2085.6063759609842</v>
      </c>
      <c r="AU20" s="38">
        <f t="shared" si="47"/>
        <v>3.155061322841776E-4</v>
      </c>
      <c r="AV20" s="38"/>
      <c r="AX20" s="25">
        <f t="shared" si="48"/>
        <v>14.038924914051726</v>
      </c>
      <c r="AY20" s="25">
        <f t="shared" si="49"/>
        <v>1</v>
      </c>
      <c r="AZ20" s="38">
        <f t="shared" ref="AZ20:AZ83" si="118">2*J20*T20*V20^0.5*AY20*0.7/0.7</f>
        <v>377.19642514751001</v>
      </c>
      <c r="BA20" s="25">
        <f t="shared" si="50"/>
        <v>0.3</v>
      </c>
      <c r="BB20" s="25">
        <f t="shared" si="51"/>
        <v>2.2006014802776082</v>
      </c>
      <c r="BC20" s="25">
        <f t="shared" si="52"/>
        <v>379.39702662778762</v>
      </c>
      <c r="BE20" s="36">
        <f t="shared" si="53"/>
        <v>1.0787007874015748</v>
      </c>
      <c r="BF20" s="36">
        <f t="shared" si="54"/>
        <v>131.20587764688875</v>
      </c>
      <c r="BK20" s="25">
        <f t="shared" si="55"/>
        <v>101.8</v>
      </c>
      <c r="BL20" s="25">
        <f t="shared" si="56"/>
        <v>45.39</v>
      </c>
      <c r="BM20" s="25">
        <f t="shared" si="57"/>
        <v>101.8</v>
      </c>
      <c r="BN20" s="25">
        <f t="shared" si="58"/>
        <v>58.09</v>
      </c>
      <c r="BO20" s="25">
        <f t="shared" si="59"/>
        <v>1.1242784754351178</v>
      </c>
      <c r="BP20" s="25">
        <f t="shared" ref="BP20:BP83" si="119">MIN(4, (BN20*BO20+(6*J20^0.5*(0.03*K20+0.22)*(AE20^2/4*PI())*2/AG20/R20))/K20)</f>
        <v>2.5712337259065356</v>
      </c>
      <c r="BR20" s="25">
        <f t="shared" si="60"/>
        <v>101.8</v>
      </c>
      <c r="BV20" s="29"/>
      <c r="BX20" s="29"/>
      <c r="BY20" s="29"/>
      <c r="BZ20" s="29">
        <f t="shared" si="61"/>
        <v>101.8</v>
      </c>
      <c r="CA20" s="29">
        <f t="shared" si="62"/>
        <v>101.8</v>
      </c>
      <c r="CB20" s="29">
        <f t="shared" si="63"/>
        <v>2.001967536137395</v>
      </c>
      <c r="CC20" s="29">
        <v>0</v>
      </c>
      <c r="CD20" s="29">
        <f t="shared" si="64"/>
        <v>0</v>
      </c>
      <c r="CE20" s="29">
        <f t="shared" si="65"/>
        <v>0</v>
      </c>
      <c r="CF20" s="29">
        <f t="shared" si="66"/>
        <v>0.99524931562137331</v>
      </c>
      <c r="CG20" s="29">
        <f t="shared" si="67"/>
        <v>0.97375</v>
      </c>
      <c r="CH20" s="29">
        <f t="shared" si="68"/>
        <v>1.8095260954698043</v>
      </c>
      <c r="CI20" s="29">
        <f t="shared" si="69"/>
        <v>3.6226124989240045</v>
      </c>
      <c r="CJ20" s="29">
        <v>1</v>
      </c>
      <c r="CK20" s="2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25">
        <f t="shared" si="72"/>
        <v>12.7</v>
      </c>
      <c r="DJ20" s="25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38">
        <f t="shared" ref="DR20:DR83" si="120">MIN(1/K20*(4*Y20*(DO20-DP20)+(3*DP20+DQ20)*H20)+DU20 -FB20,MAX(G20,AB20))</f>
        <v>517.5</v>
      </c>
      <c r="DS20" s="4">
        <f t="shared" si="79"/>
        <v>1</v>
      </c>
      <c r="DT20" s="4"/>
      <c r="DU20" s="4">
        <f t="shared" ref="DU20:DU83" si="121">MIN(DT$10*AT20)</f>
        <v>2085.6063759609842</v>
      </c>
      <c r="DY20" s="25">
        <f t="shared" si="80"/>
        <v>0.85</v>
      </c>
      <c r="DZ20" s="25">
        <f t="shared" si="81"/>
        <v>0.7</v>
      </c>
      <c r="EA20" s="25">
        <f t="shared" si="82"/>
        <v>1</v>
      </c>
      <c r="EB20" s="25">
        <f t="shared" si="83"/>
        <v>0.7</v>
      </c>
      <c r="ED20" s="4">
        <f t="shared" ref="ED20:ED83" si="122">MIN(DM20/K20*3*H20+EE20-FB20,MAX(G20,AB20))</f>
        <v>517.5</v>
      </c>
      <c r="EE20" s="25">
        <f t="shared" ref="EE20:EE83" si="123">8.8*N20*508*J20^0.5/R20/K20^2/H20^0.5*(0.7+MIN(S20,O20)/5/H20)</f>
        <v>3360.6713135428445</v>
      </c>
      <c r="EH20" s="4">
        <f t="shared" si="84"/>
        <v>8.1848336869692275</v>
      </c>
      <c r="EI20" s="25">
        <f t="shared" si="85"/>
        <v>5.0087386592153482</v>
      </c>
      <c r="EK20" s="4">
        <f t="shared" si="86"/>
        <v>77.858162529590359</v>
      </c>
      <c r="EL20" s="4">
        <f t="shared" si="87"/>
        <v>3.0652819893539514</v>
      </c>
      <c r="EM20" s="4">
        <f t="shared" si="88"/>
        <v>0.77134941850336602</v>
      </c>
      <c r="EP20" s="25">
        <f t="shared" si="89"/>
        <v>0.77134941850336602</v>
      </c>
      <c r="EQ20" s="25">
        <f t="shared" si="90"/>
        <v>0.999</v>
      </c>
      <c r="ER20" s="4">
        <f t="shared" si="91"/>
        <v>8.1815587707902271</v>
      </c>
      <c r="ES20" s="25">
        <f t="shared" si="92"/>
        <v>8.1831963927074298</v>
      </c>
      <c r="ET20" s="4">
        <f t="shared" si="93"/>
        <v>0</v>
      </c>
      <c r="EU20" s="4">
        <f t="shared" si="94"/>
        <v>0</v>
      </c>
      <c r="EV20" s="25">
        <f t="shared" si="95"/>
        <v>0</v>
      </c>
      <c r="EW20" s="25">
        <f t="shared" si="96"/>
        <v>8.1848336869692275</v>
      </c>
      <c r="EX20" s="4">
        <f t="shared" si="97"/>
        <v>517.5</v>
      </c>
      <c r="EY20" s="4">
        <f t="shared" si="98"/>
        <v>0</v>
      </c>
      <c r="EZ20" s="4">
        <f t="shared" si="99"/>
        <v>0</v>
      </c>
      <c r="FB20" s="4">
        <f t="shared" si="100"/>
        <v>0</v>
      </c>
      <c r="FG20" s="23"/>
      <c r="FH20" s="23"/>
      <c r="FI20" s="23"/>
      <c r="FJ20" s="23"/>
      <c r="FK20" s="23"/>
      <c r="FL20" s="23"/>
      <c r="FM20" s="30"/>
      <c r="FN20" s="30"/>
      <c r="FX20" s="4">
        <f t="shared" si="101"/>
        <v>1</v>
      </c>
      <c r="FY20" s="4">
        <f t="shared" si="102"/>
        <v>0.85000000000000009</v>
      </c>
      <c r="FZ20" s="4">
        <f t="shared" si="103"/>
        <v>0</v>
      </c>
      <c r="GA20" s="4">
        <f t="shared" si="104"/>
        <v>13.547917993669552</v>
      </c>
      <c r="GB20" s="4"/>
    </row>
    <row r="21" spans="1:184" s="25" customFormat="1" ht="12" customHeight="1" x14ac:dyDescent="0.3">
      <c r="A21" s="25">
        <v>3</v>
      </c>
      <c r="B21" s="26" t="s">
        <v>81</v>
      </c>
      <c r="C21" s="26"/>
      <c r="D21" s="26" t="s">
        <v>82</v>
      </c>
      <c r="E21" s="26"/>
      <c r="F21" s="28" t="s">
        <v>301</v>
      </c>
      <c r="G21" s="28">
        <f t="shared" si="105"/>
        <v>517.5</v>
      </c>
      <c r="H21" s="28">
        <f>0.5*25.4</f>
        <v>12.7</v>
      </c>
      <c r="I21" s="28">
        <f t="shared" ref="I21:I51" si="124">H21</f>
        <v>12.7</v>
      </c>
      <c r="J21" s="28">
        <v>28.46</v>
      </c>
      <c r="K21" s="28">
        <v>25.4</v>
      </c>
      <c r="L21" s="28">
        <f t="shared" si="106"/>
        <v>0.5</v>
      </c>
      <c r="M21" s="28">
        <f t="shared" si="107"/>
        <v>0.5</v>
      </c>
      <c r="N21" s="28">
        <v>229</v>
      </c>
      <c r="O21" s="28">
        <f t="shared" si="108"/>
        <v>101.8</v>
      </c>
      <c r="P21" s="28">
        <v>305</v>
      </c>
      <c r="Q21" s="28">
        <v>0</v>
      </c>
      <c r="R21" s="28">
        <v>1</v>
      </c>
      <c r="S21" s="28">
        <v>47.12</v>
      </c>
      <c r="T21" s="7">
        <f t="shared" si="42"/>
        <v>2.3551181102362202</v>
      </c>
      <c r="U21" s="28">
        <f t="shared" si="109"/>
        <v>2.3551181102362202</v>
      </c>
      <c r="V21" s="28">
        <f t="shared" si="110"/>
        <v>8.3959536742577185</v>
      </c>
      <c r="W21" s="7">
        <f t="shared" si="43"/>
        <v>8.3959536742577185</v>
      </c>
      <c r="X21" s="28">
        <f t="shared" si="44"/>
        <v>9.3959536742577185</v>
      </c>
      <c r="Y21" s="28">
        <f t="shared" si="45"/>
        <v>77.858162529590359</v>
      </c>
      <c r="Z21" s="28"/>
      <c r="AA21" s="28"/>
      <c r="AB21" s="28">
        <f>184.68/(PI()/4*K21^2)*1000</f>
        <v>364.47064157990252</v>
      </c>
      <c r="AC21" s="28"/>
      <c r="AD21" s="28"/>
      <c r="AE21" s="28">
        <v>0</v>
      </c>
      <c r="AF21" s="28">
        <v>0</v>
      </c>
      <c r="AG21" s="28">
        <f t="shared" si="111"/>
        <v>12.7</v>
      </c>
      <c r="AH21" s="28"/>
      <c r="AI21" s="28"/>
      <c r="AJ21" s="28"/>
      <c r="AK21" s="4">
        <v>1</v>
      </c>
      <c r="AL21" s="25">
        <f t="shared" si="112"/>
        <v>1</v>
      </c>
      <c r="AM21" s="25">
        <f t="shared" si="113"/>
        <v>0.10528345618346728</v>
      </c>
      <c r="AN21" s="4">
        <f t="shared" si="114"/>
        <v>1</v>
      </c>
      <c r="AO21" s="25">
        <v>1.25</v>
      </c>
      <c r="AP21" s="25">
        <f t="shared" si="115"/>
        <v>5</v>
      </c>
      <c r="AQ21" s="38">
        <f t="shared" si="116"/>
        <v>0.65802160114667052</v>
      </c>
      <c r="AR21" s="38">
        <f t="shared" si="117"/>
        <v>0.65802160114667052</v>
      </c>
      <c r="AS21" s="38"/>
      <c r="AT21" s="38">
        <f t="shared" si="46"/>
        <v>2168.3561324959337</v>
      </c>
      <c r="AU21" s="38">
        <f t="shared" si="47"/>
        <v>3.0346564906256443E-4</v>
      </c>
      <c r="AV21" s="38"/>
      <c r="AX21" s="25">
        <f t="shared" si="48"/>
        <v>14.038924914051726</v>
      </c>
      <c r="AY21" s="25">
        <f t="shared" si="49"/>
        <v>1</v>
      </c>
      <c r="AZ21" s="38">
        <f t="shared" si="118"/>
        <v>388.42985285460571</v>
      </c>
      <c r="BA21" s="25">
        <f t="shared" si="50"/>
        <v>0.3</v>
      </c>
      <c r="BB21" s="25">
        <f t="shared" si="51"/>
        <v>2.2006014802776082</v>
      </c>
      <c r="BC21" s="25">
        <f t="shared" si="52"/>
        <v>390.63045433488332</v>
      </c>
      <c r="BE21" s="36">
        <f t="shared" si="53"/>
        <v>1.0855118110236219</v>
      </c>
      <c r="BF21" s="36">
        <f t="shared" si="54"/>
        <v>132.03432455491136</v>
      </c>
      <c r="BK21" s="25">
        <f t="shared" si="55"/>
        <v>101.8</v>
      </c>
      <c r="BL21" s="25">
        <f t="shared" si="56"/>
        <v>47.12</v>
      </c>
      <c r="BM21" s="25">
        <f t="shared" si="57"/>
        <v>101.8</v>
      </c>
      <c r="BN21" s="25">
        <f t="shared" si="58"/>
        <v>59.819999999999993</v>
      </c>
      <c r="BO21" s="25">
        <f t="shared" si="59"/>
        <v>1.1160441426146011</v>
      </c>
      <c r="BP21" s="25">
        <f t="shared" si="119"/>
        <v>2.6284157720947023</v>
      </c>
      <c r="BR21" s="25">
        <f t="shared" si="60"/>
        <v>101.8</v>
      </c>
      <c r="BV21" s="29"/>
      <c r="BX21" s="29"/>
      <c r="BY21" s="29"/>
      <c r="BZ21" s="29">
        <f t="shared" si="61"/>
        <v>101.8</v>
      </c>
      <c r="CA21" s="29">
        <f t="shared" si="62"/>
        <v>101.8</v>
      </c>
      <c r="CB21" s="29">
        <f t="shared" si="63"/>
        <v>2.001967536137395</v>
      </c>
      <c r="CC21" s="29">
        <v>0</v>
      </c>
      <c r="CD21" s="29">
        <f t="shared" si="64"/>
        <v>0</v>
      </c>
      <c r="CE21" s="29">
        <f t="shared" si="65"/>
        <v>0</v>
      </c>
      <c r="CF21" s="29">
        <f t="shared" si="66"/>
        <v>0.99524931562137331</v>
      </c>
      <c r="CG21" s="29">
        <f t="shared" si="67"/>
        <v>0.97375</v>
      </c>
      <c r="CH21" s="29">
        <f t="shared" si="68"/>
        <v>1.8095260954698043</v>
      </c>
      <c r="CI21" s="29">
        <f t="shared" si="69"/>
        <v>3.6226124989240045</v>
      </c>
      <c r="CJ21" s="29">
        <v>1</v>
      </c>
      <c r="CK21" s="2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25">
        <f t="shared" si="72"/>
        <v>12.7</v>
      </c>
      <c r="DJ21" s="25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38">
        <f t="shared" si="120"/>
        <v>517.5</v>
      </c>
      <c r="DS21" s="4">
        <f t="shared" si="79"/>
        <v>1</v>
      </c>
      <c r="DT21" s="4"/>
      <c r="DU21" s="4">
        <f t="shared" si="121"/>
        <v>2168.3561324959337</v>
      </c>
      <c r="DY21" s="25">
        <f t="shared" si="80"/>
        <v>0.85</v>
      </c>
      <c r="DZ21" s="25">
        <f t="shared" si="81"/>
        <v>0.7</v>
      </c>
      <c r="EA21" s="25">
        <f t="shared" si="82"/>
        <v>1</v>
      </c>
      <c r="EB21" s="25">
        <f t="shared" si="83"/>
        <v>0.7</v>
      </c>
      <c r="ED21" s="4">
        <f t="shared" si="122"/>
        <v>517.5</v>
      </c>
      <c r="EE21" s="25">
        <f t="shared" si="123"/>
        <v>3425.3859325591975</v>
      </c>
      <c r="EH21" s="4">
        <f t="shared" si="84"/>
        <v>8.1848336869692275</v>
      </c>
      <c r="EI21" s="25">
        <f t="shared" si="85"/>
        <v>5.1201287372428643</v>
      </c>
      <c r="EK21" s="4">
        <f t="shared" si="86"/>
        <v>77.858162529590359</v>
      </c>
      <c r="EL21" s="4">
        <f t="shared" si="87"/>
        <v>3.0652819893539514</v>
      </c>
      <c r="EM21" s="4">
        <f t="shared" si="88"/>
        <v>0.80195393588508823</v>
      </c>
      <c r="EP21" s="25">
        <f t="shared" si="89"/>
        <v>0.80195393588508823</v>
      </c>
      <c r="EQ21" s="25">
        <f t="shared" si="90"/>
        <v>0.999</v>
      </c>
      <c r="ER21" s="4">
        <f t="shared" si="91"/>
        <v>8.1815587707902271</v>
      </c>
      <c r="ES21" s="25">
        <f t="shared" si="92"/>
        <v>8.1831963927074298</v>
      </c>
      <c r="ET21" s="4">
        <f t="shared" si="93"/>
        <v>0</v>
      </c>
      <c r="EU21" s="4">
        <f t="shared" si="94"/>
        <v>0</v>
      </c>
      <c r="EV21" s="25">
        <f t="shared" si="95"/>
        <v>0</v>
      </c>
      <c r="EW21" s="25">
        <f t="shared" si="96"/>
        <v>8.1848336869692275</v>
      </c>
      <c r="EX21" s="4">
        <f t="shared" si="97"/>
        <v>517.5</v>
      </c>
      <c r="EY21" s="4">
        <f t="shared" si="98"/>
        <v>0</v>
      </c>
      <c r="EZ21" s="4">
        <f t="shared" si="99"/>
        <v>0</v>
      </c>
      <c r="FB21" s="4">
        <f t="shared" si="100"/>
        <v>0</v>
      </c>
      <c r="FG21" s="23"/>
      <c r="FH21" s="23"/>
      <c r="FI21" s="23"/>
      <c r="FJ21" s="23"/>
      <c r="FK21" s="23"/>
      <c r="FL21" s="23"/>
      <c r="FM21" s="30"/>
      <c r="FN21" s="30"/>
      <c r="FX21" s="4">
        <f t="shared" si="101"/>
        <v>1</v>
      </c>
      <c r="FY21" s="4">
        <f t="shared" si="102"/>
        <v>0.85000000000000009</v>
      </c>
      <c r="FZ21" s="4">
        <f t="shared" si="103"/>
        <v>0</v>
      </c>
      <c r="GA21" s="4">
        <f t="shared" si="104"/>
        <v>13.547917993669552</v>
      </c>
      <c r="GB21" s="4"/>
    </row>
    <row r="22" spans="1:184" ht="12" customHeight="1" x14ac:dyDescent="0.3">
      <c r="A22" s="25">
        <v>4</v>
      </c>
      <c r="B22" s="26" t="s">
        <v>81</v>
      </c>
      <c r="C22" s="26"/>
      <c r="D22" s="26" t="s">
        <v>82</v>
      </c>
      <c r="E22" s="26"/>
      <c r="F22" s="7" t="s">
        <v>84</v>
      </c>
      <c r="G22" s="28">
        <f t="shared" si="105"/>
        <v>517.5</v>
      </c>
      <c r="H22" s="7">
        <f t="shared" ref="H22:H23" si="125">11.25*25.4</f>
        <v>285.75</v>
      </c>
      <c r="I22" s="7">
        <f t="shared" si="124"/>
        <v>285.75</v>
      </c>
      <c r="J22" s="7">
        <v>33.630000000000003</v>
      </c>
      <c r="K22" s="7">
        <v>25.4</v>
      </c>
      <c r="L22" s="7">
        <f t="shared" si="106"/>
        <v>11.25</v>
      </c>
      <c r="M22" s="7">
        <f t="shared" si="107"/>
        <v>11.25</v>
      </c>
      <c r="N22" s="7">
        <v>229</v>
      </c>
      <c r="O22" s="7">
        <f t="shared" si="108"/>
        <v>101.8</v>
      </c>
      <c r="P22" s="7">
        <v>305</v>
      </c>
      <c r="Q22" s="7">
        <v>0</v>
      </c>
      <c r="R22" s="7">
        <v>1</v>
      </c>
      <c r="S22" s="7">
        <v>47.96</v>
      </c>
      <c r="T22" s="7">
        <f t="shared" si="42"/>
        <v>2.3881889763779527</v>
      </c>
      <c r="U22" s="28">
        <f t="shared" si="109"/>
        <v>2.3881889763779527</v>
      </c>
      <c r="V22" s="28">
        <f t="shared" si="110"/>
        <v>8.3959536742577185</v>
      </c>
      <c r="W22" s="7">
        <f t="shared" si="43"/>
        <v>8.3959536742577185</v>
      </c>
      <c r="X22" s="7">
        <f t="shared" si="44"/>
        <v>9.3959536742577185</v>
      </c>
      <c r="Y22" s="7">
        <f t="shared" si="45"/>
        <v>77.858162529590359</v>
      </c>
      <c r="Z22" s="7"/>
      <c r="AA22" s="7"/>
      <c r="AB22" s="7">
        <f>244.28/(PI()/4*K22^2)*1000</f>
        <v>482.09274596674555</v>
      </c>
      <c r="AC22" s="7"/>
      <c r="AD22" s="7"/>
      <c r="AE22" s="7">
        <v>9.5</v>
      </c>
      <c r="AF22" s="7">
        <v>3</v>
      </c>
      <c r="AG22" s="7">
        <v>127</v>
      </c>
      <c r="AH22" s="7">
        <v>3</v>
      </c>
      <c r="AI22" s="7"/>
      <c r="AJ22" s="7"/>
      <c r="AK22" s="4">
        <f t="shared" ref="AK22:AK85" si="126">H22</f>
        <v>285.75</v>
      </c>
      <c r="AL22" s="4">
        <f t="shared" si="112"/>
        <v>0.15246929654353136</v>
      </c>
      <c r="AM22" s="25">
        <f t="shared" si="113"/>
        <v>552.82220346472604</v>
      </c>
      <c r="AN22" s="4">
        <f t="shared" si="114"/>
        <v>0.74245669291338579</v>
      </c>
      <c r="AO22" s="4">
        <v>1.25</v>
      </c>
      <c r="AP22" s="25">
        <f t="shared" si="115"/>
        <v>5</v>
      </c>
      <c r="AQ22" s="38">
        <f t="shared" si="116"/>
        <v>391.12809986115502</v>
      </c>
      <c r="AR22" s="38">
        <f t="shared" si="117"/>
        <v>391.12809986115502</v>
      </c>
      <c r="AT22" s="38">
        <f t="shared" si="46"/>
        <v>391.12809986115491</v>
      </c>
      <c r="AU22" s="3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38">
        <f t="shared" si="118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36">
        <f t="shared" si="53"/>
        <v>1.8798656559235878</v>
      </c>
      <c r="BF22" s="36">
        <f t="shared" si="54"/>
        <v>436.06400440250223</v>
      </c>
      <c r="BK22" s="4">
        <f t="shared" si="55"/>
        <v>101.8</v>
      </c>
      <c r="BL22" s="4">
        <f t="shared" si="56"/>
        <v>47.96</v>
      </c>
      <c r="BM22" s="4">
        <f t="shared" si="57"/>
        <v>101.8</v>
      </c>
      <c r="BN22" s="4">
        <f t="shared" si="58"/>
        <v>60.66</v>
      </c>
      <c r="BO22" s="4">
        <f t="shared" si="59"/>
        <v>1.1122602168473728</v>
      </c>
      <c r="BP22" s="25">
        <f t="shared" si="119"/>
        <v>4</v>
      </c>
      <c r="BR22" s="4">
        <f t="shared" si="60"/>
        <v>101.8</v>
      </c>
      <c r="BV22" s="9"/>
      <c r="BX22" s="9"/>
      <c r="BY22" s="9"/>
      <c r="BZ22" s="9">
        <f t="shared" si="61"/>
        <v>101.8</v>
      </c>
      <c r="CA22" s="9">
        <f t="shared" si="62"/>
        <v>101.8</v>
      </c>
      <c r="CB22" s="9">
        <f t="shared" si="63"/>
        <v>2.001967536137395</v>
      </c>
      <c r="CC22" s="9">
        <v>20</v>
      </c>
      <c r="CD22" s="9">
        <f t="shared" si="64"/>
        <v>0.05</v>
      </c>
      <c r="CE22" s="9">
        <f t="shared" si="65"/>
        <v>0.8</v>
      </c>
      <c r="CF22" s="9">
        <f t="shared" si="66"/>
        <v>0.99524931562137331</v>
      </c>
      <c r="CG22" s="9">
        <f t="shared" si="67"/>
        <v>0.97375</v>
      </c>
      <c r="CH22" s="9">
        <f t="shared" si="68"/>
        <v>1.9670293329614872</v>
      </c>
      <c r="CI22" s="9">
        <f t="shared" si="69"/>
        <v>4.9175733324037179</v>
      </c>
      <c r="CJ22" s="9">
        <v>1</v>
      </c>
      <c r="CK22" s="9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38">
        <f t="shared" si="120"/>
        <v>517.5</v>
      </c>
      <c r="DS22" s="4">
        <f t="shared" si="79"/>
        <v>1</v>
      </c>
      <c r="DU22" s="4">
        <f t="shared" si="121"/>
        <v>391.12809986115491</v>
      </c>
      <c r="DY22" s="4">
        <f t="shared" si="80"/>
        <v>0.85</v>
      </c>
      <c r="DZ22" s="4">
        <f t="shared" si="81"/>
        <v>0.7</v>
      </c>
      <c r="EA22" s="4">
        <f t="shared" si="82"/>
        <v>0.82320199640399283</v>
      </c>
      <c r="EB22" s="4">
        <f t="shared" si="83"/>
        <v>0.7</v>
      </c>
      <c r="ED22" s="4">
        <f t="shared" si="122"/>
        <v>517.5</v>
      </c>
      <c r="EE22" s="25">
        <f t="shared" si="123"/>
        <v>399.32362943258647</v>
      </c>
      <c r="EH22" s="4">
        <f t="shared" si="84"/>
        <v>8.8972510471034791</v>
      </c>
      <c r="EI22" s="4">
        <f t="shared" si="85"/>
        <v>8.470182996842512</v>
      </c>
      <c r="EK22" s="4">
        <f t="shared" si="86"/>
        <v>77.858162529590359</v>
      </c>
      <c r="EL22" s="4">
        <f t="shared" si="87"/>
        <v>3.0652819893539514</v>
      </c>
      <c r="EM22" s="4">
        <f t="shared" si="88"/>
        <v>0.13307358072180214</v>
      </c>
      <c r="EP22" s="4">
        <f t="shared" si="89"/>
        <v>0.13307358072180214</v>
      </c>
      <c r="EQ22" s="4">
        <f t="shared" si="90"/>
        <v>0.41895538981517921</v>
      </c>
      <c r="ER22" s="4">
        <f t="shared" si="91"/>
        <v>6.2823620020062467</v>
      </c>
      <c r="ES22" s="4">
        <f t="shared" si="92"/>
        <v>7.7019186230321308</v>
      </c>
      <c r="ET22" s="4">
        <f t="shared" si="93"/>
        <v>136.45433747040965</v>
      </c>
      <c r="EU22" s="4">
        <f t="shared" si="94"/>
        <v>71.4375</v>
      </c>
      <c r="EV22" s="4">
        <f t="shared" si="95"/>
        <v>2.0608377244988005E-5</v>
      </c>
      <c r="EW22" s="4">
        <f t="shared" si="96"/>
        <v>8.2247416076663136</v>
      </c>
      <c r="EX22" s="4">
        <f t="shared" si="97"/>
        <v>517.5</v>
      </c>
      <c r="EY22" s="4">
        <f t="shared" si="98"/>
        <v>136.45433747040965</v>
      </c>
      <c r="EZ22" s="4">
        <f t="shared" si="99"/>
        <v>71.437499999999986</v>
      </c>
      <c r="FB22" s="4">
        <f t="shared" si="100"/>
        <v>0</v>
      </c>
      <c r="FG22" s="23"/>
      <c r="FH22" s="23"/>
      <c r="FI22" s="23"/>
      <c r="FJ22" s="23"/>
      <c r="FK22" s="23"/>
      <c r="FL22" s="23"/>
      <c r="FM22" s="23"/>
      <c r="FN22" s="23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customHeight="1" x14ac:dyDescent="0.3">
      <c r="A23" s="25">
        <v>5</v>
      </c>
      <c r="B23" s="26" t="s">
        <v>81</v>
      </c>
      <c r="C23" s="26"/>
      <c r="D23" s="26" t="s">
        <v>82</v>
      </c>
      <c r="E23" s="26"/>
      <c r="F23" s="7" t="s">
        <v>303</v>
      </c>
      <c r="G23" s="28">
        <f t="shared" si="105"/>
        <v>517.5</v>
      </c>
      <c r="H23" s="7">
        <f t="shared" si="125"/>
        <v>285.75</v>
      </c>
      <c r="I23" s="7">
        <f t="shared" si="124"/>
        <v>285.75</v>
      </c>
      <c r="J23" s="7">
        <v>33.630000000000003</v>
      </c>
      <c r="K23" s="7">
        <v>25.4</v>
      </c>
      <c r="L23" s="7">
        <f t="shared" si="106"/>
        <v>11.25</v>
      </c>
      <c r="M23" s="7">
        <f t="shared" si="107"/>
        <v>11.25</v>
      </c>
      <c r="N23" s="7">
        <v>229</v>
      </c>
      <c r="O23" s="7">
        <f t="shared" si="108"/>
        <v>101.8</v>
      </c>
      <c r="P23" s="7">
        <v>305</v>
      </c>
      <c r="Q23" s="7">
        <v>0</v>
      </c>
      <c r="R23" s="7">
        <v>1</v>
      </c>
      <c r="S23" s="7">
        <v>50.8</v>
      </c>
      <c r="T23" s="7">
        <f t="shared" si="42"/>
        <v>2.5</v>
      </c>
      <c r="U23" s="28">
        <f t="shared" si="109"/>
        <v>2.5</v>
      </c>
      <c r="V23" s="28">
        <f t="shared" si="110"/>
        <v>8.3959536742577185</v>
      </c>
      <c r="W23" s="7">
        <f t="shared" si="43"/>
        <v>8.3959536742577185</v>
      </c>
      <c r="X23" s="7">
        <f t="shared" si="44"/>
        <v>9.3959536742577185</v>
      </c>
      <c r="Y23" s="7">
        <f t="shared" si="45"/>
        <v>77.858162529590359</v>
      </c>
      <c r="Z23" s="7"/>
      <c r="AA23" s="7"/>
      <c r="AB23" s="7">
        <f>234.45/(PI()/4*K23^2)*1000</f>
        <v>462.692992843882</v>
      </c>
      <c r="AC23" s="7"/>
      <c r="AD23" s="7"/>
      <c r="AE23" s="7">
        <v>9.5</v>
      </c>
      <c r="AF23" s="7">
        <v>3</v>
      </c>
      <c r="AG23" s="7">
        <v>127</v>
      </c>
      <c r="AH23" s="7">
        <v>3</v>
      </c>
      <c r="AI23" s="7"/>
      <c r="AJ23" s="7"/>
      <c r="AK23" s="4">
        <f t="shared" si="126"/>
        <v>285.75</v>
      </c>
      <c r="AL23" s="4">
        <f t="shared" si="112"/>
        <v>0.15335428750418542</v>
      </c>
      <c r="AM23" s="25">
        <f t="shared" si="113"/>
        <v>552.82220346472604</v>
      </c>
      <c r="AN23" s="4">
        <f t="shared" si="114"/>
        <v>0.74444444444444435</v>
      </c>
      <c r="AO23" s="4">
        <v>1.25</v>
      </c>
      <c r="AP23" s="25">
        <f t="shared" si="115"/>
        <v>5</v>
      </c>
      <c r="AQ23" s="38">
        <f t="shared" si="116"/>
        <v>394.45158983551403</v>
      </c>
      <c r="AR23" s="38">
        <f t="shared" si="117"/>
        <v>394.45158983551403</v>
      </c>
      <c r="AT23" s="38">
        <f t="shared" si="46"/>
        <v>394.45158983551386</v>
      </c>
      <c r="AU23" s="3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38">
        <f t="shared" si="118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36">
        <f t="shared" si="53"/>
        <v>1.8910467582857926</v>
      </c>
      <c r="BF23" s="36">
        <f t="shared" si="54"/>
        <v>438.65763456662262</v>
      </c>
      <c r="BK23" s="4">
        <f t="shared" si="55"/>
        <v>101.8</v>
      </c>
      <c r="BL23" s="4">
        <f t="shared" si="56"/>
        <v>50.8</v>
      </c>
      <c r="BM23" s="4">
        <f t="shared" si="57"/>
        <v>101.8</v>
      </c>
      <c r="BN23" s="4">
        <f t="shared" si="58"/>
        <v>63.5</v>
      </c>
      <c r="BO23" s="4">
        <f t="shared" si="59"/>
        <v>1.1003937007874016</v>
      </c>
      <c r="BP23" s="25">
        <f t="shared" si="119"/>
        <v>4</v>
      </c>
      <c r="BR23" s="4">
        <f t="shared" si="60"/>
        <v>101.8</v>
      </c>
      <c r="BV23" s="9"/>
      <c r="BX23" s="9"/>
      <c r="BY23" s="9"/>
      <c r="BZ23" s="9">
        <f t="shared" si="61"/>
        <v>101.8</v>
      </c>
      <c r="CA23" s="9">
        <f t="shared" si="62"/>
        <v>101.8</v>
      </c>
      <c r="CB23" s="9">
        <f t="shared" si="63"/>
        <v>2.001967536137395</v>
      </c>
      <c r="CC23" s="9">
        <v>20</v>
      </c>
      <c r="CD23" s="9">
        <f t="shared" si="64"/>
        <v>0.05</v>
      </c>
      <c r="CE23" s="9">
        <f t="shared" si="65"/>
        <v>0.8</v>
      </c>
      <c r="CF23" s="9">
        <f t="shared" si="66"/>
        <v>0.99524931562137331</v>
      </c>
      <c r="CG23" s="9">
        <f t="shared" si="67"/>
        <v>0.97375</v>
      </c>
      <c r="CH23" s="9">
        <f t="shared" si="68"/>
        <v>1.9670293329614872</v>
      </c>
      <c r="CI23" s="9">
        <f t="shared" si="69"/>
        <v>4.9175733324037179</v>
      </c>
      <c r="CJ23" s="9">
        <v>1</v>
      </c>
      <c r="CK23" s="9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38">
        <f t="shared" si="120"/>
        <v>517.5</v>
      </c>
      <c r="DS23" s="4">
        <f t="shared" si="79"/>
        <v>1</v>
      </c>
      <c r="DU23" s="4">
        <f t="shared" si="121"/>
        <v>394.45158983551386</v>
      </c>
      <c r="DY23" s="4">
        <f t="shared" si="80"/>
        <v>0.85</v>
      </c>
      <c r="DZ23" s="4">
        <f t="shared" si="81"/>
        <v>0.7</v>
      </c>
      <c r="EA23" s="4">
        <f t="shared" si="82"/>
        <v>0.82320199640399283</v>
      </c>
      <c r="EB23" s="4">
        <f t="shared" si="83"/>
        <v>0.7</v>
      </c>
      <c r="ED23" s="4">
        <f t="shared" si="122"/>
        <v>517.5</v>
      </c>
      <c r="EE23" s="25">
        <f t="shared" si="123"/>
        <v>400.40567822403813</v>
      </c>
      <c r="EH23" s="4">
        <f t="shared" si="84"/>
        <v>8.8972510471034791</v>
      </c>
      <c r="EI23" s="4">
        <f t="shared" si="85"/>
        <v>8.470182996842512</v>
      </c>
      <c r="EK23" s="4">
        <f t="shared" si="86"/>
        <v>77.858162529590359</v>
      </c>
      <c r="EL23" s="4">
        <f t="shared" si="87"/>
        <v>3.0652819893539514</v>
      </c>
      <c r="EM23" s="4">
        <f t="shared" si="88"/>
        <v>0.13420433228769058</v>
      </c>
      <c r="EP23" s="4">
        <f t="shared" si="89"/>
        <v>0.13420433228769058</v>
      </c>
      <c r="EQ23" s="4">
        <f t="shared" si="90"/>
        <v>0.42251533357337173</v>
      </c>
      <c r="ER23" s="4">
        <f t="shared" si="91"/>
        <v>6.3036607859393676</v>
      </c>
      <c r="ES23" s="4">
        <f t="shared" si="92"/>
        <v>7.7106038725457431</v>
      </c>
      <c r="ET23" s="4">
        <f t="shared" si="93"/>
        <v>136.45433747040965</v>
      </c>
      <c r="EU23" s="4">
        <f t="shared" si="94"/>
        <v>71.4375</v>
      </c>
      <c r="EV23" s="4">
        <f t="shared" si="95"/>
        <v>2.0608377244988005E-5</v>
      </c>
      <c r="EW23" s="4">
        <f t="shared" si="96"/>
        <v>8.2237123607947922</v>
      </c>
      <c r="EX23" s="4">
        <f t="shared" si="97"/>
        <v>517.5</v>
      </c>
      <c r="EY23" s="4">
        <f t="shared" si="98"/>
        <v>136.45433747040965</v>
      </c>
      <c r="EZ23" s="4">
        <f t="shared" si="99"/>
        <v>71.437499999999986</v>
      </c>
      <c r="FB23" s="4">
        <f t="shared" si="100"/>
        <v>0</v>
      </c>
      <c r="FG23" s="23"/>
      <c r="FH23" s="23"/>
      <c r="FI23" s="23"/>
      <c r="FJ23" s="23"/>
      <c r="FK23" s="23"/>
      <c r="FL23" s="23"/>
      <c r="FM23" s="23"/>
      <c r="FN23" s="23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customHeight="1" x14ac:dyDescent="0.3">
      <c r="A24" s="25">
        <v>6</v>
      </c>
      <c r="B24" s="26" t="s">
        <v>81</v>
      </c>
      <c r="C24" s="26"/>
      <c r="D24" s="26" t="s">
        <v>82</v>
      </c>
      <c r="E24" s="26"/>
      <c r="F24" s="7" t="s">
        <v>83</v>
      </c>
      <c r="G24" s="28">
        <f t="shared" si="105"/>
        <v>517.5</v>
      </c>
      <c r="H24" s="7">
        <f>11.5*25.4</f>
        <v>292.09999999999997</v>
      </c>
      <c r="I24" s="7">
        <f t="shared" si="124"/>
        <v>292.09999999999997</v>
      </c>
      <c r="J24" s="7">
        <v>33.630000000000003</v>
      </c>
      <c r="K24" s="7">
        <v>25.4</v>
      </c>
      <c r="L24" s="7">
        <f t="shared" si="106"/>
        <v>11.5</v>
      </c>
      <c r="M24" s="7">
        <f t="shared" si="107"/>
        <v>11.5</v>
      </c>
      <c r="N24" s="7">
        <v>229</v>
      </c>
      <c r="O24" s="7">
        <f t="shared" si="108"/>
        <v>101.8</v>
      </c>
      <c r="P24" s="7">
        <v>305</v>
      </c>
      <c r="Q24" s="7">
        <v>0</v>
      </c>
      <c r="R24" s="7">
        <v>1</v>
      </c>
      <c r="S24" s="7">
        <v>47.73</v>
      </c>
      <c r="T24" s="7">
        <f t="shared" si="42"/>
        <v>2.3791338582677164</v>
      </c>
      <c r="U24" s="28">
        <f t="shared" si="109"/>
        <v>2.3791338582677164</v>
      </c>
      <c r="V24" s="28">
        <f t="shared" si="110"/>
        <v>8.3959536742577185</v>
      </c>
      <c r="W24" s="7">
        <f t="shared" si="43"/>
        <v>8.3959536742577185</v>
      </c>
      <c r="X24" s="7">
        <f t="shared" si="44"/>
        <v>9.3959536742577185</v>
      </c>
      <c r="Y24" s="7">
        <f t="shared" si="45"/>
        <v>77.858162529590359</v>
      </c>
      <c r="Z24" s="7"/>
      <c r="AA24" s="7"/>
      <c r="AB24" s="7">
        <f>229.78/(PI()/4*K24^2)*1000</f>
        <v>453.47662996659079</v>
      </c>
      <c r="AC24" s="7"/>
      <c r="AD24" s="7"/>
      <c r="AE24" s="7">
        <v>9.5</v>
      </c>
      <c r="AF24" s="7">
        <v>3</v>
      </c>
      <c r="AG24" s="7">
        <v>127</v>
      </c>
      <c r="AH24" s="7">
        <v>3</v>
      </c>
      <c r="AI24" s="7"/>
      <c r="AJ24" s="7"/>
      <c r="AK24" s="4">
        <f t="shared" si="126"/>
        <v>292.09999999999997</v>
      </c>
      <c r="AL24" s="4">
        <f t="shared" si="112"/>
        <v>0.14868416294278508</v>
      </c>
      <c r="AM24" s="25">
        <f t="shared" si="113"/>
        <v>571.35160868930427</v>
      </c>
      <c r="AN24" s="4">
        <f t="shared" si="114"/>
        <v>0.74137624101335153</v>
      </c>
      <c r="AO24" s="4">
        <v>1.25</v>
      </c>
      <c r="AP24" s="25">
        <f t="shared" si="115"/>
        <v>5</v>
      </c>
      <c r="AQ24" s="38">
        <f t="shared" si="116"/>
        <v>393.62878354973896</v>
      </c>
      <c r="AR24" s="38">
        <f t="shared" si="117"/>
        <v>393.62878354973896</v>
      </c>
      <c r="AT24" s="38">
        <f t="shared" si="46"/>
        <v>393.62878354973918</v>
      </c>
      <c r="AU24" s="3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38">
        <f t="shared" si="118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36">
        <f t="shared" si="53"/>
        <v>1.8789601441125643</v>
      </c>
      <c r="BF24" s="36">
        <f t="shared" si="54"/>
        <v>440.21249645810303</v>
      </c>
      <c r="BK24" s="4">
        <f t="shared" si="55"/>
        <v>101.8</v>
      </c>
      <c r="BL24" s="4">
        <f t="shared" si="56"/>
        <v>47.73</v>
      </c>
      <c r="BM24" s="4">
        <f t="shared" si="57"/>
        <v>101.8</v>
      </c>
      <c r="BN24" s="4">
        <f t="shared" si="58"/>
        <v>60.429999999999993</v>
      </c>
      <c r="BO24" s="4">
        <f t="shared" si="59"/>
        <v>1.1132830504923528</v>
      </c>
      <c r="BP24" s="25">
        <f t="shared" si="119"/>
        <v>4</v>
      </c>
      <c r="BR24" s="4">
        <f t="shared" si="60"/>
        <v>101.8</v>
      </c>
      <c r="BV24" s="9"/>
      <c r="BX24" s="9"/>
      <c r="BY24" s="9"/>
      <c r="BZ24" s="9">
        <f t="shared" si="61"/>
        <v>101.8</v>
      </c>
      <c r="CA24" s="9">
        <f t="shared" si="62"/>
        <v>101.8</v>
      </c>
      <c r="CB24" s="9">
        <f t="shared" si="63"/>
        <v>2.001967536137395</v>
      </c>
      <c r="CC24" s="9">
        <v>20</v>
      </c>
      <c r="CD24" s="9">
        <f t="shared" si="64"/>
        <v>0.05</v>
      </c>
      <c r="CE24" s="9">
        <f t="shared" si="65"/>
        <v>0.8</v>
      </c>
      <c r="CF24" s="9">
        <f t="shared" si="66"/>
        <v>0.99524931562137331</v>
      </c>
      <c r="CG24" s="9">
        <f t="shared" si="67"/>
        <v>0.97375</v>
      </c>
      <c r="CH24" s="9">
        <f t="shared" si="68"/>
        <v>1.9670293329614872</v>
      </c>
      <c r="CI24" s="9">
        <f t="shared" si="69"/>
        <v>4.9175733324037179</v>
      </c>
      <c r="CJ24" s="9">
        <v>1</v>
      </c>
      <c r="CK24" s="9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38">
        <f t="shared" si="120"/>
        <v>517.5</v>
      </c>
      <c r="DS24" s="4">
        <f t="shared" si="79"/>
        <v>1</v>
      </c>
      <c r="DU24" s="4">
        <f t="shared" si="121"/>
        <v>393.62878354973918</v>
      </c>
      <c r="DY24" s="4">
        <f t="shared" si="80"/>
        <v>0.85</v>
      </c>
      <c r="DZ24" s="4">
        <f t="shared" si="81"/>
        <v>0.7</v>
      </c>
      <c r="EA24" s="4">
        <f t="shared" si="82"/>
        <v>0.82320199640399283</v>
      </c>
      <c r="EB24" s="4">
        <f t="shared" si="83"/>
        <v>0.7</v>
      </c>
      <c r="ED24" s="4">
        <f t="shared" si="122"/>
        <v>517.5</v>
      </c>
      <c r="EE24" s="25">
        <f t="shared" si="123"/>
        <v>394.48162132390439</v>
      </c>
      <c r="EH24" s="4">
        <f t="shared" si="84"/>
        <v>8.8972510471034791</v>
      </c>
      <c r="EI24" s="4">
        <f t="shared" si="85"/>
        <v>8.470182996842512</v>
      </c>
      <c r="EK24" s="4">
        <f t="shared" si="86"/>
        <v>77.858162529590359</v>
      </c>
      <c r="EL24" s="4">
        <f t="shared" si="87"/>
        <v>3.0652819893539514</v>
      </c>
      <c r="EM24" s="4">
        <f t="shared" si="88"/>
        <v>0.13392438876349141</v>
      </c>
      <c r="EP24" s="4">
        <f t="shared" si="89"/>
        <v>0.13392438876349141</v>
      </c>
      <c r="EQ24" s="4">
        <f t="shared" si="90"/>
        <v>0.42163398772191918</v>
      </c>
      <c r="ER24" s="4">
        <f t="shared" si="91"/>
        <v>6.2983978424284564</v>
      </c>
      <c r="ES24" s="4">
        <f t="shared" si="92"/>
        <v>7.7084558863593733</v>
      </c>
      <c r="ET24" s="4">
        <f t="shared" si="93"/>
        <v>141.21683747040964</v>
      </c>
      <c r="EU24" s="4">
        <f t="shared" si="94"/>
        <v>73.024999999999977</v>
      </c>
      <c r="EV24" s="4">
        <f t="shared" si="95"/>
        <v>2.1066341183765513E-5</v>
      </c>
      <c r="EW24" s="4">
        <f t="shared" si="96"/>
        <v>8.1932168886722874</v>
      </c>
      <c r="EX24" s="4">
        <f t="shared" si="97"/>
        <v>517.5</v>
      </c>
      <c r="EY24" s="4">
        <f t="shared" si="98"/>
        <v>141.21683747040964</v>
      </c>
      <c r="EZ24" s="4">
        <f t="shared" si="99"/>
        <v>73.024999999999963</v>
      </c>
      <c r="FB24" s="4">
        <f t="shared" si="100"/>
        <v>0</v>
      </c>
      <c r="FG24" s="23"/>
      <c r="FH24" s="23"/>
      <c r="FI24" s="23"/>
      <c r="FJ24" s="23"/>
      <c r="FK24" s="23"/>
      <c r="FL24" s="23"/>
      <c r="FM24" s="23"/>
      <c r="FN24" s="23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25" customFormat="1" ht="12" customHeight="1" x14ac:dyDescent="0.3">
      <c r="A25" s="25">
        <v>7</v>
      </c>
      <c r="B25" s="26" t="s">
        <v>81</v>
      </c>
      <c r="C25" s="26"/>
      <c r="D25" s="26" t="s">
        <v>82</v>
      </c>
      <c r="E25" s="26"/>
      <c r="F25" s="28" t="s">
        <v>85</v>
      </c>
      <c r="G25" s="28">
        <f t="shared" si="105"/>
        <v>517.5</v>
      </c>
      <c r="H25" s="28">
        <f>11.38*25.4</f>
        <v>289.05200000000002</v>
      </c>
      <c r="I25" s="28">
        <f t="shared" si="124"/>
        <v>289.05200000000002</v>
      </c>
      <c r="J25" s="28">
        <v>33.630000000000003</v>
      </c>
      <c r="K25" s="28">
        <v>25.4</v>
      </c>
      <c r="L25" s="28">
        <f t="shared" si="106"/>
        <v>11.38</v>
      </c>
      <c r="M25" s="28">
        <f t="shared" si="107"/>
        <v>11.38</v>
      </c>
      <c r="N25" s="28">
        <v>229</v>
      </c>
      <c r="O25" s="28">
        <f t="shared" si="108"/>
        <v>101.8</v>
      </c>
      <c r="P25" s="28">
        <v>305</v>
      </c>
      <c r="Q25" s="28">
        <v>0</v>
      </c>
      <c r="R25" s="28">
        <v>1</v>
      </c>
      <c r="S25" s="28">
        <v>47.68</v>
      </c>
      <c r="T25" s="7">
        <f t="shared" si="42"/>
        <v>2.3771653543307085</v>
      </c>
      <c r="U25" s="28">
        <f t="shared" si="109"/>
        <v>2.3771653543307085</v>
      </c>
      <c r="V25" s="28">
        <f t="shared" si="110"/>
        <v>8.3959536742577185</v>
      </c>
      <c r="W25" s="7">
        <f t="shared" si="43"/>
        <v>8.3959536742577185</v>
      </c>
      <c r="X25" s="28">
        <f t="shared" si="44"/>
        <v>9.3959536742577185</v>
      </c>
      <c r="Y25" s="28">
        <f t="shared" si="45"/>
        <v>77.858162529590359</v>
      </c>
      <c r="Z25" s="28"/>
      <c r="AA25" s="28"/>
      <c r="AB25" s="28">
        <f>148.74/(PI()/4*K25^2)*1000</f>
        <v>293.5421444043464</v>
      </c>
      <c r="AC25" s="28"/>
      <c r="AD25" s="28"/>
      <c r="AE25" s="28">
        <v>0</v>
      </c>
      <c r="AF25" s="28">
        <v>0</v>
      </c>
      <c r="AG25" s="28">
        <f>I25</f>
        <v>289.05200000000002</v>
      </c>
      <c r="AH25" s="28"/>
      <c r="AI25" s="28"/>
      <c r="AJ25" s="28"/>
      <c r="AK25" s="4">
        <f t="shared" si="126"/>
        <v>289.05200000000002</v>
      </c>
      <c r="AL25" s="25">
        <f t="shared" si="112"/>
        <v>0.15042881662835439</v>
      </c>
      <c r="AM25" s="25">
        <f t="shared" si="113"/>
        <v>562.43208396751641</v>
      </c>
      <c r="AN25" s="4">
        <f t="shared" si="114"/>
        <v>0.74177794998823732</v>
      </c>
      <c r="AO25" s="25">
        <v>1.25</v>
      </c>
      <c r="AP25" s="25">
        <f t="shared" si="115"/>
        <v>5</v>
      </c>
      <c r="AQ25" s="38">
        <f t="shared" si="116"/>
        <v>392.24287446554456</v>
      </c>
      <c r="AR25" s="38">
        <f t="shared" si="117"/>
        <v>392.24287446554456</v>
      </c>
      <c r="AS25" s="38"/>
      <c r="AT25" s="38">
        <f t="shared" si="46"/>
        <v>392.24287446554479</v>
      </c>
      <c r="AU25" s="38">
        <f t="shared" si="47"/>
        <v>0.99999999999999944</v>
      </c>
      <c r="AV25" s="38"/>
      <c r="AX25" s="25">
        <f t="shared" si="48"/>
        <v>347.33783645260843</v>
      </c>
      <c r="AY25" s="25">
        <f t="shared" si="49"/>
        <v>1</v>
      </c>
      <c r="AZ25" s="38">
        <f t="shared" si="118"/>
        <v>463.2882352560103</v>
      </c>
      <c r="BA25" s="25">
        <f t="shared" si="50"/>
        <v>0.3</v>
      </c>
      <c r="BB25" s="25">
        <f t="shared" si="51"/>
        <v>54.44520586394637</v>
      </c>
      <c r="BC25" s="25">
        <f t="shared" si="52"/>
        <v>517.73344111995664</v>
      </c>
      <c r="BE25" s="36">
        <f t="shared" si="53"/>
        <v>1.0877165354330709</v>
      </c>
      <c r="BF25" s="36">
        <f t="shared" si="54"/>
        <v>253.62475214092589</v>
      </c>
      <c r="BK25" s="25">
        <f t="shared" si="55"/>
        <v>101.8</v>
      </c>
      <c r="BL25" s="25">
        <f t="shared" si="56"/>
        <v>47.68</v>
      </c>
      <c r="BM25" s="25">
        <f t="shared" si="57"/>
        <v>101.8</v>
      </c>
      <c r="BN25" s="25">
        <f t="shared" si="58"/>
        <v>60.379999999999995</v>
      </c>
      <c r="BO25" s="25">
        <f t="shared" si="59"/>
        <v>1.1135067114093959</v>
      </c>
      <c r="BP25" s="25">
        <f t="shared" si="119"/>
        <v>2.6469895761771389</v>
      </c>
      <c r="BR25" s="25">
        <f t="shared" si="60"/>
        <v>101.8</v>
      </c>
      <c r="BV25" s="29"/>
      <c r="BX25" s="29"/>
      <c r="BY25" s="29"/>
      <c r="BZ25" s="29">
        <f t="shared" si="61"/>
        <v>101.8</v>
      </c>
      <c r="CA25" s="29">
        <f t="shared" si="62"/>
        <v>101.8</v>
      </c>
      <c r="CB25" s="29">
        <f t="shared" si="63"/>
        <v>2.001967536137395</v>
      </c>
      <c r="CC25" s="29">
        <v>0</v>
      </c>
      <c r="CD25" s="29">
        <f t="shared" si="64"/>
        <v>0</v>
      </c>
      <c r="CE25" s="29">
        <f t="shared" si="65"/>
        <v>0</v>
      </c>
      <c r="CF25" s="29">
        <f t="shared" si="66"/>
        <v>0.99524931562137331</v>
      </c>
      <c r="CG25" s="29">
        <f t="shared" si="67"/>
        <v>0.97375</v>
      </c>
      <c r="CH25" s="29">
        <f t="shared" si="68"/>
        <v>1.9670293329614872</v>
      </c>
      <c r="CI25" s="29">
        <f t="shared" si="69"/>
        <v>3.9379288672188921</v>
      </c>
      <c r="CJ25" s="29">
        <v>1</v>
      </c>
      <c r="CK25" s="2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25">
        <f t="shared" si="72"/>
        <v>289.05200000000002</v>
      </c>
      <c r="DJ25" s="25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38">
        <f t="shared" si="120"/>
        <v>517.5</v>
      </c>
      <c r="DS25" s="4">
        <f t="shared" si="79"/>
        <v>1</v>
      </c>
      <c r="DT25" s="4"/>
      <c r="DU25" s="4">
        <f t="shared" si="121"/>
        <v>392.24287446554479</v>
      </c>
      <c r="DY25" s="25">
        <f t="shared" si="80"/>
        <v>0.85</v>
      </c>
      <c r="DZ25" s="25">
        <f t="shared" si="81"/>
        <v>0.7</v>
      </c>
      <c r="EA25" s="25">
        <f t="shared" si="82"/>
        <v>1</v>
      </c>
      <c r="EB25" s="25">
        <f t="shared" si="83"/>
        <v>0.7</v>
      </c>
      <c r="ED25" s="4">
        <f t="shared" si="122"/>
        <v>517.5</v>
      </c>
      <c r="EE25" s="25">
        <f t="shared" si="123"/>
        <v>396.72382751434384</v>
      </c>
      <c r="EH25" s="4">
        <f t="shared" si="84"/>
        <v>8.8972510471034791</v>
      </c>
      <c r="EI25" s="25">
        <f t="shared" si="85"/>
        <v>5.6051215252387419</v>
      </c>
      <c r="EK25" s="4">
        <f t="shared" si="86"/>
        <v>77.858162529590359</v>
      </c>
      <c r="EL25" s="4">
        <f t="shared" si="87"/>
        <v>3.0652819893539514</v>
      </c>
      <c r="EM25" s="4">
        <f t="shared" si="88"/>
        <v>0.13345286067728618</v>
      </c>
      <c r="EP25" s="25">
        <f t="shared" si="89"/>
        <v>0.13345286067728618</v>
      </c>
      <c r="EQ25" s="25">
        <f t="shared" si="90"/>
        <v>0.42014947643054645</v>
      </c>
      <c r="ER25" s="4">
        <f t="shared" si="91"/>
        <v>6.2895181623147547</v>
      </c>
      <c r="ES25" s="25">
        <f t="shared" si="92"/>
        <v>7.7048345465996162</v>
      </c>
      <c r="ET25" s="4">
        <f t="shared" si="93"/>
        <v>138.93083747040964</v>
      </c>
      <c r="EU25" s="4">
        <f t="shared" si="94"/>
        <v>72.263000000000034</v>
      </c>
      <c r="EV25" s="25">
        <f t="shared" si="95"/>
        <v>2.0846518493152323E-5</v>
      </c>
      <c r="EW25" s="25">
        <f t="shared" si="96"/>
        <v>8.2084963735849374</v>
      </c>
      <c r="EX25" s="4">
        <f t="shared" si="97"/>
        <v>517.5</v>
      </c>
      <c r="EY25" s="4">
        <f t="shared" si="98"/>
        <v>138.93083747040964</v>
      </c>
      <c r="EZ25" s="4">
        <f t="shared" si="99"/>
        <v>72.263000000000019</v>
      </c>
      <c r="FB25" s="4">
        <f t="shared" si="100"/>
        <v>0</v>
      </c>
      <c r="FG25" s="23"/>
      <c r="FH25" s="23"/>
      <c r="FI25" s="23"/>
      <c r="FJ25" s="23"/>
      <c r="FK25" s="23"/>
      <c r="FL25" s="23"/>
      <c r="FM25" s="30"/>
      <c r="FN25" s="30"/>
      <c r="FX25" s="4">
        <f t="shared" si="101"/>
        <v>1</v>
      </c>
      <c r="FY25" s="4">
        <f t="shared" si="102"/>
        <v>0.85000000000000009</v>
      </c>
      <c r="FZ25" s="4">
        <f t="shared" si="103"/>
        <v>0</v>
      </c>
      <c r="GA25" s="4">
        <f t="shared" si="104"/>
        <v>321.49025251504622</v>
      </c>
      <c r="GB25" s="4"/>
    </row>
    <row r="26" spans="1:184" s="25" customFormat="1" ht="12" customHeight="1" x14ac:dyDescent="0.3">
      <c r="A26" s="25">
        <v>8</v>
      </c>
      <c r="B26" s="26" t="s">
        <v>81</v>
      </c>
      <c r="C26" s="26"/>
      <c r="D26" s="26" t="s">
        <v>82</v>
      </c>
      <c r="E26" s="26"/>
      <c r="F26" s="28" t="s">
        <v>86</v>
      </c>
      <c r="G26" s="28">
        <f t="shared" si="105"/>
        <v>517.5</v>
      </c>
      <c r="H26" s="28">
        <f>11.38*25.4</f>
        <v>289.05200000000002</v>
      </c>
      <c r="I26" s="28">
        <f t="shared" si="124"/>
        <v>289.05200000000002</v>
      </c>
      <c r="J26" s="28">
        <v>33.630000000000003</v>
      </c>
      <c r="K26" s="28">
        <v>25.4</v>
      </c>
      <c r="L26" s="28">
        <f t="shared" si="106"/>
        <v>11.38</v>
      </c>
      <c r="M26" s="28">
        <f t="shared" si="107"/>
        <v>11.38</v>
      </c>
      <c r="N26" s="28">
        <v>229</v>
      </c>
      <c r="O26" s="28">
        <f t="shared" si="108"/>
        <v>101.8</v>
      </c>
      <c r="P26" s="28">
        <v>305</v>
      </c>
      <c r="Q26" s="28">
        <v>0</v>
      </c>
      <c r="R26" s="28">
        <v>1</v>
      </c>
      <c r="S26" s="28">
        <v>47.68</v>
      </c>
      <c r="T26" s="7">
        <f t="shared" si="42"/>
        <v>2.3771653543307085</v>
      </c>
      <c r="U26" s="28">
        <f t="shared" si="109"/>
        <v>2.3771653543307085</v>
      </c>
      <c r="V26" s="28">
        <f t="shared" si="110"/>
        <v>8.3959536742577185</v>
      </c>
      <c r="W26" s="7">
        <f t="shared" si="43"/>
        <v>8.3959536742577185</v>
      </c>
      <c r="X26" s="28">
        <f t="shared" si="44"/>
        <v>9.3959536742577185</v>
      </c>
      <c r="Y26" s="28">
        <f t="shared" si="45"/>
        <v>77.858162529590359</v>
      </c>
      <c r="Z26" s="28"/>
      <c r="AA26" s="28"/>
      <c r="AB26" s="28">
        <f>155.72/(PI()/4*K26^2)*1000</f>
        <v>307.31735058924846</v>
      </c>
      <c r="AC26" s="28"/>
      <c r="AD26" s="28"/>
      <c r="AE26" s="28">
        <v>0</v>
      </c>
      <c r="AF26" s="28">
        <v>0</v>
      </c>
      <c r="AG26" s="28">
        <f t="shared" ref="AG26:AG27" si="127">I26</f>
        <v>289.05200000000002</v>
      </c>
      <c r="AH26" s="28"/>
      <c r="AI26" s="28"/>
      <c r="AJ26" s="28"/>
      <c r="AK26" s="4">
        <f t="shared" si="126"/>
        <v>289.05200000000002</v>
      </c>
      <c r="AL26" s="25">
        <f t="shared" si="112"/>
        <v>0.15042881662835439</v>
      </c>
      <c r="AM26" s="25">
        <f t="shared" si="113"/>
        <v>562.43208396751641</v>
      </c>
      <c r="AN26" s="4">
        <f t="shared" si="114"/>
        <v>0.74177794998823732</v>
      </c>
      <c r="AO26" s="25">
        <v>1.25</v>
      </c>
      <c r="AP26" s="25">
        <f t="shared" si="115"/>
        <v>5</v>
      </c>
      <c r="AQ26" s="38">
        <f t="shared" si="116"/>
        <v>392.24287446554456</v>
      </c>
      <c r="AR26" s="38">
        <f t="shared" si="117"/>
        <v>392.24287446554456</v>
      </c>
      <c r="AS26" s="38"/>
      <c r="AT26" s="38">
        <f t="shared" si="46"/>
        <v>392.24287446554479</v>
      </c>
      <c r="AU26" s="38">
        <f t="shared" si="47"/>
        <v>0.99999999999999944</v>
      </c>
      <c r="AV26" s="38"/>
      <c r="AX26" s="25">
        <f t="shared" si="48"/>
        <v>347.33783645260843</v>
      </c>
      <c r="AY26" s="25">
        <f t="shared" si="49"/>
        <v>1</v>
      </c>
      <c r="AZ26" s="38">
        <f t="shared" si="118"/>
        <v>463.2882352560103</v>
      </c>
      <c r="BA26" s="25">
        <f t="shared" si="50"/>
        <v>0.3</v>
      </c>
      <c r="BB26" s="25">
        <f t="shared" si="51"/>
        <v>54.44520586394637</v>
      </c>
      <c r="BC26" s="25">
        <f t="shared" si="52"/>
        <v>517.73344111995664</v>
      </c>
      <c r="BE26" s="36">
        <f t="shared" si="53"/>
        <v>1.0877165354330709</v>
      </c>
      <c r="BF26" s="36">
        <f t="shared" si="54"/>
        <v>253.62475214092589</v>
      </c>
      <c r="BK26" s="25">
        <f t="shared" si="55"/>
        <v>101.8</v>
      </c>
      <c r="BL26" s="25">
        <f t="shared" si="56"/>
        <v>47.68</v>
      </c>
      <c r="BM26" s="25">
        <f t="shared" si="57"/>
        <v>101.8</v>
      </c>
      <c r="BN26" s="25">
        <f t="shared" si="58"/>
        <v>60.379999999999995</v>
      </c>
      <c r="BO26" s="25">
        <f t="shared" si="59"/>
        <v>1.1135067114093959</v>
      </c>
      <c r="BP26" s="25">
        <f t="shared" si="119"/>
        <v>2.6469895761771389</v>
      </c>
      <c r="BR26" s="25">
        <f t="shared" si="60"/>
        <v>101.8</v>
      </c>
      <c r="BV26" s="29"/>
      <c r="BX26" s="29"/>
      <c r="BY26" s="29"/>
      <c r="BZ26" s="29">
        <f t="shared" si="61"/>
        <v>101.8</v>
      </c>
      <c r="CA26" s="29">
        <f t="shared" si="62"/>
        <v>101.8</v>
      </c>
      <c r="CB26" s="29">
        <f t="shared" si="63"/>
        <v>2.001967536137395</v>
      </c>
      <c r="CC26" s="29">
        <v>0</v>
      </c>
      <c r="CD26" s="29">
        <f t="shared" si="64"/>
        <v>0</v>
      </c>
      <c r="CE26" s="29">
        <f t="shared" si="65"/>
        <v>0</v>
      </c>
      <c r="CF26" s="29">
        <f t="shared" si="66"/>
        <v>0.99524931562137331</v>
      </c>
      <c r="CG26" s="29">
        <f t="shared" si="67"/>
        <v>0.97375</v>
      </c>
      <c r="CH26" s="29">
        <f t="shared" si="68"/>
        <v>1.9670293329614872</v>
      </c>
      <c r="CI26" s="29">
        <f t="shared" si="69"/>
        <v>3.9379288672188921</v>
      </c>
      <c r="CJ26" s="29">
        <v>1</v>
      </c>
      <c r="CK26" s="2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25">
        <f t="shared" si="72"/>
        <v>289.05200000000002</v>
      </c>
      <c r="DJ26" s="25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38">
        <f t="shared" si="120"/>
        <v>517.5</v>
      </c>
      <c r="DS26" s="4">
        <f t="shared" si="79"/>
        <v>1</v>
      </c>
      <c r="DT26" s="4"/>
      <c r="DU26" s="4">
        <f t="shared" si="121"/>
        <v>392.24287446554479</v>
      </c>
      <c r="DY26" s="25">
        <f t="shared" si="80"/>
        <v>0.85</v>
      </c>
      <c r="DZ26" s="25">
        <f t="shared" si="81"/>
        <v>0.7</v>
      </c>
      <c r="EA26" s="25">
        <f t="shared" si="82"/>
        <v>1</v>
      </c>
      <c r="EB26" s="25">
        <f t="shared" si="83"/>
        <v>0.7</v>
      </c>
      <c r="ED26" s="4">
        <f t="shared" si="122"/>
        <v>517.5</v>
      </c>
      <c r="EE26" s="25">
        <f t="shared" si="123"/>
        <v>396.72382751434384</v>
      </c>
      <c r="EH26" s="4">
        <f t="shared" si="84"/>
        <v>8.8972510471034791</v>
      </c>
      <c r="EI26" s="25">
        <f t="shared" si="85"/>
        <v>5.6051215252387419</v>
      </c>
      <c r="EK26" s="4">
        <f t="shared" si="86"/>
        <v>77.858162529590359</v>
      </c>
      <c r="EL26" s="4">
        <f t="shared" si="87"/>
        <v>3.0652819893539514</v>
      </c>
      <c r="EM26" s="4">
        <f t="shared" si="88"/>
        <v>0.13345286067728618</v>
      </c>
      <c r="EP26" s="25">
        <f t="shared" si="89"/>
        <v>0.13345286067728618</v>
      </c>
      <c r="EQ26" s="25">
        <f t="shared" si="90"/>
        <v>0.42014947643054645</v>
      </c>
      <c r="ER26" s="4">
        <f t="shared" si="91"/>
        <v>6.2895181623147547</v>
      </c>
      <c r="ES26" s="25">
        <f t="shared" si="92"/>
        <v>7.7048345465996162</v>
      </c>
      <c r="ET26" s="4">
        <f t="shared" si="93"/>
        <v>138.93083747040964</v>
      </c>
      <c r="EU26" s="4">
        <f t="shared" si="94"/>
        <v>72.263000000000034</v>
      </c>
      <c r="EV26" s="25">
        <f t="shared" si="95"/>
        <v>2.0846518493152323E-5</v>
      </c>
      <c r="EW26" s="25">
        <f t="shared" si="96"/>
        <v>8.2084963735849374</v>
      </c>
      <c r="EX26" s="4">
        <f t="shared" si="97"/>
        <v>517.5</v>
      </c>
      <c r="EY26" s="4">
        <f t="shared" si="98"/>
        <v>138.93083747040964</v>
      </c>
      <c r="EZ26" s="4">
        <f t="shared" si="99"/>
        <v>72.263000000000019</v>
      </c>
      <c r="FB26" s="4">
        <f t="shared" si="100"/>
        <v>0</v>
      </c>
      <c r="FG26" s="23"/>
      <c r="FH26" s="23"/>
      <c r="FI26" s="23"/>
      <c r="FJ26" s="23"/>
      <c r="FK26" s="23"/>
      <c r="FL26" s="23"/>
      <c r="FM26" s="30"/>
      <c r="FN26" s="30"/>
      <c r="FX26" s="4">
        <f t="shared" si="101"/>
        <v>1</v>
      </c>
      <c r="FY26" s="4">
        <f t="shared" si="102"/>
        <v>0.85000000000000009</v>
      </c>
      <c r="FZ26" s="4">
        <f t="shared" si="103"/>
        <v>0</v>
      </c>
      <c r="GA26" s="4">
        <f t="shared" si="104"/>
        <v>321.49025251504622</v>
      </c>
      <c r="GB26" s="4"/>
    </row>
    <row r="27" spans="1:184" s="25" customFormat="1" ht="12" customHeight="1" x14ac:dyDescent="0.3">
      <c r="A27" s="25">
        <v>9</v>
      </c>
      <c r="B27" s="26" t="s">
        <v>81</v>
      </c>
      <c r="C27" s="26"/>
      <c r="D27" s="26" t="s">
        <v>82</v>
      </c>
      <c r="E27" s="26"/>
      <c r="F27" s="28" t="s">
        <v>87</v>
      </c>
      <c r="G27" s="28">
        <f t="shared" si="105"/>
        <v>517.5</v>
      </c>
      <c r="H27" s="28">
        <f>11.38*25.4</f>
        <v>289.05200000000002</v>
      </c>
      <c r="I27" s="28">
        <f t="shared" si="124"/>
        <v>289.05200000000002</v>
      </c>
      <c r="J27" s="28">
        <v>33.630000000000003</v>
      </c>
      <c r="K27" s="28">
        <v>25.4</v>
      </c>
      <c r="L27" s="28">
        <f t="shared" si="106"/>
        <v>11.38</v>
      </c>
      <c r="M27" s="28">
        <f t="shared" si="107"/>
        <v>11.38</v>
      </c>
      <c r="N27" s="28">
        <v>229</v>
      </c>
      <c r="O27" s="28">
        <f t="shared" si="108"/>
        <v>101.8</v>
      </c>
      <c r="P27" s="28">
        <v>305</v>
      </c>
      <c r="Q27" s="28">
        <v>0</v>
      </c>
      <c r="R27" s="28">
        <v>1</v>
      </c>
      <c r="S27" s="28">
        <v>49.48</v>
      </c>
      <c r="T27" s="7">
        <f t="shared" si="42"/>
        <v>2.4480314960629919</v>
      </c>
      <c r="U27" s="28">
        <f t="shared" si="109"/>
        <v>2.4480314960629919</v>
      </c>
      <c r="V27" s="28">
        <f t="shared" si="110"/>
        <v>8.3959536742577185</v>
      </c>
      <c r="W27" s="7">
        <f t="shared" si="43"/>
        <v>8.3959536742577185</v>
      </c>
      <c r="X27" s="28">
        <f t="shared" si="44"/>
        <v>9.3959536742577185</v>
      </c>
      <c r="Y27" s="28">
        <f t="shared" si="45"/>
        <v>77.858162529590359</v>
      </c>
      <c r="Z27" s="28"/>
      <c r="AA27" s="28"/>
      <c r="AB27" s="28">
        <f>167.51/(PI()/4*K27^2)*1000</f>
        <v>330.5852131852364</v>
      </c>
      <c r="AC27" s="28"/>
      <c r="AD27" s="28"/>
      <c r="AE27" s="28">
        <v>0</v>
      </c>
      <c r="AF27" s="28">
        <v>0</v>
      </c>
      <c r="AG27" s="28">
        <f t="shared" si="127"/>
        <v>289.05200000000002</v>
      </c>
      <c r="AH27" s="28"/>
      <c r="AI27" s="28"/>
      <c r="AJ27" s="28"/>
      <c r="AK27" s="4">
        <f t="shared" si="126"/>
        <v>289.05200000000002</v>
      </c>
      <c r="AL27" s="25">
        <f t="shared" si="112"/>
        <v>0.15097698442790625</v>
      </c>
      <c r="AM27" s="25">
        <f t="shared" si="113"/>
        <v>562.43208396751641</v>
      </c>
      <c r="AN27" s="4">
        <f t="shared" si="114"/>
        <v>0.74302340063379591</v>
      </c>
      <c r="AO27" s="25">
        <v>1.25</v>
      </c>
      <c r="AP27" s="25">
        <f t="shared" si="115"/>
        <v>5</v>
      </c>
      <c r="AQ27" s="38">
        <f t="shared" si="116"/>
        <v>394.33319959841521</v>
      </c>
      <c r="AR27" s="38">
        <f t="shared" si="117"/>
        <v>394.33319959841521</v>
      </c>
      <c r="AS27" s="38"/>
      <c r="AT27" s="38">
        <f t="shared" si="46"/>
        <v>394.33319959841538</v>
      </c>
      <c r="AU27" s="38">
        <f t="shared" si="47"/>
        <v>0.99999999999999956</v>
      </c>
      <c r="AV27" s="38"/>
      <c r="AX27" s="25">
        <f t="shared" si="48"/>
        <v>347.33783645260843</v>
      </c>
      <c r="AY27" s="25">
        <f t="shared" si="49"/>
        <v>1</v>
      </c>
      <c r="AZ27" s="38">
        <f t="shared" si="118"/>
        <v>477.09941153061794</v>
      </c>
      <c r="BA27" s="25">
        <f t="shared" si="50"/>
        <v>0.3</v>
      </c>
      <c r="BB27" s="25">
        <f t="shared" si="51"/>
        <v>54.44520586394637</v>
      </c>
      <c r="BC27" s="25">
        <f t="shared" si="52"/>
        <v>531.54461739456428</v>
      </c>
      <c r="BE27" s="36">
        <f t="shared" si="53"/>
        <v>1.0948031496062991</v>
      </c>
      <c r="BF27" s="36">
        <f t="shared" si="54"/>
        <v>255.27715026548674</v>
      </c>
      <c r="BK27" s="25">
        <f t="shared" si="55"/>
        <v>101.8</v>
      </c>
      <c r="BL27" s="25">
        <f t="shared" si="56"/>
        <v>49.48</v>
      </c>
      <c r="BM27" s="25">
        <f t="shared" si="57"/>
        <v>101.8</v>
      </c>
      <c r="BN27" s="25">
        <f t="shared" si="58"/>
        <v>62.179999999999993</v>
      </c>
      <c r="BO27" s="25">
        <f t="shared" si="59"/>
        <v>1.1057396928051739</v>
      </c>
      <c r="BP27" s="25">
        <f t="shared" si="119"/>
        <v>2.7068855944340835</v>
      </c>
      <c r="BR27" s="25">
        <f t="shared" si="60"/>
        <v>101.8</v>
      </c>
      <c r="BV27" s="29"/>
      <c r="BX27" s="29"/>
      <c r="BY27" s="29"/>
      <c r="BZ27" s="29">
        <f t="shared" si="61"/>
        <v>101.8</v>
      </c>
      <c r="CA27" s="29">
        <f t="shared" si="62"/>
        <v>101.8</v>
      </c>
      <c r="CB27" s="29">
        <f t="shared" si="63"/>
        <v>2.001967536137395</v>
      </c>
      <c r="CC27" s="29">
        <v>0</v>
      </c>
      <c r="CD27" s="29">
        <f t="shared" si="64"/>
        <v>0</v>
      </c>
      <c r="CE27" s="29">
        <f t="shared" si="65"/>
        <v>0</v>
      </c>
      <c r="CF27" s="29">
        <f t="shared" si="66"/>
        <v>0.99524931562137331</v>
      </c>
      <c r="CG27" s="29">
        <f t="shared" si="67"/>
        <v>0.97375</v>
      </c>
      <c r="CH27" s="29">
        <f t="shared" si="68"/>
        <v>1.9670293329614872</v>
      </c>
      <c r="CI27" s="29">
        <f t="shared" si="69"/>
        <v>3.9379288672188921</v>
      </c>
      <c r="CJ27" s="29">
        <v>1</v>
      </c>
      <c r="CK27" s="2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25">
        <f t="shared" si="72"/>
        <v>289.05200000000002</v>
      </c>
      <c r="DJ27" s="25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38">
        <f t="shared" si="120"/>
        <v>517.5</v>
      </c>
      <c r="DS27" s="4">
        <f t="shared" si="79"/>
        <v>1</v>
      </c>
      <c r="DT27" s="4"/>
      <c r="DU27" s="4">
        <f t="shared" si="121"/>
        <v>394.33319959841538</v>
      </c>
      <c r="DY27" s="25">
        <f t="shared" si="80"/>
        <v>0.85</v>
      </c>
      <c r="DZ27" s="25">
        <f t="shared" si="81"/>
        <v>0.7</v>
      </c>
      <c r="EA27" s="25">
        <f t="shared" si="82"/>
        <v>1</v>
      </c>
      <c r="EB27" s="25">
        <f t="shared" si="83"/>
        <v>0.7</v>
      </c>
      <c r="ED27" s="4">
        <f t="shared" si="122"/>
        <v>517.5</v>
      </c>
      <c r="EE27" s="25">
        <f t="shared" si="123"/>
        <v>397.39791521007561</v>
      </c>
      <c r="EH27" s="4">
        <f t="shared" si="84"/>
        <v>8.8972510471034791</v>
      </c>
      <c r="EI27" s="25">
        <f t="shared" si="85"/>
        <v>5.7319540840933767</v>
      </c>
      <c r="EK27" s="4">
        <f t="shared" si="86"/>
        <v>77.858162529590359</v>
      </c>
      <c r="EL27" s="4">
        <f t="shared" si="87"/>
        <v>3.0652819893539514</v>
      </c>
      <c r="EM27" s="4">
        <f t="shared" si="88"/>
        <v>0.13416405235694975</v>
      </c>
      <c r="EP27" s="25">
        <f t="shared" si="89"/>
        <v>0.13416405235694975</v>
      </c>
      <c r="EQ27" s="25">
        <f t="shared" si="90"/>
        <v>0.42238852031717383</v>
      </c>
      <c r="ER27" s="4">
        <f t="shared" si="91"/>
        <v>6.3029039284467085</v>
      </c>
      <c r="ES27" s="25">
        <f t="shared" si="92"/>
        <v>7.7102948983845332</v>
      </c>
      <c r="ET27" s="4">
        <f t="shared" si="93"/>
        <v>138.93083747040964</v>
      </c>
      <c r="EU27" s="4">
        <f t="shared" si="94"/>
        <v>72.263000000000034</v>
      </c>
      <c r="EV27" s="25">
        <f t="shared" si="95"/>
        <v>2.0846518493152323E-5</v>
      </c>
      <c r="EW27" s="25">
        <f t="shared" si="96"/>
        <v>8.20783719482192</v>
      </c>
      <c r="EX27" s="4">
        <f t="shared" si="97"/>
        <v>517.5</v>
      </c>
      <c r="EY27" s="4">
        <f t="shared" si="98"/>
        <v>138.93083747040964</v>
      </c>
      <c r="EZ27" s="4">
        <f t="shared" si="99"/>
        <v>72.263000000000019</v>
      </c>
      <c r="FB27" s="4">
        <f t="shared" si="100"/>
        <v>0</v>
      </c>
      <c r="FG27" s="23"/>
      <c r="FH27" s="23"/>
      <c r="FI27" s="23"/>
      <c r="FJ27" s="23"/>
      <c r="FK27" s="23"/>
      <c r="FL27" s="23"/>
      <c r="FM27" s="30"/>
      <c r="FN27" s="30"/>
      <c r="FX27" s="4">
        <f t="shared" si="101"/>
        <v>1</v>
      </c>
      <c r="FY27" s="4">
        <f t="shared" si="102"/>
        <v>0.85000000000000009</v>
      </c>
      <c r="FZ27" s="4">
        <f t="shared" si="103"/>
        <v>0</v>
      </c>
      <c r="GA27" s="4">
        <f t="shared" si="104"/>
        <v>321.49025251504622</v>
      </c>
      <c r="GB27" s="4"/>
    </row>
    <row r="28" spans="1:184" ht="12" customHeight="1" x14ac:dyDescent="0.3">
      <c r="A28" s="25">
        <v>10</v>
      </c>
      <c r="B28" s="26" t="s">
        <v>81</v>
      </c>
      <c r="C28" s="26"/>
      <c r="D28" s="26" t="s">
        <v>82</v>
      </c>
      <c r="E28" s="26"/>
      <c r="F28" s="7" t="s">
        <v>88</v>
      </c>
      <c r="G28" s="28">
        <f t="shared" si="105"/>
        <v>517.5</v>
      </c>
      <c r="H28" s="7">
        <f t="shared" ref="H28:H33" si="128">11.25*25.4</f>
        <v>285.75</v>
      </c>
      <c r="I28" s="7">
        <f t="shared" si="124"/>
        <v>285.75</v>
      </c>
      <c r="J28" s="7">
        <v>33.44</v>
      </c>
      <c r="K28" s="7">
        <v>25.4</v>
      </c>
      <c r="L28" s="7">
        <f t="shared" si="106"/>
        <v>11.25</v>
      </c>
      <c r="M28" s="7">
        <f t="shared" si="107"/>
        <v>11.25</v>
      </c>
      <c r="N28" s="7">
        <v>229</v>
      </c>
      <c r="O28" s="7">
        <f t="shared" si="108"/>
        <v>101.8</v>
      </c>
      <c r="P28" s="7">
        <v>305</v>
      </c>
      <c r="Q28" s="7">
        <v>0</v>
      </c>
      <c r="R28" s="7">
        <v>1</v>
      </c>
      <c r="S28" s="7">
        <v>82.19</v>
      </c>
      <c r="T28" s="7">
        <f t="shared" si="42"/>
        <v>3.7358267716535436</v>
      </c>
      <c r="U28" s="28">
        <f t="shared" si="109"/>
        <v>3.7358267716535436</v>
      </c>
      <c r="V28" s="28">
        <f t="shared" si="110"/>
        <v>8.3959536742577185</v>
      </c>
      <c r="W28" s="7">
        <f t="shared" si="43"/>
        <v>8.3959536742577185</v>
      </c>
      <c r="X28" s="7">
        <f t="shared" si="44"/>
        <v>9.3959536742577185</v>
      </c>
      <c r="Y28" s="7">
        <f t="shared" si="45"/>
        <v>77.858162529590359</v>
      </c>
      <c r="Z28" s="7"/>
      <c r="AA28" s="7"/>
      <c r="AB28" s="7">
        <f>243.35/(PI()/4*K28^2)*1000</f>
        <v>480.25736749225291</v>
      </c>
      <c r="AC28" s="7"/>
      <c r="AD28" s="7"/>
      <c r="AE28" s="7">
        <v>9.5</v>
      </c>
      <c r="AF28" s="7">
        <v>3</v>
      </c>
      <c r="AG28" s="7">
        <v>76</v>
      </c>
      <c r="AH28" s="7">
        <v>3</v>
      </c>
      <c r="AI28" s="7"/>
      <c r="AJ28" s="7"/>
      <c r="AK28" s="4">
        <f t="shared" si="126"/>
        <v>285.75</v>
      </c>
      <c r="AL28" s="4">
        <f t="shared" si="112"/>
        <v>0.16313593055169648</v>
      </c>
      <c r="AM28" s="25">
        <f t="shared" si="113"/>
        <v>551.25834685648249</v>
      </c>
      <c r="AN28" s="4">
        <f t="shared" si="114"/>
        <v>0.76641469816272956</v>
      </c>
      <c r="AO28" s="4">
        <v>1.25</v>
      </c>
      <c r="AP28" s="25">
        <f t="shared" si="115"/>
        <v>5</v>
      </c>
      <c r="AQ28" s="38">
        <f t="shared" si="116"/>
        <v>430.77316912253309</v>
      </c>
      <c r="AR28" s="38">
        <f t="shared" si="117"/>
        <v>430.77316912253309</v>
      </c>
      <c r="AT28" s="38">
        <f t="shared" si="46"/>
        <v>430.77316912253286</v>
      </c>
      <c r="AU28" s="3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38">
        <f t="shared" si="118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36">
        <f t="shared" si="53"/>
        <v>2.2250000000000001</v>
      </c>
      <c r="BF28" s="36">
        <f t="shared" si="54"/>
        <v>514.66322969491421</v>
      </c>
      <c r="BK28" s="4">
        <f t="shared" si="55"/>
        <v>101.8</v>
      </c>
      <c r="BL28" s="4">
        <f t="shared" si="56"/>
        <v>82.19</v>
      </c>
      <c r="BM28" s="4">
        <f t="shared" si="57"/>
        <v>101.8</v>
      </c>
      <c r="BN28" s="4">
        <f t="shared" si="58"/>
        <v>94.89</v>
      </c>
      <c r="BO28" s="4">
        <f t="shared" si="59"/>
        <v>1.0238593502859228</v>
      </c>
      <c r="BP28" s="25">
        <f t="shared" si="119"/>
        <v>4</v>
      </c>
      <c r="BR28" s="4">
        <f t="shared" si="60"/>
        <v>101.8</v>
      </c>
      <c r="BV28" s="9"/>
      <c r="BX28" s="9"/>
      <c r="BY28" s="9"/>
      <c r="BZ28" s="9">
        <f t="shared" si="61"/>
        <v>101.8</v>
      </c>
      <c r="CA28" s="9">
        <f t="shared" si="62"/>
        <v>101.8</v>
      </c>
      <c r="CB28" s="9">
        <f t="shared" si="63"/>
        <v>2.001967536137395</v>
      </c>
      <c r="CC28" s="9">
        <v>20</v>
      </c>
      <c r="CD28" s="9">
        <f t="shared" si="64"/>
        <v>0.05</v>
      </c>
      <c r="CE28" s="9">
        <f t="shared" si="65"/>
        <v>0.8</v>
      </c>
      <c r="CF28" s="9">
        <f t="shared" si="66"/>
        <v>0.99524931562137331</v>
      </c>
      <c r="CG28" s="9">
        <f t="shared" si="67"/>
        <v>0.97375</v>
      </c>
      <c r="CH28" s="9">
        <f t="shared" si="68"/>
        <v>1.961464882399115</v>
      </c>
      <c r="CI28" s="9">
        <f t="shared" si="69"/>
        <v>4.9036622059977875</v>
      </c>
      <c r="CJ28" s="9">
        <v>1</v>
      </c>
      <c r="CK28" s="9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38">
        <f t="shared" si="120"/>
        <v>517.5</v>
      </c>
      <c r="DS28" s="4">
        <f t="shared" si="79"/>
        <v>1</v>
      </c>
      <c r="DU28" s="4">
        <f t="shared" si="121"/>
        <v>430.77316912253286</v>
      </c>
      <c r="DY28" s="4">
        <f t="shared" si="80"/>
        <v>0.85</v>
      </c>
      <c r="DZ28" s="4">
        <f t="shared" si="81"/>
        <v>0.7</v>
      </c>
      <c r="EA28" s="4">
        <f t="shared" si="82"/>
        <v>0.82320199640399283</v>
      </c>
      <c r="EB28" s="4">
        <f t="shared" si="83"/>
        <v>0.7</v>
      </c>
      <c r="ED28" s="4">
        <f t="shared" si="122"/>
        <v>517.5</v>
      </c>
      <c r="EE28" s="25">
        <f t="shared" si="123"/>
        <v>411.19884151443893</v>
      </c>
      <c r="EH28" s="4">
        <f t="shared" si="84"/>
        <v>8.8720819696713296</v>
      </c>
      <c r="EI28" s="4">
        <f t="shared" si="85"/>
        <v>8.4462220351271053</v>
      </c>
      <c r="EK28" s="4">
        <f t="shared" si="86"/>
        <v>77.858162529590359</v>
      </c>
      <c r="EL28" s="4">
        <f t="shared" si="87"/>
        <v>3.0652819893539514</v>
      </c>
      <c r="EM28" s="4">
        <f t="shared" si="88"/>
        <v>0.14697780910112584</v>
      </c>
      <c r="EP28" s="4">
        <f t="shared" si="89"/>
        <v>0.14697780910112584</v>
      </c>
      <c r="EQ28" s="4">
        <f t="shared" si="90"/>
        <v>0.46404276686028506</v>
      </c>
      <c r="ER28" s="4">
        <f t="shared" si="91"/>
        <v>6.526025233208558</v>
      </c>
      <c r="ES28" s="4">
        <f t="shared" si="92"/>
        <v>7.7881042986793609</v>
      </c>
      <c r="ET28" s="4">
        <f t="shared" si="93"/>
        <v>136.45433747040965</v>
      </c>
      <c r="EU28" s="4">
        <f t="shared" si="94"/>
        <v>71.4375</v>
      </c>
      <c r="EV28" s="4">
        <f t="shared" si="95"/>
        <v>2.058127601073333E-5</v>
      </c>
      <c r="EW28" s="4">
        <f t="shared" si="96"/>
        <v>8.1915665048717425</v>
      </c>
      <c r="EX28" s="4">
        <f t="shared" si="97"/>
        <v>517.5</v>
      </c>
      <c r="EY28" s="4">
        <f t="shared" si="98"/>
        <v>136.45433747040965</v>
      </c>
      <c r="EZ28" s="4">
        <f t="shared" si="99"/>
        <v>71.437499999999986</v>
      </c>
      <c r="FB28" s="4">
        <f t="shared" si="100"/>
        <v>0</v>
      </c>
      <c r="FG28" s="23"/>
      <c r="FH28" s="23"/>
      <c r="FI28" s="23"/>
      <c r="FJ28" s="23"/>
      <c r="FK28" s="23"/>
      <c r="FL28" s="23"/>
      <c r="FM28" s="23"/>
      <c r="FN28" s="23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customHeight="1" x14ac:dyDescent="0.3">
      <c r="A29" s="25">
        <v>11</v>
      </c>
      <c r="B29" s="26" t="s">
        <v>81</v>
      </c>
      <c r="C29" s="26"/>
      <c r="D29" s="26" t="s">
        <v>82</v>
      </c>
      <c r="E29" s="26"/>
      <c r="F29" s="7" t="s">
        <v>89</v>
      </c>
      <c r="G29" s="28">
        <f t="shared" si="105"/>
        <v>517.5</v>
      </c>
      <c r="H29" s="7">
        <f t="shared" si="128"/>
        <v>285.75</v>
      </c>
      <c r="I29" s="7">
        <f t="shared" si="124"/>
        <v>285.75</v>
      </c>
      <c r="J29" s="7">
        <v>33.44</v>
      </c>
      <c r="K29" s="7">
        <v>25.4</v>
      </c>
      <c r="L29" s="7">
        <f t="shared" si="106"/>
        <v>11.25</v>
      </c>
      <c r="M29" s="7">
        <f t="shared" si="107"/>
        <v>11.25</v>
      </c>
      <c r="N29" s="7">
        <v>229</v>
      </c>
      <c r="O29" s="7">
        <f t="shared" si="108"/>
        <v>101.8</v>
      </c>
      <c r="P29" s="7">
        <v>305</v>
      </c>
      <c r="Q29" s="7">
        <v>0</v>
      </c>
      <c r="R29" s="7">
        <v>1</v>
      </c>
      <c r="S29" s="7">
        <v>83.24</v>
      </c>
      <c r="T29" s="7">
        <f t="shared" si="42"/>
        <v>3.7771653543307089</v>
      </c>
      <c r="U29" s="28">
        <f t="shared" si="109"/>
        <v>3.7771653543307089</v>
      </c>
      <c r="V29" s="28">
        <f t="shared" si="110"/>
        <v>8.3959536742577185</v>
      </c>
      <c r="W29" s="7">
        <f t="shared" si="43"/>
        <v>8.3959536742577185</v>
      </c>
      <c r="X29" s="7">
        <f t="shared" si="44"/>
        <v>9.3959536742577185</v>
      </c>
      <c r="Y29" s="7">
        <f t="shared" si="45"/>
        <v>77.858162529590359</v>
      </c>
      <c r="Z29" s="7"/>
      <c r="AA29" s="7"/>
      <c r="AB29" s="7">
        <f>246.33/(PI()/4*K29^2)*1000</f>
        <v>486.13847271159506</v>
      </c>
      <c r="AC29" s="7"/>
      <c r="AD29" s="7"/>
      <c r="AE29" s="7">
        <v>9.5</v>
      </c>
      <c r="AF29" s="7">
        <v>3</v>
      </c>
      <c r="AG29" s="7">
        <v>76</v>
      </c>
      <c r="AH29" s="7">
        <v>3</v>
      </c>
      <c r="AI29" s="7"/>
      <c r="AJ29" s="7"/>
      <c r="AK29" s="4">
        <f t="shared" si="126"/>
        <v>285.75</v>
      </c>
      <c r="AL29" s="4">
        <f t="shared" si="112"/>
        <v>0.16346312791391016</v>
      </c>
      <c r="AM29" s="25">
        <f t="shared" si="113"/>
        <v>551.25834685648249</v>
      </c>
      <c r="AN29" s="4">
        <f t="shared" si="114"/>
        <v>0.76714960629921258</v>
      </c>
      <c r="AO29" s="4">
        <v>1.25</v>
      </c>
      <c r="AP29" s="25">
        <f t="shared" si="115"/>
        <v>5</v>
      </c>
      <c r="AQ29" s="38">
        <f t="shared" si="116"/>
        <v>432.05105229491716</v>
      </c>
      <c r="AR29" s="38">
        <f t="shared" si="117"/>
        <v>432.05105229491716</v>
      </c>
      <c r="AT29" s="38">
        <f t="shared" si="46"/>
        <v>432.05105229491693</v>
      </c>
      <c r="AU29" s="3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38">
        <f t="shared" si="118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36">
        <f t="shared" si="53"/>
        <v>2.2250000000000001</v>
      </c>
      <c r="BF29" s="36">
        <f t="shared" si="54"/>
        <v>514.66322969491421</v>
      </c>
      <c r="BK29" s="4">
        <f t="shared" si="55"/>
        <v>101.8</v>
      </c>
      <c r="BL29" s="4">
        <f t="shared" si="56"/>
        <v>83.24</v>
      </c>
      <c r="BM29" s="4">
        <f t="shared" si="57"/>
        <v>101.8</v>
      </c>
      <c r="BN29" s="4">
        <f t="shared" si="58"/>
        <v>95.94</v>
      </c>
      <c r="BO29" s="4">
        <f t="shared" si="59"/>
        <v>1.0222969726093225</v>
      </c>
      <c r="BP29" s="25">
        <f t="shared" si="119"/>
        <v>4</v>
      </c>
      <c r="BR29" s="4">
        <f t="shared" si="60"/>
        <v>101.8</v>
      </c>
      <c r="BV29" s="9"/>
      <c r="BX29" s="9"/>
      <c r="BY29" s="9"/>
      <c r="BZ29" s="9">
        <f t="shared" si="61"/>
        <v>101.8</v>
      </c>
      <c r="CA29" s="9">
        <f t="shared" si="62"/>
        <v>101.8</v>
      </c>
      <c r="CB29" s="9">
        <f t="shared" si="63"/>
        <v>2.001967536137395</v>
      </c>
      <c r="CC29" s="9">
        <v>20</v>
      </c>
      <c r="CD29" s="9">
        <f t="shared" si="64"/>
        <v>0.05</v>
      </c>
      <c r="CE29" s="9">
        <f t="shared" si="65"/>
        <v>0.8</v>
      </c>
      <c r="CF29" s="9">
        <f t="shared" si="66"/>
        <v>0.99524931562137331</v>
      </c>
      <c r="CG29" s="9">
        <f t="shared" si="67"/>
        <v>0.97375</v>
      </c>
      <c r="CH29" s="9">
        <f t="shared" si="68"/>
        <v>1.961464882399115</v>
      </c>
      <c r="CI29" s="9">
        <f t="shared" si="69"/>
        <v>4.9036622059977875</v>
      </c>
      <c r="CJ29" s="9">
        <v>1</v>
      </c>
      <c r="CK29" s="9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38">
        <f t="shared" si="120"/>
        <v>517.5</v>
      </c>
      <c r="DS29" s="4">
        <f t="shared" si="79"/>
        <v>1</v>
      </c>
      <c r="DU29" s="4">
        <f t="shared" si="121"/>
        <v>432.05105229491693</v>
      </c>
      <c r="DY29" s="4">
        <f t="shared" si="80"/>
        <v>0.85</v>
      </c>
      <c r="DZ29" s="4">
        <f t="shared" si="81"/>
        <v>0.7</v>
      </c>
      <c r="EA29" s="4">
        <f t="shared" si="82"/>
        <v>0.82320199640399283</v>
      </c>
      <c r="EB29" s="4">
        <f t="shared" si="83"/>
        <v>0.7</v>
      </c>
      <c r="ED29" s="4">
        <f t="shared" si="122"/>
        <v>517.5</v>
      </c>
      <c r="EE29" s="25">
        <f t="shared" si="123"/>
        <v>411.59776307016909</v>
      </c>
      <c r="EH29" s="4">
        <f t="shared" si="84"/>
        <v>8.8720819696713296</v>
      </c>
      <c r="EI29" s="4">
        <f t="shared" si="85"/>
        <v>8.4462220351271053</v>
      </c>
      <c r="EK29" s="4">
        <f t="shared" si="86"/>
        <v>77.858162529590359</v>
      </c>
      <c r="EL29" s="4">
        <f t="shared" si="87"/>
        <v>3.0652819893539514</v>
      </c>
      <c r="EM29" s="4">
        <f t="shared" si="88"/>
        <v>0.14741381691783081</v>
      </c>
      <c r="EP29" s="4">
        <f t="shared" si="89"/>
        <v>0.14741381691783081</v>
      </c>
      <c r="EQ29" s="4">
        <f t="shared" si="90"/>
        <v>0.46541934387469186</v>
      </c>
      <c r="ER29" s="4">
        <f t="shared" si="91"/>
        <v>6.5337621011847986</v>
      </c>
      <c r="ES29" s="4">
        <f t="shared" si="92"/>
        <v>7.7913442630090861</v>
      </c>
      <c r="ET29" s="4">
        <f t="shared" si="93"/>
        <v>136.45433747040965</v>
      </c>
      <c r="EU29" s="4">
        <f t="shared" si="94"/>
        <v>71.4375</v>
      </c>
      <c r="EV29" s="4">
        <f t="shared" si="95"/>
        <v>2.058127601073333E-5</v>
      </c>
      <c r="EW29" s="4">
        <f t="shared" si="96"/>
        <v>8.1911899729698998</v>
      </c>
      <c r="EX29" s="4">
        <f t="shared" si="97"/>
        <v>517.5</v>
      </c>
      <c r="EY29" s="4">
        <f t="shared" si="98"/>
        <v>136.45433747040965</v>
      </c>
      <c r="EZ29" s="4">
        <f t="shared" si="99"/>
        <v>71.437499999999986</v>
      </c>
      <c r="FB29" s="4">
        <f t="shared" si="100"/>
        <v>0</v>
      </c>
      <c r="FG29" s="23"/>
      <c r="FH29" s="23"/>
      <c r="FI29" s="23"/>
      <c r="FJ29" s="23"/>
      <c r="FK29" s="23"/>
      <c r="FL29" s="23"/>
      <c r="FM29" s="23"/>
      <c r="FN29" s="23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customHeight="1" x14ac:dyDescent="0.3">
      <c r="A30" s="25">
        <v>12</v>
      </c>
      <c r="B30" s="26" t="s">
        <v>81</v>
      </c>
      <c r="C30" s="26"/>
      <c r="D30" s="26" t="s">
        <v>82</v>
      </c>
      <c r="E30" s="26"/>
      <c r="F30" s="7" t="s">
        <v>90</v>
      </c>
      <c r="G30" s="28">
        <f t="shared" si="105"/>
        <v>517.5</v>
      </c>
      <c r="H30" s="7">
        <f t="shared" si="128"/>
        <v>285.75</v>
      </c>
      <c r="I30" s="7">
        <f t="shared" si="124"/>
        <v>285.75</v>
      </c>
      <c r="J30" s="7">
        <v>33.44</v>
      </c>
      <c r="K30" s="7">
        <v>25.4</v>
      </c>
      <c r="L30" s="7">
        <f t="shared" si="106"/>
        <v>11.25</v>
      </c>
      <c r="M30" s="7">
        <f t="shared" si="107"/>
        <v>11.25</v>
      </c>
      <c r="N30" s="7">
        <v>229</v>
      </c>
      <c r="O30" s="7">
        <f t="shared" si="108"/>
        <v>101.8</v>
      </c>
      <c r="P30" s="7">
        <v>305</v>
      </c>
      <c r="Q30" s="7">
        <v>0</v>
      </c>
      <c r="R30" s="7">
        <v>1</v>
      </c>
      <c r="S30" s="7">
        <v>81.69</v>
      </c>
      <c r="T30" s="7">
        <f t="shared" si="42"/>
        <v>3.7161417322834649</v>
      </c>
      <c r="U30" s="28">
        <f t="shared" si="109"/>
        <v>3.7161417322834649</v>
      </c>
      <c r="V30" s="28">
        <f t="shared" si="110"/>
        <v>8.3959536742577185</v>
      </c>
      <c r="W30" s="7">
        <f t="shared" si="43"/>
        <v>8.3959536742577185</v>
      </c>
      <c r="X30" s="7">
        <f t="shared" si="44"/>
        <v>9.3959536742577185</v>
      </c>
      <c r="Y30" s="7">
        <f t="shared" si="45"/>
        <v>77.858162529590359</v>
      </c>
      <c r="Z30" s="7"/>
      <c r="AA30" s="7"/>
      <c r="AB30" s="7">
        <f>225.65/(PI()/4*K30^2)*1000</f>
        <v>445.32597071965017</v>
      </c>
      <c r="AC30" s="7"/>
      <c r="AD30" s="7"/>
      <c r="AE30" s="7">
        <v>9.5</v>
      </c>
      <c r="AF30" s="7">
        <v>3</v>
      </c>
      <c r="AG30" s="7">
        <v>76</v>
      </c>
      <c r="AH30" s="7">
        <v>3</v>
      </c>
      <c r="AI30" s="7"/>
      <c r="AJ30" s="7"/>
      <c r="AK30" s="4">
        <f t="shared" si="126"/>
        <v>285.75</v>
      </c>
      <c r="AL30" s="4">
        <f t="shared" si="112"/>
        <v>0.16298012228397571</v>
      </c>
      <c r="AM30" s="25">
        <f t="shared" si="113"/>
        <v>551.25834685648249</v>
      </c>
      <c r="AN30" s="4">
        <f t="shared" si="114"/>
        <v>0.76606474190726159</v>
      </c>
      <c r="AO30" s="4">
        <v>1.25</v>
      </c>
      <c r="AP30" s="25">
        <f t="shared" si="115"/>
        <v>5</v>
      </c>
      <c r="AQ30" s="38">
        <f t="shared" si="116"/>
        <v>430.16523569904933</v>
      </c>
      <c r="AR30" s="38">
        <f t="shared" si="117"/>
        <v>430.16523569904933</v>
      </c>
      <c r="AT30" s="38">
        <f t="shared" si="46"/>
        <v>430.16523569904911</v>
      </c>
      <c r="AU30" s="3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38">
        <f t="shared" si="118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36">
        <f t="shared" si="53"/>
        <v>2.2250000000000001</v>
      </c>
      <c r="BF30" s="36">
        <f t="shared" si="54"/>
        <v>514.66322969491421</v>
      </c>
      <c r="BK30" s="4">
        <f t="shared" si="55"/>
        <v>101.8</v>
      </c>
      <c r="BL30" s="4">
        <f t="shared" si="56"/>
        <v>81.69</v>
      </c>
      <c r="BM30" s="4">
        <f t="shared" si="57"/>
        <v>101.8</v>
      </c>
      <c r="BN30" s="4">
        <f t="shared" si="58"/>
        <v>94.39</v>
      </c>
      <c r="BO30" s="4">
        <f t="shared" si="59"/>
        <v>1.0246174562369936</v>
      </c>
      <c r="BP30" s="25">
        <f t="shared" si="119"/>
        <v>4</v>
      </c>
      <c r="BR30" s="4">
        <f t="shared" si="60"/>
        <v>101.8</v>
      </c>
      <c r="BV30" s="9"/>
      <c r="BX30" s="9"/>
      <c r="BY30" s="9"/>
      <c r="BZ30" s="9">
        <f t="shared" si="61"/>
        <v>101.8</v>
      </c>
      <c r="CA30" s="9">
        <f t="shared" si="62"/>
        <v>101.8</v>
      </c>
      <c r="CB30" s="9">
        <f t="shared" si="63"/>
        <v>2.001967536137395</v>
      </c>
      <c r="CC30" s="9">
        <v>20</v>
      </c>
      <c r="CD30" s="9">
        <f t="shared" si="64"/>
        <v>0.05</v>
      </c>
      <c r="CE30" s="9">
        <f t="shared" si="65"/>
        <v>0.8</v>
      </c>
      <c r="CF30" s="9">
        <f t="shared" si="66"/>
        <v>0.99524931562137331</v>
      </c>
      <c r="CG30" s="9">
        <f t="shared" si="67"/>
        <v>0.97375</v>
      </c>
      <c r="CH30" s="9">
        <f t="shared" si="68"/>
        <v>1.961464882399115</v>
      </c>
      <c r="CI30" s="9">
        <f t="shared" si="69"/>
        <v>4.9036622059977875</v>
      </c>
      <c r="CJ30" s="9">
        <v>1</v>
      </c>
      <c r="CK30" s="9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38">
        <f t="shared" si="120"/>
        <v>517.5</v>
      </c>
      <c r="DS30" s="4">
        <f t="shared" si="79"/>
        <v>1</v>
      </c>
      <c r="DU30" s="4">
        <f t="shared" si="121"/>
        <v>430.16523569904911</v>
      </c>
      <c r="DY30" s="4">
        <f t="shared" si="80"/>
        <v>0.85</v>
      </c>
      <c r="DZ30" s="4">
        <f t="shared" si="81"/>
        <v>0.7</v>
      </c>
      <c r="EA30" s="4">
        <f t="shared" si="82"/>
        <v>0.82320199640399283</v>
      </c>
      <c r="EB30" s="4">
        <f t="shared" si="83"/>
        <v>0.7</v>
      </c>
      <c r="ED30" s="4">
        <f t="shared" si="122"/>
        <v>517.5</v>
      </c>
      <c r="EE30" s="25">
        <f t="shared" si="123"/>
        <v>411.00887886885306</v>
      </c>
      <c r="EH30" s="4">
        <f t="shared" si="84"/>
        <v>8.8720819696713296</v>
      </c>
      <c r="EI30" s="4">
        <f t="shared" si="85"/>
        <v>8.4462220351271053</v>
      </c>
      <c r="EK30" s="4">
        <f t="shared" si="86"/>
        <v>77.858162529590359</v>
      </c>
      <c r="EL30" s="4">
        <f t="shared" si="87"/>
        <v>3.0652819893539514</v>
      </c>
      <c r="EM30" s="4">
        <f t="shared" si="88"/>
        <v>0.14677038503419751</v>
      </c>
      <c r="EP30" s="4">
        <f t="shared" si="89"/>
        <v>0.14677038503419751</v>
      </c>
      <c r="EQ30" s="4">
        <f t="shared" si="90"/>
        <v>0.46338788134716236</v>
      </c>
      <c r="ER30" s="4">
        <f t="shared" si="91"/>
        <v>6.5223397020583498</v>
      </c>
      <c r="ES30" s="4">
        <f t="shared" si="92"/>
        <v>7.7865617991761473</v>
      </c>
      <c r="ET30" s="4">
        <f t="shared" si="93"/>
        <v>136.45433747040965</v>
      </c>
      <c r="EU30" s="4">
        <f t="shared" si="94"/>
        <v>71.4375</v>
      </c>
      <c r="EV30" s="4">
        <f t="shared" si="95"/>
        <v>2.058127601073333E-5</v>
      </c>
      <c r="EW30" s="4">
        <f t="shared" si="96"/>
        <v>8.1917458257410534</v>
      </c>
      <c r="EX30" s="4">
        <f t="shared" si="97"/>
        <v>517.5</v>
      </c>
      <c r="EY30" s="4">
        <f t="shared" si="98"/>
        <v>136.45433747040965</v>
      </c>
      <c r="EZ30" s="4">
        <f t="shared" si="99"/>
        <v>71.437499999999986</v>
      </c>
      <c r="FB30" s="4">
        <f t="shared" si="100"/>
        <v>0</v>
      </c>
      <c r="FG30" s="23"/>
      <c r="FH30" s="23"/>
      <c r="FI30" s="23"/>
      <c r="FJ30" s="23"/>
      <c r="FK30" s="23"/>
      <c r="FL30" s="23"/>
      <c r="FM30" s="23"/>
      <c r="FN30" s="23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customHeight="1" x14ac:dyDescent="0.3">
      <c r="A31" s="25">
        <v>13</v>
      </c>
      <c r="B31" s="26" t="s">
        <v>81</v>
      </c>
      <c r="C31" s="26"/>
      <c r="D31" s="26" t="s">
        <v>82</v>
      </c>
      <c r="E31" s="26"/>
      <c r="F31" s="7" t="s">
        <v>91</v>
      </c>
      <c r="G31" s="28">
        <f t="shared" si="105"/>
        <v>517.5</v>
      </c>
      <c r="H31" s="7">
        <f t="shared" si="128"/>
        <v>285.75</v>
      </c>
      <c r="I31" s="7">
        <f t="shared" si="124"/>
        <v>285.75</v>
      </c>
      <c r="J31" s="7">
        <v>33.44</v>
      </c>
      <c r="K31" s="7">
        <v>25.4</v>
      </c>
      <c r="L31" s="7">
        <f t="shared" si="106"/>
        <v>11.25</v>
      </c>
      <c r="M31" s="7">
        <f t="shared" si="107"/>
        <v>11.25</v>
      </c>
      <c r="N31" s="7">
        <v>229</v>
      </c>
      <c r="O31" s="7">
        <f t="shared" si="108"/>
        <v>101.8</v>
      </c>
      <c r="P31" s="7">
        <v>305</v>
      </c>
      <c r="Q31" s="7">
        <v>0</v>
      </c>
      <c r="R31" s="7">
        <v>1</v>
      </c>
      <c r="S31" s="7">
        <v>53.72</v>
      </c>
      <c r="T31" s="7">
        <f t="shared" si="42"/>
        <v>2.61496062992126</v>
      </c>
      <c r="U31" s="28">
        <f t="shared" si="109"/>
        <v>2.61496062992126</v>
      </c>
      <c r="V31" s="28">
        <f t="shared" si="110"/>
        <v>8.3959536742577185</v>
      </c>
      <c r="W31" s="7">
        <f t="shared" si="43"/>
        <v>8.3959536742577185</v>
      </c>
      <c r="X31" s="7">
        <f t="shared" si="44"/>
        <v>9.3959536742577185</v>
      </c>
      <c r="Y31" s="7">
        <f t="shared" si="45"/>
        <v>77.858162529590359</v>
      </c>
      <c r="Z31" s="7"/>
      <c r="AA31" s="7"/>
      <c r="AB31" s="7">
        <f>228.81/(PI()/4*K31^2)*1000</f>
        <v>451.56231048244251</v>
      </c>
      <c r="AC31" s="7"/>
      <c r="AD31" s="7"/>
      <c r="AE31" s="7">
        <v>9.5</v>
      </c>
      <c r="AF31" s="7">
        <v>3</v>
      </c>
      <c r="AG31" s="7">
        <v>76</v>
      </c>
      <c r="AH31" s="7">
        <v>3</v>
      </c>
      <c r="AI31" s="7"/>
      <c r="AJ31" s="7"/>
      <c r="AK31" s="4">
        <f t="shared" si="126"/>
        <v>285.75</v>
      </c>
      <c r="AL31" s="4">
        <f t="shared" si="112"/>
        <v>0.15426420778767486</v>
      </c>
      <c r="AM31" s="25">
        <f t="shared" si="113"/>
        <v>551.25834685648249</v>
      </c>
      <c r="AN31" s="4">
        <f t="shared" si="114"/>
        <v>0.74648818897637792</v>
      </c>
      <c r="AO31" s="4">
        <v>1.25</v>
      </c>
      <c r="AP31" s="25">
        <f t="shared" si="115"/>
        <v>5</v>
      </c>
      <c r="AQ31" s="38">
        <f t="shared" si="116"/>
        <v>396.7558231737641</v>
      </c>
      <c r="AR31" s="38">
        <f t="shared" si="117"/>
        <v>396.7558231737641</v>
      </c>
      <c r="AT31" s="38">
        <f t="shared" si="46"/>
        <v>396.75582317376393</v>
      </c>
      <c r="AU31" s="3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38">
        <f t="shared" si="118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36">
        <f t="shared" si="53"/>
        <v>2.2250000000000001</v>
      </c>
      <c r="BF31" s="36">
        <f t="shared" si="54"/>
        <v>514.66322969491421</v>
      </c>
      <c r="BK31" s="4">
        <f t="shared" si="55"/>
        <v>101.8</v>
      </c>
      <c r="BL31" s="4">
        <f t="shared" si="56"/>
        <v>53.72</v>
      </c>
      <c r="BM31" s="4">
        <f t="shared" si="57"/>
        <v>101.8</v>
      </c>
      <c r="BN31" s="4">
        <f t="shared" si="58"/>
        <v>66.42</v>
      </c>
      <c r="BO31" s="4">
        <f t="shared" si="59"/>
        <v>1.0895011169024573</v>
      </c>
      <c r="BP31" s="25">
        <f t="shared" si="119"/>
        <v>4</v>
      </c>
      <c r="BR31" s="4">
        <f t="shared" si="60"/>
        <v>101.8</v>
      </c>
      <c r="BV31" s="9"/>
      <c r="BX31" s="9"/>
      <c r="BY31" s="9"/>
      <c r="BZ31" s="9">
        <f t="shared" si="61"/>
        <v>101.8</v>
      </c>
      <c r="CA31" s="9">
        <f t="shared" si="62"/>
        <v>101.8</v>
      </c>
      <c r="CB31" s="9">
        <f t="shared" si="63"/>
        <v>2.001967536137395</v>
      </c>
      <c r="CC31" s="9">
        <v>20</v>
      </c>
      <c r="CD31" s="9">
        <f t="shared" si="64"/>
        <v>0.05</v>
      </c>
      <c r="CE31" s="9">
        <f t="shared" si="65"/>
        <v>0.8</v>
      </c>
      <c r="CF31" s="9">
        <f t="shared" si="66"/>
        <v>0.99524931562137331</v>
      </c>
      <c r="CG31" s="9">
        <f t="shared" si="67"/>
        <v>0.97375</v>
      </c>
      <c r="CH31" s="9">
        <f t="shared" si="68"/>
        <v>1.961464882399115</v>
      </c>
      <c r="CI31" s="9">
        <f t="shared" si="69"/>
        <v>4.9036622059977875</v>
      </c>
      <c r="CJ31" s="9">
        <v>1</v>
      </c>
      <c r="CK31" s="9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38">
        <f t="shared" si="120"/>
        <v>517.5</v>
      </c>
      <c r="DS31" s="4">
        <f t="shared" si="79"/>
        <v>1</v>
      </c>
      <c r="DU31" s="4">
        <f t="shared" si="121"/>
        <v>396.75582317376393</v>
      </c>
      <c r="DY31" s="4">
        <f t="shared" si="80"/>
        <v>0.85</v>
      </c>
      <c r="DZ31" s="4">
        <f t="shared" si="81"/>
        <v>0.7</v>
      </c>
      <c r="EA31" s="4">
        <f t="shared" si="82"/>
        <v>0.82320199640399283</v>
      </c>
      <c r="EB31" s="4">
        <f t="shared" si="83"/>
        <v>0.7</v>
      </c>
      <c r="ED31" s="4">
        <f t="shared" si="122"/>
        <v>517.5</v>
      </c>
      <c r="EE31" s="25">
        <f t="shared" si="123"/>
        <v>400.38236847478214</v>
      </c>
      <c r="EH31" s="4">
        <f t="shared" si="84"/>
        <v>8.8720819696713296</v>
      </c>
      <c r="EI31" s="4">
        <f t="shared" si="85"/>
        <v>8.4462220351271053</v>
      </c>
      <c r="EK31" s="4">
        <f t="shared" si="86"/>
        <v>77.858162529590359</v>
      </c>
      <c r="EL31" s="4">
        <f t="shared" si="87"/>
        <v>3.0652819893539514</v>
      </c>
      <c r="EM31" s="4">
        <f t="shared" si="88"/>
        <v>0.13537124829983568</v>
      </c>
      <c r="EP31" s="4">
        <f t="shared" si="89"/>
        <v>0.13537124829983568</v>
      </c>
      <c r="EQ31" s="4">
        <f t="shared" si="90"/>
        <v>0.42739818343029867</v>
      </c>
      <c r="ER31" s="4">
        <f t="shared" si="91"/>
        <v>6.3147856649016321</v>
      </c>
      <c r="ES31" s="4">
        <f t="shared" si="92"/>
        <v>7.7006317842330088</v>
      </c>
      <c r="ET31" s="4">
        <f t="shared" si="93"/>
        <v>136.45433747040965</v>
      </c>
      <c r="EU31" s="4">
        <f t="shared" si="94"/>
        <v>71.4375</v>
      </c>
      <c r="EV31" s="4">
        <f t="shared" si="95"/>
        <v>2.058127601073333E-5</v>
      </c>
      <c r="EW31" s="4">
        <f t="shared" si="96"/>
        <v>8.2017983392923259</v>
      </c>
      <c r="EX31" s="4">
        <f t="shared" si="97"/>
        <v>517.5</v>
      </c>
      <c r="EY31" s="4">
        <f t="shared" si="98"/>
        <v>136.45433747040965</v>
      </c>
      <c r="EZ31" s="4">
        <f t="shared" si="99"/>
        <v>71.437499999999986</v>
      </c>
      <c r="FB31" s="4">
        <f t="shared" si="100"/>
        <v>0</v>
      </c>
      <c r="FG31" s="23"/>
      <c r="FH31" s="23"/>
      <c r="FI31" s="23"/>
      <c r="FJ31" s="23"/>
      <c r="FK31" s="23"/>
      <c r="FL31" s="23"/>
      <c r="FM31" s="23"/>
      <c r="FN31" s="23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customHeight="1" x14ac:dyDescent="0.3">
      <c r="A32" s="25">
        <v>14</v>
      </c>
      <c r="B32" s="26" t="s">
        <v>81</v>
      </c>
      <c r="C32" s="26"/>
      <c r="D32" s="26" t="s">
        <v>82</v>
      </c>
      <c r="E32" s="26"/>
      <c r="F32" s="7" t="s">
        <v>92</v>
      </c>
      <c r="G32" s="28">
        <f t="shared" si="105"/>
        <v>517.5</v>
      </c>
      <c r="H32" s="7">
        <f t="shared" si="128"/>
        <v>285.75</v>
      </c>
      <c r="I32" s="7">
        <f t="shared" si="124"/>
        <v>285.75</v>
      </c>
      <c r="J32" s="7">
        <v>33.44</v>
      </c>
      <c r="K32" s="7">
        <v>25.4</v>
      </c>
      <c r="L32" s="7">
        <f t="shared" si="106"/>
        <v>11.25</v>
      </c>
      <c r="M32" s="7">
        <f t="shared" si="107"/>
        <v>11.25</v>
      </c>
      <c r="N32" s="7">
        <v>229</v>
      </c>
      <c r="O32" s="7">
        <f t="shared" si="108"/>
        <v>101.8</v>
      </c>
      <c r="P32" s="7">
        <v>305</v>
      </c>
      <c r="Q32" s="7">
        <v>0</v>
      </c>
      <c r="R32" s="7">
        <v>1</v>
      </c>
      <c r="S32" s="7">
        <v>51.33</v>
      </c>
      <c r="T32" s="7">
        <f t="shared" si="42"/>
        <v>2.5208661417322835</v>
      </c>
      <c r="U32" s="28">
        <f t="shared" si="109"/>
        <v>2.5208661417322835</v>
      </c>
      <c r="V32" s="28">
        <f t="shared" si="110"/>
        <v>8.3959536742577185</v>
      </c>
      <c r="W32" s="7">
        <f t="shared" si="43"/>
        <v>8.3959536742577185</v>
      </c>
      <c r="X32" s="7">
        <f t="shared" si="44"/>
        <v>9.3959536742577185</v>
      </c>
      <c r="Y32" s="7">
        <f t="shared" si="45"/>
        <v>77.858162529590359</v>
      </c>
      <c r="Z32" s="7"/>
      <c r="AA32" s="7"/>
      <c r="AB32" s="7">
        <f>226.27/(PI()/4*K32^2)*1000</f>
        <v>446.54955636931197</v>
      </c>
      <c r="AC32" s="7"/>
      <c r="AD32" s="7"/>
      <c r="AE32" s="7">
        <v>9.5</v>
      </c>
      <c r="AF32" s="7">
        <v>3</v>
      </c>
      <c r="AG32" s="7">
        <v>76</v>
      </c>
      <c r="AH32" s="7">
        <v>3</v>
      </c>
      <c r="AI32" s="7"/>
      <c r="AJ32" s="7"/>
      <c r="AK32" s="4">
        <f t="shared" si="126"/>
        <v>285.75</v>
      </c>
      <c r="AL32" s="4">
        <f t="shared" si="112"/>
        <v>0.15351944426796946</v>
      </c>
      <c r="AM32" s="25">
        <f t="shared" si="113"/>
        <v>551.25834685648249</v>
      </c>
      <c r="AN32" s="4">
        <f t="shared" si="114"/>
        <v>0.74481539807524055</v>
      </c>
      <c r="AO32" s="4">
        <v>1.25</v>
      </c>
      <c r="AP32" s="25">
        <f t="shared" si="115"/>
        <v>5</v>
      </c>
      <c r="AQ32" s="38">
        <f t="shared" si="116"/>
        <v>393.95555790376119</v>
      </c>
      <c r="AR32" s="38">
        <f t="shared" si="117"/>
        <v>393.95555790376119</v>
      </c>
      <c r="AT32" s="38">
        <f t="shared" si="46"/>
        <v>393.95555790376096</v>
      </c>
      <c r="AU32" s="3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38">
        <f t="shared" si="118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36">
        <f t="shared" si="53"/>
        <v>2.2250000000000001</v>
      </c>
      <c r="BF32" s="36">
        <f t="shared" si="54"/>
        <v>514.66322969491421</v>
      </c>
      <c r="BK32" s="4">
        <f t="shared" si="55"/>
        <v>101.8</v>
      </c>
      <c r="BL32" s="4">
        <f t="shared" si="56"/>
        <v>51.33</v>
      </c>
      <c r="BM32" s="4">
        <f t="shared" si="57"/>
        <v>101.8</v>
      </c>
      <c r="BN32" s="4">
        <f t="shared" si="58"/>
        <v>64.03</v>
      </c>
      <c r="BO32" s="4">
        <f t="shared" si="59"/>
        <v>1.0983245665302941</v>
      </c>
      <c r="BP32" s="25">
        <f t="shared" si="119"/>
        <v>4</v>
      </c>
      <c r="BR32" s="4">
        <f t="shared" si="60"/>
        <v>101.8</v>
      </c>
      <c r="BV32" s="9"/>
      <c r="BX32" s="9"/>
      <c r="BY32" s="9"/>
      <c r="BZ32" s="9">
        <f t="shared" si="61"/>
        <v>101.8</v>
      </c>
      <c r="CA32" s="9">
        <f t="shared" si="62"/>
        <v>101.8</v>
      </c>
      <c r="CB32" s="9">
        <f t="shared" si="63"/>
        <v>2.001967536137395</v>
      </c>
      <c r="CC32" s="9">
        <v>20</v>
      </c>
      <c r="CD32" s="9">
        <f t="shared" si="64"/>
        <v>0.05</v>
      </c>
      <c r="CE32" s="9">
        <f t="shared" si="65"/>
        <v>0.8</v>
      </c>
      <c r="CF32" s="9">
        <f t="shared" si="66"/>
        <v>0.99524931562137331</v>
      </c>
      <c r="CG32" s="9">
        <f t="shared" si="67"/>
        <v>0.97375</v>
      </c>
      <c r="CH32" s="9">
        <f t="shared" si="68"/>
        <v>1.961464882399115</v>
      </c>
      <c r="CI32" s="9">
        <f t="shared" si="69"/>
        <v>4.9036622059977875</v>
      </c>
      <c r="CJ32" s="9">
        <v>1</v>
      </c>
      <c r="CK32" s="9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38">
        <f t="shared" si="120"/>
        <v>517.5</v>
      </c>
      <c r="DS32" s="4">
        <f t="shared" si="79"/>
        <v>1</v>
      </c>
      <c r="DU32" s="4">
        <f t="shared" si="121"/>
        <v>393.95555790376096</v>
      </c>
      <c r="DY32" s="4">
        <f t="shared" si="80"/>
        <v>0.85</v>
      </c>
      <c r="DZ32" s="4">
        <f t="shared" si="81"/>
        <v>0.7</v>
      </c>
      <c r="EA32" s="4">
        <f t="shared" si="82"/>
        <v>0.82320199640399283</v>
      </c>
      <c r="EB32" s="4">
        <f t="shared" si="83"/>
        <v>0.7</v>
      </c>
      <c r="ED32" s="4">
        <f t="shared" si="122"/>
        <v>517.5</v>
      </c>
      <c r="EE32" s="25">
        <f t="shared" si="123"/>
        <v>399.47434702888194</v>
      </c>
      <c r="EH32" s="4">
        <f t="shared" si="84"/>
        <v>8.8720819696713296</v>
      </c>
      <c r="EI32" s="4">
        <f t="shared" si="85"/>
        <v>8.4462220351271053</v>
      </c>
      <c r="EK32" s="4">
        <f t="shared" si="86"/>
        <v>77.858162529590359</v>
      </c>
      <c r="EL32" s="4">
        <f t="shared" si="87"/>
        <v>3.0652819893539514</v>
      </c>
      <c r="EM32" s="4">
        <f t="shared" si="88"/>
        <v>0.13441581076614395</v>
      </c>
      <c r="EP32" s="4">
        <f t="shared" si="89"/>
        <v>0.13441581076614395</v>
      </c>
      <c r="EQ32" s="4">
        <f t="shared" si="90"/>
        <v>0.42438164726468319</v>
      </c>
      <c r="ER32" s="4">
        <f t="shared" si="91"/>
        <v>6.2969201091294611</v>
      </c>
      <c r="ES32" s="4">
        <f t="shared" si="92"/>
        <v>7.6933224587384004</v>
      </c>
      <c r="ET32" s="4">
        <f t="shared" si="93"/>
        <v>136.45433747040965</v>
      </c>
      <c r="EU32" s="4">
        <f t="shared" si="94"/>
        <v>71.4375</v>
      </c>
      <c r="EV32" s="4">
        <f t="shared" si="95"/>
        <v>2.058127601073333E-5</v>
      </c>
      <c r="EW32" s="4">
        <f t="shared" si="96"/>
        <v>8.2026593344228811</v>
      </c>
      <c r="EX32" s="4">
        <f t="shared" si="97"/>
        <v>517.5</v>
      </c>
      <c r="EY32" s="4">
        <f t="shared" si="98"/>
        <v>136.45433747040965</v>
      </c>
      <c r="EZ32" s="4">
        <f t="shared" si="99"/>
        <v>71.437499999999986</v>
      </c>
      <c r="FB32" s="4">
        <f t="shared" si="100"/>
        <v>0</v>
      </c>
      <c r="FG32" s="23"/>
      <c r="FH32" s="23"/>
      <c r="FI32" s="23"/>
      <c r="FJ32" s="23"/>
      <c r="FK32" s="23"/>
      <c r="FL32" s="23"/>
      <c r="FM32" s="23"/>
      <c r="FN32" s="23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customHeight="1" x14ac:dyDescent="0.3">
      <c r="A33" s="25">
        <v>15</v>
      </c>
      <c r="B33" s="26" t="s">
        <v>81</v>
      </c>
      <c r="C33" s="26"/>
      <c r="D33" s="26" t="s">
        <v>82</v>
      </c>
      <c r="E33" s="26"/>
      <c r="F33" s="7" t="s">
        <v>93</v>
      </c>
      <c r="G33" s="28">
        <f t="shared" si="105"/>
        <v>517.5</v>
      </c>
      <c r="H33" s="7">
        <f t="shared" si="128"/>
        <v>285.75</v>
      </c>
      <c r="I33" s="7">
        <f t="shared" si="124"/>
        <v>285.75</v>
      </c>
      <c r="J33" s="7">
        <v>33.44</v>
      </c>
      <c r="K33" s="7">
        <v>25.4</v>
      </c>
      <c r="L33" s="7">
        <f t="shared" si="106"/>
        <v>11.25</v>
      </c>
      <c r="M33" s="7">
        <f t="shared" si="107"/>
        <v>11.25</v>
      </c>
      <c r="N33" s="7">
        <v>229</v>
      </c>
      <c r="O33" s="7">
        <f t="shared" si="108"/>
        <v>101.8</v>
      </c>
      <c r="P33" s="7">
        <v>305</v>
      </c>
      <c r="Q33" s="7">
        <v>0</v>
      </c>
      <c r="R33" s="7">
        <v>1</v>
      </c>
      <c r="S33" s="7">
        <v>52.65</v>
      </c>
      <c r="T33" s="7">
        <f t="shared" si="42"/>
        <v>2.5728346456692912</v>
      </c>
      <c r="U33" s="28">
        <f t="shared" si="109"/>
        <v>2.5728346456692912</v>
      </c>
      <c r="V33" s="28">
        <f t="shared" si="110"/>
        <v>8.3959536742577185</v>
      </c>
      <c r="W33" s="7">
        <f t="shared" si="43"/>
        <v>8.3959536742577185</v>
      </c>
      <c r="X33" s="7">
        <f t="shared" si="44"/>
        <v>9.3959536742577185</v>
      </c>
      <c r="Y33" s="7">
        <f t="shared" si="45"/>
        <v>77.858162529590359</v>
      </c>
      <c r="Z33" s="7"/>
      <c r="AA33" s="7"/>
      <c r="AB33" s="7">
        <f>226.71/(PI()/4*K33^2)*1000</f>
        <v>447.41790747552358</v>
      </c>
      <c r="AC33" s="7"/>
      <c r="AD33" s="7"/>
      <c r="AE33" s="7">
        <v>9.5</v>
      </c>
      <c r="AF33" s="7">
        <v>3</v>
      </c>
      <c r="AG33" s="7">
        <v>76</v>
      </c>
      <c r="AH33" s="7">
        <v>3</v>
      </c>
      <c r="AI33" s="7"/>
      <c r="AJ33" s="7"/>
      <c r="AK33" s="4">
        <f t="shared" si="126"/>
        <v>285.75</v>
      </c>
      <c r="AL33" s="4">
        <f t="shared" si="112"/>
        <v>0.15393077809475234</v>
      </c>
      <c r="AM33" s="25">
        <f t="shared" si="113"/>
        <v>551.25834685648249</v>
      </c>
      <c r="AN33" s="4">
        <f t="shared" si="114"/>
        <v>0.74573928258967626</v>
      </c>
      <c r="AO33" s="4">
        <v>1.25</v>
      </c>
      <c r="AP33" s="25">
        <f t="shared" si="115"/>
        <v>5</v>
      </c>
      <c r="AQ33" s="38">
        <f t="shared" si="116"/>
        <v>395.50108658094928</v>
      </c>
      <c r="AR33" s="38">
        <f t="shared" si="117"/>
        <v>395.50108658094928</v>
      </c>
      <c r="AT33" s="38">
        <f t="shared" si="46"/>
        <v>395.50108658094916</v>
      </c>
      <c r="AU33" s="3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38">
        <f t="shared" si="118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36">
        <f t="shared" si="53"/>
        <v>2.2250000000000001</v>
      </c>
      <c r="BF33" s="36">
        <f t="shared" si="54"/>
        <v>514.66322969491421</v>
      </c>
      <c r="BK33" s="4">
        <f t="shared" si="55"/>
        <v>101.8</v>
      </c>
      <c r="BL33" s="4">
        <f t="shared" si="56"/>
        <v>52.65</v>
      </c>
      <c r="BM33" s="4">
        <f t="shared" si="57"/>
        <v>101.8</v>
      </c>
      <c r="BN33" s="4">
        <f t="shared" si="58"/>
        <v>65.349999999999994</v>
      </c>
      <c r="BO33" s="4">
        <f t="shared" si="59"/>
        <v>1.09335232668566</v>
      </c>
      <c r="BP33" s="25">
        <f t="shared" si="119"/>
        <v>4</v>
      </c>
      <c r="BR33" s="4">
        <f t="shared" si="60"/>
        <v>101.8</v>
      </c>
      <c r="BV33" s="9"/>
      <c r="BX33" s="9"/>
      <c r="BY33" s="9"/>
      <c r="BZ33" s="9">
        <f t="shared" si="61"/>
        <v>101.8</v>
      </c>
      <c r="CA33" s="9">
        <f t="shared" si="62"/>
        <v>101.8</v>
      </c>
      <c r="CB33" s="9">
        <f t="shared" si="63"/>
        <v>2.001967536137395</v>
      </c>
      <c r="CC33" s="9">
        <v>20</v>
      </c>
      <c r="CD33" s="9">
        <f t="shared" si="64"/>
        <v>0.05</v>
      </c>
      <c r="CE33" s="9">
        <f t="shared" si="65"/>
        <v>0.8</v>
      </c>
      <c r="CF33" s="9">
        <f t="shared" si="66"/>
        <v>0.99524931562137331</v>
      </c>
      <c r="CG33" s="9">
        <f t="shared" si="67"/>
        <v>0.97375</v>
      </c>
      <c r="CH33" s="9">
        <f t="shared" si="68"/>
        <v>1.961464882399115</v>
      </c>
      <c r="CI33" s="9">
        <f t="shared" si="69"/>
        <v>4.9036622059977875</v>
      </c>
      <c r="CJ33" s="9">
        <v>1</v>
      </c>
      <c r="CK33" s="9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38">
        <f t="shared" si="120"/>
        <v>517.5</v>
      </c>
      <c r="DS33" s="4">
        <f t="shared" si="79"/>
        <v>1</v>
      </c>
      <c r="DU33" s="4">
        <f t="shared" si="121"/>
        <v>395.50108658094916</v>
      </c>
      <c r="DY33" s="4">
        <f t="shared" si="80"/>
        <v>0.85</v>
      </c>
      <c r="DZ33" s="4">
        <f t="shared" si="81"/>
        <v>0.7</v>
      </c>
      <c r="EA33" s="4">
        <f t="shared" si="82"/>
        <v>0.82320199640399283</v>
      </c>
      <c r="EB33" s="4">
        <f t="shared" si="83"/>
        <v>0.7</v>
      </c>
      <c r="ED33" s="4">
        <f t="shared" si="122"/>
        <v>517.5</v>
      </c>
      <c r="EE33" s="25">
        <f t="shared" si="123"/>
        <v>399.9758484132285</v>
      </c>
      <c r="EH33" s="4">
        <f t="shared" si="84"/>
        <v>8.8720819696713296</v>
      </c>
      <c r="EI33" s="4">
        <f t="shared" si="85"/>
        <v>8.4462220351271053</v>
      </c>
      <c r="EK33" s="4">
        <f t="shared" si="86"/>
        <v>77.858162529590359</v>
      </c>
      <c r="EL33" s="4">
        <f t="shared" si="87"/>
        <v>3.0652819893539514</v>
      </c>
      <c r="EM33" s="4">
        <f t="shared" si="88"/>
        <v>0.13494313798881846</v>
      </c>
      <c r="EP33" s="4">
        <f t="shared" si="89"/>
        <v>0.13494313798881846</v>
      </c>
      <c r="EQ33" s="4">
        <f t="shared" si="90"/>
        <v>0.42604654065877551</v>
      </c>
      <c r="ER33" s="4">
        <f t="shared" si="91"/>
        <v>6.3067898930054849</v>
      </c>
      <c r="ES33" s="4">
        <f t="shared" si="92"/>
        <v>7.6973587472627116</v>
      </c>
      <c r="ET33" s="4">
        <f t="shared" si="93"/>
        <v>136.45433747040965</v>
      </c>
      <c r="EU33" s="4">
        <f t="shared" si="94"/>
        <v>71.4375</v>
      </c>
      <c r="EV33" s="4">
        <f t="shared" si="95"/>
        <v>2.058127601073333E-5</v>
      </c>
      <c r="EW33" s="4">
        <f t="shared" si="96"/>
        <v>8.2021837648564127</v>
      </c>
      <c r="EX33" s="4">
        <f t="shared" si="97"/>
        <v>517.5</v>
      </c>
      <c r="EY33" s="4">
        <f t="shared" si="98"/>
        <v>136.45433747040965</v>
      </c>
      <c r="EZ33" s="4">
        <f t="shared" si="99"/>
        <v>71.437499999999986</v>
      </c>
      <c r="FB33" s="4">
        <f t="shared" si="100"/>
        <v>0</v>
      </c>
      <c r="FG33" s="23"/>
      <c r="FH33" s="23"/>
      <c r="FI33" s="23"/>
      <c r="FJ33" s="23"/>
      <c r="FK33" s="23"/>
      <c r="FL33" s="23"/>
      <c r="FM33" s="23"/>
      <c r="FN33" s="23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25" customFormat="1" ht="12" customHeight="1" x14ac:dyDescent="0.3">
      <c r="A34" s="25">
        <v>16</v>
      </c>
      <c r="B34" s="26" t="s">
        <v>81</v>
      </c>
      <c r="C34" s="26"/>
      <c r="D34" s="26" t="s">
        <v>82</v>
      </c>
      <c r="E34" s="26"/>
      <c r="F34" s="28" t="s">
        <v>94</v>
      </c>
      <c r="G34" s="28">
        <f t="shared" si="105"/>
        <v>517.5</v>
      </c>
      <c r="H34" s="28">
        <f t="shared" ref="H34:H36" si="129">0.5*25.4</f>
        <v>12.7</v>
      </c>
      <c r="I34" s="28">
        <f t="shared" si="124"/>
        <v>12.7</v>
      </c>
      <c r="J34" s="28">
        <v>34.659999999999997</v>
      </c>
      <c r="K34" s="28">
        <v>25.4</v>
      </c>
      <c r="L34" s="28">
        <f t="shared" si="106"/>
        <v>0.5</v>
      </c>
      <c r="M34" s="28">
        <f t="shared" si="107"/>
        <v>0.5</v>
      </c>
      <c r="N34" s="28">
        <v>229</v>
      </c>
      <c r="O34" s="28">
        <f t="shared" si="108"/>
        <v>101.8</v>
      </c>
      <c r="P34" s="28">
        <v>305</v>
      </c>
      <c r="Q34" s="28">
        <v>0</v>
      </c>
      <c r="R34" s="28">
        <v>1</v>
      </c>
      <c r="S34" s="28">
        <v>73.459999999999994</v>
      </c>
      <c r="T34" s="7">
        <f t="shared" si="42"/>
        <v>3.3921259842519684</v>
      </c>
      <c r="U34" s="28">
        <f t="shared" si="109"/>
        <v>3.3921259842519684</v>
      </c>
      <c r="V34" s="28">
        <f t="shared" si="110"/>
        <v>8.3959536742577185</v>
      </c>
      <c r="W34" s="7">
        <f t="shared" si="43"/>
        <v>8.3959536742577185</v>
      </c>
      <c r="X34" s="28">
        <f t="shared" si="44"/>
        <v>9.3959536742577185</v>
      </c>
      <c r="Y34" s="28">
        <f t="shared" si="45"/>
        <v>77.858162529590359</v>
      </c>
      <c r="Z34" s="28"/>
      <c r="AA34" s="28"/>
      <c r="AB34" s="28">
        <f>270.13/(PI()/4*K34^2)*1000</f>
        <v>533.10837345667676</v>
      </c>
      <c r="AC34" s="28"/>
      <c r="AD34" s="28"/>
      <c r="AE34" s="28">
        <v>0</v>
      </c>
      <c r="AF34" s="28">
        <v>0</v>
      </c>
      <c r="AG34" s="28">
        <f>I34</f>
        <v>12.7</v>
      </c>
      <c r="AH34" s="28"/>
      <c r="AI34" s="28"/>
      <c r="AJ34" s="28"/>
      <c r="AK34" s="4">
        <f t="shared" si="126"/>
        <v>12.7</v>
      </c>
      <c r="AL34" s="25">
        <f t="shared" si="112"/>
        <v>1</v>
      </c>
      <c r="AM34" s="25">
        <f t="shared" si="113"/>
        <v>5.2585080853609538</v>
      </c>
      <c r="AN34" s="4">
        <f t="shared" si="114"/>
        <v>1</v>
      </c>
      <c r="AO34" s="25">
        <v>1.25</v>
      </c>
      <c r="AP34" s="25">
        <f t="shared" si="115"/>
        <v>5</v>
      </c>
      <c r="AQ34" s="38">
        <f t="shared" si="116"/>
        <v>32.865675533505964</v>
      </c>
      <c r="AR34" s="38">
        <f t="shared" si="117"/>
        <v>32.865675533505964</v>
      </c>
      <c r="AS34" s="38"/>
      <c r="AT34" s="38">
        <f t="shared" si="46"/>
        <v>1121.9869848998135</v>
      </c>
      <c r="AU34" s="38">
        <f t="shared" si="47"/>
        <v>2.929238571910945E-2</v>
      </c>
      <c r="AV34" s="38"/>
      <c r="AX34" s="25">
        <f t="shared" si="48"/>
        <v>15.492827399510553</v>
      </c>
      <c r="AY34" s="25">
        <f t="shared" si="49"/>
        <v>1</v>
      </c>
      <c r="AZ34" s="38">
        <f t="shared" si="118"/>
        <v>681.34260170232233</v>
      </c>
      <c r="BA34" s="25">
        <f t="shared" si="50"/>
        <v>0.3</v>
      </c>
      <c r="BB34" s="25">
        <f t="shared" si="51"/>
        <v>2.428500694873279</v>
      </c>
      <c r="BC34" s="25">
        <f t="shared" si="52"/>
        <v>683.77110239719559</v>
      </c>
      <c r="BE34" s="36">
        <f t="shared" si="53"/>
        <v>1.1000000000000001</v>
      </c>
      <c r="BF34" s="36">
        <f t="shared" si="54"/>
        <v>147.65284224829537</v>
      </c>
      <c r="BK34" s="25">
        <f t="shared" si="55"/>
        <v>101.8</v>
      </c>
      <c r="BL34" s="25">
        <f t="shared" si="56"/>
        <v>73.459999999999994</v>
      </c>
      <c r="BM34" s="25">
        <f t="shared" si="57"/>
        <v>101.8</v>
      </c>
      <c r="BN34" s="25">
        <f t="shared" si="58"/>
        <v>86.16</v>
      </c>
      <c r="BO34" s="25">
        <f t="shared" si="59"/>
        <v>1.0385788184045739</v>
      </c>
      <c r="BP34" s="25">
        <f t="shared" si="119"/>
        <v>3.5229901966038617</v>
      </c>
      <c r="BR34" s="25">
        <f t="shared" si="60"/>
        <v>101.8</v>
      </c>
      <c r="BV34" s="29"/>
      <c r="BX34" s="29"/>
      <c r="BY34" s="29"/>
      <c r="BZ34" s="29">
        <f t="shared" si="61"/>
        <v>101.8</v>
      </c>
      <c r="CA34" s="29">
        <f t="shared" si="62"/>
        <v>101.8</v>
      </c>
      <c r="CB34" s="29">
        <f t="shared" si="63"/>
        <v>2.001967536137395</v>
      </c>
      <c r="CC34" s="29">
        <v>0</v>
      </c>
      <c r="CD34" s="29">
        <f t="shared" si="64"/>
        <v>0</v>
      </c>
      <c r="CE34" s="29">
        <f t="shared" si="65"/>
        <v>0</v>
      </c>
      <c r="CF34" s="29">
        <f t="shared" si="66"/>
        <v>0.99524931562137331</v>
      </c>
      <c r="CG34" s="29">
        <f t="shared" si="67"/>
        <v>0.97375</v>
      </c>
      <c r="CH34" s="29">
        <f t="shared" si="68"/>
        <v>1.9969246679255115</v>
      </c>
      <c r="CI34" s="29">
        <f t="shared" si="69"/>
        <v>3.9977783572988219</v>
      </c>
      <c r="CJ34" s="29">
        <v>1</v>
      </c>
      <c r="CK34" s="2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25">
        <f t="shared" si="72"/>
        <v>12.7</v>
      </c>
      <c r="DJ34" s="25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38">
        <f t="shared" si="120"/>
        <v>533.10837345667676</v>
      </c>
      <c r="DS34" s="4">
        <f t="shared" si="79"/>
        <v>1</v>
      </c>
      <c r="DT34" s="4"/>
      <c r="DU34" s="4">
        <f t="shared" si="121"/>
        <v>1121.9869848998135</v>
      </c>
      <c r="DY34" s="25">
        <f t="shared" si="80"/>
        <v>0.85</v>
      </c>
      <c r="DZ34" s="25">
        <f t="shared" si="81"/>
        <v>0.7</v>
      </c>
      <c r="EA34" s="25">
        <f t="shared" si="82"/>
        <v>1</v>
      </c>
      <c r="EB34" s="25">
        <f t="shared" si="83"/>
        <v>0.7</v>
      </c>
      <c r="ED34" s="4">
        <f t="shared" si="122"/>
        <v>533.10837345667676</v>
      </c>
      <c r="EE34" s="25">
        <f t="shared" si="123"/>
        <v>4867.4754115107617</v>
      </c>
      <c r="EH34" s="4">
        <f t="shared" si="84"/>
        <v>9.0324733825588019</v>
      </c>
      <c r="EI34" s="25">
        <f t="shared" si="85"/>
        <v>7.5734730123259153</v>
      </c>
      <c r="EK34" s="4">
        <f t="shared" si="86"/>
        <v>77.858162529590359</v>
      </c>
      <c r="EL34" s="4">
        <f t="shared" si="87"/>
        <v>3.0652819893539514</v>
      </c>
      <c r="EM34" s="4">
        <f t="shared" si="88"/>
        <v>0.37601900718293008</v>
      </c>
      <c r="EP34" s="25">
        <f t="shared" si="89"/>
        <v>0.37601900718293008</v>
      </c>
      <c r="EQ34" s="25">
        <f t="shared" si="90"/>
        <v>0.999</v>
      </c>
      <c r="ER34" s="4">
        <f t="shared" si="91"/>
        <v>9.0288593087305173</v>
      </c>
      <c r="ES34" s="25">
        <f t="shared" si="92"/>
        <v>9.0306665264387256</v>
      </c>
      <c r="ET34" s="4">
        <f t="shared" si="93"/>
        <v>0</v>
      </c>
      <c r="EU34" s="4">
        <f t="shared" si="94"/>
        <v>0</v>
      </c>
      <c r="EV34" s="25">
        <f t="shared" si="95"/>
        <v>0</v>
      </c>
      <c r="EW34" s="25">
        <f t="shared" si="96"/>
        <v>9.0324733825588019</v>
      </c>
      <c r="EX34" s="4">
        <f t="shared" si="97"/>
        <v>533.10837345667676</v>
      </c>
      <c r="EY34" s="4">
        <f t="shared" si="98"/>
        <v>0</v>
      </c>
      <c r="EZ34" s="4">
        <f t="shared" si="99"/>
        <v>0</v>
      </c>
      <c r="FB34" s="4">
        <f t="shared" si="100"/>
        <v>0</v>
      </c>
      <c r="FG34" s="23"/>
      <c r="FH34" s="23"/>
      <c r="FI34" s="23"/>
      <c r="FJ34" s="23"/>
      <c r="FK34" s="23"/>
      <c r="FL34" s="23"/>
      <c r="FM34" s="30"/>
      <c r="FN34" s="30"/>
      <c r="FX34" s="4">
        <f t="shared" si="101"/>
        <v>1</v>
      </c>
      <c r="FY34" s="4">
        <f t="shared" si="102"/>
        <v>0.85000000000000009</v>
      </c>
      <c r="FZ34" s="4">
        <f t="shared" si="103"/>
        <v>0</v>
      </c>
      <c r="GA34" s="4">
        <f t="shared" si="104"/>
        <v>14.232165155618285</v>
      </c>
      <c r="GB34" s="4"/>
    </row>
    <row r="35" spans="1:184" s="25" customFormat="1" ht="12" customHeight="1" x14ac:dyDescent="0.3">
      <c r="A35" s="25">
        <v>17</v>
      </c>
      <c r="B35" s="26" t="s">
        <v>81</v>
      </c>
      <c r="C35" s="26"/>
      <c r="D35" s="26" t="s">
        <v>82</v>
      </c>
      <c r="E35" s="26"/>
      <c r="F35" s="28" t="s">
        <v>95</v>
      </c>
      <c r="G35" s="28">
        <f t="shared" si="105"/>
        <v>517.5</v>
      </c>
      <c r="H35" s="28">
        <f t="shared" si="129"/>
        <v>12.7</v>
      </c>
      <c r="I35" s="28">
        <f t="shared" si="124"/>
        <v>12.7</v>
      </c>
      <c r="J35" s="28">
        <v>34.659999999999997</v>
      </c>
      <c r="K35" s="28">
        <v>25.4</v>
      </c>
      <c r="L35" s="28">
        <f t="shared" si="106"/>
        <v>0.5</v>
      </c>
      <c r="M35" s="28">
        <f t="shared" si="107"/>
        <v>0.5</v>
      </c>
      <c r="N35" s="28">
        <v>229</v>
      </c>
      <c r="O35" s="28">
        <f t="shared" si="108"/>
        <v>101.8</v>
      </c>
      <c r="P35" s="28">
        <v>305</v>
      </c>
      <c r="Q35" s="28">
        <v>0</v>
      </c>
      <c r="R35" s="28">
        <v>1</v>
      </c>
      <c r="S35" s="28">
        <v>68.86</v>
      </c>
      <c r="T35" s="7">
        <f t="shared" si="42"/>
        <v>3.2110236220472443</v>
      </c>
      <c r="U35" s="28">
        <f t="shared" si="109"/>
        <v>3.2110236220472443</v>
      </c>
      <c r="V35" s="28">
        <f t="shared" si="110"/>
        <v>8.3959536742577185</v>
      </c>
      <c r="W35" s="7">
        <f t="shared" si="43"/>
        <v>8.3959536742577185</v>
      </c>
      <c r="X35" s="28">
        <f t="shared" si="44"/>
        <v>9.3959536742577185</v>
      </c>
      <c r="Y35" s="28">
        <f t="shared" si="45"/>
        <v>77.858162529590359</v>
      </c>
      <c r="Z35" s="28"/>
      <c r="AA35" s="28"/>
      <c r="AB35" s="28">
        <f>262.79/(PI()/4*K35^2)*1000</f>
        <v>518.62269818487425</v>
      </c>
      <c r="AC35" s="28"/>
      <c r="AD35" s="28"/>
      <c r="AE35" s="28">
        <v>0</v>
      </c>
      <c r="AF35" s="28">
        <v>0</v>
      </c>
      <c r="AG35" s="28">
        <f t="shared" ref="AG35:AG36" si="130">I35</f>
        <v>12.7</v>
      </c>
      <c r="AH35" s="28"/>
      <c r="AI35" s="28"/>
      <c r="AJ35" s="28"/>
      <c r="AK35" s="4">
        <f t="shared" si="126"/>
        <v>12.7</v>
      </c>
      <c r="AL35" s="25">
        <f t="shared" si="112"/>
        <v>1</v>
      </c>
      <c r="AM35" s="25">
        <f t="shared" si="113"/>
        <v>5.2585080853609538</v>
      </c>
      <c r="AN35" s="4">
        <f t="shared" si="114"/>
        <v>1</v>
      </c>
      <c r="AO35" s="25">
        <v>1.25</v>
      </c>
      <c r="AP35" s="25">
        <f t="shared" si="115"/>
        <v>5</v>
      </c>
      <c r="AQ35" s="38">
        <f t="shared" si="116"/>
        <v>32.865675533505964</v>
      </c>
      <c r="AR35" s="38">
        <f t="shared" si="117"/>
        <v>32.865675533505964</v>
      </c>
      <c r="AS35" s="38"/>
      <c r="AT35" s="38">
        <f t="shared" si="46"/>
        <v>1035.1434290393081</v>
      </c>
      <c r="AU35" s="38">
        <f t="shared" si="47"/>
        <v>3.1749876018638122E-2</v>
      </c>
      <c r="AV35" s="38"/>
      <c r="AX35" s="25">
        <f t="shared" si="48"/>
        <v>15.492827399510553</v>
      </c>
      <c r="AY35" s="25">
        <f t="shared" si="49"/>
        <v>1</v>
      </c>
      <c r="AZ35" s="38">
        <f t="shared" si="118"/>
        <v>644.96637180642313</v>
      </c>
      <c r="BA35" s="25">
        <f t="shared" si="50"/>
        <v>0.3</v>
      </c>
      <c r="BB35" s="25">
        <f t="shared" si="51"/>
        <v>2.428500694873279</v>
      </c>
      <c r="BC35" s="25">
        <f t="shared" si="52"/>
        <v>647.39487250129639</v>
      </c>
      <c r="BE35" s="36">
        <f t="shared" si="53"/>
        <v>1.1000000000000001</v>
      </c>
      <c r="BF35" s="36">
        <f t="shared" si="54"/>
        <v>147.65284224829537</v>
      </c>
      <c r="BK35" s="25">
        <f t="shared" si="55"/>
        <v>101.8</v>
      </c>
      <c r="BL35" s="25">
        <f t="shared" si="56"/>
        <v>68.86</v>
      </c>
      <c r="BM35" s="25">
        <f t="shared" si="57"/>
        <v>101.8</v>
      </c>
      <c r="BN35" s="25">
        <f t="shared" si="58"/>
        <v>81.56</v>
      </c>
      <c r="BO35" s="25">
        <f t="shared" si="59"/>
        <v>1.0478361893697357</v>
      </c>
      <c r="BP35" s="25">
        <f t="shared" si="119"/>
        <v>3.364626756102191</v>
      </c>
      <c r="BR35" s="25">
        <f t="shared" si="60"/>
        <v>101.8</v>
      </c>
      <c r="BV35" s="29"/>
      <c r="BX35" s="29"/>
      <c r="BY35" s="29"/>
      <c r="BZ35" s="29">
        <f t="shared" si="61"/>
        <v>101.8</v>
      </c>
      <c r="CA35" s="29">
        <f t="shared" si="62"/>
        <v>101.8</v>
      </c>
      <c r="CB35" s="29">
        <f t="shared" si="63"/>
        <v>2.001967536137395</v>
      </c>
      <c r="CC35" s="29">
        <v>0</v>
      </c>
      <c r="CD35" s="29">
        <f t="shared" si="64"/>
        <v>0</v>
      </c>
      <c r="CE35" s="29">
        <f t="shared" si="65"/>
        <v>0</v>
      </c>
      <c r="CF35" s="29">
        <f t="shared" si="66"/>
        <v>0.99524931562137331</v>
      </c>
      <c r="CG35" s="29">
        <f t="shared" si="67"/>
        <v>0.97375</v>
      </c>
      <c r="CH35" s="29">
        <f t="shared" si="68"/>
        <v>1.9969246679255115</v>
      </c>
      <c r="CI35" s="29">
        <f t="shared" si="69"/>
        <v>3.9977783572988219</v>
      </c>
      <c r="CJ35" s="29">
        <v>1</v>
      </c>
      <c r="CK35" s="2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25">
        <f t="shared" si="72"/>
        <v>12.7</v>
      </c>
      <c r="DJ35" s="25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38">
        <f t="shared" si="120"/>
        <v>518.62269818487425</v>
      </c>
      <c r="DS35" s="4">
        <f t="shared" si="79"/>
        <v>1</v>
      </c>
      <c r="DT35" s="4"/>
      <c r="DU35" s="4">
        <f t="shared" si="121"/>
        <v>1035.1434290393081</v>
      </c>
      <c r="DY35" s="25">
        <f t="shared" si="80"/>
        <v>0.85</v>
      </c>
      <c r="DZ35" s="25">
        <f t="shared" si="81"/>
        <v>0.7</v>
      </c>
      <c r="EA35" s="25">
        <f t="shared" si="82"/>
        <v>1</v>
      </c>
      <c r="EB35" s="25">
        <f t="shared" si="83"/>
        <v>0.7</v>
      </c>
      <c r="ED35" s="4">
        <f t="shared" si="122"/>
        <v>518.62269818487425</v>
      </c>
      <c r="EE35" s="25">
        <f t="shared" si="123"/>
        <v>4677.5815357330548</v>
      </c>
      <c r="EH35" s="4">
        <f t="shared" si="84"/>
        <v>9.0324733825588019</v>
      </c>
      <c r="EI35" s="25">
        <f t="shared" si="85"/>
        <v>7.2330345847836925</v>
      </c>
      <c r="EK35" s="4">
        <f t="shared" si="86"/>
        <v>77.858162529590359</v>
      </c>
      <c r="EL35" s="4">
        <f t="shared" si="87"/>
        <v>3.0652819893539514</v>
      </c>
      <c r="EM35" s="4">
        <f t="shared" si="88"/>
        <v>0.34691454510414893</v>
      </c>
      <c r="EP35" s="25">
        <f t="shared" si="89"/>
        <v>0.34691454510414893</v>
      </c>
      <c r="EQ35" s="25">
        <f t="shared" si="90"/>
        <v>0.999</v>
      </c>
      <c r="ER35" s="4">
        <f t="shared" si="91"/>
        <v>9.0288593087305173</v>
      </c>
      <c r="ES35" s="25">
        <f t="shared" si="92"/>
        <v>9.0306665264387256</v>
      </c>
      <c r="ET35" s="4">
        <f t="shared" si="93"/>
        <v>0</v>
      </c>
      <c r="EU35" s="4">
        <f t="shared" si="94"/>
        <v>0</v>
      </c>
      <c r="EV35" s="25">
        <f t="shared" si="95"/>
        <v>0</v>
      </c>
      <c r="EW35" s="25">
        <f t="shared" si="96"/>
        <v>9.0324733825588019</v>
      </c>
      <c r="EX35" s="4">
        <f t="shared" si="97"/>
        <v>518.62269818487425</v>
      </c>
      <c r="EY35" s="4">
        <f t="shared" si="98"/>
        <v>0</v>
      </c>
      <c r="EZ35" s="4">
        <f t="shared" si="99"/>
        <v>0</v>
      </c>
      <c r="FB35" s="4">
        <f t="shared" si="100"/>
        <v>0</v>
      </c>
      <c r="FG35" s="23"/>
      <c r="FH35" s="23"/>
      <c r="FI35" s="23"/>
      <c r="FJ35" s="23"/>
      <c r="FK35" s="23"/>
      <c r="FL35" s="23"/>
      <c r="FM35" s="30"/>
      <c r="FN35" s="30"/>
      <c r="FX35" s="4">
        <f t="shared" si="101"/>
        <v>1</v>
      </c>
      <c r="FY35" s="4">
        <f t="shared" si="102"/>
        <v>0.85000000000000009</v>
      </c>
      <c r="FZ35" s="4">
        <f t="shared" si="103"/>
        <v>0</v>
      </c>
      <c r="GA35" s="4">
        <f t="shared" si="104"/>
        <v>14.232165155618285</v>
      </c>
      <c r="GB35" s="4"/>
    </row>
    <row r="36" spans="1:184" s="25" customFormat="1" ht="12" customHeight="1" x14ac:dyDescent="0.3">
      <c r="A36" s="25">
        <v>18</v>
      </c>
      <c r="B36" s="26" t="s">
        <v>81</v>
      </c>
      <c r="C36" s="26"/>
      <c r="D36" s="26" t="s">
        <v>82</v>
      </c>
      <c r="E36" s="26"/>
      <c r="F36" s="27" t="s">
        <v>96</v>
      </c>
      <c r="G36" s="28">
        <f t="shared" si="105"/>
        <v>517.5</v>
      </c>
      <c r="H36" s="28">
        <f t="shared" si="129"/>
        <v>12.7</v>
      </c>
      <c r="I36" s="28">
        <f t="shared" si="124"/>
        <v>12.7</v>
      </c>
      <c r="J36" s="28">
        <v>34.659999999999997</v>
      </c>
      <c r="K36" s="28">
        <v>25.4</v>
      </c>
      <c r="L36" s="28">
        <f t="shared" si="106"/>
        <v>0.5</v>
      </c>
      <c r="M36" s="28">
        <f t="shared" si="107"/>
        <v>0.5</v>
      </c>
      <c r="N36" s="28">
        <v>229</v>
      </c>
      <c r="O36" s="28">
        <f t="shared" si="108"/>
        <v>101.8</v>
      </c>
      <c r="P36" s="28">
        <v>305</v>
      </c>
      <c r="Q36" s="28">
        <v>0</v>
      </c>
      <c r="R36" s="28">
        <v>1</v>
      </c>
      <c r="S36" s="28">
        <v>69.16</v>
      </c>
      <c r="T36" s="7">
        <f t="shared" si="42"/>
        <v>3.2228346456692916</v>
      </c>
      <c r="U36" s="28">
        <f t="shared" si="109"/>
        <v>3.2228346456692916</v>
      </c>
      <c r="V36" s="28">
        <f t="shared" si="110"/>
        <v>8.3959536742577185</v>
      </c>
      <c r="W36" s="7">
        <f t="shared" si="43"/>
        <v>8.3959536742577185</v>
      </c>
      <c r="X36" s="28">
        <f t="shared" si="44"/>
        <v>9.3959536742577185</v>
      </c>
      <c r="Y36" s="28">
        <f t="shared" si="45"/>
        <v>77.858162529590359</v>
      </c>
      <c r="Z36" s="28"/>
      <c r="AA36" s="28"/>
      <c r="AB36" s="28">
        <f>262.08/(PI()/4*K36^2)*1000</f>
        <v>517.22149526348721</v>
      </c>
      <c r="AC36" s="28"/>
      <c r="AD36" s="28"/>
      <c r="AE36" s="28">
        <v>0</v>
      </c>
      <c r="AF36" s="28">
        <v>0</v>
      </c>
      <c r="AG36" s="28">
        <f t="shared" si="130"/>
        <v>12.7</v>
      </c>
      <c r="AH36" s="28"/>
      <c r="AI36" s="28"/>
      <c r="AJ36" s="28"/>
      <c r="AK36" s="4">
        <f t="shared" si="126"/>
        <v>12.7</v>
      </c>
      <c r="AL36" s="25">
        <f t="shared" si="112"/>
        <v>1</v>
      </c>
      <c r="AM36" s="25">
        <f t="shared" si="113"/>
        <v>5.2585080853609538</v>
      </c>
      <c r="AN36" s="4">
        <f t="shared" si="114"/>
        <v>1</v>
      </c>
      <c r="AO36" s="25">
        <v>1.25</v>
      </c>
      <c r="AP36" s="25">
        <f t="shared" si="115"/>
        <v>5</v>
      </c>
      <c r="AQ36" s="38">
        <f t="shared" si="116"/>
        <v>32.865675533505964</v>
      </c>
      <c r="AR36" s="38">
        <f t="shared" si="117"/>
        <v>32.865675533505964</v>
      </c>
      <c r="AS36" s="38"/>
      <c r="AT36" s="38">
        <f t="shared" si="46"/>
        <v>1040.7018111455272</v>
      </c>
      <c r="AU36" s="38">
        <f t="shared" si="47"/>
        <v>3.158030012202042E-2</v>
      </c>
      <c r="AV36" s="38"/>
      <c r="AX36" s="25">
        <f t="shared" si="48"/>
        <v>15.492827399510553</v>
      </c>
      <c r="AY36" s="25">
        <f t="shared" si="49"/>
        <v>1</v>
      </c>
      <c r="AZ36" s="38">
        <f t="shared" si="118"/>
        <v>647.33873462572092</v>
      </c>
      <c r="BA36" s="25">
        <f t="shared" si="50"/>
        <v>0.3</v>
      </c>
      <c r="BB36" s="25">
        <f t="shared" si="51"/>
        <v>2.428500694873279</v>
      </c>
      <c r="BC36" s="25">
        <f t="shared" si="52"/>
        <v>649.76723532059418</v>
      </c>
      <c r="BE36" s="36">
        <f t="shared" si="53"/>
        <v>1.1000000000000001</v>
      </c>
      <c r="BF36" s="36">
        <f t="shared" si="54"/>
        <v>147.65284224829537</v>
      </c>
      <c r="BK36" s="25">
        <f t="shared" si="55"/>
        <v>101.8</v>
      </c>
      <c r="BL36" s="25">
        <f t="shared" si="56"/>
        <v>69.16</v>
      </c>
      <c r="BM36" s="25">
        <f t="shared" si="57"/>
        <v>101.8</v>
      </c>
      <c r="BN36" s="25">
        <f t="shared" si="58"/>
        <v>81.86</v>
      </c>
      <c r="BO36" s="25">
        <f t="shared" si="59"/>
        <v>1.0471949103528051</v>
      </c>
      <c r="BP36" s="25">
        <f t="shared" si="119"/>
        <v>3.3749360378535678</v>
      </c>
      <c r="BR36" s="25">
        <f t="shared" si="60"/>
        <v>101.8</v>
      </c>
      <c r="BV36" s="29"/>
      <c r="BX36" s="29"/>
      <c r="BY36" s="29"/>
      <c r="BZ36" s="29">
        <f t="shared" si="61"/>
        <v>101.8</v>
      </c>
      <c r="CA36" s="29">
        <f t="shared" si="62"/>
        <v>101.8</v>
      </c>
      <c r="CB36" s="29">
        <f t="shared" si="63"/>
        <v>2.001967536137395</v>
      </c>
      <c r="CC36" s="29">
        <v>0</v>
      </c>
      <c r="CD36" s="29">
        <f t="shared" si="64"/>
        <v>0</v>
      </c>
      <c r="CE36" s="29">
        <f t="shared" si="65"/>
        <v>0</v>
      </c>
      <c r="CF36" s="29">
        <f t="shared" si="66"/>
        <v>0.99524931562137331</v>
      </c>
      <c r="CG36" s="29">
        <f t="shared" si="67"/>
        <v>0.97375</v>
      </c>
      <c r="CH36" s="29">
        <f t="shared" si="68"/>
        <v>1.9969246679255115</v>
      </c>
      <c r="CI36" s="29">
        <f t="shared" si="69"/>
        <v>3.9977783572988219</v>
      </c>
      <c r="CJ36" s="29">
        <v>1</v>
      </c>
      <c r="CK36" s="2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25">
        <f t="shared" si="72"/>
        <v>12.7</v>
      </c>
      <c r="DJ36" s="25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38">
        <f t="shared" si="120"/>
        <v>517.5</v>
      </c>
      <c r="DS36" s="4">
        <f t="shared" si="79"/>
        <v>1</v>
      </c>
      <c r="DT36" s="4"/>
      <c r="DU36" s="4">
        <f t="shared" si="121"/>
        <v>1040.7018111455272</v>
      </c>
      <c r="DY36" s="25">
        <f t="shared" si="80"/>
        <v>0.85</v>
      </c>
      <c r="DZ36" s="25">
        <f t="shared" si="81"/>
        <v>0.7</v>
      </c>
      <c r="EA36" s="25">
        <f t="shared" si="82"/>
        <v>1</v>
      </c>
      <c r="EB36" s="25">
        <f t="shared" si="83"/>
        <v>0.7</v>
      </c>
      <c r="ED36" s="4">
        <f t="shared" si="122"/>
        <v>517.5</v>
      </c>
      <c r="EE36" s="25">
        <f t="shared" si="123"/>
        <v>4689.9659189359481</v>
      </c>
      <c r="EH36" s="4">
        <f t="shared" si="84"/>
        <v>9.0324733825588019</v>
      </c>
      <c r="EI36" s="25">
        <f t="shared" si="85"/>
        <v>7.2551967432806936</v>
      </c>
      <c r="EK36" s="4">
        <f t="shared" si="86"/>
        <v>77.858162529590359</v>
      </c>
      <c r="EL36" s="4">
        <f t="shared" si="87"/>
        <v>3.0652819893539514</v>
      </c>
      <c r="EM36" s="4">
        <f t="shared" si="88"/>
        <v>0.34877736289905453</v>
      </c>
      <c r="EP36" s="25">
        <f t="shared" si="89"/>
        <v>0.34877736289905453</v>
      </c>
      <c r="EQ36" s="25">
        <f t="shared" si="90"/>
        <v>0.999</v>
      </c>
      <c r="ER36" s="4">
        <f t="shared" si="91"/>
        <v>9.0288593087305173</v>
      </c>
      <c r="ES36" s="25">
        <f t="shared" si="92"/>
        <v>9.0306665264387256</v>
      </c>
      <c r="ET36" s="4">
        <f t="shared" si="93"/>
        <v>0</v>
      </c>
      <c r="EU36" s="4">
        <f t="shared" si="94"/>
        <v>0</v>
      </c>
      <c r="EV36" s="25">
        <f t="shared" si="95"/>
        <v>0</v>
      </c>
      <c r="EW36" s="25">
        <f t="shared" si="96"/>
        <v>9.0324733825588019</v>
      </c>
      <c r="EX36" s="4">
        <f t="shared" si="97"/>
        <v>517.5</v>
      </c>
      <c r="EY36" s="4">
        <f t="shared" si="98"/>
        <v>0</v>
      </c>
      <c r="EZ36" s="4">
        <f t="shared" si="99"/>
        <v>0</v>
      </c>
      <c r="FB36" s="4">
        <f t="shared" si="100"/>
        <v>0</v>
      </c>
      <c r="FG36" s="23"/>
      <c r="FH36" s="23"/>
      <c r="FI36" s="23"/>
      <c r="FJ36" s="23"/>
      <c r="FK36" s="23"/>
      <c r="FL36" s="23"/>
      <c r="FM36" s="30"/>
      <c r="FN36" s="30"/>
      <c r="FX36" s="4">
        <f t="shared" si="101"/>
        <v>1</v>
      </c>
      <c r="FY36" s="4">
        <f t="shared" si="102"/>
        <v>0.85000000000000009</v>
      </c>
      <c r="FZ36" s="4">
        <f t="shared" si="103"/>
        <v>0</v>
      </c>
      <c r="GA36" s="4">
        <f t="shared" si="104"/>
        <v>14.232165155618285</v>
      </c>
      <c r="GB36" s="4"/>
    </row>
    <row r="37" spans="1:184" ht="12" customHeight="1" x14ac:dyDescent="0.3">
      <c r="A37" s="25">
        <v>19</v>
      </c>
      <c r="B37" s="26" t="s">
        <v>81</v>
      </c>
      <c r="C37" s="26"/>
      <c r="D37" s="26" t="s">
        <v>82</v>
      </c>
      <c r="E37" s="26"/>
      <c r="F37" s="7" t="s">
        <v>97</v>
      </c>
      <c r="G37" s="28">
        <f t="shared" si="105"/>
        <v>517.5</v>
      </c>
      <c r="H37" s="7">
        <f t="shared" ref="H37:H51" si="131">11.25*25.4</f>
        <v>285.75</v>
      </c>
      <c r="I37" s="7">
        <f t="shared" si="124"/>
        <v>285.75</v>
      </c>
      <c r="J37" s="7">
        <v>34.49</v>
      </c>
      <c r="K37" s="7">
        <v>25.4</v>
      </c>
      <c r="L37" s="7">
        <f t="shared" si="106"/>
        <v>11.25</v>
      </c>
      <c r="M37" s="7">
        <f t="shared" si="107"/>
        <v>11.25</v>
      </c>
      <c r="N37" s="7">
        <v>229</v>
      </c>
      <c r="O37" s="7">
        <f t="shared" si="108"/>
        <v>101.8</v>
      </c>
      <c r="P37" s="7">
        <v>305</v>
      </c>
      <c r="Q37" s="7">
        <v>0</v>
      </c>
      <c r="R37" s="7">
        <v>1</v>
      </c>
      <c r="S37" s="7">
        <v>81.97</v>
      </c>
      <c r="T37" s="7">
        <f t="shared" si="42"/>
        <v>3.7271653543307091</v>
      </c>
      <c r="U37" s="28">
        <f t="shared" si="109"/>
        <v>3.7271653543307091</v>
      </c>
      <c r="V37" s="28">
        <f t="shared" si="110"/>
        <v>8.3959536742577185</v>
      </c>
      <c r="W37" s="7">
        <f t="shared" si="43"/>
        <v>8.3959536742577185</v>
      </c>
      <c r="X37" s="7">
        <f t="shared" si="44"/>
        <v>9.3959536742577185</v>
      </c>
      <c r="Y37" s="7">
        <f t="shared" si="45"/>
        <v>77.858162529590359</v>
      </c>
      <c r="Z37" s="7"/>
      <c r="AA37" s="7"/>
      <c r="AB37" s="7">
        <f>265.95/(PI()/4*K37^2)*1000</f>
        <v>524.85903794766648</v>
      </c>
      <c r="AC37" s="7"/>
      <c r="AD37" s="7"/>
      <c r="AE37" s="7">
        <v>9.5</v>
      </c>
      <c r="AF37" s="7">
        <v>3</v>
      </c>
      <c r="AG37" s="7">
        <v>127</v>
      </c>
      <c r="AH37" s="7">
        <v>3</v>
      </c>
      <c r="AI37" s="7"/>
      <c r="AJ37" s="7"/>
      <c r="AK37" s="4">
        <f t="shared" si="126"/>
        <v>285.75</v>
      </c>
      <c r="AL37" s="4">
        <f t="shared" si="112"/>
        <v>0.16306737491389939</v>
      </c>
      <c r="AM37" s="25">
        <f t="shared" si="113"/>
        <v>559.8460793819969</v>
      </c>
      <c r="AN37" s="4">
        <f t="shared" si="114"/>
        <v>0.76626071741032364</v>
      </c>
      <c r="AO37" s="4">
        <v>1.25</v>
      </c>
      <c r="AP37" s="25">
        <f t="shared" si="115"/>
        <v>5</v>
      </c>
      <c r="AQ37" s="38">
        <f t="shared" si="116"/>
        <v>437.21222848148204</v>
      </c>
      <c r="AR37" s="38">
        <f t="shared" si="117"/>
        <v>437.21222848148204</v>
      </c>
      <c r="AT37" s="38">
        <f t="shared" si="46"/>
        <v>437.2122284814817</v>
      </c>
      <c r="AU37" s="3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38">
        <f t="shared" si="118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36">
        <f t="shared" si="53"/>
        <v>1.8910467582857926</v>
      </c>
      <c r="BF37" s="36">
        <f t="shared" si="54"/>
        <v>444.23099391443697</v>
      </c>
      <c r="BK37" s="4">
        <f t="shared" si="55"/>
        <v>101.8</v>
      </c>
      <c r="BL37" s="4">
        <f t="shared" si="56"/>
        <v>81.97</v>
      </c>
      <c r="BM37" s="4">
        <f t="shared" si="57"/>
        <v>101.8</v>
      </c>
      <c r="BN37" s="4">
        <f t="shared" si="58"/>
        <v>94.67</v>
      </c>
      <c r="BO37" s="4">
        <f t="shared" si="59"/>
        <v>1.0241917774795657</v>
      </c>
      <c r="BP37" s="25">
        <f t="shared" si="119"/>
        <v>4</v>
      </c>
      <c r="BR37" s="4">
        <f t="shared" si="60"/>
        <v>101.8</v>
      </c>
      <c r="BV37" s="9"/>
      <c r="BX37" s="9"/>
      <c r="BY37" s="9"/>
      <c r="BZ37" s="9">
        <f t="shared" si="61"/>
        <v>101.8</v>
      </c>
      <c r="CA37" s="9">
        <f t="shared" si="62"/>
        <v>101.8</v>
      </c>
      <c r="CB37" s="9">
        <f t="shared" si="63"/>
        <v>2.001967536137395</v>
      </c>
      <c r="CC37" s="9">
        <v>20</v>
      </c>
      <c r="CD37" s="9">
        <f t="shared" si="64"/>
        <v>0.05</v>
      </c>
      <c r="CE37" s="9">
        <f t="shared" si="65"/>
        <v>0.8</v>
      </c>
      <c r="CF37" s="9">
        <f t="shared" si="66"/>
        <v>0.99524931562137331</v>
      </c>
      <c r="CG37" s="9">
        <f t="shared" si="67"/>
        <v>0.97375</v>
      </c>
      <c r="CH37" s="9">
        <f t="shared" si="68"/>
        <v>1.9920214007072519</v>
      </c>
      <c r="CI37" s="9">
        <f t="shared" si="69"/>
        <v>4.98005350176813</v>
      </c>
      <c r="CJ37" s="9">
        <v>1</v>
      </c>
      <c r="CK37" s="9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38">
        <f t="shared" si="120"/>
        <v>524.85903794766648</v>
      </c>
      <c r="DS37" s="4">
        <f t="shared" si="79"/>
        <v>1</v>
      </c>
      <c r="DU37" s="4">
        <f t="shared" si="121"/>
        <v>437.2122284814817</v>
      </c>
      <c r="DY37" s="4">
        <f t="shared" si="80"/>
        <v>0.85</v>
      </c>
      <c r="DZ37" s="4">
        <f t="shared" si="81"/>
        <v>0.7</v>
      </c>
      <c r="EA37" s="4">
        <f t="shared" si="82"/>
        <v>0.82320199640399283</v>
      </c>
      <c r="EB37" s="4">
        <f t="shared" si="83"/>
        <v>0.7</v>
      </c>
      <c r="ED37" s="4">
        <f t="shared" si="122"/>
        <v>524.85903794766648</v>
      </c>
      <c r="EE37" s="25">
        <f t="shared" si="123"/>
        <v>417.51978296586339</v>
      </c>
      <c r="EH37" s="4">
        <f t="shared" si="84"/>
        <v>9.0102949642399413</v>
      </c>
      <c r="EI37" s="4">
        <f t="shared" si="85"/>
        <v>8.5778008059564232</v>
      </c>
      <c r="EK37" s="4">
        <f t="shared" si="86"/>
        <v>77.858162529590359</v>
      </c>
      <c r="EL37" s="4">
        <f t="shared" si="87"/>
        <v>3.0652819893539514</v>
      </c>
      <c r="EM37" s="4">
        <f t="shared" si="88"/>
        <v>0.14688652671799926</v>
      </c>
      <c r="EN37" s="4">
        <f>DI37</f>
        <v>285.75</v>
      </c>
      <c r="EO37" s="4">
        <f>EK37+EY37+EZ37</f>
        <v>285.75</v>
      </c>
      <c r="EP37" s="4">
        <f t="shared" si="89"/>
        <v>0.14688652671799926</v>
      </c>
      <c r="EQ37" s="4">
        <f t="shared" si="90"/>
        <v>0.45664082606037759</v>
      </c>
      <c r="ER37" s="4">
        <f t="shared" si="91"/>
        <v>6.58519899538069</v>
      </c>
      <c r="ES37" s="4">
        <f t="shared" si="92"/>
        <v>7.8916811030629992</v>
      </c>
      <c r="ET37" s="4">
        <f t="shared" si="93"/>
        <v>136.45433747040965</v>
      </c>
      <c r="EU37" s="4">
        <f t="shared" si="94"/>
        <v>71.4375</v>
      </c>
      <c r="EV37" s="4">
        <f t="shared" si="95"/>
        <v>2.0730984622674179E-5</v>
      </c>
      <c r="EW37" s="4">
        <f t="shared" si="96"/>
        <v>8.305627695351431</v>
      </c>
      <c r="EX37" s="4">
        <f t="shared" si="97"/>
        <v>524.85903794766648</v>
      </c>
      <c r="EY37" s="4">
        <f t="shared" si="98"/>
        <v>136.45433747040965</v>
      </c>
      <c r="EZ37" s="4">
        <f t="shared" si="99"/>
        <v>71.437499999999986</v>
      </c>
      <c r="FB37" s="4">
        <f t="shared" si="100"/>
        <v>0</v>
      </c>
      <c r="FG37" s="23"/>
      <c r="FH37" s="23"/>
      <c r="FI37" s="23"/>
      <c r="FJ37" s="23"/>
      <c r="FK37" s="23"/>
      <c r="FL37" s="23"/>
      <c r="FM37" s="23"/>
      <c r="FN37" s="23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customHeight="1" x14ac:dyDescent="0.3">
      <c r="A38" s="25">
        <v>20</v>
      </c>
      <c r="B38" s="26" t="s">
        <v>81</v>
      </c>
      <c r="C38" s="26"/>
      <c r="D38" s="26" t="s">
        <v>82</v>
      </c>
      <c r="E38" s="26"/>
      <c r="F38" s="7" t="s">
        <v>98</v>
      </c>
      <c r="G38" s="28">
        <f t="shared" si="105"/>
        <v>517.5</v>
      </c>
      <c r="H38" s="7">
        <f t="shared" si="131"/>
        <v>285.75</v>
      </c>
      <c r="I38" s="7">
        <f t="shared" si="124"/>
        <v>285.75</v>
      </c>
      <c r="J38" s="7">
        <v>34.49</v>
      </c>
      <c r="K38" s="7">
        <v>25.4</v>
      </c>
      <c r="L38" s="7">
        <f t="shared" si="106"/>
        <v>11.25</v>
      </c>
      <c r="M38" s="7">
        <f t="shared" si="107"/>
        <v>11.25</v>
      </c>
      <c r="N38" s="7">
        <v>229</v>
      </c>
      <c r="O38" s="7">
        <f t="shared" si="108"/>
        <v>101.8</v>
      </c>
      <c r="P38" s="7">
        <v>305</v>
      </c>
      <c r="Q38" s="7">
        <v>0</v>
      </c>
      <c r="R38" s="7">
        <v>1</v>
      </c>
      <c r="S38" s="7">
        <v>80.06</v>
      </c>
      <c r="T38" s="7">
        <f t="shared" si="42"/>
        <v>3.6519685039370082</v>
      </c>
      <c r="U38" s="28">
        <f t="shared" si="109"/>
        <v>3.6519685039370082</v>
      </c>
      <c r="V38" s="28">
        <f t="shared" si="110"/>
        <v>8.3959536742577185</v>
      </c>
      <c r="W38" s="7">
        <f t="shared" si="43"/>
        <v>8.3959536742577185</v>
      </c>
      <c r="X38" s="7">
        <f t="shared" si="44"/>
        <v>9.3959536742577185</v>
      </c>
      <c r="Y38" s="7">
        <f t="shared" si="45"/>
        <v>77.858162529590359</v>
      </c>
      <c r="Z38" s="7"/>
      <c r="AA38" s="7"/>
      <c r="AB38" s="7">
        <f>255.8/(PI()/4*K38^2)*1000</f>
        <v>504.82775674755823</v>
      </c>
      <c r="AC38" s="7"/>
      <c r="AD38" s="7"/>
      <c r="AE38" s="7">
        <v>9.5</v>
      </c>
      <c r="AF38" s="7">
        <v>3</v>
      </c>
      <c r="AG38" s="7">
        <v>127</v>
      </c>
      <c r="AH38" s="7">
        <v>3</v>
      </c>
      <c r="AI38" s="7"/>
      <c r="AJ38" s="7"/>
      <c r="AK38" s="4">
        <f t="shared" si="126"/>
        <v>285.75</v>
      </c>
      <c r="AL38" s="4">
        <f t="shared" si="112"/>
        <v>0.16247218733120594</v>
      </c>
      <c r="AM38" s="25">
        <f t="shared" si="113"/>
        <v>559.8460793819969</v>
      </c>
      <c r="AN38" s="4">
        <f t="shared" si="114"/>
        <v>0.7649238845144356</v>
      </c>
      <c r="AO38" s="4">
        <v>1.25</v>
      </c>
      <c r="AP38" s="25">
        <f t="shared" si="115"/>
        <v>5</v>
      </c>
      <c r="AQ38" s="38">
        <f t="shared" si="116"/>
        <v>434.85644156616553</v>
      </c>
      <c r="AR38" s="38">
        <f t="shared" si="117"/>
        <v>434.85644156616553</v>
      </c>
      <c r="AT38" s="38">
        <f t="shared" si="46"/>
        <v>434.85644156616524</v>
      </c>
      <c r="AU38" s="3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38">
        <f t="shared" si="118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36">
        <f t="shared" si="53"/>
        <v>1.8910467582857926</v>
      </c>
      <c r="BF38" s="36">
        <f t="shared" si="54"/>
        <v>444.23099391443697</v>
      </c>
      <c r="BK38" s="4">
        <f t="shared" si="55"/>
        <v>101.8</v>
      </c>
      <c r="BL38" s="4">
        <f t="shared" si="56"/>
        <v>80.06</v>
      </c>
      <c r="BM38" s="4">
        <f t="shared" si="57"/>
        <v>101.8</v>
      </c>
      <c r="BN38" s="4">
        <f t="shared" si="58"/>
        <v>92.76</v>
      </c>
      <c r="BO38" s="4">
        <f t="shared" si="59"/>
        <v>1.0271546340244817</v>
      </c>
      <c r="BP38" s="25">
        <f t="shared" si="119"/>
        <v>4</v>
      </c>
      <c r="BR38" s="4">
        <f t="shared" si="60"/>
        <v>101.8</v>
      </c>
      <c r="BV38" s="9"/>
      <c r="BX38" s="9"/>
      <c r="BY38" s="9"/>
      <c r="BZ38" s="9">
        <f t="shared" si="61"/>
        <v>101.8</v>
      </c>
      <c r="CA38" s="9">
        <f t="shared" si="62"/>
        <v>101.8</v>
      </c>
      <c r="CB38" s="9">
        <f t="shared" si="63"/>
        <v>2.001967536137395</v>
      </c>
      <c r="CC38" s="9">
        <v>20</v>
      </c>
      <c r="CD38" s="9">
        <f>MIN(PI()*AE38^2/4*AF38*2/R38/K38/MAX(0.01,AG38),0.05)</f>
        <v>0.05</v>
      </c>
      <c r="CE38" s="9">
        <f t="shared" si="65"/>
        <v>0.8</v>
      </c>
      <c r="CF38" s="9">
        <f t="shared" si="66"/>
        <v>0.99524931562137331</v>
      </c>
      <c r="CG38" s="9">
        <f t="shared" si="67"/>
        <v>0.97375</v>
      </c>
      <c r="CH38" s="9">
        <f t="shared" si="68"/>
        <v>1.9920214007072519</v>
      </c>
      <c r="CI38" s="9">
        <f t="shared" si="69"/>
        <v>4.98005350176813</v>
      </c>
      <c r="CJ38" s="9">
        <v>1</v>
      </c>
      <c r="CK38" s="9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38">
        <f t="shared" si="120"/>
        <v>517.5</v>
      </c>
      <c r="DS38" s="4">
        <f t="shared" si="79"/>
        <v>1</v>
      </c>
      <c r="DU38" s="4">
        <f t="shared" si="121"/>
        <v>434.85644156616524</v>
      </c>
      <c r="DY38" s="4">
        <f t="shared" si="80"/>
        <v>0.85</v>
      </c>
      <c r="DZ38" s="4">
        <f t="shared" si="81"/>
        <v>0.7</v>
      </c>
      <c r="EA38" s="4">
        <f t="shared" si="82"/>
        <v>0.82320199640399283</v>
      </c>
      <c r="EB38" s="4">
        <f t="shared" si="83"/>
        <v>0.7</v>
      </c>
      <c r="ED38" s="4">
        <f t="shared" si="122"/>
        <v>517.5</v>
      </c>
      <c r="EE38" s="25">
        <f t="shared" si="123"/>
        <v>416.78282106744894</v>
      </c>
      <c r="EH38" s="4">
        <f t="shared" si="84"/>
        <v>9.0102949642399413</v>
      </c>
      <c r="EI38" s="4">
        <f t="shared" si="85"/>
        <v>8.5778008059564232</v>
      </c>
      <c r="EK38" s="4">
        <f t="shared" si="86"/>
        <v>77.858162529590359</v>
      </c>
      <c r="EL38" s="4">
        <f t="shared" si="87"/>
        <v>3.0652819893539514</v>
      </c>
      <c r="EM38" s="4">
        <f t="shared" si="88"/>
        <v>0.14609507273950373</v>
      </c>
      <c r="EP38" s="4">
        <f t="shared" si="89"/>
        <v>0.14609507273950373</v>
      </c>
      <c r="EQ38" s="4">
        <f t="shared" si="90"/>
        <v>0.45418035397621681</v>
      </c>
      <c r="ER38" s="4">
        <f t="shared" si="91"/>
        <v>6.5709830392821145</v>
      </c>
      <c r="ES38" s="4">
        <f t="shared" si="92"/>
        <v>7.8857596557302916</v>
      </c>
      <c r="ET38" s="4">
        <f t="shared" si="93"/>
        <v>136.45433747040965</v>
      </c>
      <c r="EU38" s="4">
        <f t="shared" si="94"/>
        <v>71.4375</v>
      </c>
      <c r="EV38" s="4">
        <f t="shared" si="95"/>
        <v>2.0730984622674179E-5</v>
      </c>
      <c r="EW38" s="4">
        <f t="shared" si="96"/>
        <v>8.3063336283618412</v>
      </c>
      <c r="EX38" s="4">
        <f t="shared" si="97"/>
        <v>517.5</v>
      </c>
      <c r="EY38" s="4">
        <f t="shared" si="98"/>
        <v>136.45433747040965</v>
      </c>
      <c r="EZ38" s="4">
        <f t="shared" si="99"/>
        <v>71.437499999999986</v>
      </c>
      <c r="FB38" s="4">
        <f t="shared" si="100"/>
        <v>0</v>
      </c>
      <c r="FG38" s="23"/>
      <c r="FH38" s="23"/>
      <c r="FI38" s="23"/>
      <c r="FJ38" s="23"/>
      <c r="FK38" s="23"/>
      <c r="FL38" s="23"/>
      <c r="FM38" s="23"/>
      <c r="FN38" s="23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customHeight="1" x14ac:dyDescent="0.3">
      <c r="A39" s="25">
        <v>21</v>
      </c>
      <c r="B39" s="26" t="s">
        <v>81</v>
      </c>
      <c r="C39" s="26"/>
      <c r="D39" s="26" t="s">
        <v>82</v>
      </c>
      <c r="E39" s="26"/>
      <c r="F39" s="7" t="s">
        <v>99</v>
      </c>
      <c r="G39" s="28">
        <f t="shared" si="105"/>
        <v>517.5</v>
      </c>
      <c r="H39" s="7">
        <f t="shared" si="131"/>
        <v>285.75</v>
      </c>
      <c r="I39" s="7">
        <f t="shared" si="124"/>
        <v>285.75</v>
      </c>
      <c r="J39" s="7">
        <v>34.49</v>
      </c>
      <c r="K39" s="7">
        <v>25.4</v>
      </c>
      <c r="L39" s="7">
        <f t="shared" si="106"/>
        <v>11.25</v>
      </c>
      <c r="M39" s="7">
        <f t="shared" si="107"/>
        <v>11.25</v>
      </c>
      <c r="N39" s="7">
        <v>229</v>
      </c>
      <c r="O39" s="7">
        <f t="shared" si="108"/>
        <v>101.8</v>
      </c>
      <c r="P39" s="7">
        <v>305</v>
      </c>
      <c r="Q39" s="7">
        <v>0</v>
      </c>
      <c r="R39" s="7">
        <v>1</v>
      </c>
      <c r="S39" s="7">
        <v>82.4</v>
      </c>
      <c r="T39" s="7">
        <f t="shared" si="42"/>
        <v>3.7440944881889768</v>
      </c>
      <c r="U39" s="28">
        <f t="shared" si="109"/>
        <v>3.7440944881889768</v>
      </c>
      <c r="V39" s="28">
        <f t="shared" si="110"/>
        <v>8.3959536742577185</v>
      </c>
      <c r="W39" s="7">
        <f t="shared" si="43"/>
        <v>8.3959536742577185</v>
      </c>
      <c r="X39" s="7">
        <f t="shared" si="44"/>
        <v>9.3959536742577185</v>
      </c>
      <c r="Y39" s="7">
        <f t="shared" si="45"/>
        <v>77.858162529590359</v>
      </c>
      <c r="Z39" s="7"/>
      <c r="AA39" s="7"/>
      <c r="AB39" s="7">
        <f>246.02/(PI()/4*K39^2)*1000</f>
        <v>485.52667988676416</v>
      </c>
      <c r="AC39" s="7"/>
      <c r="AD39" s="7"/>
      <c r="AE39" s="7">
        <v>9.5</v>
      </c>
      <c r="AF39" s="7">
        <v>3</v>
      </c>
      <c r="AG39" s="7">
        <v>127</v>
      </c>
      <c r="AH39" s="7">
        <v>3</v>
      </c>
      <c r="AI39" s="7"/>
      <c r="AJ39" s="7"/>
      <c r="AK39" s="4">
        <f t="shared" si="126"/>
        <v>285.75</v>
      </c>
      <c r="AL39" s="4">
        <f t="shared" si="112"/>
        <v>0.16320137002413923</v>
      </c>
      <c r="AM39" s="25">
        <f t="shared" si="113"/>
        <v>559.8460793819969</v>
      </c>
      <c r="AN39" s="4">
        <f t="shared" si="114"/>
        <v>0.76656167979002621</v>
      </c>
      <c r="AO39" s="4">
        <v>1.25</v>
      </c>
      <c r="AP39" s="25">
        <f t="shared" si="115"/>
        <v>5</v>
      </c>
      <c r="AQ39" s="38">
        <f t="shared" si="116"/>
        <v>437.74335677333755</v>
      </c>
      <c r="AR39" s="38">
        <f t="shared" si="117"/>
        <v>437.74335677333755</v>
      </c>
      <c r="AT39" s="38">
        <f t="shared" si="46"/>
        <v>437.74335677333738</v>
      </c>
      <c r="AU39" s="3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38">
        <f t="shared" si="118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36">
        <f t="shared" si="53"/>
        <v>1.8910467582857926</v>
      </c>
      <c r="BF39" s="36">
        <f t="shared" si="54"/>
        <v>444.23099391443697</v>
      </c>
      <c r="BK39" s="4">
        <f t="shared" si="55"/>
        <v>101.8</v>
      </c>
      <c r="BL39" s="4">
        <f t="shared" si="56"/>
        <v>82.4</v>
      </c>
      <c r="BM39" s="4">
        <f t="shared" si="57"/>
        <v>101.8</v>
      </c>
      <c r="BN39" s="4">
        <f t="shared" si="58"/>
        <v>95.100000000000009</v>
      </c>
      <c r="BO39" s="4">
        <f t="shared" si="59"/>
        <v>1.0235436893203884</v>
      </c>
      <c r="BP39" s="25">
        <f t="shared" si="119"/>
        <v>4</v>
      </c>
      <c r="BR39" s="4">
        <f t="shared" si="60"/>
        <v>101.8</v>
      </c>
      <c r="BV39" s="9"/>
      <c r="BX39" s="9"/>
      <c r="BY39" s="9"/>
      <c r="BZ39" s="9">
        <f t="shared" si="61"/>
        <v>101.8</v>
      </c>
      <c r="CA39" s="9">
        <f t="shared" si="62"/>
        <v>101.8</v>
      </c>
      <c r="CB39" s="9">
        <f t="shared" si="63"/>
        <v>2.001967536137395</v>
      </c>
      <c r="CC39" s="9">
        <v>20</v>
      </c>
      <c r="CD39" s="9">
        <f t="shared" ref="CD39:CD102" si="132">MIN(PI()*AE39^2/4*AF39*2/R39/K39/MAX(0.01,AG39),0.05)</f>
        <v>0.05</v>
      </c>
      <c r="CE39" s="9">
        <f t="shared" si="65"/>
        <v>0.8</v>
      </c>
      <c r="CF39" s="9">
        <f t="shared" si="66"/>
        <v>0.99524931562137331</v>
      </c>
      <c r="CG39" s="9">
        <f t="shared" si="67"/>
        <v>0.97375</v>
      </c>
      <c r="CH39" s="9">
        <f t="shared" si="68"/>
        <v>1.9920214007072519</v>
      </c>
      <c r="CI39" s="9">
        <f t="shared" si="69"/>
        <v>4.98005350176813</v>
      </c>
      <c r="CJ39" s="9">
        <v>1</v>
      </c>
      <c r="CK39" s="9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38">
        <f t="shared" si="120"/>
        <v>517.5</v>
      </c>
      <c r="DS39" s="4">
        <f t="shared" si="79"/>
        <v>1</v>
      </c>
      <c r="DU39" s="4">
        <f t="shared" si="121"/>
        <v>437.74335677333738</v>
      </c>
      <c r="DY39" s="4">
        <f t="shared" si="80"/>
        <v>0.85</v>
      </c>
      <c r="DZ39" s="4">
        <f t="shared" si="81"/>
        <v>0.7</v>
      </c>
      <c r="EA39" s="4">
        <f t="shared" si="82"/>
        <v>0.82320199640399283</v>
      </c>
      <c r="EB39" s="4">
        <f t="shared" si="83"/>
        <v>0.7</v>
      </c>
      <c r="ED39" s="4">
        <f t="shared" si="122"/>
        <v>517.5</v>
      </c>
      <c r="EE39" s="25">
        <f t="shared" si="123"/>
        <v>417.68569585398814</v>
      </c>
      <c r="EH39" s="4">
        <f t="shared" si="84"/>
        <v>9.0102949642399413</v>
      </c>
      <c r="EI39" s="4">
        <f t="shared" si="85"/>
        <v>8.5778008059564232</v>
      </c>
      <c r="EK39" s="4">
        <f t="shared" si="86"/>
        <v>77.858162529590359</v>
      </c>
      <c r="EL39" s="4">
        <f t="shared" si="87"/>
        <v>3.0652819893539514</v>
      </c>
      <c r="EM39" s="4">
        <f t="shared" si="88"/>
        <v>0.14706496543711581</v>
      </c>
      <c r="EP39" s="4">
        <f t="shared" si="89"/>
        <v>0.14706496543711581</v>
      </c>
      <c r="EQ39" s="4">
        <f t="shared" si="90"/>
        <v>0.45719555634040504</v>
      </c>
      <c r="ER39" s="4">
        <f t="shared" si="91"/>
        <v>6.5883977271859084</v>
      </c>
      <c r="ES39" s="4">
        <f t="shared" si="92"/>
        <v>7.8930146548964295</v>
      </c>
      <c r="ET39" s="4">
        <f t="shared" si="93"/>
        <v>136.45433747040965</v>
      </c>
      <c r="EU39" s="4">
        <f t="shared" si="94"/>
        <v>71.4375</v>
      </c>
      <c r="EV39" s="4">
        <f t="shared" si="95"/>
        <v>2.0730984622674179E-5</v>
      </c>
      <c r="EW39" s="4">
        <f t="shared" si="96"/>
        <v>8.3054687946729437</v>
      </c>
      <c r="EX39" s="4">
        <f t="shared" si="97"/>
        <v>517.5</v>
      </c>
      <c r="EY39" s="4">
        <f t="shared" si="98"/>
        <v>136.45433747040965</v>
      </c>
      <c r="EZ39" s="4">
        <f t="shared" si="99"/>
        <v>71.437499999999986</v>
      </c>
      <c r="FB39" s="4">
        <f t="shared" si="100"/>
        <v>0</v>
      </c>
      <c r="FG39" s="23"/>
      <c r="FH39" s="23"/>
      <c r="FI39" s="23"/>
      <c r="FJ39" s="23"/>
      <c r="FK39" s="23"/>
      <c r="FL39" s="23"/>
      <c r="FM39" s="23"/>
      <c r="FN39" s="23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customHeight="1" x14ac:dyDescent="0.3">
      <c r="A40" s="25">
        <v>22</v>
      </c>
      <c r="B40" s="26" t="s">
        <v>81</v>
      </c>
      <c r="C40" s="26"/>
      <c r="D40" s="26" t="s">
        <v>82</v>
      </c>
      <c r="E40" s="26"/>
      <c r="F40" s="7" t="s">
        <v>100</v>
      </c>
      <c r="G40" s="28">
        <f t="shared" si="105"/>
        <v>517.5</v>
      </c>
      <c r="H40" s="7">
        <f t="shared" si="131"/>
        <v>285.75</v>
      </c>
      <c r="I40" s="7">
        <f t="shared" si="124"/>
        <v>285.75</v>
      </c>
      <c r="J40" s="7">
        <v>34.659999999999997</v>
      </c>
      <c r="K40" s="7">
        <v>25.4</v>
      </c>
      <c r="L40" s="7">
        <f t="shared" si="106"/>
        <v>11.25</v>
      </c>
      <c r="M40" s="7">
        <f t="shared" si="107"/>
        <v>11.25</v>
      </c>
      <c r="N40" s="7">
        <v>229</v>
      </c>
      <c r="O40" s="7">
        <f t="shared" si="108"/>
        <v>101.8</v>
      </c>
      <c r="P40" s="7">
        <v>305</v>
      </c>
      <c r="Q40" s="7">
        <v>0</v>
      </c>
      <c r="R40" s="7">
        <v>1</v>
      </c>
      <c r="S40" s="7">
        <v>76.86</v>
      </c>
      <c r="T40" s="7">
        <f t="shared" si="42"/>
        <v>3.5259842519685041</v>
      </c>
      <c r="U40" s="28">
        <f t="shared" si="109"/>
        <v>3.5259842519685041</v>
      </c>
      <c r="V40" s="28">
        <f t="shared" si="110"/>
        <v>8.3959536742577185</v>
      </c>
      <c r="W40" s="7">
        <f t="shared" si="43"/>
        <v>8.3959536742577185</v>
      </c>
      <c r="X40" s="7">
        <f t="shared" si="44"/>
        <v>9.3959536742577185</v>
      </c>
      <c r="Y40" s="7">
        <f t="shared" si="45"/>
        <v>77.858162529590359</v>
      </c>
      <c r="Z40" s="7"/>
      <c r="AA40" s="7"/>
      <c r="AB40" s="7">
        <f>258.56/(PI()/4*K40^2)*1000</f>
        <v>510.2746864137946</v>
      </c>
      <c r="AC40" s="7"/>
      <c r="AD40" s="7"/>
      <c r="AE40" s="7">
        <v>9.5</v>
      </c>
      <c r="AF40" s="7">
        <v>4</v>
      </c>
      <c r="AG40" s="7">
        <v>76</v>
      </c>
      <c r="AH40" s="7">
        <v>4</v>
      </c>
      <c r="AI40" s="7"/>
      <c r="AJ40" s="7"/>
      <c r="AK40" s="4">
        <f t="shared" si="126"/>
        <v>285.75</v>
      </c>
      <c r="AL40" s="4">
        <f t="shared" si="112"/>
        <v>0.16147501441779291</v>
      </c>
      <c r="AM40" s="25">
        <f t="shared" si="113"/>
        <v>561.22411424012159</v>
      </c>
      <c r="AN40" s="4">
        <f t="shared" si="114"/>
        <v>0.76268416447943999</v>
      </c>
      <c r="AO40" s="4">
        <v>1.25</v>
      </c>
      <c r="AP40" s="25">
        <f t="shared" si="115"/>
        <v>5</v>
      </c>
      <c r="AQ40" s="38">
        <f t="shared" si="116"/>
        <v>431.98274696563578</v>
      </c>
      <c r="AR40" s="38">
        <f t="shared" si="117"/>
        <v>431.98274696563578</v>
      </c>
      <c r="AT40" s="38">
        <f t="shared" si="46"/>
        <v>431.9827469656355</v>
      </c>
      <c r="AU40" s="3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38">
        <f t="shared" si="118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36">
        <f t="shared" si="53"/>
        <v>2.2250000000000001</v>
      </c>
      <c r="BF40" s="36">
        <f t="shared" si="54"/>
        <v>523.9674226514469</v>
      </c>
      <c r="BK40" s="4">
        <f t="shared" si="55"/>
        <v>101.8</v>
      </c>
      <c r="BL40" s="4">
        <f t="shared" si="56"/>
        <v>76.86</v>
      </c>
      <c r="BM40" s="4">
        <f t="shared" si="57"/>
        <v>101.8</v>
      </c>
      <c r="BN40" s="4">
        <f t="shared" si="58"/>
        <v>89.56</v>
      </c>
      <c r="BO40" s="4">
        <f t="shared" si="59"/>
        <v>1.0324486078584441</v>
      </c>
      <c r="BP40" s="25">
        <f t="shared" si="119"/>
        <v>4</v>
      </c>
      <c r="BR40" s="4">
        <f t="shared" si="60"/>
        <v>101.8</v>
      </c>
      <c r="BV40" s="9"/>
      <c r="BX40" s="9"/>
      <c r="BY40" s="9"/>
      <c r="BZ40" s="9">
        <f t="shared" si="61"/>
        <v>101.8</v>
      </c>
      <c r="CA40" s="9">
        <f t="shared" si="62"/>
        <v>101.8</v>
      </c>
      <c r="CB40" s="9">
        <f t="shared" si="63"/>
        <v>2.001967536137395</v>
      </c>
      <c r="CC40" s="9">
        <v>20</v>
      </c>
      <c r="CD40" s="9">
        <f t="shared" si="132"/>
        <v>0.05</v>
      </c>
      <c r="CE40" s="9">
        <f t="shared" si="65"/>
        <v>0.8</v>
      </c>
      <c r="CF40" s="9">
        <f t="shared" si="66"/>
        <v>0.99524931562137331</v>
      </c>
      <c r="CG40" s="9">
        <f t="shared" si="67"/>
        <v>0.97375</v>
      </c>
      <c r="CH40" s="9">
        <f t="shared" si="68"/>
        <v>1.9969246679255115</v>
      </c>
      <c r="CI40" s="9">
        <f t="shared" si="69"/>
        <v>4.9923116698137786</v>
      </c>
      <c r="CJ40" s="9">
        <v>1</v>
      </c>
      <c r="CK40" s="9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38">
        <f t="shared" si="120"/>
        <v>517.5</v>
      </c>
      <c r="DS40" s="4">
        <f t="shared" si="79"/>
        <v>1</v>
      </c>
      <c r="DU40" s="4">
        <f t="shared" si="121"/>
        <v>431.9827469656355</v>
      </c>
      <c r="DY40" s="4">
        <f t="shared" si="80"/>
        <v>0.85</v>
      </c>
      <c r="DZ40" s="4">
        <f t="shared" si="81"/>
        <v>0.7</v>
      </c>
      <c r="EA40" s="4">
        <f t="shared" si="82"/>
        <v>0.73926932853865712</v>
      </c>
      <c r="EB40" s="4">
        <f t="shared" si="83"/>
        <v>0.7</v>
      </c>
      <c r="ED40" s="4">
        <f t="shared" si="122"/>
        <v>517.5</v>
      </c>
      <c r="EE40" s="25">
        <f t="shared" si="123"/>
        <v>416.57097270702945</v>
      </c>
      <c r="EH40" s="4">
        <f t="shared" si="84"/>
        <v>9.0324733825588019</v>
      </c>
      <c r="EI40" s="4">
        <f t="shared" si="85"/>
        <v>8.5989146601959785</v>
      </c>
      <c r="EK40" s="4">
        <f t="shared" si="86"/>
        <v>77.858162529590359</v>
      </c>
      <c r="EL40" s="4">
        <f t="shared" si="87"/>
        <v>3.0652819893539514</v>
      </c>
      <c r="EM40" s="4">
        <f t="shared" si="88"/>
        <v>0.14477326904881829</v>
      </c>
      <c r="EP40" s="4">
        <f t="shared" si="89"/>
        <v>0.14477326904881829</v>
      </c>
      <c r="EQ40" s="4">
        <f t="shared" si="90"/>
        <v>0.4489660219375291</v>
      </c>
      <c r="ER40" s="4">
        <f t="shared" si="91"/>
        <v>6.556802166961301</v>
      </c>
      <c r="ES40" s="4">
        <f t="shared" si="92"/>
        <v>7.8925545162461042</v>
      </c>
      <c r="ET40" s="4">
        <f t="shared" si="93"/>
        <v>136.45433747040965</v>
      </c>
      <c r="EU40" s="4">
        <f t="shared" si="94"/>
        <v>71.4375</v>
      </c>
      <c r="EV40" s="4">
        <f t="shared" si="95"/>
        <v>2.0755210712749404E-5</v>
      </c>
      <c r="EW40" s="4">
        <f t="shared" si="96"/>
        <v>8.3257607628853858</v>
      </c>
      <c r="EX40" s="4">
        <f t="shared" si="97"/>
        <v>517.5</v>
      </c>
      <c r="EY40" s="4">
        <f t="shared" si="98"/>
        <v>136.45433747040965</v>
      </c>
      <c r="EZ40" s="4">
        <f t="shared" si="99"/>
        <v>71.437499999999986</v>
      </c>
      <c r="FB40" s="4">
        <f t="shared" si="100"/>
        <v>0</v>
      </c>
      <c r="FG40" s="23"/>
      <c r="FH40" s="23"/>
      <c r="FI40" s="23"/>
      <c r="FJ40" s="23"/>
      <c r="FK40" s="23"/>
      <c r="FL40" s="23"/>
      <c r="FM40" s="23"/>
      <c r="FN40" s="23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customHeight="1" x14ac:dyDescent="0.3">
      <c r="A41" s="25">
        <v>23</v>
      </c>
      <c r="B41" s="26" t="s">
        <v>81</v>
      </c>
      <c r="C41" s="26"/>
      <c r="D41" s="26" t="s">
        <v>82</v>
      </c>
      <c r="E41" s="26"/>
      <c r="F41" s="7" t="s">
        <v>101</v>
      </c>
      <c r="G41" s="28">
        <f t="shared" si="105"/>
        <v>517.5</v>
      </c>
      <c r="H41" s="7">
        <f t="shared" si="131"/>
        <v>285.75</v>
      </c>
      <c r="I41" s="7">
        <f t="shared" si="124"/>
        <v>285.75</v>
      </c>
      <c r="J41" s="7">
        <v>34.659999999999997</v>
      </c>
      <c r="K41" s="7">
        <v>25.4</v>
      </c>
      <c r="L41" s="7">
        <f t="shared" si="106"/>
        <v>11.25</v>
      </c>
      <c r="M41" s="7">
        <f t="shared" si="107"/>
        <v>11.25</v>
      </c>
      <c r="N41" s="7">
        <v>229</v>
      </c>
      <c r="O41" s="7">
        <f t="shared" si="108"/>
        <v>101.8</v>
      </c>
      <c r="P41" s="7">
        <v>305</v>
      </c>
      <c r="Q41" s="7">
        <v>0</v>
      </c>
      <c r="R41" s="7">
        <v>1</v>
      </c>
      <c r="S41" s="7">
        <v>80.19</v>
      </c>
      <c r="T41" s="7">
        <f t="shared" si="42"/>
        <v>3.6570866141732288</v>
      </c>
      <c r="U41" s="28">
        <f t="shared" si="109"/>
        <v>3.6570866141732288</v>
      </c>
      <c r="V41" s="28">
        <f t="shared" si="110"/>
        <v>8.3959536742577185</v>
      </c>
      <c r="W41" s="7">
        <f t="shared" si="43"/>
        <v>8.3959536742577185</v>
      </c>
      <c r="X41" s="7">
        <f t="shared" si="44"/>
        <v>9.3959536742577185</v>
      </c>
      <c r="Y41" s="7">
        <f t="shared" si="45"/>
        <v>77.858162529590359</v>
      </c>
      <c r="Z41" s="7"/>
      <c r="AA41" s="7"/>
      <c r="AB41" s="7">
        <f>253.27/(PI()/4*K41^2)*1000</f>
        <v>499.83473788684159</v>
      </c>
      <c r="AC41" s="7"/>
      <c r="AD41" s="7"/>
      <c r="AE41" s="7">
        <v>9.5</v>
      </c>
      <c r="AF41" s="7">
        <v>4</v>
      </c>
      <c r="AG41" s="7">
        <v>76</v>
      </c>
      <c r="AH41" s="7">
        <v>4</v>
      </c>
      <c r="AI41" s="7"/>
      <c r="AJ41" s="7"/>
      <c r="AK41" s="4">
        <f t="shared" si="126"/>
        <v>285.75</v>
      </c>
      <c r="AL41" s="4">
        <f t="shared" si="112"/>
        <v>0.16251269748081335</v>
      </c>
      <c r="AM41" s="25">
        <f t="shared" si="113"/>
        <v>561.22411424012159</v>
      </c>
      <c r="AN41" s="4">
        <f t="shared" si="114"/>
        <v>0.76501487314085737</v>
      </c>
      <c r="AO41" s="4">
        <v>1.25</v>
      </c>
      <c r="AP41" s="25">
        <f t="shared" si="115"/>
        <v>5</v>
      </c>
      <c r="AQ41" s="38">
        <f t="shared" si="116"/>
        <v>436.0873794570511</v>
      </c>
      <c r="AR41" s="38">
        <f t="shared" si="117"/>
        <v>436.0873794570511</v>
      </c>
      <c r="AT41" s="38">
        <f t="shared" si="46"/>
        <v>436.08737945705087</v>
      </c>
      <c r="AU41" s="3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38">
        <f t="shared" si="118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36">
        <f t="shared" si="53"/>
        <v>2.2250000000000001</v>
      </c>
      <c r="BF41" s="36">
        <f t="shared" si="54"/>
        <v>523.9674226514469</v>
      </c>
      <c r="BK41" s="4">
        <f t="shared" si="55"/>
        <v>101.8</v>
      </c>
      <c r="BL41" s="4">
        <f t="shared" si="56"/>
        <v>80.19</v>
      </c>
      <c r="BM41" s="4">
        <f t="shared" si="57"/>
        <v>101.8</v>
      </c>
      <c r="BN41" s="4">
        <f t="shared" si="58"/>
        <v>92.89</v>
      </c>
      <c r="BO41" s="4">
        <f t="shared" si="59"/>
        <v>1.0269484973188676</v>
      </c>
      <c r="BP41" s="25">
        <f t="shared" si="119"/>
        <v>4</v>
      </c>
      <c r="BR41" s="4">
        <f t="shared" si="60"/>
        <v>101.8</v>
      </c>
      <c r="BV41" s="9"/>
      <c r="BX41" s="9"/>
      <c r="BY41" s="9"/>
      <c r="BZ41" s="9">
        <f t="shared" si="61"/>
        <v>101.8</v>
      </c>
      <c r="CA41" s="9">
        <f t="shared" si="62"/>
        <v>101.8</v>
      </c>
      <c r="CB41" s="9">
        <f t="shared" si="63"/>
        <v>2.001967536137395</v>
      </c>
      <c r="CC41" s="9">
        <v>20</v>
      </c>
      <c r="CD41" s="9">
        <f t="shared" si="132"/>
        <v>0.05</v>
      </c>
      <c r="CE41" s="9">
        <f t="shared" si="65"/>
        <v>0.8</v>
      </c>
      <c r="CF41" s="9">
        <f t="shared" si="66"/>
        <v>0.99524931562137331</v>
      </c>
      <c r="CG41" s="9">
        <f t="shared" si="67"/>
        <v>0.97375</v>
      </c>
      <c r="CH41" s="9">
        <f t="shared" si="68"/>
        <v>1.9969246679255115</v>
      </c>
      <c r="CI41" s="9">
        <f t="shared" si="69"/>
        <v>4.9923116698137786</v>
      </c>
      <c r="CJ41" s="9">
        <v>1</v>
      </c>
      <c r="CK41" s="9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38">
        <f t="shared" si="120"/>
        <v>517.5</v>
      </c>
      <c r="DS41" s="4">
        <f t="shared" si="79"/>
        <v>1</v>
      </c>
      <c r="DU41" s="4">
        <f t="shared" si="121"/>
        <v>436.08737945705087</v>
      </c>
      <c r="DY41" s="4">
        <f t="shared" si="80"/>
        <v>0.85</v>
      </c>
      <c r="DZ41" s="4">
        <f t="shared" si="81"/>
        <v>0.7</v>
      </c>
      <c r="EA41" s="4">
        <f t="shared" si="82"/>
        <v>0.73926932853865712</v>
      </c>
      <c r="EB41" s="4">
        <f t="shared" si="83"/>
        <v>0.7</v>
      </c>
      <c r="ED41" s="4">
        <f t="shared" si="122"/>
        <v>517.5</v>
      </c>
      <c r="EE41" s="25">
        <f t="shared" si="123"/>
        <v>417.85899560346201</v>
      </c>
      <c r="EH41" s="4">
        <f t="shared" si="84"/>
        <v>9.0324733825588019</v>
      </c>
      <c r="EI41" s="4">
        <f t="shared" si="85"/>
        <v>8.5989146601959785</v>
      </c>
      <c r="EK41" s="4">
        <f t="shared" si="86"/>
        <v>77.858162529590359</v>
      </c>
      <c r="EL41" s="4">
        <f t="shared" si="87"/>
        <v>3.0652819893539514</v>
      </c>
      <c r="EM41" s="4">
        <f t="shared" si="88"/>
        <v>0.14614888200604936</v>
      </c>
      <c r="EP41" s="4">
        <f t="shared" si="89"/>
        <v>0.14614888200604936</v>
      </c>
      <c r="EQ41" s="4">
        <f t="shared" si="90"/>
        <v>0.45323202685122277</v>
      </c>
      <c r="ER41" s="4">
        <f t="shared" si="91"/>
        <v>6.5816521704497388</v>
      </c>
      <c r="ES41" s="4">
        <f t="shared" si="92"/>
        <v>7.9028793178392709</v>
      </c>
      <c r="ET41" s="4">
        <f t="shared" si="93"/>
        <v>136.45433747040965</v>
      </c>
      <c r="EU41" s="4">
        <f t="shared" si="94"/>
        <v>71.4375</v>
      </c>
      <c r="EV41" s="4">
        <f t="shared" si="95"/>
        <v>2.0755210712749404E-5</v>
      </c>
      <c r="EW41" s="4">
        <f t="shared" si="96"/>
        <v>8.3245236605571389</v>
      </c>
      <c r="EX41" s="4">
        <f t="shared" si="97"/>
        <v>517.5</v>
      </c>
      <c r="EY41" s="4">
        <f t="shared" si="98"/>
        <v>136.45433747040965</v>
      </c>
      <c r="EZ41" s="4">
        <f t="shared" si="99"/>
        <v>71.437499999999986</v>
      </c>
      <c r="FB41" s="4">
        <f t="shared" si="100"/>
        <v>0</v>
      </c>
      <c r="FG41" s="23"/>
      <c r="FH41" s="23"/>
      <c r="FI41" s="23"/>
      <c r="FJ41" s="23"/>
      <c r="FK41" s="23"/>
      <c r="FL41" s="23"/>
      <c r="FM41" s="23"/>
      <c r="FN41" s="23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customHeight="1" x14ac:dyDescent="0.3">
      <c r="A42" s="25">
        <v>24</v>
      </c>
      <c r="B42" s="26" t="s">
        <v>81</v>
      </c>
      <c r="C42" s="26"/>
      <c r="D42" s="26" t="s">
        <v>82</v>
      </c>
      <c r="E42" s="26"/>
      <c r="F42" s="7" t="s">
        <v>102</v>
      </c>
      <c r="G42" s="28">
        <f t="shared" si="105"/>
        <v>517.5</v>
      </c>
      <c r="H42" s="7">
        <f t="shared" si="131"/>
        <v>285.75</v>
      </c>
      <c r="I42" s="7">
        <f t="shared" si="124"/>
        <v>285.75</v>
      </c>
      <c r="J42" s="7">
        <v>34.659999999999997</v>
      </c>
      <c r="K42" s="7">
        <v>25.4</v>
      </c>
      <c r="L42" s="7">
        <f t="shared" si="106"/>
        <v>11.25</v>
      </c>
      <c r="M42" s="7">
        <f t="shared" si="107"/>
        <v>11.25</v>
      </c>
      <c r="N42" s="7">
        <v>229</v>
      </c>
      <c r="O42" s="7">
        <f t="shared" si="108"/>
        <v>101.8</v>
      </c>
      <c r="P42" s="7">
        <v>305</v>
      </c>
      <c r="Q42" s="7">
        <v>0</v>
      </c>
      <c r="R42" s="7">
        <v>1</v>
      </c>
      <c r="S42" s="7">
        <v>82.22</v>
      </c>
      <c r="T42" s="7">
        <f t="shared" si="42"/>
        <v>3.7370078740157484</v>
      </c>
      <c r="U42" s="28">
        <f t="shared" si="109"/>
        <v>3.7370078740157484</v>
      </c>
      <c r="V42" s="28">
        <f t="shared" si="110"/>
        <v>8.3959536742577185</v>
      </c>
      <c r="W42" s="7">
        <f t="shared" si="43"/>
        <v>8.3959536742577185</v>
      </c>
      <c r="X42" s="7">
        <f t="shared" si="44"/>
        <v>9.3959536742577185</v>
      </c>
      <c r="Y42" s="7">
        <f t="shared" si="45"/>
        <v>77.858162529590359</v>
      </c>
      <c r="Z42" s="7"/>
      <c r="AA42" s="7"/>
      <c r="AB42" s="7">
        <f>248.6/(PI()/4*K42^2)*1000</f>
        <v>490.61837500955028</v>
      </c>
      <c r="AC42" s="7"/>
      <c r="AD42" s="7"/>
      <c r="AE42" s="7">
        <v>9.5</v>
      </c>
      <c r="AF42" s="7">
        <v>4</v>
      </c>
      <c r="AG42" s="7">
        <v>76</v>
      </c>
      <c r="AH42" s="7">
        <v>4</v>
      </c>
      <c r="AI42" s="7"/>
      <c r="AJ42" s="7"/>
      <c r="AK42" s="4">
        <f t="shared" si="126"/>
        <v>285.75</v>
      </c>
      <c r="AL42" s="4">
        <f t="shared" si="112"/>
        <v>0.16314527904775977</v>
      </c>
      <c r="AM42" s="25">
        <f t="shared" si="113"/>
        <v>561.22411424012159</v>
      </c>
      <c r="AN42" s="4">
        <f t="shared" si="114"/>
        <v>0.76643569553805768</v>
      </c>
      <c r="AO42" s="4">
        <v>1.25</v>
      </c>
      <c r="AP42" s="25">
        <f t="shared" si="115"/>
        <v>5</v>
      </c>
      <c r="AQ42" s="38">
        <f t="shared" si="116"/>
        <v>438.5979270469054</v>
      </c>
      <c r="AR42" s="38">
        <f t="shared" si="117"/>
        <v>438.5979270469054</v>
      </c>
      <c r="AT42" s="38">
        <f t="shared" si="46"/>
        <v>438.59792704690506</v>
      </c>
      <c r="AU42" s="3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38">
        <f t="shared" si="118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36">
        <f t="shared" si="53"/>
        <v>2.2250000000000001</v>
      </c>
      <c r="BF42" s="36">
        <f t="shared" si="54"/>
        <v>523.9674226514469</v>
      </c>
      <c r="BK42" s="4">
        <f t="shared" si="55"/>
        <v>101.8</v>
      </c>
      <c r="BL42" s="4">
        <f t="shared" si="56"/>
        <v>82.22</v>
      </c>
      <c r="BM42" s="4">
        <f t="shared" si="57"/>
        <v>101.8</v>
      </c>
      <c r="BN42" s="4">
        <f t="shared" si="58"/>
        <v>94.92</v>
      </c>
      <c r="BO42" s="4">
        <f t="shared" si="59"/>
        <v>1.0238141571393822</v>
      </c>
      <c r="BP42" s="25">
        <f t="shared" si="119"/>
        <v>4</v>
      </c>
      <c r="BR42" s="4">
        <f t="shared" si="60"/>
        <v>101.8</v>
      </c>
      <c r="BV42" s="9"/>
      <c r="BX42" s="9"/>
      <c r="BY42" s="9"/>
      <c r="BZ42" s="9">
        <f t="shared" si="61"/>
        <v>101.8</v>
      </c>
      <c r="CA42" s="9">
        <f t="shared" si="62"/>
        <v>101.8</v>
      </c>
      <c r="CB42" s="9">
        <f t="shared" si="63"/>
        <v>2.001967536137395</v>
      </c>
      <c r="CC42" s="9">
        <v>20</v>
      </c>
      <c r="CD42" s="9">
        <f t="shared" si="132"/>
        <v>0.05</v>
      </c>
      <c r="CE42" s="9">
        <f t="shared" si="65"/>
        <v>0.8</v>
      </c>
      <c r="CF42" s="9">
        <f t="shared" si="66"/>
        <v>0.99524931562137331</v>
      </c>
      <c r="CG42" s="9">
        <f t="shared" si="67"/>
        <v>0.97375</v>
      </c>
      <c r="CH42" s="9">
        <f t="shared" si="68"/>
        <v>1.9969246679255115</v>
      </c>
      <c r="CI42" s="9">
        <f t="shared" si="69"/>
        <v>4.9923116698137786</v>
      </c>
      <c r="CJ42" s="9">
        <v>1</v>
      </c>
      <c r="CK42" s="9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38">
        <f t="shared" si="120"/>
        <v>517.5</v>
      </c>
      <c r="DS42" s="4">
        <f t="shared" si="79"/>
        <v>1</v>
      </c>
      <c r="DU42" s="4">
        <f t="shared" si="121"/>
        <v>438.59792704690506</v>
      </c>
      <c r="DY42" s="4">
        <f t="shared" si="80"/>
        <v>0.85</v>
      </c>
      <c r="DZ42" s="4">
        <f t="shared" si="81"/>
        <v>0.7</v>
      </c>
      <c r="EA42" s="4">
        <f t="shared" si="82"/>
        <v>0.73926932853865712</v>
      </c>
      <c r="EB42" s="4">
        <f t="shared" si="83"/>
        <v>0.7</v>
      </c>
      <c r="ED42" s="4">
        <f t="shared" si="122"/>
        <v>517.5</v>
      </c>
      <c r="EE42" s="25">
        <f t="shared" si="123"/>
        <v>418.64418673852452</v>
      </c>
      <c r="EH42" s="4">
        <f t="shared" si="84"/>
        <v>9.0324733825588019</v>
      </c>
      <c r="EI42" s="4">
        <f t="shared" si="85"/>
        <v>8.5989146601959785</v>
      </c>
      <c r="EK42" s="4">
        <f t="shared" si="86"/>
        <v>77.858162529590359</v>
      </c>
      <c r="EL42" s="4">
        <f t="shared" si="87"/>
        <v>3.0652819893539514</v>
      </c>
      <c r="EM42" s="4">
        <f t="shared" si="88"/>
        <v>0.14699025862175652</v>
      </c>
      <c r="EP42" s="4">
        <f t="shared" si="89"/>
        <v>0.14699025862175652</v>
      </c>
      <c r="EQ42" s="4">
        <f t="shared" si="90"/>
        <v>0.45584127588308598</v>
      </c>
      <c r="ER42" s="4">
        <f t="shared" si="91"/>
        <v>6.5967822579745006</v>
      </c>
      <c r="ES42" s="4">
        <f t="shared" si="92"/>
        <v>7.9091783259944446</v>
      </c>
      <c r="ET42" s="4">
        <f t="shared" si="93"/>
        <v>136.45433747040965</v>
      </c>
      <c r="EU42" s="4">
        <f t="shared" si="94"/>
        <v>71.4375</v>
      </c>
      <c r="EV42" s="4">
        <f t="shared" si="95"/>
        <v>2.0755210712749404E-5</v>
      </c>
      <c r="EW42" s="4">
        <f t="shared" si="96"/>
        <v>8.3237698022751303</v>
      </c>
      <c r="EX42" s="4">
        <f t="shared" si="97"/>
        <v>517.5</v>
      </c>
      <c r="EY42" s="4">
        <f t="shared" si="98"/>
        <v>136.45433747040965</v>
      </c>
      <c r="EZ42" s="4">
        <f t="shared" si="99"/>
        <v>71.437499999999986</v>
      </c>
      <c r="FB42" s="4">
        <f t="shared" si="100"/>
        <v>0</v>
      </c>
      <c r="FG42" s="23"/>
      <c r="FH42" s="23"/>
      <c r="FI42" s="23"/>
      <c r="FJ42" s="23"/>
      <c r="FK42" s="23"/>
      <c r="FL42" s="23"/>
      <c r="FM42" s="23"/>
      <c r="FN42" s="23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customHeight="1" x14ac:dyDescent="0.3">
      <c r="A43" s="25">
        <v>25</v>
      </c>
      <c r="B43" s="26" t="s">
        <v>81</v>
      </c>
      <c r="C43" s="26"/>
      <c r="D43" s="26" t="s">
        <v>82</v>
      </c>
      <c r="E43" s="26"/>
      <c r="F43" s="7" t="s">
        <v>103</v>
      </c>
      <c r="G43" s="28">
        <f t="shared" si="105"/>
        <v>517.5</v>
      </c>
      <c r="H43" s="7">
        <f t="shared" si="131"/>
        <v>285.75</v>
      </c>
      <c r="I43" s="7">
        <f t="shared" si="124"/>
        <v>285.75</v>
      </c>
      <c r="J43" s="7">
        <v>34.659999999999997</v>
      </c>
      <c r="K43" s="7">
        <v>25.4</v>
      </c>
      <c r="L43" s="7">
        <f t="shared" si="106"/>
        <v>11.25</v>
      </c>
      <c r="M43" s="7">
        <f t="shared" si="107"/>
        <v>11.25</v>
      </c>
      <c r="N43" s="7">
        <v>229</v>
      </c>
      <c r="O43" s="7">
        <f t="shared" si="108"/>
        <v>101.8</v>
      </c>
      <c r="P43" s="7">
        <v>305</v>
      </c>
      <c r="Q43" s="7">
        <v>0</v>
      </c>
      <c r="R43" s="7">
        <v>1</v>
      </c>
      <c r="S43" s="7">
        <v>55.45</v>
      </c>
      <c r="T43" s="7">
        <f t="shared" si="42"/>
        <v>2.6830708661417328</v>
      </c>
      <c r="U43" s="28">
        <f t="shared" si="109"/>
        <v>2.6830708661417328</v>
      </c>
      <c r="V43" s="28">
        <f t="shared" si="110"/>
        <v>8.3959536742577185</v>
      </c>
      <c r="W43" s="7">
        <f t="shared" si="43"/>
        <v>8.3959536742577185</v>
      </c>
      <c r="X43" s="7">
        <f t="shared" si="44"/>
        <v>9.3959536742577185</v>
      </c>
      <c r="Y43" s="7">
        <f t="shared" si="45"/>
        <v>77.858162529590359</v>
      </c>
      <c r="Z43" s="7"/>
      <c r="AA43" s="7"/>
      <c r="AB43" s="7">
        <f>249.62/(PI()/4*K43^2)*1000</f>
        <v>492.6313707557681</v>
      </c>
      <c r="AC43" s="7"/>
      <c r="AD43" s="7"/>
      <c r="AE43" s="7">
        <v>9.5</v>
      </c>
      <c r="AF43" s="7">
        <v>4</v>
      </c>
      <c r="AG43" s="7">
        <v>76</v>
      </c>
      <c r="AH43" s="7">
        <v>4</v>
      </c>
      <c r="AI43" s="7"/>
      <c r="AJ43" s="7"/>
      <c r="AK43" s="4">
        <f t="shared" si="126"/>
        <v>285.75</v>
      </c>
      <c r="AL43" s="4">
        <f t="shared" si="112"/>
        <v>0.15480330439398876</v>
      </c>
      <c r="AM43" s="25">
        <f t="shared" si="113"/>
        <v>561.22411424012159</v>
      </c>
      <c r="AN43" s="4">
        <f t="shared" si="114"/>
        <v>0.74769903762029744</v>
      </c>
      <c r="AO43" s="4">
        <v>1.25</v>
      </c>
      <c r="AP43" s="25">
        <f t="shared" si="115"/>
        <v>5</v>
      </c>
      <c r="AQ43" s="38">
        <f t="shared" si="116"/>
        <v>405.99752770345503</v>
      </c>
      <c r="AR43" s="38">
        <f t="shared" si="117"/>
        <v>405.99752770345503</v>
      </c>
      <c r="AT43" s="38">
        <f t="shared" si="46"/>
        <v>405.99752770345469</v>
      </c>
      <c r="AU43" s="3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38">
        <f t="shared" si="118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36">
        <f t="shared" si="53"/>
        <v>2.2250000000000001</v>
      </c>
      <c r="BF43" s="36">
        <f t="shared" si="54"/>
        <v>523.9674226514469</v>
      </c>
      <c r="BK43" s="4">
        <f t="shared" si="55"/>
        <v>101.8</v>
      </c>
      <c r="BL43" s="4">
        <f t="shared" si="56"/>
        <v>55.45</v>
      </c>
      <c r="BM43" s="4">
        <f t="shared" si="57"/>
        <v>101.8</v>
      </c>
      <c r="BN43" s="4">
        <f t="shared" si="58"/>
        <v>68.150000000000006</v>
      </c>
      <c r="BO43" s="4">
        <f t="shared" si="59"/>
        <v>1.0835888187556357</v>
      </c>
      <c r="BP43" s="25">
        <f t="shared" si="119"/>
        <v>4</v>
      </c>
      <c r="BR43" s="4">
        <f t="shared" si="60"/>
        <v>101.8</v>
      </c>
      <c r="BV43" s="9"/>
      <c r="BX43" s="9"/>
      <c r="BY43" s="9"/>
      <c r="BZ43" s="9">
        <f t="shared" si="61"/>
        <v>101.8</v>
      </c>
      <c r="CA43" s="9">
        <f t="shared" si="62"/>
        <v>101.8</v>
      </c>
      <c r="CB43" s="9">
        <f t="shared" si="63"/>
        <v>2.001967536137395</v>
      </c>
      <c r="CC43" s="9">
        <v>20</v>
      </c>
      <c r="CD43" s="9">
        <f t="shared" si="132"/>
        <v>0.05</v>
      </c>
      <c r="CE43" s="9">
        <f t="shared" si="65"/>
        <v>0.8</v>
      </c>
      <c r="CF43" s="9">
        <f t="shared" si="66"/>
        <v>0.99524931562137331</v>
      </c>
      <c r="CG43" s="9">
        <f t="shared" si="67"/>
        <v>0.97375</v>
      </c>
      <c r="CH43" s="9">
        <f t="shared" si="68"/>
        <v>1.9969246679255115</v>
      </c>
      <c r="CI43" s="9">
        <f t="shared" si="69"/>
        <v>4.9923116698137786</v>
      </c>
      <c r="CJ43" s="9">
        <v>1</v>
      </c>
      <c r="CK43" s="9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38">
        <f t="shared" si="120"/>
        <v>517.5</v>
      </c>
      <c r="DS43" s="4">
        <f t="shared" si="79"/>
        <v>1</v>
      </c>
      <c r="DU43" s="4">
        <f t="shared" si="121"/>
        <v>405.99752770345469</v>
      </c>
      <c r="DY43" s="4">
        <f t="shared" si="80"/>
        <v>0.85</v>
      </c>
      <c r="DZ43" s="4">
        <f t="shared" si="81"/>
        <v>0.7</v>
      </c>
      <c r="EA43" s="4">
        <f t="shared" si="82"/>
        <v>0.73926932853865712</v>
      </c>
      <c r="EB43" s="4">
        <f t="shared" si="83"/>
        <v>0.7</v>
      </c>
      <c r="ED43" s="4">
        <f t="shared" si="122"/>
        <v>517.5</v>
      </c>
      <c r="EE43" s="25">
        <f t="shared" si="123"/>
        <v>408.28972039092707</v>
      </c>
      <c r="EH43" s="4">
        <f t="shared" si="84"/>
        <v>9.0324733825588019</v>
      </c>
      <c r="EI43" s="4">
        <f t="shared" si="85"/>
        <v>8.5989146601959785</v>
      </c>
      <c r="EK43" s="4">
        <f t="shared" si="86"/>
        <v>77.858162529590359</v>
      </c>
      <c r="EL43" s="4">
        <f t="shared" si="87"/>
        <v>3.0652819893539514</v>
      </c>
      <c r="EM43" s="4">
        <f t="shared" si="88"/>
        <v>0.13606466861058017</v>
      </c>
      <c r="EP43" s="4">
        <f t="shared" si="89"/>
        <v>0.13606466861058017</v>
      </c>
      <c r="EQ43" s="4">
        <f t="shared" si="90"/>
        <v>0.42195920140299542</v>
      </c>
      <c r="ER43" s="4">
        <f t="shared" si="91"/>
        <v>6.3960945508971907</v>
      </c>
      <c r="ES43" s="4">
        <f t="shared" si="92"/>
        <v>7.8264154773661634</v>
      </c>
      <c r="ET43" s="4">
        <f t="shared" si="93"/>
        <v>136.45433747040965</v>
      </c>
      <c r="EU43" s="4">
        <f t="shared" si="94"/>
        <v>71.4375</v>
      </c>
      <c r="EV43" s="4">
        <f t="shared" si="95"/>
        <v>2.0755210712749404E-5</v>
      </c>
      <c r="EW43" s="4">
        <f t="shared" si="96"/>
        <v>8.3337293000677306</v>
      </c>
      <c r="EX43" s="4">
        <f t="shared" si="97"/>
        <v>517.5</v>
      </c>
      <c r="EY43" s="4">
        <f t="shared" si="98"/>
        <v>136.45433747040965</v>
      </c>
      <c r="EZ43" s="4">
        <f t="shared" si="99"/>
        <v>71.437499999999986</v>
      </c>
      <c r="FB43" s="4">
        <f t="shared" si="100"/>
        <v>0</v>
      </c>
      <c r="FG43" s="23"/>
      <c r="FH43" s="23"/>
      <c r="FI43" s="23"/>
      <c r="FJ43" s="23"/>
      <c r="FK43" s="23"/>
      <c r="FL43" s="23"/>
      <c r="FM43" s="23"/>
      <c r="FN43" s="23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customHeight="1" x14ac:dyDescent="0.3">
      <c r="A44" s="25">
        <v>26</v>
      </c>
      <c r="B44" s="26" t="s">
        <v>81</v>
      </c>
      <c r="C44" s="26"/>
      <c r="D44" s="26" t="s">
        <v>82</v>
      </c>
      <c r="E44" s="26"/>
      <c r="F44" s="7" t="s">
        <v>104</v>
      </c>
      <c r="G44" s="28">
        <f t="shared" si="105"/>
        <v>517.5</v>
      </c>
      <c r="H44" s="7">
        <f t="shared" si="131"/>
        <v>285.75</v>
      </c>
      <c r="I44" s="7">
        <f t="shared" si="124"/>
        <v>285.75</v>
      </c>
      <c r="J44" s="7">
        <v>34.659999999999997</v>
      </c>
      <c r="K44" s="7">
        <v>25.4</v>
      </c>
      <c r="L44" s="7">
        <f t="shared" si="106"/>
        <v>11.25</v>
      </c>
      <c r="M44" s="7">
        <f t="shared" si="107"/>
        <v>11.25</v>
      </c>
      <c r="N44" s="7">
        <v>229</v>
      </c>
      <c r="O44" s="7">
        <f t="shared" si="108"/>
        <v>101.8</v>
      </c>
      <c r="P44" s="7">
        <v>305</v>
      </c>
      <c r="Q44" s="7">
        <v>0</v>
      </c>
      <c r="R44" s="7">
        <v>1</v>
      </c>
      <c r="S44" s="7">
        <v>55.7</v>
      </c>
      <c r="T44" s="7">
        <f t="shared" si="42"/>
        <v>2.6929133858267722</v>
      </c>
      <c r="U44" s="28">
        <f t="shared" si="109"/>
        <v>2.6929133858267722</v>
      </c>
      <c r="V44" s="28">
        <f t="shared" si="110"/>
        <v>8.3959536742577185</v>
      </c>
      <c r="W44" s="7">
        <f t="shared" si="43"/>
        <v>8.3959536742577185</v>
      </c>
      <c r="X44" s="7">
        <f t="shared" si="44"/>
        <v>9.3959536742577185</v>
      </c>
      <c r="Y44" s="7">
        <f t="shared" si="45"/>
        <v>77.858162529590359</v>
      </c>
      <c r="Z44" s="7"/>
      <c r="AA44" s="7"/>
      <c r="AB44" s="7">
        <f>231.87/(PI()/4*K44^2)*1000</f>
        <v>457.60129772109588</v>
      </c>
      <c r="AC44" s="7"/>
      <c r="AD44" s="7"/>
      <c r="AE44" s="7">
        <v>9.5</v>
      </c>
      <c r="AF44" s="7">
        <v>4</v>
      </c>
      <c r="AG44" s="7">
        <v>76</v>
      </c>
      <c r="AH44" s="7">
        <v>4</v>
      </c>
      <c r="AI44" s="7"/>
      <c r="AJ44" s="7"/>
      <c r="AK44" s="4">
        <f t="shared" si="126"/>
        <v>285.75</v>
      </c>
      <c r="AL44" s="4">
        <f t="shared" si="112"/>
        <v>0.15488120852784915</v>
      </c>
      <c r="AM44" s="25">
        <f t="shared" si="113"/>
        <v>561.22411424012159</v>
      </c>
      <c r="AN44" s="4">
        <f t="shared" si="114"/>
        <v>0.74787401574803147</v>
      </c>
      <c r="AO44" s="4">
        <v>1.25</v>
      </c>
      <c r="AP44" s="25">
        <f t="shared" si="115"/>
        <v>5</v>
      </c>
      <c r="AQ44" s="38">
        <f t="shared" si="116"/>
        <v>406.29690453368073</v>
      </c>
      <c r="AR44" s="38">
        <f t="shared" si="117"/>
        <v>406.29690453368073</v>
      </c>
      <c r="AT44" s="38">
        <f t="shared" si="46"/>
        <v>406.29690453368045</v>
      </c>
      <c r="AU44" s="3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38">
        <f t="shared" si="118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36">
        <f t="shared" si="53"/>
        <v>2.2250000000000001</v>
      </c>
      <c r="BF44" s="36">
        <f t="shared" si="54"/>
        <v>523.9674226514469</v>
      </c>
      <c r="BK44" s="4">
        <f t="shared" si="55"/>
        <v>101.8</v>
      </c>
      <c r="BL44" s="4">
        <f t="shared" si="56"/>
        <v>55.7</v>
      </c>
      <c r="BM44" s="4">
        <f t="shared" si="57"/>
        <v>101.8</v>
      </c>
      <c r="BN44" s="4">
        <f t="shared" si="58"/>
        <v>68.400000000000006</v>
      </c>
      <c r="BO44" s="4">
        <f t="shared" si="59"/>
        <v>1.0827648114901256</v>
      </c>
      <c r="BP44" s="25">
        <f t="shared" si="119"/>
        <v>4</v>
      </c>
      <c r="BR44" s="4">
        <f t="shared" si="60"/>
        <v>101.8</v>
      </c>
      <c r="BV44" s="9"/>
      <c r="BX44" s="9"/>
      <c r="BY44" s="9"/>
      <c r="BZ44" s="9">
        <f t="shared" si="61"/>
        <v>101.8</v>
      </c>
      <c r="CA44" s="9">
        <f t="shared" si="62"/>
        <v>101.8</v>
      </c>
      <c r="CB44" s="9">
        <f t="shared" si="63"/>
        <v>2.001967536137395</v>
      </c>
      <c r="CC44" s="9">
        <v>20</v>
      </c>
      <c r="CD44" s="9">
        <f t="shared" si="132"/>
        <v>0.05</v>
      </c>
      <c r="CE44" s="9">
        <f t="shared" si="65"/>
        <v>0.8</v>
      </c>
      <c r="CF44" s="9">
        <f t="shared" si="66"/>
        <v>0.99524931562137331</v>
      </c>
      <c r="CG44" s="9">
        <f t="shared" si="67"/>
        <v>0.97375</v>
      </c>
      <c r="CH44" s="9">
        <f t="shared" si="68"/>
        <v>1.9969246679255115</v>
      </c>
      <c r="CI44" s="9">
        <f t="shared" si="69"/>
        <v>4.9923116698137786</v>
      </c>
      <c r="CJ44" s="9">
        <v>1</v>
      </c>
      <c r="CK44" s="9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38">
        <f t="shared" si="120"/>
        <v>517.5</v>
      </c>
      <c r="DS44" s="4">
        <f t="shared" si="79"/>
        <v>1</v>
      </c>
      <c r="DU44" s="4">
        <f t="shared" si="121"/>
        <v>406.29690453368045</v>
      </c>
      <c r="DY44" s="4">
        <f t="shared" si="80"/>
        <v>0.85</v>
      </c>
      <c r="DZ44" s="4">
        <f t="shared" si="81"/>
        <v>0.7</v>
      </c>
      <c r="EA44" s="4">
        <f t="shared" si="82"/>
        <v>0.73926932853865712</v>
      </c>
      <c r="EB44" s="4">
        <f t="shared" si="83"/>
        <v>0.7</v>
      </c>
      <c r="ED44" s="4">
        <f t="shared" si="122"/>
        <v>517.5</v>
      </c>
      <c r="EE44" s="25">
        <f t="shared" si="123"/>
        <v>408.38641880657519</v>
      </c>
      <c r="EH44" s="4">
        <f t="shared" si="84"/>
        <v>9.0324733825588019</v>
      </c>
      <c r="EI44" s="4">
        <f t="shared" si="85"/>
        <v>8.5989146601959785</v>
      </c>
      <c r="EK44" s="4">
        <f t="shared" si="86"/>
        <v>77.858162529590359</v>
      </c>
      <c r="EL44" s="4">
        <f t="shared" si="87"/>
        <v>3.0652819893539514</v>
      </c>
      <c r="EM44" s="4">
        <f t="shared" si="88"/>
        <v>0.13616500077128266</v>
      </c>
      <c r="EP44" s="4">
        <f t="shared" si="89"/>
        <v>0.13616500077128266</v>
      </c>
      <c r="EQ44" s="4">
        <f t="shared" si="90"/>
        <v>0.42227034814547731</v>
      </c>
      <c r="ER44" s="4">
        <f t="shared" si="91"/>
        <v>6.3979806895606242</v>
      </c>
      <c r="ES44" s="4">
        <f t="shared" si="92"/>
        <v>7.8271852945998246</v>
      </c>
      <c r="ET44" s="4">
        <f t="shared" si="93"/>
        <v>136.45433747040965</v>
      </c>
      <c r="EU44" s="4">
        <f t="shared" si="94"/>
        <v>71.4375</v>
      </c>
      <c r="EV44" s="4">
        <f t="shared" si="95"/>
        <v>2.0755210712749404E-5</v>
      </c>
      <c r="EW44" s="4">
        <f t="shared" si="96"/>
        <v>8.3336361018153582</v>
      </c>
      <c r="EX44" s="4">
        <f t="shared" si="97"/>
        <v>517.5</v>
      </c>
      <c r="EY44" s="4">
        <f t="shared" si="98"/>
        <v>136.45433747040965</v>
      </c>
      <c r="EZ44" s="4">
        <f t="shared" si="99"/>
        <v>71.437499999999986</v>
      </c>
      <c r="FB44" s="4">
        <f t="shared" si="100"/>
        <v>0</v>
      </c>
      <c r="FG44" s="23"/>
      <c r="FH44" s="23"/>
      <c r="FI44" s="23"/>
      <c r="FJ44" s="23"/>
      <c r="FK44" s="23"/>
      <c r="FL44" s="23"/>
      <c r="FM44" s="23"/>
      <c r="FN44" s="23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customHeight="1" x14ac:dyDescent="0.3">
      <c r="A45" s="25">
        <v>27</v>
      </c>
      <c r="B45" s="26" t="s">
        <v>81</v>
      </c>
      <c r="C45" s="26"/>
      <c r="D45" s="26" t="s">
        <v>82</v>
      </c>
      <c r="E45" s="26"/>
      <c r="F45" s="7" t="s">
        <v>105</v>
      </c>
      <c r="G45" s="28">
        <f t="shared" si="105"/>
        <v>517.5</v>
      </c>
      <c r="H45" s="7">
        <f t="shared" si="131"/>
        <v>285.75</v>
      </c>
      <c r="I45" s="7">
        <f t="shared" si="124"/>
        <v>285.75</v>
      </c>
      <c r="J45" s="7">
        <v>34.659999999999997</v>
      </c>
      <c r="K45" s="7">
        <v>25.4</v>
      </c>
      <c r="L45" s="7">
        <f t="shared" si="106"/>
        <v>11.25</v>
      </c>
      <c r="M45" s="7">
        <f t="shared" si="107"/>
        <v>11.25</v>
      </c>
      <c r="N45" s="7">
        <v>229</v>
      </c>
      <c r="O45" s="7">
        <f t="shared" si="108"/>
        <v>101.8</v>
      </c>
      <c r="P45" s="7">
        <v>305</v>
      </c>
      <c r="Q45" s="7">
        <v>0</v>
      </c>
      <c r="R45" s="7">
        <v>1</v>
      </c>
      <c r="S45" s="7">
        <v>56.57</v>
      </c>
      <c r="T45" s="7">
        <f t="shared" si="42"/>
        <v>2.7271653543307086</v>
      </c>
      <c r="U45" s="28">
        <f t="shared" si="109"/>
        <v>2.7271653543307086</v>
      </c>
      <c r="V45" s="28">
        <f t="shared" si="110"/>
        <v>8.3959536742577185</v>
      </c>
      <c r="W45" s="7">
        <f t="shared" si="43"/>
        <v>8.3959536742577185</v>
      </c>
      <c r="X45" s="7">
        <f t="shared" si="44"/>
        <v>9.3959536742577185</v>
      </c>
      <c r="Y45" s="7">
        <f t="shared" si="45"/>
        <v>77.858162529590359</v>
      </c>
      <c r="Z45" s="7"/>
      <c r="AA45" s="7"/>
      <c r="AB45" s="7">
        <f>257.14/(PI()/4*K45^2)*1000</f>
        <v>507.4722805710208</v>
      </c>
      <c r="AC45" s="7"/>
      <c r="AD45" s="7"/>
      <c r="AE45" s="7">
        <v>9.5</v>
      </c>
      <c r="AF45" s="7">
        <v>4</v>
      </c>
      <c r="AG45" s="7">
        <v>76</v>
      </c>
      <c r="AH45" s="7">
        <v>4</v>
      </c>
      <c r="AI45" s="7"/>
      <c r="AJ45" s="7"/>
      <c r="AK45" s="4">
        <f t="shared" si="126"/>
        <v>285.75</v>
      </c>
      <c r="AL45" s="4">
        <f t="shared" si="112"/>
        <v>0.15515231491368334</v>
      </c>
      <c r="AM45" s="25">
        <f t="shared" si="113"/>
        <v>561.22411424012159</v>
      </c>
      <c r="AN45" s="4">
        <f t="shared" si="114"/>
        <v>0.74848293963254586</v>
      </c>
      <c r="AO45" s="4">
        <v>1.25</v>
      </c>
      <c r="AP45" s="25">
        <f t="shared" si="115"/>
        <v>5</v>
      </c>
      <c r="AQ45" s="38">
        <f t="shared" si="116"/>
        <v>407.33948135174751</v>
      </c>
      <c r="AR45" s="38">
        <f t="shared" si="117"/>
        <v>407.33948135174751</v>
      </c>
      <c r="AT45" s="38">
        <f t="shared" si="46"/>
        <v>407.33948135174728</v>
      </c>
      <c r="AU45" s="3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38">
        <f t="shared" si="118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36">
        <f t="shared" si="53"/>
        <v>2.2250000000000001</v>
      </c>
      <c r="BF45" s="36">
        <f t="shared" si="54"/>
        <v>523.9674226514469</v>
      </c>
      <c r="BK45" s="4">
        <f t="shared" si="55"/>
        <v>101.8</v>
      </c>
      <c r="BL45" s="4">
        <f t="shared" si="56"/>
        <v>56.57</v>
      </c>
      <c r="BM45" s="4">
        <f t="shared" si="57"/>
        <v>101.8</v>
      </c>
      <c r="BN45" s="4">
        <f t="shared" si="58"/>
        <v>69.27</v>
      </c>
      <c r="BO45" s="4">
        <f t="shared" si="59"/>
        <v>1.0799540392434153</v>
      </c>
      <c r="BP45" s="25">
        <f t="shared" si="119"/>
        <v>4</v>
      </c>
      <c r="BR45" s="4">
        <f t="shared" si="60"/>
        <v>101.8</v>
      </c>
      <c r="BV45" s="9"/>
      <c r="BX45" s="9"/>
      <c r="BY45" s="9"/>
      <c r="BZ45" s="9">
        <f t="shared" si="61"/>
        <v>101.8</v>
      </c>
      <c r="CA45" s="9">
        <f t="shared" si="62"/>
        <v>101.8</v>
      </c>
      <c r="CB45" s="9">
        <f t="shared" si="63"/>
        <v>2.001967536137395</v>
      </c>
      <c r="CC45" s="9">
        <v>20</v>
      </c>
      <c r="CD45" s="9">
        <f t="shared" si="132"/>
        <v>0.05</v>
      </c>
      <c r="CE45" s="9">
        <f t="shared" si="65"/>
        <v>0.8</v>
      </c>
      <c r="CF45" s="9">
        <f t="shared" si="66"/>
        <v>0.99524931562137331</v>
      </c>
      <c r="CG45" s="9">
        <f t="shared" si="67"/>
        <v>0.97375</v>
      </c>
      <c r="CH45" s="9">
        <f t="shared" si="68"/>
        <v>1.9969246679255115</v>
      </c>
      <c r="CI45" s="9">
        <f t="shared" si="69"/>
        <v>4.9923116698137786</v>
      </c>
      <c r="CJ45" s="9">
        <v>1</v>
      </c>
      <c r="CK45" s="9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38">
        <f t="shared" si="120"/>
        <v>517.5</v>
      </c>
      <c r="DS45" s="4">
        <f t="shared" si="79"/>
        <v>1</v>
      </c>
      <c r="DU45" s="4">
        <f t="shared" si="121"/>
        <v>407.33948135174728</v>
      </c>
      <c r="DY45" s="4">
        <f t="shared" si="80"/>
        <v>0.85</v>
      </c>
      <c r="DZ45" s="4">
        <f t="shared" si="81"/>
        <v>0.7</v>
      </c>
      <c r="EA45" s="4">
        <f t="shared" si="82"/>
        <v>0.73926932853865712</v>
      </c>
      <c r="EB45" s="4">
        <f t="shared" si="83"/>
        <v>0.7</v>
      </c>
      <c r="ED45" s="4">
        <f t="shared" si="122"/>
        <v>517.5</v>
      </c>
      <c r="EE45" s="25">
        <f t="shared" si="123"/>
        <v>408.72292929303057</v>
      </c>
      <c r="EH45" s="4">
        <f t="shared" si="84"/>
        <v>9.0324733825588019</v>
      </c>
      <c r="EI45" s="4">
        <f t="shared" si="85"/>
        <v>8.5989146601959785</v>
      </c>
      <c r="EK45" s="4">
        <f t="shared" si="86"/>
        <v>77.858162529590359</v>
      </c>
      <c r="EL45" s="4">
        <f t="shared" si="87"/>
        <v>3.0652819893539514</v>
      </c>
      <c r="EM45" s="4">
        <f t="shared" si="88"/>
        <v>0.13651440651779981</v>
      </c>
      <c r="EP45" s="4">
        <f t="shared" si="89"/>
        <v>0.13651440651779981</v>
      </c>
      <c r="EQ45" s="4">
        <f t="shared" si="90"/>
        <v>0.42335391356529956</v>
      </c>
      <c r="ER45" s="4">
        <f t="shared" si="91"/>
        <v>6.4045426479058536</v>
      </c>
      <c r="ES45" s="4">
        <f t="shared" si="92"/>
        <v>7.8298647207808791</v>
      </c>
      <c r="ET45" s="4">
        <f t="shared" si="93"/>
        <v>136.45433747040965</v>
      </c>
      <c r="EU45" s="4">
        <f t="shared" si="94"/>
        <v>71.4375</v>
      </c>
      <c r="EV45" s="4">
        <f t="shared" si="95"/>
        <v>2.0755210712749404E-5</v>
      </c>
      <c r="EW45" s="4">
        <f t="shared" si="96"/>
        <v>8.3333118005347053</v>
      </c>
      <c r="EX45" s="4">
        <f t="shared" si="97"/>
        <v>517.5</v>
      </c>
      <c r="EY45" s="4">
        <f t="shared" si="98"/>
        <v>136.45433747040965</v>
      </c>
      <c r="EZ45" s="4">
        <f t="shared" si="99"/>
        <v>71.437499999999986</v>
      </c>
      <c r="FB45" s="4">
        <f t="shared" si="100"/>
        <v>0</v>
      </c>
      <c r="FG45" s="23"/>
      <c r="FH45" s="23"/>
      <c r="FI45" s="23"/>
      <c r="FJ45" s="23"/>
      <c r="FK45" s="23"/>
      <c r="FL45" s="23"/>
      <c r="FM45" s="23"/>
      <c r="FN45" s="23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customHeight="1" x14ac:dyDescent="0.3">
      <c r="A46" s="25">
        <v>28</v>
      </c>
      <c r="B46" s="26" t="s">
        <v>81</v>
      </c>
      <c r="C46" s="26"/>
      <c r="D46" s="26" t="s">
        <v>82</v>
      </c>
      <c r="E46" s="26"/>
      <c r="F46" s="7" t="s">
        <v>106</v>
      </c>
      <c r="G46" s="28">
        <f t="shared" si="105"/>
        <v>517.5</v>
      </c>
      <c r="H46" s="7">
        <f t="shared" si="131"/>
        <v>285.75</v>
      </c>
      <c r="I46" s="7">
        <f t="shared" si="124"/>
        <v>285.75</v>
      </c>
      <c r="J46" s="7">
        <v>34.659999999999997</v>
      </c>
      <c r="K46" s="7">
        <v>25.4</v>
      </c>
      <c r="L46" s="7">
        <f t="shared" si="106"/>
        <v>11.25</v>
      </c>
      <c r="M46" s="7">
        <f t="shared" si="107"/>
        <v>11.25</v>
      </c>
      <c r="N46" s="7">
        <v>229</v>
      </c>
      <c r="O46" s="7">
        <f t="shared" si="108"/>
        <v>101.8</v>
      </c>
      <c r="P46" s="7">
        <v>305</v>
      </c>
      <c r="Q46" s="7">
        <v>0</v>
      </c>
      <c r="R46" s="7">
        <v>1</v>
      </c>
      <c r="S46" s="7">
        <v>78.97</v>
      </c>
      <c r="T46" s="7">
        <f t="shared" si="42"/>
        <v>3.6090551181102364</v>
      </c>
      <c r="U46" s="28">
        <f t="shared" si="109"/>
        <v>3.6090551181102364</v>
      </c>
      <c r="V46" s="28">
        <f t="shared" si="110"/>
        <v>8.3959536742577185</v>
      </c>
      <c r="W46" s="7">
        <f t="shared" si="43"/>
        <v>8.3959536742577185</v>
      </c>
      <c r="X46" s="7">
        <f t="shared" si="44"/>
        <v>9.3959536742577185</v>
      </c>
      <c r="Y46" s="7">
        <f t="shared" si="45"/>
        <v>77.858162529590359</v>
      </c>
      <c r="Z46" s="7"/>
      <c r="AA46" s="7"/>
      <c r="AB46" s="7">
        <f>261.45/(PI()/4*K46^2)*1000</f>
        <v>515.97817436141156</v>
      </c>
      <c r="AC46" s="7"/>
      <c r="AD46" s="7"/>
      <c r="AE46" s="7">
        <v>9.5</v>
      </c>
      <c r="AF46" s="7">
        <v>5</v>
      </c>
      <c r="AG46" s="7">
        <v>64</v>
      </c>
      <c r="AH46" s="7">
        <v>5</v>
      </c>
      <c r="AI46" s="7"/>
      <c r="AJ46" s="7"/>
      <c r="AK46" s="4">
        <f t="shared" si="126"/>
        <v>285.75</v>
      </c>
      <c r="AL46" s="4">
        <f t="shared" si="112"/>
        <v>0.16213252530757466</v>
      </c>
      <c r="AM46" s="25">
        <f t="shared" si="113"/>
        <v>561.22411424012159</v>
      </c>
      <c r="AN46" s="4">
        <f t="shared" si="114"/>
        <v>0.7641609798775153</v>
      </c>
      <c r="AO46" s="4">
        <v>1.25</v>
      </c>
      <c r="AP46" s="25">
        <f t="shared" si="115"/>
        <v>5</v>
      </c>
      <c r="AQ46" s="38">
        <f t="shared" si="116"/>
        <v>434.58161081603589</v>
      </c>
      <c r="AR46" s="38">
        <f t="shared" si="117"/>
        <v>434.58161081603589</v>
      </c>
      <c r="AT46" s="38">
        <f t="shared" si="46"/>
        <v>434.58161081603555</v>
      </c>
      <c r="AU46" s="3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38">
        <f t="shared" si="118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36">
        <f t="shared" si="53"/>
        <v>2.2250000000000001</v>
      </c>
      <c r="BF46" s="36">
        <f t="shared" si="54"/>
        <v>523.9674226514469</v>
      </c>
      <c r="BK46" s="4">
        <f t="shared" si="55"/>
        <v>101.8</v>
      </c>
      <c r="BL46" s="4">
        <f t="shared" si="56"/>
        <v>78.97</v>
      </c>
      <c r="BM46" s="4">
        <f t="shared" si="57"/>
        <v>101.8</v>
      </c>
      <c r="BN46" s="4">
        <f t="shared" si="58"/>
        <v>91.67</v>
      </c>
      <c r="BO46" s="4">
        <f t="shared" si="59"/>
        <v>1.0289097125490694</v>
      </c>
      <c r="BP46" s="25">
        <f t="shared" si="119"/>
        <v>4</v>
      </c>
      <c r="BR46" s="4">
        <f t="shared" si="60"/>
        <v>101.8</v>
      </c>
      <c r="BV46" s="9"/>
      <c r="BX46" s="9"/>
      <c r="BY46" s="9"/>
      <c r="BZ46" s="9">
        <f t="shared" si="61"/>
        <v>101.8</v>
      </c>
      <c r="CA46" s="9">
        <f t="shared" si="62"/>
        <v>101.8</v>
      </c>
      <c r="CB46" s="9">
        <f t="shared" si="63"/>
        <v>2.001967536137395</v>
      </c>
      <c r="CC46" s="9">
        <v>20</v>
      </c>
      <c r="CD46" s="9">
        <f t="shared" si="132"/>
        <v>0.05</v>
      </c>
      <c r="CE46" s="9">
        <f t="shared" si="65"/>
        <v>0.8</v>
      </c>
      <c r="CF46" s="9">
        <f t="shared" si="66"/>
        <v>0.99524931562137331</v>
      </c>
      <c r="CG46" s="9">
        <f t="shared" si="67"/>
        <v>0.97375</v>
      </c>
      <c r="CH46" s="9">
        <f t="shared" si="68"/>
        <v>1.9969246679255115</v>
      </c>
      <c r="CI46" s="9">
        <f t="shared" si="69"/>
        <v>4.9923116698137786</v>
      </c>
      <c r="CJ46" s="9">
        <v>1</v>
      </c>
      <c r="CK46" s="9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38">
        <f t="shared" si="120"/>
        <v>517.5</v>
      </c>
      <c r="DS46" s="4">
        <f t="shared" si="79"/>
        <v>1</v>
      </c>
      <c r="DU46" s="4">
        <f t="shared" si="121"/>
        <v>434.58161081603555</v>
      </c>
      <c r="DY46" s="4">
        <f>IF(P46&gt;1*K46,0.85,1)</f>
        <v>0.85</v>
      </c>
      <c r="DZ46" s="4">
        <f t="shared" si="81"/>
        <v>0.7</v>
      </c>
      <c r="EA46" s="4">
        <f t="shared" si="82"/>
        <v>0.7</v>
      </c>
      <c r="EB46" s="4">
        <f t="shared" si="83"/>
        <v>0.7</v>
      </c>
      <c r="ED46" s="4">
        <f t="shared" si="122"/>
        <v>517.5</v>
      </c>
      <c r="EE46" s="25">
        <f t="shared" si="123"/>
        <v>417.38710733509936</v>
      </c>
      <c r="EH46" s="4">
        <f t="shared" si="84"/>
        <v>9.0324733825588019</v>
      </c>
      <c r="EI46" s="4">
        <f t="shared" si="85"/>
        <v>8.5989146601959785</v>
      </c>
      <c r="EK46" s="4">
        <f t="shared" si="86"/>
        <v>77.858162529590359</v>
      </c>
      <c r="EL46" s="4">
        <f t="shared" si="87"/>
        <v>3.0652819893539514</v>
      </c>
      <c r="EM46" s="4">
        <f t="shared" si="88"/>
        <v>0.14564424368398154</v>
      </c>
      <c r="EP46" s="4">
        <f t="shared" si="89"/>
        <v>0.14564424368398154</v>
      </c>
      <c r="EQ46" s="4">
        <f t="shared" si="90"/>
        <v>0.45166705935781332</v>
      </c>
      <c r="ER46" s="4">
        <f t="shared" si="91"/>
        <v>6.5725524066777705</v>
      </c>
      <c r="ES46" s="4">
        <f t="shared" si="92"/>
        <v>7.8990954935645004</v>
      </c>
      <c r="ET46" s="4">
        <f t="shared" si="93"/>
        <v>136.45433747040965</v>
      </c>
      <c r="EU46" s="4">
        <f t="shared" si="94"/>
        <v>71.4375</v>
      </c>
      <c r="EV46" s="4">
        <f t="shared" si="95"/>
        <v>2.0755210712749404E-5</v>
      </c>
      <c r="EW46" s="4">
        <f t="shared" si="96"/>
        <v>8.324976824069628</v>
      </c>
      <c r="EX46" s="4">
        <f t="shared" si="97"/>
        <v>517.5</v>
      </c>
      <c r="EY46" s="4">
        <f t="shared" si="98"/>
        <v>136.45433747040965</v>
      </c>
      <c r="EZ46" s="4">
        <f t="shared" si="99"/>
        <v>71.437499999999986</v>
      </c>
      <c r="FB46" s="4">
        <f t="shared" si="100"/>
        <v>0</v>
      </c>
      <c r="FG46" s="23"/>
      <c r="FH46" s="23"/>
      <c r="FI46" s="23"/>
      <c r="FJ46" s="23"/>
      <c r="FK46" s="23"/>
      <c r="FL46" s="23"/>
      <c r="FM46" s="23"/>
      <c r="FN46" s="23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customHeight="1" x14ac:dyDescent="0.3">
      <c r="A47" s="25">
        <v>29</v>
      </c>
      <c r="B47" s="26" t="s">
        <v>81</v>
      </c>
      <c r="C47" s="26"/>
      <c r="D47" s="26" t="s">
        <v>82</v>
      </c>
      <c r="E47" s="26"/>
      <c r="F47" s="31" t="s">
        <v>110</v>
      </c>
      <c r="G47" s="28">
        <f t="shared" si="105"/>
        <v>517.5</v>
      </c>
      <c r="H47" s="7">
        <f t="shared" si="131"/>
        <v>285.75</v>
      </c>
      <c r="I47" s="7">
        <f t="shared" si="124"/>
        <v>285.75</v>
      </c>
      <c r="J47" s="7">
        <v>34.659999999999997</v>
      </c>
      <c r="K47" s="7">
        <v>25.4</v>
      </c>
      <c r="L47" s="7">
        <f t="shared" si="106"/>
        <v>11.25</v>
      </c>
      <c r="M47" s="7">
        <f t="shared" si="107"/>
        <v>11.25</v>
      </c>
      <c r="N47" s="7">
        <v>229</v>
      </c>
      <c r="O47" s="7">
        <f t="shared" si="108"/>
        <v>101.8</v>
      </c>
      <c r="P47" s="7">
        <v>305</v>
      </c>
      <c r="Q47" s="7">
        <v>0</v>
      </c>
      <c r="R47" s="7">
        <v>1</v>
      </c>
      <c r="S47" s="7">
        <v>78.790000000000006</v>
      </c>
      <c r="T47" s="7">
        <f t="shared" si="42"/>
        <v>3.6019685039370084</v>
      </c>
      <c r="U47" s="28">
        <f t="shared" si="109"/>
        <v>3.6019685039370084</v>
      </c>
      <c r="V47" s="28">
        <f t="shared" si="110"/>
        <v>8.3959536742577185</v>
      </c>
      <c r="W47" s="7">
        <f t="shared" si="43"/>
        <v>8.3959536742577185</v>
      </c>
      <c r="X47" s="7">
        <f t="shared" si="44"/>
        <v>9.3959536742577185</v>
      </c>
      <c r="Y47" s="7">
        <f t="shared" si="45"/>
        <v>77.858162529590359</v>
      </c>
      <c r="Z47" s="7"/>
      <c r="AA47" s="7"/>
      <c r="AB47" s="7">
        <f>263.9/(PI()/4*K47^2)*1000</f>
        <v>520.81331120281709</v>
      </c>
      <c r="AC47" s="7"/>
      <c r="AD47" s="7"/>
      <c r="AE47" s="7">
        <v>9.5</v>
      </c>
      <c r="AF47" s="7">
        <v>5</v>
      </c>
      <c r="AG47" s="7">
        <v>64</v>
      </c>
      <c r="AH47" s="7">
        <v>5</v>
      </c>
      <c r="AI47" s="7"/>
      <c r="AJ47" s="7"/>
      <c r="AK47" s="4">
        <f t="shared" si="126"/>
        <v>285.75</v>
      </c>
      <c r="AL47" s="4">
        <f t="shared" si="112"/>
        <v>0.16207643433119515</v>
      </c>
      <c r="AM47" s="25">
        <f t="shared" si="113"/>
        <v>561.22411424012159</v>
      </c>
      <c r="AN47" s="4">
        <f t="shared" si="114"/>
        <v>0.76403499562554678</v>
      </c>
      <c r="AO47" s="4">
        <v>1.25</v>
      </c>
      <c r="AP47" s="25">
        <f t="shared" si="115"/>
        <v>5</v>
      </c>
      <c r="AQ47" s="38">
        <f t="shared" si="116"/>
        <v>434.35964101816023</v>
      </c>
      <c r="AR47" s="38">
        <f t="shared" si="117"/>
        <v>434.35964101816023</v>
      </c>
      <c r="AT47" s="38">
        <f t="shared" si="46"/>
        <v>434.35964101816</v>
      </c>
      <c r="AU47" s="3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38">
        <f t="shared" si="118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36">
        <f t="shared" si="53"/>
        <v>2.2250000000000001</v>
      </c>
      <c r="BF47" s="36">
        <f t="shared" si="54"/>
        <v>523.9674226514469</v>
      </c>
      <c r="BK47" s="4">
        <f t="shared" si="55"/>
        <v>101.8</v>
      </c>
      <c r="BL47" s="4">
        <f t="shared" si="56"/>
        <v>78.790000000000006</v>
      </c>
      <c r="BM47" s="4">
        <f t="shared" si="57"/>
        <v>101.8</v>
      </c>
      <c r="BN47" s="4">
        <f t="shared" si="58"/>
        <v>91.490000000000009</v>
      </c>
      <c r="BO47" s="4">
        <f t="shared" si="59"/>
        <v>1.0292042137327071</v>
      </c>
      <c r="BP47" s="25">
        <f t="shared" si="119"/>
        <v>4</v>
      </c>
      <c r="BR47" s="4">
        <f t="shared" si="60"/>
        <v>101.8</v>
      </c>
      <c r="BV47" s="9"/>
      <c r="BX47" s="9"/>
      <c r="BY47" s="9"/>
      <c r="BZ47" s="9">
        <f t="shared" si="61"/>
        <v>101.8</v>
      </c>
      <c r="CA47" s="9">
        <f t="shared" si="62"/>
        <v>101.8</v>
      </c>
      <c r="CB47" s="9">
        <f t="shared" si="63"/>
        <v>2.001967536137395</v>
      </c>
      <c r="CC47" s="9">
        <v>20</v>
      </c>
      <c r="CD47" s="9">
        <f t="shared" si="132"/>
        <v>0.05</v>
      </c>
      <c r="CE47" s="9">
        <f t="shared" si="65"/>
        <v>0.8</v>
      </c>
      <c r="CF47" s="9">
        <f t="shared" si="66"/>
        <v>0.99524931562137331</v>
      </c>
      <c r="CG47" s="9">
        <f t="shared" si="67"/>
        <v>0.97375</v>
      </c>
      <c r="CH47" s="9">
        <f t="shared" si="68"/>
        <v>1.9969246679255115</v>
      </c>
      <c r="CI47" s="9">
        <f t="shared" si="69"/>
        <v>4.9923116698137786</v>
      </c>
      <c r="CJ47" s="9">
        <v>1</v>
      </c>
      <c r="CK47" s="9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38">
        <f t="shared" si="120"/>
        <v>520.81331120281709</v>
      </c>
      <c r="DS47" s="4">
        <f t="shared" si="79"/>
        <v>1</v>
      </c>
      <c r="DU47" s="4">
        <f t="shared" si="121"/>
        <v>434.35964101816</v>
      </c>
      <c r="DY47" s="4">
        <f t="shared" si="80"/>
        <v>0.85</v>
      </c>
      <c r="DZ47" s="4">
        <f t="shared" si="81"/>
        <v>0.7</v>
      </c>
      <c r="EA47" s="4">
        <f t="shared" si="82"/>
        <v>0.7</v>
      </c>
      <c r="EB47" s="4">
        <f t="shared" si="83"/>
        <v>0.7</v>
      </c>
      <c r="ED47" s="4">
        <f t="shared" si="122"/>
        <v>520.81331120281709</v>
      </c>
      <c r="EE47" s="25">
        <f t="shared" si="123"/>
        <v>417.31748447583271</v>
      </c>
      <c r="EH47" s="4">
        <f t="shared" si="84"/>
        <v>9.0324733825588019</v>
      </c>
      <c r="EI47" s="4">
        <f t="shared" si="85"/>
        <v>8.5989146601959785</v>
      </c>
      <c r="EK47" s="4">
        <f t="shared" si="86"/>
        <v>77.858162529590359</v>
      </c>
      <c r="EL47" s="4">
        <f t="shared" si="87"/>
        <v>3.0652819893539514</v>
      </c>
      <c r="EM47" s="4">
        <f t="shared" si="88"/>
        <v>0.14556985346007961</v>
      </c>
      <c r="EP47" s="4">
        <f t="shared" si="89"/>
        <v>0.14556985346007961</v>
      </c>
      <c r="EQ47" s="4">
        <f t="shared" si="90"/>
        <v>0.45143636288245065</v>
      </c>
      <c r="ER47" s="4">
        <f t="shared" si="91"/>
        <v>6.5712093846056652</v>
      </c>
      <c r="ES47" s="4">
        <f t="shared" si="92"/>
        <v>7.8985373382272543</v>
      </c>
      <c r="ET47" s="4">
        <f t="shared" si="93"/>
        <v>136.45433747040965</v>
      </c>
      <c r="EU47" s="4">
        <f t="shared" si="94"/>
        <v>71.4375</v>
      </c>
      <c r="EV47" s="4">
        <f t="shared" si="95"/>
        <v>2.0755210712749404E-5</v>
      </c>
      <c r="EW47" s="4">
        <f t="shared" si="96"/>
        <v>8.3250436910150292</v>
      </c>
      <c r="EX47" s="4">
        <f t="shared" si="97"/>
        <v>520.81331120281709</v>
      </c>
      <c r="EY47" s="4">
        <f t="shared" si="98"/>
        <v>136.45433747040965</v>
      </c>
      <c r="EZ47" s="4">
        <f t="shared" si="99"/>
        <v>71.437499999999986</v>
      </c>
      <c r="FB47" s="4">
        <f t="shared" si="100"/>
        <v>0</v>
      </c>
      <c r="FG47" s="23"/>
      <c r="FH47" s="23"/>
      <c r="FI47" s="23"/>
      <c r="FJ47" s="23"/>
      <c r="FK47" s="23"/>
      <c r="FL47" s="23"/>
      <c r="FM47" s="23"/>
      <c r="FN47" s="23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customHeight="1" x14ac:dyDescent="0.3">
      <c r="A48" s="25">
        <v>30</v>
      </c>
      <c r="B48" s="26" t="s">
        <v>81</v>
      </c>
      <c r="C48" s="26"/>
      <c r="D48" s="26" t="s">
        <v>82</v>
      </c>
      <c r="E48" s="26"/>
      <c r="F48" s="7" t="s">
        <v>107</v>
      </c>
      <c r="G48" s="28">
        <f t="shared" si="105"/>
        <v>517.5</v>
      </c>
      <c r="H48" s="7">
        <f t="shared" si="131"/>
        <v>285.75</v>
      </c>
      <c r="I48" s="7">
        <f t="shared" si="124"/>
        <v>285.75</v>
      </c>
      <c r="J48" s="7">
        <v>34.659999999999997</v>
      </c>
      <c r="K48" s="7">
        <v>25.4</v>
      </c>
      <c r="L48" s="7">
        <f t="shared" si="106"/>
        <v>11.25</v>
      </c>
      <c r="M48" s="7">
        <f t="shared" si="107"/>
        <v>11.25</v>
      </c>
      <c r="N48" s="7">
        <v>229</v>
      </c>
      <c r="O48" s="7">
        <f t="shared" si="108"/>
        <v>101.8</v>
      </c>
      <c r="P48" s="7">
        <v>305</v>
      </c>
      <c r="Q48" s="7">
        <v>0</v>
      </c>
      <c r="R48" s="7">
        <v>1</v>
      </c>
      <c r="S48" s="7">
        <v>79.319999999999993</v>
      </c>
      <c r="T48" s="7">
        <f t="shared" si="42"/>
        <v>3.6228346456692915</v>
      </c>
      <c r="U48" s="28">
        <f t="shared" si="109"/>
        <v>3.6228346456692915</v>
      </c>
      <c r="V48" s="28">
        <f t="shared" si="110"/>
        <v>8.3959536742577185</v>
      </c>
      <c r="W48" s="7">
        <f t="shared" si="43"/>
        <v>8.3959536742577185</v>
      </c>
      <c r="X48" s="7">
        <f t="shared" si="44"/>
        <v>9.3959536742577185</v>
      </c>
      <c r="Y48" s="7">
        <f t="shared" si="45"/>
        <v>77.858162529590359</v>
      </c>
      <c r="Z48" s="7"/>
      <c r="AA48" s="7"/>
      <c r="AB48" s="7">
        <f>267.24/(PI()/4*K48^2)*1000</f>
        <v>527.40488550905957</v>
      </c>
      <c r="AC48" s="7"/>
      <c r="AD48" s="7"/>
      <c r="AE48" s="7">
        <v>9.5</v>
      </c>
      <c r="AF48" s="7">
        <v>5</v>
      </c>
      <c r="AG48" s="7">
        <v>64</v>
      </c>
      <c r="AH48" s="7">
        <v>5</v>
      </c>
      <c r="AI48" s="7"/>
      <c r="AJ48" s="7"/>
      <c r="AK48" s="4">
        <f t="shared" si="126"/>
        <v>285.75</v>
      </c>
      <c r="AL48" s="4">
        <f t="shared" si="112"/>
        <v>0.16224159109497918</v>
      </c>
      <c r="AM48" s="25">
        <f t="shared" si="113"/>
        <v>561.22411424012159</v>
      </c>
      <c r="AN48" s="4">
        <f t="shared" si="114"/>
        <v>0.76440594925634286</v>
      </c>
      <c r="AO48" s="4">
        <v>1.25</v>
      </c>
      <c r="AP48" s="25">
        <f t="shared" si="115"/>
        <v>5</v>
      </c>
      <c r="AQ48" s="38">
        <f t="shared" si="116"/>
        <v>435.01336067010908</v>
      </c>
      <c r="AR48" s="38">
        <f t="shared" si="117"/>
        <v>435.01336067010908</v>
      </c>
      <c r="AT48" s="38">
        <f t="shared" si="46"/>
        <v>435.01336067010885</v>
      </c>
      <c r="AU48" s="3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38">
        <f t="shared" si="118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36">
        <f t="shared" si="53"/>
        <v>2.2250000000000001</v>
      </c>
      <c r="BF48" s="36">
        <f t="shared" si="54"/>
        <v>523.9674226514469</v>
      </c>
      <c r="BK48" s="4">
        <f t="shared" si="55"/>
        <v>101.8</v>
      </c>
      <c r="BL48" s="4">
        <f t="shared" si="56"/>
        <v>79.319999999999993</v>
      </c>
      <c r="BM48" s="4">
        <f t="shared" si="57"/>
        <v>101.8</v>
      </c>
      <c r="BN48" s="4">
        <f t="shared" si="58"/>
        <v>92.02</v>
      </c>
      <c r="BO48" s="4">
        <f t="shared" si="59"/>
        <v>1.0283408976298538</v>
      </c>
      <c r="BP48" s="25">
        <f t="shared" si="119"/>
        <v>4</v>
      </c>
      <c r="BR48" s="4">
        <f t="shared" si="60"/>
        <v>101.8</v>
      </c>
      <c r="BV48" s="9"/>
      <c r="BX48" s="9"/>
      <c r="BY48" s="9"/>
      <c r="BZ48" s="9">
        <f t="shared" si="61"/>
        <v>101.8</v>
      </c>
      <c r="CA48" s="9">
        <f t="shared" si="62"/>
        <v>101.8</v>
      </c>
      <c r="CB48" s="9">
        <f t="shared" si="63"/>
        <v>2.001967536137395</v>
      </c>
      <c r="CC48" s="9">
        <v>20</v>
      </c>
      <c r="CD48" s="9">
        <f t="shared" si="132"/>
        <v>0.05</v>
      </c>
      <c r="CE48" s="9">
        <f t="shared" si="65"/>
        <v>0.8</v>
      </c>
      <c r="CF48" s="9">
        <f t="shared" si="66"/>
        <v>0.99524931562137331</v>
      </c>
      <c r="CG48" s="9">
        <f t="shared" si="67"/>
        <v>0.97375</v>
      </c>
      <c r="CH48" s="9">
        <f t="shared" si="68"/>
        <v>1.9969246679255115</v>
      </c>
      <c r="CI48" s="9">
        <f t="shared" si="69"/>
        <v>4.9923116698137786</v>
      </c>
      <c r="CJ48" s="9">
        <v>1</v>
      </c>
      <c r="CK48" s="9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38">
        <f t="shared" si="120"/>
        <v>527.40488550905957</v>
      </c>
      <c r="DS48" s="4">
        <f t="shared" si="79"/>
        <v>1</v>
      </c>
      <c r="DU48" s="4">
        <f t="shared" si="121"/>
        <v>435.01336067010885</v>
      </c>
      <c r="DY48" s="4">
        <f t="shared" si="80"/>
        <v>0.85</v>
      </c>
      <c r="DZ48" s="4">
        <f t="shared" si="81"/>
        <v>0.7</v>
      </c>
      <c r="EA48" s="4">
        <f t="shared" si="82"/>
        <v>0.7</v>
      </c>
      <c r="EB48" s="4">
        <f t="shared" si="83"/>
        <v>0.7</v>
      </c>
      <c r="ED48" s="4">
        <f t="shared" si="122"/>
        <v>527.40488550905957</v>
      </c>
      <c r="EE48" s="25">
        <f t="shared" si="123"/>
        <v>417.52248511700668</v>
      </c>
      <c r="EH48" s="4">
        <f t="shared" si="84"/>
        <v>9.0324733825588019</v>
      </c>
      <c r="EI48" s="4">
        <f t="shared" si="85"/>
        <v>8.5989146601959785</v>
      </c>
      <c r="EK48" s="4">
        <f t="shared" si="86"/>
        <v>77.858162529590359</v>
      </c>
      <c r="EL48" s="4">
        <f t="shared" si="87"/>
        <v>3.0652819893539514</v>
      </c>
      <c r="EM48" s="4">
        <f t="shared" si="88"/>
        <v>0.14578893890207673</v>
      </c>
      <c r="EP48" s="4">
        <f t="shared" si="89"/>
        <v>0.14578893890207673</v>
      </c>
      <c r="EQ48" s="4">
        <f t="shared" si="90"/>
        <v>0.45211578333074282</v>
      </c>
      <c r="ER48" s="4">
        <f t="shared" si="91"/>
        <v>6.5751635187518467</v>
      </c>
      <c r="ES48" s="4">
        <f t="shared" si="92"/>
        <v>7.9001808794428525</v>
      </c>
      <c r="ET48" s="4">
        <f t="shared" si="93"/>
        <v>136.45433747040965</v>
      </c>
      <c r="EU48" s="4">
        <f t="shared" si="94"/>
        <v>71.4375</v>
      </c>
      <c r="EV48" s="4">
        <f t="shared" si="95"/>
        <v>2.0755210712749404E-5</v>
      </c>
      <c r="EW48" s="4">
        <f t="shared" si="96"/>
        <v>8.3248468099870543</v>
      </c>
      <c r="EX48" s="4">
        <f t="shared" si="97"/>
        <v>527.40488550905957</v>
      </c>
      <c r="EY48" s="4">
        <f t="shared" si="98"/>
        <v>136.45433747040965</v>
      </c>
      <c r="EZ48" s="4">
        <f t="shared" si="99"/>
        <v>71.437499999999986</v>
      </c>
      <c r="FB48" s="4">
        <f t="shared" si="100"/>
        <v>0</v>
      </c>
      <c r="FG48" s="23"/>
      <c r="FH48" s="23"/>
      <c r="FI48" s="23"/>
      <c r="FJ48" s="23"/>
      <c r="FK48" s="23"/>
      <c r="FL48" s="23"/>
      <c r="FM48" s="23"/>
      <c r="FN48" s="23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customHeight="1" x14ac:dyDescent="0.3">
      <c r="A49" s="25">
        <v>31</v>
      </c>
      <c r="B49" s="26" t="s">
        <v>81</v>
      </c>
      <c r="C49" s="26"/>
      <c r="D49" s="26" t="s">
        <v>82</v>
      </c>
      <c r="E49" s="26"/>
      <c r="F49" s="31" t="s">
        <v>111</v>
      </c>
      <c r="G49" s="28">
        <f t="shared" si="105"/>
        <v>517.5</v>
      </c>
      <c r="H49" s="7">
        <f t="shared" si="131"/>
        <v>285.75</v>
      </c>
      <c r="I49" s="7">
        <f t="shared" si="124"/>
        <v>285.75</v>
      </c>
      <c r="J49" s="7">
        <v>34.659999999999997</v>
      </c>
      <c r="K49" s="7">
        <v>25.4</v>
      </c>
      <c r="L49" s="7">
        <f t="shared" si="106"/>
        <v>11.25</v>
      </c>
      <c r="M49" s="7">
        <f t="shared" si="107"/>
        <v>11.25</v>
      </c>
      <c r="N49" s="7">
        <v>229</v>
      </c>
      <c r="O49" s="7">
        <f t="shared" si="108"/>
        <v>101.8</v>
      </c>
      <c r="P49" s="7">
        <v>305</v>
      </c>
      <c r="Q49" s="7">
        <v>0</v>
      </c>
      <c r="R49" s="7">
        <v>1</v>
      </c>
      <c r="S49" s="7">
        <v>49.56</v>
      </c>
      <c r="T49" s="7">
        <f t="shared" si="42"/>
        <v>2.451181102362205</v>
      </c>
      <c r="U49" s="28">
        <f t="shared" si="109"/>
        <v>2.451181102362205</v>
      </c>
      <c r="V49" s="28">
        <f t="shared" si="110"/>
        <v>8.3959536742577185</v>
      </c>
      <c r="W49" s="7">
        <f t="shared" si="43"/>
        <v>8.3959536742577185</v>
      </c>
      <c r="X49" s="7">
        <f t="shared" si="44"/>
        <v>9.3959536742577185</v>
      </c>
      <c r="Y49" s="7">
        <f t="shared" si="45"/>
        <v>77.858162529590359</v>
      </c>
      <c r="Z49" s="7"/>
      <c r="AA49" s="7"/>
      <c r="AB49" s="7">
        <f>248.64/(PI()/4*K49^2)*1000</f>
        <v>490.69731601920591</v>
      </c>
      <c r="AC49" s="7"/>
      <c r="AD49" s="7"/>
      <c r="AE49" s="7">
        <v>9.5</v>
      </c>
      <c r="AF49" s="7">
        <v>5</v>
      </c>
      <c r="AG49" s="7">
        <v>64</v>
      </c>
      <c r="AH49" s="7">
        <v>5</v>
      </c>
      <c r="AI49" s="7"/>
      <c r="AJ49" s="7"/>
      <c r="AK49" s="4">
        <f t="shared" si="126"/>
        <v>285.75</v>
      </c>
      <c r="AL49" s="4">
        <f t="shared" si="112"/>
        <v>0.15296788300023786</v>
      </c>
      <c r="AM49" s="25">
        <f t="shared" si="113"/>
        <v>561.22411424012159</v>
      </c>
      <c r="AN49" s="4">
        <f t="shared" si="114"/>
        <v>0.74357655293088354</v>
      </c>
      <c r="AO49" s="4">
        <v>1.25</v>
      </c>
      <c r="AP49" s="25">
        <f t="shared" si="115"/>
        <v>5</v>
      </c>
      <c r="AQ49" s="38">
        <f t="shared" si="116"/>
        <v>398.97187672270633</v>
      </c>
      <c r="AR49" s="38">
        <f t="shared" si="117"/>
        <v>398.97187672270633</v>
      </c>
      <c r="AT49" s="38">
        <f t="shared" si="46"/>
        <v>398.97187672270616</v>
      </c>
      <c r="AU49" s="3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38">
        <f t="shared" si="118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36">
        <f t="shared" si="53"/>
        <v>2.2201181102362204</v>
      </c>
      <c r="BF49" s="36">
        <f t="shared" si="54"/>
        <v>522.81778166394304</v>
      </c>
      <c r="BK49" s="4">
        <f t="shared" si="55"/>
        <v>101.8</v>
      </c>
      <c r="BL49" s="4">
        <f t="shared" si="56"/>
        <v>49.56</v>
      </c>
      <c r="BM49" s="4">
        <f t="shared" si="57"/>
        <v>101.8</v>
      </c>
      <c r="BN49" s="4">
        <f t="shared" si="58"/>
        <v>62.260000000000005</v>
      </c>
      <c r="BO49" s="4">
        <f t="shared" si="59"/>
        <v>1.1054075867635189</v>
      </c>
      <c r="BP49" s="25">
        <f t="shared" si="119"/>
        <v>4</v>
      </c>
      <c r="BR49" s="4">
        <f t="shared" si="60"/>
        <v>101.8</v>
      </c>
      <c r="BV49" s="9"/>
      <c r="BX49" s="9"/>
      <c r="BY49" s="9"/>
      <c r="BZ49" s="9">
        <f t="shared" si="61"/>
        <v>101.8</v>
      </c>
      <c r="CA49" s="9">
        <f t="shared" si="62"/>
        <v>101.8</v>
      </c>
      <c r="CB49" s="9">
        <f t="shared" si="63"/>
        <v>2.001967536137395</v>
      </c>
      <c r="CC49" s="9">
        <v>20</v>
      </c>
      <c r="CD49" s="9">
        <f t="shared" si="132"/>
        <v>0.05</v>
      </c>
      <c r="CE49" s="9">
        <f t="shared" si="65"/>
        <v>0.8</v>
      </c>
      <c r="CF49" s="9">
        <f t="shared" si="66"/>
        <v>0.99524931562137331</v>
      </c>
      <c r="CG49" s="9">
        <f t="shared" si="67"/>
        <v>0.97375</v>
      </c>
      <c r="CH49" s="9">
        <f t="shared" si="68"/>
        <v>1.9969246679255115</v>
      </c>
      <c r="CI49" s="9">
        <f t="shared" si="69"/>
        <v>4.9923116698137786</v>
      </c>
      <c r="CJ49" s="9">
        <v>1</v>
      </c>
      <c r="CK49" s="9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38">
        <f t="shared" si="120"/>
        <v>517.5</v>
      </c>
      <c r="DS49" s="4">
        <f t="shared" si="79"/>
        <v>1</v>
      </c>
      <c r="DU49" s="4">
        <f t="shared" si="121"/>
        <v>398.97187672270616</v>
      </c>
      <c r="DY49" s="4">
        <f t="shared" si="80"/>
        <v>0.85</v>
      </c>
      <c r="DZ49" s="4">
        <f t="shared" si="81"/>
        <v>0.7</v>
      </c>
      <c r="EA49" s="4">
        <f t="shared" si="82"/>
        <v>0.7</v>
      </c>
      <c r="EB49" s="4">
        <f t="shared" si="83"/>
        <v>0.7</v>
      </c>
      <c r="ED49" s="4">
        <f t="shared" si="122"/>
        <v>517.5</v>
      </c>
      <c r="EE49" s="25">
        <f t="shared" si="123"/>
        <v>406.01150571825815</v>
      </c>
      <c r="EH49" s="4">
        <f t="shared" si="84"/>
        <v>9.0324733825588019</v>
      </c>
      <c r="EI49" s="4">
        <f t="shared" si="85"/>
        <v>8.5989146601959785</v>
      </c>
      <c r="EK49" s="4">
        <f t="shared" si="86"/>
        <v>77.858162529590359</v>
      </c>
      <c r="EL49" s="4">
        <f t="shared" si="87"/>
        <v>3.0652819893539514</v>
      </c>
      <c r="EM49" s="4">
        <f t="shared" si="88"/>
        <v>0.1337101151780101</v>
      </c>
      <c r="EP49" s="4">
        <f t="shared" si="89"/>
        <v>0.1337101151780101</v>
      </c>
      <c r="EQ49" s="4">
        <f t="shared" si="90"/>
        <v>0.4146573390149611</v>
      </c>
      <c r="ER49" s="4">
        <f t="shared" si="91"/>
        <v>6.3515896592037286</v>
      </c>
      <c r="ES49" s="4">
        <f t="shared" si="92"/>
        <v>7.8082958220823215</v>
      </c>
      <c r="ET49" s="4">
        <f t="shared" si="93"/>
        <v>136.45433747040965</v>
      </c>
      <c r="EU49" s="4">
        <f t="shared" si="94"/>
        <v>71.4375</v>
      </c>
      <c r="EV49" s="4">
        <f t="shared" si="95"/>
        <v>2.0755210712749404E-5</v>
      </c>
      <c r="EW49" s="4">
        <f t="shared" si="96"/>
        <v>8.3359261239969022</v>
      </c>
      <c r="EX49" s="4">
        <f t="shared" si="97"/>
        <v>517.5</v>
      </c>
      <c r="EY49" s="4">
        <f t="shared" si="98"/>
        <v>136.45433747040965</v>
      </c>
      <c r="EZ49" s="4">
        <f t="shared" si="99"/>
        <v>71.437499999999986</v>
      </c>
      <c r="FB49" s="4">
        <f t="shared" si="100"/>
        <v>0</v>
      </c>
      <c r="FG49" s="23"/>
      <c r="FH49" s="23"/>
      <c r="FI49" s="23"/>
      <c r="FJ49" s="23"/>
      <c r="FK49" s="23"/>
      <c r="FL49" s="23"/>
      <c r="FM49" s="23"/>
      <c r="FN49" s="23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customHeight="1" x14ac:dyDescent="0.3">
      <c r="A50" s="25">
        <v>32</v>
      </c>
      <c r="B50" s="26" t="s">
        <v>81</v>
      </c>
      <c r="C50" s="26"/>
      <c r="D50" s="26" t="s">
        <v>82</v>
      </c>
      <c r="E50" s="26"/>
      <c r="F50" s="7" t="s">
        <v>108</v>
      </c>
      <c r="G50" s="28">
        <f t="shared" si="105"/>
        <v>517.5</v>
      </c>
      <c r="H50" s="7">
        <f t="shared" si="131"/>
        <v>285.75</v>
      </c>
      <c r="I50" s="7">
        <f t="shared" si="124"/>
        <v>285.75</v>
      </c>
      <c r="J50" s="7">
        <v>34.659999999999997</v>
      </c>
      <c r="K50" s="7">
        <v>25.4</v>
      </c>
      <c r="L50" s="7">
        <f t="shared" si="106"/>
        <v>11.25</v>
      </c>
      <c r="M50" s="7">
        <f t="shared" si="107"/>
        <v>11.25</v>
      </c>
      <c r="N50" s="7">
        <v>229</v>
      </c>
      <c r="O50" s="7">
        <f t="shared" si="108"/>
        <v>101.8</v>
      </c>
      <c r="P50" s="7">
        <v>305</v>
      </c>
      <c r="Q50" s="7">
        <v>0</v>
      </c>
      <c r="R50" s="7">
        <v>1</v>
      </c>
      <c r="S50" s="7">
        <v>55.37</v>
      </c>
      <c r="T50" s="7">
        <f t="shared" si="42"/>
        <v>2.6799212598425197</v>
      </c>
      <c r="U50" s="28">
        <f t="shared" si="109"/>
        <v>2.6799212598425197</v>
      </c>
      <c r="V50" s="28">
        <f t="shared" si="110"/>
        <v>8.3959536742577185</v>
      </c>
      <c r="W50" s="7">
        <f t="shared" si="43"/>
        <v>8.3959536742577185</v>
      </c>
      <c r="X50" s="7">
        <f t="shared" si="44"/>
        <v>9.3959536742577185</v>
      </c>
      <c r="Y50" s="7">
        <f t="shared" si="45"/>
        <v>77.858162529590359</v>
      </c>
      <c r="Z50" s="7"/>
      <c r="AA50" s="7"/>
      <c r="AB50" s="7">
        <f>254.51/(PI()/4*K50^2)*1000</f>
        <v>502.28190918616514</v>
      </c>
      <c r="AC50" s="7"/>
      <c r="AD50" s="7"/>
      <c r="AE50" s="7">
        <v>9.5</v>
      </c>
      <c r="AF50" s="7">
        <v>5</v>
      </c>
      <c r="AG50" s="7">
        <v>64</v>
      </c>
      <c r="AH50" s="7">
        <v>5</v>
      </c>
      <c r="AI50" s="7"/>
      <c r="AJ50" s="7"/>
      <c r="AK50" s="4">
        <f t="shared" si="126"/>
        <v>285.75</v>
      </c>
      <c r="AL50" s="4">
        <f t="shared" si="112"/>
        <v>0.15477837507115344</v>
      </c>
      <c r="AM50" s="25">
        <f t="shared" si="113"/>
        <v>561.22411424012159</v>
      </c>
      <c r="AN50" s="4">
        <f t="shared" si="114"/>
        <v>0.74764304461942255</v>
      </c>
      <c r="AO50" s="4">
        <v>1.25</v>
      </c>
      <c r="AP50" s="25">
        <f t="shared" si="115"/>
        <v>5</v>
      </c>
      <c r="AQ50" s="38">
        <f t="shared" si="116"/>
        <v>405.90174731467357</v>
      </c>
      <c r="AR50" s="38">
        <f t="shared" si="117"/>
        <v>405.90174731467357</v>
      </c>
      <c r="AT50" s="38">
        <f t="shared" ref="AT50:AT92" si="133">AP50* (J50^0.5/AK50^0.5)/(PI()/4*K50^2)/R50/0.72 *(0.7+(MIN(O50,S50)+0.5*K50)/5/H50) *(N50*MIN(S50+0.5*K50+1.5*H50,508))</f>
        <v>405.90174731467334</v>
      </c>
      <c r="AU50" s="3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38">
        <f t="shared" si="118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36">
        <f t="shared" si="53"/>
        <v>2.2250000000000001</v>
      </c>
      <c r="BF50" s="36">
        <f t="shared" si="54"/>
        <v>523.9674226514469</v>
      </c>
      <c r="BK50" s="4">
        <f t="shared" si="55"/>
        <v>101.8</v>
      </c>
      <c r="BL50" s="4">
        <f t="shared" si="56"/>
        <v>55.37</v>
      </c>
      <c r="BM50" s="4">
        <f t="shared" si="57"/>
        <v>101.8</v>
      </c>
      <c r="BN50" s="4">
        <f t="shared" si="58"/>
        <v>68.069999999999993</v>
      </c>
      <c r="BO50" s="4">
        <f t="shared" si="59"/>
        <v>1.0838540726024923</v>
      </c>
      <c r="BP50" s="25">
        <f t="shared" si="119"/>
        <v>4</v>
      </c>
      <c r="BR50" s="4">
        <f t="shared" si="60"/>
        <v>101.8</v>
      </c>
      <c r="BV50" s="9"/>
      <c r="BX50" s="9"/>
      <c r="BY50" s="9"/>
      <c r="BZ50" s="9">
        <f t="shared" si="61"/>
        <v>101.8</v>
      </c>
      <c r="CA50" s="9">
        <f t="shared" si="62"/>
        <v>101.8</v>
      </c>
      <c r="CB50" s="9">
        <f t="shared" si="63"/>
        <v>2.001967536137395</v>
      </c>
      <c r="CC50" s="9">
        <v>20</v>
      </c>
      <c r="CD50" s="9">
        <f t="shared" si="132"/>
        <v>0.05</v>
      </c>
      <c r="CE50" s="9">
        <f t="shared" si="65"/>
        <v>0.8</v>
      </c>
      <c r="CF50" s="9">
        <f t="shared" si="66"/>
        <v>0.99524931562137331</v>
      </c>
      <c r="CG50" s="9">
        <f t="shared" si="67"/>
        <v>0.97375</v>
      </c>
      <c r="CH50" s="9">
        <f t="shared" si="68"/>
        <v>1.9969246679255115</v>
      </c>
      <c r="CI50" s="9">
        <f t="shared" si="69"/>
        <v>4.9923116698137786</v>
      </c>
      <c r="CJ50" s="9">
        <v>1</v>
      </c>
      <c r="CK50" s="9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38">
        <f t="shared" si="120"/>
        <v>517.5</v>
      </c>
      <c r="DS50" s="4">
        <f t="shared" si="79"/>
        <v>1</v>
      </c>
      <c r="DU50" s="4">
        <f t="shared" si="121"/>
        <v>405.90174731467334</v>
      </c>
      <c r="DY50" s="4">
        <f t="shared" si="80"/>
        <v>0.85</v>
      </c>
      <c r="DZ50" s="4">
        <f t="shared" si="81"/>
        <v>0.7</v>
      </c>
      <c r="EA50" s="4">
        <f t="shared" si="82"/>
        <v>0.7</v>
      </c>
      <c r="EB50" s="4">
        <f t="shared" si="83"/>
        <v>0.7</v>
      </c>
      <c r="ED50" s="4">
        <f t="shared" si="122"/>
        <v>517.5</v>
      </c>
      <c r="EE50" s="25">
        <f t="shared" si="123"/>
        <v>408.25877689791969</v>
      </c>
      <c r="EH50" s="4">
        <f t="shared" si="84"/>
        <v>9.0324733825588019</v>
      </c>
      <c r="EI50" s="4">
        <f t="shared" si="85"/>
        <v>8.5989146601959785</v>
      </c>
      <c r="EK50" s="4">
        <f t="shared" si="86"/>
        <v>77.858162529590359</v>
      </c>
      <c r="EL50" s="4">
        <f t="shared" si="87"/>
        <v>3.0652819893539514</v>
      </c>
      <c r="EM50" s="4">
        <f t="shared" si="88"/>
        <v>0.13603256908787462</v>
      </c>
      <c r="EP50" s="4">
        <f t="shared" si="89"/>
        <v>0.13603256908787462</v>
      </c>
      <c r="EQ50" s="4">
        <f t="shared" si="90"/>
        <v>0.42185965543632703</v>
      </c>
      <c r="ER50" s="4">
        <f t="shared" si="91"/>
        <v>6.3954909375802735</v>
      </c>
      <c r="ES50" s="4">
        <f t="shared" si="92"/>
        <v>7.8261691483847384</v>
      </c>
      <c r="ET50" s="4">
        <f t="shared" si="93"/>
        <v>136.45433747040965</v>
      </c>
      <c r="EU50" s="4">
        <f t="shared" si="94"/>
        <v>71.4375</v>
      </c>
      <c r="EV50" s="4">
        <f t="shared" si="95"/>
        <v>2.0755210712749404E-5</v>
      </c>
      <c r="EW50" s="4">
        <f t="shared" si="96"/>
        <v>8.3337591242856508</v>
      </c>
      <c r="EX50" s="4">
        <f t="shared" si="97"/>
        <v>517.5</v>
      </c>
      <c r="EY50" s="4">
        <f t="shared" si="98"/>
        <v>136.45433747040965</v>
      </c>
      <c r="EZ50" s="4">
        <f t="shared" si="99"/>
        <v>71.437499999999986</v>
      </c>
      <c r="FB50" s="4">
        <f t="shared" si="100"/>
        <v>0</v>
      </c>
      <c r="FG50" s="23"/>
      <c r="FH50" s="23"/>
      <c r="FI50" s="23"/>
      <c r="FJ50" s="23"/>
      <c r="FK50" s="23"/>
      <c r="FL50" s="23"/>
      <c r="FM50" s="23"/>
      <c r="FN50" s="23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customHeight="1" x14ac:dyDescent="0.3">
      <c r="A51" s="25">
        <v>33</v>
      </c>
      <c r="B51" s="26" t="s">
        <v>81</v>
      </c>
      <c r="C51" s="26"/>
      <c r="D51" s="26" t="s">
        <v>82</v>
      </c>
      <c r="E51" s="26"/>
      <c r="F51" s="7" t="s">
        <v>109</v>
      </c>
      <c r="G51" s="28">
        <f t="shared" si="105"/>
        <v>517.5</v>
      </c>
      <c r="H51" s="7">
        <f t="shared" si="131"/>
        <v>285.75</v>
      </c>
      <c r="I51" s="7">
        <f t="shared" si="124"/>
        <v>285.75</v>
      </c>
      <c r="J51" s="7">
        <v>34.659999999999997</v>
      </c>
      <c r="K51" s="7">
        <v>25.4</v>
      </c>
      <c r="L51" s="7">
        <f t="shared" si="106"/>
        <v>11.25</v>
      </c>
      <c r="M51" s="7">
        <f t="shared" si="107"/>
        <v>11.25</v>
      </c>
      <c r="N51" s="7">
        <v>229</v>
      </c>
      <c r="O51" s="7">
        <f t="shared" si="108"/>
        <v>101.8</v>
      </c>
      <c r="P51" s="7">
        <v>305</v>
      </c>
      <c r="Q51" s="7">
        <v>0</v>
      </c>
      <c r="R51" s="7">
        <v>1</v>
      </c>
      <c r="S51" s="7">
        <v>51.69</v>
      </c>
      <c r="T51" s="7">
        <f t="shared" si="42"/>
        <v>2.5350393700787404</v>
      </c>
      <c r="U51" s="28">
        <f t="shared" si="109"/>
        <v>2.5350393700787404</v>
      </c>
      <c r="V51" s="28">
        <f t="shared" si="110"/>
        <v>8.3959536742577185</v>
      </c>
      <c r="W51" s="7">
        <f t="shared" si="43"/>
        <v>8.3959536742577185</v>
      </c>
      <c r="X51" s="7">
        <f t="shared" si="44"/>
        <v>9.3959536742577185</v>
      </c>
      <c r="Y51" s="7">
        <f t="shared" si="45"/>
        <v>77.858162529590359</v>
      </c>
      <c r="Z51" s="7"/>
      <c r="AA51" s="7"/>
      <c r="AB51" s="7">
        <f>265.15/(PI()/4*K51^2)*1000</f>
        <v>523.28021775455443</v>
      </c>
      <c r="AC51" s="7"/>
      <c r="AD51" s="7"/>
      <c r="AE51" s="7">
        <v>9.5</v>
      </c>
      <c r="AF51" s="7">
        <v>5</v>
      </c>
      <c r="AG51" s="7">
        <v>64</v>
      </c>
      <c r="AH51" s="7">
        <v>5</v>
      </c>
      <c r="AI51" s="7"/>
      <c r="AJ51" s="7"/>
      <c r="AK51" s="4">
        <f t="shared" si="126"/>
        <v>285.75</v>
      </c>
      <c r="AL51" s="4">
        <f t="shared" si="112"/>
        <v>0.15363162622072843</v>
      </c>
      <c r="AM51" s="25">
        <f t="shared" si="113"/>
        <v>561.22411424012159</v>
      </c>
      <c r="AN51" s="4">
        <f t="shared" si="114"/>
        <v>0.7450673665791776</v>
      </c>
      <c r="AO51" s="4">
        <v>1.25</v>
      </c>
      <c r="AP51" s="25">
        <f t="shared" si="115"/>
        <v>5</v>
      </c>
      <c r="AQ51" s="38">
        <f t="shared" si="116"/>
        <v>401.50643504965132</v>
      </c>
      <c r="AR51" s="38">
        <f t="shared" si="117"/>
        <v>401.50643504965132</v>
      </c>
      <c r="AT51" s="38">
        <f t="shared" si="133"/>
        <v>401.50643504965109</v>
      </c>
      <c r="AU51" s="3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38">
        <f t="shared" si="118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36">
        <f t="shared" si="53"/>
        <v>2.2250000000000001</v>
      </c>
      <c r="BF51" s="36">
        <f t="shared" si="54"/>
        <v>523.9674226514469</v>
      </c>
      <c r="BK51" s="4">
        <f t="shared" si="55"/>
        <v>101.8</v>
      </c>
      <c r="BL51" s="4">
        <f t="shared" si="56"/>
        <v>51.69</v>
      </c>
      <c r="BM51" s="4">
        <f t="shared" si="57"/>
        <v>101.8</v>
      </c>
      <c r="BN51" s="4">
        <f t="shared" si="58"/>
        <v>64.39</v>
      </c>
      <c r="BO51" s="4">
        <f t="shared" si="59"/>
        <v>1.0969433159218418</v>
      </c>
      <c r="BP51" s="25">
        <f t="shared" si="119"/>
        <v>4</v>
      </c>
      <c r="BR51" s="4">
        <f t="shared" si="60"/>
        <v>101.8</v>
      </c>
      <c r="BV51" s="9"/>
      <c r="BX51" s="9"/>
      <c r="BY51" s="9"/>
      <c r="BZ51" s="9">
        <f t="shared" si="61"/>
        <v>101.8</v>
      </c>
      <c r="CA51" s="9">
        <f t="shared" si="62"/>
        <v>101.8</v>
      </c>
      <c r="CB51" s="9">
        <f t="shared" si="63"/>
        <v>2.001967536137395</v>
      </c>
      <c r="CC51" s="9">
        <v>20</v>
      </c>
      <c r="CD51" s="9">
        <f t="shared" si="132"/>
        <v>0.05</v>
      </c>
      <c r="CE51" s="9">
        <f t="shared" si="65"/>
        <v>0.8</v>
      </c>
      <c r="CF51" s="9">
        <f t="shared" si="66"/>
        <v>0.99524931562137331</v>
      </c>
      <c r="CG51" s="9">
        <f t="shared" si="67"/>
        <v>0.97375</v>
      </c>
      <c r="CH51" s="9">
        <f t="shared" si="68"/>
        <v>1.9969246679255115</v>
      </c>
      <c r="CI51" s="9">
        <f t="shared" si="69"/>
        <v>4.9923116698137786</v>
      </c>
      <c r="CJ51" s="9">
        <v>1</v>
      </c>
      <c r="CK51" s="9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38">
        <f t="shared" si="120"/>
        <v>523.28021775455443</v>
      </c>
      <c r="DS51" s="4">
        <f t="shared" si="79"/>
        <v>1</v>
      </c>
      <c r="DU51" s="4">
        <f t="shared" si="121"/>
        <v>401.50643504965109</v>
      </c>
      <c r="DY51" s="4">
        <f t="shared" si="80"/>
        <v>0.85</v>
      </c>
      <c r="DZ51" s="4">
        <f t="shared" si="81"/>
        <v>0.7</v>
      </c>
      <c r="EA51" s="4">
        <f t="shared" si="82"/>
        <v>0.7</v>
      </c>
      <c r="EB51" s="4">
        <f t="shared" si="83"/>
        <v>0.7</v>
      </c>
      <c r="ED51" s="4">
        <f t="shared" si="122"/>
        <v>523.28021775455443</v>
      </c>
      <c r="EE51" s="25">
        <f t="shared" si="123"/>
        <v>406.83537621957981</v>
      </c>
      <c r="EH51" s="4">
        <f t="shared" si="84"/>
        <v>9.0324733825588019</v>
      </c>
      <c r="EI51" s="4">
        <f t="shared" si="85"/>
        <v>8.5989146601959785</v>
      </c>
      <c r="EK51" s="4">
        <f t="shared" si="86"/>
        <v>77.858162529590359</v>
      </c>
      <c r="EL51" s="4">
        <f t="shared" si="87"/>
        <v>3.0652819893539514</v>
      </c>
      <c r="EM51" s="4">
        <f t="shared" si="88"/>
        <v>0.13455953867273107</v>
      </c>
      <c r="EP51" s="4">
        <f t="shared" si="89"/>
        <v>0.13455953867273107</v>
      </c>
      <c r="EQ51" s="4">
        <f t="shared" si="90"/>
        <v>0.41729154275900004</v>
      </c>
      <c r="ER51" s="4">
        <f t="shared" si="91"/>
        <v>6.3676989623094746</v>
      </c>
      <c r="ES51" s="4">
        <f t="shared" si="92"/>
        <v>7.8148446026109291</v>
      </c>
      <c r="ET51" s="4">
        <f t="shared" si="93"/>
        <v>136.45433747040965</v>
      </c>
      <c r="EU51" s="4">
        <f t="shared" si="94"/>
        <v>71.4375</v>
      </c>
      <c r="EV51" s="4">
        <f t="shared" si="95"/>
        <v>2.0755210712749404E-5</v>
      </c>
      <c r="EW51" s="4">
        <f t="shared" si="96"/>
        <v>8.3351314478706442</v>
      </c>
      <c r="EX51" s="4">
        <f t="shared" si="97"/>
        <v>523.28021775455443</v>
      </c>
      <c r="EY51" s="4">
        <f t="shared" si="98"/>
        <v>136.45433747040965</v>
      </c>
      <c r="EZ51" s="4">
        <f t="shared" si="99"/>
        <v>71.437499999999986</v>
      </c>
      <c r="FB51" s="4">
        <f t="shared" si="100"/>
        <v>0</v>
      </c>
      <c r="FG51" s="23"/>
      <c r="FH51" s="23"/>
      <c r="FI51" s="23"/>
      <c r="FJ51" s="23"/>
      <c r="FK51" s="23"/>
      <c r="FL51" s="23"/>
      <c r="FM51" s="23"/>
      <c r="FN51" s="23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customHeight="1" x14ac:dyDescent="0.3">
      <c r="A52" s="25">
        <v>34</v>
      </c>
      <c r="B52" s="20" t="s">
        <v>54</v>
      </c>
      <c r="C52" s="20">
        <v>2006</v>
      </c>
      <c r="D52" s="24" t="s">
        <v>55</v>
      </c>
      <c r="E52" s="24"/>
      <c r="F52" s="7" t="s">
        <v>77</v>
      </c>
      <c r="G52" s="7">
        <v>472</v>
      </c>
      <c r="H52" s="7">
        <f>10*25.4</f>
        <v>254</v>
      </c>
      <c r="I52" s="7">
        <f t="shared" ref="I52:I115" si="134">K52*M52</f>
        <v>177.79999999999998</v>
      </c>
      <c r="J52" s="7">
        <v>27</v>
      </c>
      <c r="K52" s="7">
        <v>25.4</v>
      </c>
      <c r="L52" s="7">
        <f>H52/K52</f>
        <v>10</v>
      </c>
      <c r="M52" s="7">
        <v>7</v>
      </c>
      <c r="N52" s="7">
        <f t="shared" ref="N52:N78" si="135">6*25.4</f>
        <v>152.39999999999998</v>
      </c>
      <c r="O52" s="7">
        <f t="shared" si="108"/>
        <v>63.499999999999986</v>
      </c>
      <c r="P52" s="7">
        <f t="shared" ref="P52:P103" si="136">2*25.4</f>
        <v>50.8</v>
      </c>
      <c r="Q52" s="7">
        <v>0</v>
      </c>
      <c r="R52" s="7">
        <v>1</v>
      </c>
      <c r="S52" s="7">
        <f t="shared" ref="S52:S93" si="137">4*25.4-K52/2</f>
        <v>88.899999999999991</v>
      </c>
      <c r="T52" s="7">
        <f t="shared" si="42"/>
        <v>2.9999999999999996</v>
      </c>
      <c r="U52" s="7">
        <f t="shared" ref="U52:U92" si="138">MAX(N52/2/K52, (S52+K52/2)/K52)</f>
        <v>4</v>
      </c>
      <c r="V52" s="7">
        <v>1.18</v>
      </c>
      <c r="W52" s="7">
        <f>MIN(W$16,V52)</f>
        <v>1.18</v>
      </c>
      <c r="X52" s="7">
        <f t="shared" si="44"/>
        <v>2.1799999999999997</v>
      </c>
      <c r="Y52" s="7">
        <f t="shared" si="45"/>
        <v>37.502650572992827</v>
      </c>
      <c r="Z52" s="7"/>
      <c r="AA52" s="7"/>
      <c r="AB52" s="7">
        <v>426</v>
      </c>
      <c r="AC52" s="7"/>
      <c r="AD52" s="7"/>
      <c r="AE52" s="7">
        <v>0</v>
      </c>
      <c r="AF52" s="7">
        <v>0</v>
      </c>
      <c r="AG52" s="7">
        <f>I52</f>
        <v>177.79999999999998</v>
      </c>
      <c r="AH52" s="7"/>
      <c r="AI52" s="7"/>
      <c r="AJ52" s="7"/>
      <c r="AK52" s="4">
        <f t="shared" si="126"/>
        <v>254</v>
      </c>
      <c r="AL52" s="44">
        <f>MIN(N52)*(MIN(508-S52-0.5*K52,1.5*AK52)+S52+K52/2)/(3*H52)^2</f>
        <v>0.12666666666666665</v>
      </c>
      <c r="AM52" s="25">
        <f t="shared" si="113"/>
        <v>415.1214191673746</v>
      </c>
      <c r="AN52" s="4">
        <f t="shared" si="114"/>
        <v>0.7599999999999999</v>
      </c>
      <c r="AO52" s="4">
        <v>1.25</v>
      </c>
      <c r="AP52" s="25">
        <f t="shared" si="115"/>
        <v>5</v>
      </c>
      <c r="AQ52" s="38">
        <f t="shared" si="116"/>
        <v>249.76472053237029</v>
      </c>
      <c r="AR52" s="38">
        <f t="shared" si="117"/>
        <v>249.76472053237029</v>
      </c>
      <c r="AT52" s="38">
        <f t="shared" si="133"/>
        <v>249.76472053237032</v>
      </c>
      <c r="AU52" s="38">
        <f t="shared" si="47"/>
        <v>0.99999999999999989</v>
      </c>
      <c r="AV52" s="38">
        <f t="shared" ref="AV52:AV115" si="139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38">
        <f t="shared" si="118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36">
        <f t="shared" si="53"/>
        <v>1.1000000000000001</v>
      </c>
      <c r="BF52" s="36">
        <f t="shared" si="54"/>
        <v>189.7634864772462</v>
      </c>
      <c r="BK52" s="4">
        <f>IF(R52=1,O52,MIN(O52,Q52/2+6.4))</f>
        <v>63.499999999999986</v>
      </c>
      <c r="BL52" s="4">
        <f>MIN(S52,BK52)</f>
        <v>63.499999999999986</v>
      </c>
      <c r="BM52" s="4">
        <f>MAX(S52,BK52)</f>
        <v>88.899999999999991</v>
      </c>
      <c r="BN52" s="4">
        <f>BL52+K52/2</f>
        <v>76.199999999999989</v>
      </c>
      <c r="BO52" s="4">
        <f>MIN(1.25, 0.1*BM52/BL52+0.9)</f>
        <v>1.04</v>
      </c>
      <c r="BP52" s="25">
        <f t="shared" si="119"/>
        <v>3.1199999999999997</v>
      </c>
      <c r="BR52" s="4">
        <f>IF(Q52=0,O52,MIN(Q52/2,O52))</f>
        <v>63.499999999999986</v>
      </c>
      <c r="BV52" s="9"/>
      <c r="BX52" s="9"/>
      <c r="BY52" s="9"/>
      <c r="BZ52" s="9">
        <f>IF(Q52=0,MIN(O52,P52),MIN(Q52/2,O52,P52))</f>
        <v>50.8</v>
      </c>
      <c r="CA52" s="9">
        <f>MAX(Q52/2,O52)</f>
        <v>63.499999999999986</v>
      </c>
      <c r="CB52" s="9">
        <f t="shared" si="63"/>
        <v>1.4623505735569622</v>
      </c>
      <c r="CC52" s="9">
        <v>0</v>
      </c>
      <c r="CD52" s="9">
        <f t="shared" si="132"/>
        <v>0</v>
      </c>
      <c r="CE52" s="9">
        <f t="shared" si="65"/>
        <v>0</v>
      </c>
      <c r="CF52" s="9">
        <f>MIN(1,(25/K52)^0.3)</f>
        <v>0.99524931562137331</v>
      </c>
      <c r="CG52" s="9">
        <f>IF(G52&gt;=800,0.68,IF(G52&gt;=700,0.75-(G52-700)*0.07/100,IF(G52&gt;=600,0.85-(G52-600)*0.1/100,IF(G52&gt;=500,1-(G52-500)*0.15/100,1.2-(G52-400)*0.2/100))))</f>
        <v>1.056</v>
      </c>
      <c r="CH52" s="9">
        <f t="shared" si="68"/>
        <v>1.911374255891328</v>
      </c>
      <c r="CI52" s="9">
        <f t="shared" si="69"/>
        <v>2.7950992393846952</v>
      </c>
      <c r="CJ52" s="9">
        <v>1</v>
      </c>
      <c r="CK52" s="9">
        <f t="shared" si="70"/>
        <v>245.96873306585317</v>
      </c>
      <c r="CM52" s="4">
        <f t="shared" ref="CM52:CM61" si="140">AB52/AX52</f>
        <v>2.2252728946765861</v>
      </c>
      <c r="CN52" s="4">
        <f t="shared" ref="CN52:CN61" si="141">AB52/BC52</f>
        <v>1.5056073289427092</v>
      </c>
      <c r="CO52" s="4">
        <f t="shared" ref="CO52:CO61" si="142">AB52/BF52</f>
        <v>2.2448997323364419</v>
      </c>
      <c r="CP52" s="4">
        <f t="shared" ref="CP52:CP61" si="143">AB52/CK52</f>
        <v>1.7319274474042483</v>
      </c>
      <c r="CQ52" s="4">
        <f t="shared" ref="CQ52:CQ61" si="144">AB52/DR52</f>
        <v>0.97772168955200822</v>
      </c>
      <c r="CR52" s="4">
        <f t="shared" ref="CR52:CR61" si="145">AB52/ED52</f>
        <v>1.121877261169794</v>
      </c>
      <c r="CS52" s="4">
        <f t="shared" ref="CS52:CS115" si="146">AB52/GA52</f>
        <v>1.5930332009124273</v>
      </c>
      <c r="CU52" s="4">
        <f t="shared" ref="CU52:CV61" si="147">CM52</f>
        <v>2.2252728946765861</v>
      </c>
      <c r="CV52" s="4">
        <f t="shared" si="147"/>
        <v>1.5056073289427092</v>
      </c>
      <c r="CW52" s="4">
        <f t="shared" ref="CW52:CW61" si="148">CP52</f>
        <v>1.7319274474042483</v>
      </c>
      <c r="CX52" s="4">
        <f>CS52</f>
        <v>1.5930332009124273</v>
      </c>
      <c r="CY52" s="4">
        <f t="shared" ref="CY52:CZ61" si="149">CQ52</f>
        <v>0.97772168955200822</v>
      </c>
      <c r="CZ52" s="4">
        <f t="shared" si="149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38">
        <f t="shared" si="120"/>
        <v>435.70681161342861</v>
      </c>
      <c r="DS52" s="4">
        <f t="shared" si="79"/>
        <v>1.0049791856082171</v>
      </c>
      <c r="DT52" s="4">
        <f t="shared" ref="DT52:DT115" si="150">Y52/K52</f>
        <v>1.4764823060233399</v>
      </c>
      <c r="DU52" s="4">
        <f t="shared" si="121"/>
        <v>249.76472053237032</v>
      </c>
      <c r="DY52" s="4">
        <f>IF(P52&gt;1*K52,0.85,1)</f>
        <v>0.85</v>
      </c>
      <c r="DZ52" s="4">
        <f t="shared" si="81"/>
        <v>0.85000000000000009</v>
      </c>
      <c r="EA52" s="4">
        <f t="shared" si="82"/>
        <v>1</v>
      </c>
      <c r="EB52" s="4">
        <f t="shared" si="83"/>
        <v>0.85000000000000009</v>
      </c>
      <c r="ED52" s="4">
        <f t="shared" si="122"/>
        <v>379.72068313052802</v>
      </c>
      <c r="EE52" s="25">
        <f t="shared" si="123"/>
        <v>258.22019535919065</v>
      </c>
      <c r="EG52" s="4">
        <f t="shared" ref="EG52:EG92" si="151">DY52*EB52</f>
        <v>0.72250000000000003</v>
      </c>
      <c r="EH52" s="4">
        <f t="shared" si="84"/>
        <v>6.5652823394499222</v>
      </c>
      <c r="EI52" s="4">
        <f>IF(K52&lt;22.2,1.1*5*(J52/30)^0.5,IF(K52&gt;=31.8,0.9*5*(J52/30)^0.5,1*5*(J52/30)^0.5))*BP52/2.5</f>
        <v>5.9197837798352051</v>
      </c>
      <c r="EK52" s="4">
        <f>EL52*K52</f>
        <v>37.502650572992827</v>
      </c>
      <c r="EL52" s="4">
        <f>X52^0.5</f>
        <v>1.4764823060233399</v>
      </c>
      <c r="EM52" s="4">
        <f>MIN(DU52)/(4700*J52^0.5)/W52*EK52</f>
        <v>0.32503588417846324</v>
      </c>
      <c r="EN52" s="4">
        <f>DI52</f>
        <v>254</v>
      </c>
      <c r="EO52" s="4">
        <f>EK52+ET52+EU52</f>
        <v>254</v>
      </c>
      <c r="EP52" s="4">
        <f>EM52</f>
        <v>0.32503588417846324</v>
      </c>
      <c r="EQ52" s="4">
        <f>MIN(0.999, EP52/(0.3*(J52/30)^0.5))</f>
        <v>0.999</v>
      </c>
      <c r="ER52" s="4">
        <f>EH52/1*EQ52^0.4</f>
        <v>6.5626554382598101</v>
      </c>
      <c r="ES52" s="4">
        <f>EH52/1.4*(1-EQ52^1.4)/(1-EQ52)</f>
        <v>6.5639690202656151</v>
      </c>
      <c r="ET52" s="4">
        <f>MAX(0,DI52*ET$9-EK52)</f>
        <v>152.99734942700718</v>
      </c>
      <c r="EU52" s="4">
        <f>MAX(0,DI52-EK52-ET52)</f>
        <v>63.5</v>
      </c>
      <c r="EV52" s="4">
        <f t="shared" si="95"/>
        <v>1.7472864382687078E-5</v>
      </c>
      <c r="EW52" s="4">
        <f>MAX(0.5*EH52, (1-2*EV52*(EK52*ER52+ET52*ES52))/(1/EH52+EV52*EU52))</f>
        <v>6.2330044371629034</v>
      </c>
      <c r="EX52" s="4">
        <f>MIN(4/K52*(1*ER52*EK52+ES52*EY52+EZ52*EW52)+DU52,MAX(G52,AB52))</f>
        <v>433.54809517745116</v>
      </c>
      <c r="EY52" s="4">
        <f>IF(DJ52&lt;=ET$9, MAX(0,DI52*DJ52-EK52), MAX(0,DI52*ET$9-EK52))</f>
        <v>140.29734942700716</v>
      </c>
      <c r="EZ52" s="4">
        <f>MAX(0, DI52*DJ52-EY52-EK52)</f>
        <v>0</v>
      </c>
      <c r="FB52" s="4">
        <f t="shared" si="100"/>
        <v>75.457982412160277</v>
      </c>
      <c r="FG52" s="23">
        <f>IF(CM52&lt;0.6,0.6,IF(CM52&lt;0.8,0.8,IF(CM52&lt;1,1,IF(CM52&lt;1.2,1.2,IF(CM52&lt;1.4,1.4,IF(CM52&lt;1.6,1.6,IF(CM52&lt;1.8,1.8,IF(CM52&lt;2,2,2.2))))))))</f>
        <v>2.2000000000000002</v>
      </c>
      <c r="FH52" s="23">
        <f>IF(CN52&lt;0.6,0.6,IF(CN52&lt;0.8,0.8,IF(CN52&lt;1,1,IF(CN52&lt;1.2,1.2,IF(CN52&lt;1.4,1.4,IF(CN52&lt;1.6,1.6,IF(CN52&lt;1.8,1.8,IF(CN52&lt;2,2,2.2))))))))</f>
        <v>1.6</v>
      </c>
      <c r="FI52" s="23">
        <f>IF(CS52&lt;0.6,0.6,IF(CS52&lt;0.8,0.8,IF(CS52&lt;1,1,IF(CS52&lt;1.2,1.2,IF(CS52&lt;1.4,1.4,IF(CS52&lt;1.6,1.6,IF(CS52&lt;1.8,1.8,IF(CS52&lt;2,2,2.2))))))))</f>
        <v>1.6</v>
      </c>
      <c r="FJ52" s="23">
        <f>IF(CP52&lt;0.6,0.6,IF(CP52&lt;0.8,0.8,IF(CP52&lt;1,1,IF(CP52&lt;1.2,1.2,IF(CP52&lt;1.4,1.4,IF(CP52&lt;1.6,1.6,IF(CP52&lt;1.8,1.8,IF(CP52&lt;2,2,2.2))))))))</f>
        <v>1.8</v>
      </c>
      <c r="FK52" s="23">
        <f t="shared" ref="FK52:FL61" si="152">IF(CQ52&lt;0.6,0.6,IF(CQ52&lt;0.8,0.8,IF(CQ52&lt;1,1,IF(CQ52&lt;1.2,1.2,IF(CQ52&lt;1.4,1.4,IF(CQ52&lt;1.6,1.6,IF(CQ52&lt;1.8,1.8,IF(CQ52&lt;2,2,2.2))))))))</f>
        <v>1</v>
      </c>
      <c r="FL52" s="23">
        <f t="shared" si="152"/>
        <v>1.2</v>
      </c>
      <c r="FM52" s="23">
        <f>IF(FK52&lt;1,1,0)</f>
        <v>0</v>
      </c>
      <c r="FN52" s="23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0.85000000000000009</v>
      </c>
      <c r="FZ52" s="4">
        <f t="shared" si="103"/>
        <v>0</v>
      </c>
      <c r="GA52" s="4">
        <f t="shared" si="104"/>
        <v>267.41438895059048</v>
      </c>
    </row>
    <row r="53" spans="1:183" ht="12" customHeight="1" x14ac:dyDescent="0.3">
      <c r="A53" s="25">
        <v>35</v>
      </c>
      <c r="B53" s="20" t="s">
        <v>54</v>
      </c>
      <c r="C53" s="20">
        <v>2006</v>
      </c>
      <c r="D53" s="24" t="s">
        <v>55</v>
      </c>
      <c r="E53" s="24"/>
      <c r="F53" s="7" t="s">
        <v>69</v>
      </c>
      <c r="G53" s="7">
        <v>472</v>
      </c>
      <c r="H53" s="7">
        <f t="shared" ref="H53:H61" si="153">10*25.4</f>
        <v>254</v>
      </c>
      <c r="I53" s="7">
        <f t="shared" si="134"/>
        <v>177.79999999999998</v>
      </c>
      <c r="J53" s="7">
        <v>27</v>
      </c>
      <c r="K53" s="7">
        <v>25.4</v>
      </c>
      <c r="L53" s="7">
        <f t="shared" ref="L53:L93" si="154">H53/K53</f>
        <v>10</v>
      </c>
      <c r="M53" s="7">
        <v>7</v>
      </c>
      <c r="N53" s="7">
        <f t="shared" si="135"/>
        <v>152.39999999999998</v>
      </c>
      <c r="O53" s="7">
        <f t="shared" si="108"/>
        <v>63.499999999999986</v>
      </c>
      <c r="P53" s="7">
        <f t="shared" si="136"/>
        <v>50.8</v>
      </c>
      <c r="Q53" s="7">
        <v>0</v>
      </c>
      <c r="R53" s="7">
        <v>1</v>
      </c>
      <c r="S53" s="7">
        <f t="shared" si="137"/>
        <v>88.899999999999991</v>
      </c>
      <c r="T53" s="7">
        <f t="shared" si="42"/>
        <v>2.9999999999999996</v>
      </c>
      <c r="U53" s="7">
        <f t="shared" si="138"/>
        <v>4</v>
      </c>
      <c r="V53" s="7">
        <v>1.85</v>
      </c>
      <c r="W53" s="7">
        <f t="shared" ref="W53:W126" si="155">MIN(W$16,V53)</f>
        <v>1.85</v>
      </c>
      <c r="X53" s="7">
        <f t="shared" si="44"/>
        <v>2.85</v>
      </c>
      <c r="Y53" s="7">
        <f t="shared" si="45"/>
        <v>42.880135260980694</v>
      </c>
      <c r="Z53" s="7"/>
      <c r="AA53" s="7"/>
      <c r="AB53" s="7">
        <v>456</v>
      </c>
      <c r="AC53" s="7"/>
      <c r="AD53" s="7"/>
      <c r="AE53" s="7">
        <v>0</v>
      </c>
      <c r="AF53" s="7">
        <v>0</v>
      </c>
      <c r="AG53" s="7">
        <f t="shared" ref="AG53:AG89" si="156">I53</f>
        <v>177.79999999999998</v>
      </c>
      <c r="AH53" s="7"/>
      <c r="AI53" s="7"/>
      <c r="AJ53" s="7"/>
      <c r="AK53" s="4">
        <f t="shared" si="126"/>
        <v>254</v>
      </c>
      <c r="AL53" s="44">
        <f t="shared" ref="AL53:AL93" si="157">MIN(N53)*(MIN(508-S53-0.5*K53,1.5*AK53)+S53+K53/2)/(3*H53)^2</f>
        <v>0.12666666666666665</v>
      </c>
      <c r="AM53" s="25">
        <f t="shared" si="113"/>
        <v>415.1214191673746</v>
      </c>
      <c r="AN53" s="4">
        <f t="shared" si="114"/>
        <v>0.7599999999999999</v>
      </c>
      <c r="AO53" s="4">
        <v>1.25</v>
      </c>
      <c r="AP53" s="25">
        <f t="shared" si="115"/>
        <v>5</v>
      </c>
      <c r="AQ53" s="38">
        <f t="shared" si="116"/>
        <v>249.76472053237029</v>
      </c>
      <c r="AR53" s="38">
        <f t="shared" si="117"/>
        <v>249.76472053237029</v>
      </c>
      <c r="AT53" s="38">
        <f t="shared" si="133"/>
        <v>249.76472053237032</v>
      </c>
      <c r="AU53" s="38">
        <f t="shared" si="47"/>
        <v>0.99999999999999989</v>
      </c>
      <c r="AV53" s="38">
        <f t="shared" si="139"/>
        <v>0.99983295482284784</v>
      </c>
      <c r="AW53" s="4">
        <f t="shared" ref="AW53:AW103" si="158">IF(AV53&lt;1,1,0)</f>
        <v>1</v>
      </c>
      <c r="AX53" s="4">
        <f t="shared" ref="AX53:AX59" si="159">I53/K53*J53^0.5/0.19</f>
        <v>191.43719452077065</v>
      </c>
      <c r="AY53" s="4">
        <f t="shared" si="49"/>
        <v>1.1333333333333333</v>
      </c>
      <c r="AZ53" s="38">
        <f t="shared" si="118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36">
        <f t="shared" si="53"/>
        <v>1.1000000000000001</v>
      </c>
      <c r="BF53" s="36">
        <f t="shared" si="54"/>
        <v>189.7634864772462</v>
      </c>
      <c r="BK53" s="4">
        <f t="shared" ref="BK53:BK126" si="160">IF(R53=1,O53,MIN(O53,Q53/2+6.4))</f>
        <v>63.499999999999986</v>
      </c>
      <c r="BL53" s="4">
        <f t="shared" ref="BL53:BL126" si="161">MIN(S53,BK53)</f>
        <v>63.499999999999986</v>
      </c>
      <c r="BM53" s="4">
        <f t="shared" ref="BM53:BM126" si="162">MAX(S53,BK53)</f>
        <v>88.899999999999991</v>
      </c>
      <c r="BN53" s="4">
        <f t="shared" ref="BN53:BN126" si="163">BL53+K53/2</f>
        <v>76.199999999999989</v>
      </c>
      <c r="BO53" s="4">
        <f t="shared" ref="BO53:BO126" si="164">MIN(1.25, 0.1*BM53/BL53+0.9)</f>
        <v>1.04</v>
      </c>
      <c r="BP53" s="25">
        <f t="shared" si="119"/>
        <v>3.1199999999999997</v>
      </c>
      <c r="BR53" s="4">
        <f t="shared" ref="BR53:BR116" si="165">IF(Q53=0,O53,MIN(Q53/2,O53))</f>
        <v>63.499999999999986</v>
      </c>
      <c r="BV53" s="9"/>
      <c r="BX53" s="9"/>
      <c r="BY53" s="9"/>
      <c r="BZ53" s="9">
        <f t="shared" ref="BZ53:BZ61" si="166">IF(Q53=0,MIN(O53,P53),MIN(Q53/2,O53,P53))</f>
        <v>50.8</v>
      </c>
      <c r="CA53" s="9">
        <f t="shared" ref="CA53:CA61" si="167">MAX(Q53/2,O53)</f>
        <v>63.499999999999986</v>
      </c>
      <c r="CB53" s="9">
        <f t="shared" si="63"/>
        <v>1.4623505735569622</v>
      </c>
      <c r="CC53" s="9">
        <v>0</v>
      </c>
      <c r="CD53" s="9">
        <f t="shared" si="132"/>
        <v>0</v>
      </c>
      <c r="CE53" s="9">
        <f t="shared" si="65"/>
        <v>0</v>
      </c>
      <c r="CF53" s="9">
        <f t="shared" ref="CF53:CF61" si="168">MIN(1,(25/K53)^0.3)</f>
        <v>0.99524931562137331</v>
      </c>
      <c r="CG53" s="9">
        <f t="shared" ref="CG53:CG61" si="169">IF(G53&gt;=800,0.68,IF(G53&gt;=700,0.75-(G53-700)*0.07/100,IF(G53&gt;=600,0.85-(G53-600)*0.1/100,IF(G53&gt;=500,1-(G53-500)*0.15/100,1.2-(G53-400)*0.2/100))))</f>
        <v>1.056</v>
      </c>
      <c r="CH53" s="9">
        <f t="shared" si="68"/>
        <v>1.911374255891328</v>
      </c>
      <c r="CI53" s="9">
        <f t="shared" si="69"/>
        <v>2.7950992393846952</v>
      </c>
      <c r="CJ53" s="9">
        <v>1</v>
      </c>
      <c r="CK53" s="9">
        <f t="shared" si="70"/>
        <v>245.96873306585317</v>
      </c>
      <c r="CM53" s="4">
        <f t="shared" si="140"/>
        <v>2.3819822534566275</v>
      </c>
      <c r="CN53" s="4">
        <f t="shared" si="141"/>
        <v>1.4080931325265225</v>
      </c>
      <c r="CO53" s="4">
        <f t="shared" si="142"/>
        <v>2.4029912627826699</v>
      </c>
      <c r="CP53" s="4">
        <f t="shared" si="143"/>
        <v>1.8538941690524346</v>
      </c>
      <c r="CQ53" s="4">
        <f t="shared" si="144"/>
        <v>1.0711542892578541</v>
      </c>
      <c r="CR53" s="4">
        <f t="shared" si="145"/>
        <v>1.1998368896021039</v>
      </c>
      <c r="CS53" s="4">
        <f t="shared" si="146"/>
        <v>1.7052186375964011</v>
      </c>
      <c r="CU53" s="4">
        <f t="shared" si="147"/>
        <v>2.3819822534566275</v>
      </c>
      <c r="CV53" s="4">
        <f t="shared" si="147"/>
        <v>1.4080931325265225</v>
      </c>
      <c r="CW53" s="4">
        <f t="shared" si="148"/>
        <v>1.8538941690524346</v>
      </c>
      <c r="CX53" s="4">
        <f t="shared" ref="CX53:CX61" si="170">CS53</f>
        <v>1.7052186375964011</v>
      </c>
      <c r="CY53" s="4">
        <f t="shared" si="149"/>
        <v>1.0711542892578541</v>
      </c>
      <c r="CZ53" s="4">
        <f t="shared" si="149"/>
        <v>1.1998368896021039</v>
      </c>
      <c r="DH53" s="4">
        <f t="shared" ref="DH53:DH126" si="171">AF53</f>
        <v>0</v>
      </c>
      <c r="DI53" s="4">
        <f t="shared" ref="DI53:DI126" si="172">H53</f>
        <v>254</v>
      </c>
      <c r="DJ53" s="4">
        <f t="shared" ref="DJ53:DJ126" si="173">I53/H53</f>
        <v>0.7</v>
      </c>
      <c r="DL53" s="4">
        <f t="shared" ref="DL53:DL126" si="174">H53/4/(1-0.3*(J53/30)^0.5)/200000/K53</f>
        <v>1.7472864382687078E-5</v>
      </c>
      <c r="DM53" s="4">
        <f t="shared" ref="DM53:DM126" si="175">EH53</f>
        <v>6.5652823394499222</v>
      </c>
      <c r="DN53" s="4">
        <f t="shared" ref="DN53:DN103" si="176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38">
        <f t="shared" si="120"/>
        <v>425.70898009094299</v>
      </c>
      <c r="DS53" s="4">
        <f t="shared" si="79"/>
        <v>1.0001694595504687</v>
      </c>
      <c r="DT53" s="4">
        <f t="shared" si="150"/>
        <v>1.6881943016134133</v>
      </c>
      <c r="DU53" s="4">
        <f t="shared" si="121"/>
        <v>249.76472053237032</v>
      </c>
      <c r="DY53" s="4">
        <f t="shared" ref="DY53:DY61" si="177">IF(P53&gt;1*K53,0.85,1)</f>
        <v>0.85</v>
      </c>
      <c r="DZ53" s="4">
        <f t="shared" si="81"/>
        <v>0.85000000000000009</v>
      </c>
      <c r="EA53" s="4">
        <f t="shared" si="82"/>
        <v>1</v>
      </c>
      <c r="EB53" s="4">
        <f t="shared" si="83"/>
        <v>0.85000000000000009</v>
      </c>
      <c r="ED53" s="4">
        <f t="shared" si="122"/>
        <v>380.05165864771925</v>
      </c>
      <c r="EE53" s="25">
        <f t="shared" si="123"/>
        <v>258.22019535919065</v>
      </c>
      <c r="EG53" s="4">
        <f t="shared" si="151"/>
        <v>0.72250000000000003</v>
      </c>
      <c r="EH53" s="4">
        <f t="shared" si="84"/>
        <v>6.5652823394499222</v>
      </c>
      <c r="EI53" s="4">
        <f t="shared" ref="EI53:EI126" si="178">IF(K53&lt;22.2,1.1*5*(J53/30)^0.5,IF(K53&gt;=31.8,0.9*5*(J53/30)^0.5,1*5*(J53/30)^0.5))*BP53/2.5</f>
        <v>5.9197837798352051</v>
      </c>
      <c r="EK53" s="4">
        <f t="shared" ref="EK53:EK126" si="179">EL53*K53</f>
        <v>42.880135260980694</v>
      </c>
      <c r="EL53" s="4">
        <f t="shared" ref="EL53:EL126" si="180">X53^0.5</f>
        <v>1.6881943016134133</v>
      </c>
      <c r="EM53" s="4">
        <f t="shared" ref="EM53:EM126" si="181">MIN(DU53)/(4700*J53^0.5)/W53*EK53</f>
        <v>0.23704771434421898</v>
      </c>
      <c r="EP53" s="4">
        <f t="shared" ref="EP53:EP116" si="182">EM53</f>
        <v>0.23704771434421898</v>
      </c>
      <c r="EQ53" s="4">
        <f t="shared" ref="EQ53:EQ116" si="183">MIN(0.999, EP53/(0.3*(J53/30)^0.5))</f>
        <v>0.83290076829411031</v>
      </c>
      <c r="ER53" s="4">
        <f t="shared" ref="ER53:ER126" si="184">EH53/1*EQ53^0.4</f>
        <v>6.102260069503922</v>
      </c>
      <c r="ES53" s="4">
        <f t="shared" ref="ES53:ES61" si="185">EH53/1.4*(1-EQ53^1.4)/(1-EQ53)</f>
        <v>6.3380014382255325</v>
      </c>
      <c r="ET53" s="4">
        <f t="shared" ref="ET53:ET126" si="186">MAX(0,DI53*ET$9-EK53)</f>
        <v>147.61986473901931</v>
      </c>
      <c r="EU53" s="4">
        <f t="shared" ref="EU53:EU126" si="187">MAX(0,DI53-EK53-ET53)</f>
        <v>63.5</v>
      </c>
      <c r="EV53" s="4">
        <f t="shared" si="95"/>
        <v>1.7472864382687078E-5</v>
      </c>
      <c r="EW53" s="4">
        <f t="shared" ref="EW53:EW61" si="188">MAX(0.5*EH53, (1-2*EV53*(EK53*ER53+ET53*ES53))/(1/EH53+EV53*EU53))</f>
        <v>6.2451004018517979</v>
      </c>
      <c r="EX53" s="4">
        <f t="shared" ref="EX53:EX126" si="189">MIN(4/K53*(1*ER53*EK53+ES53*EY53+EZ53*EW53)+DU53,MAX(G53,AB53))</f>
        <v>425.63685186136371</v>
      </c>
      <c r="EY53" s="4">
        <f t="shared" ref="EY53:EY126" si="190">IF(DJ53&lt;=ET$9, MAX(0,DI53*DJ53-EK53), MAX(0,DI53*ET$9-EK53))</f>
        <v>134.91986473901929</v>
      </c>
      <c r="EZ53" s="4">
        <f t="shared" ref="EZ53:EZ126" si="191">MAX(0, DI53*DJ53-EY53-EK53)</f>
        <v>0</v>
      </c>
      <c r="FB53" s="4">
        <f t="shared" si="100"/>
        <v>75.127006894969043</v>
      </c>
      <c r="FG53" s="23">
        <f t="shared" ref="FG53:FH61" si="192">IF(CM53&lt;0.6,0.6,IF(CM53&lt;0.8,0.8,IF(CM53&lt;1,1,IF(CM53&lt;1.2,1.2,IF(CM53&lt;1.4,1.4,IF(CM53&lt;1.6,1.6,IF(CM53&lt;1.8,1.8,IF(CM53&lt;2,2,2.2))))))))</f>
        <v>2.2000000000000002</v>
      </c>
      <c r="FH53" s="23">
        <f t="shared" si="192"/>
        <v>1.6</v>
      </c>
      <c r="FI53" s="23">
        <f t="shared" ref="FI53:FI61" si="193">IF(CS53&lt;0.6,0.6,IF(CS53&lt;0.8,0.8,IF(CS53&lt;1,1,IF(CS53&lt;1.2,1.2,IF(CS53&lt;1.4,1.4,IF(CS53&lt;1.6,1.6,IF(CS53&lt;1.8,1.8,IF(CS53&lt;2,2,2.2))))))))</f>
        <v>1.8</v>
      </c>
      <c r="FJ53" s="23">
        <f t="shared" ref="FJ53:FJ61" si="194">IF(CP53&lt;0.6,0.6,IF(CP53&lt;0.8,0.8,IF(CP53&lt;1,1,IF(CP53&lt;1.2,1.2,IF(CP53&lt;1.4,1.4,IF(CP53&lt;1.6,1.6,IF(CP53&lt;1.8,1.8,IF(CP53&lt;2,2,2.2))))))))</f>
        <v>2</v>
      </c>
      <c r="FK53" s="23">
        <f t="shared" si="152"/>
        <v>1.2</v>
      </c>
      <c r="FL53" s="23">
        <f t="shared" si="152"/>
        <v>1.2</v>
      </c>
      <c r="FM53" s="23">
        <f t="shared" ref="FM53:FM61" si="195">IF(FK53&lt;1,1,0)</f>
        <v>0</v>
      </c>
      <c r="FN53" s="23"/>
      <c r="FO53" s="1" t="s">
        <v>42</v>
      </c>
      <c r="FP53">
        <f t="shared" ref="FP53:FU53" si="196">COUNTIF(FG19:FG570,0.6)</f>
        <v>12</v>
      </c>
      <c r="FQ53">
        <f t="shared" si="196"/>
        <v>67</v>
      </c>
      <c r="FR53">
        <f t="shared" si="196"/>
        <v>2</v>
      </c>
      <c r="FS53">
        <f t="shared" si="196"/>
        <v>0</v>
      </c>
      <c r="FT53">
        <f t="shared" si="196"/>
        <v>2</v>
      </c>
      <c r="FU53">
        <f t="shared" si="196"/>
        <v>1</v>
      </c>
      <c r="FX53" s="4">
        <f t="shared" si="101"/>
        <v>1</v>
      </c>
      <c r="FY53" s="4">
        <f t="shared" si="102"/>
        <v>0.85000000000000009</v>
      </c>
      <c r="FZ53" s="4">
        <f t="shared" si="103"/>
        <v>0</v>
      </c>
      <c r="GA53" s="4">
        <f t="shared" si="104"/>
        <v>267.41438895059048</v>
      </c>
    </row>
    <row r="54" spans="1:183" ht="12" customHeight="1" x14ac:dyDescent="0.3">
      <c r="A54" s="25">
        <v>36</v>
      </c>
      <c r="B54" s="20" t="s">
        <v>54</v>
      </c>
      <c r="C54" s="20">
        <v>2006</v>
      </c>
      <c r="D54" s="24" t="s">
        <v>55</v>
      </c>
      <c r="E54" s="24"/>
      <c r="F54" s="7" t="s">
        <v>67</v>
      </c>
      <c r="G54" s="7">
        <v>472</v>
      </c>
      <c r="H54" s="7">
        <f t="shared" si="153"/>
        <v>254</v>
      </c>
      <c r="I54" s="7">
        <f t="shared" si="134"/>
        <v>177.79999999999998</v>
      </c>
      <c r="J54" s="7">
        <v>27</v>
      </c>
      <c r="K54" s="7">
        <v>25.4</v>
      </c>
      <c r="L54" s="7">
        <f t="shared" si="154"/>
        <v>10</v>
      </c>
      <c r="M54" s="7">
        <v>7</v>
      </c>
      <c r="N54" s="7">
        <f t="shared" si="135"/>
        <v>152.39999999999998</v>
      </c>
      <c r="O54" s="7">
        <f t="shared" si="108"/>
        <v>63.499999999999986</v>
      </c>
      <c r="P54" s="7">
        <f t="shared" si="136"/>
        <v>50.8</v>
      </c>
      <c r="Q54" s="7">
        <v>0</v>
      </c>
      <c r="R54" s="7">
        <v>1</v>
      </c>
      <c r="S54" s="7">
        <f t="shared" si="137"/>
        <v>88.899999999999991</v>
      </c>
      <c r="T54" s="7">
        <f t="shared" si="42"/>
        <v>2.9999999999999996</v>
      </c>
      <c r="U54" s="7">
        <f t="shared" si="138"/>
        <v>4</v>
      </c>
      <c r="V54" s="7">
        <v>2.8</v>
      </c>
      <c r="W54" s="7">
        <f t="shared" si="155"/>
        <v>2.8</v>
      </c>
      <c r="X54" s="7">
        <f t="shared" si="44"/>
        <v>3.8</v>
      </c>
      <c r="Y54" s="7">
        <f t="shared" si="45"/>
        <v>49.513715271629529</v>
      </c>
      <c r="Z54" s="7"/>
      <c r="AA54" s="7"/>
      <c r="AB54" s="7">
        <v>471</v>
      </c>
      <c r="AC54" s="7"/>
      <c r="AD54" s="7"/>
      <c r="AE54" s="7">
        <v>0</v>
      </c>
      <c r="AF54" s="7">
        <v>0</v>
      </c>
      <c r="AG54" s="7">
        <f t="shared" si="156"/>
        <v>177.79999999999998</v>
      </c>
      <c r="AH54" s="7"/>
      <c r="AI54" s="7"/>
      <c r="AJ54" s="7"/>
      <c r="AK54" s="4">
        <f t="shared" si="126"/>
        <v>254</v>
      </c>
      <c r="AL54" s="44">
        <f t="shared" si="157"/>
        <v>0.12666666666666665</v>
      </c>
      <c r="AM54" s="25">
        <f t="shared" si="113"/>
        <v>415.1214191673746</v>
      </c>
      <c r="AN54" s="4">
        <f t="shared" si="114"/>
        <v>0.7599999999999999</v>
      </c>
      <c r="AO54" s="4">
        <v>1.25</v>
      </c>
      <c r="AP54" s="25">
        <f t="shared" si="115"/>
        <v>5</v>
      </c>
      <c r="AQ54" s="38">
        <f t="shared" si="116"/>
        <v>249.76472053237029</v>
      </c>
      <c r="AR54" s="38">
        <f t="shared" si="117"/>
        <v>249.76472053237029</v>
      </c>
      <c r="AT54" s="38">
        <f t="shared" si="133"/>
        <v>249.76472053237032</v>
      </c>
      <c r="AU54" s="38">
        <f t="shared" si="47"/>
        <v>0.99999999999999989</v>
      </c>
      <c r="AV54" s="38">
        <f t="shared" si="139"/>
        <v>1.2300438632344617</v>
      </c>
      <c r="AW54" s="4">
        <f t="shared" si="158"/>
        <v>0</v>
      </c>
      <c r="AX54" s="4">
        <f t="shared" si="159"/>
        <v>191.43719452077065</v>
      </c>
      <c r="AY54" s="4">
        <f t="shared" si="49"/>
        <v>1.1333333333333333</v>
      </c>
      <c r="AZ54" s="38">
        <f t="shared" si="118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36">
        <f t="shared" si="53"/>
        <v>1.1000000000000001</v>
      </c>
      <c r="BF54" s="36">
        <f t="shared" si="54"/>
        <v>189.7634864772462</v>
      </c>
      <c r="BK54" s="4">
        <f t="shared" si="160"/>
        <v>63.499999999999986</v>
      </c>
      <c r="BL54" s="4">
        <f t="shared" si="161"/>
        <v>63.499999999999986</v>
      </c>
      <c r="BM54" s="4">
        <f t="shared" si="162"/>
        <v>88.899999999999991</v>
      </c>
      <c r="BN54" s="4">
        <f t="shared" si="163"/>
        <v>76.199999999999989</v>
      </c>
      <c r="BO54" s="4">
        <f t="shared" si="164"/>
        <v>1.04</v>
      </c>
      <c r="BP54" s="25">
        <f t="shared" si="119"/>
        <v>3.1199999999999997</v>
      </c>
      <c r="BR54" s="4">
        <f t="shared" si="165"/>
        <v>63.499999999999986</v>
      </c>
      <c r="BV54" s="9"/>
      <c r="BX54" s="9"/>
      <c r="BY54" s="9"/>
      <c r="BZ54" s="9">
        <f t="shared" si="166"/>
        <v>50.8</v>
      </c>
      <c r="CA54" s="9">
        <f t="shared" si="167"/>
        <v>63.499999999999986</v>
      </c>
      <c r="CB54" s="9">
        <f t="shared" si="63"/>
        <v>1.4623505735569622</v>
      </c>
      <c r="CC54" s="9">
        <v>0</v>
      </c>
      <c r="CD54" s="9">
        <f t="shared" si="132"/>
        <v>0</v>
      </c>
      <c r="CE54" s="9">
        <f t="shared" si="65"/>
        <v>0</v>
      </c>
      <c r="CF54" s="9">
        <f t="shared" si="168"/>
        <v>0.99524931562137331</v>
      </c>
      <c r="CG54" s="9">
        <f t="shared" si="169"/>
        <v>1.056</v>
      </c>
      <c r="CH54" s="9">
        <f t="shared" si="68"/>
        <v>1.911374255891328</v>
      </c>
      <c r="CI54" s="9">
        <f t="shared" si="69"/>
        <v>2.7950992393846952</v>
      </c>
      <c r="CJ54" s="9">
        <v>1</v>
      </c>
      <c r="CK54" s="9">
        <f t="shared" si="70"/>
        <v>245.96873306585317</v>
      </c>
      <c r="CM54" s="4">
        <f t="shared" si="140"/>
        <v>2.4603369328466482</v>
      </c>
      <c r="CN54" s="4">
        <f t="shared" si="141"/>
        <v>1.2797614861123718</v>
      </c>
      <c r="CO54" s="4">
        <f t="shared" si="142"/>
        <v>2.4820370280057844</v>
      </c>
      <c r="CP54" s="4">
        <f t="shared" si="143"/>
        <v>1.9148775298765279</v>
      </c>
      <c r="CQ54" s="4">
        <f t="shared" si="144"/>
        <v>1.1358656375632361</v>
      </c>
      <c r="CR54" s="4">
        <f t="shared" si="145"/>
        <v>1.2379464417646227</v>
      </c>
      <c r="CS54" s="4">
        <f t="shared" si="146"/>
        <v>1.7613113559383879</v>
      </c>
      <c r="CU54" s="4">
        <f t="shared" si="147"/>
        <v>2.4603369328466482</v>
      </c>
      <c r="CV54" s="4">
        <f t="shared" si="147"/>
        <v>1.2797614861123718</v>
      </c>
      <c r="CW54" s="4">
        <f t="shared" si="148"/>
        <v>1.9148775298765279</v>
      </c>
      <c r="CX54" s="4">
        <f t="shared" si="170"/>
        <v>1.7613113559383879</v>
      </c>
      <c r="CY54" s="4">
        <f t="shared" si="149"/>
        <v>1.1358656375632361</v>
      </c>
      <c r="CZ54" s="4">
        <f t="shared" si="149"/>
        <v>1.2379464417646227</v>
      </c>
      <c r="DH54" s="4">
        <f t="shared" si="171"/>
        <v>0</v>
      </c>
      <c r="DI54" s="4">
        <f t="shared" si="172"/>
        <v>254</v>
      </c>
      <c r="DJ54" s="4">
        <f t="shared" si="173"/>
        <v>0.7</v>
      </c>
      <c r="DL54" s="4">
        <f t="shared" si="174"/>
        <v>1.7472864382687078E-5</v>
      </c>
      <c r="DM54" s="4">
        <f t="shared" si="175"/>
        <v>6.5652823394499222</v>
      </c>
      <c r="DN54" s="4">
        <f t="shared" si="176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38">
        <f t="shared" si="120"/>
        <v>414.66172091483702</v>
      </c>
      <c r="DS54" s="4">
        <f t="shared" si="79"/>
        <v>1.0001553245307295</v>
      </c>
      <c r="DT54" s="4">
        <f t="shared" si="150"/>
        <v>1.9493588689617927</v>
      </c>
      <c r="DU54" s="4">
        <f t="shared" si="121"/>
        <v>249.76472053237032</v>
      </c>
      <c r="DY54" s="4">
        <f t="shared" si="177"/>
        <v>0.85</v>
      </c>
      <c r="DZ54" s="4">
        <f t="shared" si="81"/>
        <v>0.85000000000000009</v>
      </c>
      <c r="EA54" s="4">
        <f t="shared" si="82"/>
        <v>1</v>
      </c>
      <c r="EB54" s="4">
        <f t="shared" si="83"/>
        <v>0.85000000000000009</v>
      </c>
      <c r="ED54" s="4">
        <f t="shared" si="122"/>
        <v>380.46880229213804</v>
      </c>
      <c r="EE54" s="25">
        <f t="shared" si="123"/>
        <v>258.22019535919065</v>
      </c>
      <c r="EG54" s="4">
        <f t="shared" si="151"/>
        <v>0.72250000000000003</v>
      </c>
      <c r="EH54" s="4">
        <f t="shared" si="84"/>
        <v>6.5652823394499222</v>
      </c>
      <c r="EI54" s="4">
        <f t="shared" si="178"/>
        <v>5.9197837798352051</v>
      </c>
      <c r="EK54" s="4">
        <f t="shared" si="179"/>
        <v>49.513715271629529</v>
      </c>
      <c r="EL54" s="4">
        <f t="shared" si="180"/>
        <v>1.9493588689617927</v>
      </c>
      <c r="EM54" s="4">
        <f t="shared" si="181"/>
        <v>0.18085013508694833</v>
      </c>
      <c r="EP54" s="4">
        <f t="shared" si="182"/>
        <v>0.18085013508694833</v>
      </c>
      <c r="EQ54" s="4">
        <f t="shared" si="183"/>
        <v>0.63544260224876703</v>
      </c>
      <c r="ER54" s="4">
        <f t="shared" si="184"/>
        <v>5.4762584819800804</v>
      </c>
      <c r="ES54" s="4">
        <f t="shared" si="185"/>
        <v>6.0453627528027827</v>
      </c>
      <c r="ET54" s="4">
        <f t="shared" si="186"/>
        <v>140.98628472837046</v>
      </c>
      <c r="EU54" s="4">
        <f t="shared" si="187"/>
        <v>63.5</v>
      </c>
      <c r="EV54" s="4">
        <f t="shared" si="95"/>
        <v>1.7472864382687078E-5</v>
      </c>
      <c r="EW54" s="4">
        <f t="shared" si="188"/>
        <v>6.2619137744944693</v>
      </c>
      <c r="EX54" s="4">
        <f t="shared" si="189"/>
        <v>414.59732378007914</v>
      </c>
      <c r="EY54" s="4">
        <f t="shared" si="190"/>
        <v>128.28628472837045</v>
      </c>
      <c r="EZ54" s="4">
        <f t="shared" si="191"/>
        <v>7.1054273576010019E-15</v>
      </c>
      <c r="FB54" s="4">
        <f t="shared" si="100"/>
        <v>74.709863250550256</v>
      </c>
      <c r="FG54" s="23">
        <f t="shared" si="192"/>
        <v>2.2000000000000002</v>
      </c>
      <c r="FH54" s="23">
        <f t="shared" si="192"/>
        <v>1.4</v>
      </c>
      <c r="FI54" s="23">
        <f t="shared" si="193"/>
        <v>1.8</v>
      </c>
      <c r="FJ54" s="23">
        <f t="shared" si="194"/>
        <v>2</v>
      </c>
      <c r="FK54" s="23">
        <f t="shared" si="152"/>
        <v>1.2</v>
      </c>
      <c r="FL54" s="23">
        <f t="shared" si="152"/>
        <v>1.4</v>
      </c>
      <c r="FM54" s="23">
        <f t="shared" si="195"/>
        <v>0</v>
      </c>
      <c r="FN54" s="23"/>
      <c r="FO54" s="1" t="s">
        <v>43</v>
      </c>
      <c r="FP54">
        <f t="shared" ref="FP54:FU54" si="197">COUNTIF(FG19:FG570,0.8)</f>
        <v>14</v>
      </c>
      <c r="FQ54">
        <f t="shared" si="197"/>
        <v>64</v>
      </c>
      <c r="FR54">
        <f t="shared" si="197"/>
        <v>22</v>
      </c>
      <c r="FS54">
        <f t="shared" si="197"/>
        <v>0</v>
      </c>
      <c r="FT54">
        <f t="shared" si="197"/>
        <v>43</v>
      </c>
      <c r="FU54">
        <f t="shared" si="197"/>
        <v>40</v>
      </c>
      <c r="FX54" s="4">
        <f t="shared" si="101"/>
        <v>1</v>
      </c>
      <c r="FY54" s="4">
        <f t="shared" si="102"/>
        <v>0.85000000000000009</v>
      </c>
      <c r="FZ54" s="4">
        <f t="shared" si="103"/>
        <v>0</v>
      </c>
      <c r="GA54" s="4">
        <f t="shared" si="104"/>
        <v>267.41438895059048</v>
      </c>
    </row>
    <row r="55" spans="1:183" ht="12" customHeight="1" x14ac:dyDescent="0.3">
      <c r="A55" s="25">
        <v>37</v>
      </c>
      <c r="B55" s="20" t="s">
        <v>54</v>
      </c>
      <c r="C55" s="20">
        <v>2006</v>
      </c>
      <c r="D55" s="24" t="s">
        <v>55</v>
      </c>
      <c r="E55" s="24"/>
      <c r="F55" s="7" t="s">
        <v>277</v>
      </c>
      <c r="G55" s="7">
        <v>472</v>
      </c>
      <c r="H55" s="7">
        <f t="shared" si="153"/>
        <v>254</v>
      </c>
      <c r="I55" s="7">
        <f t="shared" si="134"/>
        <v>177.79999999999998</v>
      </c>
      <c r="J55" s="7">
        <v>27</v>
      </c>
      <c r="K55" s="7">
        <v>25.4</v>
      </c>
      <c r="L55" s="7">
        <f t="shared" si="154"/>
        <v>10</v>
      </c>
      <c r="M55" s="7">
        <v>7</v>
      </c>
      <c r="N55" s="7">
        <f t="shared" si="135"/>
        <v>152.39999999999998</v>
      </c>
      <c r="O55" s="7">
        <f t="shared" si="108"/>
        <v>63.499999999999986</v>
      </c>
      <c r="P55" s="7">
        <f t="shared" si="136"/>
        <v>50.8</v>
      </c>
      <c r="Q55" s="7">
        <v>0</v>
      </c>
      <c r="R55" s="7">
        <v>1</v>
      </c>
      <c r="S55" s="7">
        <f t="shared" si="137"/>
        <v>88.899999999999991</v>
      </c>
      <c r="T55" s="7">
        <f t="shared" si="42"/>
        <v>2.9999999999999996</v>
      </c>
      <c r="U55" s="7">
        <f t="shared" si="138"/>
        <v>4</v>
      </c>
      <c r="V55" s="7">
        <v>2.8</v>
      </c>
      <c r="W55" s="7">
        <f t="shared" si="155"/>
        <v>2.8</v>
      </c>
      <c r="X55" s="7">
        <f t="shared" si="44"/>
        <v>3.8</v>
      </c>
      <c r="Y55" s="7">
        <f t="shared" si="45"/>
        <v>49.513715271629529</v>
      </c>
      <c r="Z55" s="7"/>
      <c r="AA55" s="7"/>
      <c r="AB55" s="7">
        <v>451</v>
      </c>
      <c r="AC55" s="7"/>
      <c r="AD55" s="7"/>
      <c r="AE55" s="7">
        <v>0</v>
      </c>
      <c r="AF55" s="7">
        <v>0</v>
      </c>
      <c r="AG55" s="7">
        <f t="shared" si="156"/>
        <v>177.79999999999998</v>
      </c>
      <c r="AH55" s="7"/>
      <c r="AI55" s="7"/>
      <c r="AJ55" s="7"/>
      <c r="AK55" s="4">
        <f t="shared" si="126"/>
        <v>254</v>
      </c>
      <c r="AL55" s="44">
        <f t="shared" si="157"/>
        <v>0.12666666666666665</v>
      </c>
      <c r="AM55" s="25">
        <f t="shared" si="113"/>
        <v>415.1214191673746</v>
      </c>
      <c r="AN55" s="4">
        <f t="shared" si="114"/>
        <v>0.7599999999999999</v>
      </c>
      <c r="AO55" s="4">
        <v>1.25</v>
      </c>
      <c r="AP55" s="25">
        <f t="shared" si="115"/>
        <v>5</v>
      </c>
      <c r="AQ55" s="38">
        <f t="shared" si="116"/>
        <v>249.76472053237029</v>
      </c>
      <c r="AR55" s="38">
        <f t="shared" si="117"/>
        <v>249.76472053237029</v>
      </c>
      <c r="AT55" s="38">
        <f t="shared" si="133"/>
        <v>249.76472053237032</v>
      </c>
      <c r="AU55" s="38">
        <f t="shared" si="47"/>
        <v>0.99999999999999989</v>
      </c>
      <c r="AV55" s="38">
        <f t="shared" si="139"/>
        <v>1.2300438632344617</v>
      </c>
      <c r="AW55" s="4">
        <f t="shared" si="158"/>
        <v>0</v>
      </c>
      <c r="AX55" s="4">
        <f t="shared" si="159"/>
        <v>191.43719452077065</v>
      </c>
      <c r="AY55" s="4">
        <f t="shared" si="49"/>
        <v>1.1333333333333333</v>
      </c>
      <c r="AZ55" s="38">
        <f t="shared" si="118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36">
        <f t="shared" si="53"/>
        <v>1.1000000000000001</v>
      </c>
      <c r="BF55" s="36">
        <f t="shared" si="54"/>
        <v>189.7634864772462</v>
      </c>
      <c r="BK55" s="4">
        <f t="shared" si="160"/>
        <v>63.499999999999986</v>
      </c>
      <c r="BL55" s="4">
        <f t="shared" si="161"/>
        <v>63.499999999999986</v>
      </c>
      <c r="BM55" s="4">
        <f t="shared" si="162"/>
        <v>88.899999999999991</v>
      </c>
      <c r="BN55" s="4">
        <f t="shared" si="163"/>
        <v>76.199999999999989</v>
      </c>
      <c r="BO55" s="4">
        <f t="shared" si="164"/>
        <v>1.04</v>
      </c>
      <c r="BP55" s="25">
        <f t="shared" si="119"/>
        <v>3.1199999999999997</v>
      </c>
      <c r="BR55" s="4">
        <f t="shared" si="165"/>
        <v>63.499999999999986</v>
      </c>
      <c r="BV55" s="9"/>
      <c r="BX55" s="9"/>
      <c r="BY55" s="9"/>
      <c r="BZ55" s="9">
        <f t="shared" si="166"/>
        <v>50.8</v>
      </c>
      <c r="CA55" s="9">
        <f t="shared" si="167"/>
        <v>63.499999999999986</v>
      </c>
      <c r="CB55" s="9">
        <f t="shared" si="63"/>
        <v>1.4623505735569622</v>
      </c>
      <c r="CC55" s="9">
        <v>0</v>
      </c>
      <c r="CD55" s="9">
        <f t="shared" si="132"/>
        <v>0</v>
      </c>
      <c r="CE55" s="9">
        <f t="shared" si="65"/>
        <v>0</v>
      </c>
      <c r="CF55" s="9">
        <f t="shared" si="168"/>
        <v>0.99524931562137331</v>
      </c>
      <c r="CG55" s="9">
        <f t="shared" si="169"/>
        <v>1.056</v>
      </c>
      <c r="CH55" s="9">
        <f t="shared" si="68"/>
        <v>1.911374255891328</v>
      </c>
      <c r="CI55" s="9">
        <f t="shared" si="69"/>
        <v>2.7950992393846952</v>
      </c>
      <c r="CJ55" s="9">
        <v>1</v>
      </c>
      <c r="CK55" s="9">
        <f t="shared" si="70"/>
        <v>245.96873306585317</v>
      </c>
      <c r="CM55" s="4">
        <f t="shared" si="140"/>
        <v>2.3558640269932871</v>
      </c>
      <c r="CN55" s="4">
        <f t="shared" si="141"/>
        <v>1.2254191724770269</v>
      </c>
      <c r="CO55" s="4">
        <f t="shared" si="142"/>
        <v>2.3766426743749656</v>
      </c>
      <c r="CP55" s="4">
        <f t="shared" si="143"/>
        <v>1.8335663821110704</v>
      </c>
      <c r="CQ55" s="4">
        <f t="shared" si="144"/>
        <v>1.0876335510425041</v>
      </c>
      <c r="CR55" s="4">
        <f t="shared" si="145"/>
        <v>1.1853797138765283</v>
      </c>
      <c r="CS55" s="4">
        <f t="shared" si="146"/>
        <v>1.6865210648157389</v>
      </c>
      <c r="CU55" s="4">
        <f t="shared" si="147"/>
        <v>2.3558640269932871</v>
      </c>
      <c r="CV55" s="4">
        <f t="shared" si="147"/>
        <v>1.2254191724770269</v>
      </c>
      <c r="CW55" s="4">
        <f t="shared" si="148"/>
        <v>1.8335663821110704</v>
      </c>
      <c r="CX55" s="4">
        <f t="shared" si="170"/>
        <v>1.6865210648157389</v>
      </c>
      <c r="CY55" s="4">
        <f t="shared" si="149"/>
        <v>1.0876335510425041</v>
      </c>
      <c r="CZ55" s="4">
        <f t="shared" si="149"/>
        <v>1.1853797138765283</v>
      </c>
      <c r="DH55" s="4">
        <f t="shared" si="171"/>
        <v>0</v>
      </c>
      <c r="DI55" s="4">
        <f t="shared" si="172"/>
        <v>254</v>
      </c>
      <c r="DJ55" s="4">
        <f t="shared" si="173"/>
        <v>0.7</v>
      </c>
      <c r="DL55" s="4">
        <f t="shared" si="174"/>
        <v>1.7472864382687078E-5</v>
      </c>
      <c r="DM55" s="4">
        <f t="shared" si="175"/>
        <v>6.5652823394499222</v>
      </c>
      <c r="DN55" s="4">
        <f t="shared" si="176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38">
        <f t="shared" si="120"/>
        <v>414.66172091483702</v>
      </c>
      <c r="DS55" s="4">
        <f t="shared" si="79"/>
        <v>1.0001553245307295</v>
      </c>
      <c r="DT55" s="4">
        <f t="shared" si="150"/>
        <v>1.9493588689617927</v>
      </c>
      <c r="DU55" s="4">
        <f t="shared" si="121"/>
        <v>249.76472053237032</v>
      </c>
      <c r="DY55" s="4">
        <f t="shared" si="177"/>
        <v>0.85</v>
      </c>
      <c r="DZ55" s="4">
        <f t="shared" si="81"/>
        <v>0.85000000000000009</v>
      </c>
      <c r="EA55" s="4">
        <f t="shared" si="82"/>
        <v>1</v>
      </c>
      <c r="EB55" s="4">
        <f t="shared" si="83"/>
        <v>0.85000000000000009</v>
      </c>
      <c r="ED55" s="4">
        <f t="shared" si="122"/>
        <v>380.46880229213804</v>
      </c>
      <c r="EE55" s="25">
        <f t="shared" si="123"/>
        <v>258.22019535919065</v>
      </c>
      <c r="EG55" s="4">
        <f t="shared" si="151"/>
        <v>0.72250000000000003</v>
      </c>
      <c r="EH55" s="4">
        <f t="shared" si="84"/>
        <v>6.5652823394499222</v>
      </c>
      <c r="EI55" s="4">
        <f t="shared" si="178"/>
        <v>5.9197837798352051</v>
      </c>
      <c r="EK55" s="4">
        <f t="shared" si="179"/>
        <v>49.513715271629529</v>
      </c>
      <c r="EL55" s="4">
        <f t="shared" si="180"/>
        <v>1.9493588689617927</v>
      </c>
      <c r="EM55" s="4">
        <f t="shared" si="181"/>
        <v>0.18085013508694833</v>
      </c>
      <c r="EP55" s="4">
        <f t="shared" si="182"/>
        <v>0.18085013508694833</v>
      </c>
      <c r="EQ55" s="4">
        <f t="shared" si="183"/>
        <v>0.63544260224876703</v>
      </c>
      <c r="ER55" s="4">
        <f t="shared" si="184"/>
        <v>5.4762584819800804</v>
      </c>
      <c r="ES55" s="4">
        <f t="shared" si="185"/>
        <v>6.0453627528027827</v>
      </c>
      <c r="ET55" s="4">
        <f t="shared" si="186"/>
        <v>140.98628472837046</v>
      </c>
      <c r="EU55" s="4">
        <f t="shared" si="187"/>
        <v>63.5</v>
      </c>
      <c r="EV55" s="4">
        <f t="shared" si="95"/>
        <v>1.7472864382687078E-5</v>
      </c>
      <c r="EW55" s="4">
        <f t="shared" si="188"/>
        <v>6.2619137744944693</v>
      </c>
      <c r="EX55" s="4">
        <f t="shared" si="189"/>
        <v>414.59732378007914</v>
      </c>
      <c r="EY55" s="4">
        <f t="shared" si="190"/>
        <v>128.28628472837045</v>
      </c>
      <c r="EZ55" s="4">
        <f t="shared" si="191"/>
        <v>7.1054273576010019E-15</v>
      </c>
      <c r="FB55" s="4">
        <f t="shared" si="100"/>
        <v>74.709863250550256</v>
      </c>
      <c r="FG55" s="23">
        <f t="shared" si="192"/>
        <v>2.2000000000000002</v>
      </c>
      <c r="FH55" s="23">
        <f t="shared" si="192"/>
        <v>1.4</v>
      </c>
      <c r="FI55" s="23">
        <f t="shared" si="193"/>
        <v>1.8</v>
      </c>
      <c r="FJ55" s="23">
        <f t="shared" si="194"/>
        <v>2</v>
      </c>
      <c r="FK55" s="23">
        <f t="shared" si="152"/>
        <v>1.2</v>
      </c>
      <c r="FL55" s="23">
        <f t="shared" si="152"/>
        <v>1.2</v>
      </c>
      <c r="FM55" s="23">
        <f t="shared" si="195"/>
        <v>0</v>
      </c>
      <c r="FN55" s="23"/>
      <c r="FO55" s="1" t="s">
        <v>44</v>
      </c>
      <c r="FP55">
        <f t="shared" ref="FP55:FU55" si="198">COUNTIF(FG19:FG569,1)</f>
        <v>22</v>
      </c>
      <c r="FQ55">
        <f t="shared" si="198"/>
        <v>72</v>
      </c>
      <c r="FR55">
        <f t="shared" si="198"/>
        <v>47</v>
      </c>
      <c r="FS55">
        <f t="shared" si="198"/>
        <v>6</v>
      </c>
      <c r="FT55">
        <f t="shared" si="198"/>
        <v>99</v>
      </c>
      <c r="FU55">
        <f t="shared" si="198"/>
        <v>79</v>
      </c>
      <c r="FX55" s="4">
        <f t="shared" si="101"/>
        <v>1</v>
      </c>
      <c r="FY55" s="4">
        <f t="shared" si="102"/>
        <v>0.85000000000000009</v>
      </c>
      <c r="FZ55" s="4">
        <f t="shared" si="103"/>
        <v>0</v>
      </c>
      <c r="GA55" s="4">
        <f t="shared" si="104"/>
        <v>267.41438895059048</v>
      </c>
    </row>
    <row r="56" spans="1:183" ht="12" customHeight="1" x14ac:dyDescent="0.3">
      <c r="A56" s="25">
        <v>38</v>
      </c>
      <c r="B56" s="20" t="s">
        <v>54</v>
      </c>
      <c r="C56" s="20">
        <v>2006</v>
      </c>
      <c r="D56" s="24" t="s">
        <v>55</v>
      </c>
      <c r="E56" s="24"/>
      <c r="F56" s="7" t="s">
        <v>68</v>
      </c>
      <c r="G56" s="7">
        <v>472</v>
      </c>
      <c r="H56" s="7">
        <f t="shared" si="153"/>
        <v>254</v>
      </c>
      <c r="I56" s="7">
        <f t="shared" si="134"/>
        <v>177.79999999999998</v>
      </c>
      <c r="J56" s="7">
        <v>21</v>
      </c>
      <c r="K56" s="7">
        <v>25.4</v>
      </c>
      <c r="L56" s="7">
        <f t="shared" si="154"/>
        <v>10</v>
      </c>
      <c r="M56" s="7">
        <v>7</v>
      </c>
      <c r="N56" s="7">
        <f t="shared" si="135"/>
        <v>152.39999999999998</v>
      </c>
      <c r="O56" s="7">
        <f t="shared" si="108"/>
        <v>63.499999999999986</v>
      </c>
      <c r="P56" s="7">
        <f t="shared" si="136"/>
        <v>50.8</v>
      </c>
      <c r="Q56" s="7">
        <v>0</v>
      </c>
      <c r="R56" s="7">
        <v>1</v>
      </c>
      <c r="S56" s="7">
        <f t="shared" si="137"/>
        <v>88.899999999999991</v>
      </c>
      <c r="T56" s="7">
        <f t="shared" si="42"/>
        <v>2.9999999999999996</v>
      </c>
      <c r="U56" s="7">
        <f t="shared" si="138"/>
        <v>4</v>
      </c>
      <c r="V56" s="7">
        <v>4.04</v>
      </c>
      <c r="W56" s="7">
        <f t="shared" si="155"/>
        <v>4.04</v>
      </c>
      <c r="X56" s="7">
        <f t="shared" si="44"/>
        <v>5.04</v>
      </c>
      <c r="Y56" s="7">
        <f t="shared" si="45"/>
        <v>57.022858574434863</v>
      </c>
      <c r="Z56" s="7"/>
      <c r="AA56" s="7"/>
      <c r="AB56" s="7">
        <v>319</v>
      </c>
      <c r="AC56" s="7"/>
      <c r="AD56" s="7"/>
      <c r="AE56" s="7">
        <v>0</v>
      </c>
      <c r="AF56" s="7">
        <v>0</v>
      </c>
      <c r="AG56" s="7">
        <f t="shared" si="156"/>
        <v>177.79999999999998</v>
      </c>
      <c r="AH56" s="7"/>
      <c r="AI56" s="7"/>
      <c r="AJ56" s="7"/>
      <c r="AK56" s="4">
        <f t="shared" si="126"/>
        <v>254</v>
      </c>
      <c r="AL56" s="44">
        <f t="shared" si="157"/>
        <v>0.12666666666666665</v>
      </c>
      <c r="AM56" s="25">
        <f t="shared" si="113"/>
        <v>366.10267967102493</v>
      </c>
      <c r="AN56" s="4">
        <f t="shared" si="114"/>
        <v>0.7599999999999999</v>
      </c>
      <c r="AO56" s="4">
        <v>1.25</v>
      </c>
      <c r="AP56" s="25">
        <f t="shared" si="115"/>
        <v>5</v>
      </c>
      <c r="AQ56" s="38">
        <f t="shared" si="116"/>
        <v>220.27177893539994</v>
      </c>
      <c r="AR56" s="38">
        <f t="shared" si="117"/>
        <v>220.27177893539994</v>
      </c>
      <c r="AT56" s="38">
        <f t="shared" si="133"/>
        <v>220.27177893539994</v>
      </c>
      <c r="AU56" s="38">
        <f t="shared" si="47"/>
        <v>1</v>
      </c>
      <c r="AV56" s="38">
        <f t="shared" si="139"/>
        <v>1.3030468502430785</v>
      </c>
      <c r="AW56" s="4">
        <f t="shared" si="158"/>
        <v>0</v>
      </c>
      <c r="AX56" s="4">
        <f t="shared" si="159"/>
        <v>168.83173612995199</v>
      </c>
      <c r="AY56" s="4">
        <f t="shared" si="49"/>
        <v>1.1333333333333333</v>
      </c>
      <c r="AZ56" s="38">
        <f t="shared" si="118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36">
        <f t="shared" si="53"/>
        <v>1.1000000000000001</v>
      </c>
      <c r="BF56" s="36">
        <f t="shared" si="54"/>
        <v>167.35566437978727</v>
      </c>
      <c r="BK56" s="4">
        <f t="shared" si="160"/>
        <v>63.499999999999986</v>
      </c>
      <c r="BL56" s="4">
        <f t="shared" si="161"/>
        <v>63.499999999999986</v>
      </c>
      <c r="BM56" s="4">
        <f t="shared" si="162"/>
        <v>88.899999999999991</v>
      </c>
      <c r="BN56" s="4">
        <f t="shared" si="163"/>
        <v>76.199999999999989</v>
      </c>
      <c r="BO56" s="4">
        <f t="shared" si="164"/>
        <v>1.04</v>
      </c>
      <c r="BP56" s="25">
        <f t="shared" si="119"/>
        <v>3.1199999999999997</v>
      </c>
      <c r="BR56" s="4">
        <f t="shared" si="165"/>
        <v>63.499999999999986</v>
      </c>
      <c r="BV56" s="9"/>
      <c r="BX56" s="9"/>
      <c r="BY56" s="9"/>
      <c r="BZ56" s="9">
        <f t="shared" si="166"/>
        <v>50.8</v>
      </c>
      <c r="CA56" s="9">
        <f t="shared" si="167"/>
        <v>63.499999999999986</v>
      </c>
      <c r="CB56" s="9">
        <f t="shared" si="63"/>
        <v>1.4623505735569622</v>
      </c>
      <c r="CC56" s="9">
        <v>0</v>
      </c>
      <c r="CD56" s="9">
        <f t="shared" si="132"/>
        <v>0</v>
      </c>
      <c r="CE56" s="9">
        <f t="shared" si="65"/>
        <v>0</v>
      </c>
      <c r="CF56" s="9">
        <f t="shared" si="168"/>
        <v>0.99524931562137331</v>
      </c>
      <c r="CG56" s="9">
        <f t="shared" si="169"/>
        <v>1.056</v>
      </c>
      <c r="CH56" s="9">
        <f t="shared" si="68"/>
        <v>1.6856736478198622</v>
      </c>
      <c r="CI56" s="9">
        <f t="shared" si="69"/>
        <v>2.465045825719232</v>
      </c>
      <c r="CJ56" s="9">
        <v>1</v>
      </c>
      <c r="CK56" s="9">
        <f t="shared" si="70"/>
        <v>216.92403266329242</v>
      </c>
      <c r="CM56" s="4">
        <f t="shared" si="140"/>
        <v>1.8894551896004999</v>
      </c>
      <c r="CN56" s="4">
        <f t="shared" si="141"/>
        <v>0.98049804084083481</v>
      </c>
      <c r="CO56" s="4">
        <f t="shared" si="142"/>
        <v>1.9061201255553553</v>
      </c>
      <c r="CP56" s="4">
        <f t="shared" si="143"/>
        <v>1.4705608967501955</v>
      </c>
      <c r="CQ56" s="4">
        <f t="shared" si="144"/>
        <v>0.88170720161183924</v>
      </c>
      <c r="CR56" s="4">
        <f t="shared" si="145"/>
        <v>0.95155081061725866</v>
      </c>
      <c r="CS56" s="4">
        <f t="shared" si="146"/>
        <v>1.2702582624412369</v>
      </c>
      <c r="CU56" s="4">
        <f t="shared" si="147"/>
        <v>1.8894551896004999</v>
      </c>
      <c r="CV56" s="4">
        <f t="shared" si="147"/>
        <v>0.98049804084083481</v>
      </c>
      <c r="CW56" s="4">
        <f t="shared" si="148"/>
        <v>1.4705608967501955</v>
      </c>
      <c r="CX56" s="4">
        <f t="shared" si="170"/>
        <v>1.2702582624412369</v>
      </c>
      <c r="CY56" s="4">
        <f t="shared" si="149"/>
        <v>0.88170720161183924</v>
      </c>
      <c r="CZ56" s="4">
        <f t="shared" si="149"/>
        <v>0.95155081061725866</v>
      </c>
      <c r="DH56" s="4">
        <f t="shared" si="171"/>
        <v>0</v>
      </c>
      <c r="DI56" s="4">
        <f t="shared" si="172"/>
        <v>254</v>
      </c>
      <c r="DJ56" s="4">
        <f t="shared" si="173"/>
        <v>0.7</v>
      </c>
      <c r="DL56" s="4">
        <f t="shared" si="174"/>
        <v>1.668887417236156E-5</v>
      </c>
      <c r="DM56" s="4">
        <f t="shared" si="175"/>
        <v>5.7900347857029448</v>
      </c>
      <c r="DN56" s="4">
        <f t="shared" si="176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38">
        <f t="shared" si="120"/>
        <v>361.79811100197389</v>
      </c>
      <c r="DS56" s="4">
        <f t="shared" si="79"/>
        <v>1.0001547654350216</v>
      </c>
      <c r="DT56" s="4">
        <f t="shared" si="150"/>
        <v>2.2449944320643649</v>
      </c>
      <c r="DU56" s="4">
        <f t="shared" si="121"/>
        <v>220.27177893539994</v>
      </c>
      <c r="DY56" s="4">
        <f t="shared" si="177"/>
        <v>0.85</v>
      </c>
      <c r="DZ56" s="4">
        <f t="shared" si="81"/>
        <v>0.85000000000000009</v>
      </c>
      <c r="EA56" s="4">
        <f t="shared" si="82"/>
        <v>1</v>
      </c>
      <c r="EB56" s="4">
        <f t="shared" si="83"/>
        <v>0.85000000000000009</v>
      </c>
      <c r="ED56" s="4">
        <f t="shared" si="122"/>
        <v>335.24221349049014</v>
      </c>
      <c r="EE56" s="25">
        <f t="shared" si="123"/>
        <v>227.72880680497778</v>
      </c>
      <c r="EG56" s="4">
        <f t="shared" si="151"/>
        <v>0.72250000000000003</v>
      </c>
      <c r="EH56" s="4">
        <f t="shared" si="84"/>
        <v>5.7900347857029448</v>
      </c>
      <c r="EI56" s="4">
        <f t="shared" si="178"/>
        <v>5.2207585655726314</v>
      </c>
      <c r="EK56" s="4">
        <f t="shared" si="179"/>
        <v>57.022858574434863</v>
      </c>
      <c r="EL56" s="4">
        <f t="shared" si="180"/>
        <v>2.2449944320643649</v>
      </c>
      <c r="EM56" s="4">
        <f t="shared" si="181"/>
        <v>0.14435072638953436</v>
      </c>
      <c r="EP56" s="4">
        <f t="shared" si="182"/>
        <v>0.14435072638953436</v>
      </c>
      <c r="EQ56" s="4">
        <f t="shared" si="183"/>
        <v>0.5751070598632424</v>
      </c>
      <c r="ER56" s="4">
        <f t="shared" si="184"/>
        <v>4.6406696348475087</v>
      </c>
      <c r="ES56" s="4">
        <f t="shared" si="185"/>
        <v>5.2469568909096118</v>
      </c>
      <c r="ET56" s="4">
        <f t="shared" si="186"/>
        <v>133.47714142556515</v>
      </c>
      <c r="EU56" s="4">
        <f t="shared" si="187"/>
        <v>63.5</v>
      </c>
      <c r="EV56" s="4">
        <f t="shared" si="95"/>
        <v>1.668887417236156E-5</v>
      </c>
      <c r="EW56" s="4">
        <f t="shared" si="188"/>
        <v>5.5693723103756767</v>
      </c>
      <c r="EX56" s="4">
        <f t="shared" si="189"/>
        <v>361.74212582450502</v>
      </c>
      <c r="EY56" s="4">
        <f t="shared" si="190"/>
        <v>120.77714142556512</v>
      </c>
      <c r="EZ56" s="4">
        <f t="shared" si="191"/>
        <v>0</v>
      </c>
      <c r="FB56" s="4">
        <f t="shared" si="100"/>
        <v>66.187636885576012</v>
      </c>
      <c r="FG56" s="23">
        <f t="shared" si="192"/>
        <v>2</v>
      </c>
      <c r="FH56" s="23">
        <f t="shared" si="192"/>
        <v>1</v>
      </c>
      <c r="FI56" s="23">
        <f t="shared" si="193"/>
        <v>1.4</v>
      </c>
      <c r="FJ56" s="23">
        <f t="shared" si="194"/>
        <v>1.6</v>
      </c>
      <c r="FK56" s="23">
        <f t="shared" si="152"/>
        <v>1</v>
      </c>
      <c r="FL56" s="23">
        <f t="shared" si="152"/>
        <v>1</v>
      </c>
      <c r="FM56" s="23">
        <f t="shared" si="195"/>
        <v>0</v>
      </c>
      <c r="FN56" s="23"/>
      <c r="FO56" s="1" t="s">
        <v>45</v>
      </c>
      <c r="FP56">
        <f t="shared" ref="FP56:FU56" si="199">COUNTIF(FG19:FG572,1.2)</f>
        <v>42</v>
      </c>
      <c r="FQ56">
        <f t="shared" si="199"/>
        <v>67</v>
      </c>
      <c r="FR56">
        <f t="shared" si="199"/>
        <v>77</v>
      </c>
      <c r="FS56">
        <f t="shared" si="199"/>
        <v>18</v>
      </c>
      <c r="FT56">
        <f t="shared" si="199"/>
        <v>131</v>
      </c>
      <c r="FU56">
        <f t="shared" si="199"/>
        <v>132</v>
      </c>
      <c r="FX56" s="4">
        <f t="shared" si="101"/>
        <v>1</v>
      </c>
      <c r="FY56" s="4">
        <f t="shared" si="102"/>
        <v>0.85000000000000009</v>
      </c>
      <c r="FZ56" s="4">
        <f t="shared" si="103"/>
        <v>0</v>
      </c>
      <c r="GA56" s="4">
        <f t="shared" si="104"/>
        <v>251.13003349959095</v>
      </c>
    </row>
    <row r="57" spans="1:183" ht="12" customHeight="1" x14ac:dyDescent="0.3">
      <c r="A57" s="25">
        <v>39</v>
      </c>
      <c r="B57" s="20" t="s">
        <v>54</v>
      </c>
      <c r="C57" s="20">
        <v>2006</v>
      </c>
      <c r="D57" s="24" t="s">
        <v>55</v>
      </c>
      <c r="E57" s="24"/>
      <c r="F57" s="7" t="s">
        <v>279</v>
      </c>
      <c r="G57" s="7">
        <v>472</v>
      </c>
      <c r="H57" s="7">
        <f t="shared" si="153"/>
        <v>254</v>
      </c>
      <c r="I57" s="7">
        <f t="shared" si="134"/>
        <v>177.79999999999998</v>
      </c>
      <c r="J57" s="7">
        <v>21</v>
      </c>
      <c r="K57" s="7">
        <v>25.4</v>
      </c>
      <c r="L57" s="7">
        <f t="shared" si="154"/>
        <v>10</v>
      </c>
      <c r="M57" s="7">
        <v>7</v>
      </c>
      <c r="N57" s="7">
        <f t="shared" si="135"/>
        <v>152.39999999999998</v>
      </c>
      <c r="O57" s="7">
        <f t="shared" si="108"/>
        <v>63.499999999999986</v>
      </c>
      <c r="P57" s="7">
        <f t="shared" si="136"/>
        <v>50.8</v>
      </c>
      <c r="Q57" s="7">
        <v>0</v>
      </c>
      <c r="R57" s="7">
        <v>1</v>
      </c>
      <c r="S57" s="7">
        <f t="shared" si="137"/>
        <v>88.899999999999991</v>
      </c>
      <c r="T57" s="7">
        <f t="shared" si="42"/>
        <v>2.9999999999999996</v>
      </c>
      <c r="U57" s="7">
        <f t="shared" si="138"/>
        <v>4</v>
      </c>
      <c r="V57" s="7">
        <v>4.0599999999999996</v>
      </c>
      <c r="W57" s="7">
        <f t="shared" si="155"/>
        <v>4.0599999999999996</v>
      </c>
      <c r="X57" s="7">
        <f t="shared" si="44"/>
        <v>5.0599999999999996</v>
      </c>
      <c r="Y57" s="7">
        <f t="shared" si="45"/>
        <v>57.135887146346114</v>
      </c>
      <c r="Z57" s="7"/>
      <c r="AA57" s="7"/>
      <c r="AB57" s="7">
        <v>386</v>
      </c>
      <c r="AC57" s="7"/>
      <c r="AD57" s="7"/>
      <c r="AE57" s="7">
        <v>0</v>
      </c>
      <c r="AF57" s="7">
        <v>0</v>
      </c>
      <c r="AG57" s="7">
        <f t="shared" si="156"/>
        <v>177.79999999999998</v>
      </c>
      <c r="AH57" s="7"/>
      <c r="AI57" s="7"/>
      <c r="AJ57" s="7"/>
      <c r="AK57" s="4">
        <f t="shared" si="126"/>
        <v>254</v>
      </c>
      <c r="AL57" s="44">
        <f t="shared" si="157"/>
        <v>0.12666666666666665</v>
      </c>
      <c r="AM57" s="25">
        <f t="shared" si="113"/>
        <v>366.10267967102493</v>
      </c>
      <c r="AN57" s="4">
        <f t="shared" si="114"/>
        <v>0.7599999999999999</v>
      </c>
      <c r="AO57" s="4">
        <v>1.25</v>
      </c>
      <c r="AP57" s="25">
        <f t="shared" si="115"/>
        <v>5</v>
      </c>
      <c r="AQ57" s="38">
        <f t="shared" si="116"/>
        <v>220.27177893539994</v>
      </c>
      <c r="AR57" s="38">
        <f t="shared" si="117"/>
        <v>220.27177893539994</v>
      </c>
      <c r="AT57" s="38">
        <f t="shared" si="133"/>
        <v>220.27177893539994</v>
      </c>
      <c r="AU57" s="38">
        <f t="shared" si="47"/>
        <v>1</v>
      </c>
      <c r="AV57" s="38">
        <f t="shared" si="139"/>
        <v>1.3062682317974748</v>
      </c>
      <c r="AW57" s="4">
        <f t="shared" si="158"/>
        <v>0</v>
      </c>
      <c r="AX57" s="4">
        <f t="shared" si="159"/>
        <v>168.83173612995199</v>
      </c>
      <c r="AY57" s="4">
        <f t="shared" si="49"/>
        <v>1.1333333333333333</v>
      </c>
      <c r="AZ57" s="38">
        <f t="shared" si="118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36">
        <f t="shared" si="53"/>
        <v>1.1000000000000001</v>
      </c>
      <c r="BF57" s="36">
        <f t="shared" si="54"/>
        <v>167.35566437978727</v>
      </c>
      <c r="BK57" s="4">
        <f t="shared" si="160"/>
        <v>63.499999999999986</v>
      </c>
      <c r="BL57" s="4">
        <f t="shared" si="161"/>
        <v>63.499999999999986</v>
      </c>
      <c r="BM57" s="4">
        <f t="shared" si="162"/>
        <v>88.899999999999991</v>
      </c>
      <c r="BN57" s="4">
        <f t="shared" si="163"/>
        <v>76.199999999999989</v>
      </c>
      <c r="BO57" s="4">
        <f t="shared" si="164"/>
        <v>1.04</v>
      </c>
      <c r="BP57" s="25">
        <f t="shared" si="119"/>
        <v>3.1199999999999997</v>
      </c>
      <c r="BR57" s="4">
        <f t="shared" si="165"/>
        <v>63.499999999999986</v>
      </c>
      <c r="BV57" s="9"/>
      <c r="BX57" s="9"/>
      <c r="BY57" s="9"/>
      <c r="BZ57" s="9">
        <f t="shared" si="166"/>
        <v>50.8</v>
      </c>
      <c r="CA57" s="9">
        <f t="shared" si="167"/>
        <v>63.499999999999986</v>
      </c>
      <c r="CB57" s="9">
        <f t="shared" si="63"/>
        <v>1.4623505735569622</v>
      </c>
      <c r="CC57" s="9">
        <v>0</v>
      </c>
      <c r="CD57" s="9">
        <f t="shared" si="132"/>
        <v>0</v>
      </c>
      <c r="CE57" s="9">
        <f t="shared" si="65"/>
        <v>0</v>
      </c>
      <c r="CF57" s="9">
        <f t="shared" si="168"/>
        <v>0.99524931562137331</v>
      </c>
      <c r="CG57" s="9">
        <f t="shared" si="169"/>
        <v>1.056</v>
      </c>
      <c r="CH57" s="9">
        <f t="shared" si="68"/>
        <v>1.6856736478198622</v>
      </c>
      <c r="CI57" s="9">
        <f t="shared" si="69"/>
        <v>2.465045825719232</v>
      </c>
      <c r="CJ57" s="9">
        <v>1</v>
      </c>
      <c r="CK57" s="9">
        <f t="shared" si="70"/>
        <v>216.92403266329242</v>
      </c>
      <c r="CM57" s="4">
        <f t="shared" si="140"/>
        <v>2.2863000099868116</v>
      </c>
      <c r="CN57" s="4">
        <f t="shared" si="141"/>
        <v>1.1847488780956026</v>
      </c>
      <c r="CO57" s="4">
        <f t="shared" si="142"/>
        <v>2.3064651049039719</v>
      </c>
      <c r="CP57" s="4">
        <f t="shared" si="143"/>
        <v>1.7794247841554089</v>
      </c>
      <c r="CQ57" s="4">
        <f t="shared" si="144"/>
        <v>1.0672069378723441</v>
      </c>
      <c r="CR57" s="4">
        <f t="shared" si="145"/>
        <v>1.1513943056540974</v>
      </c>
      <c r="CS57" s="4">
        <f t="shared" si="146"/>
        <v>1.5370523175621236</v>
      </c>
      <c r="CU57" s="4">
        <f t="shared" si="147"/>
        <v>2.2863000099868116</v>
      </c>
      <c r="CV57" s="4">
        <f t="shared" si="147"/>
        <v>1.1847488780956026</v>
      </c>
      <c r="CW57" s="4">
        <f t="shared" si="148"/>
        <v>1.7794247841554089</v>
      </c>
      <c r="CX57" s="4">
        <f t="shared" si="170"/>
        <v>1.5370523175621236</v>
      </c>
      <c r="CY57" s="4">
        <f t="shared" si="149"/>
        <v>1.0672069378723441</v>
      </c>
      <c r="CZ57" s="4">
        <f t="shared" si="149"/>
        <v>1.1513943056540974</v>
      </c>
      <c r="DH57" s="4">
        <f t="shared" si="171"/>
        <v>0</v>
      </c>
      <c r="DI57" s="4">
        <f t="shared" si="172"/>
        <v>254</v>
      </c>
      <c r="DJ57" s="4">
        <f t="shared" si="173"/>
        <v>0.7</v>
      </c>
      <c r="DL57" s="4">
        <f t="shared" si="174"/>
        <v>1.668887417236156E-5</v>
      </c>
      <c r="DM57" s="4">
        <f t="shared" si="175"/>
        <v>5.7900347857029448</v>
      </c>
      <c r="DN57" s="4">
        <f t="shared" si="176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38">
        <f t="shared" si="120"/>
        <v>361.69180156339286</v>
      </c>
      <c r="DS57" s="4">
        <f t="shared" si="79"/>
        <v>1.0001546548260865</v>
      </c>
      <c r="DT57" s="4">
        <f t="shared" si="150"/>
        <v>2.2494443758403984</v>
      </c>
      <c r="DU57" s="4">
        <f t="shared" si="121"/>
        <v>220.27177893539994</v>
      </c>
      <c r="DY57" s="4">
        <f t="shared" si="177"/>
        <v>0.85</v>
      </c>
      <c r="DZ57" s="4">
        <f t="shared" si="81"/>
        <v>0.85000000000000009</v>
      </c>
      <c r="EA57" s="4">
        <f t="shared" si="82"/>
        <v>1</v>
      </c>
      <c r="EB57" s="4">
        <f t="shared" si="83"/>
        <v>0.85000000000000009</v>
      </c>
      <c r="ED57" s="4">
        <f t="shared" si="122"/>
        <v>335.24570870681583</v>
      </c>
      <c r="EE57" s="25">
        <f t="shared" si="123"/>
        <v>227.72880680497778</v>
      </c>
      <c r="EG57" s="4">
        <f t="shared" si="151"/>
        <v>0.72250000000000003</v>
      </c>
      <c r="EH57" s="4">
        <f t="shared" si="84"/>
        <v>5.7900347857029448</v>
      </c>
      <c r="EI57" s="4">
        <f t="shared" si="178"/>
        <v>5.2207585655726314</v>
      </c>
      <c r="EK57" s="4">
        <f t="shared" si="179"/>
        <v>57.135887146346114</v>
      </c>
      <c r="EL57" s="4">
        <f t="shared" si="180"/>
        <v>2.2494443758403984</v>
      </c>
      <c r="EM57" s="4">
        <f t="shared" si="181"/>
        <v>0.14392435617349697</v>
      </c>
      <c r="EP57" s="4">
        <f t="shared" si="182"/>
        <v>0.14392435617349697</v>
      </c>
      <c r="EQ57" s="4">
        <f t="shared" si="183"/>
        <v>0.57340836026198916</v>
      </c>
      <c r="ER57" s="4">
        <f t="shared" si="184"/>
        <v>4.6351818913956864</v>
      </c>
      <c r="ES57" s="4">
        <f t="shared" si="185"/>
        <v>5.2445317154987805</v>
      </c>
      <c r="ET57" s="4">
        <f t="shared" si="186"/>
        <v>133.36411285365389</v>
      </c>
      <c r="EU57" s="4">
        <f t="shared" si="187"/>
        <v>63.5</v>
      </c>
      <c r="EV57" s="4">
        <f t="shared" si="95"/>
        <v>1.668887417236156E-5</v>
      </c>
      <c r="EW57" s="4">
        <f t="shared" si="188"/>
        <v>5.5695078238252744</v>
      </c>
      <c r="EX57" s="4">
        <f t="shared" si="189"/>
        <v>361.63587283037361</v>
      </c>
      <c r="EY57" s="4">
        <f t="shared" si="190"/>
        <v>120.66411285365388</v>
      </c>
      <c r="EZ57" s="4">
        <f t="shared" si="191"/>
        <v>0</v>
      </c>
      <c r="FB57" s="4">
        <f t="shared" si="100"/>
        <v>66.184141669250323</v>
      </c>
      <c r="FG57" s="23">
        <f t="shared" si="192"/>
        <v>2.2000000000000002</v>
      </c>
      <c r="FH57" s="23">
        <f t="shared" si="192"/>
        <v>1.2</v>
      </c>
      <c r="FI57" s="23">
        <f t="shared" si="193"/>
        <v>1.6</v>
      </c>
      <c r="FJ57" s="23">
        <f t="shared" si="194"/>
        <v>1.8</v>
      </c>
      <c r="FK57" s="23">
        <f t="shared" si="152"/>
        <v>1.2</v>
      </c>
      <c r="FL57" s="23">
        <f t="shared" si="152"/>
        <v>1.2</v>
      </c>
      <c r="FM57" s="23">
        <f t="shared" si="195"/>
        <v>0</v>
      </c>
      <c r="FN57" s="23"/>
      <c r="FO57" s="1" t="s">
        <v>46</v>
      </c>
      <c r="FP57">
        <f t="shared" ref="FP57:FU57" si="200">COUNTIF(FG19:FG570,1.4)</f>
        <v>50</v>
      </c>
      <c r="FQ57">
        <f t="shared" si="200"/>
        <v>47</v>
      </c>
      <c r="FR57">
        <f t="shared" si="200"/>
        <v>99</v>
      </c>
      <c r="FS57">
        <f t="shared" si="200"/>
        <v>37</v>
      </c>
      <c r="FT57">
        <f t="shared" si="200"/>
        <v>61</v>
      </c>
      <c r="FU57">
        <f t="shared" si="200"/>
        <v>59</v>
      </c>
      <c r="FX57" s="4">
        <f t="shared" si="101"/>
        <v>1</v>
      </c>
      <c r="FY57" s="4">
        <f t="shared" si="102"/>
        <v>0.85000000000000009</v>
      </c>
      <c r="FZ57" s="4">
        <f t="shared" si="103"/>
        <v>0</v>
      </c>
      <c r="GA57" s="4">
        <f t="shared" si="104"/>
        <v>251.13003349959095</v>
      </c>
    </row>
    <row r="58" spans="1:183" ht="12" customHeight="1" x14ac:dyDescent="0.3">
      <c r="A58" s="25">
        <v>40</v>
      </c>
      <c r="B58" s="20" t="s">
        <v>54</v>
      </c>
      <c r="C58" s="20">
        <v>2006</v>
      </c>
      <c r="D58" s="24" t="s">
        <v>55</v>
      </c>
      <c r="E58" s="24"/>
      <c r="F58" s="7" t="s">
        <v>66</v>
      </c>
      <c r="G58" s="7">
        <v>472</v>
      </c>
      <c r="H58" s="7">
        <f t="shared" si="153"/>
        <v>254</v>
      </c>
      <c r="I58" s="7">
        <f t="shared" si="134"/>
        <v>177.79999999999998</v>
      </c>
      <c r="J58" s="7">
        <v>28</v>
      </c>
      <c r="K58" s="7">
        <v>25.4</v>
      </c>
      <c r="L58" s="7">
        <f t="shared" si="154"/>
        <v>10</v>
      </c>
      <c r="M58" s="7">
        <v>7</v>
      </c>
      <c r="N58" s="7">
        <f t="shared" si="135"/>
        <v>152.39999999999998</v>
      </c>
      <c r="O58" s="7">
        <f t="shared" si="108"/>
        <v>63.499999999999986</v>
      </c>
      <c r="P58" s="7">
        <f t="shared" si="136"/>
        <v>50.8</v>
      </c>
      <c r="Q58" s="7">
        <v>0</v>
      </c>
      <c r="R58" s="7">
        <v>1</v>
      </c>
      <c r="S58" s="7">
        <f t="shared" si="137"/>
        <v>88.899999999999991</v>
      </c>
      <c r="T58" s="7">
        <f t="shared" si="42"/>
        <v>2.9999999999999996</v>
      </c>
      <c r="U58" s="7">
        <f t="shared" si="138"/>
        <v>4</v>
      </c>
      <c r="V58" s="7">
        <v>4.7</v>
      </c>
      <c r="W58" s="7">
        <f t="shared" si="155"/>
        <v>4.7</v>
      </c>
      <c r="X58" s="7">
        <f t="shared" si="44"/>
        <v>5.7</v>
      </c>
      <c r="Y58" s="7">
        <f t="shared" si="45"/>
        <v>60.641668842471674</v>
      </c>
      <c r="Z58" s="7"/>
      <c r="AA58" s="7"/>
      <c r="AB58" s="7">
        <v>458</v>
      </c>
      <c r="AC58" s="7"/>
      <c r="AD58" s="7"/>
      <c r="AE58" s="7">
        <v>0</v>
      </c>
      <c r="AF58" s="7">
        <v>0</v>
      </c>
      <c r="AG58" s="7">
        <f t="shared" si="156"/>
        <v>177.79999999999998</v>
      </c>
      <c r="AH58" s="7"/>
      <c r="AI58" s="7"/>
      <c r="AJ58" s="7"/>
      <c r="AK58" s="4">
        <f t="shared" si="126"/>
        <v>254</v>
      </c>
      <c r="AL58" s="44">
        <f t="shared" si="157"/>
        <v>0.12666666666666665</v>
      </c>
      <c r="AM58" s="25">
        <f t="shared" si="113"/>
        <v>422.7389613182192</v>
      </c>
      <c r="AN58" s="4">
        <f t="shared" si="114"/>
        <v>0.7599999999999999</v>
      </c>
      <c r="AO58" s="4">
        <v>1.25</v>
      </c>
      <c r="AP58" s="25">
        <f t="shared" si="115"/>
        <v>5</v>
      </c>
      <c r="AQ58" s="38">
        <f t="shared" si="116"/>
        <v>254.34794172646178</v>
      </c>
      <c r="AR58" s="38">
        <f t="shared" si="117"/>
        <v>254.34794172646178</v>
      </c>
      <c r="AT58" s="38">
        <f t="shared" si="133"/>
        <v>254.34794172646181</v>
      </c>
      <c r="AU58" s="38">
        <f t="shared" si="47"/>
        <v>0.99999999999999989</v>
      </c>
      <c r="AV58" s="38">
        <f t="shared" si="139"/>
        <v>1.6228846237897425</v>
      </c>
      <c r="AW58" s="4">
        <f t="shared" si="158"/>
        <v>0</v>
      </c>
      <c r="AX58" s="4">
        <f t="shared" si="159"/>
        <v>194.95009660475932</v>
      </c>
      <c r="AY58" s="4">
        <f t="shared" si="49"/>
        <v>1.1333333333333333</v>
      </c>
      <c r="AZ58" s="38">
        <f t="shared" si="118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36">
        <f t="shared" si="53"/>
        <v>1.1000000000000001</v>
      </c>
      <c r="BF58" s="36">
        <f t="shared" si="54"/>
        <v>193.24567576015772</v>
      </c>
      <c r="BK58" s="4">
        <f t="shared" si="160"/>
        <v>63.499999999999986</v>
      </c>
      <c r="BL58" s="4">
        <f t="shared" si="161"/>
        <v>63.499999999999986</v>
      </c>
      <c r="BM58" s="4">
        <f t="shared" si="162"/>
        <v>88.899999999999991</v>
      </c>
      <c r="BN58" s="4">
        <f t="shared" si="163"/>
        <v>76.199999999999989</v>
      </c>
      <c r="BO58" s="4">
        <f t="shared" si="164"/>
        <v>1.04</v>
      </c>
      <c r="BP58" s="25">
        <f t="shared" si="119"/>
        <v>3.1199999999999997</v>
      </c>
      <c r="BR58" s="4">
        <f t="shared" si="165"/>
        <v>63.499999999999986</v>
      </c>
      <c r="BV58" s="9"/>
      <c r="BX58" s="9"/>
      <c r="BY58" s="9"/>
      <c r="BZ58" s="9">
        <f t="shared" si="166"/>
        <v>50.8</v>
      </c>
      <c r="CA58" s="9">
        <f t="shared" si="167"/>
        <v>63.499999999999986</v>
      </c>
      <c r="CB58" s="9">
        <f t="shared" si="63"/>
        <v>1.4623505735569622</v>
      </c>
      <c r="CC58" s="9">
        <v>0</v>
      </c>
      <c r="CD58" s="9">
        <f t="shared" si="132"/>
        <v>0</v>
      </c>
      <c r="CE58" s="9">
        <f t="shared" si="65"/>
        <v>0</v>
      </c>
      <c r="CF58" s="9">
        <f t="shared" si="168"/>
        <v>0.99524931562137331</v>
      </c>
      <c r="CG58" s="9">
        <f t="shared" si="169"/>
        <v>1.056</v>
      </c>
      <c r="CH58" s="9">
        <f t="shared" si="68"/>
        <v>1.9464482686693119</v>
      </c>
      <c r="CI58" s="9">
        <f t="shared" si="69"/>
        <v>2.8463897420875242</v>
      </c>
      <c r="CJ58" s="9">
        <v>1</v>
      </c>
      <c r="CK58" s="9">
        <f t="shared" si="70"/>
        <v>250.48229730370213</v>
      </c>
      <c r="CM58" s="4">
        <f t="shared" si="140"/>
        <v>2.3493191743759252</v>
      </c>
      <c r="CN58" s="4">
        <f t="shared" si="141"/>
        <v>1.0232030933667093</v>
      </c>
      <c r="CO58" s="4">
        <f t="shared" si="142"/>
        <v>2.3700400963612549</v>
      </c>
      <c r="CP58" s="4">
        <f t="shared" si="143"/>
        <v>1.8284725305145577</v>
      </c>
      <c r="CQ58" s="4">
        <f t="shared" si="144"/>
        <v>1.1197809722276568</v>
      </c>
      <c r="CR58" s="4">
        <f t="shared" si="145"/>
        <v>1.1806252210562127</v>
      </c>
      <c r="CS58" s="4">
        <f t="shared" si="146"/>
        <v>1.6971965460652709</v>
      </c>
      <c r="CU58" s="4">
        <f t="shared" si="147"/>
        <v>2.3493191743759252</v>
      </c>
      <c r="CV58" s="4">
        <f t="shared" si="147"/>
        <v>1.0232030933667093</v>
      </c>
      <c r="CW58" s="4">
        <f t="shared" si="148"/>
        <v>1.8284725305145577</v>
      </c>
      <c r="CX58" s="4">
        <f t="shared" si="170"/>
        <v>1.6971965460652709</v>
      </c>
      <c r="CY58" s="4">
        <f t="shared" si="149"/>
        <v>1.1197809722276568</v>
      </c>
      <c r="CZ58" s="4">
        <f t="shared" si="149"/>
        <v>1.1806252210562127</v>
      </c>
      <c r="DH58" s="4">
        <f t="shared" si="171"/>
        <v>0</v>
      </c>
      <c r="DI58" s="4">
        <f t="shared" si="172"/>
        <v>254</v>
      </c>
      <c r="DJ58" s="4">
        <f t="shared" si="173"/>
        <v>0.7</v>
      </c>
      <c r="DL58" s="4">
        <f t="shared" si="174"/>
        <v>1.7601358282256944E-5</v>
      </c>
      <c r="DM58" s="4">
        <f t="shared" si="175"/>
        <v>6.6857562842857838</v>
      </c>
      <c r="DN58" s="4">
        <f t="shared" si="176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38">
        <f t="shared" si="120"/>
        <v>409.00855735105887</v>
      </c>
      <c r="DS58" s="4">
        <f t="shared" si="79"/>
        <v>1.0001419780087477</v>
      </c>
      <c r="DT58" s="4">
        <f t="shared" si="150"/>
        <v>2.3874672772626644</v>
      </c>
      <c r="DU58" s="4">
        <f t="shared" si="121"/>
        <v>254.34794172646181</v>
      </c>
      <c r="DY58" s="4">
        <f t="shared" si="177"/>
        <v>0.85</v>
      </c>
      <c r="DZ58" s="4">
        <f t="shared" si="81"/>
        <v>0.85000000000000009</v>
      </c>
      <c r="EA58" s="4">
        <f t="shared" si="82"/>
        <v>1</v>
      </c>
      <c r="EB58" s="4">
        <f t="shared" si="83"/>
        <v>0.85000000000000009</v>
      </c>
      <c r="ED58" s="4">
        <f t="shared" si="122"/>
        <v>387.93004912283965</v>
      </c>
      <c r="EE58" s="25">
        <f t="shared" si="123"/>
        <v>262.95857582217241</v>
      </c>
      <c r="EG58" s="4">
        <f t="shared" si="151"/>
        <v>0.72250000000000003</v>
      </c>
      <c r="EH58" s="4">
        <f t="shared" si="84"/>
        <v>6.6857562842857838</v>
      </c>
      <c r="EI58" s="4">
        <f t="shared" si="178"/>
        <v>6.028412726414806</v>
      </c>
      <c r="EK58" s="4">
        <f t="shared" si="179"/>
        <v>60.641668842471674</v>
      </c>
      <c r="EL58" s="4">
        <f t="shared" si="180"/>
        <v>2.3874672772626644</v>
      </c>
      <c r="EM58" s="4">
        <f t="shared" si="181"/>
        <v>0.13195463217595851</v>
      </c>
      <c r="EP58" s="4">
        <f t="shared" si="182"/>
        <v>0.13195463217595851</v>
      </c>
      <c r="EQ58" s="4">
        <f t="shared" si="183"/>
        <v>0.45528673530158714</v>
      </c>
      <c r="ER58" s="4">
        <f t="shared" si="184"/>
        <v>4.8805025068076127</v>
      </c>
      <c r="ES58" s="4">
        <f t="shared" si="185"/>
        <v>5.8533131368817264</v>
      </c>
      <c r="ET58" s="4">
        <f t="shared" si="186"/>
        <v>129.85833115752831</v>
      </c>
      <c r="EU58" s="4">
        <f t="shared" si="187"/>
        <v>63.5</v>
      </c>
      <c r="EV58" s="4">
        <f t="shared" si="95"/>
        <v>1.7601358282256944E-5</v>
      </c>
      <c r="EW58" s="4">
        <f t="shared" si="188"/>
        <v>6.3894588954142764</v>
      </c>
      <c r="EX58" s="4">
        <f t="shared" si="189"/>
        <v>408.95049537404924</v>
      </c>
      <c r="EY58" s="4">
        <f t="shared" si="190"/>
        <v>117.15833115752831</v>
      </c>
      <c r="EZ58" s="4">
        <f t="shared" si="191"/>
        <v>0</v>
      </c>
      <c r="FB58" s="4">
        <f t="shared" si="100"/>
        <v>75.601215227906266</v>
      </c>
      <c r="FG58" s="23">
        <f t="shared" si="192"/>
        <v>2.2000000000000002</v>
      </c>
      <c r="FH58" s="23">
        <f t="shared" si="192"/>
        <v>1.2</v>
      </c>
      <c r="FI58" s="23">
        <f t="shared" si="193"/>
        <v>1.8</v>
      </c>
      <c r="FJ58" s="23">
        <f t="shared" si="194"/>
        <v>2</v>
      </c>
      <c r="FK58" s="23">
        <f t="shared" si="152"/>
        <v>1.2</v>
      </c>
      <c r="FL58" s="23">
        <f t="shared" si="152"/>
        <v>1.2</v>
      </c>
      <c r="FM58" s="23">
        <f t="shared" si="195"/>
        <v>0</v>
      </c>
      <c r="FN58" s="23"/>
      <c r="FO58" s="1" t="s">
        <v>47</v>
      </c>
      <c r="FP58">
        <f t="shared" ref="FP58:FU58" si="201">COUNTIF(FG19:FG570,1.6)</f>
        <v>39</v>
      </c>
      <c r="FQ58">
        <f t="shared" si="201"/>
        <v>29</v>
      </c>
      <c r="FR58">
        <f t="shared" si="201"/>
        <v>51</v>
      </c>
      <c r="FS58">
        <f t="shared" si="201"/>
        <v>48</v>
      </c>
      <c r="FT58">
        <f t="shared" si="201"/>
        <v>20</v>
      </c>
      <c r="FU58">
        <f t="shared" si="201"/>
        <v>33</v>
      </c>
      <c r="FX58" s="4">
        <f t="shared" si="101"/>
        <v>1</v>
      </c>
      <c r="FY58" s="4">
        <f t="shared" si="102"/>
        <v>0.85000000000000009</v>
      </c>
      <c r="FZ58" s="4">
        <f t="shared" si="103"/>
        <v>0</v>
      </c>
      <c r="GA58" s="4">
        <f t="shared" si="104"/>
        <v>269.85678297649929</v>
      </c>
    </row>
    <row r="59" spans="1:183" ht="12" customHeight="1" x14ac:dyDescent="0.3">
      <c r="A59" s="25">
        <v>41</v>
      </c>
      <c r="B59" s="20" t="s">
        <v>54</v>
      </c>
      <c r="C59" s="20">
        <v>2006</v>
      </c>
      <c r="D59" s="24" t="s">
        <v>55</v>
      </c>
      <c r="E59" s="24"/>
      <c r="F59" s="7" t="s">
        <v>66</v>
      </c>
      <c r="G59" s="7">
        <v>472</v>
      </c>
      <c r="H59" s="7">
        <f t="shared" si="153"/>
        <v>254</v>
      </c>
      <c r="I59" s="7">
        <f t="shared" si="134"/>
        <v>177.79999999999998</v>
      </c>
      <c r="J59" s="7">
        <v>21</v>
      </c>
      <c r="K59" s="7">
        <v>25.4</v>
      </c>
      <c r="L59" s="7">
        <f t="shared" si="154"/>
        <v>10</v>
      </c>
      <c r="M59" s="7">
        <v>7</v>
      </c>
      <c r="N59" s="7">
        <f t="shared" si="135"/>
        <v>152.39999999999998</v>
      </c>
      <c r="O59" s="7">
        <f t="shared" si="108"/>
        <v>63.499999999999986</v>
      </c>
      <c r="P59" s="7">
        <f t="shared" si="136"/>
        <v>50.8</v>
      </c>
      <c r="Q59" s="7">
        <v>0</v>
      </c>
      <c r="R59" s="7">
        <v>1</v>
      </c>
      <c r="S59" s="7">
        <f t="shared" si="137"/>
        <v>88.899999999999991</v>
      </c>
      <c r="T59" s="7">
        <f t="shared" si="42"/>
        <v>2.9999999999999996</v>
      </c>
      <c r="U59" s="7">
        <f t="shared" si="138"/>
        <v>4</v>
      </c>
      <c r="V59" s="7">
        <v>4.7</v>
      </c>
      <c r="W59" s="7">
        <f t="shared" si="155"/>
        <v>4.7</v>
      </c>
      <c r="X59" s="7">
        <f t="shared" si="44"/>
        <v>5.7</v>
      </c>
      <c r="Y59" s="7">
        <f t="shared" si="45"/>
        <v>60.641668842471674</v>
      </c>
      <c r="Z59" s="7"/>
      <c r="AA59" s="7"/>
      <c r="AB59" s="7">
        <v>458</v>
      </c>
      <c r="AC59" s="7"/>
      <c r="AD59" s="7"/>
      <c r="AE59" s="7">
        <v>0</v>
      </c>
      <c r="AF59" s="7">
        <v>0</v>
      </c>
      <c r="AG59" s="7">
        <f t="shared" si="156"/>
        <v>177.79999999999998</v>
      </c>
      <c r="AH59" s="7"/>
      <c r="AI59" s="7"/>
      <c r="AJ59" s="7"/>
      <c r="AK59" s="4">
        <f t="shared" si="126"/>
        <v>254</v>
      </c>
      <c r="AL59" s="44">
        <f t="shared" si="157"/>
        <v>0.12666666666666665</v>
      </c>
      <c r="AM59" s="25">
        <f t="shared" si="113"/>
        <v>366.10267967102493</v>
      </c>
      <c r="AN59" s="4">
        <f t="shared" si="114"/>
        <v>0.7599999999999999</v>
      </c>
      <c r="AO59" s="4">
        <v>1.25</v>
      </c>
      <c r="AP59" s="25">
        <f t="shared" si="115"/>
        <v>5</v>
      </c>
      <c r="AQ59" s="38">
        <f t="shared" si="116"/>
        <v>220.27177893539994</v>
      </c>
      <c r="AR59" s="38">
        <f t="shared" si="117"/>
        <v>220.27177893539994</v>
      </c>
      <c r="AT59" s="38">
        <f t="shared" si="133"/>
        <v>220.27177893539994</v>
      </c>
      <c r="AU59" s="38">
        <f t="shared" si="47"/>
        <v>1</v>
      </c>
      <c r="AV59" s="38">
        <f t="shared" si="139"/>
        <v>1.4054593116130687</v>
      </c>
      <c r="AW59" s="4">
        <f t="shared" si="158"/>
        <v>0</v>
      </c>
      <c r="AX59" s="4">
        <f t="shared" si="159"/>
        <v>168.83173612995199</v>
      </c>
      <c r="AY59" s="4">
        <f t="shared" si="49"/>
        <v>1.1333333333333333</v>
      </c>
      <c r="AZ59" s="38">
        <f t="shared" si="118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36">
        <f t="shared" si="53"/>
        <v>1.1000000000000001</v>
      </c>
      <c r="BF59" s="36">
        <f t="shared" si="54"/>
        <v>167.35566437978727</v>
      </c>
      <c r="BK59" s="4">
        <f t="shared" si="160"/>
        <v>63.499999999999986</v>
      </c>
      <c r="BL59" s="4">
        <f t="shared" si="161"/>
        <v>63.499999999999986</v>
      </c>
      <c r="BM59" s="4">
        <f t="shared" si="162"/>
        <v>88.899999999999991</v>
      </c>
      <c r="BN59" s="4">
        <f t="shared" si="163"/>
        <v>76.199999999999989</v>
      </c>
      <c r="BO59" s="4">
        <f t="shared" si="164"/>
        <v>1.04</v>
      </c>
      <c r="BP59" s="25">
        <f t="shared" si="119"/>
        <v>3.1199999999999997</v>
      </c>
      <c r="BR59" s="4">
        <f t="shared" si="165"/>
        <v>63.499999999999986</v>
      </c>
      <c r="BV59" s="9"/>
      <c r="BX59" s="9"/>
      <c r="BY59" s="9"/>
      <c r="BZ59" s="9">
        <f t="shared" si="166"/>
        <v>50.8</v>
      </c>
      <c r="CA59" s="9">
        <f t="shared" si="167"/>
        <v>63.499999999999986</v>
      </c>
      <c r="CB59" s="9">
        <f t="shared" si="63"/>
        <v>1.4623505735569622</v>
      </c>
      <c r="CC59" s="9">
        <v>0</v>
      </c>
      <c r="CD59" s="9">
        <f t="shared" si="132"/>
        <v>0</v>
      </c>
      <c r="CE59" s="9">
        <f t="shared" si="65"/>
        <v>0</v>
      </c>
      <c r="CF59" s="9">
        <f t="shared" si="168"/>
        <v>0.99524931562137331</v>
      </c>
      <c r="CG59" s="9">
        <f t="shared" si="169"/>
        <v>1.056</v>
      </c>
      <c r="CH59" s="9">
        <f t="shared" si="68"/>
        <v>1.6856736478198622</v>
      </c>
      <c r="CI59" s="9">
        <f t="shared" si="69"/>
        <v>2.465045825719232</v>
      </c>
      <c r="CJ59" s="9">
        <v>1</v>
      </c>
      <c r="CK59" s="9">
        <f t="shared" si="70"/>
        <v>216.92403266329242</v>
      </c>
      <c r="CM59" s="4">
        <f t="shared" si="140"/>
        <v>2.7127601154765797</v>
      </c>
      <c r="CN59" s="4">
        <f t="shared" si="141"/>
        <v>1.3480404750163797</v>
      </c>
      <c r="CO59" s="4">
        <f t="shared" si="142"/>
        <v>2.7366865752487546</v>
      </c>
      <c r="CP59" s="4">
        <f t="shared" si="143"/>
        <v>2.1113382153968323</v>
      </c>
      <c r="CQ59" s="4">
        <f t="shared" si="144"/>
        <v>1.2773071017135704</v>
      </c>
      <c r="CR59" s="4">
        <f t="shared" si="145"/>
        <v>1.3657607623619461</v>
      </c>
      <c r="CS59" s="4">
        <f t="shared" si="146"/>
        <v>1.8237563767965093</v>
      </c>
      <c r="CU59" s="4">
        <f t="shared" si="147"/>
        <v>2.7127601154765797</v>
      </c>
      <c r="CV59" s="4">
        <f t="shared" si="147"/>
        <v>1.3480404750163797</v>
      </c>
      <c r="CW59" s="4">
        <f t="shared" si="148"/>
        <v>2.1113382153968323</v>
      </c>
      <c r="CX59" s="4">
        <f t="shared" si="170"/>
        <v>1.8237563767965093</v>
      </c>
      <c r="CY59" s="4">
        <f t="shared" si="149"/>
        <v>1.2773071017135704</v>
      </c>
      <c r="CZ59" s="4">
        <f t="shared" si="149"/>
        <v>1.3657607623619461</v>
      </c>
      <c r="DH59" s="4">
        <f t="shared" si="171"/>
        <v>0</v>
      </c>
      <c r="DI59" s="4">
        <f t="shared" si="172"/>
        <v>254</v>
      </c>
      <c r="DJ59" s="4">
        <f t="shared" si="173"/>
        <v>0.7</v>
      </c>
      <c r="DL59" s="4">
        <f t="shared" si="174"/>
        <v>1.668887417236156E-5</v>
      </c>
      <c r="DM59" s="4">
        <f t="shared" si="175"/>
        <v>5.7900347857029448</v>
      </c>
      <c r="DN59" s="4">
        <f t="shared" si="176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38">
        <f t="shared" si="120"/>
        <v>358.56686257014496</v>
      </c>
      <c r="DS59" s="4">
        <f t="shared" si="79"/>
        <v>1.000151622901764</v>
      </c>
      <c r="DT59" s="4">
        <f t="shared" si="150"/>
        <v>2.3874672772626644</v>
      </c>
      <c r="DU59" s="4">
        <f t="shared" si="121"/>
        <v>220.27177893539994</v>
      </c>
      <c r="DY59" s="4">
        <f t="shared" si="177"/>
        <v>0.85</v>
      </c>
      <c r="DZ59" s="4">
        <f t="shared" si="81"/>
        <v>0.85000000000000009</v>
      </c>
      <c r="EA59" s="4">
        <f t="shared" si="82"/>
        <v>1</v>
      </c>
      <c r="EB59" s="4">
        <f t="shared" si="83"/>
        <v>0.85000000000000009</v>
      </c>
      <c r="ED59" s="4">
        <f t="shared" si="122"/>
        <v>335.34423642976458</v>
      </c>
      <c r="EE59" s="25">
        <f t="shared" si="123"/>
        <v>227.72880680497778</v>
      </c>
      <c r="EG59" s="4">
        <f t="shared" si="151"/>
        <v>0.72250000000000003</v>
      </c>
      <c r="EH59" s="4">
        <f t="shared" si="84"/>
        <v>5.7900347857029448</v>
      </c>
      <c r="EI59" s="4">
        <f t="shared" si="178"/>
        <v>5.2207585655726314</v>
      </c>
      <c r="EK59" s="4">
        <f t="shared" si="179"/>
        <v>60.641668842471674</v>
      </c>
      <c r="EL59" s="4">
        <f t="shared" si="180"/>
        <v>2.3874672772626644</v>
      </c>
      <c r="EM59" s="4">
        <f t="shared" si="181"/>
        <v>0.13195463217595851</v>
      </c>
      <c r="EP59" s="4">
        <f t="shared" si="182"/>
        <v>0.13195463217595851</v>
      </c>
      <c r="EQ59" s="4">
        <f t="shared" si="183"/>
        <v>0.52571983836967451</v>
      </c>
      <c r="ER59" s="4">
        <f t="shared" si="184"/>
        <v>4.4769569595638528</v>
      </c>
      <c r="ES59" s="4">
        <f t="shared" si="185"/>
        <v>5.1753763982640848</v>
      </c>
      <c r="ET59" s="4">
        <f t="shared" si="186"/>
        <v>129.85833115752831</v>
      </c>
      <c r="EU59" s="4">
        <f t="shared" si="187"/>
        <v>63.5</v>
      </c>
      <c r="EV59" s="4">
        <f t="shared" si="95"/>
        <v>1.668887417236156E-5</v>
      </c>
      <c r="EW59" s="4">
        <f t="shared" si="188"/>
        <v>5.5734861149773431</v>
      </c>
      <c r="EX59" s="4">
        <f t="shared" si="189"/>
        <v>358.51250386399045</v>
      </c>
      <c r="EY59" s="4">
        <f t="shared" si="190"/>
        <v>117.15833115752831</v>
      </c>
      <c r="EZ59" s="4">
        <f t="shared" si="191"/>
        <v>0</v>
      </c>
      <c r="FB59" s="4">
        <f t="shared" si="100"/>
        <v>66.085613946301578</v>
      </c>
      <c r="FG59" s="23">
        <f t="shared" si="192"/>
        <v>2.2000000000000002</v>
      </c>
      <c r="FH59" s="23">
        <f t="shared" si="192"/>
        <v>1.4</v>
      </c>
      <c r="FI59" s="23">
        <f t="shared" si="193"/>
        <v>2</v>
      </c>
      <c r="FJ59" s="23">
        <f t="shared" si="194"/>
        <v>2.2000000000000002</v>
      </c>
      <c r="FK59" s="23">
        <f t="shared" si="152"/>
        <v>1.4</v>
      </c>
      <c r="FL59" s="23">
        <f t="shared" si="152"/>
        <v>1.4</v>
      </c>
      <c r="FM59" s="23">
        <f t="shared" si="195"/>
        <v>0</v>
      </c>
      <c r="FN59" s="23"/>
      <c r="FO59" s="1" t="s">
        <v>48</v>
      </c>
      <c r="FP59">
        <f t="shared" ref="FP59:FU59" si="202">COUNTIF(FG19:FG570,1.8)</f>
        <v>36</v>
      </c>
      <c r="FQ59">
        <f t="shared" si="202"/>
        <v>11</v>
      </c>
      <c r="FR59">
        <f t="shared" si="202"/>
        <v>29</v>
      </c>
      <c r="FS59">
        <f t="shared" si="202"/>
        <v>59</v>
      </c>
      <c r="FT59">
        <f t="shared" si="202"/>
        <v>5</v>
      </c>
      <c r="FU59">
        <f t="shared" si="202"/>
        <v>16</v>
      </c>
      <c r="FX59" s="4">
        <f t="shared" si="101"/>
        <v>1</v>
      </c>
      <c r="FY59" s="4">
        <f t="shared" si="102"/>
        <v>0.85000000000000009</v>
      </c>
      <c r="FZ59" s="4">
        <f t="shared" si="103"/>
        <v>0</v>
      </c>
      <c r="GA59" s="4">
        <f t="shared" si="104"/>
        <v>251.13003349959095</v>
      </c>
    </row>
    <row r="60" spans="1:183" ht="12" customHeight="1" x14ac:dyDescent="0.3">
      <c r="A60" s="25">
        <v>42</v>
      </c>
      <c r="B60" s="20" t="s">
        <v>54</v>
      </c>
      <c r="C60" s="20">
        <v>2006</v>
      </c>
      <c r="D60" s="24" t="s">
        <v>55</v>
      </c>
      <c r="E60" s="24"/>
      <c r="F60" s="7" t="s">
        <v>281</v>
      </c>
      <c r="G60" s="7">
        <v>472</v>
      </c>
      <c r="H60" s="7">
        <f t="shared" si="153"/>
        <v>254</v>
      </c>
      <c r="I60" s="7">
        <f t="shared" si="134"/>
        <v>177.79999999999998</v>
      </c>
      <c r="J60" s="7">
        <v>27</v>
      </c>
      <c r="K60" s="7">
        <v>25.4</v>
      </c>
      <c r="L60" s="7">
        <f t="shared" si="154"/>
        <v>10</v>
      </c>
      <c r="M60" s="7">
        <v>7</v>
      </c>
      <c r="N60" s="7">
        <f t="shared" si="135"/>
        <v>152.39999999999998</v>
      </c>
      <c r="O60" s="7">
        <f t="shared" si="108"/>
        <v>63.499999999999986</v>
      </c>
      <c r="P60" s="7">
        <f t="shared" si="136"/>
        <v>50.8</v>
      </c>
      <c r="Q60" s="7">
        <v>0</v>
      </c>
      <c r="R60" s="7">
        <v>1</v>
      </c>
      <c r="S60" s="7">
        <f t="shared" si="137"/>
        <v>88.899999999999991</v>
      </c>
      <c r="T60" s="7">
        <f t="shared" si="42"/>
        <v>2.9999999999999996</v>
      </c>
      <c r="U60" s="7">
        <f t="shared" si="138"/>
        <v>4</v>
      </c>
      <c r="V60" s="7">
        <v>4.7</v>
      </c>
      <c r="W60" s="7">
        <f t="shared" si="155"/>
        <v>4.7</v>
      </c>
      <c r="X60" s="7">
        <f t="shared" si="44"/>
        <v>5.7</v>
      </c>
      <c r="Y60" s="7">
        <f>K60*X60^0.5</f>
        <v>60.641668842471674</v>
      </c>
      <c r="Z60" s="7"/>
      <c r="AA60" s="7"/>
      <c r="AB60" s="7">
        <v>472</v>
      </c>
      <c r="AC60" s="7"/>
      <c r="AD60" s="7"/>
      <c r="AE60" s="7">
        <v>0</v>
      </c>
      <c r="AF60" s="7">
        <v>0</v>
      </c>
      <c r="AG60" s="7">
        <f t="shared" si="156"/>
        <v>177.79999999999998</v>
      </c>
      <c r="AH60" s="7"/>
      <c r="AI60" s="7"/>
      <c r="AJ60" s="7"/>
      <c r="AK60" s="4">
        <f t="shared" si="126"/>
        <v>254</v>
      </c>
      <c r="AL60" s="44">
        <f t="shared" si="157"/>
        <v>0.12666666666666665</v>
      </c>
      <c r="AM60" s="25">
        <f t="shared" si="113"/>
        <v>415.1214191673746</v>
      </c>
      <c r="AN60" s="4">
        <f t="shared" si="114"/>
        <v>0.7599999999999999</v>
      </c>
      <c r="AO60" s="4">
        <v>1.25</v>
      </c>
      <c r="AP60" s="25">
        <f t="shared" si="115"/>
        <v>5</v>
      </c>
      <c r="AQ60" s="38">
        <f t="shared" si="116"/>
        <v>249.76472053237029</v>
      </c>
      <c r="AR60" s="38">
        <f t="shared" si="117"/>
        <v>249.76472053237029</v>
      </c>
      <c r="AT60" s="38">
        <f t="shared" si="133"/>
        <v>249.76472053237032</v>
      </c>
      <c r="AU60" s="38">
        <f t="shared" si="47"/>
        <v>0.99999999999999989</v>
      </c>
      <c r="AV60" s="38">
        <f t="shared" si="139"/>
        <v>1.5936410641492338</v>
      </c>
      <c r="AW60" s="4">
        <f t="shared" si="158"/>
        <v>0</v>
      </c>
      <c r="AX60" s="4">
        <f>I60/K60*J60^0.5/0.19</f>
        <v>191.43719452077065</v>
      </c>
      <c r="AY60" s="4">
        <f>MIN(0.6+0.4*(U60/T60),2)</f>
        <v>1.1333333333333333</v>
      </c>
      <c r="AZ60" s="38">
        <f t="shared" si="118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36">
        <f t="shared" si="53"/>
        <v>1.1000000000000001</v>
      </c>
      <c r="BF60" s="36">
        <f t="shared" si="54"/>
        <v>189.7634864772462</v>
      </c>
      <c r="BK60" s="4">
        <f t="shared" si="160"/>
        <v>63.499999999999986</v>
      </c>
      <c r="BL60" s="4">
        <f t="shared" si="161"/>
        <v>63.499999999999986</v>
      </c>
      <c r="BM60" s="4">
        <f t="shared" si="162"/>
        <v>88.899999999999991</v>
      </c>
      <c r="BN60" s="4">
        <f t="shared" si="163"/>
        <v>76.199999999999989</v>
      </c>
      <c r="BO60" s="4">
        <f t="shared" si="164"/>
        <v>1.04</v>
      </c>
      <c r="BP60" s="25">
        <f t="shared" si="119"/>
        <v>3.1199999999999997</v>
      </c>
      <c r="BR60" s="4">
        <f t="shared" si="165"/>
        <v>63.499999999999986</v>
      </c>
      <c r="BV60" s="9"/>
      <c r="BX60" s="9"/>
      <c r="BY60" s="9"/>
      <c r="BZ60" s="9">
        <f t="shared" si="166"/>
        <v>50.8</v>
      </c>
      <c r="CA60" s="9">
        <f t="shared" si="167"/>
        <v>63.499999999999986</v>
      </c>
      <c r="CB60" s="9">
        <f t="shared" si="63"/>
        <v>1.4623505735569622</v>
      </c>
      <c r="CC60" s="9">
        <v>0</v>
      </c>
      <c r="CD60" s="9">
        <f t="shared" si="132"/>
        <v>0</v>
      </c>
      <c r="CE60" s="9">
        <f t="shared" si="65"/>
        <v>0</v>
      </c>
      <c r="CF60" s="9">
        <f t="shared" si="168"/>
        <v>0.99524931562137331</v>
      </c>
      <c r="CG60" s="9">
        <f t="shared" si="169"/>
        <v>1.056</v>
      </c>
      <c r="CH60" s="9">
        <f t="shared" si="68"/>
        <v>1.911374255891328</v>
      </c>
      <c r="CI60" s="9">
        <f t="shared" si="69"/>
        <v>2.7950992393846952</v>
      </c>
      <c r="CJ60" s="9">
        <v>1</v>
      </c>
      <c r="CK60" s="9">
        <f t="shared" si="70"/>
        <v>245.96873306585317</v>
      </c>
      <c r="CM60" s="4">
        <f t="shared" si="140"/>
        <v>2.465560578139316</v>
      </c>
      <c r="CN60" s="4">
        <f t="shared" si="141"/>
        <v>1.0919753623886943</v>
      </c>
      <c r="CO60" s="4">
        <f t="shared" si="142"/>
        <v>2.487306745687325</v>
      </c>
      <c r="CP60" s="4">
        <f t="shared" si="143"/>
        <v>1.9189430872648008</v>
      </c>
      <c r="CQ60" s="4">
        <f t="shared" si="144"/>
        <v>1.1734211874058873</v>
      </c>
      <c r="CR60" s="4">
        <f t="shared" si="145"/>
        <v>1.2393430683283218</v>
      </c>
      <c r="CS60" s="4">
        <f t="shared" si="146"/>
        <v>1.7650508704945205</v>
      </c>
      <c r="CU60" s="4">
        <f t="shared" si="147"/>
        <v>2.465560578139316</v>
      </c>
      <c r="CV60" s="4">
        <f t="shared" si="147"/>
        <v>1.0919753623886943</v>
      </c>
      <c r="CW60" s="4">
        <f t="shared" si="148"/>
        <v>1.9189430872648008</v>
      </c>
      <c r="CX60" s="4">
        <f t="shared" si="170"/>
        <v>1.7650508704945205</v>
      </c>
      <c r="CY60" s="4">
        <f t="shared" si="149"/>
        <v>1.1734211874058873</v>
      </c>
      <c r="CZ60" s="4">
        <f t="shared" si="149"/>
        <v>1.2393430683283218</v>
      </c>
      <c r="DH60" s="4">
        <f t="shared" si="171"/>
        <v>0</v>
      </c>
      <c r="DI60" s="4">
        <f t="shared" si="172"/>
        <v>254</v>
      </c>
      <c r="DJ60" s="4">
        <f t="shared" si="173"/>
        <v>0.7</v>
      </c>
      <c r="DL60" s="4">
        <f t="shared" si="174"/>
        <v>1.7472864382687078E-5</v>
      </c>
      <c r="DM60" s="4">
        <f t="shared" si="175"/>
        <v>6.5652823394499222</v>
      </c>
      <c r="DN60" s="4">
        <f t="shared" si="176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38">
        <f t="shared" si="120"/>
        <v>402.24260910395071</v>
      </c>
      <c r="DS60" s="4">
        <f t="shared" si="79"/>
        <v>1.0001431777712819</v>
      </c>
      <c r="DT60" s="4">
        <f t="shared" si="150"/>
        <v>2.3874672772626644</v>
      </c>
      <c r="DU60" s="4">
        <f t="shared" si="121"/>
        <v>249.76472053237032</v>
      </c>
      <c r="DY60" s="4">
        <f t="shared" si="177"/>
        <v>0.85</v>
      </c>
      <c r="DZ60" s="4">
        <f t="shared" si="81"/>
        <v>0.85000000000000009</v>
      </c>
      <c r="EA60" s="4">
        <f t="shared" si="82"/>
        <v>1</v>
      </c>
      <c r="EB60" s="4">
        <f t="shared" si="83"/>
        <v>0.85000000000000009</v>
      </c>
      <c r="ED60" s="4">
        <f t="shared" si="122"/>
        <v>380.84692774911269</v>
      </c>
      <c r="EE60" s="25">
        <f t="shared" si="123"/>
        <v>258.22019535919065</v>
      </c>
      <c r="EG60" s="4">
        <f t="shared" si="151"/>
        <v>0.72250000000000003</v>
      </c>
      <c r="EH60" s="4">
        <f t="shared" si="84"/>
        <v>6.5652823394499222</v>
      </c>
      <c r="EI60" s="4">
        <f t="shared" si="178"/>
        <v>5.9197837798352051</v>
      </c>
      <c r="EK60" s="4">
        <f t="shared" si="179"/>
        <v>60.641668842471674</v>
      </c>
      <c r="EL60" s="4">
        <f t="shared" si="180"/>
        <v>2.3874672772626644</v>
      </c>
      <c r="EM60" s="4">
        <f t="shared" si="181"/>
        <v>0.13195463217595849</v>
      </c>
      <c r="EP60" s="4">
        <f t="shared" si="182"/>
        <v>0.13195463217595849</v>
      </c>
      <c r="EQ60" s="4">
        <f t="shared" si="183"/>
        <v>0.46364131720641022</v>
      </c>
      <c r="ER60" s="4">
        <f t="shared" si="184"/>
        <v>4.8275442138190625</v>
      </c>
      <c r="ES60" s="4">
        <f t="shared" si="185"/>
        <v>5.7624463416714153</v>
      </c>
      <c r="ET60" s="4">
        <f t="shared" si="186"/>
        <v>129.85833115752831</v>
      </c>
      <c r="EU60" s="4">
        <f t="shared" si="187"/>
        <v>63.5</v>
      </c>
      <c r="EV60" s="4">
        <f t="shared" si="95"/>
        <v>1.7472864382687078E-5</v>
      </c>
      <c r="EW60" s="4">
        <f t="shared" si="188"/>
        <v>6.2806845110232778</v>
      </c>
      <c r="EX60" s="4">
        <f t="shared" si="189"/>
        <v>402.18502514840702</v>
      </c>
      <c r="EY60" s="4">
        <f t="shared" si="190"/>
        <v>117.15833115752831</v>
      </c>
      <c r="EZ60" s="4">
        <f t="shared" si="191"/>
        <v>0</v>
      </c>
      <c r="FB60" s="4">
        <f t="shared" si="100"/>
        <v>74.331737793575599</v>
      </c>
      <c r="FG60" s="23">
        <f t="shared" si="192"/>
        <v>2.2000000000000002</v>
      </c>
      <c r="FH60" s="23">
        <f t="shared" si="192"/>
        <v>1.2</v>
      </c>
      <c r="FI60" s="23">
        <f t="shared" si="193"/>
        <v>1.8</v>
      </c>
      <c r="FJ60" s="23">
        <f t="shared" si="194"/>
        <v>2</v>
      </c>
      <c r="FK60" s="23">
        <f t="shared" si="152"/>
        <v>1.2</v>
      </c>
      <c r="FL60" s="23">
        <f t="shared" si="152"/>
        <v>1.4</v>
      </c>
      <c r="FM60" s="23">
        <f t="shared" si="195"/>
        <v>0</v>
      </c>
      <c r="FN60" s="23"/>
      <c r="FO60" s="1" t="s">
        <v>49</v>
      </c>
      <c r="FP60">
        <f t="shared" ref="FP60:FU60" si="203">COUNTIF(FG19:FG570,2)</f>
        <v>38</v>
      </c>
      <c r="FQ60">
        <f t="shared" si="203"/>
        <v>3</v>
      </c>
      <c r="FR60">
        <f t="shared" si="203"/>
        <v>10</v>
      </c>
      <c r="FS60">
        <f t="shared" si="203"/>
        <v>70</v>
      </c>
      <c r="FT60">
        <f t="shared" si="203"/>
        <v>0</v>
      </c>
      <c r="FU60">
        <f t="shared" si="203"/>
        <v>1</v>
      </c>
      <c r="FX60" s="4">
        <f t="shared" si="101"/>
        <v>1</v>
      </c>
      <c r="FY60" s="4">
        <f t="shared" si="102"/>
        <v>0.85000000000000009</v>
      </c>
      <c r="FZ60" s="4">
        <f t="shared" si="103"/>
        <v>0</v>
      </c>
      <c r="GA60" s="4">
        <f t="shared" si="104"/>
        <v>267.41438895059048</v>
      </c>
    </row>
    <row r="61" spans="1:183" ht="12" customHeight="1" x14ac:dyDescent="0.3">
      <c r="A61" s="25">
        <v>43</v>
      </c>
      <c r="B61" s="20" t="s">
        <v>54</v>
      </c>
      <c r="C61" s="20">
        <v>2006</v>
      </c>
      <c r="D61" s="24" t="s">
        <v>55</v>
      </c>
      <c r="E61" s="24"/>
      <c r="F61" s="7" t="s">
        <v>282</v>
      </c>
      <c r="G61" s="7">
        <v>472</v>
      </c>
      <c r="H61" s="7">
        <f t="shared" si="153"/>
        <v>254</v>
      </c>
      <c r="I61" s="7">
        <f t="shared" si="134"/>
        <v>177.79999999999998</v>
      </c>
      <c r="J61" s="7">
        <v>28</v>
      </c>
      <c r="K61" s="7">
        <v>25.4</v>
      </c>
      <c r="L61" s="7">
        <f t="shared" si="154"/>
        <v>10</v>
      </c>
      <c r="M61" s="7">
        <v>7</v>
      </c>
      <c r="N61" s="7">
        <f t="shared" si="135"/>
        <v>152.39999999999998</v>
      </c>
      <c r="O61" s="7">
        <f t="shared" si="108"/>
        <v>63.499999999999986</v>
      </c>
      <c r="P61" s="7">
        <f t="shared" si="136"/>
        <v>50.8</v>
      </c>
      <c r="Q61" s="7">
        <v>0</v>
      </c>
      <c r="R61" s="7">
        <v>1</v>
      </c>
      <c r="S61" s="7">
        <f t="shared" si="137"/>
        <v>88.899999999999991</v>
      </c>
      <c r="T61" s="7">
        <f t="shared" si="42"/>
        <v>2.9999999999999996</v>
      </c>
      <c r="U61" s="7">
        <f t="shared" si="138"/>
        <v>4</v>
      </c>
      <c r="V61" s="7">
        <v>10.39</v>
      </c>
      <c r="W61" s="7">
        <f t="shared" si="155"/>
        <v>10.39</v>
      </c>
      <c r="X61" s="7">
        <f t="shared" si="44"/>
        <v>11.39</v>
      </c>
      <c r="Y61" s="7">
        <f t="shared" ref="Y61:Y124" si="204">K61*X61^0.5</f>
        <v>85.722648115885917</v>
      </c>
      <c r="Z61" s="7"/>
      <c r="AA61" s="7"/>
      <c r="AB61" s="7">
        <v>472</v>
      </c>
      <c r="AC61" s="7"/>
      <c r="AD61" s="7"/>
      <c r="AE61" s="7">
        <v>0</v>
      </c>
      <c r="AF61" s="7">
        <v>0</v>
      </c>
      <c r="AG61" s="7">
        <f t="shared" si="156"/>
        <v>177.79999999999998</v>
      </c>
      <c r="AH61" s="7"/>
      <c r="AI61" s="7"/>
      <c r="AJ61" s="7"/>
      <c r="AK61" s="4">
        <f t="shared" si="126"/>
        <v>254</v>
      </c>
      <c r="AL61" s="44">
        <f t="shared" si="157"/>
        <v>0.12666666666666665</v>
      </c>
      <c r="AM61" s="25">
        <f t="shared" si="113"/>
        <v>422.7389613182192</v>
      </c>
      <c r="AN61" s="4">
        <f t="shared" si="114"/>
        <v>0.7599999999999999</v>
      </c>
      <c r="AO61" s="4">
        <v>1.25</v>
      </c>
      <c r="AP61" s="25">
        <f t="shared" si="115"/>
        <v>5</v>
      </c>
      <c r="AQ61" s="38">
        <f t="shared" si="116"/>
        <v>254.34794172646178</v>
      </c>
      <c r="AR61" s="38">
        <f t="shared" si="117"/>
        <v>254.34794172646178</v>
      </c>
      <c r="AT61" s="38">
        <f t="shared" si="133"/>
        <v>254.34794172646181</v>
      </c>
      <c r="AU61" s="38">
        <f t="shared" si="47"/>
        <v>0.99999999999999989</v>
      </c>
      <c r="AV61" s="38">
        <f t="shared" si="139"/>
        <v>2.4129398188950528</v>
      </c>
      <c r="AW61" s="4">
        <f t="shared" si="158"/>
        <v>0</v>
      </c>
      <c r="AX61" s="4">
        <f t="shared" ref="AX61" si="205">I61/K61*J61^0.5/0.19</f>
        <v>194.95009660475932</v>
      </c>
      <c r="AY61" s="4">
        <f t="shared" ref="AY61" si="206">MIN(0.6+0.4*(U61/T61),2)</f>
        <v>1.1333333333333333</v>
      </c>
      <c r="AZ61" s="38">
        <f t="shared" si="118"/>
        <v>613.72627644577824</v>
      </c>
      <c r="BA61" s="4">
        <f t="shared" ref="BA61" si="207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36">
        <f t="shared" si="53"/>
        <v>1.1000000000000001</v>
      </c>
      <c r="BF61" s="36">
        <f t="shared" si="54"/>
        <v>193.24567576015772</v>
      </c>
      <c r="BK61" s="4">
        <f t="shared" si="160"/>
        <v>63.499999999999986</v>
      </c>
      <c r="BL61" s="4">
        <f t="shared" si="161"/>
        <v>63.499999999999986</v>
      </c>
      <c r="BM61" s="4">
        <f t="shared" si="162"/>
        <v>88.899999999999991</v>
      </c>
      <c r="BN61" s="4">
        <f t="shared" si="163"/>
        <v>76.199999999999989</v>
      </c>
      <c r="BO61" s="4">
        <f t="shared" si="164"/>
        <v>1.04</v>
      </c>
      <c r="BP61" s="25">
        <f t="shared" si="119"/>
        <v>3.1199999999999997</v>
      </c>
      <c r="BR61" s="4">
        <f t="shared" si="165"/>
        <v>63.499999999999986</v>
      </c>
      <c r="BV61" s="9"/>
      <c r="BX61" s="9"/>
      <c r="BY61" s="9"/>
      <c r="BZ61" s="9">
        <f t="shared" si="166"/>
        <v>50.8</v>
      </c>
      <c r="CA61" s="9">
        <f t="shared" si="167"/>
        <v>63.499999999999986</v>
      </c>
      <c r="CB61" s="9">
        <f t="shared" si="63"/>
        <v>1.4623505735569622</v>
      </c>
      <c r="CC61" s="9">
        <v>0</v>
      </c>
      <c r="CD61" s="9">
        <f t="shared" si="132"/>
        <v>0</v>
      </c>
      <c r="CE61" s="9">
        <f t="shared" si="65"/>
        <v>0</v>
      </c>
      <c r="CF61" s="9">
        <f t="shared" si="168"/>
        <v>0.99524931562137331</v>
      </c>
      <c r="CG61" s="9">
        <f t="shared" si="169"/>
        <v>1.056</v>
      </c>
      <c r="CH61" s="9">
        <f t="shared" si="68"/>
        <v>1.9464482686693119</v>
      </c>
      <c r="CI61" s="9">
        <f t="shared" si="69"/>
        <v>2.8463897420875242</v>
      </c>
      <c r="CJ61" s="9">
        <v>1</v>
      </c>
      <c r="CK61" s="9">
        <f t="shared" si="70"/>
        <v>250.48229730370213</v>
      </c>
      <c r="CM61" s="4">
        <f t="shared" si="140"/>
        <v>2.4211324242476784</v>
      </c>
      <c r="CN61" s="4">
        <f t="shared" si="141"/>
        <v>0.7325953836940865</v>
      </c>
      <c r="CO61" s="4">
        <f t="shared" si="142"/>
        <v>2.4424867368613805</v>
      </c>
      <c r="CP61" s="4">
        <f t="shared" si="143"/>
        <v>1.8843647039364</v>
      </c>
      <c r="CQ61" s="4">
        <f t="shared" si="144"/>
        <v>1.2108105529790076</v>
      </c>
      <c r="CR61" s="4">
        <f t="shared" si="145"/>
        <v>1.2156689397553775</v>
      </c>
      <c r="CS61" s="4">
        <f t="shared" si="146"/>
        <v>1.7490759164690128</v>
      </c>
      <c r="CU61" s="4">
        <f t="shared" si="147"/>
        <v>2.4211324242476784</v>
      </c>
      <c r="CV61" s="4">
        <f t="shared" si="147"/>
        <v>0.7325953836940865</v>
      </c>
      <c r="CW61" s="4">
        <f t="shared" si="148"/>
        <v>1.8843647039364</v>
      </c>
      <c r="CX61" s="4">
        <f t="shared" si="170"/>
        <v>1.7490759164690128</v>
      </c>
      <c r="CY61" s="4">
        <f t="shared" si="149"/>
        <v>1.2108105529790076</v>
      </c>
      <c r="CZ61" s="4">
        <f t="shared" si="149"/>
        <v>1.2156689397553775</v>
      </c>
      <c r="DH61" s="4">
        <f t="shared" si="171"/>
        <v>0</v>
      </c>
      <c r="DI61" s="4">
        <f t="shared" si="172"/>
        <v>254</v>
      </c>
      <c r="DJ61" s="4">
        <f t="shared" si="173"/>
        <v>0.7</v>
      </c>
      <c r="DL61" s="4">
        <f t="shared" si="174"/>
        <v>1.7601358282256944E-5</v>
      </c>
      <c r="DM61" s="4">
        <f t="shared" si="175"/>
        <v>6.6857562842857838</v>
      </c>
      <c r="DN61" s="4">
        <f t="shared" si="176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38">
        <f t="shared" si="120"/>
        <v>389.82151158058434</v>
      </c>
      <c r="DS61" s="4">
        <f t="shared" si="79"/>
        <v>1.0001348124900087</v>
      </c>
      <c r="DT61" s="4">
        <f t="shared" si="150"/>
        <v>3.3749074061372411</v>
      </c>
      <c r="DU61" s="4">
        <f t="shared" si="121"/>
        <v>254.34794172646181</v>
      </c>
      <c r="DY61" s="4">
        <f t="shared" si="177"/>
        <v>0.85</v>
      </c>
      <c r="DZ61" s="4">
        <f t="shared" si="81"/>
        <v>0.85000000000000009</v>
      </c>
      <c r="EA61" s="4">
        <f t="shared" si="82"/>
        <v>1</v>
      </c>
      <c r="EB61" s="4">
        <f t="shared" si="83"/>
        <v>0.85000000000000009</v>
      </c>
      <c r="ED61" s="4">
        <f t="shared" si="122"/>
        <v>388.26360085746535</v>
      </c>
      <c r="EE61" s="25">
        <f t="shared" si="123"/>
        <v>262.95857582217241</v>
      </c>
      <c r="EG61" s="4">
        <f t="shared" si="151"/>
        <v>0.72250000000000003</v>
      </c>
      <c r="EH61" s="4">
        <f t="shared" si="84"/>
        <v>6.6857562842857838</v>
      </c>
      <c r="EI61" s="4">
        <f t="shared" si="178"/>
        <v>6.028412726414806</v>
      </c>
      <c r="EK61" s="4">
        <f t="shared" si="179"/>
        <v>85.722648115885917</v>
      </c>
      <c r="EL61" s="4">
        <f t="shared" si="180"/>
        <v>3.3749074061372411</v>
      </c>
      <c r="EM61" s="4">
        <f t="shared" si="181"/>
        <v>8.437841924754759E-2</v>
      </c>
      <c r="EP61" s="4">
        <f t="shared" si="182"/>
        <v>8.437841924754759E-2</v>
      </c>
      <c r="EQ61" s="4">
        <f t="shared" si="183"/>
        <v>0.291133205372413</v>
      </c>
      <c r="ER61" s="4">
        <f t="shared" si="184"/>
        <v>4.0811939860169337</v>
      </c>
      <c r="ES61" s="4">
        <f t="shared" si="185"/>
        <v>5.5396113900741408</v>
      </c>
      <c r="ET61" s="4">
        <f t="shared" si="186"/>
        <v>104.77735188411408</v>
      </c>
      <c r="EU61" s="4">
        <f t="shared" si="187"/>
        <v>63.499999999999986</v>
      </c>
      <c r="EV61" s="4">
        <f t="shared" si="95"/>
        <v>1.760135828225694E-5</v>
      </c>
      <c r="EW61" s="4">
        <f t="shared" si="188"/>
        <v>6.4188440713132247</v>
      </c>
      <c r="EX61" s="4">
        <f t="shared" si="189"/>
        <v>389.76896585576924</v>
      </c>
      <c r="EY61" s="4">
        <f t="shared" si="190"/>
        <v>92.077351884114066</v>
      </c>
      <c r="EZ61" s="4">
        <f t="shared" si="191"/>
        <v>0</v>
      </c>
      <c r="FB61" s="4">
        <f t="shared" si="100"/>
        <v>75.267663493280565</v>
      </c>
      <c r="FG61" s="23">
        <f t="shared" si="192"/>
        <v>2.2000000000000002</v>
      </c>
      <c r="FH61" s="23">
        <f t="shared" si="192"/>
        <v>0.8</v>
      </c>
      <c r="FI61" s="23">
        <f t="shared" si="193"/>
        <v>1.8</v>
      </c>
      <c r="FJ61" s="23">
        <f t="shared" si="194"/>
        <v>2</v>
      </c>
      <c r="FK61" s="23">
        <f t="shared" si="152"/>
        <v>1.4</v>
      </c>
      <c r="FL61" s="23">
        <f t="shared" si="152"/>
        <v>1.4</v>
      </c>
      <c r="FM61" s="23">
        <f t="shared" si="195"/>
        <v>0</v>
      </c>
      <c r="FN61" s="23"/>
      <c r="FO61" s="1" t="s">
        <v>50</v>
      </c>
      <c r="FP61">
        <f t="shared" ref="FP61:FU61" si="208">COUNTIF(FG19:FG570,2.2)</f>
        <v>108</v>
      </c>
      <c r="FQ61">
        <f t="shared" si="208"/>
        <v>1</v>
      </c>
      <c r="FR61">
        <f t="shared" si="208"/>
        <v>24</v>
      </c>
      <c r="FS61">
        <f t="shared" si="208"/>
        <v>123</v>
      </c>
      <c r="FT61">
        <f t="shared" si="208"/>
        <v>0</v>
      </c>
      <c r="FU61">
        <f t="shared" si="208"/>
        <v>0</v>
      </c>
      <c r="FX61" s="4">
        <f t="shared" si="101"/>
        <v>1</v>
      </c>
      <c r="FY61" s="4">
        <f t="shared" si="102"/>
        <v>0.85000000000000009</v>
      </c>
      <c r="FZ61" s="4">
        <f t="shared" si="103"/>
        <v>0</v>
      </c>
      <c r="GA61" s="4">
        <f t="shared" si="104"/>
        <v>269.85678297649929</v>
      </c>
    </row>
    <row r="62" spans="1:183" ht="12" customHeight="1" x14ac:dyDescent="0.3">
      <c r="A62" s="25">
        <v>44</v>
      </c>
      <c r="B62" s="20" t="s">
        <v>54</v>
      </c>
      <c r="C62" s="20">
        <v>2006</v>
      </c>
      <c r="D62" s="24" t="s">
        <v>55</v>
      </c>
      <c r="E62" s="24"/>
      <c r="F62" s="7" t="s">
        <v>77</v>
      </c>
      <c r="G62" s="7">
        <v>472</v>
      </c>
      <c r="H62" s="7">
        <f>15*25.4</f>
        <v>381</v>
      </c>
      <c r="I62" s="7">
        <f t="shared" si="134"/>
        <v>177.79999999999998</v>
      </c>
      <c r="J62" s="7">
        <v>28</v>
      </c>
      <c r="K62" s="7">
        <v>25.4</v>
      </c>
      <c r="L62" s="7">
        <f t="shared" si="154"/>
        <v>15</v>
      </c>
      <c r="M62" s="7">
        <v>7</v>
      </c>
      <c r="N62" s="7">
        <f t="shared" si="135"/>
        <v>152.39999999999998</v>
      </c>
      <c r="O62" s="7">
        <f t="shared" si="108"/>
        <v>63.499999999999986</v>
      </c>
      <c r="P62" s="7">
        <f t="shared" si="136"/>
        <v>50.8</v>
      </c>
      <c r="Q62" s="7">
        <v>0</v>
      </c>
      <c r="R62" s="7">
        <v>1</v>
      </c>
      <c r="S62" s="7">
        <f t="shared" si="137"/>
        <v>88.899999999999991</v>
      </c>
      <c r="T62" s="7">
        <f t="shared" si="42"/>
        <v>2.9999999999999996</v>
      </c>
      <c r="U62" s="7">
        <f t="shared" si="138"/>
        <v>4</v>
      </c>
      <c r="V62" s="7">
        <v>1.18</v>
      </c>
      <c r="W62" s="7">
        <f t="shared" si="155"/>
        <v>1.18</v>
      </c>
      <c r="X62" s="7">
        <f t="shared" si="44"/>
        <v>2.1799999999999997</v>
      </c>
      <c r="Y62" s="7">
        <f t="shared" si="204"/>
        <v>37.502650572992827</v>
      </c>
      <c r="Z62" s="7"/>
      <c r="AA62" s="7"/>
      <c r="AB62" s="7">
        <v>0</v>
      </c>
      <c r="AC62" s="7"/>
      <c r="AD62" s="7"/>
      <c r="AE62" s="7">
        <v>0</v>
      </c>
      <c r="AF62" s="7">
        <v>0</v>
      </c>
      <c r="AG62" s="7">
        <f t="shared" si="156"/>
        <v>177.79999999999998</v>
      </c>
      <c r="AH62" s="7"/>
      <c r="AI62" s="7"/>
      <c r="AJ62" s="7"/>
      <c r="AK62" s="4">
        <f t="shared" si="126"/>
        <v>381</v>
      </c>
      <c r="AL62" s="44">
        <f t="shared" si="157"/>
        <v>5.9259259259259248E-2</v>
      </c>
      <c r="AM62" s="25">
        <f t="shared" si="113"/>
        <v>776.62106221784506</v>
      </c>
      <c r="AN62" s="4">
        <f t="shared" si="114"/>
        <v>0.74</v>
      </c>
      <c r="AO62" s="4">
        <v>1.25</v>
      </c>
      <c r="AP62" s="25">
        <f t="shared" si="115"/>
        <v>5</v>
      </c>
      <c r="AQ62" s="38">
        <f t="shared" si="116"/>
        <v>212.85169853377971</v>
      </c>
      <c r="AR62" s="38">
        <f t="shared" si="117"/>
        <v>212.85169853377971</v>
      </c>
      <c r="AT62" s="38">
        <f t="shared" si="133"/>
        <v>212.85169853377948</v>
      </c>
      <c r="AU62" s="38">
        <f t="shared" si="47"/>
        <v>1.0000000000000011</v>
      </c>
      <c r="AV62" s="38">
        <f t="shared" si="139"/>
        <v>0.9716969231496575</v>
      </c>
      <c r="AW62" s="4">
        <f t="shared" si="158"/>
        <v>1</v>
      </c>
      <c r="AX62" s="4">
        <f>I62/K62*J62^0.5/0.19</f>
        <v>194.95009660475932</v>
      </c>
      <c r="AY62" s="4">
        <f>MIN(0.6+0.4*(U62/T62),2)</f>
        <v>1.1333333333333333</v>
      </c>
      <c r="AZ62" s="38">
        <f t="shared" si="118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36">
        <f t="shared" si="53"/>
        <v>1.1000000000000001</v>
      </c>
      <c r="BF62" s="36">
        <f t="shared" si="54"/>
        <v>193.24567576015772</v>
      </c>
      <c r="BK62" s="4">
        <f t="shared" si="160"/>
        <v>63.499999999999986</v>
      </c>
      <c r="BL62" s="4">
        <f t="shared" si="161"/>
        <v>63.499999999999986</v>
      </c>
      <c r="BM62" s="4">
        <f t="shared" si="162"/>
        <v>88.899999999999991</v>
      </c>
      <c r="BN62" s="4">
        <f t="shared" si="163"/>
        <v>76.199999999999989</v>
      </c>
      <c r="BO62" s="4">
        <f t="shared" si="164"/>
        <v>1.04</v>
      </c>
      <c r="BP62" s="25">
        <f t="shared" si="119"/>
        <v>3.1199999999999997</v>
      </c>
      <c r="BR62" s="4">
        <f t="shared" si="165"/>
        <v>63.499999999999986</v>
      </c>
      <c r="BV62" s="9"/>
      <c r="BX62" s="9"/>
      <c r="BY62" s="9"/>
      <c r="BZ62" s="9">
        <f>IF(Q62=0,MIN(O62,P62),MIN(Q62/2,O62,P62))</f>
        <v>50.8</v>
      </c>
      <c r="CA62" s="9">
        <f>MAX(Q62/2,O62)</f>
        <v>63.499999999999986</v>
      </c>
      <c r="CB62" s="9">
        <f t="shared" si="63"/>
        <v>1.4623505735569622</v>
      </c>
      <c r="CC62" s="9">
        <v>0</v>
      </c>
      <c r="CD62" s="9">
        <f t="shared" si="132"/>
        <v>0</v>
      </c>
      <c r="CE62" s="9">
        <f t="shared" si="65"/>
        <v>0</v>
      </c>
      <c r="CF62" s="9">
        <f>MIN(1,(25/K62)^0.3)</f>
        <v>0.99524931562137331</v>
      </c>
      <c r="CG62" s="9">
        <f>IF(G62&gt;=800,0.68,IF(G62&gt;=700,0.75-(G62-700)*0.07/100,IF(G62&gt;=600,0.85-(G62-600)*0.1/100,IF(G62&gt;=500,1-(G62-500)*0.15/100,1.2-(G62-400)*0.2/100))))</f>
        <v>1.056</v>
      </c>
      <c r="CH62" s="9">
        <f t="shared" si="68"/>
        <v>1.9464482686693119</v>
      </c>
      <c r="CI62" s="9">
        <f t="shared" si="69"/>
        <v>2.8463897420875242</v>
      </c>
      <c r="CJ62" s="9">
        <v>1</v>
      </c>
      <c r="CK62" s="9">
        <f t="shared" si="70"/>
        <v>250.48229730370213</v>
      </c>
      <c r="DH62" s="4">
        <f t="shared" si="171"/>
        <v>0</v>
      </c>
      <c r="DI62" s="4">
        <f t="shared" si="172"/>
        <v>381</v>
      </c>
      <c r="DJ62" s="4">
        <f t="shared" si="173"/>
        <v>0.46666666666666662</v>
      </c>
      <c r="DL62" s="4">
        <f t="shared" si="174"/>
        <v>2.6402037423385414E-5</v>
      </c>
      <c r="DM62" s="4">
        <f t="shared" si="175"/>
        <v>6.6857562842857838</v>
      </c>
      <c r="DN62" s="4">
        <f t="shared" si="176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38">
        <f t="shared" si="120"/>
        <v>397.32998405897229</v>
      </c>
      <c r="DS62" s="4">
        <f t="shared" si="79"/>
        <v>1.0002672863210411</v>
      </c>
      <c r="DT62" s="4">
        <f t="shared" si="150"/>
        <v>1.4764823060233399</v>
      </c>
      <c r="DU62" s="4">
        <f t="shared" si="121"/>
        <v>212.85169853377948</v>
      </c>
      <c r="DY62" s="4">
        <f>IF(P62&gt;1*K62,0.85,1)</f>
        <v>0.85</v>
      </c>
      <c r="DZ62" s="4">
        <f t="shared" si="81"/>
        <v>0.85000000000000009</v>
      </c>
      <c r="EA62" s="4">
        <f t="shared" si="82"/>
        <v>1</v>
      </c>
      <c r="EB62" s="4">
        <f t="shared" si="83"/>
        <v>0.85000000000000009</v>
      </c>
      <c r="ED62" s="4">
        <f t="shared" si="122"/>
        <v>309.73118092328752</v>
      </c>
      <c r="EE62" s="25">
        <f t="shared" si="123"/>
        <v>209.93356079366291</v>
      </c>
      <c r="EG62" s="4">
        <f t="shared" si="151"/>
        <v>0.72250000000000003</v>
      </c>
      <c r="EH62" s="4">
        <f t="shared" si="84"/>
        <v>6.6857562842857838</v>
      </c>
      <c r="EI62" s="4">
        <f t="shared" si="178"/>
        <v>6.028412726414806</v>
      </c>
      <c r="EK62" s="4">
        <f t="shared" si="179"/>
        <v>37.502650572992827</v>
      </c>
      <c r="EL62" s="4">
        <f t="shared" si="180"/>
        <v>1.4764823060233399</v>
      </c>
      <c r="EM62" s="4">
        <f t="shared" si="181"/>
        <v>0.27200707645678157</v>
      </c>
      <c r="EP62" s="4">
        <f t="shared" si="182"/>
        <v>0.27200707645678157</v>
      </c>
      <c r="EQ62" s="4">
        <f t="shared" si="183"/>
        <v>0.93851357680113745</v>
      </c>
      <c r="ER62" s="4">
        <f t="shared" si="184"/>
        <v>6.5181862391466634</v>
      </c>
      <c r="ES62" s="4">
        <f>EH62/1.4*(1-EQ62^1.4)/(1-EQ62)</f>
        <v>6.602502902959194</v>
      </c>
      <c r="ET62" s="4">
        <f t="shared" si="186"/>
        <v>248.24734942700718</v>
      </c>
      <c r="EU62" s="4">
        <f t="shared" si="187"/>
        <v>95.25</v>
      </c>
      <c r="EV62" s="4">
        <f t="shared" si="95"/>
        <v>2.6402037423385414E-5</v>
      </c>
      <c r="EW62" s="4">
        <f>MAX(0.5*EH62, (1-2*EV62*(EK62*ER62+ET62*ES62))/(1/EH62+EV62*EU62))</f>
        <v>5.9212575541952805</v>
      </c>
      <c r="EX62" s="4">
        <f t="shared" si="189"/>
        <v>397.22381156774838</v>
      </c>
      <c r="EY62" s="4">
        <f t="shared" si="190"/>
        <v>140.29734942700716</v>
      </c>
      <c r="EZ62" s="4">
        <f t="shared" si="191"/>
        <v>0</v>
      </c>
      <c r="FB62" s="4">
        <f t="shared" si="100"/>
        <v>201.06141266323561</v>
      </c>
      <c r="FG62" s="23"/>
      <c r="FH62" s="23"/>
      <c r="FI62" s="23"/>
      <c r="FJ62" s="23"/>
      <c r="FK62" s="23"/>
      <c r="FL62" s="23"/>
      <c r="FM62" s="23"/>
      <c r="FN62" s="23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0.85000000000000009</v>
      </c>
      <c r="FZ62" s="4">
        <f t="shared" si="103"/>
        <v>0</v>
      </c>
      <c r="GA62" s="4">
        <f t="shared" si="104"/>
        <v>404.78517446474899</v>
      </c>
    </row>
    <row r="63" spans="1:183" ht="12" customHeight="1" x14ac:dyDescent="0.3">
      <c r="A63" s="25">
        <v>45</v>
      </c>
      <c r="B63" s="20" t="s">
        <v>54</v>
      </c>
      <c r="C63" s="20">
        <v>2006</v>
      </c>
      <c r="D63" s="24" t="s">
        <v>55</v>
      </c>
      <c r="E63" s="24"/>
      <c r="F63" s="7" t="s">
        <v>69</v>
      </c>
      <c r="G63" s="7">
        <v>472</v>
      </c>
      <c r="H63" s="7">
        <f t="shared" ref="H63:H73" si="209">15*25.4</f>
        <v>381</v>
      </c>
      <c r="I63" s="7">
        <f t="shared" si="134"/>
        <v>177.79999999999998</v>
      </c>
      <c r="J63" s="7">
        <v>28</v>
      </c>
      <c r="K63" s="7">
        <v>25.4</v>
      </c>
      <c r="L63" s="7">
        <f t="shared" si="154"/>
        <v>15</v>
      </c>
      <c r="M63" s="7">
        <v>7</v>
      </c>
      <c r="N63" s="7">
        <f t="shared" si="135"/>
        <v>152.39999999999998</v>
      </c>
      <c r="O63" s="7">
        <f t="shared" si="108"/>
        <v>63.499999999999986</v>
      </c>
      <c r="P63" s="7">
        <f t="shared" si="136"/>
        <v>50.8</v>
      </c>
      <c r="Q63" s="7">
        <v>0</v>
      </c>
      <c r="R63" s="7">
        <v>1</v>
      </c>
      <c r="S63" s="7">
        <f t="shared" si="137"/>
        <v>88.899999999999991</v>
      </c>
      <c r="T63" s="7">
        <f t="shared" si="42"/>
        <v>2.9999999999999996</v>
      </c>
      <c r="U63" s="7">
        <f t="shared" si="138"/>
        <v>4</v>
      </c>
      <c r="V63" s="7">
        <v>1.85</v>
      </c>
      <c r="W63" s="7">
        <f t="shared" si="155"/>
        <v>1.85</v>
      </c>
      <c r="X63" s="7">
        <f t="shared" si="44"/>
        <v>2.85</v>
      </c>
      <c r="Y63" s="7">
        <f t="shared" si="204"/>
        <v>42.880135260980694</v>
      </c>
      <c r="Z63" s="7"/>
      <c r="AA63" s="7"/>
      <c r="AB63" s="7">
        <v>0</v>
      </c>
      <c r="AC63" s="7"/>
      <c r="AD63" s="7"/>
      <c r="AE63" s="7">
        <v>0</v>
      </c>
      <c r="AF63" s="7">
        <v>0</v>
      </c>
      <c r="AG63" s="7">
        <f t="shared" si="156"/>
        <v>177.79999999999998</v>
      </c>
      <c r="AH63" s="7"/>
      <c r="AI63" s="7"/>
      <c r="AJ63" s="7"/>
      <c r="AK63" s="4">
        <f t="shared" si="126"/>
        <v>381</v>
      </c>
      <c r="AL63" s="44">
        <f t="shared" si="157"/>
        <v>5.9259259259259248E-2</v>
      </c>
      <c r="AM63" s="25">
        <f t="shared" si="113"/>
        <v>776.62106221784506</v>
      </c>
      <c r="AN63" s="4">
        <f t="shared" si="114"/>
        <v>0.74</v>
      </c>
      <c r="AO63" s="4">
        <v>1.25</v>
      </c>
      <c r="AP63" s="25">
        <f t="shared" si="115"/>
        <v>5</v>
      </c>
      <c r="AQ63" s="38">
        <f t="shared" si="116"/>
        <v>212.85169853377971</v>
      </c>
      <c r="AR63" s="38">
        <f t="shared" si="117"/>
        <v>212.85169853377971</v>
      </c>
      <c r="AT63" s="38">
        <f t="shared" si="133"/>
        <v>212.85169853377948</v>
      </c>
      <c r="AU63" s="38">
        <f t="shared" si="47"/>
        <v>1.0000000000000011</v>
      </c>
      <c r="AV63" s="38">
        <f t="shared" si="139"/>
        <v>1.2166780921657716</v>
      </c>
      <c r="AW63" s="4">
        <f t="shared" si="158"/>
        <v>0</v>
      </c>
      <c r="AX63" s="4">
        <f>I63/K63*J63^0.5/0.19</f>
        <v>194.95009660475932</v>
      </c>
      <c r="AY63" s="4">
        <f>MIN(0.6+0.4*(U63/T63),2)</f>
        <v>1.1333333333333333</v>
      </c>
      <c r="AZ63" s="38">
        <f t="shared" si="118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36">
        <f t="shared" si="53"/>
        <v>1.1000000000000001</v>
      </c>
      <c r="BF63" s="36">
        <f t="shared" si="54"/>
        <v>193.24567576015772</v>
      </c>
      <c r="BK63" s="4">
        <f t="shared" si="160"/>
        <v>63.499999999999986</v>
      </c>
      <c r="BL63" s="4">
        <f t="shared" si="161"/>
        <v>63.499999999999986</v>
      </c>
      <c r="BM63" s="4">
        <f t="shared" si="162"/>
        <v>88.899999999999991</v>
      </c>
      <c r="BN63" s="4">
        <f t="shared" si="163"/>
        <v>76.199999999999989</v>
      </c>
      <c r="BO63" s="4">
        <f t="shared" si="164"/>
        <v>1.04</v>
      </c>
      <c r="BP63" s="25">
        <f t="shared" si="119"/>
        <v>3.1199999999999997</v>
      </c>
      <c r="BR63" s="4">
        <f t="shared" si="165"/>
        <v>63.499999999999986</v>
      </c>
      <c r="BV63" s="9"/>
      <c r="BX63" s="9"/>
      <c r="BY63" s="9"/>
      <c r="BZ63" s="9">
        <f>IF(Q63=0,MIN(O63,P63),MIN(Q63/2,O63,P63))</f>
        <v>50.8</v>
      </c>
      <c r="CA63" s="9">
        <f>MAX(Q63/2,O63)</f>
        <v>63.499999999999986</v>
      </c>
      <c r="CB63" s="9">
        <f t="shared" si="63"/>
        <v>1.4623505735569622</v>
      </c>
      <c r="CC63" s="9">
        <v>0</v>
      </c>
      <c r="CD63" s="9">
        <f t="shared" si="132"/>
        <v>0</v>
      </c>
      <c r="CE63" s="9">
        <f t="shared" si="65"/>
        <v>0</v>
      </c>
      <c r="CF63" s="9">
        <f>MIN(1,(25/K63)^0.3)</f>
        <v>0.99524931562137331</v>
      </c>
      <c r="CG63" s="9">
        <f>IF(G63&gt;=800,0.68,IF(G63&gt;=700,0.75-(G63-700)*0.07/100,IF(G63&gt;=600,0.85-(G63-600)*0.1/100,IF(G63&gt;=500,1-(G63-500)*0.15/100,1.2-(G63-400)*0.2/100))))</f>
        <v>1.056</v>
      </c>
      <c r="CH63" s="9">
        <f t="shared" si="68"/>
        <v>1.9464482686693119</v>
      </c>
      <c r="CI63" s="9">
        <f t="shared" si="69"/>
        <v>2.8463897420875242</v>
      </c>
      <c r="CJ63" s="9">
        <v>1</v>
      </c>
      <c r="CK63" s="9">
        <f t="shared" si="70"/>
        <v>250.48229730370213</v>
      </c>
      <c r="DH63" s="4">
        <f t="shared" si="171"/>
        <v>0</v>
      </c>
      <c r="DI63" s="4">
        <f t="shared" si="172"/>
        <v>381</v>
      </c>
      <c r="DJ63" s="4">
        <f t="shared" si="173"/>
        <v>0.46666666666666662</v>
      </c>
      <c r="DL63" s="4">
        <f t="shared" si="174"/>
        <v>2.6402037423385414E-5</v>
      </c>
      <c r="DM63" s="4">
        <f t="shared" si="175"/>
        <v>6.6857562842857838</v>
      </c>
      <c r="DN63" s="4">
        <f t="shared" si="176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38">
        <f t="shared" si="120"/>
        <v>384.17396911408935</v>
      </c>
      <c r="DS63" s="4">
        <f t="shared" si="79"/>
        <v>1.0002356530690875</v>
      </c>
      <c r="DT63" s="4">
        <f t="shared" si="150"/>
        <v>1.6881943016134133</v>
      </c>
      <c r="DU63" s="4">
        <f t="shared" si="121"/>
        <v>212.85169853377948</v>
      </c>
      <c r="DY63" s="4">
        <f>IF(P63&gt;1*K63,0.85,1)</f>
        <v>0.85</v>
      </c>
      <c r="DZ63" s="4">
        <f t="shared" si="81"/>
        <v>0.85000000000000009</v>
      </c>
      <c r="EA63" s="4">
        <f t="shared" si="82"/>
        <v>1</v>
      </c>
      <c r="EB63" s="4">
        <f t="shared" si="83"/>
        <v>0.85000000000000009</v>
      </c>
      <c r="ED63" s="4">
        <f t="shared" si="122"/>
        <v>315.36792408353995</v>
      </c>
      <c r="EE63" s="25">
        <f t="shared" si="123"/>
        <v>209.93356079366291</v>
      </c>
      <c r="EG63" s="4">
        <f t="shared" si="151"/>
        <v>0.72250000000000003</v>
      </c>
      <c r="EH63" s="4">
        <f t="shared" si="84"/>
        <v>6.6857562842857838</v>
      </c>
      <c r="EI63" s="4">
        <f t="shared" si="178"/>
        <v>6.028412726414806</v>
      </c>
      <c r="EK63" s="4">
        <f t="shared" si="179"/>
        <v>42.880135260980694</v>
      </c>
      <c r="EL63" s="4">
        <f t="shared" si="180"/>
        <v>1.6881943016134133</v>
      </c>
      <c r="EM63" s="4">
        <f t="shared" si="181"/>
        <v>0.19837396083975403</v>
      </c>
      <c r="EP63" s="4">
        <f t="shared" si="182"/>
        <v>0.19837396083975403</v>
      </c>
      <c r="EQ63" s="4">
        <f t="shared" si="183"/>
        <v>0.68445519122921572</v>
      </c>
      <c r="ER63" s="4">
        <f t="shared" si="184"/>
        <v>5.7449803809063837</v>
      </c>
      <c r="ES63" s="4">
        <f>EH63/1.4*(1-EQ63^1.4)/(1-EQ63)</f>
        <v>6.2331528620769934</v>
      </c>
      <c r="ET63" s="4">
        <f t="shared" si="186"/>
        <v>242.86986473901931</v>
      </c>
      <c r="EU63" s="4">
        <f t="shared" si="187"/>
        <v>95.25</v>
      </c>
      <c r="EV63" s="4">
        <f t="shared" si="95"/>
        <v>2.6402037423385414E-5</v>
      </c>
      <c r="EW63" s="4">
        <f>MAX(0.5*EH63, (1-2*EV63*(EK63*ER63+ET63*ES63))/(1/EH63+EV63*EU63))</f>
        <v>5.9640713898449462</v>
      </c>
      <c r="EX63" s="4">
        <f t="shared" si="189"/>
        <v>384.08345866826846</v>
      </c>
      <c r="EY63" s="4">
        <f t="shared" si="190"/>
        <v>134.91986473901929</v>
      </c>
      <c r="EZ63" s="4">
        <f t="shared" si="191"/>
        <v>0</v>
      </c>
      <c r="FB63" s="4">
        <f t="shared" si="100"/>
        <v>195.42466950298319</v>
      </c>
      <c r="FG63" s="23"/>
      <c r="FH63" s="23"/>
      <c r="FI63" s="23"/>
      <c r="FJ63" s="23"/>
      <c r="FK63" s="23"/>
      <c r="FL63" s="23"/>
      <c r="FM63" s="23"/>
      <c r="FN63" s="23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0.85000000000000009</v>
      </c>
      <c r="FZ63" s="4">
        <f t="shared" si="103"/>
        <v>0</v>
      </c>
      <c r="GA63" s="4">
        <f t="shared" si="104"/>
        <v>404.78517446474899</v>
      </c>
    </row>
    <row r="64" spans="1:183" ht="12" customHeight="1" x14ac:dyDescent="0.3">
      <c r="A64" s="25">
        <v>46</v>
      </c>
      <c r="B64" s="20" t="s">
        <v>54</v>
      </c>
      <c r="C64" s="20">
        <v>2006</v>
      </c>
      <c r="D64" s="24" t="s">
        <v>55</v>
      </c>
      <c r="E64" s="24"/>
      <c r="F64" s="7" t="s">
        <v>69</v>
      </c>
      <c r="G64" s="7">
        <v>472</v>
      </c>
      <c r="H64" s="7">
        <f t="shared" si="209"/>
        <v>381</v>
      </c>
      <c r="I64" s="7">
        <f t="shared" si="134"/>
        <v>177.79999999999998</v>
      </c>
      <c r="J64" s="7">
        <v>21</v>
      </c>
      <c r="K64" s="7">
        <v>25.4</v>
      </c>
      <c r="L64" s="7">
        <f t="shared" si="154"/>
        <v>15</v>
      </c>
      <c r="M64" s="7">
        <v>7</v>
      </c>
      <c r="N64" s="7">
        <f t="shared" si="135"/>
        <v>152.39999999999998</v>
      </c>
      <c r="O64" s="7">
        <f t="shared" si="108"/>
        <v>63.499999999999986</v>
      </c>
      <c r="P64" s="7">
        <f t="shared" si="136"/>
        <v>50.8</v>
      </c>
      <c r="Q64" s="7">
        <v>0</v>
      </c>
      <c r="R64" s="7">
        <v>1</v>
      </c>
      <c r="S64" s="7">
        <f t="shared" si="137"/>
        <v>88.899999999999991</v>
      </c>
      <c r="T64" s="7">
        <f t="shared" si="42"/>
        <v>2.9999999999999996</v>
      </c>
      <c r="U64" s="7">
        <f t="shared" si="138"/>
        <v>4</v>
      </c>
      <c r="V64" s="7">
        <v>1.85</v>
      </c>
      <c r="W64" s="7">
        <f t="shared" si="155"/>
        <v>1.85</v>
      </c>
      <c r="X64" s="7">
        <f t="shared" si="44"/>
        <v>2.85</v>
      </c>
      <c r="Y64" s="7">
        <f t="shared" si="204"/>
        <v>42.880135260980694</v>
      </c>
      <c r="Z64" s="7"/>
      <c r="AA64" s="7"/>
      <c r="AB64" s="7">
        <v>420</v>
      </c>
      <c r="AC64" s="7"/>
      <c r="AD64" s="7"/>
      <c r="AE64" s="7">
        <v>0</v>
      </c>
      <c r="AF64" s="7">
        <v>0</v>
      </c>
      <c r="AG64" s="7">
        <f t="shared" si="156"/>
        <v>177.79999999999998</v>
      </c>
      <c r="AH64" s="7"/>
      <c r="AI64" s="7"/>
      <c r="AJ64" s="7"/>
      <c r="AK64" s="4">
        <f t="shared" si="126"/>
        <v>381</v>
      </c>
      <c r="AL64" s="44">
        <f t="shared" si="157"/>
        <v>5.9259259259259248E-2</v>
      </c>
      <c r="AM64" s="25">
        <f t="shared" si="113"/>
        <v>672.57356899470892</v>
      </c>
      <c r="AN64" s="4">
        <f t="shared" si="114"/>
        <v>0.74</v>
      </c>
      <c r="AO64" s="4">
        <v>1.25</v>
      </c>
      <c r="AP64" s="25">
        <f t="shared" si="115"/>
        <v>5</v>
      </c>
      <c r="AQ64" s="38">
        <f t="shared" si="116"/>
        <v>184.3349781689202</v>
      </c>
      <c r="AR64" s="38">
        <f t="shared" si="117"/>
        <v>184.3349781689202</v>
      </c>
      <c r="AT64" s="38">
        <f t="shared" si="133"/>
        <v>184.33497816892</v>
      </c>
      <c r="AU64" s="38">
        <f t="shared" si="47"/>
        <v>1.0000000000000011</v>
      </c>
      <c r="AV64" s="38">
        <f t="shared" si="139"/>
        <v>1.0536741360435427</v>
      </c>
      <c r="AW64" s="4">
        <f t="shared" si="158"/>
        <v>0</v>
      </c>
      <c r="AX64" s="4">
        <f>I64/K64*J64^0.5/0.19</f>
        <v>168.83173612995199</v>
      </c>
      <c r="AY64" s="4">
        <f>MIN(0.6+0.4*(U64/T64),2)</f>
        <v>1.1333333333333333</v>
      </c>
      <c r="AZ64" s="38">
        <f t="shared" si="118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36">
        <f t="shared" si="53"/>
        <v>1.1000000000000001</v>
      </c>
      <c r="BF64" s="36">
        <f t="shared" si="54"/>
        <v>167.35566437978727</v>
      </c>
      <c r="BK64" s="4">
        <f t="shared" si="160"/>
        <v>63.499999999999986</v>
      </c>
      <c r="BL64" s="4">
        <f t="shared" si="161"/>
        <v>63.499999999999986</v>
      </c>
      <c r="BM64" s="4">
        <f t="shared" si="162"/>
        <v>88.899999999999991</v>
      </c>
      <c r="BN64" s="4">
        <f t="shared" si="163"/>
        <v>76.199999999999989</v>
      </c>
      <c r="BO64" s="4">
        <f t="shared" si="164"/>
        <v>1.04</v>
      </c>
      <c r="BP64" s="25">
        <f t="shared" si="119"/>
        <v>3.1199999999999997</v>
      </c>
      <c r="BR64" s="4">
        <f t="shared" si="165"/>
        <v>63.499999999999986</v>
      </c>
      <c r="BV64" s="9"/>
      <c r="BX64" s="9"/>
      <c r="BY64" s="9"/>
      <c r="BZ64" s="9">
        <f>IF(Q64=0,MIN(O64,P64),MIN(Q64/2,O64,P64))</f>
        <v>50.8</v>
      </c>
      <c r="CA64" s="9">
        <f>MAX(Q64/2,O64)</f>
        <v>63.499999999999986</v>
      </c>
      <c r="CB64" s="9">
        <f t="shared" si="63"/>
        <v>1.4623505735569622</v>
      </c>
      <c r="CC64" s="9">
        <v>0</v>
      </c>
      <c r="CD64" s="9">
        <f t="shared" si="132"/>
        <v>0</v>
      </c>
      <c r="CE64" s="9">
        <f t="shared" si="65"/>
        <v>0</v>
      </c>
      <c r="CF64" s="9">
        <f>MIN(1,(25/K64)^0.3)</f>
        <v>0.99524931562137331</v>
      </c>
      <c r="CG64" s="9">
        <f>IF(G64&gt;=800,0.68,IF(G64&gt;=700,0.75-(G64-700)*0.07/100,IF(G64&gt;=600,0.85-(G64-600)*0.1/100,IF(G64&gt;=500,1-(G64-500)*0.15/100,1.2-(G64-400)*0.2/100))))</f>
        <v>1.056</v>
      </c>
      <c r="CH64" s="9">
        <f t="shared" si="68"/>
        <v>1.6856736478198622</v>
      </c>
      <c r="CI64" s="9">
        <f t="shared" si="69"/>
        <v>2.465045825719232</v>
      </c>
      <c r="CJ64" s="9">
        <v>1</v>
      </c>
      <c r="CK64" s="9">
        <f t="shared" si="70"/>
        <v>216.92403266329242</v>
      </c>
      <c r="CM64" s="4">
        <f t="shared" ref="CM64:CM116" si="210">AB64/AX64</f>
        <v>2.4876839486903131</v>
      </c>
      <c r="CN64" s="4">
        <f t="shared" ref="CN64:CN103" si="211">AB64/BC64</f>
        <v>1.6178985545617635</v>
      </c>
      <c r="CO64" s="4">
        <f t="shared" ref="CO64:CO137" si="212">AB64/BF64</f>
        <v>2.5096252436778972</v>
      </c>
      <c r="CP64" s="4">
        <f t="shared" ref="CP64:CP116" si="213">AB64/CK64</f>
        <v>1.9361616822416368</v>
      </c>
      <c r="CQ64" s="4">
        <f t="shared" ref="CQ64:CQ137" si="214">AB64/DR64</f>
        <v>1.2439497251559821</v>
      </c>
      <c r="CR64" s="4">
        <f t="shared" ref="CR64:CR137" si="215">AB64/ED64</f>
        <v>1.5595184773545239</v>
      </c>
      <c r="CS64" s="4">
        <f t="shared" si="146"/>
        <v>1.1149602303559443</v>
      </c>
      <c r="CU64" s="4">
        <f t="shared" ref="CU64:CV126" si="216">CM64</f>
        <v>2.4876839486903131</v>
      </c>
      <c r="CV64" s="4">
        <f t="shared" si="216"/>
        <v>1.6178985545617635</v>
      </c>
      <c r="CW64" s="4">
        <f t="shared" ref="CW64:CW127" si="217">CP64</f>
        <v>1.9361616822416368</v>
      </c>
      <c r="CX64" s="4">
        <f t="shared" ref="CX64:CX88" si="218">CS64</f>
        <v>1.1149602303559443</v>
      </c>
      <c r="CY64" s="4">
        <f t="shared" ref="CY64:CZ126" si="219">CQ64</f>
        <v>1.2439497251559821</v>
      </c>
      <c r="CZ64" s="4">
        <f t="shared" si="219"/>
        <v>1.5595184773545239</v>
      </c>
      <c r="DH64" s="4">
        <f t="shared" si="171"/>
        <v>0</v>
      </c>
      <c r="DI64" s="4">
        <f t="shared" si="172"/>
        <v>381</v>
      </c>
      <c r="DJ64" s="4">
        <f t="shared" si="173"/>
        <v>0.46666666666666662</v>
      </c>
      <c r="DL64" s="4">
        <f t="shared" si="174"/>
        <v>2.5033311258542346E-5</v>
      </c>
      <c r="DM64" s="4">
        <f t="shared" si="175"/>
        <v>5.7900347857029448</v>
      </c>
      <c r="DN64" s="4">
        <f t="shared" si="176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38">
        <f t="shared" si="120"/>
        <v>337.63422388098127</v>
      </c>
      <c r="DS64" s="4">
        <f t="shared" si="79"/>
        <v>1.0002533360754802</v>
      </c>
      <c r="DT64" s="4">
        <f t="shared" si="150"/>
        <v>1.6881943016134133</v>
      </c>
      <c r="DU64" s="4">
        <f t="shared" si="121"/>
        <v>184.33497816892</v>
      </c>
      <c r="DY64" s="4">
        <f>IF(P64&gt;1*K64,0.85,1)</f>
        <v>0.85</v>
      </c>
      <c r="DZ64" s="4">
        <f t="shared" si="81"/>
        <v>0.85000000000000009</v>
      </c>
      <c r="EA64" s="4">
        <f t="shared" si="82"/>
        <v>1</v>
      </c>
      <c r="EB64" s="4">
        <f t="shared" si="83"/>
        <v>0.85000000000000009</v>
      </c>
      <c r="ED64" s="4">
        <f t="shared" si="122"/>
        <v>269.31389791063168</v>
      </c>
      <c r="EE64" s="25">
        <f t="shared" si="123"/>
        <v>181.80779675423688</v>
      </c>
      <c r="EG64" s="4">
        <f t="shared" si="151"/>
        <v>0.72250000000000003</v>
      </c>
      <c r="EH64" s="4">
        <f t="shared" si="84"/>
        <v>5.7900347857029448</v>
      </c>
      <c r="EI64" s="4">
        <f t="shared" si="178"/>
        <v>5.2207585655726314</v>
      </c>
      <c r="EK64" s="4">
        <f t="shared" si="179"/>
        <v>42.880135260980694</v>
      </c>
      <c r="EL64" s="4">
        <f t="shared" si="180"/>
        <v>1.6881943016134133</v>
      </c>
      <c r="EM64" s="4">
        <f t="shared" si="181"/>
        <v>0.19837396083975409</v>
      </c>
      <c r="EP64" s="4">
        <f t="shared" si="182"/>
        <v>0.19837396083975409</v>
      </c>
      <c r="EQ64" s="4">
        <f t="shared" si="183"/>
        <v>0.79034077780884915</v>
      </c>
      <c r="ER64" s="4">
        <f t="shared" si="184"/>
        <v>5.2699552685365516</v>
      </c>
      <c r="ES64" s="4">
        <f>EH64/1.4*(1-EQ64^1.4)/(1-EQ64)</f>
        <v>5.5361069902159068</v>
      </c>
      <c r="ET64" s="4">
        <f t="shared" si="186"/>
        <v>242.86986473901931</v>
      </c>
      <c r="EU64" s="4">
        <f t="shared" si="187"/>
        <v>95.25</v>
      </c>
      <c r="EV64" s="4">
        <f t="shared" si="95"/>
        <v>2.5033311258542346E-5</v>
      </c>
      <c r="EW64" s="4">
        <f>MAX(0.5*EH64, (1-2*EV64*(EK64*ER64+ET64*ES64))/(1/EH64+EV64*EU64))</f>
        <v>5.2621096911044809</v>
      </c>
      <c r="EX64" s="4">
        <f t="shared" si="189"/>
        <v>337.54871061535061</v>
      </c>
      <c r="EY64" s="4">
        <f t="shared" si="190"/>
        <v>134.91986473901929</v>
      </c>
      <c r="EZ64" s="4">
        <f t="shared" si="191"/>
        <v>0</v>
      </c>
      <c r="FB64" s="4">
        <f t="shared" si="100"/>
        <v>173.04546420023769</v>
      </c>
      <c r="FG64" s="23">
        <f t="shared" ref="FG64:FH116" si="220">IF(CM64&lt;0.6,0.6,IF(CM64&lt;0.8,0.8,IF(CM64&lt;1,1,IF(CM64&lt;1.2,1.2,IF(CM64&lt;1.4,1.4,IF(CM64&lt;1.6,1.6,IF(CM64&lt;1.8,1.8,IF(CM64&lt;2,2,2.2))))))))</f>
        <v>2.2000000000000002</v>
      </c>
      <c r="FH64" s="23">
        <f t="shared" si="220"/>
        <v>1.8</v>
      </c>
      <c r="FI64" s="23">
        <f>IF(CS64&lt;0.6,0.6,IF(CS64&lt;0.8,0.8,IF(CS64&lt;1,1,IF(CS64&lt;1.2,1.2,IF(CS64&lt;1.4,1.4,IF(CS64&lt;1.6,1.6,IF(CS64&lt;1.8,1.8,IF(CS64&lt;2,2,2.2))))))))</f>
        <v>1.2</v>
      </c>
      <c r="FJ64" s="23">
        <f t="shared" ref="FJ64:FL116" si="221">IF(CP64&lt;0.6,0.6,IF(CP64&lt;0.8,0.8,IF(CP64&lt;1,1,IF(CP64&lt;1.2,1.2,IF(CP64&lt;1.4,1.4,IF(CP64&lt;1.6,1.6,IF(CP64&lt;1.8,1.8,IF(CP64&lt;2,2,2.2))))))))</f>
        <v>2</v>
      </c>
      <c r="FK64" s="23">
        <f t="shared" si="221"/>
        <v>1.4</v>
      </c>
      <c r="FL64" s="23">
        <f t="shared" si="221"/>
        <v>1.6</v>
      </c>
      <c r="FM64" s="23">
        <f t="shared" ref="FM64:FM137" si="222">IF(FK64&lt;1,1,0)</f>
        <v>0</v>
      </c>
      <c r="FN64" s="23"/>
      <c r="FO64"/>
      <c r="FP64">
        <f t="shared" ref="FP64:FU64" si="223">SUM(FP53:FP63)</f>
        <v>361</v>
      </c>
      <c r="FQ64">
        <f t="shared" si="223"/>
        <v>361</v>
      </c>
      <c r="FR64">
        <f t="shared" si="223"/>
        <v>361</v>
      </c>
      <c r="FS64">
        <f t="shared" si="223"/>
        <v>361</v>
      </c>
      <c r="FT64">
        <f t="shared" si="223"/>
        <v>361</v>
      </c>
      <c r="FU64">
        <f t="shared" si="223"/>
        <v>361</v>
      </c>
      <c r="FV64" s="4">
        <f>40+42+69</f>
        <v>151</v>
      </c>
      <c r="FX64" s="4">
        <f t="shared" si="101"/>
        <v>1</v>
      </c>
      <c r="FY64" s="4">
        <f t="shared" si="102"/>
        <v>0.85000000000000009</v>
      </c>
      <c r="FZ64" s="4">
        <f t="shared" si="103"/>
        <v>0</v>
      </c>
      <c r="GA64" s="4">
        <f t="shared" si="104"/>
        <v>376.69505024938655</v>
      </c>
    </row>
    <row r="65" spans="1:185" ht="12" customHeight="1" x14ac:dyDescent="0.3">
      <c r="A65" s="25">
        <v>47</v>
      </c>
      <c r="B65" s="20" t="s">
        <v>54</v>
      </c>
      <c r="C65" s="20">
        <v>2006</v>
      </c>
      <c r="D65" s="24" t="s">
        <v>55</v>
      </c>
      <c r="E65" s="24"/>
      <c r="F65" s="7" t="s">
        <v>67</v>
      </c>
      <c r="G65" s="7">
        <v>472</v>
      </c>
      <c r="H65" s="7">
        <f t="shared" si="209"/>
        <v>381</v>
      </c>
      <c r="I65" s="7">
        <f t="shared" si="134"/>
        <v>177.79999999999998</v>
      </c>
      <c r="J65" s="7">
        <v>28</v>
      </c>
      <c r="K65" s="7">
        <v>25.4</v>
      </c>
      <c r="L65" s="7">
        <f t="shared" si="154"/>
        <v>15</v>
      </c>
      <c r="M65" s="7">
        <v>7</v>
      </c>
      <c r="N65" s="7">
        <f t="shared" si="135"/>
        <v>152.39999999999998</v>
      </c>
      <c r="O65" s="7">
        <f t="shared" si="108"/>
        <v>63.499999999999986</v>
      </c>
      <c r="P65" s="7">
        <f t="shared" si="136"/>
        <v>50.8</v>
      </c>
      <c r="Q65" s="7">
        <v>0</v>
      </c>
      <c r="R65" s="7">
        <v>1</v>
      </c>
      <c r="S65" s="7">
        <f t="shared" si="137"/>
        <v>88.899999999999991</v>
      </c>
      <c r="T65" s="7">
        <f t="shared" si="42"/>
        <v>2.9999999999999996</v>
      </c>
      <c r="U65" s="7">
        <f t="shared" si="138"/>
        <v>4</v>
      </c>
      <c r="V65" s="7">
        <v>2.8</v>
      </c>
      <c r="W65" s="7">
        <f t="shared" si="155"/>
        <v>2.8</v>
      </c>
      <c r="X65" s="7">
        <f t="shared" si="44"/>
        <v>3.8</v>
      </c>
      <c r="Y65" s="7">
        <f t="shared" si="204"/>
        <v>49.513715271629529</v>
      </c>
      <c r="Z65" s="7"/>
      <c r="AA65" s="7"/>
      <c r="AB65" s="7">
        <v>472</v>
      </c>
      <c r="AC65" s="7"/>
      <c r="AD65" s="7"/>
      <c r="AE65" s="7">
        <v>0</v>
      </c>
      <c r="AF65" s="7">
        <v>0</v>
      </c>
      <c r="AG65" s="7">
        <f t="shared" si="156"/>
        <v>177.79999999999998</v>
      </c>
      <c r="AH65" s="7"/>
      <c r="AI65" s="7"/>
      <c r="AJ65" s="7"/>
      <c r="AK65" s="4">
        <f t="shared" si="126"/>
        <v>381</v>
      </c>
      <c r="AL65" s="44">
        <f t="shared" si="157"/>
        <v>5.9259259259259248E-2</v>
      </c>
      <c r="AM65" s="25">
        <f t="shared" si="113"/>
        <v>776.62106221784506</v>
      </c>
      <c r="AN65" s="4">
        <f t="shared" si="114"/>
        <v>0.74</v>
      </c>
      <c r="AO65" s="4">
        <v>1.25</v>
      </c>
      <c r="AP65" s="25">
        <f t="shared" si="115"/>
        <v>5</v>
      </c>
      <c r="AQ65" s="38">
        <f t="shared" si="116"/>
        <v>212.85169853377971</v>
      </c>
      <c r="AR65" s="38">
        <f t="shared" si="117"/>
        <v>212.85169853377971</v>
      </c>
      <c r="AT65" s="38">
        <f t="shared" si="133"/>
        <v>212.85169853377948</v>
      </c>
      <c r="AU65" s="38">
        <f t="shared" si="47"/>
        <v>1.0000000000000011</v>
      </c>
      <c r="AV65" s="38">
        <f t="shared" si="139"/>
        <v>1.4968174569375785</v>
      </c>
      <c r="AW65" s="4">
        <f t="shared" si="158"/>
        <v>0</v>
      </c>
      <c r="AX65" s="4">
        <f t="shared" ref="AX65:AX128" si="224">I65/K65*J65^0.5/0.19</f>
        <v>194.95009660475932</v>
      </c>
      <c r="AY65" s="4">
        <f t="shared" ref="AY65:AY128" si="225">MIN(0.6+0.4*(U65/T65),2)</f>
        <v>1.1333333333333333</v>
      </c>
      <c r="AZ65" s="38">
        <f t="shared" si="118"/>
        <v>318.60013810417593</v>
      </c>
      <c r="BA65" s="4">
        <f t="shared" ref="BA65:BA128" si="226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36">
        <f t="shared" si="53"/>
        <v>1.1000000000000001</v>
      </c>
      <c r="BF65" s="36">
        <f t="shared" si="54"/>
        <v>193.24567576015772</v>
      </c>
      <c r="BK65" s="4">
        <f t="shared" si="160"/>
        <v>63.499999999999986</v>
      </c>
      <c r="BL65" s="4">
        <f t="shared" si="161"/>
        <v>63.499999999999986</v>
      </c>
      <c r="BM65" s="4">
        <f t="shared" si="162"/>
        <v>88.899999999999991</v>
      </c>
      <c r="BN65" s="4">
        <f t="shared" si="163"/>
        <v>76.199999999999989</v>
      </c>
      <c r="BO65" s="4">
        <f t="shared" si="164"/>
        <v>1.04</v>
      </c>
      <c r="BP65" s="25">
        <f t="shared" si="119"/>
        <v>3.1199999999999997</v>
      </c>
      <c r="BR65" s="4">
        <f t="shared" si="165"/>
        <v>63.499999999999986</v>
      </c>
      <c r="BV65" s="9"/>
      <c r="BX65" s="9"/>
      <c r="BY65" s="9"/>
      <c r="BZ65" s="9">
        <f t="shared" ref="BZ65" si="227">IF(Q65=0,MIN(O65,P65),MIN(Q65/2,O65,P65))</f>
        <v>50.8</v>
      </c>
      <c r="CA65" s="9">
        <f t="shared" ref="CA65" si="228">MAX(Q65/2,O65)</f>
        <v>63.499999999999986</v>
      </c>
      <c r="CB65" s="9">
        <f t="shared" si="63"/>
        <v>1.4623505735569622</v>
      </c>
      <c r="CC65" s="9">
        <v>0</v>
      </c>
      <c r="CD65" s="9">
        <f t="shared" si="132"/>
        <v>0</v>
      </c>
      <c r="CE65" s="9">
        <f t="shared" si="65"/>
        <v>0</v>
      </c>
      <c r="CF65" s="9">
        <f t="shared" ref="CF65" si="229">MIN(1,(25/K65)^0.3)</f>
        <v>0.99524931562137331</v>
      </c>
      <c r="CG65" s="9">
        <f t="shared" ref="CG65" si="230">IF(G65&gt;=800,0.68,IF(G65&gt;=700,0.75-(G65-700)*0.07/100,IF(G65&gt;=600,0.85-(G65-600)*0.1/100,IF(G65&gt;=500,1-(G65-500)*0.15/100,1.2-(G65-400)*0.2/100))))</f>
        <v>1.056</v>
      </c>
      <c r="CH65" s="9">
        <f t="shared" si="68"/>
        <v>1.9464482686693119</v>
      </c>
      <c r="CI65" s="9">
        <f t="shared" si="69"/>
        <v>2.8463897420875242</v>
      </c>
      <c r="CJ65" s="9">
        <v>1</v>
      </c>
      <c r="CK65" s="9">
        <f t="shared" si="70"/>
        <v>250.48229730370213</v>
      </c>
      <c r="CM65" s="4">
        <f t="shared" si="210"/>
        <v>2.4211324242476784</v>
      </c>
      <c r="CN65" s="4">
        <f t="shared" si="211"/>
        <v>1.2403691224351465</v>
      </c>
      <c r="CO65" s="4">
        <f t="shared" si="212"/>
        <v>2.4424867368613805</v>
      </c>
      <c r="CP65" s="4">
        <f t="shared" si="213"/>
        <v>1.8843647039364</v>
      </c>
      <c r="CQ65" s="4">
        <f t="shared" si="214"/>
        <v>1.2629060562532859</v>
      </c>
      <c r="CR65" s="4">
        <f t="shared" si="215"/>
        <v>1.4780071547414189</v>
      </c>
      <c r="CS65" s="4">
        <f t="shared" si="146"/>
        <v>1.1660506109793418</v>
      </c>
      <c r="CU65" s="4">
        <f t="shared" si="216"/>
        <v>2.4211324242476784</v>
      </c>
      <c r="CV65" s="4">
        <f t="shared" si="216"/>
        <v>1.2403691224351465</v>
      </c>
      <c r="CW65" s="4">
        <f t="shared" si="217"/>
        <v>1.8843647039364</v>
      </c>
      <c r="CX65" s="4">
        <f t="shared" si="218"/>
        <v>1.1660506109793418</v>
      </c>
      <c r="CY65" s="4">
        <f t="shared" si="219"/>
        <v>1.2629060562532859</v>
      </c>
      <c r="CZ65" s="4">
        <f t="shared" si="219"/>
        <v>1.4780071547414189</v>
      </c>
      <c r="DH65" s="4">
        <f t="shared" si="171"/>
        <v>0</v>
      </c>
      <c r="DI65" s="4">
        <f t="shared" si="172"/>
        <v>381</v>
      </c>
      <c r="DJ65" s="4">
        <f t="shared" si="173"/>
        <v>0.46666666666666662</v>
      </c>
      <c r="DL65" s="4">
        <f t="shared" si="174"/>
        <v>2.6402037423385414E-5</v>
      </c>
      <c r="DM65" s="4">
        <f t="shared" si="175"/>
        <v>6.6857562842857838</v>
      </c>
      <c r="DN65" s="4">
        <f t="shared" si="176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38">
        <f t="shared" si="120"/>
        <v>373.7411802428926</v>
      </c>
      <c r="DS65" s="4">
        <f t="shared" si="79"/>
        <v>1.0002127051142102</v>
      </c>
      <c r="DT65" s="4">
        <f t="shared" si="150"/>
        <v>1.9493588689617927</v>
      </c>
      <c r="DU65" s="4">
        <f t="shared" si="121"/>
        <v>212.85169853377948</v>
      </c>
      <c r="DY65" s="4">
        <f t="shared" ref="DY65" si="231">IF(P65&gt;1*K65,0.85,1)</f>
        <v>0.85</v>
      </c>
      <c r="DZ65" s="4">
        <f t="shared" si="81"/>
        <v>0.85000000000000009</v>
      </c>
      <c r="EA65" s="4">
        <f t="shared" si="82"/>
        <v>1</v>
      </c>
      <c r="EB65" s="4">
        <f t="shared" si="83"/>
        <v>0.85000000000000009</v>
      </c>
      <c r="ED65" s="4">
        <f t="shared" si="122"/>
        <v>319.34892770027056</v>
      </c>
      <c r="EE65" s="25">
        <f t="shared" si="123"/>
        <v>209.93356079366291</v>
      </c>
      <c r="EG65" s="4">
        <f t="shared" si="151"/>
        <v>0.72250000000000003</v>
      </c>
      <c r="EH65" s="4">
        <f t="shared" si="84"/>
        <v>6.6857562842857838</v>
      </c>
      <c r="EI65" s="4">
        <f t="shared" si="178"/>
        <v>6.028412726414806</v>
      </c>
      <c r="EK65" s="4">
        <f t="shared" si="179"/>
        <v>49.513715271629529</v>
      </c>
      <c r="EL65" s="4">
        <f t="shared" si="180"/>
        <v>1.9493588689617927</v>
      </c>
      <c r="EM65" s="4">
        <f t="shared" si="181"/>
        <v>0.15134487887745135</v>
      </c>
      <c r="EP65" s="4">
        <f t="shared" si="182"/>
        <v>0.15134487887745135</v>
      </c>
      <c r="EQ65" s="4">
        <f t="shared" si="183"/>
        <v>0.52218944248084664</v>
      </c>
      <c r="ER65" s="4">
        <f t="shared" si="184"/>
        <v>5.1556304027378701</v>
      </c>
      <c r="ES65" s="4">
        <f t="shared" ref="ES65" si="232">EH65/1.4*(1-EQ65^1.4)/(1-EQ65)</f>
        <v>5.9699998189624841</v>
      </c>
      <c r="ET65" s="4">
        <f t="shared" si="186"/>
        <v>236.23628472837046</v>
      </c>
      <c r="EU65" s="4">
        <f t="shared" si="187"/>
        <v>95.250000000000028</v>
      </c>
      <c r="EV65" s="4">
        <f t="shared" si="95"/>
        <v>2.6402037423385424E-5</v>
      </c>
      <c r="EW65" s="4">
        <f t="shared" ref="EW65" si="233">MAX(0.5*EH65, (1-2*EV65*(EK65*ER65+ET65*ES65))/(1/EH65+EV65*EU65))</f>
        <v>5.9969112642593512</v>
      </c>
      <c r="EX65" s="4">
        <f t="shared" si="189"/>
        <v>373.66170048821425</v>
      </c>
      <c r="EY65" s="4">
        <f t="shared" si="190"/>
        <v>128.28628472837045</v>
      </c>
      <c r="EZ65" s="4">
        <f t="shared" si="191"/>
        <v>7.1054273576010019E-15</v>
      </c>
      <c r="FB65" s="4">
        <f t="shared" si="100"/>
        <v>191.44366588625257</v>
      </c>
      <c r="FG65" s="23">
        <f t="shared" si="220"/>
        <v>2.2000000000000002</v>
      </c>
      <c r="FH65" s="23">
        <f t="shared" si="220"/>
        <v>1.4</v>
      </c>
      <c r="FI65" s="23">
        <f t="shared" ref="FI65:FI128" si="234">IF(CS65&lt;0.6,0.6,IF(CS65&lt;0.8,0.8,IF(CS65&lt;1,1,IF(CS65&lt;1.2,1.2,IF(CS65&lt;1.4,1.4,IF(CS65&lt;1.6,1.6,IF(CS65&lt;1.8,1.8,IF(CS65&lt;2,2,2.2))))))))</f>
        <v>1.2</v>
      </c>
      <c r="FJ65" s="23">
        <f t="shared" si="221"/>
        <v>2</v>
      </c>
      <c r="FK65" s="23">
        <f t="shared" si="221"/>
        <v>1.4</v>
      </c>
      <c r="FL65" s="23">
        <f t="shared" si="221"/>
        <v>1.6</v>
      </c>
      <c r="FM65" s="23">
        <f t="shared" si="222"/>
        <v>0</v>
      </c>
      <c r="FN65" s="23"/>
      <c r="FX65" s="4">
        <f t="shared" si="101"/>
        <v>1</v>
      </c>
      <c r="FY65" s="4">
        <f t="shared" si="102"/>
        <v>0.85000000000000009</v>
      </c>
      <c r="FZ65" s="4">
        <f t="shared" si="103"/>
        <v>0</v>
      </c>
      <c r="GA65" s="4">
        <f t="shared" si="104"/>
        <v>404.78517446474899</v>
      </c>
    </row>
    <row r="66" spans="1:185" ht="12" customHeight="1" x14ac:dyDescent="0.3">
      <c r="A66" s="25">
        <v>48</v>
      </c>
      <c r="B66" s="20" t="s">
        <v>54</v>
      </c>
      <c r="C66" s="20">
        <v>2006</v>
      </c>
      <c r="D66" s="24" t="s">
        <v>55</v>
      </c>
      <c r="E66" s="24"/>
      <c r="F66" s="7" t="s">
        <v>67</v>
      </c>
      <c r="G66" s="7">
        <v>472</v>
      </c>
      <c r="H66" s="7">
        <f t="shared" si="209"/>
        <v>381</v>
      </c>
      <c r="I66" s="7">
        <f t="shared" si="134"/>
        <v>177.79999999999998</v>
      </c>
      <c r="J66" s="7">
        <v>21</v>
      </c>
      <c r="K66" s="7">
        <v>25.4</v>
      </c>
      <c r="L66" s="7">
        <f t="shared" si="154"/>
        <v>15</v>
      </c>
      <c r="M66" s="7">
        <v>7</v>
      </c>
      <c r="N66" s="7">
        <f t="shared" si="135"/>
        <v>152.39999999999998</v>
      </c>
      <c r="O66" s="7">
        <f t="shared" si="108"/>
        <v>63.499999999999986</v>
      </c>
      <c r="P66" s="7">
        <f t="shared" si="136"/>
        <v>50.8</v>
      </c>
      <c r="Q66" s="7">
        <v>0</v>
      </c>
      <c r="R66" s="7">
        <v>1</v>
      </c>
      <c r="S66" s="7">
        <f t="shared" si="137"/>
        <v>88.899999999999991</v>
      </c>
      <c r="T66" s="7">
        <f t="shared" si="42"/>
        <v>2.9999999999999996</v>
      </c>
      <c r="U66" s="7">
        <f t="shared" si="138"/>
        <v>4</v>
      </c>
      <c r="V66" s="7">
        <v>2.8</v>
      </c>
      <c r="W66" s="7">
        <f t="shared" si="155"/>
        <v>2.8</v>
      </c>
      <c r="X66" s="7">
        <f t="shared" si="44"/>
        <v>3.8</v>
      </c>
      <c r="Y66" s="7">
        <f t="shared" si="204"/>
        <v>49.513715271629529</v>
      </c>
      <c r="Z66" s="7"/>
      <c r="AA66" s="7"/>
      <c r="AB66" s="7">
        <v>413</v>
      </c>
      <c r="AC66" s="7"/>
      <c r="AD66" s="7"/>
      <c r="AE66" s="7">
        <v>0</v>
      </c>
      <c r="AF66" s="7">
        <v>0</v>
      </c>
      <c r="AG66" s="7">
        <f t="shared" si="156"/>
        <v>177.79999999999998</v>
      </c>
      <c r="AH66" s="7"/>
      <c r="AI66" s="7"/>
      <c r="AJ66" s="7"/>
      <c r="AK66" s="4">
        <f t="shared" si="126"/>
        <v>381</v>
      </c>
      <c r="AL66" s="44">
        <f t="shared" si="157"/>
        <v>5.9259259259259248E-2</v>
      </c>
      <c r="AM66" s="25">
        <f t="shared" si="113"/>
        <v>672.57356899470892</v>
      </c>
      <c r="AN66" s="4">
        <f t="shared" si="114"/>
        <v>0.74</v>
      </c>
      <c r="AO66" s="4">
        <v>1.25</v>
      </c>
      <c r="AP66" s="25">
        <f t="shared" si="115"/>
        <v>5</v>
      </c>
      <c r="AQ66" s="38">
        <f t="shared" si="116"/>
        <v>184.3349781689202</v>
      </c>
      <c r="AR66" s="38">
        <f t="shared" si="117"/>
        <v>184.3349781689202</v>
      </c>
      <c r="AT66" s="38">
        <f t="shared" si="133"/>
        <v>184.33497816892</v>
      </c>
      <c r="AU66" s="38">
        <f t="shared" si="47"/>
        <v>1.0000000000000011</v>
      </c>
      <c r="AV66" s="38">
        <f t="shared" si="139"/>
        <v>1.2962819425359629</v>
      </c>
      <c r="AW66" s="4">
        <f t="shared" si="158"/>
        <v>0</v>
      </c>
      <c r="AX66" s="4">
        <f t="shared" si="224"/>
        <v>168.83173612995199</v>
      </c>
      <c r="AY66" s="4">
        <f t="shared" si="225"/>
        <v>1.1333333333333333</v>
      </c>
      <c r="AZ66" s="38">
        <f t="shared" si="118"/>
        <v>238.95010357813194</v>
      </c>
      <c r="BA66" s="4">
        <f t="shared" si="226"/>
        <v>0.6080000000000001</v>
      </c>
      <c r="BB66" s="4">
        <f t="shared" si="51"/>
        <v>53.63446593376316</v>
      </c>
      <c r="BC66" s="4">
        <f t="shared" si="52"/>
        <v>292.5845695118951</v>
      </c>
      <c r="BE66" s="36">
        <f t="shared" si="53"/>
        <v>1.1000000000000001</v>
      </c>
      <c r="BF66" s="36">
        <f t="shared" si="54"/>
        <v>167.35566437978727</v>
      </c>
      <c r="BK66" s="4">
        <f t="shared" si="160"/>
        <v>63.499999999999986</v>
      </c>
      <c r="BL66" s="4">
        <f t="shared" si="161"/>
        <v>63.499999999999986</v>
      </c>
      <c r="BM66" s="4">
        <f t="shared" si="162"/>
        <v>88.899999999999991</v>
      </c>
      <c r="BN66" s="4">
        <f t="shared" si="163"/>
        <v>76.199999999999989</v>
      </c>
      <c r="BO66" s="4">
        <f t="shared" si="164"/>
        <v>1.04</v>
      </c>
      <c r="BP66" s="25">
        <f t="shared" si="119"/>
        <v>3.1199999999999997</v>
      </c>
      <c r="BR66" s="4">
        <f t="shared" si="165"/>
        <v>63.499999999999986</v>
      </c>
      <c r="BV66" s="9"/>
      <c r="BX66" s="9"/>
      <c r="BY66" s="9"/>
      <c r="BZ66" s="9">
        <f>IF(Q66=0,MIN(O66,P66),MIN(Q66/2,O66,P66))</f>
        <v>50.8</v>
      </c>
      <c r="CA66" s="9">
        <f>MAX(Q66/2,O66)</f>
        <v>63.499999999999986</v>
      </c>
      <c r="CB66" s="9">
        <f t="shared" si="63"/>
        <v>1.4623505735569622</v>
      </c>
      <c r="CC66" s="9">
        <v>0</v>
      </c>
      <c r="CD66" s="9">
        <f t="shared" si="132"/>
        <v>0</v>
      </c>
      <c r="CE66" s="9">
        <f t="shared" si="65"/>
        <v>0</v>
      </c>
      <c r="CF66" s="9">
        <f>MIN(1,(25/K66)^0.3)</f>
        <v>0.99524931562137331</v>
      </c>
      <c r="CG66" s="9">
        <f>IF(G66&gt;=800,0.68,IF(G66&gt;=700,0.75-(G66-700)*0.07/100,IF(G66&gt;=600,0.85-(G66-600)*0.1/100,IF(G66&gt;=500,1-(G66-500)*0.15/100,1.2-(G66-400)*0.2/100))))</f>
        <v>1.056</v>
      </c>
      <c r="CH66" s="9">
        <f t="shared" si="68"/>
        <v>1.6856736478198622</v>
      </c>
      <c r="CI66" s="9">
        <f t="shared" si="69"/>
        <v>2.465045825719232</v>
      </c>
      <c r="CJ66" s="9">
        <v>1</v>
      </c>
      <c r="CK66" s="9">
        <f t="shared" si="70"/>
        <v>216.92403266329242</v>
      </c>
      <c r="CM66" s="4">
        <f t="shared" si="210"/>
        <v>2.4462225495454746</v>
      </c>
      <c r="CN66" s="4">
        <f t="shared" si="211"/>
        <v>1.4115576931790634</v>
      </c>
      <c r="CO66" s="4">
        <f t="shared" si="212"/>
        <v>2.4677981562832656</v>
      </c>
      <c r="CP66" s="4">
        <f t="shared" si="213"/>
        <v>1.9038923208709428</v>
      </c>
      <c r="CQ66" s="4">
        <f t="shared" si="214"/>
        <v>1.2588189822404476</v>
      </c>
      <c r="CR66" s="4">
        <f t="shared" si="215"/>
        <v>1.5118027134906338</v>
      </c>
      <c r="CS66" s="4">
        <f t="shared" si="146"/>
        <v>1.0963775598500118</v>
      </c>
      <c r="CU66" s="4">
        <f t="shared" si="216"/>
        <v>2.4462225495454746</v>
      </c>
      <c r="CV66" s="4">
        <f t="shared" si="216"/>
        <v>1.4115576931790634</v>
      </c>
      <c r="CW66" s="4">
        <f t="shared" si="217"/>
        <v>1.9038923208709428</v>
      </c>
      <c r="CX66" s="4">
        <f t="shared" si="218"/>
        <v>1.0963775598500118</v>
      </c>
      <c r="CY66" s="4">
        <f t="shared" si="219"/>
        <v>1.2588189822404476</v>
      </c>
      <c r="CZ66" s="4">
        <f t="shared" si="219"/>
        <v>1.5118027134906338</v>
      </c>
      <c r="DH66" s="4">
        <f t="shared" si="171"/>
        <v>0</v>
      </c>
      <c r="DI66" s="4">
        <f t="shared" si="172"/>
        <v>381</v>
      </c>
      <c r="DJ66" s="4">
        <f t="shared" si="173"/>
        <v>0.46666666666666662</v>
      </c>
      <c r="DL66" s="4">
        <f t="shared" si="174"/>
        <v>2.5033311258542346E-5</v>
      </c>
      <c r="DM66" s="4">
        <f t="shared" si="175"/>
        <v>5.7900347857029448</v>
      </c>
      <c r="DN66" s="4">
        <f t="shared" si="176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38">
        <f t="shared" si="120"/>
        <v>328.08529727200494</v>
      </c>
      <c r="DS66" s="4">
        <f t="shared" si="79"/>
        <v>1.0002290668671658</v>
      </c>
      <c r="DT66" s="4">
        <f t="shared" si="150"/>
        <v>1.9493588689617927</v>
      </c>
      <c r="DU66" s="4">
        <f t="shared" si="121"/>
        <v>184.33497816892</v>
      </c>
      <c r="DY66" s="4">
        <f>IF(P66&gt;1*K66,0.85,1)</f>
        <v>0.85</v>
      </c>
      <c r="DZ66" s="4">
        <f t="shared" si="81"/>
        <v>0.85000000000000009</v>
      </c>
      <c r="EA66" s="4">
        <f t="shared" si="82"/>
        <v>1</v>
      </c>
      <c r="EB66" s="4">
        <f t="shared" si="83"/>
        <v>0.85000000000000009</v>
      </c>
      <c r="ED66" s="4">
        <f t="shared" si="122"/>
        <v>273.18379330489188</v>
      </c>
      <c r="EE66" s="25">
        <f t="shared" si="123"/>
        <v>181.80779675423688</v>
      </c>
      <c r="EG66" s="4">
        <f t="shared" si="151"/>
        <v>0.72250000000000003</v>
      </c>
      <c r="EH66" s="4">
        <f t="shared" si="84"/>
        <v>5.7900347857029448</v>
      </c>
      <c r="EI66" s="4">
        <f t="shared" si="178"/>
        <v>5.2207585655726314</v>
      </c>
      <c r="EK66" s="4">
        <f t="shared" si="179"/>
        <v>49.513715271629529</v>
      </c>
      <c r="EL66" s="4">
        <f t="shared" si="180"/>
        <v>1.9493588689617927</v>
      </c>
      <c r="EM66" s="4">
        <f t="shared" si="181"/>
        <v>0.15134487887745141</v>
      </c>
      <c r="EP66" s="4">
        <f t="shared" si="182"/>
        <v>0.15134487887745141</v>
      </c>
      <c r="EQ66" s="4">
        <f t="shared" si="183"/>
        <v>0.60297243036859505</v>
      </c>
      <c r="ER66" s="4">
        <f t="shared" si="184"/>
        <v>4.7293358379143973</v>
      </c>
      <c r="ES66" s="4">
        <f>EH66/1.4*(1-EQ66^1.4)/(1-EQ66)</f>
        <v>5.2863829082527172</v>
      </c>
      <c r="ET66" s="4">
        <f t="shared" si="186"/>
        <v>236.23628472837046</v>
      </c>
      <c r="EU66" s="4">
        <f t="shared" si="187"/>
        <v>95.250000000000028</v>
      </c>
      <c r="EV66" s="4">
        <f t="shared" si="95"/>
        <v>2.503331125854235E-5</v>
      </c>
      <c r="EW66" s="4">
        <f>MAX(0.5*EH66, (1-2*EV66*(EK66*ER66+ET66*ES66))/(1/EH66+EV66*EU66))</f>
        <v>5.2871372910454193</v>
      </c>
      <c r="EX66" s="4">
        <f t="shared" si="189"/>
        <v>328.01016101202333</v>
      </c>
      <c r="EY66" s="4">
        <f t="shared" si="190"/>
        <v>128.28628472837045</v>
      </c>
      <c r="EZ66" s="4">
        <f t="shared" si="191"/>
        <v>7.1054273576010019E-15</v>
      </c>
      <c r="FB66" s="4">
        <f t="shared" si="100"/>
        <v>169.17556880597749</v>
      </c>
      <c r="FG66" s="23">
        <f t="shared" si="220"/>
        <v>2.2000000000000002</v>
      </c>
      <c r="FH66" s="23">
        <f t="shared" si="220"/>
        <v>1.6</v>
      </c>
      <c r="FI66" s="23">
        <f t="shared" si="234"/>
        <v>1.2</v>
      </c>
      <c r="FJ66" s="23">
        <f t="shared" si="221"/>
        <v>2</v>
      </c>
      <c r="FK66" s="23">
        <f t="shared" si="221"/>
        <v>1.4</v>
      </c>
      <c r="FL66" s="23">
        <f t="shared" si="221"/>
        <v>1.6</v>
      </c>
      <c r="FM66" s="23">
        <f t="shared" si="222"/>
        <v>0</v>
      </c>
      <c r="FN66" s="23"/>
      <c r="FX66" s="4">
        <f t="shared" si="101"/>
        <v>1</v>
      </c>
      <c r="FY66" s="4">
        <f t="shared" si="102"/>
        <v>0.85000000000000009</v>
      </c>
      <c r="FZ66" s="4">
        <f t="shared" si="103"/>
        <v>0</v>
      </c>
      <c r="GA66" s="4">
        <f t="shared" si="104"/>
        <v>376.69505024938655</v>
      </c>
    </row>
    <row r="67" spans="1:185" ht="12" customHeight="1" x14ac:dyDescent="0.3">
      <c r="A67" s="25">
        <v>49</v>
      </c>
      <c r="B67" s="20" t="s">
        <v>54</v>
      </c>
      <c r="C67" s="20">
        <v>2006</v>
      </c>
      <c r="D67" s="24" t="s">
        <v>55</v>
      </c>
      <c r="E67" s="24"/>
      <c r="F67" s="7" t="s">
        <v>277</v>
      </c>
      <c r="G67" s="7">
        <v>472</v>
      </c>
      <c r="H67" s="7">
        <f t="shared" si="209"/>
        <v>381</v>
      </c>
      <c r="I67" s="7">
        <f t="shared" si="134"/>
        <v>177.79999999999998</v>
      </c>
      <c r="J67" s="7">
        <v>27</v>
      </c>
      <c r="K67" s="7">
        <v>25.4</v>
      </c>
      <c r="L67" s="7">
        <f t="shared" si="154"/>
        <v>15</v>
      </c>
      <c r="M67" s="7">
        <v>7</v>
      </c>
      <c r="N67" s="7">
        <f t="shared" si="135"/>
        <v>152.39999999999998</v>
      </c>
      <c r="O67" s="7">
        <f t="shared" si="108"/>
        <v>63.499999999999986</v>
      </c>
      <c r="P67" s="7">
        <f t="shared" si="136"/>
        <v>50.8</v>
      </c>
      <c r="Q67" s="7">
        <v>0</v>
      </c>
      <c r="R67" s="7">
        <v>1</v>
      </c>
      <c r="S67" s="7">
        <f t="shared" si="137"/>
        <v>88.899999999999991</v>
      </c>
      <c r="T67" s="7">
        <f t="shared" si="42"/>
        <v>2.9999999999999996</v>
      </c>
      <c r="U67" s="7">
        <f t="shared" si="138"/>
        <v>4</v>
      </c>
      <c r="V67" s="7">
        <v>2.8</v>
      </c>
      <c r="W67" s="7">
        <f t="shared" si="155"/>
        <v>2.8</v>
      </c>
      <c r="X67" s="7">
        <f t="shared" si="44"/>
        <v>3.8</v>
      </c>
      <c r="Y67" s="7">
        <f t="shared" si="204"/>
        <v>49.513715271629529</v>
      </c>
      <c r="Z67" s="7"/>
      <c r="AA67" s="7"/>
      <c r="AB67" s="7">
        <v>458</v>
      </c>
      <c r="AC67" s="7"/>
      <c r="AD67" s="7"/>
      <c r="AE67" s="7">
        <v>0</v>
      </c>
      <c r="AF67" s="7">
        <v>0</v>
      </c>
      <c r="AG67" s="7">
        <f t="shared" si="156"/>
        <v>177.79999999999998</v>
      </c>
      <c r="AH67" s="7"/>
      <c r="AI67" s="7"/>
      <c r="AJ67" s="7"/>
      <c r="AK67" s="4">
        <f t="shared" si="126"/>
        <v>381</v>
      </c>
      <c r="AL67" s="44">
        <f t="shared" si="157"/>
        <v>5.9259259259259248E-2</v>
      </c>
      <c r="AM67" s="25">
        <f t="shared" si="113"/>
        <v>762.62674369506078</v>
      </c>
      <c r="AN67" s="4">
        <f t="shared" si="114"/>
        <v>0.74</v>
      </c>
      <c r="AO67" s="4">
        <v>1.25</v>
      </c>
      <c r="AP67" s="25">
        <f t="shared" si="115"/>
        <v>5</v>
      </c>
      <c r="AQ67" s="38">
        <f t="shared" si="116"/>
        <v>209.01621864234997</v>
      </c>
      <c r="AR67" s="38">
        <f t="shared" si="117"/>
        <v>209.01621864234997</v>
      </c>
      <c r="AT67" s="38">
        <f t="shared" si="133"/>
        <v>209.0162186423498</v>
      </c>
      <c r="AU67" s="38">
        <f t="shared" si="47"/>
        <v>1.0000000000000009</v>
      </c>
      <c r="AV67" s="38">
        <f t="shared" si="139"/>
        <v>1.4698455638459473</v>
      </c>
      <c r="AW67" s="4">
        <f t="shared" si="158"/>
        <v>0</v>
      </c>
      <c r="AX67" s="4">
        <f t="shared" si="224"/>
        <v>191.43719452077065</v>
      </c>
      <c r="AY67" s="4">
        <f t="shared" si="225"/>
        <v>1.1333333333333333</v>
      </c>
      <c r="AZ67" s="38">
        <f t="shared" si="118"/>
        <v>307.22156174331246</v>
      </c>
      <c r="BA67" s="4">
        <f t="shared" si="226"/>
        <v>0.6080000000000001</v>
      </c>
      <c r="BB67" s="4">
        <f t="shared" si="51"/>
        <v>60.815767955358432</v>
      </c>
      <c r="BC67" s="4">
        <f t="shared" si="52"/>
        <v>368.03732969867087</v>
      </c>
      <c r="BE67" s="36">
        <f t="shared" si="53"/>
        <v>1.1000000000000001</v>
      </c>
      <c r="BF67" s="36">
        <f t="shared" si="54"/>
        <v>189.7634864772462</v>
      </c>
      <c r="BK67" s="4">
        <f t="shared" si="160"/>
        <v>63.499999999999986</v>
      </c>
      <c r="BL67" s="4">
        <f t="shared" si="161"/>
        <v>63.499999999999986</v>
      </c>
      <c r="BM67" s="4">
        <f t="shared" si="162"/>
        <v>88.899999999999991</v>
      </c>
      <c r="BN67" s="4">
        <f t="shared" si="163"/>
        <v>76.199999999999989</v>
      </c>
      <c r="BO67" s="4">
        <f t="shared" si="164"/>
        <v>1.04</v>
      </c>
      <c r="BP67" s="25">
        <f t="shared" si="119"/>
        <v>3.1199999999999997</v>
      </c>
      <c r="BR67" s="4">
        <f t="shared" si="165"/>
        <v>63.499999999999986</v>
      </c>
      <c r="BV67" s="9"/>
      <c r="BX67" s="9"/>
      <c r="BY67" s="9"/>
      <c r="BZ67" s="9">
        <f>IF(Q67=0,MIN(O67,P67),MIN(Q67/2,O67,P67))</f>
        <v>50.8</v>
      </c>
      <c r="CA67" s="9">
        <f>MAX(Q67/2,O67)</f>
        <v>63.499999999999986</v>
      </c>
      <c r="CB67" s="9">
        <f t="shared" si="63"/>
        <v>1.4623505735569622</v>
      </c>
      <c r="CC67" s="9">
        <v>0</v>
      </c>
      <c r="CD67" s="9">
        <f t="shared" si="132"/>
        <v>0</v>
      </c>
      <c r="CE67" s="9">
        <f t="shared" si="65"/>
        <v>0</v>
      </c>
      <c r="CF67" s="9">
        <f>MIN(1,(25/K67)^0.3)</f>
        <v>0.99524931562137331</v>
      </c>
      <c r="CG67" s="9">
        <f>IF(G67&gt;=800,0.68,IF(G67&gt;=700,0.75-(G67-700)*0.07/100,IF(G67&gt;=600,0.85-(G67-600)*0.1/100,IF(G67&gt;=500,1-(G67-500)*0.15/100,1.2-(G67-400)*0.2/100))))</f>
        <v>1.056</v>
      </c>
      <c r="CH67" s="9">
        <f t="shared" si="68"/>
        <v>1.911374255891328</v>
      </c>
      <c r="CI67" s="9">
        <f t="shared" si="69"/>
        <v>2.7950992393846952</v>
      </c>
      <c r="CJ67" s="9">
        <v>1</v>
      </c>
      <c r="CK67" s="9">
        <f t="shared" si="70"/>
        <v>245.96873306585317</v>
      </c>
      <c r="CM67" s="4">
        <f t="shared" si="210"/>
        <v>2.3924295440419634</v>
      </c>
      <c r="CN67" s="4">
        <f t="shared" si="211"/>
        <v>1.2444389822493978</v>
      </c>
      <c r="CO67" s="4">
        <f t="shared" si="212"/>
        <v>2.4135306981457521</v>
      </c>
      <c r="CP67" s="4">
        <f t="shared" si="213"/>
        <v>1.8620252838289806</v>
      </c>
      <c r="CQ67" s="4">
        <f t="shared" si="214"/>
        <v>1.245856482021686</v>
      </c>
      <c r="CR67" s="4">
        <f t="shared" si="215"/>
        <v>1.462792979371798</v>
      </c>
      <c r="CS67" s="4">
        <f t="shared" si="146"/>
        <v>1.1417984444724441</v>
      </c>
      <c r="CU67" s="4">
        <f t="shared" si="216"/>
        <v>2.3924295440419634</v>
      </c>
      <c r="CV67" s="4">
        <f t="shared" si="216"/>
        <v>1.2444389822493978</v>
      </c>
      <c r="CW67" s="4">
        <f t="shared" si="217"/>
        <v>1.8620252838289806</v>
      </c>
      <c r="CX67" s="4">
        <f t="shared" si="218"/>
        <v>1.1417984444724441</v>
      </c>
      <c r="CY67" s="4">
        <f t="shared" si="219"/>
        <v>1.245856482021686</v>
      </c>
      <c r="CZ67" s="4">
        <f t="shared" si="219"/>
        <v>1.462792979371798</v>
      </c>
      <c r="DH67" s="4">
        <f t="shared" si="171"/>
        <v>0</v>
      </c>
      <c r="DI67" s="4">
        <f t="shared" si="172"/>
        <v>381</v>
      </c>
      <c r="DJ67" s="4">
        <f t="shared" si="173"/>
        <v>0.46666666666666662</v>
      </c>
      <c r="DL67" s="4">
        <f t="shared" si="174"/>
        <v>2.6209296574030622E-5</v>
      </c>
      <c r="DM67" s="4">
        <f t="shared" si="175"/>
        <v>6.5652823394499222</v>
      </c>
      <c r="DN67" s="4">
        <f t="shared" si="176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38">
        <f t="shared" si="120"/>
        <v>367.61858738077973</v>
      </c>
      <c r="DS67" s="4">
        <f t="shared" si="79"/>
        <v>1.0002147463510491</v>
      </c>
      <c r="DT67" s="4">
        <f t="shared" si="150"/>
        <v>1.9493588689617927</v>
      </c>
      <c r="DU67" s="4">
        <f t="shared" si="121"/>
        <v>209.0162186423498</v>
      </c>
      <c r="DY67" s="4">
        <f>IF(P67&gt;1*K67,0.85,1)</f>
        <v>0.85</v>
      </c>
      <c r="DZ67" s="4">
        <f t="shared" si="81"/>
        <v>0.85000000000000009</v>
      </c>
      <c r="EA67" s="4">
        <f t="shared" si="82"/>
        <v>1</v>
      </c>
      <c r="EB67" s="4">
        <f t="shared" si="83"/>
        <v>0.85000000000000009</v>
      </c>
      <c r="ED67" s="4">
        <f t="shared" si="122"/>
        <v>313.09967060184402</v>
      </c>
      <c r="EE67" s="25">
        <f t="shared" si="123"/>
        <v>206.15066426755152</v>
      </c>
      <c r="EG67" s="4">
        <f t="shared" si="151"/>
        <v>0.72250000000000003</v>
      </c>
      <c r="EH67" s="4">
        <f t="shared" si="84"/>
        <v>6.5652823394499222</v>
      </c>
      <c r="EI67" s="4">
        <f t="shared" si="178"/>
        <v>5.9197837798352051</v>
      </c>
      <c r="EK67" s="4">
        <f t="shared" si="179"/>
        <v>49.513715271629529</v>
      </c>
      <c r="EL67" s="4">
        <f t="shared" si="180"/>
        <v>1.9493588689617927</v>
      </c>
      <c r="EM67" s="4">
        <f t="shared" si="181"/>
        <v>0.15134487887745141</v>
      </c>
      <c r="EP67" s="4">
        <f t="shared" si="182"/>
        <v>0.15134487887745141</v>
      </c>
      <c r="EQ67" s="4">
        <f t="shared" si="183"/>
        <v>0.5317716993945043</v>
      </c>
      <c r="ER67" s="4">
        <f t="shared" si="184"/>
        <v>5.0996866991893075</v>
      </c>
      <c r="ES67" s="4">
        <f>EH67/1.4*(1-EQ67^1.4)/(1-EQ67)</f>
        <v>5.8784102786418222</v>
      </c>
      <c r="ET67" s="4">
        <f t="shared" si="186"/>
        <v>236.23628472837046</v>
      </c>
      <c r="EU67" s="4">
        <f t="shared" si="187"/>
        <v>95.250000000000028</v>
      </c>
      <c r="EV67" s="4">
        <f t="shared" si="95"/>
        <v>2.6209296574030629E-5</v>
      </c>
      <c r="EW67" s="4">
        <f>MAX(0.5*EH67, (1-2*EV67*(EK67*ER67+ET67*ES67))/(1/EH67+EV67*EU67))</f>
        <v>5.9037149469361943</v>
      </c>
      <c r="EX67" s="4">
        <f t="shared" si="189"/>
        <v>367.53965958001908</v>
      </c>
      <c r="EY67" s="4">
        <f t="shared" si="190"/>
        <v>128.28628472837045</v>
      </c>
      <c r="EZ67" s="4">
        <f t="shared" si="191"/>
        <v>7.1054273576010019E-15</v>
      </c>
      <c r="FB67" s="4">
        <f t="shared" si="100"/>
        <v>188.48869894095395</v>
      </c>
      <c r="FG67" s="23">
        <f t="shared" si="220"/>
        <v>2.2000000000000002</v>
      </c>
      <c r="FH67" s="23">
        <f t="shared" si="220"/>
        <v>1.4</v>
      </c>
      <c r="FI67" s="23">
        <f t="shared" si="234"/>
        <v>1.2</v>
      </c>
      <c r="FJ67" s="23">
        <f t="shared" si="221"/>
        <v>2</v>
      </c>
      <c r="FK67" s="23">
        <f t="shared" si="221"/>
        <v>1.4</v>
      </c>
      <c r="FL67" s="23">
        <f t="shared" si="221"/>
        <v>1.6</v>
      </c>
      <c r="FM67" s="23">
        <f t="shared" si="222"/>
        <v>0</v>
      </c>
      <c r="FN67" s="23"/>
      <c r="FX67" s="4">
        <f t="shared" si="101"/>
        <v>1</v>
      </c>
      <c r="FY67" s="4">
        <f t="shared" si="102"/>
        <v>0.85000000000000009</v>
      </c>
      <c r="FZ67" s="4">
        <f t="shared" si="103"/>
        <v>0</v>
      </c>
      <c r="GA67" s="4">
        <f t="shared" si="104"/>
        <v>401.12158342588572</v>
      </c>
    </row>
    <row r="68" spans="1:185" ht="12" customHeight="1" x14ac:dyDescent="0.3">
      <c r="A68" s="25">
        <v>50</v>
      </c>
      <c r="B68" s="20" t="s">
        <v>54</v>
      </c>
      <c r="C68" s="20">
        <v>2006</v>
      </c>
      <c r="D68" s="24" t="s">
        <v>55</v>
      </c>
      <c r="E68" s="24"/>
      <c r="F68" s="7" t="s">
        <v>68</v>
      </c>
      <c r="G68" s="7">
        <v>472</v>
      </c>
      <c r="H68" s="7">
        <f t="shared" si="209"/>
        <v>381</v>
      </c>
      <c r="I68" s="7">
        <f t="shared" si="134"/>
        <v>177.79999999999998</v>
      </c>
      <c r="J68" s="7">
        <v>28</v>
      </c>
      <c r="K68" s="7">
        <v>25.4</v>
      </c>
      <c r="L68" s="7">
        <f t="shared" si="154"/>
        <v>15</v>
      </c>
      <c r="M68" s="7">
        <v>7</v>
      </c>
      <c r="N68" s="7">
        <f t="shared" si="135"/>
        <v>152.39999999999998</v>
      </c>
      <c r="O68" s="7">
        <f t="shared" si="108"/>
        <v>63.499999999999986</v>
      </c>
      <c r="P68" s="7">
        <f t="shared" si="136"/>
        <v>50.8</v>
      </c>
      <c r="Q68" s="7">
        <v>0</v>
      </c>
      <c r="R68" s="7">
        <v>1</v>
      </c>
      <c r="S68" s="7">
        <f t="shared" si="137"/>
        <v>88.899999999999991</v>
      </c>
      <c r="T68" s="7">
        <f t="shared" si="42"/>
        <v>2.9999999999999996</v>
      </c>
      <c r="U68" s="7">
        <f t="shared" si="138"/>
        <v>4</v>
      </c>
      <c r="V68" s="7">
        <v>4.04</v>
      </c>
      <c r="W68" s="7">
        <f t="shared" si="155"/>
        <v>4.04</v>
      </c>
      <c r="X68" s="7">
        <f t="shared" si="44"/>
        <v>5.04</v>
      </c>
      <c r="Y68" s="7">
        <f t="shared" si="204"/>
        <v>57.022858574434863</v>
      </c>
      <c r="Z68" s="7"/>
      <c r="AA68" s="7"/>
      <c r="AB68" s="7">
        <v>421</v>
      </c>
      <c r="AC68" s="7"/>
      <c r="AD68" s="7"/>
      <c r="AE68" s="7">
        <v>0</v>
      </c>
      <c r="AF68" s="7">
        <v>0</v>
      </c>
      <c r="AG68" s="7">
        <f t="shared" si="156"/>
        <v>177.79999999999998</v>
      </c>
      <c r="AH68" s="7"/>
      <c r="AI68" s="7"/>
      <c r="AJ68" s="7"/>
      <c r="AK68" s="4">
        <f t="shared" si="126"/>
        <v>381</v>
      </c>
      <c r="AL68" s="44">
        <f t="shared" si="157"/>
        <v>5.9259259259259248E-2</v>
      </c>
      <c r="AM68" s="25">
        <f t="shared" si="113"/>
        <v>776.62106221784506</v>
      </c>
      <c r="AN68" s="4">
        <f t="shared" si="114"/>
        <v>0.74</v>
      </c>
      <c r="AO68" s="4">
        <v>1.25</v>
      </c>
      <c r="AP68" s="25">
        <f t="shared" si="115"/>
        <v>5</v>
      </c>
      <c r="AQ68" s="38">
        <f t="shared" si="116"/>
        <v>212.85169853377971</v>
      </c>
      <c r="AR68" s="38">
        <f t="shared" si="117"/>
        <v>212.85169853377971</v>
      </c>
      <c r="AT68" s="38">
        <f t="shared" si="133"/>
        <v>212.85169853377948</v>
      </c>
      <c r="AU68" s="38">
        <f t="shared" si="47"/>
        <v>1.0000000000000011</v>
      </c>
      <c r="AV68" s="38">
        <f t="shared" si="139"/>
        <v>1.7979619908532192</v>
      </c>
      <c r="AW68" s="4">
        <f t="shared" si="158"/>
        <v>0</v>
      </c>
      <c r="AX68" s="4">
        <f t="shared" si="224"/>
        <v>194.95009660475932</v>
      </c>
      <c r="AY68" s="4">
        <f t="shared" si="225"/>
        <v>1.1333333333333333</v>
      </c>
      <c r="AZ68" s="38">
        <f t="shared" si="118"/>
        <v>382.69926365228338</v>
      </c>
      <c r="BA68" s="4">
        <f t="shared" si="226"/>
        <v>0.43440000000000001</v>
      </c>
      <c r="BB68" s="4">
        <f t="shared" si="51"/>
        <v>44.248603226768637</v>
      </c>
      <c r="BC68" s="4">
        <f t="shared" si="52"/>
        <v>426.94786687905201</v>
      </c>
      <c r="BE68" s="36">
        <f t="shared" si="53"/>
        <v>1.1000000000000001</v>
      </c>
      <c r="BF68" s="36">
        <f t="shared" si="54"/>
        <v>193.24567576015772</v>
      </c>
      <c r="BK68" s="4">
        <f t="shared" si="160"/>
        <v>63.499999999999986</v>
      </c>
      <c r="BL68" s="4">
        <f t="shared" si="161"/>
        <v>63.499999999999986</v>
      </c>
      <c r="BM68" s="4">
        <f t="shared" si="162"/>
        <v>88.899999999999991</v>
      </c>
      <c r="BN68" s="4">
        <f t="shared" si="163"/>
        <v>76.199999999999989</v>
      </c>
      <c r="BO68" s="4">
        <f t="shared" si="164"/>
        <v>1.04</v>
      </c>
      <c r="BP68" s="25">
        <f t="shared" si="119"/>
        <v>3.1199999999999997</v>
      </c>
      <c r="BR68" s="4">
        <f t="shared" si="165"/>
        <v>63.499999999999986</v>
      </c>
      <c r="BV68" s="9"/>
      <c r="BX68" s="9"/>
      <c r="BY68" s="9"/>
      <c r="BZ68" s="9">
        <f t="shared" ref="BZ68:BZ131" si="235">IF(Q68=0,MIN(O68,P68),MIN(Q68/2,O68,P68))</f>
        <v>50.8</v>
      </c>
      <c r="CA68" s="9">
        <f t="shared" ref="CA68:CA131" si="236">MAX(Q68/2,O68)</f>
        <v>63.499999999999986</v>
      </c>
      <c r="CB68" s="9">
        <f t="shared" si="63"/>
        <v>1.4623505735569622</v>
      </c>
      <c r="CC68" s="9">
        <v>0</v>
      </c>
      <c r="CD68" s="9">
        <f t="shared" si="132"/>
        <v>0</v>
      </c>
      <c r="CE68" s="9">
        <f t="shared" si="65"/>
        <v>0</v>
      </c>
      <c r="CF68" s="9">
        <f t="shared" ref="CF68:CF131" si="237">MIN(1,(25/K68)^0.3)</f>
        <v>0.99524931562137331</v>
      </c>
      <c r="CG68" s="9">
        <f t="shared" ref="CG68:CG131" si="238">IF(G68&gt;=800,0.68,IF(G68&gt;=700,0.75-(G68-700)*0.07/100,IF(G68&gt;=600,0.85-(G68-600)*0.1/100,IF(G68&gt;=500,1-(G68-500)*0.15/100,1.2-(G68-400)*0.2/100))))</f>
        <v>1.056</v>
      </c>
      <c r="CH68" s="9">
        <f t="shared" si="68"/>
        <v>1.9464482686693119</v>
      </c>
      <c r="CI68" s="9">
        <f t="shared" si="69"/>
        <v>2.8463897420875242</v>
      </c>
      <c r="CJ68" s="9">
        <v>1</v>
      </c>
      <c r="CK68" s="9">
        <f t="shared" si="70"/>
        <v>250.48229730370213</v>
      </c>
      <c r="CM68" s="4">
        <f t="shared" si="210"/>
        <v>2.1595270140005773</v>
      </c>
      <c r="CN68" s="4">
        <f t="shared" si="211"/>
        <v>0.98606886849551367</v>
      </c>
      <c r="CO68" s="4">
        <f t="shared" si="212"/>
        <v>2.1785739750394941</v>
      </c>
      <c r="CP68" s="4">
        <f t="shared" si="213"/>
        <v>1.6807575007568314</v>
      </c>
      <c r="CQ68" s="4">
        <f t="shared" si="214"/>
        <v>1.1526891216084647</v>
      </c>
      <c r="CR68" s="4">
        <f t="shared" si="215"/>
        <v>1.3069168110853688</v>
      </c>
      <c r="CS68" s="4">
        <f t="shared" si="146"/>
        <v>1.04005785428454</v>
      </c>
      <c r="CU68" s="4">
        <f t="shared" si="216"/>
        <v>2.1595270140005773</v>
      </c>
      <c r="CV68" s="4">
        <f t="shared" si="216"/>
        <v>0.98606886849551367</v>
      </c>
      <c r="CW68" s="4">
        <f t="shared" si="217"/>
        <v>1.6807575007568314</v>
      </c>
      <c r="CX68" s="4">
        <f t="shared" si="218"/>
        <v>1.04005785428454</v>
      </c>
      <c r="CY68" s="4">
        <f t="shared" si="219"/>
        <v>1.1526891216084647</v>
      </c>
      <c r="CZ68" s="4">
        <f t="shared" si="219"/>
        <v>1.3069168110853688</v>
      </c>
      <c r="DH68" s="4">
        <f t="shared" si="171"/>
        <v>0</v>
      </c>
      <c r="DI68" s="4">
        <f t="shared" si="172"/>
        <v>381</v>
      </c>
      <c r="DJ68" s="4">
        <f t="shared" si="173"/>
        <v>0.46666666666666662</v>
      </c>
      <c r="DL68" s="4">
        <f t="shared" si="174"/>
        <v>2.6402037423385414E-5</v>
      </c>
      <c r="DM68" s="4">
        <f t="shared" si="175"/>
        <v>6.6857562842857838</v>
      </c>
      <c r="DN68" s="4">
        <f t="shared" si="176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38">
        <f t="shared" si="120"/>
        <v>365.23290808239409</v>
      </c>
      <c r="DS68" s="4">
        <f t="shared" si="79"/>
        <v>1.000197037064424</v>
      </c>
      <c r="DT68" s="4">
        <f t="shared" si="150"/>
        <v>2.2449944320643649</v>
      </c>
      <c r="DU68" s="4">
        <f t="shared" si="121"/>
        <v>212.85169853377948</v>
      </c>
      <c r="DY68" s="4">
        <f t="shared" ref="DY68:DY131" si="239">IF(P68&gt;1*K68,0.85,1)</f>
        <v>0.85</v>
      </c>
      <c r="DZ68" s="4">
        <f t="shared" si="81"/>
        <v>0.85000000000000009</v>
      </c>
      <c r="EA68" s="4">
        <f t="shared" si="82"/>
        <v>1</v>
      </c>
      <c r="EB68" s="4">
        <f t="shared" si="83"/>
        <v>0.85000000000000009</v>
      </c>
      <c r="ED68" s="4">
        <f t="shared" si="122"/>
        <v>322.13220950946965</v>
      </c>
      <c r="EE68" s="25">
        <f t="shared" si="123"/>
        <v>209.93356079366291</v>
      </c>
      <c r="EG68" s="4">
        <f t="shared" si="151"/>
        <v>0.72250000000000003</v>
      </c>
      <c r="EH68" s="4">
        <f t="shared" si="84"/>
        <v>6.6857562842857838</v>
      </c>
      <c r="EI68" s="4">
        <f t="shared" si="178"/>
        <v>6.028412726414806</v>
      </c>
      <c r="EK68" s="4">
        <f t="shared" si="179"/>
        <v>57.022858574434863</v>
      </c>
      <c r="EL68" s="4">
        <f t="shared" si="180"/>
        <v>2.2449944320643649</v>
      </c>
      <c r="EM68" s="4">
        <f t="shared" si="181"/>
        <v>0.12080025923559758</v>
      </c>
      <c r="EP68" s="4">
        <f t="shared" si="182"/>
        <v>0.12080025923559758</v>
      </c>
      <c r="EQ68" s="4">
        <f t="shared" si="183"/>
        <v>0.41680049229057015</v>
      </c>
      <c r="ER68" s="4">
        <f t="shared" si="184"/>
        <v>4.7110946590672214</v>
      </c>
      <c r="ES68" s="4">
        <f t="shared" ref="ES68:ES131" si="240">EH68/1.4*(1-EQ68^1.4)/(1-EQ68)</f>
        <v>5.7835754669295278</v>
      </c>
      <c r="ET68" s="4">
        <f t="shared" si="186"/>
        <v>228.72714142556515</v>
      </c>
      <c r="EU68" s="4">
        <f t="shared" si="187"/>
        <v>95.25</v>
      </c>
      <c r="EV68" s="4">
        <f t="shared" si="95"/>
        <v>2.6402037423385414E-5</v>
      </c>
      <c r="EW68" s="4">
        <f t="shared" ref="EW68:EW131" si="241">MAX(0.5*EH68, (1-2*EV68*(EK68*ER68+ET68*ES68))/(1/EH68+EV68*EU68))</f>
        <v>6.0226400759500986</v>
      </c>
      <c r="EX68" s="4">
        <f t="shared" si="189"/>
        <v>365.16095783921918</v>
      </c>
      <c r="EY68" s="4">
        <f t="shared" si="190"/>
        <v>120.77714142556512</v>
      </c>
      <c r="EZ68" s="4">
        <f t="shared" si="191"/>
        <v>0</v>
      </c>
      <c r="FB68" s="4">
        <f t="shared" si="100"/>
        <v>188.66038407705349</v>
      </c>
      <c r="FG68" s="23">
        <f t="shared" si="220"/>
        <v>2.2000000000000002</v>
      </c>
      <c r="FH68" s="23">
        <f t="shared" si="220"/>
        <v>1</v>
      </c>
      <c r="FI68" s="23">
        <f t="shared" si="234"/>
        <v>1.2</v>
      </c>
      <c r="FJ68" s="23">
        <f t="shared" si="221"/>
        <v>1.8</v>
      </c>
      <c r="FK68" s="23">
        <f t="shared" si="221"/>
        <v>1.2</v>
      </c>
      <c r="FL68" s="23">
        <f t="shared" si="221"/>
        <v>1.4</v>
      </c>
      <c r="FM68" s="23">
        <f t="shared" si="222"/>
        <v>0</v>
      </c>
      <c r="FN68" s="23"/>
      <c r="FX68" s="4">
        <f t="shared" si="101"/>
        <v>1</v>
      </c>
      <c r="FY68" s="4">
        <f t="shared" si="102"/>
        <v>0.85000000000000009</v>
      </c>
      <c r="FZ68" s="4">
        <f t="shared" si="103"/>
        <v>0</v>
      </c>
      <c r="GA68" s="4">
        <f t="shared" si="104"/>
        <v>404.78517446474899</v>
      </c>
    </row>
    <row r="69" spans="1:185" ht="12" customHeight="1" x14ac:dyDescent="0.3">
      <c r="A69" s="25">
        <v>51</v>
      </c>
      <c r="B69" s="20" t="s">
        <v>54</v>
      </c>
      <c r="C69" s="20">
        <v>2006</v>
      </c>
      <c r="D69" s="24" t="s">
        <v>55</v>
      </c>
      <c r="E69" s="24"/>
      <c r="F69" s="7" t="s">
        <v>279</v>
      </c>
      <c r="G69" s="7">
        <v>472</v>
      </c>
      <c r="H69" s="7">
        <f t="shared" si="209"/>
        <v>381</v>
      </c>
      <c r="I69" s="7">
        <f t="shared" si="134"/>
        <v>177.79999999999998</v>
      </c>
      <c r="J69" s="7">
        <v>21</v>
      </c>
      <c r="K69" s="7">
        <v>25.4</v>
      </c>
      <c r="L69" s="7">
        <f t="shared" si="154"/>
        <v>15</v>
      </c>
      <c r="M69" s="7">
        <v>7</v>
      </c>
      <c r="N69" s="7">
        <f t="shared" si="135"/>
        <v>152.39999999999998</v>
      </c>
      <c r="O69" s="7">
        <f t="shared" si="108"/>
        <v>63.499999999999986</v>
      </c>
      <c r="P69" s="7">
        <f t="shared" si="136"/>
        <v>50.8</v>
      </c>
      <c r="Q69" s="7">
        <v>0</v>
      </c>
      <c r="R69" s="7">
        <v>1</v>
      </c>
      <c r="S69" s="7">
        <f t="shared" si="137"/>
        <v>88.899999999999991</v>
      </c>
      <c r="T69" s="7">
        <f t="shared" si="42"/>
        <v>2.9999999999999996</v>
      </c>
      <c r="U69" s="7">
        <f t="shared" si="138"/>
        <v>4</v>
      </c>
      <c r="V69" s="7">
        <v>4.0599999999999996</v>
      </c>
      <c r="W69" s="7">
        <f t="shared" si="155"/>
        <v>4.0599999999999996</v>
      </c>
      <c r="X69" s="7">
        <f t="shared" si="44"/>
        <v>5.0599999999999996</v>
      </c>
      <c r="Y69" s="7">
        <f t="shared" si="204"/>
        <v>57.135887146346114</v>
      </c>
      <c r="Z69" s="7"/>
      <c r="AA69" s="7"/>
      <c r="AB69" s="7">
        <v>459</v>
      </c>
      <c r="AC69" s="7"/>
      <c r="AD69" s="7"/>
      <c r="AE69" s="7">
        <v>0</v>
      </c>
      <c r="AF69" s="7">
        <v>0</v>
      </c>
      <c r="AG69" s="7">
        <f t="shared" si="156"/>
        <v>177.79999999999998</v>
      </c>
      <c r="AH69" s="7"/>
      <c r="AI69" s="7"/>
      <c r="AJ69" s="7"/>
      <c r="AK69" s="4">
        <f t="shared" si="126"/>
        <v>381</v>
      </c>
      <c r="AL69" s="44">
        <f t="shared" si="157"/>
        <v>5.9259259259259248E-2</v>
      </c>
      <c r="AM69" s="25">
        <f t="shared" si="113"/>
        <v>672.57356899470892</v>
      </c>
      <c r="AN69" s="4">
        <f t="shared" si="114"/>
        <v>0.74</v>
      </c>
      <c r="AO69" s="4">
        <v>1.25</v>
      </c>
      <c r="AP69" s="25">
        <f t="shared" si="115"/>
        <v>5</v>
      </c>
      <c r="AQ69" s="38">
        <f t="shared" si="116"/>
        <v>184.3349781689202</v>
      </c>
      <c r="AR69" s="38">
        <f t="shared" si="117"/>
        <v>184.3349781689202</v>
      </c>
      <c r="AT69" s="38">
        <f t="shared" si="133"/>
        <v>184.33497816892</v>
      </c>
      <c r="AU69" s="38">
        <f t="shared" si="47"/>
        <v>1.0000000000000011</v>
      </c>
      <c r="AV69" s="38">
        <f t="shared" si="139"/>
        <v>1.5609301611827398</v>
      </c>
      <c r="AW69" s="4">
        <f t="shared" si="158"/>
        <v>0</v>
      </c>
      <c r="AX69" s="4">
        <f t="shared" si="224"/>
        <v>168.83173612995199</v>
      </c>
      <c r="AY69" s="4">
        <f t="shared" si="225"/>
        <v>1.1333333333333333</v>
      </c>
      <c r="AZ69" s="38">
        <f t="shared" si="118"/>
        <v>287.73402718482913</v>
      </c>
      <c r="BA69" s="4">
        <f t="shared" si="226"/>
        <v>0.43160000000000009</v>
      </c>
      <c r="BB69" s="4">
        <f t="shared" si="51"/>
        <v>38.073413646401619</v>
      </c>
      <c r="BC69" s="4">
        <f t="shared" si="52"/>
        <v>325.80744083123074</v>
      </c>
      <c r="BE69" s="36">
        <f t="shared" si="53"/>
        <v>1.1000000000000001</v>
      </c>
      <c r="BF69" s="36">
        <f t="shared" si="54"/>
        <v>167.35566437978727</v>
      </c>
      <c r="BK69" s="4">
        <f t="shared" si="160"/>
        <v>63.499999999999986</v>
      </c>
      <c r="BL69" s="4">
        <f t="shared" si="161"/>
        <v>63.499999999999986</v>
      </c>
      <c r="BM69" s="4">
        <f t="shared" si="162"/>
        <v>88.899999999999991</v>
      </c>
      <c r="BN69" s="4">
        <f t="shared" si="163"/>
        <v>76.199999999999989</v>
      </c>
      <c r="BO69" s="4">
        <f t="shared" si="164"/>
        <v>1.04</v>
      </c>
      <c r="BP69" s="25">
        <f t="shared" si="119"/>
        <v>3.1199999999999997</v>
      </c>
      <c r="BR69" s="4">
        <f t="shared" si="165"/>
        <v>63.499999999999986</v>
      </c>
      <c r="BV69" s="9"/>
      <c r="BX69" s="9"/>
      <c r="BY69" s="9"/>
      <c r="BZ69" s="9">
        <f t="shared" si="235"/>
        <v>50.8</v>
      </c>
      <c r="CA69" s="9">
        <f t="shared" si="236"/>
        <v>63.499999999999986</v>
      </c>
      <c r="CB69" s="9">
        <f t="shared" si="63"/>
        <v>1.4623505735569622</v>
      </c>
      <c r="CC69" s="9">
        <v>0</v>
      </c>
      <c r="CD69" s="9">
        <f t="shared" si="132"/>
        <v>0</v>
      </c>
      <c r="CE69" s="9">
        <f t="shared" si="65"/>
        <v>0</v>
      </c>
      <c r="CF69" s="9">
        <f t="shared" si="237"/>
        <v>0.99524931562137331</v>
      </c>
      <c r="CG69" s="9">
        <f t="shared" si="238"/>
        <v>1.056</v>
      </c>
      <c r="CH69" s="9">
        <f t="shared" si="68"/>
        <v>1.6856736478198622</v>
      </c>
      <c r="CI69" s="9">
        <f t="shared" si="69"/>
        <v>2.465045825719232</v>
      </c>
      <c r="CJ69" s="9">
        <v>1</v>
      </c>
      <c r="CK69" s="9">
        <f t="shared" si="70"/>
        <v>216.92403266329242</v>
      </c>
      <c r="CM69" s="4">
        <f t="shared" si="210"/>
        <v>2.7186831724972711</v>
      </c>
      <c r="CN69" s="4">
        <f t="shared" si="211"/>
        <v>1.408807603745807</v>
      </c>
      <c r="CO69" s="4">
        <f t="shared" si="212"/>
        <v>2.7426618734479877</v>
      </c>
      <c r="CP69" s="4">
        <f t="shared" si="213"/>
        <v>2.1159481241640745</v>
      </c>
      <c r="CQ69" s="4">
        <f t="shared" si="214"/>
        <v>1.4331139899777334</v>
      </c>
      <c r="CR69" s="4">
        <f t="shared" si="215"/>
        <v>1.6633962074813795</v>
      </c>
      <c r="CS69" s="4">
        <f t="shared" si="146"/>
        <v>1.218492251746139</v>
      </c>
      <c r="CU69" s="4">
        <f t="shared" si="216"/>
        <v>2.7186831724972711</v>
      </c>
      <c r="CV69" s="4">
        <f t="shared" si="216"/>
        <v>1.408807603745807</v>
      </c>
      <c r="CW69" s="4">
        <f t="shared" si="217"/>
        <v>2.1159481241640745</v>
      </c>
      <c r="CX69" s="4">
        <f t="shared" si="218"/>
        <v>1.218492251746139</v>
      </c>
      <c r="CY69" s="4">
        <f t="shared" si="219"/>
        <v>1.4331139899777334</v>
      </c>
      <c r="CZ69" s="4">
        <f t="shared" si="219"/>
        <v>1.6633962074813795</v>
      </c>
      <c r="DH69" s="4">
        <f t="shared" si="171"/>
        <v>0</v>
      </c>
      <c r="DI69" s="4">
        <f t="shared" si="172"/>
        <v>381</v>
      </c>
      <c r="DJ69" s="4">
        <f t="shared" si="173"/>
        <v>0.46666666666666662</v>
      </c>
      <c r="DL69" s="4">
        <f t="shared" si="174"/>
        <v>2.5033311258542346E-5</v>
      </c>
      <c r="DM69" s="4">
        <f t="shared" si="175"/>
        <v>5.7900347857029448</v>
      </c>
      <c r="DN69" s="4">
        <f t="shared" si="176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38">
        <f t="shared" si="120"/>
        <v>320.28157090779052</v>
      </c>
      <c r="DS69" s="4">
        <f t="shared" si="79"/>
        <v>1.0002121140175244</v>
      </c>
      <c r="DT69" s="4">
        <f t="shared" si="150"/>
        <v>2.2494443758403984</v>
      </c>
      <c r="DU69" s="4">
        <f t="shared" si="121"/>
        <v>184.33497816892</v>
      </c>
      <c r="DY69" s="4">
        <f t="shared" si="239"/>
        <v>0.85</v>
      </c>
      <c r="DZ69" s="4">
        <f t="shared" si="81"/>
        <v>0.85000000000000009</v>
      </c>
      <c r="EA69" s="4">
        <f t="shared" si="82"/>
        <v>1</v>
      </c>
      <c r="EB69" s="4">
        <f t="shared" si="83"/>
        <v>0.85000000000000009</v>
      </c>
      <c r="ED69" s="4">
        <f t="shared" si="122"/>
        <v>275.94147319536808</v>
      </c>
      <c r="EE69" s="25">
        <f t="shared" si="123"/>
        <v>181.80779675423688</v>
      </c>
      <c r="EG69" s="4">
        <f t="shared" si="151"/>
        <v>0.72250000000000003</v>
      </c>
      <c r="EH69" s="4">
        <f t="shared" si="84"/>
        <v>5.7900347857029448</v>
      </c>
      <c r="EI69" s="4">
        <f t="shared" si="178"/>
        <v>5.2207585655726314</v>
      </c>
      <c r="EK69" s="4">
        <f t="shared" si="179"/>
        <v>57.135887146346114</v>
      </c>
      <c r="EL69" s="4">
        <f t="shared" si="180"/>
        <v>2.2494443758403984</v>
      </c>
      <c r="EM69" s="4">
        <f t="shared" si="181"/>
        <v>0.1204434502751171</v>
      </c>
      <c r="EP69" s="4">
        <f t="shared" si="182"/>
        <v>0.1204434502751171</v>
      </c>
      <c r="EQ69" s="4">
        <f t="shared" si="183"/>
        <v>0.47985819191921475</v>
      </c>
      <c r="ER69" s="4">
        <f t="shared" si="184"/>
        <v>4.3164462593677309</v>
      </c>
      <c r="ES69" s="4">
        <f t="shared" si="240"/>
        <v>5.1067841093562398</v>
      </c>
      <c r="ET69" s="4">
        <f t="shared" si="186"/>
        <v>228.61411285365389</v>
      </c>
      <c r="EU69" s="4">
        <f t="shared" si="187"/>
        <v>95.249999999999972</v>
      </c>
      <c r="EV69" s="4">
        <f t="shared" si="95"/>
        <v>2.5033311258542336E-5</v>
      </c>
      <c r="EW69" s="4">
        <f t="shared" si="241"/>
        <v>5.3068372704296802</v>
      </c>
      <c r="EX69" s="4">
        <f t="shared" si="189"/>
        <v>320.21364910421289</v>
      </c>
      <c r="EY69" s="4">
        <f t="shared" si="190"/>
        <v>120.66411285365388</v>
      </c>
      <c r="EZ69" s="4">
        <f t="shared" si="191"/>
        <v>0</v>
      </c>
      <c r="FB69" s="4">
        <f t="shared" si="100"/>
        <v>166.41788891550129</v>
      </c>
      <c r="FG69" s="23">
        <f t="shared" si="220"/>
        <v>2.2000000000000002</v>
      </c>
      <c r="FH69" s="23">
        <f t="shared" si="220"/>
        <v>1.6</v>
      </c>
      <c r="FI69" s="23">
        <f t="shared" si="234"/>
        <v>1.4</v>
      </c>
      <c r="FJ69" s="23">
        <f t="shared" si="221"/>
        <v>2.2000000000000002</v>
      </c>
      <c r="FK69" s="23">
        <f t="shared" si="221"/>
        <v>1.6</v>
      </c>
      <c r="FL69" s="23">
        <f t="shared" si="221"/>
        <v>1.8</v>
      </c>
      <c r="FM69" s="23">
        <f t="shared" si="222"/>
        <v>0</v>
      </c>
      <c r="FN69" s="23"/>
      <c r="FX69" s="4">
        <f t="shared" si="101"/>
        <v>1</v>
      </c>
      <c r="FY69" s="4">
        <f t="shared" si="102"/>
        <v>0.85000000000000009</v>
      </c>
      <c r="FZ69" s="4">
        <f t="shared" si="103"/>
        <v>0</v>
      </c>
      <c r="GA69" s="4">
        <f t="shared" si="104"/>
        <v>376.69505024938655</v>
      </c>
    </row>
    <row r="70" spans="1:185" ht="12" customHeight="1" x14ac:dyDescent="0.3">
      <c r="A70" s="25">
        <v>52</v>
      </c>
      <c r="B70" s="20" t="s">
        <v>54</v>
      </c>
      <c r="C70" s="20">
        <v>2006</v>
      </c>
      <c r="D70" s="24" t="s">
        <v>55</v>
      </c>
      <c r="E70" s="24"/>
      <c r="F70" s="7" t="s">
        <v>66</v>
      </c>
      <c r="G70" s="7">
        <v>472</v>
      </c>
      <c r="H70" s="7">
        <f t="shared" si="209"/>
        <v>381</v>
      </c>
      <c r="I70" s="7">
        <f t="shared" si="134"/>
        <v>177.79999999999998</v>
      </c>
      <c r="J70" s="7">
        <v>21</v>
      </c>
      <c r="K70" s="7">
        <v>25.4</v>
      </c>
      <c r="L70" s="7">
        <f t="shared" si="154"/>
        <v>15</v>
      </c>
      <c r="M70" s="7">
        <v>7</v>
      </c>
      <c r="N70" s="7">
        <f t="shared" si="135"/>
        <v>152.39999999999998</v>
      </c>
      <c r="O70" s="7">
        <f t="shared" si="108"/>
        <v>63.499999999999986</v>
      </c>
      <c r="P70" s="7">
        <f t="shared" si="136"/>
        <v>50.8</v>
      </c>
      <c r="Q70" s="7">
        <v>0</v>
      </c>
      <c r="R70" s="7">
        <v>1</v>
      </c>
      <c r="S70" s="7">
        <f t="shared" si="137"/>
        <v>88.899999999999991</v>
      </c>
      <c r="T70" s="7">
        <f t="shared" si="42"/>
        <v>2.9999999999999996</v>
      </c>
      <c r="U70" s="7">
        <f t="shared" si="138"/>
        <v>4</v>
      </c>
      <c r="V70" s="7">
        <v>4.7</v>
      </c>
      <c r="W70" s="7">
        <f t="shared" si="155"/>
        <v>4.7</v>
      </c>
      <c r="X70" s="7">
        <f t="shared" si="44"/>
        <v>5.7</v>
      </c>
      <c r="Y70" s="7">
        <f t="shared" si="204"/>
        <v>60.641668842471674</v>
      </c>
      <c r="Z70" s="7"/>
      <c r="AA70" s="7"/>
      <c r="AB70" s="7">
        <v>413</v>
      </c>
      <c r="AC70" s="7"/>
      <c r="AD70" s="7"/>
      <c r="AE70" s="7">
        <v>0</v>
      </c>
      <c r="AF70" s="7">
        <v>0</v>
      </c>
      <c r="AG70" s="7">
        <f t="shared" si="156"/>
        <v>177.79999999999998</v>
      </c>
      <c r="AH70" s="7"/>
      <c r="AI70" s="7"/>
      <c r="AJ70" s="7"/>
      <c r="AK70" s="4">
        <f t="shared" si="126"/>
        <v>381</v>
      </c>
      <c r="AL70" s="44">
        <f t="shared" si="157"/>
        <v>5.9259259259259248E-2</v>
      </c>
      <c r="AM70" s="25">
        <f t="shared" si="113"/>
        <v>672.57356899470892</v>
      </c>
      <c r="AN70" s="4">
        <f t="shared" si="114"/>
        <v>0.74</v>
      </c>
      <c r="AO70" s="4">
        <v>1.25</v>
      </c>
      <c r="AP70" s="25">
        <f t="shared" si="115"/>
        <v>5</v>
      </c>
      <c r="AQ70" s="38">
        <f t="shared" si="116"/>
        <v>184.3349781689202</v>
      </c>
      <c r="AR70" s="38">
        <f t="shared" si="117"/>
        <v>184.3349781689202</v>
      </c>
      <c r="AT70" s="38">
        <f t="shared" si="133"/>
        <v>184.33497816892</v>
      </c>
      <c r="AU70" s="38">
        <f t="shared" si="47"/>
        <v>1.0000000000000011</v>
      </c>
      <c r="AV70" s="38">
        <f t="shared" si="139"/>
        <v>1.6794589169432566</v>
      </c>
      <c r="AW70" s="4">
        <f t="shared" si="158"/>
        <v>0</v>
      </c>
      <c r="AX70" s="4">
        <f t="shared" si="224"/>
        <v>168.83173612995199</v>
      </c>
      <c r="AY70" s="4">
        <f t="shared" si="225"/>
        <v>1.1333333333333333</v>
      </c>
      <c r="AZ70" s="38">
        <f t="shared" si="118"/>
        <v>309.58302279033325</v>
      </c>
      <c r="BA70" s="4">
        <f t="shared" si="226"/>
        <v>0.34199999999999997</v>
      </c>
      <c r="BB70" s="4">
        <f t="shared" si="51"/>
        <v>30.169387087741768</v>
      </c>
      <c r="BC70" s="4">
        <f t="shared" si="52"/>
        <v>339.75240987807501</v>
      </c>
      <c r="BE70" s="36">
        <f t="shared" si="53"/>
        <v>1.1000000000000001</v>
      </c>
      <c r="BF70" s="36">
        <f t="shared" si="54"/>
        <v>167.35566437978727</v>
      </c>
      <c r="BK70" s="4">
        <f t="shared" si="160"/>
        <v>63.499999999999986</v>
      </c>
      <c r="BL70" s="4">
        <f t="shared" si="161"/>
        <v>63.499999999999986</v>
      </c>
      <c r="BM70" s="4">
        <f t="shared" si="162"/>
        <v>88.899999999999991</v>
      </c>
      <c r="BN70" s="4">
        <f t="shared" si="163"/>
        <v>76.199999999999989</v>
      </c>
      <c r="BO70" s="4">
        <f t="shared" si="164"/>
        <v>1.04</v>
      </c>
      <c r="BP70" s="25">
        <f t="shared" si="119"/>
        <v>3.1199999999999997</v>
      </c>
      <c r="BR70" s="4">
        <f t="shared" si="165"/>
        <v>63.499999999999986</v>
      </c>
      <c r="BV70" s="9"/>
      <c r="BX70" s="9"/>
      <c r="BY70" s="9"/>
      <c r="BZ70" s="9">
        <f t="shared" si="235"/>
        <v>50.8</v>
      </c>
      <c r="CA70" s="9">
        <f t="shared" si="236"/>
        <v>63.499999999999986</v>
      </c>
      <c r="CB70" s="9">
        <f t="shared" si="63"/>
        <v>1.4623505735569622</v>
      </c>
      <c r="CC70" s="9">
        <v>0</v>
      </c>
      <c r="CD70" s="9">
        <f t="shared" si="132"/>
        <v>0</v>
      </c>
      <c r="CE70" s="9">
        <f t="shared" si="65"/>
        <v>0</v>
      </c>
      <c r="CF70" s="9">
        <f t="shared" si="237"/>
        <v>0.99524931562137331</v>
      </c>
      <c r="CG70" s="9">
        <f t="shared" si="238"/>
        <v>1.056</v>
      </c>
      <c r="CH70" s="9">
        <f t="shared" si="68"/>
        <v>1.6856736478198622</v>
      </c>
      <c r="CI70" s="9">
        <f t="shared" si="69"/>
        <v>2.465045825719232</v>
      </c>
      <c r="CJ70" s="9">
        <v>1</v>
      </c>
      <c r="CK70" s="9">
        <f t="shared" si="70"/>
        <v>216.92403266329242</v>
      </c>
      <c r="CM70" s="4">
        <f t="shared" si="210"/>
        <v>2.4462225495454746</v>
      </c>
      <c r="CN70" s="4">
        <f t="shared" si="211"/>
        <v>1.2155910833662988</v>
      </c>
      <c r="CO70" s="4">
        <f t="shared" si="212"/>
        <v>2.4677981562832656</v>
      </c>
      <c r="CP70" s="4">
        <f t="shared" si="213"/>
        <v>1.9038923208709428</v>
      </c>
      <c r="CQ70" s="4">
        <f t="shared" si="214"/>
        <v>1.3016046889462036</v>
      </c>
      <c r="CR70" s="4">
        <f t="shared" si="215"/>
        <v>1.4916330668423277</v>
      </c>
      <c r="CS70" s="4">
        <f t="shared" si="146"/>
        <v>1.0963775598500118</v>
      </c>
      <c r="CU70" s="4">
        <f t="shared" si="216"/>
        <v>2.4462225495454746</v>
      </c>
      <c r="CV70" s="4">
        <f t="shared" si="216"/>
        <v>1.2155910833662988</v>
      </c>
      <c r="CW70" s="4">
        <f t="shared" si="217"/>
        <v>1.9038923208709428</v>
      </c>
      <c r="CX70" s="4">
        <f t="shared" si="218"/>
        <v>1.0963775598500118</v>
      </c>
      <c r="CY70" s="4">
        <f t="shared" si="219"/>
        <v>1.3016046889462036</v>
      </c>
      <c r="CZ70" s="4">
        <f t="shared" si="219"/>
        <v>1.4916330668423277</v>
      </c>
      <c r="DH70" s="4">
        <f t="shared" si="171"/>
        <v>0</v>
      </c>
      <c r="DI70" s="4">
        <f t="shared" si="172"/>
        <v>381</v>
      </c>
      <c r="DJ70" s="4">
        <f t="shared" si="173"/>
        <v>0.46666666666666662</v>
      </c>
      <c r="DL70" s="4">
        <f t="shared" si="174"/>
        <v>2.5033311258542346E-5</v>
      </c>
      <c r="DM70" s="4">
        <f t="shared" si="175"/>
        <v>5.7900347857029448</v>
      </c>
      <c r="DN70" s="4">
        <f t="shared" si="176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38">
        <f t="shared" si="120"/>
        <v>317.30063936260882</v>
      </c>
      <c r="DS70" s="4">
        <f t="shared" si="79"/>
        <v>1.0002066216475634</v>
      </c>
      <c r="DT70" s="4">
        <f t="shared" si="150"/>
        <v>2.3874672772626644</v>
      </c>
      <c r="DU70" s="4">
        <f t="shared" si="121"/>
        <v>184.33497816892</v>
      </c>
      <c r="DY70" s="4">
        <f t="shared" si="239"/>
        <v>0.85</v>
      </c>
      <c r="DZ70" s="4">
        <f t="shared" si="81"/>
        <v>0.85000000000000009</v>
      </c>
      <c r="EA70" s="4">
        <f t="shared" si="82"/>
        <v>1</v>
      </c>
      <c r="EB70" s="4">
        <f t="shared" si="83"/>
        <v>0.85000000000000009</v>
      </c>
      <c r="ED70" s="4">
        <f t="shared" si="122"/>
        <v>276.87774505716021</v>
      </c>
      <c r="EE70" s="25">
        <f t="shared" si="123"/>
        <v>181.80779675423688</v>
      </c>
      <c r="EG70" s="4">
        <f t="shared" si="151"/>
        <v>0.72250000000000003</v>
      </c>
      <c r="EH70" s="4">
        <f t="shared" si="84"/>
        <v>5.7900347857029448</v>
      </c>
      <c r="EI70" s="4">
        <f t="shared" si="178"/>
        <v>5.2207585655726314</v>
      </c>
      <c r="EK70" s="4">
        <f t="shared" si="179"/>
        <v>60.641668842471674</v>
      </c>
      <c r="EL70" s="4">
        <f t="shared" si="180"/>
        <v>2.3874672772626644</v>
      </c>
      <c r="EM70" s="4">
        <f t="shared" si="181"/>
        <v>0.11042655740559822</v>
      </c>
      <c r="EP70" s="4">
        <f t="shared" si="182"/>
        <v>0.11042655740559822</v>
      </c>
      <c r="EQ70" s="4">
        <f t="shared" si="183"/>
        <v>0.4399499354715925</v>
      </c>
      <c r="ER70" s="4">
        <f t="shared" si="184"/>
        <v>4.1691015744887965</v>
      </c>
      <c r="ES70" s="4">
        <f t="shared" si="240"/>
        <v>5.0452617256677321</v>
      </c>
      <c r="ET70" s="4">
        <f t="shared" si="186"/>
        <v>225.10833115752831</v>
      </c>
      <c r="EU70" s="4">
        <f t="shared" si="187"/>
        <v>95.25</v>
      </c>
      <c r="EV70" s="4">
        <f t="shared" si="95"/>
        <v>2.5033311258542346E-5</v>
      </c>
      <c r="EW70" s="4">
        <f t="shared" si="241"/>
        <v>5.3141445144905157</v>
      </c>
      <c r="EX70" s="4">
        <f t="shared" si="189"/>
        <v>317.23509172529162</v>
      </c>
      <c r="EY70" s="4">
        <f t="shared" si="190"/>
        <v>117.15833115752831</v>
      </c>
      <c r="EZ70" s="4">
        <f t="shared" si="191"/>
        <v>0</v>
      </c>
      <c r="FB70" s="4">
        <f t="shared" si="100"/>
        <v>165.48161705370916</v>
      </c>
      <c r="FG70" s="23">
        <f t="shared" si="220"/>
        <v>2.2000000000000002</v>
      </c>
      <c r="FH70" s="23">
        <f t="shared" si="220"/>
        <v>1.4</v>
      </c>
      <c r="FI70" s="23">
        <f t="shared" si="234"/>
        <v>1.2</v>
      </c>
      <c r="FJ70" s="23">
        <f t="shared" si="221"/>
        <v>2</v>
      </c>
      <c r="FK70" s="23">
        <f t="shared" si="221"/>
        <v>1.4</v>
      </c>
      <c r="FL70" s="23">
        <f t="shared" si="221"/>
        <v>1.6</v>
      </c>
      <c r="FM70" s="23">
        <f t="shared" si="222"/>
        <v>0</v>
      </c>
      <c r="FN70" s="23"/>
      <c r="FX70" s="4">
        <f t="shared" si="101"/>
        <v>1</v>
      </c>
      <c r="FY70" s="4">
        <f t="shared" si="102"/>
        <v>0.85000000000000009</v>
      </c>
      <c r="FZ70" s="4">
        <f t="shared" si="103"/>
        <v>0</v>
      </c>
      <c r="GA70" s="4">
        <f t="shared" si="104"/>
        <v>376.69505024938655</v>
      </c>
    </row>
    <row r="71" spans="1:185" ht="12" customHeight="1" x14ac:dyDescent="0.3">
      <c r="A71" s="25">
        <v>53</v>
      </c>
      <c r="B71" s="20" t="s">
        <v>54</v>
      </c>
      <c r="C71" s="20">
        <v>2006</v>
      </c>
      <c r="D71" s="24" t="s">
        <v>55</v>
      </c>
      <c r="E71" s="24"/>
      <c r="F71" s="7" t="s">
        <v>281</v>
      </c>
      <c r="G71" s="7">
        <v>472</v>
      </c>
      <c r="H71" s="7">
        <f t="shared" si="209"/>
        <v>381</v>
      </c>
      <c r="I71" s="7">
        <f t="shared" si="134"/>
        <v>177.79999999999998</v>
      </c>
      <c r="J71" s="7">
        <v>27</v>
      </c>
      <c r="K71" s="7">
        <v>25.4</v>
      </c>
      <c r="L71" s="7">
        <f t="shared" si="154"/>
        <v>15</v>
      </c>
      <c r="M71" s="7">
        <v>7</v>
      </c>
      <c r="N71" s="7">
        <f t="shared" si="135"/>
        <v>152.39999999999998</v>
      </c>
      <c r="O71" s="7">
        <f t="shared" si="108"/>
        <v>63.499999999999986</v>
      </c>
      <c r="P71" s="7">
        <f t="shared" si="136"/>
        <v>50.8</v>
      </c>
      <c r="Q71" s="7">
        <v>0</v>
      </c>
      <c r="R71" s="7">
        <v>1</v>
      </c>
      <c r="S71" s="7">
        <f t="shared" si="137"/>
        <v>88.899999999999991</v>
      </c>
      <c r="T71" s="7">
        <f t="shared" si="42"/>
        <v>2.9999999999999996</v>
      </c>
      <c r="U71" s="7">
        <f t="shared" si="138"/>
        <v>4</v>
      </c>
      <c r="V71" s="7">
        <v>4.7</v>
      </c>
      <c r="W71" s="7">
        <f t="shared" si="155"/>
        <v>4.7</v>
      </c>
      <c r="X71" s="7">
        <f t="shared" si="44"/>
        <v>5.7</v>
      </c>
      <c r="Y71" s="7">
        <f t="shared" si="204"/>
        <v>60.641668842471674</v>
      </c>
      <c r="Z71" s="7"/>
      <c r="AA71" s="7"/>
      <c r="AB71" s="7">
        <v>471</v>
      </c>
      <c r="AC71" s="7"/>
      <c r="AD71" s="7"/>
      <c r="AE71" s="7">
        <v>0</v>
      </c>
      <c r="AF71" s="7">
        <v>0</v>
      </c>
      <c r="AG71" s="7">
        <f t="shared" si="156"/>
        <v>177.79999999999998</v>
      </c>
      <c r="AH71" s="7"/>
      <c r="AI71" s="7"/>
      <c r="AJ71" s="7"/>
      <c r="AK71" s="4">
        <f t="shared" si="126"/>
        <v>381</v>
      </c>
      <c r="AL71" s="44">
        <f t="shared" si="157"/>
        <v>5.9259259259259248E-2</v>
      </c>
      <c r="AM71" s="25">
        <f t="shared" si="113"/>
        <v>762.62674369506078</v>
      </c>
      <c r="AN71" s="4">
        <f t="shared" si="114"/>
        <v>0.74</v>
      </c>
      <c r="AO71" s="4">
        <v>1.25</v>
      </c>
      <c r="AP71" s="25">
        <f t="shared" si="115"/>
        <v>5</v>
      </c>
      <c r="AQ71" s="38">
        <f t="shared" si="116"/>
        <v>209.01621864234997</v>
      </c>
      <c r="AR71" s="38">
        <f t="shared" si="117"/>
        <v>209.01621864234997</v>
      </c>
      <c r="AT71" s="38">
        <f t="shared" si="133"/>
        <v>209.0162186423498</v>
      </c>
      <c r="AU71" s="38">
        <f t="shared" si="47"/>
        <v>1.0000000000000009</v>
      </c>
      <c r="AV71" s="38">
        <f t="shared" si="139"/>
        <v>1.9043274134493156</v>
      </c>
      <c r="AW71" s="4">
        <f t="shared" si="158"/>
        <v>0</v>
      </c>
      <c r="AX71" s="4">
        <f t="shared" si="224"/>
        <v>191.43719452077065</v>
      </c>
      <c r="AY71" s="4">
        <f t="shared" si="225"/>
        <v>1.1333333333333333</v>
      </c>
      <c r="AZ71" s="38">
        <f t="shared" si="118"/>
        <v>398.03531501614259</v>
      </c>
      <c r="BA71" s="4">
        <f t="shared" si="226"/>
        <v>0.34199999999999997</v>
      </c>
      <c r="BB71" s="4">
        <f t="shared" si="51"/>
        <v>34.208869474889106</v>
      </c>
      <c r="BC71" s="4">
        <f t="shared" si="52"/>
        <v>432.24418449103172</v>
      </c>
      <c r="BE71" s="36">
        <f t="shared" si="53"/>
        <v>1.1000000000000001</v>
      </c>
      <c r="BF71" s="36">
        <f t="shared" si="54"/>
        <v>189.7634864772462</v>
      </c>
      <c r="BK71" s="4">
        <f t="shared" si="160"/>
        <v>63.499999999999986</v>
      </c>
      <c r="BL71" s="4">
        <f t="shared" si="161"/>
        <v>63.499999999999986</v>
      </c>
      <c r="BM71" s="4">
        <f t="shared" si="162"/>
        <v>88.899999999999991</v>
      </c>
      <c r="BN71" s="4">
        <f t="shared" si="163"/>
        <v>76.199999999999989</v>
      </c>
      <c r="BO71" s="4">
        <f t="shared" si="164"/>
        <v>1.04</v>
      </c>
      <c r="BP71" s="25">
        <f t="shared" si="119"/>
        <v>3.1199999999999997</v>
      </c>
      <c r="BR71" s="4">
        <f t="shared" si="165"/>
        <v>63.499999999999986</v>
      </c>
      <c r="BV71" s="9"/>
      <c r="BX71" s="9"/>
      <c r="BY71" s="9"/>
      <c r="BZ71" s="9">
        <f t="shared" si="235"/>
        <v>50.8</v>
      </c>
      <c r="CA71" s="9">
        <f t="shared" si="236"/>
        <v>63.499999999999986</v>
      </c>
      <c r="CB71" s="9">
        <f t="shared" si="63"/>
        <v>1.4623505735569622</v>
      </c>
      <c r="CC71" s="9">
        <v>0</v>
      </c>
      <c r="CD71" s="9">
        <f t="shared" si="132"/>
        <v>0</v>
      </c>
      <c r="CE71" s="9">
        <f t="shared" si="65"/>
        <v>0</v>
      </c>
      <c r="CF71" s="9">
        <f t="shared" si="237"/>
        <v>0.99524931562137331</v>
      </c>
      <c r="CG71" s="9">
        <f t="shared" si="238"/>
        <v>1.056</v>
      </c>
      <c r="CH71" s="9">
        <f t="shared" si="68"/>
        <v>1.911374255891328</v>
      </c>
      <c r="CI71" s="9">
        <f t="shared" si="69"/>
        <v>2.7950992393846952</v>
      </c>
      <c r="CJ71" s="9">
        <v>1</v>
      </c>
      <c r="CK71" s="9">
        <f t="shared" si="70"/>
        <v>245.96873306585317</v>
      </c>
      <c r="CM71" s="4">
        <f t="shared" si="210"/>
        <v>2.4603369328466482</v>
      </c>
      <c r="CN71" s="4">
        <f t="shared" si="211"/>
        <v>1.0896618552649895</v>
      </c>
      <c r="CO71" s="4">
        <f t="shared" si="212"/>
        <v>2.4820370280057844</v>
      </c>
      <c r="CP71" s="4">
        <f t="shared" si="213"/>
        <v>1.9148775298765279</v>
      </c>
      <c r="CQ71" s="4">
        <f t="shared" si="214"/>
        <v>1.3236602712925347</v>
      </c>
      <c r="CR71" s="4">
        <f t="shared" si="215"/>
        <v>1.4864600348804182</v>
      </c>
      <c r="CS71" s="4">
        <f t="shared" si="146"/>
        <v>1.1742075706255921</v>
      </c>
      <c r="CU71" s="4">
        <f t="shared" si="216"/>
        <v>2.4603369328466482</v>
      </c>
      <c r="CV71" s="4">
        <f t="shared" si="216"/>
        <v>1.0896618552649895</v>
      </c>
      <c r="CW71" s="4">
        <f t="shared" si="217"/>
        <v>1.9148775298765279</v>
      </c>
      <c r="CX71" s="4">
        <f t="shared" si="218"/>
        <v>1.1742075706255921</v>
      </c>
      <c r="CY71" s="4">
        <f t="shared" si="219"/>
        <v>1.3236602712925347</v>
      </c>
      <c r="CZ71" s="4">
        <f t="shared" si="219"/>
        <v>1.4864600348804182</v>
      </c>
      <c r="DH71" s="4">
        <f t="shared" si="171"/>
        <v>0</v>
      </c>
      <c r="DI71" s="4">
        <f t="shared" si="172"/>
        <v>381</v>
      </c>
      <c r="DJ71" s="4">
        <f t="shared" si="173"/>
        <v>0.46666666666666662</v>
      </c>
      <c r="DL71" s="4">
        <f t="shared" si="174"/>
        <v>2.6209296574030622E-5</v>
      </c>
      <c r="DM71" s="4">
        <f t="shared" si="175"/>
        <v>6.5652823394499222</v>
      </c>
      <c r="DN71" s="4">
        <f t="shared" si="176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38">
        <f t="shared" si="120"/>
        <v>355.83148502302288</v>
      </c>
      <c r="DS71" s="4">
        <f t="shared" si="79"/>
        <v>1.0001936169023238</v>
      </c>
      <c r="DT71" s="4">
        <f t="shared" si="150"/>
        <v>2.3874672772626644</v>
      </c>
      <c r="DU71" s="4">
        <f t="shared" si="121"/>
        <v>209.0162186423498</v>
      </c>
      <c r="DY71" s="4">
        <f t="shared" si="239"/>
        <v>0.85</v>
      </c>
      <c r="DZ71" s="4">
        <f t="shared" si="81"/>
        <v>0.85000000000000009</v>
      </c>
      <c r="EA71" s="4">
        <f t="shared" si="82"/>
        <v>1</v>
      </c>
      <c r="EB71" s="4">
        <f t="shared" si="83"/>
        <v>0.85000000000000009</v>
      </c>
      <c r="ED71" s="4">
        <f t="shared" si="122"/>
        <v>316.86018389178605</v>
      </c>
      <c r="EE71" s="25">
        <f t="shared" si="123"/>
        <v>206.15066426755152</v>
      </c>
      <c r="EG71" s="4">
        <f t="shared" si="151"/>
        <v>0.72250000000000003</v>
      </c>
      <c r="EH71" s="4">
        <f t="shared" si="84"/>
        <v>6.5652823394499222</v>
      </c>
      <c r="EI71" s="4">
        <f t="shared" si="178"/>
        <v>5.9197837798352051</v>
      </c>
      <c r="EK71" s="4">
        <f t="shared" si="179"/>
        <v>60.641668842471674</v>
      </c>
      <c r="EL71" s="4">
        <f t="shared" si="180"/>
        <v>2.3874672772626644</v>
      </c>
      <c r="EM71" s="4">
        <f t="shared" si="181"/>
        <v>0.11042655740559822</v>
      </c>
      <c r="EP71" s="4">
        <f t="shared" si="182"/>
        <v>0.11042655740559822</v>
      </c>
      <c r="EQ71" s="4">
        <f t="shared" si="183"/>
        <v>0.387999372858916</v>
      </c>
      <c r="ER71" s="4">
        <f t="shared" si="184"/>
        <v>4.4955808966964188</v>
      </c>
      <c r="ES71" s="4">
        <f t="shared" si="240"/>
        <v>5.6267446669320007</v>
      </c>
      <c r="ET71" s="4">
        <f t="shared" si="186"/>
        <v>225.10833115752831</v>
      </c>
      <c r="EU71" s="4">
        <f t="shared" si="187"/>
        <v>95.25</v>
      </c>
      <c r="EV71" s="4">
        <f t="shared" si="95"/>
        <v>2.6209296574030622E-5</v>
      </c>
      <c r="EW71" s="4">
        <f t="shared" si="241"/>
        <v>5.9382350875445296</v>
      </c>
      <c r="EX71" s="4">
        <f t="shared" si="189"/>
        <v>355.76260336979578</v>
      </c>
      <c r="EY71" s="4">
        <f t="shared" si="190"/>
        <v>117.15833115752831</v>
      </c>
      <c r="EZ71" s="4">
        <f t="shared" si="191"/>
        <v>0</v>
      </c>
      <c r="FB71" s="4">
        <f t="shared" si="100"/>
        <v>184.72818565101193</v>
      </c>
      <c r="FG71" s="23">
        <f t="shared" si="220"/>
        <v>2.2000000000000002</v>
      </c>
      <c r="FH71" s="23">
        <f t="shared" si="220"/>
        <v>1.2</v>
      </c>
      <c r="FI71" s="23">
        <f t="shared" si="234"/>
        <v>1.2</v>
      </c>
      <c r="FJ71" s="23">
        <f t="shared" si="221"/>
        <v>2</v>
      </c>
      <c r="FK71" s="23">
        <f t="shared" si="221"/>
        <v>1.4</v>
      </c>
      <c r="FL71" s="23">
        <f t="shared" si="221"/>
        <v>1.6</v>
      </c>
      <c r="FM71" s="23">
        <f t="shared" si="222"/>
        <v>0</v>
      </c>
      <c r="FN71" s="23"/>
      <c r="FX71" s="4">
        <f t="shared" si="101"/>
        <v>1</v>
      </c>
      <c r="FY71" s="4">
        <f t="shared" si="102"/>
        <v>0.85000000000000009</v>
      </c>
      <c r="FZ71" s="4">
        <f t="shared" si="103"/>
        <v>0</v>
      </c>
      <c r="GA71" s="4">
        <f t="shared" si="104"/>
        <v>401.12158342588572</v>
      </c>
    </row>
    <row r="72" spans="1:185" ht="12" customHeight="1" x14ac:dyDescent="0.3">
      <c r="A72" s="25">
        <v>54</v>
      </c>
      <c r="B72" s="20" t="s">
        <v>54</v>
      </c>
      <c r="C72" s="20">
        <v>2006</v>
      </c>
      <c r="D72" s="24" t="s">
        <v>55</v>
      </c>
      <c r="E72" s="24"/>
      <c r="F72" s="7" t="s">
        <v>282</v>
      </c>
      <c r="G72" s="7">
        <v>472</v>
      </c>
      <c r="H72" s="7">
        <f t="shared" si="209"/>
        <v>381</v>
      </c>
      <c r="I72" s="7">
        <f t="shared" si="134"/>
        <v>177.79999999999998</v>
      </c>
      <c r="J72" s="7">
        <v>21</v>
      </c>
      <c r="K72" s="7">
        <v>25.4</v>
      </c>
      <c r="L72" s="7">
        <f t="shared" si="154"/>
        <v>15</v>
      </c>
      <c r="M72" s="7">
        <v>7</v>
      </c>
      <c r="N72" s="7">
        <f t="shared" si="135"/>
        <v>152.39999999999998</v>
      </c>
      <c r="O72" s="7">
        <f t="shared" si="108"/>
        <v>63.499999999999986</v>
      </c>
      <c r="P72" s="7">
        <f t="shared" si="136"/>
        <v>50.8</v>
      </c>
      <c r="Q72" s="7">
        <v>0</v>
      </c>
      <c r="R72" s="7">
        <v>1</v>
      </c>
      <c r="S72" s="7">
        <f t="shared" si="137"/>
        <v>88.899999999999991</v>
      </c>
      <c r="T72" s="7">
        <f t="shared" si="42"/>
        <v>2.9999999999999996</v>
      </c>
      <c r="U72" s="7">
        <f t="shared" si="138"/>
        <v>4</v>
      </c>
      <c r="V72" s="7">
        <v>10.39</v>
      </c>
      <c r="W72" s="7">
        <f t="shared" si="155"/>
        <v>10.39</v>
      </c>
      <c r="X72" s="7">
        <f t="shared" si="44"/>
        <v>11.39</v>
      </c>
      <c r="Y72" s="7">
        <f t="shared" si="204"/>
        <v>85.722648115885917</v>
      </c>
      <c r="Z72" s="7"/>
      <c r="AA72" s="7"/>
      <c r="AB72" s="7">
        <v>376</v>
      </c>
      <c r="AC72" s="7"/>
      <c r="AD72" s="7"/>
      <c r="AE72" s="7">
        <v>0</v>
      </c>
      <c r="AF72" s="7">
        <v>0</v>
      </c>
      <c r="AG72" s="7">
        <f t="shared" si="156"/>
        <v>177.79999999999998</v>
      </c>
      <c r="AH72" s="7"/>
      <c r="AI72" s="7"/>
      <c r="AJ72" s="7"/>
      <c r="AK72" s="4">
        <f t="shared" si="126"/>
        <v>381</v>
      </c>
      <c r="AL72" s="44">
        <f t="shared" si="157"/>
        <v>5.9259259259259248E-2</v>
      </c>
      <c r="AM72" s="25">
        <f t="shared" si="113"/>
        <v>672.57356899470892</v>
      </c>
      <c r="AN72" s="4">
        <f t="shared" si="114"/>
        <v>0.74</v>
      </c>
      <c r="AO72" s="4">
        <v>1.25</v>
      </c>
      <c r="AP72" s="25">
        <f t="shared" si="115"/>
        <v>5</v>
      </c>
      <c r="AQ72" s="38">
        <f t="shared" si="116"/>
        <v>184.3349781689202</v>
      </c>
      <c r="AR72" s="38">
        <f t="shared" si="117"/>
        <v>184.3349781689202</v>
      </c>
      <c r="AT72" s="38">
        <f t="shared" si="133"/>
        <v>184.33497816892</v>
      </c>
      <c r="AU72" s="38">
        <f t="shared" si="47"/>
        <v>1.0000000000000011</v>
      </c>
      <c r="AV72" s="38">
        <f t="shared" si="139"/>
        <v>2.4970556966813486</v>
      </c>
      <c r="AW72" s="4">
        <f t="shared" si="158"/>
        <v>0</v>
      </c>
      <c r="AX72" s="4">
        <f t="shared" si="224"/>
        <v>168.83173612995199</v>
      </c>
      <c r="AY72" s="4">
        <f t="shared" si="225"/>
        <v>1.1333333333333333</v>
      </c>
      <c r="AZ72" s="38">
        <f t="shared" si="118"/>
        <v>460.29470733433374</v>
      </c>
      <c r="BA72" s="4">
        <f t="shared" si="226"/>
        <v>0.3</v>
      </c>
      <c r="BB72" s="4">
        <f t="shared" si="51"/>
        <v>26.464374638369975</v>
      </c>
      <c r="BC72" s="4">
        <f t="shared" si="52"/>
        <v>486.75908197270371</v>
      </c>
      <c r="BE72" s="36">
        <f t="shared" si="53"/>
        <v>1.1000000000000001</v>
      </c>
      <c r="BF72" s="36">
        <f t="shared" si="54"/>
        <v>167.35566437978727</v>
      </c>
      <c r="BK72" s="4">
        <f t="shared" si="160"/>
        <v>63.499999999999986</v>
      </c>
      <c r="BL72" s="4">
        <f t="shared" si="161"/>
        <v>63.499999999999986</v>
      </c>
      <c r="BM72" s="4">
        <f t="shared" si="162"/>
        <v>88.899999999999991</v>
      </c>
      <c r="BN72" s="4">
        <f t="shared" si="163"/>
        <v>76.199999999999989</v>
      </c>
      <c r="BO72" s="4">
        <f t="shared" si="164"/>
        <v>1.04</v>
      </c>
      <c r="BP72" s="25">
        <f t="shared" si="119"/>
        <v>3.1199999999999997</v>
      </c>
      <c r="BR72" s="4">
        <f t="shared" si="165"/>
        <v>63.499999999999986</v>
      </c>
      <c r="BV72" s="9"/>
      <c r="BX72" s="9"/>
      <c r="BY72" s="9"/>
      <c r="BZ72" s="9">
        <f t="shared" si="235"/>
        <v>50.8</v>
      </c>
      <c r="CA72" s="9">
        <f t="shared" si="236"/>
        <v>63.499999999999986</v>
      </c>
      <c r="CB72" s="9">
        <f t="shared" si="63"/>
        <v>1.4623505735569622</v>
      </c>
      <c r="CC72" s="9">
        <v>0</v>
      </c>
      <c r="CD72" s="9">
        <f t="shared" si="132"/>
        <v>0</v>
      </c>
      <c r="CE72" s="9">
        <f t="shared" si="65"/>
        <v>0</v>
      </c>
      <c r="CF72" s="9">
        <f t="shared" si="237"/>
        <v>0.99524931562137331</v>
      </c>
      <c r="CG72" s="9">
        <f t="shared" si="238"/>
        <v>1.056</v>
      </c>
      <c r="CH72" s="9">
        <f t="shared" si="68"/>
        <v>1.6856736478198622</v>
      </c>
      <c r="CI72" s="9">
        <f t="shared" si="69"/>
        <v>2.465045825719232</v>
      </c>
      <c r="CJ72" s="9">
        <v>1</v>
      </c>
      <c r="CK72" s="9">
        <f t="shared" si="70"/>
        <v>216.92403266329242</v>
      </c>
      <c r="CM72" s="4">
        <f t="shared" si="210"/>
        <v>2.2270694397798994</v>
      </c>
      <c r="CN72" s="4">
        <f t="shared" si="211"/>
        <v>0.772456054597221</v>
      </c>
      <c r="CO72" s="4">
        <f t="shared" si="212"/>
        <v>2.2467121229116414</v>
      </c>
      <c r="CP72" s="4">
        <f t="shared" si="213"/>
        <v>1.7333256964829891</v>
      </c>
      <c r="CQ72" s="4">
        <f t="shared" si="214"/>
        <v>1.2501439525632614</v>
      </c>
      <c r="CR72" s="4">
        <f t="shared" si="215"/>
        <v>1.3389539545467144</v>
      </c>
      <c r="CS72" s="4">
        <f t="shared" si="146"/>
        <v>0.99815487289008331</v>
      </c>
      <c r="CU72" s="4">
        <f t="shared" si="216"/>
        <v>2.2270694397798994</v>
      </c>
      <c r="CV72" s="4">
        <f t="shared" si="216"/>
        <v>0.772456054597221</v>
      </c>
      <c r="CW72" s="4">
        <f t="shared" si="217"/>
        <v>1.7333256964829891</v>
      </c>
      <c r="CX72" s="4">
        <f t="shared" si="218"/>
        <v>0.99815487289008331</v>
      </c>
      <c r="CY72" s="4">
        <f t="shared" si="219"/>
        <v>1.2501439525632614</v>
      </c>
      <c r="CZ72" s="4">
        <f t="shared" si="219"/>
        <v>1.3389539545467144</v>
      </c>
      <c r="DH72" s="4">
        <f t="shared" si="171"/>
        <v>0</v>
      </c>
      <c r="DI72" s="4">
        <f t="shared" si="172"/>
        <v>381</v>
      </c>
      <c r="DJ72" s="4">
        <f t="shared" si="173"/>
        <v>0.46666666666666662</v>
      </c>
      <c r="DL72" s="4">
        <f t="shared" si="174"/>
        <v>2.5033311258542346E-5</v>
      </c>
      <c r="DM72" s="4">
        <f t="shared" si="175"/>
        <v>5.7900347857029448</v>
      </c>
      <c r="DN72" s="4">
        <f t="shared" si="176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38">
        <f t="shared" si="120"/>
        <v>300.76536324401661</v>
      </c>
      <c r="DS72" s="4">
        <f t="shared" si="79"/>
        <v>1.0001879806537954</v>
      </c>
      <c r="DT72" s="4">
        <f t="shared" si="150"/>
        <v>3.3749074061372411</v>
      </c>
      <c r="DU72" s="4">
        <f t="shared" si="121"/>
        <v>184.33497816892</v>
      </c>
      <c r="DY72" s="4">
        <f t="shared" si="239"/>
        <v>0.85</v>
      </c>
      <c r="DZ72" s="4">
        <f t="shared" si="81"/>
        <v>0.85000000000000009</v>
      </c>
      <c r="EA72" s="4">
        <f t="shared" si="82"/>
        <v>1</v>
      </c>
      <c r="EB72" s="4">
        <f t="shared" si="83"/>
        <v>0.85000000000000009</v>
      </c>
      <c r="ED72" s="4">
        <f t="shared" si="122"/>
        <v>280.81622876067456</v>
      </c>
      <c r="EE72" s="25">
        <f t="shared" si="123"/>
        <v>181.80779675423688</v>
      </c>
      <c r="EG72" s="4">
        <f t="shared" si="151"/>
        <v>0.72250000000000003</v>
      </c>
      <c r="EH72" s="4">
        <f t="shared" si="84"/>
        <v>5.7900347857029448</v>
      </c>
      <c r="EI72" s="4">
        <f t="shared" si="178"/>
        <v>5.2207585655726314</v>
      </c>
      <c r="EK72" s="4">
        <f t="shared" si="179"/>
        <v>85.722648115885917</v>
      </c>
      <c r="EL72" s="4">
        <f t="shared" si="180"/>
        <v>3.3749074061372411</v>
      </c>
      <c r="EM72" s="4">
        <f t="shared" si="181"/>
        <v>7.0612286989729281E-2</v>
      </c>
      <c r="EP72" s="4">
        <f t="shared" si="182"/>
        <v>7.0612286989729281E-2</v>
      </c>
      <c r="EQ72" s="4">
        <f t="shared" si="183"/>
        <v>0.28132608526885078</v>
      </c>
      <c r="ER72" s="4">
        <f t="shared" si="184"/>
        <v>3.4863033569113027</v>
      </c>
      <c r="ES72" s="4">
        <f t="shared" si="240"/>
        <v>4.7798816002491602</v>
      </c>
      <c r="ET72" s="4">
        <f t="shared" si="186"/>
        <v>200.02735188411407</v>
      </c>
      <c r="EU72" s="4">
        <f t="shared" si="187"/>
        <v>95.25</v>
      </c>
      <c r="EV72" s="4">
        <f t="shared" si="95"/>
        <v>2.5033311258542346E-5</v>
      </c>
      <c r="EW72" s="4">
        <f t="shared" si="241"/>
        <v>5.3523430763972728</v>
      </c>
      <c r="EX72" s="4">
        <f t="shared" si="189"/>
        <v>300.70883580046075</v>
      </c>
      <c r="EY72" s="4">
        <f t="shared" si="190"/>
        <v>92.077351884114066</v>
      </c>
      <c r="EZ72" s="4">
        <f t="shared" si="191"/>
        <v>0</v>
      </c>
      <c r="FB72" s="4">
        <f t="shared" si="100"/>
        <v>161.54313335019481</v>
      </c>
      <c r="FG72" s="23">
        <f t="shared" si="220"/>
        <v>2.2000000000000002</v>
      </c>
      <c r="FH72" s="23">
        <f t="shared" si="220"/>
        <v>0.8</v>
      </c>
      <c r="FI72" s="23">
        <f t="shared" si="234"/>
        <v>1</v>
      </c>
      <c r="FJ72" s="23">
        <f t="shared" si="221"/>
        <v>1.8</v>
      </c>
      <c r="FK72" s="23">
        <f t="shared" si="221"/>
        <v>1.4</v>
      </c>
      <c r="FL72" s="23">
        <f t="shared" si="221"/>
        <v>1.4</v>
      </c>
      <c r="FM72" s="23">
        <f t="shared" si="222"/>
        <v>0</v>
      </c>
      <c r="FN72" s="23"/>
      <c r="FX72" s="4">
        <f t="shared" si="101"/>
        <v>1</v>
      </c>
      <c r="FY72" s="4">
        <f t="shared" si="102"/>
        <v>0.85000000000000009</v>
      </c>
      <c r="FZ72" s="4">
        <f t="shared" si="103"/>
        <v>0</v>
      </c>
      <c r="GA72" s="4">
        <f t="shared" si="104"/>
        <v>376.69505024938655</v>
      </c>
    </row>
    <row r="73" spans="1:185" ht="12" customHeight="1" x14ac:dyDescent="0.3">
      <c r="A73" s="25">
        <v>55</v>
      </c>
      <c r="B73" s="20" t="s">
        <v>54</v>
      </c>
      <c r="C73" s="20">
        <v>2006</v>
      </c>
      <c r="D73" s="24" t="s">
        <v>55</v>
      </c>
      <c r="E73" s="24"/>
      <c r="F73" s="7" t="s">
        <v>282</v>
      </c>
      <c r="G73" s="7">
        <v>472</v>
      </c>
      <c r="H73" s="7">
        <f t="shared" si="209"/>
        <v>381</v>
      </c>
      <c r="I73" s="7">
        <f t="shared" si="134"/>
        <v>177.79999999999998</v>
      </c>
      <c r="J73" s="7">
        <v>26</v>
      </c>
      <c r="K73" s="7">
        <v>25.4</v>
      </c>
      <c r="L73" s="7">
        <f t="shared" si="154"/>
        <v>15</v>
      </c>
      <c r="M73" s="7">
        <v>7</v>
      </c>
      <c r="N73" s="7">
        <f t="shared" si="135"/>
        <v>152.39999999999998</v>
      </c>
      <c r="O73" s="7">
        <f t="shared" si="108"/>
        <v>63.499999999999986</v>
      </c>
      <c r="P73" s="7">
        <f t="shared" si="136"/>
        <v>50.8</v>
      </c>
      <c r="Q73" s="7">
        <v>0</v>
      </c>
      <c r="R73" s="7">
        <v>1</v>
      </c>
      <c r="S73" s="7">
        <f t="shared" si="137"/>
        <v>88.899999999999991</v>
      </c>
      <c r="T73" s="7">
        <f t="shared" si="42"/>
        <v>2.9999999999999996</v>
      </c>
      <c r="U73" s="7">
        <f t="shared" si="138"/>
        <v>4</v>
      </c>
      <c r="V73" s="7">
        <v>10.39</v>
      </c>
      <c r="W73" s="7">
        <f t="shared" si="155"/>
        <v>10.39</v>
      </c>
      <c r="X73" s="7">
        <f t="shared" si="44"/>
        <v>11.39</v>
      </c>
      <c r="Y73" s="7">
        <f t="shared" si="204"/>
        <v>85.722648115885917</v>
      </c>
      <c r="Z73" s="7"/>
      <c r="AA73" s="7"/>
      <c r="AB73" s="7">
        <v>460</v>
      </c>
      <c r="AC73" s="7"/>
      <c r="AD73" s="7"/>
      <c r="AE73" s="7">
        <v>0</v>
      </c>
      <c r="AF73" s="7">
        <v>0</v>
      </c>
      <c r="AG73" s="7">
        <f t="shared" si="156"/>
        <v>177.79999999999998</v>
      </c>
      <c r="AH73" s="7"/>
      <c r="AI73" s="7"/>
      <c r="AJ73" s="7"/>
      <c r="AK73" s="4">
        <f t="shared" si="126"/>
        <v>381</v>
      </c>
      <c r="AL73" s="44">
        <f t="shared" si="157"/>
        <v>5.9259259259259248E-2</v>
      </c>
      <c r="AM73" s="25">
        <f t="shared" si="113"/>
        <v>748.37078117567501</v>
      </c>
      <c r="AN73" s="4">
        <f t="shared" si="114"/>
        <v>0.74</v>
      </c>
      <c r="AO73" s="4">
        <v>1.25</v>
      </c>
      <c r="AP73" s="25">
        <f t="shared" si="115"/>
        <v>5</v>
      </c>
      <c r="AQ73" s="38">
        <f t="shared" si="116"/>
        <v>205.10902891481459</v>
      </c>
      <c r="AR73" s="38">
        <f t="shared" si="117"/>
        <v>205.10902891481459</v>
      </c>
      <c r="AT73" s="38">
        <f t="shared" si="133"/>
        <v>205.10902891481439</v>
      </c>
      <c r="AU73" s="38">
        <f t="shared" si="47"/>
        <v>1.0000000000000009</v>
      </c>
      <c r="AV73" s="38">
        <f t="shared" si="139"/>
        <v>2.7784670830252196</v>
      </c>
      <c r="AW73" s="4">
        <f t="shared" si="158"/>
        <v>0</v>
      </c>
      <c r="AX73" s="4">
        <f t="shared" si="224"/>
        <v>187.85861365868152</v>
      </c>
      <c r="AY73" s="4">
        <f t="shared" si="225"/>
        <v>1.1333333333333333</v>
      </c>
      <c r="AZ73" s="38">
        <f t="shared" si="118"/>
        <v>569.88868527107979</v>
      </c>
      <c r="BA73" s="4">
        <f t="shared" si="226"/>
        <v>0.3</v>
      </c>
      <c r="BB73" s="4">
        <f t="shared" si="51"/>
        <v>29.446837690998329</v>
      </c>
      <c r="BC73" s="4">
        <f t="shared" si="52"/>
        <v>599.33552296207813</v>
      </c>
      <c r="BE73" s="36">
        <f t="shared" si="53"/>
        <v>1.1000000000000001</v>
      </c>
      <c r="BF73" s="36">
        <f t="shared" si="54"/>
        <v>186.21619263640849</v>
      </c>
      <c r="BK73" s="4">
        <f t="shared" si="160"/>
        <v>63.499999999999986</v>
      </c>
      <c r="BL73" s="4">
        <f t="shared" si="161"/>
        <v>63.499999999999986</v>
      </c>
      <c r="BM73" s="4">
        <f t="shared" si="162"/>
        <v>88.899999999999991</v>
      </c>
      <c r="BN73" s="4">
        <f t="shared" si="163"/>
        <v>76.199999999999989</v>
      </c>
      <c r="BO73" s="4">
        <f t="shared" si="164"/>
        <v>1.04</v>
      </c>
      <c r="BP73" s="25">
        <f t="shared" si="119"/>
        <v>3.1199999999999997</v>
      </c>
      <c r="BR73" s="4">
        <f t="shared" si="165"/>
        <v>63.499999999999986</v>
      </c>
      <c r="BV73" s="9"/>
      <c r="BX73" s="9"/>
      <c r="BY73" s="9"/>
      <c r="BZ73" s="9">
        <f t="shared" si="235"/>
        <v>50.8</v>
      </c>
      <c r="CA73" s="9">
        <f t="shared" si="236"/>
        <v>63.499999999999986</v>
      </c>
      <c r="CB73" s="9">
        <f t="shared" si="63"/>
        <v>1.4623505735569622</v>
      </c>
      <c r="CC73" s="9">
        <v>0</v>
      </c>
      <c r="CD73" s="9">
        <f t="shared" si="132"/>
        <v>0</v>
      </c>
      <c r="CE73" s="9">
        <f t="shared" si="65"/>
        <v>0</v>
      </c>
      <c r="CF73" s="9">
        <f t="shared" si="237"/>
        <v>0.99524931562137331</v>
      </c>
      <c r="CG73" s="9">
        <f t="shared" si="238"/>
        <v>1.056</v>
      </c>
      <c r="CH73" s="9">
        <f t="shared" si="68"/>
        <v>1.8756444837875041</v>
      </c>
      <c r="CI73" s="9">
        <f t="shared" si="69"/>
        <v>2.7428497866556087</v>
      </c>
      <c r="CJ73" s="9">
        <v>1</v>
      </c>
      <c r="CK73" s="9">
        <f t="shared" si="70"/>
        <v>241.37078122569358</v>
      </c>
      <c r="CM73" s="4">
        <f t="shared" si="210"/>
        <v>2.4486500301538983</v>
      </c>
      <c r="CN73" s="4">
        <f t="shared" si="211"/>
        <v>0.76751666199686563</v>
      </c>
      <c r="CO73" s="4">
        <f t="shared" si="212"/>
        <v>2.4702470471950893</v>
      </c>
      <c r="CP73" s="4">
        <f t="shared" si="213"/>
        <v>1.9057816263596434</v>
      </c>
      <c r="CQ73" s="4">
        <f t="shared" si="214"/>
        <v>1.3871008429046237</v>
      </c>
      <c r="CR73" s="4">
        <f t="shared" si="215"/>
        <v>1.462886612654708</v>
      </c>
      <c r="CS73" s="4">
        <f t="shared" si="146"/>
        <v>1.1576556740616271</v>
      </c>
      <c r="CU73" s="4">
        <f t="shared" si="216"/>
        <v>2.4486500301538983</v>
      </c>
      <c r="CV73" s="4">
        <f t="shared" si="216"/>
        <v>0.76751666199686563</v>
      </c>
      <c r="CW73" s="4">
        <f t="shared" si="217"/>
        <v>1.9057816263596434</v>
      </c>
      <c r="CX73" s="4">
        <f t="shared" si="218"/>
        <v>1.1576556740616271</v>
      </c>
      <c r="CY73" s="4">
        <f t="shared" si="219"/>
        <v>1.3871008429046237</v>
      </c>
      <c r="CZ73" s="4">
        <f t="shared" si="219"/>
        <v>1.462886612654708</v>
      </c>
      <c r="DH73" s="4">
        <f t="shared" si="171"/>
        <v>0</v>
      </c>
      <c r="DI73" s="4">
        <f t="shared" si="172"/>
        <v>381</v>
      </c>
      <c r="DJ73" s="4">
        <f t="shared" si="173"/>
        <v>0.46666666666666662</v>
      </c>
      <c r="DL73" s="4">
        <f t="shared" si="174"/>
        <v>2.6015824312812745E-5</v>
      </c>
      <c r="DM73" s="4">
        <f t="shared" si="175"/>
        <v>6.4425559602163514</v>
      </c>
      <c r="DN73" s="4">
        <f t="shared" si="176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38">
        <f t="shared" si="120"/>
        <v>331.62693422977708</v>
      </c>
      <c r="DS73" s="4">
        <f t="shared" si="79"/>
        <v>1.000178286690298</v>
      </c>
      <c r="DT73" s="4">
        <f t="shared" si="150"/>
        <v>3.3749074061372411</v>
      </c>
      <c r="DU73" s="4">
        <f t="shared" si="121"/>
        <v>205.10902891481439</v>
      </c>
      <c r="DY73" s="4">
        <f t="shared" si="239"/>
        <v>0.85</v>
      </c>
      <c r="DZ73" s="4">
        <f t="shared" si="81"/>
        <v>0.85000000000000009</v>
      </c>
      <c r="EA73" s="4">
        <f t="shared" si="82"/>
        <v>1</v>
      </c>
      <c r="EB73" s="4">
        <f t="shared" si="83"/>
        <v>0.85000000000000009</v>
      </c>
      <c r="ED73" s="4">
        <f t="shared" si="122"/>
        <v>314.44679035324248</v>
      </c>
      <c r="EE73" s="25">
        <f t="shared" si="123"/>
        <v>202.29704102729465</v>
      </c>
      <c r="EG73" s="4">
        <f t="shared" si="151"/>
        <v>0.72250000000000003</v>
      </c>
      <c r="EH73" s="4">
        <f t="shared" si="84"/>
        <v>6.4425559602163514</v>
      </c>
      <c r="EI73" s="4">
        <f t="shared" si="178"/>
        <v>5.8091238582078786</v>
      </c>
      <c r="EK73" s="4">
        <f t="shared" si="179"/>
        <v>85.722648115885917</v>
      </c>
      <c r="EL73" s="4">
        <f t="shared" si="180"/>
        <v>3.3749074061372411</v>
      </c>
      <c r="EM73" s="4">
        <f t="shared" si="181"/>
        <v>7.0612286989729267E-2</v>
      </c>
      <c r="EP73" s="4">
        <f t="shared" si="182"/>
        <v>7.0612286989729267E-2</v>
      </c>
      <c r="EQ73" s="4">
        <f t="shared" si="183"/>
        <v>0.25283254501643132</v>
      </c>
      <c r="ER73" s="4">
        <f t="shared" si="184"/>
        <v>3.7169899774024113</v>
      </c>
      <c r="ES73" s="4">
        <f t="shared" si="240"/>
        <v>5.2606106739009268</v>
      </c>
      <c r="ET73" s="4">
        <f t="shared" si="186"/>
        <v>200.02735188411407</v>
      </c>
      <c r="EU73" s="4">
        <f t="shared" si="187"/>
        <v>95.25</v>
      </c>
      <c r="EV73" s="4">
        <f t="shared" si="95"/>
        <v>2.6015824312812745E-5</v>
      </c>
      <c r="EW73" s="4">
        <f t="shared" si="241"/>
        <v>5.8889924951648212</v>
      </c>
      <c r="EX73" s="4">
        <f t="shared" si="189"/>
        <v>331.56782010052206</v>
      </c>
      <c r="EY73" s="4">
        <f t="shared" si="190"/>
        <v>92.077351884114066</v>
      </c>
      <c r="EZ73" s="4">
        <f t="shared" si="191"/>
        <v>0</v>
      </c>
      <c r="FB73" s="4">
        <f t="shared" si="100"/>
        <v>177.765268883788</v>
      </c>
      <c r="FG73" s="23">
        <f t="shared" si="220"/>
        <v>2.2000000000000002</v>
      </c>
      <c r="FH73" s="23">
        <f t="shared" si="220"/>
        <v>0.8</v>
      </c>
      <c r="FI73" s="23">
        <f t="shared" si="234"/>
        <v>1.2</v>
      </c>
      <c r="FJ73" s="23">
        <f t="shared" si="221"/>
        <v>2</v>
      </c>
      <c r="FK73" s="23">
        <f t="shared" si="221"/>
        <v>1.4</v>
      </c>
      <c r="FL73" s="23">
        <f t="shared" si="221"/>
        <v>1.6</v>
      </c>
      <c r="FM73" s="23">
        <f t="shared" si="222"/>
        <v>0</v>
      </c>
      <c r="FN73" s="23"/>
      <c r="FX73" s="4">
        <f t="shared" si="101"/>
        <v>1</v>
      </c>
      <c r="FY73" s="4">
        <f t="shared" si="102"/>
        <v>0.85000000000000009</v>
      </c>
      <c r="FZ73" s="4">
        <f t="shared" si="103"/>
        <v>0</v>
      </c>
      <c r="GA73" s="4">
        <f t="shared" si="104"/>
        <v>397.35476645321762</v>
      </c>
      <c r="GC73" s="4">
        <f>60000/145</f>
        <v>413.79310344827587</v>
      </c>
    </row>
    <row r="74" spans="1:185" ht="12" customHeight="1" x14ac:dyDescent="0.3">
      <c r="A74" s="25">
        <v>56</v>
      </c>
      <c r="B74" s="20" t="s">
        <v>54</v>
      </c>
      <c r="C74" s="20">
        <v>2006</v>
      </c>
      <c r="D74" s="24" t="s">
        <v>55</v>
      </c>
      <c r="E74" s="24"/>
      <c r="F74" s="7" t="s">
        <v>77</v>
      </c>
      <c r="G74" s="7">
        <v>472</v>
      </c>
      <c r="H74" s="7">
        <f>25*25.4</f>
        <v>635</v>
      </c>
      <c r="I74" s="7">
        <f t="shared" si="134"/>
        <v>177.79999999999998</v>
      </c>
      <c r="J74" s="7">
        <v>28</v>
      </c>
      <c r="K74" s="7">
        <v>25.4</v>
      </c>
      <c r="L74" s="7">
        <f t="shared" si="154"/>
        <v>25</v>
      </c>
      <c r="M74" s="7">
        <v>7</v>
      </c>
      <c r="N74" s="7">
        <f t="shared" si="135"/>
        <v>152.39999999999998</v>
      </c>
      <c r="O74" s="7">
        <f t="shared" si="108"/>
        <v>63.499999999999986</v>
      </c>
      <c r="P74" s="7">
        <f t="shared" si="136"/>
        <v>50.8</v>
      </c>
      <c r="Q74" s="7">
        <v>0</v>
      </c>
      <c r="R74" s="7">
        <v>1</v>
      </c>
      <c r="S74" s="7">
        <f t="shared" si="137"/>
        <v>88.899999999999991</v>
      </c>
      <c r="T74" s="7">
        <f t="shared" si="42"/>
        <v>2.9999999999999996</v>
      </c>
      <c r="U74" s="7">
        <f t="shared" si="138"/>
        <v>4</v>
      </c>
      <c r="V74" s="7">
        <v>1.18</v>
      </c>
      <c r="W74" s="7">
        <f t="shared" si="155"/>
        <v>1.18</v>
      </c>
      <c r="X74" s="7">
        <f t="shared" si="44"/>
        <v>2.1799999999999997</v>
      </c>
      <c r="Y74" s="7">
        <f t="shared" si="204"/>
        <v>37.502650572992827</v>
      </c>
      <c r="Z74" s="7"/>
      <c r="AA74" s="7"/>
      <c r="AB74" s="7">
        <v>412</v>
      </c>
      <c r="AC74" s="7"/>
      <c r="AD74" s="7"/>
      <c r="AE74" s="7">
        <v>0</v>
      </c>
      <c r="AF74" s="7">
        <v>0</v>
      </c>
      <c r="AG74" s="7">
        <f t="shared" si="156"/>
        <v>177.79999999999998</v>
      </c>
      <c r="AH74" s="7"/>
      <c r="AI74" s="7"/>
      <c r="AJ74" s="7"/>
      <c r="AK74" s="4">
        <f t="shared" si="126"/>
        <v>635</v>
      </c>
      <c r="AL74" s="44">
        <f t="shared" si="157"/>
        <v>2.1333333333333329E-2</v>
      </c>
      <c r="AM74" s="25">
        <f t="shared" si="113"/>
        <v>1671.0224668242358</v>
      </c>
      <c r="AN74" s="4">
        <f t="shared" si="114"/>
        <v>0.72399999999999998</v>
      </c>
      <c r="AO74" s="4">
        <v>1.25</v>
      </c>
      <c r="AP74" s="25">
        <f t="shared" si="115"/>
        <v>5</v>
      </c>
      <c r="AQ74" s="38">
        <f t="shared" si="116"/>
        <v>161.30936879743288</v>
      </c>
      <c r="AR74" s="38">
        <f t="shared" si="117"/>
        <v>161.30936879743288</v>
      </c>
      <c r="AT74" s="38">
        <f t="shared" si="133"/>
        <v>161.30936879743294</v>
      </c>
      <c r="AU74" s="38">
        <f t="shared" si="47"/>
        <v>0.99999999999999967</v>
      </c>
      <c r="AV74" s="38">
        <f t="shared" si="139"/>
        <v>1.2821781034440662</v>
      </c>
      <c r="AW74" s="4">
        <f t="shared" si="158"/>
        <v>0</v>
      </c>
      <c r="AX74" s="4">
        <f t="shared" si="224"/>
        <v>194.95009660475932</v>
      </c>
      <c r="AY74" s="4">
        <f t="shared" si="225"/>
        <v>1.1333333333333333</v>
      </c>
      <c r="AZ74" s="38">
        <f t="shared" si="118"/>
        <v>206.827340552452</v>
      </c>
      <c r="BA74" s="4">
        <f t="shared" si="226"/>
        <v>0.83479999999999999</v>
      </c>
      <c r="BB74" s="4">
        <f t="shared" si="51"/>
        <v>85.033917987353718</v>
      </c>
      <c r="BC74" s="4">
        <f t="shared" si="52"/>
        <v>291.8612585398057</v>
      </c>
      <c r="BE74" s="36">
        <f t="shared" si="53"/>
        <v>1.1000000000000001</v>
      </c>
      <c r="BF74" s="36">
        <f t="shared" si="54"/>
        <v>193.24567576015772</v>
      </c>
      <c r="BK74" s="4">
        <f t="shared" si="160"/>
        <v>63.499999999999986</v>
      </c>
      <c r="BL74" s="4">
        <f t="shared" si="161"/>
        <v>63.499999999999986</v>
      </c>
      <c r="BM74" s="4">
        <f t="shared" si="162"/>
        <v>88.899999999999991</v>
      </c>
      <c r="BN74" s="4">
        <f t="shared" si="163"/>
        <v>76.199999999999989</v>
      </c>
      <c r="BO74" s="4">
        <f t="shared" si="164"/>
        <v>1.04</v>
      </c>
      <c r="BP74" s="25">
        <f t="shared" si="119"/>
        <v>3.1199999999999997</v>
      </c>
      <c r="BR74" s="4">
        <f t="shared" si="165"/>
        <v>63.499999999999986</v>
      </c>
      <c r="BV74" s="9"/>
      <c r="BX74" s="9"/>
      <c r="BY74" s="9"/>
      <c r="BZ74" s="9">
        <f t="shared" si="235"/>
        <v>50.8</v>
      </c>
      <c r="CA74" s="9">
        <f t="shared" si="236"/>
        <v>63.499999999999986</v>
      </c>
      <c r="CB74" s="9">
        <f t="shared" si="63"/>
        <v>1.4623505735569622</v>
      </c>
      <c r="CC74" s="9">
        <v>0</v>
      </c>
      <c r="CD74" s="9">
        <f t="shared" si="132"/>
        <v>0</v>
      </c>
      <c r="CE74" s="9">
        <f t="shared" si="65"/>
        <v>0</v>
      </c>
      <c r="CF74" s="9">
        <f t="shared" si="237"/>
        <v>0.99524931562137331</v>
      </c>
      <c r="CG74" s="9">
        <f t="shared" si="238"/>
        <v>1.056</v>
      </c>
      <c r="CH74" s="9">
        <f t="shared" si="68"/>
        <v>1.9464482686693119</v>
      </c>
      <c r="CI74" s="9">
        <f t="shared" si="69"/>
        <v>2.8463897420875242</v>
      </c>
      <c r="CJ74" s="9">
        <v>1</v>
      </c>
      <c r="CK74" s="9">
        <f t="shared" si="70"/>
        <v>250.48229730370213</v>
      </c>
      <c r="CM74" s="4">
        <f t="shared" si="210"/>
        <v>2.1133613533687359</v>
      </c>
      <c r="CN74" s="4">
        <f t="shared" si="211"/>
        <v>1.4116296286161909</v>
      </c>
      <c r="CO74" s="4">
        <f t="shared" si="212"/>
        <v>2.1320011347179846</v>
      </c>
      <c r="CP74" s="4">
        <f t="shared" si="213"/>
        <v>1.6448268178427898</v>
      </c>
      <c r="CQ74" s="4">
        <f t="shared" si="214"/>
        <v>1.2315999827566606</v>
      </c>
      <c r="CR74" s="4">
        <f t="shared" si="215"/>
        <v>1.6594714708343867</v>
      </c>
      <c r="CS74" s="4">
        <f t="shared" si="146"/>
        <v>0.61069430303833316</v>
      </c>
      <c r="CU74" s="4">
        <f t="shared" si="216"/>
        <v>2.1133613533687359</v>
      </c>
      <c r="CV74" s="4">
        <f t="shared" si="216"/>
        <v>1.4116296286161909</v>
      </c>
      <c r="CW74" s="4">
        <f t="shared" si="217"/>
        <v>1.6448268178427898</v>
      </c>
      <c r="CX74" s="4">
        <f t="shared" si="218"/>
        <v>0.61069430303833316</v>
      </c>
      <c r="CY74" s="4">
        <f t="shared" si="219"/>
        <v>1.2315999827566606</v>
      </c>
      <c r="CZ74" s="4">
        <f t="shared" si="219"/>
        <v>1.6594714708343867</v>
      </c>
      <c r="DH74" s="4">
        <f t="shared" si="171"/>
        <v>0</v>
      </c>
      <c r="DI74" s="4">
        <f t="shared" si="172"/>
        <v>635</v>
      </c>
      <c r="DJ74" s="4">
        <f t="shared" si="173"/>
        <v>0.27999999999999997</v>
      </c>
      <c r="DL74" s="4">
        <f t="shared" si="174"/>
        <v>4.4003395705642358E-5</v>
      </c>
      <c r="DM74" s="4">
        <f t="shared" si="175"/>
        <v>6.6857562842857838</v>
      </c>
      <c r="DN74" s="4">
        <f t="shared" si="176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38">
        <f t="shared" si="120"/>
        <v>334.52420085118086</v>
      </c>
      <c r="DS74" s="4">
        <f t="shared" si="79"/>
        <v>1.0004038645523856</v>
      </c>
      <c r="DT74" s="4">
        <f t="shared" si="150"/>
        <v>1.4764823060233399</v>
      </c>
      <c r="DU74" s="4">
        <f t="shared" si="121"/>
        <v>161.30936879743294</v>
      </c>
      <c r="DY74" s="4">
        <f t="shared" si="239"/>
        <v>0.85</v>
      </c>
      <c r="DZ74" s="4">
        <f t="shared" si="81"/>
        <v>0.85000000000000009</v>
      </c>
      <c r="EA74" s="4">
        <f t="shared" si="82"/>
        <v>1</v>
      </c>
      <c r="EB74" s="4">
        <f t="shared" si="83"/>
        <v>0.85000000000000009</v>
      </c>
      <c r="ED74" s="4">
        <f t="shared" si="122"/>
        <v>248.27181861273294</v>
      </c>
      <c r="EE74" s="25">
        <f t="shared" si="123"/>
        <v>159.65722173545257</v>
      </c>
      <c r="EG74" s="4">
        <f t="shared" si="151"/>
        <v>0.72250000000000003</v>
      </c>
      <c r="EH74" s="4">
        <f t="shared" si="84"/>
        <v>6.6857562842857838</v>
      </c>
      <c r="EI74" s="4">
        <f t="shared" si="178"/>
        <v>6.028412726414806</v>
      </c>
      <c r="EK74" s="4">
        <f t="shared" si="179"/>
        <v>37.502650572992827</v>
      </c>
      <c r="EL74" s="4">
        <f t="shared" si="180"/>
        <v>1.4764823060233399</v>
      </c>
      <c r="EM74" s="4">
        <f t="shared" si="181"/>
        <v>0.20614019109983853</v>
      </c>
      <c r="EP74" s="4">
        <f t="shared" si="182"/>
        <v>0.20614019109983853</v>
      </c>
      <c r="EQ74" s="4">
        <f t="shared" si="183"/>
        <v>0.71125123137124935</v>
      </c>
      <c r="ER74" s="4">
        <f t="shared" si="184"/>
        <v>5.8339103865656092</v>
      </c>
      <c r="ES74" s="4">
        <f t="shared" si="240"/>
        <v>6.2743133074683879</v>
      </c>
      <c r="ET74" s="4">
        <f t="shared" si="186"/>
        <v>438.74734942700718</v>
      </c>
      <c r="EU74" s="4">
        <f t="shared" si="187"/>
        <v>158.75</v>
      </c>
      <c r="EV74" s="4">
        <f t="shared" si="95"/>
        <v>4.4003395705642358E-5</v>
      </c>
      <c r="EW74" s="4">
        <f t="shared" si="241"/>
        <v>4.7169759597255663</v>
      </c>
      <c r="EX74" s="4">
        <f t="shared" si="189"/>
        <v>334.389152925612</v>
      </c>
      <c r="EY74" s="4">
        <f t="shared" si="190"/>
        <v>140.29734942700716</v>
      </c>
      <c r="EZ74" s="4">
        <f t="shared" si="191"/>
        <v>0</v>
      </c>
      <c r="FB74" s="4">
        <f t="shared" si="100"/>
        <v>412.81712444415342</v>
      </c>
      <c r="FG74" s="23">
        <f t="shared" si="220"/>
        <v>2.2000000000000002</v>
      </c>
      <c r="FH74" s="23">
        <f t="shared" si="220"/>
        <v>1.6</v>
      </c>
      <c r="FI74" s="23">
        <f t="shared" si="234"/>
        <v>0.8</v>
      </c>
      <c r="FJ74" s="23">
        <f t="shared" si="221"/>
        <v>1.8</v>
      </c>
      <c r="FK74" s="23">
        <f t="shared" si="221"/>
        <v>1.4</v>
      </c>
      <c r="FL74" s="23">
        <f t="shared" si="221"/>
        <v>1.8</v>
      </c>
      <c r="FM74" s="23">
        <f t="shared" si="222"/>
        <v>0</v>
      </c>
      <c r="FN74" s="23"/>
      <c r="FX74" s="4">
        <f t="shared" si="101"/>
        <v>1</v>
      </c>
      <c r="FY74" s="4">
        <f t="shared" si="102"/>
        <v>0.85000000000000009</v>
      </c>
      <c r="FZ74" s="4">
        <f t="shared" si="103"/>
        <v>0</v>
      </c>
      <c r="GA74" s="4">
        <f t="shared" si="104"/>
        <v>674.64195744124834</v>
      </c>
    </row>
    <row r="75" spans="1:185" ht="12" customHeight="1" x14ac:dyDescent="0.3">
      <c r="A75" s="25">
        <v>57</v>
      </c>
      <c r="B75" s="20" t="s">
        <v>54</v>
      </c>
      <c r="C75" s="20">
        <v>2006</v>
      </c>
      <c r="D75" s="24" t="s">
        <v>55</v>
      </c>
      <c r="E75" s="24"/>
      <c r="F75" s="7" t="s">
        <v>69</v>
      </c>
      <c r="G75" s="7">
        <v>472</v>
      </c>
      <c r="H75" s="7">
        <f t="shared" ref="H75:H78" si="242">25*25.4</f>
        <v>635</v>
      </c>
      <c r="I75" s="7">
        <f t="shared" si="134"/>
        <v>177.79999999999998</v>
      </c>
      <c r="J75" s="7">
        <v>28</v>
      </c>
      <c r="K75" s="7">
        <v>25.4</v>
      </c>
      <c r="L75" s="7">
        <f t="shared" si="154"/>
        <v>25</v>
      </c>
      <c r="M75" s="7">
        <v>7</v>
      </c>
      <c r="N75" s="7">
        <f t="shared" si="135"/>
        <v>152.39999999999998</v>
      </c>
      <c r="O75" s="7">
        <f t="shared" si="108"/>
        <v>63.499999999999986</v>
      </c>
      <c r="P75" s="7">
        <f t="shared" si="136"/>
        <v>50.8</v>
      </c>
      <c r="Q75" s="7">
        <v>0</v>
      </c>
      <c r="R75" s="7">
        <v>1</v>
      </c>
      <c r="S75" s="7">
        <f t="shared" si="137"/>
        <v>88.899999999999991</v>
      </c>
      <c r="T75" s="7">
        <f t="shared" si="42"/>
        <v>2.9999999999999996</v>
      </c>
      <c r="U75" s="7">
        <f t="shared" si="138"/>
        <v>4</v>
      </c>
      <c r="V75" s="7">
        <v>1.85</v>
      </c>
      <c r="W75" s="7">
        <f t="shared" si="155"/>
        <v>1.85</v>
      </c>
      <c r="X75" s="7">
        <f t="shared" si="44"/>
        <v>2.85</v>
      </c>
      <c r="Y75" s="7">
        <f t="shared" si="204"/>
        <v>42.880135260980694</v>
      </c>
      <c r="Z75" s="7"/>
      <c r="AA75" s="7"/>
      <c r="AB75" s="7">
        <v>472</v>
      </c>
      <c r="AC75" s="7"/>
      <c r="AD75" s="7"/>
      <c r="AE75" s="7">
        <v>0</v>
      </c>
      <c r="AF75" s="7">
        <v>0</v>
      </c>
      <c r="AG75" s="7">
        <f t="shared" si="156"/>
        <v>177.79999999999998</v>
      </c>
      <c r="AH75" s="7"/>
      <c r="AI75" s="7"/>
      <c r="AJ75" s="7"/>
      <c r="AK75" s="4">
        <f t="shared" si="126"/>
        <v>635</v>
      </c>
      <c r="AL75" s="44">
        <f t="shared" si="157"/>
        <v>2.1333333333333329E-2</v>
      </c>
      <c r="AM75" s="25">
        <f t="shared" si="113"/>
        <v>1671.0224668242358</v>
      </c>
      <c r="AN75" s="4">
        <f t="shared" si="114"/>
        <v>0.72399999999999998</v>
      </c>
      <c r="AO75" s="4">
        <v>1.25</v>
      </c>
      <c r="AP75" s="25">
        <f t="shared" si="115"/>
        <v>5</v>
      </c>
      <c r="AQ75" s="38">
        <f t="shared" si="116"/>
        <v>161.30936879743288</v>
      </c>
      <c r="AR75" s="38">
        <f t="shared" si="117"/>
        <v>161.30936879743288</v>
      </c>
      <c r="AT75" s="38">
        <f t="shared" si="133"/>
        <v>161.30936879743294</v>
      </c>
      <c r="AU75" s="38">
        <f t="shared" si="47"/>
        <v>0.99999999999999967</v>
      </c>
      <c r="AV75" s="38">
        <f t="shared" si="139"/>
        <v>1.6054368101305474</v>
      </c>
      <c r="AW75" s="4">
        <f t="shared" si="158"/>
        <v>0</v>
      </c>
      <c r="AX75" s="4">
        <f t="shared" si="224"/>
        <v>194.95009660475932</v>
      </c>
      <c r="AY75" s="4">
        <f t="shared" si="225"/>
        <v>1.1333333333333333</v>
      </c>
      <c r="AZ75" s="38">
        <f t="shared" si="118"/>
        <v>258.97199848632278</v>
      </c>
      <c r="BA75" s="4">
        <f t="shared" si="226"/>
        <v>0.74099999999999999</v>
      </c>
      <c r="BB75" s="4">
        <f t="shared" si="51"/>
        <v>75.479316277706175</v>
      </c>
      <c r="BC75" s="4">
        <f t="shared" si="52"/>
        <v>334.45131476402895</v>
      </c>
      <c r="BE75" s="36">
        <f t="shared" si="53"/>
        <v>1.1000000000000001</v>
      </c>
      <c r="BF75" s="36">
        <f t="shared" si="54"/>
        <v>193.24567576015772</v>
      </c>
      <c r="BK75" s="4">
        <f t="shared" si="160"/>
        <v>63.499999999999986</v>
      </c>
      <c r="BL75" s="4">
        <f t="shared" si="161"/>
        <v>63.499999999999986</v>
      </c>
      <c r="BM75" s="4">
        <f t="shared" si="162"/>
        <v>88.899999999999991</v>
      </c>
      <c r="BN75" s="4">
        <f t="shared" si="163"/>
        <v>76.199999999999989</v>
      </c>
      <c r="BO75" s="4">
        <f t="shared" si="164"/>
        <v>1.04</v>
      </c>
      <c r="BP75" s="25">
        <f t="shared" si="119"/>
        <v>3.1199999999999997</v>
      </c>
      <c r="BR75" s="4">
        <f t="shared" si="165"/>
        <v>63.499999999999986</v>
      </c>
      <c r="BV75" s="9"/>
      <c r="BX75" s="9"/>
      <c r="BY75" s="9"/>
      <c r="BZ75" s="9">
        <f t="shared" si="235"/>
        <v>50.8</v>
      </c>
      <c r="CA75" s="9">
        <f t="shared" si="236"/>
        <v>63.499999999999986</v>
      </c>
      <c r="CB75" s="9">
        <f t="shared" si="63"/>
        <v>1.4623505735569622</v>
      </c>
      <c r="CC75" s="9">
        <v>0</v>
      </c>
      <c r="CD75" s="9">
        <f t="shared" si="132"/>
        <v>0</v>
      </c>
      <c r="CE75" s="9">
        <f t="shared" si="65"/>
        <v>0</v>
      </c>
      <c r="CF75" s="9">
        <f t="shared" si="237"/>
        <v>0.99524931562137331</v>
      </c>
      <c r="CG75" s="9">
        <f t="shared" si="238"/>
        <v>1.056</v>
      </c>
      <c r="CH75" s="9">
        <f t="shared" si="68"/>
        <v>1.9464482686693119</v>
      </c>
      <c r="CI75" s="9">
        <f t="shared" si="69"/>
        <v>2.8463897420875242</v>
      </c>
      <c r="CJ75" s="9">
        <v>1</v>
      </c>
      <c r="CK75" s="9">
        <f t="shared" si="70"/>
        <v>250.48229730370213</v>
      </c>
      <c r="CM75" s="4">
        <f t="shared" si="210"/>
        <v>2.4211324242476784</v>
      </c>
      <c r="CN75" s="4">
        <f t="shared" si="211"/>
        <v>1.4112666901399926</v>
      </c>
      <c r="CO75" s="4">
        <f t="shared" si="212"/>
        <v>2.4424867368613805</v>
      </c>
      <c r="CP75" s="4">
        <f t="shared" si="213"/>
        <v>1.8843647039364</v>
      </c>
      <c r="CQ75" s="4">
        <f t="shared" si="214"/>
        <v>1.4619141424540527</v>
      </c>
      <c r="CR75" s="4">
        <f t="shared" si="215"/>
        <v>1.8118062019953518</v>
      </c>
      <c r="CS75" s="4">
        <f t="shared" si="146"/>
        <v>0.69963036658760502</v>
      </c>
      <c r="CU75" s="4">
        <f t="shared" si="216"/>
        <v>2.4211324242476784</v>
      </c>
      <c r="CV75" s="4">
        <f t="shared" si="216"/>
        <v>1.4112666901399926</v>
      </c>
      <c r="CW75" s="4">
        <f t="shared" si="217"/>
        <v>1.8843647039364</v>
      </c>
      <c r="CX75" s="4">
        <f t="shared" si="218"/>
        <v>0.69963036658760502</v>
      </c>
      <c r="CY75" s="4">
        <f t="shared" si="219"/>
        <v>1.4619141424540527</v>
      </c>
      <c r="CZ75" s="4">
        <f t="shared" si="219"/>
        <v>1.8118062019953518</v>
      </c>
      <c r="DH75" s="4">
        <f t="shared" si="171"/>
        <v>0</v>
      </c>
      <c r="DI75" s="4">
        <f t="shared" si="172"/>
        <v>635</v>
      </c>
      <c r="DJ75" s="4">
        <f t="shared" si="173"/>
        <v>0.27999999999999997</v>
      </c>
      <c r="DL75" s="4">
        <f t="shared" si="174"/>
        <v>4.4003395705642358E-5</v>
      </c>
      <c r="DM75" s="4">
        <f t="shared" si="175"/>
        <v>6.6857562842857838</v>
      </c>
      <c r="DN75" s="4">
        <f t="shared" si="176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38">
        <f t="shared" si="120"/>
        <v>322.86437779969333</v>
      </c>
      <c r="DS75" s="4">
        <f t="shared" si="79"/>
        <v>1.0003506660726607</v>
      </c>
      <c r="DT75" s="4">
        <f t="shared" si="150"/>
        <v>1.6881943016134133</v>
      </c>
      <c r="DU75" s="4">
        <f t="shared" si="121"/>
        <v>161.30936879743294</v>
      </c>
      <c r="DY75" s="4">
        <f t="shared" si="239"/>
        <v>0.85</v>
      </c>
      <c r="DZ75" s="4">
        <f t="shared" si="81"/>
        <v>0.85000000000000009</v>
      </c>
      <c r="EA75" s="4">
        <f t="shared" si="82"/>
        <v>1</v>
      </c>
      <c r="EB75" s="4">
        <f t="shared" si="83"/>
        <v>0.85000000000000009</v>
      </c>
      <c r="ED75" s="4">
        <f t="shared" si="122"/>
        <v>260.51351379644461</v>
      </c>
      <c r="EE75" s="25">
        <f t="shared" si="123"/>
        <v>159.65722173545257</v>
      </c>
      <c r="EG75" s="4">
        <f t="shared" si="151"/>
        <v>0.72250000000000003</v>
      </c>
      <c r="EH75" s="4">
        <f t="shared" si="84"/>
        <v>6.6857562842857838</v>
      </c>
      <c r="EI75" s="4">
        <f t="shared" si="178"/>
        <v>6.028412726414806</v>
      </c>
      <c r="EK75" s="4">
        <f t="shared" si="179"/>
        <v>42.880135260980694</v>
      </c>
      <c r="EL75" s="4">
        <f t="shared" si="180"/>
        <v>1.6881943016134133</v>
      </c>
      <c r="EM75" s="4">
        <f t="shared" si="181"/>
        <v>0.15033743507491476</v>
      </c>
      <c r="EP75" s="4">
        <f t="shared" si="182"/>
        <v>0.15033743507491476</v>
      </c>
      <c r="EQ75" s="4">
        <f t="shared" si="183"/>
        <v>0.51871343112532964</v>
      </c>
      <c r="ER75" s="4">
        <f t="shared" si="184"/>
        <v>5.1418752832648664</v>
      </c>
      <c r="ES75" s="4">
        <f t="shared" si="240"/>
        <v>5.9640685338779997</v>
      </c>
      <c r="ET75" s="4">
        <f t="shared" si="186"/>
        <v>433.36986473901931</v>
      </c>
      <c r="EU75" s="4">
        <f t="shared" si="187"/>
        <v>158.74999999999994</v>
      </c>
      <c r="EV75" s="4">
        <f t="shared" si="95"/>
        <v>4.4003395705642344E-5</v>
      </c>
      <c r="EW75" s="4">
        <f t="shared" si="241"/>
        <v>4.8105683267270267</v>
      </c>
      <c r="EX75" s="4">
        <f t="shared" si="189"/>
        <v>322.7511999039765</v>
      </c>
      <c r="EY75" s="4">
        <f t="shared" si="190"/>
        <v>134.91986473901929</v>
      </c>
      <c r="EZ75" s="4">
        <f t="shared" si="191"/>
        <v>0</v>
      </c>
      <c r="FB75" s="4">
        <f t="shared" si="100"/>
        <v>400.57542926044175</v>
      </c>
      <c r="FG75" s="23">
        <f t="shared" si="220"/>
        <v>2.2000000000000002</v>
      </c>
      <c r="FH75" s="23">
        <f t="shared" si="220"/>
        <v>1.6</v>
      </c>
      <c r="FI75" s="23">
        <f t="shared" si="234"/>
        <v>0.8</v>
      </c>
      <c r="FJ75" s="23">
        <f t="shared" si="221"/>
        <v>2</v>
      </c>
      <c r="FK75" s="23">
        <f t="shared" si="221"/>
        <v>1.6</v>
      </c>
      <c r="FL75" s="23">
        <f t="shared" si="221"/>
        <v>2</v>
      </c>
      <c r="FM75" s="23">
        <f t="shared" si="222"/>
        <v>0</v>
      </c>
      <c r="FN75" s="23"/>
      <c r="FX75" s="4">
        <f t="shared" si="101"/>
        <v>1</v>
      </c>
      <c r="FY75" s="4">
        <f t="shared" si="102"/>
        <v>0.85000000000000009</v>
      </c>
      <c r="FZ75" s="4">
        <f t="shared" si="103"/>
        <v>0</v>
      </c>
      <c r="GA75" s="4">
        <f t="shared" si="104"/>
        <v>674.64195744124834</v>
      </c>
    </row>
    <row r="76" spans="1:185" ht="12" customHeight="1" x14ac:dyDescent="0.3">
      <c r="A76" s="25">
        <v>58</v>
      </c>
      <c r="B76" s="20" t="s">
        <v>54</v>
      </c>
      <c r="C76" s="20">
        <v>2006</v>
      </c>
      <c r="D76" s="24" t="s">
        <v>55</v>
      </c>
      <c r="E76" s="24"/>
      <c r="F76" s="7" t="s">
        <v>68</v>
      </c>
      <c r="G76" s="7">
        <v>472</v>
      </c>
      <c r="H76" s="7">
        <f t="shared" si="242"/>
        <v>635</v>
      </c>
      <c r="I76" s="7">
        <f t="shared" si="134"/>
        <v>177.79999999999998</v>
      </c>
      <c r="J76" s="7">
        <v>28</v>
      </c>
      <c r="K76" s="7">
        <v>25.4</v>
      </c>
      <c r="L76" s="7">
        <f t="shared" si="154"/>
        <v>25</v>
      </c>
      <c r="M76" s="7">
        <v>7</v>
      </c>
      <c r="N76" s="7">
        <f t="shared" si="135"/>
        <v>152.39999999999998</v>
      </c>
      <c r="O76" s="7">
        <f t="shared" si="108"/>
        <v>63.499999999999986</v>
      </c>
      <c r="P76" s="7">
        <f t="shared" si="136"/>
        <v>50.8</v>
      </c>
      <c r="Q76" s="7">
        <v>0</v>
      </c>
      <c r="R76" s="7">
        <v>1</v>
      </c>
      <c r="S76" s="7">
        <f t="shared" si="137"/>
        <v>88.899999999999991</v>
      </c>
      <c r="T76" s="7">
        <f t="shared" si="42"/>
        <v>2.9999999999999996</v>
      </c>
      <c r="U76" s="7">
        <f t="shared" si="138"/>
        <v>4</v>
      </c>
      <c r="V76" s="7">
        <v>4.04</v>
      </c>
      <c r="W76" s="7">
        <f t="shared" si="155"/>
        <v>4.04</v>
      </c>
      <c r="X76" s="7">
        <f t="shared" si="44"/>
        <v>5.04</v>
      </c>
      <c r="Y76" s="7">
        <f t="shared" si="204"/>
        <v>57.022858574434863</v>
      </c>
      <c r="Z76" s="7"/>
      <c r="AA76" s="7"/>
      <c r="AB76" s="7">
        <v>421</v>
      </c>
      <c r="AC76" s="7"/>
      <c r="AD76" s="7"/>
      <c r="AE76" s="7">
        <v>0</v>
      </c>
      <c r="AF76" s="7">
        <v>0</v>
      </c>
      <c r="AG76" s="7">
        <f t="shared" si="156"/>
        <v>177.79999999999998</v>
      </c>
      <c r="AH76" s="7"/>
      <c r="AI76" s="7"/>
      <c r="AJ76" s="7"/>
      <c r="AK76" s="4">
        <f t="shared" si="126"/>
        <v>635</v>
      </c>
      <c r="AL76" s="44">
        <f t="shared" si="157"/>
        <v>2.1333333333333329E-2</v>
      </c>
      <c r="AM76" s="25">
        <f t="shared" si="113"/>
        <v>1671.0224668242358</v>
      </c>
      <c r="AN76" s="4">
        <f t="shared" si="114"/>
        <v>0.72399999999999998</v>
      </c>
      <c r="AO76" s="4">
        <v>1.25</v>
      </c>
      <c r="AP76" s="25">
        <f t="shared" si="115"/>
        <v>5</v>
      </c>
      <c r="AQ76" s="38">
        <f t="shared" si="116"/>
        <v>161.30936879743288</v>
      </c>
      <c r="AR76" s="38">
        <f t="shared" si="117"/>
        <v>161.30936879743288</v>
      </c>
      <c r="AT76" s="38">
        <f t="shared" si="133"/>
        <v>161.30936879743294</v>
      </c>
      <c r="AU76" s="38">
        <f t="shared" si="47"/>
        <v>0.99999999999999967</v>
      </c>
      <c r="AV76" s="38">
        <f t="shared" si="139"/>
        <v>2.3724552795991949</v>
      </c>
      <c r="AW76" s="4">
        <f t="shared" si="158"/>
        <v>0</v>
      </c>
      <c r="AX76" s="4">
        <f t="shared" si="224"/>
        <v>194.95009660475932</v>
      </c>
      <c r="AY76" s="4">
        <f t="shared" si="225"/>
        <v>1.1333333333333333</v>
      </c>
      <c r="AZ76" s="38">
        <f t="shared" si="118"/>
        <v>382.69926365228338</v>
      </c>
      <c r="BA76" s="4">
        <f t="shared" si="226"/>
        <v>0.43440000000000001</v>
      </c>
      <c r="BB76" s="4">
        <f t="shared" si="51"/>
        <v>44.248603226768637</v>
      </c>
      <c r="BC76" s="4">
        <f t="shared" si="52"/>
        <v>426.94786687905201</v>
      </c>
      <c r="BE76" s="36">
        <f t="shared" si="53"/>
        <v>1.1000000000000001</v>
      </c>
      <c r="BF76" s="36">
        <f t="shared" si="54"/>
        <v>193.24567576015772</v>
      </c>
      <c r="BK76" s="4">
        <f t="shared" si="160"/>
        <v>63.499999999999986</v>
      </c>
      <c r="BL76" s="4">
        <f t="shared" si="161"/>
        <v>63.499999999999986</v>
      </c>
      <c r="BM76" s="4">
        <f t="shared" si="162"/>
        <v>88.899999999999991</v>
      </c>
      <c r="BN76" s="4">
        <f t="shared" si="163"/>
        <v>76.199999999999989</v>
      </c>
      <c r="BO76" s="4">
        <f t="shared" si="164"/>
        <v>1.04</v>
      </c>
      <c r="BP76" s="25">
        <f t="shared" si="119"/>
        <v>3.1199999999999997</v>
      </c>
      <c r="BR76" s="4">
        <f t="shared" si="165"/>
        <v>63.499999999999986</v>
      </c>
      <c r="BV76" s="9"/>
      <c r="BX76" s="9"/>
      <c r="BY76" s="9"/>
      <c r="BZ76" s="9">
        <f t="shared" si="235"/>
        <v>50.8</v>
      </c>
      <c r="CA76" s="9">
        <f t="shared" si="236"/>
        <v>63.499999999999986</v>
      </c>
      <c r="CB76" s="9">
        <f t="shared" si="63"/>
        <v>1.4623505735569622</v>
      </c>
      <c r="CC76" s="9">
        <v>0</v>
      </c>
      <c r="CD76" s="9">
        <f t="shared" si="132"/>
        <v>0</v>
      </c>
      <c r="CE76" s="9">
        <f t="shared" si="65"/>
        <v>0</v>
      </c>
      <c r="CF76" s="9">
        <f t="shared" si="237"/>
        <v>0.99524931562137331</v>
      </c>
      <c r="CG76" s="9">
        <f t="shared" si="238"/>
        <v>1.056</v>
      </c>
      <c r="CH76" s="9">
        <f t="shared" si="68"/>
        <v>1.9464482686693119</v>
      </c>
      <c r="CI76" s="9">
        <f t="shared" si="69"/>
        <v>2.8463897420875242</v>
      </c>
      <c r="CJ76" s="9">
        <v>1</v>
      </c>
      <c r="CK76" s="9">
        <f t="shared" si="70"/>
        <v>250.48229730370213</v>
      </c>
      <c r="CM76" s="4">
        <f t="shared" si="210"/>
        <v>2.1595270140005773</v>
      </c>
      <c r="CN76" s="4">
        <f t="shared" si="211"/>
        <v>0.98606886849551367</v>
      </c>
      <c r="CO76" s="4">
        <f t="shared" si="212"/>
        <v>2.1785739750394941</v>
      </c>
      <c r="CP76" s="4">
        <f t="shared" si="213"/>
        <v>1.6807575007568314</v>
      </c>
      <c r="CQ76" s="4">
        <f t="shared" si="214"/>
        <v>1.3777074136323781</v>
      </c>
      <c r="CR76" s="4">
        <f t="shared" si="215"/>
        <v>1.5309604404548034</v>
      </c>
      <c r="CS76" s="4">
        <f t="shared" si="146"/>
        <v>0.62403471257072396</v>
      </c>
      <c r="CU76" s="4">
        <f t="shared" si="216"/>
        <v>2.1595270140005773</v>
      </c>
      <c r="CV76" s="4">
        <f t="shared" si="216"/>
        <v>0.98606886849551367</v>
      </c>
      <c r="CW76" s="4">
        <f t="shared" si="217"/>
        <v>1.6807575007568314</v>
      </c>
      <c r="CX76" s="4">
        <f t="shared" si="218"/>
        <v>0.62403471257072396</v>
      </c>
      <c r="CY76" s="4">
        <f t="shared" si="219"/>
        <v>1.3777074136323781</v>
      </c>
      <c r="CZ76" s="4">
        <f t="shared" si="219"/>
        <v>1.5309604404548034</v>
      </c>
      <c r="DH76" s="4">
        <f t="shared" si="171"/>
        <v>0</v>
      </c>
      <c r="DI76" s="4">
        <f t="shared" si="172"/>
        <v>635</v>
      </c>
      <c r="DJ76" s="4">
        <f t="shared" si="173"/>
        <v>0.27999999999999997</v>
      </c>
      <c r="DL76" s="4">
        <f t="shared" si="174"/>
        <v>4.4003395705642358E-5</v>
      </c>
      <c r="DM76" s="4">
        <f t="shared" si="175"/>
        <v>6.6857562842857838</v>
      </c>
      <c r="DN76" s="4">
        <f t="shared" si="176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38">
        <f t="shared" si="120"/>
        <v>305.58012233527688</v>
      </c>
      <c r="DS76" s="4">
        <f t="shared" si="79"/>
        <v>1.0002840135222777</v>
      </c>
      <c r="DT76" s="4">
        <f t="shared" si="150"/>
        <v>2.2449944320643649</v>
      </c>
      <c r="DU76" s="4">
        <f t="shared" si="121"/>
        <v>161.30936879743294</v>
      </c>
      <c r="DY76" s="4">
        <f t="shared" si="239"/>
        <v>0.85</v>
      </c>
      <c r="DZ76" s="4">
        <f t="shared" si="81"/>
        <v>0.85000000000000009</v>
      </c>
      <c r="EA76" s="4">
        <f t="shared" si="82"/>
        <v>1</v>
      </c>
      <c r="EB76" s="4">
        <f t="shared" si="83"/>
        <v>0.85000000000000009</v>
      </c>
      <c r="ED76" s="4">
        <f t="shared" si="122"/>
        <v>274.99077629656665</v>
      </c>
      <c r="EE76" s="25">
        <f t="shared" si="123"/>
        <v>159.65722173545257</v>
      </c>
      <c r="EG76" s="4">
        <f t="shared" si="151"/>
        <v>0.72250000000000003</v>
      </c>
      <c r="EH76" s="4">
        <f t="shared" si="84"/>
        <v>6.6857562842857838</v>
      </c>
      <c r="EI76" s="4">
        <f t="shared" si="178"/>
        <v>6.028412726414806</v>
      </c>
      <c r="EK76" s="4">
        <f t="shared" si="179"/>
        <v>57.022858574434863</v>
      </c>
      <c r="EL76" s="4">
        <f t="shared" si="180"/>
        <v>2.2449944320643649</v>
      </c>
      <c r="EM76" s="4">
        <f t="shared" si="181"/>
        <v>9.1548311345836214E-2</v>
      </c>
      <c r="EP76" s="4">
        <f t="shared" si="182"/>
        <v>9.1548311345836214E-2</v>
      </c>
      <c r="EQ76" s="4">
        <f t="shared" si="183"/>
        <v>0.31587168337856231</v>
      </c>
      <c r="ER76" s="4">
        <f t="shared" si="184"/>
        <v>4.2165263549180425</v>
      </c>
      <c r="ES76" s="4">
        <f t="shared" si="240"/>
        <v>5.5898818106728223</v>
      </c>
      <c r="ET76" s="4">
        <f t="shared" si="186"/>
        <v>419.22714142556515</v>
      </c>
      <c r="EU76" s="4">
        <f t="shared" si="187"/>
        <v>158.75</v>
      </c>
      <c r="EV76" s="4">
        <f t="shared" si="95"/>
        <v>4.4003395705642358E-5</v>
      </c>
      <c r="EW76" s="4">
        <f t="shared" si="241"/>
        <v>4.9349488663478827</v>
      </c>
      <c r="EX76" s="4">
        <f t="shared" si="189"/>
        <v>305.49335809061313</v>
      </c>
      <c r="EY76" s="4">
        <f t="shared" si="190"/>
        <v>120.77714142556512</v>
      </c>
      <c r="EZ76" s="4">
        <f t="shared" si="191"/>
        <v>0</v>
      </c>
      <c r="FB76" s="4">
        <f t="shared" si="100"/>
        <v>386.09816676031971</v>
      </c>
      <c r="FG76" s="23">
        <f t="shared" si="220"/>
        <v>2.2000000000000002</v>
      </c>
      <c r="FH76" s="23">
        <f t="shared" si="220"/>
        <v>1</v>
      </c>
      <c r="FI76" s="23">
        <f t="shared" si="234"/>
        <v>0.8</v>
      </c>
      <c r="FJ76" s="23">
        <f t="shared" si="221"/>
        <v>1.8</v>
      </c>
      <c r="FK76" s="23">
        <f t="shared" si="221"/>
        <v>1.4</v>
      </c>
      <c r="FL76" s="23">
        <f t="shared" si="221"/>
        <v>1.6</v>
      </c>
      <c r="FM76" s="23">
        <f t="shared" si="222"/>
        <v>0</v>
      </c>
      <c r="FN76" s="23"/>
      <c r="FX76" s="4">
        <f t="shared" si="101"/>
        <v>1</v>
      </c>
      <c r="FY76" s="4">
        <f t="shared" si="102"/>
        <v>0.85000000000000009</v>
      </c>
      <c r="FZ76" s="4">
        <f t="shared" si="103"/>
        <v>0</v>
      </c>
      <c r="GA76" s="4">
        <f t="shared" si="104"/>
        <v>674.64195744124834</v>
      </c>
    </row>
    <row r="77" spans="1:185" ht="12" customHeight="1" x14ac:dyDescent="0.3">
      <c r="A77" s="25">
        <v>59</v>
      </c>
      <c r="B77" s="20" t="s">
        <v>54</v>
      </c>
      <c r="C77" s="20">
        <v>2006</v>
      </c>
      <c r="D77" s="24" t="s">
        <v>55</v>
      </c>
      <c r="E77" s="24"/>
      <c r="F77" s="7" t="s">
        <v>279</v>
      </c>
      <c r="G77" s="7">
        <v>472</v>
      </c>
      <c r="H77" s="7">
        <f t="shared" si="242"/>
        <v>635</v>
      </c>
      <c r="I77" s="7">
        <f t="shared" si="134"/>
        <v>177.79999999999998</v>
      </c>
      <c r="J77" s="7">
        <v>28</v>
      </c>
      <c r="K77" s="7">
        <v>25.4</v>
      </c>
      <c r="L77" s="7">
        <f t="shared" si="154"/>
        <v>25</v>
      </c>
      <c r="M77" s="7">
        <v>7</v>
      </c>
      <c r="N77" s="7">
        <f t="shared" si="135"/>
        <v>152.39999999999998</v>
      </c>
      <c r="O77" s="7">
        <f t="shared" si="108"/>
        <v>63.499999999999986</v>
      </c>
      <c r="P77" s="7">
        <f t="shared" si="136"/>
        <v>50.8</v>
      </c>
      <c r="Q77" s="7">
        <v>0</v>
      </c>
      <c r="R77" s="7">
        <v>1</v>
      </c>
      <c r="S77" s="7">
        <f t="shared" si="137"/>
        <v>88.899999999999991</v>
      </c>
      <c r="T77" s="7">
        <f t="shared" si="42"/>
        <v>2.9999999999999996</v>
      </c>
      <c r="U77" s="7">
        <f t="shared" si="138"/>
        <v>4</v>
      </c>
      <c r="V77" s="7">
        <v>4.0599999999999996</v>
      </c>
      <c r="W77" s="7">
        <f t="shared" si="155"/>
        <v>4.0599999999999996</v>
      </c>
      <c r="X77" s="7">
        <f t="shared" si="44"/>
        <v>5.0599999999999996</v>
      </c>
      <c r="Y77" s="7">
        <f t="shared" si="204"/>
        <v>57.135887146346114</v>
      </c>
      <c r="Z77" s="7"/>
      <c r="AA77" s="7"/>
      <c r="AB77" s="7">
        <v>472</v>
      </c>
      <c r="AC77" s="7"/>
      <c r="AD77" s="7"/>
      <c r="AE77" s="7">
        <v>0</v>
      </c>
      <c r="AF77" s="7">
        <v>0</v>
      </c>
      <c r="AG77" s="7">
        <f t="shared" si="156"/>
        <v>177.79999999999998</v>
      </c>
      <c r="AH77" s="7"/>
      <c r="AI77" s="7"/>
      <c r="AJ77" s="7"/>
      <c r="AK77" s="4">
        <f t="shared" si="126"/>
        <v>635</v>
      </c>
      <c r="AL77" s="44">
        <f t="shared" si="157"/>
        <v>2.1333333333333329E-2</v>
      </c>
      <c r="AM77" s="25">
        <f t="shared" si="113"/>
        <v>1671.0224668242358</v>
      </c>
      <c r="AN77" s="4">
        <f t="shared" si="114"/>
        <v>0.72399999999999998</v>
      </c>
      <c r="AO77" s="4">
        <v>1.25</v>
      </c>
      <c r="AP77" s="25">
        <f t="shared" si="115"/>
        <v>5</v>
      </c>
      <c r="AQ77" s="38">
        <f t="shared" si="116"/>
        <v>161.30936879743288</v>
      </c>
      <c r="AR77" s="38">
        <f t="shared" si="117"/>
        <v>161.30936879743288</v>
      </c>
      <c r="AT77" s="38">
        <f t="shared" si="133"/>
        <v>161.30936879743294</v>
      </c>
      <c r="AU77" s="38">
        <f t="shared" si="47"/>
        <v>0.99999999999999967</v>
      </c>
      <c r="AV77" s="38">
        <f t="shared" si="139"/>
        <v>2.3783204437526595</v>
      </c>
      <c r="AW77" s="4">
        <f t="shared" si="158"/>
        <v>0</v>
      </c>
      <c r="AX77" s="4">
        <f t="shared" si="224"/>
        <v>194.95009660475932</v>
      </c>
      <c r="AY77" s="4">
        <f t="shared" si="225"/>
        <v>1.1333333333333333</v>
      </c>
      <c r="AZ77" s="38">
        <f t="shared" si="118"/>
        <v>383.64536957977214</v>
      </c>
      <c r="BA77" s="4">
        <f t="shared" si="226"/>
        <v>0.43160000000000009</v>
      </c>
      <c r="BB77" s="4">
        <f t="shared" si="51"/>
        <v>43.963391235435886</v>
      </c>
      <c r="BC77" s="4">
        <f t="shared" si="52"/>
        <v>427.60876081520803</v>
      </c>
      <c r="BE77" s="36">
        <f t="shared" si="53"/>
        <v>1.1000000000000001</v>
      </c>
      <c r="BF77" s="36">
        <f t="shared" si="54"/>
        <v>193.24567576015772</v>
      </c>
      <c r="BK77" s="4">
        <f t="shared" si="160"/>
        <v>63.499999999999986</v>
      </c>
      <c r="BL77" s="4">
        <f t="shared" si="161"/>
        <v>63.499999999999986</v>
      </c>
      <c r="BM77" s="4">
        <f t="shared" si="162"/>
        <v>88.899999999999991</v>
      </c>
      <c r="BN77" s="4">
        <f t="shared" si="163"/>
        <v>76.199999999999989</v>
      </c>
      <c r="BO77" s="4">
        <f t="shared" si="164"/>
        <v>1.04</v>
      </c>
      <c r="BP77" s="25">
        <f t="shared" si="119"/>
        <v>3.1199999999999997</v>
      </c>
      <c r="BR77" s="4">
        <f t="shared" si="165"/>
        <v>63.499999999999986</v>
      </c>
      <c r="BV77" s="9"/>
      <c r="BX77" s="9"/>
      <c r="BY77" s="9"/>
      <c r="BZ77" s="9">
        <f t="shared" si="235"/>
        <v>50.8</v>
      </c>
      <c r="CA77" s="9">
        <f t="shared" si="236"/>
        <v>63.499999999999986</v>
      </c>
      <c r="CB77" s="9">
        <f t="shared" si="63"/>
        <v>1.4623505735569622</v>
      </c>
      <c r="CC77" s="9">
        <v>0</v>
      </c>
      <c r="CD77" s="9">
        <f t="shared" si="132"/>
        <v>0</v>
      </c>
      <c r="CE77" s="9">
        <f t="shared" si="65"/>
        <v>0</v>
      </c>
      <c r="CF77" s="9">
        <f t="shared" si="237"/>
        <v>0.99524931562137331</v>
      </c>
      <c r="CG77" s="9">
        <f t="shared" si="238"/>
        <v>1.056</v>
      </c>
      <c r="CH77" s="9">
        <f t="shared" si="68"/>
        <v>1.9464482686693119</v>
      </c>
      <c r="CI77" s="9">
        <f t="shared" si="69"/>
        <v>2.8463897420875242</v>
      </c>
      <c r="CJ77" s="9">
        <v>1</v>
      </c>
      <c r="CK77" s="9">
        <f t="shared" si="70"/>
        <v>250.48229730370213</v>
      </c>
      <c r="CM77" s="4">
        <f t="shared" si="210"/>
        <v>2.4211324242476784</v>
      </c>
      <c r="CN77" s="4">
        <f t="shared" si="211"/>
        <v>1.1038127448562163</v>
      </c>
      <c r="CO77" s="4">
        <f t="shared" si="212"/>
        <v>2.4424867368613805</v>
      </c>
      <c r="CP77" s="4">
        <f t="shared" si="213"/>
        <v>1.8843647039364</v>
      </c>
      <c r="CQ77" s="4">
        <f t="shared" si="214"/>
        <v>1.5451342388757128</v>
      </c>
      <c r="CR77" s="4">
        <f t="shared" si="215"/>
        <v>1.7159791174041488</v>
      </c>
      <c r="CS77" s="4">
        <f t="shared" si="146"/>
        <v>0.69963036658760502</v>
      </c>
      <c r="CU77" s="4">
        <f t="shared" si="216"/>
        <v>2.4211324242476784</v>
      </c>
      <c r="CV77" s="4">
        <f t="shared" si="216"/>
        <v>1.1038127448562163</v>
      </c>
      <c r="CW77" s="4">
        <f t="shared" si="217"/>
        <v>1.8843647039364</v>
      </c>
      <c r="CX77" s="4">
        <f t="shared" si="218"/>
        <v>0.69963036658760502</v>
      </c>
      <c r="CY77" s="4">
        <f t="shared" si="219"/>
        <v>1.5451342388757128</v>
      </c>
      <c r="CZ77" s="4">
        <f t="shared" si="219"/>
        <v>1.7159791174041488</v>
      </c>
      <c r="DH77" s="4">
        <f t="shared" si="171"/>
        <v>0</v>
      </c>
      <c r="DI77" s="4">
        <f t="shared" si="172"/>
        <v>635</v>
      </c>
      <c r="DJ77" s="4">
        <f t="shared" si="173"/>
        <v>0.27999999999999997</v>
      </c>
      <c r="DL77" s="4">
        <f t="shared" si="174"/>
        <v>4.4003395705642358E-5</v>
      </c>
      <c r="DM77" s="4">
        <f t="shared" si="175"/>
        <v>6.6857562842857838</v>
      </c>
      <c r="DN77" s="4">
        <f t="shared" si="176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38">
        <f t="shared" si="120"/>
        <v>305.47507661434111</v>
      </c>
      <c r="DS77" s="4">
        <f t="shared" si="79"/>
        <v>1.0002836863845934</v>
      </c>
      <c r="DT77" s="4">
        <f t="shared" si="150"/>
        <v>2.2494443758403984</v>
      </c>
      <c r="DU77" s="4">
        <f t="shared" si="121"/>
        <v>161.30936879743294</v>
      </c>
      <c r="DY77" s="4">
        <f t="shared" si="239"/>
        <v>0.85</v>
      </c>
      <c r="DZ77" s="4">
        <f t="shared" si="81"/>
        <v>0.85000000000000009</v>
      </c>
      <c r="EA77" s="4">
        <f t="shared" si="82"/>
        <v>1</v>
      </c>
      <c r="EB77" s="4">
        <f t="shared" si="83"/>
        <v>0.85000000000000009</v>
      </c>
      <c r="ED77" s="4">
        <f t="shared" si="122"/>
        <v>275.06162237802698</v>
      </c>
      <c r="EE77" s="25">
        <f t="shared" si="123"/>
        <v>159.65722173545257</v>
      </c>
      <c r="EG77" s="4">
        <f t="shared" si="151"/>
        <v>0.72250000000000003</v>
      </c>
      <c r="EH77" s="4">
        <f t="shared" si="84"/>
        <v>6.6857562842857838</v>
      </c>
      <c r="EI77" s="4">
        <f t="shared" si="178"/>
        <v>6.028412726414806</v>
      </c>
      <c r="EK77" s="4">
        <f t="shared" si="179"/>
        <v>57.135887146346114</v>
      </c>
      <c r="EL77" s="4">
        <f t="shared" si="180"/>
        <v>2.2494443758403984</v>
      </c>
      <c r="EM77" s="4">
        <f t="shared" si="181"/>
        <v>9.127790416284047E-2</v>
      </c>
      <c r="EP77" s="4">
        <f t="shared" si="182"/>
        <v>9.127790416284047E-2</v>
      </c>
      <c r="EQ77" s="4">
        <f t="shared" si="183"/>
        <v>0.31493868995864155</v>
      </c>
      <c r="ER77" s="4">
        <f t="shared" si="184"/>
        <v>4.2115401747513097</v>
      </c>
      <c r="ES77" s="4">
        <f t="shared" si="240"/>
        <v>5.5880080266286809</v>
      </c>
      <c r="ET77" s="4">
        <f t="shared" si="186"/>
        <v>419.11411285365386</v>
      </c>
      <c r="EU77" s="4">
        <f t="shared" si="187"/>
        <v>158.75</v>
      </c>
      <c r="EV77" s="4">
        <f t="shared" si="95"/>
        <v>4.4003395705642358E-5</v>
      </c>
      <c r="EW77" s="4">
        <f t="shared" si="241"/>
        <v>4.9356377370924536</v>
      </c>
      <c r="EX77" s="4">
        <f t="shared" si="189"/>
        <v>305.38844207131331</v>
      </c>
      <c r="EY77" s="4">
        <f t="shared" si="190"/>
        <v>120.66411285365388</v>
      </c>
      <c r="EZ77" s="4">
        <f t="shared" si="191"/>
        <v>0</v>
      </c>
      <c r="FB77" s="4">
        <f t="shared" si="100"/>
        <v>386.02732067885938</v>
      </c>
      <c r="FG77" s="23">
        <f t="shared" si="220"/>
        <v>2.2000000000000002</v>
      </c>
      <c r="FH77" s="23">
        <f t="shared" si="220"/>
        <v>1.2</v>
      </c>
      <c r="FI77" s="23">
        <f t="shared" si="234"/>
        <v>0.8</v>
      </c>
      <c r="FJ77" s="23">
        <f t="shared" si="221"/>
        <v>2</v>
      </c>
      <c r="FK77" s="23">
        <f t="shared" si="221"/>
        <v>1.6</v>
      </c>
      <c r="FL77" s="23">
        <f t="shared" si="221"/>
        <v>1.8</v>
      </c>
      <c r="FM77" s="23">
        <f t="shared" si="222"/>
        <v>0</v>
      </c>
      <c r="FN77" s="23"/>
      <c r="FX77" s="4">
        <f t="shared" si="101"/>
        <v>1</v>
      </c>
      <c r="FY77" s="4">
        <f t="shared" si="102"/>
        <v>0.85000000000000009</v>
      </c>
      <c r="FZ77" s="4">
        <f t="shared" si="103"/>
        <v>0</v>
      </c>
      <c r="GA77" s="4">
        <f t="shared" si="104"/>
        <v>674.64195744124834</v>
      </c>
    </row>
    <row r="78" spans="1:185" ht="12" customHeight="1" x14ac:dyDescent="0.3">
      <c r="A78" s="25">
        <v>60</v>
      </c>
      <c r="B78" s="20" t="s">
        <v>54</v>
      </c>
      <c r="C78" s="20">
        <v>2006</v>
      </c>
      <c r="D78" s="24" t="s">
        <v>55</v>
      </c>
      <c r="E78" s="24"/>
      <c r="F78" s="7" t="s">
        <v>282</v>
      </c>
      <c r="G78" s="7">
        <v>472</v>
      </c>
      <c r="H78" s="7">
        <f t="shared" si="242"/>
        <v>635</v>
      </c>
      <c r="I78" s="7">
        <f t="shared" si="134"/>
        <v>177.79999999999998</v>
      </c>
      <c r="J78" s="7">
        <v>28</v>
      </c>
      <c r="K78" s="7">
        <v>25.4</v>
      </c>
      <c r="L78" s="7">
        <f t="shared" si="154"/>
        <v>25</v>
      </c>
      <c r="M78" s="7">
        <v>7</v>
      </c>
      <c r="N78" s="7">
        <f t="shared" si="135"/>
        <v>152.39999999999998</v>
      </c>
      <c r="O78" s="7">
        <f t="shared" si="108"/>
        <v>63.499999999999986</v>
      </c>
      <c r="P78" s="7">
        <f t="shared" si="136"/>
        <v>50.8</v>
      </c>
      <c r="Q78" s="7">
        <v>0</v>
      </c>
      <c r="R78" s="7">
        <v>1</v>
      </c>
      <c r="S78" s="7">
        <f t="shared" si="137"/>
        <v>88.899999999999991</v>
      </c>
      <c r="T78" s="7">
        <f t="shared" si="42"/>
        <v>2.9999999999999996</v>
      </c>
      <c r="U78" s="7">
        <f t="shared" si="138"/>
        <v>4</v>
      </c>
      <c r="V78" s="7">
        <v>10.39</v>
      </c>
      <c r="W78" s="7">
        <f t="shared" si="155"/>
        <v>10.39</v>
      </c>
      <c r="X78" s="7">
        <f t="shared" si="44"/>
        <v>11.39</v>
      </c>
      <c r="Y78" s="7">
        <f t="shared" si="204"/>
        <v>85.722648115885917</v>
      </c>
      <c r="Z78" s="7"/>
      <c r="AA78" s="7"/>
      <c r="AB78" s="7">
        <v>472</v>
      </c>
      <c r="AC78" s="7"/>
      <c r="AD78" s="7"/>
      <c r="AE78" s="7">
        <v>0</v>
      </c>
      <c r="AF78" s="7">
        <v>0</v>
      </c>
      <c r="AG78" s="7">
        <f t="shared" si="156"/>
        <v>177.79999999999998</v>
      </c>
      <c r="AH78" s="7"/>
      <c r="AI78" s="7"/>
      <c r="AJ78" s="7"/>
      <c r="AK78" s="4">
        <f t="shared" si="126"/>
        <v>635</v>
      </c>
      <c r="AL78" s="44">
        <f t="shared" si="157"/>
        <v>2.1333333333333329E-2</v>
      </c>
      <c r="AM78" s="25">
        <f t="shared" si="113"/>
        <v>1671.0224668242358</v>
      </c>
      <c r="AN78" s="4">
        <f t="shared" si="114"/>
        <v>0.72399999999999998</v>
      </c>
      <c r="AO78" s="4">
        <v>1.25</v>
      </c>
      <c r="AP78" s="25">
        <f t="shared" si="115"/>
        <v>5</v>
      </c>
      <c r="AQ78" s="38">
        <f t="shared" si="116"/>
        <v>161.30936879743288</v>
      </c>
      <c r="AR78" s="38">
        <f t="shared" si="117"/>
        <v>161.30936879743288</v>
      </c>
      <c r="AT78" s="38">
        <f t="shared" si="133"/>
        <v>161.30936879743294</v>
      </c>
      <c r="AU78" s="38">
        <f t="shared" si="47"/>
        <v>0.99999999999999967</v>
      </c>
      <c r="AV78" s="38">
        <f t="shared" si="139"/>
        <v>3.8046536355645637</v>
      </c>
      <c r="AW78" s="4">
        <f t="shared" si="158"/>
        <v>0</v>
      </c>
      <c r="AX78" s="4">
        <f t="shared" si="224"/>
        <v>194.95009660475932</v>
      </c>
      <c r="AY78" s="4">
        <f t="shared" si="225"/>
        <v>1.1333333333333333</v>
      </c>
      <c r="AZ78" s="38">
        <f t="shared" si="118"/>
        <v>613.72627644577824</v>
      </c>
      <c r="BA78" s="4">
        <f t="shared" si="226"/>
        <v>0.3</v>
      </c>
      <c r="BB78" s="4">
        <f t="shared" si="51"/>
        <v>30.558427642796019</v>
      </c>
      <c r="BC78" s="4">
        <f t="shared" si="52"/>
        <v>644.28470408857424</v>
      </c>
      <c r="BE78" s="36">
        <f t="shared" si="53"/>
        <v>1.1000000000000001</v>
      </c>
      <c r="BF78" s="36">
        <f t="shared" si="54"/>
        <v>193.24567576015772</v>
      </c>
      <c r="BK78" s="4">
        <f t="shared" si="160"/>
        <v>63.499999999999986</v>
      </c>
      <c r="BL78" s="4">
        <f t="shared" si="161"/>
        <v>63.499999999999986</v>
      </c>
      <c r="BM78" s="4">
        <f t="shared" si="162"/>
        <v>88.899999999999991</v>
      </c>
      <c r="BN78" s="4">
        <f t="shared" si="163"/>
        <v>76.199999999999989</v>
      </c>
      <c r="BO78" s="4">
        <f t="shared" si="164"/>
        <v>1.04</v>
      </c>
      <c r="BP78" s="25">
        <f t="shared" si="119"/>
        <v>3.1199999999999997</v>
      </c>
      <c r="BR78" s="4">
        <f t="shared" si="165"/>
        <v>63.499999999999986</v>
      </c>
      <c r="BV78" s="9"/>
      <c r="BX78" s="9"/>
      <c r="BY78" s="9"/>
      <c r="BZ78" s="9">
        <f t="shared" si="235"/>
        <v>50.8</v>
      </c>
      <c r="CA78" s="9">
        <f t="shared" si="236"/>
        <v>63.499999999999986</v>
      </c>
      <c r="CB78" s="9">
        <f t="shared" si="63"/>
        <v>1.4623505735569622</v>
      </c>
      <c r="CC78" s="9">
        <v>0</v>
      </c>
      <c r="CD78" s="9">
        <f t="shared" si="132"/>
        <v>0</v>
      </c>
      <c r="CE78" s="9">
        <f t="shared" si="65"/>
        <v>0</v>
      </c>
      <c r="CF78" s="9">
        <f t="shared" si="237"/>
        <v>0.99524931562137331</v>
      </c>
      <c r="CG78" s="9">
        <f t="shared" si="238"/>
        <v>1.056</v>
      </c>
      <c r="CH78" s="9">
        <f t="shared" si="68"/>
        <v>1.9464482686693119</v>
      </c>
      <c r="CI78" s="9">
        <f t="shared" si="69"/>
        <v>2.8463897420875242</v>
      </c>
      <c r="CJ78" s="9">
        <v>1</v>
      </c>
      <c r="CK78" s="9">
        <f t="shared" si="70"/>
        <v>250.48229730370213</v>
      </c>
      <c r="CM78" s="4">
        <f t="shared" si="210"/>
        <v>2.4211324242476784</v>
      </c>
      <c r="CN78" s="4">
        <f t="shared" si="211"/>
        <v>0.7325953836940865</v>
      </c>
      <c r="CO78" s="4">
        <f t="shared" si="212"/>
        <v>2.4424867368613805</v>
      </c>
      <c r="CP78" s="4">
        <f t="shared" si="213"/>
        <v>1.8843647039364</v>
      </c>
      <c r="CQ78" s="4">
        <f t="shared" si="214"/>
        <v>1.6605239427889933</v>
      </c>
      <c r="CR78" s="4">
        <f t="shared" si="215"/>
        <v>1.6549322135268125</v>
      </c>
      <c r="CS78" s="4">
        <f t="shared" si="146"/>
        <v>0.69963036658760502</v>
      </c>
      <c r="CU78" s="4">
        <f t="shared" si="216"/>
        <v>2.4211324242476784</v>
      </c>
      <c r="CV78" s="4">
        <f t="shared" si="216"/>
        <v>0.7325953836940865</v>
      </c>
      <c r="CW78" s="4">
        <f t="shared" si="217"/>
        <v>1.8843647039364</v>
      </c>
      <c r="CX78" s="4">
        <f t="shared" si="218"/>
        <v>0.69963036658760502</v>
      </c>
      <c r="CY78" s="4">
        <f t="shared" si="219"/>
        <v>1.6605239427889933</v>
      </c>
      <c r="CZ78" s="4">
        <f t="shared" si="219"/>
        <v>1.6549322135268125</v>
      </c>
      <c r="DH78" s="4">
        <f t="shared" si="171"/>
        <v>0</v>
      </c>
      <c r="DI78" s="4">
        <f t="shared" si="172"/>
        <v>635</v>
      </c>
      <c r="DJ78" s="4">
        <f t="shared" si="173"/>
        <v>0.27999999999999997</v>
      </c>
      <c r="DL78" s="4">
        <f t="shared" si="174"/>
        <v>4.4003395705642358E-5</v>
      </c>
      <c r="DM78" s="4">
        <f t="shared" si="175"/>
        <v>6.6857562842857838</v>
      </c>
      <c r="DN78" s="4">
        <f t="shared" si="176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38">
        <f t="shared" si="120"/>
        <v>284.24763283282459</v>
      </c>
      <c r="DS78" s="4">
        <f t="shared" si="79"/>
        <v>1.0002404677277599</v>
      </c>
      <c r="DT78" s="4">
        <f t="shared" si="150"/>
        <v>3.3749074061372411</v>
      </c>
      <c r="DU78" s="4">
        <f t="shared" si="121"/>
        <v>161.30936879743294</v>
      </c>
      <c r="DY78" s="4">
        <f t="shared" si="239"/>
        <v>0.85</v>
      </c>
      <c r="DZ78" s="4">
        <f t="shared" si="81"/>
        <v>0.85000000000000009</v>
      </c>
      <c r="EA78" s="4">
        <f t="shared" si="82"/>
        <v>1</v>
      </c>
      <c r="EB78" s="4">
        <f t="shared" si="83"/>
        <v>0.85000000000000009</v>
      </c>
      <c r="ED78" s="4">
        <f t="shared" si="122"/>
        <v>285.20805634336205</v>
      </c>
      <c r="EE78" s="25">
        <f t="shared" si="123"/>
        <v>159.65722173545257</v>
      </c>
      <c r="EG78" s="4">
        <f t="shared" si="151"/>
        <v>0.72250000000000003</v>
      </c>
      <c r="EH78" s="4">
        <f t="shared" si="84"/>
        <v>6.6857562842857838</v>
      </c>
      <c r="EI78" s="4">
        <f t="shared" si="178"/>
        <v>6.028412726414806</v>
      </c>
      <c r="EK78" s="4">
        <f t="shared" si="179"/>
        <v>85.722648115885917</v>
      </c>
      <c r="EL78" s="4">
        <f t="shared" si="180"/>
        <v>3.3749074061372411</v>
      </c>
      <c r="EM78" s="4">
        <f t="shared" si="181"/>
        <v>5.3513425178746021E-2</v>
      </c>
      <c r="EP78" s="4">
        <f t="shared" si="182"/>
        <v>5.3513425178746021E-2</v>
      </c>
      <c r="EQ78" s="4">
        <f t="shared" si="183"/>
        <v>0.18463885839148297</v>
      </c>
      <c r="ER78" s="4">
        <f t="shared" si="184"/>
        <v>3.4015729066792599</v>
      </c>
      <c r="ES78" s="4">
        <f t="shared" si="240"/>
        <v>5.3067578077039173</v>
      </c>
      <c r="ET78" s="4">
        <f t="shared" si="186"/>
        <v>390.52735188411407</v>
      </c>
      <c r="EU78" s="4">
        <f t="shared" si="187"/>
        <v>158.75</v>
      </c>
      <c r="EV78" s="4">
        <f t="shared" si="95"/>
        <v>4.4003395705642358E-5</v>
      </c>
      <c r="EW78" s="4">
        <f t="shared" si="241"/>
        <v>5.0585307900576097</v>
      </c>
      <c r="EX78" s="4">
        <f t="shared" si="189"/>
        <v>284.17929688302672</v>
      </c>
      <c r="EY78" s="4">
        <f t="shared" si="190"/>
        <v>92.077351884114066</v>
      </c>
      <c r="EZ78" s="4">
        <f t="shared" si="191"/>
        <v>0</v>
      </c>
      <c r="FB78" s="4">
        <f t="shared" si="100"/>
        <v>375.88088671352432</v>
      </c>
      <c r="FG78" s="23">
        <f t="shared" si="220"/>
        <v>2.2000000000000002</v>
      </c>
      <c r="FH78" s="23">
        <f t="shared" si="220"/>
        <v>0.8</v>
      </c>
      <c r="FI78" s="23">
        <f t="shared" si="234"/>
        <v>0.8</v>
      </c>
      <c r="FJ78" s="23">
        <f t="shared" si="221"/>
        <v>2</v>
      </c>
      <c r="FK78" s="23">
        <f t="shared" si="221"/>
        <v>1.8</v>
      </c>
      <c r="FL78" s="23">
        <f t="shared" si="221"/>
        <v>1.8</v>
      </c>
      <c r="FM78" s="23">
        <f t="shared" si="222"/>
        <v>0</v>
      </c>
      <c r="FN78" s="23"/>
      <c r="FX78" s="4">
        <f t="shared" si="101"/>
        <v>1</v>
      </c>
      <c r="FY78" s="4">
        <f t="shared" si="102"/>
        <v>0.85000000000000009</v>
      </c>
      <c r="FZ78" s="4">
        <f t="shared" si="103"/>
        <v>0</v>
      </c>
      <c r="GA78" s="4">
        <f t="shared" si="104"/>
        <v>674.64195744124834</v>
      </c>
    </row>
    <row r="79" spans="1:185" ht="12" customHeight="1" x14ac:dyDescent="0.3">
      <c r="A79" s="25">
        <v>61</v>
      </c>
      <c r="B79" s="20" t="s">
        <v>54</v>
      </c>
      <c r="C79" s="20">
        <v>2006</v>
      </c>
      <c r="D79" s="24" t="s">
        <v>55</v>
      </c>
      <c r="E79" s="24"/>
      <c r="F79" s="7" t="s">
        <v>283</v>
      </c>
      <c r="G79" s="7">
        <v>433</v>
      </c>
      <c r="H79" s="7">
        <f>15*25.4</f>
        <v>381</v>
      </c>
      <c r="I79" s="7">
        <f t="shared" si="134"/>
        <v>252</v>
      </c>
      <c r="J79" s="7">
        <v>28</v>
      </c>
      <c r="K79" s="7">
        <v>36</v>
      </c>
      <c r="L79" s="7">
        <f t="shared" si="154"/>
        <v>10.583333333333334</v>
      </c>
      <c r="M79" s="7">
        <v>7</v>
      </c>
      <c r="N79" s="7">
        <f t="shared" ref="N79:N89" si="243">8.5*25.4</f>
        <v>215.89999999999998</v>
      </c>
      <c r="O79" s="7">
        <f t="shared" si="108"/>
        <v>89.949999999999989</v>
      </c>
      <c r="P79" s="7">
        <f t="shared" si="136"/>
        <v>50.8</v>
      </c>
      <c r="Q79" s="7">
        <v>0</v>
      </c>
      <c r="R79" s="7">
        <v>1</v>
      </c>
      <c r="S79" s="7">
        <f t="shared" si="137"/>
        <v>83.6</v>
      </c>
      <c r="T79" s="7">
        <f t="shared" si="42"/>
        <v>2.822222222222222</v>
      </c>
      <c r="U79" s="7">
        <f t="shared" si="138"/>
        <v>2.9986111111111109</v>
      </c>
      <c r="V79" s="7">
        <v>1.1000000000000001</v>
      </c>
      <c r="W79" s="7">
        <f t="shared" si="155"/>
        <v>1.1000000000000001</v>
      </c>
      <c r="X79" s="7">
        <f t="shared" si="44"/>
        <v>2.1</v>
      </c>
      <c r="Y79" s="7">
        <f t="shared" si="204"/>
        <v>52.168956286281983</v>
      </c>
      <c r="Z79" s="7"/>
      <c r="AA79" s="7"/>
      <c r="AB79" s="7">
        <v>354</v>
      </c>
      <c r="AC79" s="7"/>
      <c r="AD79" s="7"/>
      <c r="AE79" s="7">
        <v>0</v>
      </c>
      <c r="AF79" s="7">
        <v>0</v>
      </c>
      <c r="AG79" s="7">
        <f t="shared" si="156"/>
        <v>252</v>
      </c>
      <c r="AH79" s="7"/>
      <c r="AI79" s="7"/>
      <c r="AJ79" s="7"/>
      <c r="AK79" s="4">
        <f t="shared" si="126"/>
        <v>381</v>
      </c>
      <c r="AL79" s="44">
        <f t="shared" si="157"/>
        <v>8.3950617283950604E-2</v>
      </c>
      <c r="AM79" s="25">
        <f t="shared" si="113"/>
        <v>386.60867631208708</v>
      </c>
      <c r="AN79" s="4">
        <f t="shared" si="114"/>
        <v>0.7533333333333333</v>
      </c>
      <c r="AO79" s="4">
        <v>1.25</v>
      </c>
      <c r="AP79" s="25">
        <f t="shared" si="115"/>
        <v>5</v>
      </c>
      <c r="AQ79" s="38">
        <f t="shared" si="116"/>
        <v>152.81384098673232</v>
      </c>
      <c r="AR79" s="38">
        <f t="shared" si="117"/>
        <v>152.81384098673232</v>
      </c>
      <c r="AT79" s="38">
        <f t="shared" si="133"/>
        <v>152.8138409867322</v>
      </c>
      <c r="AU79" s="38">
        <f t="shared" si="47"/>
        <v>1.0000000000000007</v>
      </c>
      <c r="AV79" s="38">
        <f t="shared" si="139"/>
        <v>1.111825806705935</v>
      </c>
      <c r="AW79" s="4">
        <f t="shared" si="158"/>
        <v>0</v>
      </c>
      <c r="AX79" s="4">
        <f t="shared" si="224"/>
        <v>194.95009660475932</v>
      </c>
      <c r="AY79" s="4">
        <f t="shared" si="225"/>
        <v>1.0249999999999999</v>
      </c>
      <c r="AZ79" s="38">
        <f t="shared" si="118"/>
        <v>169.90237203090601</v>
      </c>
      <c r="BA79" s="4">
        <f t="shared" si="226"/>
        <v>0.84599999999999997</v>
      </c>
      <c r="BB79" s="4">
        <f t="shared" si="51"/>
        <v>86.17476595268478</v>
      </c>
      <c r="BC79" s="4">
        <f t="shared" si="52"/>
        <v>256.07713798359077</v>
      </c>
      <c r="BE79" s="36">
        <f t="shared" si="53"/>
        <v>1.1000000000000001</v>
      </c>
      <c r="BF79" s="36">
        <f t="shared" si="54"/>
        <v>193.24567576015772</v>
      </c>
      <c r="BK79" s="4">
        <f t="shared" si="160"/>
        <v>89.949999999999989</v>
      </c>
      <c r="BL79" s="4">
        <f t="shared" si="161"/>
        <v>83.6</v>
      </c>
      <c r="BM79" s="4">
        <f t="shared" si="162"/>
        <v>89.949999999999989</v>
      </c>
      <c r="BN79" s="4">
        <f t="shared" si="163"/>
        <v>101.6</v>
      </c>
      <c r="BO79" s="4">
        <f t="shared" si="164"/>
        <v>1.0075956937799044</v>
      </c>
      <c r="BP79" s="25">
        <f t="shared" si="119"/>
        <v>2.8436589580010634</v>
      </c>
      <c r="BR79" s="4">
        <f t="shared" si="165"/>
        <v>89.949999999999989</v>
      </c>
      <c r="BV79" s="9"/>
      <c r="BX79" s="9"/>
      <c r="BY79" s="9"/>
      <c r="BZ79" s="9">
        <f t="shared" si="235"/>
        <v>50.8</v>
      </c>
      <c r="CA79" s="9">
        <f t="shared" si="236"/>
        <v>89.949999999999989</v>
      </c>
      <c r="CB79" s="9">
        <f t="shared" si="63"/>
        <v>1.2941994891728255</v>
      </c>
      <c r="CC79" s="9">
        <v>0</v>
      </c>
      <c r="CD79" s="9">
        <f t="shared" si="132"/>
        <v>0</v>
      </c>
      <c r="CE79" s="9">
        <f t="shared" si="65"/>
        <v>0</v>
      </c>
      <c r="CF79" s="9">
        <f t="shared" si="237"/>
        <v>0.89637813077714179</v>
      </c>
      <c r="CG79" s="9">
        <f t="shared" si="238"/>
        <v>1.1339999999999999</v>
      </c>
      <c r="CH79" s="9">
        <f t="shared" si="68"/>
        <v>1.8825710113593779</v>
      </c>
      <c r="CI79" s="9">
        <f t="shared" si="69"/>
        <v>2.4364224412328763</v>
      </c>
      <c r="CJ79" s="9">
        <v>1</v>
      </c>
      <c r="CK79" s="9">
        <f t="shared" si="70"/>
        <v>214.4051748284931</v>
      </c>
      <c r="CM79" s="4">
        <f t="shared" si="210"/>
        <v>1.8158493181857587</v>
      </c>
      <c r="CN79" s="4">
        <f t="shared" si="211"/>
        <v>1.3823959561071166</v>
      </c>
      <c r="CO79" s="4">
        <f t="shared" si="212"/>
        <v>1.8318650526460354</v>
      </c>
      <c r="CP79" s="4">
        <f t="shared" si="213"/>
        <v>1.6510795519892256</v>
      </c>
      <c r="CQ79" s="4">
        <f t="shared" si="214"/>
        <v>1.1015400381976519</v>
      </c>
      <c r="CR79" s="4">
        <f t="shared" si="215"/>
        <v>1.3632451207336602</v>
      </c>
      <c r="CS79" s="4">
        <f t="shared" si="146"/>
        <v>1.4756448295332454</v>
      </c>
      <c r="CU79" s="4">
        <f t="shared" si="216"/>
        <v>1.8158493181857587</v>
      </c>
      <c r="CV79" s="4">
        <f t="shared" si="216"/>
        <v>1.3823959561071166</v>
      </c>
      <c r="CW79" s="4">
        <f t="shared" si="217"/>
        <v>1.6510795519892256</v>
      </c>
      <c r="CX79" s="4">
        <f t="shared" si="218"/>
        <v>1.4756448295332454</v>
      </c>
      <c r="CY79" s="4">
        <f t="shared" si="219"/>
        <v>1.1015400381976519</v>
      </c>
      <c r="CZ79" s="4">
        <f t="shared" si="219"/>
        <v>1.3632451207336602</v>
      </c>
      <c r="DH79" s="4">
        <f t="shared" si="171"/>
        <v>0</v>
      </c>
      <c r="DI79" s="4">
        <f t="shared" si="172"/>
        <v>381</v>
      </c>
      <c r="DJ79" s="4">
        <f t="shared" si="173"/>
        <v>0.66141732283464572</v>
      </c>
      <c r="DL79" s="4">
        <f t="shared" si="174"/>
        <v>1.8628104182055264E-5</v>
      </c>
      <c r="DM79" s="4">
        <f t="shared" si="175"/>
        <v>6.0161976170308948</v>
      </c>
      <c r="DN79" s="4">
        <f t="shared" si="176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38">
        <f t="shared" si="120"/>
        <v>321.3682551014827</v>
      </c>
      <c r="DS79" s="4">
        <f t="shared" si="79"/>
        <v>1.0004406723229435</v>
      </c>
      <c r="DT79" s="4">
        <f t="shared" si="150"/>
        <v>1.4491376746189439</v>
      </c>
      <c r="DU79" s="4">
        <f t="shared" si="121"/>
        <v>152.8138409867322</v>
      </c>
      <c r="DY79" s="4">
        <f t="shared" si="239"/>
        <v>0.85</v>
      </c>
      <c r="DZ79" s="4">
        <f t="shared" si="81"/>
        <v>0.85013888888888889</v>
      </c>
      <c r="EA79" s="4">
        <f t="shared" si="82"/>
        <v>1</v>
      </c>
      <c r="EB79" s="4">
        <f t="shared" si="83"/>
        <v>0.85013888888888889</v>
      </c>
      <c r="ED79" s="4">
        <f t="shared" si="122"/>
        <v>259.674503591465</v>
      </c>
      <c r="EE79" s="25">
        <f t="shared" si="123"/>
        <v>150.18137322121927</v>
      </c>
      <c r="EG79" s="4">
        <f t="shared" si="151"/>
        <v>0.72261805555555558</v>
      </c>
      <c r="EH79" s="4">
        <f t="shared" si="84"/>
        <v>6.0161976170308948</v>
      </c>
      <c r="EI79" s="4">
        <f t="shared" si="178"/>
        <v>4.9450239957683877</v>
      </c>
      <c r="EK79" s="4">
        <f t="shared" si="179"/>
        <v>52.168956286281983</v>
      </c>
      <c r="EL79" s="4">
        <f t="shared" si="180"/>
        <v>1.4491376746189439</v>
      </c>
      <c r="EM79" s="4">
        <f t="shared" si="181"/>
        <v>0.29141055716323655</v>
      </c>
      <c r="EP79" s="4">
        <f t="shared" si="182"/>
        <v>0.29141055716323655</v>
      </c>
      <c r="EQ79" s="4">
        <f t="shared" si="183"/>
        <v>0.999</v>
      </c>
      <c r="ER79" s="4">
        <f t="shared" si="184"/>
        <v>6.0137904156550812</v>
      </c>
      <c r="ES79" s="4">
        <f t="shared" si="240"/>
        <v>6.0149941367632529</v>
      </c>
      <c r="ET79" s="4">
        <f t="shared" si="186"/>
        <v>233.58104371371803</v>
      </c>
      <c r="EU79" s="4">
        <f t="shared" si="187"/>
        <v>95.25</v>
      </c>
      <c r="EV79" s="4">
        <f t="shared" si="95"/>
        <v>1.8628104182055264E-5</v>
      </c>
      <c r="EW79" s="4">
        <f t="shared" si="241"/>
        <v>5.5714881219801278</v>
      </c>
      <c r="EX79" s="4">
        <f t="shared" si="189"/>
        <v>321.22669938567293</v>
      </c>
      <c r="EY79" s="4">
        <f t="shared" si="190"/>
        <v>199.83104371371803</v>
      </c>
      <c r="EZ79" s="4">
        <f t="shared" si="191"/>
        <v>1.4210854715202004E-14</v>
      </c>
      <c r="FB79" s="4">
        <f t="shared" si="100"/>
        <v>81.521143970485184</v>
      </c>
      <c r="FG79" s="23">
        <f t="shared" si="220"/>
        <v>2</v>
      </c>
      <c r="FH79" s="23">
        <f t="shared" si="220"/>
        <v>1.4</v>
      </c>
      <c r="FI79" s="23">
        <f t="shared" si="234"/>
        <v>1.6</v>
      </c>
      <c r="FJ79" s="23">
        <f t="shared" si="221"/>
        <v>1.8</v>
      </c>
      <c r="FK79" s="23">
        <f t="shared" si="221"/>
        <v>1.2</v>
      </c>
      <c r="FL79" s="23">
        <f t="shared" si="221"/>
        <v>1.4</v>
      </c>
      <c r="FM79" s="23">
        <f t="shared" si="222"/>
        <v>0</v>
      </c>
      <c r="FN79" s="23"/>
      <c r="FX79" s="4">
        <f t="shared" si="101"/>
        <v>1</v>
      </c>
      <c r="FY79" s="4">
        <f t="shared" si="102"/>
        <v>0.85000000000000009</v>
      </c>
      <c r="FZ79" s="4">
        <f t="shared" si="103"/>
        <v>0</v>
      </c>
      <c r="GA79" s="4">
        <f t="shared" si="104"/>
        <v>239.89512443314166</v>
      </c>
    </row>
    <row r="80" spans="1:185" ht="12" customHeight="1" x14ac:dyDescent="0.3">
      <c r="A80" s="25">
        <v>62</v>
      </c>
      <c r="B80" s="20" t="s">
        <v>54</v>
      </c>
      <c r="C80" s="20">
        <v>2006</v>
      </c>
      <c r="D80" s="24" t="s">
        <v>55</v>
      </c>
      <c r="E80" s="24"/>
      <c r="F80" s="7" t="s">
        <v>279</v>
      </c>
      <c r="G80" s="7">
        <v>433</v>
      </c>
      <c r="H80" s="7">
        <f t="shared" ref="H80:H93" si="244">15*25.4</f>
        <v>381</v>
      </c>
      <c r="I80" s="7">
        <f t="shared" si="134"/>
        <v>252</v>
      </c>
      <c r="J80" s="7">
        <v>28</v>
      </c>
      <c r="K80" s="7">
        <v>36</v>
      </c>
      <c r="L80" s="7">
        <f t="shared" si="154"/>
        <v>10.583333333333334</v>
      </c>
      <c r="M80" s="7">
        <v>7</v>
      </c>
      <c r="N80" s="7">
        <f t="shared" si="243"/>
        <v>215.89999999999998</v>
      </c>
      <c r="O80" s="7">
        <f t="shared" si="108"/>
        <v>89.949999999999989</v>
      </c>
      <c r="P80" s="7">
        <f t="shared" si="136"/>
        <v>50.8</v>
      </c>
      <c r="Q80" s="7">
        <v>0</v>
      </c>
      <c r="R80" s="7">
        <v>1</v>
      </c>
      <c r="S80" s="7">
        <f t="shared" si="137"/>
        <v>83.6</v>
      </c>
      <c r="T80" s="7">
        <f t="shared" si="42"/>
        <v>2.822222222222222</v>
      </c>
      <c r="U80" s="7">
        <f t="shared" si="138"/>
        <v>2.9986111111111109</v>
      </c>
      <c r="V80" s="7">
        <v>1.56</v>
      </c>
      <c r="W80" s="7">
        <f t="shared" si="155"/>
        <v>1.56</v>
      </c>
      <c r="X80" s="7">
        <f t="shared" si="44"/>
        <v>2.56</v>
      </c>
      <c r="Y80" s="7">
        <f t="shared" si="204"/>
        <v>57.6</v>
      </c>
      <c r="Z80" s="7"/>
      <c r="AA80" s="7"/>
      <c r="AB80" s="7">
        <v>370</v>
      </c>
      <c r="AC80" s="7"/>
      <c r="AD80" s="7"/>
      <c r="AE80" s="7">
        <v>0</v>
      </c>
      <c r="AF80" s="7">
        <v>0</v>
      </c>
      <c r="AG80" s="7">
        <f t="shared" si="156"/>
        <v>252</v>
      </c>
      <c r="AH80" s="7"/>
      <c r="AI80" s="7"/>
      <c r="AJ80" s="7"/>
      <c r="AK80" s="4">
        <f t="shared" si="126"/>
        <v>381</v>
      </c>
      <c r="AL80" s="44">
        <f t="shared" si="157"/>
        <v>8.3950617283950604E-2</v>
      </c>
      <c r="AM80" s="25">
        <f t="shared" si="113"/>
        <v>386.60867631208708</v>
      </c>
      <c r="AN80" s="4">
        <f t="shared" si="114"/>
        <v>0.7533333333333333</v>
      </c>
      <c r="AO80" s="4">
        <v>1.25</v>
      </c>
      <c r="AP80" s="25">
        <f t="shared" si="115"/>
        <v>5</v>
      </c>
      <c r="AQ80" s="38">
        <f t="shared" si="116"/>
        <v>152.81384098673232</v>
      </c>
      <c r="AR80" s="38">
        <f t="shared" si="117"/>
        <v>152.81384098673232</v>
      </c>
      <c r="AT80" s="38">
        <f t="shared" si="133"/>
        <v>152.8138409867322</v>
      </c>
      <c r="AU80" s="38">
        <f t="shared" si="47"/>
        <v>1.0000000000000007</v>
      </c>
      <c r="AV80" s="38">
        <f t="shared" si="139"/>
        <v>1.3240448818791442</v>
      </c>
      <c r="AW80" s="4">
        <f t="shared" si="158"/>
        <v>0</v>
      </c>
      <c r="AX80" s="4">
        <f t="shared" si="224"/>
        <v>194.95009660475932</v>
      </c>
      <c r="AY80" s="4">
        <f t="shared" si="225"/>
        <v>1.0249999999999999</v>
      </c>
      <c r="AZ80" s="38">
        <f t="shared" si="118"/>
        <v>202.33238403877615</v>
      </c>
      <c r="BA80" s="4">
        <f t="shared" si="226"/>
        <v>0.78160000000000007</v>
      </c>
      <c r="BB80" s="4">
        <f t="shared" si="51"/>
        <v>79.614890152031251</v>
      </c>
      <c r="BC80" s="4">
        <f t="shared" si="52"/>
        <v>281.94727419080743</v>
      </c>
      <c r="BE80" s="36">
        <f t="shared" si="53"/>
        <v>1.1000000000000001</v>
      </c>
      <c r="BF80" s="36">
        <f t="shared" si="54"/>
        <v>193.24567576015772</v>
      </c>
      <c r="BK80" s="4">
        <f t="shared" si="160"/>
        <v>89.949999999999989</v>
      </c>
      <c r="BL80" s="4">
        <f t="shared" si="161"/>
        <v>83.6</v>
      </c>
      <c r="BM80" s="4">
        <f t="shared" si="162"/>
        <v>89.949999999999989</v>
      </c>
      <c r="BN80" s="4">
        <f t="shared" si="163"/>
        <v>101.6</v>
      </c>
      <c r="BO80" s="4">
        <f t="shared" si="164"/>
        <v>1.0075956937799044</v>
      </c>
      <c r="BP80" s="25">
        <f t="shared" si="119"/>
        <v>2.8436589580010634</v>
      </c>
      <c r="BR80" s="4">
        <f t="shared" si="165"/>
        <v>89.949999999999989</v>
      </c>
      <c r="BV80" s="9"/>
      <c r="BX80" s="9"/>
      <c r="BY80" s="9"/>
      <c r="BZ80" s="9">
        <f t="shared" si="235"/>
        <v>50.8</v>
      </c>
      <c r="CA80" s="9">
        <f t="shared" si="236"/>
        <v>89.949999999999989</v>
      </c>
      <c r="CB80" s="9">
        <f t="shared" si="63"/>
        <v>1.2941994891728255</v>
      </c>
      <c r="CC80" s="9">
        <v>0</v>
      </c>
      <c r="CD80" s="9">
        <f t="shared" si="132"/>
        <v>0</v>
      </c>
      <c r="CE80" s="9">
        <f t="shared" si="65"/>
        <v>0</v>
      </c>
      <c r="CF80" s="9">
        <f t="shared" si="237"/>
        <v>0.89637813077714179</v>
      </c>
      <c r="CG80" s="9">
        <f t="shared" si="238"/>
        <v>1.1339999999999999</v>
      </c>
      <c r="CH80" s="9">
        <f t="shared" si="68"/>
        <v>1.8825710113593779</v>
      </c>
      <c r="CI80" s="9">
        <f t="shared" si="69"/>
        <v>2.4364224412328763</v>
      </c>
      <c r="CJ80" s="9">
        <v>1</v>
      </c>
      <c r="CK80" s="9">
        <f t="shared" si="70"/>
        <v>214.4051748284931</v>
      </c>
      <c r="CM80" s="4">
        <f t="shared" si="210"/>
        <v>1.8979216037534765</v>
      </c>
      <c r="CN80" s="4">
        <f t="shared" si="211"/>
        <v>1.312302099964985</v>
      </c>
      <c r="CO80" s="4">
        <f t="shared" si="212"/>
        <v>1.9146612132176075</v>
      </c>
      <c r="CP80" s="4">
        <f t="shared" si="213"/>
        <v>1.7257046164859138</v>
      </c>
      <c r="CQ80" s="4">
        <f t="shared" si="214"/>
        <v>1.1865605272060056</v>
      </c>
      <c r="CR80" s="4">
        <f t="shared" si="215"/>
        <v>1.4204803422427006</v>
      </c>
      <c r="CS80" s="4">
        <f t="shared" si="146"/>
        <v>1.5423406410375728</v>
      </c>
      <c r="CU80" s="4">
        <f t="shared" si="216"/>
        <v>1.8979216037534765</v>
      </c>
      <c r="CV80" s="4">
        <f t="shared" si="216"/>
        <v>1.312302099964985</v>
      </c>
      <c r="CW80" s="4">
        <f t="shared" si="217"/>
        <v>1.7257046164859138</v>
      </c>
      <c r="CX80" s="4">
        <f t="shared" si="218"/>
        <v>1.5423406410375728</v>
      </c>
      <c r="CY80" s="4">
        <f t="shared" si="219"/>
        <v>1.1865605272060056</v>
      </c>
      <c r="CZ80" s="4">
        <f t="shared" si="219"/>
        <v>1.4204803422427006</v>
      </c>
      <c r="DH80" s="4">
        <f t="shared" si="171"/>
        <v>0</v>
      </c>
      <c r="DI80" s="4">
        <f t="shared" si="172"/>
        <v>381</v>
      </c>
      <c r="DJ80" s="4">
        <f t="shared" si="173"/>
        <v>0.66141732283464572</v>
      </c>
      <c r="DL80" s="4">
        <f t="shared" si="174"/>
        <v>1.8628104182055264E-5</v>
      </c>
      <c r="DM80" s="4">
        <f t="shared" si="175"/>
        <v>6.0161976170308948</v>
      </c>
      <c r="DN80" s="4">
        <f t="shared" si="176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38">
        <f t="shared" si="120"/>
        <v>311.82564354406691</v>
      </c>
      <c r="DS80" s="4">
        <f t="shared" si="79"/>
        <v>1.0002110936527455</v>
      </c>
      <c r="DT80" s="4">
        <f t="shared" si="150"/>
        <v>1.6</v>
      </c>
      <c r="DU80" s="4">
        <f t="shared" si="121"/>
        <v>152.8138409867322</v>
      </c>
      <c r="DY80" s="4">
        <f t="shared" si="239"/>
        <v>0.85</v>
      </c>
      <c r="DZ80" s="4">
        <f t="shared" si="81"/>
        <v>0.85013888888888889</v>
      </c>
      <c r="EA80" s="4">
        <f t="shared" si="82"/>
        <v>1</v>
      </c>
      <c r="EB80" s="4">
        <f t="shared" si="83"/>
        <v>0.85013888888888889</v>
      </c>
      <c r="ED80" s="4">
        <f t="shared" si="122"/>
        <v>260.4752695245553</v>
      </c>
      <c r="EE80" s="25">
        <f t="shared" si="123"/>
        <v>150.18137322121927</v>
      </c>
      <c r="EG80" s="4">
        <f t="shared" si="151"/>
        <v>0.72261805555555558</v>
      </c>
      <c r="EH80" s="4">
        <f t="shared" si="84"/>
        <v>6.0161976170308948</v>
      </c>
      <c r="EI80" s="4">
        <f t="shared" si="178"/>
        <v>4.9450239957683877</v>
      </c>
      <c r="EK80" s="4">
        <f t="shared" si="179"/>
        <v>57.6</v>
      </c>
      <c r="EL80" s="4">
        <f t="shared" si="180"/>
        <v>1.6</v>
      </c>
      <c r="EM80" s="4">
        <f t="shared" si="181"/>
        <v>0.22687346465623337</v>
      </c>
      <c r="EP80" s="4">
        <f t="shared" si="182"/>
        <v>0.22687346465623337</v>
      </c>
      <c r="EQ80" s="4">
        <f t="shared" si="183"/>
        <v>0.7827878214397076</v>
      </c>
      <c r="ER80" s="4">
        <f t="shared" si="184"/>
        <v>5.4548111232940046</v>
      </c>
      <c r="ES80" s="4">
        <f t="shared" si="240"/>
        <v>5.7423704095518984</v>
      </c>
      <c r="ET80" s="4">
        <f t="shared" si="186"/>
        <v>228.15</v>
      </c>
      <c r="EU80" s="4">
        <f t="shared" si="187"/>
        <v>95.249999999999972</v>
      </c>
      <c r="EV80" s="4">
        <f t="shared" si="95"/>
        <v>1.8628104182055258E-5</v>
      </c>
      <c r="EW80" s="4">
        <f t="shared" si="241"/>
        <v>5.5924241576291642</v>
      </c>
      <c r="EX80" s="4">
        <f t="shared" si="189"/>
        <v>311.7598330221349</v>
      </c>
      <c r="EY80" s="4">
        <f t="shared" si="190"/>
        <v>194.40000000000003</v>
      </c>
      <c r="EZ80" s="4">
        <f t="shared" si="191"/>
        <v>0</v>
      </c>
      <c r="FB80" s="4">
        <f t="shared" si="100"/>
        <v>80.72037803739488</v>
      </c>
      <c r="FG80" s="23">
        <f t="shared" si="220"/>
        <v>2</v>
      </c>
      <c r="FH80" s="23">
        <f t="shared" si="220"/>
        <v>1.4</v>
      </c>
      <c r="FI80" s="23">
        <f t="shared" si="234"/>
        <v>1.6</v>
      </c>
      <c r="FJ80" s="23">
        <f t="shared" si="221"/>
        <v>1.8</v>
      </c>
      <c r="FK80" s="23">
        <f t="shared" si="221"/>
        <v>1.2</v>
      </c>
      <c r="FL80" s="23">
        <f t="shared" si="221"/>
        <v>1.6</v>
      </c>
      <c r="FM80" s="23">
        <f t="shared" si="222"/>
        <v>0</v>
      </c>
      <c r="FN80" s="23"/>
      <c r="FX80" s="4">
        <f t="shared" si="101"/>
        <v>1</v>
      </c>
      <c r="FY80" s="4">
        <f t="shared" si="102"/>
        <v>0.85000000000000009</v>
      </c>
      <c r="FZ80" s="4">
        <f t="shared" si="103"/>
        <v>0</v>
      </c>
      <c r="GA80" s="4">
        <f t="shared" si="104"/>
        <v>239.89512443314166</v>
      </c>
    </row>
    <row r="81" spans="1:184" ht="12" customHeight="1" x14ac:dyDescent="0.3">
      <c r="A81" s="25">
        <v>63</v>
      </c>
      <c r="B81" s="20" t="s">
        <v>54</v>
      </c>
      <c r="C81" s="20">
        <v>2006</v>
      </c>
      <c r="D81" s="24" t="s">
        <v>55</v>
      </c>
      <c r="E81" s="24"/>
      <c r="F81" s="7" t="s">
        <v>284</v>
      </c>
      <c r="G81" s="7">
        <v>433</v>
      </c>
      <c r="H81" s="7">
        <f t="shared" si="244"/>
        <v>381</v>
      </c>
      <c r="I81" s="7">
        <f t="shared" si="134"/>
        <v>252</v>
      </c>
      <c r="J81" s="7">
        <v>28</v>
      </c>
      <c r="K81" s="7">
        <v>36</v>
      </c>
      <c r="L81" s="7">
        <f t="shared" si="154"/>
        <v>10.583333333333334</v>
      </c>
      <c r="M81" s="7">
        <v>7</v>
      </c>
      <c r="N81" s="7">
        <f t="shared" si="243"/>
        <v>215.89999999999998</v>
      </c>
      <c r="O81" s="7">
        <f t="shared" si="108"/>
        <v>89.949999999999989</v>
      </c>
      <c r="P81" s="7">
        <f t="shared" si="136"/>
        <v>50.8</v>
      </c>
      <c r="Q81" s="7">
        <v>0</v>
      </c>
      <c r="R81" s="7">
        <v>1</v>
      </c>
      <c r="S81" s="7">
        <f t="shared" si="137"/>
        <v>83.6</v>
      </c>
      <c r="T81" s="7">
        <f t="shared" si="42"/>
        <v>2.822222222222222</v>
      </c>
      <c r="U81" s="7">
        <f t="shared" si="138"/>
        <v>2.9986111111111109</v>
      </c>
      <c r="V81" s="7">
        <v>2.85</v>
      </c>
      <c r="W81" s="7">
        <f t="shared" si="155"/>
        <v>2.85</v>
      </c>
      <c r="X81" s="7">
        <f t="shared" si="44"/>
        <v>3.85</v>
      </c>
      <c r="Y81" s="7">
        <f t="shared" si="204"/>
        <v>70.637100733254911</v>
      </c>
      <c r="Z81" s="7"/>
      <c r="AA81" s="7"/>
      <c r="AB81" s="7">
        <v>345</v>
      </c>
      <c r="AC81" s="7"/>
      <c r="AD81" s="7"/>
      <c r="AE81" s="7">
        <v>0</v>
      </c>
      <c r="AF81" s="7">
        <v>0</v>
      </c>
      <c r="AG81" s="7">
        <f t="shared" si="156"/>
        <v>252</v>
      </c>
      <c r="AH81" s="7"/>
      <c r="AI81" s="7"/>
      <c r="AJ81" s="7"/>
      <c r="AK81" s="4">
        <f t="shared" si="126"/>
        <v>381</v>
      </c>
      <c r="AL81" s="44">
        <f t="shared" si="157"/>
        <v>8.3950617283950604E-2</v>
      </c>
      <c r="AM81" s="25">
        <f t="shared" si="113"/>
        <v>386.60867631208708</v>
      </c>
      <c r="AN81" s="4">
        <f t="shared" si="114"/>
        <v>0.7533333333333333</v>
      </c>
      <c r="AO81" s="4">
        <v>1.25</v>
      </c>
      <c r="AP81" s="25">
        <f t="shared" si="115"/>
        <v>5</v>
      </c>
      <c r="AQ81" s="38">
        <f t="shared" si="116"/>
        <v>152.81384098673232</v>
      </c>
      <c r="AR81" s="38">
        <f t="shared" si="117"/>
        <v>152.81384098673232</v>
      </c>
      <c r="AT81" s="38">
        <f t="shared" si="133"/>
        <v>152.8138409867322</v>
      </c>
      <c r="AU81" s="38">
        <f t="shared" si="47"/>
        <v>1.0000000000000007</v>
      </c>
      <c r="AV81" s="38">
        <f t="shared" si="139"/>
        <v>1.7896282955110878</v>
      </c>
      <c r="AW81" s="4">
        <f t="shared" si="158"/>
        <v>0</v>
      </c>
      <c r="AX81" s="4">
        <f t="shared" si="224"/>
        <v>194.95009660475932</v>
      </c>
      <c r="AY81" s="4">
        <f t="shared" si="225"/>
        <v>1.0249999999999999</v>
      </c>
      <c r="AZ81" s="38">
        <f t="shared" si="118"/>
        <v>273.47997377558795</v>
      </c>
      <c r="BA81" s="4">
        <f t="shared" si="226"/>
        <v>0.60099999999999998</v>
      </c>
      <c r="BB81" s="4">
        <f t="shared" si="51"/>
        <v>61.218716711068033</v>
      </c>
      <c r="BC81" s="4">
        <f t="shared" si="52"/>
        <v>334.69869048665601</v>
      </c>
      <c r="BE81" s="36">
        <f t="shared" si="53"/>
        <v>1.1000000000000001</v>
      </c>
      <c r="BF81" s="36">
        <f t="shared" si="54"/>
        <v>193.24567576015772</v>
      </c>
      <c r="BK81" s="4">
        <f t="shared" si="160"/>
        <v>89.949999999999989</v>
      </c>
      <c r="BL81" s="4">
        <f t="shared" si="161"/>
        <v>83.6</v>
      </c>
      <c r="BM81" s="4">
        <f t="shared" si="162"/>
        <v>89.949999999999989</v>
      </c>
      <c r="BN81" s="4">
        <f t="shared" si="163"/>
        <v>101.6</v>
      </c>
      <c r="BO81" s="4">
        <f t="shared" si="164"/>
        <v>1.0075956937799044</v>
      </c>
      <c r="BP81" s="25">
        <f t="shared" si="119"/>
        <v>2.8436589580010634</v>
      </c>
      <c r="BR81" s="4">
        <f t="shared" si="165"/>
        <v>89.949999999999989</v>
      </c>
      <c r="BV81" s="9"/>
      <c r="BX81" s="9"/>
      <c r="BY81" s="9"/>
      <c r="BZ81" s="9">
        <f t="shared" si="235"/>
        <v>50.8</v>
      </c>
      <c r="CA81" s="9">
        <f t="shared" si="236"/>
        <v>89.949999999999989</v>
      </c>
      <c r="CB81" s="9">
        <f t="shared" si="63"/>
        <v>1.2941994891728255</v>
      </c>
      <c r="CC81" s="9">
        <v>0</v>
      </c>
      <c r="CD81" s="9">
        <f t="shared" si="132"/>
        <v>0</v>
      </c>
      <c r="CE81" s="9">
        <f t="shared" si="65"/>
        <v>0</v>
      </c>
      <c r="CF81" s="9">
        <f t="shared" si="237"/>
        <v>0.89637813077714179</v>
      </c>
      <c r="CG81" s="9">
        <f t="shared" si="238"/>
        <v>1.1339999999999999</v>
      </c>
      <c r="CH81" s="9">
        <f t="shared" si="68"/>
        <v>1.8825710113593779</v>
      </c>
      <c r="CI81" s="9">
        <f t="shared" si="69"/>
        <v>2.4364224412328763</v>
      </c>
      <c r="CJ81" s="9">
        <v>1</v>
      </c>
      <c r="CK81" s="9">
        <f t="shared" si="70"/>
        <v>214.4051748284931</v>
      </c>
      <c r="CM81" s="4">
        <f t="shared" si="210"/>
        <v>1.7696836575539174</v>
      </c>
      <c r="CN81" s="4">
        <f t="shared" si="211"/>
        <v>1.0307778602251647</v>
      </c>
      <c r="CO81" s="4">
        <f t="shared" si="212"/>
        <v>1.7852922123245258</v>
      </c>
      <c r="CP81" s="4">
        <f t="shared" si="213"/>
        <v>1.6091029532098386</v>
      </c>
      <c r="CQ81" s="4">
        <f t="shared" si="214"/>
        <v>1.1587731438285154</v>
      </c>
      <c r="CR81" s="4">
        <f t="shared" si="215"/>
        <v>1.3192185620272767</v>
      </c>
      <c r="CS81" s="4">
        <f t="shared" si="146"/>
        <v>1.4381284355620612</v>
      </c>
      <c r="CU81" s="4">
        <f t="shared" si="216"/>
        <v>1.7696836575539174</v>
      </c>
      <c r="CV81" s="4">
        <f t="shared" si="216"/>
        <v>1.0307778602251647</v>
      </c>
      <c r="CW81" s="4">
        <f t="shared" si="217"/>
        <v>1.6091029532098386</v>
      </c>
      <c r="CX81" s="4">
        <f t="shared" si="218"/>
        <v>1.4381284355620612</v>
      </c>
      <c r="CY81" s="4">
        <f t="shared" si="219"/>
        <v>1.1587731438285154</v>
      </c>
      <c r="CZ81" s="4">
        <f t="shared" si="219"/>
        <v>1.3192185620272767</v>
      </c>
      <c r="DH81" s="4">
        <f t="shared" si="171"/>
        <v>0</v>
      </c>
      <c r="DI81" s="4">
        <f t="shared" si="172"/>
        <v>381</v>
      </c>
      <c r="DJ81" s="4">
        <f t="shared" si="173"/>
        <v>0.66141732283464572</v>
      </c>
      <c r="DL81" s="4">
        <f t="shared" si="174"/>
        <v>1.8628104182055264E-5</v>
      </c>
      <c r="DM81" s="4">
        <f t="shared" si="175"/>
        <v>6.0161976170308948</v>
      </c>
      <c r="DN81" s="4">
        <f t="shared" si="176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38">
        <f t="shared" si="120"/>
        <v>297.7286812672765</v>
      </c>
      <c r="DS81" s="4">
        <f t="shared" si="79"/>
        <v>1.0001858426308585</v>
      </c>
      <c r="DT81" s="4">
        <f t="shared" si="150"/>
        <v>1.9621416870348587</v>
      </c>
      <c r="DU81" s="4">
        <f t="shared" si="121"/>
        <v>152.8138409867322</v>
      </c>
      <c r="DY81" s="4">
        <f t="shared" si="239"/>
        <v>0.85</v>
      </c>
      <c r="DZ81" s="4">
        <f t="shared" si="81"/>
        <v>0.85013888888888889</v>
      </c>
      <c r="EA81" s="4">
        <f t="shared" si="82"/>
        <v>1</v>
      </c>
      <c r="EB81" s="4">
        <f t="shared" si="83"/>
        <v>0.85013888888888889</v>
      </c>
      <c r="ED81" s="4">
        <f t="shared" si="122"/>
        <v>261.51845488728549</v>
      </c>
      <c r="EE81" s="25">
        <f t="shared" si="123"/>
        <v>150.18137322121927</v>
      </c>
      <c r="EG81" s="4">
        <f t="shared" si="151"/>
        <v>0.72261805555555558</v>
      </c>
      <c r="EH81" s="4">
        <f t="shared" si="84"/>
        <v>6.0161976170308948</v>
      </c>
      <c r="EI81" s="4">
        <f t="shared" si="178"/>
        <v>4.9450239957683877</v>
      </c>
      <c r="EK81" s="4">
        <f t="shared" si="179"/>
        <v>70.637100733254911</v>
      </c>
      <c r="EL81" s="4">
        <f t="shared" si="180"/>
        <v>1.9621416870348585</v>
      </c>
      <c r="EM81" s="4">
        <f t="shared" si="181"/>
        <v>0.15229085460242964</v>
      </c>
      <c r="EP81" s="4">
        <f t="shared" si="182"/>
        <v>0.15229085460242964</v>
      </c>
      <c r="EQ81" s="4">
        <f t="shared" si="183"/>
        <v>0.5254533688197538</v>
      </c>
      <c r="ER81" s="4">
        <f t="shared" si="184"/>
        <v>4.6508867620253334</v>
      </c>
      <c r="ES81" s="4">
        <f t="shared" si="240"/>
        <v>5.3771224773913264</v>
      </c>
      <c r="ET81" s="4">
        <f t="shared" si="186"/>
        <v>215.1128992667451</v>
      </c>
      <c r="EU81" s="4">
        <f t="shared" si="187"/>
        <v>95.25</v>
      </c>
      <c r="EV81" s="4">
        <f t="shared" si="95"/>
        <v>1.8628104182055264E-5</v>
      </c>
      <c r="EW81" s="4">
        <f t="shared" si="241"/>
        <v>5.6232740205776892</v>
      </c>
      <c r="EX81" s="4">
        <f t="shared" si="189"/>
        <v>297.67336086675652</v>
      </c>
      <c r="EY81" s="4">
        <f t="shared" si="190"/>
        <v>181.3628992667451</v>
      </c>
      <c r="EZ81" s="4">
        <f t="shared" si="191"/>
        <v>1.4210854715202004E-14</v>
      </c>
      <c r="FB81" s="4">
        <f t="shared" si="100"/>
        <v>79.677192674664695</v>
      </c>
      <c r="FG81" s="23">
        <f t="shared" si="220"/>
        <v>1.8</v>
      </c>
      <c r="FH81" s="23">
        <f t="shared" si="220"/>
        <v>1.2</v>
      </c>
      <c r="FI81" s="23">
        <f t="shared" si="234"/>
        <v>1.6</v>
      </c>
      <c r="FJ81" s="23">
        <f t="shared" si="221"/>
        <v>1.8</v>
      </c>
      <c r="FK81" s="23">
        <f t="shared" si="221"/>
        <v>1.2</v>
      </c>
      <c r="FL81" s="23">
        <f t="shared" si="221"/>
        <v>1.4</v>
      </c>
      <c r="FM81" s="23">
        <f t="shared" si="222"/>
        <v>0</v>
      </c>
      <c r="FN81" s="23"/>
      <c r="FX81" s="4">
        <f t="shared" si="101"/>
        <v>1</v>
      </c>
      <c r="FY81" s="4">
        <f t="shared" si="102"/>
        <v>0.85000000000000009</v>
      </c>
      <c r="FZ81" s="4">
        <f t="shared" si="103"/>
        <v>0</v>
      </c>
      <c r="GA81" s="4">
        <f t="shared" si="104"/>
        <v>239.89512443314166</v>
      </c>
    </row>
    <row r="82" spans="1:184" ht="12" customHeight="1" x14ac:dyDescent="0.3">
      <c r="A82" s="25">
        <v>64</v>
      </c>
      <c r="B82" s="20" t="s">
        <v>54</v>
      </c>
      <c r="C82" s="20">
        <v>2006</v>
      </c>
      <c r="D82" s="24" t="s">
        <v>55</v>
      </c>
      <c r="E82" s="24"/>
      <c r="F82" s="7" t="s">
        <v>285</v>
      </c>
      <c r="G82" s="7">
        <v>433</v>
      </c>
      <c r="H82" s="7">
        <f t="shared" si="244"/>
        <v>381</v>
      </c>
      <c r="I82" s="7">
        <f t="shared" si="134"/>
        <v>252</v>
      </c>
      <c r="J82" s="7">
        <v>28</v>
      </c>
      <c r="K82" s="7">
        <v>36</v>
      </c>
      <c r="L82" s="7">
        <f t="shared" si="154"/>
        <v>10.583333333333334</v>
      </c>
      <c r="M82" s="7">
        <v>7</v>
      </c>
      <c r="N82" s="7">
        <f t="shared" si="243"/>
        <v>215.89999999999998</v>
      </c>
      <c r="O82" s="7">
        <f t="shared" si="108"/>
        <v>89.949999999999989</v>
      </c>
      <c r="P82" s="7">
        <f t="shared" si="136"/>
        <v>50.8</v>
      </c>
      <c r="Q82" s="7">
        <v>0</v>
      </c>
      <c r="R82" s="7">
        <v>1</v>
      </c>
      <c r="S82" s="7">
        <f t="shared" si="137"/>
        <v>83.6</v>
      </c>
      <c r="T82" s="7">
        <f t="shared" si="42"/>
        <v>2.822222222222222</v>
      </c>
      <c r="U82" s="7">
        <f t="shared" si="138"/>
        <v>2.9986111111111109</v>
      </c>
      <c r="V82" s="7">
        <v>2.85</v>
      </c>
      <c r="W82" s="7">
        <f t="shared" si="155"/>
        <v>2.85</v>
      </c>
      <c r="X82" s="7">
        <f t="shared" si="44"/>
        <v>3.85</v>
      </c>
      <c r="Y82" s="7">
        <f t="shared" si="204"/>
        <v>70.637100733254911</v>
      </c>
      <c r="Z82" s="7"/>
      <c r="AA82" s="7"/>
      <c r="AB82" s="7">
        <v>375</v>
      </c>
      <c r="AC82" s="7"/>
      <c r="AD82" s="7"/>
      <c r="AE82" s="7">
        <v>0</v>
      </c>
      <c r="AF82" s="7">
        <v>0</v>
      </c>
      <c r="AG82" s="7">
        <f t="shared" si="156"/>
        <v>252</v>
      </c>
      <c r="AH82" s="7"/>
      <c r="AI82" s="7"/>
      <c r="AJ82" s="7"/>
      <c r="AK82" s="4">
        <f t="shared" si="126"/>
        <v>381</v>
      </c>
      <c r="AL82" s="44">
        <f t="shared" si="157"/>
        <v>8.3950617283950604E-2</v>
      </c>
      <c r="AM82" s="25">
        <f t="shared" si="113"/>
        <v>386.60867631208708</v>
      </c>
      <c r="AN82" s="4">
        <f t="shared" si="114"/>
        <v>0.7533333333333333</v>
      </c>
      <c r="AO82" s="4">
        <v>1.25</v>
      </c>
      <c r="AP82" s="25">
        <f t="shared" si="115"/>
        <v>5</v>
      </c>
      <c r="AQ82" s="38">
        <f t="shared" si="116"/>
        <v>152.81384098673232</v>
      </c>
      <c r="AR82" s="38">
        <f t="shared" si="117"/>
        <v>152.81384098673232</v>
      </c>
      <c r="AT82" s="38">
        <f t="shared" si="133"/>
        <v>152.8138409867322</v>
      </c>
      <c r="AU82" s="38">
        <f t="shared" si="47"/>
        <v>1.0000000000000007</v>
      </c>
      <c r="AV82" s="38">
        <f t="shared" si="139"/>
        <v>1.7896282955110878</v>
      </c>
      <c r="AW82" s="4">
        <f t="shared" si="158"/>
        <v>0</v>
      </c>
      <c r="AX82" s="4">
        <f t="shared" si="224"/>
        <v>194.95009660475932</v>
      </c>
      <c r="AY82" s="4">
        <f t="shared" si="225"/>
        <v>1.0249999999999999</v>
      </c>
      <c r="AZ82" s="38">
        <f t="shared" si="118"/>
        <v>273.47997377558795</v>
      </c>
      <c r="BA82" s="4">
        <f t="shared" si="226"/>
        <v>0.60099999999999998</v>
      </c>
      <c r="BB82" s="4">
        <f t="shared" si="51"/>
        <v>61.218716711068033</v>
      </c>
      <c r="BC82" s="4">
        <f t="shared" si="52"/>
        <v>334.69869048665601</v>
      </c>
      <c r="BE82" s="36">
        <f t="shared" si="53"/>
        <v>1.1000000000000001</v>
      </c>
      <c r="BF82" s="36">
        <f t="shared" si="54"/>
        <v>193.24567576015772</v>
      </c>
      <c r="BK82" s="4">
        <f t="shared" si="160"/>
        <v>89.949999999999989</v>
      </c>
      <c r="BL82" s="4">
        <f t="shared" si="161"/>
        <v>83.6</v>
      </c>
      <c r="BM82" s="4">
        <f t="shared" si="162"/>
        <v>89.949999999999989</v>
      </c>
      <c r="BN82" s="4">
        <f t="shared" si="163"/>
        <v>101.6</v>
      </c>
      <c r="BO82" s="4">
        <f t="shared" si="164"/>
        <v>1.0075956937799044</v>
      </c>
      <c r="BP82" s="25">
        <f t="shared" si="119"/>
        <v>2.8436589580010634</v>
      </c>
      <c r="BR82" s="4">
        <f t="shared" si="165"/>
        <v>89.949999999999989</v>
      </c>
      <c r="BV82" s="9"/>
      <c r="BX82" s="9"/>
      <c r="BY82" s="9"/>
      <c r="BZ82" s="9">
        <f t="shared" si="235"/>
        <v>50.8</v>
      </c>
      <c r="CA82" s="9">
        <f t="shared" si="236"/>
        <v>89.949999999999989</v>
      </c>
      <c r="CB82" s="9">
        <f t="shared" si="63"/>
        <v>1.2941994891728255</v>
      </c>
      <c r="CC82" s="9">
        <v>0</v>
      </c>
      <c r="CD82" s="9">
        <f t="shared" si="132"/>
        <v>0</v>
      </c>
      <c r="CE82" s="9">
        <f t="shared" si="65"/>
        <v>0</v>
      </c>
      <c r="CF82" s="9">
        <f t="shared" si="237"/>
        <v>0.89637813077714179</v>
      </c>
      <c r="CG82" s="9">
        <f t="shared" si="238"/>
        <v>1.1339999999999999</v>
      </c>
      <c r="CH82" s="9">
        <f t="shared" si="68"/>
        <v>1.8825710113593779</v>
      </c>
      <c r="CI82" s="9">
        <f t="shared" si="69"/>
        <v>2.4364224412328763</v>
      </c>
      <c r="CJ82" s="9">
        <v>1</v>
      </c>
      <c r="CK82" s="9">
        <f t="shared" si="70"/>
        <v>214.4051748284931</v>
      </c>
      <c r="CM82" s="4">
        <f t="shared" si="210"/>
        <v>1.9235691929933885</v>
      </c>
      <c r="CN82" s="4">
        <f t="shared" si="211"/>
        <v>1.1204107176360487</v>
      </c>
      <c r="CO82" s="4">
        <f t="shared" si="212"/>
        <v>1.9405350133962238</v>
      </c>
      <c r="CP82" s="4">
        <f t="shared" si="213"/>
        <v>1.7490249491411289</v>
      </c>
      <c r="CQ82" s="4">
        <f t="shared" si="214"/>
        <v>1.2595360259005601</v>
      </c>
      <c r="CR82" s="4">
        <f t="shared" si="215"/>
        <v>1.433933219594866</v>
      </c>
      <c r="CS82" s="4">
        <f t="shared" si="146"/>
        <v>1.5631830821326751</v>
      </c>
      <c r="CU82" s="4">
        <f t="shared" si="216"/>
        <v>1.9235691929933885</v>
      </c>
      <c r="CV82" s="4">
        <f t="shared" si="216"/>
        <v>1.1204107176360487</v>
      </c>
      <c r="CW82" s="4">
        <f t="shared" si="217"/>
        <v>1.7490249491411289</v>
      </c>
      <c r="CX82" s="4">
        <f t="shared" si="218"/>
        <v>1.5631830821326751</v>
      </c>
      <c r="CY82" s="4">
        <f t="shared" si="219"/>
        <v>1.2595360259005601</v>
      </c>
      <c r="CZ82" s="4">
        <f t="shared" si="219"/>
        <v>1.433933219594866</v>
      </c>
      <c r="DH82" s="4">
        <f t="shared" si="171"/>
        <v>0</v>
      </c>
      <c r="DI82" s="4">
        <f t="shared" si="172"/>
        <v>381</v>
      </c>
      <c r="DJ82" s="4">
        <f t="shared" si="173"/>
        <v>0.66141732283464572</v>
      </c>
      <c r="DL82" s="4">
        <f t="shared" si="174"/>
        <v>1.8628104182055264E-5</v>
      </c>
      <c r="DM82" s="4">
        <f t="shared" si="175"/>
        <v>6.0161976170308948</v>
      </c>
      <c r="DN82" s="4">
        <f t="shared" si="176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38">
        <f t="shared" si="120"/>
        <v>297.7286812672765</v>
      </c>
      <c r="DS82" s="4">
        <f t="shared" si="79"/>
        <v>1.0001858426308585</v>
      </c>
      <c r="DT82" s="4">
        <f t="shared" si="150"/>
        <v>1.9621416870348587</v>
      </c>
      <c r="DU82" s="4">
        <f t="shared" si="121"/>
        <v>152.8138409867322</v>
      </c>
      <c r="DY82" s="4">
        <f t="shared" si="239"/>
        <v>0.85</v>
      </c>
      <c r="DZ82" s="4">
        <f t="shared" si="81"/>
        <v>0.85013888888888889</v>
      </c>
      <c r="EA82" s="4">
        <f t="shared" si="82"/>
        <v>1</v>
      </c>
      <c r="EB82" s="4">
        <f t="shared" si="83"/>
        <v>0.85013888888888889</v>
      </c>
      <c r="ED82" s="4">
        <f t="shared" si="122"/>
        <v>261.51845488728549</v>
      </c>
      <c r="EE82" s="25">
        <f t="shared" si="123"/>
        <v>150.18137322121927</v>
      </c>
      <c r="EG82" s="4">
        <f t="shared" si="151"/>
        <v>0.72261805555555558</v>
      </c>
      <c r="EH82" s="4">
        <f t="shared" si="84"/>
        <v>6.0161976170308948</v>
      </c>
      <c r="EI82" s="4">
        <f t="shared" si="178"/>
        <v>4.9450239957683877</v>
      </c>
      <c r="EK82" s="4">
        <f t="shared" si="179"/>
        <v>70.637100733254911</v>
      </c>
      <c r="EL82" s="4">
        <f t="shared" si="180"/>
        <v>1.9621416870348585</v>
      </c>
      <c r="EM82" s="4">
        <f t="shared" si="181"/>
        <v>0.15229085460242964</v>
      </c>
      <c r="EP82" s="4">
        <f t="shared" si="182"/>
        <v>0.15229085460242964</v>
      </c>
      <c r="EQ82" s="4">
        <f t="shared" si="183"/>
        <v>0.5254533688197538</v>
      </c>
      <c r="ER82" s="4">
        <f t="shared" si="184"/>
        <v>4.6508867620253334</v>
      </c>
      <c r="ES82" s="4">
        <f t="shared" si="240"/>
        <v>5.3771224773913264</v>
      </c>
      <c r="ET82" s="4">
        <f t="shared" si="186"/>
        <v>215.1128992667451</v>
      </c>
      <c r="EU82" s="4">
        <f t="shared" si="187"/>
        <v>95.25</v>
      </c>
      <c r="EV82" s="4">
        <f t="shared" si="95"/>
        <v>1.8628104182055264E-5</v>
      </c>
      <c r="EW82" s="4">
        <f t="shared" si="241"/>
        <v>5.6232740205776892</v>
      </c>
      <c r="EX82" s="4">
        <f t="shared" si="189"/>
        <v>297.67336086675652</v>
      </c>
      <c r="EY82" s="4">
        <f t="shared" si="190"/>
        <v>181.3628992667451</v>
      </c>
      <c r="EZ82" s="4">
        <f t="shared" si="191"/>
        <v>1.4210854715202004E-14</v>
      </c>
      <c r="FB82" s="4">
        <f t="shared" si="100"/>
        <v>79.677192674664695</v>
      </c>
      <c r="FG82" s="23">
        <f t="shared" si="220"/>
        <v>2</v>
      </c>
      <c r="FH82" s="23">
        <f t="shared" si="220"/>
        <v>1.2</v>
      </c>
      <c r="FI82" s="23">
        <f t="shared" si="234"/>
        <v>1.6</v>
      </c>
      <c r="FJ82" s="23">
        <f t="shared" si="221"/>
        <v>1.8</v>
      </c>
      <c r="FK82" s="23">
        <f t="shared" si="221"/>
        <v>1.4</v>
      </c>
      <c r="FL82" s="23">
        <f t="shared" si="221"/>
        <v>1.6</v>
      </c>
      <c r="FM82" s="23">
        <f t="shared" si="222"/>
        <v>0</v>
      </c>
      <c r="FN82" s="23"/>
      <c r="FX82" s="4">
        <f t="shared" si="101"/>
        <v>1</v>
      </c>
      <c r="FY82" s="4">
        <f t="shared" si="102"/>
        <v>0.85000000000000009</v>
      </c>
      <c r="FZ82" s="4">
        <f t="shared" si="103"/>
        <v>0</v>
      </c>
      <c r="GA82" s="4">
        <f t="shared" si="104"/>
        <v>239.89512443314166</v>
      </c>
    </row>
    <row r="83" spans="1:184" ht="12" customHeight="1" x14ac:dyDescent="0.3">
      <c r="A83" s="25">
        <v>65</v>
      </c>
      <c r="B83" s="20" t="s">
        <v>54</v>
      </c>
      <c r="C83" s="20">
        <v>2006</v>
      </c>
      <c r="D83" s="24" t="s">
        <v>55</v>
      </c>
      <c r="E83" s="24"/>
      <c r="F83" s="7" t="s">
        <v>286</v>
      </c>
      <c r="G83" s="7">
        <v>433</v>
      </c>
      <c r="H83" s="7">
        <f t="shared" si="244"/>
        <v>381</v>
      </c>
      <c r="I83" s="7">
        <f t="shared" si="134"/>
        <v>252</v>
      </c>
      <c r="J83" s="7">
        <v>28</v>
      </c>
      <c r="K83" s="7">
        <v>36</v>
      </c>
      <c r="L83" s="7">
        <f t="shared" si="154"/>
        <v>10.583333333333334</v>
      </c>
      <c r="M83" s="7">
        <v>7</v>
      </c>
      <c r="N83" s="7">
        <f t="shared" si="243"/>
        <v>215.89999999999998</v>
      </c>
      <c r="O83" s="7">
        <f t="shared" si="108"/>
        <v>89.949999999999989</v>
      </c>
      <c r="P83" s="7">
        <f t="shared" si="136"/>
        <v>50.8</v>
      </c>
      <c r="Q83" s="7">
        <v>0</v>
      </c>
      <c r="R83" s="7">
        <v>1</v>
      </c>
      <c r="S83" s="7">
        <f t="shared" si="137"/>
        <v>83.6</v>
      </c>
      <c r="T83" s="7">
        <f t="shared" ref="T83:T93" si="245">MIN(N83/2/K83, (S83+K83/2)/K83)</f>
        <v>2.822222222222222</v>
      </c>
      <c r="U83" s="7">
        <f t="shared" si="138"/>
        <v>2.9986111111111109</v>
      </c>
      <c r="V83" s="7">
        <v>3.53</v>
      </c>
      <c r="W83" s="7">
        <f t="shared" si="155"/>
        <v>3.53</v>
      </c>
      <c r="X83" s="7">
        <f t="shared" ref="X83:X122" si="246">W83+1</f>
        <v>4.5299999999999994</v>
      </c>
      <c r="Y83" s="7">
        <f t="shared" si="204"/>
        <v>76.62166795365394</v>
      </c>
      <c r="Z83" s="7"/>
      <c r="AA83" s="7"/>
      <c r="AB83" s="7">
        <v>387</v>
      </c>
      <c r="AC83" s="7"/>
      <c r="AD83" s="7"/>
      <c r="AE83" s="7">
        <v>0</v>
      </c>
      <c r="AF83" s="7">
        <v>0</v>
      </c>
      <c r="AG83" s="7">
        <f t="shared" si="156"/>
        <v>252</v>
      </c>
      <c r="AH83" s="7"/>
      <c r="AI83" s="7"/>
      <c r="AJ83" s="7"/>
      <c r="AK83" s="4">
        <f t="shared" si="126"/>
        <v>381</v>
      </c>
      <c r="AL83" s="44">
        <f t="shared" si="157"/>
        <v>8.3950617283950604E-2</v>
      </c>
      <c r="AM83" s="25">
        <f t="shared" si="113"/>
        <v>386.60867631208708</v>
      </c>
      <c r="AN83" s="4">
        <f t="shared" si="114"/>
        <v>0.7533333333333333</v>
      </c>
      <c r="AO83" s="4">
        <v>1.25</v>
      </c>
      <c r="AP83" s="25">
        <f t="shared" si="115"/>
        <v>5</v>
      </c>
      <c r="AQ83" s="38">
        <f t="shared" si="116"/>
        <v>152.81384098673232</v>
      </c>
      <c r="AR83" s="38">
        <f t="shared" si="117"/>
        <v>152.81384098673232</v>
      </c>
      <c r="AT83" s="38">
        <f t="shared" si="133"/>
        <v>152.8138409867322</v>
      </c>
      <c r="AU83" s="38">
        <f t="shared" ref="AU83:AU146" si="247">AQ83/AT83</f>
        <v>1.0000000000000007</v>
      </c>
      <c r="AV83" s="38">
        <f t="shared" si="139"/>
        <v>1.9917175968892866</v>
      </c>
      <c r="AW83" s="4">
        <f t="shared" si="158"/>
        <v>0</v>
      </c>
      <c r="AX83" s="4">
        <f t="shared" si="224"/>
        <v>194.95009660475932</v>
      </c>
      <c r="AY83" s="4">
        <f t="shared" si="225"/>
        <v>1.0249999999999999</v>
      </c>
      <c r="AZ83" s="38">
        <f t="shared" si="118"/>
        <v>304.36201614151582</v>
      </c>
      <c r="BA83" s="4">
        <f t="shared" si="226"/>
        <v>0.50580000000000003</v>
      </c>
      <c r="BB83" s="4">
        <f t="shared" ref="BB83:BB146" si="248">BA83*G83*I83/(G83*K83/2.75/J83^0.5)</f>
        <v>51.521509005754098</v>
      </c>
      <c r="BC83" s="4">
        <f t="shared" ref="BC83:BC146" si="249">AZ83+BB83</f>
        <v>355.88352514726989</v>
      </c>
      <c r="BE83" s="36">
        <f t="shared" ref="BE83:BE92" si="250">MAX(1, (0.9+0.1*MIN(2,T83-0.5))*(0.9+0.1*MIN(3.5,O83/O83))+0.45*MIN(2.5,(40*2*PI()*AE83^2/4/AG83/R83)/K83))</f>
        <v>1.1000000000000001</v>
      </c>
      <c r="BF83" s="36">
        <f t="shared" ref="BF83:BF92" si="251">(1.6*M83+22)*BE83*J83^0.5</f>
        <v>193.24567576015772</v>
      </c>
      <c r="BK83" s="4">
        <f t="shared" si="160"/>
        <v>89.949999999999989</v>
      </c>
      <c r="BL83" s="4">
        <f t="shared" si="161"/>
        <v>83.6</v>
      </c>
      <c r="BM83" s="4">
        <f t="shared" si="162"/>
        <v>89.949999999999989</v>
      </c>
      <c r="BN83" s="4">
        <f t="shared" si="163"/>
        <v>101.6</v>
      </c>
      <c r="BO83" s="4">
        <f t="shared" si="164"/>
        <v>1.0075956937799044</v>
      </c>
      <c r="BP83" s="25">
        <f t="shared" si="119"/>
        <v>2.8436589580010634</v>
      </c>
      <c r="BR83" s="4">
        <f t="shared" si="165"/>
        <v>89.949999999999989</v>
      </c>
      <c r="BV83" s="9"/>
      <c r="BX83" s="9"/>
      <c r="BY83" s="9"/>
      <c r="BZ83" s="9">
        <f t="shared" si="235"/>
        <v>50.8</v>
      </c>
      <c r="CA83" s="9">
        <f t="shared" si="236"/>
        <v>89.949999999999989</v>
      </c>
      <c r="CB83" s="9">
        <f t="shared" ref="CB83:CB146" si="252">(BZ83/K83)^0.5*(CA83/BZ83)^0.15</f>
        <v>1.2941994891728255</v>
      </c>
      <c r="CC83" s="9">
        <v>0</v>
      </c>
      <c r="CD83" s="9">
        <f t="shared" si="132"/>
        <v>0</v>
      </c>
      <c r="CE83" s="9">
        <f t="shared" ref="CE83:CE146" si="253">MAX(0,CC83*(CD83-0.5/50))</f>
        <v>0</v>
      </c>
      <c r="CF83" s="9">
        <f t="shared" si="237"/>
        <v>0.89637813077714179</v>
      </c>
      <c r="CG83" s="9">
        <f t="shared" si="238"/>
        <v>1.1339999999999999</v>
      </c>
      <c r="CH83" s="9">
        <f t="shared" ref="CH83:CH146" si="254">1.75*CF83*CG83*(J83/25)^0.5</f>
        <v>1.8825710113593779</v>
      </c>
      <c r="CI83" s="9">
        <f t="shared" ref="CI83:CI146" si="255">MIN((CB83+CE83)*CH83,2.5*CH83,J83^0.5)</f>
        <v>2.4364224412328763</v>
      </c>
      <c r="CJ83" s="9">
        <v>1</v>
      </c>
      <c r="CK83" s="9">
        <f t="shared" ref="CK83:CK146" si="256">4*CI83*M83+60*CI83</f>
        <v>214.4051748284931</v>
      </c>
      <c r="CM83" s="4">
        <f t="shared" si="210"/>
        <v>1.9851234071691768</v>
      </c>
      <c r="CN83" s="4">
        <f t="shared" si="211"/>
        <v>1.0874344347349421</v>
      </c>
      <c r="CO83" s="4">
        <f t="shared" si="212"/>
        <v>2.0026321338249029</v>
      </c>
      <c r="CP83" s="4">
        <f t="shared" si="213"/>
        <v>1.8049937475136451</v>
      </c>
      <c r="CQ83" s="4">
        <f t="shared" si="214"/>
        <v>1.3198908746235813</v>
      </c>
      <c r="CR83" s="4">
        <f t="shared" si="215"/>
        <v>1.4782390424361687</v>
      </c>
      <c r="CS83" s="4">
        <f t="shared" si="146"/>
        <v>1.6132049407609208</v>
      </c>
      <c r="CU83" s="4">
        <f t="shared" si="216"/>
        <v>1.9851234071691768</v>
      </c>
      <c r="CV83" s="4">
        <f t="shared" si="216"/>
        <v>1.0874344347349421</v>
      </c>
      <c r="CW83" s="4">
        <f t="shared" si="217"/>
        <v>1.8049937475136451</v>
      </c>
      <c r="CX83" s="4">
        <f t="shared" si="218"/>
        <v>1.6132049407609208</v>
      </c>
      <c r="CY83" s="4">
        <f t="shared" si="219"/>
        <v>1.3198908746235813</v>
      </c>
      <c r="CZ83" s="4">
        <f t="shared" si="219"/>
        <v>1.4782390424361687</v>
      </c>
      <c r="DH83" s="4">
        <f t="shared" si="171"/>
        <v>0</v>
      </c>
      <c r="DI83" s="4">
        <f t="shared" si="172"/>
        <v>381</v>
      </c>
      <c r="DJ83" s="4">
        <f t="shared" si="173"/>
        <v>0.66141732283464572</v>
      </c>
      <c r="DL83" s="4">
        <f t="shared" si="174"/>
        <v>1.8628104182055264E-5</v>
      </c>
      <c r="DM83" s="4">
        <f t="shared" si="175"/>
        <v>6.0161976170308948</v>
      </c>
      <c r="DN83" s="4">
        <f t="shared" si="176"/>
        <v>0.4609442837619841</v>
      </c>
      <c r="DO83" s="4">
        <f t="shared" ref="DO83:DO146" si="257">DM83*DN83^0.4</f>
        <v>4.4134830878635238</v>
      </c>
      <c r="DP83" s="4">
        <f t="shared" ref="DP83:DP146" si="258">MIN(DM83, DM83/1.4*(1-DN83^1.4)/(1-DN83))</f>
        <v>5.2761943527954989</v>
      </c>
      <c r="DQ83" s="4">
        <f t="shared" ref="DQ83:DQ146" si="259">MAX(DM83/2, (4-DL83*(8*Y83*(DO83-DP83)+6*H83*DP83))/(4+DL83*H83*DM83)*DM83)</f>
        <v>5.6329529640118547</v>
      </c>
      <c r="DR83" s="38">
        <f t="shared" si="120"/>
        <v>293.20605774349963</v>
      </c>
      <c r="DS83" s="4">
        <f t="shared" ref="DS83:DS146" si="260">DR83/EX83</f>
        <v>1.0001793392708846</v>
      </c>
      <c r="DT83" s="4">
        <f t="shared" si="150"/>
        <v>2.1283796653792759</v>
      </c>
      <c r="DU83" s="4">
        <f t="shared" si="121"/>
        <v>152.8138409867322</v>
      </c>
      <c r="DY83" s="4">
        <f t="shared" si="239"/>
        <v>0.85</v>
      </c>
      <c r="DZ83" s="4">
        <f t="shared" ref="DZ83:DZ146" si="261">MIN(1,MAX(0.7,(1-0.1*(BR83-1*K83)/K83)))</f>
        <v>0.85013888888888889</v>
      </c>
      <c r="EA83" s="4">
        <f t="shared" ref="EA83:EA146" si="262">MIN(1,MAX(0.7,1-0.3*(PI()*AE83^2/4*AF83*2-0.25*PI()/4*K83^2)/(PI()/4*K83^2)))</f>
        <v>1</v>
      </c>
      <c r="EB83" s="4">
        <f t="shared" ref="EB83:EB146" si="263">IF(DZ83*EA83&lt;0.7,0.7,DZ83*EA83)</f>
        <v>0.85013888888888889</v>
      </c>
      <c r="ED83" s="4">
        <f t="shared" si="122"/>
        <v>261.79798320183448</v>
      </c>
      <c r="EE83" s="25">
        <f t="shared" si="123"/>
        <v>150.18137322121927</v>
      </c>
      <c r="EG83" s="4">
        <f t="shared" si="151"/>
        <v>0.72261805555555558</v>
      </c>
      <c r="EH83" s="4">
        <f t="shared" ref="EH83:EH103" si="264">IF(K83&lt;22.2,1.1*5*(J83/30)^0.5,IF(K83&gt;=31.8,0.9*5*(J83/30)^0.5,1*5*(J83/30)^0.5))/DY83/EB83</f>
        <v>6.0161976170308948</v>
      </c>
      <c r="EI83" s="4">
        <f t="shared" si="178"/>
        <v>4.9450239957683877</v>
      </c>
      <c r="EK83" s="4">
        <f t="shared" si="179"/>
        <v>76.62166795365394</v>
      </c>
      <c r="EL83" s="4">
        <f t="shared" si="180"/>
        <v>2.1283796653792759</v>
      </c>
      <c r="EM83" s="4">
        <f t="shared" si="181"/>
        <v>0.13337140143590914</v>
      </c>
      <c r="EP83" s="4">
        <f t="shared" si="182"/>
        <v>0.13337140143590914</v>
      </c>
      <c r="EQ83" s="4">
        <f t="shared" si="183"/>
        <v>0.46017505366072153</v>
      </c>
      <c r="ER83" s="4">
        <f t="shared" si="184"/>
        <v>4.4105354993107566</v>
      </c>
      <c r="ES83" s="4">
        <f t="shared" si="240"/>
        <v>5.2749629221701388</v>
      </c>
      <c r="ET83" s="4">
        <f t="shared" si="186"/>
        <v>209.12833204634606</v>
      </c>
      <c r="EU83" s="4">
        <f t="shared" si="187"/>
        <v>95.249999999999972</v>
      </c>
      <c r="EV83" s="4">
        <f t="shared" ref="EV83:EV146" si="265">EU83/(1-0.3*(J83/30)^0.5)/200000/K83</f>
        <v>1.8628104182055258E-5</v>
      </c>
      <c r="EW83" s="4">
        <f t="shared" si="241"/>
        <v>5.6330601639663991</v>
      </c>
      <c r="EX83" s="4">
        <f t="shared" si="189"/>
        <v>293.1534838114556</v>
      </c>
      <c r="EY83" s="4">
        <f t="shared" si="190"/>
        <v>175.37833204634609</v>
      </c>
      <c r="EZ83" s="4">
        <f t="shared" si="191"/>
        <v>0</v>
      </c>
      <c r="FB83" s="4">
        <f t="shared" ref="FB83:FB116" si="266">4/K83*(1*ER83*EK83+ES83*ET83+EU83*EW83)+DU83 - (4/K83*(1*ER83*EK83+ES83*EY83+EZ83*EW83)+DU83)</f>
        <v>79.397664360115698</v>
      </c>
      <c r="FG83" s="23">
        <f t="shared" si="220"/>
        <v>2</v>
      </c>
      <c r="FH83" s="23">
        <f t="shared" si="220"/>
        <v>1.2</v>
      </c>
      <c r="FI83" s="23">
        <f t="shared" si="234"/>
        <v>1.8</v>
      </c>
      <c r="FJ83" s="23">
        <f t="shared" si="221"/>
        <v>2</v>
      </c>
      <c r="FK83" s="23">
        <f t="shared" si="221"/>
        <v>1.4</v>
      </c>
      <c r="FL83" s="23">
        <f t="shared" si="221"/>
        <v>1.6</v>
      </c>
      <c r="FM83" s="23">
        <f t="shared" si="222"/>
        <v>0</v>
      </c>
      <c r="FN83" s="23"/>
      <c r="FX83" s="4">
        <f t="shared" ref="FX83:FX146" si="267">IF(O83&gt;=2.5*25.4,1,1.25)</f>
        <v>1</v>
      </c>
      <c r="FY83" s="4">
        <f t="shared" ref="FY83:FY93" si="268">IF(AG83&gt;1, 0.05*(18-MIN(8,(Q83+K83)/K83))*(1-48000/MAX(60000,(G83*145))*(K83/25.4)^0.75*FZ83), 1/12*(14-MIN(8,(Q83+K83)/K83)))</f>
        <v>0.85000000000000009</v>
      </c>
      <c r="FZ83" s="4">
        <f t="shared" ref="FZ83:FZ146" si="269">MIN(0.3, AE83^2*PI()/4*2*AH83/(K83^2*PI()/4*R83))</f>
        <v>0</v>
      </c>
      <c r="GA83" s="4">
        <f t="shared" ref="GA83:GA146" si="270">(H83/25.4)/(K83/25.4)^1.5/0.0024*(J83*145)^0.25/FX83/FY83/145</f>
        <v>239.89512443314166</v>
      </c>
    </row>
    <row r="84" spans="1:184" ht="12" customHeight="1" x14ac:dyDescent="0.3">
      <c r="A84" s="25">
        <v>66</v>
      </c>
      <c r="B84" s="20" t="s">
        <v>54</v>
      </c>
      <c r="C84" s="20">
        <v>2006</v>
      </c>
      <c r="D84" s="24" t="s">
        <v>55</v>
      </c>
      <c r="E84" s="24"/>
      <c r="F84" s="7" t="s">
        <v>287</v>
      </c>
      <c r="G84" s="7">
        <v>433</v>
      </c>
      <c r="H84" s="7">
        <f t="shared" si="244"/>
        <v>381</v>
      </c>
      <c r="I84" s="7">
        <f t="shared" si="134"/>
        <v>252</v>
      </c>
      <c r="J84" s="7">
        <v>28</v>
      </c>
      <c r="K84" s="7">
        <v>36</v>
      </c>
      <c r="L84" s="7">
        <f t="shared" si="154"/>
        <v>10.583333333333334</v>
      </c>
      <c r="M84" s="7">
        <v>7</v>
      </c>
      <c r="N84" s="7">
        <f t="shared" si="243"/>
        <v>215.89999999999998</v>
      </c>
      <c r="O84" s="7">
        <f t="shared" ref="O84:O93" si="271">(N84-K84)/2</f>
        <v>89.949999999999989</v>
      </c>
      <c r="P84" s="7">
        <f t="shared" si="136"/>
        <v>50.8</v>
      </c>
      <c r="Q84" s="7">
        <v>0</v>
      </c>
      <c r="R84" s="7">
        <v>1</v>
      </c>
      <c r="S84" s="7">
        <f t="shared" si="137"/>
        <v>83.6</v>
      </c>
      <c r="T84" s="7">
        <f t="shared" si="245"/>
        <v>2.822222222222222</v>
      </c>
      <c r="U84" s="7">
        <f t="shared" si="138"/>
        <v>2.9986111111111109</v>
      </c>
      <c r="V84" s="7">
        <v>4.13</v>
      </c>
      <c r="W84" s="7">
        <f t="shared" si="155"/>
        <v>4.13</v>
      </c>
      <c r="X84" s="7">
        <f t="shared" si="246"/>
        <v>5.13</v>
      </c>
      <c r="Y84" s="7">
        <f t="shared" si="204"/>
        <v>81.538211900924097</v>
      </c>
      <c r="Z84" s="7"/>
      <c r="AA84" s="7"/>
      <c r="AB84" s="7">
        <v>427</v>
      </c>
      <c r="AC84" s="7"/>
      <c r="AD84" s="7"/>
      <c r="AE84" s="7">
        <v>0</v>
      </c>
      <c r="AF84" s="7">
        <v>0</v>
      </c>
      <c r="AG84" s="7">
        <f t="shared" si="156"/>
        <v>252</v>
      </c>
      <c r="AH84" s="7"/>
      <c r="AI84" s="7"/>
      <c r="AJ84" s="7"/>
      <c r="AK84" s="4">
        <f t="shared" si="126"/>
        <v>381</v>
      </c>
      <c r="AL84" s="44">
        <f t="shared" si="157"/>
        <v>8.3950617283950604E-2</v>
      </c>
      <c r="AM84" s="25">
        <f t="shared" ref="AM84:AM147" si="272">MIN(10*J84^0.5*AK84^1.5,100*3.9*J84^0.5*AK84^(5/3))/(PI()/4*K84^2)/R84</f>
        <v>386.60867631208708</v>
      </c>
      <c r="AN84" s="4">
        <f t="shared" ref="AN84:AN147" si="273">MIN(0.7+0.3*(MIN(O84,S84)+0.5*K84)/1.5/H84,1)</f>
        <v>0.7533333333333333</v>
      </c>
      <c r="AO84" s="4">
        <v>1.25</v>
      </c>
      <c r="AP84" s="25">
        <f t="shared" ref="AP84:AP102" si="274">AP83</f>
        <v>5</v>
      </c>
      <c r="AQ84" s="38">
        <f t="shared" ref="AQ84:AQ145" si="275">AL84*AN84*AO84*AP84*AM84</f>
        <v>152.81384098673232</v>
      </c>
      <c r="AR84" s="38">
        <f t="shared" ref="AR84:AR147" si="276">AQ84</f>
        <v>152.81384098673232</v>
      </c>
      <c r="AT84" s="38">
        <f t="shared" si="133"/>
        <v>152.8138409867322</v>
      </c>
      <c r="AU84" s="38">
        <f t="shared" si="247"/>
        <v>1.0000000000000007</v>
      </c>
      <c r="AV84" s="38">
        <f t="shared" si="139"/>
        <v>2.1543458950369176</v>
      </c>
      <c r="AW84" s="4">
        <f t="shared" si="158"/>
        <v>0</v>
      </c>
      <c r="AX84" s="4">
        <f t="shared" si="224"/>
        <v>194.95009660475932</v>
      </c>
      <c r="AY84" s="4">
        <f t="shared" si="225"/>
        <v>1.0249999999999999</v>
      </c>
      <c r="AZ84" s="38">
        <f t="shared" ref="AZ84:AZ147" si="277">2*J84*T84*V84^0.5*AY84*0.7/0.7</f>
        <v>329.2138710345908</v>
      </c>
      <c r="BA84" s="4">
        <f t="shared" si="226"/>
        <v>0.42180000000000006</v>
      </c>
      <c r="BB84" s="4">
        <f t="shared" si="248"/>
        <v>42.96514926577121</v>
      </c>
      <c r="BC84" s="4">
        <f t="shared" si="249"/>
        <v>372.17902030036203</v>
      </c>
      <c r="BE84" s="36">
        <f t="shared" si="250"/>
        <v>1.1000000000000001</v>
      </c>
      <c r="BF84" s="36">
        <f t="shared" si="251"/>
        <v>193.24567576015772</v>
      </c>
      <c r="BK84" s="4">
        <f t="shared" si="160"/>
        <v>89.949999999999989</v>
      </c>
      <c r="BL84" s="4">
        <f t="shared" si="161"/>
        <v>83.6</v>
      </c>
      <c r="BM84" s="4">
        <f t="shared" si="162"/>
        <v>89.949999999999989</v>
      </c>
      <c r="BN84" s="4">
        <f t="shared" si="163"/>
        <v>101.6</v>
      </c>
      <c r="BO84" s="4">
        <f t="shared" si="164"/>
        <v>1.0075956937799044</v>
      </c>
      <c r="BP84" s="25">
        <f t="shared" ref="BP84:BP147" si="278">MIN(4, (BN84*BO84+(6*J84^0.5*(0.03*K84+0.22)*(AE84^2/4*PI())*2/AG84/R84))/K84)</f>
        <v>2.8436589580010634</v>
      </c>
      <c r="BR84" s="4">
        <f t="shared" si="165"/>
        <v>89.949999999999989</v>
      </c>
      <c r="BV84" s="9"/>
      <c r="BX84" s="9"/>
      <c r="BY84" s="9"/>
      <c r="BZ84" s="9">
        <f t="shared" si="235"/>
        <v>50.8</v>
      </c>
      <c r="CA84" s="9">
        <f t="shared" si="236"/>
        <v>89.949999999999989</v>
      </c>
      <c r="CB84" s="9">
        <f t="shared" si="252"/>
        <v>1.2941994891728255</v>
      </c>
      <c r="CC84" s="9">
        <v>0</v>
      </c>
      <c r="CD84" s="9">
        <f t="shared" si="132"/>
        <v>0</v>
      </c>
      <c r="CE84" s="9">
        <f t="shared" si="253"/>
        <v>0</v>
      </c>
      <c r="CF84" s="9">
        <f t="shared" si="237"/>
        <v>0.89637813077714179</v>
      </c>
      <c r="CG84" s="9">
        <f t="shared" si="238"/>
        <v>1.1339999999999999</v>
      </c>
      <c r="CH84" s="9">
        <f t="shared" si="254"/>
        <v>1.8825710113593779</v>
      </c>
      <c r="CI84" s="9">
        <f t="shared" si="255"/>
        <v>2.4364224412328763</v>
      </c>
      <c r="CJ84" s="9">
        <v>1</v>
      </c>
      <c r="CK84" s="9">
        <f t="shared" si="256"/>
        <v>214.4051748284931</v>
      </c>
      <c r="CM84" s="4">
        <f t="shared" si="210"/>
        <v>2.1903041210884715</v>
      </c>
      <c r="CN84" s="4">
        <f t="shared" si="211"/>
        <v>1.1472973400150159</v>
      </c>
      <c r="CO84" s="4">
        <f t="shared" si="212"/>
        <v>2.2096225352538337</v>
      </c>
      <c r="CP84" s="4">
        <f t="shared" si="213"/>
        <v>1.9915564087553654</v>
      </c>
      <c r="CQ84" s="4">
        <f t="shared" si="214"/>
        <v>1.4725994513297929</v>
      </c>
      <c r="CR84" s="4">
        <f t="shared" si="215"/>
        <v>1.6299079458025423</v>
      </c>
      <c r="CS84" s="4">
        <f t="shared" si="146"/>
        <v>1.7799444695217395</v>
      </c>
      <c r="CU84" s="4">
        <f t="shared" si="216"/>
        <v>2.1903041210884715</v>
      </c>
      <c r="CV84" s="4">
        <f t="shared" si="216"/>
        <v>1.1472973400150159</v>
      </c>
      <c r="CW84" s="4">
        <f t="shared" si="217"/>
        <v>1.9915564087553654</v>
      </c>
      <c r="CX84" s="4">
        <f t="shared" si="218"/>
        <v>1.7799444695217395</v>
      </c>
      <c r="CY84" s="4">
        <f t="shared" si="219"/>
        <v>1.4725994513297929</v>
      </c>
      <c r="CZ84" s="4">
        <f t="shared" si="219"/>
        <v>1.6299079458025423</v>
      </c>
      <c r="DH84" s="4">
        <f t="shared" si="171"/>
        <v>0</v>
      </c>
      <c r="DI84" s="4">
        <f t="shared" si="172"/>
        <v>381</v>
      </c>
      <c r="DJ84" s="4">
        <f t="shared" si="173"/>
        <v>0.66141732283464572</v>
      </c>
      <c r="DL84" s="4">
        <f t="shared" si="174"/>
        <v>1.8628104182055264E-5</v>
      </c>
      <c r="DM84" s="4">
        <f t="shared" si="175"/>
        <v>6.0161976170308948</v>
      </c>
      <c r="DN84" s="4">
        <f t="shared" si="176"/>
        <v>0.4192592652284054</v>
      </c>
      <c r="DO84" s="4">
        <f t="shared" si="257"/>
        <v>4.2492781569476614</v>
      </c>
      <c r="DP84" s="4">
        <f t="shared" si="258"/>
        <v>5.2084323712436884</v>
      </c>
      <c r="DQ84" s="4">
        <f t="shared" si="259"/>
        <v>5.6399318008403121</v>
      </c>
      <c r="DR84" s="38">
        <f t="shared" ref="DR84:DR147" si="279">MIN(1/K84*(4*Y84*(DO84-DP84)+(3*DP84+DQ84)*H84)+DU84 -FB84,MAX(G84,AB84))</f>
        <v>289.96343820066528</v>
      </c>
      <c r="DS84" s="4">
        <f t="shared" si="260"/>
        <v>1.0001753673247638</v>
      </c>
      <c r="DT84" s="4">
        <f t="shared" si="150"/>
        <v>2.2649503305812249</v>
      </c>
      <c r="DU84" s="4">
        <f t="shared" ref="DU84:DU147" si="280">MIN(DT$10*AT84)</f>
        <v>152.8138409867322</v>
      </c>
      <c r="DY84" s="4">
        <f t="shared" si="239"/>
        <v>0.85</v>
      </c>
      <c r="DZ84" s="4">
        <f t="shared" si="261"/>
        <v>0.85013888888888889</v>
      </c>
      <c r="EA84" s="4">
        <f t="shared" si="262"/>
        <v>1</v>
      </c>
      <c r="EB84" s="4">
        <f t="shared" si="263"/>
        <v>0.85013888888888889</v>
      </c>
      <c r="ED84" s="4">
        <f t="shared" ref="ED84:ED147" si="281">MIN(DM84/K84*3*H84+EE84-FB84,MAX(G84,AB84))</f>
        <v>261.97798538232882</v>
      </c>
      <c r="EE84" s="25">
        <f t="shared" ref="EE84:EE92" si="282">8.8*N84*508*J84^0.5/R84/K84^2/H84^0.5*(0.7+MIN(S84,O84)/5/H84)</f>
        <v>150.18137322121927</v>
      </c>
      <c r="EG84" s="4">
        <f t="shared" si="151"/>
        <v>0.72261805555555558</v>
      </c>
      <c r="EH84" s="4">
        <f t="shared" si="264"/>
        <v>6.0161976170308948</v>
      </c>
      <c r="EI84" s="4">
        <f t="shared" si="178"/>
        <v>4.9450239957683877</v>
      </c>
      <c r="EK84" s="4">
        <f t="shared" si="179"/>
        <v>81.538211900924097</v>
      </c>
      <c r="EL84" s="4">
        <f t="shared" si="180"/>
        <v>2.2649503305812249</v>
      </c>
      <c r="EM84" s="4">
        <f t="shared" si="181"/>
        <v>0.12131009698641951</v>
      </c>
      <c r="EP84" s="4">
        <f t="shared" si="182"/>
        <v>0.12131009698641951</v>
      </c>
      <c r="EQ84" s="4">
        <f t="shared" si="183"/>
        <v>0.4185595996540441</v>
      </c>
      <c r="ER84" s="4">
        <f t="shared" si="184"/>
        <v>4.2464402342902972</v>
      </c>
      <c r="ES84" s="4">
        <f t="shared" si="240"/>
        <v>5.2072764835268703</v>
      </c>
      <c r="ET84" s="4">
        <f t="shared" si="186"/>
        <v>204.2117880990759</v>
      </c>
      <c r="EU84" s="4">
        <f t="shared" si="187"/>
        <v>95.249999999999972</v>
      </c>
      <c r="EV84" s="4">
        <f t="shared" si="265"/>
        <v>1.8628104182055258E-5</v>
      </c>
      <c r="EW84" s="4">
        <f t="shared" si="241"/>
        <v>5.6400354676909252</v>
      </c>
      <c r="EX84" s="4">
        <f t="shared" si="189"/>
        <v>289.91259700411337</v>
      </c>
      <c r="EY84" s="4">
        <f t="shared" si="190"/>
        <v>170.46178809907593</v>
      </c>
      <c r="EZ84" s="4">
        <f t="shared" si="191"/>
        <v>0</v>
      </c>
      <c r="FB84" s="4">
        <f t="shared" si="266"/>
        <v>79.217662179621357</v>
      </c>
      <c r="FG84" s="23">
        <f t="shared" si="220"/>
        <v>2.2000000000000002</v>
      </c>
      <c r="FH84" s="23">
        <f t="shared" si="220"/>
        <v>1.2</v>
      </c>
      <c r="FI84" s="23">
        <f t="shared" si="234"/>
        <v>1.8</v>
      </c>
      <c r="FJ84" s="23">
        <f t="shared" si="221"/>
        <v>2</v>
      </c>
      <c r="FK84" s="23">
        <f t="shared" si="221"/>
        <v>1.6</v>
      </c>
      <c r="FL84" s="23">
        <f t="shared" si="221"/>
        <v>1.8</v>
      </c>
      <c r="FM84" s="23">
        <f t="shared" si="222"/>
        <v>0</v>
      </c>
      <c r="FN84" s="23"/>
      <c r="FX84" s="4">
        <f t="shared" si="267"/>
        <v>1</v>
      </c>
      <c r="FY84" s="4">
        <f t="shared" si="268"/>
        <v>0.85000000000000009</v>
      </c>
      <c r="FZ84" s="4">
        <f t="shared" si="269"/>
        <v>0</v>
      </c>
      <c r="GA84" s="4">
        <f t="shared" si="270"/>
        <v>239.89512443314166</v>
      </c>
    </row>
    <row r="85" spans="1:184" ht="12" customHeight="1" x14ac:dyDescent="0.3">
      <c r="A85" s="25">
        <v>67</v>
      </c>
      <c r="B85" s="20" t="s">
        <v>54</v>
      </c>
      <c r="C85" s="20">
        <v>2006</v>
      </c>
      <c r="D85" s="24" t="s">
        <v>55</v>
      </c>
      <c r="E85" s="24"/>
      <c r="F85" s="7" t="s">
        <v>288</v>
      </c>
      <c r="G85" s="7">
        <v>433</v>
      </c>
      <c r="H85" s="7">
        <f t="shared" si="244"/>
        <v>381</v>
      </c>
      <c r="I85" s="7">
        <f t="shared" si="134"/>
        <v>252</v>
      </c>
      <c r="J85" s="7">
        <v>28</v>
      </c>
      <c r="K85" s="7">
        <v>36</v>
      </c>
      <c r="L85" s="7">
        <f t="shared" si="154"/>
        <v>10.583333333333334</v>
      </c>
      <c r="M85" s="7">
        <v>7</v>
      </c>
      <c r="N85" s="7">
        <f t="shared" si="243"/>
        <v>215.89999999999998</v>
      </c>
      <c r="O85" s="7">
        <f t="shared" si="271"/>
        <v>89.949999999999989</v>
      </c>
      <c r="P85" s="7">
        <f t="shared" si="136"/>
        <v>50.8</v>
      </c>
      <c r="Q85" s="7">
        <v>0</v>
      </c>
      <c r="R85" s="7">
        <v>1</v>
      </c>
      <c r="S85" s="7">
        <f t="shared" si="137"/>
        <v>83.6</v>
      </c>
      <c r="T85" s="7">
        <f t="shared" si="245"/>
        <v>2.822222222222222</v>
      </c>
      <c r="U85" s="7">
        <f t="shared" si="138"/>
        <v>2.9986111111111109</v>
      </c>
      <c r="V85" s="7">
        <v>4.13</v>
      </c>
      <c r="W85" s="7">
        <f t="shared" si="155"/>
        <v>4.13</v>
      </c>
      <c r="X85" s="7">
        <f t="shared" si="246"/>
        <v>5.13</v>
      </c>
      <c r="Y85" s="7">
        <f t="shared" si="204"/>
        <v>81.538211900924097</v>
      </c>
      <c r="Z85" s="7"/>
      <c r="AA85" s="7"/>
      <c r="AB85" s="7">
        <v>393</v>
      </c>
      <c r="AC85" s="7"/>
      <c r="AD85" s="7"/>
      <c r="AE85" s="7">
        <v>0</v>
      </c>
      <c r="AF85" s="7">
        <v>0</v>
      </c>
      <c r="AG85" s="7">
        <f t="shared" si="156"/>
        <v>252</v>
      </c>
      <c r="AH85" s="7"/>
      <c r="AI85" s="7"/>
      <c r="AJ85" s="7"/>
      <c r="AK85" s="4">
        <f t="shared" si="126"/>
        <v>381</v>
      </c>
      <c r="AL85" s="44">
        <f t="shared" si="157"/>
        <v>8.3950617283950604E-2</v>
      </c>
      <c r="AM85" s="25">
        <f t="shared" si="272"/>
        <v>386.60867631208708</v>
      </c>
      <c r="AN85" s="4">
        <f t="shared" si="273"/>
        <v>0.7533333333333333</v>
      </c>
      <c r="AO85" s="4">
        <v>1.25</v>
      </c>
      <c r="AP85" s="25">
        <f t="shared" si="274"/>
        <v>5</v>
      </c>
      <c r="AQ85" s="38">
        <f t="shared" si="275"/>
        <v>152.81384098673232</v>
      </c>
      <c r="AR85" s="38">
        <f t="shared" si="276"/>
        <v>152.81384098673232</v>
      </c>
      <c r="AT85" s="38">
        <f t="shared" si="133"/>
        <v>152.8138409867322</v>
      </c>
      <c r="AU85" s="38">
        <f t="shared" si="247"/>
        <v>1.0000000000000007</v>
      </c>
      <c r="AV85" s="38">
        <f t="shared" si="139"/>
        <v>2.1543458950369176</v>
      </c>
      <c r="AW85" s="4">
        <f t="shared" si="158"/>
        <v>0</v>
      </c>
      <c r="AX85" s="4">
        <f t="shared" si="224"/>
        <v>194.95009660475932</v>
      </c>
      <c r="AY85" s="4">
        <f t="shared" si="225"/>
        <v>1.0249999999999999</v>
      </c>
      <c r="AZ85" s="38">
        <f t="shared" si="277"/>
        <v>329.2138710345908</v>
      </c>
      <c r="BA85" s="4">
        <f t="shared" si="226"/>
        <v>0.42180000000000006</v>
      </c>
      <c r="BB85" s="4">
        <f t="shared" si="248"/>
        <v>42.96514926577121</v>
      </c>
      <c r="BC85" s="4">
        <f t="shared" si="249"/>
        <v>372.17902030036203</v>
      </c>
      <c r="BE85" s="36">
        <f t="shared" si="250"/>
        <v>1.1000000000000001</v>
      </c>
      <c r="BF85" s="36">
        <f t="shared" si="251"/>
        <v>193.24567576015772</v>
      </c>
      <c r="BK85" s="4">
        <f t="shared" si="160"/>
        <v>89.949999999999989</v>
      </c>
      <c r="BL85" s="4">
        <f t="shared" si="161"/>
        <v>83.6</v>
      </c>
      <c r="BM85" s="4">
        <f t="shared" si="162"/>
        <v>89.949999999999989</v>
      </c>
      <c r="BN85" s="4">
        <f t="shared" si="163"/>
        <v>101.6</v>
      </c>
      <c r="BO85" s="4">
        <f t="shared" si="164"/>
        <v>1.0075956937799044</v>
      </c>
      <c r="BP85" s="25">
        <f t="shared" si="278"/>
        <v>2.8436589580010634</v>
      </c>
      <c r="BR85" s="4">
        <f t="shared" si="165"/>
        <v>89.949999999999989</v>
      </c>
      <c r="BV85" s="9"/>
      <c r="BX85" s="9"/>
      <c r="BY85" s="9"/>
      <c r="BZ85" s="9">
        <f t="shared" si="235"/>
        <v>50.8</v>
      </c>
      <c r="CA85" s="9">
        <f t="shared" si="236"/>
        <v>89.949999999999989</v>
      </c>
      <c r="CB85" s="9">
        <f t="shared" si="252"/>
        <v>1.2941994891728255</v>
      </c>
      <c r="CC85" s="9">
        <v>0</v>
      </c>
      <c r="CD85" s="9">
        <f t="shared" si="132"/>
        <v>0</v>
      </c>
      <c r="CE85" s="9">
        <f t="shared" si="253"/>
        <v>0</v>
      </c>
      <c r="CF85" s="9">
        <f t="shared" si="237"/>
        <v>0.89637813077714179</v>
      </c>
      <c r="CG85" s="9">
        <f t="shared" si="238"/>
        <v>1.1339999999999999</v>
      </c>
      <c r="CH85" s="9">
        <f t="shared" si="254"/>
        <v>1.8825710113593779</v>
      </c>
      <c r="CI85" s="9">
        <f t="shared" si="255"/>
        <v>2.4364224412328763</v>
      </c>
      <c r="CJ85" s="9">
        <v>1</v>
      </c>
      <c r="CK85" s="9">
        <f t="shared" si="256"/>
        <v>214.4051748284931</v>
      </c>
      <c r="CM85" s="4">
        <f t="shared" si="210"/>
        <v>2.015900514257071</v>
      </c>
      <c r="CN85" s="4">
        <f t="shared" si="211"/>
        <v>1.0559434534564434</v>
      </c>
      <c r="CO85" s="4">
        <f t="shared" si="212"/>
        <v>2.0336806940392425</v>
      </c>
      <c r="CP85" s="4">
        <f t="shared" si="213"/>
        <v>1.8329781466999031</v>
      </c>
      <c r="CQ85" s="4">
        <f t="shared" si="214"/>
        <v>1.3553432889288257</v>
      </c>
      <c r="CR85" s="4">
        <f t="shared" si="215"/>
        <v>1.5001260484786865</v>
      </c>
      <c r="CS85" s="4">
        <f t="shared" si="146"/>
        <v>1.6382158700750435</v>
      </c>
      <c r="CU85" s="4">
        <f t="shared" si="216"/>
        <v>2.015900514257071</v>
      </c>
      <c r="CV85" s="4">
        <f t="shared" si="216"/>
        <v>1.0559434534564434</v>
      </c>
      <c r="CW85" s="4">
        <f t="shared" si="217"/>
        <v>1.8329781466999031</v>
      </c>
      <c r="CX85" s="4">
        <f t="shared" si="218"/>
        <v>1.6382158700750435</v>
      </c>
      <c r="CY85" s="4">
        <f t="shared" si="219"/>
        <v>1.3553432889288257</v>
      </c>
      <c r="CZ85" s="4">
        <f t="shared" si="219"/>
        <v>1.5001260484786865</v>
      </c>
      <c r="DH85" s="4">
        <f t="shared" si="171"/>
        <v>0</v>
      </c>
      <c r="DI85" s="4">
        <f t="shared" si="172"/>
        <v>381</v>
      </c>
      <c r="DJ85" s="4">
        <f t="shared" si="173"/>
        <v>0.66141732283464572</v>
      </c>
      <c r="DL85" s="4">
        <f t="shared" si="174"/>
        <v>1.8628104182055264E-5</v>
      </c>
      <c r="DM85" s="4">
        <f t="shared" si="175"/>
        <v>6.0161976170308948</v>
      </c>
      <c r="DN85" s="4">
        <f t="shared" si="176"/>
        <v>0.4192592652284054</v>
      </c>
      <c r="DO85" s="4">
        <f t="shared" si="257"/>
        <v>4.2492781569476614</v>
      </c>
      <c r="DP85" s="4">
        <f t="shared" si="258"/>
        <v>5.2084323712436884</v>
      </c>
      <c r="DQ85" s="4">
        <f t="shared" si="259"/>
        <v>5.6399318008403121</v>
      </c>
      <c r="DR85" s="38">
        <f t="shared" si="279"/>
        <v>289.96343820066528</v>
      </c>
      <c r="DS85" s="4">
        <f t="shared" si="260"/>
        <v>1.0001753673247638</v>
      </c>
      <c r="DT85" s="4">
        <f t="shared" si="150"/>
        <v>2.2649503305812249</v>
      </c>
      <c r="DU85" s="4">
        <f t="shared" si="280"/>
        <v>152.8138409867322</v>
      </c>
      <c r="DY85" s="4">
        <f t="shared" si="239"/>
        <v>0.85</v>
      </c>
      <c r="DZ85" s="4">
        <f t="shared" si="261"/>
        <v>0.85013888888888889</v>
      </c>
      <c r="EA85" s="4">
        <f t="shared" si="262"/>
        <v>1</v>
      </c>
      <c r="EB85" s="4">
        <f t="shared" si="263"/>
        <v>0.85013888888888889</v>
      </c>
      <c r="ED85" s="4">
        <f t="shared" si="281"/>
        <v>261.97798538232882</v>
      </c>
      <c r="EE85" s="25">
        <f t="shared" si="282"/>
        <v>150.18137322121927</v>
      </c>
      <c r="EG85" s="4">
        <f t="shared" si="151"/>
        <v>0.72261805555555558</v>
      </c>
      <c r="EH85" s="4">
        <f t="shared" si="264"/>
        <v>6.0161976170308948</v>
      </c>
      <c r="EI85" s="4">
        <f t="shared" si="178"/>
        <v>4.9450239957683877</v>
      </c>
      <c r="EK85" s="4">
        <f t="shared" si="179"/>
        <v>81.538211900924097</v>
      </c>
      <c r="EL85" s="4">
        <f t="shared" si="180"/>
        <v>2.2649503305812249</v>
      </c>
      <c r="EM85" s="4">
        <f t="shared" si="181"/>
        <v>0.12131009698641951</v>
      </c>
      <c r="EP85" s="4">
        <f t="shared" si="182"/>
        <v>0.12131009698641951</v>
      </c>
      <c r="EQ85" s="4">
        <f t="shared" si="183"/>
        <v>0.4185595996540441</v>
      </c>
      <c r="ER85" s="4">
        <f t="shared" si="184"/>
        <v>4.2464402342902972</v>
      </c>
      <c r="ES85" s="4">
        <f t="shared" si="240"/>
        <v>5.2072764835268703</v>
      </c>
      <c r="ET85" s="4">
        <f t="shared" si="186"/>
        <v>204.2117880990759</v>
      </c>
      <c r="EU85" s="4">
        <f t="shared" si="187"/>
        <v>95.249999999999972</v>
      </c>
      <c r="EV85" s="4">
        <f t="shared" si="265"/>
        <v>1.8628104182055258E-5</v>
      </c>
      <c r="EW85" s="4">
        <f t="shared" si="241"/>
        <v>5.6400354676909252</v>
      </c>
      <c r="EX85" s="4">
        <f t="shared" si="189"/>
        <v>289.91259700411337</v>
      </c>
      <c r="EY85" s="4">
        <f t="shared" si="190"/>
        <v>170.46178809907593</v>
      </c>
      <c r="EZ85" s="4">
        <f t="shared" si="191"/>
        <v>0</v>
      </c>
      <c r="FB85" s="4">
        <f t="shared" si="266"/>
        <v>79.217662179621357</v>
      </c>
      <c r="FG85" s="23">
        <f t="shared" si="220"/>
        <v>2.2000000000000002</v>
      </c>
      <c r="FH85" s="23">
        <f t="shared" si="220"/>
        <v>1.2</v>
      </c>
      <c r="FI85" s="23">
        <f t="shared" si="234"/>
        <v>1.8</v>
      </c>
      <c r="FJ85" s="23">
        <f t="shared" si="221"/>
        <v>2</v>
      </c>
      <c r="FK85" s="23">
        <f t="shared" si="221"/>
        <v>1.4</v>
      </c>
      <c r="FL85" s="23">
        <f t="shared" si="221"/>
        <v>1.6</v>
      </c>
      <c r="FM85" s="23">
        <f t="shared" si="222"/>
        <v>0</v>
      </c>
      <c r="FN85" s="23"/>
      <c r="FX85" s="4">
        <f t="shared" si="267"/>
        <v>1</v>
      </c>
      <c r="FY85" s="4">
        <f t="shared" si="268"/>
        <v>0.85000000000000009</v>
      </c>
      <c r="FZ85" s="4">
        <f t="shared" si="269"/>
        <v>0</v>
      </c>
      <c r="GA85" s="4">
        <f t="shared" si="270"/>
        <v>239.89512443314166</v>
      </c>
    </row>
    <row r="86" spans="1:184" ht="12" customHeight="1" x14ac:dyDescent="0.3">
      <c r="A86" s="25">
        <v>68</v>
      </c>
      <c r="B86" s="20" t="s">
        <v>54</v>
      </c>
      <c r="C86" s="20">
        <v>2006</v>
      </c>
      <c r="D86" s="24" t="s">
        <v>55</v>
      </c>
      <c r="E86" s="24"/>
      <c r="F86" s="7" t="s">
        <v>282</v>
      </c>
      <c r="G86" s="7">
        <v>433</v>
      </c>
      <c r="H86" s="7">
        <f t="shared" si="244"/>
        <v>381</v>
      </c>
      <c r="I86" s="7">
        <f t="shared" si="134"/>
        <v>252</v>
      </c>
      <c r="J86" s="7">
        <v>28</v>
      </c>
      <c r="K86" s="7">
        <v>36</v>
      </c>
      <c r="L86" s="7">
        <f t="shared" si="154"/>
        <v>10.583333333333334</v>
      </c>
      <c r="M86" s="7">
        <v>7</v>
      </c>
      <c r="N86" s="7">
        <f t="shared" si="243"/>
        <v>215.89999999999998</v>
      </c>
      <c r="O86" s="7">
        <f t="shared" si="271"/>
        <v>89.949999999999989</v>
      </c>
      <c r="P86" s="7">
        <f t="shared" si="136"/>
        <v>50.8</v>
      </c>
      <c r="Q86" s="7">
        <v>0</v>
      </c>
      <c r="R86" s="7">
        <v>1</v>
      </c>
      <c r="S86" s="7">
        <f t="shared" si="137"/>
        <v>83.6</v>
      </c>
      <c r="T86" s="7">
        <f t="shared" si="245"/>
        <v>2.822222222222222</v>
      </c>
      <c r="U86" s="7">
        <f t="shared" si="138"/>
        <v>2.9986111111111109</v>
      </c>
      <c r="V86" s="7">
        <v>4.7699999999999996</v>
      </c>
      <c r="W86" s="7">
        <f t="shared" si="155"/>
        <v>4.7699999999999996</v>
      </c>
      <c r="X86" s="7">
        <f t="shared" si="246"/>
        <v>5.77</v>
      </c>
      <c r="Y86" s="7">
        <f t="shared" si="204"/>
        <v>86.474967476143064</v>
      </c>
      <c r="Z86" s="7"/>
      <c r="AA86" s="7"/>
      <c r="AB86" s="7">
        <v>392</v>
      </c>
      <c r="AC86" s="7"/>
      <c r="AD86" s="7"/>
      <c r="AE86" s="7">
        <v>0</v>
      </c>
      <c r="AF86" s="7">
        <v>0</v>
      </c>
      <c r="AG86" s="7">
        <f t="shared" si="156"/>
        <v>252</v>
      </c>
      <c r="AH86" s="7"/>
      <c r="AI86" s="7"/>
      <c r="AJ86" s="7"/>
      <c r="AK86" s="4">
        <f t="shared" ref="AK86:AK149" si="283">H86</f>
        <v>381</v>
      </c>
      <c r="AL86" s="44">
        <f t="shared" si="157"/>
        <v>8.3950617283950604E-2</v>
      </c>
      <c r="AM86" s="25">
        <f t="shared" si="272"/>
        <v>386.60867631208708</v>
      </c>
      <c r="AN86" s="4">
        <f t="shared" si="273"/>
        <v>0.7533333333333333</v>
      </c>
      <c r="AO86" s="4">
        <v>1.25</v>
      </c>
      <c r="AP86" s="25">
        <f t="shared" si="274"/>
        <v>5</v>
      </c>
      <c r="AQ86" s="38">
        <f t="shared" si="275"/>
        <v>152.81384098673232</v>
      </c>
      <c r="AR86" s="38">
        <f t="shared" si="276"/>
        <v>152.81384098673232</v>
      </c>
      <c r="AT86" s="38">
        <f t="shared" si="133"/>
        <v>152.8138409867322</v>
      </c>
      <c r="AU86" s="38">
        <f t="shared" si="247"/>
        <v>1.0000000000000007</v>
      </c>
      <c r="AV86" s="38">
        <f t="shared" si="139"/>
        <v>2.3152590859656867</v>
      </c>
      <c r="AW86" s="4">
        <f t="shared" si="158"/>
        <v>0</v>
      </c>
      <c r="AX86" s="4">
        <f t="shared" si="224"/>
        <v>194.95009660475932</v>
      </c>
      <c r="AY86" s="4">
        <f t="shared" si="225"/>
        <v>1.0249999999999999</v>
      </c>
      <c r="AZ86" s="38">
        <f t="shared" si="277"/>
        <v>353.80363380584743</v>
      </c>
      <c r="BA86" s="4">
        <f t="shared" si="226"/>
        <v>0.33220000000000005</v>
      </c>
      <c r="BB86" s="4">
        <f t="shared" si="248"/>
        <v>33.838365543122805</v>
      </c>
      <c r="BC86" s="4">
        <f t="shared" si="249"/>
        <v>387.64199934897022</v>
      </c>
      <c r="BE86" s="36">
        <f t="shared" si="250"/>
        <v>1.1000000000000001</v>
      </c>
      <c r="BF86" s="36">
        <f t="shared" si="251"/>
        <v>193.24567576015772</v>
      </c>
      <c r="BK86" s="4">
        <f t="shared" si="160"/>
        <v>89.949999999999989</v>
      </c>
      <c r="BL86" s="4">
        <f t="shared" si="161"/>
        <v>83.6</v>
      </c>
      <c r="BM86" s="4">
        <f t="shared" si="162"/>
        <v>89.949999999999989</v>
      </c>
      <c r="BN86" s="4">
        <f t="shared" si="163"/>
        <v>101.6</v>
      </c>
      <c r="BO86" s="4">
        <f t="shared" si="164"/>
        <v>1.0075956937799044</v>
      </c>
      <c r="BP86" s="25">
        <f t="shared" si="278"/>
        <v>2.8436589580010634</v>
      </c>
      <c r="BR86" s="4">
        <f t="shared" si="165"/>
        <v>89.949999999999989</v>
      </c>
      <c r="BV86" s="9"/>
      <c r="BX86" s="9"/>
      <c r="BY86" s="9"/>
      <c r="BZ86" s="9">
        <f t="shared" si="235"/>
        <v>50.8</v>
      </c>
      <c r="CA86" s="9">
        <f t="shared" si="236"/>
        <v>89.949999999999989</v>
      </c>
      <c r="CB86" s="9">
        <f t="shared" si="252"/>
        <v>1.2941994891728255</v>
      </c>
      <c r="CC86" s="9">
        <v>0</v>
      </c>
      <c r="CD86" s="9">
        <f t="shared" si="132"/>
        <v>0</v>
      </c>
      <c r="CE86" s="9">
        <f t="shared" si="253"/>
        <v>0</v>
      </c>
      <c r="CF86" s="9">
        <f t="shared" si="237"/>
        <v>0.89637813077714179</v>
      </c>
      <c r="CG86" s="9">
        <f t="shared" si="238"/>
        <v>1.1339999999999999</v>
      </c>
      <c r="CH86" s="9">
        <f t="shared" si="254"/>
        <v>1.8825710113593779</v>
      </c>
      <c r="CI86" s="9">
        <f t="shared" si="255"/>
        <v>2.4364224412328763</v>
      </c>
      <c r="CJ86" s="9">
        <v>1</v>
      </c>
      <c r="CK86" s="9">
        <f t="shared" si="256"/>
        <v>214.4051748284931</v>
      </c>
      <c r="CM86" s="4">
        <f t="shared" si="210"/>
        <v>2.0107709964090885</v>
      </c>
      <c r="CN86" s="4">
        <f t="shared" si="211"/>
        <v>1.0112423335406093</v>
      </c>
      <c r="CO86" s="4">
        <f t="shared" si="212"/>
        <v>2.0285059340035194</v>
      </c>
      <c r="CP86" s="4">
        <f t="shared" si="213"/>
        <v>1.82831408016886</v>
      </c>
      <c r="CQ86" s="4">
        <f t="shared" si="214"/>
        <v>1.3657953537061176</v>
      </c>
      <c r="CR86" s="4">
        <f t="shared" si="215"/>
        <v>1.4954634150959114</v>
      </c>
      <c r="CS86" s="4">
        <f t="shared" si="146"/>
        <v>1.6340473818560231</v>
      </c>
      <c r="CU86" s="4">
        <f t="shared" si="216"/>
        <v>2.0107709964090885</v>
      </c>
      <c r="CV86" s="4">
        <f t="shared" si="216"/>
        <v>1.0112423335406093</v>
      </c>
      <c r="CW86" s="4">
        <f t="shared" si="217"/>
        <v>1.82831408016886</v>
      </c>
      <c r="CX86" s="4">
        <f t="shared" si="218"/>
        <v>1.6340473818560231</v>
      </c>
      <c r="CY86" s="4">
        <f t="shared" si="219"/>
        <v>1.3657953537061176</v>
      </c>
      <c r="CZ86" s="4">
        <f t="shared" si="219"/>
        <v>1.4954634150959114</v>
      </c>
      <c r="DH86" s="4">
        <f t="shared" si="171"/>
        <v>0</v>
      </c>
      <c r="DI86" s="4">
        <f t="shared" si="172"/>
        <v>381</v>
      </c>
      <c r="DJ86" s="4">
        <f t="shared" si="173"/>
        <v>0.66141732283464572</v>
      </c>
      <c r="DL86" s="4">
        <f t="shared" si="174"/>
        <v>1.8628104182055264E-5</v>
      </c>
      <c r="DM86" s="4">
        <f t="shared" si="175"/>
        <v>6.0161976170308948</v>
      </c>
      <c r="DN86" s="4">
        <f t="shared" si="176"/>
        <v>0.38498478450152734</v>
      </c>
      <c r="DO86" s="4">
        <f t="shared" si="257"/>
        <v>4.1067618551540557</v>
      </c>
      <c r="DP86" s="4">
        <f t="shared" si="258"/>
        <v>5.1510418853512236</v>
      </c>
      <c r="DQ86" s="4">
        <f t="shared" si="259"/>
        <v>5.6462513861654875</v>
      </c>
      <c r="DR86" s="38">
        <f t="shared" si="279"/>
        <v>287.01225182550144</v>
      </c>
      <c r="DS86" s="4">
        <f t="shared" si="260"/>
        <v>1.0001723108511535</v>
      </c>
      <c r="DT86" s="4">
        <f t="shared" si="150"/>
        <v>2.4020824298928627</v>
      </c>
      <c r="DU86" s="4">
        <f t="shared" si="280"/>
        <v>152.8138409867322</v>
      </c>
      <c r="DY86" s="4">
        <f t="shared" si="239"/>
        <v>0.85</v>
      </c>
      <c r="DZ86" s="4">
        <f t="shared" si="261"/>
        <v>0.85013888888888889</v>
      </c>
      <c r="EA86" s="4">
        <f t="shared" si="262"/>
        <v>1</v>
      </c>
      <c r="EB86" s="4">
        <f t="shared" si="263"/>
        <v>0.85013888888888889</v>
      </c>
      <c r="ED86" s="4">
        <f t="shared" si="281"/>
        <v>262.12610488693173</v>
      </c>
      <c r="EE86" s="25">
        <f t="shared" si="282"/>
        <v>150.18137322121927</v>
      </c>
      <c r="EG86" s="4">
        <f t="shared" si="151"/>
        <v>0.72261805555555558</v>
      </c>
      <c r="EH86" s="4">
        <f t="shared" si="264"/>
        <v>6.0161976170308948</v>
      </c>
      <c r="EI86" s="4">
        <f t="shared" si="178"/>
        <v>4.9450239957683877</v>
      </c>
      <c r="EK86" s="4">
        <f t="shared" si="179"/>
        <v>86.474967476143064</v>
      </c>
      <c r="EL86" s="4">
        <f t="shared" si="180"/>
        <v>2.4020824298928627</v>
      </c>
      <c r="EM86" s="4">
        <f t="shared" si="181"/>
        <v>0.11139298620087341</v>
      </c>
      <c r="EP86" s="4">
        <f t="shared" si="182"/>
        <v>0.11139298620087341</v>
      </c>
      <c r="EQ86" s="4">
        <f t="shared" si="183"/>
        <v>0.38434231664760432</v>
      </c>
      <c r="ER86" s="4">
        <f t="shared" si="184"/>
        <v>4.1040191134255366</v>
      </c>
      <c r="ES86" s="4">
        <f t="shared" si="240"/>
        <v>5.1499506989945818</v>
      </c>
      <c r="ET86" s="4">
        <f t="shared" si="186"/>
        <v>199.27503252385694</v>
      </c>
      <c r="EU86" s="4">
        <f t="shared" si="187"/>
        <v>95.249999999999972</v>
      </c>
      <c r="EV86" s="4">
        <f t="shared" si="265"/>
        <v>1.8628104182055258E-5</v>
      </c>
      <c r="EW86" s="4">
        <f t="shared" si="241"/>
        <v>5.646352209806822</v>
      </c>
      <c r="EX86" s="4">
        <f t="shared" si="189"/>
        <v>286.96280502031897</v>
      </c>
      <c r="EY86" s="4">
        <f t="shared" si="190"/>
        <v>165.52503252385696</v>
      </c>
      <c r="EZ86" s="4">
        <f t="shared" si="191"/>
        <v>0</v>
      </c>
      <c r="FB86" s="4">
        <f t="shared" si="266"/>
        <v>79.069542675018454</v>
      </c>
      <c r="FG86" s="23">
        <f t="shared" si="220"/>
        <v>2.2000000000000002</v>
      </c>
      <c r="FH86" s="23">
        <f t="shared" si="220"/>
        <v>1.2</v>
      </c>
      <c r="FI86" s="23">
        <f t="shared" si="234"/>
        <v>1.8</v>
      </c>
      <c r="FJ86" s="23">
        <f t="shared" si="221"/>
        <v>2</v>
      </c>
      <c r="FK86" s="23">
        <f t="shared" si="221"/>
        <v>1.4</v>
      </c>
      <c r="FL86" s="23">
        <f t="shared" si="221"/>
        <v>1.6</v>
      </c>
      <c r="FM86" s="23">
        <f t="shared" si="222"/>
        <v>0</v>
      </c>
      <c r="FN86" s="23"/>
      <c r="FX86" s="4">
        <f t="shared" si="267"/>
        <v>1</v>
      </c>
      <c r="FY86" s="4">
        <f t="shared" si="268"/>
        <v>0.85000000000000009</v>
      </c>
      <c r="FZ86" s="4">
        <f t="shared" si="269"/>
        <v>0</v>
      </c>
      <c r="GA86" s="4">
        <f t="shared" si="270"/>
        <v>239.89512443314166</v>
      </c>
    </row>
    <row r="87" spans="1:184" ht="12" customHeight="1" x14ac:dyDescent="0.3">
      <c r="A87" s="25">
        <v>69</v>
      </c>
      <c r="B87" s="20" t="s">
        <v>54</v>
      </c>
      <c r="C87" s="20">
        <v>2006</v>
      </c>
      <c r="D87" s="24" t="s">
        <v>55</v>
      </c>
      <c r="E87" s="24"/>
      <c r="F87" s="7" t="s">
        <v>70</v>
      </c>
      <c r="G87" s="7">
        <v>433</v>
      </c>
      <c r="H87" s="7">
        <f t="shared" si="244"/>
        <v>381</v>
      </c>
      <c r="I87" s="7">
        <f t="shared" si="134"/>
        <v>252</v>
      </c>
      <c r="J87" s="7">
        <v>28</v>
      </c>
      <c r="K87" s="7">
        <v>36</v>
      </c>
      <c r="L87" s="7">
        <f t="shared" si="154"/>
        <v>10.583333333333334</v>
      </c>
      <c r="M87" s="7">
        <v>7</v>
      </c>
      <c r="N87" s="7">
        <f t="shared" si="243"/>
        <v>215.89999999999998</v>
      </c>
      <c r="O87" s="7">
        <f t="shared" si="271"/>
        <v>89.949999999999989</v>
      </c>
      <c r="P87" s="7">
        <f t="shared" si="136"/>
        <v>50.8</v>
      </c>
      <c r="Q87" s="7">
        <v>0</v>
      </c>
      <c r="R87" s="7">
        <v>1</v>
      </c>
      <c r="S87" s="7">
        <f t="shared" si="137"/>
        <v>83.6</v>
      </c>
      <c r="T87" s="7">
        <f t="shared" si="245"/>
        <v>2.822222222222222</v>
      </c>
      <c r="U87" s="7">
        <f t="shared" si="138"/>
        <v>2.9986111111111109</v>
      </c>
      <c r="V87" s="7">
        <v>6.69</v>
      </c>
      <c r="W87" s="7">
        <f t="shared" si="155"/>
        <v>6.69</v>
      </c>
      <c r="X87" s="7">
        <f t="shared" si="246"/>
        <v>7.69</v>
      </c>
      <c r="Y87" s="7">
        <f t="shared" si="204"/>
        <v>99.831057291806744</v>
      </c>
      <c r="Z87" s="7"/>
      <c r="AA87" s="7"/>
      <c r="AB87" s="7">
        <v>433</v>
      </c>
      <c r="AC87" s="7"/>
      <c r="AD87" s="7"/>
      <c r="AE87" s="7">
        <v>0</v>
      </c>
      <c r="AF87" s="7">
        <v>0</v>
      </c>
      <c r="AG87" s="7">
        <f t="shared" si="156"/>
        <v>252</v>
      </c>
      <c r="AH87" s="7"/>
      <c r="AI87" s="7"/>
      <c r="AJ87" s="7"/>
      <c r="AK87" s="4">
        <f t="shared" si="283"/>
        <v>381</v>
      </c>
      <c r="AL87" s="44">
        <f t="shared" si="157"/>
        <v>8.3950617283950604E-2</v>
      </c>
      <c r="AM87" s="25">
        <f t="shared" si="272"/>
        <v>386.60867631208708</v>
      </c>
      <c r="AN87" s="4">
        <f t="shared" si="273"/>
        <v>0.7533333333333333</v>
      </c>
      <c r="AO87" s="4">
        <v>1.25</v>
      </c>
      <c r="AP87" s="25">
        <f t="shared" si="274"/>
        <v>5</v>
      </c>
      <c r="AQ87" s="38">
        <f t="shared" si="275"/>
        <v>152.81384098673232</v>
      </c>
      <c r="AR87" s="38">
        <f t="shared" si="276"/>
        <v>152.81384098673232</v>
      </c>
      <c r="AT87" s="38">
        <f t="shared" si="133"/>
        <v>152.8138409867322</v>
      </c>
      <c r="AU87" s="38">
        <f t="shared" si="247"/>
        <v>1.0000000000000007</v>
      </c>
      <c r="AV87" s="38">
        <f t="shared" si="139"/>
        <v>2.7419117115982075</v>
      </c>
      <c r="AW87" s="4">
        <f t="shared" si="158"/>
        <v>0</v>
      </c>
      <c r="AX87" s="4">
        <f t="shared" si="224"/>
        <v>194.95009660475932</v>
      </c>
      <c r="AY87" s="4">
        <f t="shared" si="225"/>
        <v>1.0249999999999999</v>
      </c>
      <c r="AZ87" s="38">
        <f t="shared" si="277"/>
        <v>419.00206029582722</v>
      </c>
      <c r="BA87" s="4">
        <f t="shared" si="226"/>
        <v>0.3</v>
      </c>
      <c r="BB87" s="4">
        <f t="shared" si="248"/>
        <v>30.558427642796026</v>
      </c>
      <c r="BC87" s="4">
        <f t="shared" si="249"/>
        <v>449.56048793862323</v>
      </c>
      <c r="BE87" s="36">
        <f t="shared" si="250"/>
        <v>1.1000000000000001</v>
      </c>
      <c r="BF87" s="36">
        <f t="shared" si="251"/>
        <v>193.24567576015772</v>
      </c>
      <c r="BK87" s="4">
        <f t="shared" si="160"/>
        <v>89.949999999999989</v>
      </c>
      <c r="BL87" s="4">
        <f t="shared" si="161"/>
        <v>83.6</v>
      </c>
      <c r="BM87" s="4">
        <f t="shared" si="162"/>
        <v>89.949999999999989</v>
      </c>
      <c r="BN87" s="4">
        <f t="shared" si="163"/>
        <v>101.6</v>
      </c>
      <c r="BO87" s="4">
        <f t="shared" si="164"/>
        <v>1.0075956937799044</v>
      </c>
      <c r="BP87" s="25">
        <f t="shared" si="278"/>
        <v>2.8436589580010634</v>
      </c>
      <c r="BR87" s="4">
        <f t="shared" si="165"/>
        <v>89.949999999999989</v>
      </c>
      <c r="BV87" s="9"/>
      <c r="BX87" s="9"/>
      <c r="BY87" s="9"/>
      <c r="BZ87" s="9">
        <f t="shared" si="235"/>
        <v>50.8</v>
      </c>
      <c r="CA87" s="9">
        <f t="shared" si="236"/>
        <v>89.949999999999989</v>
      </c>
      <c r="CB87" s="9">
        <f t="shared" si="252"/>
        <v>1.2941994891728255</v>
      </c>
      <c r="CC87" s="9">
        <v>0</v>
      </c>
      <c r="CD87" s="9">
        <f t="shared" si="132"/>
        <v>0</v>
      </c>
      <c r="CE87" s="9">
        <f t="shared" si="253"/>
        <v>0</v>
      </c>
      <c r="CF87" s="9">
        <f t="shared" si="237"/>
        <v>0.89637813077714179</v>
      </c>
      <c r="CG87" s="9">
        <f t="shared" si="238"/>
        <v>1.1339999999999999</v>
      </c>
      <c r="CH87" s="9">
        <f t="shared" si="254"/>
        <v>1.8825710113593779</v>
      </c>
      <c r="CI87" s="9">
        <f t="shared" si="255"/>
        <v>2.4364224412328763</v>
      </c>
      <c r="CJ87" s="9">
        <v>1</v>
      </c>
      <c r="CK87" s="9">
        <f t="shared" si="256"/>
        <v>214.4051748284931</v>
      </c>
      <c r="CM87" s="4">
        <f t="shared" si="210"/>
        <v>2.2210812281763657</v>
      </c>
      <c r="CN87" s="4">
        <f t="shared" si="211"/>
        <v>0.96316293717324164</v>
      </c>
      <c r="CO87" s="4">
        <f t="shared" si="212"/>
        <v>2.2406710954681732</v>
      </c>
      <c r="CP87" s="4">
        <f t="shared" si="213"/>
        <v>2.0195408079416235</v>
      </c>
      <c r="CQ87" s="4">
        <f t="shared" si="214"/>
        <v>1.5462310523396727</v>
      </c>
      <c r="CR87" s="4">
        <f t="shared" si="215"/>
        <v>1.6500544563540349</v>
      </c>
      <c r="CS87" s="4">
        <f t="shared" si="146"/>
        <v>1.8049553988358622</v>
      </c>
      <c r="CU87" s="4">
        <f t="shared" si="216"/>
        <v>2.2210812281763657</v>
      </c>
      <c r="CV87" s="4">
        <f t="shared" si="216"/>
        <v>0.96316293717324164</v>
      </c>
      <c r="CW87" s="4">
        <f t="shared" si="217"/>
        <v>2.0195408079416235</v>
      </c>
      <c r="CX87" s="4">
        <f t="shared" si="218"/>
        <v>1.8049553988358622</v>
      </c>
      <c r="CY87" s="4">
        <f t="shared" si="219"/>
        <v>1.5462310523396727</v>
      </c>
      <c r="CZ87" s="4">
        <f t="shared" si="219"/>
        <v>1.6500544563540349</v>
      </c>
      <c r="DH87" s="4">
        <f t="shared" si="171"/>
        <v>0</v>
      </c>
      <c r="DI87" s="4">
        <f t="shared" si="172"/>
        <v>381</v>
      </c>
      <c r="DJ87" s="4">
        <f t="shared" si="173"/>
        <v>0.66141732283464572</v>
      </c>
      <c r="DL87" s="4">
        <f t="shared" si="174"/>
        <v>1.8628104182055264E-5</v>
      </c>
      <c r="DM87" s="4">
        <f t="shared" si="175"/>
        <v>6.0161976170308948</v>
      </c>
      <c r="DN87" s="4">
        <f t="shared" si="176"/>
        <v>0.31689186474065706</v>
      </c>
      <c r="DO87" s="4">
        <f t="shared" si="257"/>
        <v>3.7991507734546111</v>
      </c>
      <c r="DP87" s="4">
        <f t="shared" si="258"/>
        <v>5.0319136852040129</v>
      </c>
      <c r="DQ87" s="4">
        <f t="shared" si="259"/>
        <v>5.6610669161628726</v>
      </c>
      <c r="DR87" s="38">
        <f t="shared" si="279"/>
        <v>280.03576784000552</v>
      </c>
      <c r="DS87" s="4">
        <f t="shared" si="260"/>
        <v>1.0001673396150337</v>
      </c>
      <c r="DT87" s="4">
        <f t="shared" si="150"/>
        <v>2.7730849247724096</v>
      </c>
      <c r="DU87" s="4">
        <f t="shared" si="280"/>
        <v>152.8138409867322</v>
      </c>
      <c r="DY87" s="4">
        <f t="shared" si="239"/>
        <v>0.85</v>
      </c>
      <c r="DZ87" s="4">
        <f t="shared" si="261"/>
        <v>0.85013888888888889</v>
      </c>
      <c r="EA87" s="4">
        <f t="shared" si="262"/>
        <v>1</v>
      </c>
      <c r="EB87" s="4">
        <f t="shared" si="263"/>
        <v>0.85013888888888889</v>
      </c>
      <c r="ED87" s="4">
        <f t="shared" si="281"/>
        <v>262.41558169950224</v>
      </c>
      <c r="EE87" s="25">
        <f t="shared" si="282"/>
        <v>150.18137322121927</v>
      </c>
      <c r="EG87" s="4">
        <f t="shared" si="151"/>
        <v>0.72261805555555558</v>
      </c>
      <c r="EH87" s="4">
        <f t="shared" si="264"/>
        <v>6.0161976170308948</v>
      </c>
      <c r="EI87" s="4">
        <f t="shared" si="178"/>
        <v>4.9450239957683877</v>
      </c>
      <c r="EK87" s="4">
        <f t="shared" si="179"/>
        <v>99.831057291806744</v>
      </c>
      <c r="EL87" s="4">
        <f t="shared" si="180"/>
        <v>2.7730849247724096</v>
      </c>
      <c r="EM87" s="4">
        <f t="shared" si="181"/>
        <v>9.1690717496615795E-2</v>
      </c>
      <c r="EP87" s="4">
        <f t="shared" si="182"/>
        <v>9.1690717496615795E-2</v>
      </c>
      <c r="EQ87" s="4">
        <f t="shared" si="183"/>
        <v>0.31636303127901982</v>
      </c>
      <c r="ER87" s="4">
        <f t="shared" si="184"/>
        <v>3.796613472844836</v>
      </c>
      <c r="ES87" s="4">
        <f t="shared" si="240"/>
        <v>5.0309590892700076</v>
      </c>
      <c r="ET87" s="4">
        <f t="shared" si="186"/>
        <v>185.91894270819324</v>
      </c>
      <c r="EU87" s="4">
        <f t="shared" si="187"/>
        <v>95.25</v>
      </c>
      <c r="EV87" s="4">
        <f t="shared" si="265"/>
        <v>1.8628104182055264E-5</v>
      </c>
      <c r="EW87" s="4">
        <f t="shared" si="241"/>
        <v>5.6611624514348415</v>
      </c>
      <c r="EX87" s="4">
        <f t="shared" si="189"/>
        <v>279.98891460282221</v>
      </c>
      <c r="EY87" s="4">
        <f t="shared" si="190"/>
        <v>152.1689427081933</v>
      </c>
      <c r="EZ87" s="4">
        <f t="shared" si="191"/>
        <v>0</v>
      </c>
      <c r="FB87" s="4">
        <f t="shared" si="266"/>
        <v>78.780065862447941</v>
      </c>
      <c r="FG87" s="23">
        <f t="shared" si="220"/>
        <v>2.2000000000000002</v>
      </c>
      <c r="FH87" s="23">
        <f t="shared" si="220"/>
        <v>1</v>
      </c>
      <c r="FI87" s="23">
        <f t="shared" si="234"/>
        <v>2</v>
      </c>
      <c r="FJ87" s="23">
        <f t="shared" si="221"/>
        <v>2.2000000000000002</v>
      </c>
      <c r="FK87" s="23">
        <f t="shared" si="221"/>
        <v>1.6</v>
      </c>
      <c r="FL87" s="23">
        <f t="shared" si="221"/>
        <v>1.8</v>
      </c>
      <c r="FM87" s="23">
        <f t="shared" si="222"/>
        <v>0</v>
      </c>
      <c r="FN87" s="23"/>
      <c r="FX87" s="4">
        <f t="shared" si="267"/>
        <v>1</v>
      </c>
      <c r="FY87" s="4">
        <f t="shared" si="268"/>
        <v>0.85000000000000009</v>
      </c>
      <c r="FZ87" s="4">
        <f t="shared" si="269"/>
        <v>0</v>
      </c>
      <c r="GA87" s="4">
        <f t="shared" si="270"/>
        <v>239.89512443314166</v>
      </c>
    </row>
    <row r="88" spans="1:184" ht="12" customHeight="1" x14ac:dyDescent="0.3">
      <c r="A88" s="25">
        <v>70</v>
      </c>
      <c r="B88" s="20" t="s">
        <v>54</v>
      </c>
      <c r="C88" s="20">
        <v>2006</v>
      </c>
      <c r="D88" s="24" t="s">
        <v>55</v>
      </c>
      <c r="E88" s="24"/>
      <c r="F88" s="7" t="s">
        <v>71</v>
      </c>
      <c r="G88" s="7">
        <v>433</v>
      </c>
      <c r="H88" s="7">
        <f t="shared" si="244"/>
        <v>381</v>
      </c>
      <c r="I88" s="7">
        <f t="shared" si="134"/>
        <v>252</v>
      </c>
      <c r="J88" s="7">
        <v>28</v>
      </c>
      <c r="K88" s="7">
        <v>36</v>
      </c>
      <c r="L88" s="7">
        <f t="shared" si="154"/>
        <v>10.583333333333334</v>
      </c>
      <c r="M88" s="7">
        <v>7</v>
      </c>
      <c r="N88" s="7">
        <f t="shared" si="243"/>
        <v>215.89999999999998</v>
      </c>
      <c r="O88" s="7">
        <f t="shared" si="271"/>
        <v>89.949999999999989</v>
      </c>
      <c r="P88" s="7">
        <f t="shared" si="136"/>
        <v>50.8</v>
      </c>
      <c r="Q88" s="7">
        <v>0</v>
      </c>
      <c r="R88" s="7">
        <v>1</v>
      </c>
      <c r="S88" s="7">
        <f t="shared" si="137"/>
        <v>83.6</v>
      </c>
      <c r="T88" s="7">
        <f t="shared" si="245"/>
        <v>2.822222222222222</v>
      </c>
      <c r="U88" s="7">
        <f t="shared" si="138"/>
        <v>2.9986111111111109</v>
      </c>
      <c r="V88" s="7">
        <v>6.69</v>
      </c>
      <c r="W88" s="7">
        <f t="shared" si="155"/>
        <v>6.69</v>
      </c>
      <c r="X88" s="7">
        <f t="shared" si="246"/>
        <v>7.69</v>
      </c>
      <c r="Y88" s="7">
        <f t="shared" si="204"/>
        <v>99.831057291806744</v>
      </c>
      <c r="Z88" s="7"/>
      <c r="AA88" s="7"/>
      <c r="AB88" s="7">
        <v>433</v>
      </c>
      <c r="AC88" s="7"/>
      <c r="AD88" s="7"/>
      <c r="AE88" s="7">
        <v>0</v>
      </c>
      <c r="AF88" s="7">
        <v>0</v>
      </c>
      <c r="AG88" s="7">
        <f t="shared" si="156"/>
        <v>252</v>
      </c>
      <c r="AH88" s="7"/>
      <c r="AI88" s="7"/>
      <c r="AJ88" s="7"/>
      <c r="AK88" s="4">
        <f t="shared" si="283"/>
        <v>381</v>
      </c>
      <c r="AL88" s="44">
        <f t="shared" si="157"/>
        <v>8.3950617283950604E-2</v>
      </c>
      <c r="AM88" s="25">
        <f t="shared" si="272"/>
        <v>386.60867631208708</v>
      </c>
      <c r="AN88" s="4">
        <f t="shared" si="273"/>
        <v>0.7533333333333333</v>
      </c>
      <c r="AO88" s="4">
        <v>1.25</v>
      </c>
      <c r="AP88" s="25">
        <f t="shared" si="274"/>
        <v>5</v>
      </c>
      <c r="AQ88" s="38">
        <f t="shared" si="275"/>
        <v>152.81384098673232</v>
      </c>
      <c r="AR88" s="38">
        <f t="shared" si="276"/>
        <v>152.81384098673232</v>
      </c>
      <c r="AT88" s="38">
        <f t="shared" si="133"/>
        <v>152.8138409867322</v>
      </c>
      <c r="AU88" s="38">
        <f t="shared" si="247"/>
        <v>1.0000000000000007</v>
      </c>
      <c r="AV88" s="38">
        <f t="shared" si="139"/>
        <v>2.7419117115982075</v>
      </c>
      <c r="AW88" s="4">
        <f t="shared" si="158"/>
        <v>0</v>
      </c>
      <c r="AX88" s="4">
        <f t="shared" si="224"/>
        <v>194.95009660475932</v>
      </c>
      <c r="AY88" s="4">
        <f t="shared" si="225"/>
        <v>1.0249999999999999</v>
      </c>
      <c r="AZ88" s="38">
        <f t="shared" si="277"/>
        <v>419.00206029582722</v>
      </c>
      <c r="BA88" s="4">
        <f t="shared" si="226"/>
        <v>0.3</v>
      </c>
      <c r="BB88" s="4">
        <f t="shared" si="248"/>
        <v>30.558427642796026</v>
      </c>
      <c r="BC88" s="4">
        <f t="shared" si="249"/>
        <v>449.56048793862323</v>
      </c>
      <c r="BE88" s="36">
        <f t="shared" si="250"/>
        <v>1.1000000000000001</v>
      </c>
      <c r="BF88" s="36">
        <f t="shared" si="251"/>
        <v>193.24567576015772</v>
      </c>
      <c r="BK88" s="4">
        <f t="shared" si="160"/>
        <v>89.949999999999989</v>
      </c>
      <c r="BL88" s="4">
        <f t="shared" si="161"/>
        <v>83.6</v>
      </c>
      <c r="BM88" s="4">
        <f t="shared" si="162"/>
        <v>89.949999999999989</v>
      </c>
      <c r="BN88" s="4">
        <f t="shared" si="163"/>
        <v>101.6</v>
      </c>
      <c r="BO88" s="4">
        <f t="shared" si="164"/>
        <v>1.0075956937799044</v>
      </c>
      <c r="BP88" s="25">
        <f t="shared" si="278"/>
        <v>2.8436589580010634</v>
      </c>
      <c r="BR88" s="4">
        <f t="shared" si="165"/>
        <v>89.949999999999989</v>
      </c>
      <c r="BV88" s="9"/>
      <c r="BX88" s="9"/>
      <c r="BY88" s="9"/>
      <c r="BZ88" s="9">
        <f t="shared" si="235"/>
        <v>50.8</v>
      </c>
      <c r="CA88" s="9">
        <f t="shared" si="236"/>
        <v>89.949999999999989</v>
      </c>
      <c r="CB88" s="9">
        <f t="shared" si="252"/>
        <v>1.2941994891728255</v>
      </c>
      <c r="CC88" s="9">
        <v>0</v>
      </c>
      <c r="CD88" s="9">
        <f t="shared" si="132"/>
        <v>0</v>
      </c>
      <c r="CE88" s="9">
        <f t="shared" si="253"/>
        <v>0</v>
      </c>
      <c r="CF88" s="9">
        <f t="shared" si="237"/>
        <v>0.89637813077714179</v>
      </c>
      <c r="CG88" s="9">
        <f t="shared" si="238"/>
        <v>1.1339999999999999</v>
      </c>
      <c r="CH88" s="9">
        <f t="shared" si="254"/>
        <v>1.8825710113593779</v>
      </c>
      <c r="CI88" s="9">
        <f t="shared" si="255"/>
        <v>2.4364224412328763</v>
      </c>
      <c r="CJ88" s="9">
        <v>1</v>
      </c>
      <c r="CK88" s="9">
        <f t="shared" si="256"/>
        <v>214.4051748284931</v>
      </c>
      <c r="CM88" s="4">
        <f t="shared" si="210"/>
        <v>2.2210812281763657</v>
      </c>
      <c r="CN88" s="4">
        <f t="shared" si="211"/>
        <v>0.96316293717324164</v>
      </c>
      <c r="CO88" s="4">
        <f t="shared" si="212"/>
        <v>2.2406710954681732</v>
      </c>
      <c r="CP88" s="4">
        <f t="shared" si="213"/>
        <v>2.0195408079416235</v>
      </c>
      <c r="CQ88" s="4">
        <f t="shared" si="214"/>
        <v>1.5462310523396727</v>
      </c>
      <c r="CR88" s="4">
        <f t="shared" si="215"/>
        <v>1.6500544563540349</v>
      </c>
      <c r="CS88" s="4">
        <f t="shared" si="146"/>
        <v>1.8049553988358622</v>
      </c>
      <c r="CU88" s="4">
        <f t="shared" si="216"/>
        <v>2.2210812281763657</v>
      </c>
      <c r="CV88" s="4">
        <f t="shared" si="216"/>
        <v>0.96316293717324164</v>
      </c>
      <c r="CW88" s="4">
        <f t="shared" si="217"/>
        <v>2.0195408079416235</v>
      </c>
      <c r="CX88" s="4">
        <f t="shared" si="218"/>
        <v>1.8049553988358622</v>
      </c>
      <c r="CY88" s="4">
        <f t="shared" si="219"/>
        <v>1.5462310523396727</v>
      </c>
      <c r="CZ88" s="4">
        <f t="shared" si="219"/>
        <v>1.6500544563540349</v>
      </c>
      <c r="DH88" s="4">
        <f t="shared" si="171"/>
        <v>0</v>
      </c>
      <c r="DI88" s="4">
        <f t="shared" si="172"/>
        <v>381</v>
      </c>
      <c r="DJ88" s="4">
        <f t="shared" si="173"/>
        <v>0.66141732283464572</v>
      </c>
      <c r="DL88" s="4">
        <f t="shared" si="174"/>
        <v>1.8628104182055264E-5</v>
      </c>
      <c r="DM88" s="4">
        <f t="shared" si="175"/>
        <v>6.0161976170308948</v>
      </c>
      <c r="DN88" s="4">
        <f t="shared" si="176"/>
        <v>0.31689186474065706</v>
      </c>
      <c r="DO88" s="4">
        <f t="shared" si="257"/>
        <v>3.7991507734546111</v>
      </c>
      <c r="DP88" s="4">
        <f t="shared" si="258"/>
        <v>5.0319136852040129</v>
      </c>
      <c r="DQ88" s="4">
        <f t="shared" si="259"/>
        <v>5.6610669161628726</v>
      </c>
      <c r="DR88" s="38">
        <f t="shared" si="279"/>
        <v>280.03576784000552</v>
      </c>
      <c r="DS88" s="4">
        <f t="shared" si="260"/>
        <v>1.0001673396150337</v>
      </c>
      <c r="DT88" s="4">
        <f t="shared" si="150"/>
        <v>2.7730849247724096</v>
      </c>
      <c r="DU88" s="4">
        <f t="shared" si="280"/>
        <v>152.8138409867322</v>
      </c>
      <c r="DY88" s="4">
        <f t="shared" si="239"/>
        <v>0.85</v>
      </c>
      <c r="DZ88" s="4">
        <f t="shared" si="261"/>
        <v>0.85013888888888889</v>
      </c>
      <c r="EA88" s="4">
        <f t="shared" si="262"/>
        <v>1</v>
      </c>
      <c r="EB88" s="4">
        <f t="shared" si="263"/>
        <v>0.85013888888888889</v>
      </c>
      <c r="ED88" s="4">
        <f t="shared" si="281"/>
        <v>262.41558169950224</v>
      </c>
      <c r="EE88" s="25">
        <f t="shared" si="282"/>
        <v>150.18137322121927</v>
      </c>
      <c r="EG88" s="4">
        <f t="shared" si="151"/>
        <v>0.72261805555555558</v>
      </c>
      <c r="EH88" s="4">
        <f t="shared" si="264"/>
        <v>6.0161976170308948</v>
      </c>
      <c r="EI88" s="4">
        <f>IF(K88&lt;22.2,1.1*5*(J88/30)^0.5,IF(K88&gt;=31.8,0.9*5*(J88/30)^0.5,1*5*(J88/30)^0.5))*BP88/2.5</f>
        <v>4.9450239957683877</v>
      </c>
      <c r="EK88" s="4">
        <f t="shared" si="179"/>
        <v>99.831057291806744</v>
      </c>
      <c r="EL88" s="4">
        <f t="shared" si="180"/>
        <v>2.7730849247724096</v>
      </c>
      <c r="EM88" s="4">
        <f t="shared" si="181"/>
        <v>9.1690717496615795E-2</v>
      </c>
      <c r="EP88" s="4">
        <f t="shared" si="182"/>
        <v>9.1690717496615795E-2</v>
      </c>
      <c r="EQ88" s="4">
        <f t="shared" si="183"/>
        <v>0.31636303127901982</v>
      </c>
      <c r="ER88" s="4">
        <f t="shared" si="184"/>
        <v>3.796613472844836</v>
      </c>
      <c r="ES88" s="4">
        <f t="shared" si="240"/>
        <v>5.0309590892700076</v>
      </c>
      <c r="ET88" s="4">
        <f t="shared" si="186"/>
        <v>185.91894270819324</v>
      </c>
      <c r="EU88" s="4">
        <f t="shared" si="187"/>
        <v>95.25</v>
      </c>
      <c r="EV88" s="4">
        <f t="shared" si="265"/>
        <v>1.8628104182055264E-5</v>
      </c>
      <c r="EW88" s="4">
        <f t="shared" si="241"/>
        <v>5.6611624514348415</v>
      </c>
      <c r="EX88" s="4">
        <f t="shared" si="189"/>
        <v>279.98891460282221</v>
      </c>
      <c r="EY88" s="4">
        <f t="shared" si="190"/>
        <v>152.1689427081933</v>
      </c>
      <c r="EZ88" s="4">
        <f t="shared" si="191"/>
        <v>0</v>
      </c>
      <c r="FB88" s="4">
        <f t="shared" si="266"/>
        <v>78.780065862447941</v>
      </c>
      <c r="FG88" s="23">
        <f t="shared" si="220"/>
        <v>2.2000000000000002</v>
      </c>
      <c r="FH88" s="23">
        <f t="shared" si="220"/>
        <v>1</v>
      </c>
      <c r="FI88" s="23">
        <f t="shared" si="234"/>
        <v>2</v>
      </c>
      <c r="FJ88" s="23">
        <f t="shared" si="221"/>
        <v>2.2000000000000002</v>
      </c>
      <c r="FK88" s="23">
        <f t="shared" si="221"/>
        <v>1.6</v>
      </c>
      <c r="FL88" s="23">
        <f t="shared" si="221"/>
        <v>1.8</v>
      </c>
      <c r="FM88" s="23">
        <f t="shared" si="222"/>
        <v>0</v>
      </c>
      <c r="FN88" s="23"/>
      <c r="FX88" s="4">
        <f t="shared" si="267"/>
        <v>1</v>
      </c>
      <c r="FY88" s="4">
        <f t="shared" si="268"/>
        <v>0.85000000000000009</v>
      </c>
      <c r="FZ88" s="4">
        <f t="shared" si="269"/>
        <v>0</v>
      </c>
      <c r="GA88" s="4">
        <f t="shared" si="270"/>
        <v>239.89512443314166</v>
      </c>
    </row>
    <row r="89" spans="1:184" ht="12" customHeight="1" x14ac:dyDescent="0.3">
      <c r="A89" s="25">
        <v>71</v>
      </c>
      <c r="B89" s="20" t="s">
        <v>54</v>
      </c>
      <c r="C89" s="20">
        <v>2006</v>
      </c>
      <c r="D89" s="24" t="s">
        <v>55</v>
      </c>
      <c r="E89" s="24"/>
      <c r="F89" s="7" t="s">
        <v>291</v>
      </c>
      <c r="G89" s="7">
        <v>433</v>
      </c>
      <c r="H89" s="7">
        <f t="shared" si="244"/>
        <v>381</v>
      </c>
      <c r="I89" s="7">
        <f t="shared" si="134"/>
        <v>252</v>
      </c>
      <c r="J89" s="7">
        <v>28</v>
      </c>
      <c r="K89" s="7">
        <v>36</v>
      </c>
      <c r="L89" s="7">
        <f t="shared" si="154"/>
        <v>10.583333333333334</v>
      </c>
      <c r="M89" s="7">
        <v>7</v>
      </c>
      <c r="N89" s="7">
        <f t="shared" si="243"/>
        <v>215.89999999999998</v>
      </c>
      <c r="O89" s="7">
        <f t="shared" si="271"/>
        <v>89.949999999999989</v>
      </c>
      <c r="P89" s="7">
        <f t="shared" si="136"/>
        <v>50.8</v>
      </c>
      <c r="Q89" s="7">
        <v>0</v>
      </c>
      <c r="R89" s="7">
        <v>1</v>
      </c>
      <c r="S89" s="7">
        <f t="shared" si="137"/>
        <v>83.6</v>
      </c>
      <c r="T89" s="7">
        <f t="shared" si="245"/>
        <v>2.822222222222222</v>
      </c>
      <c r="U89" s="7">
        <f t="shared" si="138"/>
        <v>2.9986111111111109</v>
      </c>
      <c r="V89" s="7">
        <v>9.26</v>
      </c>
      <c r="W89" s="7">
        <f t="shared" si="155"/>
        <v>9.26</v>
      </c>
      <c r="X89" s="7">
        <f t="shared" si="246"/>
        <v>10.26</v>
      </c>
      <c r="Y89" s="7">
        <f t="shared" si="204"/>
        <v>115.31244512193817</v>
      </c>
      <c r="Z89" s="7"/>
      <c r="AA89" s="7"/>
      <c r="AB89" s="7">
        <v>433</v>
      </c>
      <c r="AC89" s="7"/>
      <c r="AD89" s="7"/>
      <c r="AE89" s="7">
        <v>0</v>
      </c>
      <c r="AF89" s="7">
        <v>0</v>
      </c>
      <c r="AG89" s="7">
        <f t="shared" si="156"/>
        <v>252</v>
      </c>
      <c r="AH89" s="7"/>
      <c r="AI89" s="7"/>
      <c r="AJ89" s="7"/>
      <c r="AK89" s="4">
        <f t="shared" si="283"/>
        <v>381</v>
      </c>
      <c r="AL89" s="44">
        <f t="shared" si="157"/>
        <v>8.3950617283950604E-2</v>
      </c>
      <c r="AM89" s="25">
        <f t="shared" si="272"/>
        <v>386.60867631208708</v>
      </c>
      <c r="AN89" s="4">
        <f t="shared" si="273"/>
        <v>0.7533333333333333</v>
      </c>
      <c r="AO89" s="4">
        <v>1.25</v>
      </c>
      <c r="AP89" s="25">
        <f t="shared" si="274"/>
        <v>5</v>
      </c>
      <c r="AQ89" s="38">
        <f t="shared" si="275"/>
        <v>152.81384098673232</v>
      </c>
      <c r="AR89" s="38">
        <f t="shared" si="276"/>
        <v>152.81384098673232</v>
      </c>
      <c r="AT89" s="38">
        <f t="shared" si="133"/>
        <v>152.8138409867322</v>
      </c>
      <c r="AU89" s="38">
        <f t="shared" si="247"/>
        <v>1.0000000000000007</v>
      </c>
      <c r="AV89" s="38">
        <f t="shared" si="139"/>
        <v>3.2258628644800567</v>
      </c>
      <c r="AW89" s="4">
        <f t="shared" si="158"/>
        <v>0</v>
      </c>
      <c r="AX89" s="4">
        <f t="shared" si="224"/>
        <v>194.95009660475932</v>
      </c>
      <c r="AY89" s="4">
        <f t="shared" si="225"/>
        <v>1.0249999999999999</v>
      </c>
      <c r="AZ89" s="38">
        <f t="shared" si="277"/>
        <v>492.9564948176598</v>
      </c>
      <c r="BA89" s="4">
        <f t="shared" si="226"/>
        <v>0.3</v>
      </c>
      <c r="BB89" s="4">
        <f t="shared" si="248"/>
        <v>30.558427642796026</v>
      </c>
      <c r="BC89" s="4">
        <f t="shared" si="249"/>
        <v>523.51492246045586</v>
      </c>
      <c r="BE89" s="36">
        <f t="shared" si="250"/>
        <v>1.1000000000000001</v>
      </c>
      <c r="BF89" s="36">
        <f t="shared" si="251"/>
        <v>193.24567576015772</v>
      </c>
      <c r="BK89" s="4">
        <f t="shared" si="160"/>
        <v>89.949999999999989</v>
      </c>
      <c r="BL89" s="4">
        <f t="shared" si="161"/>
        <v>83.6</v>
      </c>
      <c r="BM89" s="4">
        <f t="shared" si="162"/>
        <v>89.949999999999989</v>
      </c>
      <c r="BN89" s="4">
        <f t="shared" si="163"/>
        <v>101.6</v>
      </c>
      <c r="BO89" s="4">
        <f t="shared" si="164"/>
        <v>1.0075956937799044</v>
      </c>
      <c r="BP89" s="25">
        <f t="shared" si="278"/>
        <v>2.8436589580010634</v>
      </c>
      <c r="BR89" s="4">
        <f t="shared" si="165"/>
        <v>89.949999999999989</v>
      </c>
      <c r="BV89" s="9"/>
      <c r="BX89" s="9"/>
      <c r="BY89" s="9"/>
      <c r="BZ89" s="9">
        <f t="shared" si="235"/>
        <v>50.8</v>
      </c>
      <c r="CA89" s="9">
        <f t="shared" si="236"/>
        <v>89.949999999999989</v>
      </c>
      <c r="CB89" s="9">
        <f t="shared" si="252"/>
        <v>1.2941994891728255</v>
      </c>
      <c r="CC89" s="9">
        <v>0</v>
      </c>
      <c r="CD89" s="9">
        <f t="shared" si="132"/>
        <v>0</v>
      </c>
      <c r="CE89" s="9">
        <f t="shared" si="253"/>
        <v>0</v>
      </c>
      <c r="CF89" s="9">
        <f t="shared" si="237"/>
        <v>0.89637813077714179</v>
      </c>
      <c r="CG89" s="9">
        <f t="shared" si="238"/>
        <v>1.1339999999999999</v>
      </c>
      <c r="CH89" s="9">
        <f t="shared" si="254"/>
        <v>1.8825710113593779</v>
      </c>
      <c r="CI89" s="9">
        <f t="shared" si="255"/>
        <v>2.4364224412328763</v>
      </c>
      <c r="CJ89" s="9">
        <v>1</v>
      </c>
      <c r="CK89" s="9">
        <f t="shared" si="256"/>
        <v>214.4051748284931</v>
      </c>
      <c r="CM89" s="4">
        <f t="shared" si="210"/>
        <v>2.2210812281763657</v>
      </c>
      <c r="CN89" s="4">
        <f t="shared" si="211"/>
        <v>0.82710154271238945</v>
      </c>
      <c r="CO89" s="4">
        <f t="shared" si="212"/>
        <v>2.2406710954681732</v>
      </c>
      <c r="CP89" s="4">
        <f t="shared" si="213"/>
        <v>2.0195408079416235</v>
      </c>
      <c r="CQ89" s="4">
        <f t="shared" si="214"/>
        <v>1.5858446483348607</v>
      </c>
      <c r="CR89" s="4">
        <f t="shared" si="215"/>
        <v>1.6487439106558772</v>
      </c>
      <c r="CS89" s="4">
        <f t="shared" si="146"/>
        <v>1.8049553988358622</v>
      </c>
      <c r="CU89" s="4">
        <f t="shared" si="216"/>
        <v>2.2210812281763657</v>
      </c>
      <c r="CV89" s="4">
        <f t="shared" si="216"/>
        <v>0.82710154271238945</v>
      </c>
      <c r="CW89" s="4">
        <f t="shared" si="217"/>
        <v>2.0195408079416235</v>
      </c>
      <c r="CX89" s="4">
        <f>CS89</f>
        <v>1.8049553988358622</v>
      </c>
      <c r="CY89" s="4">
        <f t="shared" si="219"/>
        <v>1.5858446483348607</v>
      </c>
      <c r="CZ89" s="4">
        <f t="shared" si="219"/>
        <v>1.6487439106558772</v>
      </c>
      <c r="DH89" s="4">
        <f t="shared" si="171"/>
        <v>0</v>
      </c>
      <c r="DI89" s="4">
        <f t="shared" si="172"/>
        <v>381</v>
      </c>
      <c r="DJ89" s="4">
        <f t="shared" si="173"/>
        <v>0.66141732283464572</v>
      </c>
      <c r="DL89" s="4">
        <f t="shared" si="174"/>
        <v>1.8628104182055264E-5</v>
      </c>
      <c r="DM89" s="4">
        <f t="shared" si="175"/>
        <v>6.0161976170308948</v>
      </c>
      <c r="DN89" s="4">
        <f t="shared" si="176"/>
        <v>0.26444583522906207</v>
      </c>
      <c r="DO89" s="4">
        <f t="shared" si="257"/>
        <v>3.533920587061155</v>
      </c>
      <c r="DP89" s="4">
        <f t="shared" si="258"/>
        <v>4.9347313117653027</v>
      </c>
      <c r="DQ89" s="4">
        <f t="shared" si="259"/>
        <v>5.6757555744502399</v>
      </c>
      <c r="DR89" s="38">
        <f t="shared" si="279"/>
        <v>273.04061621335399</v>
      </c>
      <c r="DS89" s="4">
        <f t="shared" si="260"/>
        <v>1.0001655130606142</v>
      </c>
      <c r="DT89" s="4">
        <f t="shared" si="150"/>
        <v>3.2031234756093934</v>
      </c>
      <c r="DU89" s="4">
        <f t="shared" si="280"/>
        <v>152.8138409867322</v>
      </c>
      <c r="DY89" s="4">
        <f t="shared" si="239"/>
        <v>0.85</v>
      </c>
      <c r="DZ89" s="4">
        <f t="shared" si="261"/>
        <v>0.85013888888888889</v>
      </c>
      <c r="EA89" s="4">
        <f t="shared" si="262"/>
        <v>1</v>
      </c>
      <c r="EB89" s="4">
        <f t="shared" si="263"/>
        <v>0.85013888888888889</v>
      </c>
      <c r="ED89" s="4">
        <f t="shared" si="281"/>
        <v>262.62416934583297</v>
      </c>
      <c r="EE89" s="25">
        <f t="shared" si="282"/>
        <v>150.18137322121927</v>
      </c>
      <c r="EG89" s="4">
        <f t="shared" si="151"/>
        <v>0.72261805555555558</v>
      </c>
      <c r="EH89" s="4">
        <f t="shared" si="264"/>
        <v>6.0161976170308948</v>
      </c>
      <c r="EI89" s="4">
        <f t="shared" si="178"/>
        <v>4.9450239957683877</v>
      </c>
      <c r="EK89" s="4">
        <f t="shared" si="179"/>
        <v>115.31244512193817</v>
      </c>
      <c r="EL89" s="4">
        <f t="shared" si="180"/>
        <v>3.2031234756093934</v>
      </c>
      <c r="EM89" s="4">
        <f t="shared" si="181"/>
        <v>7.6515780520236359E-2</v>
      </c>
      <c r="EP89" s="4">
        <f t="shared" si="182"/>
        <v>7.6515780520236359E-2</v>
      </c>
      <c r="EQ89" s="4">
        <f t="shared" si="183"/>
        <v>0.26400452441606859</v>
      </c>
      <c r="ER89" s="4">
        <f t="shared" si="184"/>
        <v>3.5315604230679014</v>
      </c>
      <c r="ES89" s="4">
        <f t="shared" si="240"/>
        <v>4.9338906630979427</v>
      </c>
      <c r="ET89" s="4">
        <f t="shared" si="186"/>
        <v>170.43755487806183</v>
      </c>
      <c r="EU89" s="4">
        <f t="shared" si="187"/>
        <v>95.250000000000028</v>
      </c>
      <c r="EV89" s="4">
        <f t="shared" si="265"/>
        <v>1.8628104182055271E-5</v>
      </c>
      <c r="EW89" s="4">
        <f t="shared" si="241"/>
        <v>5.6758477067244071</v>
      </c>
      <c r="EX89" s="4">
        <f t="shared" si="189"/>
        <v>272.9954319038859</v>
      </c>
      <c r="EY89" s="4">
        <f t="shared" si="190"/>
        <v>136.68755487806186</v>
      </c>
      <c r="EZ89" s="4">
        <f t="shared" si="191"/>
        <v>0</v>
      </c>
      <c r="FB89" s="4">
        <f t="shared" si="266"/>
        <v>78.571478216117214</v>
      </c>
      <c r="FG89" s="23">
        <f t="shared" si="220"/>
        <v>2.2000000000000002</v>
      </c>
      <c r="FH89" s="23">
        <f t="shared" si="220"/>
        <v>1</v>
      </c>
      <c r="FI89" s="23">
        <f t="shared" si="234"/>
        <v>2</v>
      </c>
      <c r="FJ89" s="23">
        <f t="shared" si="221"/>
        <v>2.2000000000000002</v>
      </c>
      <c r="FK89" s="23">
        <f t="shared" si="221"/>
        <v>1.6</v>
      </c>
      <c r="FL89" s="23">
        <f t="shared" si="221"/>
        <v>1.8</v>
      </c>
      <c r="FM89" s="23">
        <f t="shared" si="222"/>
        <v>0</v>
      </c>
      <c r="FN89" s="23"/>
      <c r="FX89" s="4">
        <f t="shared" si="267"/>
        <v>1</v>
      </c>
      <c r="FY89" s="4">
        <f t="shared" si="268"/>
        <v>0.85000000000000009</v>
      </c>
      <c r="FZ89" s="4">
        <f t="shared" si="269"/>
        <v>0</v>
      </c>
      <c r="GA89" s="4">
        <f t="shared" si="270"/>
        <v>239.89512443314166</v>
      </c>
    </row>
    <row r="90" spans="1:184" ht="12" customHeight="1" x14ac:dyDescent="0.3">
      <c r="A90" s="25">
        <v>72</v>
      </c>
      <c r="B90" s="20" t="s">
        <v>54</v>
      </c>
      <c r="C90" s="20">
        <v>2006</v>
      </c>
      <c r="D90" s="24" t="s">
        <v>55</v>
      </c>
      <c r="E90" s="24" t="s">
        <v>72</v>
      </c>
      <c r="F90" s="7" t="s">
        <v>281</v>
      </c>
      <c r="G90" s="7">
        <v>472</v>
      </c>
      <c r="H90" s="7">
        <f t="shared" si="244"/>
        <v>381</v>
      </c>
      <c r="I90" s="7">
        <f t="shared" si="134"/>
        <v>177.79999999999998</v>
      </c>
      <c r="J90" s="7">
        <v>26</v>
      </c>
      <c r="K90" s="7">
        <v>25.4</v>
      </c>
      <c r="L90" s="7">
        <f t="shared" si="154"/>
        <v>15</v>
      </c>
      <c r="M90" s="7">
        <v>7</v>
      </c>
      <c r="N90" s="7">
        <f t="shared" ref="N90:N93" si="284">6*25.4</f>
        <v>152.39999999999998</v>
      </c>
      <c r="O90" s="7">
        <f t="shared" si="271"/>
        <v>63.499999999999986</v>
      </c>
      <c r="P90" s="7">
        <f t="shared" si="136"/>
        <v>50.8</v>
      </c>
      <c r="Q90" s="7">
        <v>0</v>
      </c>
      <c r="R90" s="7">
        <v>1</v>
      </c>
      <c r="S90" s="7">
        <f t="shared" si="137"/>
        <v>88.899999999999991</v>
      </c>
      <c r="T90" s="7">
        <f t="shared" si="245"/>
        <v>2.9999999999999996</v>
      </c>
      <c r="U90" s="7">
        <f t="shared" si="138"/>
        <v>4</v>
      </c>
      <c r="V90" s="7">
        <v>4.7</v>
      </c>
      <c r="W90" s="7">
        <f t="shared" si="155"/>
        <v>4.7</v>
      </c>
      <c r="X90" s="7">
        <f t="shared" si="246"/>
        <v>5.7</v>
      </c>
      <c r="Y90" s="7">
        <f t="shared" si="204"/>
        <v>60.641668842471674</v>
      </c>
      <c r="Z90" s="7"/>
      <c r="AA90" s="7"/>
      <c r="AB90" s="7">
        <v>442</v>
      </c>
      <c r="AC90" s="7"/>
      <c r="AD90" s="7"/>
      <c r="AE90" s="7">
        <v>9.5</v>
      </c>
      <c r="AF90" s="7">
        <v>2</v>
      </c>
      <c r="AG90" s="7">
        <v>152</v>
      </c>
      <c r="AH90" s="7">
        <v>2</v>
      </c>
      <c r="AI90" s="7">
        <v>2</v>
      </c>
      <c r="AJ90" s="7"/>
      <c r="AK90" s="4">
        <f t="shared" si="283"/>
        <v>381</v>
      </c>
      <c r="AL90" s="44">
        <f t="shared" si="157"/>
        <v>5.9259259259259248E-2</v>
      </c>
      <c r="AM90" s="25">
        <f t="shared" si="272"/>
        <v>748.37078117567501</v>
      </c>
      <c r="AN90" s="4">
        <f t="shared" si="273"/>
        <v>0.74</v>
      </c>
      <c r="AO90" s="4">
        <v>1.25</v>
      </c>
      <c r="AP90" s="25">
        <f t="shared" si="274"/>
        <v>5</v>
      </c>
      <c r="AQ90" s="38">
        <f t="shared" si="275"/>
        <v>205.10902891481459</v>
      </c>
      <c r="AR90" s="38">
        <f t="shared" si="276"/>
        <v>205.10902891481459</v>
      </c>
      <c r="AT90" s="38">
        <f t="shared" si="133"/>
        <v>205.10902891481439</v>
      </c>
      <c r="AU90" s="38">
        <f t="shared" si="247"/>
        <v>1.0000000000000009</v>
      </c>
      <c r="AV90" s="38">
        <f t="shared" si="139"/>
        <v>1.868729369641889</v>
      </c>
      <c r="AW90" s="4">
        <f t="shared" si="158"/>
        <v>0</v>
      </c>
      <c r="AX90" s="4">
        <f t="shared" si="224"/>
        <v>187.85861365868152</v>
      </c>
      <c r="AY90" s="4">
        <f t="shared" si="225"/>
        <v>1.1333333333333333</v>
      </c>
      <c r="AZ90" s="38">
        <f t="shared" si="277"/>
        <v>383.29326631184108</v>
      </c>
      <c r="BA90" s="4">
        <f t="shared" si="226"/>
        <v>0.34199999999999997</v>
      </c>
      <c r="BB90" s="4">
        <f t="shared" si="248"/>
        <v>33.569394967738091</v>
      </c>
      <c r="BC90" s="4">
        <f t="shared" si="249"/>
        <v>416.86266127957919</v>
      </c>
      <c r="BE90" s="36">
        <f t="shared" si="250"/>
        <v>1.7609403835677346</v>
      </c>
      <c r="BF90" s="36">
        <f t="shared" si="251"/>
        <v>298.10510335243669</v>
      </c>
      <c r="BK90" s="4">
        <f t="shared" si="160"/>
        <v>63.499999999999986</v>
      </c>
      <c r="BL90" s="4">
        <f t="shared" si="161"/>
        <v>63.499999999999986</v>
      </c>
      <c r="BM90" s="4">
        <f t="shared" si="162"/>
        <v>88.899999999999991</v>
      </c>
      <c r="BN90" s="4">
        <f t="shared" si="163"/>
        <v>76.199999999999989</v>
      </c>
      <c r="BO90" s="4">
        <f t="shared" si="164"/>
        <v>1.04</v>
      </c>
      <c r="BP90" s="25">
        <f t="shared" si="278"/>
        <v>4</v>
      </c>
      <c r="BR90" s="4">
        <f t="shared" si="165"/>
        <v>63.499999999999986</v>
      </c>
      <c r="BV90" s="9"/>
      <c r="BX90" s="9"/>
      <c r="BY90" s="9"/>
      <c r="BZ90" s="9">
        <f t="shared" si="235"/>
        <v>50.8</v>
      </c>
      <c r="CA90" s="9">
        <f t="shared" si="236"/>
        <v>63.499999999999986</v>
      </c>
      <c r="CB90" s="9">
        <f t="shared" si="252"/>
        <v>1.4623505735569622</v>
      </c>
      <c r="CC90" s="9">
        <v>20</v>
      </c>
      <c r="CD90" s="9">
        <f t="shared" si="132"/>
        <v>0.05</v>
      </c>
      <c r="CE90" s="9">
        <f t="shared" si="253"/>
        <v>0.8</v>
      </c>
      <c r="CF90" s="9">
        <f t="shared" si="237"/>
        <v>0.99524931562137331</v>
      </c>
      <c r="CG90" s="9">
        <f t="shared" si="238"/>
        <v>1.056</v>
      </c>
      <c r="CH90" s="9">
        <f t="shared" si="254"/>
        <v>1.8756444837875041</v>
      </c>
      <c r="CI90" s="9">
        <f t="shared" si="255"/>
        <v>4.243365373685613</v>
      </c>
      <c r="CJ90" s="9">
        <v>1</v>
      </c>
      <c r="CK90" s="9">
        <f t="shared" si="256"/>
        <v>373.41615288433394</v>
      </c>
      <c r="CM90" s="4">
        <f t="shared" si="210"/>
        <v>2.3528332898435282</v>
      </c>
      <c r="CN90" s="4">
        <f t="shared" si="211"/>
        <v>1.0603012480015854</v>
      </c>
      <c r="CO90" s="4">
        <f t="shared" si="212"/>
        <v>1.4826985349440416</v>
      </c>
      <c r="CP90" s="4">
        <f t="shared" si="213"/>
        <v>1.1836659892345631</v>
      </c>
      <c r="CQ90" s="4">
        <f t="shared" si="214"/>
        <v>1.2124437123028964</v>
      </c>
      <c r="CR90" s="4">
        <f t="shared" si="215"/>
        <v>1.3702187218050508</v>
      </c>
      <c r="CS90" s="4">
        <f t="shared" si="146"/>
        <v>0.87831273920731312</v>
      </c>
      <c r="DA90" s="4">
        <f t="shared" ref="DA90:DB122" si="285">CM90</f>
        <v>2.3528332898435282</v>
      </c>
      <c r="DB90" s="4">
        <f t="shared" si="285"/>
        <v>1.0603012480015854</v>
      </c>
      <c r="DC90" s="4">
        <f t="shared" ref="DC90:DC122" si="286">CP90</f>
        <v>1.1836659892345631</v>
      </c>
      <c r="DD90" s="4">
        <f t="shared" ref="DD90:DD91" si="287">CS90</f>
        <v>0.87831273920731312</v>
      </c>
      <c r="DE90" s="4">
        <f t="shared" ref="DE90:DF122" si="288">CQ90</f>
        <v>1.2124437123028964</v>
      </c>
      <c r="DF90" s="4">
        <f t="shared" si="288"/>
        <v>1.3702187218050508</v>
      </c>
      <c r="DH90" s="4">
        <f t="shared" si="171"/>
        <v>2</v>
      </c>
      <c r="DI90" s="4">
        <f t="shared" si="172"/>
        <v>381</v>
      </c>
      <c r="DJ90" s="4">
        <f t="shared" si="173"/>
        <v>0.46666666666666662</v>
      </c>
      <c r="DL90" s="4">
        <f t="shared" si="174"/>
        <v>2.6015824312812745E-5</v>
      </c>
      <c r="DM90" s="4">
        <f t="shared" si="175"/>
        <v>7.1020943350297925</v>
      </c>
      <c r="DN90" s="4">
        <f t="shared" si="176"/>
        <v>0.3960514372704414</v>
      </c>
      <c r="DO90" s="4">
        <f t="shared" si="257"/>
        <v>4.9032842891802595</v>
      </c>
      <c r="DP90" s="4">
        <f t="shared" si="258"/>
        <v>6.1028630858810287</v>
      </c>
      <c r="DQ90" s="4">
        <f t="shared" si="259"/>
        <v>6.3724004838122834</v>
      </c>
      <c r="DR90" s="38">
        <f t="shared" si="279"/>
        <v>364.55300606118215</v>
      </c>
      <c r="DS90" s="4">
        <f t="shared" si="260"/>
        <v>1.0002061347589606</v>
      </c>
      <c r="DT90" s="4">
        <f t="shared" si="150"/>
        <v>2.3874672772626644</v>
      </c>
      <c r="DU90" s="4">
        <f t="shared" si="280"/>
        <v>205.10902891481439</v>
      </c>
      <c r="DY90" s="4">
        <f t="shared" si="239"/>
        <v>0.85</v>
      </c>
      <c r="DZ90" s="4">
        <f t="shared" si="261"/>
        <v>0.85000000000000009</v>
      </c>
      <c r="EA90" s="4">
        <f t="shared" si="262"/>
        <v>0.90713466426932854</v>
      </c>
      <c r="EB90" s="4">
        <f t="shared" si="263"/>
        <v>0.7710644646289293</v>
      </c>
      <c r="ED90" s="4">
        <f t="shared" si="281"/>
        <v>322.57623762265746</v>
      </c>
      <c r="EE90" s="25">
        <f t="shared" si="282"/>
        <v>202.29704102729465</v>
      </c>
      <c r="EG90" s="4">
        <f t="shared" si="151"/>
        <v>0.65540479493458992</v>
      </c>
      <c r="EH90" s="4">
        <f t="shared" si="264"/>
        <v>7.1020943350297925</v>
      </c>
      <c r="EI90" s="4">
        <f t="shared" si="178"/>
        <v>7.447594690010102</v>
      </c>
      <c r="EK90" s="4">
        <f t="shared" si="179"/>
        <v>60.641668842471674</v>
      </c>
      <c r="EL90" s="4">
        <f t="shared" si="180"/>
        <v>2.3874672772626644</v>
      </c>
      <c r="EM90" s="4">
        <f t="shared" si="181"/>
        <v>0.11042655740559819</v>
      </c>
      <c r="EP90" s="4">
        <f t="shared" si="182"/>
        <v>0.11042655740559819</v>
      </c>
      <c r="EQ90" s="4">
        <f t="shared" si="183"/>
        <v>0.39539050123559077</v>
      </c>
      <c r="ER90" s="4">
        <f t="shared" si="184"/>
        <v>4.9000095820262892</v>
      </c>
      <c r="ES90" s="4">
        <f t="shared" si="240"/>
        <v>6.1015499625175389</v>
      </c>
      <c r="ET90" s="4">
        <f t="shared" si="186"/>
        <v>225.10833115752831</v>
      </c>
      <c r="EU90" s="4">
        <f t="shared" si="187"/>
        <v>95.25</v>
      </c>
      <c r="EV90" s="4">
        <f t="shared" si="265"/>
        <v>2.6015824312812745E-5</v>
      </c>
      <c r="EW90" s="4">
        <f t="shared" si="241"/>
        <v>6.3725799412119812</v>
      </c>
      <c r="EX90" s="4">
        <f t="shared" si="189"/>
        <v>364.47787450237513</v>
      </c>
      <c r="EY90" s="4">
        <f t="shared" si="190"/>
        <v>117.15833115752831</v>
      </c>
      <c r="EZ90" s="4">
        <f t="shared" si="191"/>
        <v>0</v>
      </c>
      <c r="FB90" s="4">
        <f t="shared" si="266"/>
        <v>199.31504848097791</v>
      </c>
      <c r="FG90" s="23">
        <f t="shared" si="220"/>
        <v>2.2000000000000002</v>
      </c>
      <c r="FH90" s="23">
        <f t="shared" si="220"/>
        <v>1.2</v>
      </c>
      <c r="FI90" s="23">
        <f t="shared" si="234"/>
        <v>1</v>
      </c>
      <c r="FJ90" s="23">
        <f t="shared" si="221"/>
        <v>1.2</v>
      </c>
      <c r="FK90" s="23">
        <f t="shared" si="221"/>
        <v>1.4</v>
      </c>
      <c r="FL90" s="23">
        <f t="shared" si="221"/>
        <v>1.4</v>
      </c>
      <c r="FM90" s="23">
        <f t="shared" si="222"/>
        <v>0</v>
      </c>
      <c r="FN90" s="23"/>
      <c r="FX90" s="4">
        <f t="shared" si="267"/>
        <v>1</v>
      </c>
      <c r="FY90" s="4">
        <f t="shared" si="268"/>
        <v>0.6711572180011689</v>
      </c>
      <c r="FZ90" s="4">
        <f t="shared" si="269"/>
        <v>0.3</v>
      </c>
      <c r="GA90" s="4">
        <f t="shared" si="270"/>
        <v>503.23760577457847</v>
      </c>
    </row>
    <row r="91" spans="1:184" ht="12" customHeight="1" x14ac:dyDescent="0.3">
      <c r="A91" s="25">
        <v>73</v>
      </c>
      <c r="B91" s="20" t="s">
        <v>54</v>
      </c>
      <c r="C91" s="20">
        <v>2006</v>
      </c>
      <c r="D91" s="24" t="s">
        <v>55</v>
      </c>
      <c r="E91" s="24"/>
      <c r="F91" s="7" t="s">
        <v>281</v>
      </c>
      <c r="G91" s="7">
        <v>472</v>
      </c>
      <c r="H91" s="7">
        <f t="shared" si="244"/>
        <v>381</v>
      </c>
      <c r="I91" s="7">
        <f t="shared" si="134"/>
        <v>177.79999999999998</v>
      </c>
      <c r="J91" s="7">
        <v>26</v>
      </c>
      <c r="K91" s="7">
        <v>25.4</v>
      </c>
      <c r="L91" s="7">
        <f t="shared" si="154"/>
        <v>15</v>
      </c>
      <c r="M91" s="7">
        <v>7</v>
      </c>
      <c r="N91" s="7">
        <f t="shared" si="284"/>
        <v>152.39999999999998</v>
      </c>
      <c r="O91" s="7">
        <f t="shared" si="271"/>
        <v>63.499999999999986</v>
      </c>
      <c r="P91" s="7">
        <f t="shared" si="136"/>
        <v>50.8</v>
      </c>
      <c r="Q91" s="7">
        <v>0</v>
      </c>
      <c r="R91" s="7">
        <v>1</v>
      </c>
      <c r="S91" s="7">
        <f t="shared" si="137"/>
        <v>88.899999999999991</v>
      </c>
      <c r="T91" s="7">
        <f t="shared" si="245"/>
        <v>2.9999999999999996</v>
      </c>
      <c r="U91" s="7">
        <f t="shared" si="138"/>
        <v>4</v>
      </c>
      <c r="V91" s="7">
        <v>4.7</v>
      </c>
      <c r="W91" s="7">
        <f t="shared" si="155"/>
        <v>4.7</v>
      </c>
      <c r="X91" s="7">
        <f t="shared" si="246"/>
        <v>5.7</v>
      </c>
      <c r="Y91" s="7">
        <f t="shared" si="204"/>
        <v>60.641668842471674</v>
      </c>
      <c r="Z91" s="7"/>
      <c r="AA91" s="7"/>
      <c r="AB91" s="7">
        <v>459</v>
      </c>
      <c r="AC91" s="7"/>
      <c r="AD91" s="7"/>
      <c r="AE91" s="7">
        <v>9.5</v>
      </c>
      <c r="AF91" s="7">
        <v>3</v>
      </c>
      <c r="AG91" s="7">
        <v>76</v>
      </c>
      <c r="AH91" s="7">
        <v>3</v>
      </c>
      <c r="AI91" s="7">
        <v>3</v>
      </c>
      <c r="AJ91" s="7"/>
      <c r="AK91" s="4">
        <f t="shared" si="283"/>
        <v>381</v>
      </c>
      <c r="AL91" s="44">
        <f t="shared" si="157"/>
        <v>5.9259259259259248E-2</v>
      </c>
      <c r="AM91" s="25">
        <f t="shared" si="272"/>
        <v>748.37078117567501</v>
      </c>
      <c r="AN91" s="4">
        <f t="shared" si="273"/>
        <v>0.74</v>
      </c>
      <c r="AO91" s="4">
        <v>1.25</v>
      </c>
      <c r="AP91" s="25">
        <f t="shared" si="274"/>
        <v>5</v>
      </c>
      <c r="AQ91" s="38">
        <f t="shared" si="275"/>
        <v>205.10902891481459</v>
      </c>
      <c r="AR91" s="38">
        <f t="shared" si="276"/>
        <v>205.10902891481459</v>
      </c>
      <c r="AT91" s="38">
        <f t="shared" si="133"/>
        <v>205.10902891481439</v>
      </c>
      <c r="AU91" s="38">
        <f t="shared" si="247"/>
        <v>1.0000000000000009</v>
      </c>
      <c r="AV91" s="38">
        <f t="shared" si="139"/>
        <v>1.868729369641889</v>
      </c>
      <c r="AW91" s="4">
        <f t="shared" si="158"/>
        <v>0</v>
      </c>
      <c r="AX91" s="4">
        <f t="shared" si="224"/>
        <v>187.85861365868152</v>
      </c>
      <c r="AY91" s="4">
        <f t="shared" si="225"/>
        <v>1.1333333333333333</v>
      </c>
      <c r="AZ91" s="38">
        <f t="shared" si="277"/>
        <v>383.29326631184108</v>
      </c>
      <c r="BA91" s="4">
        <f t="shared" si="226"/>
        <v>0.34199999999999997</v>
      </c>
      <c r="BB91" s="4">
        <f t="shared" si="248"/>
        <v>33.569394967738091</v>
      </c>
      <c r="BC91" s="4">
        <f t="shared" si="249"/>
        <v>416.86266127957919</v>
      </c>
      <c r="BE91" s="36">
        <f t="shared" si="250"/>
        <v>2.2250000000000001</v>
      </c>
      <c r="BF91" s="36">
        <f t="shared" si="251"/>
        <v>376.66457146909903</v>
      </c>
      <c r="BK91" s="4">
        <f t="shared" si="160"/>
        <v>63.499999999999986</v>
      </c>
      <c r="BL91" s="4">
        <f t="shared" si="161"/>
        <v>63.499999999999986</v>
      </c>
      <c r="BM91" s="4">
        <f t="shared" si="162"/>
        <v>88.899999999999991</v>
      </c>
      <c r="BN91" s="4">
        <f t="shared" si="163"/>
        <v>76.199999999999989</v>
      </c>
      <c r="BO91" s="4">
        <f t="shared" si="164"/>
        <v>1.04</v>
      </c>
      <c r="BP91" s="25">
        <f t="shared" si="278"/>
        <v>4</v>
      </c>
      <c r="BR91" s="4">
        <f t="shared" si="165"/>
        <v>63.499999999999986</v>
      </c>
      <c r="BV91" s="9"/>
      <c r="BX91" s="9"/>
      <c r="BY91" s="9"/>
      <c r="BZ91" s="9">
        <f t="shared" si="235"/>
        <v>50.8</v>
      </c>
      <c r="CA91" s="9">
        <f t="shared" si="236"/>
        <v>63.499999999999986</v>
      </c>
      <c r="CB91" s="9">
        <f t="shared" si="252"/>
        <v>1.4623505735569622</v>
      </c>
      <c r="CC91" s="9">
        <v>20</v>
      </c>
      <c r="CD91" s="9">
        <f t="shared" si="132"/>
        <v>0.05</v>
      </c>
      <c r="CE91" s="9">
        <f t="shared" si="253"/>
        <v>0.8</v>
      </c>
      <c r="CF91" s="9">
        <f t="shared" si="237"/>
        <v>0.99524931562137331</v>
      </c>
      <c r="CG91" s="9">
        <f t="shared" si="238"/>
        <v>1.056</v>
      </c>
      <c r="CH91" s="9">
        <f t="shared" si="254"/>
        <v>1.8756444837875041</v>
      </c>
      <c r="CI91" s="9">
        <f t="shared" si="255"/>
        <v>4.243365373685613</v>
      </c>
      <c r="CJ91" s="9">
        <v>1</v>
      </c>
      <c r="CK91" s="9">
        <f t="shared" si="256"/>
        <v>373.41615288433394</v>
      </c>
      <c r="CM91" s="4">
        <f t="shared" si="210"/>
        <v>2.443326877914433</v>
      </c>
      <c r="CN91" s="4">
        <f t="shared" si="211"/>
        <v>1.1010820652324156</v>
      </c>
      <c r="CO91" s="4">
        <f t="shared" si="212"/>
        <v>1.2185908491732296</v>
      </c>
      <c r="CP91" s="4">
        <f t="shared" si="213"/>
        <v>1.2291916042051232</v>
      </c>
      <c r="CQ91" s="4">
        <f t="shared" si="214"/>
        <v>1.2055484567032204</v>
      </c>
      <c r="CR91" s="4">
        <f t="shared" si="215"/>
        <v>1.3661223216497842</v>
      </c>
      <c r="CS91" s="4">
        <f t="shared" si="146"/>
        <v>0.91209399840759442</v>
      </c>
      <c r="DA91" s="4">
        <f t="shared" si="285"/>
        <v>2.443326877914433</v>
      </c>
      <c r="DB91" s="4">
        <f t="shared" si="285"/>
        <v>1.1010820652324156</v>
      </c>
      <c r="DC91" s="4">
        <f t="shared" si="286"/>
        <v>1.2291916042051232</v>
      </c>
      <c r="DD91" s="4">
        <f t="shared" si="287"/>
        <v>0.91209399840759442</v>
      </c>
      <c r="DE91" s="4">
        <f t="shared" si="288"/>
        <v>1.2055484567032204</v>
      </c>
      <c r="DF91" s="4">
        <f t="shared" si="288"/>
        <v>1.3661223216497842</v>
      </c>
      <c r="DH91" s="4">
        <f t="shared" si="171"/>
        <v>3</v>
      </c>
      <c r="DI91" s="4">
        <f t="shared" si="172"/>
        <v>381</v>
      </c>
      <c r="DJ91" s="4">
        <f t="shared" si="173"/>
        <v>0.46666666666666662</v>
      </c>
      <c r="DL91" s="4">
        <f t="shared" si="174"/>
        <v>2.6015824312812745E-5</v>
      </c>
      <c r="DM91" s="4">
        <f t="shared" si="175"/>
        <v>7.8231036659769986</v>
      </c>
      <c r="DN91" s="4">
        <f t="shared" si="176"/>
        <v>0.3960514372704414</v>
      </c>
      <c r="DO91" s="4">
        <f t="shared" si="257"/>
        <v>5.4010689648003103</v>
      </c>
      <c r="DP91" s="4">
        <f t="shared" si="258"/>
        <v>6.7224297971693012</v>
      </c>
      <c r="DQ91" s="4">
        <f t="shared" si="259"/>
        <v>6.9392830395578722</v>
      </c>
      <c r="DR91" s="38">
        <f t="shared" si="279"/>
        <v>380.73956915445314</v>
      </c>
      <c r="DS91" s="4">
        <f t="shared" si="260"/>
        <v>1.0002166350368193</v>
      </c>
      <c r="DT91" s="4">
        <f t="shared" si="150"/>
        <v>2.3874672772626644</v>
      </c>
      <c r="DU91" s="4">
        <f t="shared" si="280"/>
        <v>205.10902891481439</v>
      </c>
      <c r="DY91" s="4">
        <f t="shared" si="239"/>
        <v>0.85</v>
      </c>
      <c r="DZ91" s="4">
        <f t="shared" si="261"/>
        <v>0.85000000000000009</v>
      </c>
      <c r="EA91" s="4">
        <f t="shared" si="262"/>
        <v>0.82320199640399283</v>
      </c>
      <c r="EB91" s="4">
        <f t="shared" si="263"/>
        <v>0.7</v>
      </c>
      <c r="ED91" s="4">
        <f t="shared" si="281"/>
        <v>335.98748276486191</v>
      </c>
      <c r="EE91" s="25">
        <f t="shared" si="282"/>
        <v>202.29704102729465</v>
      </c>
      <c r="EG91" s="4">
        <f t="shared" si="151"/>
        <v>0.59499999999999997</v>
      </c>
      <c r="EH91" s="4">
        <f t="shared" si="264"/>
        <v>7.8231036659769986</v>
      </c>
      <c r="EI91" s="4">
        <f t="shared" si="178"/>
        <v>7.447594690010102</v>
      </c>
      <c r="EK91" s="4">
        <f t="shared" si="179"/>
        <v>60.641668842471674</v>
      </c>
      <c r="EL91" s="4">
        <f t="shared" si="180"/>
        <v>2.3874672772626644</v>
      </c>
      <c r="EM91" s="4">
        <f t="shared" si="181"/>
        <v>0.11042655740559819</v>
      </c>
      <c r="EP91" s="4">
        <f t="shared" si="182"/>
        <v>0.11042655740559819</v>
      </c>
      <c r="EQ91" s="4">
        <f t="shared" si="183"/>
        <v>0.39539050123559077</v>
      </c>
      <c r="ER91" s="4">
        <f t="shared" si="184"/>
        <v>5.3974618072024638</v>
      </c>
      <c r="ES91" s="4">
        <f t="shared" si="240"/>
        <v>6.7209833646503565</v>
      </c>
      <c r="ET91" s="4">
        <f t="shared" si="186"/>
        <v>225.10833115752831</v>
      </c>
      <c r="EU91" s="4">
        <f t="shared" si="187"/>
        <v>95.25</v>
      </c>
      <c r="EV91" s="4">
        <f t="shared" si="265"/>
        <v>2.6015824312812745E-5</v>
      </c>
      <c r="EW91" s="4">
        <f t="shared" si="241"/>
        <v>6.9395004021561064</v>
      </c>
      <c r="EX91" s="4">
        <f t="shared" si="189"/>
        <v>380.65710548839007</v>
      </c>
      <c r="EY91" s="4">
        <f t="shared" si="190"/>
        <v>117.15833115752831</v>
      </c>
      <c r="EZ91" s="4">
        <f t="shared" si="191"/>
        <v>0</v>
      </c>
      <c r="FB91" s="4">
        <f t="shared" si="266"/>
        <v>218.34922323139773</v>
      </c>
      <c r="FG91" s="23">
        <f t="shared" si="220"/>
        <v>2.2000000000000002</v>
      </c>
      <c r="FH91" s="23">
        <f t="shared" si="220"/>
        <v>1.2</v>
      </c>
      <c r="FI91" s="23">
        <f t="shared" si="234"/>
        <v>1</v>
      </c>
      <c r="FJ91" s="23">
        <f t="shared" si="221"/>
        <v>1.4</v>
      </c>
      <c r="FK91" s="23">
        <f t="shared" si="221"/>
        <v>1.4</v>
      </c>
      <c r="FL91" s="23">
        <f t="shared" si="221"/>
        <v>1.4</v>
      </c>
      <c r="FM91" s="23">
        <f t="shared" si="222"/>
        <v>0</v>
      </c>
      <c r="FN91" s="23"/>
      <c r="FX91" s="4">
        <f t="shared" si="267"/>
        <v>1</v>
      </c>
      <c r="FY91" s="4">
        <f t="shared" si="268"/>
        <v>0.6711572180011689</v>
      </c>
      <c r="FZ91" s="4">
        <f t="shared" si="269"/>
        <v>0.3</v>
      </c>
      <c r="GA91" s="4">
        <f t="shared" si="270"/>
        <v>503.23760577457847</v>
      </c>
    </row>
    <row r="92" spans="1:184" ht="12" customHeight="1" x14ac:dyDescent="0.3">
      <c r="A92" s="25">
        <v>74</v>
      </c>
      <c r="B92" s="20" t="s">
        <v>54</v>
      </c>
      <c r="C92" s="20">
        <v>2006</v>
      </c>
      <c r="D92" s="24" t="s">
        <v>55</v>
      </c>
      <c r="E92" s="24"/>
      <c r="F92" s="7" t="s">
        <v>281</v>
      </c>
      <c r="G92" s="7">
        <v>472</v>
      </c>
      <c r="H92" s="7">
        <f t="shared" si="244"/>
        <v>381</v>
      </c>
      <c r="I92" s="7">
        <f t="shared" si="134"/>
        <v>177.79999999999998</v>
      </c>
      <c r="J92" s="7">
        <v>28</v>
      </c>
      <c r="K92" s="7">
        <v>25.4</v>
      </c>
      <c r="L92" s="7">
        <f t="shared" si="154"/>
        <v>15</v>
      </c>
      <c r="M92" s="7">
        <v>7</v>
      </c>
      <c r="N92" s="7">
        <f t="shared" si="284"/>
        <v>152.39999999999998</v>
      </c>
      <c r="O92" s="7">
        <f t="shared" si="271"/>
        <v>63.499999999999986</v>
      </c>
      <c r="P92" s="7">
        <f t="shared" si="136"/>
        <v>50.8</v>
      </c>
      <c r="Q92" s="7">
        <v>0</v>
      </c>
      <c r="R92" s="7">
        <v>1</v>
      </c>
      <c r="S92" s="7">
        <f t="shared" si="137"/>
        <v>88.899999999999991</v>
      </c>
      <c r="T92" s="7">
        <f>MIN(N92/2/K92, (S92+K92/2)/K92)</f>
        <v>2.9999999999999996</v>
      </c>
      <c r="U92" s="7">
        <f t="shared" si="138"/>
        <v>4</v>
      </c>
      <c r="V92" s="7">
        <v>4.7</v>
      </c>
      <c r="W92" s="7">
        <f t="shared" si="155"/>
        <v>4.7</v>
      </c>
      <c r="X92" s="7">
        <f t="shared" si="246"/>
        <v>5.7</v>
      </c>
      <c r="Y92" s="7">
        <f t="shared" si="204"/>
        <v>60.641668842471674</v>
      </c>
      <c r="Z92" s="7"/>
      <c r="AA92" s="7"/>
      <c r="AB92" s="7">
        <v>400</v>
      </c>
      <c r="AC92" s="7"/>
      <c r="AD92" s="7"/>
      <c r="AE92" s="7">
        <v>0</v>
      </c>
      <c r="AF92" s="7">
        <v>0</v>
      </c>
      <c r="AG92" s="7">
        <f>I92</f>
        <v>177.79999999999998</v>
      </c>
      <c r="AH92" s="7"/>
      <c r="AI92" s="7"/>
      <c r="AJ92" s="7"/>
      <c r="AK92" s="4">
        <f t="shared" si="283"/>
        <v>381</v>
      </c>
      <c r="AL92" s="44">
        <f t="shared" si="157"/>
        <v>5.9259259259259248E-2</v>
      </c>
      <c r="AM92" s="25">
        <f t="shared" si="272"/>
        <v>776.62106221784506</v>
      </c>
      <c r="AN92" s="4">
        <f t="shared" si="273"/>
        <v>0.74</v>
      </c>
      <c r="AO92" s="4">
        <v>1.25</v>
      </c>
      <c r="AP92" s="25">
        <f t="shared" si="274"/>
        <v>5</v>
      </c>
      <c r="AQ92" s="38">
        <f t="shared" si="275"/>
        <v>212.85169853377971</v>
      </c>
      <c r="AR92" s="38">
        <f t="shared" si="276"/>
        <v>212.85169853377971</v>
      </c>
      <c r="AT92" s="38">
        <f t="shared" si="133"/>
        <v>212.85169853377948</v>
      </c>
      <c r="AU92" s="38">
        <f t="shared" si="247"/>
        <v>1.0000000000000011</v>
      </c>
      <c r="AV92" s="38">
        <f t="shared" si="139"/>
        <v>1.9392721155802133</v>
      </c>
      <c r="AW92" s="4">
        <f t="shared" si="158"/>
        <v>0</v>
      </c>
      <c r="AX92" s="4">
        <f t="shared" si="224"/>
        <v>194.95009660475932</v>
      </c>
      <c r="AY92" s="4">
        <f t="shared" si="225"/>
        <v>1.1333333333333333</v>
      </c>
      <c r="AZ92" s="38">
        <f t="shared" si="277"/>
        <v>412.77736372044433</v>
      </c>
      <c r="BA92" s="4">
        <f t="shared" si="226"/>
        <v>0.34199999999999997</v>
      </c>
      <c r="BB92" s="4">
        <f t="shared" si="248"/>
        <v>34.836607512787459</v>
      </c>
      <c r="BC92" s="4">
        <f t="shared" si="249"/>
        <v>447.61397123323178</v>
      </c>
      <c r="BE92" s="36">
        <f t="shared" si="250"/>
        <v>1.1000000000000001</v>
      </c>
      <c r="BF92" s="36">
        <f t="shared" si="251"/>
        <v>193.24567576015772</v>
      </c>
      <c r="BK92" s="4">
        <f t="shared" si="160"/>
        <v>63.499999999999986</v>
      </c>
      <c r="BL92" s="4">
        <f t="shared" si="161"/>
        <v>63.499999999999986</v>
      </c>
      <c r="BM92" s="4">
        <f t="shared" si="162"/>
        <v>88.899999999999991</v>
      </c>
      <c r="BN92" s="4">
        <f t="shared" si="163"/>
        <v>76.199999999999989</v>
      </c>
      <c r="BO92" s="4">
        <f t="shared" si="164"/>
        <v>1.04</v>
      </c>
      <c r="BP92" s="25">
        <f t="shared" si="278"/>
        <v>3.1199999999999997</v>
      </c>
      <c r="BR92" s="4">
        <f t="shared" si="165"/>
        <v>63.499999999999986</v>
      </c>
      <c r="BV92" s="9"/>
      <c r="BX92" s="9"/>
      <c r="BY92" s="9"/>
      <c r="BZ92" s="9">
        <f t="shared" si="235"/>
        <v>50.8</v>
      </c>
      <c r="CA92" s="9">
        <f t="shared" si="236"/>
        <v>63.499999999999986</v>
      </c>
      <c r="CB92" s="9">
        <f t="shared" si="252"/>
        <v>1.4623505735569622</v>
      </c>
      <c r="CC92" s="9">
        <v>0</v>
      </c>
      <c r="CD92" s="9">
        <f t="shared" si="132"/>
        <v>0</v>
      </c>
      <c r="CE92" s="9">
        <f t="shared" si="253"/>
        <v>0</v>
      </c>
      <c r="CF92" s="9">
        <f t="shared" si="237"/>
        <v>0.99524931562137331</v>
      </c>
      <c r="CG92" s="9">
        <f t="shared" si="238"/>
        <v>1.056</v>
      </c>
      <c r="CH92" s="9">
        <f t="shared" si="254"/>
        <v>1.9464482686693119</v>
      </c>
      <c r="CI92" s="9">
        <f t="shared" si="255"/>
        <v>2.8463897420875242</v>
      </c>
      <c r="CJ92" s="9">
        <v>1</v>
      </c>
      <c r="CK92" s="9">
        <f t="shared" si="256"/>
        <v>250.48229730370213</v>
      </c>
      <c r="CM92" s="4">
        <f t="shared" si="210"/>
        <v>2.0518071391929475</v>
      </c>
      <c r="CN92" s="4">
        <f t="shared" si="211"/>
        <v>0.89362715577878549</v>
      </c>
      <c r="CO92" s="4">
        <f t="shared" si="212"/>
        <v>2.0699040142893055</v>
      </c>
      <c r="CP92" s="4">
        <f t="shared" si="213"/>
        <v>1.5969192406240678</v>
      </c>
      <c r="CQ92" s="4">
        <f t="shared" si="214"/>
        <v>1.1055834412003578</v>
      </c>
      <c r="CR92" s="4">
        <f t="shared" si="215"/>
        <v>1.2379438411590769</v>
      </c>
      <c r="CS92" s="4">
        <f t="shared" si="146"/>
        <v>0.9881784838807981</v>
      </c>
      <c r="CU92" s="4">
        <f t="shared" si="216"/>
        <v>2.0518071391929475</v>
      </c>
      <c r="CV92" s="4">
        <f t="shared" si="216"/>
        <v>0.89362715577878549</v>
      </c>
      <c r="CW92" s="4">
        <f t="shared" si="217"/>
        <v>1.5969192406240678</v>
      </c>
      <c r="CX92" s="4">
        <f>CS92</f>
        <v>0.9881784838807981</v>
      </c>
      <c r="CY92" s="4">
        <f t="shared" si="219"/>
        <v>1.1055834412003578</v>
      </c>
      <c r="CZ92" s="4">
        <f t="shared" si="219"/>
        <v>1.2379438411590769</v>
      </c>
      <c r="DH92" s="4">
        <f t="shared" si="171"/>
        <v>0</v>
      </c>
      <c r="DI92" s="4">
        <f t="shared" si="172"/>
        <v>381</v>
      </c>
      <c r="DJ92" s="4">
        <f t="shared" si="173"/>
        <v>0.46666666666666662</v>
      </c>
      <c r="DL92" s="4">
        <f t="shared" si="174"/>
        <v>2.6402037423385414E-5</v>
      </c>
      <c r="DM92" s="4">
        <f t="shared" si="175"/>
        <v>6.6857562842857838</v>
      </c>
      <c r="DN92" s="4">
        <f t="shared" si="176"/>
        <v>0.38164471441117015</v>
      </c>
      <c r="DO92" s="4">
        <f t="shared" si="257"/>
        <v>4.5479349265027409</v>
      </c>
      <c r="DP92" s="4">
        <f t="shared" si="258"/>
        <v>5.718003726364846</v>
      </c>
      <c r="DQ92" s="4">
        <f t="shared" si="259"/>
        <v>6.0325477522062965</v>
      </c>
      <c r="DR92" s="38">
        <f t="shared" si="279"/>
        <v>361.7999194757391</v>
      </c>
      <c r="DS92" s="4">
        <f t="shared" si="260"/>
        <v>1.0001917675827809</v>
      </c>
      <c r="DT92" s="4">
        <f t="shared" si="150"/>
        <v>2.3874672772626644</v>
      </c>
      <c r="DU92" s="4">
        <f t="shared" si="280"/>
        <v>212.85169853377948</v>
      </c>
      <c r="DY92" s="4">
        <f t="shared" si="239"/>
        <v>0.85</v>
      </c>
      <c r="DZ92" s="4">
        <f t="shared" si="261"/>
        <v>0.85000000000000009</v>
      </c>
      <c r="EA92" s="4">
        <f t="shared" si="262"/>
        <v>1</v>
      </c>
      <c r="EB92" s="4">
        <f t="shared" si="263"/>
        <v>0.85000000000000009</v>
      </c>
      <c r="ED92" s="4">
        <f t="shared" si="281"/>
        <v>323.11643444623724</v>
      </c>
      <c r="EE92" s="25">
        <f t="shared" si="282"/>
        <v>209.93356079366291</v>
      </c>
      <c r="EG92" s="4">
        <f t="shared" si="151"/>
        <v>0.72250000000000003</v>
      </c>
      <c r="EH92" s="4">
        <f t="shared" si="264"/>
        <v>6.6857562842857838</v>
      </c>
      <c r="EI92" s="4">
        <f t="shared" si="178"/>
        <v>6.028412726414806</v>
      </c>
      <c r="EK92" s="4">
        <f t="shared" si="179"/>
        <v>60.641668842471674</v>
      </c>
      <c r="EL92" s="4">
        <f t="shared" si="180"/>
        <v>2.3874672772626644</v>
      </c>
      <c r="EM92" s="4">
        <f t="shared" si="181"/>
        <v>0.11042655740559816</v>
      </c>
      <c r="EP92" s="4">
        <f t="shared" si="182"/>
        <v>0.11042655740559816</v>
      </c>
      <c r="EQ92" s="4">
        <f t="shared" si="183"/>
        <v>0.38100782051172344</v>
      </c>
      <c r="ER92" s="4">
        <f t="shared" si="184"/>
        <v>4.5448975429530103</v>
      </c>
      <c r="ES92" s="4">
        <f t="shared" si="240"/>
        <v>5.7167982559416854</v>
      </c>
      <c r="ET92" s="4">
        <f t="shared" si="186"/>
        <v>225.10833115752831</v>
      </c>
      <c r="EU92" s="4">
        <f t="shared" si="187"/>
        <v>95.25</v>
      </c>
      <c r="EV92" s="4">
        <f t="shared" si="265"/>
        <v>2.6402037423385414E-5</v>
      </c>
      <c r="EW92" s="4">
        <f t="shared" si="241"/>
        <v>6.0327059192851493</v>
      </c>
      <c r="EX92" s="4">
        <f t="shared" si="189"/>
        <v>361.73055128230169</v>
      </c>
      <c r="EY92" s="4">
        <f t="shared" si="190"/>
        <v>117.15833115752831</v>
      </c>
      <c r="EZ92" s="4">
        <f t="shared" si="191"/>
        <v>0</v>
      </c>
      <c r="FB92" s="4">
        <f t="shared" si="266"/>
        <v>187.6761591402859</v>
      </c>
      <c r="FG92" s="23">
        <f t="shared" si="220"/>
        <v>2.2000000000000002</v>
      </c>
      <c r="FH92" s="23">
        <f t="shared" si="220"/>
        <v>1</v>
      </c>
      <c r="FI92" s="23">
        <f t="shared" si="234"/>
        <v>1</v>
      </c>
      <c r="FJ92" s="23">
        <f t="shared" si="221"/>
        <v>1.6</v>
      </c>
      <c r="FK92" s="23">
        <f t="shared" si="221"/>
        <v>1.2</v>
      </c>
      <c r="FL92" s="23">
        <f t="shared" si="221"/>
        <v>1.4</v>
      </c>
      <c r="FM92" s="23">
        <f t="shared" si="222"/>
        <v>0</v>
      </c>
      <c r="FN92" s="23"/>
      <c r="FX92" s="4">
        <f t="shared" si="267"/>
        <v>1</v>
      </c>
      <c r="FY92" s="4">
        <f t="shared" si="268"/>
        <v>0.85000000000000009</v>
      </c>
      <c r="FZ92" s="4">
        <f t="shared" si="269"/>
        <v>0</v>
      </c>
      <c r="GA92" s="4">
        <f t="shared" si="270"/>
        <v>404.78517446474899</v>
      </c>
    </row>
    <row r="93" spans="1:184" ht="12" customHeight="1" x14ac:dyDescent="0.3">
      <c r="A93" s="25">
        <v>75</v>
      </c>
      <c r="B93" s="20" t="s">
        <v>54</v>
      </c>
      <c r="C93" s="20">
        <v>2006</v>
      </c>
      <c r="D93" s="24" t="s">
        <v>55</v>
      </c>
      <c r="E93" s="24"/>
      <c r="F93" s="7" t="s">
        <v>66</v>
      </c>
      <c r="G93" s="7">
        <v>472</v>
      </c>
      <c r="H93" s="7">
        <f t="shared" si="244"/>
        <v>381</v>
      </c>
      <c r="I93" s="7">
        <f t="shared" si="134"/>
        <v>177.79999999999998</v>
      </c>
      <c r="J93" s="7">
        <v>26</v>
      </c>
      <c r="K93" s="7">
        <v>25.4</v>
      </c>
      <c r="L93" s="7">
        <f t="shared" si="154"/>
        <v>15</v>
      </c>
      <c r="M93" s="7">
        <v>7</v>
      </c>
      <c r="N93" s="7">
        <f t="shared" si="284"/>
        <v>152.39999999999998</v>
      </c>
      <c r="O93" s="7">
        <f t="shared" si="271"/>
        <v>63.499999999999986</v>
      </c>
      <c r="P93" s="7">
        <f t="shared" si="136"/>
        <v>50.8</v>
      </c>
      <c r="Q93" s="7">
        <v>0</v>
      </c>
      <c r="R93" s="7">
        <v>1</v>
      </c>
      <c r="S93" s="7">
        <f t="shared" si="137"/>
        <v>88.899999999999991</v>
      </c>
      <c r="T93" s="7">
        <f t="shared" si="245"/>
        <v>2.9999999999999996</v>
      </c>
      <c r="U93" s="7">
        <f>MAX(N93/2/K93, (S93+K93/2)/K93)</f>
        <v>4</v>
      </c>
      <c r="V93" s="7">
        <v>4.7</v>
      </c>
      <c r="W93" s="7">
        <f t="shared" si="155"/>
        <v>4.7</v>
      </c>
      <c r="X93" s="7">
        <f t="shared" si="246"/>
        <v>5.7</v>
      </c>
      <c r="Y93" s="7">
        <f t="shared" si="204"/>
        <v>60.641668842471674</v>
      </c>
      <c r="Z93" s="7"/>
      <c r="AA93" s="7"/>
      <c r="AB93" s="7">
        <v>455</v>
      </c>
      <c r="AC93" s="7"/>
      <c r="AD93" s="7"/>
      <c r="AE93" s="7">
        <v>0</v>
      </c>
      <c r="AF93" s="7">
        <v>0</v>
      </c>
      <c r="AG93" s="7">
        <f t="shared" ref="AG93:AG117" si="289">I93</f>
        <v>177.79999999999998</v>
      </c>
      <c r="AH93" s="7"/>
      <c r="AI93" s="7"/>
      <c r="AJ93" s="7"/>
      <c r="AK93" s="4">
        <f t="shared" si="283"/>
        <v>381</v>
      </c>
      <c r="AL93" s="44">
        <f t="shared" si="157"/>
        <v>5.9259259259259248E-2</v>
      </c>
      <c r="AM93" s="25">
        <f t="shared" si="272"/>
        <v>748.37078117567501</v>
      </c>
      <c r="AN93" s="4">
        <f t="shared" si="273"/>
        <v>0.74</v>
      </c>
      <c r="AO93" s="4">
        <v>1.25</v>
      </c>
      <c r="AP93" s="25">
        <f t="shared" si="274"/>
        <v>5</v>
      </c>
      <c r="AQ93" s="38">
        <f t="shared" si="275"/>
        <v>205.10902891481459</v>
      </c>
      <c r="AR93" s="38">
        <f t="shared" si="276"/>
        <v>205.10902891481459</v>
      </c>
      <c r="AT93" s="38">
        <f>AP93* (J93^0.5/AK93^0.5)/(PI()/4*K93^2)/R93/0.72 *(0.7+(MIN(O93,S93)+0.5*K93)/5/H93) *(N93*MIN(S93+0.5*K93+1.5*H93,508))</f>
        <v>205.10902891481439</v>
      </c>
      <c r="AU93" s="38">
        <f t="shared" si="247"/>
        <v>1.0000000000000009</v>
      </c>
      <c r="AV93" s="38">
        <f t="shared" si="139"/>
        <v>1.868729369641889</v>
      </c>
      <c r="AW93" s="4">
        <f t="shared" si="158"/>
        <v>0</v>
      </c>
      <c r="AX93" s="4">
        <f t="shared" si="224"/>
        <v>187.85861365868152</v>
      </c>
      <c r="AY93" s="4">
        <f t="shared" si="225"/>
        <v>1.1333333333333333</v>
      </c>
      <c r="AZ93" s="38">
        <f t="shared" si="277"/>
        <v>383.29326631184108</v>
      </c>
      <c r="BA93" s="4">
        <f t="shared" si="226"/>
        <v>0.34199999999999997</v>
      </c>
      <c r="BB93" s="4">
        <f t="shared" si="248"/>
        <v>33.569394967738091</v>
      </c>
      <c r="BC93" s="4">
        <f t="shared" si="249"/>
        <v>416.86266127957919</v>
      </c>
      <c r="BE93" s="36">
        <f>MAX(1, (0.9+0.1*MIN(2,T93-0.5))*(0.9+0.1*MIN(3.5,O93/O93))+0.45*MIN(2.5,(40*2*PI()*AE93^2/4/AG93/R93)/K93))</f>
        <v>1.1000000000000001</v>
      </c>
      <c r="BF93" s="36">
        <f>(1.6*M93+22)*BE93*J93^0.5</f>
        <v>186.21619263640849</v>
      </c>
      <c r="BK93" s="4">
        <f t="shared" si="160"/>
        <v>63.499999999999986</v>
      </c>
      <c r="BL93" s="4">
        <f t="shared" si="161"/>
        <v>63.499999999999986</v>
      </c>
      <c r="BM93" s="4">
        <f t="shared" si="162"/>
        <v>88.899999999999991</v>
      </c>
      <c r="BN93" s="4">
        <f t="shared" si="163"/>
        <v>76.199999999999989</v>
      </c>
      <c r="BO93" s="4">
        <f t="shared" si="164"/>
        <v>1.04</v>
      </c>
      <c r="BP93" s="25">
        <f t="shared" si="278"/>
        <v>3.1199999999999997</v>
      </c>
      <c r="BR93" s="4">
        <f t="shared" si="165"/>
        <v>63.499999999999986</v>
      </c>
      <c r="BV93" s="9"/>
      <c r="BX93" s="9"/>
      <c r="BY93" s="9"/>
      <c r="BZ93" s="9">
        <f t="shared" si="235"/>
        <v>50.8</v>
      </c>
      <c r="CA93" s="9">
        <f t="shared" si="236"/>
        <v>63.499999999999986</v>
      </c>
      <c r="CB93" s="9">
        <f t="shared" si="252"/>
        <v>1.4623505735569622</v>
      </c>
      <c r="CC93" s="9">
        <v>0</v>
      </c>
      <c r="CD93" s="9">
        <f t="shared" si="132"/>
        <v>0</v>
      </c>
      <c r="CE93" s="9">
        <f t="shared" si="253"/>
        <v>0</v>
      </c>
      <c r="CF93" s="9">
        <f t="shared" si="237"/>
        <v>0.99524931562137331</v>
      </c>
      <c r="CG93" s="9">
        <f t="shared" si="238"/>
        <v>1.056</v>
      </c>
      <c r="CH93" s="9">
        <f t="shared" si="254"/>
        <v>1.8756444837875041</v>
      </c>
      <c r="CI93" s="9">
        <f t="shared" si="255"/>
        <v>2.7428497866556087</v>
      </c>
      <c r="CJ93" s="9">
        <v>1</v>
      </c>
      <c r="CK93" s="9">
        <f t="shared" si="256"/>
        <v>241.37078122569358</v>
      </c>
      <c r="CM93" s="4">
        <f t="shared" si="210"/>
        <v>2.422034268956573</v>
      </c>
      <c r="CN93" s="4">
        <f t="shared" si="211"/>
        <v>1.0914865788251615</v>
      </c>
      <c r="CO93" s="4">
        <f t="shared" si="212"/>
        <v>2.4433965358125338</v>
      </c>
      <c r="CP93" s="4">
        <f t="shared" si="213"/>
        <v>1.8850666086818213</v>
      </c>
      <c r="CQ93" s="4">
        <f t="shared" si="214"/>
        <v>1.300942585699558</v>
      </c>
      <c r="CR93" s="4">
        <f t="shared" si="215"/>
        <v>1.4653825476444258</v>
      </c>
      <c r="CS93" s="4">
        <f t="shared" si="146"/>
        <v>1.145072460213131</v>
      </c>
      <c r="CU93" s="4">
        <f t="shared" si="216"/>
        <v>2.422034268956573</v>
      </c>
      <c r="CV93" s="4">
        <f t="shared" si="216"/>
        <v>1.0914865788251615</v>
      </c>
      <c r="CW93" s="4">
        <f t="shared" si="217"/>
        <v>1.8850666086818213</v>
      </c>
      <c r="CX93" s="4">
        <f t="shared" ref="CX93:CX103" si="290">CS93</f>
        <v>1.145072460213131</v>
      </c>
      <c r="CY93" s="4">
        <f t="shared" si="219"/>
        <v>1.300942585699558</v>
      </c>
      <c r="CZ93" s="4">
        <f t="shared" si="219"/>
        <v>1.4653825476444258</v>
      </c>
      <c r="DH93" s="4">
        <f t="shared" si="171"/>
        <v>0</v>
      </c>
      <c r="DI93" s="4">
        <f t="shared" si="172"/>
        <v>381</v>
      </c>
      <c r="DJ93" s="4">
        <f t="shared" si="173"/>
        <v>0.46666666666666662</v>
      </c>
      <c r="DL93" s="4">
        <f t="shared" si="174"/>
        <v>2.6015824312812745E-5</v>
      </c>
      <c r="DM93" s="4">
        <f t="shared" si="175"/>
        <v>6.4425559602163514</v>
      </c>
      <c r="DN93" s="4">
        <f t="shared" si="176"/>
        <v>0.3960514372704414</v>
      </c>
      <c r="DO93" s="4">
        <f t="shared" si="257"/>
        <v>4.4479391474826082</v>
      </c>
      <c r="DP93" s="4">
        <f t="shared" si="258"/>
        <v>5.5361186564923655</v>
      </c>
      <c r="DQ93" s="4">
        <f t="shared" si="259"/>
        <v>5.841129843893162</v>
      </c>
      <c r="DR93" s="38">
        <f t="shared" si="279"/>
        <v>349.74641079593232</v>
      </c>
      <c r="DS93" s="4">
        <f t="shared" si="260"/>
        <v>1.000195544579793</v>
      </c>
      <c r="DT93" s="4">
        <f t="shared" si="150"/>
        <v>2.3874672772626644</v>
      </c>
      <c r="DU93" s="4">
        <f t="shared" si="280"/>
        <v>205.10902891481439</v>
      </c>
      <c r="DY93" s="4">
        <f t="shared" si="239"/>
        <v>0.85</v>
      </c>
      <c r="DZ93" s="4">
        <f t="shared" si="261"/>
        <v>0.85000000000000009</v>
      </c>
      <c r="EA93" s="4">
        <f t="shared" si="262"/>
        <v>1</v>
      </c>
      <c r="EB93" s="4">
        <f t="shared" si="263"/>
        <v>0.85000000000000009</v>
      </c>
      <c r="ED93" s="4">
        <f t="shared" si="281"/>
        <v>310.49912579578876</v>
      </c>
      <c r="EE93" s="25">
        <f>8.8*N93*508*J93^0.5/R93/K93^2/H93^0.5*(0.7+MIN(S93,O93)/5/H93)</f>
        <v>202.29704102729465</v>
      </c>
      <c r="EG93" s="4">
        <f>DY93*EB93</f>
        <v>0.72250000000000003</v>
      </c>
      <c r="EH93" s="4">
        <f t="shared" si="264"/>
        <v>6.4425559602163514</v>
      </c>
      <c r="EI93" s="4">
        <f t="shared" si="178"/>
        <v>5.8091238582078786</v>
      </c>
      <c r="EK93" s="4">
        <f t="shared" si="179"/>
        <v>60.641668842471674</v>
      </c>
      <c r="EL93" s="4">
        <f t="shared" si="180"/>
        <v>2.3874672772626644</v>
      </c>
      <c r="EM93" s="4">
        <f t="shared" si="181"/>
        <v>0.11042655740559819</v>
      </c>
      <c r="EP93" s="4">
        <f t="shared" si="182"/>
        <v>0.11042655740559819</v>
      </c>
      <c r="EQ93" s="4">
        <f t="shared" si="183"/>
        <v>0.39539050123559077</v>
      </c>
      <c r="ER93" s="4">
        <f t="shared" si="184"/>
        <v>4.4449685471079112</v>
      </c>
      <c r="ES93" s="4">
        <f t="shared" si="240"/>
        <v>5.534927476770882</v>
      </c>
      <c r="ET93" s="4">
        <f t="shared" si="186"/>
        <v>225.10833115752831</v>
      </c>
      <c r="EU93" s="4">
        <f t="shared" si="187"/>
        <v>95.25</v>
      </c>
      <c r="EV93" s="4">
        <f t="shared" si="265"/>
        <v>2.6015824312812745E-5</v>
      </c>
      <c r="EW93" s="4">
        <f t="shared" si="241"/>
        <v>5.8412777557424471</v>
      </c>
      <c r="EX93" s="4">
        <f t="shared" si="189"/>
        <v>349.67803315187678</v>
      </c>
      <c r="EY93" s="4">
        <f t="shared" si="190"/>
        <v>117.15833115752831</v>
      </c>
      <c r="EZ93" s="4">
        <f t="shared" si="191"/>
        <v>0</v>
      </c>
      <c r="FB93" s="4">
        <f t="shared" si="266"/>
        <v>181.71293344124172</v>
      </c>
      <c r="FG93" s="23">
        <f t="shared" si="220"/>
        <v>2.2000000000000002</v>
      </c>
      <c r="FH93" s="23">
        <f t="shared" si="220"/>
        <v>1.2</v>
      </c>
      <c r="FI93" s="23">
        <f t="shared" si="234"/>
        <v>1.2</v>
      </c>
      <c r="FJ93" s="23">
        <f t="shared" si="221"/>
        <v>2</v>
      </c>
      <c r="FK93" s="23">
        <f t="shared" si="221"/>
        <v>1.4</v>
      </c>
      <c r="FL93" s="23">
        <f t="shared" si="221"/>
        <v>1.6</v>
      </c>
      <c r="FM93" s="23">
        <f t="shared" si="222"/>
        <v>0</v>
      </c>
      <c r="FN93" s="23"/>
      <c r="FX93" s="4">
        <f t="shared" si="267"/>
        <v>1</v>
      </c>
      <c r="FY93" s="4">
        <f t="shared" si="268"/>
        <v>0.85000000000000009</v>
      </c>
      <c r="FZ93" s="4">
        <f t="shared" si="269"/>
        <v>0</v>
      </c>
      <c r="GA93" s="4">
        <f t="shared" si="270"/>
        <v>397.35476645321762</v>
      </c>
    </row>
    <row r="94" spans="1:184" ht="12" customHeight="1" x14ac:dyDescent="0.3">
      <c r="A94" s="25">
        <v>76</v>
      </c>
      <c r="B94" s="24" t="s">
        <v>605</v>
      </c>
      <c r="C94" s="24">
        <v>2016</v>
      </c>
      <c r="D94" s="24" t="s">
        <v>55</v>
      </c>
      <c r="E94" s="24"/>
      <c r="F94" s="7" t="s">
        <v>612</v>
      </c>
      <c r="G94" s="38">
        <f>129/0.145</f>
        <v>889.65517241379314</v>
      </c>
      <c r="H94" s="38">
        <f>9*25.4</f>
        <v>228.6</v>
      </c>
      <c r="I94" s="4">
        <f>H94</f>
        <v>228.6</v>
      </c>
      <c r="J94" s="38">
        <f>5740/145</f>
        <v>39.586206896551722</v>
      </c>
      <c r="K94" s="38">
        <f>1*25.4</f>
        <v>25.4</v>
      </c>
      <c r="L94" s="7">
        <f>H94/K94</f>
        <v>9</v>
      </c>
      <c r="M94" s="7">
        <f>I94/K94</f>
        <v>9</v>
      </c>
      <c r="N94" s="38">
        <f>18*25.4</f>
        <v>457.2</v>
      </c>
      <c r="O94" s="38">
        <f>2.5*25.4</f>
        <v>63.5</v>
      </c>
      <c r="P94" s="7">
        <f t="shared" si="136"/>
        <v>50.8</v>
      </c>
      <c r="Q94" s="7">
        <f>(N94-R94*K94-2*O94)/(R94-1)</f>
        <v>279.39999999999998</v>
      </c>
      <c r="R94" s="38">
        <v>2</v>
      </c>
      <c r="S94" s="39">
        <f>2*25.4</f>
        <v>50.8</v>
      </c>
      <c r="T94" s="7">
        <f>MIN(Q94/K94/2+0.5, (S94+K94/2)/K94, O94/K94+0.5)</f>
        <v>2.5</v>
      </c>
      <c r="U94" s="7">
        <f>O94/K94+0.5</f>
        <v>3</v>
      </c>
      <c r="V94" s="38">
        <v>4</v>
      </c>
      <c r="W94" s="4">
        <f>V94</f>
        <v>4</v>
      </c>
      <c r="X94" s="4">
        <f>W94+1</f>
        <v>5</v>
      </c>
      <c r="Y94" s="7">
        <f>K94*X94^0.5</f>
        <v>56.796126628494655</v>
      </c>
      <c r="AB94" s="38">
        <f>101.9/(PI()/4)/0.145*AD103</f>
        <v>756.43445013829012</v>
      </c>
      <c r="AC94" s="4" t="s">
        <v>654</v>
      </c>
      <c r="AE94" s="38">
        <v>0</v>
      </c>
      <c r="AF94" s="38">
        <v>0</v>
      </c>
      <c r="AG94" s="7">
        <f t="shared" si="289"/>
        <v>228.6</v>
      </c>
      <c r="AH94" s="39"/>
      <c r="AI94" s="39"/>
      <c r="AJ94" s="7"/>
      <c r="AK94" s="4">
        <f t="shared" si="283"/>
        <v>228.6</v>
      </c>
      <c r="AL94" s="44">
        <f>MIN(N94)*(MIN(20*25.4-S94-0.5*K94,1.5*AK94)+S94+K94/2)/(3*H94)^2</f>
        <v>0.39506172839506176</v>
      </c>
      <c r="AM94" s="25">
        <f t="shared" si="272"/>
        <v>214.58480899223187</v>
      </c>
      <c r="AN94" s="4">
        <f t="shared" si="273"/>
        <v>0.75555555555555554</v>
      </c>
      <c r="AO94" s="4">
        <v>1.25</v>
      </c>
      <c r="AP94" s="25">
        <f t="shared" si="274"/>
        <v>5</v>
      </c>
      <c r="AQ94" s="38">
        <f t="shared" si="275"/>
        <v>400.32282610347784</v>
      </c>
      <c r="AR94" s="38">
        <f t="shared" si="276"/>
        <v>400.32282610347784</v>
      </c>
      <c r="AT94" s="38">
        <f t="shared" ref="AT94:AT102" si="291">AP94* (J94^0.5/AK94^0.5)/(PI()/4*K94^2)/R94/0.72 *(0.7+(MIN(O94,S94)+0.5*K94)/5/H94) *(N94*MIN(S94+0.5*K94+1.5*H94,20*25.4))</f>
        <v>400.32282610347767</v>
      </c>
      <c r="AU94" s="38">
        <f t="shared" si="247"/>
        <v>1.0000000000000004</v>
      </c>
      <c r="AV94" s="38">
        <f t="shared" si="139"/>
        <v>1.0679656682185992</v>
      </c>
      <c r="AW94" s="4">
        <f t="shared" si="158"/>
        <v>0</v>
      </c>
      <c r="AX94" s="4">
        <f t="shared" si="224"/>
        <v>298.030597558213</v>
      </c>
      <c r="AY94" s="4">
        <f t="shared" si="225"/>
        <v>1.08</v>
      </c>
      <c r="AZ94" s="38">
        <f t="shared" si="277"/>
        <v>427.53103448275863</v>
      </c>
      <c r="BA94" s="4">
        <f t="shared" si="226"/>
        <v>0.44000000000000006</v>
      </c>
      <c r="BB94" s="4">
        <f t="shared" si="248"/>
        <v>68.517234378633177</v>
      </c>
      <c r="BC94" s="4">
        <f t="shared" si="249"/>
        <v>496.04826886139182</v>
      </c>
      <c r="BE94" s="36">
        <f t="shared" ref="BE94:BE103" si="292">MAX(1, (0.9+0.1*MIN(2,T94-0.5))*(0.9+0.1*MIN(3.5,O94/O94))+0.45*MIN(2.5,(40*2*PI()*AE94^2/4/AG94/R94)/K94))</f>
        <v>1.1000000000000001</v>
      </c>
      <c r="BF94" s="36">
        <f t="shared" ref="BF94:BF103" si="293">(1.6*M94+22)*BE94*J94^0.5</f>
        <v>251.92195266487349</v>
      </c>
      <c r="BK94" s="4">
        <f t="shared" si="160"/>
        <v>63.5</v>
      </c>
      <c r="BL94" s="4">
        <f t="shared" si="161"/>
        <v>50.8</v>
      </c>
      <c r="BM94" s="4">
        <f t="shared" si="162"/>
        <v>63.5</v>
      </c>
      <c r="BN94" s="4">
        <f t="shared" si="163"/>
        <v>63.5</v>
      </c>
      <c r="BO94" s="4">
        <f t="shared" si="164"/>
        <v>1.0250000000000001</v>
      </c>
      <c r="BP94" s="25">
        <f t="shared" si="278"/>
        <v>2.5625000000000004</v>
      </c>
      <c r="BR94" s="4">
        <f t="shared" si="165"/>
        <v>63.5</v>
      </c>
      <c r="BV94" s="9"/>
      <c r="BX94" s="9"/>
      <c r="BY94" s="9"/>
      <c r="BZ94" s="9">
        <f t="shared" si="235"/>
        <v>50.8</v>
      </c>
      <c r="CA94" s="9">
        <f t="shared" si="236"/>
        <v>139.69999999999999</v>
      </c>
      <c r="CB94" s="9">
        <f t="shared" si="252"/>
        <v>1.6459434193552143</v>
      </c>
      <c r="CC94" s="9">
        <v>0</v>
      </c>
      <c r="CD94" s="9">
        <f t="shared" si="132"/>
        <v>0</v>
      </c>
      <c r="CE94" s="9">
        <f t="shared" si="253"/>
        <v>0</v>
      </c>
      <c r="CF94" s="9">
        <f t="shared" si="237"/>
        <v>0.99524931562137331</v>
      </c>
      <c r="CG94" s="9">
        <f t="shared" si="238"/>
        <v>0.68</v>
      </c>
      <c r="CH94" s="9">
        <f t="shared" si="254"/>
        <v>1.490324324005301</v>
      </c>
      <c r="CI94" s="9">
        <f t="shared" si="255"/>
        <v>2.4529895138015334</v>
      </c>
      <c r="CJ94" s="9">
        <v>1</v>
      </c>
      <c r="CK94" s="9">
        <f t="shared" si="256"/>
        <v>235.48699332494721</v>
      </c>
      <c r="CM94" s="4">
        <f t="shared" si="210"/>
        <v>2.5381100341233895</v>
      </c>
      <c r="CN94" s="4">
        <f t="shared" si="211"/>
        <v>1.5249210563209457</v>
      </c>
      <c r="CO94" s="4">
        <f t="shared" si="212"/>
        <v>3.0026539653912536</v>
      </c>
      <c r="CP94" s="4">
        <f t="shared" si="213"/>
        <v>3.2122132923685105</v>
      </c>
      <c r="CQ94" s="4">
        <f t="shared" si="214"/>
        <v>1.1561639069038447</v>
      </c>
      <c r="CR94" s="4">
        <f t="shared" si="215"/>
        <v>1.0724330257730104</v>
      </c>
      <c r="CS94" s="4">
        <f t="shared" si="146"/>
        <v>1.6801577724580639</v>
      </c>
      <c r="CU94" s="4">
        <f t="shared" si="216"/>
        <v>2.5381100341233895</v>
      </c>
      <c r="CV94" s="4">
        <f t="shared" si="216"/>
        <v>1.5249210563209457</v>
      </c>
      <c r="CW94" s="4">
        <f t="shared" si="217"/>
        <v>3.2122132923685105</v>
      </c>
      <c r="CX94" s="4">
        <f t="shared" si="290"/>
        <v>1.6801577724580639</v>
      </c>
      <c r="CY94" s="4">
        <f t="shared" si="219"/>
        <v>1.1561639069038447</v>
      </c>
      <c r="CZ94" s="4">
        <f t="shared" si="219"/>
        <v>1.0724330257730104</v>
      </c>
      <c r="DH94" s="4">
        <f t="shared" si="171"/>
        <v>0</v>
      </c>
      <c r="DI94" s="4">
        <f t="shared" si="172"/>
        <v>228.6</v>
      </c>
      <c r="DJ94" s="4">
        <f t="shared" si="173"/>
        <v>1</v>
      </c>
      <c r="DL94" s="4">
        <f t="shared" si="174"/>
        <v>1.7165449536863499E-5</v>
      </c>
      <c r="DM94" s="4">
        <f t="shared" si="175"/>
        <v>7.9495669385574006</v>
      </c>
      <c r="DN94" s="4">
        <f t="shared" si="176"/>
        <v>0.55871723432551368</v>
      </c>
      <c r="DO94" s="4">
        <f t="shared" si="257"/>
        <v>6.298255836540501</v>
      </c>
      <c r="DP94" s="4">
        <f t="shared" si="258"/>
        <v>7.1716614786486721</v>
      </c>
      <c r="DQ94" s="4">
        <f t="shared" si="259"/>
        <v>7.5685095187246061</v>
      </c>
      <c r="DR94" s="38">
        <f t="shared" si="279"/>
        <v>654.26229414477029</v>
      </c>
      <c r="DS94" s="4">
        <f t="shared" si="260"/>
        <v>1.0001067807267576</v>
      </c>
      <c r="DT94" s="4">
        <f t="shared" si="150"/>
        <v>2.2360679774997898</v>
      </c>
      <c r="DU94" s="4">
        <f t="shared" si="280"/>
        <v>400.32282610347767</v>
      </c>
      <c r="DY94" s="4">
        <f t="shared" si="239"/>
        <v>0.85</v>
      </c>
      <c r="DZ94" s="4">
        <f t="shared" si="261"/>
        <v>0.85</v>
      </c>
      <c r="EA94" s="4">
        <f t="shared" si="262"/>
        <v>1</v>
      </c>
      <c r="EB94" s="4">
        <f t="shared" si="263"/>
        <v>0.85</v>
      </c>
      <c r="ED94" s="4">
        <f t="shared" si="281"/>
        <v>705.34423312173897</v>
      </c>
      <c r="EE94" s="25">
        <f>8.8*N94*(20*25.4)*J94^0.5/R94/K94^2/H94^0.5*(0.7+MIN(S94,O94)/5/H94)</f>
        <v>490.70592578068914</v>
      </c>
      <c r="EG94" s="4">
        <f>DY94*EB94</f>
        <v>0.72249999999999992</v>
      </c>
      <c r="EH94" s="4">
        <f>IF(K94&lt;22.2,1.1*5*(J94/30)^0.5,IF(K94&gt;=31.8,0.9*5*(J94/30)^0.5,1*5*(J94/30)^0.5))/DY94/EB94</f>
        <v>7.9495669385574006</v>
      </c>
      <c r="EI94" s="4">
        <f t="shared" si="178"/>
        <v>5.8871511659354159</v>
      </c>
      <c r="EK94" s="4">
        <f t="shared" si="179"/>
        <v>56.796126628494655</v>
      </c>
      <c r="EL94" s="4">
        <f t="shared" si="180"/>
        <v>2.2360679774997898</v>
      </c>
      <c r="EM94" s="4">
        <f t="shared" si="181"/>
        <v>0.1922203122479216</v>
      </c>
      <c r="EP94" s="4">
        <f t="shared" si="182"/>
        <v>0.1922203122479216</v>
      </c>
      <c r="EQ94" s="4">
        <f t="shared" si="183"/>
        <v>0.55778483939216139</v>
      </c>
      <c r="ER94" s="4">
        <f t="shared" si="184"/>
        <v>6.2940494837718139</v>
      </c>
      <c r="ES94" s="4">
        <f t="shared" si="240"/>
        <v>7.1698155001937067</v>
      </c>
      <c r="ET94" s="4">
        <f t="shared" si="186"/>
        <v>114.65387337150534</v>
      </c>
      <c r="EU94" s="4">
        <f t="shared" si="187"/>
        <v>57.150000000000006</v>
      </c>
      <c r="EV94" s="4">
        <f t="shared" si="265"/>
        <v>1.7165449536863506E-5</v>
      </c>
      <c r="EW94" s="4">
        <f t="shared" si="241"/>
        <v>7.5686315302667664</v>
      </c>
      <c r="EX94" s="4">
        <f t="shared" si="189"/>
        <v>654.19243900069443</v>
      </c>
      <c r="EY94" s="4">
        <f t="shared" si="190"/>
        <v>114.65387337150534</v>
      </c>
      <c r="EZ94" s="4">
        <f t="shared" si="191"/>
        <v>57.15</v>
      </c>
      <c r="FB94" s="4">
        <f t="shared" si="266"/>
        <v>0</v>
      </c>
      <c r="FG94" s="23">
        <f t="shared" si="220"/>
        <v>2.2000000000000002</v>
      </c>
      <c r="FH94" s="23">
        <f t="shared" si="220"/>
        <v>1.6</v>
      </c>
      <c r="FI94" s="23">
        <f t="shared" si="234"/>
        <v>1.8</v>
      </c>
      <c r="FJ94" s="23">
        <f t="shared" si="221"/>
        <v>2.2000000000000002</v>
      </c>
      <c r="FK94" s="23">
        <f t="shared" si="221"/>
        <v>1.2</v>
      </c>
      <c r="FL94" s="23">
        <f t="shared" si="221"/>
        <v>1.2</v>
      </c>
      <c r="FM94" s="23">
        <f t="shared" si="222"/>
        <v>0</v>
      </c>
      <c r="FN94" s="23"/>
      <c r="FX94" s="4">
        <f t="shared" si="267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9"/>
        <v>0</v>
      </c>
      <c r="GA94" s="4">
        <f t="shared" si="270"/>
        <v>450.21632047782612</v>
      </c>
      <c r="GB94" s="4">
        <f>GA94*510*0.145*2</f>
        <v>66586.993798670475</v>
      </c>
    </row>
    <row r="95" spans="1:184" ht="12" customHeight="1" x14ac:dyDescent="0.3">
      <c r="A95" s="25">
        <v>77</v>
      </c>
      <c r="B95" s="24" t="s">
        <v>605</v>
      </c>
      <c r="C95" s="24">
        <v>2016</v>
      </c>
      <c r="D95" s="24" t="s">
        <v>55</v>
      </c>
      <c r="F95" s="7" t="s">
        <v>613</v>
      </c>
      <c r="G95" s="38">
        <f t="shared" ref="G95:G103" si="294">129/0.145</f>
        <v>889.65517241379314</v>
      </c>
      <c r="H95" s="38">
        <f>10.4*25.4</f>
        <v>264.15999999999997</v>
      </c>
      <c r="I95" s="4">
        <f t="shared" ref="I95:I103" si="295">H95</f>
        <v>264.15999999999997</v>
      </c>
      <c r="J95" s="38">
        <f>4490/145</f>
        <v>30.96551724137931</v>
      </c>
      <c r="K95" s="38">
        <f t="shared" ref="K95:K103" si="296">1*25.4</f>
        <v>25.4</v>
      </c>
      <c r="L95" s="7">
        <f t="shared" ref="L95:L103" si="297">H95/K95</f>
        <v>10.399999999999999</v>
      </c>
      <c r="M95" s="7">
        <f t="shared" ref="M95:M103" si="298">I95/K95</f>
        <v>10.399999999999999</v>
      </c>
      <c r="N95" s="38">
        <f>18.1*25.4</f>
        <v>459.74</v>
      </c>
      <c r="O95" s="38">
        <f t="shared" ref="O95:O103" si="299">2.5*25.4</f>
        <v>63.5</v>
      </c>
      <c r="P95" s="7">
        <f t="shared" si="136"/>
        <v>50.8</v>
      </c>
      <c r="Q95" s="7">
        <f t="shared" ref="Q95:Q103" si="300">(N95-R95*K95-2*O95)/(R95-1)</f>
        <v>281.94</v>
      </c>
      <c r="R95" s="38">
        <v>2</v>
      </c>
      <c r="S95" s="39">
        <f t="shared" ref="S95:S103" si="301">2*25.4</f>
        <v>50.8</v>
      </c>
      <c r="T95" s="7">
        <f>MIN(Q95/K95/2+0.5, (S95+K95/2)/K95, O95/K95+0.5)</f>
        <v>2.5</v>
      </c>
      <c r="U95" s="7">
        <f>O95/K95+0.5</f>
        <v>3</v>
      </c>
      <c r="V95" s="38">
        <v>4</v>
      </c>
      <c r="W95" s="4">
        <f t="shared" ref="W95:W103" si="302">V95</f>
        <v>4</v>
      </c>
      <c r="X95" s="4">
        <f t="shared" ref="X95:X103" si="303">W95+1</f>
        <v>5</v>
      </c>
      <c r="Y95" s="7">
        <f t="shared" ref="Y95:Y103" si="304">K95*X95^0.5</f>
        <v>56.796126628494655</v>
      </c>
      <c r="Z95" s="7"/>
      <c r="AA95" s="7"/>
      <c r="AB95" s="38">
        <f>105/(PI()/4)/0.145</f>
        <v>922.00104963580748</v>
      </c>
      <c r="AC95" s="7"/>
      <c r="AD95" s="7">
        <f>105/127</f>
        <v>0.82677165354330706</v>
      </c>
      <c r="AE95" s="7">
        <v>0</v>
      </c>
      <c r="AF95" s="7">
        <v>0</v>
      </c>
      <c r="AG95" s="7">
        <f t="shared" si="289"/>
        <v>264.15999999999997</v>
      </c>
      <c r="AH95" s="7"/>
      <c r="AI95" s="7"/>
      <c r="AJ95" s="7"/>
      <c r="AK95" s="4">
        <f t="shared" si="283"/>
        <v>264.15999999999997</v>
      </c>
      <c r="AL95" s="44">
        <f t="shared" ref="AL95:AL103" si="305">MIN(N95)*(MIN(20*25.4-S95-0.5*K95,1.5*AK95)+S95+K95/2)/(3*H95)^2</f>
        <v>0.33654873438527289</v>
      </c>
      <c r="AM95" s="25">
        <f t="shared" si="272"/>
        <v>235.75040255705565</v>
      </c>
      <c r="AN95" s="4">
        <f t="shared" si="273"/>
        <v>0.74807692307692308</v>
      </c>
      <c r="AO95" s="4">
        <v>1.25</v>
      </c>
      <c r="AP95" s="25">
        <f t="shared" si="274"/>
        <v>5</v>
      </c>
      <c r="AQ95" s="38">
        <f t="shared" si="275"/>
        <v>370.95965563501107</v>
      </c>
      <c r="AR95" s="38">
        <f t="shared" si="276"/>
        <v>370.95965563501107</v>
      </c>
      <c r="AT95" s="38">
        <f t="shared" si="291"/>
        <v>370.95965563501068</v>
      </c>
      <c r="AU95" s="38">
        <f t="shared" si="247"/>
        <v>1.0000000000000011</v>
      </c>
      <c r="AV95" s="38">
        <f t="shared" si="139"/>
        <v>0.90152010097815527</v>
      </c>
      <c r="AW95" s="4">
        <f t="shared" si="158"/>
        <v>1</v>
      </c>
      <c r="AX95" s="4">
        <f t="shared" si="224"/>
        <v>304.59229117894546</v>
      </c>
      <c r="AY95" s="4">
        <f t="shared" si="225"/>
        <v>1.08</v>
      </c>
      <c r="AZ95" s="38">
        <f t="shared" si="277"/>
        <v>334.42758620689654</v>
      </c>
      <c r="BA95" s="4">
        <f t="shared" si="226"/>
        <v>0.44000000000000006</v>
      </c>
      <c r="BB95" s="4">
        <f t="shared" si="248"/>
        <v>70.025767742039562</v>
      </c>
      <c r="BC95" s="4">
        <f t="shared" si="249"/>
        <v>404.45335394893607</v>
      </c>
      <c r="BE95" s="36">
        <f t="shared" si="292"/>
        <v>1.1000000000000001</v>
      </c>
      <c r="BF95" s="36">
        <f t="shared" si="293"/>
        <v>236.52060013570011</v>
      </c>
      <c r="BK95" s="4">
        <f t="shared" si="160"/>
        <v>63.5</v>
      </c>
      <c r="BL95" s="4">
        <f t="shared" si="161"/>
        <v>50.8</v>
      </c>
      <c r="BM95" s="4">
        <f t="shared" si="162"/>
        <v>63.5</v>
      </c>
      <c r="BN95" s="4">
        <f t="shared" si="163"/>
        <v>63.5</v>
      </c>
      <c r="BO95" s="4">
        <f t="shared" si="164"/>
        <v>1.0250000000000001</v>
      </c>
      <c r="BP95" s="25">
        <f t="shared" si="278"/>
        <v>2.5625000000000004</v>
      </c>
      <c r="BR95" s="4">
        <f t="shared" si="165"/>
        <v>63.5</v>
      </c>
      <c r="BV95" s="9"/>
      <c r="BX95" s="9"/>
      <c r="BY95" s="9"/>
      <c r="BZ95" s="9">
        <f t="shared" si="235"/>
        <v>50.8</v>
      </c>
      <c r="CA95" s="9">
        <f t="shared" si="236"/>
        <v>140.97</v>
      </c>
      <c r="CB95" s="9">
        <f t="shared" si="252"/>
        <v>1.6481792641469835</v>
      </c>
      <c r="CC95" s="9">
        <v>0</v>
      </c>
      <c r="CD95" s="9">
        <f t="shared" si="132"/>
        <v>0</v>
      </c>
      <c r="CE95" s="9">
        <f t="shared" si="253"/>
        <v>0</v>
      </c>
      <c r="CF95" s="9">
        <f t="shared" si="237"/>
        <v>0.99524931562137331</v>
      </c>
      <c r="CG95" s="9">
        <f t="shared" si="238"/>
        <v>0.68</v>
      </c>
      <c r="CH95" s="9">
        <f t="shared" si="254"/>
        <v>1.3180989499545468</v>
      </c>
      <c r="CI95" s="9">
        <f t="shared" si="255"/>
        <v>2.1724633574089967</v>
      </c>
      <c r="CJ95" s="9">
        <v>1</v>
      </c>
      <c r="CK95" s="9">
        <f t="shared" si="256"/>
        <v>220.72227711275406</v>
      </c>
      <c r="CM95" s="4">
        <f t="shared" si="210"/>
        <v>3.0270006048647482</v>
      </c>
      <c r="CN95" s="4">
        <f t="shared" si="211"/>
        <v>2.2796227071273441</v>
      </c>
      <c r="CO95" s="4">
        <f t="shared" si="212"/>
        <v>3.8981849746145723</v>
      </c>
      <c r="CP95" s="4">
        <f t="shared" si="213"/>
        <v>4.1771997901453837</v>
      </c>
      <c r="CQ95" s="4">
        <f t="shared" si="214"/>
        <v>1.4442027183793973</v>
      </c>
      <c r="CR95" s="4">
        <f t="shared" si="215"/>
        <v>1.4821353465266294</v>
      </c>
      <c r="CS95" s="4">
        <f t="shared" si="146"/>
        <v>1.8844548614240106</v>
      </c>
      <c r="CU95" s="4">
        <f t="shared" si="216"/>
        <v>3.0270006048647482</v>
      </c>
      <c r="CV95" s="4">
        <f t="shared" si="216"/>
        <v>2.2796227071273441</v>
      </c>
      <c r="CW95" s="4">
        <f t="shared" si="217"/>
        <v>4.1771997901453837</v>
      </c>
      <c r="CX95" s="4">
        <f t="shared" si="290"/>
        <v>1.8844548614240106</v>
      </c>
      <c r="CY95" s="4">
        <f t="shared" si="219"/>
        <v>1.4442027183793973</v>
      </c>
      <c r="CZ95" s="4">
        <f t="shared" si="219"/>
        <v>1.4821353465266294</v>
      </c>
      <c r="DH95" s="4">
        <f t="shared" si="171"/>
        <v>0</v>
      </c>
      <c r="DI95" s="4">
        <f t="shared" si="172"/>
        <v>264.15999999999997</v>
      </c>
      <c r="DJ95" s="4">
        <f t="shared" si="173"/>
        <v>1</v>
      </c>
      <c r="DL95" s="4">
        <f t="shared" si="174"/>
        <v>1.8699368483673423E-5</v>
      </c>
      <c r="DM95" s="4">
        <f t="shared" si="175"/>
        <v>7.0308963394927586</v>
      </c>
      <c r="DN95" s="4">
        <f t="shared" si="176"/>
        <v>0.66187190263897755</v>
      </c>
      <c r="DO95" s="4">
        <f t="shared" si="257"/>
        <v>5.9610158002057858</v>
      </c>
      <c r="DP95" s="4">
        <f t="shared" si="258"/>
        <v>6.5179597703410481</v>
      </c>
      <c r="DQ95" s="4">
        <f t="shared" si="259"/>
        <v>6.6419918127671052</v>
      </c>
      <c r="DR95" s="38">
        <f t="shared" si="279"/>
        <v>638.41525701490502</v>
      </c>
      <c r="DS95" s="4">
        <f t="shared" si="260"/>
        <v>1.0001171802702424</v>
      </c>
      <c r="DT95" s="4">
        <f t="shared" si="150"/>
        <v>2.2360679774997898</v>
      </c>
      <c r="DU95" s="4">
        <f t="shared" si="280"/>
        <v>370.95965563501068</v>
      </c>
      <c r="DY95" s="4">
        <f t="shared" si="239"/>
        <v>0.85</v>
      </c>
      <c r="DZ95" s="4">
        <f t="shared" si="261"/>
        <v>0.85</v>
      </c>
      <c r="EA95" s="4">
        <f t="shared" si="262"/>
        <v>1</v>
      </c>
      <c r="EB95" s="4">
        <f t="shared" si="263"/>
        <v>0.85</v>
      </c>
      <c r="ED95" s="4">
        <f t="shared" si="281"/>
        <v>622.07614965563607</v>
      </c>
      <c r="EE95" s="25">
        <f t="shared" ref="EE95:EE103" si="306">8.8*N95*(20*25.4)*J95^0.5/R95/K95^2/H95^0.5*(0.7+MIN(S95,O95)/5/H95)</f>
        <v>402.71218386346197</v>
      </c>
      <c r="EG95" s="4">
        <f t="shared" ref="EG95:EG103" si="307">DY95*EB95</f>
        <v>0.72249999999999992</v>
      </c>
      <c r="EH95" s="4">
        <f t="shared" si="264"/>
        <v>7.0308963394927586</v>
      </c>
      <c r="EI95" s="4">
        <f t="shared" si="178"/>
        <v>5.2068181704156071</v>
      </c>
      <c r="EK95" s="4">
        <f t="shared" si="179"/>
        <v>56.796126628494655</v>
      </c>
      <c r="EL95" s="4">
        <f t="shared" si="180"/>
        <v>2.2360679774997898</v>
      </c>
      <c r="EM95" s="4">
        <f t="shared" si="181"/>
        <v>0.20139485887514993</v>
      </c>
      <c r="EP95" s="4">
        <f t="shared" si="182"/>
        <v>0.20139485887514993</v>
      </c>
      <c r="EQ95" s="4">
        <f t="shared" si="183"/>
        <v>0.66076736178962692</v>
      </c>
      <c r="ER95" s="4">
        <f t="shared" si="184"/>
        <v>5.9570346765477238</v>
      </c>
      <c r="ES95" s="4">
        <f t="shared" si="240"/>
        <v>6.5161398816101084</v>
      </c>
      <c r="ET95" s="4">
        <f t="shared" si="186"/>
        <v>141.32387337150533</v>
      </c>
      <c r="EU95" s="4">
        <f t="shared" si="187"/>
        <v>66.039999999999992</v>
      </c>
      <c r="EV95" s="4">
        <f t="shared" si="265"/>
        <v>1.8699368483673423E-5</v>
      </c>
      <c r="EW95" s="4">
        <f t="shared" si="241"/>
        <v>6.642117802584564</v>
      </c>
      <c r="EX95" s="4">
        <f t="shared" si="189"/>
        <v>638.34045610775161</v>
      </c>
      <c r="EY95" s="4">
        <f t="shared" si="190"/>
        <v>141.32387337150533</v>
      </c>
      <c r="EZ95" s="4">
        <f t="shared" si="191"/>
        <v>66.039999999999992</v>
      </c>
      <c r="FB95" s="4">
        <f t="shared" si="266"/>
        <v>0</v>
      </c>
      <c r="FG95" s="23">
        <f t="shared" si="220"/>
        <v>2.2000000000000002</v>
      </c>
      <c r="FH95" s="23">
        <f t="shared" si="220"/>
        <v>2.2000000000000002</v>
      </c>
      <c r="FI95" s="23">
        <f t="shared" si="234"/>
        <v>2</v>
      </c>
      <c r="FJ95" s="23">
        <f t="shared" si="221"/>
        <v>2.2000000000000002</v>
      </c>
      <c r="FK95" s="23">
        <f t="shared" si="221"/>
        <v>1.6</v>
      </c>
      <c r="FL95" s="23">
        <f t="shared" si="221"/>
        <v>1.6</v>
      </c>
      <c r="FM95" s="23">
        <f t="shared" si="222"/>
        <v>0</v>
      </c>
      <c r="FN95" s="23"/>
      <c r="FX95" s="4">
        <f t="shared" si="267"/>
        <v>1</v>
      </c>
      <c r="FY95" s="4">
        <f t="shared" ref="FY95:FY156" si="308">IF(AG95&gt;1, 0.05*(18-MIN(8,(Q95+K95)/K95))*(1-48000/MAX(60000,(G95*145))*(K95/25.4)^0.75*FZ95), 1/12*(14-MIN(8,(Q95+K95)/K95)))</f>
        <v>0.5</v>
      </c>
      <c r="FZ95" s="4">
        <f t="shared" si="269"/>
        <v>0</v>
      </c>
      <c r="GA95" s="4">
        <f t="shared" si="270"/>
        <v>489.26672031777213</v>
      </c>
    </row>
    <row r="96" spans="1:184" ht="12" customHeight="1" x14ac:dyDescent="0.3">
      <c r="A96" s="25">
        <v>78</v>
      </c>
      <c r="B96" s="24" t="s">
        <v>605</v>
      </c>
      <c r="C96" s="24">
        <v>2016</v>
      </c>
      <c r="D96" s="24" t="s">
        <v>55</v>
      </c>
      <c r="E96" s="24"/>
      <c r="F96" s="7" t="s">
        <v>614</v>
      </c>
      <c r="G96" s="38">
        <f t="shared" si="294"/>
        <v>889.65517241379314</v>
      </c>
      <c r="H96" s="38">
        <f>9*25.4</f>
        <v>228.6</v>
      </c>
      <c r="I96" s="4">
        <f t="shared" si="295"/>
        <v>228.6</v>
      </c>
      <c r="J96" s="38">
        <f>5800/145</f>
        <v>40</v>
      </c>
      <c r="K96" s="38">
        <f t="shared" si="296"/>
        <v>25.4</v>
      </c>
      <c r="L96" s="7">
        <f t="shared" si="297"/>
        <v>9</v>
      </c>
      <c r="M96" s="7">
        <f t="shared" si="298"/>
        <v>9</v>
      </c>
      <c r="N96" s="38">
        <f>18.3*25.4</f>
        <v>464.82</v>
      </c>
      <c r="O96" s="38">
        <f t="shared" si="299"/>
        <v>63.5</v>
      </c>
      <c r="P96" s="7">
        <f t="shared" si="136"/>
        <v>50.8</v>
      </c>
      <c r="Q96" s="7">
        <f t="shared" si="300"/>
        <v>130.81</v>
      </c>
      <c r="R96" s="38">
        <v>3</v>
      </c>
      <c r="S96" s="39">
        <f t="shared" si="301"/>
        <v>50.8</v>
      </c>
      <c r="T96" s="7">
        <f t="shared" ref="T96:T146" si="309">MIN(Q96/K96/2+0.5, (S96+K96/2)/K96, O96/K96+0.5)</f>
        <v>2.5</v>
      </c>
      <c r="U96" s="7">
        <f t="shared" ref="U96:U103" si="310">O96/K96+0.5</f>
        <v>3</v>
      </c>
      <c r="V96" s="38">
        <v>4</v>
      </c>
      <c r="W96" s="4">
        <f t="shared" si="302"/>
        <v>4</v>
      </c>
      <c r="X96" s="4">
        <f t="shared" si="303"/>
        <v>5</v>
      </c>
      <c r="Y96" s="7">
        <f t="shared" si="304"/>
        <v>56.796126628494655</v>
      </c>
      <c r="Z96" s="7"/>
      <c r="AA96" s="7"/>
      <c r="AB96" s="38">
        <f>109/(PI()/4)/0.145*AD103</f>
        <v>809.13989268963303</v>
      </c>
      <c r="AC96" s="7" t="s">
        <v>654</v>
      </c>
      <c r="AD96" s="7"/>
      <c r="AE96" s="7">
        <v>0</v>
      </c>
      <c r="AF96" s="7">
        <v>0</v>
      </c>
      <c r="AG96" s="7">
        <f t="shared" si="289"/>
        <v>228.6</v>
      </c>
      <c r="AH96" s="7"/>
      <c r="AI96" s="7"/>
      <c r="AJ96" s="7"/>
      <c r="AK96" s="4">
        <f t="shared" si="283"/>
        <v>228.6</v>
      </c>
      <c r="AL96" s="44">
        <f t="shared" si="305"/>
        <v>0.40164609053497946</v>
      </c>
      <c r="AM96" s="25">
        <f t="shared" si="272"/>
        <v>143.80227786159796</v>
      </c>
      <c r="AN96" s="4">
        <f t="shared" si="273"/>
        <v>0.75555555555555554</v>
      </c>
      <c r="AO96" s="4">
        <v>1.25</v>
      </c>
      <c r="AP96" s="25">
        <f t="shared" si="274"/>
        <v>5</v>
      </c>
      <c r="AQ96" s="38">
        <f t="shared" si="275"/>
        <v>272.7443294786961</v>
      </c>
      <c r="AR96" s="38">
        <f t="shared" si="276"/>
        <v>272.7443294786961</v>
      </c>
      <c r="AT96" s="38">
        <f t="shared" si="291"/>
        <v>272.74432947869599</v>
      </c>
      <c r="AU96" s="38">
        <f t="shared" si="247"/>
        <v>1.0000000000000004</v>
      </c>
      <c r="AV96" s="38">
        <f t="shared" si="139"/>
        <v>1.5839009405830504</v>
      </c>
      <c r="AW96" s="4">
        <f t="shared" si="158"/>
        <v>0</v>
      </c>
      <c r="AX96" s="4">
        <f t="shared" si="224"/>
        <v>299.58419938437277</v>
      </c>
      <c r="AY96" s="4">
        <f t="shared" si="225"/>
        <v>1.08</v>
      </c>
      <c r="AZ96" s="38">
        <f t="shared" si="277"/>
        <v>432</v>
      </c>
      <c r="BA96" s="4">
        <f t="shared" si="226"/>
        <v>0.44000000000000006</v>
      </c>
      <c r="BB96" s="4">
        <f t="shared" si="248"/>
        <v>68.874407438467301</v>
      </c>
      <c r="BC96" s="4">
        <f t="shared" si="249"/>
        <v>500.8744074384673</v>
      </c>
      <c r="BE96" s="36">
        <f t="shared" si="292"/>
        <v>1.1000000000000001</v>
      </c>
      <c r="BF96" s="36">
        <f t="shared" si="293"/>
        <v>253.23519502628383</v>
      </c>
      <c r="BK96" s="4">
        <f t="shared" si="160"/>
        <v>63.5</v>
      </c>
      <c r="BL96" s="4">
        <f t="shared" si="161"/>
        <v>50.8</v>
      </c>
      <c r="BM96" s="4">
        <f t="shared" si="162"/>
        <v>63.5</v>
      </c>
      <c r="BN96" s="4">
        <f t="shared" si="163"/>
        <v>63.5</v>
      </c>
      <c r="BO96" s="4">
        <f t="shared" si="164"/>
        <v>1.0250000000000001</v>
      </c>
      <c r="BP96" s="25">
        <f t="shared" si="278"/>
        <v>2.5625000000000004</v>
      </c>
      <c r="BR96" s="4">
        <f t="shared" si="165"/>
        <v>63.5</v>
      </c>
      <c r="BV96" s="9"/>
      <c r="BX96" s="9"/>
      <c r="BY96" s="9"/>
      <c r="BZ96" s="9">
        <f t="shared" si="235"/>
        <v>50.8</v>
      </c>
      <c r="CA96" s="9">
        <f t="shared" si="236"/>
        <v>65.405000000000001</v>
      </c>
      <c r="CB96" s="9">
        <f t="shared" si="252"/>
        <v>1.4688487685376905</v>
      </c>
      <c r="CC96" s="9">
        <v>0</v>
      </c>
      <c r="CD96" s="9">
        <f t="shared" si="132"/>
        <v>0</v>
      </c>
      <c r="CE96" s="9">
        <f t="shared" si="253"/>
        <v>0</v>
      </c>
      <c r="CF96" s="9">
        <f t="shared" si="237"/>
        <v>0.99524931562137331</v>
      </c>
      <c r="CG96" s="9">
        <f t="shared" si="238"/>
        <v>0.68</v>
      </c>
      <c r="CH96" s="9">
        <f t="shared" si="254"/>
        <v>1.4980932262935727</v>
      </c>
      <c r="CI96" s="9">
        <f t="shared" si="255"/>
        <v>2.2004723905959698</v>
      </c>
      <c r="CJ96" s="9">
        <v>1</v>
      </c>
      <c r="CK96" s="9">
        <f>4*CI96*M96+60*CI96</f>
        <v>211.24534949721311</v>
      </c>
      <c r="CM96" s="4">
        <f t="shared" si="210"/>
        <v>2.7008763958592144</v>
      </c>
      <c r="CN96" s="4">
        <f t="shared" si="211"/>
        <v>1.6154546542469059</v>
      </c>
      <c r="CO96" s="4">
        <f t="shared" si="212"/>
        <v>3.1952110472071253</v>
      </c>
      <c r="CP96" s="4">
        <f t="shared" si="213"/>
        <v>3.8303323344891327</v>
      </c>
      <c r="CQ96" s="4">
        <f t="shared" si="214"/>
        <v>1.5772980431508556</v>
      </c>
      <c r="CR96" s="4">
        <f t="shared" si="215"/>
        <v>1.4709480943819242</v>
      </c>
      <c r="CS96" s="4">
        <f t="shared" si="146"/>
        <v>2.1241819020208603</v>
      </c>
      <c r="CU96" s="4">
        <f t="shared" si="216"/>
        <v>2.7008763958592144</v>
      </c>
      <c r="CV96" s="4">
        <f t="shared" si="216"/>
        <v>1.6154546542469059</v>
      </c>
      <c r="CW96" s="4">
        <f t="shared" si="217"/>
        <v>3.8303323344891327</v>
      </c>
      <c r="CX96" s="4">
        <f t="shared" si="290"/>
        <v>2.1241819020208603</v>
      </c>
      <c r="CY96" s="4">
        <f t="shared" si="219"/>
        <v>1.5772980431508556</v>
      </c>
      <c r="CZ96" s="4">
        <f t="shared" si="219"/>
        <v>1.4709480943819242</v>
      </c>
      <c r="DH96" s="4">
        <f t="shared" si="171"/>
        <v>0</v>
      </c>
      <c r="DI96" s="4">
        <f t="shared" si="172"/>
        <v>228.6</v>
      </c>
      <c r="DJ96" s="4">
        <f t="shared" si="173"/>
        <v>1</v>
      </c>
      <c r="DL96" s="4">
        <f t="shared" si="174"/>
        <v>1.7212629905715879E-5</v>
      </c>
      <c r="DM96" s="4">
        <f t="shared" si="175"/>
        <v>7.9910071860155822</v>
      </c>
      <c r="DN96" s="4">
        <f t="shared" si="176"/>
        <v>0.37672231211760421</v>
      </c>
      <c r="DO96" s="4">
        <f t="shared" si="257"/>
        <v>5.4076684710303295</v>
      </c>
      <c r="DP96" s="4">
        <f t="shared" si="258"/>
        <v>6.8231658126479218</v>
      </c>
      <c r="DQ96" s="4">
        <f t="shared" si="259"/>
        <v>7.6313231741846339</v>
      </c>
      <c r="DR96" s="38">
        <f t="shared" si="279"/>
        <v>512.99112187654282</v>
      </c>
      <c r="DS96" s="4">
        <f t="shared" si="260"/>
        <v>1.0001114819956296</v>
      </c>
      <c r="DT96" s="4">
        <f t="shared" si="150"/>
        <v>2.2360679774997898</v>
      </c>
      <c r="DU96" s="4">
        <f t="shared" si="280"/>
        <v>272.74432947869599</v>
      </c>
      <c r="DY96" s="4">
        <f t="shared" si="239"/>
        <v>0.85</v>
      </c>
      <c r="DZ96" s="4">
        <f t="shared" si="261"/>
        <v>0.85</v>
      </c>
      <c r="EA96" s="4">
        <f t="shared" si="262"/>
        <v>1</v>
      </c>
      <c r="EB96" s="4">
        <f t="shared" si="263"/>
        <v>0.85</v>
      </c>
      <c r="ED96" s="4">
        <f t="shared" si="281"/>
        <v>550.0805200265238</v>
      </c>
      <c r="EE96" s="25">
        <f t="shared" si="306"/>
        <v>334.32332600410302</v>
      </c>
      <c r="EG96" s="4">
        <f t="shared" si="307"/>
        <v>0.72249999999999992</v>
      </c>
      <c r="EH96" s="4">
        <f t="shared" si="264"/>
        <v>7.9910071860155822</v>
      </c>
      <c r="EI96" s="4">
        <f t="shared" si="178"/>
        <v>5.9178402591936647</v>
      </c>
      <c r="EK96" s="4">
        <f t="shared" si="179"/>
        <v>56.796126628494655</v>
      </c>
      <c r="EL96" s="4">
        <f t="shared" si="180"/>
        <v>2.2360679774997898</v>
      </c>
      <c r="EM96" s="4">
        <f t="shared" si="181"/>
        <v>0.13028265607914691</v>
      </c>
      <c r="EP96" s="4">
        <f t="shared" si="182"/>
        <v>0.13028265607914691</v>
      </c>
      <c r="EQ96" s="4">
        <f t="shared" si="183"/>
        <v>0.37609363279017455</v>
      </c>
      <c r="ER96" s="4">
        <f t="shared" si="184"/>
        <v>5.4040569058866454</v>
      </c>
      <c r="ES96" s="4">
        <f t="shared" si="240"/>
        <v>6.8217376672849355</v>
      </c>
      <c r="ET96" s="4">
        <f t="shared" si="186"/>
        <v>114.65387337150534</v>
      </c>
      <c r="EU96" s="4">
        <f t="shared" si="187"/>
        <v>57.150000000000006</v>
      </c>
      <c r="EV96" s="4">
        <f t="shared" si="265"/>
        <v>1.7212629905715879E-5</v>
      </c>
      <c r="EW96" s="4">
        <f t="shared" si="241"/>
        <v>7.6314238548367994</v>
      </c>
      <c r="EX96" s="4">
        <f t="shared" si="189"/>
        <v>512.93393897739952</v>
      </c>
      <c r="EY96" s="4">
        <f t="shared" si="190"/>
        <v>114.65387337150534</v>
      </c>
      <c r="EZ96" s="4">
        <f t="shared" si="191"/>
        <v>57.15</v>
      </c>
      <c r="FB96" s="4">
        <f t="shared" si="266"/>
        <v>0</v>
      </c>
      <c r="FG96" s="23">
        <f t="shared" si="220"/>
        <v>2.2000000000000002</v>
      </c>
      <c r="FH96" s="23">
        <f t="shared" si="220"/>
        <v>1.8</v>
      </c>
      <c r="FI96" s="23">
        <f t="shared" si="234"/>
        <v>2.2000000000000002</v>
      </c>
      <c r="FJ96" s="23">
        <f t="shared" si="221"/>
        <v>2.2000000000000002</v>
      </c>
      <c r="FK96" s="23">
        <f t="shared" si="221"/>
        <v>1.6</v>
      </c>
      <c r="FL96" s="23">
        <f t="shared" si="221"/>
        <v>1.6</v>
      </c>
      <c r="FM96" s="23">
        <f t="shared" si="222"/>
        <v>0</v>
      </c>
      <c r="FN96" s="23"/>
      <c r="FX96" s="4">
        <f t="shared" si="267"/>
        <v>1</v>
      </c>
      <c r="FY96" s="4">
        <f t="shared" si="308"/>
        <v>0.59250000000000003</v>
      </c>
      <c r="FZ96" s="4">
        <f t="shared" si="269"/>
        <v>0</v>
      </c>
      <c r="GA96" s="4">
        <f t="shared" si="270"/>
        <v>380.91836293297212</v>
      </c>
    </row>
    <row r="97" spans="1:183" ht="12" customHeight="1" x14ac:dyDescent="0.3">
      <c r="A97" s="25">
        <v>79</v>
      </c>
      <c r="B97" s="24" t="s">
        <v>605</v>
      </c>
      <c r="C97" s="24">
        <v>2016</v>
      </c>
      <c r="D97" s="24" t="s">
        <v>55</v>
      </c>
      <c r="E97" s="24"/>
      <c r="F97" s="7" t="s">
        <v>615</v>
      </c>
      <c r="G97" s="38">
        <f t="shared" si="294"/>
        <v>889.65517241379314</v>
      </c>
      <c r="H97" s="38">
        <f>11.4*25.4</f>
        <v>289.56</v>
      </c>
      <c r="I97" s="4">
        <f t="shared" si="295"/>
        <v>289.56</v>
      </c>
      <c r="J97" s="38">
        <f>5750/145</f>
        <v>39.655172413793103</v>
      </c>
      <c r="K97" s="38">
        <f t="shared" si="296"/>
        <v>25.4</v>
      </c>
      <c r="L97" s="7">
        <f t="shared" si="297"/>
        <v>11.4</v>
      </c>
      <c r="M97" s="7">
        <f t="shared" si="298"/>
        <v>11.4</v>
      </c>
      <c r="N97" s="38">
        <f>18*25.4</f>
        <v>457.2</v>
      </c>
      <c r="O97" s="38">
        <f t="shared" si="299"/>
        <v>63.5</v>
      </c>
      <c r="P97" s="7">
        <f t="shared" si="136"/>
        <v>50.8</v>
      </c>
      <c r="Q97" s="7">
        <f t="shared" si="300"/>
        <v>127</v>
      </c>
      <c r="R97" s="38">
        <v>3</v>
      </c>
      <c r="S97" s="39">
        <f t="shared" si="301"/>
        <v>50.8</v>
      </c>
      <c r="T97" s="7">
        <f t="shared" si="309"/>
        <v>2.5</v>
      </c>
      <c r="U97" s="7">
        <f t="shared" si="310"/>
        <v>3</v>
      </c>
      <c r="V97" s="38">
        <v>4</v>
      </c>
      <c r="W97" s="4">
        <f t="shared" si="302"/>
        <v>4</v>
      </c>
      <c r="X97" s="4">
        <f t="shared" si="303"/>
        <v>5</v>
      </c>
      <c r="Y97" s="7">
        <f t="shared" si="304"/>
        <v>56.796126628494655</v>
      </c>
      <c r="Z97" s="7"/>
      <c r="AA97" s="7"/>
      <c r="AB97" s="38">
        <f>84/(PI()/4)/0.145</f>
        <v>737.60083970864605</v>
      </c>
      <c r="AC97" s="7"/>
      <c r="AD97" s="7">
        <f>84/95</f>
        <v>0.88421052631578945</v>
      </c>
      <c r="AE97" s="7">
        <v>0</v>
      </c>
      <c r="AF97" s="7">
        <v>0</v>
      </c>
      <c r="AG97" s="7">
        <f t="shared" si="289"/>
        <v>289.56</v>
      </c>
      <c r="AH97" s="7"/>
      <c r="AI97" s="7"/>
      <c r="AJ97" s="7"/>
      <c r="AK97" s="4">
        <f t="shared" si="283"/>
        <v>289.56</v>
      </c>
      <c r="AL97" s="44">
        <f t="shared" si="305"/>
        <v>0.30163127116035704</v>
      </c>
      <c r="AM97" s="25">
        <f t="shared" si="272"/>
        <v>204.1170127612771</v>
      </c>
      <c r="AN97" s="4">
        <f t="shared" si="273"/>
        <v>0.743859649122807</v>
      </c>
      <c r="AO97" s="4">
        <v>1.25</v>
      </c>
      <c r="AP97" s="25">
        <f t="shared" si="274"/>
        <v>5</v>
      </c>
      <c r="AQ97" s="38">
        <f t="shared" si="275"/>
        <v>286.23753713209283</v>
      </c>
      <c r="AR97" s="38">
        <f t="shared" si="276"/>
        <v>286.23753713209283</v>
      </c>
      <c r="AT97" s="38">
        <f t="shared" si="291"/>
        <v>286.23753713209271</v>
      </c>
      <c r="AU97" s="38">
        <f t="shared" si="247"/>
        <v>1.0000000000000004</v>
      </c>
      <c r="AV97" s="38">
        <f t="shared" si="139"/>
        <v>1.4962253600977746</v>
      </c>
      <c r="AW97" s="4">
        <f t="shared" si="158"/>
        <v>0</v>
      </c>
      <c r="AX97" s="4">
        <f t="shared" si="224"/>
        <v>377.83411795344153</v>
      </c>
      <c r="AY97" s="4">
        <f t="shared" si="225"/>
        <v>1.08</v>
      </c>
      <c r="AZ97" s="38">
        <f t="shared" si="277"/>
        <v>428.27586206896558</v>
      </c>
      <c r="BA97" s="4">
        <f t="shared" si="226"/>
        <v>0.44000000000000006</v>
      </c>
      <c r="BB97" s="4">
        <f t="shared" si="248"/>
        <v>86.864063717496222</v>
      </c>
      <c r="BC97" s="4">
        <f t="shared" si="249"/>
        <v>515.13992578646184</v>
      </c>
      <c r="BE97" s="36">
        <f t="shared" si="292"/>
        <v>1.1000000000000001</v>
      </c>
      <c r="BF97" s="36">
        <f t="shared" si="293"/>
        <v>278.7408232848523</v>
      </c>
      <c r="BK97" s="4">
        <f t="shared" si="160"/>
        <v>63.5</v>
      </c>
      <c r="BL97" s="4">
        <f t="shared" si="161"/>
        <v>50.8</v>
      </c>
      <c r="BM97" s="4">
        <f t="shared" si="162"/>
        <v>63.5</v>
      </c>
      <c r="BN97" s="4">
        <f t="shared" si="163"/>
        <v>63.5</v>
      </c>
      <c r="BO97" s="4">
        <f t="shared" si="164"/>
        <v>1.0250000000000001</v>
      </c>
      <c r="BP97" s="25">
        <f t="shared" si="278"/>
        <v>2.5625000000000004</v>
      </c>
      <c r="BR97" s="4">
        <f t="shared" si="165"/>
        <v>63.5</v>
      </c>
      <c r="BV97" s="9"/>
      <c r="BX97" s="9"/>
      <c r="BY97" s="9"/>
      <c r="BZ97" s="9">
        <f t="shared" si="235"/>
        <v>50.8</v>
      </c>
      <c r="CA97" s="9">
        <f t="shared" si="236"/>
        <v>63.5</v>
      </c>
      <c r="CB97" s="9">
        <f t="shared" si="252"/>
        <v>1.4623505735569622</v>
      </c>
      <c r="CC97" s="9">
        <v>0</v>
      </c>
      <c r="CD97" s="9">
        <f t="shared" si="132"/>
        <v>0</v>
      </c>
      <c r="CE97" s="9">
        <f t="shared" si="253"/>
        <v>0</v>
      </c>
      <c r="CF97" s="9">
        <f t="shared" si="237"/>
        <v>0.99524931562137331</v>
      </c>
      <c r="CG97" s="9">
        <f t="shared" si="238"/>
        <v>0.68</v>
      </c>
      <c r="CH97" s="9">
        <f t="shared" si="254"/>
        <v>1.4916219510025528</v>
      </c>
      <c r="CI97" s="9">
        <f>MIN((CB97+CE97)*CH97,2.5*CH97,J97^0.5)</f>
        <v>2.1812742155787381</v>
      </c>
      <c r="CJ97" s="9">
        <v>1</v>
      </c>
      <c r="CK97" s="9">
        <f>4*CI97*M97+60*CI97</f>
        <v>230.34255716511473</v>
      </c>
      <c r="CM97" s="4">
        <f t="shared" si="210"/>
        <v>1.9521816708980648</v>
      </c>
      <c r="CN97" s="4">
        <f t="shared" si="211"/>
        <v>1.4318456069631065</v>
      </c>
      <c r="CO97" s="4">
        <f t="shared" si="212"/>
        <v>2.6461887821679895</v>
      </c>
      <c r="CP97" s="4">
        <f t="shared" si="213"/>
        <v>3.2021908968385602</v>
      </c>
      <c r="CQ97" s="4">
        <f t="shared" si="214"/>
        <v>1.2450645673170533</v>
      </c>
      <c r="CR97" s="4">
        <f t="shared" si="215"/>
        <v>1.3186099499673773</v>
      </c>
      <c r="CS97" s="4">
        <f t="shared" si="146"/>
        <v>1.5514224951198869</v>
      </c>
      <c r="CU97" s="4">
        <f t="shared" si="216"/>
        <v>1.9521816708980648</v>
      </c>
      <c r="CV97" s="4">
        <f t="shared" si="216"/>
        <v>1.4318456069631065</v>
      </c>
      <c r="CW97" s="4">
        <f t="shared" si="217"/>
        <v>3.2021908968385602</v>
      </c>
      <c r="CX97" s="4">
        <f t="shared" si="290"/>
        <v>1.5514224951198869</v>
      </c>
      <c r="CY97" s="4">
        <f t="shared" si="219"/>
        <v>1.2450645673170533</v>
      </c>
      <c r="CZ97" s="4">
        <f t="shared" si="219"/>
        <v>1.3186099499673773</v>
      </c>
      <c r="DH97" s="4">
        <f t="shared" si="171"/>
        <v>0</v>
      </c>
      <c r="DI97" s="4">
        <f t="shared" si="172"/>
        <v>289.56</v>
      </c>
      <c r="DJ97" s="4">
        <f t="shared" si="173"/>
        <v>1</v>
      </c>
      <c r="DL97" s="4">
        <f t="shared" si="174"/>
        <v>2.1752861860978003E-5</v>
      </c>
      <c r="DM97" s="4">
        <f t="shared" si="175"/>
        <v>7.9564886350698822</v>
      </c>
      <c r="DN97" s="4">
        <f t="shared" si="176"/>
        <v>0.39879742745618391</v>
      </c>
      <c r="DO97" s="4">
        <f t="shared" si="257"/>
        <v>5.5083608891899196</v>
      </c>
      <c r="DP97" s="4">
        <f t="shared" si="258"/>
        <v>6.84315159791183</v>
      </c>
      <c r="DQ97" s="4">
        <f t="shared" si="259"/>
        <v>7.3758911635914579</v>
      </c>
      <c r="DR97" s="38">
        <f t="shared" si="279"/>
        <v>592.4197500038706</v>
      </c>
      <c r="DS97" s="4">
        <f t="shared" si="260"/>
        <v>1.0001156303791274</v>
      </c>
      <c r="DT97" s="4">
        <f t="shared" si="150"/>
        <v>2.2360679774997898</v>
      </c>
      <c r="DU97" s="4">
        <f t="shared" si="280"/>
        <v>286.23753713209271</v>
      </c>
      <c r="DY97" s="4">
        <f t="shared" si="239"/>
        <v>0.85</v>
      </c>
      <c r="DZ97" s="4">
        <f t="shared" si="261"/>
        <v>0.85</v>
      </c>
      <c r="EA97" s="4">
        <f t="shared" si="262"/>
        <v>1</v>
      </c>
      <c r="EB97" s="4">
        <f t="shared" si="263"/>
        <v>0.85</v>
      </c>
      <c r="ED97" s="4">
        <f t="shared" si="281"/>
        <v>559.37757767328731</v>
      </c>
      <c r="EE97" s="25">
        <f t="shared" si="306"/>
        <v>287.26566635389725</v>
      </c>
      <c r="EG97" s="4">
        <f t="shared" si="307"/>
        <v>0.72249999999999992</v>
      </c>
      <c r="EH97" s="4">
        <f t="shared" si="264"/>
        <v>7.9564886350698822</v>
      </c>
      <c r="EI97" s="4">
        <f t="shared" si="178"/>
        <v>5.8922771148089401</v>
      </c>
      <c r="EK97" s="4">
        <f t="shared" si="179"/>
        <v>56.796126628494655</v>
      </c>
      <c r="EL97" s="4">
        <f t="shared" si="180"/>
        <v>2.2360679774997898</v>
      </c>
      <c r="EM97" s="4">
        <f>MIN(DU97)/(4700*J97^0.5)/W97*EK97</f>
        <v>0.13732118255662151</v>
      </c>
      <c r="EP97" s="4">
        <f>EM97</f>
        <v>0.13732118255662151</v>
      </c>
      <c r="EQ97" s="4">
        <f>MIN(0.999, EP97/(0.3*(J97/30)^0.5))</f>
        <v>0.39813190887549621</v>
      </c>
      <c r="ER97" s="4">
        <f t="shared" si="184"/>
        <v>5.5046820756138262</v>
      </c>
      <c r="ES97" s="4">
        <f t="shared" si="240"/>
        <v>6.8416736129745388</v>
      </c>
      <c r="ET97" s="4">
        <f t="shared" si="186"/>
        <v>160.37387337150537</v>
      </c>
      <c r="EU97" s="4">
        <f t="shared" si="187"/>
        <v>72.389999999999986</v>
      </c>
      <c r="EV97" s="4">
        <f t="shared" si="265"/>
        <v>2.1752861860977999E-5</v>
      </c>
      <c r="EW97" s="4">
        <f t="shared" si="241"/>
        <v>7.3760436280034343</v>
      </c>
      <c r="EX97" s="4">
        <f t="shared" si="189"/>
        <v>592.35125620353915</v>
      </c>
      <c r="EY97" s="4">
        <f t="shared" si="190"/>
        <v>160.37387337150537</v>
      </c>
      <c r="EZ97" s="4">
        <f t="shared" si="191"/>
        <v>72.389999999999986</v>
      </c>
      <c r="FB97" s="4">
        <f t="shared" si="266"/>
        <v>0</v>
      </c>
      <c r="FG97" s="23">
        <f t="shared" si="220"/>
        <v>2</v>
      </c>
      <c r="FH97" s="23">
        <f t="shared" si="220"/>
        <v>1.6</v>
      </c>
      <c r="FI97" s="23">
        <f t="shared" si="234"/>
        <v>1.6</v>
      </c>
      <c r="FJ97" s="23">
        <f t="shared" si="221"/>
        <v>2.2000000000000002</v>
      </c>
      <c r="FK97" s="23">
        <f t="shared" si="221"/>
        <v>1.4</v>
      </c>
      <c r="FL97" s="23">
        <f t="shared" si="221"/>
        <v>1.4</v>
      </c>
      <c r="FM97" s="23">
        <f t="shared" si="222"/>
        <v>0</v>
      </c>
      <c r="FN97" s="23"/>
      <c r="FX97" s="4">
        <f t="shared" si="267"/>
        <v>1</v>
      </c>
      <c r="FY97" s="4">
        <f t="shared" si="308"/>
        <v>0.60000000000000009</v>
      </c>
      <c r="FZ97" s="4">
        <f t="shared" si="269"/>
        <v>0</v>
      </c>
      <c r="GA97" s="4">
        <f t="shared" si="270"/>
        <v>475.43518418021108</v>
      </c>
    </row>
    <row r="98" spans="1:183" ht="12" customHeight="1" x14ac:dyDescent="0.3">
      <c r="A98" s="25">
        <v>80</v>
      </c>
      <c r="B98" s="24" t="s">
        <v>605</v>
      </c>
      <c r="C98" s="24">
        <v>2016</v>
      </c>
      <c r="D98" s="24" t="s">
        <v>55</v>
      </c>
      <c r="E98" s="24"/>
      <c r="F98" s="7" t="s">
        <v>616</v>
      </c>
      <c r="G98" s="38">
        <f t="shared" si="294"/>
        <v>889.65517241379314</v>
      </c>
      <c r="H98" s="38">
        <f>14*25.4</f>
        <v>355.59999999999997</v>
      </c>
      <c r="I98" s="4">
        <f t="shared" si="295"/>
        <v>355.59999999999997</v>
      </c>
      <c r="J98" s="38">
        <f>5750/145</f>
        <v>39.655172413793103</v>
      </c>
      <c r="K98" s="38">
        <f t="shared" si="296"/>
        <v>25.4</v>
      </c>
      <c r="L98" s="7">
        <f t="shared" si="297"/>
        <v>14</v>
      </c>
      <c r="M98" s="7">
        <f t="shared" si="298"/>
        <v>14</v>
      </c>
      <c r="N98" s="38">
        <f>18.1*25.4</f>
        <v>459.74</v>
      </c>
      <c r="O98" s="38">
        <f t="shared" si="299"/>
        <v>63.5</v>
      </c>
      <c r="P98" s="7">
        <f t="shared" si="136"/>
        <v>50.8</v>
      </c>
      <c r="Q98" s="7">
        <f t="shared" si="300"/>
        <v>128.27000000000001</v>
      </c>
      <c r="R98" s="38">
        <v>3</v>
      </c>
      <c r="S98" s="39">
        <f t="shared" si="301"/>
        <v>50.8</v>
      </c>
      <c r="T98" s="7">
        <f t="shared" si="309"/>
        <v>2.5</v>
      </c>
      <c r="U98" s="7">
        <f t="shared" si="310"/>
        <v>3</v>
      </c>
      <c r="V98" s="38">
        <v>4</v>
      </c>
      <c r="W98" s="4">
        <f t="shared" si="302"/>
        <v>4</v>
      </c>
      <c r="X98" s="4">
        <f t="shared" si="303"/>
        <v>5</v>
      </c>
      <c r="Y98" s="7">
        <f t="shared" si="304"/>
        <v>56.796126628494655</v>
      </c>
      <c r="Z98" s="7"/>
      <c r="AA98" s="7"/>
      <c r="AB98" s="38">
        <f>121/(PI()/4)/0.145</f>
        <v>1062.4964476755497</v>
      </c>
      <c r="AC98" s="7"/>
      <c r="AD98" s="7">
        <f>102/121</f>
        <v>0.84297520661157022</v>
      </c>
      <c r="AE98" s="7">
        <v>0</v>
      </c>
      <c r="AF98" s="7">
        <v>0</v>
      </c>
      <c r="AG98" s="7">
        <f t="shared" si="289"/>
        <v>355.59999999999997</v>
      </c>
      <c r="AH98" s="7"/>
      <c r="AI98" s="7"/>
      <c r="AJ98" s="7"/>
      <c r="AK98" s="4">
        <f t="shared" si="283"/>
        <v>355.59999999999997</v>
      </c>
      <c r="AL98" s="44">
        <f t="shared" si="305"/>
        <v>0.20521541950113381</v>
      </c>
      <c r="AM98" s="25">
        <f t="shared" si="272"/>
        <v>277.78831941457963</v>
      </c>
      <c r="AN98" s="4">
        <f t="shared" si="273"/>
        <v>0.73571428571428565</v>
      </c>
      <c r="AO98" s="4">
        <v>1.25</v>
      </c>
      <c r="AP98" s="25">
        <f t="shared" si="274"/>
        <v>5</v>
      </c>
      <c r="AQ98" s="38">
        <f t="shared" si="275"/>
        <v>262.1278566795234</v>
      </c>
      <c r="AR98" s="38">
        <f t="shared" si="276"/>
        <v>262.1278566795234</v>
      </c>
      <c r="AT98" s="38">
        <f t="shared" si="291"/>
        <v>262.12785667952323</v>
      </c>
      <c r="AU98" s="38">
        <f t="shared" si="247"/>
        <v>1.0000000000000007</v>
      </c>
      <c r="AV98" s="38">
        <f t="shared" si="139"/>
        <v>1.6338433751151233</v>
      </c>
      <c r="AW98" s="4">
        <f t="shared" si="158"/>
        <v>0</v>
      </c>
      <c r="AX98" s="4">
        <f t="shared" si="224"/>
        <v>464.00681152177032</v>
      </c>
      <c r="AY98" s="4">
        <f t="shared" si="225"/>
        <v>1.08</v>
      </c>
      <c r="AZ98" s="38">
        <f t="shared" si="277"/>
        <v>428.27586206896558</v>
      </c>
      <c r="BA98" s="4">
        <f t="shared" si="226"/>
        <v>0.44000000000000006</v>
      </c>
      <c r="BB98" s="4">
        <f t="shared" si="248"/>
        <v>106.675165968855</v>
      </c>
      <c r="BC98" s="4">
        <f t="shared" si="249"/>
        <v>534.95102803782061</v>
      </c>
      <c r="BE98" s="36">
        <f t="shared" si="292"/>
        <v>1.1000000000000001</v>
      </c>
      <c r="BF98" s="36">
        <f t="shared" si="293"/>
        <v>307.55697201410146</v>
      </c>
      <c r="BK98" s="4">
        <f t="shared" si="160"/>
        <v>63.5</v>
      </c>
      <c r="BL98" s="4">
        <f t="shared" si="161"/>
        <v>50.8</v>
      </c>
      <c r="BM98" s="4">
        <f t="shared" si="162"/>
        <v>63.5</v>
      </c>
      <c r="BN98" s="4">
        <f t="shared" si="163"/>
        <v>63.5</v>
      </c>
      <c r="BO98" s="4">
        <f t="shared" si="164"/>
        <v>1.0250000000000001</v>
      </c>
      <c r="BP98" s="25">
        <f t="shared" si="278"/>
        <v>2.5625000000000004</v>
      </c>
      <c r="BR98" s="4">
        <f t="shared" si="165"/>
        <v>63.5</v>
      </c>
      <c r="BV98" s="9"/>
      <c r="BX98" s="9"/>
      <c r="BY98" s="9"/>
      <c r="BZ98" s="9">
        <f t="shared" si="235"/>
        <v>50.8</v>
      </c>
      <c r="CA98" s="9">
        <f t="shared" si="236"/>
        <v>64.135000000000005</v>
      </c>
      <c r="CB98" s="9">
        <f t="shared" si="252"/>
        <v>1.4645348340145701</v>
      </c>
      <c r="CC98" s="9">
        <v>0</v>
      </c>
      <c r="CD98" s="9">
        <f t="shared" si="132"/>
        <v>0</v>
      </c>
      <c r="CE98" s="9">
        <f t="shared" si="253"/>
        <v>0</v>
      </c>
      <c r="CF98" s="9">
        <f t="shared" si="237"/>
        <v>0.99524931562137331</v>
      </c>
      <c r="CG98" s="9">
        <f t="shared" si="238"/>
        <v>0.68</v>
      </c>
      <c r="CH98" s="9">
        <f>1.75*CF98*CG98*(J98/25)^0.5</f>
        <v>1.4916219510025528</v>
      </c>
      <c r="CI98" s="9">
        <f>MIN((CB98+CE98)*CH98,2.5*CH98,J98^0.5)</f>
        <v>2.1845323064240127</v>
      </c>
      <c r="CJ98" s="9">
        <v>1</v>
      </c>
      <c r="CK98" s="9">
        <f>4*CI98*M98+60*CI98</f>
        <v>253.40574754518548</v>
      </c>
      <c r="CM98" s="4">
        <f t="shared" si="210"/>
        <v>2.2898294190789037</v>
      </c>
      <c r="CN98" s="4">
        <f t="shared" si="211"/>
        <v>1.9861564741220239</v>
      </c>
      <c r="CO98" s="4">
        <f t="shared" si="212"/>
        <v>3.4546329439959318</v>
      </c>
      <c r="CP98" s="4">
        <f t="shared" si="213"/>
        <v>4.1928664127323829</v>
      </c>
      <c r="CQ98" s="4">
        <f t="shared" si="214"/>
        <v>1.6794082019601415</v>
      </c>
      <c r="CR98" s="4">
        <f t="shared" si="215"/>
        <v>1.793169919181012</v>
      </c>
      <c r="CS98" s="4">
        <f t="shared" si="146"/>
        <v>1.812172949810944</v>
      </c>
      <c r="CU98" s="4">
        <f t="shared" si="216"/>
        <v>2.2898294190789037</v>
      </c>
      <c r="CV98" s="4">
        <f t="shared" si="216"/>
        <v>1.9861564741220239</v>
      </c>
      <c r="CW98" s="4">
        <f t="shared" si="217"/>
        <v>4.1928664127323829</v>
      </c>
      <c r="CX98" s="4">
        <f t="shared" si="290"/>
        <v>1.812172949810944</v>
      </c>
      <c r="CY98" s="4">
        <f t="shared" si="219"/>
        <v>1.6794082019601415</v>
      </c>
      <c r="CZ98" s="4">
        <f t="shared" si="219"/>
        <v>1.793169919181012</v>
      </c>
      <c r="DH98" s="4">
        <f t="shared" si="171"/>
        <v>0</v>
      </c>
      <c r="DI98" s="4">
        <f t="shared" si="172"/>
        <v>355.59999999999997</v>
      </c>
      <c r="DJ98" s="4">
        <f t="shared" si="173"/>
        <v>1</v>
      </c>
      <c r="DL98" s="4">
        <f t="shared" si="174"/>
        <v>2.6714040881902812E-5</v>
      </c>
      <c r="DM98" s="4">
        <f t="shared" si="175"/>
        <v>7.9564886350698822</v>
      </c>
      <c r="DN98" s="4">
        <f t="shared" si="176"/>
        <v>0.36520686963623494</v>
      </c>
      <c r="DO98" s="4">
        <f t="shared" si="257"/>
        <v>5.3178614973305693</v>
      </c>
      <c r="DP98" s="4">
        <f t="shared" si="258"/>
        <v>6.767524272068445</v>
      </c>
      <c r="DQ98" s="4">
        <f t="shared" si="259"/>
        <v>7.0902518106979704</v>
      </c>
      <c r="DR98" s="38">
        <f t="shared" si="279"/>
        <v>632.66122342110998</v>
      </c>
      <c r="DS98" s="4">
        <f t="shared" si="260"/>
        <v>1.0001184041722562</v>
      </c>
      <c r="DT98" s="4">
        <f t="shared" si="150"/>
        <v>2.2360679774997898</v>
      </c>
      <c r="DU98" s="4">
        <f t="shared" si="280"/>
        <v>262.12785667952323</v>
      </c>
      <c r="DY98" s="4">
        <f t="shared" si="239"/>
        <v>0.85</v>
      </c>
      <c r="DZ98" s="4">
        <f t="shared" si="261"/>
        <v>0.85</v>
      </c>
      <c r="EA98" s="4">
        <f t="shared" si="262"/>
        <v>1</v>
      </c>
      <c r="EB98" s="4">
        <f t="shared" si="263"/>
        <v>0.85</v>
      </c>
      <c r="ED98" s="4">
        <f t="shared" si="281"/>
        <v>592.52413076437279</v>
      </c>
      <c r="EE98" s="25">
        <f t="shared" si="306"/>
        <v>258.35160809143781</v>
      </c>
      <c r="EG98" s="4">
        <f t="shared" si="307"/>
        <v>0.72249999999999992</v>
      </c>
      <c r="EH98" s="4">
        <f t="shared" si="264"/>
        <v>7.9564886350698822</v>
      </c>
      <c r="EI98" s="4">
        <f t="shared" si="178"/>
        <v>5.8922771148089401</v>
      </c>
      <c r="EK98" s="4">
        <f t="shared" si="179"/>
        <v>56.796126628494655</v>
      </c>
      <c r="EL98" s="4">
        <f t="shared" si="180"/>
        <v>2.2360679774997898</v>
      </c>
      <c r="EM98" s="4">
        <f t="shared" si="181"/>
        <v>0.12575467082660599</v>
      </c>
      <c r="EP98" s="4">
        <f t="shared" si="182"/>
        <v>0.12575467082660599</v>
      </c>
      <c r="EQ98" s="4">
        <f t="shared" si="183"/>
        <v>0.36459740743611979</v>
      </c>
      <c r="ER98" s="4">
        <f t="shared" si="184"/>
        <v>5.3143099106670029</v>
      </c>
      <c r="ES98" s="4">
        <f t="shared" si="240"/>
        <v>6.7661320889508163</v>
      </c>
      <c r="ET98" s="4">
        <f t="shared" si="186"/>
        <v>209.90387337150534</v>
      </c>
      <c r="EU98" s="4">
        <f t="shared" si="187"/>
        <v>88.899999999999949</v>
      </c>
      <c r="EV98" s="4">
        <f t="shared" si="265"/>
        <v>2.6714040881902795E-5</v>
      </c>
      <c r="EW98" s="4">
        <f t="shared" si="241"/>
        <v>7.090457890949061</v>
      </c>
      <c r="EX98" s="4">
        <f t="shared" si="189"/>
        <v>632.58632256120654</v>
      </c>
      <c r="EY98" s="4">
        <f t="shared" si="190"/>
        <v>209.90387337150534</v>
      </c>
      <c r="EZ98" s="4">
        <f t="shared" si="191"/>
        <v>88.899999999999977</v>
      </c>
      <c r="FB98" s="4">
        <f t="shared" si="266"/>
        <v>0</v>
      </c>
      <c r="FG98" s="23">
        <f t="shared" si="220"/>
        <v>2.2000000000000002</v>
      </c>
      <c r="FH98" s="23">
        <f t="shared" si="220"/>
        <v>2</v>
      </c>
      <c r="FI98" s="23">
        <f t="shared" si="234"/>
        <v>2</v>
      </c>
      <c r="FJ98" s="23">
        <f t="shared" si="221"/>
        <v>2.2000000000000002</v>
      </c>
      <c r="FK98" s="23">
        <f t="shared" si="221"/>
        <v>1.8</v>
      </c>
      <c r="FL98" s="23">
        <f t="shared" si="221"/>
        <v>1.8</v>
      </c>
      <c r="FM98" s="23">
        <f t="shared" si="222"/>
        <v>0</v>
      </c>
      <c r="FN98" s="23"/>
      <c r="FX98" s="4">
        <f t="shared" si="267"/>
        <v>1</v>
      </c>
      <c r="FY98" s="4">
        <f t="shared" si="308"/>
        <v>0.59750000000000003</v>
      </c>
      <c r="FZ98" s="4">
        <f t="shared" si="269"/>
        <v>0</v>
      </c>
      <c r="GA98" s="4">
        <f t="shared" si="270"/>
        <v>586.31073142681839</v>
      </c>
    </row>
    <row r="99" spans="1:183" ht="12" customHeight="1" x14ac:dyDescent="0.3">
      <c r="A99" s="25">
        <v>81</v>
      </c>
      <c r="B99" s="24" t="s">
        <v>605</v>
      </c>
      <c r="C99" s="24">
        <v>2016</v>
      </c>
      <c r="D99" s="24" t="s">
        <v>55</v>
      </c>
      <c r="E99" s="24"/>
      <c r="F99" s="7" t="s">
        <v>617</v>
      </c>
      <c r="G99" s="38">
        <f t="shared" si="294"/>
        <v>889.65517241379314</v>
      </c>
      <c r="H99" s="38">
        <f>9*25.4</f>
        <v>228.6</v>
      </c>
      <c r="I99" s="4">
        <f t="shared" si="295"/>
        <v>228.6</v>
      </c>
      <c r="J99" s="38">
        <f>4630/145</f>
        <v>31.931034482758619</v>
      </c>
      <c r="K99" s="38">
        <f t="shared" si="296"/>
        <v>25.4</v>
      </c>
      <c r="L99" s="7">
        <f t="shared" si="297"/>
        <v>9</v>
      </c>
      <c r="M99" s="7">
        <f t="shared" si="298"/>
        <v>9</v>
      </c>
      <c r="N99" s="38">
        <f>18.3*25.4</f>
        <v>464.82</v>
      </c>
      <c r="O99" s="38">
        <f t="shared" si="299"/>
        <v>63.5</v>
      </c>
      <c r="P99" s="7">
        <f t="shared" si="136"/>
        <v>50.8</v>
      </c>
      <c r="Q99" s="7">
        <f t="shared" si="300"/>
        <v>287.02</v>
      </c>
      <c r="R99" s="38">
        <v>2</v>
      </c>
      <c r="S99" s="39">
        <f t="shared" si="301"/>
        <v>50.8</v>
      </c>
      <c r="T99" s="7">
        <f t="shared" si="309"/>
        <v>2.5</v>
      </c>
      <c r="U99" s="7">
        <f>O99/K99+0.5</f>
        <v>3</v>
      </c>
      <c r="V99" s="38">
        <v>4</v>
      </c>
      <c r="W99" s="4">
        <f t="shared" si="302"/>
        <v>4</v>
      </c>
      <c r="X99" s="4">
        <f t="shared" si="303"/>
        <v>5</v>
      </c>
      <c r="Y99" s="7">
        <f t="shared" si="304"/>
        <v>56.796126628494655</v>
      </c>
      <c r="Z99" s="7"/>
      <c r="AA99" s="7"/>
      <c r="AB99" s="38">
        <f>79.9/(PI()/4)/0.145*AD103</f>
        <v>593.12181124680444</v>
      </c>
      <c r="AC99" s="7" t="s">
        <v>654</v>
      </c>
      <c r="AD99" s="7"/>
      <c r="AE99" s="7">
        <v>0</v>
      </c>
      <c r="AF99" s="7">
        <v>0</v>
      </c>
      <c r="AG99" s="7">
        <f t="shared" si="289"/>
        <v>228.6</v>
      </c>
      <c r="AH99" s="7"/>
      <c r="AI99" s="7"/>
      <c r="AJ99" s="7"/>
      <c r="AK99" s="4">
        <f t="shared" si="283"/>
        <v>228.6</v>
      </c>
      <c r="AL99" s="44">
        <f t="shared" si="305"/>
        <v>0.40164609053497946</v>
      </c>
      <c r="AM99" s="25">
        <f t="shared" si="272"/>
        <v>192.722989249124</v>
      </c>
      <c r="AN99" s="4">
        <f t="shared" si="273"/>
        <v>0.75555555555555554</v>
      </c>
      <c r="AO99" s="4">
        <v>1.25</v>
      </c>
      <c r="AP99" s="25">
        <f t="shared" si="274"/>
        <v>5</v>
      </c>
      <c r="AQ99" s="38">
        <f t="shared" si="275"/>
        <v>365.53038838837051</v>
      </c>
      <c r="AR99" s="38">
        <f t="shared" si="276"/>
        <v>365.53038838837051</v>
      </c>
      <c r="AT99" s="38">
        <f t="shared" si="291"/>
        <v>365.53038838837034</v>
      </c>
      <c r="AU99" s="38">
        <f t="shared" si="247"/>
        <v>1.0000000000000004</v>
      </c>
      <c r="AV99" s="38">
        <f t="shared" si="139"/>
        <v>0.94343776432450766</v>
      </c>
      <c r="AW99" s="4">
        <f t="shared" si="158"/>
        <v>1</v>
      </c>
      <c r="AX99" s="4">
        <f t="shared" si="224"/>
        <v>267.66735221783927</v>
      </c>
      <c r="AY99" s="4">
        <f t="shared" si="225"/>
        <v>1.08</v>
      </c>
      <c r="AZ99" s="38">
        <f t="shared" si="277"/>
        <v>344.85517241379307</v>
      </c>
      <c r="BA99" s="4">
        <f t="shared" si="226"/>
        <v>0.44000000000000006</v>
      </c>
      <c r="BB99" s="4">
        <f t="shared" si="248"/>
        <v>61.536724274881244</v>
      </c>
      <c r="BC99" s="4">
        <f t="shared" si="249"/>
        <v>406.39189668867431</v>
      </c>
      <c r="BE99" s="36">
        <f t="shared" si="292"/>
        <v>1.1000000000000001</v>
      </c>
      <c r="BF99" s="36">
        <f t="shared" si="293"/>
        <v>226.25623874804819</v>
      </c>
      <c r="BK99" s="4">
        <f t="shared" si="160"/>
        <v>63.5</v>
      </c>
      <c r="BL99" s="4">
        <f t="shared" si="161"/>
        <v>50.8</v>
      </c>
      <c r="BM99" s="4">
        <f t="shared" si="162"/>
        <v>63.5</v>
      </c>
      <c r="BN99" s="4">
        <f t="shared" si="163"/>
        <v>63.5</v>
      </c>
      <c r="BO99" s="4">
        <f t="shared" si="164"/>
        <v>1.0250000000000001</v>
      </c>
      <c r="BP99" s="25">
        <f t="shared" si="278"/>
        <v>2.5625000000000004</v>
      </c>
      <c r="BR99" s="4">
        <f t="shared" si="165"/>
        <v>63.5</v>
      </c>
      <c r="BV99" s="9"/>
      <c r="BX99" s="9"/>
      <c r="BY99" s="9"/>
      <c r="BZ99" s="9">
        <f t="shared" si="235"/>
        <v>50.8</v>
      </c>
      <c r="CA99" s="9">
        <f t="shared" si="236"/>
        <v>143.51</v>
      </c>
      <c r="CB99" s="9">
        <f t="shared" si="252"/>
        <v>1.6526000655830793</v>
      </c>
      <c r="CC99" s="9">
        <v>0</v>
      </c>
      <c r="CD99" s="9">
        <f t="shared" si="132"/>
        <v>0</v>
      </c>
      <c r="CE99" s="9">
        <f t="shared" si="253"/>
        <v>0</v>
      </c>
      <c r="CF99" s="9">
        <f t="shared" si="237"/>
        <v>0.99524931562137331</v>
      </c>
      <c r="CG99" s="9">
        <f t="shared" si="238"/>
        <v>0.68</v>
      </c>
      <c r="CH99" s="9">
        <f t="shared" si="254"/>
        <v>1.3384906416342788</v>
      </c>
      <c r="CI99" s="9">
        <f t="shared" si="255"/>
        <v>2.211989722147147</v>
      </c>
      <c r="CJ99" s="9">
        <v>1</v>
      </c>
      <c r="CK99" s="9">
        <f t="shared" si="256"/>
        <v>212.35101332612612</v>
      </c>
      <c r="CM99" s="4">
        <f t="shared" si="210"/>
        <v>2.2158915023902366</v>
      </c>
      <c r="CN99" s="4">
        <f t="shared" si="211"/>
        <v>1.4594823766901504</v>
      </c>
      <c r="CO99" s="4">
        <f t="shared" si="212"/>
        <v>2.6214605817225052</v>
      </c>
      <c r="CP99" s="4">
        <f t="shared" si="213"/>
        <v>2.7931197593858199</v>
      </c>
      <c r="CQ99" s="4">
        <f t="shared" si="214"/>
        <v>0.99039775367630722</v>
      </c>
      <c r="CR99" s="4">
        <f t="shared" si="215"/>
        <v>0.92555359594594022</v>
      </c>
      <c r="CS99" s="4">
        <f t="shared" si="146"/>
        <v>1.3901299045477662</v>
      </c>
      <c r="CU99" s="4">
        <f t="shared" si="216"/>
        <v>2.2158915023902366</v>
      </c>
      <c r="CV99" s="4">
        <f t="shared" si="216"/>
        <v>1.4594823766901504</v>
      </c>
      <c r="CW99" s="4">
        <f t="shared" si="217"/>
        <v>2.7931197593858199</v>
      </c>
      <c r="CX99" s="4">
        <f t="shared" si="290"/>
        <v>1.3901299045477662</v>
      </c>
      <c r="CY99" s="4">
        <f t="shared" si="219"/>
        <v>0.99039775367630722</v>
      </c>
      <c r="CZ99" s="4">
        <f t="shared" si="219"/>
        <v>0.92555359594594022</v>
      </c>
      <c r="DH99" s="4">
        <f t="shared" si="171"/>
        <v>0</v>
      </c>
      <c r="DI99" s="4">
        <f t="shared" si="172"/>
        <v>228.6</v>
      </c>
      <c r="DJ99" s="4">
        <f t="shared" si="173"/>
        <v>1</v>
      </c>
      <c r="DL99" s="4">
        <f t="shared" si="174"/>
        <v>1.6292650405255247E-5</v>
      </c>
      <c r="DM99" s="4">
        <f>EH99</f>
        <v>7.1396680446762248</v>
      </c>
      <c r="DN99" s="4">
        <f t="shared" si="176"/>
        <v>0.63246442644674039</v>
      </c>
      <c r="DO99" s="4">
        <f t="shared" si="257"/>
        <v>5.944186968008955</v>
      </c>
      <c r="DP99" s="4">
        <f t="shared" si="258"/>
        <v>6.5692013168049943</v>
      </c>
      <c r="DQ99" s="4">
        <f t="shared" si="259"/>
        <v>6.8404228028420162</v>
      </c>
      <c r="DR99" s="38">
        <f t="shared" si="279"/>
        <v>598.87233088440053</v>
      </c>
      <c r="DS99" s="4">
        <f t="shared" si="260"/>
        <v>1.0001119365080668</v>
      </c>
      <c r="DT99" s="4">
        <f t="shared" si="150"/>
        <v>2.2360679774997898</v>
      </c>
      <c r="DU99" s="4">
        <f t="shared" si="280"/>
        <v>365.53038838837034</v>
      </c>
      <c r="DY99" s="4">
        <f t="shared" si="239"/>
        <v>0.85</v>
      </c>
      <c r="DZ99" s="4">
        <f t="shared" si="261"/>
        <v>0.85</v>
      </c>
      <c r="EA99" s="4">
        <f t="shared" si="262"/>
        <v>1</v>
      </c>
      <c r="EB99" s="4">
        <f t="shared" si="263"/>
        <v>0.85</v>
      </c>
      <c r="ED99" s="4">
        <f t="shared" si="281"/>
        <v>640.8292440813417</v>
      </c>
      <c r="EE99" s="25">
        <f t="shared" si="306"/>
        <v>448.05820687508361</v>
      </c>
      <c r="EG99" s="4">
        <f t="shared" si="307"/>
        <v>0.72249999999999992</v>
      </c>
      <c r="EH99" s="4">
        <f t="shared" si="264"/>
        <v>7.1396680446762248</v>
      </c>
      <c r="EI99" s="4">
        <f t="shared" si="178"/>
        <v>5.2873704163355377</v>
      </c>
      <c r="EK99" s="4">
        <f t="shared" si="179"/>
        <v>56.796126628494655</v>
      </c>
      <c r="EL99" s="4">
        <f t="shared" si="180"/>
        <v>2.2360679774997898</v>
      </c>
      <c r="EM99" s="4">
        <f t="shared" si="181"/>
        <v>0.19542398411872033</v>
      </c>
      <c r="EP99" s="4">
        <f t="shared" si="182"/>
        <v>0.19542398411872033</v>
      </c>
      <c r="EQ99" s="4">
        <f t="shared" si="183"/>
        <v>0.6314089611943462</v>
      </c>
      <c r="ER99" s="4">
        <f t="shared" si="184"/>
        <v>5.9402170836537644</v>
      </c>
      <c r="ES99" s="4">
        <f t="shared" si="240"/>
        <v>6.5674058970977542</v>
      </c>
      <c r="ET99" s="4">
        <f t="shared" si="186"/>
        <v>114.65387337150534</v>
      </c>
      <c r="EU99" s="4">
        <f t="shared" si="187"/>
        <v>57.150000000000006</v>
      </c>
      <c r="EV99" s="4">
        <f t="shared" si="265"/>
        <v>1.629265040525525E-5</v>
      </c>
      <c r="EW99" s="4">
        <f t="shared" si="241"/>
        <v>6.8405224873496033</v>
      </c>
      <c r="EX99" s="4">
        <f t="shared" si="189"/>
        <v>598.8053027098033</v>
      </c>
      <c r="EY99" s="4">
        <f t="shared" si="190"/>
        <v>114.65387337150534</v>
      </c>
      <c r="EZ99" s="4">
        <f t="shared" si="191"/>
        <v>57.15</v>
      </c>
      <c r="FB99" s="4">
        <f t="shared" si="266"/>
        <v>0</v>
      </c>
      <c r="FG99" s="23">
        <f t="shared" si="220"/>
        <v>2.2000000000000002</v>
      </c>
      <c r="FH99" s="23">
        <f t="shared" si="220"/>
        <v>1.6</v>
      </c>
      <c r="FI99" s="23">
        <f t="shared" si="234"/>
        <v>1.4</v>
      </c>
      <c r="FJ99" s="23">
        <f t="shared" si="221"/>
        <v>2.2000000000000002</v>
      </c>
      <c r="FK99" s="23">
        <f t="shared" si="221"/>
        <v>1</v>
      </c>
      <c r="FL99" s="23">
        <f t="shared" si="221"/>
        <v>1</v>
      </c>
      <c r="FM99" s="23">
        <f t="shared" si="222"/>
        <v>0</v>
      </c>
      <c r="FN99" s="23"/>
      <c r="FX99" s="4">
        <f t="shared" si="267"/>
        <v>1</v>
      </c>
      <c r="FY99" s="4">
        <f t="shared" si="308"/>
        <v>0.5</v>
      </c>
      <c r="FZ99" s="4">
        <f t="shared" si="269"/>
        <v>0</v>
      </c>
      <c r="GA99" s="4">
        <f t="shared" si="270"/>
        <v>426.66646426814151</v>
      </c>
    </row>
    <row r="100" spans="1:183" ht="12" customHeight="1" x14ac:dyDescent="0.3">
      <c r="A100" s="25">
        <v>82</v>
      </c>
      <c r="B100" s="24" t="s">
        <v>605</v>
      </c>
      <c r="C100" s="24">
        <v>2016</v>
      </c>
      <c r="D100" s="24" t="s">
        <v>55</v>
      </c>
      <c r="E100" s="24"/>
      <c r="F100" s="7" t="s">
        <v>618</v>
      </c>
      <c r="G100" s="38">
        <f t="shared" si="294"/>
        <v>889.65517241379314</v>
      </c>
      <c r="H100" s="38">
        <f>13*25.4</f>
        <v>330.2</v>
      </c>
      <c r="I100" s="4">
        <f t="shared" si="295"/>
        <v>330.2</v>
      </c>
      <c r="J100" s="38">
        <f>4760/145</f>
        <v>32.827586206896555</v>
      </c>
      <c r="K100" s="38">
        <f t="shared" si="296"/>
        <v>25.4</v>
      </c>
      <c r="L100" s="7">
        <f t="shared" si="297"/>
        <v>13</v>
      </c>
      <c r="M100" s="7">
        <f t="shared" si="298"/>
        <v>13</v>
      </c>
      <c r="N100" s="38">
        <f>18.4*25.4</f>
        <v>467.35999999999996</v>
      </c>
      <c r="O100" s="38">
        <f t="shared" si="299"/>
        <v>63.5</v>
      </c>
      <c r="P100" s="7">
        <f t="shared" si="136"/>
        <v>50.8</v>
      </c>
      <c r="Q100" s="7">
        <f t="shared" si="300"/>
        <v>289.55999999999995</v>
      </c>
      <c r="R100" s="38">
        <v>2</v>
      </c>
      <c r="S100" s="39">
        <f t="shared" si="301"/>
        <v>50.8</v>
      </c>
      <c r="T100" s="7">
        <f t="shared" si="309"/>
        <v>2.5</v>
      </c>
      <c r="U100" s="7">
        <f t="shared" si="310"/>
        <v>3</v>
      </c>
      <c r="V100" s="38">
        <v>4</v>
      </c>
      <c r="W100" s="4">
        <f t="shared" si="302"/>
        <v>4</v>
      </c>
      <c r="X100" s="4">
        <f t="shared" si="303"/>
        <v>5</v>
      </c>
      <c r="Y100" s="7">
        <f t="shared" si="304"/>
        <v>56.796126628494655</v>
      </c>
      <c r="Z100" s="7"/>
      <c r="AA100" s="7"/>
      <c r="AB100" s="38">
        <f>91.7/(PI()/4)/0.145*AD103</f>
        <v>680.71677210678308</v>
      </c>
      <c r="AC100" s="7" t="s">
        <v>654</v>
      </c>
      <c r="AD100" s="7"/>
      <c r="AE100" s="7">
        <v>0</v>
      </c>
      <c r="AF100" s="7">
        <v>0</v>
      </c>
      <c r="AG100" s="7">
        <f t="shared" si="289"/>
        <v>330.2</v>
      </c>
      <c r="AH100" s="7"/>
      <c r="AI100" s="7"/>
      <c r="AJ100" s="7"/>
      <c r="AK100" s="4">
        <f t="shared" si="283"/>
        <v>330.2</v>
      </c>
      <c r="AL100" s="44">
        <f t="shared" si="305"/>
        <v>0.24194608809993426</v>
      </c>
      <c r="AM100" s="25">
        <f t="shared" si="272"/>
        <v>339.2327463778492</v>
      </c>
      <c r="AN100" s="4">
        <f t="shared" si="273"/>
        <v>0.73846153846153839</v>
      </c>
      <c r="AO100" s="4">
        <v>1.25</v>
      </c>
      <c r="AP100" s="25">
        <f t="shared" si="274"/>
        <v>5</v>
      </c>
      <c r="AQ100" s="38">
        <f t="shared" si="275"/>
        <v>378.81247357623579</v>
      </c>
      <c r="AR100" s="38">
        <f t="shared" si="276"/>
        <v>378.81247357623579</v>
      </c>
      <c r="AT100" s="38">
        <f t="shared" si="291"/>
        <v>378.81247357623596</v>
      </c>
      <c r="AU100" s="38">
        <f t="shared" si="247"/>
        <v>0.99999999999999956</v>
      </c>
      <c r="AV100" s="38">
        <f t="shared" si="139"/>
        <v>0.93591936846063783</v>
      </c>
      <c r="AW100" s="4">
        <f t="shared" si="158"/>
        <v>1</v>
      </c>
      <c r="AX100" s="4">
        <f t="shared" si="224"/>
        <v>392.02090470029344</v>
      </c>
      <c r="AY100" s="4">
        <f t="shared" si="225"/>
        <v>1.08</v>
      </c>
      <c r="AZ100" s="38">
        <f t="shared" si="277"/>
        <v>354.53793103448282</v>
      </c>
      <c r="BA100" s="4">
        <f t="shared" si="226"/>
        <v>0.44000000000000006</v>
      </c>
      <c r="BB100" s="4">
        <f t="shared" si="248"/>
        <v>90.125605990597464</v>
      </c>
      <c r="BC100" s="4">
        <f t="shared" si="249"/>
        <v>444.6635370250803</v>
      </c>
      <c r="BE100" s="36">
        <f t="shared" si="292"/>
        <v>1.1000000000000001</v>
      </c>
      <c r="BF100" s="36">
        <f t="shared" si="293"/>
        <v>269.74656897885109</v>
      </c>
      <c r="BK100" s="4">
        <f t="shared" si="160"/>
        <v>63.5</v>
      </c>
      <c r="BL100" s="4">
        <f t="shared" si="161"/>
        <v>50.8</v>
      </c>
      <c r="BM100" s="4">
        <f t="shared" si="162"/>
        <v>63.5</v>
      </c>
      <c r="BN100" s="4">
        <f t="shared" si="163"/>
        <v>63.5</v>
      </c>
      <c r="BO100" s="4">
        <f t="shared" si="164"/>
        <v>1.0250000000000001</v>
      </c>
      <c r="BP100" s="25">
        <f t="shared" si="278"/>
        <v>2.5625000000000004</v>
      </c>
      <c r="BR100" s="4">
        <f t="shared" si="165"/>
        <v>63.5</v>
      </c>
      <c r="BV100" s="9"/>
      <c r="BX100" s="9"/>
      <c r="BY100" s="9"/>
      <c r="BZ100" s="9">
        <f t="shared" si="235"/>
        <v>50.8</v>
      </c>
      <c r="CA100" s="9">
        <f t="shared" si="236"/>
        <v>144.77999999999997</v>
      </c>
      <c r="CB100" s="9">
        <f t="shared" si="252"/>
        <v>1.6547855765231267</v>
      </c>
      <c r="CC100" s="9">
        <v>0</v>
      </c>
      <c r="CD100" s="9">
        <f t="shared" si="132"/>
        <v>0</v>
      </c>
      <c r="CE100" s="9">
        <f t="shared" si="253"/>
        <v>0</v>
      </c>
      <c r="CF100" s="9">
        <f t="shared" si="237"/>
        <v>0.99524931562137331</v>
      </c>
      <c r="CG100" s="9">
        <f t="shared" si="238"/>
        <v>0.68</v>
      </c>
      <c r="CH100" s="9">
        <f t="shared" si="254"/>
        <v>1.3571514652473406</v>
      </c>
      <c r="CI100" s="9">
        <f t="shared" si="255"/>
        <v>2.2457946698485269</v>
      </c>
      <c r="CJ100" s="9">
        <v>1</v>
      </c>
      <c r="CK100" s="9">
        <f t="shared" si="256"/>
        <v>251.52900302303502</v>
      </c>
      <c r="CM100" s="4">
        <f t="shared" si="210"/>
        <v>1.7364297769457027</v>
      </c>
      <c r="CN100" s="4">
        <f t="shared" si="211"/>
        <v>1.5308580880298011</v>
      </c>
      <c r="CO100" s="4">
        <f t="shared" si="212"/>
        <v>2.5235419107783099</v>
      </c>
      <c r="CP100" s="4">
        <f t="shared" si="213"/>
        <v>2.7063152317446391</v>
      </c>
      <c r="CQ100" s="4">
        <f t="shared" si="214"/>
        <v>0.94669817807579748</v>
      </c>
      <c r="CR100" s="4">
        <f t="shared" si="215"/>
        <v>1.0386003539475714</v>
      </c>
      <c r="CS100" s="4">
        <f t="shared" si="146"/>
        <v>1.0969090233322247</v>
      </c>
      <c r="CU100" s="4">
        <f t="shared" si="216"/>
        <v>1.7364297769457027</v>
      </c>
      <c r="CV100" s="4">
        <f t="shared" si="216"/>
        <v>1.5308580880298011</v>
      </c>
      <c r="CW100" s="4">
        <f t="shared" si="217"/>
        <v>2.7063152317446391</v>
      </c>
      <c r="CX100" s="4">
        <f t="shared" si="290"/>
        <v>1.0969090233322247</v>
      </c>
      <c r="CY100" s="4">
        <f t="shared" si="219"/>
        <v>0.94669817807579748</v>
      </c>
      <c r="CZ100" s="4">
        <f t="shared" si="219"/>
        <v>1.0386003539475714</v>
      </c>
      <c r="DH100" s="4">
        <f t="shared" si="171"/>
        <v>0</v>
      </c>
      <c r="DI100" s="4">
        <f t="shared" si="172"/>
        <v>330.2</v>
      </c>
      <c r="DJ100" s="4">
        <f t="shared" si="173"/>
        <v>1</v>
      </c>
      <c r="DL100" s="4">
        <f t="shared" si="174"/>
        <v>2.3681819900234351E-5</v>
      </c>
      <c r="DM100" s="4">
        <f t="shared" si="175"/>
        <v>7.2392070940302364</v>
      </c>
      <c r="DN100" s="4">
        <f t="shared" si="176"/>
        <v>0.63754511831837357</v>
      </c>
      <c r="DO100" s="4">
        <f t="shared" si="257"/>
        <v>6.0463790621963174</v>
      </c>
      <c r="DP100" s="4">
        <f t="shared" si="258"/>
        <v>6.6695348273863901</v>
      </c>
      <c r="DQ100" s="4">
        <f t="shared" si="259"/>
        <v>6.5917246907396922</v>
      </c>
      <c r="DR100" s="38">
        <f t="shared" si="279"/>
        <v>719.04307821777752</v>
      </c>
      <c r="DS100" s="4">
        <f t="shared" si="260"/>
        <v>1.0001231926487528</v>
      </c>
      <c r="DT100" s="4">
        <f t="shared" si="150"/>
        <v>2.2360679774997898</v>
      </c>
      <c r="DU100" s="4">
        <f t="shared" si="280"/>
        <v>378.81247357623596</v>
      </c>
      <c r="DY100" s="4">
        <f t="shared" si="239"/>
        <v>0.85</v>
      </c>
      <c r="DZ100" s="4">
        <f t="shared" si="261"/>
        <v>0.85</v>
      </c>
      <c r="EA100" s="4">
        <f t="shared" si="262"/>
        <v>1</v>
      </c>
      <c r="EB100" s="4">
        <f t="shared" si="263"/>
        <v>0.85</v>
      </c>
      <c r="ED100" s="4">
        <f t="shared" si="281"/>
        <v>655.41742742477982</v>
      </c>
      <c r="EE100" s="25">
        <f t="shared" si="306"/>
        <v>373.08835075760055</v>
      </c>
      <c r="EG100" s="4">
        <f t="shared" si="307"/>
        <v>0.72249999999999992</v>
      </c>
      <c r="EH100" s="4">
        <f t="shared" si="264"/>
        <v>7.2392070940302364</v>
      </c>
      <c r="EI100" s="4">
        <f t="shared" si="178"/>
        <v>5.3610853035727679</v>
      </c>
      <c r="EK100" s="4">
        <f t="shared" si="179"/>
        <v>56.796126628494655</v>
      </c>
      <c r="EL100" s="4">
        <f t="shared" si="180"/>
        <v>2.2360679774997898</v>
      </c>
      <c r="EM100" s="4">
        <f t="shared" si="181"/>
        <v>0.19974028505824587</v>
      </c>
      <c r="EP100" s="4">
        <f t="shared" si="182"/>
        <v>0.19974028505824587</v>
      </c>
      <c r="EQ100" s="4">
        <f t="shared" si="183"/>
        <v>0.63648117433815776</v>
      </c>
      <c r="ER100" s="4">
        <f t="shared" si="184"/>
        <v>6.0423409278351752</v>
      </c>
      <c r="ES100" s="4">
        <f t="shared" si="240"/>
        <v>6.6677050716935931</v>
      </c>
      <c r="ET100" s="4">
        <f t="shared" si="186"/>
        <v>190.85387337150533</v>
      </c>
      <c r="EU100" s="4">
        <f t="shared" si="187"/>
        <v>82.549999999999983</v>
      </c>
      <c r="EV100" s="4">
        <f t="shared" si="265"/>
        <v>2.3681819900234344E-5</v>
      </c>
      <c r="EW100" s="4">
        <f t="shared" si="241"/>
        <v>6.5919202985164418</v>
      </c>
      <c r="EX100" s="4">
        <f t="shared" si="189"/>
        <v>718.95450830756636</v>
      </c>
      <c r="EY100" s="4">
        <f t="shared" si="190"/>
        <v>190.85387337150533</v>
      </c>
      <c r="EZ100" s="4">
        <f t="shared" si="191"/>
        <v>82.550000000000011</v>
      </c>
      <c r="FB100" s="4">
        <f t="shared" si="266"/>
        <v>0</v>
      </c>
      <c r="FG100" s="23">
        <f t="shared" si="220"/>
        <v>1.8</v>
      </c>
      <c r="FH100" s="23">
        <f t="shared" si="220"/>
        <v>1.6</v>
      </c>
      <c r="FI100" s="23">
        <f t="shared" si="234"/>
        <v>1.2</v>
      </c>
      <c r="FJ100" s="23">
        <f t="shared" si="221"/>
        <v>2.2000000000000002</v>
      </c>
      <c r="FK100" s="23">
        <f t="shared" si="221"/>
        <v>1</v>
      </c>
      <c r="FL100" s="23">
        <f t="shared" si="221"/>
        <v>1.2</v>
      </c>
      <c r="FM100" s="23">
        <f t="shared" si="222"/>
        <v>0</v>
      </c>
      <c r="FN100" s="23"/>
      <c r="FX100" s="4">
        <f t="shared" si="267"/>
        <v>1</v>
      </c>
      <c r="FY100" s="4">
        <f t="shared" si="308"/>
        <v>0.5</v>
      </c>
      <c r="FZ100" s="4">
        <f t="shared" si="269"/>
        <v>0</v>
      </c>
      <c r="GA100" s="4">
        <f t="shared" si="270"/>
        <v>620.57723806380977</v>
      </c>
    </row>
    <row r="101" spans="1:183" ht="12" customHeight="1" x14ac:dyDescent="0.3">
      <c r="A101" s="25">
        <v>83</v>
      </c>
      <c r="B101" s="24" t="s">
        <v>605</v>
      </c>
      <c r="C101" s="24">
        <v>2016</v>
      </c>
      <c r="D101" s="24" t="s">
        <v>55</v>
      </c>
      <c r="E101" s="24"/>
      <c r="F101" s="7" t="s">
        <v>619</v>
      </c>
      <c r="G101" s="38">
        <f t="shared" si="294"/>
        <v>889.65517241379314</v>
      </c>
      <c r="H101" s="38">
        <f>9*25.4</f>
        <v>228.6</v>
      </c>
      <c r="I101" s="4">
        <f t="shared" si="295"/>
        <v>228.6</v>
      </c>
      <c r="J101" s="38">
        <f>4770/145</f>
        <v>32.896551724137929</v>
      </c>
      <c r="K101" s="38">
        <f t="shared" si="296"/>
        <v>25.4</v>
      </c>
      <c r="L101" s="7">
        <f t="shared" si="297"/>
        <v>9</v>
      </c>
      <c r="M101" s="7">
        <f t="shared" si="298"/>
        <v>9</v>
      </c>
      <c r="N101" s="38">
        <f>18.3*25.4</f>
        <v>464.82</v>
      </c>
      <c r="O101" s="38">
        <f t="shared" si="299"/>
        <v>63.5</v>
      </c>
      <c r="P101" s="7">
        <f t="shared" si="136"/>
        <v>50.8</v>
      </c>
      <c r="Q101" s="7">
        <f t="shared" si="300"/>
        <v>130.81</v>
      </c>
      <c r="R101" s="38">
        <v>3</v>
      </c>
      <c r="S101" s="39">
        <f t="shared" si="301"/>
        <v>50.8</v>
      </c>
      <c r="T101" s="7">
        <f t="shared" si="309"/>
        <v>2.5</v>
      </c>
      <c r="U101" s="7">
        <f t="shared" si="310"/>
        <v>3</v>
      </c>
      <c r="V101" s="38">
        <v>4</v>
      </c>
      <c r="W101" s="4">
        <f t="shared" si="302"/>
        <v>4</v>
      </c>
      <c r="X101" s="4">
        <f t="shared" si="303"/>
        <v>5</v>
      </c>
      <c r="Y101" s="7">
        <f t="shared" si="304"/>
        <v>56.796126628494655</v>
      </c>
      <c r="Z101" s="7"/>
      <c r="AA101" s="7"/>
      <c r="AB101" s="38">
        <f>72/(PI()/4)/0.145</f>
        <v>632.2292911788395</v>
      </c>
      <c r="AC101" s="7"/>
      <c r="AD101" s="7">
        <f>72/87</f>
        <v>0.82758620689655171</v>
      </c>
      <c r="AE101" s="7">
        <v>0</v>
      </c>
      <c r="AF101" s="7">
        <v>0</v>
      </c>
      <c r="AG101" s="7">
        <f t="shared" si="289"/>
        <v>228.6</v>
      </c>
      <c r="AH101" s="7"/>
      <c r="AI101" s="7"/>
      <c r="AJ101" s="7"/>
      <c r="AK101" s="4">
        <f t="shared" si="283"/>
        <v>228.6</v>
      </c>
      <c r="AL101" s="44">
        <f t="shared" si="305"/>
        <v>0.40164609053497946</v>
      </c>
      <c r="AM101" s="25">
        <f t="shared" si="272"/>
        <v>130.41001899429696</v>
      </c>
      <c r="AN101" s="4">
        <f t="shared" si="273"/>
        <v>0.75555555555555554</v>
      </c>
      <c r="AO101" s="4">
        <v>1.25</v>
      </c>
      <c r="AP101" s="25">
        <f t="shared" si="274"/>
        <v>5</v>
      </c>
      <c r="AQ101" s="38">
        <f t="shared" si="275"/>
        <v>247.34373972946676</v>
      </c>
      <c r="AR101" s="38">
        <f t="shared" si="276"/>
        <v>247.34373972946676</v>
      </c>
      <c r="AT101" s="38">
        <f t="shared" si="291"/>
        <v>247.34373972946665</v>
      </c>
      <c r="AU101" s="38">
        <f t="shared" si="247"/>
        <v>1.0000000000000004</v>
      </c>
      <c r="AV101" s="38">
        <f t="shared" si="139"/>
        <v>1.4363927666383707</v>
      </c>
      <c r="AW101" s="4">
        <f t="shared" si="158"/>
        <v>0</v>
      </c>
      <c r="AX101" s="4">
        <f t="shared" si="224"/>
        <v>271.68402137349256</v>
      </c>
      <c r="AY101" s="4">
        <f t="shared" si="225"/>
        <v>1.08</v>
      </c>
      <c r="AZ101" s="38">
        <f t="shared" si="277"/>
        <v>355.28275862068966</v>
      </c>
      <c r="BA101" s="4">
        <f t="shared" si="226"/>
        <v>0.44000000000000006</v>
      </c>
      <c r="BB101" s="4">
        <f t="shared" si="248"/>
        <v>62.460156513765938</v>
      </c>
      <c r="BC101" s="4">
        <f t="shared" si="249"/>
        <v>417.74291513445559</v>
      </c>
      <c r="BE101" s="36">
        <f t="shared" si="292"/>
        <v>1.1000000000000001</v>
      </c>
      <c r="BF101" s="36">
        <f t="shared" si="293"/>
        <v>229.65148455566467</v>
      </c>
      <c r="BK101" s="4">
        <f t="shared" si="160"/>
        <v>63.5</v>
      </c>
      <c r="BL101" s="4">
        <f t="shared" si="161"/>
        <v>50.8</v>
      </c>
      <c r="BM101" s="4">
        <f t="shared" si="162"/>
        <v>63.5</v>
      </c>
      <c r="BN101" s="4">
        <f t="shared" si="163"/>
        <v>63.5</v>
      </c>
      <c r="BO101" s="4">
        <f t="shared" si="164"/>
        <v>1.0250000000000001</v>
      </c>
      <c r="BP101" s="25">
        <f t="shared" si="278"/>
        <v>2.5625000000000004</v>
      </c>
      <c r="BR101" s="4">
        <f t="shared" si="165"/>
        <v>63.5</v>
      </c>
      <c r="BV101" s="9"/>
      <c r="BX101" s="9"/>
      <c r="BY101" s="9"/>
      <c r="BZ101" s="9">
        <f t="shared" si="235"/>
        <v>50.8</v>
      </c>
      <c r="CA101" s="9">
        <f t="shared" si="236"/>
        <v>65.405000000000001</v>
      </c>
      <c r="CB101" s="9">
        <f t="shared" si="252"/>
        <v>1.4688487685376905</v>
      </c>
      <c r="CC101" s="9">
        <v>0</v>
      </c>
      <c r="CD101" s="9">
        <f t="shared" si="132"/>
        <v>0</v>
      </c>
      <c r="CE101" s="9">
        <f t="shared" si="253"/>
        <v>0</v>
      </c>
      <c r="CF101" s="9">
        <f t="shared" si="237"/>
        <v>0.99524931562137331</v>
      </c>
      <c r="CG101" s="9">
        <f t="shared" si="238"/>
        <v>0.68</v>
      </c>
      <c r="CH101" s="9">
        <f t="shared" si="254"/>
        <v>1.3585762965743986</v>
      </c>
      <c r="CI101" s="9">
        <f t="shared" si="255"/>
        <v>1.9955431201878016</v>
      </c>
      <c r="CJ101" s="9">
        <v>1</v>
      </c>
      <c r="CK101" s="9">
        <f t="shared" si="256"/>
        <v>191.57213953802895</v>
      </c>
      <c r="CM101" s="4">
        <f t="shared" si="210"/>
        <v>2.3270757256264769</v>
      </c>
      <c r="CN101" s="4">
        <f t="shared" si="211"/>
        <v>1.5134410860692846</v>
      </c>
      <c r="CO101" s="4">
        <f t="shared" si="212"/>
        <v>2.7529945752455824</v>
      </c>
      <c r="CP101" s="4">
        <f t="shared" si="213"/>
        <v>3.3002152228577883</v>
      </c>
      <c r="CQ101" s="4">
        <f t="shared" si="214"/>
        <v>1.3487999940488067</v>
      </c>
      <c r="CR101" s="4">
        <f t="shared" si="215"/>
        <v>1.2673692173920306</v>
      </c>
      <c r="CS101" s="4">
        <f t="shared" si="146"/>
        <v>1.7428905183278425</v>
      </c>
      <c r="CU101" s="4">
        <f t="shared" si="216"/>
        <v>2.3270757256264769</v>
      </c>
      <c r="CV101" s="4">
        <f t="shared" si="216"/>
        <v>1.5134410860692846</v>
      </c>
      <c r="CW101" s="4">
        <f t="shared" si="217"/>
        <v>3.3002152228577883</v>
      </c>
      <c r="CX101" s="4">
        <f t="shared" si="290"/>
        <v>1.7428905183278425</v>
      </c>
      <c r="CY101" s="4">
        <f t="shared" si="219"/>
        <v>1.3487999940488067</v>
      </c>
      <c r="CZ101" s="4">
        <f t="shared" si="219"/>
        <v>1.2673692173920306</v>
      </c>
      <c r="DH101" s="4">
        <f t="shared" si="171"/>
        <v>0</v>
      </c>
      <c r="DI101" s="4">
        <f t="shared" si="172"/>
        <v>228.6</v>
      </c>
      <c r="DJ101" s="4">
        <f t="shared" si="173"/>
        <v>1</v>
      </c>
      <c r="DL101" s="4">
        <f t="shared" si="174"/>
        <v>1.6402981976815728E-5</v>
      </c>
      <c r="DM101" s="4">
        <f t="shared" si="175"/>
        <v>7.2468073135449798</v>
      </c>
      <c r="DN101" s="4">
        <f t="shared" si="176"/>
        <v>0.41540923789121181</v>
      </c>
      <c r="DO101" s="4">
        <f t="shared" si="257"/>
        <v>5.0996124652241388</v>
      </c>
      <c r="DP101" s="4">
        <f t="shared" si="258"/>
        <v>6.2661431823399951</v>
      </c>
      <c r="DQ101" s="4">
        <f t="shared" si="259"/>
        <v>6.9598678695184395</v>
      </c>
      <c r="DR101" s="38">
        <f t="shared" si="279"/>
        <v>468.73464855306196</v>
      </c>
      <c r="DS101" s="4">
        <f t="shared" si="260"/>
        <v>1.0001167073244639</v>
      </c>
      <c r="DT101" s="4">
        <f t="shared" si="150"/>
        <v>2.2360679774997898</v>
      </c>
      <c r="DU101" s="4">
        <f t="shared" si="280"/>
        <v>247.34373972946665</v>
      </c>
      <c r="DY101" s="4">
        <f t="shared" si="239"/>
        <v>0.85</v>
      </c>
      <c r="DZ101" s="4">
        <f t="shared" si="261"/>
        <v>0.85</v>
      </c>
      <c r="EA101" s="4">
        <f t="shared" si="262"/>
        <v>1</v>
      </c>
      <c r="EB101" s="4">
        <f t="shared" si="263"/>
        <v>0.85</v>
      </c>
      <c r="ED101" s="4">
        <f t="shared" si="281"/>
        <v>498.85170201610981</v>
      </c>
      <c r="EE101" s="25">
        <f t="shared" si="306"/>
        <v>303.18790455039539</v>
      </c>
      <c r="EG101" s="4">
        <f t="shared" si="307"/>
        <v>0.72249999999999992</v>
      </c>
      <c r="EH101" s="4">
        <f t="shared" si="264"/>
        <v>7.2468073135449798</v>
      </c>
      <c r="EI101" s="4">
        <f t="shared" si="178"/>
        <v>5.366713741137155</v>
      </c>
      <c r="EK101" s="4">
        <f t="shared" si="179"/>
        <v>56.796126628494655</v>
      </c>
      <c r="EL101" s="4">
        <f t="shared" si="180"/>
        <v>2.2360679774997898</v>
      </c>
      <c r="EM101" s="4">
        <f t="shared" si="181"/>
        <v>0.13028265607914691</v>
      </c>
      <c r="EP101" s="4">
        <f t="shared" si="182"/>
        <v>0.13028265607914691</v>
      </c>
      <c r="EQ101" s="4">
        <f t="shared" si="183"/>
        <v>0.41471599729492875</v>
      </c>
      <c r="ER101" s="4">
        <f t="shared" si="184"/>
        <v>5.0962066383461853</v>
      </c>
      <c r="ES101" s="4">
        <f t="shared" si="240"/>
        <v>6.2647594664384387</v>
      </c>
      <c r="ET101" s="4">
        <f t="shared" si="186"/>
        <v>114.65387337150534</v>
      </c>
      <c r="EU101" s="4">
        <f t="shared" si="187"/>
        <v>57.150000000000006</v>
      </c>
      <c r="EV101" s="4">
        <f t="shared" si="265"/>
        <v>1.6402981976815732E-5</v>
      </c>
      <c r="EW101" s="4">
        <f t="shared" si="241"/>
        <v>6.9599510091554349</v>
      </c>
      <c r="EX101" s="4">
        <f t="shared" si="189"/>
        <v>468.67995017004779</v>
      </c>
      <c r="EY101" s="4">
        <f t="shared" si="190"/>
        <v>114.65387337150534</v>
      </c>
      <c r="EZ101" s="4">
        <f t="shared" si="191"/>
        <v>57.15</v>
      </c>
      <c r="FB101" s="4">
        <f t="shared" si="266"/>
        <v>0</v>
      </c>
      <c r="FG101" s="23">
        <f t="shared" si="220"/>
        <v>2.2000000000000002</v>
      </c>
      <c r="FH101" s="23">
        <f t="shared" si="220"/>
        <v>1.6</v>
      </c>
      <c r="FI101" s="23">
        <f t="shared" si="234"/>
        <v>1.8</v>
      </c>
      <c r="FJ101" s="23">
        <f t="shared" si="221"/>
        <v>2.2000000000000002</v>
      </c>
      <c r="FK101" s="23">
        <f t="shared" si="221"/>
        <v>1.4</v>
      </c>
      <c r="FL101" s="23">
        <f t="shared" si="221"/>
        <v>1.4</v>
      </c>
      <c r="FM101" s="23">
        <f t="shared" si="222"/>
        <v>0</v>
      </c>
      <c r="FN101" s="23"/>
      <c r="FX101" s="4">
        <f t="shared" si="267"/>
        <v>1</v>
      </c>
      <c r="FY101" s="4">
        <f t="shared" si="308"/>
        <v>0.59250000000000003</v>
      </c>
      <c r="FZ101" s="4">
        <f t="shared" si="269"/>
        <v>0</v>
      </c>
      <c r="GA101" s="4">
        <f t="shared" si="270"/>
        <v>362.74756476695427</v>
      </c>
    </row>
    <row r="102" spans="1:183" ht="12" customHeight="1" x14ac:dyDescent="0.3">
      <c r="A102" s="25">
        <v>84</v>
      </c>
      <c r="B102" s="24" t="s">
        <v>605</v>
      </c>
      <c r="C102" s="24">
        <v>2016</v>
      </c>
      <c r="D102" s="24" t="s">
        <v>55</v>
      </c>
      <c r="E102" s="24"/>
      <c r="F102" s="7" t="s">
        <v>620</v>
      </c>
      <c r="G102" s="38">
        <f t="shared" si="294"/>
        <v>889.65517241379314</v>
      </c>
      <c r="H102" s="38">
        <f>11*25.4</f>
        <v>279.39999999999998</v>
      </c>
      <c r="I102" s="4">
        <f t="shared" si="295"/>
        <v>279.39999999999998</v>
      </c>
      <c r="J102" s="38">
        <f>4820/145</f>
        <v>33.241379310344826</v>
      </c>
      <c r="K102" s="38">
        <f t="shared" si="296"/>
        <v>25.4</v>
      </c>
      <c r="L102" s="7">
        <f t="shared" si="297"/>
        <v>11</v>
      </c>
      <c r="M102" s="7">
        <f t="shared" si="298"/>
        <v>11</v>
      </c>
      <c r="N102" s="38">
        <f>18.3*25.4</f>
        <v>464.82</v>
      </c>
      <c r="O102" s="38">
        <f t="shared" si="299"/>
        <v>63.5</v>
      </c>
      <c r="P102" s="7">
        <f t="shared" si="136"/>
        <v>50.8</v>
      </c>
      <c r="Q102" s="7">
        <f t="shared" si="300"/>
        <v>130.81</v>
      </c>
      <c r="R102" s="38">
        <v>3</v>
      </c>
      <c r="S102" s="39">
        <f t="shared" si="301"/>
        <v>50.8</v>
      </c>
      <c r="T102" s="7">
        <f t="shared" si="309"/>
        <v>2.5</v>
      </c>
      <c r="U102" s="7">
        <f t="shared" si="310"/>
        <v>3</v>
      </c>
      <c r="V102" s="38">
        <v>4</v>
      </c>
      <c r="W102" s="4">
        <f t="shared" si="302"/>
        <v>4</v>
      </c>
      <c r="X102" s="4">
        <f t="shared" si="303"/>
        <v>5</v>
      </c>
      <c r="Y102" s="7">
        <f t="shared" si="304"/>
        <v>56.796126628494655</v>
      </c>
      <c r="Z102" s="7"/>
      <c r="AA102" s="7"/>
      <c r="AB102" s="38">
        <f>98.5/(PI()/4)/0.145*AD103</f>
        <v>731.1952241277877</v>
      </c>
      <c r="AC102" s="7" t="s">
        <v>654</v>
      </c>
      <c r="AD102" s="7"/>
      <c r="AE102" s="7">
        <v>0</v>
      </c>
      <c r="AF102" s="7">
        <v>0</v>
      </c>
      <c r="AG102" s="7">
        <f t="shared" si="289"/>
        <v>279.39999999999998</v>
      </c>
      <c r="AH102" s="7"/>
      <c r="AI102" s="7"/>
      <c r="AJ102" s="7"/>
      <c r="AK102" s="4">
        <f t="shared" si="283"/>
        <v>279.39999999999998</v>
      </c>
      <c r="AL102" s="44">
        <f t="shared" si="305"/>
        <v>0.31928374655647385</v>
      </c>
      <c r="AM102" s="25">
        <f t="shared" si="272"/>
        <v>177.13343774215744</v>
      </c>
      <c r="AN102" s="4">
        <f t="shared" si="273"/>
        <v>0.74545454545454537</v>
      </c>
      <c r="AO102" s="4">
        <v>1.25</v>
      </c>
      <c r="AP102" s="25">
        <f t="shared" si="274"/>
        <v>5</v>
      </c>
      <c r="AQ102" s="38">
        <f t="shared" si="275"/>
        <v>263.49874242642056</v>
      </c>
      <c r="AR102" s="38">
        <f t="shared" si="276"/>
        <v>263.49874242642056</v>
      </c>
      <c r="AT102" s="38">
        <f t="shared" si="291"/>
        <v>263.49874242642068</v>
      </c>
      <c r="AU102" s="38">
        <f t="shared" si="247"/>
        <v>0.99999999999999956</v>
      </c>
      <c r="AV102" s="38">
        <f t="shared" si="139"/>
        <v>1.3624615178266861</v>
      </c>
      <c r="AW102" s="4">
        <f t="shared" si="158"/>
        <v>0</v>
      </c>
      <c r="AX102" s="4">
        <f t="shared" si="224"/>
        <v>333.79405864797894</v>
      </c>
      <c r="AY102" s="4">
        <f t="shared" si="225"/>
        <v>1.08</v>
      </c>
      <c r="AZ102" s="38">
        <f t="shared" si="277"/>
        <v>359.00689655172414</v>
      </c>
      <c r="BA102" s="4">
        <f t="shared" si="226"/>
        <v>0.44000000000000006</v>
      </c>
      <c r="BB102" s="4">
        <f t="shared" si="248"/>
        <v>76.739254083170351</v>
      </c>
      <c r="BC102" s="4">
        <f t="shared" si="249"/>
        <v>435.74615063489449</v>
      </c>
      <c r="BE102" s="36">
        <f t="shared" si="292"/>
        <v>1.1000000000000001</v>
      </c>
      <c r="BF102" s="36">
        <f t="shared" si="293"/>
        <v>251.14664972673935</v>
      </c>
      <c r="BK102" s="4">
        <f t="shared" si="160"/>
        <v>63.5</v>
      </c>
      <c r="BL102" s="4">
        <f t="shared" si="161"/>
        <v>50.8</v>
      </c>
      <c r="BM102" s="4">
        <f t="shared" si="162"/>
        <v>63.5</v>
      </c>
      <c r="BN102" s="4">
        <f t="shared" si="163"/>
        <v>63.5</v>
      </c>
      <c r="BO102" s="4">
        <f t="shared" si="164"/>
        <v>1.0250000000000001</v>
      </c>
      <c r="BP102" s="25">
        <f t="shared" si="278"/>
        <v>2.5625000000000004</v>
      </c>
      <c r="BR102" s="4">
        <f t="shared" si="165"/>
        <v>63.5</v>
      </c>
      <c r="BV102" s="9"/>
      <c r="BX102" s="9"/>
      <c r="BY102" s="9"/>
      <c r="BZ102" s="9">
        <f t="shared" si="235"/>
        <v>50.8</v>
      </c>
      <c r="CA102" s="9">
        <f t="shared" si="236"/>
        <v>65.405000000000001</v>
      </c>
      <c r="CB102" s="9">
        <f t="shared" si="252"/>
        <v>1.4688487685376905</v>
      </c>
      <c r="CC102" s="9">
        <v>0</v>
      </c>
      <c r="CD102" s="9">
        <f t="shared" si="132"/>
        <v>0</v>
      </c>
      <c r="CE102" s="9">
        <f t="shared" si="253"/>
        <v>0</v>
      </c>
      <c r="CF102" s="9">
        <f t="shared" si="237"/>
        <v>0.99524931562137331</v>
      </c>
      <c r="CG102" s="9">
        <f t="shared" si="238"/>
        <v>0.68</v>
      </c>
      <c r="CH102" s="9">
        <f t="shared" si="254"/>
        <v>1.3656781551917097</v>
      </c>
      <c r="CI102" s="9">
        <f t="shared" si="255"/>
        <v>2.0059746764721678</v>
      </c>
      <c r="CJ102" s="9">
        <v>1</v>
      </c>
      <c r="CK102" s="9">
        <f t="shared" si="256"/>
        <v>208.62136635310543</v>
      </c>
      <c r="CM102" s="4">
        <f t="shared" si="210"/>
        <v>2.1905579359005616</v>
      </c>
      <c r="CN102" s="4">
        <f t="shared" si="211"/>
        <v>1.6780302546847874</v>
      </c>
      <c r="CO102" s="4">
        <f t="shared" si="212"/>
        <v>2.9114273470236065</v>
      </c>
      <c r="CP102" s="4">
        <f t="shared" si="213"/>
        <v>3.504891358491975</v>
      </c>
      <c r="CQ102" s="4">
        <f t="shared" si="214"/>
        <v>1.3585563667404681</v>
      </c>
      <c r="CR102" s="4">
        <f t="shared" si="215"/>
        <v>1.4251104346911909</v>
      </c>
      <c r="CS102" s="4">
        <f t="shared" si="146"/>
        <v>1.6449265106206508</v>
      </c>
      <c r="CU102" s="4">
        <f t="shared" si="216"/>
        <v>2.1905579359005616</v>
      </c>
      <c r="CV102" s="4">
        <f t="shared" si="216"/>
        <v>1.6780302546847874</v>
      </c>
      <c r="CW102" s="4">
        <f t="shared" si="217"/>
        <v>3.504891358491975</v>
      </c>
      <c r="CX102" s="4">
        <f t="shared" si="290"/>
        <v>1.6449265106206508</v>
      </c>
      <c r="CY102" s="4">
        <f t="shared" si="219"/>
        <v>1.3585563667404681</v>
      </c>
      <c r="CZ102" s="4">
        <f t="shared" si="219"/>
        <v>1.4251104346911909</v>
      </c>
      <c r="DH102" s="4">
        <f t="shared" si="171"/>
        <v>0</v>
      </c>
      <c r="DI102" s="4">
        <f t="shared" si="172"/>
        <v>279.39999999999998</v>
      </c>
      <c r="DJ102" s="4">
        <f t="shared" si="173"/>
        <v>1</v>
      </c>
      <c r="DL102" s="4">
        <f t="shared" si="174"/>
        <v>2.0096207151589931E-5</v>
      </c>
      <c r="DM102" s="4">
        <f t="shared" si="175"/>
        <v>7.28468947084263</v>
      </c>
      <c r="DN102" s="4">
        <f t="shared" si="176"/>
        <v>0.43795058920526347</v>
      </c>
      <c r="DO102" s="4">
        <f t="shared" si="257"/>
        <v>5.2357763797277759</v>
      </c>
      <c r="DP102" s="4">
        <f t="shared" si="258"/>
        <v>6.3437205043384113</v>
      </c>
      <c r="DQ102" s="4">
        <f t="shared" si="259"/>
        <v>6.8439176364279284</v>
      </c>
      <c r="DR102" s="38">
        <f t="shared" si="279"/>
        <v>538.21485955869184</v>
      </c>
      <c r="DS102" s="4">
        <f t="shared" si="260"/>
        <v>1.0001200556164163</v>
      </c>
      <c r="DT102" s="4">
        <f t="shared" si="150"/>
        <v>2.2360679774997898</v>
      </c>
      <c r="DU102" s="4">
        <f t="shared" si="280"/>
        <v>263.49874242642068</v>
      </c>
      <c r="DY102" s="4">
        <f t="shared" si="239"/>
        <v>0.85</v>
      </c>
      <c r="DZ102" s="4">
        <f t="shared" si="261"/>
        <v>0.85</v>
      </c>
      <c r="EA102" s="4">
        <f t="shared" si="262"/>
        <v>1</v>
      </c>
      <c r="EB102" s="4">
        <f t="shared" si="263"/>
        <v>0.85</v>
      </c>
      <c r="ED102" s="4">
        <f t="shared" si="281"/>
        <v>513.07969286340347</v>
      </c>
      <c r="EE102" s="25">
        <f t="shared" si="306"/>
        <v>272.68494032559664</v>
      </c>
      <c r="EG102" s="4">
        <f t="shared" si="307"/>
        <v>0.72249999999999992</v>
      </c>
      <c r="EH102" s="4">
        <f t="shared" si="264"/>
        <v>7.28468947084263</v>
      </c>
      <c r="EI102" s="4">
        <f t="shared" si="178"/>
        <v>5.3947678462508959</v>
      </c>
      <c r="EK102" s="4">
        <f t="shared" si="179"/>
        <v>56.796126628494655</v>
      </c>
      <c r="EL102" s="4">
        <f t="shared" si="180"/>
        <v>2.2360679774997898</v>
      </c>
      <c r="EM102" s="4">
        <f t="shared" si="181"/>
        <v>0.13807018232988313</v>
      </c>
      <c r="EP102" s="4">
        <f t="shared" si="182"/>
        <v>0.13807018232988313</v>
      </c>
      <c r="EQ102" s="4">
        <f t="shared" si="183"/>
        <v>0.43721973129477409</v>
      </c>
      <c r="ER102" s="4">
        <f t="shared" si="184"/>
        <v>5.2322796144259733</v>
      </c>
      <c r="ES102" s="4">
        <f t="shared" si="240"/>
        <v>6.342279396007469</v>
      </c>
      <c r="ET102" s="4">
        <f t="shared" si="186"/>
        <v>152.75387337150534</v>
      </c>
      <c r="EU102" s="4">
        <f t="shared" si="187"/>
        <v>69.849999999999994</v>
      </c>
      <c r="EV102" s="4">
        <f t="shared" si="265"/>
        <v>2.0096207151589931E-5</v>
      </c>
      <c r="EW102" s="4">
        <f t="shared" si="241"/>
        <v>6.8440389973044624</v>
      </c>
      <c r="EX102" s="4">
        <f t="shared" si="189"/>
        <v>538.15025159851166</v>
      </c>
      <c r="EY102" s="4">
        <f t="shared" si="190"/>
        <v>152.75387337150534</v>
      </c>
      <c r="EZ102" s="4">
        <f t="shared" si="191"/>
        <v>69.849999999999994</v>
      </c>
      <c r="FB102" s="4">
        <f t="shared" si="266"/>
        <v>0</v>
      </c>
      <c r="FG102" s="23">
        <f t="shared" si="220"/>
        <v>2.2000000000000002</v>
      </c>
      <c r="FH102" s="23">
        <f t="shared" si="220"/>
        <v>1.8</v>
      </c>
      <c r="FI102" s="23">
        <f t="shared" si="234"/>
        <v>1.8</v>
      </c>
      <c r="FJ102" s="23">
        <f t="shared" si="221"/>
        <v>2.2000000000000002</v>
      </c>
      <c r="FK102" s="23">
        <f t="shared" si="221"/>
        <v>1.4</v>
      </c>
      <c r="FL102" s="23">
        <f t="shared" si="221"/>
        <v>1.6</v>
      </c>
      <c r="FM102" s="23">
        <f t="shared" si="222"/>
        <v>0</v>
      </c>
      <c r="FN102" s="23"/>
      <c r="FX102" s="4">
        <f t="shared" si="267"/>
        <v>1</v>
      </c>
      <c r="FY102" s="4">
        <f t="shared" si="308"/>
        <v>0.59250000000000003</v>
      </c>
      <c r="FZ102" s="4">
        <f t="shared" si="269"/>
        <v>0</v>
      </c>
      <c r="GA102" s="4">
        <f t="shared" si="270"/>
        <v>444.51543543540976</v>
      </c>
    </row>
    <row r="103" spans="1:183" ht="12" customHeight="1" x14ac:dyDescent="0.3">
      <c r="A103" s="25">
        <v>85</v>
      </c>
      <c r="B103" s="24" t="s">
        <v>605</v>
      </c>
      <c r="C103" s="24">
        <v>2016</v>
      </c>
      <c r="D103" s="24" t="s">
        <v>55</v>
      </c>
      <c r="E103" s="24"/>
      <c r="F103" s="7" t="s">
        <v>621</v>
      </c>
      <c r="G103" s="38">
        <f t="shared" si="294"/>
        <v>889.65517241379314</v>
      </c>
      <c r="H103" s="38">
        <f>13*25.4</f>
        <v>330.2</v>
      </c>
      <c r="I103" s="4">
        <f t="shared" si="295"/>
        <v>330.2</v>
      </c>
      <c r="J103" s="38">
        <f>4900/145</f>
        <v>33.793103448275865</v>
      </c>
      <c r="K103" s="38">
        <f t="shared" si="296"/>
        <v>25.4</v>
      </c>
      <c r="L103" s="7">
        <f t="shared" si="297"/>
        <v>13</v>
      </c>
      <c r="M103" s="7">
        <f t="shared" si="298"/>
        <v>13</v>
      </c>
      <c r="N103" s="38">
        <f>18.4*25.4</f>
        <v>467.35999999999996</v>
      </c>
      <c r="O103" s="38">
        <f t="shared" si="299"/>
        <v>63.5</v>
      </c>
      <c r="P103" s="7">
        <f t="shared" si="136"/>
        <v>50.8</v>
      </c>
      <c r="Q103" s="7">
        <f t="shared" si="300"/>
        <v>132.07999999999998</v>
      </c>
      <c r="R103" s="38">
        <v>3</v>
      </c>
      <c r="S103" s="39">
        <f t="shared" si="301"/>
        <v>50.8</v>
      </c>
      <c r="T103" s="7">
        <f t="shared" si="309"/>
        <v>2.5</v>
      </c>
      <c r="U103" s="7">
        <f t="shared" si="310"/>
        <v>3</v>
      </c>
      <c r="V103" s="38">
        <v>4</v>
      </c>
      <c r="W103" s="4">
        <f t="shared" si="302"/>
        <v>4</v>
      </c>
      <c r="X103" s="4">
        <f t="shared" si="303"/>
        <v>5</v>
      </c>
      <c r="Y103" s="7">
        <f t="shared" si="304"/>
        <v>56.796126628494655</v>
      </c>
      <c r="Z103" s="7"/>
      <c r="AA103" s="7"/>
      <c r="AB103" s="38">
        <f>122/(PI()/4)/0.145*AD103</f>
        <v>905.64281567096566</v>
      </c>
      <c r="AC103" s="7" t="s">
        <v>654</v>
      </c>
      <c r="AD103" s="7">
        <f>AVERAGE(AD95:AD101)</f>
        <v>0.84538589834180455</v>
      </c>
      <c r="AE103" s="7">
        <v>0</v>
      </c>
      <c r="AF103" s="7">
        <v>0</v>
      </c>
      <c r="AG103" s="7">
        <f t="shared" si="289"/>
        <v>330.2</v>
      </c>
      <c r="AH103" s="7"/>
      <c r="AI103" s="7"/>
      <c r="AJ103" s="7"/>
      <c r="AK103" s="4">
        <f t="shared" si="283"/>
        <v>330.2</v>
      </c>
      <c r="AL103" s="44">
        <f t="shared" si="305"/>
        <v>0.24194608809993426</v>
      </c>
      <c r="AM103" s="25">
        <f t="shared" si="272"/>
        <v>229.45687414382829</v>
      </c>
      <c r="AN103" s="4">
        <f t="shared" si="273"/>
        <v>0.73846153846153839</v>
      </c>
      <c r="AO103" s="4">
        <v>1.25</v>
      </c>
      <c r="AP103" s="25">
        <f>AP102</f>
        <v>5</v>
      </c>
      <c r="AQ103" s="38">
        <f t="shared" si="275"/>
        <v>256.22858347725327</v>
      </c>
      <c r="AR103" s="38">
        <f t="shared" si="276"/>
        <v>256.22858347725327</v>
      </c>
      <c r="AT103" s="38">
        <f>AP103* (J103^0.5/AK103^0.5)/(PI()/4*K103^2)/R103/0.72 *(0.7+(MIN(O103,S103)+0.5*K103)/5/H103) *(N103*MIN(S103+0.5*K103+1.5*H103,20*25.4))</f>
        <v>256.22858347725338</v>
      </c>
      <c r="AU103" s="38">
        <f t="shared" si="247"/>
        <v>0.99999999999999956</v>
      </c>
      <c r="AV103" s="38">
        <f t="shared" si="139"/>
        <v>1.424374721541475</v>
      </c>
      <c r="AW103" s="4">
        <f t="shared" si="158"/>
        <v>0</v>
      </c>
      <c r="AX103" s="4">
        <f t="shared" si="224"/>
        <v>397.74414035212305</v>
      </c>
      <c r="AY103" s="4">
        <f t="shared" si="225"/>
        <v>1.08</v>
      </c>
      <c r="AZ103" s="38">
        <f t="shared" si="277"/>
        <v>364.96551724137936</v>
      </c>
      <c r="BA103" s="4">
        <f t="shared" si="226"/>
        <v>0.44000000000000006</v>
      </c>
      <c r="BB103" s="4">
        <f t="shared" si="248"/>
        <v>91.44137786695309</v>
      </c>
      <c r="BC103" s="4">
        <f t="shared" si="249"/>
        <v>456.40689510833244</v>
      </c>
      <c r="BE103" s="36">
        <f t="shared" si="292"/>
        <v>1.1000000000000001</v>
      </c>
      <c r="BF103" s="36">
        <f t="shared" si="293"/>
        <v>273.68468340598542</v>
      </c>
      <c r="BK103" s="4">
        <f t="shared" si="160"/>
        <v>63.5</v>
      </c>
      <c r="BL103" s="4">
        <f t="shared" si="161"/>
        <v>50.8</v>
      </c>
      <c r="BM103" s="4">
        <f t="shared" si="162"/>
        <v>63.5</v>
      </c>
      <c r="BN103" s="4">
        <f t="shared" si="163"/>
        <v>63.5</v>
      </c>
      <c r="BO103" s="4">
        <f t="shared" si="164"/>
        <v>1.0250000000000001</v>
      </c>
      <c r="BP103" s="25">
        <f t="shared" si="278"/>
        <v>2.5625000000000004</v>
      </c>
      <c r="BR103" s="4">
        <f t="shared" si="165"/>
        <v>63.5</v>
      </c>
      <c r="BV103" s="9"/>
      <c r="BX103" s="9"/>
      <c r="BY103" s="9"/>
      <c r="BZ103" s="9">
        <f t="shared" si="235"/>
        <v>50.8</v>
      </c>
      <c r="CA103" s="9">
        <f t="shared" si="236"/>
        <v>66.039999999999992</v>
      </c>
      <c r="CB103" s="9">
        <f t="shared" si="252"/>
        <v>1.47097909478315</v>
      </c>
      <c r="CC103" s="9">
        <v>0</v>
      </c>
      <c r="CD103" s="9">
        <f t="shared" ref="CD103:CD152" si="311">MIN(PI()*AE103^2/4*AF103*2/R103/K103/MAX(0.01,AG103),0.05)</f>
        <v>0</v>
      </c>
      <c r="CE103" s="9">
        <f t="shared" si="253"/>
        <v>0</v>
      </c>
      <c r="CF103" s="9">
        <f t="shared" si="237"/>
        <v>0.99524931562137331</v>
      </c>
      <c r="CG103" s="9">
        <f t="shared" si="238"/>
        <v>0.68</v>
      </c>
      <c r="CH103" s="9">
        <f t="shared" si="254"/>
        <v>1.3769649434514548</v>
      </c>
      <c r="CI103" s="9">
        <f t="shared" si="255"/>
        <v>2.0254866460663523</v>
      </c>
      <c r="CJ103" s="9">
        <v>1</v>
      </c>
      <c r="CK103" s="9">
        <f t="shared" si="256"/>
        <v>226.85450435943147</v>
      </c>
      <c r="CM103" s="4">
        <f t="shared" si="210"/>
        <v>2.2769482282484406</v>
      </c>
      <c r="CN103" s="4">
        <f t="shared" si="211"/>
        <v>1.9842881984857019</v>
      </c>
      <c r="CO103" s="4">
        <f t="shared" si="212"/>
        <v>3.3090738012822221</v>
      </c>
      <c r="CP103" s="4">
        <f t="shared" si="213"/>
        <v>3.9921747122818969</v>
      </c>
      <c r="CQ103" s="4">
        <f t="shared" si="214"/>
        <v>1.5585926361575473</v>
      </c>
      <c r="CR103" s="4">
        <f t="shared" si="215"/>
        <v>1.6808276036174601</v>
      </c>
      <c r="CS103" s="4">
        <f t="shared" si="146"/>
        <v>1.7096051977404618</v>
      </c>
      <c r="CU103" s="4">
        <f t="shared" si="216"/>
        <v>2.2769482282484406</v>
      </c>
      <c r="CV103" s="4">
        <f t="shared" si="216"/>
        <v>1.9842881984857019</v>
      </c>
      <c r="CW103" s="4">
        <f t="shared" si="217"/>
        <v>3.9921747122818969</v>
      </c>
      <c r="CX103" s="4">
        <f t="shared" si="290"/>
        <v>1.7096051977404618</v>
      </c>
      <c r="CY103" s="4">
        <f t="shared" si="219"/>
        <v>1.5585926361575473</v>
      </c>
      <c r="CZ103" s="4">
        <f t="shared" si="219"/>
        <v>1.6808276036174601</v>
      </c>
      <c r="DH103" s="4">
        <f t="shared" si="171"/>
        <v>0</v>
      </c>
      <c r="DI103" s="4">
        <f t="shared" si="172"/>
        <v>330.2</v>
      </c>
      <c r="DJ103" s="4">
        <f t="shared" si="173"/>
        <v>1</v>
      </c>
      <c r="DL103" s="4">
        <f t="shared" si="174"/>
        <v>2.3841003655999786E-5</v>
      </c>
      <c r="DM103" s="4">
        <f t="shared" si="175"/>
        <v>7.3448945398648089</v>
      </c>
      <c r="DN103" s="4">
        <f t="shared" si="176"/>
        <v>0.41891421932562034</v>
      </c>
      <c r="DO103" s="4">
        <f t="shared" si="257"/>
        <v>5.186036931996048</v>
      </c>
      <c r="DP103" s="4">
        <f t="shared" si="258"/>
        <v>6.3580358640988877</v>
      </c>
      <c r="DQ103" s="4">
        <f t="shared" si="259"/>
        <v>6.7196286453850629</v>
      </c>
      <c r="DR103" s="38">
        <f t="shared" si="279"/>
        <v>581.06447744015941</v>
      </c>
      <c r="DS103" s="4">
        <f t="shared" si="260"/>
        <v>1.0001226834372552</v>
      </c>
      <c r="DT103" s="4">
        <f t="shared" si="150"/>
        <v>2.2360679774997898</v>
      </c>
      <c r="DU103" s="4">
        <f t="shared" si="280"/>
        <v>256.22858347725338</v>
      </c>
      <c r="DY103" s="4">
        <f t="shared" si="239"/>
        <v>0.85</v>
      </c>
      <c r="DZ103" s="4">
        <f t="shared" si="261"/>
        <v>0.85</v>
      </c>
      <c r="EA103" s="4">
        <f t="shared" si="262"/>
        <v>1</v>
      </c>
      <c r="EB103" s="4">
        <f t="shared" si="263"/>
        <v>0.85</v>
      </c>
      <c r="ED103" s="4">
        <f t="shared" si="281"/>
        <v>538.80767648142523</v>
      </c>
      <c r="EE103" s="25">
        <f t="shared" si="306"/>
        <v>252.35678942669762</v>
      </c>
      <c r="EG103" s="4">
        <f t="shared" si="307"/>
        <v>0.72249999999999992</v>
      </c>
      <c r="EH103" s="4">
        <f t="shared" si="264"/>
        <v>7.3448945398648089</v>
      </c>
      <c r="EI103" s="4">
        <f t="shared" si="178"/>
        <v>5.4393534626786328</v>
      </c>
      <c r="EK103" s="4">
        <f t="shared" si="179"/>
        <v>56.796126628494655</v>
      </c>
      <c r="EL103" s="4">
        <f t="shared" si="180"/>
        <v>2.2360679774997898</v>
      </c>
      <c r="EM103" s="4">
        <f t="shared" si="181"/>
        <v>0.13316019003883056</v>
      </c>
      <c r="EP103" s="4">
        <f t="shared" si="182"/>
        <v>0.13316019003883056</v>
      </c>
      <c r="EQ103" s="4">
        <f t="shared" si="183"/>
        <v>0.41821512956856294</v>
      </c>
      <c r="ER103" s="4">
        <f t="shared" si="184"/>
        <v>5.1825733856788512</v>
      </c>
      <c r="ES103" s="4">
        <f t="shared" si="240"/>
        <v>6.3566254752196159</v>
      </c>
      <c r="ET103" s="4">
        <f t="shared" si="186"/>
        <v>190.85387337150533</v>
      </c>
      <c r="EU103" s="4">
        <f t="shared" si="187"/>
        <v>82.549999999999983</v>
      </c>
      <c r="EV103" s="4">
        <f t="shared" si="265"/>
        <v>2.3841003655999783E-5</v>
      </c>
      <c r="EW103" s="4">
        <f t="shared" si="241"/>
        <v>6.7197894855382199</v>
      </c>
      <c r="EX103" s="4">
        <f t="shared" si="189"/>
        <v>580.99319919745994</v>
      </c>
      <c r="EY103" s="4">
        <f t="shared" si="190"/>
        <v>190.85387337150533</v>
      </c>
      <c r="EZ103" s="4">
        <f t="shared" si="191"/>
        <v>82.550000000000011</v>
      </c>
      <c r="FB103" s="4">
        <f t="shared" si="266"/>
        <v>0</v>
      </c>
      <c r="FG103" s="23">
        <f t="shared" si="220"/>
        <v>2.2000000000000002</v>
      </c>
      <c r="FH103" s="23">
        <f t="shared" si="220"/>
        <v>2</v>
      </c>
      <c r="FI103" s="23">
        <f t="shared" si="234"/>
        <v>1.8</v>
      </c>
      <c r="FJ103" s="23">
        <f t="shared" si="221"/>
        <v>2.2000000000000002</v>
      </c>
      <c r="FK103" s="23">
        <f t="shared" si="221"/>
        <v>1.6</v>
      </c>
      <c r="FL103" s="23">
        <f t="shared" si="221"/>
        <v>1.8</v>
      </c>
      <c r="FM103" s="23">
        <f t="shared" si="222"/>
        <v>0</v>
      </c>
      <c r="FN103" s="23"/>
      <c r="FX103" s="4">
        <f t="shared" si="267"/>
        <v>1</v>
      </c>
      <c r="FY103" s="4">
        <f t="shared" si="308"/>
        <v>0.59000000000000008</v>
      </c>
      <c r="FZ103" s="4">
        <f t="shared" si="269"/>
        <v>0</v>
      </c>
      <c r="GA103" s="4">
        <f t="shared" si="270"/>
        <v>529.73798679831395</v>
      </c>
    </row>
    <row r="104" spans="1:183" s="19" customFormat="1" ht="12" customHeight="1" x14ac:dyDescent="0.3">
      <c r="A104" s="25">
        <v>86</v>
      </c>
      <c r="B104" s="20" t="s">
        <v>54</v>
      </c>
      <c r="C104" s="20">
        <v>2006</v>
      </c>
      <c r="D104" s="20" t="s">
        <v>293</v>
      </c>
      <c r="E104" s="20"/>
      <c r="F104" s="21" t="s">
        <v>77</v>
      </c>
      <c r="G104" s="21">
        <v>472</v>
      </c>
      <c r="H104" s="21">
        <f>K104*L104</f>
        <v>76.199999999999989</v>
      </c>
      <c r="I104" s="21">
        <f t="shared" si="134"/>
        <v>38.099999999999994</v>
      </c>
      <c r="J104" s="21">
        <v>26</v>
      </c>
      <c r="K104" s="7">
        <v>25.4</v>
      </c>
      <c r="L104" s="21">
        <v>3</v>
      </c>
      <c r="M104" s="21">
        <v>1.5</v>
      </c>
      <c r="N104" s="21">
        <f>25*25.4</f>
        <v>635</v>
      </c>
      <c r="O104" s="21">
        <f>0.5*(N104-15*K104-K104)</f>
        <v>114.3</v>
      </c>
      <c r="P104" s="21">
        <f>N104-6*K104-5*Q104</f>
        <v>228.60000000000002</v>
      </c>
      <c r="Q104" s="21">
        <f>2*25.4</f>
        <v>50.8</v>
      </c>
      <c r="R104" s="21">
        <v>3</v>
      </c>
      <c r="S104" s="21">
        <f>2.5*25.4-K104/2</f>
        <v>50.8</v>
      </c>
      <c r="T104" s="7">
        <f t="shared" si="309"/>
        <v>1.5</v>
      </c>
      <c r="U104" s="21">
        <f t="shared" ref="U104:U110" si="312">(S104+K104/2)/K104</f>
        <v>2.5</v>
      </c>
      <c r="V104" s="21">
        <v>1.18</v>
      </c>
      <c r="W104" s="7">
        <f t="shared" si="155"/>
        <v>1.18</v>
      </c>
      <c r="X104" s="21">
        <f t="shared" si="246"/>
        <v>2.1799999999999997</v>
      </c>
      <c r="Y104" s="21">
        <f t="shared" si="204"/>
        <v>37.502650572992827</v>
      </c>
      <c r="Z104" s="21"/>
      <c r="AA104" s="21"/>
      <c r="AB104" s="21">
        <v>62</v>
      </c>
      <c r="AC104" s="21"/>
      <c r="AD104" s="7">
        <f>CQ104</f>
        <v>0</v>
      </c>
      <c r="AE104" s="7">
        <v>0</v>
      </c>
      <c r="AF104" s="7">
        <v>0</v>
      </c>
      <c r="AG104" s="7">
        <f t="shared" si="289"/>
        <v>38.099999999999994</v>
      </c>
      <c r="AH104" s="7"/>
      <c r="AI104" s="7"/>
      <c r="AJ104" s="21"/>
      <c r="AK104" s="4">
        <f t="shared" si="283"/>
        <v>76.199999999999989</v>
      </c>
      <c r="AL104" s="44">
        <f>MIN(N104)*(MIN(254-S104-0.5*K104,1.5*AK104)+S104+K104/2)/(3*H104)^2</f>
        <v>2.1604938271604941</v>
      </c>
      <c r="AM104" s="25">
        <f t="shared" si="272"/>
        <v>22.312105854445715</v>
      </c>
      <c r="AN104" s="4">
        <f t="shared" si="273"/>
        <v>0.8666666666666667</v>
      </c>
      <c r="AO104" s="4">
        <v>1.25</v>
      </c>
      <c r="AP104" s="25">
        <v>5</v>
      </c>
      <c r="AQ104" s="38">
        <f t="shared" si="275"/>
        <v>261.11132108469138</v>
      </c>
      <c r="AR104" s="38">
        <f t="shared" si="276"/>
        <v>261.11132108469138</v>
      </c>
      <c r="AS104" s="38"/>
      <c r="AT104" s="38">
        <f t="shared" ref="AT104:AT121" si="313">AP104* (J104^0.5/AK104^0.5)/(PI()/4*K104^2)/R104/0.72 *(0.7+(MIN(O104,S104)+0.5*K104)/5/H104) *(N104*MIN(S104+0.5*K104+1.5*H104,254))</f>
        <v>261.11132108469127</v>
      </c>
      <c r="AU104" s="38">
        <f t="shared" si="247"/>
        <v>1.0000000000000004</v>
      </c>
      <c r="AV104" s="38"/>
      <c r="AW104" s="4"/>
      <c r="AX104" s="19">
        <f t="shared" si="224"/>
        <v>40.255417212574606</v>
      </c>
      <c r="AY104" s="19">
        <f t="shared" si="225"/>
        <v>1.2666666666666666</v>
      </c>
      <c r="AZ104" s="38">
        <f t="shared" si="277"/>
        <v>107.32427125305811</v>
      </c>
      <c r="BA104" s="19">
        <f t="shared" si="226"/>
        <v>0.83479999999999999</v>
      </c>
      <c r="BB104" s="19">
        <f t="shared" si="248"/>
        <v>17.558728646032431</v>
      </c>
      <c r="BC104" s="19">
        <f t="shared" si="249"/>
        <v>124.88299989909055</v>
      </c>
      <c r="BE104" s="36">
        <f>MAX(1, (0.9+0.1*MIN(2,O104/K104,Q104/K104))*(0.9+0.1*MIN(3.5,O104/Q104))+0.45*MIN(2.5,(40*2*PI()*AE104^2/4/AG104/R104)/K104))</f>
        <v>1.2375</v>
      </c>
      <c r="BF104" s="36">
        <f>(1.6*M104+22)*BE104*J104^0.5</f>
        <v>153.96489421293413</v>
      </c>
      <c r="BK104" s="4">
        <f t="shared" si="160"/>
        <v>31.799999999999997</v>
      </c>
      <c r="BL104" s="4">
        <f t="shared" si="161"/>
        <v>31.799999999999997</v>
      </c>
      <c r="BM104" s="4">
        <f t="shared" si="162"/>
        <v>50.8</v>
      </c>
      <c r="BN104" s="4">
        <f t="shared" si="163"/>
        <v>44.5</v>
      </c>
      <c r="BO104" s="4">
        <f t="shared" si="164"/>
        <v>1.0597484276729561</v>
      </c>
      <c r="BP104" s="25">
        <f>MIN(4, (BN104*BO104+(6*J104^0.5*(0.03*K104+0.22)*(AE104^2/4*PI())*2/AG104/R104))/K104)</f>
        <v>1.8566458673797854</v>
      </c>
      <c r="BQ104" s="4"/>
      <c r="BR104" s="19">
        <f t="shared" si="165"/>
        <v>25.4</v>
      </c>
      <c r="BV104" s="18"/>
      <c r="BX104" s="18"/>
      <c r="BY104" s="18"/>
      <c r="BZ104" s="18">
        <f t="shared" si="235"/>
        <v>25.4</v>
      </c>
      <c r="CA104" s="18">
        <f t="shared" si="236"/>
        <v>114.3</v>
      </c>
      <c r="CB104" s="18">
        <f t="shared" si="252"/>
        <v>1.2530888829563018</v>
      </c>
      <c r="CC104" s="9">
        <v>0</v>
      </c>
      <c r="CD104" s="18">
        <f t="shared" si="311"/>
        <v>0</v>
      </c>
      <c r="CE104" s="18">
        <f t="shared" si="253"/>
        <v>0</v>
      </c>
      <c r="CF104" s="18">
        <f t="shared" si="237"/>
        <v>0.99524931562137331</v>
      </c>
      <c r="CG104" s="18">
        <f t="shared" si="238"/>
        <v>1.056</v>
      </c>
      <c r="CH104" s="18">
        <f t="shared" si="254"/>
        <v>1.8756444837875041</v>
      </c>
      <c r="CI104" s="18">
        <f t="shared" si="255"/>
        <v>2.3503492510124331</v>
      </c>
      <c r="CJ104" s="9">
        <v>1</v>
      </c>
      <c r="CK104" s="18">
        <f t="shared" si="256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71"/>
        <v>0</v>
      </c>
      <c r="DI104" s="4">
        <f t="shared" si="172"/>
        <v>76.199999999999989</v>
      </c>
      <c r="DJ104" s="4">
        <f t="shared" si="173"/>
        <v>0.5</v>
      </c>
      <c r="DL104" s="4">
        <f t="shared" si="174"/>
        <v>5.2031648625625478E-6</v>
      </c>
      <c r="DM104" s="4">
        <f t="shared" si="175"/>
        <v>3.4568864757817224</v>
      </c>
      <c r="DN104" s="4"/>
      <c r="DO104" s="4"/>
      <c r="DP104" s="4"/>
      <c r="DQ104" s="4"/>
      <c r="DR104" s="38">
        <f t="shared" si="279"/>
        <v>240.39693556508263</v>
      </c>
      <c r="DS104" s="4">
        <f t="shared" si="260"/>
        <v>0.85294201502455413</v>
      </c>
      <c r="DT104" s="4"/>
      <c r="DU104" s="4">
        <f t="shared" si="280"/>
        <v>261.11132108469127</v>
      </c>
      <c r="DY104" s="19">
        <f t="shared" si="239"/>
        <v>0.85</v>
      </c>
      <c r="DZ104" s="19">
        <f t="shared" si="261"/>
        <v>1</v>
      </c>
      <c r="EA104" s="19">
        <f t="shared" si="262"/>
        <v>1</v>
      </c>
      <c r="EB104" s="19">
        <f t="shared" si="263"/>
        <v>1</v>
      </c>
      <c r="ED104" s="4">
        <f t="shared" si="281"/>
        <v>367.36566045820871</v>
      </c>
      <c r="EE104" s="25">
        <f>8.8*N104*254*J104^0.5/R104/K104^2/H104^0.5*(0.7+MIN(S104,O104)/5/H104)</f>
        <v>356.96806769578183</v>
      </c>
      <c r="EH104" s="4">
        <f>EI104</f>
        <v>3.4568864757817224</v>
      </c>
      <c r="EI104" s="4">
        <f t="shared" si="178"/>
        <v>3.4568864757817224</v>
      </c>
      <c r="EK104" s="4">
        <f t="shared" si="179"/>
        <v>37.502650572992827</v>
      </c>
      <c r="EL104" s="4">
        <f t="shared" si="180"/>
        <v>1.4764823060233399</v>
      </c>
      <c r="EM104" s="4">
        <f t="shared" si="181"/>
        <v>0.34627499069050011</v>
      </c>
      <c r="EP104" s="19">
        <f t="shared" si="182"/>
        <v>0.34627499069050011</v>
      </c>
      <c r="EQ104" s="19">
        <f t="shared" si="183"/>
        <v>0.999</v>
      </c>
      <c r="ER104" s="4">
        <f t="shared" si="184"/>
        <v>3.455503306143648</v>
      </c>
      <c r="ES104" s="19">
        <f t="shared" si="240"/>
        <v>3.4561949601557549</v>
      </c>
      <c r="ET104" s="4">
        <f t="shared" si="186"/>
        <v>19.647349427007164</v>
      </c>
      <c r="EU104" s="4">
        <f t="shared" si="187"/>
        <v>19.049999999999997</v>
      </c>
      <c r="EV104" s="19">
        <f t="shared" si="265"/>
        <v>5.2031648625625478E-6</v>
      </c>
      <c r="EW104" s="19">
        <f t="shared" si="241"/>
        <v>3.4486002130471327</v>
      </c>
      <c r="EX104" s="4">
        <f t="shared" si="189"/>
        <v>281.84440598598275</v>
      </c>
      <c r="EY104" s="4">
        <f t="shared" si="190"/>
        <v>0.59734942700716687</v>
      </c>
      <c r="EZ104" s="4">
        <f t="shared" si="191"/>
        <v>0</v>
      </c>
      <c r="FA104" s="4"/>
      <c r="FB104" s="4">
        <f t="shared" si="266"/>
        <v>20.714385519608641</v>
      </c>
      <c r="FG104" s="23"/>
      <c r="FH104" s="23"/>
      <c r="FI104" s="23"/>
      <c r="FJ104" s="23"/>
      <c r="FK104" s="23"/>
      <c r="FL104" s="23"/>
      <c r="FM104" s="23"/>
      <c r="FN104" s="22"/>
      <c r="FX104" s="4">
        <f t="shared" si="267"/>
        <v>1</v>
      </c>
      <c r="FY104" s="4">
        <f t="shared" si="308"/>
        <v>0.75</v>
      </c>
      <c r="FZ104" s="4">
        <f t="shared" si="269"/>
        <v>0</v>
      </c>
      <c r="GA104" s="4">
        <f t="shared" si="270"/>
        <v>90.06708039606265</v>
      </c>
    </row>
    <row r="105" spans="1:183" s="19" customFormat="1" ht="12" customHeight="1" x14ac:dyDescent="0.3">
      <c r="A105" s="25">
        <v>87</v>
      </c>
      <c r="B105" s="20" t="s">
        <v>54</v>
      </c>
      <c r="C105" s="20">
        <v>2006</v>
      </c>
      <c r="D105" s="20" t="s">
        <v>293</v>
      </c>
      <c r="E105" s="20"/>
      <c r="F105" s="21" t="s">
        <v>77</v>
      </c>
      <c r="G105" s="21">
        <v>472</v>
      </c>
      <c r="H105" s="21">
        <f>K105*L105</f>
        <v>127</v>
      </c>
      <c r="I105" s="21">
        <f t="shared" si="134"/>
        <v>76.199999999999989</v>
      </c>
      <c r="J105" s="21">
        <v>26</v>
      </c>
      <c r="K105" s="7">
        <v>25.4</v>
      </c>
      <c r="L105" s="21">
        <v>5</v>
      </c>
      <c r="M105" s="21">
        <v>3</v>
      </c>
      <c r="N105" s="21">
        <f>36*25.4</f>
        <v>914.4</v>
      </c>
      <c r="O105" s="21">
        <f>0.5*(N105-25*K105-K105)</f>
        <v>126.99999999999999</v>
      </c>
      <c r="P105" s="21">
        <f>N104-15*25.4-25.4</f>
        <v>228.6</v>
      </c>
      <c r="Q105" s="21">
        <f t="shared" ref="Q105:Q122" si="314">4*25.4</f>
        <v>101.6</v>
      </c>
      <c r="R105" s="21">
        <v>3</v>
      </c>
      <c r="S105" s="21">
        <f t="shared" ref="S105:S122" si="315">2.5*25.4-K105/2</f>
        <v>50.8</v>
      </c>
      <c r="T105" s="7">
        <f t="shared" si="309"/>
        <v>2.5</v>
      </c>
      <c r="U105" s="21">
        <f t="shared" si="312"/>
        <v>2.5</v>
      </c>
      <c r="V105" s="21">
        <v>1.18</v>
      </c>
      <c r="W105" s="7">
        <f t="shared" si="155"/>
        <v>1.18</v>
      </c>
      <c r="X105" s="21">
        <f t="shared" si="246"/>
        <v>2.1799999999999997</v>
      </c>
      <c r="Y105" s="21">
        <f t="shared" si="204"/>
        <v>37.502650572992827</v>
      </c>
      <c r="Z105" s="21"/>
      <c r="AA105" s="21"/>
      <c r="AB105" s="21">
        <v>92</v>
      </c>
      <c r="AC105" s="21"/>
      <c r="AD105" s="21"/>
      <c r="AE105" s="7">
        <v>0</v>
      </c>
      <c r="AF105" s="7">
        <v>0</v>
      </c>
      <c r="AG105" s="7">
        <f t="shared" si="289"/>
        <v>76.199999999999989</v>
      </c>
      <c r="AH105" s="7"/>
      <c r="AI105" s="7"/>
      <c r="AJ105" s="21"/>
      <c r="AK105" s="4">
        <f t="shared" si="283"/>
        <v>127</v>
      </c>
      <c r="AL105" s="44">
        <f t="shared" ref="AL105:AL122" si="316">MIN(N105)*(MIN(254-S105-0.5*K105,1.5*AK105)+S105+K105/2)/(3*H105)^2</f>
        <v>1.6</v>
      </c>
      <c r="AM105" s="25">
        <f t="shared" si="272"/>
        <v>48.008007996158454</v>
      </c>
      <c r="AN105" s="4">
        <f t="shared" si="273"/>
        <v>0.79999999999999993</v>
      </c>
      <c r="AO105" s="4">
        <v>1.25</v>
      </c>
      <c r="AP105" s="25">
        <f>AP104</f>
        <v>5</v>
      </c>
      <c r="AQ105" s="38">
        <f t="shared" si="275"/>
        <v>384.06406396926764</v>
      </c>
      <c r="AR105" s="38">
        <f t="shared" si="276"/>
        <v>384.06406396926764</v>
      </c>
      <c r="AS105" s="38"/>
      <c r="AT105" s="38">
        <f t="shared" si="313"/>
        <v>384.06406396926775</v>
      </c>
      <c r="AU105" s="38">
        <f t="shared" si="247"/>
        <v>0.99999999999999967</v>
      </c>
      <c r="AV105" s="38"/>
      <c r="AW105" s="4"/>
      <c r="AX105" s="19">
        <f t="shared" si="224"/>
        <v>80.510834425149213</v>
      </c>
      <c r="AY105" s="19">
        <f t="shared" si="225"/>
        <v>1</v>
      </c>
      <c r="AZ105" s="38">
        <f t="shared" si="277"/>
        <v>141.2161463856028</v>
      </c>
      <c r="BA105" s="19">
        <f t="shared" si="226"/>
        <v>0.83479999999999999</v>
      </c>
      <c r="BB105" s="19">
        <f t="shared" si="248"/>
        <v>35.117457292064863</v>
      </c>
      <c r="BC105" s="19">
        <f t="shared" si="249"/>
        <v>176.33360367766767</v>
      </c>
      <c r="BE105" s="36">
        <f t="shared" ref="BE105:BE152" si="317">MAX(1, (0.9+0.1*MIN(2,O105/K105,Q105/K105))*(0.9+0.1*MIN(3.5,O105/Q105))+0.45*MIN(2.5,(40*2*PI()*AE105^2/4/AG105/R105)/K105))</f>
        <v>1.1274999999999999</v>
      </c>
      <c r="BF105" s="36">
        <f t="shared" ref="BF105:BF152" si="318">(1.6*M105+22)*BE105*J105^0.5</f>
        <v>154.07707264223316</v>
      </c>
      <c r="BK105" s="4">
        <f t="shared" si="160"/>
        <v>57.199999999999996</v>
      </c>
      <c r="BL105" s="4">
        <f t="shared" si="161"/>
        <v>50.8</v>
      </c>
      <c r="BM105" s="4">
        <f t="shared" si="162"/>
        <v>57.199999999999996</v>
      </c>
      <c r="BN105" s="4">
        <f t="shared" si="163"/>
        <v>63.5</v>
      </c>
      <c r="BO105" s="4">
        <f t="shared" si="164"/>
        <v>1.0125984251968505</v>
      </c>
      <c r="BP105" s="25">
        <f t="shared" si="278"/>
        <v>2.5314960629921264</v>
      </c>
      <c r="BQ105" s="4"/>
      <c r="BR105" s="19">
        <f t="shared" si="165"/>
        <v>50.8</v>
      </c>
      <c r="BV105" s="18"/>
      <c r="BX105" s="18"/>
      <c r="BY105" s="18"/>
      <c r="BZ105" s="18">
        <f t="shared" si="235"/>
        <v>50.8</v>
      </c>
      <c r="CA105" s="18">
        <f t="shared" si="236"/>
        <v>126.99999999999999</v>
      </c>
      <c r="CB105" s="18">
        <f t="shared" si="252"/>
        <v>1.622579553879709</v>
      </c>
      <c r="CC105" s="9">
        <v>0</v>
      </c>
      <c r="CD105" s="18">
        <f t="shared" si="311"/>
        <v>0</v>
      </c>
      <c r="CE105" s="18">
        <f t="shared" si="253"/>
        <v>0</v>
      </c>
      <c r="CF105" s="18">
        <f t="shared" si="237"/>
        <v>0.99524931562137331</v>
      </c>
      <c r="CG105" s="18">
        <f t="shared" si="238"/>
        <v>1.056</v>
      </c>
      <c r="CH105" s="18">
        <f t="shared" si="254"/>
        <v>1.8756444837875041</v>
      </c>
      <c r="CI105" s="18">
        <f t="shared" si="255"/>
        <v>3.0433823897408656</v>
      </c>
      <c r="CJ105" s="9">
        <v>1</v>
      </c>
      <c r="CK105" s="18">
        <f t="shared" si="256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71"/>
        <v>0</v>
      </c>
      <c r="DI105" s="4">
        <f t="shared" si="172"/>
        <v>127</v>
      </c>
      <c r="DJ105" s="4">
        <f t="shared" si="173"/>
        <v>0.59999999999999987</v>
      </c>
      <c r="DL105" s="4">
        <f t="shared" si="174"/>
        <v>8.6719414376042473E-6</v>
      </c>
      <c r="DM105" s="4">
        <f t="shared" si="175"/>
        <v>4.7133891591304096</v>
      </c>
      <c r="DN105" s="4"/>
      <c r="DO105" s="4"/>
      <c r="DP105" s="4"/>
      <c r="DQ105" s="4"/>
      <c r="DR105" s="38">
        <f t="shared" si="279"/>
        <v>346.57353989636255</v>
      </c>
      <c r="DS105" s="4">
        <f t="shared" si="260"/>
        <v>0.78658049329536572</v>
      </c>
      <c r="DT105" s="4"/>
      <c r="DU105" s="4">
        <f t="shared" si="280"/>
        <v>384.06406396926775</v>
      </c>
      <c r="DY105" s="19">
        <f t="shared" si="239"/>
        <v>0.85</v>
      </c>
      <c r="DZ105" s="19">
        <f t="shared" si="261"/>
        <v>0.9</v>
      </c>
      <c r="EA105" s="19">
        <f t="shared" si="262"/>
        <v>1</v>
      </c>
      <c r="EB105" s="19">
        <f t="shared" si="263"/>
        <v>0.9</v>
      </c>
      <c r="ED105" s="4">
        <f t="shared" si="281"/>
        <v>405.89653271199688</v>
      </c>
      <c r="EE105" s="25">
        <f>8.8*N105*254*J105^0.5/R105/K105^2/H105^0.5*(0.7+MIN(S105,O105)/5/H105)</f>
        <v>372.68621939794593</v>
      </c>
      <c r="EH105" s="4">
        <f t="shared" ref="EH105:EH152" si="319">EI105</f>
        <v>4.7133891591304096</v>
      </c>
      <c r="EI105" s="4">
        <f t="shared" si="178"/>
        <v>4.7133891591304096</v>
      </c>
      <c r="EK105" s="4">
        <f t="shared" si="179"/>
        <v>37.502650572992827</v>
      </c>
      <c r="EL105" s="4">
        <f t="shared" si="180"/>
        <v>1.4764823060233399</v>
      </c>
      <c r="EM105" s="4">
        <f t="shared" si="181"/>
        <v>0.5093298123691008</v>
      </c>
      <c r="EP105" s="19">
        <f t="shared" si="182"/>
        <v>0.5093298123691008</v>
      </c>
      <c r="EQ105" s="19">
        <f t="shared" si="183"/>
        <v>0.999</v>
      </c>
      <c r="ER105" s="4">
        <f t="shared" si="184"/>
        <v>4.7115032375582047</v>
      </c>
      <c r="ES105" s="19">
        <f t="shared" si="240"/>
        <v>4.7124462926875461</v>
      </c>
      <c r="ET105" s="4">
        <f t="shared" si="186"/>
        <v>57.747349427007173</v>
      </c>
      <c r="EU105" s="4">
        <f t="shared" si="187"/>
        <v>31.750000000000007</v>
      </c>
      <c r="EV105" s="19">
        <f t="shared" si="265"/>
        <v>8.6719414376042506E-6</v>
      </c>
      <c r="EW105" s="19">
        <f t="shared" si="241"/>
        <v>4.6706370389684988</v>
      </c>
      <c r="EX105" s="4">
        <f t="shared" si="189"/>
        <v>440.60784986466996</v>
      </c>
      <c r="EY105" s="4">
        <f t="shared" si="190"/>
        <v>38.697349427007161</v>
      </c>
      <c r="EZ105" s="4">
        <f t="shared" si="191"/>
        <v>0</v>
      </c>
      <c r="FA105" s="4"/>
      <c r="FB105" s="4">
        <f t="shared" si="266"/>
        <v>37.490524072905203</v>
      </c>
      <c r="FG105" s="23"/>
      <c r="FH105" s="23"/>
      <c r="FI105" s="23"/>
      <c r="FJ105" s="23"/>
      <c r="FK105" s="23"/>
      <c r="FL105" s="23"/>
      <c r="FM105" s="23"/>
      <c r="FN105" s="22"/>
      <c r="FX105" s="4">
        <f t="shared" si="267"/>
        <v>1</v>
      </c>
      <c r="FY105" s="4">
        <f t="shared" si="308"/>
        <v>0.65</v>
      </c>
      <c r="FZ105" s="4">
        <f t="shared" si="269"/>
        <v>0</v>
      </c>
      <c r="GA105" s="4">
        <f t="shared" si="270"/>
        <v>173.20592383858204</v>
      </c>
    </row>
    <row r="106" spans="1:183" s="19" customFormat="1" ht="12" customHeight="1" x14ac:dyDescent="0.3">
      <c r="A106" s="25">
        <v>88</v>
      </c>
      <c r="B106" s="20" t="s">
        <v>54</v>
      </c>
      <c r="C106" s="20">
        <v>2006</v>
      </c>
      <c r="D106" s="20" t="s">
        <v>293</v>
      </c>
      <c r="E106" s="20"/>
      <c r="F106" s="21" t="s">
        <v>79</v>
      </c>
      <c r="G106" s="21">
        <v>472</v>
      </c>
      <c r="H106" s="21">
        <f t="shared" ref="H106:H146" si="320">K106*L106</f>
        <v>127</v>
      </c>
      <c r="I106" s="21">
        <f t="shared" si="134"/>
        <v>76.199999999999989</v>
      </c>
      <c r="J106" s="21">
        <v>26</v>
      </c>
      <c r="K106" s="7">
        <v>25.4</v>
      </c>
      <c r="L106" s="21">
        <v>5</v>
      </c>
      <c r="M106" s="21">
        <v>3</v>
      </c>
      <c r="N106" s="21">
        <f>36*25.4</f>
        <v>914.4</v>
      </c>
      <c r="O106" s="21">
        <f t="shared" ref="O106:O122" si="321">5*25.4</f>
        <v>127</v>
      </c>
      <c r="P106" s="21"/>
      <c r="Q106" s="21">
        <f>10*25.4-1.5*K106-Y106/2</f>
        <v>197.1486747135036</v>
      </c>
      <c r="R106" s="21">
        <v>3</v>
      </c>
      <c r="S106" s="21">
        <f t="shared" si="315"/>
        <v>50.8</v>
      </c>
      <c r="T106" s="7">
        <f t="shared" si="309"/>
        <v>2.5</v>
      </c>
      <c r="U106" s="10">
        <f>(O106+K106/2)/K106</f>
        <v>5.5</v>
      </c>
      <c r="V106" s="21">
        <v>1.18</v>
      </c>
      <c r="W106" s="7">
        <f t="shared" si="155"/>
        <v>1.18</v>
      </c>
      <c r="X106" s="21">
        <f t="shared" si="246"/>
        <v>2.1799999999999997</v>
      </c>
      <c r="Y106" s="21">
        <f t="shared" si="204"/>
        <v>37.502650572992827</v>
      </c>
      <c r="Z106" s="21"/>
      <c r="AA106" s="21"/>
      <c r="AB106" s="21">
        <v>121</v>
      </c>
      <c r="AC106" s="21"/>
      <c r="AD106" s="21"/>
      <c r="AE106" s="7">
        <v>0</v>
      </c>
      <c r="AF106" s="7">
        <v>0</v>
      </c>
      <c r="AG106" s="7">
        <f t="shared" si="289"/>
        <v>76.199999999999989</v>
      </c>
      <c r="AH106" s="7"/>
      <c r="AI106" s="7"/>
      <c r="AJ106" s="21"/>
      <c r="AK106" s="4">
        <f t="shared" si="283"/>
        <v>127</v>
      </c>
      <c r="AL106" s="44">
        <f t="shared" si="316"/>
        <v>1.6</v>
      </c>
      <c r="AM106" s="25">
        <f t="shared" si="272"/>
        <v>48.008007996158454</v>
      </c>
      <c r="AN106" s="4">
        <f t="shared" si="273"/>
        <v>0.79999999999999993</v>
      </c>
      <c r="AO106" s="4">
        <v>1.25</v>
      </c>
      <c r="AP106" s="25">
        <f t="shared" ref="AP106:AP152" si="322">AP105</f>
        <v>5</v>
      </c>
      <c r="AQ106" s="38">
        <f t="shared" si="275"/>
        <v>384.06406396926764</v>
      </c>
      <c r="AR106" s="38">
        <f t="shared" si="276"/>
        <v>384.06406396926764</v>
      </c>
      <c r="AS106" s="38"/>
      <c r="AT106" s="38">
        <f t="shared" si="313"/>
        <v>384.06406396926775</v>
      </c>
      <c r="AU106" s="38">
        <f t="shared" si="247"/>
        <v>0.99999999999999967</v>
      </c>
      <c r="AV106" s="38"/>
      <c r="AW106" s="4"/>
      <c r="AX106" s="19">
        <f t="shared" si="224"/>
        <v>80.510834425149213</v>
      </c>
      <c r="AY106" s="19">
        <f t="shared" si="225"/>
        <v>1.48</v>
      </c>
      <c r="AZ106" s="38">
        <f t="shared" si="277"/>
        <v>208.99989665069214</v>
      </c>
      <c r="BA106" s="19">
        <f t="shared" si="226"/>
        <v>0.83479999999999999</v>
      </c>
      <c r="BB106" s="19">
        <f t="shared" si="248"/>
        <v>35.117457292064863</v>
      </c>
      <c r="BC106" s="19">
        <f t="shared" si="249"/>
        <v>244.11735394275701</v>
      </c>
      <c r="BE106" s="36">
        <f t="shared" si="317"/>
        <v>1.060860227796617</v>
      </c>
      <c r="BF106" s="36">
        <f t="shared" si="318"/>
        <v>144.97049967314891</v>
      </c>
      <c r="BK106" s="4">
        <f t="shared" si="160"/>
        <v>104.9743373567518</v>
      </c>
      <c r="BL106" s="4">
        <f t="shared" si="161"/>
        <v>50.8</v>
      </c>
      <c r="BM106" s="4">
        <f t="shared" si="162"/>
        <v>104.9743373567518</v>
      </c>
      <c r="BN106" s="4">
        <f t="shared" si="163"/>
        <v>63.5</v>
      </c>
      <c r="BO106" s="4">
        <f t="shared" si="164"/>
        <v>1.1066423963715586</v>
      </c>
      <c r="BP106" s="25">
        <f t="shared" si="278"/>
        <v>2.7666059909288965</v>
      </c>
      <c r="BQ106" s="4"/>
      <c r="BR106" s="19">
        <f t="shared" si="165"/>
        <v>98.574337356751798</v>
      </c>
      <c r="BV106" s="18"/>
      <c r="BX106" s="18"/>
      <c r="BY106" s="18"/>
      <c r="BZ106" s="18">
        <f t="shared" si="235"/>
        <v>98.574337356751798</v>
      </c>
      <c r="CA106" s="18">
        <f t="shared" si="236"/>
        <v>127</v>
      </c>
      <c r="CB106" s="18">
        <f t="shared" si="252"/>
        <v>2.0463082399363279</v>
      </c>
      <c r="CC106" s="9">
        <v>0</v>
      </c>
      <c r="CD106" s="18">
        <f t="shared" si="311"/>
        <v>0</v>
      </c>
      <c r="CE106" s="18">
        <f t="shared" si="253"/>
        <v>0</v>
      </c>
      <c r="CF106" s="18">
        <f t="shared" si="237"/>
        <v>0.99524931562137331</v>
      </c>
      <c r="CG106" s="18">
        <f t="shared" si="238"/>
        <v>1.056</v>
      </c>
      <c r="CH106" s="18">
        <f t="shared" si="254"/>
        <v>1.8756444837875041</v>
      </c>
      <c r="CI106" s="18">
        <f t="shared" si="255"/>
        <v>3.8381467623654899</v>
      </c>
      <c r="CJ106" s="9">
        <v>1</v>
      </c>
      <c r="CK106" s="18">
        <f t="shared" si="256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71"/>
        <v>0</v>
      </c>
      <c r="DI106" s="4">
        <f t="shared" si="172"/>
        <v>127</v>
      </c>
      <c r="DJ106" s="4">
        <f t="shared" si="173"/>
        <v>0.59999999999999987</v>
      </c>
      <c r="DL106" s="4">
        <f t="shared" si="174"/>
        <v>8.6719414376042473E-6</v>
      </c>
      <c r="DM106" s="4">
        <f t="shared" si="175"/>
        <v>5.1511400218480468</v>
      </c>
      <c r="DN106" s="4"/>
      <c r="DO106" s="4"/>
      <c r="DP106" s="4"/>
      <c r="DQ106" s="4"/>
      <c r="DR106" s="38">
        <f t="shared" si="279"/>
        <v>343.11331433873033</v>
      </c>
      <c r="DS106" s="4">
        <f t="shared" si="260"/>
        <v>0.76955514978126882</v>
      </c>
      <c r="DT106" s="4"/>
      <c r="DU106" s="4">
        <f t="shared" si="280"/>
        <v>384.06406396926775</v>
      </c>
      <c r="DY106" s="19">
        <f t="shared" si="239"/>
        <v>1</v>
      </c>
      <c r="DZ106" s="19">
        <f t="shared" si="261"/>
        <v>0.71191205765058341</v>
      </c>
      <c r="EA106" s="19">
        <f t="shared" si="262"/>
        <v>1</v>
      </c>
      <c r="EB106" s="19">
        <f t="shared" si="263"/>
        <v>0.71191205765058341</v>
      </c>
      <c r="ED106" s="4">
        <f t="shared" si="281"/>
        <v>409.00257009512922</v>
      </c>
      <c r="EE106" s="25">
        <f t="shared" ref="EE106:EE122" si="323">8.8*N106*254*J106^0.5/R106/K106^2/H106^0.5*(0.7+MIN(S106,O106)/5/H106)</f>
        <v>372.68621939794593</v>
      </c>
      <c r="EH106" s="4">
        <f t="shared" si="319"/>
        <v>5.1511400218480468</v>
      </c>
      <c r="EI106" s="4">
        <f t="shared" si="178"/>
        <v>5.1511400218480468</v>
      </c>
      <c r="EK106" s="4">
        <f t="shared" si="179"/>
        <v>37.502650572992827</v>
      </c>
      <c r="EL106" s="4">
        <f t="shared" si="180"/>
        <v>1.4764823060233399</v>
      </c>
      <c r="EM106" s="4">
        <f t="shared" si="181"/>
        <v>0.5093298123691008</v>
      </c>
      <c r="EP106" s="19">
        <f t="shared" si="182"/>
        <v>0.5093298123691008</v>
      </c>
      <c r="EQ106" s="19">
        <f t="shared" si="183"/>
        <v>0.999</v>
      </c>
      <c r="ER106" s="4">
        <f t="shared" si="184"/>
        <v>5.1490789473726171</v>
      </c>
      <c r="ES106" s="19">
        <f t="shared" si="240"/>
        <v>5.1501095877155967</v>
      </c>
      <c r="ET106" s="4">
        <f t="shared" si="186"/>
        <v>57.747349427007173</v>
      </c>
      <c r="EU106" s="4">
        <f t="shared" si="187"/>
        <v>31.750000000000007</v>
      </c>
      <c r="EV106" s="19">
        <f t="shared" si="265"/>
        <v>8.6719414376042506E-6</v>
      </c>
      <c r="EW106" s="19">
        <f t="shared" si="241"/>
        <v>5.1000841734781224</v>
      </c>
      <c r="EX106" s="4">
        <f t="shared" si="189"/>
        <v>445.85929213293377</v>
      </c>
      <c r="EY106" s="4">
        <f t="shared" si="190"/>
        <v>38.697349427007161</v>
      </c>
      <c r="EZ106" s="4">
        <f t="shared" si="191"/>
        <v>0</v>
      </c>
      <c r="FA106" s="4"/>
      <c r="FB106" s="4">
        <f t="shared" si="266"/>
        <v>40.950749630537416</v>
      </c>
      <c r="FG106" s="23"/>
      <c r="FH106" s="23"/>
      <c r="FI106" s="23"/>
      <c r="FJ106" s="23"/>
      <c r="FK106" s="23"/>
      <c r="FL106" s="23"/>
      <c r="FM106" s="23"/>
      <c r="FN106" s="22"/>
      <c r="FX106" s="4">
        <f t="shared" si="267"/>
        <v>1</v>
      </c>
      <c r="FY106" s="4">
        <f t="shared" si="308"/>
        <v>0.5</v>
      </c>
      <c r="FZ106" s="4">
        <f t="shared" si="269"/>
        <v>0</v>
      </c>
      <c r="GA106" s="4">
        <f t="shared" si="270"/>
        <v>225.16770099015665</v>
      </c>
    </row>
    <row r="107" spans="1:183" ht="12" customHeight="1" x14ac:dyDescent="0.3">
      <c r="A107" s="25">
        <v>89</v>
      </c>
      <c r="B107" s="20" t="s">
        <v>54</v>
      </c>
      <c r="C107" s="20">
        <v>2006</v>
      </c>
      <c r="D107" s="20" t="s">
        <v>293</v>
      </c>
      <c r="E107" s="24"/>
      <c r="F107" s="7" t="s">
        <v>77</v>
      </c>
      <c r="G107" s="7">
        <v>472</v>
      </c>
      <c r="H107" s="7">
        <f t="shared" si="320"/>
        <v>203.2</v>
      </c>
      <c r="I107" s="7">
        <f t="shared" si="134"/>
        <v>152.39999999999998</v>
      </c>
      <c r="J107" s="7">
        <v>28</v>
      </c>
      <c r="K107" s="7">
        <v>25.4</v>
      </c>
      <c r="L107" s="7">
        <v>8</v>
      </c>
      <c r="M107" s="7">
        <v>6</v>
      </c>
      <c r="N107" s="7">
        <f>36*25.4</f>
        <v>914.4</v>
      </c>
      <c r="O107" s="7">
        <f t="shared" si="321"/>
        <v>127</v>
      </c>
      <c r="P107" s="7"/>
      <c r="Q107" s="7">
        <f t="shared" si="314"/>
        <v>101.6</v>
      </c>
      <c r="R107" s="7">
        <v>3</v>
      </c>
      <c r="S107" s="7">
        <f t="shared" si="315"/>
        <v>50.8</v>
      </c>
      <c r="T107" s="7">
        <f t="shared" si="309"/>
        <v>2.5</v>
      </c>
      <c r="U107" s="7">
        <f t="shared" si="312"/>
        <v>2.5</v>
      </c>
      <c r="V107" s="7">
        <v>1.18</v>
      </c>
      <c r="W107" s="7">
        <f t="shared" si="155"/>
        <v>1.18</v>
      </c>
      <c r="X107" s="7">
        <f t="shared" si="246"/>
        <v>2.1799999999999997</v>
      </c>
      <c r="Y107" s="7">
        <f t="shared" si="204"/>
        <v>37.502650572992827</v>
      </c>
      <c r="Z107" s="7"/>
      <c r="AA107" s="7"/>
      <c r="AB107" s="7">
        <v>182</v>
      </c>
      <c r="AC107" s="7"/>
      <c r="AD107" s="7"/>
      <c r="AE107" s="7">
        <v>0</v>
      </c>
      <c r="AF107" s="7">
        <v>0</v>
      </c>
      <c r="AG107" s="7">
        <f t="shared" si="289"/>
        <v>152.39999999999998</v>
      </c>
      <c r="AH107" s="7"/>
      <c r="AI107" s="7"/>
      <c r="AJ107" s="7"/>
      <c r="AK107" s="4">
        <f t="shared" si="283"/>
        <v>203.2</v>
      </c>
      <c r="AL107" s="44">
        <f t="shared" si="316"/>
        <v>0.62500000000000011</v>
      </c>
      <c r="AM107" s="25">
        <f t="shared" si="272"/>
        <v>100.82912578615378</v>
      </c>
      <c r="AN107" s="4">
        <f t="shared" si="273"/>
        <v>0.76249999999999996</v>
      </c>
      <c r="AO107" s="4">
        <v>1.25</v>
      </c>
      <c r="AP107" s="25">
        <f t="shared" si="322"/>
        <v>5</v>
      </c>
      <c r="AQ107" s="38">
        <f t="shared" si="275"/>
        <v>300.32112660914947</v>
      </c>
      <c r="AR107" s="38">
        <f t="shared" si="276"/>
        <v>300.32112660914947</v>
      </c>
      <c r="AT107" s="38">
        <f t="shared" si="313"/>
        <v>300.32112660914959</v>
      </c>
      <c r="AU107" s="38">
        <f t="shared" si="247"/>
        <v>0.99999999999999967</v>
      </c>
      <c r="AX107" s="4">
        <f t="shared" si="224"/>
        <v>167.10008280407939</v>
      </c>
      <c r="AY107" s="4">
        <f t="shared" si="225"/>
        <v>1</v>
      </c>
      <c r="AZ107" s="38">
        <f t="shared" si="277"/>
        <v>152.078926876803</v>
      </c>
      <c r="BA107" s="4">
        <f t="shared" si="226"/>
        <v>0.83479999999999999</v>
      </c>
      <c r="BB107" s="4">
        <f t="shared" si="248"/>
        <v>72.886215417731762</v>
      </c>
      <c r="BC107" s="4">
        <f t="shared" si="249"/>
        <v>224.96514229453476</v>
      </c>
      <c r="BE107" s="36">
        <f t="shared" si="317"/>
        <v>1.1274999999999999</v>
      </c>
      <c r="BF107" s="36">
        <f t="shared" si="318"/>
        <v>188.53094692384059</v>
      </c>
      <c r="BK107" s="4">
        <f t="shared" si="160"/>
        <v>57.199999999999996</v>
      </c>
      <c r="BL107" s="4">
        <f t="shared" si="161"/>
        <v>50.8</v>
      </c>
      <c r="BM107" s="4">
        <f t="shared" si="162"/>
        <v>57.199999999999996</v>
      </c>
      <c r="BN107" s="4">
        <f t="shared" si="163"/>
        <v>63.5</v>
      </c>
      <c r="BO107" s="4">
        <f t="shared" si="164"/>
        <v>1.0125984251968505</v>
      </c>
      <c r="BP107" s="25">
        <f t="shared" si="278"/>
        <v>2.5314960629921264</v>
      </c>
      <c r="BR107" s="4">
        <f t="shared" si="165"/>
        <v>50.8</v>
      </c>
      <c r="BV107" s="9"/>
      <c r="BX107" s="9"/>
      <c r="BY107" s="9"/>
      <c r="BZ107" s="9">
        <f t="shared" si="235"/>
        <v>50.8</v>
      </c>
      <c r="CA107" s="9">
        <f t="shared" si="236"/>
        <v>127</v>
      </c>
      <c r="CB107" s="9">
        <f t="shared" si="252"/>
        <v>1.622579553879709</v>
      </c>
      <c r="CC107" s="9">
        <v>0</v>
      </c>
      <c r="CD107" s="9">
        <f t="shared" si="311"/>
        <v>0</v>
      </c>
      <c r="CE107" s="9">
        <f t="shared" si="253"/>
        <v>0</v>
      </c>
      <c r="CF107" s="9">
        <f t="shared" si="237"/>
        <v>0.99524931562137331</v>
      </c>
      <c r="CG107" s="9">
        <f t="shared" si="238"/>
        <v>1.056</v>
      </c>
      <c r="CH107" s="9">
        <f t="shared" si="254"/>
        <v>1.9464482686693119</v>
      </c>
      <c r="CI107" s="9">
        <f t="shared" si="255"/>
        <v>3.158267163427384</v>
      </c>
      <c r="CJ107" s="9">
        <v>1</v>
      </c>
      <c r="CK107" s="9">
        <f t="shared" si="256"/>
        <v>265.29444172790028</v>
      </c>
      <c r="DH107" s="4">
        <f t="shared" si="171"/>
        <v>0</v>
      </c>
      <c r="DI107" s="4">
        <f t="shared" si="172"/>
        <v>203.2</v>
      </c>
      <c r="DJ107" s="4">
        <f t="shared" si="173"/>
        <v>0.74999999999999989</v>
      </c>
      <c r="DL107" s="4">
        <f t="shared" si="174"/>
        <v>1.4081086625805556E-5</v>
      </c>
      <c r="DM107" s="4">
        <f t="shared" si="175"/>
        <v>4.8913150907085621</v>
      </c>
      <c r="DR107" s="38">
        <f t="shared" si="279"/>
        <v>262.14544347104123</v>
      </c>
      <c r="DS107" s="4">
        <f t="shared" si="260"/>
        <v>0.62761753808854537</v>
      </c>
      <c r="DU107" s="4">
        <f t="shared" si="280"/>
        <v>300.32112660914959</v>
      </c>
      <c r="DY107" s="4">
        <f t="shared" si="239"/>
        <v>1</v>
      </c>
      <c r="DZ107" s="4">
        <f t="shared" si="261"/>
        <v>0.9</v>
      </c>
      <c r="EA107" s="4">
        <f t="shared" si="262"/>
        <v>1</v>
      </c>
      <c r="EB107" s="4">
        <f t="shared" si="263"/>
        <v>0.9</v>
      </c>
      <c r="ED107" s="4">
        <f t="shared" si="281"/>
        <v>373.21250444135222</v>
      </c>
      <c r="EE107" s="25">
        <f t="shared" si="323"/>
        <v>293.99662540245509</v>
      </c>
      <c r="EH107" s="4">
        <f t="shared" si="319"/>
        <v>4.8913150907085621</v>
      </c>
      <c r="EI107" s="4">
        <f t="shared" si="178"/>
        <v>4.8913150907085621</v>
      </c>
      <c r="EK107" s="4">
        <f t="shared" si="179"/>
        <v>37.502650572992827</v>
      </c>
      <c r="EL107" s="4">
        <f t="shared" si="180"/>
        <v>1.4764823060233399</v>
      </c>
      <c r="EM107" s="4">
        <f t="shared" si="181"/>
        <v>0.38378585752369582</v>
      </c>
      <c r="EP107" s="4">
        <f t="shared" si="182"/>
        <v>0.38378585752369582</v>
      </c>
      <c r="EQ107" s="4">
        <f t="shared" si="183"/>
        <v>0.999</v>
      </c>
      <c r="ER107" s="4">
        <f t="shared" si="184"/>
        <v>4.8893579774012199</v>
      </c>
      <c r="ES107" s="4">
        <f t="shared" si="240"/>
        <v>4.8903366319594967</v>
      </c>
      <c r="ET107" s="4">
        <f t="shared" si="186"/>
        <v>114.89734942700716</v>
      </c>
      <c r="EU107" s="4">
        <f t="shared" si="187"/>
        <v>50.800000000000011</v>
      </c>
      <c r="EV107" s="4">
        <f t="shared" si="265"/>
        <v>1.4081086625805558E-5</v>
      </c>
      <c r="EW107" s="4">
        <f t="shared" si="241"/>
        <v>4.7719603922635478</v>
      </c>
      <c r="EX107" s="4">
        <f t="shared" si="189"/>
        <v>417.6834259116215</v>
      </c>
      <c r="EY107" s="4">
        <f t="shared" si="190"/>
        <v>114.89734942700716</v>
      </c>
      <c r="EZ107" s="4">
        <f t="shared" si="191"/>
        <v>0</v>
      </c>
      <c r="FB107" s="4">
        <f t="shared" si="266"/>
        <v>38.175683138108354</v>
      </c>
      <c r="FG107" s="23"/>
      <c r="FH107" s="23"/>
      <c r="FI107" s="23"/>
      <c r="FJ107" s="23"/>
      <c r="FK107" s="23"/>
      <c r="FL107" s="23"/>
      <c r="FM107" s="23"/>
      <c r="FN107" s="23"/>
      <c r="FX107" s="4">
        <f t="shared" si="267"/>
        <v>1</v>
      </c>
      <c r="FY107" s="4">
        <f t="shared" si="308"/>
        <v>0.65</v>
      </c>
      <c r="FZ107" s="4">
        <f t="shared" si="269"/>
        <v>0</v>
      </c>
      <c r="GA107" s="4">
        <f t="shared" si="270"/>
        <v>282.31171142156853</v>
      </c>
    </row>
    <row r="108" spans="1:183" s="19" customFormat="1" ht="12" customHeight="1" x14ac:dyDescent="0.3">
      <c r="A108" s="25">
        <v>90</v>
      </c>
      <c r="B108" s="20" t="s">
        <v>54</v>
      </c>
      <c r="C108" s="20">
        <v>2006</v>
      </c>
      <c r="D108" s="20" t="s">
        <v>293</v>
      </c>
      <c r="E108" s="20"/>
      <c r="F108" s="21" t="s">
        <v>281</v>
      </c>
      <c r="G108" s="21">
        <v>472</v>
      </c>
      <c r="H108" s="21">
        <f t="shared" si="320"/>
        <v>76.199999999999989</v>
      </c>
      <c r="I108" s="21">
        <f t="shared" si="134"/>
        <v>38.099999999999994</v>
      </c>
      <c r="J108" s="21">
        <v>22</v>
      </c>
      <c r="K108" s="7">
        <v>25.4</v>
      </c>
      <c r="L108" s="21">
        <v>3</v>
      </c>
      <c r="M108" s="21">
        <v>1.5</v>
      </c>
      <c r="N108" s="21">
        <f t="shared" ref="N108:N109" si="324">25*25.4</f>
        <v>635</v>
      </c>
      <c r="O108" s="21">
        <f>O104</f>
        <v>114.3</v>
      </c>
      <c r="P108" s="21"/>
      <c r="Q108" s="21">
        <f t="shared" ref="Q108:Q109" si="325">2*25.4</f>
        <v>50.8</v>
      </c>
      <c r="R108" s="21">
        <v>3</v>
      </c>
      <c r="S108" s="21">
        <f t="shared" si="315"/>
        <v>50.8</v>
      </c>
      <c r="T108" s="7">
        <f t="shared" si="309"/>
        <v>1.5</v>
      </c>
      <c r="U108" s="21">
        <f t="shared" si="312"/>
        <v>2.5</v>
      </c>
      <c r="V108" s="21">
        <v>4.7</v>
      </c>
      <c r="W108" s="7">
        <f t="shared" si="155"/>
        <v>4.7</v>
      </c>
      <c r="X108" s="21">
        <f t="shared" si="246"/>
        <v>5.7</v>
      </c>
      <c r="Y108" s="21">
        <f t="shared" si="204"/>
        <v>60.641668842471674</v>
      </c>
      <c r="Z108" s="21"/>
      <c r="AA108" s="21"/>
      <c r="AB108" s="21">
        <v>128</v>
      </c>
      <c r="AC108" s="21"/>
      <c r="AD108" s="21"/>
      <c r="AE108" s="7">
        <v>0</v>
      </c>
      <c r="AF108" s="7">
        <v>0</v>
      </c>
      <c r="AG108" s="7">
        <f t="shared" si="289"/>
        <v>38.099999999999994</v>
      </c>
      <c r="AH108" s="7"/>
      <c r="AI108" s="7"/>
      <c r="AJ108" s="21"/>
      <c r="AK108" s="4">
        <f t="shared" si="283"/>
        <v>76.199999999999989</v>
      </c>
      <c r="AL108" s="44">
        <f t="shared" si="316"/>
        <v>2.1604938271604941</v>
      </c>
      <c r="AM108" s="25">
        <f t="shared" si="272"/>
        <v>20.524152271933929</v>
      </c>
      <c r="AN108" s="4">
        <f t="shared" si="273"/>
        <v>0.8666666666666667</v>
      </c>
      <c r="AO108" s="4">
        <v>1.25</v>
      </c>
      <c r="AP108" s="25">
        <f t="shared" si="322"/>
        <v>5</v>
      </c>
      <c r="AQ108" s="38">
        <f t="shared" si="275"/>
        <v>240.18748157741609</v>
      </c>
      <c r="AR108" s="38">
        <f t="shared" si="276"/>
        <v>240.18748157741609</v>
      </c>
      <c r="AS108" s="38"/>
      <c r="AT108" s="38">
        <f t="shared" si="313"/>
        <v>240.18748157741595</v>
      </c>
      <c r="AU108" s="38">
        <f t="shared" si="247"/>
        <v>1.0000000000000007</v>
      </c>
      <c r="AV108" s="38"/>
      <c r="AW108" s="4"/>
      <c r="AX108" s="19">
        <f t="shared" si="224"/>
        <v>37.029598103869176</v>
      </c>
      <c r="AY108" s="19">
        <f t="shared" si="225"/>
        <v>1.2666666666666666</v>
      </c>
      <c r="AZ108" s="38">
        <f t="shared" si="277"/>
        <v>181.24048112935475</v>
      </c>
      <c r="BA108" s="19">
        <f t="shared" si="226"/>
        <v>0.34199999999999997</v>
      </c>
      <c r="BB108" s="19">
        <f t="shared" si="248"/>
        <v>6.6170040331709021</v>
      </c>
      <c r="BC108" s="19">
        <f t="shared" si="249"/>
        <v>187.85748516252565</v>
      </c>
      <c r="BE108" s="36">
        <f t="shared" si="317"/>
        <v>1.2375</v>
      </c>
      <c r="BF108" s="36">
        <f t="shared" si="318"/>
        <v>141.62710386786847</v>
      </c>
      <c r="BK108" s="4">
        <f t="shared" si="160"/>
        <v>31.799999999999997</v>
      </c>
      <c r="BL108" s="4">
        <f t="shared" si="161"/>
        <v>31.799999999999997</v>
      </c>
      <c r="BM108" s="4">
        <f t="shared" si="162"/>
        <v>50.8</v>
      </c>
      <c r="BN108" s="4">
        <f t="shared" si="163"/>
        <v>44.5</v>
      </c>
      <c r="BO108" s="4">
        <f t="shared" si="164"/>
        <v>1.0597484276729561</v>
      </c>
      <c r="BP108" s="25">
        <f t="shared" si="278"/>
        <v>1.8566458673797854</v>
      </c>
      <c r="BQ108" s="4"/>
      <c r="BR108" s="19">
        <f t="shared" si="165"/>
        <v>25.4</v>
      </c>
      <c r="BV108" s="18"/>
      <c r="BX108" s="18"/>
      <c r="BY108" s="18"/>
      <c r="BZ108" s="18">
        <f t="shared" si="235"/>
        <v>25.4</v>
      </c>
      <c r="CA108" s="18">
        <f t="shared" si="236"/>
        <v>114.3</v>
      </c>
      <c r="CB108" s="18">
        <f t="shared" si="252"/>
        <v>1.2530888829563018</v>
      </c>
      <c r="CC108" s="9">
        <v>0</v>
      </c>
      <c r="CD108" s="18">
        <f t="shared" si="311"/>
        <v>0</v>
      </c>
      <c r="CE108" s="18">
        <f t="shared" si="253"/>
        <v>0</v>
      </c>
      <c r="CF108" s="18">
        <f t="shared" si="237"/>
        <v>0.99524931562137331</v>
      </c>
      <c r="CG108" s="18">
        <f t="shared" si="238"/>
        <v>1.056</v>
      </c>
      <c r="CH108" s="18">
        <f t="shared" si="254"/>
        <v>1.7253419844992921</v>
      </c>
      <c r="CI108" s="18">
        <f t="shared" si="255"/>
        <v>2.1620068600738271</v>
      </c>
      <c r="CJ108" s="9">
        <v>1</v>
      </c>
      <c r="CK108" s="18">
        <f t="shared" si="256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71"/>
        <v>0</v>
      </c>
      <c r="DI108" s="4">
        <f t="shared" si="172"/>
        <v>76.199999999999989</v>
      </c>
      <c r="DJ108" s="4">
        <f t="shared" si="173"/>
        <v>0.5</v>
      </c>
      <c r="DL108" s="4">
        <f t="shared" si="174"/>
        <v>5.0464587188435587E-6</v>
      </c>
      <c r="DM108" s="4">
        <f t="shared" si="175"/>
        <v>3.1798730643614395</v>
      </c>
      <c r="DN108" s="4"/>
      <c r="DO108" s="4"/>
      <c r="DP108" s="4"/>
      <c r="DQ108" s="4"/>
      <c r="DR108" s="38">
        <f t="shared" si="279"/>
        <v>232.40769288927373</v>
      </c>
      <c r="DS108" s="4">
        <f t="shared" si="260"/>
        <v>0.88017500971700602</v>
      </c>
      <c r="DT108" s="4"/>
      <c r="DU108" s="4">
        <f t="shared" si="280"/>
        <v>240.18748157741595</v>
      </c>
      <c r="DY108" s="19">
        <f t="shared" si="239"/>
        <v>1</v>
      </c>
      <c r="DZ108" s="19">
        <f t="shared" si="261"/>
        <v>1</v>
      </c>
      <c r="EA108" s="19">
        <f t="shared" si="262"/>
        <v>1</v>
      </c>
      <c r="EB108" s="19">
        <f t="shared" si="263"/>
        <v>1</v>
      </c>
      <c r="ED108" s="4">
        <f t="shared" si="281"/>
        <v>349.20193277320544</v>
      </c>
      <c r="EE108" s="25">
        <f t="shared" si="323"/>
        <v>328.3628638820947</v>
      </c>
      <c r="EH108" s="4">
        <f t="shared" si="319"/>
        <v>3.1798730643614395</v>
      </c>
      <c r="EI108" s="4">
        <f t="shared" si="178"/>
        <v>3.1798730643614395</v>
      </c>
      <c r="EK108" s="4">
        <f t="shared" si="179"/>
        <v>60.641668842471674</v>
      </c>
      <c r="EL108" s="4">
        <f t="shared" si="180"/>
        <v>2.3874672772626644</v>
      </c>
      <c r="EM108" s="4">
        <f t="shared" si="181"/>
        <v>0.14057706011072471</v>
      </c>
      <c r="EP108" s="19">
        <f t="shared" si="182"/>
        <v>0.14057706011072471</v>
      </c>
      <c r="EQ108" s="19">
        <f t="shared" si="183"/>
        <v>0.54719546434765076</v>
      </c>
      <c r="ER108" s="4">
        <f t="shared" si="184"/>
        <v>2.4984276612451395</v>
      </c>
      <c r="ES108" s="19">
        <f t="shared" si="240"/>
        <v>2.8595510825119432</v>
      </c>
      <c r="ET108" s="4">
        <f t="shared" si="186"/>
        <v>0</v>
      </c>
      <c r="EU108" s="4">
        <f t="shared" si="187"/>
        <v>15.558331157528315</v>
      </c>
      <c r="EV108" s="19">
        <f t="shared" si="265"/>
        <v>4.1214947989797472E-6</v>
      </c>
      <c r="EW108" s="19">
        <f t="shared" si="241"/>
        <v>3.1752543167715603</v>
      </c>
      <c r="EX108" s="4">
        <f t="shared" si="189"/>
        <v>264.04713872073859</v>
      </c>
      <c r="EY108" s="4">
        <f t="shared" si="190"/>
        <v>0</v>
      </c>
      <c r="EZ108" s="4">
        <f t="shared" si="191"/>
        <v>0</v>
      </c>
      <c r="FA108" s="4"/>
      <c r="FB108" s="4">
        <f t="shared" si="266"/>
        <v>7.7797886881422187</v>
      </c>
      <c r="FG108" s="23"/>
      <c r="FH108" s="23"/>
      <c r="FI108" s="23"/>
      <c r="FJ108" s="23"/>
      <c r="FK108" s="23"/>
      <c r="FL108" s="23"/>
      <c r="FM108" s="23"/>
      <c r="FN108" s="22"/>
      <c r="FX108" s="4">
        <f t="shared" si="267"/>
        <v>1</v>
      </c>
      <c r="FY108" s="4">
        <f t="shared" si="308"/>
        <v>0.75</v>
      </c>
      <c r="FZ108" s="4">
        <f t="shared" si="269"/>
        <v>0</v>
      </c>
      <c r="GA108" s="4">
        <f t="shared" si="270"/>
        <v>86.383026958511721</v>
      </c>
    </row>
    <row r="109" spans="1:183" s="19" customFormat="1" ht="12" customHeight="1" x14ac:dyDescent="0.3">
      <c r="A109" s="25">
        <v>91</v>
      </c>
      <c r="B109" s="20" t="s">
        <v>54</v>
      </c>
      <c r="C109" s="20">
        <v>2006</v>
      </c>
      <c r="D109" s="20" t="s">
        <v>293</v>
      </c>
      <c r="E109" s="20"/>
      <c r="F109" s="21" t="s">
        <v>281</v>
      </c>
      <c r="G109" s="21">
        <v>472</v>
      </c>
      <c r="H109" s="21">
        <f t="shared" si="320"/>
        <v>127</v>
      </c>
      <c r="I109" s="21">
        <f t="shared" si="134"/>
        <v>76.199999999999989</v>
      </c>
      <c r="J109" s="21">
        <v>26</v>
      </c>
      <c r="K109" s="7">
        <v>25.4</v>
      </c>
      <c r="L109" s="21">
        <v>5</v>
      </c>
      <c r="M109" s="21">
        <v>3</v>
      </c>
      <c r="N109" s="21">
        <f t="shared" si="324"/>
        <v>635</v>
      </c>
      <c r="O109" s="21">
        <f>O108</f>
        <v>114.3</v>
      </c>
      <c r="P109" s="21"/>
      <c r="Q109" s="21">
        <f t="shared" si="325"/>
        <v>50.8</v>
      </c>
      <c r="R109" s="21">
        <v>3</v>
      </c>
      <c r="S109" s="21">
        <f t="shared" si="315"/>
        <v>50.8</v>
      </c>
      <c r="T109" s="7">
        <f t="shared" si="309"/>
        <v>1.5</v>
      </c>
      <c r="U109" s="21">
        <f t="shared" si="312"/>
        <v>2.5</v>
      </c>
      <c r="V109" s="21">
        <v>4.7</v>
      </c>
      <c r="W109" s="7">
        <f t="shared" si="155"/>
        <v>4.7</v>
      </c>
      <c r="X109" s="21">
        <f t="shared" si="246"/>
        <v>5.7</v>
      </c>
      <c r="Y109" s="21">
        <f t="shared" si="204"/>
        <v>60.641668842471674</v>
      </c>
      <c r="Z109" s="21"/>
      <c r="AA109" s="21"/>
      <c r="AB109" s="21">
        <v>186</v>
      </c>
      <c r="AC109" s="21"/>
      <c r="AD109" s="21"/>
      <c r="AE109" s="7">
        <v>0</v>
      </c>
      <c r="AF109" s="7">
        <v>0</v>
      </c>
      <c r="AG109" s="7">
        <f t="shared" si="289"/>
        <v>76.199999999999989</v>
      </c>
      <c r="AH109" s="7"/>
      <c r="AI109" s="7"/>
      <c r="AJ109" s="21"/>
      <c r="AK109" s="4">
        <f t="shared" si="283"/>
        <v>127</v>
      </c>
      <c r="AL109" s="44">
        <f t="shared" si="316"/>
        <v>1.1111111111111112</v>
      </c>
      <c r="AM109" s="25">
        <f t="shared" si="272"/>
        <v>48.008007996158454</v>
      </c>
      <c r="AN109" s="4">
        <f t="shared" si="273"/>
        <v>0.79999999999999993</v>
      </c>
      <c r="AO109" s="4">
        <v>1.25</v>
      </c>
      <c r="AP109" s="25">
        <f t="shared" si="322"/>
        <v>5</v>
      </c>
      <c r="AQ109" s="38">
        <f t="shared" si="275"/>
        <v>266.71115553421362</v>
      </c>
      <c r="AR109" s="38">
        <f t="shared" si="276"/>
        <v>266.71115553421362</v>
      </c>
      <c r="AS109" s="38"/>
      <c r="AT109" s="38">
        <f t="shared" si="313"/>
        <v>266.71115553421373</v>
      </c>
      <c r="AU109" s="38">
        <f t="shared" si="247"/>
        <v>0.99999999999999956</v>
      </c>
      <c r="AV109" s="38"/>
      <c r="AW109" s="4"/>
      <c r="AX109" s="19">
        <f t="shared" si="224"/>
        <v>80.510834425149213</v>
      </c>
      <c r="AY109" s="19">
        <f t="shared" si="225"/>
        <v>1.2666666666666666</v>
      </c>
      <c r="AZ109" s="38">
        <f t="shared" si="277"/>
        <v>214.19329588014648</v>
      </c>
      <c r="BA109" s="19">
        <f t="shared" si="226"/>
        <v>0.34199999999999997</v>
      </c>
      <c r="BB109" s="19">
        <f t="shared" si="248"/>
        <v>14.386883557602038</v>
      </c>
      <c r="BC109" s="19">
        <f t="shared" si="249"/>
        <v>228.58017943774851</v>
      </c>
      <c r="BE109" s="36">
        <f t="shared" si="317"/>
        <v>1.2375</v>
      </c>
      <c r="BF109" s="36">
        <f t="shared" si="318"/>
        <v>169.10898216830469</v>
      </c>
      <c r="BK109" s="4">
        <f t="shared" si="160"/>
        <v>31.799999999999997</v>
      </c>
      <c r="BL109" s="4">
        <f t="shared" si="161"/>
        <v>31.799999999999997</v>
      </c>
      <c r="BM109" s="4">
        <f t="shared" si="162"/>
        <v>50.8</v>
      </c>
      <c r="BN109" s="4">
        <f t="shared" si="163"/>
        <v>44.5</v>
      </c>
      <c r="BO109" s="4">
        <f t="shared" si="164"/>
        <v>1.0597484276729561</v>
      </c>
      <c r="BP109" s="25">
        <f t="shared" si="278"/>
        <v>1.8566458673797854</v>
      </c>
      <c r="BQ109" s="4"/>
      <c r="BR109" s="19">
        <f t="shared" si="165"/>
        <v>25.4</v>
      </c>
      <c r="BV109" s="18"/>
      <c r="BX109" s="18"/>
      <c r="BY109" s="18"/>
      <c r="BZ109" s="18">
        <f t="shared" si="235"/>
        <v>25.4</v>
      </c>
      <c r="CA109" s="18">
        <f t="shared" si="236"/>
        <v>114.3</v>
      </c>
      <c r="CB109" s="18">
        <f t="shared" si="252"/>
        <v>1.2530888829563018</v>
      </c>
      <c r="CC109" s="9">
        <v>0</v>
      </c>
      <c r="CD109" s="18">
        <f t="shared" si="311"/>
        <v>0</v>
      </c>
      <c r="CE109" s="18">
        <f t="shared" si="253"/>
        <v>0</v>
      </c>
      <c r="CF109" s="18">
        <f t="shared" si="237"/>
        <v>0.99524931562137331</v>
      </c>
      <c r="CG109" s="18">
        <f t="shared" si="238"/>
        <v>1.056</v>
      </c>
      <c r="CH109" s="18">
        <f t="shared" si="254"/>
        <v>1.8756444837875041</v>
      </c>
      <c r="CI109" s="18">
        <f t="shared" si="255"/>
        <v>2.3503492510124331</v>
      </c>
      <c r="CJ109" s="9">
        <v>1</v>
      </c>
      <c r="CK109" s="18">
        <f t="shared" si="256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71"/>
        <v>0</v>
      </c>
      <c r="DI109" s="4">
        <f t="shared" si="172"/>
        <v>127</v>
      </c>
      <c r="DJ109" s="4">
        <f t="shared" si="173"/>
        <v>0.59999999999999987</v>
      </c>
      <c r="DL109" s="4">
        <f t="shared" si="174"/>
        <v>8.6719414376042473E-6</v>
      </c>
      <c r="DM109" s="4">
        <f t="shared" si="175"/>
        <v>3.4568864757817224</v>
      </c>
      <c r="DN109" s="4"/>
      <c r="DO109" s="4"/>
      <c r="DP109" s="4"/>
      <c r="DQ109" s="4"/>
      <c r="DR109" s="38">
        <f t="shared" si="279"/>
        <v>240.28411991979431</v>
      </c>
      <c r="DS109" s="4">
        <f t="shared" si="260"/>
        <v>0.80213284437653831</v>
      </c>
      <c r="DT109" s="4"/>
      <c r="DU109" s="4">
        <f t="shared" si="280"/>
        <v>266.71115553421373</v>
      </c>
      <c r="DY109" s="19">
        <f t="shared" si="239"/>
        <v>1</v>
      </c>
      <c r="DZ109" s="19">
        <f t="shared" si="261"/>
        <v>1</v>
      </c>
      <c r="EA109" s="19">
        <f t="shared" si="262"/>
        <v>1</v>
      </c>
      <c r="EB109" s="19">
        <f t="shared" si="263"/>
        <v>1</v>
      </c>
      <c r="ED109" s="4">
        <f t="shared" si="281"/>
        <v>284.2361361042133</v>
      </c>
      <c r="EE109" s="25">
        <f t="shared" si="323"/>
        <v>258.80987458190685</v>
      </c>
      <c r="EH109" s="4">
        <f t="shared" si="319"/>
        <v>3.4568864757817224</v>
      </c>
      <c r="EI109" s="4">
        <f t="shared" si="178"/>
        <v>3.4568864757817224</v>
      </c>
      <c r="EK109" s="4">
        <f t="shared" si="179"/>
        <v>60.641668842471674</v>
      </c>
      <c r="EL109" s="4">
        <f t="shared" si="180"/>
        <v>2.3874672772626644</v>
      </c>
      <c r="EM109" s="4">
        <f t="shared" si="181"/>
        <v>0.14359189784640952</v>
      </c>
      <c r="EP109" s="19">
        <f t="shared" si="182"/>
        <v>0.14359189784640952</v>
      </c>
      <c r="EQ109" s="19">
        <f t="shared" si="183"/>
        <v>0.51414146919682335</v>
      </c>
      <c r="ER109" s="4">
        <f t="shared" si="184"/>
        <v>2.6492208917595552</v>
      </c>
      <c r="ES109" s="19">
        <f t="shared" si="240"/>
        <v>3.0796915172620825</v>
      </c>
      <c r="ET109" s="4">
        <f t="shared" si="186"/>
        <v>34.608331157528326</v>
      </c>
      <c r="EU109" s="4">
        <f t="shared" si="187"/>
        <v>31.75</v>
      </c>
      <c r="EV109" s="19">
        <f t="shared" si="265"/>
        <v>8.6719414376042473E-6</v>
      </c>
      <c r="EW109" s="19">
        <f t="shared" si="241"/>
        <v>3.437592212526638</v>
      </c>
      <c r="EX109" s="4">
        <f t="shared" si="189"/>
        <v>299.55651561251841</v>
      </c>
      <c r="EY109" s="4">
        <f t="shared" si="190"/>
        <v>15.558331157528315</v>
      </c>
      <c r="EZ109" s="4">
        <f t="shared" si="191"/>
        <v>0</v>
      </c>
      <c r="FA109" s="4"/>
      <c r="FB109" s="4">
        <f t="shared" si="266"/>
        <v>26.427035614419424</v>
      </c>
      <c r="FG109" s="23"/>
      <c r="FH109" s="23"/>
      <c r="FI109" s="23"/>
      <c r="FJ109" s="23"/>
      <c r="FK109" s="23"/>
      <c r="FL109" s="23"/>
      <c r="FM109" s="23"/>
      <c r="FN109" s="22"/>
      <c r="FX109" s="4">
        <f t="shared" si="267"/>
        <v>1</v>
      </c>
      <c r="FY109" s="4">
        <f t="shared" si="308"/>
        <v>0.75</v>
      </c>
      <c r="FZ109" s="4">
        <f t="shared" si="269"/>
        <v>0</v>
      </c>
      <c r="GA109" s="4">
        <f t="shared" si="270"/>
        <v>150.11180066010442</v>
      </c>
    </row>
    <row r="110" spans="1:183" s="19" customFormat="1" ht="12" customHeight="1" x14ac:dyDescent="0.3">
      <c r="A110" s="25">
        <v>92</v>
      </c>
      <c r="B110" s="20" t="s">
        <v>54</v>
      </c>
      <c r="C110" s="20">
        <v>2006</v>
      </c>
      <c r="D110" s="20" t="s">
        <v>293</v>
      </c>
      <c r="E110" s="20"/>
      <c r="F110" s="21" t="s">
        <v>281</v>
      </c>
      <c r="G110" s="21">
        <v>472</v>
      </c>
      <c r="H110" s="21">
        <f t="shared" si="320"/>
        <v>127</v>
      </c>
      <c r="I110" s="21">
        <f t="shared" si="134"/>
        <v>76.199999999999989</v>
      </c>
      <c r="J110" s="21">
        <v>22</v>
      </c>
      <c r="K110" s="7">
        <v>25.4</v>
      </c>
      <c r="L110" s="21">
        <v>5</v>
      </c>
      <c r="M110" s="21">
        <v>3</v>
      </c>
      <c r="N110" s="21">
        <f t="shared" ref="N110:N122" si="326">36*25.4</f>
        <v>914.4</v>
      </c>
      <c r="O110" s="21">
        <f t="shared" si="321"/>
        <v>127</v>
      </c>
      <c r="P110" s="21"/>
      <c r="Q110" s="21">
        <f t="shared" si="314"/>
        <v>101.6</v>
      </c>
      <c r="R110" s="21">
        <v>3</v>
      </c>
      <c r="S110" s="21">
        <f t="shared" si="315"/>
        <v>50.8</v>
      </c>
      <c r="T110" s="7">
        <f t="shared" si="309"/>
        <v>2.5</v>
      </c>
      <c r="U110" s="21">
        <f t="shared" si="312"/>
        <v>2.5</v>
      </c>
      <c r="V110" s="21">
        <v>4.7</v>
      </c>
      <c r="W110" s="7">
        <f t="shared" si="155"/>
        <v>4.7</v>
      </c>
      <c r="X110" s="21">
        <f t="shared" si="246"/>
        <v>5.7</v>
      </c>
      <c r="Y110" s="21">
        <f t="shared" si="204"/>
        <v>60.641668842471674</v>
      </c>
      <c r="Z110" s="21"/>
      <c r="AA110" s="21"/>
      <c r="AB110" s="21">
        <v>166</v>
      </c>
      <c r="AC110" s="21"/>
      <c r="AD110" s="21"/>
      <c r="AE110" s="7">
        <v>0</v>
      </c>
      <c r="AF110" s="7">
        <v>0</v>
      </c>
      <c r="AG110" s="7">
        <f t="shared" si="289"/>
        <v>76.199999999999989</v>
      </c>
      <c r="AH110" s="7"/>
      <c r="AI110" s="7"/>
      <c r="AJ110" s="21"/>
      <c r="AK110" s="4">
        <f t="shared" si="283"/>
        <v>127</v>
      </c>
      <c r="AL110" s="44">
        <f t="shared" si="316"/>
        <v>1.6</v>
      </c>
      <c r="AM110" s="25">
        <f t="shared" si="272"/>
        <v>44.160944413458445</v>
      </c>
      <c r="AN110" s="4">
        <f t="shared" si="273"/>
        <v>0.79999999999999993</v>
      </c>
      <c r="AO110" s="4">
        <v>1.25</v>
      </c>
      <c r="AP110" s="25">
        <f t="shared" si="322"/>
        <v>5</v>
      </c>
      <c r="AQ110" s="38">
        <f t="shared" si="275"/>
        <v>353.28755530766756</v>
      </c>
      <c r="AR110" s="38">
        <f t="shared" si="276"/>
        <v>353.28755530766756</v>
      </c>
      <c r="AS110" s="38"/>
      <c r="AT110" s="38">
        <f t="shared" si="313"/>
        <v>353.28755530766756</v>
      </c>
      <c r="AU110" s="38">
        <f t="shared" si="247"/>
        <v>1</v>
      </c>
      <c r="AV110" s="38"/>
      <c r="AW110" s="4"/>
      <c r="AX110" s="19">
        <f t="shared" si="224"/>
        <v>74.059196207738353</v>
      </c>
      <c r="AY110" s="19">
        <f t="shared" si="225"/>
        <v>1</v>
      </c>
      <c r="AZ110" s="38">
        <f t="shared" si="277"/>
        <v>238.4743172754668</v>
      </c>
      <c r="BA110" s="19">
        <f t="shared" si="226"/>
        <v>0.34199999999999997</v>
      </c>
      <c r="BB110" s="19">
        <f t="shared" si="248"/>
        <v>13.234008066341804</v>
      </c>
      <c r="BC110" s="19">
        <f t="shared" si="249"/>
        <v>251.7083253418086</v>
      </c>
      <c r="BE110" s="36">
        <f t="shared" si="317"/>
        <v>1.1274999999999999</v>
      </c>
      <c r="BF110" s="36">
        <f t="shared" si="318"/>
        <v>141.73029301458456</v>
      </c>
      <c r="BK110" s="4">
        <f t="shared" si="160"/>
        <v>57.199999999999996</v>
      </c>
      <c r="BL110" s="4">
        <f t="shared" si="161"/>
        <v>50.8</v>
      </c>
      <c r="BM110" s="4">
        <f t="shared" si="162"/>
        <v>57.199999999999996</v>
      </c>
      <c r="BN110" s="4">
        <f t="shared" si="163"/>
        <v>63.5</v>
      </c>
      <c r="BO110" s="4">
        <f t="shared" si="164"/>
        <v>1.0125984251968505</v>
      </c>
      <c r="BP110" s="25">
        <f t="shared" si="278"/>
        <v>2.5314960629921264</v>
      </c>
      <c r="BQ110" s="4"/>
      <c r="BR110" s="19">
        <f t="shared" si="165"/>
        <v>50.8</v>
      </c>
      <c r="BV110" s="18"/>
      <c r="BX110" s="18"/>
      <c r="BY110" s="18"/>
      <c r="BZ110" s="18">
        <f t="shared" si="235"/>
        <v>50.8</v>
      </c>
      <c r="CA110" s="18">
        <f t="shared" si="236"/>
        <v>127</v>
      </c>
      <c r="CB110" s="18">
        <f t="shared" si="252"/>
        <v>1.622579553879709</v>
      </c>
      <c r="CC110" s="9">
        <v>0</v>
      </c>
      <c r="CD110" s="18">
        <f t="shared" si="311"/>
        <v>0</v>
      </c>
      <c r="CE110" s="18">
        <f t="shared" si="253"/>
        <v>0</v>
      </c>
      <c r="CF110" s="18">
        <f t="shared" si="237"/>
        <v>0.99524931562137331</v>
      </c>
      <c r="CG110" s="18">
        <f t="shared" si="238"/>
        <v>1.056</v>
      </c>
      <c r="CH110" s="18">
        <f t="shared" si="254"/>
        <v>1.7253419844992921</v>
      </c>
      <c r="CI110" s="18">
        <f t="shared" si="255"/>
        <v>2.7995046274987931</v>
      </c>
      <c r="CJ110" s="9">
        <v>1</v>
      </c>
      <c r="CK110" s="18">
        <f t="shared" si="256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71"/>
        <v>0</v>
      </c>
      <c r="DI110" s="4">
        <f t="shared" si="172"/>
        <v>127</v>
      </c>
      <c r="DJ110" s="4">
        <f t="shared" si="173"/>
        <v>0.59999999999999987</v>
      </c>
      <c r="DL110" s="4">
        <f t="shared" si="174"/>
        <v>8.4107645314059323E-6</v>
      </c>
      <c r="DM110" s="4">
        <f t="shared" si="175"/>
        <v>4.3356874268145296</v>
      </c>
      <c r="DN110" s="4"/>
      <c r="DO110" s="4"/>
      <c r="DP110" s="4"/>
      <c r="DQ110" s="4"/>
      <c r="DR110" s="38">
        <f t="shared" si="279"/>
        <v>319.29653618742071</v>
      </c>
      <c r="DS110" s="4">
        <f t="shared" si="260"/>
        <v>0.79537819456504089</v>
      </c>
      <c r="DT110" s="4"/>
      <c r="DU110" s="4">
        <f t="shared" si="280"/>
        <v>353.28755530766756</v>
      </c>
      <c r="DY110" s="19">
        <f t="shared" si="239"/>
        <v>1</v>
      </c>
      <c r="DZ110" s="19">
        <f t="shared" si="261"/>
        <v>0.9</v>
      </c>
      <c r="EA110" s="19">
        <f t="shared" si="262"/>
        <v>1</v>
      </c>
      <c r="EB110" s="19">
        <f t="shared" si="263"/>
        <v>0.9</v>
      </c>
      <c r="ED110" s="4">
        <f t="shared" si="281"/>
        <v>373.86575281438127</v>
      </c>
      <c r="EE110" s="25">
        <f t="shared" si="323"/>
        <v>342.82146053241013</v>
      </c>
      <c r="EH110" s="4">
        <f t="shared" si="319"/>
        <v>4.3356874268145296</v>
      </c>
      <c r="EI110" s="4">
        <f t="shared" si="178"/>
        <v>4.3356874268145296</v>
      </c>
      <c r="EK110" s="4">
        <f t="shared" si="179"/>
        <v>60.641668842471674</v>
      </c>
      <c r="EL110" s="4">
        <f t="shared" si="180"/>
        <v>2.3874672772626644</v>
      </c>
      <c r="EM110" s="4">
        <f t="shared" si="181"/>
        <v>0.20677233289882965</v>
      </c>
      <c r="EP110" s="19">
        <f t="shared" si="182"/>
        <v>0.20677233289882965</v>
      </c>
      <c r="EQ110" s="19">
        <f t="shared" si="183"/>
        <v>0.80486021421776921</v>
      </c>
      <c r="ER110" s="4">
        <f t="shared" si="184"/>
        <v>3.9750825222153439</v>
      </c>
      <c r="ES110" s="19">
        <f t="shared" si="240"/>
        <v>4.1592955381630556</v>
      </c>
      <c r="ET110" s="4">
        <f t="shared" si="186"/>
        <v>34.608331157528326</v>
      </c>
      <c r="EU110" s="4">
        <f t="shared" si="187"/>
        <v>31.75</v>
      </c>
      <c r="EV110" s="19">
        <f t="shared" si="265"/>
        <v>8.4107645314059323E-6</v>
      </c>
      <c r="EW110" s="19">
        <f t="shared" si="241"/>
        <v>4.302626501151539</v>
      </c>
      <c r="EX110" s="4">
        <f t="shared" si="189"/>
        <v>401.43989157514011</v>
      </c>
      <c r="EY110" s="4">
        <f t="shared" si="190"/>
        <v>15.558331157528315</v>
      </c>
      <c r="EZ110" s="4">
        <f t="shared" si="191"/>
        <v>0</v>
      </c>
      <c r="FA110" s="4"/>
      <c r="FB110" s="4">
        <f t="shared" si="266"/>
        <v>33.991019120246847</v>
      </c>
      <c r="FG110" s="23"/>
      <c r="FH110" s="23"/>
      <c r="FI110" s="23"/>
      <c r="FJ110" s="23"/>
      <c r="FK110" s="23"/>
      <c r="FL110" s="23"/>
      <c r="FM110" s="23"/>
      <c r="FN110" s="22"/>
      <c r="FX110" s="4">
        <f t="shared" si="267"/>
        <v>1</v>
      </c>
      <c r="FY110" s="4">
        <f t="shared" si="308"/>
        <v>0.65</v>
      </c>
      <c r="FZ110" s="4">
        <f t="shared" si="269"/>
        <v>0</v>
      </c>
      <c r="GA110" s="4">
        <f t="shared" si="270"/>
        <v>166.12120568944562</v>
      </c>
    </row>
    <row r="111" spans="1:183" s="19" customFormat="1" ht="12" customHeight="1" x14ac:dyDescent="0.3">
      <c r="A111" s="25">
        <v>93</v>
      </c>
      <c r="B111" s="20" t="s">
        <v>54</v>
      </c>
      <c r="C111" s="20">
        <v>2006</v>
      </c>
      <c r="D111" s="20" t="s">
        <v>293</v>
      </c>
      <c r="E111" s="20"/>
      <c r="F111" s="21" t="s">
        <v>80</v>
      </c>
      <c r="G111" s="21">
        <v>472</v>
      </c>
      <c r="H111" s="21">
        <f t="shared" si="320"/>
        <v>127</v>
      </c>
      <c r="I111" s="21">
        <f t="shared" si="134"/>
        <v>76.199999999999989</v>
      </c>
      <c r="J111" s="21">
        <v>22</v>
      </c>
      <c r="K111" s="7">
        <v>25.4</v>
      </c>
      <c r="L111" s="21">
        <v>5</v>
      </c>
      <c r="M111" s="21">
        <v>3</v>
      </c>
      <c r="N111" s="21">
        <f t="shared" si="326"/>
        <v>914.4</v>
      </c>
      <c r="O111" s="21">
        <f t="shared" si="321"/>
        <v>127</v>
      </c>
      <c r="P111" s="21"/>
      <c r="Q111" s="21">
        <f>10*25.4-1.5*K111-Y111/2</f>
        <v>185.57916557876416</v>
      </c>
      <c r="R111" s="21">
        <v>3</v>
      </c>
      <c r="S111" s="21">
        <f t="shared" si="315"/>
        <v>50.8</v>
      </c>
      <c r="T111" s="7">
        <f t="shared" si="309"/>
        <v>2.5</v>
      </c>
      <c r="U111" s="10">
        <f>(O111+K111/2)/K111</f>
        <v>5.5</v>
      </c>
      <c r="V111" s="21">
        <v>4.7</v>
      </c>
      <c r="W111" s="7">
        <f t="shared" si="155"/>
        <v>4.7</v>
      </c>
      <c r="X111" s="21">
        <f t="shared" si="246"/>
        <v>5.7</v>
      </c>
      <c r="Y111" s="21">
        <f t="shared" si="204"/>
        <v>60.641668842471674</v>
      </c>
      <c r="Z111" s="21"/>
      <c r="AA111" s="21"/>
      <c r="AB111" s="21">
        <v>169</v>
      </c>
      <c r="AC111" s="21"/>
      <c r="AD111" s="21"/>
      <c r="AE111" s="7">
        <v>0</v>
      </c>
      <c r="AF111" s="7">
        <v>0</v>
      </c>
      <c r="AG111" s="7">
        <f t="shared" si="289"/>
        <v>76.199999999999989</v>
      </c>
      <c r="AH111" s="7"/>
      <c r="AI111" s="7"/>
      <c r="AJ111" s="21"/>
      <c r="AK111" s="4">
        <f t="shared" si="283"/>
        <v>127</v>
      </c>
      <c r="AL111" s="44">
        <f t="shared" si="316"/>
        <v>1.6</v>
      </c>
      <c r="AM111" s="25">
        <f t="shared" si="272"/>
        <v>44.160944413458445</v>
      </c>
      <c r="AN111" s="4">
        <f t="shared" si="273"/>
        <v>0.79999999999999993</v>
      </c>
      <c r="AO111" s="4">
        <v>1.25</v>
      </c>
      <c r="AP111" s="25">
        <f t="shared" si="322"/>
        <v>5</v>
      </c>
      <c r="AQ111" s="38">
        <f t="shared" si="275"/>
        <v>353.28755530766756</v>
      </c>
      <c r="AR111" s="38">
        <f t="shared" si="276"/>
        <v>353.28755530766756</v>
      </c>
      <c r="AS111" s="38"/>
      <c r="AT111" s="38">
        <f t="shared" si="313"/>
        <v>353.28755530766756</v>
      </c>
      <c r="AU111" s="38">
        <f t="shared" si="247"/>
        <v>1</v>
      </c>
      <c r="AV111" s="38"/>
      <c r="AW111" s="4"/>
      <c r="AX111" s="19">
        <f t="shared" si="224"/>
        <v>74.059196207738353</v>
      </c>
      <c r="AY111" s="19">
        <f t="shared" si="225"/>
        <v>1.48</v>
      </c>
      <c r="AZ111" s="38">
        <f t="shared" si="277"/>
        <v>352.94198956769088</v>
      </c>
      <c r="BA111" s="19">
        <f t="shared" si="226"/>
        <v>0.34199999999999997</v>
      </c>
      <c r="BB111" s="19">
        <f t="shared" si="248"/>
        <v>13.234008066341804</v>
      </c>
      <c r="BC111" s="19">
        <f t="shared" si="249"/>
        <v>366.17599763403268</v>
      </c>
      <c r="BE111" s="36">
        <f t="shared" si="317"/>
        <v>1.0652778468231168</v>
      </c>
      <c r="BF111" s="36">
        <f t="shared" si="318"/>
        <v>133.90877283564177</v>
      </c>
      <c r="BK111" s="4">
        <f t="shared" si="160"/>
        <v>99.189582789382087</v>
      </c>
      <c r="BL111" s="4">
        <f t="shared" si="161"/>
        <v>50.8</v>
      </c>
      <c r="BM111" s="4">
        <f t="shared" si="162"/>
        <v>99.189582789382087</v>
      </c>
      <c r="BN111" s="4">
        <f t="shared" si="163"/>
        <v>63.5</v>
      </c>
      <c r="BO111" s="4">
        <f t="shared" si="164"/>
        <v>1.0952550842310671</v>
      </c>
      <c r="BP111" s="25">
        <f t="shared" si="278"/>
        <v>2.7381377105776679</v>
      </c>
      <c r="BQ111" s="4"/>
      <c r="BR111" s="19">
        <f t="shared" si="165"/>
        <v>92.789582789382081</v>
      </c>
      <c r="BV111" s="18"/>
      <c r="BX111" s="18"/>
      <c r="BY111" s="18"/>
      <c r="BZ111" s="18">
        <f t="shared" si="235"/>
        <v>92.789582789382081</v>
      </c>
      <c r="CA111" s="18">
        <f t="shared" si="236"/>
        <v>127</v>
      </c>
      <c r="CB111" s="18">
        <f t="shared" si="252"/>
        <v>2.0034496277060567</v>
      </c>
      <c r="CC111" s="9">
        <v>0</v>
      </c>
      <c r="CD111" s="18">
        <f t="shared" si="311"/>
        <v>0</v>
      </c>
      <c r="CE111" s="18">
        <f t="shared" si="253"/>
        <v>0</v>
      </c>
      <c r="CF111" s="18">
        <f t="shared" si="237"/>
        <v>0.99524931562137331</v>
      </c>
      <c r="CG111" s="18">
        <f t="shared" si="238"/>
        <v>1.056</v>
      </c>
      <c r="CH111" s="18">
        <f t="shared" si="254"/>
        <v>1.7253419844992921</v>
      </c>
      <c r="CI111" s="18">
        <f t="shared" si="255"/>
        <v>3.4566357565107357</v>
      </c>
      <c r="CJ111" s="9">
        <v>1</v>
      </c>
      <c r="CK111" s="18">
        <f t="shared" si="256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71"/>
        <v>0</v>
      </c>
      <c r="DI111" s="4">
        <f t="shared" si="172"/>
        <v>127</v>
      </c>
      <c r="DJ111" s="4">
        <f t="shared" si="173"/>
        <v>0.59999999999999987</v>
      </c>
      <c r="DL111" s="4">
        <f t="shared" si="174"/>
        <v>8.4107645314059323E-6</v>
      </c>
      <c r="DM111" s="4">
        <f t="shared" si="175"/>
        <v>4.6896020966378407</v>
      </c>
      <c r="DN111" s="4"/>
      <c r="DO111" s="4"/>
      <c r="DP111" s="4"/>
      <c r="DQ111" s="4"/>
      <c r="DR111" s="38">
        <f t="shared" si="279"/>
        <v>316.53648478469842</v>
      </c>
      <c r="DS111" s="4">
        <f t="shared" si="260"/>
        <v>0.7808572593030928</v>
      </c>
      <c r="DT111" s="4"/>
      <c r="DU111" s="4">
        <f t="shared" si="280"/>
        <v>353.28755530766756</v>
      </c>
      <c r="DY111" s="19">
        <f t="shared" si="239"/>
        <v>1</v>
      </c>
      <c r="DZ111" s="19">
        <f t="shared" si="261"/>
        <v>0.73468668193156661</v>
      </c>
      <c r="EA111" s="19">
        <f t="shared" si="262"/>
        <v>1</v>
      </c>
      <c r="EB111" s="19">
        <f t="shared" si="263"/>
        <v>0.73468668193156661</v>
      </c>
      <c r="ED111" s="4">
        <f t="shared" si="281"/>
        <v>376.41442145900862</v>
      </c>
      <c r="EE111" s="25">
        <f t="shared" si="323"/>
        <v>342.82146053241013</v>
      </c>
      <c r="EH111" s="4">
        <f t="shared" si="319"/>
        <v>4.6896020966378407</v>
      </c>
      <c r="EI111" s="4">
        <f t="shared" si="178"/>
        <v>4.6896020966378407</v>
      </c>
      <c r="EK111" s="4">
        <f t="shared" si="179"/>
        <v>60.641668842471674</v>
      </c>
      <c r="EL111" s="4">
        <f t="shared" si="180"/>
        <v>2.3874672772626644</v>
      </c>
      <c r="EM111" s="4">
        <f t="shared" si="181"/>
        <v>0.20677233289882965</v>
      </c>
      <c r="EP111" s="19">
        <f t="shared" si="182"/>
        <v>0.20677233289882965</v>
      </c>
      <c r="EQ111" s="19">
        <f t="shared" si="183"/>
        <v>0.80486021421776921</v>
      </c>
      <c r="ER111" s="4">
        <f t="shared" si="184"/>
        <v>4.299561637031025</v>
      </c>
      <c r="ES111" s="19">
        <f t="shared" si="240"/>
        <v>4.4988116430332044</v>
      </c>
      <c r="ET111" s="4">
        <f t="shared" si="186"/>
        <v>34.608331157528326</v>
      </c>
      <c r="EU111" s="4">
        <f t="shared" si="187"/>
        <v>31.75</v>
      </c>
      <c r="EV111" s="19">
        <f t="shared" si="265"/>
        <v>8.4107645314059323E-6</v>
      </c>
      <c r="EW111" s="19">
        <f t="shared" si="241"/>
        <v>4.6509271187738959</v>
      </c>
      <c r="EX111" s="4">
        <f t="shared" si="189"/>
        <v>405.37048354676762</v>
      </c>
      <c r="EY111" s="4">
        <f t="shared" si="190"/>
        <v>15.558331157528315</v>
      </c>
      <c r="EZ111" s="4">
        <f t="shared" si="191"/>
        <v>0</v>
      </c>
      <c r="FA111" s="4"/>
      <c r="FB111" s="4">
        <f t="shared" si="266"/>
        <v>36.751070522969144</v>
      </c>
      <c r="FG111" s="23"/>
      <c r="FH111" s="23"/>
      <c r="FI111" s="23"/>
      <c r="FJ111" s="23"/>
      <c r="FK111" s="23"/>
      <c r="FL111" s="23"/>
      <c r="FM111" s="23"/>
      <c r="FN111" s="22"/>
      <c r="FX111" s="4">
        <f t="shared" si="267"/>
        <v>1</v>
      </c>
      <c r="FY111" s="4">
        <f t="shared" si="308"/>
        <v>0.5</v>
      </c>
      <c r="FZ111" s="4">
        <f t="shared" si="269"/>
        <v>0</v>
      </c>
      <c r="GA111" s="4">
        <f t="shared" si="270"/>
        <v>215.95756739627933</v>
      </c>
    </row>
    <row r="112" spans="1:183" ht="12" customHeight="1" x14ac:dyDescent="0.3">
      <c r="A112" s="25">
        <v>94</v>
      </c>
      <c r="B112" s="20" t="s">
        <v>54</v>
      </c>
      <c r="C112" s="20">
        <v>2006</v>
      </c>
      <c r="D112" s="20" t="s">
        <v>293</v>
      </c>
      <c r="E112" s="24"/>
      <c r="F112" s="7" t="s">
        <v>281</v>
      </c>
      <c r="G112" s="7">
        <v>472</v>
      </c>
      <c r="H112" s="7">
        <f t="shared" si="320"/>
        <v>203.2</v>
      </c>
      <c r="I112" s="7">
        <f t="shared" si="134"/>
        <v>152.39999999999998</v>
      </c>
      <c r="J112" s="7">
        <v>28</v>
      </c>
      <c r="K112" s="7">
        <v>25.4</v>
      </c>
      <c r="L112" s="7">
        <v>8</v>
      </c>
      <c r="M112" s="7">
        <v>6</v>
      </c>
      <c r="N112" s="7">
        <f t="shared" si="326"/>
        <v>914.4</v>
      </c>
      <c r="O112" s="7">
        <f t="shared" si="321"/>
        <v>127</v>
      </c>
      <c r="P112" s="7"/>
      <c r="Q112" s="7">
        <f t="shared" si="314"/>
        <v>101.6</v>
      </c>
      <c r="R112" s="7">
        <v>3</v>
      </c>
      <c r="S112" s="7">
        <f t="shared" si="315"/>
        <v>50.8</v>
      </c>
      <c r="T112" s="7">
        <f t="shared" si="309"/>
        <v>2.5</v>
      </c>
      <c r="U112" s="7">
        <f t="shared" ref="U112:U122" si="327">(S112+K112/2)/K112</f>
        <v>2.5</v>
      </c>
      <c r="V112" s="7">
        <v>4.7</v>
      </c>
      <c r="W112" s="7">
        <f t="shared" si="155"/>
        <v>4.7</v>
      </c>
      <c r="X112" s="7">
        <f t="shared" si="246"/>
        <v>5.7</v>
      </c>
      <c r="Y112" s="7">
        <f t="shared" si="204"/>
        <v>60.641668842471674</v>
      </c>
      <c r="Z112" s="7"/>
      <c r="AA112" s="7"/>
      <c r="AB112" s="7">
        <v>300</v>
      </c>
      <c r="AC112" s="7"/>
      <c r="AD112" s="7">
        <f>CQ112</f>
        <v>0.74963962286101182</v>
      </c>
      <c r="AE112" s="7">
        <v>0</v>
      </c>
      <c r="AF112" s="7">
        <v>0</v>
      </c>
      <c r="AG112" s="7">
        <f t="shared" si="289"/>
        <v>152.39999999999998</v>
      </c>
      <c r="AH112" s="7"/>
      <c r="AI112" s="7"/>
      <c r="AJ112" s="7"/>
      <c r="AK112" s="4">
        <f t="shared" si="283"/>
        <v>203.2</v>
      </c>
      <c r="AL112" s="44">
        <f t="shared" si="316"/>
        <v>0.62500000000000011</v>
      </c>
      <c r="AM112" s="25">
        <f t="shared" si="272"/>
        <v>100.82912578615378</v>
      </c>
      <c r="AN112" s="4">
        <f t="shared" si="273"/>
        <v>0.76249999999999996</v>
      </c>
      <c r="AO112" s="4">
        <v>1.25</v>
      </c>
      <c r="AP112" s="25">
        <f t="shared" si="322"/>
        <v>5</v>
      </c>
      <c r="AQ112" s="38">
        <f t="shared" si="275"/>
        <v>300.32112660914947</v>
      </c>
      <c r="AR112" s="38">
        <f t="shared" si="276"/>
        <v>300.32112660914947</v>
      </c>
      <c r="AT112" s="38">
        <f t="shared" si="313"/>
        <v>300.32112660914959</v>
      </c>
      <c r="AU112" s="38">
        <f t="shared" si="247"/>
        <v>0.99999999999999967</v>
      </c>
      <c r="AV112" s="38">
        <f t="shared" si="139"/>
        <v>1.010627426942585</v>
      </c>
      <c r="AW112" s="4">
        <f t="shared" ref="AW112:AW152" si="328">IF(AV112&lt;1,1,0)</f>
        <v>0</v>
      </c>
      <c r="AX112" s="4">
        <f t="shared" si="224"/>
        <v>167.10008280407939</v>
      </c>
      <c r="AY112" s="4">
        <f t="shared" si="225"/>
        <v>1</v>
      </c>
      <c r="AZ112" s="38">
        <f t="shared" si="277"/>
        <v>303.51276744150317</v>
      </c>
      <c r="BA112" s="4">
        <f t="shared" si="226"/>
        <v>0.34199999999999997</v>
      </c>
      <c r="BB112" s="4">
        <f t="shared" si="248"/>
        <v>29.859949296674962</v>
      </c>
      <c r="BC112" s="4">
        <f t="shared" si="249"/>
        <v>333.37271673817816</v>
      </c>
      <c r="BE112" s="36">
        <f t="shared" si="317"/>
        <v>1.1274999999999999</v>
      </c>
      <c r="BF112" s="36">
        <f t="shared" si="318"/>
        <v>188.53094692384059</v>
      </c>
      <c r="BK112" s="4">
        <f t="shared" si="160"/>
        <v>57.199999999999996</v>
      </c>
      <c r="BL112" s="4">
        <f t="shared" si="161"/>
        <v>50.8</v>
      </c>
      <c r="BM112" s="4">
        <f t="shared" si="162"/>
        <v>57.199999999999996</v>
      </c>
      <c r="BN112" s="4">
        <f t="shared" si="163"/>
        <v>63.5</v>
      </c>
      <c r="BO112" s="4">
        <f t="shared" si="164"/>
        <v>1.0125984251968505</v>
      </c>
      <c r="BP112" s="25">
        <f t="shared" si="278"/>
        <v>2.5314960629921264</v>
      </c>
      <c r="BR112" s="4">
        <f t="shared" si="165"/>
        <v>50.8</v>
      </c>
      <c r="BV112" s="9"/>
      <c r="BX112" s="9"/>
      <c r="BY112" s="9"/>
      <c r="BZ112" s="9">
        <f t="shared" si="235"/>
        <v>50.8</v>
      </c>
      <c r="CA112" s="9">
        <f t="shared" si="236"/>
        <v>127</v>
      </c>
      <c r="CB112" s="9">
        <f t="shared" si="252"/>
        <v>1.622579553879709</v>
      </c>
      <c r="CC112" s="9">
        <v>0</v>
      </c>
      <c r="CD112" s="9">
        <f t="shared" si="311"/>
        <v>0</v>
      </c>
      <c r="CE112" s="9">
        <f t="shared" si="253"/>
        <v>0</v>
      </c>
      <c r="CF112" s="9">
        <f t="shared" si="237"/>
        <v>0.99524931562137331</v>
      </c>
      <c r="CG112" s="9">
        <f t="shared" si="238"/>
        <v>1.056</v>
      </c>
      <c r="CH112" s="9">
        <f t="shared" si="254"/>
        <v>1.9464482686693119</v>
      </c>
      <c r="CI112" s="9">
        <f t="shared" si="255"/>
        <v>3.158267163427384</v>
      </c>
      <c r="CJ112" s="9">
        <v>1</v>
      </c>
      <c r="CK112" s="9">
        <f t="shared" si="256"/>
        <v>265.29444172790028</v>
      </c>
      <c r="CM112" s="4">
        <f t="shared" si="210"/>
        <v>1.7953312467938294</v>
      </c>
      <c r="CN112" s="4">
        <f t="shared" ref="CN112:CN116" si="329">AB112/BC112</f>
        <v>0.89989367736896064</v>
      </c>
      <c r="CO112" s="4">
        <f t="shared" si="212"/>
        <v>1.5912506932943413</v>
      </c>
      <c r="CP112" s="4">
        <f t="shared" si="213"/>
        <v>1.1308190177150246</v>
      </c>
      <c r="CQ112" s="4">
        <f t="shared" si="214"/>
        <v>0.74963962286101182</v>
      </c>
      <c r="CR112" s="4">
        <f t="shared" si="215"/>
        <v>0.80409497946677988</v>
      </c>
      <c r="CS112" s="4">
        <f t="shared" si="146"/>
        <v>1.0626551710850494</v>
      </c>
      <c r="CU112" s="4">
        <f t="shared" si="216"/>
        <v>1.7953312467938294</v>
      </c>
      <c r="CV112" s="4">
        <f t="shared" si="216"/>
        <v>0.89989367736896064</v>
      </c>
      <c r="CW112" s="4">
        <f t="shared" si="217"/>
        <v>1.1308190177150246</v>
      </c>
      <c r="CX112" s="4">
        <f t="shared" ref="CX112:CX116" si="330">CS112</f>
        <v>1.0626551710850494</v>
      </c>
      <c r="CY112" s="4">
        <f t="shared" si="219"/>
        <v>0.74963962286101182</v>
      </c>
      <c r="CZ112" s="4">
        <f t="shared" si="219"/>
        <v>0.80409497946677988</v>
      </c>
      <c r="DH112" s="4">
        <f t="shared" si="171"/>
        <v>0</v>
      </c>
      <c r="DI112" s="4">
        <f t="shared" si="172"/>
        <v>203.2</v>
      </c>
      <c r="DJ112" s="4">
        <f t="shared" si="173"/>
        <v>0.74999999999999989</v>
      </c>
      <c r="DL112" s="4">
        <f t="shared" si="174"/>
        <v>1.4081086625805556E-5</v>
      </c>
      <c r="DM112" s="4">
        <f t="shared" si="175"/>
        <v>4.8913150907085621</v>
      </c>
      <c r="DN112" s="4">
        <f t="shared" ref="DN112:DN116" si="331">DU112*Y112/257/J112/V112</f>
        <v>0.53847806423870404</v>
      </c>
      <c r="DO112" s="4">
        <f t="shared" si="257"/>
        <v>3.8185004560434437</v>
      </c>
      <c r="DP112" s="4">
        <f t="shared" si="258"/>
        <v>4.3878681397992914</v>
      </c>
      <c r="DQ112" s="4">
        <f t="shared" si="259"/>
        <v>4.7872065211519317</v>
      </c>
      <c r="DR112" s="38">
        <f t="shared" si="279"/>
        <v>400.19229353838733</v>
      </c>
      <c r="DS112" s="4">
        <f t="shared" si="260"/>
        <v>1.0001002040418938</v>
      </c>
      <c r="DT112" s="4">
        <f t="shared" si="150"/>
        <v>2.3874672772626644</v>
      </c>
      <c r="DU112" s="4">
        <f t="shared" si="280"/>
        <v>300.32112660914959</v>
      </c>
      <c r="DY112" s="4">
        <f t="shared" si="239"/>
        <v>1</v>
      </c>
      <c r="DZ112" s="4">
        <f t="shared" si="261"/>
        <v>0.9</v>
      </c>
      <c r="EA112" s="4">
        <f t="shared" si="262"/>
        <v>1</v>
      </c>
      <c r="EB112" s="4">
        <f t="shared" si="263"/>
        <v>0.9</v>
      </c>
      <c r="ED112" s="4">
        <f t="shared" si="281"/>
        <v>373.09025383909153</v>
      </c>
      <c r="EE112" s="25">
        <f t="shared" si="323"/>
        <v>293.99662540245509</v>
      </c>
      <c r="EH112" s="4">
        <f t="shared" si="319"/>
        <v>4.8913150907085621</v>
      </c>
      <c r="EI112" s="4">
        <f t="shared" si="178"/>
        <v>4.8913150907085621</v>
      </c>
      <c r="EK112" s="4">
        <f t="shared" si="179"/>
        <v>60.641668842471674</v>
      </c>
      <c r="EL112" s="4">
        <f t="shared" si="180"/>
        <v>2.3874672772626644</v>
      </c>
      <c r="EM112" s="4">
        <f t="shared" si="181"/>
        <v>0.15580532528546467</v>
      </c>
      <c r="EP112" s="4">
        <f t="shared" si="182"/>
        <v>0.15580532528546467</v>
      </c>
      <c r="EQ112" s="4">
        <f t="shared" si="183"/>
        <v>0.53757944470815811</v>
      </c>
      <c r="ER112" s="4">
        <f t="shared" si="184"/>
        <v>3.8159502325558035</v>
      </c>
      <c r="ES112" s="4">
        <f t="shared" si="240"/>
        <v>4.3867592129495785</v>
      </c>
      <c r="ET112" s="4">
        <f t="shared" si="186"/>
        <v>91.758331157528303</v>
      </c>
      <c r="EU112" s="4">
        <f t="shared" si="187"/>
        <v>50.8</v>
      </c>
      <c r="EV112" s="4">
        <f t="shared" si="265"/>
        <v>1.4081086625805556E-5</v>
      </c>
      <c r="EW112" s="4">
        <f t="shared" si="241"/>
        <v>4.7872417175461299</v>
      </c>
      <c r="EX112" s="4">
        <f t="shared" si="189"/>
        <v>400.15219667090821</v>
      </c>
      <c r="EY112" s="4">
        <f t="shared" si="190"/>
        <v>91.758331157528303</v>
      </c>
      <c r="EZ112" s="4">
        <f t="shared" si="191"/>
        <v>0</v>
      </c>
      <c r="FB112" s="4">
        <f t="shared" si="266"/>
        <v>38.297933740369047</v>
      </c>
      <c r="FG112" s="23">
        <f t="shared" si="220"/>
        <v>1.8</v>
      </c>
      <c r="FH112" s="23">
        <f t="shared" si="220"/>
        <v>1</v>
      </c>
      <c r="FI112" s="23">
        <f t="shared" si="234"/>
        <v>1.2</v>
      </c>
      <c r="FJ112" s="23">
        <f t="shared" si="221"/>
        <v>1.2</v>
      </c>
      <c r="FK112" s="23">
        <f t="shared" si="221"/>
        <v>0.8</v>
      </c>
      <c r="FL112" s="23">
        <f t="shared" si="221"/>
        <v>1</v>
      </c>
      <c r="FM112" s="23">
        <f t="shared" si="222"/>
        <v>1</v>
      </c>
      <c r="FN112" s="23"/>
      <c r="FX112" s="4">
        <f t="shared" si="267"/>
        <v>1</v>
      </c>
      <c r="FY112" s="4">
        <f t="shared" si="308"/>
        <v>0.65</v>
      </c>
      <c r="FZ112" s="4">
        <f t="shared" si="269"/>
        <v>0</v>
      </c>
      <c r="GA112" s="4">
        <f t="shared" si="270"/>
        <v>282.31171142156853</v>
      </c>
    </row>
    <row r="113" spans="1:188" ht="12" customHeight="1" x14ac:dyDescent="0.3">
      <c r="A113" s="25">
        <v>95</v>
      </c>
      <c r="B113" s="20" t="s">
        <v>54</v>
      </c>
      <c r="C113" s="20">
        <v>2006</v>
      </c>
      <c r="D113" s="20" t="s">
        <v>293</v>
      </c>
      <c r="E113" s="24"/>
      <c r="F113" s="7" t="s">
        <v>68</v>
      </c>
      <c r="G113" s="7">
        <v>472</v>
      </c>
      <c r="H113" s="7">
        <f t="shared" si="320"/>
        <v>203.2</v>
      </c>
      <c r="I113" s="7">
        <f t="shared" si="134"/>
        <v>152.39999999999998</v>
      </c>
      <c r="J113" s="7">
        <v>28</v>
      </c>
      <c r="K113" s="7">
        <v>25.4</v>
      </c>
      <c r="L113" s="7">
        <v>8</v>
      </c>
      <c r="M113" s="7">
        <v>6</v>
      </c>
      <c r="N113" s="7">
        <f t="shared" si="326"/>
        <v>914.4</v>
      </c>
      <c r="O113" s="7">
        <f t="shared" si="321"/>
        <v>127</v>
      </c>
      <c r="P113" s="7"/>
      <c r="Q113" s="7">
        <f t="shared" si="314"/>
        <v>101.6</v>
      </c>
      <c r="R113" s="7">
        <v>3</v>
      </c>
      <c r="S113" s="7">
        <f t="shared" si="315"/>
        <v>50.8</v>
      </c>
      <c r="T113" s="7">
        <f t="shared" si="309"/>
        <v>2.5</v>
      </c>
      <c r="U113" s="7">
        <f t="shared" si="327"/>
        <v>2.5</v>
      </c>
      <c r="V113" s="7">
        <v>4.04</v>
      </c>
      <c r="W113" s="7">
        <f t="shared" si="155"/>
        <v>4.04</v>
      </c>
      <c r="X113" s="7">
        <f t="shared" si="246"/>
        <v>5.04</v>
      </c>
      <c r="Y113" s="7">
        <f t="shared" si="204"/>
        <v>57.022858574434863</v>
      </c>
      <c r="Z113" s="7"/>
      <c r="AA113" s="7"/>
      <c r="AB113" s="7">
        <v>306</v>
      </c>
      <c r="AC113" s="7"/>
      <c r="AD113" s="7">
        <f>CQ113</f>
        <v>0.75988377667231821</v>
      </c>
      <c r="AE113" s="7">
        <v>0</v>
      </c>
      <c r="AF113" s="7">
        <v>0</v>
      </c>
      <c r="AG113" s="7">
        <f t="shared" si="289"/>
        <v>152.39999999999998</v>
      </c>
      <c r="AH113" s="7"/>
      <c r="AI113" s="7"/>
      <c r="AJ113" s="7"/>
      <c r="AK113" s="4">
        <f t="shared" si="283"/>
        <v>203.2</v>
      </c>
      <c r="AL113" s="44">
        <f t="shared" si="316"/>
        <v>0.62500000000000011</v>
      </c>
      <c r="AM113" s="25">
        <f t="shared" si="272"/>
        <v>100.82912578615378</v>
      </c>
      <c r="AN113" s="4">
        <f t="shared" si="273"/>
        <v>0.76249999999999996</v>
      </c>
      <c r="AO113" s="4">
        <v>1.25</v>
      </c>
      <c r="AP113" s="25">
        <f t="shared" si="322"/>
        <v>5</v>
      </c>
      <c r="AQ113" s="38">
        <f t="shared" si="275"/>
        <v>300.32112660914947</v>
      </c>
      <c r="AR113" s="38">
        <f t="shared" si="276"/>
        <v>300.32112660914947</v>
      </c>
      <c r="AT113" s="38">
        <f t="shared" si="313"/>
        <v>300.32112660914959</v>
      </c>
      <c r="AU113" s="38">
        <f t="shared" si="247"/>
        <v>0.99999999999999967</v>
      </c>
      <c r="AV113" s="38">
        <f t="shared" si="139"/>
        <v>0.93698542146722186</v>
      </c>
      <c r="AW113" s="4">
        <f t="shared" si="328"/>
        <v>1</v>
      </c>
      <c r="AX113" s="4">
        <f t="shared" si="224"/>
        <v>167.10008280407939</v>
      </c>
      <c r="AY113" s="4">
        <f t="shared" si="225"/>
        <v>1</v>
      </c>
      <c r="AZ113" s="38">
        <f t="shared" si="277"/>
        <v>281.39651739138492</v>
      </c>
      <c r="BA113" s="4">
        <f t="shared" si="226"/>
        <v>0.43440000000000001</v>
      </c>
      <c r="BB113" s="4">
        <f t="shared" si="248"/>
        <v>37.927374194373115</v>
      </c>
      <c r="BC113" s="4">
        <f t="shared" si="249"/>
        <v>319.32389158575802</v>
      </c>
      <c r="BE113" s="36">
        <f t="shared" si="317"/>
        <v>1.1274999999999999</v>
      </c>
      <c r="BF113" s="36">
        <f t="shared" si="318"/>
        <v>188.53094692384059</v>
      </c>
      <c r="BK113" s="4">
        <f t="shared" si="160"/>
        <v>57.199999999999996</v>
      </c>
      <c r="BL113" s="4">
        <f t="shared" si="161"/>
        <v>50.8</v>
      </c>
      <c r="BM113" s="4">
        <f t="shared" si="162"/>
        <v>57.199999999999996</v>
      </c>
      <c r="BN113" s="4">
        <f t="shared" si="163"/>
        <v>63.5</v>
      </c>
      <c r="BO113" s="4">
        <f t="shared" si="164"/>
        <v>1.0125984251968505</v>
      </c>
      <c r="BP113" s="25">
        <f t="shared" si="278"/>
        <v>2.5314960629921264</v>
      </c>
      <c r="BR113" s="4">
        <f t="shared" si="165"/>
        <v>50.8</v>
      </c>
      <c r="BV113" s="9"/>
      <c r="BX113" s="9"/>
      <c r="BY113" s="9"/>
      <c r="BZ113" s="9">
        <f t="shared" si="235"/>
        <v>50.8</v>
      </c>
      <c r="CA113" s="9">
        <f t="shared" si="236"/>
        <v>127</v>
      </c>
      <c r="CB113" s="9">
        <f t="shared" si="252"/>
        <v>1.622579553879709</v>
      </c>
      <c r="CC113" s="9">
        <v>0</v>
      </c>
      <c r="CD113" s="9">
        <f t="shared" si="311"/>
        <v>0</v>
      </c>
      <c r="CE113" s="9">
        <f t="shared" si="253"/>
        <v>0</v>
      </c>
      <c r="CF113" s="9">
        <f t="shared" si="237"/>
        <v>0.99524931562137331</v>
      </c>
      <c r="CG113" s="9">
        <f t="shared" si="238"/>
        <v>1.056</v>
      </c>
      <c r="CH113" s="9">
        <f t="shared" si="254"/>
        <v>1.9464482686693119</v>
      </c>
      <c r="CI113" s="9">
        <f t="shared" si="255"/>
        <v>3.158267163427384</v>
      </c>
      <c r="CJ113" s="9">
        <v>1</v>
      </c>
      <c r="CK113" s="9">
        <f t="shared" si="256"/>
        <v>265.29444172790028</v>
      </c>
      <c r="CM113" s="4">
        <f t="shared" si="210"/>
        <v>1.831237871729706</v>
      </c>
      <c r="CN113" s="4">
        <f t="shared" si="329"/>
        <v>0.95827467991952697</v>
      </c>
      <c r="CO113" s="4">
        <f t="shared" si="212"/>
        <v>1.6230757071602282</v>
      </c>
      <c r="CP113" s="4">
        <f t="shared" si="213"/>
        <v>1.153435398069325</v>
      </c>
      <c r="CQ113" s="4">
        <f t="shared" si="214"/>
        <v>0.75988377667231821</v>
      </c>
      <c r="CR113" s="4">
        <f t="shared" si="215"/>
        <v>0.82013855883724562</v>
      </c>
      <c r="CS113" s="4">
        <f t="shared" si="146"/>
        <v>1.0839082745067503</v>
      </c>
      <c r="CU113" s="4">
        <f t="shared" si="216"/>
        <v>1.831237871729706</v>
      </c>
      <c r="CV113" s="4">
        <f t="shared" si="216"/>
        <v>0.95827467991952697</v>
      </c>
      <c r="CW113" s="4">
        <f t="shared" si="217"/>
        <v>1.153435398069325</v>
      </c>
      <c r="CX113" s="4">
        <f t="shared" si="330"/>
        <v>1.0839082745067503</v>
      </c>
      <c r="CY113" s="4">
        <f t="shared" si="219"/>
        <v>0.75988377667231821</v>
      </c>
      <c r="CZ113" s="4">
        <f t="shared" si="219"/>
        <v>0.82013855883724562</v>
      </c>
      <c r="DH113" s="4">
        <f t="shared" si="171"/>
        <v>0</v>
      </c>
      <c r="DI113" s="4">
        <f t="shared" si="172"/>
        <v>203.2</v>
      </c>
      <c r="DJ113" s="4">
        <f t="shared" si="173"/>
        <v>0.74999999999999989</v>
      </c>
      <c r="DL113" s="4">
        <f t="shared" si="174"/>
        <v>1.4081086625805556E-5</v>
      </c>
      <c r="DM113" s="4">
        <f t="shared" si="175"/>
        <v>4.8913150907085621</v>
      </c>
      <c r="DN113" s="4">
        <f t="shared" si="331"/>
        <v>0.5890638201623456</v>
      </c>
      <c r="DO113" s="4">
        <f t="shared" si="257"/>
        <v>3.9581347949207233</v>
      </c>
      <c r="DP113" s="4">
        <f t="shared" si="258"/>
        <v>4.4492850598328726</v>
      </c>
      <c r="DQ113" s="4">
        <f t="shared" si="259"/>
        <v>4.7850266011856082</v>
      </c>
      <c r="DR113" s="38">
        <f t="shared" si="279"/>
        <v>402.69316097263544</v>
      </c>
      <c r="DS113" s="4">
        <f t="shared" si="260"/>
        <v>1.0001020792306232</v>
      </c>
      <c r="DT113" s="4">
        <f t="shared" si="150"/>
        <v>2.2449944320643649</v>
      </c>
      <c r="DU113" s="4">
        <f t="shared" si="280"/>
        <v>300.32112660914959</v>
      </c>
      <c r="DY113" s="4">
        <f t="shared" si="239"/>
        <v>1</v>
      </c>
      <c r="DZ113" s="4">
        <f t="shared" si="261"/>
        <v>0.9</v>
      </c>
      <c r="EA113" s="4">
        <f t="shared" si="262"/>
        <v>1</v>
      </c>
      <c r="EB113" s="4">
        <f t="shared" si="263"/>
        <v>0.9</v>
      </c>
      <c r="ED113" s="4">
        <f t="shared" si="281"/>
        <v>373.10768613761144</v>
      </c>
      <c r="EE113" s="25">
        <f t="shared" si="323"/>
        <v>293.99662540245509</v>
      </c>
      <c r="EH113" s="4">
        <f t="shared" si="319"/>
        <v>4.8913150907085621</v>
      </c>
      <c r="EI113" s="4">
        <f t="shared" si="178"/>
        <v>4.8913150907085621</v>
      </c>
      <c r="EK113" s="4">
        <f t="shared" si="179"/>
        <v>57.022858574434863</v>
      </c>
      <c r="EL113" s="4">
        <f t="shared" si="180"/>
        <v>2.2449944320643649</v>
      </c>
      <c r="EM113" s="4">
        <f t="shared" si="181"/>
        <v>0.17044200350862856</v>
      </c>
      <c r="EP113" s="4">
        <f t="shared" si="182"/>
        <v>0.17044200350862856</v>
      </c>
      <c r="EQ113" s="4">
        <f t="shared" si="183"/>
        <v>0.58808078243306638</v>
      </c>
      <c r="ER113" s="4">
        <f t="shared" si="184"/>
        <v>3.9554913152518196</v>
      </c>
      <c r="ES113" s="4">
        <f t="shared" si="240"/>
        <v>4.4481097848672473</v>
      </c>
      <c r="ET113" s="4">
        <f t="shared" si="186"/>
        <v>95.377141425565114</v>
      </c>
      <c r="EU113" s="4">
        <f t="shared" si="187"/>
        <v>50.800000000000026</v>
      </c>
      <c r="EV113" s="4">
        <f t="shared" si="265"/>
        <v>1.4081086625805565E-5</v>
      </c>
      <c r="EW113" s="4">
        <f t="shared" si="241"/>
        <v>4.7850626802311398</v>
      </c>
      <c r="EX113" s="4">
        <f t="shared" si="189"/>
        <v>402.65205856028871</v>
      </c>
      <c r="EY113" s="4">
        <f t="shared" si="190"/>
        <v>95.377141425565114</v>
      </c>
      <c r="EZ113" s="4">
        <f t="shared" si="191"/>
        <v>0</v>
      </c>
      <c r="FB113" s="4">
        <f t="shared" si="266"/>
        <v>38.28050144184914</v>
      </c>
      <c r="FG113" s="23">
        <f t="shared" si="220"/>
        <v>2</v>
      </c>
      <c r="FH113" s="23">
        <f t="shared" si="220"/>
        <v>1</v>
      </c>
      <c r="FI113" s="23">
        <f t="shared" si="234"/>
        <v>1.2</v>
      </c>
      <c r="FJ113" s="23">
        <f t="shared" si="221"/>
        <v>1.2</v>
      </c>
      <c r="FK113" s="23">
        <f t="shared" si="221"/>
        <v>0.8</v>
      </c>
      <c r="FL113" s="23">
        <f t="shared" si="221"/>
        <v>1</v>
      </c>
      <c r="FM113" s="23">
        <f t="shared" si="222"/>
        <v>1</v>
      </c>
      <c r="FN113" s="23"/>
      <c r="FX113" s="4">
        <f t="shared" si="267"/>
        <v>1</v>
      </c>
      <c r="FY113" s="4">
        <f t="shared" si="308"/>
        <v>0.65</v>
      </c>
      <c r="FZ113" s="4">
        <f t="shared" si="269"/>
        <v>0</v>
      </c>
      <c r="GA113" s="4">
        <f t="shared" si="270"/>
        <v>282.31171142156853</v>
      </c>
    </row>
    <row r="114" spans="1:188" ht="12" customHeight="1" x14ac:dyDescent="0.3">
      <c r="A114" s="25">
        <v>96</v>
      </c>
      <c r="B114" s="20" t="s">
        <v>54</v>
      </c>
      <c r="C114" s="20">
        <v>2006</v>
      </c>
      <c r="D114" s="20" t="s">
        <v>293</v>
      </c>
      <c r="E114" s="24"/>
      <c r="F114" s="7" t="s">
        <v>281</v>
      </c>
      <c r="G114" s="7">
        <v>472</v>
      </c>
      <c r="H114" s="7">
        <f t="shared" si="320"/>
        <v>304.79999999999995</v>
      </c>
      <c r="I114" s="7">
        <f t="shared" si="134"/>
        <v>254</v>
      </c>
      <c r="J114" s="7">
        <v>29</v>
      </c>
      <c r="K114" s="7">
        <v>25.4</v>
      </c>
      <c r="L114" s="7">
        <v>12</v>
      </c>
      <c r="M114" s="7">
        <v>10</v>
      </c>
      <c r="N114" s="7">
        <f t="shared" si="326"/>
        <v>914.4</v>
      </c>
      <c r="O114" s="7">
        <f t="shared" si="321"/>
        <v>127</v>
      </c>
      <c r="P114" s="7"/>
      <c r="Q114" s="7">
        <f t="shared" si="314"/>
        <v>101.6</v>
      </c>
      <c r="R114" s="7">
        <v>3</v>
      </c>
      <c r="S114" s="7">
        <f t="shared" si="315"/>
        <v>50.8</v>
      </c>
      <c r="T114" s="7">
        <f t="shared" si="309"/>
        <v>2.5</v>
      </c>
      <c r="U114" s="7">
        <f t="shared" si="327"/>
        <v>2.5</v>
      </c>
      <c r="V114" s="7">
        <v>4.7</v>
      </c>
      <c r="W114" s="7">
        <f t="shared" si="155"/>
        <v>4.7</v>
      </c>
      <c r="X114" s="7">
        <f t="shared" si="246"/>
        <v>5.7</v>
      </c>
      <c r="Y114" s="7">
        <f t="shared" si="204"/>
        <v>60.641668842471674</v>
      </c>
      <c r="Z114" s="7"/>
      <c r="AA114" s="7"/>
      <c r="AB114" s="7">
        <v>457</v>
      </c>
      <c r="AC114" s="7"/>
      <c r="AD114" s="7">
        <f>CQ114</f>
        <v>1.1164683616764477</v>
      </c>
      <c r="AE114" s="7">
        <v>0</v>
      </c>
      <c r="AF114" s="7">
        <v>0</v>
      </c>
      <c r="AG114" s="7">
        <f t="shared" si="289"/>
        <v>254</v>
      </c>
      <c r="AH114" s="7"/>
      <c r="AI114" s="7"/>
      <c r="AJ114" s="7"/>
      <c r="AK114" s="4">
        <f t="shared" si="283"/>
        <v>304.79999999999995</v>
      </c>
      <c r="AL114" s="44">
        <f t="shared" si="316"/>
        <v>0.27777777777777785</v>
      </c>
      <c r="AM114" s="25">
        <f t="shared" si="272"/>
        <v>188.51368095394432</v>
      </c>
      <c r="AN114" s="4">
        <f t="shared" si="273"/>
        <v>0.74166666666666659</v>
      </c>
      <c r="AO114" s="4">
        <v>1.25</v>
      </c>
      <c r="AP114" s="25">
        <f t="shared" si="322"/>
        <v>5</v>
      </c>
      <c r="AQ114" s="38">
        <f t="shared" si="275"/>
        <v>242.73318294127671</v>
      </c>
      <c r="AR114" s="38">
        <f t="shared" si="276"/>
        <v>242.73318294127671</v>
      </c>
      <c r="AT114" s="38">
        <f t="shared" si="313"/>
        <v>242.73318294127648</v>
      </c>
      <c r="AU114" s="38">
        <f t="shared" si="247"/>
        <v>1.0000000000000009</v>
      </c>
      <c r="AV114" s="38">
        <f t="shared" si="139"/>
        <v>1.2950537101138442</v>
      </c>
      <c r="AW114" s="4">
        <f t="shared" si="328"/>
        <v>0</v>
      </c>
      <c r="AX114" s="4">
        <f t="shared" si="224"/>
        <v>283.42972669128966</v>
      </c>
      <c r="AY114" s="4">
        <f t="shared" si="225"/>
        <v>1</v>
      </c>
      <c r="AZ114" s="38">
        <f t="shared" si="277"/>
        <v>314.35250913584258</v>
      </c>
      <c r="BA114" s="4">
        <f t="shared" si="226"/>
        <v>0.34199999999999997</v>
      </c>
      <c r="BB114" s="4">
        <f t="shared" si="248"/>
        <v>50.647475011100013</v>
      </c>
      <c r="BC114" s="4">
        <f t="shared" si="249"/>
        <v>364.99998414694261</v>
      </c>
      <c r="BE114" s="36">
        <f t="shared" si="317"/>
        <v>1.1274999999999999</v>
      </c>
      <c r="BF114" s="36">
        <f t="shared" si="318"/>
        <v>230.7273861616778</v>
      </c>
      <c r="BK114" s="4">
        <f t="shared" si="160"/>
        <v>57.199999999999996</v>
      </c>
      <c r="BL114" s="4">
        <f t="shared" si="161"/>
        <v>50.8</v>
      </c>
      <c r="BM114" s="4">
        <f t="shared" si="162"/>
        <v>57.199999999999996</v>
      </c>
      <c r="BN114" s="4">
        <f t="shared" si="163"/>
        <v>63.5</v>
      </c>
      <c r="BO114" s="4">
        <f t="shared" si="164"/>
        <v>1.0125984251968505</v>
      </c>
      <c r="BP114" s="25">
        <f t="shared" si="278"/>
        <v>2.5314960629921264</v>
      </c>
      <c r="BR114" s="4">
        <f t="shared" si="165"/>
        <v>50.8</v>
      </c>
      <c r="BV114" s="9"/>
      <c r="BX114" s="9"/>
      <c r="BY114" s="9"/>
      <c r="BZ114" s="9">
        <f t="shared" si="235"/>
        <v>50.8</v>
      </c>
      <c r="CA114" s="9">
        <f t="shared" si="236"/>
        <v>127</v>
      </c>
      <c r="CB114" s="9">
        <f t="shared" si="252"/>
        <v>1.622579553879709</v>
      </c>
      <c r="CC114" s="9">
        <v>0</v>
      </c>
      <c r="CD114" s="9">
        <f t="shared" si="311"/>
        <v>0</v>
      </c>
      <c r="CE114" s="9">
        <f t="shared" si="253"/>
        <v>0</v>
      </c>
      <c r="CF114" s="9">
        <f t="shared" si="237"/>
        <v>0.99524931562137331</v>
      </c>
      <c r="CG114" s="9">
        <f t="shared" si="238"/>
        <v>1.056</v>
      </c>
      <c r="CH114" s="9">
        <f t="shared" si="254"/>
        <v>1.9809013552237766</v>
      </c>
      <c r="CI114" s="9">
        <f t="shared" si="255"/>
        <v>3.2141700372387065</v>
      </c>
      <c r="CJ114" s="9">
        <v>1</v>
      </c>
      <c r="CK114" s="9">
        <f t="shared" si="256"/>
        <v>321.41700372387061</v>
      </c>
      <c r="CM114" s="4">
        <f t="shared" si="210"/>
        <v>1.6123926213913415</v>
      </c>
      <c r="CN114" s="4">
        <f t="shared" si="329"/>
        <v>1.2520548489010888</v>
      </c>
      <c r="CO114" s="4">
        <f t="shared" si="212"/>
        <v>1.9806924856322257</v>
      </c>
      <c r="CP114" s="4">
        <f t="shared" si="213"/>
        <v>1.4218289471474532</v>
      </c>
      <c r="CQ114" s="4">
        <f t="shared" si="214"/>
        <v>1.1164683616764477</v>
      </c>
      <c r="CR114" s="4">
        <f t="shared" si="215"/>
        <v>1.2021807798100808</v>
      </c>
      <c r="CS114" s="4">
        <f t="shared" si="146"/>
        <v>1.0697592602127863</v>
      </c>
      <c r="CU114" s="4">
        <f t="shared" si="216"/>
        <v>1.6123926213913415</v>
      </c>
      <c r="CV114" s="4">
        <f t="shared" si="216"/>
        <v>1.2520548489010888</v>
      </c>
      <c r="CW114" s="4">
        <f t="shared" si="217"/>
        <v>1.4218289471474532</v>
      </c>
      <c r="CX114" s="4">
        <f t="shared" si="330"/>
        <v>1.0697592602127863</v>
      </c>
      <c r="CY114" s="4">
        <f t="shared" si="219"/>
        <v>1.1164683616764477</v>
      </c>
      <c r="CZ114" s="4">
        <f t="shared" si="219"/>
        <v>1.2021807798100808</v>
      </c>
      <c r="DH114" s="4">
        <f t="shared" si="171"/>
        <v>0</v>
      </c>
      <c r="DI114" s="4">
        <f t="shared" si="172"/>
        <v>304.79999999999995</v>
      </c>
      <c r="DJ114" s="4">
        <f t="shared" si="173"/>
        <v>0.83333333333333348</v>
      </c>
      <c r="DL114" s="4">
        <f t="shared" si="174"/>
        <v>2.1275316934420354E-5</v>
      </c>
      <c r="DM114" s="4">
        <f t="shared" si="175"/>
        <v>4.9778937606367135</v>
      </c>
      <c r="DN114" s="4">
        <f t="shared" si="331"/>
        <v>0.42021477277474967</v>
      </c>
      <c r="DO114" s="4">
        <f t="shared" si="257"/>
        <v>3.5191205972774449</v>
      </c>
      <c r="DP114" s="4">
        <f t="shared" si="258"/>
        <v>4.310841737072364</v>
      </c>
      <c r="DQ114" s="4">
        <f t="shared" si="259"/>
        <v>4.7410699998847159</v>
      </c>
      <c r="DR114" s="38">
        <f t="shared" si="279"/>
        <v>409.3264222138688</v>
      </c>
      <c r="DS114" s="4">
        <f t="shared" si="260"/>
        <v>1.0001148737284835</v>
      </c>
      <c r="DT114" s="4">
        <f t="shared" si="150"/>
        <v>2.3874672772626644</v>
      </c>
      <c r="DU114" s="4">
        <f t="shared" si="280"/>
        <v>242.73318294127648</v>
      </c>
      <c r="DY114" s="4">
        <f t="shared" si="239"/>
        <v>1</v>
      </c>
      <c r="DZ114" s="4">
        <f t="shared" si="261"/>
        <v>0.9</v>
      </c>
      <c r="EA114" s="4">
        <f t="shared" si="262"/>
        <v>1</v>
      </c>
      <c r="EB114" s="4">
        <f t="shared" si="263"/>
        <v>0.9</v>
      </c>
      <c r="ED114" s="4">
        <f t="shared" si="281"/>
        <v>380.14249410325488</v>
      </c>
      <c r="EE114" s="25">
        <f t="shared" si="323"/>
        <v>238.86738872505268</v>
      </c>
      <c r="EH114" s="4">
        <f t="shared" si="319"/>
        <v>4.9778937606367135</v>
      </c>
      <c r="EI114" s="4">
        <f t="shared" si="178"/>
        <v>4.9778937606367135</v>
      </c>
      <c r="EK114" s="4">
        <f t="shared" si="179"/>
        <v>60.641668842471674</v>
      </c>
      <c r="EL114" s="4">
        <f t="shared" si="180"/>
        <v>2.3874672772626644</v>
      </c>
      <c r="EM114" s="4">
        <f t="shared" si="181"/>
        <v>0.12373870895460494</v>
      </c>
      <c r="EP114" s="4">
        <f t="shared" si="182"/>
        <v>0.12373870895460494</v>
      </c>
      <c r="EQ114" s="4">
        <f t="shared" si="183"/>
        <v>0.41951351263637587</v>
      </c>
      <c r="ER114" s="4">
        <f t="shared" si="184"/>
        <v>3.5167703176044887</v>
      </c>
      <c r="ES114" s="4">
        <f t="shared" si="240"/>
        <v>4.3098838742637779</v>
      </c>
      <c r="ET114" s="4">
        <f t="shared" si="186"/>
        <v>167.95833115752828</v>
      </c>
      <c r="EU114" s="4">
        <f t="shared" si="187"/>
        <v>76.199999999999989</v>
      </c>
      <c r="EV114" s="4">
        <f t="shared" si="265"/>
        <v>2.1275316934420354E-5</v>
      </c>
      <c r="EW114" s="4">
        <f t="shared" si="241"/>
        <v>4.7411337505899471</v>
      </c>
      <c r="EX114" s="4">
        <f t="shared" si="189"/>
        <v>409.27940676242247</v>
      </c>
      <c r="EY114" s="4">
        <f t="shared" si="190"/>
        <v>167.95833115752828</v>
      </c>
      <c r="EZ114" s="4">
        <f t="shared" si="191"/>
        <v>25.400000000000048</v>
      </c>
      <c r="FB114" s="4">
        <f t="shared" si="266"/>
        <v>37.929070004719506</v>
      </c>
      <c r="FG114" s="23">
        <f t="shared" si="220"/>
        <v>1.8</v>
      </c>
      <c r="FH114" s="23">
        <f t="shared" si="220"/>
        <v>1.4</v>
      </c>
      <c r="FI114" s="23">
        <f t="shared" si="234"/>
        <v>1.2</v>
      </c>
      <c r="FJ114" s="23">
        <f t="shared" si="221"/>
        <v>1.6</v>
      </c>
      <c r="FK114" s="23">
        <f t="shared" si="221"/>
        <v>1.2</v>
      </c>
      <c r="FL114" s="23">
        <f t="shared" si="221"/>
        <v>1.4</v>
      </c>
      <c r="FM114" s="23">
        <f t="shared" si="222"/>
        <v>0</v>
      </c>
      <c r="FN114" s="23"/>
      <c r="FX114" s="4">
        <f t="shared" si="267"/>
        <v>1</v>
      </c>
      <c r="FY114" s="4">
        <f t="shared" si="308"/>
        <v>0.65</v>
      </c>
      <c r="FZ114" s="4">
        <f t="shared" si="269"/>
        <v>0</v>
      </c>
      <c r="GA114" s="4">
        <f t="shared" si="270"/>
        <v>427.19891941771829</v>
      </c>
    </row>
    <row r="115" spans="1:188" ht="12" customHeight="1" x14ac:dyDescent="0.3">
      <c r="A115" s="25">
        <v>97</v>
      </c>
      <c r="B115" s="20" t="s">
        <v>54</v>
      </c>
      <c r="C115" s="20">
        <v>2006</v>
      </c>
      <c r="D115" s="20" t="s">
        <v>293</v>
      </c>
      <c r="E115" s="24"/>
      <c r="F115" s="7" t="s">
        <v>68</v>
      </c>
      <c r="G115" s="7">
        <v>472</v>
      </c>
      <c r="H115" s="7">
        <f t="shared" si="320"/>
        <v>304.79999999999995</v>
      </c>
      <c r="I115" s="7">
        <f t="shared" si="134"/>
        <v>254</v>
      </c>
      <c r="J115" s="7">
        <v>26</v>
      </c>
      <c r="K115" s="7">
        <v>25.4</v>
      </c>
      <c r="L115" s="7">
        <v>12</v>
      </c>
      <c r="M115" s="7">
        <v>10</v>
      </c>
      <c r="N115" s="7">
        <f t="shared" si="326"/>
        <v>914.4</v>
      </c>
      <c r="O115" s="7">
        <f t="shared" si="321"/>
        <v>127</v>
      </c>
      <c r="P115" s="7"/>
      <c r="Q115" s="7">
        <f t="shared" si="314"/>
        <v>101.6</v>
      </c>
      <c r="R115" s="7">
        <v>3</v>
      </c>
      <c r="S115" s="7">
        <f t="shared" si="315"/>
        <v>50.8</v>
      </c>
      <c r="T115" s="7">
        <f t="shared" si="309"/>
        <v>2.5</v>
      </c>
      <c r="U115" s="7">
        <f t="shared" si="327"/>
        <v>2.5</v>
      </c>
      <c r="V115" s="7">
        <v>4.04</v>
      </c>
      <c r="W115" s="7">
        <f t="shared" si="155"/>
        <v>4.04</v>
      </c>
      <c r="X115" s="7">
        <f t="shared" si="246"/>
        <v>5.04</v>
      </c>
      <c r="Y115" s="7">
        <f t="shared" si="204"/>
        <v>57.022858574434863</v>
      </c>
      <c r="Z115" s="7"/>
      <c r="AA115" s="7"/>
      <c r="AB115" s="7">
        <v>352</v>
      </c>
      <c r="AC115" s="7"/>
      <c r="AD115" s="7">
        <f>CQ115</f>
        <v>0.89784065148977055</v>
      </c>
      <c r="AE115" s="7">
        <v>0</v>
      </c>
      <c r="AF115" s="7">
        <v>0</v>
      </c>
      <c r="AG115" s="7">
        <f t="shared" si="289"/>
        <v>254</v>
      </c>
      <c r="AH115" s="7"/>
      <c r="AI115" s="7"/>
      <c r="AJ115" s="7"/>
      <c r="AK115" s="4">
        <f t="shared" si="283"/>
        <v>304.79999999999995</v>
      </c>
      <c r="AL115" s="44">
        <f t="shared" si="316"/>
        <v>0.27777777777777785</v>
      </c>
      <c r="AM115" s="25">
        <f t="shared" si="272"/>
        <v>178.49684683556575</v>
      </c>
      <c r="AN115" s="4">
        <f t="shared" si="273"/>
        <v>0.74166666666666659</v>
      </c>
      <c r="AO115" s="4">
        <v>1.25</v>
      </c>
      <c r="AP115" s="25">
        <f t="shared" si="322"/>
        <v>5</v>
      </c>
      <c r="AQ115" s="38">
        <f t="shared" si="275"/>
        <v>229.83534965806356</v>
      </c>
      <c r="AR115" s="38">
        <f t="shared" si="276"/>
        <v>229.83534965806356</v>
      </c>
      <c r="AT115" s="38">
        <f t="shared" si="313"/>
        <v>229.83534965806339</v>
      </c>
      <c r="AU115" s="38">
        <f t="shared" si="247"/>
        <v>1.0000000000000007</v>
      </c>
      <c r="AV115" s="38">
        <f t="shared" si="139"/>
        <v>1.136886760621838</v>
      </c>
      <c r="AW115" s="4">
        <f t="shared" si="328"/>
        <v>0</v>
      </c>
      <c r="AX115" s="4">
        <f t="shared" si="224"/>
        <v>268.36944808383078</v>
      </c>
      <c r="AY115" s="4">
        <f t="shared" si="225"/>
        <v>1</v>
      </c>
      <c r="AZ115" s="38">
        <f t="shared" si="277"/>
        <v>261.29676614914314</v>
      </c>
      <c r="BA115" s="4">
        <f t="shared" si="226"/>
        <v>0.43440000000000001</v>
      </c>
      <c r="BB115" s="4">
        <f t="shared" si="248"/>
        <v>60.912887109379405</v>
      </c>
      <c r="BC115" s="4">
        <f t="shared" si="249"/>
        <v>322.20965325852256</v>
      </c>
      <c r="BE115" s="36">
        <f t="shared" si="317"/>
        <v>1.1274999999999999</v>
      </c>
      <c r="BF115" s="36">
        <f t="shared" si="318"/>
        <v>218.46749105988283</v>
      </c>
      <c r="BK115" s="4">
        <f t="shared" si="160"/>
        <v>57.199999999999996</v>
      </c>
      <c r="BL115" s="4">
        <f t="shared" si="161"/>
        <v>50.8</v>
      </c>
      <c r="BM115" s="4">
        <f t="shared" si="162"/>
        <v>57.199999999999996</v>
      </c>
      <c r="BN115" s="4">
        <f t="shared" si="163"/>
        <v>63.5</v>
      </c>
      <c r="BO115" s="4">
        <f t="shared" si="164"/>
        <v>1.0125984251968505</v>
      </c>
      <c r="BP115" s="25">
        <f t="shared" si="278"/>
        <v>2.5314960629921264</v>
      </c>
      <c r="BR115" s="4">
        <f t="shared" si="165"/>
        <v>50.8</v>
      </c>
      <c r="BV115" s="9"/>
      <c r="BX115" s="9"/>
      <c r="BY115" s="9"/>
      <c r="BZ115" s="9">
        <f t="shared" si="235"/>
        <v>50.8</v>
      </c>
      <c r="CA115" s="9">
        <f t="shared" si="236"/>
        <v>127</v>
      </c>
      <c r="CB115" s="9">
        <f t="shared" si="252"/>
        <v>1.622579553879709</v>
      </c>
      <c r="CC115" s="9">
        <v>0</v>
      </c>
      <c r="CD115" s="9">
        <f t="shared" si="311"/>
        <v>0</v>
      </c>
      <c r="CE115" s="9">
        <f t="shared" si="253"/>
        <v>0</v>
      </c>
      <c r="CF115" s="9">
        <f t="shared" si="237"/>
        <v>0.99524931562137331</v>
      </c>
      <c r="CG115" s="9">
        <f t="shared" si="238"/>
        <v>1.056</v>
      </c>
      <c r="CH115" s="9">
        <f t="shared" si="254"/>
        <v>1.8756444837875041</v>
      </c>
      <c r="CI115" s="9">
        <f t="shared" si="255"/>
        <v>3.0433823897408656</v>
      </c>
      <c r="CJ115" s="9">
        <v>1</v>
      </c>
      <c r="CK115" s="9">
        <f t="shared" si="256"/>
        <v>304.33823897408661</v>
      </c>
      <c r="CM115" s="4">
        <f t="shared" si="210"/>
        <v>1.3116247118041748</v>
      </c>
      <c r="CN115" s="4">
        <f t="shared" si="329"/>
        <v>1.0924564066911284</v>
      </c>
      <c r="CO115" s="4">
        <f t="shared" si="212"/>
        <v>1.6112237033175585</v>
      </c>
      <c r="CP115" s="4">
        <f t="shared" si="213"/>
        <v>1.1566078623132587</v>
      </c>
      <c r="CQ115" s="4">
        <f t="shared" si="214"/>
        <v>0.89784065148977055</v>
      </c>
      <c r="CR115" s="4">
        <f t="shared" si="215"/>
        <v>0.97816940092545301</v>
      </c>
      <c r="CS115" s="4">
        <f t="shared" si="146"/>
        <v>0.846776273098786</v>
      </c>
      <c r="CU115" s="4">
        <f t="shared" si="216"/>
        <v>1.3116247118041748</v>
      </c>
      <c r="CV115" s="4">
        <f t="shared" si="216"/>
        <v>1.0924564066911284</v>
      </c>
      <c r="CW115" s="4">
        <f t="shared" si="217"/>
        <v>1.1566078623132587</v>
      </c>
      <c r="CX115" s="4">
        <f t="shared" si="330"/>
        <v>0.846776273098786</v>
      </c>
      <c r="CY115" s="4">
        <f t="shared" si="219"/>
        <v>0.89784065148977055</v>
      </c>
      <c r="CZ115" s="4">
        <f t="shared" si="219"/>
        <v>0.97816940092545301</v>
      </c>
      <c r="DH115" s="4">
        <f t="shared" si="171"/>
        <v>0</v>
      </c>
      <c r="DI115" s="4">
        <f t="shared" si="172"/>
        <v>304.79999999999995</v>
      </c>
      <c r="DJ115" s="4">
        <f t="shared" si="173"/>
        <v>0.83333333333333348</v>
      </c>
      <c r="DL115" s="4">
        <f t="shared" si="174"/>
        <v>2.0812659450250191E-5</v>
      </c>
      <c r="DM115" s="4">
        <f t="shared" si="175"/>
        <v>4.7133891591304096</v>
      </c>
      <c r="DN115" s="4">
        <f t="shared" si="331"/>
        <v>0.48548741257573685</v>
      </c>
      <c r="DO115" s="4">
        <f t="shared" si="257"/>
        <v>3.5302420875441731</v>
      </c>
      <c r="DP115" s="4">
        <f t="shared" si="258"/>
        <v>4.1641367211228433</v>
      </c>
      <c r="DQ115" s="4">
        <f t="shared" si="259"/>
        <v>4.5000789838262119</v>
      </c>
      <c r="DR115" s="38">
        <f t="shared" si="279"/>
        <v>392.05175151730191</v>
      </c>
      <c r="DS115" s="4">
        <f t="shared" si="260"/>
        <v>1.0001210089514805</v>
      </c>
      <c r="DT115" s="4">
        <f t="shared" si="150"/>
        <v>2.2449944320643649</v>
      </c>
      <c r="DU115" s="4">
        <f t="shared" si="280"/>
        <v>229.83534965806339</v>
      </c>
      <c r="DY115" s="4">
        <f t="shared" si="239"/>
        <v>1</v>
      </c>
      <c r="DZ115" s="4">
        <f t="shared" si="261"/>
        <v>0.9</v>
      </c>
      <c r="EA115" s="4">
        <f t="shared" si="262"/>
        <v>1</v>
      </c>
      <c r="EB115" s="4">
        <f t="shared" si="263"/>
        <v>0.9</v>
      </c>
      <c r="ED115" s="4">
        <f t="shared" si="281"/>
        <v>359.85586920524224</v>
      </c>
      <c r="EE115" s="25">
        <f t="shared" si="323"/>
        <v>226.1749676920474</v>
      </c>
      <c r="EH115" s="4">
        <f t="shared" si="319"/>
        <v>4.7133891591304096</v>
      </c>
      <c r="EI115" s="4">
        <f t="shared" si="178"/>
        <v>4.7133891591304096</v>
      </c>
      <c r="EK115" s="4">
        <f t="shared" si="179"/>
        <v>57.022858574434863</v>
      </c>
      <c r="EL115" s="4">
        <f t="shared" si="180"/>
        <v>2.2449944320643649</v>
      </c>
      <c r="EM115" s="4">
        <f t="shared" si="181"/>
        <v>0.13536298215194248</v>
      </c>
      <c r="EP115" s="4">
        <f t="shared" si="182"/>
        <v>0.13536298215194248</v>
      </c>
      <c r="EQ115" s="4">
        <f t="shared" si="183"/>
        <v>0.48467722456670143</v>
      </c>
      <c r="ER115" s="4">
        <f t="shared" si="184"/>
        <v>3.5278843802733877</v>
      </c>
      <c r="ES115" s="4">
        <f t="shared" si="240"/>
        <v>4.1631382619256057</v>
      </c>
      <c r="ET115" s="4">
        <f t="shared" si="186"/>
        <v>171.57714142556512</v>
      </c>
      <c r="EU115" s="4">
        <f t="shared" si="187"/>
        <v>76.199999999999989</v>
      </c>
      <c r="EV115" s="4">
        <f t="shared" si="265"/>
        <v>2.0812659450250191E-5</v>
      </c>
      <c r="EW115" s="4">
        <f t="shared" si="241"/>
        <v>4.5001385269374961</v>
      </c>
      <c r="EX115" s="4">
        <f t="shared" si="189"/>
        <v>392.00431548610914</v>
      </c>
      <c r="EY115" s="4">
        <f t="shared" si="190"/>
        <v>171.57714142556512</v>
      </c>
      <c r="EZ115" s="4">
        <f t="shared" si="191"/>
        <v>25.40000000000002</v>
      </c>
      <c r="FB115" s="4">
        <f t="shared" si="266"/>
        <v>36.001108215499926</v>
      </c>
      <c r="FG115" s="23">
        <f t="shared" si="220"/>
        <v>1.4</v>
      </c>
      <c r="FH115" s="23">
        <f t="shared" si="220"/>
        <v>1.2</v>
      </c>
      <c r="FI115" s="23">
        <f t="shared" si="234"/>
        <v>1</v>
      </c>
      <c r="FJ115" s="23">
        <f t="shared" si="221"/>
        <v>1.2</v>
      </c>
      <c r="FK115" s="23">
        <f t="shared" si="221"/>
        <v>1</v>
      </c>
      <c r="FL115" s="23">
        <f t="shared" si="221"/>
        <v>1</v>
      </c>
      <c r="FM115" s="23">
        <f t="shared" si="222"/>
        <v>0</v>
      </c>
      <c r="FN115" s="23"/>
      <c r="FX115" s="4">
        <f t="shared" si="267"/>
        <v>1</v>
      </c>
      <c r="FY115" s="4">
        <f t="shared" si="308"/>
        <v>0.65</v>
      </c>
      <c r="FZ115" s="4">
        <f t="shared" si="269"/>
        <v>0</v>
      </c>
      <c r="GA115" s="4">
        <f t="shared" si="270"/>
        <v>415.69421721259687</v>
      </c>
    </row>
    <row r="116" spans="1:188" ht="12" customHeight="1" x14ac:dyDescent="0.3">
      <c r="A116" s="25">
        <v>98</v>
      </c>
      <c r="B116" s="20" t="s">
        <v>54</v>
      </c>
      <c r="C116" s="20">
        <v>2006</v>
      </c>
      <c r="D116" s="20" t="s">
        <v>293</v>
      </c>
      <c r="E116" s="24"/>
      <c r="F116" s="7" t="s">
        <v>68</v>
      </c>
      <c r="G116" s="7">
        <v>472</v>
      </c>
      <c r="H116" s="7">
        <f t="shared" si="320"/>
        <v>355.59999999999997</v>
      </c>
      <c r="I116" s="7">
        <f t="shared" ref="I116" si="332">K116*M116</f>
        <v>304.79999999999995</v>
      </c>
      <c r="J116" s="7">
        <v>24</v>
      </c>
      <c r="K116" s="7">
        <v>25.4</v>
      </c>
      <c r="L116" s="7">
        <v>14</v>
      </c>
      <c r="M116" s="7">
        <v>12</v>
      </c>
      <c r="N116" s="7">
        <f t="shared" si="326"/>
        <v>914.4</v>
      </c>
      <c r="O116" s="7">
        <f t="shared" si="321"/>
        <v>127</v>
      </c>
      <c r="P116" s="7"/>
      <c r="Q116" s="7">
        <f t="shared" si="314"/>
        <v>101.6</v>
      </c>
      <c r="R116" s="7">
        <v>3</v>
      </c>
      <c r="S116" s="7">
        <f t="shared" si="315"/>
        <v>50.8</v>
      </c>
      <c r="T116" s="7">
        <f t="shared" si="309"/>
        <v>2.5</v>
      </c>
      <c r="U116" s="7">
        <f t="shared" si="327"/>
        <v>2.5</v>
      </c>
      <c r="V116" s="7">
        <v>4.04</v>
      </c>
      <c r="W116" s="7">
        <f t="shared" si="155"/>
        <v>4.04</v>
      </c>
      <c r="X116" s="7">
        <f t="shared" si="246"/>
        <v>5.04</v>
      </c>
      <c r="Y116" s="7">
        <f t="shared" si="204"/>
        <v>57.022858574434863</v>
      </c>
      <c r="Z116" s="7"/>
      <c r="AA116" s="7"/>
      <c r="AB116" s="7">
        <v>448</v>
      </c>
      <c r="AC116" s="7"/>
      <c r="AD116" s="7">
        <f>CQ116</f>
        <v>1.1499959349398579</v>
      </c>
      <c r="AE116" s="7">
        <v>0</v>
      </c>
      <c r="AF116" s="7">
        <v>0</v>
      </c>
      <c r="AG116" s="7">
        <f t="shared" si="289"/>
        <v>304.79999999999995</v>
      </c>
      <c r="AH116" s="7"/>
      <c r="AI116" s="7"/>
      <c r="AJ116" s="7"/>
      <c r="AK116" s="4">
        <f t="shared" si="283"/>
        <v>355.59999999999997</v>
      </c>
      <c r="AL116" s="44">
        <f t="shared" si="316"/>
        <v>0.20408163265306123</v>
      </c>
      <c r="AM116" s="25">
        <f t="shared" si="272"/>
        <v>216.10742071360642</v>
      </c>
      <c r="AN116" s="4">
        <f t="shared" si="273"/>
        <v>0.73571428571428565</v>
      </c>
      <c r="AO116" s="4">
        <v>1.25</v>
      </c>
      <c r="AP116" s="25">
        <f t="shared" si="322"/>
        <v>5</v>
      </c>
      <c r="AQ116" s="38">
        <f t="shared" si="275"/>
        <v>202.79759779064742</v>
      </c>
      <c r="AR116" s="38">
        <f t="shared" si="276"/>
        <v>202.79759779064742</v>
      </c>
      <c r="AT116" s="38">
        <f t="shared" si="313"/>
        <v>202.79759779064733</v>
      </c>
      <c r="AU116" s="38">
        <f t="shared" si="247"/>
        <v>1.0000000000000004</v>
      </c>
      <c r="AV116" s="38">
        <f t="shared" ref="AV116:AV152" si="333">AZ116/AT116</f>
        <v>1.1893484811190644</v>
      </c>
      <c r="AW116" s="4">
        <f t="shared" si="328"/>
        <v>0</v>
      </c>
      <c r="AX116" s="4">
        <f t="shared" si="224"/>
        <v>309.40923066734877</v>
      </c>
      <c r="AY116" s="4">
        <f t="shared" si="225"/>
        <v>1</v>
      </c>
      <c r="AZ116" s="38">
        <f t="shared" si="277"/>
        <v>241.19701490690136</v>
      </c>
      <c r="BA116" s="4">
        <f t="shared" si="226"/>
        <v>0.43440000000000001</v>
      </c>
      <c r="BB116" s="4">
        <f t="shared" si="248"/>
        <v>70.227850721490825</v>
      </c>
      <c r="BC116" s="4">
        <f t="shared" si="249"/>
        <v>311.42486562839218</v>
      </c>
      <c r="BE116" s="36">
        <f t="shared" si="317"/>
        <v>1.1274999999999999</v>
      </c>
      <c r="BF116" s="36">
        <f t="shared" si="318"/>
        <v>227.57229404301393</v>
      </c>
      <c r="BK116" s="4">
        <f t="shared" si="160"/>
        <v>57.199999999999996</v>
      </c>
      <c r="BL116" s="4">
        <f t="shared" si="161"/>
        <v>50.8</v>
      </c>
      <c r="BM116" s="4">
        <f t="shared" si="162"/>
        <v>57.199999999999996</v>
      </c>
      <c r="BN116" s="4">
        <f t="shared" si="163"/>
        <v>63.5</v>
      </c>
      <c r="BO116" s="4">
        <f t="shared" si="164"/>
        <v>1.0125984251968505</v>
      </c>
      <c r="BP116" s="25">
        <f t="shared" si="278"/>
        <v>2.5314960629921264</v>
      </c>
      <c r="BR116" s="4">
        <f t="shared" si="165"/>
        <v>50.8</v>
      </c>
      <c r="BV116" s="9"/>
      <c r="BX116" s="9"/>
      <c r="BY116" s="9"/>
      <c r="BZ116" s="9">
        <f t="shared" si="235"/>
        <v>50.8</v>
      </c>
      <c r="CA116" s="9">
        <f t="shared" si="236"/>
        <v>127</v>
      </c>
      <c r="CB116" s="9">
        <f t="shared" si="252"/>
        <v>1.622579553879709</v>
      </c>
      <c r="CC116" s="9">
        <v>0</v>
      </c>
      <c r="CD116" s="9">
        <f t="shared" si="311"/>
        <v>0</v>
      </c>
      <c r="CE116" s="9">
        <f t="shared" si="253"/>
        <v>0</v>
      </c>
      <c r="CF116" s="9">
        <f t="shared" si="237"/>
        <v>0.99524931562137331</v>
      </c>
      <c r="CG116" s="9">
        <f t="shared" si="238"/>
        <v>1.056</v>
      </c>
      <c r="CH116" s="9">
        <f t="shared" si="254"/>
        <v>1.8020609303015322</v>
      </c>
      <c r="CI116" s="9">
        <f t="shared" si="255"/>
        <v>2.9239872203527137</v>
      </c>
      <c r="CJ116" s="9">
        <v>1</v>
      </c>
      <c r="CK116" s="9">
        <f t="shared" si="256"/>
        <v>315.79061979809308</v>
      </c>
      <c r="CM116" s="4">
        <f t="shared" si="210"/>
        <v>1.4479206035118344</v>
      </c>
      <c r="CN116" s="4">
        <f t="shared" si="329"/>
        <v>1.4385492279045442</v>
      </c>
      <c r="CO116" s="4">
        <f t="shared" si="212"/>
        <v>1.9686051937206492</v>
      </c>
      <c r="CP116" s="4">
        <f t="shared" si="213"/>
        <v>1.4186615178324093</v>
      </c>
      <c r="CQ116" s="4">
        <f t="shared" si="214"/>
        <v>1.1499959349398579</v>
      </c>
      <c r="CR116" s="4">
        <f t="shared" si="215"/>
        <v>1.2586178925728151</v>
      </c>
      <c r="CS116" s="4">
        <f t="shared" ref="CS116:CS152" si="334">AB116/GA116</f>
        <v>0.94242710418345987</v>
      </c>
      <c r="CU116" s="4">
        <f t="shared" si="216"/>
        <v>1.4479206035118344</v>
      </c>
      <c r="CV116" s="4">
        <f t="shared" si="216"/>
        <v>1.4385492279045442</v>
      </c>
      <c r="CW116" s="4">
        <f t="shared" si="217"/>
        <v>1.4186615178324093</v>
      </c>
      <c r="CX116" s="4">
        <f t="shared" si="330"/>
        <v>0.94242710418345987</v>
      </c>
      <c r="CY116" s="4">
        <f t="shared" si="219"/>
        <v>1.1499959349398579</v>
      </c>
      <c r="CZ116" s="4">
        <f t="shared" si="219"/>
        <v>1.2586178925728151</v>
      </c>
      <c r="DH116" s="4">
        <f t="shared" si="171"/>
        <v>0</v>
      </c>
      <c r="DI116" s="4">
        <f t="shared" si="172"/>
        <v>355.59999999999997</v>
      </c>
      <c r="DJ116" s="4">
        <f t="shared" si="173"/>
        <v>0.8571428571428571</v>
      </c>
      <c r="DL116" s="4">
        <f t="shared" si="174"/>
        <v>2.3917826242187019E-5</v>
      </c>
      <c r="DM116" s="4">
        <f t="shared" si="175"/>
        <v>4.5284778252987881</v>
      </c>
      <c r="DN116" s="4">
        <f t="shared" si="331"/>
        <v>0.46407274282351607</v>
      </c>
      <c r="DO116" s="4">
        <f t="shared" si="257"/>
        <v>3.3310923253526261</v>
      </c>
      <c r="DP116" s="4">
        <f t="shared" si="258"/>
        <v>3.9752312241934411</v>
      </c>
      <c r="DQ116" s="4">
        <f t="shared" si="259"/>
        <v>4.2656985083286569</v>
      </c>
      <c r="DR116" s="38">
        <f t="shared" si="279"/>
        <v>389.56659444490072</v>
      </c>
      <c r="DS116" s="4">
        <f t="shared" si="260"/>
        <v>1.0001277345891553</v>
      </c>
      <c r="DT116" s="4">
        <f t="shared" ref="DT116:DT152" si="335">Y116/K116</f>
        <v>2.2449944320643649</v>
      </c>
      <c r="DU116" s="4">
        <f t="shared" si="280"/>
        <v>202.79759779064733</v>
      </c>
      <c r="DY116" s="4">
        <f t="shared" si="239"/>
        <v>1</v>
      </c>
      <c r="DZ116" s="4">
        <f t="shared" si="261"/>
        <v>0.9</v>
      </c>
      <c r="EA116" s="4">
        <f t="shared" si="262"/>
        <v>1</v>
      </c>
      <c r="EB116" s="4">
        <f t="shared" si="263"/>
        <v>0.9</v>
      </c>
      <c r="ED116" s="4">
        <f t="shared" si="281"/>
        <v>355.94599651226696</v>
      </c>
      <c r="EE116" s="25">
        <f t="shared" si="323"/>
        <v>199.87606876269541</v>
      </c>
      <c r="EH116" s="4">
        <f t="shared" si="319"/>
        <v>4.5284778252987881</v>
      </c>
      <c r="EI116" s="4">
        <f t="shared" si="178"/>
        <v>4.5284778252987881</v>
      </c>
      <c r="EK116" s="4">
        <f t="shared" si="179"/>
        <v>57.022858574434863</v>
      </c>
      <c r="EL116" s="4">
        <f t="shared" si="180"/>
        <v>2.2449944320643649</v>
      </c>
      <c r="EM116" s="4">
        <f t="shared" si="181"/>
        <v>0.12431597694767015</v>
      </c>
      <c r="EP116" s="4">
        <f t="shared" si="182"/>
        <v>0.12431597694767015</v>
      </c>
      <c r="EQ116" s="4">
        <f t="shared" si="183"/>
        <v>0.4632982919071455</v>
      </c>
      <c r="ER116" s="4">
        <f t="shared" si="184"/>
        <v>3.3288676222301832</v>
      </c>
      <c r="ES116" s="4">
        <f t="shared" si="240"/>
        <v>3.974300138507024</v>
      </c>
      <c r="ET116" s="4">
        <f t="shared" si="186"/>
        <v>209.67714142556514</v>
      </c>
      <c r="EU116" s="4">
        <f t="shared" si="187"/>
        <v>88.899999999999977</v>
      </c>
      <c r="EV116" s="4">
        <f t="shared" si="265"/>
        <v>2.3917826242187016E-5</v>
      </c>
      <c r="EW116" s="4">
        <f t="shared" si="241"/>
        <v>4.2657676141221827</v>
      </c>
      <c r="EX116" s="4">
        <f t="shared" si="189"/>
        <v>389.51683967141622</v>
      </c>
      <c r="EY116" s="4">
        <f t="shared" si="190"/>
        <v>209.67714142556514</v>
      </c>
      <c r="EZ116" s="4">
        <f t="shared" si="191"/>
        <v>38.099999999999952</v>
      </c>
      <c r="FB116" s="4">
        <f t="shared" si="266"/>
        <v>34.126140912977519</v>
      </c>
      <c r="FG116" s="23">
        <f t="shared" si="220"/>
        <v>1.6</v>
      </c>
      <c r="FH116" s="23">
        <f t="shared" si="220"/>
        <v>1.6</v>
      </c>
      <c r="FI116" s="23">
        <f t="shared" si="234"/>
        <v>1</v>
      </c>
      <c r="FJ116" s="23">
        <f t="shared" si="221"/>
        <v>1.6</v>
      </c>
      <c r="FK116" s="23">
        <f t="shared" si="221"/>
        <v>1.2</v>
      </c>
      <c r="FL116" s="23">
        <f t="shared" si="221"/>
        <v>1.4</v>
      </c>
      <c r="FM116" s="23">
        <f t="shared" si="222"/>
        <v>0</v>
      </c>
      <c r="FN116" s="23"/>
      <c r="FX116" s="4">
        <f t="shared" si="267"/>
        <v>1</v>
      </c>
      <c r="FY116" s="4">
        <f t="shared" si="308"/>
        <v>0.65</v>
      </c>
      <c r="FZ116" s="4">
        <f t="shared" si="269"/>
        <v>0</v>
      </c>
      <c r="GA116" s="4">
        <f t="shared" si="270"/>
        <v>475.36833141928503</v>
      </c>
      <c r="GC116" s="4">
        <f>25.4^0.5/145^0.75/0.0024</f>
        <v>50.255039065656455</v>
      </c>
      <c r="GD116" s="4">
        <f>1/GC116</f>
        <v>1.989850209236799E-2</v>
      </c>
    </row>
    <row r="117" spans="1:188" s="19" customFormat="1" ht="12" customHeight="1" x14ac:dyDescent="0.3">
      <c r="A117" s="25">
        <v>99</v>
      </c>
      <c r="B117" s="20" t="s">
        <v>54</v>
      </c>
      <c r="C117" s="20">
        <v>2007</v>
      </c>
      <c r="D117" s="20" t="s">
        <v>293</v>
      </c>
      <c r="E117" s="20" t="s">
        <v>296</v>
      </c>
      <c r="F117" s="21" t="s">
        <v>68</v>
      </c>
      <c r="G117" s="21">
        <v>472</v>
      </c>
      <c r="H117" s="21">
        <v>0</v>
      </c>
      <c r="I117" s="21">
        <v>0</v>
      </c>
      <c r="J117" s="21">
        <v>24</v>
      </c>
      <c r="K117" s="21">
        <v>25.4</v>
      </c>
      <c r="L117" s="21">
        <v>14</v>
      </c>
      <c r="M117" s="21">
        <v>12</v>
      </c>
      <c r="N117" s="21">
        <f t="shared" si="326"/>
        <v>914.4</v>
      </c>
      <c r="O117" s="21">
        <f t="shared" si="321"/>
        <v>127</v>
      </c>
      <c r="P117" s="21"/>
      <c r="Q117" s="21">
        <f t="shared" si="314"/>
        <v>101.6</v>
      </c>
      <c r="R117" s="21">
        <v>3</v>
      </c>
      <c r="S117" s="21">
        <f t="shared" si="315"/>
        <v>50.8</v>
      </c>
      <c r="T117" s="21">
        <f t="shared" si="309"/>
        <v>2.5</v>
      </c>
      <c r="U117" s="21">
        <f t="shared" si="327"/>
        <v>2.5</v>
      </c>
      <c r="V117" s="21">
        <v>4.04</v>
      </c>
      <c r="W117" s="21">
        <f t="shared" si="155"/>
        <v>4.04</v>
      </c>
      <c r="X117" s="21">
        <f t="shared" si="246"/>
        <v>5.04</v>
      </c>
      <c r="Y117" s="21">
        <f t="shared" si="204"/>
        <v>57.022858574434863</v>
      </c>
      <c r="Z117" s="21"/>
      <c r="AA117" s="21"/>
      <c r="AB117" s="21">
        <v>375</v>
      </c>
      <c r="AC117" s="21"/>
      <c r="AD117" s="21"/>
      <c r="AE117" s="7">
        <v>0</v>
      </c>
      <c r="AF117" s="7">
        <v>0</v>
      </c>
      <c r="AG117" s="7">
        <f t="shared" si="289"/>
        <v>0</v>
      </c>
      <c r="AH117" s="21"/>
      <c r="AI117" s="21"/>
      <c r="AJ117" s="21"/>
      <c r="AK117" s="19">
        <f t="shared" si="283"/>
        <v>0</v>
      </c>
      <c r="AL117" s="19" t="e">
        <f t="shared" si="316"/>
        <v>#DIV/0!</v>
      </c>
      <c r="AM117" s="19">
        <f t="shared" si="272"/>
        <v>0</v>
      </c>
      <c r="AN117" s="19" t="e">
        <f t="shared" si="273"/>
        <v>#DIV/0!</v>
      </c>
      <c r="AO117" s="19">
        <v>1.25</v>
      </c>
      <c r="AP117" s="19">
        <f t="shared" si="322"/>
        <v>5</v>
      </c>
      <c r="AQ117" s="19" t="e">
        <f t="shared" si="275"/>
        <v>#DIV/0!</v>
      </c>
      <c r="AR117" s="19" t="e">
        <f t="shared" si="276"/>
        <v>#DIV/0!</v>
      </c>
      <c r="AT117" s="19" t="e">
        <f t="shared" si="313"/>
        <v>#DIV/0!</v>
      </c>
      <c r="AU117" s="19" t="e">
        <f t="shared" si="247"/>
        <v>#DIV/0!</v>
      </c>
      <c r="AX117" s="19">
        <f t="shared" si="224"/>
        <v>0</v>
      </c>
      <c r="AY117" s="19">
        <f t="shared" si="225"/>
        <v>1</v>
      </c>
      <c r="AZ117" s="19">
        <f t="shared" si="277"/>
        <v>241.19701490690136</v>
      </c>
      <c r="BA117" s="19">
        <f t="shared" si="226"/>
        <v>0.43440000000000001</v>
      </c>
      <c r="BB117" s="19">
        <f t="shared" si="248"/>
        <v>0</v>
      </c>
      <c r="BC117" s="19">
        <f t="shared" si="249"/>
        <v>241.19701490690136</v>
      </c>
      <c r="BE117" s="19" t="e">
        <f t="shared" si="317"/>
        <v>#DIV/0!</v>
      </c>
      <c r="BF117" s="19" t="e">
        <f t="shared" si="318"/>
        <v>#DIV/0!</v>
      </c>
      <c r="BK117" s="19">
        <f t="shared" si="160"/>
        <v>57.199999999999996</v>
      </c>
      <c r="BL117" s="19">
        <f t="shared" si="161"/>
        <v>50.8</v>
      </c>
      <c r="BM117" s="19">
        <f t="shared" si="162"/>
        <v>57.199999999999996</v>
      </c>
      <c r="BN117" s="19">
        <f t="shared" si="163"/>
        <v>63.5</v>
      </c>
      <c r="BO117" s="19">
        <f t="shared" si="164"/>
        <v>1.0125984251968505</v>
      </c>
      <c r="BP117" s="25" t="e">
        <f t="shared" si="278"/>
        <v>#DIV/0!</v>
      </c>
      <c r="BR117" s="19">
        <f t="shared" ref="BR117:BR152" si="336">IF(Q117=0,O117,MIN(Q117/2,O117))</f>
        <v>50.8</v>
      </c>
      <c r="BV117" s="18"/>
      <c r="BX117" s="18"/>
      <c r="BY117" s="18"/>
      <c r="BZ117" s="18">
        <f>IF(Q117=0,MIN(O117,P117),MIN(Q117/2,O117,P117))</f>
        <v>50.8</v>
      </c>
      <c r="CA117" s="18">
        <f t="shared" si="236"/>
        <v>127</v>
      </c>
      <c r="CB117" s="18">
        <f t="shared" si="252"/>
        <v>1.622579553879709</v>
      </c>
      <c r="CC117" s="18">
        <v>0</v>
      </c>
      <c r="CD117" s="18">
        <f t="shared" si="311"/>
        <v>0</v>
      </c>
      <c r="CE117" s="18">
        <f t="shared" si="253"/>
        <v>0</v>
      </c>
      <c r="CF117" s="18">
        <f t="shared" si="237"/>
        <v>0.99524931562137331</v>
      </c>
      <c r="CG117" s="18">
        <f t="shared" si="238"/>
        <v>1.056</v>
      </c>
      <c r="CH117" s="18">
        <f t="shared" si="254"/>
        <v>1.8020609303015322</v>
      </c>
      <c r="CI117" s="18">
        <f t="shared" si="255"/>
        <v>2.9239872203527137</v>
      </c>
      <c r="CJ117" s="18">
        <v>1</v>
      </c>
      <c r="CK117" s="18">
        <f t="shared" si="256"/>
        <v>315.79061979809308</v>
      </c>
      <c r="DH117" s="19">
        <f t="shared" si="171"/>
        <v>0</v>
      </c>
      <c r="DI117" s="19">
        <f t="shared" si="172"/>
        <v>0</v>
      </c>
      <c r="DJ117" s="19" t="e">
        <f t="shared" si="173"/>
        <v>#DIV/0!</v>
      </c>
      <c r="DL117" s="19">
        <f t="shared" si="174"/>
        <v>0</v>
      </c>
      <c r="DM117" s="19" t="e">
        <f t="shared" si="175"/>
        <v>#DIV/0!</v>
      </c>
      <c r="DR117" s="38" t="e">
        <f t="shared" si="279"/>
        <v>#DIV/0!</v>
      </c>
      <c r="DS117" s="19" t="e">
        <f t="shared" si="260"/>
        <v>#DIV/0!</v>
      </c>
      <c r="DU117" s="4" t="e">
        <f t="shared" si="280"/>
        <v>#DIV/0!</v>
      </c>
      <c r="DY117" s="19">
        <f t="shared" si="239"/>
        <v>1</v>
      </c>
      <c r="DZ117" s="19">
        <f t="shared" si="261"/>
        <v>0.9</v>
      </c>
      <c r="EA117" s="19">
        <f t="shared" si="262"/>
        <v>1</v>
      </c>
      <c r="EB117" s="19">
        <f t="shared" si="263"/>
        <v>0.9</v>
      </c>
      <c r="ED117" s="4" t="e">
        <f t="shared" si="281"/>
        <v>#DIV/0!</v>
      </c>
      <c r="EE117" s="25" t="e">
        <f t="shared" si="323"/>
        <v>#DIV/0!</v>
      </c>
      <c r="EH117" s="19" t="e">
        <f t="shared" si="319"/>
        <v>#DIV/0!</v>
      </c>
      <c r="EI117" s="19" t="e">
        <f t="shared" si="178"/>
        <v>#DIV/0!</v>
      </c>
      <c r="EK117" s="19">
        <f t="shared" si="179"/>
        <v>57.022858574434863</v>
      </c>
      <c r="EL117" s="19">
        <f t="shared" si="180"/>
        <v>2.2449944320643649</v>
      </c>
      <c r="EM117" s="19" t="e">
        <f t="shared" si="181"/>
        <v>#DIV/0!</v>
      </c>
      <c r="EP117" s="19" t="e">
        <f t="shared" ref="EP117:EP152" si="337">EM117</f>
        <v>#DIV/0!</v>
      </c>
      <c r="EQ117" s="19" t="e">
        <f t="shared" ref="EQ117:EQ152" si="338">MIN(0.999, EP117/(0.3*(J117/30)^0.5))</f>
        <v>#DIV/0!</v>
      </c>
      <c r="ER117" s="19" t="e">
        <f t="shared" si="184"/>
        <v>#DIV/0!</v>
      </c>
      <c r="ES117" s="19" t="e">
        <f t="shared" si="240"/>
        <v>#DIV/0!</v>
      </c>
      <c r="ET117" s="19">
        <f t="shared" si="186"/>
        <v>0</v>
      </c>
      <c r="EU117" s="19">
        <f t="shared" si="187"/>
        <v>0</v>
      </c>
      <c r="EV117" s="19">
        <f t="shared" si="265"/>
        <v>0</v>
      </c>
      <c r="EW117" s="19" t="e">
        <f t="shared" si="241"/>
        <v>#DIV/0!</v>
      </c>
      <c r="EX117" s="19" t="e">
        <f t="shared" si="189"/>
        <v>#DIV/0!</v>
      </c>
      <c r="EY117" s="19" t="e">
        <f t="shared" si="190"/>
        <v>#DIV/0!</v>
      </c>
      <c r="EZ117" s="19" t="e">
        <f t="shared" si="191"/>
        <v>#DIV/0!</v>
      </c>
      <c r="FG117" s="22"/>
      <c r="FH117" s="22"/>
      <c r="FI117" s="22"/>
      <c r="FJ117" s="22"/>
      <c r="FK117" s="22"/>
      <c r="FL117" s="22"/>
      <c r="FM117" s="22"/>
      <c r="FN117" s="22"/>
      <c r="FX117" s="19">
        <f t="shared" si="267"/>
        <v>1</v>
      </c>
      <c r="FY117" s="19">
        <f t="shared" si="308"/>
        <v>0.75</v>
      </c>
      <c r="FZ117" s="19">
        <f t="shared" si="269"/>
        <v>0</v>
      </c>
      <c r="GA117" s="19">
        <f t="shared" si="270"/>
        <v>0</v>
      </c>
    </row>
    <row r="118" spans="1:188" ht="12" customHeight="1" x14ac:dyDescent="0.3">
      <c r="A118" s="25">
        <v>100</v>
      </c>
      <c r="B118" s="20" t="s">
        <v>54</v>
      </c>
      <c r="C118" s="20">
        <v>2008</v>
      </c>
      <c r="D118" s="20" t="s">
        <v>293</v>
      </c>
      <c r="E118" s="24" t="s">
        <v>72</v>
      </c>
      <c r="F118" s="7" t="s">
        <v>281</v>
      </c>
      <c r="G118" s="7">
        <v>472</v>
      </c>
      <c r="H118" s="7">
        <f t="shared" si="320"/>
        <v>203.2</v>
      </c>
      <c r="I118" s="7">
        <f>K118*M118</f>
        <v>152.39999999999998</v>
      </c>
      <c r="J118" s="7">
        <v>29</v>
      </c>
      <c r="K118" s="7">
        <v>25.4</v>
      </c>
      <c r="L118" s="7">
        <v>8</v>
      </c>
      <c r="M118" s="7">
        <v>6</v>
      </c>
      <c r="N118" s="7">
        <f t="shared" si="326"/>
        <v>914.4</v>
      </c>
      <c r="O118" s="7">
        <f t="shared" si="321"/>
        <v>127</v>
      </c>
      <c r="P118" s="7"/>
      <c r="Q118" s="7">
        <f t="shared" si="314"/>
        <v>101.6</v>
      </c>
      <c r="R118" s="7">
        <v>3</v>
      </c>
      <c r="S118" s="7">
        <f t="shared" si="315"/>
        <v>50.8</v>
      </c>
      <c r="T118" s="7">
        <f t="shared" si="309"/>
        <v>2.5</v>
      </c>
      <c r="U118" s="7">
        <f t="shared" si="327"/>
        <v>2.5</v>
      </c>
      <c r="V118" s="7">
        <v>4.7</v>
      </c>
      <c r="W118" s="7">
        <f t="shared" si="155"/>
        <v>4.7</v>
      </c>
      <c r="X118" s="7">
        <f t="shared" si="246"/>
        <v>5.7</v>
      </c>
      <c r="Y118" s="7">
        <f t="shared" si="204"/>
        <v>60.641668842471674</v>
      </c>
      <c r="Z118" s="7"/>
      <c r="AA118" s="7"/>
      <c r="AB118" s="7">
        <v>378</v>
      </c>
      <c r="AC118" s="7"/>
      <c r="AD118" s="7">
        <f t="shared" ref="AD118:AD152" si="339">CQ118</f>
        <v>0.91356273471495697</v>
      </c>
      <c r="AE118" s="7">
        <f>25.4/4</f>
        <v>6.35</v>
      </c>
      <c r="AF118" s="7">
        <v>2</v>
      </c>
      <c r="AG118" s="7">
        <f>H118-2*25.4</f>
        <v>152.39999999999998</v>
      </c>
      <c r="AH118" s="7">
        <v>2</v>
      </c>
      <c r="AI118" s="7">
        <v>2</v>
      </c>
      <c r="AJ118" s="7"/>
      <c r="AK118" s="4">
        <f t="shared" si="283"/>
        <v>203.2</v>
      </c>
      <c r="AL118" s="44">
        <f t="shared" si="316"/>
        <v>0.62500000000000011</v>
      </c>
      <c r="AM118" s="25">
        <f t="shared" si="272"/>
        <v>102.61385063799703</v>
      </c>
      <c r="AN118" s="4">
        <f t="shared" si="273"/>
        <v>0.76249999999999996</v>
      </c>
      <c r="AO118" s="4">
        <v>1.25</v>
      </c>
      <c r="AP118" s="25">
        <f t="shared" si="322"/>
        <v>5</v>
      </c>
      <c r="AQ118" s="38">
        <f t="shared" si="275"/>
        <v>305.63695746669043</v>
      </c>
      <c r="AR118" s="38">
        <f t="shared" si="276"/>
        <v>305.63695746669043</v>
      </c>
      <c r="AT118" s="38">
        <f t="shared" si="313"/>
        <v>305.63695746669049</v>
      </c>
      <c r="AU118" s="38">
        <f t="shared" si="247"/>
        <v>0.99999999999999978</v>
      </c>
      <c r="AV118" s="38">
        <f t="shared" si="333"/>
        <v>1.028516026796602</v>
      </c>
      <c r="AW118" s="4">
        <f t="shared" si="328"/>
        <v>0</v>
      </c>
      <c r="AX118" s="4">
        <f t="shared" si="224"/>
        <v>170.05783601477378</v>
      </c>
      <c r="AY118" s="4">
        <f t="shared" si="225"/>
        <v>1</v>
      </c>
      <c r="AZ118" s="38">
        <f t="shared" si="277"/>
        <v>314.35250913584258</v>
      </c>
      <c r="BA118" s="4">
        <f t="shared" si="226"/>
        <v>0.34199999999999997</v>
      </c>
      <c r="BB118" s="4">
        <f t="shared" si="248"/>
        <v>30.388485006659998</v>
      </c>
      <c r="BC118" s="4">
        <f t="shared" si="249"/>
        <v>344.74099414250259</v>
      </c>
      <c r="BE118" s="36">
        <f t="shared" si="317"/>
        <v>1.2256747704246811</v>
      </c>
      <c r="BF118" s="36">
        <f t="shared" si="318"/>
        <v>208.57455618240351</v>
      </c>
      <c r="BK118" s="4">
        <f t="shared" si="160"/>
        <v>57.199999999999996</v>
      </c>
      <c r="BL118" s="4">
        <f t="shared" si="161"/>
        <v>50.8</v>
      </c>
      <c r="BM118" s="4">
        <f t="shared" si="162"/>
        <v>57.199999999999996</v>
      </c>
      <c r="BN118" s="4">
        <f t="shared" si="163"/>
        <v>63.5</v>
      </c>
      <c r="BO118" s="4">
        <f t="shared" si="164"/>
        <v>1.0125984251968505</v>
      </c>
      <c r="BP118" s="25">
        <f t="shared" si="278"/>
        <v>2.7045530452934567</v>
      </c>
      <c r="BR118" s="4">
        <f t="shared" si="336"/>
        <v>50.8</v>
      </c>
      <c r="BV118" s="9"/>
      <c r="BX118" s="9"/>
      <c r="BY118" s="9"/>
      <c r="BZ118" s="9">
        <f t="shared" si="235"/>
        <v>50.8</v>
      </c>
      <c r="CA118" s="9">
        <f t="shared" si="236"/>
        <v>127</v>
      </c>
      <c r="CB118" s="9">
        <f t="shared" si="252"/>
        <v>1.622579553879709</v>
      </c>
      <c r="CC118" s="9">
        <v>0</v>
      </c>
      <c r="CD118" s="9">
        <f t="shared" si="311"/>
        <v>1.0908307824964559E-2</v>
      </c>
      <c r="CE118" s="9">
        <f t="shared" si="253"/>
        <v>0</v>
      </c>
      <c r="CF118" s="9">
        <f t="shared" si="237"/>
        <v>0.99524931562137331</v>
      </c>
      <c r="CG118" s="9">
        <f t="shared" si="238"/>
        <v>1.056</v>
      </c>
      <c r="CH118" s="9">
        <f t="shared" si="254"/>
        <v>1.9809013552237766</v>
      </c>
      <c r="CI118" s="9">
        <f t="shared" si="255"/>
        <v>3.2141700372387065</v>
      </c>
      <c r="CJ118" s="9">
        <v>1</v>
      </c>
      <c r="CK118" s="9">
        <f t="shared" si="256"/>
        <v>269.99028312805137</v>
      </c>
      <c r="CM118" s="4">
        <f>AB118/AX118</f>
        <v>2.2227731979793113</v>
      </c>
      <c r="CN118" s="4">
        <f>AB118/BC118</f>
        <v>1.0964753435843184</v>
      </c>
      <c r="CO118" s="4">
        <f t="shared" si="212"/>
        <v>1.8123015909449176</v>
      </c>
      <c r="CP118" s="4">
        <f t="shared" ref="CP118:CP152" si="340">AB118/CK118</f>
        <v>1.400050385593772</v>
      </c>
      <c r="CQ118" s="4">
        <f t="shared" si="214"/>
        <v>0.91356273471495697</v>
      </c>
      <c r="CR118" s="4">
        <f t="shared" si="215"/>
        <v>0.98110685664411379</v>
      </c>
      <c r="CS118" s="4">
        <f t="shared" si="334"/>
        <v>1.2496789206294021</v>
      </c>
      <c r="DA118" s="4">
        <f t="shared" si="285"/>
        <v>2.2227731979793113</v>
      </c>
      <c r="DB118" s="4">
        <f t="shared" si="285"/>
        <v>1.0964753435843184</v>
      </c>
      <c r="DC118" s="4">
        <f t="shared" si="286"/>
        <v>1.400050385593772</v>
      </c>
      <c r="DD118" s="4">
        <f t="shared" ref="DD118:DD122" si="341">CS118</f>
        <v>1.2496789206294021</v>
      </c>
      <c r="DE118" s="4">
        <f t="shared" si="288"/>
        <v>0.91356273471495697</v>
      </c>
      <c r="DF118" s="4">
        <f t="shared" si="288"/>
        <v>0.98110685664411379</v>
      </c>
      <c r="DH118" s="4">
        <f t="shared" si="171"/>
        <v>2</v>
      </c>
      <c r="DI118" s="4">
        <f t="shared" si="172"/>
        <v>203.2</v>
      </c>
      <c r="DJ118" s="4">
        <f t="shared" si="173"/>
        <v>0.74999999999999989</v>
      </c>
      <c r="DL118" s="4">
        <f t="shared" si="174"/>
        <v>1.4183544622946906E-5</v>
      </c>
      <c r="DM118" s="4">
        <f t="shared" si="175"/>
        <v>5.3181902694980394</v>
      </c>
      <c r="DN118" s="4">
        <f t="shared" ref="DN118:DN152" si="342">DU118*Y118/257/J118/V118</f>
        <v>0.52911251390174574</v>
      </c>
      <c r="DO118" s="4">
        <f t="shared" si="257"/>
        <v>4.1227128250270235</v>
      </c>
      <c r="DP118" s="4">
        <f t="shared" si="258"/>
        <v>4.7582056908638855</v>
      </c>
      <c r="DQ118" s="4">
        <f t="shared" si="259"/>
        <v>5.1947012258310075</v>
      </c>
      <c r="DR118" s="38">
        <f t="shared" si="279"/>
        <v>413.76468811191245</v>
      </c>
      <c r="DS118" s="4">
        <f t="shared" si="260"/>
        <v>1.0001043862507368</v>
      </c>
      <c r="DT118" s="4">
        <f t="shared" si="335"/>
        <v>2.3874672772626644</v>
      </c>
      <c r="DU118" s="4">
        <f t="shared" si="280"/>
        <v>305.63695746669049</v>
      </c>
      <c r="DY118" s="4">
        <f t="shared" si="239"/>
        <v>1</v>
      </c>
      <c r="DZ118" s="4">
        <f t="shared" si="261"/>
        <v>0.9</v>
      </c>
      <c r="EA118" s="4">
        <f t="shared" si="262"/>
        <v>1</v>
      </c>
      <c r="EB118" s="4">
        <f t="shared" si="263"/>
        <v>0.9</v>
      </c>
      <c r="ED118" s="4">
        <f t="shared" si="281"/>
        <v>385.2791339089739</v>
      </c>
      <c r="EE118" s="25">
        <f t="shared" si="323"/>
        <v>299.20050949470277</v>
      </c>
      <c r="EH118" s="4">
        <f t="shared" si="319"/>
        <v>5.3181902694980394</v>
      </c>
      <c r="EI118" s="4">
        <f t="shared" si="178"/>
        <v>5.3181902694980394</v>
      </c>
      <c r="EK118" s="4">
        <f t="shared" si="179"/>
        <v>60.641668842471674</v>
      </c>
      <c r="EL118" s="4">
        <f t="shared" si="180"/>
        <v>2.3874672772626644</v>
      </c>
      <c r="EM118" s="4">
        <f t="shared" si="181"/>
        <v>0.15580532528546465</v>
      </c>
      <c r="EP118" s="4">
        <f t="shared" si="337"/>
        <v>0.15580532528546465</v>
      </c>
      <c r="EQ118" s="4">
        <f t="shared" si="338"/>
        <v>0.52822952372921106</v>
      </c>
      <c r="ER118" s="4">
        <f t="shared" si="184"/>
        <v>4.1199594302847133</v>
      </c>
      <c r="ES118" s="4">
        <f t="shared" si="240"/>
        <v>4.7570136930794718</v>
      </c>
      <c r="ET118" s="4">
        <f t="shared" si="186"/>
        <v>91.758331157528303</v>
      </c>
      <c r="EU118" s="4">
        <f t="shared" si="187"/>
        <v>50.8</v>
      </c>
      <c r="EV118" s="4">
        <f t="shared" si="265"/>
        <v>1.4183544622946906E-5</v>
      </c>
      <c r="EW118" s="4">
        <f t="shared" si="241"/>
        <v>5.1947427567102205</v>
      </c>
      <c r="EX118" s="4">
        <f t="shared" si="189"/>
        <v>413.72150127554505</v>
      </c>
      <c r="EY118" s="4">
        <f t="shared" si="190"/>
        <v>91.758331157528303</v>
      </c>
      <c r="EZ118" s="4">
        <f t="shared" si="191"/>
        <v>0</v>
      </c>
      <c r="FB118" s="4">
        <f t="shared" ref="FB118:FB152" si="343">4/K118*(1*ER118*EK118+ES118*ET118+EU118*EW118)+DU118 - (4/K118*(1*ER118*EK118+ES118*EY118+EZ118*EW118)+DU118)</f>
        <v>41.557942053681813</v>
      </c>
      <c r="FG118" s="23">
        <f t="shared" ref="FG118:FH152" si="344">IF(CM118&lt;0.6,0.6,IF(CM118&lt;0.8,0.8,IF(CM118&lt;1,1,IF(CM118&lt;1.2,1.2,IF(CM118&lt;1.4,1.4,IF(CM118&lt;1.6,1.6,IF(CM118&lt;1.8,1.8,IF(CM118&lt;2,2,2.2))))))))</f>
        <v>2.2000000000000002</v>
      </c>
      <c r="FH118" s="23">
        <f t="shared" si="344"/>
        <v>1.2</v>
      </c>
      <c r="FI118" s="23">
        <f t="shared" si="234"/>
        <v>1.4</v>
      </c>
      <c r="FJ118" s="23">
        <f t="shared" ref="FJ118:FL152" si="345">IF(CP118&lt;0.6,0.6,IF(CP118&lt;0.8,0.8,IF(CP118&lt;1,1,IF(CP118&lt;1.2,1.2,IF(CP118&lt;1.4,1.4,IF(CP118&lt;1.6,1.6,IF(CP118&lt;1.8,1.8,IF(CP118&lt;2,2,2.2))))))))</f>
        <v>1.6</v>
      </c>
      <c r="FK118" s="23">
        <f t="shared" si="345"/>
        <v>1</v>
      </c>
      <c r="FL118" s="23">
        <f t="shared" si="345"/>
        <v>1</v>
      </c>
      <c r="FM118" s="23">
        <f t="shared" si="222"/>
        <v>0</v>
      </c>
      <c r="FN118" s="23"/>
      <c r="FX118" s="4">
        <f t="shared" si="267"/>
        <v>1</v>
      </c>
      <c r="FY118" s="4">
        <f t="shared" si="308"/>
        <v>0.61201052016364699</v>
      </c>
      <c r="FZ118" s="4">
        <f t="shared" si="269"/>
        <v>8.3333333333333343E-2</v>
      </c>
      <c r="GA118" s="4">
        <f t="shared" si="270"/>
        <v>302.4776954784673</v>
      </c>
      <c r="GC118" s="4">
        <f>(H118)/(K118)^1.5/0.0199*(J118)^0.25/FX118/FY118</f>
        <v>302.45492745592605</v>
      </c>
    </row>
    <row r="119" spans="1:188" ht="12" customHeight="1" x14ac:dyDescent="0.3">
      <c r="A119" s="25">
        <v>101</v>
      </c>
      <c r="B119" s="20" t="s">
        <v>54</v>
      </c>
      <c r="C119" s="20">
        <v>2009</v>
      </c>
      <c r="D119" s="20" t="s">
        <v>293</v>
      </c>
      <c r="E119" s="24"/>
      <c r="F119" s="7" t="s">
        <v>68</v>
      </c>
      <c r="G119" s="7">
        <v>472</v>
      </c>
      <c r="H119" s="7">
        <f t="shared" si="320"/>
        <v>203.2</v>
      </c>
      <c r="I119" s="7">
        <f>K119*M119</f>
        <v>152.39999999999998</v>
      </c>
      <c r="J119" s="7">
        <v>24</v>
      </c>
      <c r="K119" s="7">
        <v>25.4</v>
      </c>
      <c r="L119" s="7">
        <v>8</v>
      </c>
      <c r="M119" s="7">
        <v>6</v>
      </c>
      <c r="N119" s="7">
        <f t="shared" si="326"/>
        <v>914.4</v>
      </c>
      <c r="O119" s="7">
        <f t="shared" si="321"/>
        <v>127</v>
      </c>
      <c r="P119" s="7"/>
      <c r="Q119" s="7">
        <f t="shared" si="314"/>
        <v>101.6</v>
      </c>
      <c r="R119" s="7">
        <v>3</v>
      </c>
      <c r="S119" s="7">
        <f t="shared" si="315"/>
        <v>50.8</v>
      </c>
      <c r="T119" s="7">
        <f t="shared" si="309"/>
        <v>2.5</v>
      </c>
      <c r="U119" s="7">
        <f t="shared" si="327"/>
        <v>2.5</v>
      </c>
      <c r="V119" s="7">
        <v>4.04</v>
      </c>
      <c r="W119" s="7">
        <f t="shared" si="155"/>
        <v>4.04</v>
      </c>
      <c r="X119" s="7">
        <f t="shared" si="246"/>
        <v>5.04</v>
      </c>
      <c r="Y119" s="7">
        <f t="shared" si="204"/>
        <v>57.022858574434863</v>
      </c>
      <c r="Z119" s="7"/>
      <c r="AA119" s="7"/>
      <c r="AB119" s="7">
        <v>373</v>
      </c>
      <c r="AC119" s="7"/>
      <c r="AD119" s="7">
        <f t="shared" si="339"/>
        <v>0.96116962804794615</v>
      </c>
      <c r="AE119" s="7">
        <v>9.5</v>
      </c>
      <c r="AF119" s="7">
        <v>2</v>
      </c>
      <c r="AG119" s="7">
        <f>H119-2*25.4</f>
        <v>152.39999999999998</v>
      </c>
      <c r="AH119" s="7">
        <v>2</v>
      </c>
      <c r="AI119" s="7">
        <v>2</v>
      </c>
      <c r="AJ119" s="7"/>
      <c r="AK119" s="4">
        <f t="shared" si="283"/>
        <v>203.2</v>
      </c>
      <c r="AL119" s="44">
        <f t="shared" si="316"/>
        <v>0.62500000000000011</v>
      </c>
      <c r="AM119" s="25">
        <f t="shared" si="272"/>
        <v>93.349631295316044</v>
      </c>
      <c r="AN119" s="4">
        <f t="shared" si="273"/>
        <v>0.76249999999999996</v>
      </c>
      <c r="AO119" s="4">
        <v>1.25</v>
      </c>
      <c r="AP119" s="25">
        <f t="shared" si="322"/>
        <v>5</v>
      </c>
      <c r="AQ119" s="38">
        <f t="shared" si="275"/>
        <v>278.04333540108786</v>
      </c>
      <c r="AR119" s="38">
        <f t="shared" si="276"/>
        <v>278.04333540108786</v>
      </c>
      <c r="AT119" s="38">
        <f t="shared" si="313"/>
        <v>278.04333540108792</v>
      </c>
      <c r="AU119" s="38">
        <f t="shared" si="247"/>
        <v>0.99999999999999978</v>
      </c>
      <c r="AV119" s="38">
        <f t="shared" si="333"/>
        <v>0.86747993638820953</v>
      </c>
      <c r="AW119" s="4">
        <f t="shared" si="328"/>
        <v>1</v>
      </c>
      <c r="AX119" s="4">
        <f t="shared" si="224"/>
        <v>154.70461533367438</v>
      </c>
      <c r="AY119" s="4">
        <f t="shared" si="225"/>
        <v>1</v>
      </c>
      <c r="AZ119" s="38">
        <f t="shared" si="277"/>
        <v>241.19701490690136</v>
      </c>
      <c r="BA119" s="4">
        <f t="shared" si="226"/>
        <v>0.43440000000000001</v>
      </c>
      <c r="BB119" s="4">
        <f t="shared" si="248"/>
        <v>35.113925360745412</v>
      </c>
      <c r="BC119" s="4">
        <f t="shared" si="249"/>
        <v>276.31094026764674</v>
      </c>
      <c r="BE119" s="36">
        <f t="shared" si="317"/>
        <v>1.3472352106349423</v>
      </c>
      <c r="BF119" s="36">
        <f t="shared" si="318"/>
        <v>208.56245402861074</v>
      </c>
      <c r="BK119" s="4">
        <f>IF(R119=1,O119,MIN(O119,Q119/2+6.4))</f>
        <v>57.199999999999996</v>
      </c>
      <c r="BL119" s="4">
        <f t="shared" si="161"/>
        <v>50.8</v>
      </c>
      <c r="BM119" s="4">
        <f t="shared" si="162"/>
        <v>57.199999999999996</v>
      </c>
      <c r="BN119" s="4">
        <f t="shared" si="163"/>
        <v>63.5</v>
      </c>
      <c r="BO119" s="4">
        <f t="shared" si="164"/>
        <v>1.0125984251968505</v>
      </c>
      <c r="BP119" s="25">
        <f t="shared" si="278"/>
        <v>2.8838632896429117</v>
      </c>
      <c r="BR119" s="4">
        <f t="shared" si="336"/>
        <v>50.8</v>
      </c>
      <c r="BV119" s="9"/>
      <c r="BX119" s="9"/>
      <c r="BY119" s="9"/>
      <c r="BZ119" s="9">
        <f t="shared" si="235"/>
        <v>50.8</v>
      </c>
      <c r="CA119" s="9">
        <f t="shared" si="236"/>
        <v>127</v>
      </c>
      <c r="CB119" s="9">
        <f t="shared" si="252"/>
        <v>1.622579553879709</v>
      </c>
      <c r="CC119" s="9">
        <v>0</v>
      </c>
      <c r="CD119" s="9">
        <f t="shared" si="311"/>
        <v>2.4415023403882487E-2</v>
      </c>
      <c r="CE119" s="9">
        <f t="shared" si="253"/>
        <v>0</v>
      </c>
      <c r="CF119" s="9">
        <f t="shared" si="237"/>
        <v>0.99524931562137331</v>
      </c>
      <c r="CG119" s="9">
        <f t="shared" si="238"/>
        <v>1.056</v>
      </c>
      <c r="CH119" s="9">
        <f t="shared" si="254"/>
        <v>1.8020609303015322</v>
      </c>
      <c r="CI119" s="9">
        <f t="shared" si="255"/>
        <v>2.9239872203527137</v>
      </c>
      <c r="CJ119" s="9">
        <v>1</v>
      </c>
      <c r="CK119" s="9">
        <f t="shared" si="256"/>
        <v>245.61492650962794</v>
      </c>
      <c r="CM119" s="4">
        <f>AB119/AX119</f>
        <v>2.4110463620978315</v>
      </c>
      <c r="CN119" s="4">
        <f>AB119/BC119</f>
        <v>1.3499284524843498</v>
      </c>
      <c r="CO119" s="4">
        <f t="shared" si="212"/>
        <v>1.7884331182103927</v>
      </c>
      <c r="CP119" s="4">
        <f t="shared" si="340"/>
        <v>1.5186373454602673</v>
      </c>
      <c r="CQ119" s="4">
        <f t="shared" si="214"/>
        <v>0.96116962804794615</v>
      </c>
      <c r="CR119" s="4">
        <f t="shared" si="215"/>
        <v>1.0487505984287993</v>
      </c>
      <c r="CS119" s="4">
        <f t="shared" si="334"/>
        <v>1.1935209055402785</v>
      </c>
      <c r="DA119" s="4">
        <f t="shared" si="285"/>
        <v>2.4110463620978315</v>
      </c>
      <c r="DB119" s="4">
        <f t="shared" si="285"/>
        <v>1.3499284524843498</v>
      </c>
      <c r="DC119" s="4">
        <f t="shared" si="286"/>
        <v>1.5186373454602673</v>
      </c>
      <c r="DD119" s="4">
        <f t="shared" si="341"/>
        <v>1.1935209055402785</v>
      </c>
      <c r="DE119" s="4">
        <f t="shared" si="288"/>
        <v>0.96116962804794615</v>
      </c>
      <c r="DF119" s="4">
        <f t="shared" si="288"/>
        <v>1.0487505984287993</v>
      </c>
      <c r="DH119" s="4">
        <f t="shared" si="171"/>
        <v>2</v>
      </c>
      <c r="DI119" s="4">
        <f t="shared" si="172"/>
        <v>203.2</v>
      </c>
      <c r="DJ119" s="4">
        <f t="shared" si="173"/>
        <v>0.74999999999999989</v>
      </c>
      <c r="DL119" s="4">
        <f t="shared" si="174"/>
        <v>1.3667329281249728E-5</v>
      </c>
      <c r="DM119" s="4">
        <f t="shared" si="175"/>
        <v>5.1588114827661729</v>
      </c>
      <c r="DN119" s="4">
        <f t="shared" si="342"/>
        <v>0.63626164554762021</v>
      </c>
      <c r="DO119" s="4">
        <f t="shared" si="257"/>
        <v>4.3053053177144411</v>
      </c>
      <c r="DP119" s="4">
        <f t="shared" si="258"/>
        <v>4.7512779586833123</v>
      </c>
      <c r="DQ119" s="4">
        <f t="shared" si="259"/>
        <v>5.0422297353553445</v>
      </c>
      <c r="DR119" s="38">
        <f t="shared" si="279"/>
        <v>388.0688581031543</v>
      </c>
      <c r="DS119" s="4">
        <f t="shared" si="260"/>
        <v>1.0001161176105406</v>
      </c>
      <c r="DT119" s="4">
        <f t="shared" si="335"/>
        <v>2.2449944320643649</v>
      </c>
      <c r="DU119" s="4">
        <f t="shared" si="280"/>
        <v>278.04333540108792</v>
      </c>
      <c r="DY119" s="4">
        <f t="shared" si="239"/>
        <v>1</v>
      </c>
      <c r="DZ119" s="4">
        <f t="shared" si="261"/>
        <v>0.9</v>
      </c>
      <c r="EA119" s="4">
        <f t="shared" si="262"/>
        <v>0.90713466426932854</v>
      </c>
      <c r="EB119" s="4">
        <f t="shared" si="263"/>
        <v>0.81642119784239575</v>
      </c>
      <c r="ED119" s="4">
        <f t="shared" si="281"/>
        <v>355.66129884341933</v>
      </c>
      <c r="EE119" s="25">
        <f t="shared" si="323"/>
        <v>272.18798506289443</v>
      </c>
      <c r="EH119" s="4">
        <f t="shared" si="319"/>
        <v>5.1588114827661729</v>
      </c>
      <c r="EI119" s="4">
        <f t="shared" si="178"/>
        <v>5.1588114827661729</v>
      </c>
      <c r="EK119" s="4">
        <f t="shared" si="179"/>
        <v>57.022858574434863</v>
      </c>
      <c r="EL119" s="4">
        <f t="shared" si="180"/>
        <v>2.2449944320643649</v>
      </c>
      <c r="EM119" s="4">
        <f t="shared" si="181"/>
        <v>0.17044200350862856</v>
      </c>
      <c r="EP119" s="4">
        <f t="shared" si="337"/>
        <v>0.17044200350862856</v>
      </c>
      <c r="EQ119" s="4">
        <f t="shared" si="338"/>
        <v>0.63519984344425195</v>
      </c>
      <c r="ER119" s="4">
        <f t="shared" si="184"/>
        <v>4.3024299767608163</v>
      </c>
      <c r="ES119" s="4">
        <f t="shared" si="240"/>
        <v>4.7499757088178356</v>
      </c>
      <c r="ET119" s="4">
        <f t="shared" si="186"/>
        <v>95.377141425565114</v>
      </c>
      <c r="EU119" s="4">
        <f t="shared" si="187"/>
        <v>50.800000000000026</v>
      </c>
      <c r="EV119" s="4">
        <f t="shared" si="265"/>
        <v>1.3667329281249734E-5</v>
      </c>
      <c r="EW119" s="4">
        <f t="shared" si="241"/>
        <v>5.0422702257329002</v>
      </c>
      <c r="EX119" s="4">
        <f t="shared" si="189"/>
        <v>388.02380170646722</v>
      </c>
      <c r="EY119" s="4">
        <f t="shared" si="190"/>
        <v>95.377141425565114</v>
      </c>
      <c r="EZ119" s="4">
        <f t="shared" si="191"/>
        <v>0</v>
      </c>
      <c r="FB119" s="4">
        <f t="shared" si="343"/>
        <v>40.338161805863251</v>
      </c>
      <c r="FG119" s="23">
        <f t="shared" si="344"/>
        <v>2.2000000000000002</v>
      </c>
      <c r="FH119" s="23">
        <f t="shared" si="344"/>
        <v>1.4</v>
      </c>
      <c r="FI119" s="23">
        <f t="shared" si="234"/>
        <v>1.2</v>
      </c>
      <c r="FJ119" s="23">
        <f t="shared" si="345"/>
        <v>1.6</v>
      </c>
      <c r="FK119" s="23">
        <f t="shared" si="345"/>
        <v>1</v>
      </c>
      <c r="FL119" s="23">
        <f t="shared" si="345"/>
        <v>1.2</v>
      </c>
      <c r="FM119" s="23">
        <f t="shared" si="222"/>
        <v>0</v>
      </c>
      <c r="FN119" s="23"/>
      <c r="FX119" s="4">
        <f t="shared" si="267"/>
        <v>1</v>
      </c>
      <c r="FY119" s="4">
        <f t="shared" si="308"/>
        <v>0.56497177617382699</v>
      </c>
      <c r="FZ119" s="4">
        <f t="shared" si="269"/>
        <v>0.18651703970074607</v>
      </c>
      <c r="GA119" s="4">
        <f t="shared" si="270"/>
        <v>312.52070933030853</v>
      </c>
      <c r="GC119" s="4">
        <f>(H119)/(K119)^1.5/0.0199*(J119)^0.25/FX119/FY119</f>
        <v>312.4971853526369</v>
      </c>
    </row>
    <row r="120" spans="1:188" ht="12" customHeight="1" x14ac:dyDescent="0.3">
      <c r="A120" s="25">
        <v>102</v>
      </c>
      <c r="B120" s="20" t="s">
        <v>54</v>
      </c>
      <c r="C120" s="20">
        <v>2010</v>
      </c>
      <c r="D120" s="20" t="s">
        <v>293</v>
      </c>
      <c r="E120" s="24"/>
      <c r="F120" s="7" t="s">
        <v>68</v>
      </c>
      <c r="G120" s="7">
        <v>472</v>
      </c>
      <c r="H120" s="7">
        <f t="shared" si="320"/>
        <v>203.2</v>
      </c>
      <c r="I120" s="7">
        <f>K120*M120</f>
        <v>152.39999999999998</v>
      </c>
      <c r="J120" s="7">
        <v>24</v>
      </c>
      <c r="K120" s="7">
        <v>25.4</v>
      </c>
      <c r="L120" s="7">
        <v>8</v>
      </c>
      <c r="M120" s="7">
        <v>6</v>
      </c>
      <c r="N120" s="7">
        <f t="shared" si="326"/>
        <v>914.4</v>
      </c>
      <c r="O120" s="7">
        <f t="shared" si="321"/>
        <v>127</v>
      </c>
      <c r="P120" s="7"/>
      <c r="Q120" s="7">
        <f t="shared" si="314"/>
        <v>101.6</v>
      </c>
      <c r="R120" s="7">
        <v>3</v>
      </c>
      <c r="S120" s="7">
        <f t="shared" si="315"/>
        <v>50.8</v>
      </c>
      <c r="T120" s="7">
        <f t="shared" si="309"/>
        <v>2.5</v>
      </c>
      <c r="U120" s="7">
        <f t="shared" si="327"/>
        <v>2.5</v>
      </c>
      <c r="V120" s="7">
        <v>4.04</v>
      </c>
      <c r="W120" s="7">
        <f t="shared" si="155"/>
        <v>4.04</v>
      </c>
      <c r="X120" s="7">
        <f t="shared" si="246"/>
        <v>5.04</v>
      </c>
      <c r="Y120" s="7">
        <f t="shared" si="204"/>
        <v>57.022858574434863</v>
      </c>
      <c r="Z120" s="7"/>
      <c r="AA120" s="7"/>
      <c r="AB120" s="7">
        <v>391</v>
      </c>
      <c r="AC120" s="7"/>
      <c r="AD120" s="7">
        <f t="shared" si="339"/>
        <v>0.98080807123647029</v>
      </c>
      <c r="AE120" s="7">
        <v>12.7</v>
      </c>
      <c r="AF120" s="7">
        <v>2</v>
      </c>
      <c r="AG120" s="7">
        <f>H120-2*25.4</f>
        <v>152.39999999999998</v>
      </c>
      <c r="AH120" s="7">
        <v>2</v>
      </c>
      <c r="AI120" s="7">
        <v>2</v>
      </c>
      <c r="AJ120" s="7"/>
      <c r="AK120" s="4">
        <f t="shared" si="283"/>
        <v>203.2</v>
      </c>
      <c r="AL120" s="44">
        <f t="shared" si="316"/>
        <v>0.62500000000000011</v>
      </c>
      <c r="AM120" s="25">
        <f t="shared" si="272"/>
        <v>93.349631295316044</v>
      </c>
      <c r="AN120" s="4">
        <f t="shared" si="273"/>
        <v>0.76249999999999996</v>
      </c>
      <c r="AO120" s="4">
        <v>1.25</v>
      </c>
      <c r="AP120" s="25">
        <f t="shared" si="322"/>
        <v>5</v>
      </c>
      <c r="AQ120" s="38">
        <f t="shared" si="275"/>
        <v>278.04333540108786</v>
      </c>
      <c r="AR120" s="38">
        <f t="shared" si="276"/>
        <v>278.04333540108786</v>
      </c>
      <c r="AT120" s="38">
        <f t="shared" si="313"/>
        <v>278.04333540108792</v>
      </c>
      <c r="AU120" s="38">
        <f t="shared" si="247"/>
        <v>0.99999999999999978</v>
      </c>
      <c r="AV120" s="38">
        <f t="shared" si="333"/>
        <v>0.86747993638820953</v>
      </c>
      <c r="AW120" s="4">
        <f t="shared" si="328"/>
        <v>1</v>
      </c>
      <c r="AX120" s="4">
        <f t="shared" si="224"/>
        <v>154.70461533367438</v>
      </c>
      <c r="AY120" s="4">
        <f t="shared" si="225"/>
        <v>1</v>
      </c>
      <c r="AZ120" s="38">
        <f t="shared" si="277"/>
        <v>241.19701490690136</v>
      </c>
      <c r="BA120" s="4">
        <f t="shared" si="226"/>
        <v>0.43440000000000001</v>
      </c>
      <c r="BB120" s="4">
        <f t="shared" si="248"/>
        <v>35.113925360745412</v>
      </c>
      <c r="BC120" s="4">
        <f t="shared" si="249"/>
        <v>276.31094026764674</v>
      </c>
      <c r="BE120" s="36">
        <f t="shared" si="317"/>
        <v>1.5201990816987241</v>
      </c>
      <c r="BF120" s="36">
        <f t="shared" si="318"/>
        <v>235.33860204091607</v>
      </c>
      <c r="BK120" s="4">
        <f t="shared" si="160"/>
        <v>57.199999999999996</v>
      </c>
      <c r="BL120" s="4">
        <f t="shared" si="161"/>
        <v>50.8</v>
      </c>
      <c r="BM120" s="4">
        <f t="shared" si="162"/>
        <v>57.199999999999996</v>
      </c>
      <c r="BN120" s="4">
        <f t="shared" si="163"/>
        <v>63.5</v>
      </c>
      <c r="BO120" s="4">
        <f t="shared" si="164"/>
        <v>1.0125984251968505</v>
      </c>
      <c r="BP120" s="25">
        <f t="shared" si="278"/>
        <v>3.161228029601602</v>
      </c>
      <c r="BR120" s="4">
        <f t="shared" si="336"/>
        <v>50.8</v>
      </c>
      <c r="BV120" s="9"/>
      <c r="BX120" s="9"/>
      <c r="BY120" s="9"/>
      <c r="BZ120" s="9">
        <f t="shared" si="235"/>
        <v>50.8</v>
      </c>
      <c r="CA120" s="9">
        <f t="shared" si="236"/>
        <v>127</v>
      </c>
      <c r="CB120" s="9">
        <f t="shared" si="252"/>
        <v>1.622579553879709</v>
      </c>
      <c r="CC120" s="9">
        <v>0</v>
      </c>
      <c r="CD120" s="9">
        <f t="shared" si="311"/>
        <v>4.3633231299858237E-2</v>
      </c>
      <c r="CE120" s="9">
        <f t="shared" si="253"/>
        <v>0</v>
      </c>
      <c r="CF120" s="9">
        <f t="shared" si="237"/>
        <v>0.99524931562137331</v>
      </c>
      <c r="CG120" s="9">
        <f t="shared" si="238"/>
        <v>1.056</v>
      </c>
      <c r="CH120" s="9">
        <f t="shared" si="254"/>
        <v>1.8020609303015322</v>
      </c>
      <c r="CI120" s="9">
        <f t="shared" si="255"/>
        <v>2.9239872203527137</v>
      </c>
      <c r="CJ120" s="9">
        <v>1</v>
      </c>
      <c r="CK120" s="9">
        <f t="shared" si="256"/>
        <v>245.61492650962794</v>
      </c>
      <c r="CM120" s="4">
        <f>AB120/AX120</f>
        <v>2.5273971248800322</v>
      </c>
      <c r="CN120" s="4">
        <f>AB120/BC120</f>
        <v>1.4150724528723346</v>
      </c>
      <c r="CO120" s="4">
        <f t="shared" si="212"/>
        <v>1.6614358911336635</v>
      </c>
      <c r="CP120" s="4">
        <f t="shared" si="340"/>
        <v>1.5919227937666609</v>
      </c>
      <c r="CQ120" s="4">
        <f t="shared" si="214"/>
        <v>0.98080807123647029</v>
      </c>
      <c r="CR120" s="4">
        <f t="shared" si="215"/>
        <v>1.0748032245531951</v>
      </c>
      <c r="CS120" s="4">
        <f t="shared" si="334"/>
        <v>1.1365535412883889</v>
      </c>
      <c r="DA120" s="4">
        <f t="shared" si="285"/>
        <v>2.5273971248800322</v>
      </c>
      <c r="DB120" s="4">
        <f t="shared" si="285"/>
        <v>1.4150724528723346</v>
      </c>
      <c r="DC120" s="4">
        <f t="shared" si="286"/>
        <v>1.5919227937666609</v>
      </c>
      <c r="DD120" s="4">
        <f t="shared" si="341"/>
        <v>1.1365535412883889</v>
      </c>
      <c r="DE120" s="4">
        <f t="shared" si="288"/>
        <v>0.98080807123647029</v>
      </c>
      <c r="DF120" s="4">
        <f t="shared" si="288"/>
        <v>1.0748032245531951</v>
      </c>
      <c r="DH120" s="4">
        <f t="shared" si="171"/>
        <v>2</v>
      </c>
      <c r="DI120" s="4">
        <f t="shared" si="172"/>
        <v>203.2</v>
      </c>
      <c r="DJ120" s="4">
        <f t="shared" si="173"/>
        <v>0.74999999999999989</v>
      </c>
      <c r="DL120" s="4">
        <f t="shared" si="174"/>
        <v>1.3667329281249728E-5</v>
      </c>
      <c r="DM120" s="4">
        <f t="shared" si="175"/>
        <v>5.6549766132535195</v>
      </c>
      <c r="DN120" s="4">
        <f t="shared" si="342"/>
        <v>0.63626164554762021</v>
      </c>
      <c r="DO120" s="4">
        <f t="shared" si="257"/>
        <v>4.7193817734810022</v>
      </c>
      <c r="DP120" s="4">
        <f t="shared" si="258"/>
        <v>5.2082472540776283</v>
      </c>
      <c r="DQ120" s="4">
        <f t="shared" si="259"/>
        <v>5.5149392832684514</v>
      </c>
      <c r="DR120" s="38">
        <f t="shared" si="279"/>
        <v>398.65087927659488</v>
      </c>
      <c r="DS120" s="4">
        <f t="shared" si="260"/>
        <v>1.0001238224621578</v>
      </c>
      <c r="DT120" s="4">
        <f t="shared" si="335"/>
        <v>2.2449944320643649</v>
      </c>
      <c r="DU120" s="4">
        <f t="shared" si="280"/>
        <v>278.04333540108792</v>
      </c>
      <c r="DY120" s="4">
        <f t="shared" si="239"/>
        <v>1</v>
      </c>
      <c r="DZ120" s="4">
        <f t="shared" si="261"/>
        <v>0.9</v>
      </c>
      <c r="EA120" s="4">
        <f t="shared" si="262"/>
        <v>0.77500000000000002</v>
      </c>
      <c r="EB120" s="4">
        <f t="shared" si="263"/>
        <v>0.7</v>
      </c>
      <c r="ED120" s="4">
        <f t="shared" si="281"/>
        <v>363.78752042034677</v>
      </c>
      <c r="EE120" s="25">
        <f t="shared" si="323"/>
        <v>272.18798506289443</v>
      </c>
      <c r="EH120" s="4">
        <f t="shared" si="319"/>
        <v>5.6549766132535195</v>
      </c>
      <c r="EI120" s="4">
        <f t="shared" si="178"/>
        <v>5.6549766132535195</v>
      </c>
      <c r="EK120" s="4">
        <f t="shared" si="179"/>
        <v>57.022858574434863</v>
      </c>
      <c r="EL120" s="4">
        <f t="shared" si="180"/>
        <v>2.2449944320643649</v>
      </c>
      <c r="EM120" s="4">
        <f t="shared" si="181"/>
        <v>0.17044200350862856</v>
      </c>
      <c r="EP120" s="4">
        <f t="shared" si="337"/>
        <v>0.17044200350862856</v>
      </c>
      <c r="EQ120" s="4">
        <f t="shared" si="338"/>
        <v>0.63519984344425195</v>
      </c>
      <c r="ER120" s="4">
        <f t="shared" si="184"/>
        <v>4.716229887450238</v>
      </c>
      <c r="ES120" s="4">
        <f t="shared" si="240"/>
        <v>5.2068197561823304</v>
      </c>
      <c r="ET120" s="4">
        <f t="shared" si="186"/>
        <v>95.377141425565114</v>
      </c>
      <c r="EU120" s="4">
        <f t="shared" si="187"/>
        <v>50.800000000000026</v>
      </c>
      <c r="EV120" s="4">
        <f t="shared" si="265"/>
        <v>1.3667329281249734E-5</v>
      </c>
      <c r="EW120" s="4">
        <f t="shared" si="241"/>
        <v>5.5149879200790073</v>
      </c>
      <c r="EX120" s="4">
        <f t="shared" si="189"/>
        <v>398.60152345454088</v>
      </c>
      <c r="EY120" s="4">
        <f t="shared" si="190"/>
        <v>95.377141425565114</v>
      </c>
      <c r="EZ120" s="4">
        <f t="shared" si="191"/>
        <v>0</v>
      </c>
      <c r="FB120" s="4">
        <f t="shared" si="343"/>
        <v>44.119903360632122</v>
      </c>
      <c r="FG120" s="23">
        <f t="shared" si="344"/>
        <v>2.2000000000000002</v>
      </c>
      <c r="FH120" s="23">
        <f t="shared" si="344"/>
        <v>1.6</v>
      </c>
      <c r="FI120" s="23">
        <f t="shared" si="234"/>
        <v>1.2</v>
      </c>
      <c r="FJ120" s="23">
        <f t="shared" si="345"/>
        <v>1.6</v>
      </c>
      <c r="FK120" s="23">
        <f t="shared" si="345"/>
        <v>1</v>
      </c>
      <c r="FL120" s="23">
        <f t="shared" si="345"/>
        <v>1.2</v>
      </c>
      <c r="FM120" s="23">
        <f t="shared" si="222"/>
        <v>0</v>
      </c>
      <c r="FN120" s="23"/>
      <c r="FX120" s="4">
        <f t="shared" si="267"/>
        <v>1</v>
      </c>
      <c r="FY120" s="4">
        <f t="shared" si="308"/>
        <v>0.51323787258912912</v>
      </c>
      <c r="FZ120" s="4">
        <f t="shared" si="269"/>
        <v>0.3</v>
      </c>
      <c r="GA120" s="4">
        <f t="shared" si="270"/>
        <v>344.02250821968772</v>
      </c>
    </row>
    <row r="121" spans="1:188" ht="12" customHeight="1" x14ac:dyDescent="0.3">
      <c r="A121" s="25">
        <v>103</v>
      </c>
      <c r="B121" s="20" t="s">
        <v>54</v>
      </c>
      <c r="C121" s="20">
        <v>2011</v>
      </c>
      <c r="D121" s="20" t="s">
        <v>293</v>
      </c>
      <c r="E121" s="24"/>
      <c r="F121" s="7" t="s">
        <v>68</v>
      </c>
      <c r="G121" s="7">
        <v>472</v>
      </c>
      <c r="H121" s="7">
        <f t="shared" si="320"/>
        <v>304.79999999999995</v>
      </c>
      <c r="I121" s="7">
        <f>K121*M121</f>
        <v>254</v>
      </c>
      <c r="J121" s="7">
        <v>26</v>
      </c>
      <c r="K121" s="7">
        <v>25.4</v>
      </c>
      <c r="L121" s="7">
        <v>12</v>
      </c>
      <c r="M121" s="7">
        <v>10</v>
      </c>
      <c r="N121" s="7">
        <f t="shared" si="326"/>
        <v>914.4</v>
      </c>
      <c r="O121" s="7">
        <f t="shared" si="321"/>
        <v>127</v>
      </c>
      <c r="P121" s="7"/>
      <c r="Q121" s="7">
        <f t="shared" si="314"/>
        <v>101.6</v>
      </c>
      <c r="R121" s="7">
        <v>3</v>
      </c>
      <c r="S121" s="7">
        <f t="shared" si="315"/>
        <v>50.8</v>
      </c>
      <c r="T121" s="7">
        <f t="shared" si="309"/>
        <v>2.5</v>
      </c>
      <c r="U121" s="7">
        <f t="shared" si="327"/>
        <v>2.5</v>
      </c>
      <c r="V121" s="7">
        <v>4.04</v>
      </c>
      <c r="W121" s="7">
        <f t="shared" si="155"/>
        <v>4.04</v>
      </c>
      <c r="X121" s="7">
        <f t="shared" si="246"/>
        <v>5.04</v>
      </c>
      <c r="Y121" s="7">
        <f t="shared" si="204"/>
        <v>57.022858574434863</v>
      </c>
      <c r="Z121" s="7"/>
      <c r="AA121" s="7"/>
      <c r="AB121" s="7">
        <v>371</v>
      </c>
      <c r="AC121" s="7"/>
      <c r="AD121" s="7">
        <f t="shared" si="339"/>
        <v>0.91362974984847978</v>
      </c>
      <c r="AE121" s="7">
        <v>9.5</v>
      </c>
      <c r="AF121" s="7">
        <v>2</v>
      </c>
      <c r="AG121" s="7">
        <f>H121-2*25.4</f>
        <v>253.99999999999994</v>
      </c>
      <c r="AH121" s="7">
        <v>2</v>
      </c>
      <c r="AI121" s="7">
        <v>2</v>
      </c>
      <c r="AJ121" s="7"/>
      <c r="AK121" s="4">
        <f t="shared" si="283"/>
        <v>304.79999999999995</v>
      </c>
      <c r="AL121" s="44">
        <f t="shared" si="316"/>
        <v>0.27777777777777785</v>
      </c>
      <c r="AM121" s="25">
        <f t="shared" si="272"/>
        <v>178.49684683556575</v>
      </c>
      <c r="AN121" s="4">
        <f t="shared" si="273"/>
        <v>0.74166666666666659</v>
      </c>
      <c r="AO121" s="4">
        <v>1.25</v>
      </c>
      <c r="AP121" s="25">
        <f t="shared" si="322"/>
        <v>5</v>
      </c>
      <c r="AQ121" s="38">
        <f t="shared" si="275"/>
        <v>229.83534965806356</v>
      </c>
      <c r="AR121" s="38">
        <f t="shared" si="276"/>
        <v>229.83534965806356</v>
      </c>
      <c r="AT121" s="38">
        <f t="shared" si="313"/>
        <v>229.83534965806339</v>
      </c>
      <c r="AU121" s="38">
        <f t="shared" si="247"/>
        <v>1.0000000000000007</v>
      </c>
      <c r="AV121" s="38">
        <f t="shared" si="333"/>
        <v>1.136886760621838</v>
      </c>
      <c r="AW121" s="4">
        <f t="shared" si="328"/>
        <v>0</v>
      </c>
      <c r="AX121" s="4">
        <f t="shared" si="224"/>
        <v>268.36944808383078</v>
      </c>
      <c r="AY121" s="4">
        <f t="shared" si="225"/>
        <v>1</v>
      </c>
      <c r="AZ121" s="38">
        <f t="shared" si="277"/>
        <v>261.29676614914314</v>
      </c>
      <c r="BA121" s="4">
        <f t="shared" si="226"/>
        <v>0.43440000000000001</v>
      </c>
      <c r="BB121" s="4">
        <f t="shared" si="248"/>
        <v>60.912887109379405</v>
      </c>
      <c r="BC121" s="4">
        <f t="shared" si="249"/>
        <v>322.20965325852256</v>
      </c>
      <c r="BE121" s="36">
        <f t="shared" si="317"/>
        <v>1.2593411263809653</v>
      </c>
      <c r="BF121" s="36">
        <f t="shared" si="318"/>
        <v>244.01338915208541</v>
      </c>
      <c r="BK121" s="4">
        <f t="shared" si="160"/>
        <v>57.199999999999996</v>
      </c>
      <c r="BL121" s="4">
        <f t="shared" si="161"/>
        <v>50.8</v>
      </c>
      <c r="BM121" s="4">
        <f t="shared" si="162"/>
        <v>57.199999999999996</v>
      </c>
      <c r="BN121" s="4">
        <f t="shared" si="163"/>
        <v>63.5</v>
      </c>
      <c r="BO121" s="4">
        <f t="shared" si="164"/>
        <v>1.0125984251968505</v>
      </c>
      <c r="BP121" s="25">
        <f t="shared" si="278"/>
        <v>2.7515493255056613</v>
      </c>
      <c r="BR121" s="4">
        <f t="shared" si="336"/>
        <v>50.8</v>
      </c>
      <c r="BV121" s="9"/>
      <c r="BX121" s="9"/>
      <c r="BY121" s="9"/>
      <c r="BZ121" s="9">
        <f t="shared" si="235"/>
        <v>50.8</v>
      </c>
      <c r="CA121" s="9">
        <f t="shared" si="236"/>
        <v>127</v>
      </c>
      <c r="CB121" s="9">
        <f t="shared" si="252"/>
        <v>1.622579553879709</v>
      </c>
      <c r="CC121" s="9">
        <v>0</v>
      </c>
      <c r="CD121" s="9">
        <f t="shared" si="311"/>
        <v>1.4649014042329492E-2</v>
      </c>
      <c r="CE121" s="9">
        <f t="shared" si="253"/>
        <v>0</v>
      </c>
      <c r="CF121" s="9">
        <f t="shared" si="237"/>
        <v>0.99524931562137331</v>
      </c>
      <c r="CG121" s="9">
        <f t="shared" si="238"/>
        <v>1.056</v>
      </c>
      <c r="CH121" s="9">
        <f t="shared" si="254"/>
        <v>1.8756444837875041</v>
      </c>
      <c r="CI121" s="9">
        <f t="shared" si="255"/>
        <v>3.0433823897408656</v>
      </c>
      <c r="CJ121" s="9">
        <v>1</v>
      </c>
      <c r="CK121" s="9">
        <f t="shared" si="256"/>
        <v>304.33823897408661</v>
      </c>
      <c r="CM121" s="4">
        <f>AB121/AX121</f>
        <v>1.3824226365890593</v>
      </c>
      <c r="CN121" s="4">
        <f>AB121/BC121</f>
        <v>1.1514242240977519</v>
      </c>
      <c r="CO121" s="4">
        <f t="shared" si="212"/>
        <v>1.5204083730371372</v>
      </c>
      <c r="CP121" s="4">
        <f t="shared" si="340"/>
        <v>1.2190384003358494</v>
      </c>
      <c r="CQ121" s="4">
        <f t="shared" si="214"/>
        <v>0.91362974984847978</v>
      </c>
      <c r="CR121" s="4">
        <f t="shared" si="215"/>
        <v>0.99828830815771896</v>
      </c>
      <c r="CS121" s="4">
        <f t="shared" si="334"/>
        <v>0.77573488574208971</v>
      </c>
      <c r="DA121" s="4">
        <f t="shared" si="285"/>
        <v>1.3824226365890593</v>
      </c>
      <c r="DB121" s="4">
        <f t="shared" si="285"/>
        <v>1.1514242240977519</v>
      </c>
      <c r="DC121" s="4">
        <f t="shared" si="286"/>
        <v>1.2190384003358494</v>
      </c>
      <c r="DD121" s="4">
        <f t="shared" si="341"/>
        <v>0.77573488574208971</v>
      </c>
      <c r="DE121" s="4">
        <f t="shared" si="288"/>
        <v>0.91362974984847978</v>
      </c>
      <c r="DF121" s="4">
        <f t="shared" si="288"/>
        <v>0.99828830815771896</v>
      </c>
      <c r="DH121" s="4">
        <f t="shared" si="171"/>
        <v>2</v>
      </c>
      <c r="DI121" s="4">
        <f t="shared" si="172"/>
        <v>304.79999999999995</v>
      </c>
      <c r="DJ121" s="4">
        <f t="shared" si="173"/>
        <v>0.83333333333333348</v>
      </c>
      <c r="DL121" s="4">
        <f t="shared" si="174"/>
        <v>2.0812659450250191E-5</v>
      </c>
      <c r="DM121" s="4">
        <f t="shared" si="175"/>
        <v>5.1231060364842103</v>
      </c>
      <c r="DN121" s="4">
        <f t="shared" si="342"/>
        <v>0.48548741257573685</v>
      </c>
      <c r="DO121" s="4">
        <f t="shared" si="257"/>
        <v>3.837112518900283</v>
      </c>
      <c r="DP121" s="4">
        <f t="shared" si="258"/>
        <v>4.5261091865085605</v>
      </c>
      <c r="DQ121" s="4">
        <f t="shared" si="259"/>
        <v>4.8712620105281452</v>
      </c>
      <c r="DR121" s="38">
        <f t="shared" si="279"/>
        <v>406.072591289336</v>
      </c>
      <c r="DS121" s="4">
        <f t="shared" si="260"/>
        <v>1.0001268222237163</v>
      </c>
      <c r="DT121" s="4">
        <f t="shared" si="335"/>
        <v>2.2449944320643649</v>
      </c>
      <c r="DU121" s="4">
        <f t="shared" si="280"/>
        <v>229.83534965806339</v>
      </c>
      <c r="DY121" s="4">
        <f t="shared" si="239"/>
        <v>1</v>
      </c>
      <c r="DZ121" s="4">
        <f t="shared" si="261"/>
        <v>0.9</v>
      </c>
      <c r="EA121" s="4">
        <f t="shared" si="262"/>
        <v>0.90713466426932854</v>
      </c>
      <c r="EB121" s="4">
        <f t="shared" si="263"/>
        <v>0.81642119784239575</v>
      </c>
      <c r="ED121" s="4">
        <f t="shared" si="281"/>
        <v>371.63612652607162</v>
      </c>
      <c r="EE121" s="25">
        <f t="shared" si="323"/>
        <v>226.1749676920474</v>
      </c>
      <c r="EH121" s="4">
        <f t="shared" si="319"/>
        <v>5.1231060364842103</v>
      </c>
      <c r="EI121" s="4">
        <f t="shared" si="178"/>
        <v>5.1231060364842103</v>
      </c>
      <c r="EK121" s="4">
        <f t="shared" si="179"/>
        <v>57.022858574434863</v>
      </c>
      <c r="EL121" s="4">
        <f t="shared" si="180"/>
        <v>2.2449944320643649</v>
      </c>
      <c r="EM121" s="4">
        <f t="shared" si="181"/>
        <v>0.13536298215194248</v>
      </c>
      <c r="EP121" s="4">
        <f t="shared" si="337"/>
        <v>0.13536298215194248</v>
      </c>
      <c r="EQ121" s="4">
        <f t="shared" si="338"/>
        <v>0.48467722456670143</v>
      </c>
      <c r="ER121" s="4">
        <f t="shared" si="184"/>
        <v>3.8345498651614491</v>
      </c>
      <c r="ES121" s="4">
        <f t="shared" si="240"/>
        <v>4.5250239350752812</v>
      </c>
      <c r="ET121" s="4">
        <f t="shared" si="186"/>
        <v>171.57714142556512</v>
      </c>
      <c r="EU121" s="4">
        <f t="shared" si="187"/>
        <v>76.199999999999989</v>
      </c>
      <c r="EV121" s="4">
        <f t="shared" si="265"/>
        <v>2.0812659450250191E-5</v>
      </c>
      <c r="EW121" s="4">
        <f t="shared" si="241"/>
        <v>4.871332309925922</v>
      </c>
      <c r="EX121" s="4">
        <f t="shared" si="189"/>
        <v>406.02109879071168</v>
      </c>
      <c r="EY121" s="4">
        <f t="shared" si="190"/>
        <v>171.57714142556512</v>
      </c>
      <c r="EZ121" s="4">
        <f t="shared" si="191"/>
        <v>25.40000000000002</v>
      </c>
      <c r="FB121" s="4">
        <f t="shared" si="343"/>
        <v>38.970658479407348</v>
      </c>
      <c r="FG121" s="23">
        <f t="shared" si="344"/>
        <v>1.4</v>
      </c>
      <c r="FH121" s="23">
        <f t="shared" si="344"/>
        <v>1.2</v>
      </c>
      <c r="FI121" s="23">
        <f t="shared" si="234"/>
        <v>0.8</v>
      </c>
      <c r="FJ121" s="23">
        <f t="shared" si="345"/>
        <v>1.4</v>
      </c>
      <c r="FK121" s="23">
        <f t="shared" si="345"/>
        <v>1</v>
      </c>
      <c r="FL121" s="23">
        <f t="shared" si="345"/>
        <v>1</v>
      </c>
      <c r="FM121" s="23">
        <f t="shared" si="222"/>
        <v>0</v>
      </c>
      <c r="FN121" s="23"/>
      <c r="FX121" s="4">
        <f t="shared" si="267"/>
        <v>1</v>
      </c>
      <c r="FY121" s="4">
        <f t="shared" si="308"/>
        <v>0.56497177617382699</v>
      </c>
      <c r="FZ121" s="4">
        <f t="shared" si="269"/>
        <v>0.18651703970074607</v>
      </c>
      <c r="GA121" s="4">
        <f t="shared" si="270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customHeight="1" x14ac:dyDescent="0.3">
      <c r="A122" s="25">
        <v>104</v>
      </c>
      <c r="B122" s="20" t="s">
        <v>54</v>
      </c>
      <c r="C122" s="20">
        <v>2012</v>
      </c>
      <c r="D122" s="20" t="s">
        <v>293</v>
      </c>
      <c r="E122" s="24"/>
      <c r="F122" s="7" t="s">
        <v>68</v>
      </c>
      <c r="G122" s="7">
        <v>472</v>
      </c>
      <c r="H122" s="7">
        <f t="shared" si="320"/>
        <v>304.79999999999995</v>
      </c>
      <c r="I122" s="7">
        <f>K122*M122</f>
        <v>254</v>
      </c>
      <c r="J122" s="7">
        <v>26</v>
      </c>
      <c r="K122" s="7">
        <v>25.4</v>
      </c>
      <c r="L122" s="7">
        <v>12</v>
      </c>
      <c r="M122" s="7">
        <v>10</v>
      </c>
      <c r="N122" s="7">
        <f t="shared" si="326"/>
        <v>914.4</v>
      </c>
      <c r="O122" s="7">
        <f t="shared" si="321"/>
        <v>127</v>
      </c>
      <c r="P122" s="7"/>
      <c r="Q122" s="7">
        <f t="shared" si="314"/>
        <v>101.6</v>
      </c>
      <c r="R122" s="7">
        <v>3</v>
      </c>
      <c r="S122" s="7">
        <f t="shared" si="315"/>
        <v>50.8</v>
      </c>
      <c r="T122" s="7">
        <f t="shared" si="309"/>
        <v>2.5</v>
      </c>
      <c r="U122" s="7">
        <f t="shared" si="327"/>
        <v>2.5</v>
      </c>
      <c r="V122" s="7">
        <v>4.04</v>
      </c>
      <c r="W122" s="7">
        <f t="shared" si="155"/>
        <v>4.04</v>
      </c>
      <c r="X122" s="7">
        <f t="shared" si="246"/>
        <v>5.04</v>
      </c>
      <c r="Y122" s="7">
        <f t="shared" si="204"/>
        <v>57.022858574434863</v>
      </c>
      <c r="Z122" s="7"/>
      <c r="AA122" s="7"/>
      <c r="AB122" s="7">
        <v>390</v>
      </c>
      <c r="AC122" s="7"/>
      <c r="AD122" s="7">
        <f t="shared" si="339"/>
        <v>0.88891200438416107</v>
      </c>
      <c r="AE122" s="7">
        <v>9.5</v>
      </c>
      <c r="AF122" s="7">
        <v>2</v>
      </c>
      <c r="AG122" s="7">
        <f>3*25.4</f>
        <v>76.199999999999989</v>
      </c>
      <c r="AH122" s="7">
        <v>2</v>
      </c>
      <c r="AI122" s="7">
        <v>2</v>
      </c>
      <c r="AJ122" s="7"/>
      <c r="AK122" s="4">
        <f t="shared" si="283"/>
        <v>304.79999999999995</v>
      </c>
      <c r="AL122" s="44">
        <f t="shared" si="316"/>
        <v>0.27777777777777785</v>
      </c>
      <c r="AM122" s="25">
        <f t="shared" si="272"/>
        <v>178.49684683556575</v>
      </c>
      <c r="AN122" s="4">
        <f t="shared" si="273"/>
        <v>0.74166666666666659</v>
      </c>
      <c r="AO122" s="4">
        <v>1.25</v>
      </c>
      <c r="AP122" s="25">
        <f t="shared" si="322"/>
        <v>5</v>
      </c>
      <c r="AQ122" s="38">
        <f t="shared" si="275"/>
        <v>229.83534965806356</v>
      </c>
      <c r="AR122" s="38">
        <f t="shared" si="276"/>
        <v>229.83534965806356</v>
      </c>
      <c r="AT122" s="38">
        <f>AP122* (J122^0.5/AK122^0.5)/(PI()/4*K122^2)/R122/0.72 *(0.7+(MIN(O122,S122)+0.5*K122)/5/H122) *(N122*MIN(S122+0.5*K122+1.5*H122,254))</f>
        <v>229.83534965806339</v>
      </c>
      <c r="AU122" s="38">
        <f t="shared" si="247"/>
        <v>1.0000000000000007</v>
      </c>
      <c r="AV122" s="38">
        <f t="shared" si="333"/>
        <v>1.136886760621838</v>
      </c>
      <c r="AW122" s="4">
        <f t="shared" si="328"/>
        <v>0</v>
      </c>
      <c r="AX122" s="4">
        <f t="shared" si="224"/>
        <v>268.36944808383078</v>
      </c>
      <c r="AY122" s="4">
        <f t="shared" si="225"/>
        <v>1</v>
      </c>
      <c r="AZ122" s="38">
        <f t="shared" si="277"/>
        <v>261.29676614914314</v>
      </c>
      <c r="BA122" s="4">
        <f t="shared" si="226"/>
        <v>0.43440000000000001</v>
      </c>
      <c r="BB122" s="4">
        <f t="shared" si="248"/>
        <v>60.912887109379405</v>
      </c>
      <c r="BC122" s="4">
        <f t="shared" si="249"/>
        <v>322.20965325852256</v>
      </c>
      <c r="BE122" s="36">
        <f t="shared" si="317"/>
        <v>1.5669704212698847</v>
      </c>
      <c r="BF122" s="36">
        <f t="shared" si="318"/>
        <v>303.62048470055822</v>
      </c>
      <c r="BK122" s="4">
        <f t="shared" si="160"/>
        <v>57.199999999999996</v>
      </c>
      <c r="BL122" s="4">
        <f t="shared" si="161"/>
        <v>50.8</v>
      </c>
      <c r="BM122" s="4">
        <f t="shared" si="162"/>
        <v>57.199999999999996</v>
      </c>
      <c r="BN122" s="4">
        <f t="shared" si="163"/>
        <v>63.5</v>
      </c>
      <c r="BO122" s="4">
        <f t="shared" si="164"/>
        <v>1.0125984251968505</v>
      </c>
      <c r="BP122" s="25">
        <f t="shared" si="278"/>
        <v>3.2650069380372431</v>
      </c>
      <c r="BR122" s="4">
        <f t="shared" si="336"/>
        <v>50.8</v>
      </c>
      <c r="BV122" s="9"/>
      <c r="BX122" s="9"/>
      <c r="BY122" s="9"/>
      <c r="BZ122" s="9">
        <f t="shared" si="235"/>
        <v>50.8</v>
      </c>
      <c r="CA122" s="9">
        <f t="shared" si="236"/>
        <v>127</v>
      </c>
      <c r="CB122" s="9">
        <f t="shared" si="252"/>
        <v>1.622579553879709</v>
      </c>
      <c r="CC122" s="9">
        <v>20</v>
      </c>
      <c r="CD122" s="9">
        <f t="shared" si="311"/>
        <v>4.8830046807764975E-2</v>
      </c>
      <c r="CE122" s="9">
        <f t="shared" si="253"/>
        <v>0.77660093615529946</v>
      </c>
      <c r="CF122" s="9">
        <f t="shared" si="237"/>
        <v>0.99524931562137331</v>
      </c>
      <c r="CG122" s="9">
        <f t="shared" si="238"/>
        <v>1.056</v>
      </c>
      <c r="CH122" s="9">
        <f t="shared" si="254"/>
        <v>1.8756444837875041</v>
      </c>
      <c r="CI122" s="9">
        <f t="shared" si="255"/>
        <v>4.5000096517447643</v>
      </c>
      <c r="CJ122" s="9">
        <v>1</v>
      </c>
      <c r="CK122" s="9">
        <f t="shared" si="256"/>
        <v>450.00096517447645</v>
      </c>
      <c r="CM122" s="4">
        <f>AB122/AX122</f>
        <v>1.4532205613739437</v>
      </c>
      <c r="CN122" s="4">
        <f>AB122/BC122</f>
        <v>1.2103920415043752</v>
      </c>
      <c r="CO122" s="4">
        <f t="shared" si="212"/>
        <v>1.2844983117151416</v>
      </c>
      <c r="CP122" s="4">
        <f t="shared" si="340"/>
        <v>0.86666480781610633</v>
      </c>
      <c r="CQ122" s="4">
        <f t="shared" si="214"/>
        <v>0.88891200438416107</v>
      </c>
      <c r="CR122" s="4">
        <f t="shared" si="215"/>
        <v>0.9769003202032982</v>
      </c>
      <c r="CS122" s="4">
        <f t="shared" si="334"/>
        <v>0.81546254835421828</v>
      </c>
      <c r="DA122" s="4">
        <f t="shared" si="285"/>
        <v>1.4532205613739437</v>
      </c>
      <c r="DB122" s="4">
        <f t="shared" si="285"/>
        <v>1.2103920415043752</v>
      </c>
      <c r="DC122" s="4">
        <f t="shared" si="286"/>
        <v>0.86666480781610633</v>
      </c>
      <c r="DD122" s="4">
        <f t="shared" si="341"/>
        <v>0.81546254835421828</v>
      </c>
      <c r="DE122" s="4">
        <f t="shared" si="288"/>
        <v>0.88891200438416107</v>
      </c>
      <c r="DF122" s="4">
        <f t="shared" si="288"/>
        <v>0.9769003202032982</v>
      </c>
      <c r="DH122" s="4">
        <f t="shared" si="171"/>
        <v>2</v>
      </c>
      <c r="DI122" s="4">
        <f t="shared" si="172"/>
        <v>304.79999999999995</v>
      </c>
      <c r="DJ122" s="4">
        <f t="shared" si="173"/>
        <v>0.83333333333333348</v>
      </c>
      <c r="DL122" s="4">
        <f t="shared" si="174"/>
        <v>2.0812659450250191E-5</v>
      </c>
      <c r="DM122" s="4">
        <f t="shared" si="175"/>
        <v>6.0791120836430785</v>
      </c>
      <c r="DN122" s="4">
        <f t="shared" si="342"/>
        <v>0.48548741257573685</v>
      </c>
      <c r="DO122" s="4">
        <f t="shared" si="257"/>
        <v>4.5531435253978731</v>
      </c>
      <c r="DP122" s="4">
        <f t="shared" si="258"/>
        <v>5.3707116057418993</v>
      </c>
      <c r="DQ122" s="4">
        <f t="shared" si="259"/>
        <v>5.7250392510040635</v>
      </c>
      <c r="DR122" s="38">
        <f t="shared" si="279"/>
        <v>438.73859063270532</v>
      </c>
      <c r="DS122" s="4">
        <f t="shared" si="260"/>
        <v>1.0001388635364257</v>
      </c>
      <c r="DT122" s="4">
        <f t="shared" si="335"/>
        <v>2.2449944320643649</v>
      </c>
      <c r="DU122" s="4">
        <f t="shared" si="280"/>
        <v>229.83534965806339</v>
      </c>
      <c r="DY122" s="4">
        <f t="shared" si="239"/>
        <v>1</v>
      </c>
      <c r="DZ122" s="4">
        <f t="shared" si="261"/>
        <v>0.9</v>
      </c>
      <c r="EA122" s="4">
        <f t="shared" si="262"/>
        <v>0.90713466426932854</v>
      </c>
      <c r="EB122" s="4">
        <f t="shared" si="263"/>
        <v>0.81642119784239575</v>
      </c>
      <c r="ED122" s="4">
        <f t="shared" si="281"/>
        <v>399.2218980119066</v>
      </c>
      <c r="EE122" s="25">
        <f t="shared" si="323"/>
        <v>226.1749676920474</v>
      </c>
      <c r="EH122" s="4">
        <f t="shared" si="319"/>
        <v>6.0791120836430785</v>
      </c>
      <c r="EI122" s="4">
        <f t="shared" si="178"/>
        <v>6.0791120836430785</v>
      </c>
      <c r="EK122" s="4">
        <f t="shared" si="179"/>
        <v>57.022858574434863</v>
      </c>
      <c r="EL122" s="4">
        <f t="shared" si="180"/>
        <v>2.2449944320643649</v>
      </c>
      <c r="EM122" s="4">
        <f t="shared" si="181"/>
        <v>0.13536298215194248</v>
      </c>
      <c r="EP122" s="4">
        <f t="shared" si="337"/>
        <v>0.13536298215194248</v>
      </c>
      <c r="EQ122" s="4">
        <f t="shared" si="338"/>
        <v>0.48467722456670143</v>
      </c>
      <c r="ER122" s="4">
        <f t="shared" si="184"/>
        <v>4.5501026632335932</v>
      </c>
      <c r="ES122" s="4">
        <f t="shared" si="240"/>
        <v>5.3694238390911897</v>
      </c>
      <c r="ET122" s="4">
        <f t="shared" si="186"/>
        <v>171.57714142556512</v>
      </c>
      <c r="EU122" s="4">
        <f t="shared" si="187"/>
        <v>76.199999999999989</v>
      </c>
      <c r="EV122" s="4">
        <f t="shared" si="265"/>
        <v>2.0812659450250191E-5</v>
      </c>
      <c r="EW122" s="4">
        <f t="shared" si="241"/>
        <v>5.7251380864114534</v>
      </c>
      <c r="EX122" s="4">
        <f t="shared" si="189"/>
        <v>438.67767429950112</v>
      </c>
      <c r="EY122" s="4">
        <f t="shared" si="190"/>
        <v>171.57714142556512</v>
      </c>
      <c r="EZ122" s="4">
        <f t="shared" si="191"/>
        <v>25.40000000000002</v>
      </c>
      <c r="FB122" s="4">
        <f t="shared" si="343"/>
        <v>45.801104691291584</v>
      </c>
      <c r="FG122" s="23">
        <f t="shared" si="344"/>
        <v>1.6</v>
      </c>
      <c r="FH122" s="23">
        <f t="shared" si="344"/>
        <v>1.4</v>
      </c>
      <c r="FI122" s="23">
        <f t="shared" si="234"/>
        <v>1</v>
      </c>
      <c r="FJ122" s="23">
        <f t="shared" si="345"/>
        <v>1</v>
      </c>
      <c r="FK122" s="23">
        <f t="shared" si="345"/>
        <v>1</v>
      </c>
      <c r="FL122" s="23">
        <f t="shared" si="345"/>
        <v>1</v>
      </c>
      <c r="FM122" s="23">
        <f t="shared" si="222"/>
        <v>0</v>
      </c>
      <c r="FN122" s="23"/>
      <c r="FX122" s="4">
        <f t="shared" si="267"/>
        <v>1</v>
      </c>
      <c r="FY122" s="4">
        <f t="shared" si="308"/>
        <v>0.56497177617382699</v>
      </c>
      <c r="FZ122" s="4">
        <f t="shared" si="269"/>
        <v>0.18651703970074607</v>
      </c>
      <c r="GA122" s="4">
        <f t="shared" si="270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customHeight="1" x14ac:dyDescent="0.3">
      <c r="A123" s="25">
        <v>105</v>
      </c>
      <c r="B123" s="24" t="s">
        <v>128</v>
      </c>
      <c r="C123" s="24">
        <v>2015</v>
      </c>
      <c r="D123" s="24" t="s">
        <v>293</v>
      </c>
      <c r="E123" s="24"/>
      <c r="F123" s="7" t="s">
        <v>129</v>
      </c>
      <c r="G123" s="7">
        <v>710</v>
      </c>
      <c r="H123" s="7">
        <f t="shared" si="320"/>
        <v>429</v>
      </c>
      <c r="I123" s="7">
        <f>H123</f>
        <v>429</v>
      </c>
      <c r="J123" s="7">
        <v>41.4</v>
      </c>
      <c r="K123" s="7">
        <v>28.6</v>
      </c>
      <c r="L123" s="7">
        <v>15</v>
      </c>
      <c r="M123" s="7">
        <f>L123</f>
        <v>15</v>
      </c>
      <c r="N123" s="7">
        <v>261</v>
      </c>
      <c r="O123" s="7">
        <f>K123</f>
        <v>28.6</v>
      </c>
      <c r="P123" s="7"/>
      <c r="Q123" s="7">
        <f>1*K123</f>
        <v>28.6</v>
      </c>
      <c r="R123" s="7">
        <v>2</v>
      </c>
      <c r="S123" s="7">
        <f>72.5-K123/2</f>
        <v>58.2</v>
      </c>
      <c r="T123" s="7">
        <f t="shared" si="309"/>
        <v>1</v>
      </c>
      <c r="U123" s="7">
        <f>MIN(S123/K123+0.5, (O123+K123/2)/K123)</f>
        <v>1.5000000000000002</v>
      </c>
      <c r="V123" s="7">
        <f>X123-1</f>
        <v>4</v>
      </c>
      <c r="W123" s="7">
        <f t="shared" si="155"/>
        <v>4</v>
      </c>
      <c r="X123" s="7">
        <v>5</v>
      </c>
      <c r="Y123" s="7">
        <f t="shared" si="204"/>
        <v>63.951544156493995</v>
      </c>
      <c r="Z123" s="7"/>
      <c r="AA123" s="7"/>
      <c r="AB123" s="7">
        <v>312</v>
      </c>
      <c r="AC123" s="7"/>
      <c r="AD123" s="7">
        <f t="shared" si="339"/>
        <v>1.1567904160258464</v>
      </c>
      <c r="AE123" s="7">
        <v>0</v>
      </c>
      <c r="AF123" s="7">
        <v>0</v>
      </c>
      <c r="AG123" s="7">
        <f>I123</f>
        <v>429</v>
      </c>
      <c r="AH123" s="7"/>
      <c r="AI123" s="7"/>
      <c r="AJ123" s="7"/>
      <c r="AK123" s="4">
        <f t="shared" si="283"/>
        <v>429</v>
      </c>
      <c r="AL123" s="46">
        <f>MIN(N123)*(MIN(350-S123-0.5*K123,1.5*AK123)+S123+K123/2)/(3*H123)^2</f>
        <v>5.5150754451453753E-2</v>
      </c>
      <c r="AM123" s="25">
        <f t="shared" si="272"/>
        <v>444.9735182569961</v>
      </c>
      <c r="AN123" s="4">
        <f t="shared" si="273"/>
        <v>0.72</v>
      </c>
      <c r="AO123" s="4">
        <v>1.25</v>
      </c>
      <c r="AP123" s="25">
        <f t="shared" si="322"/>
        <v>5</v>
      </c>
      <c r="AQ123" s="38">
        <f t="shared" si="275"/>
        <v>110.4328135925598</v>
      </c>
      <c r="AR123" s="38">
        <f t="shared" si="276"/>
        <v>110.4328135925598</v>
      </c>
      <c r="AT123" s="38">
        <f>AP123* (J123^0.5/AK123^0.5)/(PI()/4*K123^2)/R123/0.72 *(0.7+(MIN(O123,S123)+0.5*K123)/5/H123) *(N123*MIN(S123+0.5*K123+1.5*H123,350))</f>
        <v>110.43281359255974</v>
      </c>
      <c r="AU123" s="38">
        <f t="shared" si="247"/>
        <v>1.0000000000000004</v>
      </c>
      <c r="AV123" s="38">
        <f t="shared" si="333"/>
        <v>1.7994651547426346</v>
      </c>
      <c r="AW123" s="4">
        <f t="shared" si="328"/>
        <v>0</v>
      </c>
      <c r="AX123" s="4">
        <f t="shared" si="224"/>
        <v>507.96972448880257</v>
      </c>
      <c r="AY123" s="4">
        <f t="shared" si="225"/>
        <v>1.2000000000000002</v>
      </c>
      <c r="AZ123" s="38">
        <f t="shared" si="277"/>
        <v>198.72000000000003</v>
      </c>
      <c r="BA123" s="4">
        <f t="shared" si="226"/>
        <v>0.44000000000000006</v>
      </c>
      <c r="BB123" s="4">
        <f t="shared" si="248"/>
        <v>116.7822396599757</v>
      </c>
      <c r="BC123" s="4">
        <f t="shared" si="249"/>
        <v>315.50223965997571</v>
      </c>
      <c r="BE123" s="36">
        <f t="shared" si="317"/>
        <v>1</v>
      </c>
      <c r="BF123" s="36">
        <f t="shared" si="318"/>
        <v>295.97702613547563</v>
      </c>
      <c r="BK123" s="4">
        <f>IF(R123=1,O123,MIN(O123,Q123/2+6.4))</f>
        <v>20.700000000000003</v>
      </c>
      <c r="BL123" s="4">
        <f t="shared" si="161"/>
        <v>20.700000000000003</v>
      </c>
      <c r="BM123" s="4">
        <f t="shared" si="162"/>
        <v>58.2</v>
      </c>
      <c r="BN123" s="4">
        <f t="shared" si="163"/>
        <v>35</v>
      </c>
      <c r="BO123" s="4">
        <f t="shared" si="164"/>
        <v>1.181159420289855</v>
      </c>
      <c r="BP123" s="25">
        <f t="shared" si="278"/>
        <v>1.4454748150400323</v>
      </c>
      <c r="BR123" s="4">
        <f t="shared" si="336"/>
        <v>14.3</v>
      </c>
      <c r="BV123" s="9"/>
      <c r="BX123" s="9"/>
      <c r="BY123" s="9"/>
      <c r="BZ123" s="9">
        <f t="shared" si="235"/>
        <v>14.3</v>
      </c>
      <c r="CA123" s="9">
        <f t="shared" si="236"/>
        <v>28.6</v>
      </c>
      <c r="CB123" s="9">
        <f t="shared" si="252"/>
        <v>0.78458409789675088</v>
      </c>
      <c r="CC123" s="9">
        <v>0</v>
      </c>
      <c r="CD123" s="9">
        <f t="shared" si="311"/>
        <v>0</v>
      </c>
      <c r="CE123" s="9">
        <f t="shared" si="253"/>
        <v>0</v>
      </c>
      <c r="CF123" s="9">
        <f t="shared" si="237"/>
        <v>0.96044432035915817</v>
      </c>
      <c r="CG123" s="9">
        <f t="shared" si="238"/>
        <v>0.74299999999999999</v>
      </c>
      <c r="CH123" s="9">
        <f t="shared" si="254"/>
        <v>1.6070493790635749</v>
      </c>
      <c r="CI123" s="9">
        <f t="shared" si="255"/>
        <v>1.2608653873481286</v>
      </c>
      <c r="CJ123" s="9">
        <v>1</v>
      </c>
      <c r="CK123" s="9">
        <f t="shared" si="256"/>
        <v>151.30384648177542</v>
      </c>
      <c r="CM123" s="4">
        <f t="shared" ref="CM123:CM152" si="346">AB123/AX123</f>
        <v>0.61420983369428661</v>
      </c>
      <c r="CN123" s="4">
        <f t="shared" ref="CN123:CN152" si="347">AB123/BC123</f>
        <v>0.98889947765901709</v>
      </c>
      <c r="CO123" s="4">
        <f t="shared" si="212"/>
        <v>1.0541358701847023</v>
      </c>
      <c r="CP123" s="4">
        <f t="shared" si="340"/>
        <v>2.0620757981693512</v>
      </c>
      <c r="CQ123" s="4">
        <f t="shared" si="214"/>
        <v>1.1567904160258464</v>
      </c>
      <c r="CR123" s="4">
        <f t="shared" si="215"/>
        <v>1.1921334586493271</v>
      </c>
      <c r="CS123" s="4">
        <f t="shared" si="334"/>
        <v>0.87260289867724583</v>
      </c>
      <c r="CU123" s="4">
        <f t="shared" si="216"/>
        <v>0.61420983369428661</v>
      </c>
      <c r="CV123" s="4">
        <f t="shared" si="216"/>
        <v>0.98889947765901709</v>
      </c>
      <c r="CW123" s="4">
        <f t="shared" si="217"/>
        <v>2.0620757981693512</v>
      </c>
      <c r="CX123" s="4">
        <f t="shared" ref="CX123:CX138" si="348">CS123</f>
        <v>0.87260289867724583</v>
      </c>
      <c r="CY123" s="4">
        <f t="shared" si="219"/>
        <v>1.1567904160258464</v>
      </c>
      <c r="CZ123" s="4">
        <f t="shared" si="219"/>
        <v>1.1921334586493271</v>
      </c>
      <c r="DH123" s="4">
        <f t="shared" si="171"/>
        <v>0</v>
      </c>
      <c r="DI123" s="4">
        <f t="shared" si="172"/>
        <v>429</v>
      </c>
      <c r="DJ123" s="4">
        <f t="shared" si="173"/>
        <v>1</v>
      </c>
      <c r="DL123" s="4">
        <f t="shared" si="174"/>
        <v>2.8953960744479089E-5</v>
      </c>
      <c r="DM123" s="4">
        <f t="shared" si="175"/>
        <v>3.3960968587263358</v>
      </c>
      <c r="DN123" s="4">
        <f t="shared" si="342"/>
        <v>0.16594176945972797</v>
      </c>
      <c r="DO123" s="4">
        <f t="shared" si="257"/>
        <v>1.6556264453486476</v>
      </c>
      <c r="DP123" s="4">
        <f t="shared" si="258"/>
        <v>2.6731255192363665</v>
      </c>
      <c r="DQ123" s="4">
        <f t="shared" si="259"/>
        <v>3.2059403020553709</v>
      </c>
      <c r="DR123" s="38">
        <f t="shared" si="279"/>
        <v>269.71177810400263</v>
      </c>
      <c r="DS123" s="4">
        <f t="shared" si="260"/>
        <v>1.0000801385301492</v>
      </c>
      <c r="DT123" s="4">
        <f t="shared" si="335"/>
        <v>2.2360679774997898</v>
      </c>
      <c r="DU123" s="4">
        <f t="shared" si="280"/>
        <v>110.43281359255974</v>
      </c>
      <c r="DY123" s="4">
        <f t="shared" si="239"/>
        <v>1</v>
      </c>
      <c r="DZ123" s="4">
        <f t="shared" si="261"/>
        <v>1</v>
      </c>
      <c r="EA123" s="4">
        <f t="shared" si="262"/>
        <v>1</v>
      </c>
      <c r="EB123" s="4">
        <f t="shared" si="263"/>
        <v>1</v>
      </c>
      <c r="ED123" s="4">
        <f t="shared" si="281"/>
        <v>261.71566424575673</v>
      </c>
      <c r="EE123" s="25">
        <f>8.8*N123*350*J123^0.5/R123/K123^2/H123^0.5*(0.7+MIN(S123,O123)/5/H123)</f>
        <v>108.89130560307159</v>
      </c>
      <c r="EH123" s="4">
        <f t="shared" si="319"/>
        <v>3.3960968587263358</v>
      </c>
      <c r="EI123" s="4">
        <f t="shared" si="178"/>
        <v>3.3960968587263358</v>
      </c>
      <c r="EK123" s="4">
        <f t="shared" si="179"/>
        <v>63.951544156493995</v>
      </c>
      <c r="EL123" s="4">
        <f t="shared" si="180"/>
        <v>2.2360679774997898</v>
      </c>
      <c r="EM123" s="4">
        <f t="shared" si="181"/>
        <v>5.8383637923874583E-2</v>
      </c>
      <c r="EP123" s="4">
        <f t="shared" si="337"/>
        <v>5.8383637923874583E-2</v>
      </c>
      <c r="EQ123" s="4">
        <f t="shared" si="338"/>
        <v>0.16566484357384129</v>
      </c>
      <c r="ER123" s="4">
        <f t="shared" si="184"/>
        <v>1.6545207187692508</v>
      </c>
      <c r="ES123" s="4">
        <f t="shared" si="240"/>
        <v>2.6727876155691903</v>
      </c>
      <c r="ET123" s="4">
        <f t="shared" si="186"/>
        <v>257.79845584350602</v>
      </c>
      <c r="EU123" s="4">
        <f t="shared" si="187"/>
        <v>107.25</v>
      </c>
      <c r="EV123" s="4">
        <f t="shared" si="265"/>
        <v>2.8953960744479089E-5</v>
      </c>
      <c r="EW123" s="4">
        <f t="shared" si="241"/>
        <v>3.20597101595318</v>
      </c>
      <c r="EX123" s="4">
        <f t="shared" si="189"/>
        <v>269.69016553054132</v>
      </c>
      <c r="EY123" s="4">
        <f t="shared" si="190"/>
        <v>257.79845584350602</v>
      </c>
      <c r="EZ123" s="4">
        <f t="shared" si="191"/>
        <v>107.24999999999999</v>
      </c>
      <c r="FB123" s="4">
        <f t="shared" si="343"/>
        <v>0</v>
      </c>
      <c r="FG123" s="23">
        <f t="shared" si="344"/>
        <v>0.8</v>
      </c>
      <c r="FH123" s="23">
        <f t="shared" si="344"/>
        <v>1</v>
      </c>
      <c r="FI123" s="23">
        <f t="shared" si="234"/>
        <v>1</v>
      </c>
      <c r="FJ123" s="23">
        <f t="shared" si="345"/>
        <v>2.2000000000000002</v>
      </c>
      <c r="FK123" s="23">
        <f t="shared" si="345"/>
        <v>1.2</v>
      </c>
      <c r="FL123" s="23">
        <f t="shared" si="345"/>
        <v>1.2</v>
      </c>
      <c r="FM123" s="23">
        <f t="shared" si="222"/>
        <v>0</v>
      </c>
      <c r="FN123" s="23"/>
      <c r="FX123" s="4">
        <f>IF(O123&gt;=2.5*25.4,1,1.25)</f>
        <v>1.25</v>
      </c>
      <c r="FY123" s="4">
        <f t="shared" si="308"/>
        <v>0.8</v>
      </c>
      <c r="FZ123" s="4">
        <f t="shared" si="269"/>
        <v>0</v>
      </c>
      <c r="GA123" s="4">
        <f t="shared" si="270"/>
        <v>357.55095527754037</v>
      </c>
      <c r="GD123" s="4">
        <f>IF(AG123&gt;1, 0.05*(18-MIN(8,(Q123+K123)/K123))*(1-29.3/MAX(60000/145,(G123))*(K123)^0.75*FZ123), 1/12*(14-MIN(8,(Q123+K123)/K123)))</f>
        <v>0.8</v>
      </c>
    </row>
    <row r="124" spans="1:188" ht="12" customHeight="1" x14ac:dyDescent="0.3">
      <c r="A124" s="25">
        <v>106</v>
      </c>
      <c r="B124" s="24" t="s">
        <v>128</v>
      </c>
      <c r="C124" s="24">
        <v>2015</v>
      </c>
      <c r="D124" s="24" t="s">
        <v>293</v>
      </c>
      <c r="E124" s="24"/>
      <c r="F124" s="7" t="s">
        <v>130</v>
      </c>
      <c r="G124" s="7">
        <v>710</v>
      </c>
      <c r="H124" s="7">
        <f t="shared" si="320"/>
        <v>572</v>
      </c>
      <c r="I124" s="7">
        <f t="shared" ref="I124:I146" si="349">H124</f>
        <v>572</v>
      </c>
      <c r="J124" s="7">
        <v>41.4</v>
      </c>
      <c r="K124" s="7">
        <v>28.6</v>
      </c>
      <c r="L124" s="7">
        <v>20</v>
      </c>
      <c r="M124" s="7">
        <f t="shared" ref="M124:M146" si="350">L124</f>
        <v>20</v>
      </c>
      <c r="N124" s="7">
        <v>261</v>
      </c>
      <c r="O124" s="7">
        <f t="shared" ref="O124:O146" si="351">K124</f>
        <v>28.6</v>
      </c>
      <c r="P124" s="7"/>
      <c r="Q124" s="7">
        <f>1*K124</f>
        <v>28.6</v>
      </c>
      <c r="R124" s="7">
        <v>2</v>
      </c>
      <c r="S124" s="7">
        <f t="shared" ref="S124:S146" si="352">72.5-K124/2</f>
        <v>58.2</v>
      </c>
      <c r="T124" s="7">
        <f>MIN(Q124/K124/2+0.5, (S124+K124/2)/K124, O124/K124+0.5)</f>
        <v>1</v>
      </c>
      <c r="U124" s="7">
        <f>MIN(S124/K124+0.5, (O124+K124/2)/K124)</f>
        <v>1.5000000000000002</v>
      </c>
      <c r="V124" s="7">
        <f t="shared" ref="V124:V146" si="353">X124-1</f>
        <v>4</v>
      </c>
      <c r="W124" s="7">
        <f t="shared" si="155"/>
        <v>4</v>
      </c>
      <c r="X124" s="7">
        <v>5</v>
      </c>
      <c r="Y124" s="7">
        <f t="shared" si="204"/>
        <v>63.951544156493995</v>
      </c>
      <c r="Z124" s="7"/>
      <c r="AA124" s="7"/>
      <c r="AB124" s="7">
        <v>367</v>
      </c>
      <c r="AC124" s="7"/>
      <c r="AD124" s="7">
        <f t="shared" si="339"/>
        <v>1.2028473585857065</v>
      </c>
      <c r="AE124" s="7">
        <v>0</v>
      </c>
      <c r="AF124" s="7">
        <v>0</v>
      </c>
      <c r="AG124" s="7">
        <f t="shared" ref="AG124:AG138" si="354">I124</f>
        <v>572</v>
      </c>
      <c r="AH124" s="7"/>
      <c r="AI124" s="7"/>
      <c r="AJ124" s="7"/>
      <c r="AK124" s="4">
        <f t="shared" si="283"/>
        <v>572</v>
      </c>
      <c r="AL124" s="46">
        <f t="shared" ref="AL124:AL146" si="355">MIN(N124)*(MIN(350-S124-0.5*K124,1.5*AK124)+S124+K124/2)/(3*H124)^2</f>
        <v>3.1022299378942735E-2</v>
      </c>
      <c r="AM124" s="25">
        <f t="shared" si="272"/>
        <v>685.08154812781754</v>
      </c>
      <c r="AN124" s="4">
        <f t="shared" si="273"/>
        <v>0.71499999999999997</v>
      </c>
      <c r="AO124" s="4">
        <v>1.25</v>
      </c>
      <c r="AP124" s="25">
        <f t="shared" si="322"/>
        <v>5</v>
      </c>
      <c r="AQ124" s="38">
        <f t="shared" si="275"/>
        <v>94.973471829891636</v>
      </c>
      <c r="AR124" s="38">
        <f t="shared" si="276"/>
        <v>94.973471829891636</v>
      </c>
      <c r="AT124" s="38">
        <f t="shared" ref="AT124:AT146" si="356">AP124* (J124^0.5/AK124^0.5)/(PI()/4*K124^2)/R124/0.72 *(0.7+(MIN(O124,S124)+0.5*K124)/5/H124) *(N124*MIN(S124+0.5*K124+1.5*H124,350))</f>
        <v>94.973471829891608</v>
      </c>
      <c r="AU124" s="38">
        <f t="shared" si="247"/>
        <v>1.0000000000000002</v>
      </c>
      <c r="AV124" s="38">
        <f t="shared" si="333"/>
        <v>2.092373756283548</v>
      </c>
      <c r="AW124" s="4">
        <f t="shared" si="328"/>
        <v>0</v>
      </c>
      <c r="AX124" s="4">
        <f t="shared" si="224"/>
        <v>677.29296598506994</v>
      </c>
      <c r="AY124" s="4">
        <f t="shared" si="225"/>
        <v>1.2000000000000002</v>
      </c>
      <c r="AZ124" s="38">
        <f t="shared" si="277"/>
        <v>198.72000000000003</v>
      </c>
      <c r="BA124" s="4">
        <f t="shared" si="226"/>
        <v>0.44000000000000006</v>
      </c>
      <c r="BB124" s="4">
        <f t="shared" si="248"/>
        <v>155.70965287996762</v>
      </c>
      <c r="BC124" s="4">
        <f t="shared" si="249"/>
        <v>354.42965287996765</v>
      </c>
      <c r="BE124" s="36">
        <f t="shared" si="317"/>
        <v>1</v>
      </c>
      <c r="BF124" s="36">
        <f t="shared" si="318"/>
        <v>347.4512915503409</v>
      </c>
      <c r="BK124" s="4">
        <f t="shared" si="160"/>
        <v>20.700000000000003</v>
      </c>
      <c r="BL124" s="4">
        <f t="shared" si="161"/>
        <v>20.700000000000003</v>
      </c>
      <c r="BM124" s="4">
        <f t="shared" si="162"/>
        <v>58.2</v>
      </c>
      <c r="BN124" s="4">
        <f t="shared" si="163"/>
        <v>35</v>
      </c>
      <c r="BO124" s="4">
        <f t="shared" si="164"/>
        <v>1.181159420289855</v>
      </c>
      <c r="BP124" s="25">
        <f t="shared" si="278"/>
        <v>1.4454748150400323</v>
      </c>
      <c r="BR124" s="4">
        <f t="shared" si="336"/>
        <v>14.3</v>
      </c>
      <c r="BV124" s="9"/>
      <c r="BX124" s="9"/>
      <c r="BY124" s="9"/>
      <c r="BZ124" s="9">
        <f t="shared" si="235"/>
        <v>14.3</v>
      </c>
      <c r="CA124" s="9">
        <f t="shared" si="236"/>
        <v>28.6</v>
      </c>
      <c r="CB124" s="9">
        <f t="shared" si="252"/>
        <v>0.78458409789675088</v>
      </c>
      <c r="CC124" s="9">
        <v>0</v>
      </c>
      <c r="CD124" s="9">
        <f t="shared" si="311"/>
        <v>0</v>
      </c>
      <c r="CE124" s="9">
        <f t="shared" si="253"/>
        <v>0</v>
      </c>
      <c r="CF124" s="9">
        <f t="shared" si="237"/>
        <v>0.96044432035915817</v>
      </c>
      <c r="CG124" s="9">
        <f t="shared" si="238"/>
        <v>0.74299999999999999</v>
      </c>
      <c r="CH124" s="9">
        <f t="shared" si="254"/>
        <v>1.6070493790635749</v>
      </c>
      <c r="CI124" s="9">
        <f t="shared" si="255"/>
        <v>1.2608653873481286</v>
      </c>
      <c r="CJ124" s="9">
        <v>1</v>
      </c>
      <c r="CK124" s="9">
        <f t="shared" si="256"/>
        <v>176.521154228738</v>
      </c>
      <c r="CM124" s="4">
        <f t="shared" si="346"/>
        <v>0.54186300232164242</v>
      </c>
      <c r="CN124" s="4">
        <f t="shared" si="347"/>
        <v>1.0354664092518509</v>
      </c>
      <c r="CO124" s="4">
        <f t="shared" si="212"/>
        <v>1.0562631624203553</v>
      </c>
      <c r="CP124" s="4">
        <f t="shared" si="340"/>
        <v>2.0790709283740432</v>
      </c>
      <c r="CQ124" s="4">
        <f t="shared" si="214"/>
        <v>1.2028473585857065</v>
      </c>
      <c r="CR124" s="4">
        <f t="shared" si="215"/>
        <v>1.2330838124645049</v>
      </c>
      <c r="CS124" s="4">
        <f t="shared" si="334"/>
        <v>0.76982034570805091</v>
      </c>
      <c r="CU124" s="4">
        <f t="shared" si="216"/>
        <v>0.54186300232164242</v>
      </c>
      <c r="CV124" s="4">
        <f t="shared" si="216"/>
        <v>1.0354664092518509</v>
      </c>
      <c r="CW124" s="4">
        <f t="shared" si="217"/>
        <v>2.0790709283740432</v>
      </c>
      <c r="CX124" s="4">
        <f t="shared" si="348"/>
        <v>0.76982034570805091</v>
      </c>
      <c r="CY124" s="4">
        <f t="shared" si="219"/>
        <v>1.2028473585857065</v>
      </c>
      <c r="CZ124" s="4">
        <f t="shared" si="219"/>
        <v>1.2330838124645049</v>
      </c>
      <c r="DH124" s="4">
        <f t="shared" si="171"/>
        <v>0</v>
      </c>
      <c r="DI124" s="4">
        <f t="shared" si="172"/>
        <v>572</v>
      </c>
      <c r="DJ124" s="4">
        <f t="shared" si="173"/>
        <v>1</v>
      </c>
      <c r="DL124" s="4">
        <f t="shared" si="174"/>
        <v>3.8605280992638792E-5</v>
      </c>
      <c r="DM124" s="4">
        <f t="shared" si="175"/>
        <v>3.3960968587263358</v>
      </c>
      <c r="DN124" s="4">
        <f t="shared" si="342"/>
        <v>0.14271180326286331</v>
      </c>
      <c r="DO124" s="4">
        <f t="shared" si="257"/>
        <v>1.5587053483872719</v>
      </c>
      <c r="DP124" s="4">
        <f t="shared" si="258"/>
        <v>2.644260971299238</v>
      </c>
      <c r="DQ124" s="4">
        <f t="shared" si="259"/>
        <v>3.0594872368137107</v>
      </c>
      <c r="DR124" s="38">
        <f t="shared" si="279"/>
        <v>305.10937017936692</v>
      </c>
      <c r="DS124" s="4">
        <f t="shared" si="260"/>
        <v>1.0000780160694358</v>
      </c>
      <c r="DT124" s="4">
        <f t="shared" si="335"/>
        <v>2.2360679774997898</v>
      </c>
      <c r="DU124" s="4">
        <f t="shared" si="280"/>
        <v>94.973471829891608</v>
      </c>
      <c r="DY124" s="4">
        <f t="shared" si="239"/>
        <v>1</v>
      </c>
      <c r="DZ124" s="4">
        <f t="shared" si="261"/>
        <v>1</v>
      </c>
      <c r="EA124" s="4">
        <f t="shared" si="262"/>
        <v>1</v>
      </c>
      <c r="EB124" s="4">
        <f t="shared" si="263"/>
        <v>1</v>
      </c>
      <c r="ED124" s="4">
        <f t="shared" si="281"/>
        <v>297.62778189950842</v>
      </c>
      <c r="EE124" s="25">
        <f t="shared" ref="EE124:EE146" si="357">8.8*N124*350*J124^0.5/R124/K124^2/H124^0.5*(0.7+MIN(S124,O124)/5/H124)</f>
        <v>93.861970375928266</v>
      </c>
      <c r="EH124" s="4">
        <f t="shared" si="319"/>
        <v>3.3960968587263358</v>
      </c>
      <c r="EI124" s="4">
        <f t="shared" si="178"/>
        <v>3.3960968587263358</v>
      </c>
      <c r="EK124" s="4">
        <f t="shared" si="179"/>
        <v>63.951544156493995</v>
      </c>
      <c r="EL124" s="4">
        <f t="shared" si="180"/>
        <v>2.2360679774997898</v>
      </c>
      <c r="EM124" s="4">
        <f t="shared" si="181"/>
        <v>5.0210590596265252E-2</v>
      </c>
      <c r="EP124" s="4">
        <f t="shared" si="337"/>
        <v>5.0210590596265252E-2</v>
      </c>
      <c r="EQ124" s="4">
        <f t="shared" si="338"/>
        <v>0.14247364386108202</v>
      </c>
      <c r="ER124" s="4">
        <f t="shared" si="184"/>
        <v>1.5576643515259319</v>
      </c>
      <c r="ES124" s="4">
        <f t="shared" si="240"/>
        <v>2.6439593371666055</v>
      </c>
      <c r="ET124" s="4">
        <f t="shared" si="186"/>
        <v>365.04845584350602</v>
      </c>
      <c r="EU124" s="4">
        <f t="shared" si="187"/>
        <v>143</v>
      </c>
      <c r="EV124" s="4">
        <f t="shared" si="265"/>
        <v>3.8605280992638792E-5</v>
      </c>
      <c r="EW124" s="4">
        <f t="shared" si="241"/>
        <v>3.0595327134306922</v>
      </c>
      <c r="EX124" s="4">
        <f t="shared" si="189"/>
        <v>305.08556860246296</v>
      </c>
      <c r="EY124" s="4">
        <f t="shared" si="190"/>
        <v>365.04845584350602</v>
      </c>
      <c r="EZ124" s="4">
        <f t="shared" si="191"/>
        <v>143</v>
      </c>
      <c r="FB124" s="4">
        <f t="shared" si="343"/>
        <v>0</v>
      </c>
      <c r="FG124" s="23">
        <f t="shared" si="344"/>
        <v>0.6</v>
      </c>
      <c r="FH124" s="23">
        <f t="shared" si="344"/>
        <v>1.2</v>
      </c>
      <c r="FI124" s="23">
        <f t="shared" si="234"/>
        <v>0.8</v>
      </c>
      <c r="FJ124" s="23">
        <f t="shared" si="345"/>
        <v>2.2000000000000002</v>
      </c>
      <c r="FK124" s="23">
        <f t="shared" si="345"/>
        <v>1.4</v>
      </c>
      <c r="FL124" s="23">
        <f t="shared" si="345"/>
        <v>1.4</v>
      </c>
      <c r="FM124" s="23">
        <f t="shared" si="222"/>
        <v>0</v>
      </c>
      <c r="FN124" s="23"/>
      <c r="FX124" s="4">
        <f t="shared" si="267"/>
        <v>1.25</v>
      </c>
      <c r="FY124" s="4">
        <f t="shared" si="308"/>
        <v>0.8</v>
      </c>
      <c r="FZ124" s="4">
        <f t="shared" si="269"/>
        <v>0</v>
      </c>
      <c r="GA124" s="4">
        <f t="shared" si="270"/>
        <v>476.73460703672055</v>
      </c>
      <c r="GD124" s="4">
        <f>IF(AG124&gt;1, 0.05*(18-MIN(8,(Q124+K124)/K124))*(1-29.3/MAX(60000/145,(G124))*(K124)^0.75*FZ124), 1/12*(14-MIN(8,(Q124+K124)/K124)))</f>
        <v>0.8</v>
      </c>
    </row>
    <row r="125" spans="1:188" ht="12" customHeight="1" x14ac:dyDescent="0.3">
      <c r="A125" s="25">
        <v>107</v>
      </c>
      <c r="B125" s="24" t="s">
        <v>128</v>
      </c>
      <c r="C125" s="24">
        <v>2015</v>
      </c>
      <c r="D125" s="24" t="s">
        <v>293</v>
      </c>
      <c r="E125" s="24"/>
      <c r="F125" s="7" t="s">
        <v>131</v>
      </c>
      <c r="G125" s="7">
        <v>710</v>
      </c>
      <c r="H125" s="7">
        <f t="shared" si="320"/>
        <v>715</v>
      </c>
      <c r="I125" s="7">
        <f t="shared" si="349"/>
        <v>715</v>
      </c>
      <c r="J125" s="7">
        <v>41.4</v>
      </c>
      <c r="K125" s="7">
        <v>28.6</v>
      </c>
      <c r="L125" s="7">
        <v>25</v>
      </c>
      <c r="M125" s="7">
        <f t="shared" si="350"/>
        <v>25</v>
      </c>
      <c r="N125" s="7">
        <v>261</v>
      </c>
      <c r="O125" s="7">
        <f t="shared" si="351"/>
        <v>28.6</v>
      </c>
      <c r="P125" s="7"/>
      <c r="Q125" s="7">
        <f>1*K125</f>
        <v>28.6</v>
      </c>
      <c r="R125" s="7">
        <v>2</v>
      </c>
      <c r="S125" s="7">
        <f t="shared" si="352"/>
        <v>58.2</v>
      </c>
      <c r="T125" s="7">
        <f t="shared" si="309"/>
        <v>1</v>
      </c>
      <c r="U125" s="7">
        <f>MIN(S125/K125+0.5, (O125+K125/2)/K125)</f>
        <v>1.5000000000000002</v>
      </c>
      <c r="V125" s="7">
        <f t="shared" si="353"/>
        <v>4</v>
      </c>
      <c r="W125" s="7">
        <f t="shared" si="155"/>
        <v>4</v>
      </c>
      <c r="X125" s="7">
        <v>5</v>
      </c>
      <c r="Y125" s="7">
        <f t="shared" ref="Y125:Y152" si="358">K125*X125^0.5</f>
        <v>63.951544156493995</v>
      </c>
      <c r="Z125" s="7"/>
      <c r="AA125" s="7"/>
      <c r="AB125" s="7">
        <v>434</v>
      </c>
      <c r="AC125" s="7"/>
      <c r="AD125" s="7">
        <f t="shared" si="339"/>
        <v>1.2649074665071125</v>
      </c>
      <c r="AE125" s="7">
        <v>0</v>
      </c>
      <c r="AF125" s="7">
        <v>0</v>
      </c>
      <c r="AG125" s="7">
        <f t="shared" si="354"/>
        <v>715</v>
      </c>
      <c r="AH125" s="7"/>
      <c r="AI125" s="7"/>
      <c r="AJ125" s="7"/>
      <c r="AK125" s="4">
        <f t="shared" si="283"/>
        <v>715</v>
      </c>
      <c r="AL125" s="46">
        <f t="shared" si="355"/>
        <v>1.985427160252335E-2</v>
      </c>
      <c r="AM125" s="25">
        <f t="shared" si="272"/>
        <v>957.4305698403698</v>
      </c>
      <c r="AN125" s="4">
        <f t="shared" si="273"/>
        <v>0.71199999999999997</v>
      </c>
      <c r="AO125" s="4">
        <v>1.25</v>
      </c>
      <c r="AP125" s="25">
        <f t="shared" si="322"/>
        <v>5</v>
      </c>
      <c r="AQ125" s="38">
        <f t="shared" si="275"/>
        <v>84.590435255053848</v>
      </c>
      <c r="AR125" s="38">
        <f t="shared" si="276"/>
        <v>84.590435255053848</v>
      </c>
      <c r="AT125" s="38">
        <f t="shared" si="356"/>
        <v>84.590435255053919</v>
      </c>
      <c r="AU125" s="38">
        <f t="shared" si="247"/>
        <v>0.99999999999999911</v>
      </c>
      <c r="AV125" s="38">
        <f t="shared" si="333"/>
        <v>2.3492017673254302</v>
      </c>
      <c r="AW125" s="4">
        <f t="shared" si="328"/>
        <v>0</v>
      </c>
      <c r="AX125" s="4">
        <f t="shared" si="224"/>
        <v>846.61620748133748</v>
      </c>
      <c r="AY125" s="4">
        <f t="shared" si="225"/>
        <v>1.2000000000000002</v>
      </c>
      <c r="AZ125" s="38">
        <f t="shared" si="277"/>
        <v>198.72000000000003</v>
      </c>
      <c r="BA125" s="4">
        <f t="shared" si="226"/>
        <v>0.44000000000000006</v>
      </c>
      <c r="BB125" s="4">
        <f t="shared" si="248"/>
        <v>194.63706609995953</v>
      </c>
      <c r="BC125" s="4">
        <f t="shared" si="249"/>
        <v>393.35706609995952</v>
      </c>
      <c r="BE125" s="36">
        <f t="shared" si="317"/>
        <v>1</v>
      </c>
      <c r="BF125" s="36">
        <f t="shared" si="318"/>
        <v>398.92555696520623</v>
      </c>
      <c r="BK125" s="4">
        <f t="shared" si="160"/>
        <v>20.700000000000003</v>
      </c>
      <c r="BL125" s="4">
        <f t="shared" si="161"/>
        <v>20.700000000000003</v>
      </c>
      <c r="BM125" s="4">
        <f t="shared" si="162"/>
        <v>58.2</v>
      </c>
      <c r="BN125" s="4">
        <f t="shared" si="163"/>
        <v>35</v>
      </c>
      <c r="BO125" s="4">
        <f t="shared" si="164"/>
        <v>1.181159420289855</v>
      </c>
      <c r="BP125" s="25">
        <f t="shared" si="278"/>
        <v>1.4454748150400323</v>
      </c>
      <c r="BR125" s="4">
        <f t="shared" si="336"/>
        <v>14.3</v>
      </c>
      <c r="BV125" s="9"/>
      <c r="BX125" s="9"/>
      <c r="BY125" s="9"/>
      <c r="BZ125" s="9">
        <f t="shared" si="235"/>
        <v>14.3</v>
      </c>
      <c r="CA125" s="9">
        <f t="shared" si="236"/>
        <v>28.6</v>
      </c>
      <c r="CB125" s="9">
        <f t="shared" si="252"/>
        <v>0.78458409789675088</v>
      </c>
      <c r="CC125" s="9">
        <v>0</v>
      </c>
      <c r="CD125" s="9">
        <f t="shared" si="311"/>
        <v>0</v>
      </c>
      <c r="CE125" s="9">
        <f t="shared" si="253"/>
        <v>0</v>
      </c>
      <c r="CF125" s="9">
        <f t="shared" si="237"/>
        <v>0.96044432035915817</v>
      </c>
      <c r="CG125" s="9">
        <f t="shared" si="238"/>
        <v>0.74299999999999999</v>
      </c>
      <c r="CH125" s="9">
        <f t="shared" si="254"/>
        <v>1.6070493790635749</v>
      </c>
      <c r="CI125" s="9">
        <f t="shared" si="255"/>
        <v>1.2608653873481286</v>
      </c>
      <c r="CJ125" s="9">
        <v>1</v>
      </c>
      <c r="CK125" s="9">
        <f t="shared" si="256"/>
        <v>201.73846197570057</v>
      </c>
      <c r="CM125" s="4">
        <f t="shared" si="346"/>
        <v>0.51262897658330853</v>
      </c>
      <c r="CN125" s="4">
        <f t="shared" si="347"/>
        <v>1.1033232586947157</v>
      </c>
      <c r="CO125" s="4">
        <f t="shared" si="212"/>
        <v>1.087922276280366</v>
      </c>
      <c r="CP125" s="4">
        <f t="shared" si="340"/>
        <v>2.1513002317439862</v>
      </c>
      <c r="CQ125" s="4">
        <f t="shared" si="214"/>
        <v>1.2649074665071125</v>
      </c>
      <c r="CR125" s="4">
        <f t="shared" si="215"/>
        <v>1.282416942736895</v>
      </c>
      <c r="CS125" s="4">
        <f t="shared" si="334"/>
        <v>0.72828780389600911</v>
      </c>
      <c r="CU125" s="4">
        <f t="shared" si="216"/>
        <v>0.51262897658330853</v>
      </c>
      <c r="CV125" s="4">
        <f t="shared" si="216"/>
        <v>1.1033232586947157</v>
      </c>
      <c r="CW125" s="4">
        <f t="shared" si="217"/>
        <v>2.1513002317439862</v>
      </c>
      <c r="CX125" s="4">
        <f t="shared" si="348"/>
        <v>0.72828780389600911</v>
      </c>
      <c r="CY125" s="4">
        <f t="shared" si="219"/>
        <v>1.2649074665071125</v>
      </c>
      <c r="CZ125" s="4">
        <f t="shared" si="219"/>
        <v>1.282416942736895</v>
      </c>
      <c r="DH125" s="4">
        <f t="shared" si="171"/>
        <v>0</v>
      </c>
      <c r="DI125" s="4">
        <f t="shared" si="172"/>
        <v>715</v>
      </c>
      <c r="DJ125" s="4">
        <f t="shared" si="173"/>
        <v>1</v>
      </c>
      <c r="DL125" s="4">
        <f t="shared" si="174"/>
        <v>4.8256601240798481E-5</v>
      </c>
      <c r="DM125" s="4">
        <f t="shared" si="175"/>
        <v>3.3960968587263358</v>
      </c>
      <c r="DN125" s="4">
        <f t="shared" si="342"/>
        <v>0.12710974255697069</v>
      </c>
      <c r="DO125" s="4">
        <f t="shared" si="257"/>
        <v>1.4881667734234449</v>
      </c>
      <c r="DP125" s="4">
        <f t="shared" si="258"/>
        <v>2.6242346175572533</v>
      </c>
      <c r="DQ125" s="4">
        <f t="shared" si="259"/>
        <v>2.8744548041420339</v>
      </c>
      <c r="DR125" s="38">
        <f t="shared" si="279"/>
        <v>343.10810196925945</v>
      </c>
      <c r="DS125" s="4">
        <f t="shared" si="260"/>
        <v>1.0000745750655677</v>
      </c>
      <c r="DT125" s="4">
        <f t="shared" si="335"/>
        <v>2.2360679774997898</v>
      </c>
      <c r="DU125" s="4">
        <f t="shared" si="280"/>
        <v>84.590435255053919</v>
      </c>
      <c r="DY125" s="4">
        <f t="shared" si="239"/>
        <v>1</v>
      </c>
      <c r="DZ125" s="4">
        <f t="shared" si="261"/>
        <v>1</v>
      </c>
      <c r="EA125" s="4">
        <f t="shared" si="262"/>
        <v>1</v>
      </c>
      <c r="EB125" s="4">
        <f t="shared" si="263"/>
        <v>1</v>
      </c>
      <c r="ED125" s="4">
        <f t="shared" si="281"/>
        <v>338.42347643487187</v>
      </c>
      <c r="EE125" s="25">
        <f t="shared" si="357"/>
        <v>83.71621203039669</v>
      </c>
      <c r="EH125" s="4">
        <f t="shared" si="319"/>
        <v>3.3960968587263358</v>
      </c>
      <c r="EI125" s="4">
        <f t="shared" si="178"/>
        <v>3.3960968587263358</v>
      </c>
      <c r="EK125" s="4">
        <f t="shared" si="179"/>
        <v>63.951544156493995</v>
      </c>
      <c r="EL125" s="4">
        <f t="shared" si="180"/>
        <v>2.2360679774997898</v>
      </c>
      <c r="EM125" s="4">
        <f t="shared" si="181"/>
        <v>4.4721285124322517E-2</v>
      </c>
      <c r="EP125" s="4">
        <f t="shared" si="337"/>
        <v>4.4721285124322517E-2</v>
      </c>
      <c r="EQ125" s="4">
        <f t="shared" si="338"/>
        <v>0.12689762008667871</v>
      </c>
      <c r="ER125" s="4">
        <f t="shared" si="184"/>
        <v>1.4871728864505882</v>
      </c>
      <c r="ES125" s="4">
        <f t="shared" si="240"/>
        <v>2.6239584862371039</v>
      </c>
      <c r="ET125" s="4">
        <f t="shared" si="186"/>
        <v>472.29845584350602</v>
      </c>
      <c r="EU125" s="4">
        <f t="shared" si="187"/>
        <v>178.74999999999994</v>
      </c>
      <c r="EV125" s="4">
        <f t="shared" si="265"/>
        <v>4.8256601240798467E-5</v>
      </c>
      <c r="EW125" s="4">
        <f t="shared" si="241"/>
        <v>2.8745165741246637</v>
      </c>
      <c r="EX125" s="4">
        <f t="shared" si="189"/>
        <v>343.08251656809125</v>
      </c>
      <c r="EY125" s="4">
        <f t="shared" si="190"/>
        <v>472.29845584350602</v>
      </c>
      <c r="EZ125" s="4">
        <f t="shared" si="191"/>
        <v>178.75</v>
      </c>
      <c r="FB125" s="4">
        <f t="shared" si="343"/>
        <v>0</v>
      </c>
      <c r="FG125" s="23">
        <f t="shared" si="344"/>
        <v>0.6</v>
      </c>
      <c r="FH125" s="23">
        <f t="shared" si="344"/>
        <v>1.2</v>
      </c>
      <c r="FI125" s="23">
        <f t="shared" si="234"/>
        <v>0.8</v>
      </c>
      <c r="FJ125" s="23">
        <f t="shared" si="345"/>
        <v>2.2000000000000002</v>
      </c>
      <c r="FK125" s="23">
        <f t="shared" si="345"/>
        <v>1.4</v>
      </c>
      <c r="FL125" s="23">
        <f t="shared" si="345"/>
        <v>1.4</v>
      </c>
      <c r="FM125" s="23">
        <f t="shared" si="222"/>
        <v>0</v>
      </c>
      <c r="FN125" s="23"/>
      <c r="FX125" s="4">
        <f t="shared" si="267"/>
        <v>1.25</v>
      </c>
      <c r="FY125" s="4">
        <f t="shared" si="308"/>
        <v>0.8</v>
      </c>
      <c r="FZ125" s="4">
        <f t="shared" si="269"/>
        <v>0</v>
      </c>
      <c r="GA125" s="4">
        <f t="shared" si="270"/>
        <v>595.91825879590056</v>
      </c>
      <c r="GD125" s="4">
        <f>IF(AG125&gt;1, 0.05*(18-MIN(8,(Q125+K125)/K125))*(1-29.3/MAX(60000/145,(G125))*(K125)^0.75*FZ125), 1/12*(14-MIN(8,(Q125+K125)/K125)))</f>
        <v>0.8</v>
      </c>
    </row>
    <row r="126" spans="1:188" ht="12" customHeight="1" x14ac:dyDescent="0.3">
      <c r="A126" s="25">
        <v>108</v>
      </c>
      <c r="B126" s="24" t="s">
        <v>128</v>
      </c>
      <c r="C126" s="24">
        <v>2015</v>
      </c>
      <c r="D126" s="24" t="s">
        <v>293</v>
      </c>
      <c r="E126" s="24"/>
      <c r="F126" s="7" t="s">
        <v>140</v>
      </c>
      <c r="G126" s="7">
        <v>710</v>
      </c>
      <c r="H126" s="7">
        <f t="shared" si="320"/>
        <v>858</v>
      </c>
      <c r="I126" s="7">
        <f t="shared" si="349"/>
        <v>858</v>
      </c>
      <c r="J126" s="7">
        <v>40.1</v>
      </c>
      <c r="K126" s="7">
        <v>28.6</v>
      </c>
      <c r="L126" s="7">
        <v>30</v>
      </c>
      <c r="M126" s="7">
        <f t="shared" si="350"/>
        <v>30</v>
      </c>
      <c r="N126" s="7">
        <v>261</v>
      </c>
      <c r="O126" s="7">
        <f t="shared" si="351"/>
        <v>28.6</v>
      </c>
      <c r="P126" s="7"/>
      <c r="Q126" s="7">
        <f>1*K126</f>
        <v>28.6</v>
      </c>
      <c r="R126" s="7">
        <v>2</v>
      </c>
      <c r="S126" s="7">
        <f t="shared" si="352"/>
        <v>58.2</v>
      </c>
      <c r="T126" s="7">
        <f t="shared" si="309"/>
        <v>1</v>
      </c>
      <c r="U126" s="7">
        <f t="shared" ref="U126:U146" si="359">MIN(S126/K126+0.5, (O126+K126/2)/K126)</f>
        <v>1.5000000000000002</v>
      </c>
      <c r="V126" s="7">
        <f t="shared" si="353"/>
        <v>4</v>
      </c>
      <c r="W126" s="7">
        <f t="shared" si="155"/>
        <v>4</v>
      </c>
      <c r="X126" s="7">
        <v>5</v>
      </c>
      <c r="Y126" s="7">
        <f t="shared" si="358"/>
        <v>63.951544156493995</v>
      </c>
      <c r="Z126" s="7"/>
      <c r="AA126" s="7"/>
      <c r="AB126" s="7">
        <v>459</v>
      </c>
      <c r="AC126" s="7"/>
      <c r="AD126" s="7">
        <f t="shared" si="339"/>
        <v>1.2218671658492044</v>
      </c>
      <c r="AE126" s="7">
        <v>0</v>
      </c>
      <c r="AF126" s="7">
        <v>0</v>
      </c>
      <c r="AG126" s="7">
        <f t="shared" si="354"/>
        <v>858</v>
      </c>
      <c r="AH126" s="7"/>
      <c r="AI126" s="7"/>
      <c r="AJ126" s="7"/>
      <c r="AK126" s="4">
        <f t="shared" si="283"/>
        <v>858</v>
      </c>
      <c r="AL126" s="46">
        <f t="shared" si="355"/>
        <v>1.3787688612863438E-2</v>
      </c>
      <c r="AM126" s="25">
        <f t="shared" si="272"/>
        <v>1238.6573236566996</v>
      </c>
      <c r="AN126" s="4">
        <f t="shared" si="273"/>
        <v>0.71</v>
      </c>
      <c r="AO126" s="4">
        <v>1.25</v>
      </c>
      <c r="AP126" s="25">
        <f t="shared" si="322"/>
        <v>5</v>
      </c>
      <c r="AQ126" s="38">
        <f t="shared" si="275"/>
        <v>75.784607802507367</v>
      </c>
      <c r="AR126" s="38">
        <f t="shared" si="276"/>
        <v>75.784607802507367</v>
      </c>
      <c r="AT126" s="38">
        <f t="shared" si="356"/>
        <v>75.784607802507395</v>
      </c>
      <c r="AU126" s="38">
        <f t="shared" si="247"/>
        <v>0.99999999999999967</v>
      </c>
      <c r="AV126" s="38">
        <f t="shared" si="333"/>
        <v>2.5398297303536577</v>
      </c>
      <c r="AW126" s="4">
        <f t="shared" si="328"/>
        <v>0</v>
      </c>
      <c r="AX126" s="4">
        <f t="shared" si="224"/>
        <v>999.86148625184615</v>
      </c>
      <c r="AY126" s="4">
        <f t="shared" si="225"/>
        <v>1.2000000000000002</v>
      </c>
      <c r="AZ126" s="38">
        <f t="shared" si="277"/>
        <v>192.48000000000005</v>
      </c>
      <c r="BA126" s="4">
        <f t="shared" si="226"/>
        <v>0.44000000000000006</v>
      </c>
      <c r="BB126" s="4">
        <f t="shared" si="248"/>
        <v>229.86815568929941</v>
      </c>
      <c r="BC126" s="4">
        <f t="shared" si="249"/>
        <v>422.34815568929946</v>
      </c>
      <c r="BE126" s="36">
        <f t="shared" si="317"/>
        <v>1</v>
      </c>
      <c r="BF126" s="36">
        <f t="shared" si="318"/>
        <v>443.27192557165176</v>
      </c>
      <c r="BK126" s="4">
        <f t="shared" si="160"/>
        <v>20.700000000000003</v>
      </c>
      <c r="BL126" s="4">
        <f t="shared" si="161"/>
        <v>20.700000000000003</v>
      </c>
      <c r="BM126" s="4">
        <f t="shared" si="162"/>
        <v>58.2</v>
      </c>
      <c r="BN126" s="4">
        <f t="shared" si="163"/>
        <v>35</v>
      </c>
      <c r="BO126" s="4">
        <f t="shared" si="164"/>
        <v>1.181159420289855</v>
      </c>
      <c r="BP126" s="25">
        <f t="shared" si="278"/>
        <v>1.4454748150400323</v>
      </c>
      <c r="BR126" s="4">
        <f t="shared" si="336"/>
        <v>14.3</v>
      </c>
      <c r="BV126" s="9"/>
      <c r="BX126" s="9"/>
      <c r="BY126" s="9"/>
      <c r="BZ126" s="9">
        <f t="shared" si="235"/>
        <v>14.3</v>
      </c>
      <c r="CA126" s="9">
        <f t="shared" si="236"/>
        <v>28.6</v>
      </c>
      <c r="CB126" s="9">
        <f t="shared" si="252"/>
        <v>0.78458409789675088</v>
      </c>
      <c r="CC126" s="9">
        <v>0</v>
      </c>
      <c r="CD126" s="9">
        <f t="shared" si="311"/>
        <v>0</v>
      </c>
      <c r="CE126" s="9">
        <f t="shared" si="253"/>
        <v>0</v>
      </c>
      <c r="CF126" s="9">
        <f t="shared" si="237"/>
        <v>0.96044432035915817</v>
      </c>
      <c r="CG126" s="9">
        <f t="shared" si="238"/>
        <v>0.74299999999999999</v>
      </c>
      <c r="CH126" s="9">
        <f t="shared" si="254"/>
        <v>1.5816166822222031</v>
      </c>
      <c r="CI126" s="9">
        <f t="shared" si="255"/>
        <v>1.2409112978397594</v>
      </c>
      <c r="CJ126" s="9">
        <v>1</v>
      </c>
      <c r="CK126" s="9">
        <f t="shared" si="256"/>
        <v>223.36403361115669</v>
      </c>
      <c r="CM126" s="4">
        <f t="shared" si="346"/>
        <v>0.45906358661802343</v>
      </c>
      <c r="CN126" s="4">
        <f t="shared" si="347"/>
        <v>1.0867811160460317</v>
      </c>
      <c r="CO126" s="4">
        <f t="shared" si="212"/>
        <v>1.0354817743263687</v>
      </c>
      <c r="CP126" s="4">
        <f t="shared" si="340"/>
        <v>2.0549414002750783</v>
      </c>
      <c r="CQ126" s="4">
        <f t="shared" si="214"/>
        <v>1.2218671658492044</v>
      </c>
      <c r="CR126" s="4">
        <f t="shared" si="215"/>
        <v>1.2211258658072901</v>
      </c>
      <c r="CS126" s="4">
        <f t="shared" si="334"/>
        <v>0.64700664238800421</v>
      </c>
      <c r="CU126" s="4">
        <f t="shared" si="216"/>
        <v>0.45906358661802343</v>
      </c>
      <c r="CV126" s="4">
        <f t="shared" si="216"/>
        <v>1.0867811160460317</v>
      </c>
      <c r="CW126" s="4">
        <f t="shared" si="217"/>
        <v>2.0549414002750783</v>
      </c>
      <c r="CX126" s="4">
        <f t="shared" si="348"/>
        <v>0.64700664238800421</v>
      </c>
      <c r="CY126" s="4">
        <f t="shared" si="219"/>
        <v>1.2218671658492044</v>
      </c>
      <c r="CZ126" s="4">
        <f t="shared" si="219"/>
        <v>1.2211258658072901</v>
      </c>
      <c r="DH126" s="4">
        <f t="shared" si="171"/>
        <v>0</v>
      </c>
      <c r="DI126" s="4">
        <f t="shared" si="172"/>
        <v>858</v>
      </c>
      <c r="DJ126" s="4">
        <f t="shared" si="173"/>
        <v>1</v>
      </c>
      <c r="DL126" s="4">
        <f t="shared" si="174"/>
        <v>5.7413446512468419E-5</v>
      </c>
      <c r="DM126" s="4">
        <f t="shared" si="175"/>
        <v>3.3423512159494768</v>
      </c>
      <c r="DN126" s="4">
        <f t="shared" si="342"/>
        <v>0.1175694686499857</v>
      </c>
      <c r="DO126" s="4">
        <f t="shared" si="257"/>
        <v>1.4196127983037286</v>
      </c>
      <c r="DP126" s="4">
        <f t="shared" si="258"/>
        <v>2.5703748103759092</v>
      </c>
      <c r="DQ126" s="4">
        <f t="shared" si="259"/>
        <v>2.6276323352079785</v>
      </c>
      <c r="DR126" s="38">
        <f t="shared" si="279"/>
        <v>375.65458245290722</v>
      </c>
      <c r="DS126" s="4">
        <f t="shared" si="260"/>
        <v>1.0000716468355491</v>
      </c>
      <c r="DT126" s="4">
        <f t="shared" si="335"/>
        <v>2.2360679774997898</v>
      </c>
      <c r="DU126" s="4">
        <f t="shared" si="280"/>
        <v>75.784607802507395</v>
      </c>
      <c r="DY126" s="4">
        <f t="shared" si="239"/>
        <v>1</v>
      </c>
      <c r="DZ126" s="4">
        <f t="shared" si="261"/>
        <v>1</v>
      </c>
      <c r="EA126" s="4">
        <f t="shared" si="262"/>
        <v>1</v>
      </c>
      <c r="EB126" s="4">
        <f t="shared" si="263"/>
        <v>1</v>
      </c>
      <c r="ED126" s="4">
        <f t="shared" si="281"/>
        <v>375.88262836161749</v>
      </c>
      <c r="EE126" s="25">
        <f t="shared" si="357"/>
        <v>75.071018926164598</v>
      </c>
      <c r="EH126" s="4">
        <f t="shared" si="319"/>
        <v>3.3423512159494768</v>
      </c>
      <c r="EI126" s="4">
        <f t="shared" si="178"/>
        <v>3.3423512159494768</v>
      </c>
      <c r="EK126" s="4">
        <f t="shared" si="179"/>
        <v>63.951544156493995</v>
      </c>
      <c r="EL126" s="4">
        <f t="shared" si="180"/>
        <v>2.2360679774997898</v>
      </c>
      <c r="EM126" s="4">
        <f t="shared" si="181"/>
        <v>4.0710084810113026E-2</v>
      </c>
      <c r="EP126" s="4">
        <f t="shared" si="337"/>
        <v>4.0710084810113026E-2</v>
      </c>
      <c r="EQ126" s="4">
        <f t="shared" si="338"/>
        <v>0.11737326711877917</v>
      </c>
      <c r="ER126" s="4">
        <f t="shared" si="184"/>
        <v>1.418664695784621</v>
      </c>
      <c r="ES126" s="4">
        <f t="shared" si="240"/>
        <v>2.5701188989532699</v>
      </c>
      <c r="ET126" s="4">
        <f t="shared" si="186"/>
        <v>579.54845584350596</v>
      </c>
      <c r="EU126" s="4">
        <f t="shared" si="187"/>
        <v>214.5</v>
      </c>
      <c r="EV126" s="4">
        <f t="shared" si="265"/>
        <v>5.7413446512468419E-5</v>
      </c>
      <c r="EW126" s="4">
        <f t="shared" si="241"/>
        <v>2.627709356525437</v>
      </c>
      <c r="EX126" s="4">
        <f t="shared" si="189"/>
        <v>375.62766991901287</v>
      </c>
      <c r="EY126" s="4">
        <f t="shared" si="190"/>
        <v>579.54845584350596</v>
      </c>
      <c r="EZ126" s="4">
        <f t="shared" si="191"/>
        <v>214.50000000000006</v>
      </c>
      <c r="FB126" s="4">
        <f t="shared" si="343"/>
        <v>0</v>
      </c>
      <c r="FG126" s="23">
        <f t="shared" si="344"/>
        <v>0.6</v>
      </c>
      <c r="FH126" s="23">
        <f t="shared" si="344"/>
        <v>1.2</v>
      </c>
      <c r="FI126" s="23">
        <f t="shared" si="234"/>
        <v>0.8</v>
      </c>
      <c r="FJ126" s="23">
        <f t="shared" si="345"/>
        <v>2.2000000000000002</v>
      </c>
      <c r="FK126" s="23">
        <f t="shared" si="345"/>
        <v>1.4</v>
      </c>
      <c r="FL126" s="23">
        <f t="shared" si="345"/>
        <v>1.4</v>
      </c>
      <c r="FM126" s="23">
        <f t="shared" si="222"/>
        <v>0</v>
      </c>
      <c r="FN126" s="23"/>
      <c r="FX126" s="4">
        <f t="shared" si="267"/>
        <v>1.25</v>
      </c>
      <c r="FY126" s="4">
        <f t="shared" si="308"/>
        <v>0.8</v>
      </c>
      <c r="FZ126" s="4">
        <f t="shared" si="269"/>
        <v>0</v>
      </c>
      <c r="GA126" s="4">
        <f t="shared" si="270"/>
        <v>709.42084660197622</v>
      </c>
    </row>
    <row r="127" spans="1:188" ht="12" customHeight="1" x14ac:dyDescent="0.3">
      <c r="A127" s="25">
        <v>109</v>
      </c>
      <c r="B127" s="24" t="s">
        <v>128</v>
      </c>
      <c r="C127" s="24">
        <v>2015</v>
      </c>
      <c r="D127" s="24" t="s">
        <v>293</v>
      </c>
      <c r="E127" s="24"/>
      <c r="F127" s="7" t="s">
        <v>132</v>
      </c>
      <c r="G127" s="7">
        <v>710</v>
      </c>
      <c r="H127" s="7">
        <f t="shared" si="320"/>
        <v>429</v>
      </c>
      <c r="I127" s="7">
        <f t="shared" si="349"/>
        <v>429</v>
      </c>
      <c r="J127" s="7">
        <v>41.4</v>
      </c>
      <c r="K127" s="7">
        <v>28.6</v>
      </c>
      <c r="L127" s="7">
        <v>15</v>
      </c>
      <c r="M127" s="7">
        <f t="shared" si="350"/>
        <v>15</v>
      </c>
      <c r="N127" s="7">
        <v>406</v>
      </c>
      <c r="O127" s="7">
        <f>K127*2</f>
        <v>57.2</v>
      </c>
      <c r="P127" s="7"/>
      <c r="Q127" s="7">
        <f>2*K127</f>
        <v>57.2</v>
      </c>
      <c r="R127" s="7">
        <v>2</v>
      </c>
      <c r="S127" s="7">
        <f t="shared" si="352"/>
        <v>58.2</v>
      </c>
      <c r="T127" s="7">
        <f t="shared" si="309"/>
        <v>1.5</v>
      </c>
      <c r="U127" s="7">
        <f t="shared" si="359"/>
        <v>2.5</v>
      </c>
      <c r="V127" s="7">
        <f t="shared" si="353"/>
        <v>4</v>
      </c>
      <c r="W127" s="7">
        <f t="shared" ref="W127:W146" si="360">MIN(W$16,V127)</f>
        <v>4</v>
      </c>
      <c r="X127" s="7">
        <v>5</v>
      </c>
      <c r="Y127" s="7">
        <f t="shared" si="358"/>
        <v>63.951544156493995</v>
      </c>
      <c r="Z127" s="7"/>
      <c r="AA127" s="7"/>
      <c r="AB127" s="7">
        <v>335</v>
      </c>
      <c r="AC127" s="7"/>
      <c r="AD127" s="7">
        <f t="shared" si="339"/>
        <v>0.8697189751249067</v>
      </c>
      <c r="AE127" s="7">
        <v>0</v>
      </c>
      <c r="AF127" s="7">
        <v>0</v>
      </c>
      <c r="AG127" s="7">
        <f t="shared" si="354"/>
        <v>429</v>
      </c>
      <c r="AH127" s="7"/>
      <c r="AI127" s="7"/>
      <c r="AJ127" s="7"/>
      <c r="AK127" s="4">
        <f t="shared" si="283"/>
        <v>429</v>
      </c>
      <c r="AL127" s="46">
        <f t="shared" si="355"/>
        <v>8.5790062480039175E-2</v>
      </c>
      <c r="AM127" s="25">
        <f t="shared" si="272"/>
        <v>444.9735182569961</v>
      </c>
      <c r="AN127" s="4">
        <f t="shared" si="273"/>
        <v>0.73333333333333328</v>
      </c>
      <c r="AO127" s="4">
        <v>1.25</v>
      </c>
      <c r="AP127" s="25">
        <f t="shared" si="322"/>
        <v>5</v>
      </c>
      <c r="AQ127" s="38">
        <f t="shared" si="275"/>
        <v>174.96556886063999</v>
      </c>
      <c r="AR127" s="38">
        <f t="shared" si="276"/>
        <v>174.96556886063999</v>
      </c>
      <c r="AT127" s="38">
        <f t="shared" si="356"/>
        <v>174.96556886063993</v>
      </c>
      <c r="AU127" s="38">
        <f t="shared" si="247"/>
        <v>1.0000000000000002</v>
      </c>
      <c r="AV127" s="38">
        <f t="shared" si="333"/>
        <v>1.7982966708759178</v>
      </c>
      <c r="AW127" s="4">
        <f t="shared" si="328"/>
        <v>0</v>
      </c>
      <c r="AX127" s="4">
        <f t="shared" si="224"/>
        <v>507.96972448880257</v>
      </c>
      <c r="AY127" s="4">
        <f t="shared" si="225"/>
        <v>1.2666666666666666</v>
      </c>
      <c r="AZ127" s="38">
        <f t="shared" si="277"/>
        <v>314.63999999999993</v>
      </c>
      <c r="BA127" s="4">
        <f t="shared" si="226"/>
        <v>0.44000000000000006</v>
      </c>
      <c r="BB127" s="4">
        <f t="shared" si="248"/>
        <v>116.7822396599757</v>
      </c>
      <c r="BC127" s="4">
        <f t="shared" si="249"/>
        <v>431.42223965997562</v>
      </c>
      <c r="BE127" s="36">
        <f t="shared" si="317"/>
        <v>1.1000000000000001</v>
      </c>
      <c r="BF127" s="36">
        <f t="shared" si="318"/>
        <v>325.57472874902317</v>
      </c>
      <c r="BK127" s="4">
        <f t="shared" ref="BK127:BK152" si="361">IF(R127=1,O127,MIN(O127,Q127/2+6.4))</f>
        <v>35</v>
      </c>
      <c r="BL127" s="4">
        <f t="shared" ref="BL127:BL152" si="362">MIN(S127,BK127)</f>
        <v>35</v>
      </c>
      <c r="BM127" s="4">
        <f t="shared" ref="BM127:BM152" si="363">MAX(S127,BK127)</f>
        <v>58.2</v>
      </c>
      <c r="BN127" s="4">
        <f t="shared" ref="BN127:BN152" si="364">BL127+K127/2</f>
        <v>49.3</v>
      </c>
      <c r="BO127" s="4">
        <f t="shared" ref="BO127:BO152" si="365">MIN(1.25, 0.1*BM127/BL127+0.9)</f>
        <v>1.0662857142857143</v>
      </c>
      <c r="BP127" s="25">
        <f t="shared" si="278"/>
        <v>1.8380379620379617</v>
      </c>
      <c r="BR127" s="4">
        <f t="shared" si="336"/>
        <v>28.6</v>
      </c>
      <c r="BV127" s="9"/>
      <c r="BX127" s="9"/>
      <c r="BY127" s="9"/>
      <c r="BZ127" s="9">
        <f t="shared" si="235"/>
        <v>28.6</v>
      </c>
      <c r="CA127" s="9">
        <f t="shared" si="236"/>
        <v>57.2</v>
      </c>
      <c r="CB127" s="9">
        <f t="shared" si="252"/>
        <v>1.1095694720678451</v>
      </c>
      <c r="CC127" s="9">
        <v>0</v>
      </c>
      <c r="CD127" s="9">
        <f t="shared" si="311"/>
        <v>0</v>
      </c>
      <c r="CE127" s="9">
        <f t="shared" si="253"/>
        <v>0</v>
      </c>
      <c r="CF127" s="9">
        <f t="shared" si="237"/>
        <v>0.96044432035915817</v>
      </c>
      <c r="CG127" s="9">
        <f t="shared" si="238"/>
        <v>0.74299999999999999</v>
      </c>
      <c r="CH127" s="9">
        <f t="shared" si="254"/>
        <v>1.6070493790635749</v>
      </c>
      <c r="CI127" s="9">
        <f t="shared" si="255"/>
        <v>1.783132931114529</v>
      </c>
      <c r="CJ127" s="9">
        <v>1</v>
      </c>
      <c r="CK127" s="9">
        <f t="shared" si="256"/>
        <v>213.97595173374347</v>
      </c>
      <c r="CM127" s="4">
        <f t="shared" si="346"/>
        <v>0.65948812271662183</v>
      </c>
      <c r="CN127" s="4">
        <f t="shared" si="347"/>
        <v>0.77650146238179429</v>
      </c>
      <c r="CO127" s="4">
        <f t="shared" si="212"/>
        <v>1.0289496401861169</v>
      </c>
      <c r="CP127" s="4">
        <f t="shared" si="340"/>
        <v>1.5655964947726944</v>
      </c>
      <c r="CQ127" s="4">
        <f t="shared" si="214"/>
        <v>0.8697189751249067</v>
      </c>
      <c r="CR127" s="4">
        <f t="shared" si="215"/>
        <v>0.91310238557343271</v>
      </c>
      <c r="CS127" s="4">
        <f t="shared" si="334"/>
        <v>0.87837130726225165</v>
      </c>
      <c r="CU127" s="4">
        <f t="shared" ref="CU127:CV138" si="366">CM127</f>
        <v>0.65948812271662183</v>
      </c>
      <c r="CV127" s="4">
        <f t="shared" si="366"/>
        <v>0.77650146238179429</v>
      </c>
      <c r="CW127" s="4">
        <f t="shared" si="217"/>
        <v>1.5655964947726944</v>
      </c>
      <c r="CX127" s="4">
        <f t="shared" si="348"/>
        <v>0.87837130726225165</v>
      </c>
      <c r="CY127" s="4">
        <f t="shared" ref="CY127:CZ138" si="367">CQ127</f>
        <v>0.8697189751249067</v>
      </c>
      <c r="CZ127" s="4">
        <f t="shared" si="367"/>
        <v>0.91310238557343271</v>
      </c>
      <c r="DH127" s="4">
        <f t="shared" ref="DH127:DH164" si="368">AF127</f>
        <v>0</v>
      </c>
      <c r="DI127" s="4">
        <f t="shared" ref="DI127:DI152" si="369">H127</f>
        <v>429</v>
      </c>
      <c r="DJ127" s="4">
        <f t="shared" ref="DJ127:DJ152" si="370">I127/H127</f>
        <v>1</v>
      </c>
      <c r="DL127" s="4">
        <f t="shared" ref="DL127:DL161" si="371">H127/4/(1-0.3*(J127/30)^0.5)/200000/K127</f>
        <v>2.8953960744479089E-5</v>
      </c>
      <c r="DM127" s="4">
        <f t="shared" ref="DM127:DM164" si="372">EH127</f>
        <v>4.3184114203497916</v>
      </c>
      <c r="DN127" s="4">
        <f t="shared" si="342"/>
        <v>0.2629118569629435</v>
      </c>
      <c r="DO127" s="4">
        <f t="shared" si="257"/>
        <v>2.5307432361194584</v>
      </c>
      <c r="DP127" s="4">
        <f t="shared" si="258"/>
        <v>3.5400389367597964</v>
      </c>
      <c r="DQ127" s="4">
        <f t="shared" si="259"/>
        <v>3.996132384694048</v>
      </c>
      <c r="DR127" s="38">
        <f t="shared" si="279"/>
        <v>385.18189160112115</v>
      </c>
      <c r="DS127" s="4">
        <f t="shared" si="260"/>
        <v>1.0000929798376046</v>
      </c>
      <c r="DT127" s="4">
        <f t="shared" si="335"/>
        <v>2.2360679774997898</v>
      </c>
      <c r="DU127" s="4">
        <f t="shared" si="280"/>
        <v>174.96556886063993</v>
      </c>
      <c r="DY127" s="4">
        <f t="shared" si="239"/>
        <v>1</v>
      </c>
      <c r="DZ127" s="4">
        <f t="shared" si="261"/>
        <v>1</v>
      </c>
      <c r="EA127" s="4">
        <f t="shared" si="262"/>
        <v>1</v>
      </c>
      <c r="EB127" s="4">
        <f t="shared" si="263"/>
        <v>1</v>
      </c>
      <c r="ED127" s="4">
        <f t="shared" si="281"/>
        <v>366.88109164189552</v>
      </c>
      <c r="EE127" s="25">
        <f t="shared" si="357"/>
        <v>172.55257772615491</v>
      </c>
      <c r="EH127" s="4">
        <f t="shared" si="319"/>
        <v>4.3184114203497916</v>
      </c>
      <c r="EI127" s="4">
        <f t="shared" ref="EI127:EI152" si="373">IF(K127&lt;22.2,1.1*5*(J127/30)^0.5,IF(K127&gt;=31.8,0.9*5*(J127/30)^0.5,1*5*(J127/30)^0.5))*BP127/2.5</f>
        <v>4.3184114203497916</v>
      </c>
      <c r="EK127" s="4">
        <f t="shared" ref="EK127:EK161" si="374">EL127*K127</f>
        <v>63.951544156493995</v>
      </c>
      <c r="EL127" s="4">
        <f t="shared" ref="EL127:EL161" si="375">X127^0.5</f>
        <v>2.2360679774997898</v>
      </c>
      <c r="EM127" s="4">
        <f t="shared" ref="EM127:EM161" si="376">MIN(DU127)/(4700*J127^0.5)/W127*EK127</f>
        <v>9.2500825517249863E-2</v>
      </c>
      <c r="EP127" s="4">
        <f t="shared" si="337"/>
        <v>9.2500825517249863E-2</v>
      </c>
      <c r="EQ127" s="4">
        <f t="shared" si="338"/>
        <v>0.26247310607378149</v>
      </c>
      <c r="ER127" s="4">
        <f t="shared" ref="ER127:ER164" si="377">EH127/1*EQ127^0.4</f>
        <v>2.5290530540921856</v>
      </c>
      <c r="ES127" s="4">
        <f t="shared" si="240"/>
        <v>3.5394380093736388</v>
      </c>
      <c r="ET127" s="4">
        <f t="shared" ref="ET127:ET164" si="378">MAX(0,DI127*ET$9-EK127)</f>
        <v>257.79845584350602</v>
      </c>
      <c r="EU127" s="4">
        <f t="shared" ref="EU127:EU164" si="379">MAX(0,DI127-EK127-ET127)</f>
        <v>107.25</v>
      </c>
      <c r="EV127" s="4">
        <f t="shared" si="265"/>
        <v>2.8953960744479089E-5</v>
      </c>
      <c r="EW127" s="4">
        <f t="shared" si="241"/>
        <v>3.9961972848288032</v>
      </c>
      <c r="EX127" s="4">
        <f t="shared" ref="EX127:EX152" si="380">MIN(4/K127*(1*ER127*EK127+ES127*EY127+EZ127*EW127)+DU127,MAX(G127,AB127))</f>
        <v>385.14608078107608</v>
      </c>
      <c r="EY127" s="4">
        <f t="shared" ref="EY127:EY152" si="381">IF(DJ127&lt;=ET$9, MAX(0,DI127*DJ127-EK127), MAX(0,DI127*ET$9-EK127))</f>
        <v>257.79845584350602</v>
      </c>
      <c r="EZ127" s="4">
        <f t="shared" ref="EZ127:EZ152" si="382">MAX(0, DI127*DJ127-EY127-EK127)</f>
        <v>107.24999999999999</v>
      </c>
      <c r="FB127" s="4">
        <f t="shared" si="343"/>
        <v>0</v>
      </c>
      <c r="FG127" s="23">
        <f t="shared" si="344"/>
        <v>0.8</v>
      </c>
      <c r="FH127" s="23">
        <f t="shared" si="344"/>
        <v>0.8</v>
      </c>
      <c r="FI127" s="23">
        <f t="shared" si="234"/>
        <v>1</v>
      </c>
      <c r="FJ127" s="23">
        <f t="shared" si="345"/>
        <v>1.6</v>
      </c>
      <c r="FK127" s="23">
        <f t="shared" si="345"/>
        <v>1</v>
      </c>
      <c r="FL127" s="23">
        <f t="shared" si="345"/>
        <v>1</v>
      </c>
      <c r="FM127" s="23">
        <f t="shared" si="222"/>
        <v>0</v>
      </c>
      <c r="FN127" s="23"/>
      <c r="FX127" s="4">
        <f t="shared" si="267"/>
        <v>1.25</v>
      </c>
      <c r="FY127" s="4">
        <f t="shared" si="308"/>
        <v>0.75</v>
      </c>
      <c r="FZ127" s="4">
        <f t="shared" si="269"/>
        <v>0</v>
      </c>
      <c r="GA127" s="4">
        <f t="shared" si="270"/>
        <v>381.38768562937639</v>
      </c>
      <c r="GD127" s="4">
        <f>IF(AG127&gt;1, 0.05*(18-MIN(8,(Q127+K127)/K127))*(1-29.3/MAX(60000/145,(G127))*(K127)^0.75*FZ127), 1/12*(14-MIN(8,(Q127+K127)/K127)))</f>
        <v>0.75</v>
      </c>
    </row>
    <row r="128" spans="1:188" ht="12" customHeight="1" x14ac:dyDescent="0.3">
      <c r="A128" s="25">
        <v>110</v>
      </c>
      <c r="B128" s="24" t="s">
        <v>128</v>
      </c>
      <c r="C128" s="24">
        <v>2015</v>
      </c>
      <c r="D128" s="24" t="s">
        <v>293</v>
      </c>
      <c r="E128" s="24"/>
      <c r="F128" s="7" t="s">
        <v>133</v>
      </c>
      <c r="G128" s="7">
        <v>710</v>
      </c>
      <c r="H128" s="7">
        <f t="shared" si="320"/>
        <v>572</v>
      </c>
      <c r="I128" s="7">
        <f t="shared" si="349"/>
        <v>572</v>
      </c>
      <c r="J128" s="7">
        <v>41.4</v>
      </c>
      <c r="K128" s="7">
        <v>28.6</v>
      </c>
      <c r="L128" s="7">
        <v>20</v>
      </c>
      <c r="M128" s="7">
        <f t="shared" si="350"/>
        <v>20</v>
      </c>
      <c r="N128" s="7">
        <v>406</v>
      </c>
      <c r="O128" s="7">
        <f>K128*2</f>
        <v>57.2</v>
      </c>
      <c r="P128" s="7"/>
      <c r="Q128" s="7">
        <f>2*K128</f>
        <v>57.2</v>
      </c>
      <c r="R128" s="7">
        <v>2</v>
      </c>
      <c r="S128" s="7">
        <f t="shared" si="352"/>
        <v>58.2</v>
      </c>
      <c r="T128" s="7">
        <f t="shared" si="309"/>
        <v>1.5</v>
      </c>
      <c r="U128" s="7">
        <f t="shared" si="359"/>
        <v>2.5</v>
      </c>
      <c r="V128" s="7">
        <f t="shared" si="353"/>
        <v>4</v>
      </c>
      <c r="W128" s="7">
        <f t="shared" si="360"/>
        <v>4</v>
      </c>
      <c r="X128" s="7">
        <v>5</v>
      </c>
      <c r="Y128" s="7">
        <f t="shared" si="358"/>
        <v>63.951544156493995</v>
      </c>
      <c r="Z128" s="7"/>
      <c r="AA128" s="7"/>
      <c r="AB128" s="7">
        <v>379</v>
      </c>
      <c r="AC128" s="7"/>
      <c r="AD128" s="7">
        <f t="shared" si="339"/>
        <v>0.89347049803591605</v>
      </c>
      <c r="AE128" s="7">
        <v>0</v>
      </c>
      <c r="AF128" s="7">
        <v>0</v>
      </c>
      <c r="AG128" s="7">
        <f t="shared" si="354"/>
        <v>572</v>
      </c>
      <c r="AH128" s="7"/>
      <c r="AI128" s="7"/>
      <c r="AJ128" s="7"/>
      <c r="AK128" s="4">
        <f t="shared" si="283"/>
        <v>572</v>
      </c>
      <c r="AL128" s="46">
        <f t="shared" si="355"/>
        <v>4.8256910145022036E-2</v>
      </c>
      <c r="AM128" s="25">
        <f t="shared" si="272"/>
        <v>685.08154812781754</v>
      </c>
      <c r="AN128" s="4">
        <f t="shared" si="273"/>
        <v>0.72499999999999998</v>
      </c>
      <c r="AO128" s="4">
        <v>1.25</v>
      </c>
      <c r="AP128" s="25">
        <f t="shared" si="322"/>
        <v>5</v>
      </c>
      <c r="AQ128" s="38">
        <f t="shared" si="275"/>
        <v>149.80275665476307</v>
      </c>
      <c r="AR128" s="38">
        <f t="shared" si="276"/>
        <v>149.80275665476307</v>
      </c>
      <c r="AT128" s="38">
        <f t="shared" si="356"/>
        <v>149.80275665476299</v>
      </c>
      <c r="AU128" s="38">
        <f t="shared" si="247"/>
        <v>1.0000000000000007</v>
      </c>
      <c r="AV128" s="38">
        <f t="shared" si="333"/>
        <v>2.1003618826930039</v>
      </c>
      <c r="AW128" s="4">
        <f t="shared" si="328"/>
        <v>0</v>
      </c>
      <c r="AX128" s="4">
        <f t="shared" si="224"/>
        <v>677.29296598506994</v>
      </c>
      <c r="AY128" s="4">
        <f t="shared" si="225"/>
        <v>1.2666666666666666</v>
      </c>
      <c r="AZ128" s="38">
        <f t="shared" si="277"/>
        <v>314.63999999999993</v>
      </c>
      <c r="BA128" s="4">
        <f t="shared" si="226"/>
        <v>0.44000000000000006</v>
      </c>
      <c r="BB128" s="4">
        <f t="shared" si="248"/>
        <v>155.70965287996762</v>
      </c>
      <c r="BC128" s="4">
        <f t="shared" si="249"/>
        <v>470.34965287996755</v>
      </c>
      <c r="BE128" s="36">
        <f t="shared" si="317"/>
        <v>1.1000000000000001</v>
      </c>
      <c r="BF128" s="36">
        <f t="shared" si="318"/>
        <v>382.19642070537503</v>
      </c>
      <c r="BK128" s="4">
        <f t="shared" si="361"/>
        <v>35</v>
      </c>
      <c r="BL128" s="4">
        <f t="shared" si="362"/>
        <v>35</v>
      </c>
      <c r="BM128" s="4">
        <f t="shared" si="363"/>
        <v>58.2</v>
      </c>
      <c r="BN128" s="4">
        <f t="shared" si="364"/>
        <v>49.3</v>
      </c>
      <c r="BO128" s="4">
        <f t="shared" si="365"/>
        <v>1.0662857142857143</v>
      </c>
      <c r="BP128" s="25">
        <f t="shared" si="278"/>
        <v>1.8380379620379617</v>
      </c>
      <c r="BR128" s="4">
        <f t="shared" si="336"/>
        <v>28.6</v>
      </c>
      <c r="BV128" s="9"/>
      <c r="BX128" s="9"/>
      <c r="BY128" s="9"/>
      <c r="BZ128" s="9">
        <f t="shared" si="235"/>
        <v>28.6</v>
      </c>
      <c r="CA128" s="9">
        <f t="shared" si="236"/>
        <v>57.2</v>
      </c>
      <c r="CB128" s="9">
        <f t="shared" si="252"/>
        <v>1.1095694720678451</v>
      </c>
      <c r="CC128" s="9">
        <v>0</v>
      </c>
      <c r="CD128" s="9">
        <f t="shared" si="311"/>
        <v>0</v>
      </c>
      <c r="CE128" s="9">
        <f t="shared" si="253"/>
        <v>0</v>
      </c>
      <c r="CF128" s="9">
        <f t="shared" si="237"/>
        <v>0.96044432035915817</v>
      </c>
      <c r="CG128" s="9">
        <f t="shared" si="238"/>
        <v>0.74299999999999999</v>
      </c>
      <c r="CH128" s="9">
        <f t="shared" si="254"/>
        <v>1.6070493790635749</v>
      </c>
      <c r="CI128" s="9">
        <f t="shared" si="255"/>
        <v>1.783132931114529</v>
      </c>
      <c r="CJ128" s="9">
        <v>1</v>
      </c>
      <c r="CK128" s="9">
        <f t="shared" si="256"/>
        <v>249.63861035603406</v>
      </c>
      <c r="CM128" s="4">
        <f t="shared" si="346"/>
        <v>0.55958059367820834</v>
      </c>
      <c r="CN128" s="4">
        <f t="shared" si="347"/>
        <v>0.80578352227830852</v>
      </c>
      <c r="CO128" s="4">
        <f t="shared" si="212"/>
        <v>0.99163670685487904</v>
      </c>
      <c r="CP128" s="4">
        <f t="shared" si="340"/>
        <v>1.5181946392806425</v>
      </c>
      <c r="CQ128" s="4">
        <f t="shared" si="214"/>
        <v>0.89347049803591605</v>
      </c>
      <c r="CR128" s="4">
        <f t="shared" si="215"/>
        <v>0.93081825114400285</v>
      </c>
      <c r="CS128" s="4">
        <f t="shared" si="334"/>
        <v>0.74530460922177599</v>
      </c>
      <c r="CU128" s="4">
        <f t="shared" si="366"/>
        <v>0.55958059367820834</v>
      </c>
      <c r="CV128" s="4">
        <f t="shared" si="366"/>
        <v>0.80578352227830852</v>
      </c>
      <c r="CW128" s="4">
        <f t="shared" ref="CW128:CW138" si="383">CP128</f>
        <v>1.5181946392806425</v>
      </c>
      <c r="CX128" s="4">
        <f t="shared" si="348"/>
        <v>0.74530460922177599</v>
      </c>
      <c r="CY128" s="4">
        <f t="shared" si="367"/>
        <v>0.89347049803591605</v>
      </c>
      <c r="CZ128" s="4">
        <f t="shared" si="367"/>
        <v>0.93081825114400285</v>
      </c>
      <c r="DH128" s="4">
        <f t="shared" si="368"/>
        <v>0</v>
      </c>
      <c r="DI128" s="4">
        <f t="shared" si="369"/>
        <v>572</v>
      </c>
      <c r="DJ128" s="4">
        <f t="shared" si="370"/>
        <v>1</v>
      </c>
      <c r="DL128" s="4">
        <f t="shared" si="371"/>
        <v>3.8605280992638792E-5</v>
      </c>
      <c r="DM128" s="4">
        <f t="shared" si="372"/>
        <v>4.3184114203497916</v>
      </c>
      <c r="DN128" s="4">
        <f t="shared" si="342"/>
        <v>0.22510097950552643</v>
      </c>
      <c r="DO128" s="4">
        <f t="shared" si="257"/>
        <v>2.3783456382301056</v>
      </c>
      <c r="DP128" s="4">
        <f t="shared" si="258"/>
        <v>3.487130385036203</v>
      </c>
      <c r="DQ128" s="4">
        <f t="shared" si="259"/>
        <v>3.7537646420196529</v>
      </c>
      <c r="DR128" s="38">
        <f t="shared" si="279"/>
        <v>424.18860033223484</v>
      </c>
      <c r="DS128" s="4">
        <f t="shared" si="260"/>
        <v>1.0000936381697847</v>
      </c>
      <c r="DT128" s="4">
        <f t="shared" si="335"/>
        <v>2.2360679774997898</v>
      </c>
      <c r="DU128" s="4">
        <f t="shared" si="280"/>
        <v>149.80275665476299</v>
      </c>
      <c r="DY128" s="4">
        <f t="shared" si="239"/>
        <v>1</v>
      </c>
      <c r="DZ128" s="4">
        <f t="shared" si="261"/>
        <v>1</v>
      </c>
      <c r="EA128" s="4">
        <f t="shared" si="262"/>
        <v>1</v>
      </c>
      <c r="EB128" s="4">
        <f t="shared" si="263"/>
        <v>1</v>
      </c>
      <c r="ED128" s="4">
        <f t="shared" si="281"/>
        <v>407.16863849005745</v>
      </c>
      <c r="EE128" s="25">
        <f t="shared" si="357"/>
        <v>148.06395326906991</v>
      </c>
      <c r="EH128" s="4">
        <f t="shared" si="319"/>
        <v>4.3184114203497916</v>
      </c>
      <c r="EI128" s="4">
        <f t="shared" si="373"/>
        <v>4.3184114203497916</v>
      </c>
      <c r="EK128" s="4">
        <f t="shared" si="374"/>
        <v>63.951544156493995</v>
      </c>
      <c r="EL128" s="4">
        <f t="shared" si="375"/>
        <v>2.2360679774997898</v>
      </c>
      <c r="EM128" s="4">
        <f t="shared" si="376"/>
        <v>7.9197745851140991E-2</v>
      </c>
      <c r="EP128" s="4">
        <f t="shared" si="337"/>
        <v>7.9197745851140991E-2</v>
      </c>
      <c r="EQ128" s="4">
        <f t="shared" si="338"/>
        <v>0.22472532792385119</v>
      </c>
      <c r="ER128" s="4">
        <f t="shared" si="377"/>
        <v>2.3767572364535021</v>
      </c>
      <c r="ES128" s="4">
        <f t="shared" si="240"/>
        <v>3.4865927497285139</v>
      </c>
      <c r="ET128" s="4">
        <f t="shared" si="378"/>
        <v>365.04845584350602</v>
      </c>
      <c r="EU128" s="4">
        <f t="shared" si="379"/>
        <v>143</v>
      </c>
      <c r="EV128" s="4">
        <f t="shared" si="265"/>
        <v>3.8605280992638792E-5</v>
      </c>
      <c r="EW128" s="4">
        <f t="shared" si="241"/>
        <v>3.7538616387335155</v>
      </c>
      <c r="EX128" s="4">
        <f t="shared" si="380"/>
        <v>424.14888380703894</v>
      </c>
      <c r="EY128" s="4">
        <f t="shared" si="381"/>
        <v>365.04845584350602</v>
      </c>
      <c r="EZ128" s="4">
        <f t="shared" si="382"/>
        <v>143</v>
      </c>
      <c r="FB128" s="4">
        <f t="shared" si="343"/>
        <v>0</v>
      </c>
      <c r="FG128" s="23">
        <f t="shared" si="344"/>
        <v>0.6</v>
      </c>
      <c r="FH128" s="23">
        <f t="shared" si="344"/>
        <v>1</v>
      </c>
      <c r="FI128" s="23">
        <f t="shared" si="234"/>
        <v>0.8</v>
      </c>
      <c r="FJ128" s="23">
        <f t="shared" si="345"/>
        <v>1.6</v>
      </c>
      <c r="FK128" s="23">
        <f t="shared" si="345"/>
        <v>1</v>
      </c>
      <c r="FL128" s="23">
        <f t="shared" si="345"/>
        <v>1</v>
      </c>
      <c r="FM128" s="23">
        <f t="shared" si="222"/>
        <v>0</v>
      </c>
      <c r="FN128" s="23"/>
      <c r="FX128" s="4">
        <f t="shared" si="267"/>
        <v>1.25</v>
      </c>
      <c r="FY128" s="4">
        <f t="shared" si="308"/>
        <v>0.75</v>
      </c>
      <c r="FZ128" s="4">
        <f t="shared" si="269"/>
        <v>0</v>
      </c>
      <c r="GA128" s="4">
        <f t="shared" si="270"/>
        <v>508.51691417250197</v>
      </c>
    </row>
    <row r="129" spans="1:183" ht="12" customHeight="1" x14ac:dyDescent="0.3">
      <c r="A129" s="25">
        <v>111</v>
      </c>
      <c r="B129" s="24" t="s">
        <v>128</v>
      </c>
      <c r="C129" s="24">
        <v>2015</v>
      </c>
      <c r="D129" s="24" t="s">
        <v>293</v>
      </c>
      <c r="E129" s="24"/>
      <c r="F129" s="7" t="s">
        <v>141</v>
      </c>
      <c r="G129" s="7">
        <v>710</v>
      </c>
      <c r="H129" s="7">
        <f t="shared" si="320"/>
        <v>429</v>
      </c>
      <c r="I129" s="7">
        <f t="shared" si="349"/>
        <v>429</v>
      </c>
      <c r="J129" s="7">
        <v>40.1</v>
      </c>
      <c r="K129" s="7">
        <v>28.6</v>
      </c>
      <c r="L129" s="7">
        <v>15</v>
      </c>
      <c r="M129" s="7">
        <f t="shared" si="350"/>
        <v>15</v>
      </c>
      <c r="N129" s="7">
        <v>406</v>
      </c>
      <c r="O129" s="7">
        <f>K129*3.5</f>
        <v>100.10000000000001</v>
      </c>
      <c r="P129" s="7"/>
      <c r="Q129" s="7">
        <f t="shared" ref="Q129:Q146" si="384">1*K129</f>
        <v>28.6</v>
      </c>
      <c r="R129" s="7">
        <v>2</v>
      </c>
      <c r="S129" s="7">
        <f t="shared" si="352"/>
        <v>58.2</v>
      </c>
      <c r="T129" s="7">
        <f t="shared" si="309"/>
        <v>1</v>
      </c>
      <c r="U129" s="7">
        <f>MIN(S129/K129+0.5, (O129+K129/2)/K129)</f>
        <v>2.534965034965035</v>
      </c>
      <c r="V129" s="7">
        <f t="shared" si="353"/>
        <v>4</v>
      </c>
      <c r="W129" s="7">
        <f t="shared" si="360"/>
        <v>4</v>
      </c>
      <c r="X129" s="7">
        <v>5</v>
      </c>
      <c r="Y129" s="7">
        <f t="shared" si="358"/>
        <v>63.951544156493995</v>
      </c>
      <c r="Z129" s="7"/>
      <c r="AA129" s="7"/>
      <c r="AB129" s="7">
        <v>366</v>
      </c>
      <c r="AC129" s="7"/>
      <c r="AD129" s="7">
        <f t="shared" si="339"/>
        <v>1.0888038558182622</v>
      </c>
      <c r="AE129" s="7">
        <v>0</v>
      </c>
      <c r="AF129" s="7">
        <v>0</v>
      </c>
      <c r="AG129" s="7">
        <f t="shared" si="354"/>
        <v>429</v>
      </c>
      <c r="AH129" s="7"/>
      <c r="AI129" s="7"/>
      <c r="AJ129" s="7"/>
      <c r="AK129" s="4">
        <f t="shared" si="283"/>
        <v>429</v>
      </c>
      <c r="AL129" s="46">
        <f t="shared" si="355"/>
        <v>8.5790062480039175E-2</v>
      </c>
      <c r="AM129" s="25">
        <f t="shared" si="272"/>
        <v>437.93149656201666</v>
      </c>
      <c r="AN129" s="4">
        <f t="shared" si="273"/>
        <v>0.73379953379953378</v>
      </c>
      <c r="AO129" s="4">
        <v>1.25</v>
      </c>
      <c r="AP129" s="25">
        <f t="shared" si="322"/>
        <v>5</v>
      </c>
      <c r="AQ129" s="38">
        <f t="shared" si="275"/>
        <v>172.30608476544029</v>
      </c>
      <c r="AR129" s="38">
        <f t="shared" si="276"/>
        <v>172.30608476544029</v>
      </c>
      <c r="AT129" s="38">
        <f t="shared" si="356"/>
        <v>172.30608476544018</v>
      </c>
      <c r="AU129" s="38">
        <f t="shared" si="247"/>
        <v>1.0000000000000007</v>
      </c>
      <c r="AV129" s="38">
        <f t="shared" si="333"/>
        <v>1.5024620691473194</v>
      </c>
      <c r="AW129" s="4">
        <f t="shared" si="328"/>
        <v>0</v>
      </c>
      <c r="AX129" s="4">
        <f t="shared" ref="AX129:AX152" si="385">I129/K129*J129^0.5/0.19</f>
        <v>499.93074312592307</v>
      </c>
      <c r="AY129" s="4">
        <f t="shared" ref="AY129:AY164" si="386">MIN(0.6+0.4*(U129/T129),2)</f>
        <v>1.6139860139860138</v>
      </c>
      <c r="AZ129" s="38">
        <f t="shared" si="277"/>
        <v>258.88335664335665</v>
      </c>
      <c r="BA129" s="4">
        <f t="shared" ref="BA129:BA152" si="387">MAX(1-0.7*W129/5,0.3)</f>
        <v>0.44000000000000006</v>
      </c>
      <c r="BB129" s="4">
        <f t="shared" si="248"/>
        <v>114.93407784464971</v>
      </c>
      <c r="BC129" s="4">
        <f t="shared" si="249"/>
        <v>373.81743448800637</v>
      </c>
      <c r="BE129" s="36">
        <f t="shared" si="317"/>
        <v>1.25</v>
      </c>
      <c r="BF129" s="36">
        <f t="shared" si="318"/>
        <v>364.11622457671393</v>
      </c>
      <c r="BK129" s="4">
        <f t="shared" si="361"/>
        <v>20.700000000000003</v>
      </c>
      <c r="BL129" s="4">
        <f t="shared" si="362"/>
        <v>20.700000000000003</v>
      </c>
      <c r="BM129" s="4">
        <f t="shared" si="363"/>
        <v>58.2</v>
      </c>
      <c r="BN129" s="4">
        <f t="shared" si="364"/>
        <v>35</v>
      </c>
      <c r="BO129" s="4">
        <f t="shared" si="365"/>
        <v>1.181159420289855</v>
      </c>
      <c r="BP129" s="25">
        <f t="shared" si="278"/>
        <v>1.4454748150400323</v>
      </c>
      <c r="BR129" s="4">
        <f t="shared" si="336"/>
        <v>14.3</v>
      </c>
      <c r="BV129" s="9"/>
      <c r="BX129" s="9"/>
      <c r="BY129" s="9"/>
      <c r="BZ129" s="9">
        <f t="shared" si="235"/>
        <v>14.3</v>
      </c>
      <c r="CA129" s="9">
        <f t="shared" si="236"/>
        <v>100.10000000000001</v>
      </c>
      <c r="CB129" s="9">
        <f t="shared" si="252"/>
        <v>0.94678137986575273</v>
      </c>
      <c r="CC129" s="9">
        <v>0</v>
      </c>
      <c r="CD129" s="9">
        <f t="shared" si="311"/>
        <v>0</v>
      </c>
      <c r="CE129" s="9">
        <f t="shared" si="253"/>
        <v>0</v>
      </c>
      <c r="CF129" s="9">
        <f t="shared" si="237"/>
        <v>0.96044432035915817</v>
      </c>
      <c r="CG129" s="9">
        <f t="shared" si="238"/>
        <v>0.74299999999999999</v>
      </c>
      <c r="CH129" s="9">
        <f t="shared" si="254"/>
        <v>1.5816166822222031</v>
      </c>
      <c r="CI129" s="9">
        <f t="shared" si="255"/>
        <v>1.4974452248130312</v>
      </c>
      <c r="CJ129" s="9">
        <v>1</v>
      </c>
      <c r="CK129" s="9">
        <f t="shared" si="256"/>
        <v>179.69342697756375</v>
      </c>
      <c r="CM129" s="4">
        <f t="shared" si="346"/>
        <v>0.73210140610978902</v>
      </c>
      <c r="CN129" s="4">
        <f t="shared" si="347"/>
        <v>0.97908756048600731</v>
      </c>
      <c r="CO129" s="4">
        <f t="shared" si="212"/>
        <v>1.0051735552994816</v>
      </c>
      <c r="CP129" s="4">
        <f t="shared" si="340"/>
        <v>2.036802381456603</v>
      </c>
      <c r="CQ129" s="4">
        <f t="shared" si="214"/>
        <v>1.0888038558182622</v>
      </c>
      <c r="CR129" s="4">
        <f t="shared" si="215"/>
        <v>1.1425483020450971</v>
      </c>
      <c r="CS129" s="4">
        <f t="shared" si="334"/>
        <v>0.82546206924273469</v>
      </c>
      <c r="CU129" s="4">
        <f t="shared" si="366"/>
        <v>0.73210140610978902</v>
      </c>
      <c r="CV129" s="4">
        <f t="shared" si="366"/>
        <v>0.97908756048600731</v>
      </c>
      <c r="CW129" s="4">
        <f t="shared" si="383"/>
        <v>2.036802381456603</v>
      </c>
      <c r="CX129" s="4">
        <f t="shared" si="348"/>
        <v>0.82546206924273469</v>
      </c>
      <c r="CY129" s="4">
        <f t="shared" si="367"/>
        <v>1.0888038558182622</v>
      </c>
      <c r="CZ129" s="4">
        <f t="shared" si="367"/>
        <v>1.1425483020450971</v>
      </c>
      <c r="DH129" s="4">
        <f t="shared" si="368"/>
        <v>0</v>
      </c>
      <c r="DI129" s="4">
        <f t="shared" si="369"/>
        <v>429</v>
      </c>
      <c r="DJ129" s="4">
        <f t="shared" si="370"/>
        <v>1</v>
      </c>
      <c r="DL129" s="4">
        <f t="shared" si="371"/>
        <v>2.8706723256234209E-5</v>
      </c>
      <c r="DM129" s="4">
        <f t="shared" si="372"/>
        <v>3.3423512159494768</v>
      </c>
      <c r="DN129" s="4">
        <f t="shared" si="342"/>
        <v>0.26730935764454727</v>
      </c>
      <c r="DO129" s="4">
        <f t="shared" si="257"/>
        <v>1.9717767835101758</v>
      </c>
      <c r="DP129" s="4">
        <f t="shared" si="258"/>
        <v>2.7445580788955319</v>
      </c>
      <c r="DQ129" s="4">
        <f t="shared" si="259"/>
        <v>3.1499644723327127</v>
      </c>
      <c r="DR129" s="38">
        <f t="shared" si="279"/>
        <v>336.1486993678418</v>
      </c>
      <c r="DS129" s="4">
        <f t="shared" si="260"/>
        <v>1.0000837827998859</v>
      </c>
      <c r="DT129" s="4">
        <f t="shared" si="335"/>
        <v>2.2360679774997898</v>
      </c>
      <c r="DU129" s="4">
        <f t="shared" si="280"/>
        <v>172.30608476544018</v>
      </c>
      <c r="DY129" s="4">
        <f t="shared" si="239"/>
        <v>1</v>
      </c>
      <c r="DZ129" s="4">
        <f t="shared" si="261"/>
        <v>1</v>
      </c>
      <c r="EA129" s="4">
        <f t="shared" si="262"/>
        <v>1</v>
      </c>
      <c r="EB129" s="4">
        <f t="shared" si="263"/>
        <v>1</v>
      </c>
      <c r="ED129" s="4">
        <f t="shared" si="281"/>
        <v>320.33656637962758</v>
      </c>
      <c r="EE129" s="25">
        <f t="shared" si="357"/>
        <v>169.93076166190113</v>
      </c>
      <c r="EH129" s="4">
        <f t="shared" si="319"/>
        <v>3.3423512159494768</v>
      </c>
      <c r="EI129" s="4">
        <f t="shared" si="373"/>
        <v>3.3423512159494768</v>
      </c>
      <c r="EK129" s="4">
        <f t="shared" si="374"/>
        <v>63.951544156493995</v>
      </c>
      <c r="EL129" s="4">
        <f t="shared" si="375"/>
        <v>2.2360679774997898</v>
      </c>
      <c r="EM129" s="4">
        <f t="shared" si="376"/>
        <v>9.2559630873586304E-2</v>
      </c>
      <c r="EP129" s="4">
        <f t="shared" si="337"/>
        <v>9.2559630873586304E-2</v>
      </c>
      <c r="EQ129" s="4">
        <f t="shared" si="338"/>
        <v>0.26686326814633043</v>
      </c>
      <c r="ER129" s="4">
        <f t="shared" si="377"/>
        <v>1.9704599127847238</v>
      </c>
      <c r="ES129" s="4">
        <f t="shared" si="240"/>
        <v>2.7440874664199293</v>
      </c>
      <c r="ET129" s="4">
        <f t="shared" si="378"/>
        <v>257.79845584350602</v>
      </c>
      <c r="EU129" s="4">
        <f t="shared" si="379"/>
        <v>107.25</v>
      </c>
      <c r="EV129" s="4">
        <f t="shared" si="265"/>
        <v>2.8706723256234209E-5</v>
      </c>
      <c r="EW129" s="4">
        <f t="shared" si="241"/>
        <v>3.1500035126994623</v>
      </c>
      <c r="EX129" s="4">
        <f t="shared" si="380"/>
        <v>336.12053824804821</v>
      </c>
      <c r="EY129" s="4">
        <f t="shared" si="381"/>
        <v>257.79845584350602</v>
      </c>
      <c r="EZ129" s="4">
        <f t="shared" si="382"/>
        <v>107.24999999999999</v>
      </c>
      <c r="FB129" s="4">
        <f t="shared" si="343"/>
        <v>0</v>
      </c>
      <c r="FG129" s="23">
        <f t="shared" si="344"/>
        <v>0.8</v>
      </c>
      <c r="FH129" s="23">
        <f t="shared" si="344"/>
        <v>1</v>
      </c>
      <c r="FI129" s="23">
        <f t="shared" ref="FI129:FI152" si="388">IF(CS129&lt;0.6,0.6,IF(CS129&lt;0.8,0.8,IF(CS129&lt;1,1,IF(CS129&lt;1.2,1.2,IF(CS129&lt;1.4,1.4,IF(CS129&lt;1.6,1.6,IF(CS129&lt;1.8,1.8,IF(CS129&lt;2,2,2.2))))))))</f>
        <v>1</v>
      </c>
      <c r="FJ129" s="23">
        <f t="shared" si="345"/>
        <v>2.2000000000000002</v>
      </c>
      <c r="FK129" s="23">
        <f t="shared" si="345"/>
        <v>1.2</v>
      </c>
      <c r="FL129" s="23">
        <f t="shared" si="345"/>
        <v>1.2</v>
      </c>
      <c r="FM129" s="23">
        <f t="shared" si="222"/>
        <v>0</v>
      </c>
      <c r="FN129" s="23"/>
      <c r="FX129" s="4">
        <f t="shared" si="267"/>
        <v>1</v>
      </c>
      <c r="FY129" s="4">
        <f t="shared" si="308"/>
        <v>0.8</v>
      </c>
      <c r="FZ129" s="4">
        <f t="shared" si="269"/>
        <v>0</v>
      </c>
      <c r="GA129" s="4">
        <f t="shared" si="270"/>
        <v>443.38802912623515</v>
      </c>
    </row>
    <row r="130" spans="1:183" ht="12" customHeight="1" x14ac:dyDescent="0.3">
      <c r="A130" s="25">
        <v>112</v>
      </c>
      <c r="B130" s="24" t="s">
        <v>128</v>
      </c>
      <c r="C130" s="24">
        <v>2015</v>
      </c>
      <c r="D130" s="24" t="s">
        <v>293</v>
      </c>
      <c r="E130" s="24"/>
      <c r="F130" s="7" t="s">
        <v>142</v>
      </c>
      <c r="G130" s="7">
        <v>710</v>
      </c>
      <c r="H130" s="7">
        <f t="shared" si="320"/>
        <v>572</v>
      </c>
      <c r="I130" s="7">
        <f t="shared" si="349"/>
        <v>572</v>
      </c>
      <c r="J130" s="7">
        <v>40.1</v>
      </c>
      <c r="K130" s="7">
        <v>28.6</v>
      </c>
      <c r="L130" s="7">
        <v>20</v>
      </c>
      <c r="M130" s="7">
        <f t="shared" si="350"/>
        <v>20</v>
      </c>
      <c r="N130" s="7">
        <v>406</v>
      </c>
      <c r="O130" s="7">
        <f>K130*3.5</f>
        <v>100.10000000000001</v>
      </c>
      <c r="P130" s="7"/>
      <c r="Q130" s="7">
        <f t="shared" si="384"/>
        <v>28.6</v>
      </c>
      <c r="R130" s="7">
        <v>2</v>
      </c>
      <c r="S130" s="7">
        <f t="shared" si="352"/>
        <v>58.2</v>
      </c>
      <c r="T130" s="7">
        <f t="shared" si="309"/>
        <v>1</v>
      </c>
      <c r="U130" s="7">
        <f t="shared" si="359"/>
        <v>2.534965034965035</v>
      </c>
      <c r="V130" s="7">
        <f t="shared" si="353"/>
        <v>4</v>
      </c>
      <c r="W130" s="7">
        <f t="shared" si="360"/>
        <v>4</v>
      </c>
      <c r="X130" s="7">
        <v>5</v>
      </c>
      <c r="Y130" s="7">
        <f t="shared" si="358"/>
        <v>63.951544156493995</v>
      </c>
      <c r="Z130" s="7"/>
      <c r="AA130" s="7"/>
      <c r="AB130" s="7">
        <v>442</v>
      </c>
      <c r="AC130" s="7"/>
      <c r="AD130" s="7">
        <f t="shared" si="339"/>
        <v>1.2204018199828255</v>
      </c>
      <c r="AE130" s="7">
        <v>0</v>
      </c>
      <c r="AF130" s="7">
        <v>0</v>
      </c>
      <c r="AG130" s="7">
        <f t="shared" si="354"/>
        <v>572</v>
      </c>
      <c r="AH130" s="7"/>
      <c r="AI130" s="7"/>
      <c r="AJ130" s="7"/>
      <c r="AK130" s="4">
        <f t="shared" si="283"/>
        <v>572</v>
      </c>
      <c r="AL130" s="46">
        <f t="shared" si="355"/>
        <v>4.8256910145022036E-2</v>
      </c>
      <c r="AM130" s="25">
        <f t="shared" si="272"/>
        <v>674.23964647118942</v>
      </c>
      <c r="AN130" s="4">
        <f t="shared" si="273"/>
        <v>0.72534965034965027</v>
      </c>
      <c r="AO130" s="4">
        <v>1.25</v>
      </c>
      <c r="AP130" s="25">
        <f t="shared" si="322"/>
        <v>5</v>
      </c>
      <c r="AQ130" s="38">
        <f t="shared" si="275"/>
        <v>147.50312470197355</v>
      </c>
      <c r="AR130" s="38">
        <f t="shared" si="276"/>
        <v>147.50312470197355</v>
      </c>
      <c r="AT130" s="38">
        <f t="shared" si="356"/>
        <v>147.50312470197341</v>
      </c>
      <c r="AU130" s="38">
        <f t="shared" si="247"/>
        <v>1.0000000000000009</v>
      </c>
      <c r="AV130" s="38">
        <f t="shared" si="333"/>
        <v>1.7551042201066884</v>
      </c>
      <c r="AW130" s="4">
        <f t="shared" si="328"/>
        <v>0</v>
      </c>
      <c r="AX130" s="4">
        <f t="shared" si="385"/>
        <v>666.57432416789743</v>
      </c>
      <c r="AY130" s="4">
        <f t="shared" si="386"/>
        <v>1.6139860139860138</v>
      </c>
      <c r="AZ130" s="38">
        <f t="shared" si="277"/>
        <v>258.88335664335665</v>
      </c>
      <c r="BA130" s="4">
        <f t="shared" si="387"/>
        <v>0.44000000000000006</v>
      </c>
      <c r="BB130" s="4">
        <f t="shared" si="248"/>
        <v>153.24543712619962</v>
      </c>
      <c r="BC130" s="4">
        <f t="shared" si="249"/>
        <v>412.1287937695563</v>
      </c>
      <c r="BE130" s="36">
        <f t="shared" si="317"/>
        <v>1.25</v>
      </c>
      <c r="BF130" s="36">
        <f t="shared" si="318"/>
        <v>427.44078537266421</v>
      </c>
      <c r="BK130" s="4">
        <f t="shared" si="361"/>
        <v>20.700000000000003</v>
      </c>
      <c r="BL130" s="4">
        <f t="shared" si="362"/>
        <v>20.700000000000003</v>
      </c>
      <c r="BM130" s="4">
        <f t="shared" si="363"/>
        <v>58.2</v>
      </c>
      <c r="BN130" s="4">
        <f t="shared" si="364"/>
        <v>35</v>
      </c>
      <c r="BO130" s="4">
        <f t="shared" si="365"/>
        <v>1.181159420289855</v>
      </c>
      <c r="BP130" s="25">
        <f t="shared" si="278"/>
        <v>1.4454748150400323</v>
      </c>
      <c r="BR130" s="4">
        <f t="shared" si="336"/>
        <v>14.3</v>
      </c>
      <c r="BV130" s="9"/>
      <c r="BX130" s="9"/>
      <c r="BY130" s="9"/>
      <c r="BZ130" s="9">
        <f t="shared" si="235"/>
        <v>14.3</v>
      </c>
      <c r="CA130" s="9">
        <f t="shared" si="236"/>
        <v>100.10000000000001</v>
      </c>
      <c r="CB130" s="9">
        <f t="shared" si="252"/>
        <v>0.94678137986575273</v>
      </c>
      <c r="CC130" s="9">
        <v>0</v>
      </c>
      <c r="CD130" s="9">
        <f t="shared" si="311"/>
        <v>0</v>
      </c>
      <c r="CE130" s="9">
        <f t="shared" si="253"/>
        <v>0</v>
      </c>
      <c r="CF130" s="9">
        <f t="shared" si="237"/>
        <v>0.96044432035915817</v>
      </c>
      <c r="CG130" s="9">
        <f t="shared" si="238"/>
        <v>0.74299999999999999</v>
      </c>
      <c r="CH130" s="9">
        <f t="shared" si="254"/>
        <v>1.5816166822222031</v>
      </c>
      <c r="CI130" s="9">
        <f t="shared" si="255"/>
        <v>1.4974452248130312</v>
      </c>
      <c r="CJ130" s="9">
        <v>1</v>
      </c>
      <c r="CK130" s="9">
        <f t="shared" si="256"/>
        <v>209.64233147382436</v>
      </c>
      <c r="CM130" s="4">
        <f t="shared" si="346"/>
        <v>0.66309184733714488</v>
      </c>
      <c r="CN130" s="4">
        <f t="shared" si="347"/>
        <v>1.0724802699593621</v>
      </c>
      <c r="CO130" s="4">
        <f t="shared" si="212"/>
        <v>1.0340613603698168</v>
      </c>
      <c r="CP130" s="4">
        <f t="shared" si="340"/>
        <v>2.1083528164023853</v>
      </c>
      <c r="CQ130" s="4">
        <f t="shared" si="214"/>
        <v>1.2204018199828255</v>
      </c>
      <c r="CR130" s="4">
        <f t="shared" si="215"/>
        <v>1.276229936668285</v>
      </c>
      <c r="CS130" s="4">
        <f t="shared" si="334"/>
        <v>0.74765212009280479</v>
      </c>
      <c r="CU130" s="4">
        <f t="shared" si="366"/>
        <v>0.66309184733714488</v>
      </c>
      <c r="CV130" s="4">
        <f t="shared" si="366"/>
        <v>1.0724802699593621</v>
      </c>
      <c r="CW130" s="4">
        <f t="shared" si="383"/>
        <v>2.1083528164023853</v>
      </c>
      <c r="CX130" s="4">
        <f t="shared" si="348"/>
        <v>0.74765212009280479</v>
      </c>
      <c r="CY130" s="4">
        <f t="shared" si="367"/>
        <v>1.2204018199828255</v>
      </c>
      <c r="CZ130" s="4">
        <f t="shared" si="367"/>
        <v>1.276229936668285</v>
      </c>
      <c r="DH130" s="4">
        <f t="shared" si="368"/>
        <v>0</v>
      </c>
      <c r="DI130" s="4">
        <f t="shared" si="369"/>
        <v>572</v>
      </c>
      <c r="DJ130" s="4">
        <f t="shared" si="370"/>
        <v>1</v>
      </c>
      <c r="DL130" s="4">
        <f t="shared" si="371"/>
        <v>3.8275631008312281E-5</v>
      </c>
      <c r="DM130" s="4">
        <f t="shared" si="372"/>
        <v>3.3423512159494768</v>
      </c>
      <c r="DN130" s="4">
        <f t="shared" si="342"/>
        <v>0.22883095259417338</v>
      </c>
      <c r="DO130" s="4">
        <f t="shared" si="257"/>
        <v>1.8529256412902424</v>
      </c>
      <c r="DP130" s="4">
        <f t="shared" si="258"/>
        <v>2.7030801817652446</v>
      </c>
      <c r="DQ130" s="4">
        <f t="shared" si="259"/>
        <v>3.0045936641224626</v>
      </c>
      <c r="DR130" s="38">
        <f t="shared" si="279"/>
        <v>362.17579551480856</v>
      </c>
      <c r="DS130" s="4">
        <f t="shared" si="260"/>
        <v>1.0000866980646379</v>
      </c>
      <c r="DT130" s="4">
        <f t="shared" si="335"/>
        <v>2.2360679774997898</v>
      </c>
      <c r="DU130" s="4">
        <f t="shared" si="280"/>
        <v>147.50312470197341</v>
      </c>
      <c r="DY130" s="4">
        <f t="shared" si="239"/>
        <v>1</v>
      </c>
      <c r="DZ130" s="4">
        <f t="shared" si="261"/>
        <v>1</v>
      </c>
      <c r="EA130" s="4">
        <f t="shared" si="262"/>
        <v>1</v>
      </c>
      <c r="EB130" s="4">
        <f t="shared" si="263"/>
        <v>1</v>
      </c>
      <c r="ED130" s="4">
        <f t="shared" si="281"/>
        <v>346.33257479751762</v>
      </c>
      <c r="EE130" s="25">
        <f t="shared" si="357"/>
        <v>145.79150184054899</v>
      </c>
      <c r="EH130" s="4">
        <f t="shared" si="319"/>
        <v>3.3423512159494768</v>
      </c>
      <c r="EI130" s="4">
        <f t="shared" si="373"/>
        <v>3.3423512159494768</v>
      </c>
      <c r="EK130" s="4">
        <f t="shared" si="374"/>
        <v>63.951544156493995</v>
      </c>
      <c r="EL130" s="4">
        <f t="shared" si="375"/>
        <v>2.2360679774997898</v>
      </c>
      <c r="EM130" s="4">
        <f t="shared" si="376"/>
        <v>7.9235941050490449E-2</v>
      </c>
      <c r="EP130" s="4">
        <f t="shared" si="337"/>
        <v>7.9235941050490449E-2</v>
      </c>
      <c r="EQ130" s="4">
        <f t="shared" si="338"/>
        <v>0.22844907638258577</v>
      </c>
      <c r="ER130" s="4">
        <f t="shared" si="377"/>
        <v>1.85168814648157</v>
      </c>
      <c r="ES130" s="4">
        <f t="shared" si="240"/>
        <v>2.7026590947952389</v>
      </c>
      <c r="ET130" s="4">
        <f t="shared" si="378"/>
        <v>365.04845584350602</v>
      </c>
      <c r="EU130" s="4">
        <f t="shared" si="379"/>
        <v>143</v>
      </c>
      <c r="EV130" s="4">
        <f t="shared" si="265"/>
        <v>3.8275631008312281E-5</v>
      </c>
      <c r="EW130" s="4">
        <f t="shared" si="241"/>
        <v>3.0046521727948186</v>
      </c>
      <c r="EX130" s="4">
        <f t="shared" si="380"/>
        <v>362.14439829635683</v>
      </c>
      <c r="EY130" s="4">
        <f t="shared" si="381"/>
        <v>365.04845584350602</v>
      </c>
      <c r="EZ130" s="4">
        <f t="shared" si="382"/>
        <v>143</v>
      </c>
      <c r="FB130" s="4">
        <f t="shared" si="343"/>
        <v>0</v>
      </c>
      <c r="FG130" s="23">
        <f t="shared" si="344"/>
        <v>0.8</v>
      </c>
      <c r="FH130" s="23">
        <f t="shared" si="344"/>
        <v>1.2</v>
      </c>
      <c r="FI130" s="23">
        <f t="shared" si="388"/>
        <v>0.8</v>
      </c>
      <c r="FJ130" s="23">
        <f t="shared" si="345"/>
        <v>2.2000000000000002</v>
      </c>
      <c r="FK130" s="23">
        <f t="shared" si="345"/>
        <v>1.4</v>
      </c>
      <c r="FL130" s="23">
        <f t="shared" si="345"/>
        <v>1.4</v>
      </c>
      <c r="FM130" s="23">
        <f t="shared" si="222"/>
        <v>0</v>
      </c>
      <c r="FN130" s="23"/>
      <c r="FX130" s="4">
        <f t="shared" si="267"/>
        <v>1</v>
      </c>
      <c r="FY130" s="4">
        <f t="shared" si="308"/>
        <v>0.8</v>
      </c>
      <c r="FZ130" s="4">
        <f t="shared" si="269"/>
        <v>0</v>
      </c>
      <c r="GA130" s="4">
        <f t="shared" si="270"/>
        <v>591.18403883498024</v>
      </c>
    </row>
    <row r="131" spans="1:183" ht="12" customHeight="1" x14ac:dyDescent="0.3">
      <c r="A131" s="25">
        <v>113</v>
      </c>
      <c r="B131" s="24" t="s">
        <v>128</v>
      </c>
      <c r="C131" s="24">
        <v>2015</v>
      </c>
      <c r="D131" s="24" t="s">
        <v>293</v>
      </c>
      <c r="E131" s="24"/>
      <c r="F131" s="7" t="s">
        <v>143</v>
      </c>
      <c r="G131" s="7">
        <v>710</v>
      </c>
      <c r="H131" s="7">
        <f t="shared" si="320"/>
        <v>715</v>
      </c>
      <c r="I131" s="7">
        <f t="shared" si="349"/>
        <v>715</v>
      </c>
      <c r="J131" s="7">
        <v>40.1</v>
      </c>
      <c r="K131" s="7">
        <v>28.6</v>
      </c>
      <c r="L131" s="7">
        <v>25</v>
      </c>
      <c r="M131" s="7">
        <f t="shared" si="350"/>
        <v>25</v>
      </c>
      <c r="N131" s="7">
        <v>406</v>
      </c>
      <c r="O131" s="7">
        <f>K131*3.5</f>
        <v>100.10000000000001</v>
      </c>
      <c r="P131" s="7"/>
      <c r="Q131" s="7">
        <f t="shared" si="384"/>
        <v>28.6</v>
      </c>
      <c r="R131" s="7">
        <v>2</v>
      </c>
      <c r="S131" s="7">
        <f t="shared" si="352"/>
        <v>58.2</v>
      </c>
      <c r="T131" s="7">
        <f t="shared" si="309"/>
        <v>1</v>
      </c>
      <c r="U131" s="7">
        <f t="shared" si="359"/>
        <v>2.534965034965035</v>
      </c>
      <c r="V131" s="7">
        <f t="shared" si="353"/>
        <v>4</v>
      </c>
      <c r="W131" s="7">
        <f t="shared" si="360"/>
        <v>4</v>
      </c>
      <c r="X131" s="7">
        <v>5</v>
      </c>
      <c r="Y131" s="7">
        <f t="shared" si="358"/>
        <v>63.951544156493995</v>
      </c>
      <c r="Z131" s="7"/>
      <c r="AA131" s="7"/>
      <c r="AB131" s="7">
        <v>501</v>
      </c>
      <c r="AC131" s="7"/>
      <c r="AD131" s="7">
        <f t="shared" si="339"/>
        <v>1.2715293577383433</v>
      </c>
      <c r="AE131" s="7">
        <v>0</v>
      </c>
      <c r="AF131" s="7">
        <v>0</v>
      </c>
      <c r="AG131" s="7">
        <f t="shared" si="354"/>
        <v>715</v>
      </c>
      <c r="AH131" s="7"/>
      <c r="AI131" s="7"/>
      <c r="AJ131" s="7"/>
      <c r="AK131" s="4">
        <f t="shared" si="283"/>
        <v>715</v>
      </c>
      <c r="AL131" s="46">
        <f t="shared" si="355"/>
        <v>3.08844224928141E-2</v>
      </c>
      <c r="AM131" s="25">
        <f t="shared" si="272"/>
        <v>942.2785516468773</v>
      </c>
      <c r="AN131" s="4">
        <f t="shared" si="273"/>
        <v>0.7202797202797202</v>
      </c>
      <c r="AO131" s="4">
        <v>1.25</v>
      </c>
      <c r="AP131" s="25">
        <f t="shared" si="322"/>
        <v>5</v>
      </c>
      <c r="AQ131" s="38">
        <f t="shared" si="275"/>
        <v>131.0086571758238</v>
      </c>
      <c r="AR131" s="38">
        <f t="shared" si="276"/>
        <v>131.0086571758238</v>
      </c>
      <c r="AT131" s="38">
        <f t="shared" si="356"/>
        <v>131.00865717582386</v>
      </c>
      <c r="AU131" s="38">
        <f t="shared" si="247"/>
        <v>0.99999999999999956</v>
      </c>
      <c r="AV131" s="38">
        <f t="shared" si="333"/>
        <v>1.9760782395923266</v>
      </c>
      <c r="AW131" s="4">
        <f t="shared" si="328"/>
        <v>0</v>
      </c>
      <c r="AX131" s="4">
        <f t="shared" si="385"/>
        <v>833.21790520987179</v>
      </c>
      <c r="AY131" s="4">
        <f t="shared" si="386"/>
        <v>1.6139860139860138</v>
      </c>
      <c r="AZ131" s="38">
        <f t="shared" si="277"/>
        <v>258.88335664335665</v>
      </c>
      <c r="BA131" s="4">
        <f t="shared" si="387"/>
        <v>0.44000000000000006</v>
      </c>
      <c r="BB131" s="4">
        <f t="shared" si="248"/>
        <v>191.55679640774952</v>
      </c>
      <c r="BC131" s="4">
        <f t="shared" si="249"/>
        <v>450.44015305110617</v>
      </c>
      <c r="BE131" s="36">
        <f t="shared" si="317"/>
        <v>1.25</v>
      </c>
      <c r="BF131" s="36">
        <f t="shared" si="318"/>
        <v>490.76534616861449</v>
      </c>
      <c r="BK131" s="4">
        <f t="shared" si="361"/>
        <v>20.700000000000003</v>
      </c>
      <c r="BL131" s="4">
        <f t="shared" si="362"/>
        <v>20.700000000000003</v>
      </c>
      <c r="BM131" s="4">
        <f t="shared" si="363"/>
        <v>58.2</v>
      </c>
      <c r="BN131" s="4">
        <f t="shared" si="364"/>
        <v>35</v>
      </c>
      <c r="BO131" s="4">
        <f t="shared" si="365"/>
        <v>1.181159420289855</v>
      </c>
      <c r="BP131" s="25">
        <f t="shared" si="278"/>
        <v>1.4454748150400323</v>
      </c>
      <c r="BR131" s="4">
        <f t="shared" si="336"/>
        <v>14.3</v>
      </c>
      <c r="BV131" s="9"/>
      <c r="BX131" s="9"/>
      <c r="BY131" s="9"/>
      <c r="BZ131" s="9">
        <f t="shared" si="235"/>
        <v>14.3</v>
      </c>
      <c r="CA131" s="9">
        <f t="shared" si="236"/>
        <v>100.10000000000001</v>
      </c>
      <c r="CB131" s="9">
        <f t="shared" si="252"/>
        <v>0.94678137986575273</v>
      </c>
      <c r="CC131" s="9">
        <v>0</v>
      </c>
      <c r="CD131" s="9">
        <f t="shared" si="311"/>
        <v>0</v>
      </c>
      <c r="CE131" s="9">
        <f t="shared" si="253"/>
        <v>0</v>
      </c>
      <c r="CF131" s="9">
        <f t="shared" si="237"/>
        <v>0.96044432035915817</v>
      </c>
      <c r="CG131" s="9">
        <f t="shared" si="238"/>
        <v>0.74299999999999999</v>
      </c>
      <c r="CH131" s="9">
        <f t="shared" si="254"/>
        <v>1.5816166822222031</v>
      </c>
      <c r="CI131" s="9">
        <f t="shared" si="255"/>
        <v>1.4974452248130312</v>
      </c>
      <c r="CJ131" s="9">
        <v>1</v>
      </c>
      <c r="CK131" s="9">
        <f t="shared" si="256"/>
        <v>239.59123597008499</v>
      </c>
      <c r="CM131" s="4">
        <f t="shared" si="346"/>
        <v>0.60128328600164638</v>
      </c>
      <c r="CN131" s="4">
        <f t="shared" si="347"/>
        <v>1.1122454261824155</v>
      </c>
      <c r="CO131" s="4">
        <f t="shared" si="212"/>
        <v>1.0208544753847986</v>
      </c>
      <c r="CP131" s="4">
        <f t="shared" si="340"/>
        <v>2.0910614612904879</v>
      </c>
      <c r="CQ131" s="4">
        <f t="shared" si="214"/>
        <v>1.2715293577383433</v>
      </c>
      <c r="CR131" s="4">
        <f t="shared" si="215"/>
        <v>1.317244290552404</v>
      </c>
      <c r="CS131" s="4">
        <f t="shared" si="334"/>
        <v>0.67796146998460671</v>
      </c>
      <c r="CU131" s="4">
        <f t="shared" si="366"/>
        <v>0.60128328600164638</v>
      </c>
      <c r="CV131" s="4">
        <f t="shared" si="366"/>
        <v>1.1122454261824155</v>
      </c>
      <c r="CW131" s="4">
        <f t="shared" si="383"/>
        <v>2.0910614612904879</v>
      </c>
      <c r="CX131" s="4">
        <f t="shared" si="348"/>
        <v>0.67796146998460671</v>
      </c>
      <c r="CY131" s="4">
        <f t="shared" si="367"/>
        <v>1.2715293577383433</v>
      </c>
      <c r="CZ131" s="4">
        <f t="shared" si="367"/>
        <v>1.317244290552404</v>
      </c>
      <c r="DH131" s="4">
        <f t="shared" si="368"/>
        <v>0</v>
      </c>
      <c r="DI131" s="4">
        <f t="shared" si="369"/>
        <v>715</v>
      </c>
      <c r="DJ131" s="4">
        <f t="shared" si="370"/>
        <v>1</v>
      </c>
      <c r="DL131" s="4">
        <f t="shared" si="371"/>
        <v>4.7844538760390357E-5</v>
      </c>
      <c r="DM131" s="4">
        <f t="shared" si="372"/>
        <v>3.3423512159494768</v>
      </c>
      <c r="DN131" s="4">
        <f t="shared" si="342"/>
        <v>0.20324203897509832</v>
      </c>
      <c r="DO131" s="4">
        <f t="shared" si="257"/>
        <v>1.7670852472226173</v>
      </c>
      <c r="DP131" s="4">
        <f t="shared" si="258"/>
        <v>2.6744142720436348</v>
      </c>
      <c r="DQ131" s="4">
        <f t="shared" si="259"/>
        <v>2.821575209296785</v>
      </c>
      <c r="DR131" s="38">
        <f t="shared" si="279"/>
        <v>394.01371030168252</v>
      </c>
      <c r="DS131" s="4">
        <f t="shared" si="260"/>
        <v>1.0000864763076034</v>
      </c>
      <c r="DT131" s="4">
        <f t="shared" si="335"/>
        <v>2.2360679774997898</v>
      </c>
      <c r="DU131" s="4">
        <f t="shared" si="280"/>
        <v>131.00865717582386</v>
      </c>
      <c r="DY131" s="4">
        <f t="shared" si="239"/>
        <v>1</v>
      </c>
      <c r="DZ131" s="4">
        <f t="shared" si="261"/>
        <v>1</v>
      </c>
      <c r="EA131" s="4">
        <f t="shared" si="262"/>
        <v>1</v>
      </c>
      <c r="EB131" s="4">
        <f t="shared" si="263"/>
        <v>1</v>
      </c>
      <c r="ED131" s="4">
        <f t="shared" si="281"/>
        <v>380.33947354586667</v>
      </c>
      <c r="EE131" s="25">
        <f t="shared" si="357"/>
        <v>129.66313234965591</v>
      </c>
      <c r="EH131" s="4">
        <f t="shared" si="319"/>
        <v>3.3423512159494768</v>
      </c>
      <c r="EI131" s="4">
        <f t="shared" si="373"/>
        <v>3.3423512159494768</v>
      </c>
      <c r="EK131" s="4">
        <f t="shared" si="374"/>
        <v>63.951544156493995</v>
      </c>
      <c r="EL131" s="4">
        <f t="shared" si="375"/>
        <v>2.2360679774997898</v>
      </c>
      <c r="EM131" s="4">
        <f t="shared" si="376"/>
        <v>7.037541921949951E-2</v>
      </c>
      <c r="EP131" s="4">
        <f t="shared" si="337"/>
        <v>7.037541921949951E-2</v>
      </c>
      <c r="EQ131" s="4">
        <f t="shared" si="338"/>
        <v>0.20290286589121573</v>
      </c>
      <c r="ER131" s="4">
        <f t="shared" si="377"/>
        <v>1.7659050817744251</v>
      </c>
      <c r="ES131" s="4">
        <f t="shared" si="240"/>
        <v>2.6740279431045169</v>
      </c>
      <c r="ET131" s="4">
        <f t="shared" si="378"/>
        <v>472.29845584350602</v>
      </c>
      <c r="EU131" s="4">
        <f t="shared" si="379"/>
        <v>178.74999999999994</v>
      </c>
      <c r="EV131" s="4">
        <f t="shared" si="265"/>
        <v>4.784453876039033E-5</v>
      </c>
      <c r="EW131" s="4">
        <f t="shared" si="241"/>
        <v>2.8216554115148091</v>
      </c>
      <c r="EX131" s="4">
        <f t="shared" si="380"/>
        <v>393.97964039711007</v>
      </c>
      <c r="EY131" s="4">
        <f t="shared" si="381"/>
        <v>472.29845584350602</v>
      </c>
      <c r="EZ131" s="4">
        <f t="shared" si="382"/>
        <v>178.75</v>
      </c>
      <c r="FB131" s="4">
        <f t="shared" si="343"/>
        <v>0</v>
      </c>
      <c r="FG131" s="23">
        <f t="shared" si="344"/>
        <v>0.8</v>
      </c>
      <c r="FH131" s="23">
        <f t="shared" si="344"/>
        <v>1.2</v>
      </c>
      <c r="FI131" s="23">
        <f t="shared" si="388"/>
        <v>0.8</v>
      </c>
      <c r="FJ131" s="23">
        <f t="shared" si="345"/>
        <v>2.2000000000000002</v>
      </c>
      <c r="FK131" s="23">
        <f t="shared" si="345"/>
        <v>1.4</v>
      </c>
      <c r="FL131" s="23">
        <f t="shared" si="345"/>
        <v>1.4</v>
      </c>
      <c r="FM131" s="23">
        <f t="shared" si="222"/>
        <v>0</v>
      </c>
      <c r="FN131" s="23"/>
      <c r="FX131" s="4">
        <f t="shared" si="267"/>
        <v>1</v>
      </c>
      <c r="FY131" s="4">
        <f t="shared" si="308"/>
        <v>0.8</v>
      </c>
      <c r="FZ131" s="4">
        <f t="shared" si="269"/>
        <v>0</v>
      </c>
      <c r="GA131" s="4">
        <f t="shared" si="270"/>
        <v>738.98004854372527</v>
      </c>
    </row>
    <row r="132" spans="1:183" ht="12" customHeight="1" x14ac:dyDescent="0.3">
      <c r="A132" s="25">
        <v>114</v>
      </c>
      <c r="B132" s="24" t="s">
        <v>128</v>
      </c>
      <c r="C132" s="24">
        <v>2015</v>
      </c>
      <c r="D132" s="24" t="s">
        <v>293</v>
      </c>
      <c r="E132" s="24"/>
      <c r="F132" s="7" t="s">
        <v>134</v>
      </c>
      <c r="G132" s="7">
        <v>601</v>
      </c>
      <c r="H132" s="7">
        <f t="shared" si="320"/>
        <v>508</v>
      </c>
      <c r="I132" s="7">
        <f t="shared" si="349"/>
        <v>508</v>
      </c>
      <c r="J132" s="7">
        <v>41.4</v>
      </c>
      <c r="K132" s="7">
        <v>25.4</v>
      </c>
      <c r="L132" s="7">
        <v>20</v>
      </c>
      <c r="M132" s="7">
        <f t="shared" si="350"/>
        <v>20</v>
      </c>
      <c r="N132" s="7">
        <v>225</v>
      </c>
      <c r="O132" s="7">
        <f t="shared" si="351"/>
        <v>25.4</v>
      </c>
      <c r="P132" s="7"/>
      <c r="Q132" s="7">
        <f t="shared" si="384"/>
        <v>25.4</v>
      </c>
      <c r="R132" s="7">
        <v>2</v>
      </c>
      <c r="S132" s="7">
        <f t="shared" si="352"/>
        <v>59.8</v>
      </c>
      <c r="T132" s="7">
        <f t="shared" si="309"/>
        <v>1</v>
      </c>
      <c r="U132" s="7">
        <f t="shared" si="359"/>
        <v>1.4999999999999998</v>
      </c>
      <c r="V132" s="7">
        <f t="shared" si="353"/>
        <v>4</v>
      </c>
      <c r="W132" s="7">
        <f t="shared" si="360"/>
        <v>4</v>
      </c>
      <c r="X132" s="7">
        <v>5</v>
      </c>
      <c r="Y132" s="7">
        <f t="shared" si="358"/>
        <v>56.796126628494655</v>
      </c>
      <c r="Z132" s="7"/>
      <c r="AA132" s="7"/>
      <c r="AB132" s="7">
        <v>326</v>
      </c>
      <c r="AC132" s="7"/>
      <c r="AD132" s="7">
        <f t="shared" si="339"/>
        <v>0.98237511321915549</v>
      </c>
      <c r="AE132" s="7">
        <v>0</v>
      </c>
      <c r="AF132" s="7">
        <v>0</v>
      </c>
      <c r="AG132" s="7">
        <f t="shared" si="354"/>
        <v>508</v>
      </c>
      <c r="AH132" s="7"/>
      <c r="AI132" s="7"/>
      <c r="AJ132" s="7"/>
      <c r="AK132" s="4">
        <f t="shared" si="283"/>
        <v>508</v>
      </c>
      <c r="AL132" s="46">
        <f t="shared" si="355"/>
        <v>3.3906317812635624E-2</v>
      </c>
      <c r="AM132" s="25">
        <f t="shared" si="272"/>
        <v>726.95650773025864</v>
      </c>
      <c r="AN132" s="4">
        <f t="shared" si="273"/>
        <v>0.71499999999999997</v>
      </c>
      <c r="AO132" s="4">
        <v>1.25</v>
      </c>
      <c r="AP132" s="25">
        <f t="shared" si="322"/>
        <v>5</v>
      </c>
      <c r="AQ132" s="38">
        <f t="shared" si="275"/>
        <v>110.14761966720054</v>
      </c>
      <c r="AR132" s="38">
        <f t="shared" si="276"/>
        <v>110.14761966720054</v>
      </c>
      <c r="AT132" s="38">
        <f t="shared" si="356"/>
        <v>110.14761966720066</v>
      </c>
      <c r="AU132" s="38">
        <f t="shared" si="247"/>
        <v>0.999999999999999</v>
      </c>
      <c r="AV132" s="38">
        <f t="shared" si="333"/>
        <v>1.8041243251593759</v>
      </c>
      <c r="AW132" s="4">
        <f t="shared" si="328"/>
        <v>0</v>
      </c>
      <c r="AX132" s="4">
        <f t="shared" si="385"/>
        <v>677.29296598506994</v>
      </c>
      <c r="AY132" s="4">
        <f t="shared" si="386"/>
        <v>1.2</v>
      </c>
      <c r="AZ132" s="38">
        <f t="shared" si="277"/>
        <v>198.72</v>
      </c>
      <c r="BA132" s="4">
        <f t="shared" si="387"/>
        <v>0.44000000000000006</v>
      </c>
      <c r="BB132" s="4">
        <f t="shared" si="248"/>
        <v>155.70965287996762</v>
      </c>
      <c r="BC132" s="4">
        <f t="shared" si="249"/>
        <v>354.42965287996765</v>
      </c>
      <c r="BE132" s="36">
        <f t="shared" si="317"/>
        <v>1</v>
      </c>
      <c r="BF132" s="36">
        <f t="shared" si="318"/>
        <v>347.4512915503409</v>
      </c>
      <c r="BK132" s="4">
        <f t="shared" si="361"/>
        <v>19.100000000000001</v>
      </c>
      <c r="BL132" s="4">
        <f t="shared" si="362"/>
        <v>19.100000000000001</v>
      </c>
      <c r="BM132" s="4">
        <f t="shared" si="363"/>
        <v>59.8</v>
      </c>
      <c r="BN132" s="4">
        <f t="shared" si="364"/>
        <v>31.8</v>
      </c>
      <c r="BO132" s="4">
        <f t="shared" si="365"/>
        <v>1.213089005235602</v>
      </c>
      <c r="BP132" s="25">
        <f t="shared" si="278"/>
        <v>1.51874922702725</v>
      </c>
      <c r="BR132" s="4">
        <f t="shared" si="336"/>
        <v>12.7</v>
      </c>
      <c r="BV132" s="9"/>
      <c r="BX132" s="9"/>
      <c r="BY132" s="9"/>
      <c r="BZ132" s="9">
        <f t="shared" ref="BZ132:BZ152" si="389">IF(Q132=0,MIN(O132,P132),MIN(Q132/2,O132,P132))</f>
        <v>12.7</v>
      </c>
      <c r="CA132" s="9">
        <f t="shared" ref="CA132:CA152" si="390">MAX(Q132/2,O132)</f>
        <v>25.4</v>
      </c>
      <c r="CB132" s="9">
        <f t="shared" si="252"/>
        <v>0.78458409789675088</v>
      </c>
      <c r="CC132" s="9">
        <v>0</v>
      </c>
      <c r="CD132" s="9">
        <f t="shared" si="311"/>
        <v>0</v>
      </c>
      <c r="CE132" s="9">
        <f t="shared" si="253"/>
        <v>0</v>
      </c>
      <c r="CF132" s="9">
        <f t="shared" ref="CF132:CF152" si="391">MIN(1,(25/K132)^0.3)</f>
        <v>0.99524931562137331</v>
      </c>
      <c r="CG132" s="9">
        <f t="shared" ref="CG132:CG152" si="392">IF(G132&gt;=800,0.68,IF(G132&gt;=700,0.75-(G132-700)*0.07/100,IF(G132&gt;=600,0.85-(G132-600)*0.1/100,IF(G132&gt;=500,1-(G132-500)*0.15/100,1.2-(G132-400)*0.2/100))))</f>
        <v>0.84899999999999998</v>
      </c>
      <c r="CH132" s="9">
        <f t="shared" si="254"/>
        <v>1.9028641880890567</v>
      </c>
      <c r="CI132" s="9">
        <f t="shared" si="255"/>
        <v>1.4929569824318858</v>
      </c>
      <c r="CJ132" s="9">
        <v>1</v>
      </c>
      <c r="CK132" s="9">
        <f t="shared" si="256"/>
        <v>209.013977540464</v>
      </c>
      <c r="CM132" s="4">
        <f t="shared" si="346"/>
        <v>0.48132789852004199</v>
      </c>
      <c r="CN132" s="4">
        <f t="shared" si="347"/>
        <v>0.91978760058883746</v>
      </c>
      <c r="CO132" s="4">
        <f t="shared" si="212"/>
        <v>0.93826101076031576</v>
      </c>
      <c r="CP132" s="4">
        <f t="shared" si="340"/>
        <v>1.5597043022488204</v>
      </c>
      <c r="CQ132" s="4">
        <f t="shared" si="214"/>
        <v>0.98237511321915549</v>
      </c>
      <c r="CR132" s="4">
        <f t="shared" si="215"/>
        <v>1.0094326350055061</v>
      </c>
      <c r="CS132" s="4">
        <f t="shared" si="334"/>
        <v>0.64442853496754349</v>
      </c>
      <c r="CU132" s="4">
        <f t="shared" si="366"/>
        <v>0.48132789852004199</v>
      </c>
      <c r="CV132" s="4">
        <f t="shared" si="366"/>
        <v>0.91978760058883746</v>
      </c>
      <c r="CW132" s="4">
        <f t="shared" si="383"/>
        <v>1.5597043022488204</v>
      </c>
      <c r="CX132" s="4">
        <f t="shared" si="348"/>
        <v>0.64442853496754349</v>
      </c>
      <c r="CY132" s="4">
        <f t="shared" si="367"/>
        <v>0.98237511321915549</v>
      </c>
      <c r="CZ132" s="4">
        <f t="shared" si="367"/>
        <v>1.0094326350055061</v>
      </c>
      <c r="DH132" s="4">
        <f t="shared" si="368"/>
        <v>0</v>
      </c>
      <c r="DI132" s="4">
        <f t="shared" si="369"/>
        <v>508</v>
      </c>
      <c r="DJ132" s="4">
        <f t="shared" si="370"/>
        <v>1</v>
      </c>
      <c r="DL132" s="4">
        <f t="shared" si="371"/>
        <v>3.8605280992638798E-5</v>
      </c>
      <c r="DM132" s="4">
        <f t="shared" si="372"/>
        <v>3.5682527467332243</v>
      </c>
      <c r="DN132" s="4">
        <f t="shared" si="342"/>
        <v>0.14699426103981272</v>
      </c>
      <c r="DO132" s="4">
        <f t="shared" si="257"/>
        <v>1.6572031895700639</v>
      </c>
      <c r="DP132" s="4">
        <f t="shared" si="258"/>
        <v>2.7839817622382004</v>
      </c>
      <c r="DQ132" s="4">
        <f t="shared" si="259"/>
        <v>3.2370243009413513</v>
      </c>
      <c r="DR132" s="38">
        <f t="shared" si="279"/>
        <v>331.84879748401517</v>
      </c>
      <c r="DS132" s="4">
        <f t="shared" si="260"/>
        <v>1.0000769602945356</v>
      </c>
      <c r="DT132" s="4">
        <f t="shared" si="335"/>
        <v>2.2360679774997898</v>
      </c>
      <c r="DU132" s="4">
        <f t="shared" si="280"/>
        <v>110.14761966720066</v>
      </c>
      <c r="DY132" s="4">
        <f t="shared" ref="DY132:DY152" si="393">IF(P132&gt;1*K132,0.85,1)</f>
        <v>1</v>
      </c>
      <c r="DZ132" s="4">
        <f t="shared" si="261"/>
        <v>1</v>
      </c>
      <c r="EA132" s="4">
        <f t="shared" si="262"/>
        <v>1</v>
      </c>
      <c r="EB132" s="4">
        <f t="shared" si="263"/>
        <v>1</v>
      </c>
      <c r="ED132" s="4">
        <f t="shared" si="281"/>
        <v>322.9536956651117</v>
      </c>
      <c r="EE132" s="25">
        <f t="shared" si="357"/>
        <v>108.85853086111824</v>
      </c>
      <c r="EH132" s="4">
        <f t="shared" si="319"/>
        <v>3.5682527467332243</v>
      </c>
      <c r="EI132" s="4">
        <f t="shared" si="373"/>
        <v>3.5682527467332243</v>
      </c>
      <c r="EK132" s="4">
        <f t="shared" si="374"/>
        <v>56.796126628494655</v>
      </c>
      <c r="EL132" s="4">
        <f t="shared" si="375"/>
        <v>2.2360679774997898</v>
      </c>
      <c r="EM132" s="4">
        <f t="shared" si="376"/>
        <v>5.1717296623853881E-2</v>
      </c>
      <c r="EP132" s="4">
        <f t="shared" si="337"/>
        <v>5.1717296623853881E-2</v>
      </c>
      <c r="EQ132" s="4">
        <f t="shared" si="338"/>
        <v>0.14674895501414331</v>
      </c>
      <c r="ER132" s="4">
        <f t="shared" si="377"/>
        <v>1.6560964099463651</v>
      </c>
      <c r="ES132" s="4">
        <f t="shared" ref="ES132:ES152" si="394">EH132/1.4*(1-EQ132^1.4)/(1-EQ132)</f>
        <v>2.7836576591476994</v>
      </c>
      <c r="ET132" s="4">
        <f t="shared" si="378"/>
        <v>324.20387337150532</v>
      </c>
      <c r="EU132" s="4">
        <f t="shared" si="379"/>
        <v>127</v>
      </c>
      <c r="EV132" s="4">
        <f t="shared" si="265"/>
        <v>3.8605280992638798E-5</v>
      </c>
      <c r="EW132" s="4">
        <f t="shared" ref="EW132:EW152" si="395">MAX(0.5*EH132, (1-2*EV132*(EK132*ER132+ET132*ES132))/(1/EH132+EV132*EU132))</f>
        <v>3.2370697730071787</v>
      </c>
      <c r="EX132" s="4">
        <f t="shared" si="380"/>
        <v>331.82326026817117</v>
      </c>
      <c r="EY132" s="4">
        <f t="shared" si="381"/>
        <v>324.20387337150532</v>
      </c>
      <c r="EZ132" s="4">
        <f t="shared" si="382"/>
        <v>127.00000000000003</v>
      </c>
      <c r="FB132" s="4">
        <f t="shared" si="343"/>
        <v>0</v>
      </c>
      <c r="FG132" s="23">
        <f t="shared" si="344"/>
        <v>0.6</v>
      </c>
      <c r="FH132" s="23">
        <f t="shared" si="344"/>
        <v>1</v>
      </c>
      <c r="FI132" s="23">
        <f t="shared" si="388"/>
        <v>0.8</v>
      </c>
      <c r="FJ132" s="23">
        <f t="shared" si="345"/>
        <v>1.6</v>
      </c>
      <c r="FK132" s="23">
        <f t="shared" si="345"/>
        <v>1</v>
      </c>
      <c r="FL132" s="23">
        <f t="shared" si="345"/>
        <v>1.2</v>
      </c>
      <c r="FM132" s="23">
        <f t="shared" si="222"/>
        <v>0</v>
      </c>
      <c r="FN132" s="23"/>
      <c r="FX132" s="4">
        <f t="shared" si="267"/>
        <v>1.25</v>
      </c>
      <c r="FY132" s="4">
        <f t="shared" si="308"/>
        <v>0.8</v>
      </c>
      <c r="FZ132" s="4">
        <f t="shared" si="269"/>
        <v>0</v>
      </c>
      <c r="GA132" s="4">
        <f t="shared" si="270"/>
        <v>505.87455755108505</v>
      </c>
    </row>
    <row r="133" spans="1:183" ht="12" customHeight="1" x14ac:dyDescent="0.3">
      <c r="A133" s="25">
        <v>115</v>
      </c>
      <c r="B133" s="24" t="s">
        <v>128</v>
      </c>
      <c r="C133" s="24">
        <v>2015</v>
      </c>
      <c r="D133" s="24" t="s">
        <v>293</v>
      </c>
      <c r="E133" s="24"/>
      <c r="F133" s="7" t="s">
        <v>135</v>
      </c>
      <c r="G133" s="7">
        <v>601</v>
      </c>
      <c r="H133" s="7">
        <f t="shared" si="320"/>
        <v>635</v>
      </c>
      <c r="I133" s="7">
        <f t="shared" si="349"/>
        <v>635</v>
      </c>
      <c r="J133" s="7">
        <v>41.4</v>
      </c>
      <c r="K133" s="7">
        <v>25.4</v>
      </c>
      <c r="L133" s="7">
        <v>25</v>
      </c>
      <c r="M133" s="7">
        <f t="shared" si="350"/>
        <v>25</v>
      </c>
      <c r="N133" s="7">
        <v>225</v>
      </c>
      <c r="O133" s="7">
        <f t="shared" si="351"/>
        <v>25.4</v>
      </c>
      <c r="P133" s="7"/>
      <c r="Q133" s="7">
        <f t="shared" si="384"/>
        <v>25.4</v>
      </c>
      <c r="R133" s="7">
        <v>2</v>
      </c>
      <c r="S133" s="7">
        <f>72.5-K133/2</f>
        <v>59.8</v>
      </c>
      <c r="T133" s="7">
        <f t="shared" si="309"/>
        <v>1</v>
      </c>
      <c r="U133" s="7">
        <f t="shared" si="359"/>
        <v>1.4999999999999998</v>
      </c>
      <c r="V133" s="7">
        <f t="shared" si="353"/>
        <v>4</v>
      </c>
      <c r="W133" s="7">
        <f t="shared" si="360"/>
        <v>4</v>
      </c>
      <c r="X133" s="7">
        <v>5</v>
      </c>
      <c r="Y133" s="7">
        <f t="shared" si="358"/>
        <v>56.796126628494655</v>
      </c>
      <c r="Z133" s="7"/>
      <c r="AA133" s="7"/>
      <c r="AB133" s="7">
        <v>408</v>
      </c>
      <c r="AC133" s="7"/>
      <c r="AD133" s="7">
        <f t="shared" si="339"/>
        <v>1.0994263216866613</v>
      </c>
      <c r="AE133" s="7">
        <v>0</v>
      </c>
      <c r="AF133" s="7">
        <v>0</v>
      </c>
      <c r="AG133" s="7">
        <f t="shared" si="354"/>
        <v>635</v>
      </c>
      <c r="AH133" s="7"/>
      <c r="AI133" s="7"/>
      <c r="AJ133" s="7"/>
      <c r="AK133" s="4">
        <f t="shared" si="283"/>
        <v>635</v>
      </c>
      <c r="AL133" s="46">
        <f t="shared" si="355"/>
        <v>2.1700043400086799E-2</v>
      </c>
      <c r="AM133" s="25">
        <f t="shared" si="272"/>
        <v>1015.952604981694</v>
      </c>
      <c r="AN133" s="4">
        <f t="shared" si="273"/>
        <v>0.71199999999999997</v>
      </c>
      <c r="AO133" s="4">
        <v>1.25</v>
      </c>
      <c r="AP133" s="25">
        <f t="shared" si="322"/>
        <v>5</v>
      </c>
      <c r="AQ133" s="38">
        <f t="shared" si="275"/>
        <v>98.105659511376288</v>
      </c>
      <c r="AR133" s="38">
        <f t="shared" si="276"/>
        <v>98.105659511376288</v>
      </c>
      <c r="AT133" s="38">
        <f t="shared" si="356"/>
        <v>98.105659511376331</v>
      </c>
      <c r="AU133" s="38">
        <f t="shared" si="247"/>
        <v>0.99999999999999956</v>
      </c>
      <c r="AV133" s="38">
        <f t="shared" si="333"/>
        <v>2.0255712156642343</v>
      </c>
      <c r="AW133" s="4">
        <f t="shared" si="328"/>
        <v>0</v>
      </c>
      <c r="AX133" s="4">
        <f t="shared" si="385"/>
        <v>846.61620748133748</v>
      </c>
      <c r="AY133" s="4">
        <f t="shared" si="386"/>
        <v>1.2</v>
      </c>
      <c r="AZ133" s="38">
        <f t="shared" si="277"/>
        <v>198.72</v>
      </c>
      <c r="BA133" s="4">
        <f t="shared" si="387"/>
        <v>0.44000000000000006</v>
      </c>
      <c r="BB133" s="4">
        <f t="shared" si="248"/>
        <v>194.63706609995953</v>
      </c>
      <c r="BC133" s="4">
        <f t="shared" si="249"/>
        <v>393.35706609995952</v>
      </c>
      <c r="BE133" s="36">
        <f t="shared" si="317"/>
        <v>1</v>
      </c>
      <c r="BF133" s="36">
        <f t="shared" si="318"/>
        <v>398.92555696520623</v>
      </c>
      <c r="BK133" s="4">
        <f t="shared" si="361"/>
        <v>19.100000000000001</v>
      </c>
      <c r="BL133" s="4">
        <f t="shared" si="362"/>
        <v>19.100000000000001</v>
      </c>
      <c r="BM133" s="4">
        <f t="shared" si="363"/>
        <v>59.8</v>
      </c>
      <c r="BN133" s="4">
        <f t="shared" si="364"/>
        <v>31.8</v>
      </c>
      <c r="BO133" s="4">
        <f t="shared" si="365"/>
        <v>1.213089005235602</v>
      </c>
      <c r="BP133" s="25">
        <f t="shared" si="278"/>
        <v>1.51874922702725</v>
      </c>
      <c r="BR133" s="4">
        <f t="shared" si="336"/>
        <v>12.7</v>
      </c>
      <c r="BV133" s="9"/>
      <c r="BX133" s="9"/>
      <c r="BY133" s="9"/>
      <c r="BZ133" s="9">
        <f t="shared" si="389"/>
        <v>12.7</v>
      </c>
      <c r="CA133" s="9">
        <f t="shared" si="390"/>
        <v>25.4</v>
      </c>
      <c r="CB133" s="9">
        <f t="shared" si="252"/>
        <v>0.78458409789675088</v>
      </c>
      <c r="CC133" s="9">
        <v>0</v>
      </c>
      <c r="CD133" s="9">
        <f t="shared" si="311"/>
        <v>0</v>
      </c>
      <c r="CE133" s="9">
        <f t="shared" si="253"/>
        <v>0</v>
      </c>
      <c r="CF133" s="9">
        <f t="shared" si="391"/>
        <v>0.99524931562137331</v>
      </c>
      <c r="CG133" s="9">
        <f t="shared" si="392"/>
        <v>0.84899999999999998</v>
      </c>
      <c r="CH133" s="9">
        <f t="shared" si="254"/>
        <v>1.9028641880890567</v>
      </c>
      <c r="CI133" s="9">
        <f t="shared" si="255"/>
        <v>1.4929569824318858</v>
      </c>
      <c r="CJ133" s="9">
        <v>1</v>
      </c>
      <c r="CK133" s="9">
        <f t="shared" si="256"/>
        <v>238.87311718910172</v>
      </c>
      <c r="CM133" s="4">
        <f t="shared" si="346"/>
        <v>0.48191848489859418</v>
      </c>
      <c r="CN133" s="4">
        <f t="shared" si="347"/>
        <v>1.0372255519526359</v>
      </c>
      <c r="CO133" s="4">
        <f t="shared" si="212"/>
        <v>1.0227472090377634</v>
      </c>
      <c r="CP133" s="4">
        <f t="shared" si="340"/>
        <v>1.7080197420332173</v>
      </c>
      <c r="CQ133" s="4">
        <f t="shared" si="214"/>
        <v>1.0994263216866613</v>
      </c>
      <c r="CR133" s="4">
        <f t="shared" si="215"/>
        <v>1.1186948523610185</v>
      </c>
      <c r="CS133" s="4">
        <f t="shared" si="334"/>
        <v>0.64521924482639936</v>
      </c>
      <c r="CU133" s="4">
        <f t="shared" si="366"/>
        <v>0.48191848489859418</v>
      </c>
      <c r="CV133" s="4">
        <f t="shared" si="366"/>
        <v>1.0372255519526359</v>
      </c>
      <c r="CW133" s="4">
        <f t="shared" si="383"/>
        <v>1.7080197420332173</v>
      </c>
      <c r="CX133" s="4">
        <f t="shared" si="348"/>
        <v>0.64521924482639936</v>
      </c>
      <c r="CY133" s="4">
        <f t="shared" si="367"/>
        <v>1.0994263216866613</v>
      </c>
      <c r="CZ133" s="4">
        <f t="shared" si="367"/>
        <v>1.1186948523610185</v>
      </c>
      <c r="DH133" s="4">
        <f t="shared" si="368"/>
        <v>0</v>
      </c>
      <c r="DI133" s="4">
        <f t="shared" si="369"/>
        <v>635</v>
      </c>
      <c r="DJ133" s="4">
        <f t="shared" si="370"/>
        <v>1</v>
      </c>
      <c r="DL133" s="4">
        <f t="shared" si="371"/>
        <v>4.8256601240798488E-5</v>
      </c>
      <c r="DM133" s="4">
        <f t="shared" si="372"/>
        <v>3.5682527467332243</v>
      </c>
      <c r="DN133" s="4">
        <f t="shared" si="342"/>
        <v>0.13092401785231186</v>
      </c>
      <c r="DO133" s="4">
        <f t="shared" si="257"/>
        <v>1.5822071349669731</v>
      </c>
      <c r="DP133" s="4">
        <f t="shared" si="258"/>
        <v>2.7624609360085506</v>
      </c>
      <c r="DQ133" s="4">
        <f t="shared" si="259"/>
        <v>3.0547564676061842</v>
      </c>
      <c r="DR133" s="38">
        <f t="shared" si="279"/>
        <v>371.10263048284628</v>
      </c>
      <c r="DS133" s="4">
        <f t="shared" si="260"/>
        <v>1.0000741331081429</v>
      </c>
      <c r="DT133" s="4">
        <f t="shared" si="335"/>
        <v>2.2360679774997898</v>
      </c>
      <c r="DU133" s="4">
        <f t="shared" si="280"/>
        <v>98.105659511376331</v>
      </c>
      <c r="DY133" s="4">
        <f t="shared" si="393"/>
        <v>1</v>
      </c>
      <c r="DZ133" s="4">
        <f t="shared" si="261"/>
        <v>1</v>
      </c>
      <c r="EA133" s="4">
        <f t="shared" si="262"/>
        <v>1</v>
      </c>
      <c r="EB133" s="4">
        <f t="shared" si="263"/>
        <v>1</v>
      </c>
      <c r="ED133" s="4">
        <f t="shared" si="281"/>
        <v>364.71071547250909</v>
      </c>
      <c r="EE133" s="25">
        <f t="shared" si="357"/>
        <v>97.09175946751725</v>
      </c>
      <c r="EH133" s="4">
        <f t="shared" si="319"/>
        <v>3.5682527467332243</v>
      </c>
      <c r="EI133" s="4">
        <f t="shared" si="373"/>
        <v>3.5682527467332243</v>
      </c>
      <c r="EK133" s="4">
        <f t="shared" si="374"/>
        <v>56.796126628494655</v>
      </c>
      <c r="EL133" s="4">
        <f t="shared" si="375"/>
        <v>2.2360679774997898</v>
      </c>
      <c r="EM133" s="4">
        <f t="shared" si="376"/>
        <v>4.6063269535542281E-2</v>
      </c>
      <c r="EP133" s="4">
        <f t="shared" si="337"/>
        <v>4.6063269535542281E-2</v>
      </c>
      <c r="EQ133" s="4">
        <f t="shared" si="338"/>
        <v>0.13070553006743624</v>
      </c>
      <c r="ER133" s="4">
        <f t="shared" si="377"/>
        <v>1.5811504422038443</v>
      </c>
      <c r="ES133" s="4">
        <f t="shared" si="394"/>
        <v>2.7621641591792314</v>
      </c>
      <c r="ET133" s="4">
        <f t="shared" si="378"/>
        <v>419.45387337150532</v>
      </c>
      <c r="EU133" s="4">
        <f t="shared" si="379"/>
        <v>158.75</v>
      </c>
      <c r="EV133" s="4">
        <f t="shared" si="265"/>
        <v>4.8256601240798488E-5</v>
      </c>
      <c r="EW133" s="4">
        <f t="shared" si="395"/>
        <v>3.0548183157992312</v>
      </c>
      <c r="EX133" s="4">
        <f t="shared" si="380"/>
        <v>371.07512153073276</v>
      </c>
      <c r="EY133" s="4">
        <f t="shared" si="381"/>
        <v>419.45387337150532</v>
      </c>
      <c r="EZ133" s="4">
        <f t="shared" si="382"/>
        <v>158.75000000000003</v>
      </c>
      <c r="FB133" s="4">
        <f t="shared" si="343"/>
        <v>0</v>
      </c>
      <c r="FG133" s="23">
        <f t="shared" si="344"/>
        <v>0.6</v>
      </c>
      <c r="FH133" s="23">
        <f t="shared" si="344"/>
        <v>1.2</v>
      </c>
      <c r="FI133" s="23">
        <f t="shared" si="388"/>
        <v>0.8</v>
      </c>
      <c r="FJ133" s="23">
        <f t="shared" si="345"/>
        <v>1.8</v>
      </c>
      <c r="FK133" s="23">
        <f t="shared" si="345"/>
        <v>1.2</v>
      </c>
      <c r="FL133" s="23">
        <f t="shared" si="345"/>
        <v>1.2</v>
      </c>
      <c r="FM133" s="23">
        <f t="shared" si="222"/>
        <v>0</v>
      </c>
      <c r="FN133" s="23"/>
      <c r="FX133" s="4">
        <f t="shared" si="267"/>
        <v>1.25</v>
      </c>
      <c r="FY133" s="4">
        <f t="shared" si="308"/>
        <v>0.8</v>
      </c>
      <c r="FZ133" s="4">
        <f t="shared" si="269"/>
        <v>0</v>
      </c>
      <c r="GA133" s="4">
        <f t="shared" si="270"/>
        <v>632.34319693885629</v>
      </c>
    </row>
    <row r="134" spans="1:183" ht="12" customHeight="1" x14ac:dyDescent="0.3">
      <c r="A134" s="25">
        <v>116</v>
      </c>
      <c r="B134" s="24" t="s">
        <v>128</v>
      </c>
      <c r="C134" s="24">
        <v>2015</v>
      </c>
      <c r="D134" s="24" t="s">
        <v>293</v>
      </c>
      <c r="E134" s="24"/>
      <c r="F134" s="7" t="s">
        <v>136</v>
      </c>
      <c r="G134" s="7">
        <v>710</v>
      </c>
      <c r="H134" s="7">
        <f t="shared" si="320"/>
        <v>572</v>
      </c>
      <c r="I134" s="7">
        <f t="shared" si="349"/>
        <v>572</v>
      </c>
      <c r="J134" s="7">
        <v>20.3</v>
      </c>
      <c r="K134" s="7">
        <v>28.6</v>
      </c>
      <c r="L134" s="7">
        <v>20</v>
      </c>
      <c r="M134" s="7">
        <f t="shared" si="350"/>
        <v>20</v>
      </c>
      <c r="N134" s="7">
        <v>261</v>
      </c>
      <c r="O134" s="7">
        <f t="shared" si="351"/>
        <v>28.6</v>
      </c>
      <c r="P134" s="7"/>
      <c r="Q134" s="7">
        <f t="shared" si="384"/>
        <v>28.6</v>
      </c>
      <c r="R134" s="7">
        <v>2</v>
      </c>
      <c r="S134" s="7">
        <f t="shared" si="352"/>
        <v>58.2</v>
      </c>
      <c r="T134" s="7">
        <f t="shared" si="309"/>
        <v>1</v>
      </c>
      <c r="U134" s="7">
        <f t="shared" si="359"/>
        <v>1.5000000000000002</v>
      </c>
      <c r="V134" s="7">
        <f t="shared" si="353"/>
        <v>4</v>
      </c>
      <c r="W134" s="7">
        <f t="shared" si="360"/>
        <v>4</v>
      </c>
      <c r="X134" s="7">
        <v>5</v>
      </c>
      <c r="Y134" s="7">
        <f t="shared" si="358"/>
        <v>63.951544156493995</v>
      </c>
      <c r="Z134" s="7"/>
      <c r="AA134" s="7"/>
      <c r="AB134" s="7">
        <v>235</v>
      </c>
      <c r="AC134" s="7"/>
      <c r="AD134" s="7">
        <f t="shared" si="339"/>
        <v>1.0703841422803833</v>
      </c>
      <c r="AE134" s="7">
        <v>0</v>
      </c>
      <c r="AF134" s="7">
        <v>0</v>
      </c>
      <c r="AG134" s="7">
        <f t="shared" si="354"/>
        <v>572</v>
      </c>
      <c r="AH134" s="7"/>
      <c r="AI134" s="7"/>
      <c r="AJ134" s="7"/>
      <c r="AK134" s="4">
        <f t="shared" si="283"/>
        <v>572</v>
      </c>
      <c r="AL134" s="46">
        <f t="shared" si="355"/>
        <v>3.1022299378942735E-2</v>
      </c>
      <c r="AM134" s="25">
        <f t="shared" si="272"/>
        <v>479.72253378364422</v>
      </c>
      <c r="AN134" s="4">
        <f t="shared" si="273"/>
        <v>0.71499999999999997</v>
      </c>
      <c r="AO134" s="4">
        <v>1.25</v>
      </c>
      <c r="AP134" s="25">
        <f t="shared" si="322"/>
        <v>5</v>
      </c>
      <c r="AQ134" s="38">
        <f t="shared" si="275"/>
        <v>66.50436677644214</v>
      </c>
      <c r="AR134" s="38">
        <f t="shared" si="276"/>
        <v>66.50436677644214</v>
      </c>
      <c r="AT134" s="38">
        <f t="shared" si="356"/>
        <v>66.504366776442097</v>
      </c>
      <c r="AU134" s="38">
        <f t="shared" si="247"/>
        <v>1.0000000000000007</v>
      </c>
      <c r="AV134" s="38">
        <f t="shared" si="333"/>
        <v>1.4651669465187098</v>
      </c>
      <c r="AW134" s="4">
        <f t="shared" si="328"/>
        <v>0</v>
      </c>
      <c r="AX134" s="4">
        <f t="shared" si="385"/>
        <v>474.26864530816039</v>
      </c>
      <c r="AY134" s="4">
        <f t="shared" si="386"/>
        <v>1.2000000000000002</v>
      </c>
      <c r="AZ134" s="38">
        <f t="shared" si="277"/>
        <v>97.44</v>
      </c>
      <c r="BA134" s="4">
        <f t="shared" si="387"/>
        <v>0.44000000000000006</v>
      </c>
      <c r="BB134" s="4">
        <f t="shared" si="248"/>
        <v>109.03436155634608</v>
      </c>
      <c r="BC134" s="4">
        <f t="shared" si="249"/>
        <v>206.47436155634608</v>
      </c>
      <c r="BE134" s="36">
        <f t="shared" si="317"/>
        <v>1</v>
      </c>
      <c r="BF134" s="36">
        <f t="shared" si="318"/>
        <v>243.29981504308628</v>
      </c>
      <c r="BK134" s="4">
        <f t="shared" si="361"/>
        <v>20.700000000000003</v>
      </c>
      <c r="BL134" s="4">
        <f t="shared" si="362"/>
        <v>20.700000000000003</v>
      </c>
      <c r="BM134" s="4">
        <f t="shared" si="363"/>
        <v>58.2</v>
      </c>
      <c r="BN134" s="4">
        <f t="shared" si="364"/>
        <v>35</v>
      </c>
      <c r="BO134" s="4">
        <f t="shared" si="365"/>
        <v>1.181159420289855</v>
      </c>
      <c r="BP134" s="25">
        <f t="shared" si="278"/>
        <v>1.4454748150400323</v>
      </c>
      <c r="BR134" s="4">
        <f t="shared" si="336"/>
        <v>14.3</v>
      </c>
      <c r="BV134" s="9"/>
      <c r="BX134" s="9"/>
      <c r="BY134" s="9"/>
      <c r="BZ134" s="9">
        <f t="shared" si="389"/>
        <v>14.3</v>
      </c>
      <c r="CA134" s="9">
        <f t="shared" si="390"/>
        <v>28.6</v>
      </c>
      <c r="CB134" s="9">
        <f t="shared" si="252"/>
        <v>0.78458409789675088</v>
      </c>
      <c r="CC134" s="9">
        <v>0</v>
      </c>
      <c r="CD134" s="9">
        <f t="shared" si="311"/>
        <v>0</v>
      </c>
      <c r="CE134" s="9">
        <f t="shared" si="253"/>
        <v>0</v>
      </c>
      <c r="CF134" s="9">
        <f t="shared" si="391"/>
        <v>0.96044432035915817</v>
      </c>
      <c r="CG134" s="9">
        <f t="shared" si="392"/>
        <v>0.74299999999999999</v>
      </c>
      <c r="CH134" s="9">
        <f t="shared" si="254"/>
        <v>1.1253226745730049</v>
      </c>
      <c r="CI134" s="9">
        <f t="shared" si="255"/>
        <v>0.88291027547262002</v>
      </c>
      <c r="CJ134" s="9">
        <v>1</v>
      </c>
      <c r="CK134" s="9">
        <f t="shared" si="256"/>
        <v>123.60743856616681</v>
      </c>
      <c r="CM134" s="4">
        <f t="shared" si="346"/>
        <v>0.49549976015662306</v>
      </c>
      <c r="CN134" s="4">
        <f t="shared" si="347"/>
        <v>1.1381558379870296</v>
      </c>
      <c r="CO134" s="4">
        <f t="shared" si="212"/>
        <v>0.96588647204020084</v>
      </c>
      <c r="CP134" s="4">
        <f t="shared" si="340"/>
        <v>1.9011800804706829</v>
      </c>
      <c r="CQ134" s="4">
        <f t="shared" si="214"/>
        <v>1.0703841422803833</v>
      </c>
      <c r="CR134" s="4">
        <f t="shared" si="215"/>
        <v>1.1275778761630597</v>
      </c>
      <c r="CS134" s="4">
        <f t="shared" si="334"/>
        <v>0.58907047894788955</v>
      </c>
      <c r="CU134" s="4">
        <f t="shared" si="366"/>
        <v>0.49549976015662306</v>
      </c>
      <c r="CV134" s="4">
        <f t="shared" si="366"/>
        <v>1.1381558379870296</v>
      </c>
      <c r="CW134" s="4">
        <f t="shared" si="383"/>
        <v>1.9011800804706829</v>
      </c>
      <c r="CX134" s="4">
        <f t="shared" si="348"/>
        <v>0.58907047894788955</v>
      </c>
      <c r="CY134" s="4">
        <f t="shared" si="367"/>
        <v>1.0703841422803833</v>
      </c>
      <c r="CZ134" s="4">
        <f t="shared" si="367"/>
        <v>1.1275778761630597</v>
      </c>
      <c r="DH134" s="4">
        <f t="shared" si="368"/>
        <v>0</v>
      </c>
      <c r="DI134" s="4">
        <f t="shared" si="369"/>
        <v>572</v>
      </c>
      <c r="DJ134" s="4">
        <f t="shared" si="370"/>
        <v>1</v>
      </c>
      <c r="DL134" s="4">
        <f t="shared" si="371"/>
        <v>3.3190801128342592E-5</v>
      </c>
      <c r="DM134" s="4">
        <f t="shared" si="372"/>
        <v>2.3780879728772248</v>
      </c>
      <c r="DN134" s="4">
        <f t="shared" si="342"/>
        <v>0.20380369115520638</v>
      </c>
      <c r="DO134" s="4">
        <f t="shared" si="257"/>
        <v>1.2586724738780479</v>
      </c>
      <c r="DP134" s="4">
        <f t="shared" si="258"/>
        <v>1.903304726285421</v>
      </c>
      <c r="DQ134" s="4">
        <f t="shared" si="259"/>
        <v>2.2305232000234416</v>
      </c>
      <c r="DR134" s="38">
        <f t="shared" si="279"/>
        <v>219.54734820654937</v>
      </c>
      <c r="DS134" s="4">
        <f t="shared" si="260"/>
        <v>1.0000961123731371</v>
      </c>
      <c r="DT134" s="4">
        <f t="shared" si="335"/>
        <v>2.2360679774997898</v>
      </c>
      <c r="DU134" s="4">
        <f t="shared" si="280"/>
        <v>66.504366776442097</v>
      </c>
      <c r="DY134" s="4">
        <f t="shared" si="393"/>
        <v>1</v>
      </c>
      <c r="DZ134" s="4">
        <f t="shared" si="261"/>
        <v>1</v>
      </c>
      <c r="EA134" s="4">
        <f t="shared" si="262"/>
        <v>1</v>
      </c>
      <c r="EB134" s="4">
        <f t="shared" si="263"/>
        <v>1</v>
      </c>
      <c r="ED134" s="4">
        <f t="shared" si="281"/>
        <v>208.41132569899457</v>
      </c>
      <c r="EE134" s="25">
        <f t="shared" si="357"/>
        <v>65.726047326361083</v>
      </c>
      <c r="EH134" s="4">
        <f t="shared" si="319"/>
        <v>2.3780879728772248</v>
      </c>
      <c r="EI134" s="4">
        <f t="shared" si="373"/>
        <v>2.3780879728772248</v>
      </c>
      <c r="EK134" s="4">
        <f t="shared" si="374"/>
        <v>63.951544156493995</v>
      </c>
      <c r="EL134" s="4">
        <f t="shared" si="375"/>
        <v>2.2360679774997898</v>
      </c>
      <c r="EM134" s="4">
        <f t="shared" si="376"/>
        <v>5.0210590596265245E-2</v>
      </c>
      <c r="EP134" s="4">
        <f t="shared" si="337"/>
        <v>5.0210590596265245E-2</v>
      </c>
      <c r="EQ134" s="4">
        <f t="shared" si="338"/>
        <v>0.20346358077851293</v>
      </c>
      <c r="ER134" s="4">
        <f t="shared" si="377"/>
        <v>1.2578318569544467</v>
      </c>
      <c r="ES134" s="4">
        <f t="shared" si="394"/>
        <v>1.9030292975161969</v>
      </c>
      <c r="ET134" s="4">
        <f t="shared" si="378"/>
        <v>365.04845584350602</v>
      </c>
      <c r="EU134" s="4">
        <f t="shared" si="379"/>
        <v>143</v>
      </c>
      <c r="EV134" s="4">
        <f t="shared" si="265"/>
        <v>3.3190801128342592E-5</v>
      </c>
      <c r="EW134" s="4">
        <f t="shared" si="395"/>
        <v>2.2305472867198173</v>
      </c>
      <c r="EX134" s="4">
        <f t="shared" si="380"/>
        <v>219.52624901779041</v>
      </c>
      <c r="EY134" s="4">
        <f t="shared" si="381"/>
        <v>365.04845584350602</v>
      </c>
      <c r="EZ134" s="4">
        <f t="shared" si="382"/>
        <v>143</v>
      </c>
      <c r="FB134" s="4">
        <f t="shared" si="343"/>
        <v>0</v>
      </c>
      <c r="FG134" s="23">
        <f t="shared" si="344"/>
        <v>0.6</v>
      </c>
      <c r="FH134" s="23">
        <f t="shared" si="344"/>
        <v>1.2</v>
      </c>
      <c r="FI134" s="23">
        <f t="shared" si="388"/>
        <v>0.6</v>
      </c>
      <c r="FJ134" s="23">
        <f t="shared" si="345"/>
        <v>2</v>
      </c>
      <c r="FK134" s="23">
        <f t="shared" si="345"/>
        <v>1.2</v>
      </c>
      <c r="FL134" s="23">
        <f t="shared" si="345"/>
        <v>1.2</v>
      </c>
      <c r="FM134" s="23">
        <f t="shared" si="222"/>
        <v>0</v>
      </c>
      <c r="FN134" s="23"/>
      <c r="FX134" s="4">
        <f t="shared" si="267"/>
        <v>1.25</v>
      </c>
      <c r="FY134" s="4">
        <f t="shared" si="308"/>
        <v>0.8</v>
      </c>
      <c r="FZ134" s="4">
        <f t="shared" si="269"/>
        <v>0</v>
      </c>
      <c r="GA134" s="4">
        <f t="shared" si="270"/>
        <v>398.93358842174911</v>
      </c>
    </row>
    <row r="135" spans="1:183" ht="12" customHeight="1" x14ac:dyDescent="0.3">
      <c r="A135" s="25">
        <v>117</v>
      </c>
      <c r="B135" s="24" t="s">
        <v>128</v>
      </c>
      <c r="C135" s="24">
        <v>2015</v>
      </c>
      <c r="D135" s="24" t="s">
        <v>293</v>
      </c>
      <c r="E135" s="24"/>
      <c r="F135" s="7" t="s">
        <v>137</v>
      </c>
      <c r="G135" s="7">
        <v>710</v>
      </c>
      <c r="H135" s="7">
        <f t="shared" si="320"/>
        <v>715</v>
      </c>
      <c r="I135" s="7">
        <f t="shared" si="349"/>
        <v>715</v>
      </c>
      <c r="J135" s="7">
        <v>20.3</v>
      </c>
      <c r="K135" s="7">
        <v>28.6</v>
      </c>
      <c r="L135" s="7">
        <v>25</v>
      </c>
      <c r="M135" s="7">
        <f t="shared" si="350"/>
        <v>25</v>
      </c>
      <c r="N135" s="7">
        <v>261</v>
      </c>
      <c r="O135" s="7">
        <f t="shared" si="351"/>
        <v>28.6</v>
      </c>
      <c r="P135" s="7"/>
      <c r="Q135" s="7">
        <f t="shared" si="384"/>
        <v>28.6</v>
      </c>
      <c r="R135" s="7">
        <v>2</v>
      </c>
      <c r="S135" s="7">
        <f t="shared" si="352"/>
        <v>58.2</v>
      </c>
      <c r="T135" s="7">
        <f t="shared" si="309"/>
        <v>1</v>
      </c>
      <c r="U135" s="7">
        <f t="shared" si="359"/>
        <v>1.5000000000000002</v>
      </c>
      <c r="V135" s="7">
        <f t="shared" si="353"/>
        <v>4</v>
      </c>
      <c r="W135" s="7">
        <f t="shared" si="360"/>
        <v>4</v>
      </c>
      <c r="X135" s="7">
        <v>5</v>
      </c>
      <c r="Y135" s="7">
        <f t="shared" si="358"/>
        <v>63.951544156493995</v>
      </c>
      <c r="Z135" s="7"/>
      <c r="AA135" s="7"/>
      <c r="AB135" s="7">
        <v>282</v>
      </c>
      <c r="AC135" s="7"/>
      <c r="AD135" s="7">
        <f t="shared" si="339"/>
        <v>1.1360427524926529</v>
      </c>
      <c r="AE135" s="7">
        <v>0</v>
      </c>
      <c r="AF135" s="7">
        <v>0</v>
      </c>
      <c r="AG135" s="7">
        <f t="shared" si="354"/>
        <v>715</v>
      </c>
      <c r="AH135" s="7"/>
      <c r="AI135" s="7"/>
      <c r="AJ135" s="7"/>
      <c r="AK135" s="4">
        <f t="shared" si="283"/>
        <v>715</v>
      </c>
      <c r="AL135" s="46">
        <f t="shared" si="355"/>
        <v>1.985427160252335E-2</v>
      </c>
      <c r="AM135" s="25">
        <f t="shared" si="272"/>
        <v>670.43262242416654</v>
      </c>
      <c r="AN135" s="4">
        <f t="shared" si="273"/>
        <v>0.71199999999999997</v>
      </c>
      <c r="AO135" s="4">
        <v>1.25</v>
      </c>
      <c r="AP135" s="25">
        <f t="shared" si="322"/>
        <v>5</v>
      </c>
      <c r="AQ135" s="38">
        <f t="shared" si="275"/>
        <v>59.233733626766181</v>
      </c>
      <c r="AR135" s="38">
        <f t="shared" si="276"/>
        <v>59.233733626766181</v>
      </c>
      <c r="AT135" s="38">
        <f t="shared" si="356"/>
        <v>59.23373362676621</v>
      </c>
      <c r="AU135" s="38">
        <f t="shared" si="247"/>
        <v>0.99999999999999956</v>
      </c>
      <c r="AV135" s="38">
        <f t="shared" si="333"/>
        <v>1.6450085792999778</v>
      </c>
      <c r="AW135" s="4">
        <f t="shared" si="328"/>
        <v>0</v>
      </c>
      <c r="AX135" s="4">
        <f t="shared" si="385"/>
        <v>592.83580663520047</v>
      </c>
      <c r="AY135" s="4">
        <f t="shared" si="386"/>
        <v>1.2000000000000002</v>
      </c>
      <c r="AZ135" s="38">
        <f t="shared" si="277"/>
        <v>97.44</v>
      </c>
      <c r="BA135" s="4">
        <f t="shared" si="387"/>
        <v>0.44000000000000006</v>
      </c>
      <c r="BB135" s="4">
        <f t="shared" si="248"/>
        <v>136.29295194543261</v>
      </c>
      <c r="BC135" s="4">
        <f t="shared" si="249"/>
        <v>233.7329519454326</v>
      </c>
      <c r="BE135" s="36">
        <f t="shared" si="317"/>
        <v>1</v>
      </c>
      <c r="BF135" s="36">
        <f t="shared" si="318"/>
        <v>279.34423208650645</v>
      </c>
      <c r="BK135" s="4">
        <f t="shared" si="361"/>
        <v>20.700000000000003</v>
      </c>
      <c r="BL135" s="4">
        <f t="shared" si="362"/>
        <v>20.700000000000003</v>
      </c>
      <c r="BM135" s="4">
        <f t="shared" si="363"/>
        <v>58.2</v>
      </c>
      <c r="BN135" s="4">
        <f t="shared" si="364"/>
        <v>35</v>
      </c>
      <c r="BO135" s="4">
        <f t="shared" si="365"/>
        <v>1.181159420289855</v>
      </c>
      <c r="BP135" s="25">
        <f t="shared" si="278"/>
        <v>1.4454748150400323</v>
      </c>
      <c r="BR135" s="4">
        <f t="shared" si="336"/>
        <v>14.3</v>
      </c>
      <c r="BV135" s="9"/>
      <c r="BX135" s="9"/>
      <c r="BY135" s="9"/>
      <c r="BZ135" s="9">
        <f t="shared" si="389"/>
        <v>14.3</v>
      </c>
      <c r="CA135" s="9">
        <f t="shared" si="390"/>
        <v>28.6</v>
      </c>
      <c r="CB135" s="9">
        <f t="shared" si="252"/>
        <v>0.78458409789675088</v>
      </c>
      <c r="CC135" s="9">
        <v>0</v>
      </c>
      <c r="CD135" s="9">
        <f t="shared" si="311"/>
        <v>0</v>
      </c>
      <c r="CE135" s="9">
        <f t="shared" si="253"/>
        <v>0</v>
      </c>
      <c r="CF135" s="9">
        <f t="shared" si="391"/>
        <v>0.96044432035915817</v>
      </c>
      <c r="CG135" s="9">
        <f t="shared" si="392"/>
        <v>0.74299999999999999</v>
      </c>
      <c r="CH135" s="9">
        <f t="shared" si="254"/>
        <v>1.1253226745730049</v>
      </c>
      <c r="CI135" s="9">
        <f t="shared" si="255"/>
        <v>0.88291027547262002</v>
      </c>
      <c r="CJ135" s="9">
        <v>1</v>
      </c>
      <c r="CK135" s="9">
        <f t="shared" si="256"/>
        <v>141.26564407561921</v>
      </c>
      <c r="CM135" s="4">
        <f t="shared" si="346"/>
        <v>0.47567976975035814</v>
      </c>
      <c r="CN135" s="4">
        <f t="shared" si="347"/>
        <v>1.2065051061599386</v>
      </c>
      <c r="CO135" s="4">
        <f t="shared" si="212"/>
        <v>1.0095071514226617</v>
      </c>
      <c r="CP135" s="4">
        <f t="shared" si="340"/>
        <v>1.9962390844942171</v>
      </c>
      <c r="CQ135" s="4">
        <f t="shared" si="214"/>
        <v>1.1360427524926529</v>
      </c>
      <c r="CR135" s="4">
        <f t="shared" si="215"/>
        <v>1.1899830557976832</v>
      </c>
      <c r="CS135" s="4">
        <f t="shared" si="334"/>
        <v>0.56550765978997408</v>
      </c>
      <c r="CU135" s="4">
        <f t="shared" si="366"/>
        <v>0.47567976975035814</v>
      </c>
      <c r="CV135" s="4">
        <f t="shared" si="366"/>
        <v>1.2065051061599386</v>
      </c>
      <c r="CW135" s="4">
        <f t="shared" si="383"/>
        <v>1.9962390844942171</v>
      </c>
      <c r="CX135" s="4">
        <f t="shared" si="348"/>
        <v>0.56550765978997408</v>
      </c>
      <c r="CY135" s="4">
        <f t="shared" si="367"/>
        <v>1.1360427524926529</v>
      </c>
      <c r="CZ135" s="4">
        <f t="shared" si="367"/>
        <v>1.1899830557976832</v>
      </c>
      <c r="DH135" s="4">
        <f t="shared" si="368"/>
        <v>0</v>
      </c>
      <c r="DI135" s="4">
        <f t="shared" si="369"/>
        <v>715</v>
      </c>
      <c r="DJ135" s="4">
        <f t="shared" si="370"/>
        <v>1</v>
      </c>
      <c r="DL135" s="4">
        <f t="shared" si="371"/>
        <v>4.1488501410428239E-5</v>
      </c>
      <c r="DM135" s="4">
        <f t="shared" si="372"/>
        <v>2.3780879728772248</v>
      </c>
      <c r="DN135" s="4">
        <f t="shared" si="342"/>
        <v>0.18152272007370676</v>
      </c>
      <c r="DO135" s="4">
        <f t="shared" si="257"/>
        <v>1.2017117643087798</v>
      </c>
      <c r="DP135" s="4">
        <f t="shared" si="258"/>
        <v>1.8849899141539597</v>
      </c>
      <c r="DQ135" s="4">
        <f t="shared" si="259"/>
        <v>2.149341721747791</v>
      </c>
      <c r="DR135" s="38">
        <f t="shared" si="279"/>
        <v>248.23009466963151</v>
      </c>
      <c r="DS135" s="4">
        <f t="shared" si="260"/>
        <v>1.000092901864754</v>
      </c>
      <c r="DT135" s="4">
        <f t="shared" si="335"/>
        <v>2.2360679774997898</v>
      </c>
      <c r="DU135" s="4">
        <f t="shared" si="280"/>
        <v>59.23373362676621</v>
      </c>
      <c r="DY135" s="4">
        <f t="shared" si="393"/>
        <v>1</v>
      </c>
      <c r="DZ135" s="4">
        <f t="shared" si="261"/>
        <v>1</v>
      </c>
      <c r="EA135" s="4">
        <f t="shared" si="262"/>
        <v>1</v>
      </c>
      <c r="EB135" s="4">
        <f t="shared" si="263"/>
        <v>1</v>
      </c>
      <c r="ED135" s="4">
        <f t="shared" si="281"/>
        <v>236.97816420668823</v>
      </c>
      <c r="EE135" s="25">
        <f t="shared" si="357"/>
        <v>58.621566240896378</v>
      </c>
      <c r="EH135" s="4">
        <f t="shared" si="319"/>
        <v>2.3780879728772248</v>
      </c>
      <c r="EI135" s="4">
        <f t="shared" si="373"/>
        <v>2.3780879728772248</v>
      </c>
      <c r="EK135" s="4">
        <f t="shared" si="374"/>
        <v>63.951544156493995</v>
      </c>
      <c r="EL135" s="4">
        <f t="shared" si="375"/>
        <v>2.2360679774997898</v>
      </c>
      <c r="EM135" s="4">
        <f t="shared" si="376"/>
        <v>4.4721285124322503E-2</v>
      </c>
      <c r="EP135" s="4">
        <f t="shared" si="337"/>
        <v>4.4721285124322503E-2</v>
      </c>
      <c r="EQ135" s="4">
        <f t="shared" si="338"/>
        <v>0.18121979248513981</v>
      </c>
      <c r="ER135" s="4">
        <f t="shared" si="377"/>
        <v>1.2009091891612864</v>
      </c>
      <c r="ES135" s="4">
        <f t="shared" si="394"/>
        <v>1.8847369703955175</v>
      </c>
      <c r="ET135" s="4">
        <f t="shared" si="378"/>
        <v>472.29845584350602</v>
      </c>
      <c r="EU135" s="4">
        <f t="shared" si="379"/>
        <v>178.74999999999994</v>
      </c>
      <c r="EV135" s="4">
        <f t="shared" si="265"/>
        <v>4.1488501410428226E-5</v>
      </c>
      <c r="EW135" s="4">
        <f t="shared" si="395"/>
        <v>2.1493748392681402</v>
      </c>
      <c r="EX135" s="4">
        <f t="shared" si="380"/>
        <v>248.20703577316311</v>
      </c>
      <c r="EY135" s="4">
        <f t="shared" si="381"/>
        <v>472.29845584350602</v>
      </c>
      <c r="EZ135" s="4">
        <f t="shared" si="382"/>
        <v>178.75</v>
      </c>
      <c r="FB135" s="4">
        <f t="shared" si="343"/>
        <v>0</v>
      </c>
      <c r="FG135" s="23">
        <f t="shared" si="344"/>
        <v>0.6</v>
      </c>
      <c r="FH135" s="23">
        <f t="shared" si="344"/>
        <v>1.4</v>
      </c>
      <c r="FI135" s="23">
        <f t="shared" si="388"/>
        <v>0.6</v>
      </c>
      <c r="FJ135" s="23">
        <f t="shared" si="345"/>
        <v>2</v>
      </c>
      <c r="FK135" s="23">
        <f t="shared" si="345"/>
        <v>1.2</v>
      </c>
      <c r="FL135" s="23">
        <f t="shared" si="345"/>
        <v>1.2</v>
      </c>
      <c r="FM135" s="23">
        <f t="shared" si="222"/>
        <v>0</v>
      </c>
      <c r="FN135" s="23"/>
      <c r="FX135" s="4">
        <f t="shared" si="267"/>
        <v>1.25</v>
      </c>
      <c r="FY135" s="4">
        <f t="shared" si="308"/>
        <v>0.8</v>
      </c>
      <c r="FZ135" s="4">
        <f t="shared" si="269"/>
        <v>0</v>
      </c>
      <c r="GA135" s="4">
        <f t="shared" si="270"/>
        <v>498.66698552718634</v>
      </c>
    </row>
    <row r="136" spans="1:183" ht="12" customHeight="1" x14ac:dyDescent="0.3">
      <c r="A136" s="25">
        <v>118</v>
      </c>
      <c r="B136" s="24" t="s">
        <v>128</v>
      </c>
      <c r="C136" s="24">
        <v>2015</v>
      </c>
      <c r="D136" s="24" t="s">
        <v>293</v>
      </c>
      <c r="E136" s="24"/>
      <c r="F136" s="7" t="s">
        <v>144</v>
      </c>
      <c r="G136" s="7">
        <v>710</v>
      </c>
      <c r="H136" s="7">
        <f t="shared" si="320"/>
        <v>429</v>
      </c>
      <c r="I136" s="7">
        <f t="shared" si="349"/>
        <v>429</v>
      </c>
      <c r="J136" s="7">
        <v>62.9</v>
      </c>
      <c r="K136" s="7">
        <v>28.6</v>
      </c>
      <c r="L136" s="7">
        <v>15</v>
      </c>
      <c r="M136" s="7">
        <f t="shared" si="350"/>
        <v>15</v>
      </c>
      <c r="N136" s="7">
        <v>261</v>
      </c>
      <c r="O136" s="7">
        <f t="shared" si="351"/>
        <v>28.6</v>
      </c>
      <c r="P136" s="7"/>
      <c r="Q136" s="7">
        <f t="shared" si="384"/>
        <v>28.6</v>
      </c>
      <c r="R136" s="7">
        <v>2</v>
      </c>
      <c r="S136" s="7">
        <f t="shared" si="352"/>
        <v>58.2</v>
      </c>
      <c r="T136" s="7">
        <f t="shared" si="309"/>
        <v>1</v>
      </c>
      <c r="U136" s="7">
        <f t="shared" si="359"/>
        <v>1.5000000000000002</v>
      </c>
      <c r="V136" s="7">
        <f t="shared" si="353"/>
        <v>4</v>
      </c>
      <c r="W136" s="7">
        <f t="shared" si="360"/>
        <v>4</v>
      </c>
      <c r="X136" s="7">
        <v>5</v>
      </c>
      <c r="Y136" s="7">
        <f t="shared" si="358"/>
        <v>63.951544156493995</v>
      </c>
      <c r="Z136" s="7"/>
      <c r="AA136" s="7"/>
      <c r="AB136" s="7">
        <v>345</v>
      </c>
      <c r="AC136" s="7"/>
      <c r="AD136" s="7">
        <f t="shared" si="339"/>
        <v>1.052109744420656</v>
      </c>
      <c r="AE136" s="7">
        <v>0</v>
      </c>
      <c r="AF136" s="7">
        <v>0</v>
      </c>
      <c r="AG136" s="7">
        <f t="shared" si="354"/>
        <v>429</v>
      </c>
      <c r="AH136" s="7"/>
      <c r="AI136" s="7"/>
      <c r="AJ136" s="7"/>
      <c r="AK136" s="4">
        <f t="shared" si="283"/>
        <v>429</v>
      </c>
      <c r="AL136" s="46">
        <f t="shared" si="355"/>
        <v>5.5150754451453753E-2</v>
      </c>
      <c r="AM136" s="25">
        <f t="shared" si="272"/>
        <v>548.47813315761925</v>
      </c>
      <c r="AN136" s="4">
        <f t="shared" si="273"/>
        <v>0.72</v>
      </c>
      <c r="AO136" s="4">
        <v>1.25</v>
      </c>
      <c r="AP136" s="25">
        <f t="shared" si="322"/>
        <v>5</v>
      </c>
      <c r="AQ136" s="38">
        <f t="shared" si="275"/>
        <v>136.12042279695424</v>
      </c>
      <c r="AR136" s="38">
        <f t="shared" si="276"/>
        <v>136.12042279695424</v>
      </c>
      <c r="AT136" s="38">
        <f t="shared" si="356"/>
        <v>136.12042279695419</v>
      </c>
      <c r="AU136" s="38">
        <f t="shared" si="247"/>
        <v>1.0000000000000004</v>
      </c>
      <c r="AV136" s="38">
        <f t="shared" si="333"/>
        <v>2.2180360139665667</v>
      </c>
      <c r="AW136" s="4">
        <f t="shared" si="328"/>
        <v>0</v>
      </c>
      <c r="AX136" s="4">
        <f t="shared" si="385"/>
        <v>626.1277913336321</v>
      </c>
      <c r="AY136" s="4">
        <f t="shared" si="386"/>
        <v>1.2000000000000002</v>
      </c>
      <c r="AZ136" s="38">
        <f t="shared" si="277"/>
        <v>301.92</v>
      </c>
      <c r="BA136" s="4">
        <f t="shared" si="387"/>
        <v>0.44000000000000006</v>
      </c>
      <c r="BB136" s="4">
        <f t="shared" si="248"/>
        <v>143.94677922760204</v>
      </c>
      <c r="BC136" s="4">
        <f t="shared" si="249"/>
        <v>445.86677922760202</v>
      </c>
      <c r="BE136" s="36">
        <f t="shared" si="317"/>
        <v>1</v>
      </c>
      <c r="BF136" s="36">
        <f t="shared" si="318"/>
        <v>364.8237930837297</v>
      </c>
      <c r="BK136" s="4">
        <f t="shared" si="361"/>
        <v>20.700000000000003</v>
      </c>
      <c r="BL136" s="4">
        <f t="shared" si="362"/>
        <v>20.700000000000003</v>
      </c>
      <c r="BM136" s="4">
        <f t="shared" si="363"/>
        <v>58.2</v>
      </c>
      <c r="BN136" s="4">
        <f t="shared" si="364"/>
        <v>35</v>
      </c>
      <c r="BO136" s="4">
        <f t="shared" si="365"/>
        <v>1.181159420289855</v>
      </c>
      <c r="BP136" s="25">
        <f t="shared" si="278"/>
        <v>1.4454748150400323</v>
      </c>
      <c r="BR136" s="4">
        <f t="shared" si="336"/>
        <v>14.3</v>
      </c>
      <c r="BV136" s="9"/>
      <c r="BX136" s="9"/>
      <c r="BY136" s="9"/>
      <c r="BZ136" s="9">
        <f t="shared" si="389"/>
        <v>14.3</v>
      </c>
      <c r="CA136" s="9">
        <f t="shared" si="390"/>
        <v>28.6</v>
      </c>
      <c r="CB136" s="9">
        <f t="shared" si="252"/>
        <v>0.78458409789675088</v>
      </c>
      <c r="CC136" s="9">
        <v>0</v>
      </c>
      <c r="CD136" s="9">
        <f t="shared" si="311"/>
        <v>0</v>
      </c>
      <c r="CE136" s="9">
        <f t="shared" si="253"/>
        <v>0</v>
      </c>
      <c r="CF136" s="9">
        <f t="shared" si="391"/>
        <v>0.96044432035915817</v>
      </c>
      <c r="CG136" s="9">
        <f t="shared" si="392"/>
        <v>0.74299999999999999</v>
      </c>
      <c r="CH136" s="9">
        <f t="shared" si="254"/>
        <v>1.9808626966691243</v>
      </c>
      <c r="CI136" s="9">
        <f t="shared" si="255"/>
        <v>1.5541533719234701</v>
      </c>
      <c r="CJ136" s="9">
        <v>1</v>
      </c>
      <c r="CK136" s="9">
        <f t="shared" si="256"/>
        <v>186.49840463081642</v>
      </c>
      <c r="CM136" s="4">
        <f t="shared" si="346"/>
        <v>0.55100572882280319</v>
      </c>
      <c r="CN136" s="4">
        <f t="shared" si="347"/>
        <v>0.77377372810250911</v>
      </c>
      <c r="CO136" s="4">
        <f t="shared" si="212"/>
        <v>0.94566200598879258</v>
      </c>
      <c r="CP136" s="4">
        <f t="shared" si="340"/>
        <v>1.8498817761092701</v>
      </c>
      <c r="CQ136" s="4">
        <f t="shared" si="214"/>
        <v>1.052109744420656</v>
      </c>
      <c r="CR136" s="4">
        <f t="shared" si="215"/>
        <v>1.0694592128006695</v>
      </c>
      <c r="CS136" s="4">
        <f t="shared" si="334"/>
        <v>0.86909765137264661</v>
      </c>
      <c r="CU136" s="4">
        <f t="shared" si="366"/>
        <v>0.55100572882280319</v>
      </c>
      <c r="CV136" s="4">
        <f t="shared" si="366"/>
        <v>0.77377372810250911</v>
      </c>
      <c r="CW136" s="4">
        <f t="shared" si="383"/>
        <v>1.8498817761092701</v>
      </c>
      <c r="CX136" s="4">
        <f t="shared" si="348"/>
        <v>0.86909765137264661</v>
      </c>
      <c r="CY136" s="4">
        <f t="shared" si="367"/>
        <v>1.052109744420656</v>
      </c>
      <c r="CZ136" s="4">
        <f t="shared" si="367"/>
        <v>1.0694592128006695</v>
      </c>
      <c r="DH136" s="4">
        <f t="shared" si="368"/>
        <v>0</v>
      </c>
      <c r="DI136" s="4">
        <f t="shared" si="369"/>
        <v>429</v>
      </c>
      <c r="DJ136" s="4">
        <f t="shared" si="370"/>
        <v>1</v>
      </c>
      <c r="DL136" s="4">
        <f t="shared" si="371"/>
        <v>3.3150409818642976E-5</v>
      </c>
      <c r="DM136" s="4">
        <f t="shared" si="372"/>
        <v>4.1860577959627587</v>
      </c>
      <c r="DN136" s="4">
        <f t="shared" si="342"/>
        <v>0.13462650289663738</v>
      </c>
      <c r="DO136" s="4">
        <f t="shared" si="257"/>
        <v>1.8769704962221223</v>
      </c>
      <c r="DP136" s="4">
        <f t="shared" si="258"/>
        <v>3.2466310254492474</v>
      </c>
      <c r="DQ136" s="4">
        <f t="shared" si="259"/>
        <v>3.8629571697698561</v>
      </c>
      <c r="DR136" s="38">
        <f t="shared" si="279"/>
        <v>327.91256029091738</v>
      </c>
      <c r="DS136" s="4">
        <f t="shared" si="260"/>
        <v>1.000071154236343</v>
      </c>
      <c r="DT136" s="4">
        <f t="shared" si="335"/>
        <v>2.2360679774997898</v>
      </c>
      <c r="DU136" s="4">
        <f t="shared" si="280"/>
        <v>136.12042279695419</v>
      </c>
      <c r="DY136" s="4">
        <f t="shared" si="393"/>
        <v>1</v>
      </c>
      <c r="DZ136" s="4">
        <f t="shared" si="261"/>
        <v>1</v>
      </c>
      <c r="EA136" s="4">
        <f t="shared" si="262"/>
        <v>1</v>
      </c>
      <c r="EB136" s="4">
        <f t="shared" si="263"/>
        <v>1</v>
      </c>
      <c r="ED136" s="4">
        <f t="shared" si="281"/>
        <v>322.5929477913644</v>
      </c>
      <c r="EE136" s="25">
        <f t="shared" si="357"/>
        <v>134.22034697304031</v>
      </c>
      <c r="EH136" s="4">
        <f t="shared" si="319"/>
        <v>4.1860577959627587</v>
      </c>
      <c r="EI136" s="4">
        <f t="shared" si="373"/>
        <v>4.1860577959627587</v>
      </c>
      <c r="EK136" s="4">
        <f t="shared" si="374"/>
        <v>63.951544156493995</v>
      </c>
      <c r="EL136" s="4">
        <f t="shared" si="375"/>
        <v>2.2360679774997898</v>
      </c>
      <c r="EM136" s="4">
        <f t="shared" si="376"/>
        <v>5.8383637923874576E-2</v>
      </c>
      <c r="EP136" s="4">
        <f t="shared" si="337"/>
        <v>5.8383637923874576E-2</v>
      </c>
      <c r="EQ136" s="4">
        <f t="shared" si="338"/>
        <v>0.13440183635427219</v>
      </c>
      <c r="ER136" s="4">
        <f t="shared" si="377"/>
        <v>1.8757169428180636</v>
      </c>
      <c r="ES136" s="4">
        <f t="shared" si="394"/>
        <v>3.2462753665529136</v>
      </c>
      <c r="ET136" s="4">
        <f t="shared" si="378"/>
        <v>257.79845584350602</v>
      </c>
      <c r="EU136" s="4">
        <f t="shared" si="379"/>
        <v>107.25</v>
      </c>
      <c r="EV136" s="4">
        <f t="shared" si="265"/>
        <v>3.3150409818642976E-5</v>
      </c>
      <c r="EW136" s="4">
        <f t="shared" si="395"/>
        <v>3.8630041667846942</v>
      </c>
      <c r="EX136" s="4">
        <f t="shared" si="380"/>
        <v>327.8892295831813</v>
      </c>
      <c r="EY136" s="4">
        <f t="shared" si="381"/>
        <v>257.79845584350602</v>
      </c>
      <c r="EZ136" s="4">
        <f t="shared" si="382"/>
        <v>107.24999999999999</v>
      </c>
      <c r="FB136" s="4">
        <f t="shared" si="343"/>
        <v>0</v>
      </c>
      <c r="FG136" s="23">
        <f t="shared" si="344"/>
        <v>0.6</v>
      </c>
      <c r="FH136" s="23">
        <f t="shared" si="344"/>
        <v>0.8</v>
      </c>
      <c r="FI136" s="23">
        <f t="shared" si="388"/>
        <v>1</v>
      </c>
      <c r="FJ136" s="23">
        <f t="shared" si="345"/>
        <v>2</v>
      </c>
      <c r="FK136" s="23">
        <f t="shared" si="345"/>
        <v>1.2</v>
      </c>
      <c r="FL136" s="23">
        <f t="shared" si="345"/>
        <v>1.2</v>
      </c>
      <c r="FM136" s="23">
        <f t="shared" si="222"/>
        <v>0</v>
      </c>
      <c r="FN136" s="23"/>
      <c r="FX136" s="4">
        <f t="shared" si="267"/>
        <v>1.25</v>
      </c>
      <c r="FY136" s="4">
        <f t="shared" si="308"/>
        <v>0.8</v>
      </c>
      <c r="FZ136" s="4">
        <f t="shared" si="269"/>
        <v>0</v>
      </c>
      <c r="GA136" s="4">
        <f t="shared" si="270"/>
        <v>396.96344761156524</v>
      </c>
    </row>
    <row r="137" spans="1:183" ht="12" customHeight="1" x14ac:dyDescent="0.3">
      <c r="A137" s="25">
        <v>119</v>
      </c>
      <c r="B137" s="24" t="s">
        <v>128</v>
      </c>
      <c r="C137" s="24">
        <v>2015</v>
      </c>
      <c r="D137" s="24" t="s">
        <v>293</v>
      </c>
      <c r="E137" s="24"/>
      <c r="F137" s="7" t="s">
        <v>145</v>
      </c>
      <c r="G137" s="7">
        <v>710</v>
      </c>
      <c r="H137" s="7">
        <f t="shared" si="320"/>
        <v>572</v>
      </c>
      <c r="I137" s="7">
        <f t="shared" si="349"/>
        <v>572</v>
      </c>
      <c r="J137" s="7">
        <v>62.9</v>
      </c>
      <c r="K137" s="7">
        <v>28.6</v>
      </c>
      <c r="L137" s="7">
        <v>20</v>
      </c>
      <c r="M137" s="7">
        <f t="shared" si="350"/>
        <v>20</v>
      </c>
      <c r="N137" s="7">
        <v>261</v>
      </c>
      <c r="O137" s="7">
        <f t="shared" si="351"/>
        <v>28.6</v>
      </c>
      <c r="P137" s="7"/>
      <c r="Q137" s="7">
        <f t="shared" si="384"/>
        <v>28.6</v>
      </c>
      <c r="R137" s="7">
        <v>2</v>
      </c>
      <c r="S137" s="7">
        <f t="shared" si="352"/>
        <v>58.2</v>
      </c>
      <c r="T137" s="7">
        <f t="shared" si="309"/>
        <v>1</v>
      </c>
      <c r="U137" s="7">
        <f t="shared" si="359"/>
        <v>1.5000000000000002</v>
      </c>
      <c r="V137" s="7">
        <f t="shared" si="353"/>
        <v>4</v>
      </c>
      <c r="W137" s="7">
        <f t="shared" si="360"/>
        <v>4</v>
      </c>
      <c r="X137" s="7">
        <v>5</v>
      </c>
      <c r="Y137" s="7">
        <f t="shared" si="358"/>
        <v>63.951544156493995</v>
      </c>
      <c r="Z137" s="7"/>
      <c r="AA137" s="7"/>
      <c r="AB137" s="7">
        <v>432</v>
      </c>
      <c r="AC137" s="7"/>
      <c r="AD137" s="7">
        <f t="shared" si="339"/>
        <v>1.1695813654354281</v>
      </c>
      <c r="AE137" s="7">
        <v>0</v>
      </c>
      <c r="AF137" s="7">
        <v>0</v>
      </c>
      <c r="AG137" s="7">
        <f t="shared" si="354"/>
        <v>572</v>
      </c>
      <c r="AH137" s="7"/>
      <c r="AI137" s="7"/>
      <c r="AJ137" s="7"/>
      <c r="AK137" s="4">
        <f t="shared" si="283"/>
        <v>572</v>
      </c>
      <c r="AL137" s="46">
        <f t="shared" si="355"/>
        <v>3.1022299378942735E-2</v>
      </c>
      <c r="AM137" s="25">
        <f t="shared" si="272"/>
        <v>844.43732752846654</v>
      </c>
      <c r="AN137" s="4">
        <f t="shared" si="273"/>
        <v>0.71499999999999997</v>
      </c>
      <c r="AO137" s="4">
        <v>1.25</v>
      </c>
      <c r="AP137" s="25">
        <f t="shared" si="322"/>
        <v>5</v>
      </c>
      <c r="AQ137" s="38">
        <f t="shared" si="275"/>
        <v>117.06510700412386</v>
      </c>
      <c r="AR137" s="38">
        <f t="shared" si="276"/>
        <v>117.06510700412386</v>
      </c>
      <c r="AT137" s="38">
        <f t="shared" si="356"/>
        <v>117.06510700412382</v>
      </c>
      <c r="AU137" s="38">
        <f t="shared" si="247"/>
        <v>1.0000000000000004</v>
      </c>
      <c r="AV137" s="38">
        <f t="shared" si="333"/>
        <v>2.5790776408666707</v>
      </c>
      <c r="AW137" s="4">
        <f t="shared" si="328"/>
        <v>0</v>
      </c>
      <c r="AX137" s="4">
        <f t="shared" si="385"/>
        <v>834.83705511150959</v>
      </c>
      <c r="AY137" s="4">
        <f t="shared" si="386"/>
        <v>1.2000000000000002</v>
      </c>
      <c r="AZ137" s="38">
        <f t="shared" si="277"/>
        <v>301.92</v>
      </c>
      <c r="BA137" s="4">
        <f t="shared" si="387"/>
        <v>0.44000000000000006</v>
      </c>
      <c r="BB137" s="4">
        <f t="shared" si="248"/>
        <v>191.92903897013608</v>
      </c>
      <c r="BC137" s="4">
        <f t="shared" si="249"/>
        <v>493.84903897013612</v>
      </c>
      <c r="BE137" s="36">
        <f t="shared" si="317"/>
        <v>1</v>
      </c>
      <c r="BF137" s="36">
        <f t="shared" si="318"/>
        <v>428.27140927220438</v>
      </c>
      <c r="BK137" s="4">
        <f t="shared" si="361"/>
        <v>20.700000000000003</v>
      </c>
      <c r="BL137" s="4">
        <f t="shared" si="362"/>
        <v>20.700000000000003</v>
      </c>
      <c r="BM137" s="4">
        <f t="shared" si="363"/>
        <v>58.2</v>
      </c>
      <c r="BN137" s="4">
        <f t="shared" si="364"/>
        <v>35</v>
      </c>
      <c r="BO137" s="4">
        <f t="shared" si="365"/>
        <v>1.181159420289855</v>
      </c>
      <c r="BP137" s="25">
        <f t="shared" si="278"/>
        <v>1.4454748150400323</v>
      </c>
      <c r="BR137" s="4">
        <f t="shared" si="336"/>
        <v>14.3</v>
      </c>
      <c r="BV137" s="9"/>
      <c r="BX137" s="9"/>
      <c r="BY137" s="9"/>
      <c r="BZ137" s="9">
        <f t="shared" si="389"/>
        <v>14.3</v>
      </c>
      <c r="CA137" s="9">
        <f t="shared" si="390"/>
        <v>28.6</v>
      </c>
      <c r="CB137" s="9">
        <f t="shared" si="252"/>
        <v>0.78458409789675088</v>
      </c>
      <c r="CC137" s="9">
        <v>0</v>
      </c>
      <c r="CD137" s="9">
        <f t="shared" si="311"/>
        <v>0</v>
      </c>
      <c r="CE137" s="9">
        <f t="shared" si="253"/>
        <v>0</v>
      </c>
      <c r="CF137" s="9">
        <f t="shared" si="391"/>
        <v>0.96044432035915817</v>
      </c>
      <c r="CG137" s="9">
        <f t="shared" si="392"/>
        <v>0.74299999999999999</v>
      </c>
      <c r="CH137" s="9">
        <f t="shared" si="254"/>
        <v>1.9808626966691243</v>
      </c>
      <c r="CI137" s="9">
        <f t="shared" si="255"/>
        <v>1.5541533719234701</v>
      </c>
      <c r="CJ137" s="9">
        <v>1</v>
      </c>
      <c r="CK137" s="9">
        <f t="shared" si="256"/>
        <v>217.58147206928584</v>
      </c>
      <c r="CM137" s="4">
        <f t="shared" si="346"/>
        <v>0.51746624967706734</v>
      </c>
      <c r="CN137" s="4">
        <f t="shared" si="347"/>
        <v>0.87476124465258653</v>
      </c>
      <c r="CO137" s="4">
        <f t="shared" si="212"/>
        <v>1.0087061397213788</v>
      </c>
      <c r="CP137" s="4">
        <f t="shared" si="340"/>
        <v>1.9854631733644836</v>
      </c>
      <c r="CQ137" s="4">
        <f t="shared" si="214"/>
        <v>1.1695813654354281</v>
      </c>
      <c r="CR137" s="4">
        <f t="shared" si="215"/>
        <v>1.1775656452638794</v>
      </c>
      <c r="CS137" s="4">
        <f t="shared" si="334"/>
        <v>0.81619605520213756</v>
      </c>
      <c r="CU137" s="4">
        <f t="shared" si="366"/>
        <v>0.51746624967706734</v>
      </c>
      <c r="CV137" s="4">
        <f t="shared" si="366"/>
        <v>0.87476124465258653</v>
      </c>
      <c r="CW137" s="4">
        <f t="shared" si="383"/>
        <v>1.9854631733644836</v>
      </c>
      <c r="CX137" s="4">
        <f t="shared" si="348"/>
        <v>0.81619605520213756</v>
      </c>
      <c r="CY137" s="4">
        <f t="shared" si="367"/>
        <v>1.1695813654354281</v>
      </c>
      <c r="CZ137" s="4">
        <f t="shared" si="367"/>
        <v>1.1775656452638794</v>
      </c>
      <c r="DH137" s="4">
        <f t="shared" si="368"/>
        <v>0</v>
      </c>
      <c r="DI137" s="4">
        <f t="shared" si="369"/>
        <v>572</v>
      </c>
      <c r="DJ137" s="4">
        <f t="shared" si="370"/>
        <v>1</v>
      </c>
      <c r="DL137" s="4">
        <f t="shared" si="371"/>
        <v>4.4200546424857304E-5</v>
      </c>
      <c r="DM137" s="4">
        <f t="shared" si="372"/>
        <v>4.1860577959627587</v>
      </c>
      <c r="DN137" s="4">
        <f t="shared" si="342"/>
        <v>0.11578031895106987</v>
      </c>
      <c r="DO137" s="4">
        <f t="shared" si="257"/>
        <v>1.7670918216158606</v>
      </c>
      <c r="DP137" s="4">
        <f t="shared" si="258"/>
        <v>3.2162848752999018</v>
      </c>
      <c r="DQ137" s="4">
        <f t="shared" si="259"/>
        <v>3.6141353595512551</v>
      </c>
      <c r="DR137" s="38">
        <f t="shared" si="279"/>
        <v>369.36292999091091</v>
      </c>
      <c r="DS137" s="4">
        <f t="shared" si="260"/>
        <v>1.0000686332486357</v>
      </c>
      <c r="DT137" s="4">
        <f t="shared" si="335"/>
        <v>2.2360679774997898</v>
      </c>
      <c r="DU137" s="4">
        <f t="shared" si="280"/>
        <v>117.06510700412382</v>
      </c>
      <c r="DY137" s="4">
        <f t="shared" si="393"/>
        <v>1</v>
      </c>
      <c r="DZ137" s="4">
        <f t="shared" si="261"/>
        <v>1</v>
      </c>
      <c r="EA137" s="4">
        <f t="shared" si="262"/>
        <v>1</v>
      </c>
      <c r="EB137" s="4">
        <f t="shared" si="263"/>
        <v>1</v>
      </c>
      <c r="ED137" s="4">
        <f t="shared" si="281"/>
        <v>366.85852864125769</v>
      </c>
      <c r="EE137" s="25">
        <f t="shared" si="357"/>
        <v>115.69506088349222</v>
      </c>
      <c r="EH137" s="4">
        <f t="shared" si="319"/>
        <v>4.1860577959627587</v>
      </c>
      <c r="EI137" s="4">
        <f t="shared" si="373"/>
        <v>4.1860577959627587</v>
      </c>
      <c r="EK137" s="4">
        <f t="shared" si="374"/>
        <v>63.951544156493995</v>
      </c>
      <c r="EL137" s="4">
        <f t="shared" si="375"/>
        <v>2.2360679774997898</v>
      </c>
      <c r="EM137" s="4">
        <f t="shared" si="376"/>
        <v>5.0210590596265252E-2</v>
      </c>
      <c r="EP137" s="4">
        <f t="shared" si="337"/>
        <v>5.0210590596265252E-2</v>
      </c>
      <c r="EQ137" s="4">
        <f t="shared" si="338"/>
        <v>0.11558710317725863</v>
      </c>
      <c r="ER137" s="4">
        <f t="shared" si="377"/>
        <v>1.7659116517768947</v>
      </c>
      <c r="ES137" s="4">
        <f t="shared" si="394"/>
        <v>3.215968144333011</v>
      </c>
      <c r="ET137" s="4">
        <f t="shared" si="378"/>
        <v>365.04845584350602</v>
      </c>
      <c r="EU137" s="4">
        <f t="shared" si="379"/>
        <v>143</v>
      </c>
      <c r="EV137" s="4">
        <f t="shared" si="265"/>
        <v>4.4200546424857304E-5</v>
      </c>
      <c r="EW137" s="4">
        <f t="shared" si="395"/>
        <v>3.6142042521525095</v>
      </c>
      <c r="EX137" s="4">
        <f t="shared" si="380"/>
        <v>369.3375811528731</v>
      </c>
      <c r="EY137" s="4">
        <f t="shared" si="381"/>
        <v>365.04845584350602</v>
      </c>
      <c r="EZ137" s="4">
        <f t="shared" si="382"/>
        <v>143</v>
      </c>
      <c r="FB137" s="4">
        <f t="shared" si="343"/>
        <v>0</v>
      </c>
      <c r="FG137" s="23">
        <f t="shared" si="344"/>
        <v>0.6</v>
      </c>
      <c r="FH137" s="23">
        <f t="shared" si="344"/>
        <v>1</v>
      </c>
      <c r="FI137" s="23">
        <f t="shared" si="388"/>
        <v>1</v>
      </c>
      <c r="FJ137" s="23">
        <f t="shared" si="345"/>
        <v>2</v>
      </c>
      <c r="FK137" s="23">
        <f t="shared" si="345"/>
        <v>1.2</v>
      </c>
      <c r="FL137" s="23">
        <f t="shared" si="345"/>
        <v>1.2</v>
      </c>
      <c r="FM137" s="23">
        <f t="shared" si="222"/>
        <v>0</v>
      </c>
      <c r="FN137" s="23"/>
      <c r="FX137" s="4">
        <f t="shared" si="267"/>
        <v>1.25</v>
      </c>
      <c r="FY137" s="4">
        <f t="shared" si="308"/>
        <v>0.8</v>
      </c>
      <c r="FZ137" s="4">
        <f t="shared" si="269"/>
        <v>0</v>
      </c>
      <c r="GA137" s="4">
        <f t="shared" si="270"/>
        <v>529.2845968154204</v>
      </c>
    </row>
    <row r="138" spans="1:183" ht="12" customHeight="1" x14ac:dyDescent="0.3">
      <c r="A138" s="25">
        <v>120</v>
      </c>
      <c r="B138" s="24" t="s">
        <v>128</v>
      </c>
      <c r="C138" s="24">
        <v>2015</v>
      </c>
      <c r="D138" s="24" t="s">
        <v>293</v>
      </c>
      <c r="E138" s="24"/>
      <c r="F138" s="7" t="s">
        <v>146</v>
      </c>
      <c r="G138" s="7">
        <v>710</v>
      </c>
      <c r="H138" s="7">
        <f t="shared" si="320"/>
        <v>715</v>
      </c>
      <c r="I138" s="7">
        <f t="shared" si="349"/>
        <v>715</v>
      </c>
      <c r="J138" s="7">
        <v>62.9</v>
      </c>
      <c r="K138" s="7">
        <v>28.6</v>
      </c>
      <c r="L138" s="7">
        <v>25</v>
      </c>
      <c r="M138" s="7">
        <f t="shared" si="350"/>
        <v>25</v>
      </c>
      <c r="N138" s="7">
        <v>261</v>
      </c>
      <c r="O138" s="7">
        <f t="shared" si="351"/>
        <v>28.6</v>
      </c>
      <c r="P138" s="7"/>
      <c r="Q138" s="7">
        <f t="shared" si="384"/>
        <v>28.6</v>
      </c>
      <c r="R138" s="7">
        <v>2</v>
      </c>
      <c r="S138" s="7">
        <f t="shared" si="352"/>
        <v>58.2</v>
      </c>
      <c r="T138" s="7">
        <f t="shared" si="309"/>
        <v>1</v>
      </c>
      <c r="U138" s="7">
        <f t="shared" si="359"/>
        <v>1.5000000000000002</v>
      </c>
      <c r="V138" s="7">
        <f t="shared" si="353"/>
        <v>4</v>
      </c>
      <c r="W138" s="7">
        <f t="shared" si="360"/>
        <v>4</v>
      </c>
      <c r="X138" s="7">
        <v>5</v>
      </c>
      <c r="Y138" s="7">
        <f t="shared" si="358"/>
        <v>63.951544156493995</v>
      </c>
      <c r="Z138" s="7"/>
      <c r="AA138" s="7"/>
      <c r="AB138" s="7">
        <v>464</v>
      </c>
      <c r="AC138" s="7"/>
      <c r="AD138" s="7">
        <f t="shared" si="339"/>
        <v>1.1235877075133753</v>
      </c>
      <c r="AE138" s="7">
        <v>0</v>
      </c>
      <c r="AF138" s="7">
        <v>0</v>
      </c>
      <c r="AG138" s="7">
        <f t="shared" si="354"/>
        <v>715</v>
      </c>
      <c r="AH138" s="7"/>
      <c r="AI138" s="7"/>
      <c r="AJ138" s="7"/>
      <c r="AK138" s="4">
        <f t="shared" si="283"/>
        <v>715</v>
      </c>
      <c r="AL138" s="46">
        <f t="shared" si="355"/>
        <v>1.985427160252335E-2</v>
      </c>
      <c r="AM138" s="25">
        <f t="shared" si="272"/>
        <v>1180.1370419324396</v>
      </c>
      <c r="AN138" s="4">
        <f t="shared" si="273"/>
        <v>0.71199999999999997</v>
      </c>
      <c r="AO138" s="4">
        <v>1.25</v>
      </c>
      <c r="AP138" s="25">
        <f t="shared" si="322"/>
        <v>5</v>
      </c>
      <c r="AQ138" s="38">
        <f t="shared" si="275"/>
        <v>104.2668880463269</v>
      </c>
      <c r="AR138" s="38">
        <f t="shared" si="276"/>
        <v>104.2668880463269</v>
      </c>
      <c r="AT138" s="38">
        <f t="shared" si="356"/>
        <v>104.26688804632695</v>
      </c>
      <c r="AU138" s="38">
        <f t="shared" si="247"/>
        <v>0.99999999999999944</v>
      </c>
      <c r="AV138" s="38">
        <f t="shared" si="333"/>
        <v>2.895646025858694</v>
      </c>
      <c r="AW138" s="4">
        <f t="shared" si="328"/>
        <v>0</v>
      </c>
      <c r="AX138" s="4">
        <f t="shared" si="385"/>
        <v>1043.5463188893868</v>
      </c>
      <c r="AY138" s="4">
        <f t="shared" si="386"/>
        <v>1.2000000000000002</v>
      </c>
      <c r="AZ138" s="38">
        <f t="shared" si="277"/>
        <v>301.92</v>
      </c>
      <c r="BA138" s="4">
        <f t="shared" si="387"/>
        <v>0.44000000000000006</v>
      </c>
      <c r="BB138" s="4">
        <f t="shared" si="248"/>
        <v>239.91129871267009</v>
      </c>
      <c r="BC138" s="4">
        <f t="shared" si="249"/>
        <v>541.8312987126701</v>
      </c>
      <c r="BE138" s="36">
        <f t="shared" si="317"/>
        <v>1</v>
      </c>
      <c r="BF138" s="36">
        <f t="shared" si="318"/>
        <v>491.71902546067912</v>
      </c>
      <c r="BK138" s="4">
        <f t="shared" si="361"/>
        <v>20.700000000000003</v>
      </c>
      <c r="BL138" s="4">
        <f t="shared" si="362"/>
        <v>20.700000000000003</v>
      </c>
      <c r="BM138" s="4">
        <f t="shared" si="363"/>
        <v>58.2</v>
      </c>
      <c r="BN138" s="4">
        <f t="shared" si="364"/>
        <v>35</v>
      </c>
      <c r="BO138" s="4">
        <f t="shared" si="365"/>
        <v>1.181159420289855</v>
      </c>
      <c r="BP138" s="25">
        <f t="shared" si="278"/>
        <v>1.4454748150400323</v>
      </c>
      <c r="BR138" s="4">
        <f t="shared" si="336"/>
        <v>14.3</v>
      </c>
      <c r="BV138" s="9"/>
      <c r="BX138" s="9"/>
      <c r="BY138" s="9"/>
      <c r="BZ138" s="9">
        <f t="shared" si="389"/>
        <v>14.3</v>
      </c>
      <c r="CA138" s="9">
        <f t="shared" si="390"/>
        <v>28.6</v>
      </c>
      <c r="CB138" s="9">
        <f t="shared" si="252"/>
        <v>0.78458409789675088</v>
      </c>
      <c r="CC138" s="9">
        <v>0</v>
      </c>
      <c r="CD138" s="9">
        <f t="shared" si="311"/>
        <v>0</v>
      </c>
      <c r="CE138" s="9">
        <f t="shared" si="253"/>
        <v>0</v>
      </c>
      <c r="CF138" s="9">
        <f t="shared" si="391"/>
        <v>0.96044432035915817</v>
      </c>
      <c r="CG138" s="9">
        <f t="shared" si="392"/>
        <v>0.74299999999999999</v>
      </c>
      <c r="CH138" s="9">
        <f t="shared" si="254"/>
        <v>1.9808626966691243</v>
      </c>
      <c r="CI138" s="9">
        <f t="shared" si="255"/>
        <v>1.5541533719234701</v>
      </c>
      <c r="CJ138" s="9">
        <v>1</v>
      </c>
      <c r="CK138" s="9">
        <f t="shared" si="256"/>
        <v>248.66453950775522</v>
      </c>
      <c r="CM138" s="4">
        <f t="shared" si="346"/>
        <v>0.44463766638918378</v>
      </c>
      <c r="CN138" s="4">
        <f t="shared" si="347"/>
        <v>0.85635510739673315</v>
      </c>
      <c r="CO138" s="4">
        <f t="shared" ref="CO138:CO152" si="396">AB138/BF138</f>
        <v>0.94362832425548338</v>
      </c>
      <c r="CP138" s="4">
        <f t="shared" si="340"/>
        <v>1.8659677045971768</v>
      </c>
      <c r="CQ138" s="4">
        <f t="shared" ref="CQ138:CQ152" si="397">AB138/DR138</f>
        <v>1.1235877075133753</v>
      </c>
      <c r="CR138" s="4">
        <f t="shared" ref="CR138:CR152" si="398">AB138/ED138</f>
        <v>1.1123266588575653</v>
      </c>
      <c r="CS138" s="4">
        <f t="shared" si="334"/>
        <v>0.70132401780331832</v>
      </c>
      <c r="CU138" s="4">
        <f t="shared" si="366"/>
        <v>0.44463766638918378</v>
      </c>
      <c r="CV138" s="4">
        <f t="shared" si="366"/>
        <v>0.85635510739673315</v>
      </c>
      <c r="CW138" s="4">
        <f t="shared" si="383"/>
        <v>1.8659677045971768</v>
      </c>
      <c r="CX138" s="4">
        <f t="shared" si="348"/>
        <v>0.70132401780331832</v>
      </c>
      <c r="CY138" s="4">
        <f t="shared" si="367"/>
        <v>1.1235877075133753</v>
      </c>
      <c r="CZ138" s="4">
        <f t="shared" si="367"/>
        <v>1.1123266588575653</v>
      </c>
      <c r="DH138" s="4">
        <f t="shared" si="368"/>
        <v>0</v>
      </c>
      <c r="DI138" s="4">
        <f t="shared" si="369"/>
        <v>715</v>
      </c>
      <c r="DJ138" s="4">
        <f t="shared" si="370"/>
        <v>1</v>
      </c>
      <c r="DL138" s="4">
        <f t="shared" si="371"/>
        <v>5.5250683031071631E-5</v>
      </c>
      <c r="DM138" s="4">
        <f t="shared" si="372"/>
        <v>4.1860577959627587</v>
      </c>
      <c r="DN138" s="4">
        <f t="shared" si="342"/>
        <v>0.10312256028274906</v>
      </c>
      <c r="DO138" s="4">
        <f t="shared" si="257"/>
        <v>1.6871228017777082</v>
      </c>
      <c r="DP138" s="4">
        <f t="shared" si="258"/>
        <v>3.195274432525173</v>
      </c>
      <c r="DQ138" s="4">
        <f t="shared" si="259"/>
        <v>3.3015885549114703</v>
      </c>
      <c r="DR138" s="38">
        <f t="shared" si="279"/>
        <v>412.96286609158767</v>
      </c>
      <c r="DS138" s="4">
        <f t="shared" si="260"/>
        <v>1.0000650916666518</v>
      </c>
      <c r="DT138" s="4">
        <f t="shared" si="335"/>
        <v>2.2360679774997898</v>
      </c>
      <c r="DU138" s="4">
        <f t="shared" si="280"/>
        <v>104.26688804632695</v>
      </c>
      <c r="DY138" s="4">
        <f t="shared" si="393"/>
        <v>1</v>
      </c>
      <c r="DZ138" s="4">
        <f t="shared" si="261"/>
        <v>1</v>
      </c>
      <c r="EA138" s="4">
        <f t="shared" si="262"/>
        <v>1</v>
      </c>
      <c r="EB138" s="4">
        <f t="shared" si="263"/>
        <v>1</v>
      </c>
      <c r="ED138" s="4">
        <f t="shared" si="281"/>
        <v>417.1436477810928</v>
      </c>
      <c r="EE138" s="25">
        <f t="shared" si="357"/>
        <v>103.18931308388592</v>
      </c>
      <c r="EH138" s="4">
        <f t="shared" si="319"/>
        <v>4.1860577959627587</v>
      </c>
      <c r="EI138" s="4">
        <f t="shared" si="373"/>
        <v>4.1860577959627587</v>
      </c>
      <c r="EK138" s="4">
        <f t="shared" si="374"/>
        <v>63.951544156493995</v>
      </c>
      <c r="EL138" s="4">
        <f t="shared" si="375"/>
        <v>2.2360679774997898</v>
      </c>
      <c r="EM138" s="4">
        <f t="shared" si="376"/>
        <v>4.4721285124322517E-2</v>
      </c>
      <c r="EP138" s="4">
        <f t="shared" si="337"/>
        <v>4.4721285124322517E-2</v>
      </c>
      <c r="EQ138" s="4">
        <f t="shared" si="338"/>
        <v>0.10295046794906974</v>
      </c>
      <c r="ER138" s="4">
        <f t="shared" si="377"/>
        <v>1.6859960400435789</v>
      </c>
      <c r="ES138" s="4">
        <f t="shared" si="394"/>
        <v>3.194984996700577</v>
      </c>
      <c r="ET138" s="4">
        <f t="shared" si="378"/>
        <v>472.29845584350602</v>
      </c>
      <c r="EU138" s="4">
        <f t="shared" si="379"/>
        <v>178.74999999999994</v>
      </c>
      <c r="EV138" s="4">
        <f t="shared" si="265"/>
        <v>5.5250683031071611E-5</v>
      </c>
      <c r="EW138" s="4">
        <f t="shared" si="395"/>
        <v>3.3016812855441273</v>
      </c>
      <c r="EX138" s="4">
        <f t="shared" si="380"/>
        <v>412.93598739994729</v>
      </c>
      <c r="EY138" s="4">
        <f t="shared" si="381"/>
        <v>472.29845584350602</v>
      </c>
      <c r="EZ138" s="4">
        <f t="shared" si="382"/>
        <v>178.75</v>
      </c>
      <c r="FB138" s="4">
        <f t="shared" si="343"/>
        <v>0</v>
      </c>
      <c r="FG138" s="23">
        <f t="shared" si="344"/>
        <v>0.6</v>
      </c>
      <c r="FH138" s="23">
        <f t="shared" si="344"/>
        <v>1</v>
      </c>
      <c r="FI138" s="23">
        <f t="shared" si="388"/>
        <v>0.8</v>
      </c>
      <c r="FJ138" s="23">
        <f t="shared" si="345"/>
        <v>2</v>
      </c>
      <c r="FK138" s="23">
        <f t="shared" si="345"/>
        <v>1.2</v>
      </c>
      <c r="FL138" s="23">
        <f t="shared" si="345"/>
        <v>1.2</v>
      </c>
      <c r="FM138" s="23">
        <f t="shared" ref="FM138:FM152" si="399">IF(FK138&lt;1,1,0)</f>
        <v>0</v>
      </c>
      <c r="FN138" s="23"/>
      <c r="FX138" s="4">
        <f t="shared" si="267"/>
        <v>1.25</v>
      </c>
      <c r="FY138" s="4">
        <f t="shared" si="308"/>
        <v>0.8</v>
      </c>
      <c r="FZ138" s="4">
        <f t="shared" si="269"/>
        <v>0</v>
      </c>
      <c r="GA138" s="4">
        <f t="shared" si="270"/>
        <v>661.60574601927544</v>
      </c>
    </row>
    <row r="139" spans="1:183" ht="12" customHeight="1" x14ac:dyDescent="0.3">
      <c r="A139" s="25">
        <v>121</v>
      </c>
      <c r="B139" s="24" t="s">
        <v>128</v>
      </c>
      <c r="C139" s="24">
        <v>2015</v>
      </c>
      <c r="D139" s="24" t="s">
        <v>293</v>
      </c>
      <c r="E139" s="24" t="s">
        <v>72</v>
      </c>
      <c r="F139" s="7" t="s">
        <v>138</v>
      </c>
      <c r="G139" s="7">
        <v>710</v>
      </c>
      <c r="H139" s="7">
        <f t="shared" si="320"/>
        <v>429</v>
      </c>
      <c r="I139" s="7">
        <f t="shared" si="349"/>
        <v>429</v>
      </c>
      <c r="J139" s="7">
        <v>41.4</v>
      </c>
      <c r="K139" s="7">
        <v>28.6</v>
      </c>
      <c r="L139" s="7">
        <v>15</v>
      </c>
      <c r="M139" s="7">
        <f t="shared" si="350"/>
        <v>15</v>
      </c>
      <c r="N139" s="7">
        <v>261</v>
      </c>
      <c r="O139" s="7">
        <f t="shared" si="351"/>
        <v>28.6</v>
      </c>
      <c r="P139" s="7"/>
      <c r="Q139" s="7">
        <f t="shared" si="384"/>
        <v>28.6</v>
      </c>
      <c r="R139" s="7">
        <v>2</v>
      </c>
      <c r="S139" s="7">
        <f t="shared" si="352"/>
        <v>58.2</v>
      </c>
      <c r="T139" s="7">
        <f t="shared" si="309"/>
        <v>1</v>
      </c>
      <c r="U139" s="7">
        <f t="shared" si="359"/>
        <v>1.5000000000000002</v>
      </c>
      <c r="V139" s="7">
        <f t="shared" si="353"/>
        <v>4</v>
      </c>
      <c r="W139" s="7">
        <f t="shared" si="360"/>
        <v>4</v>
      </c>
      <c r="X139" s="7">
        <v>5</v>
      </c>
      <c r="Y139" s="7">
        <f t="shared" si="358"/>
        <v>63.951544156493995</v>
      </c>
      <c r="Z139" s="7"/>
      <c r="AA139" s="7"/>
      <c r="AB139" s="7">
        <v>484</v>
      </c>
      <c r="AC139" s="7"/>
      <c r="AD139" s="7">
        <f t="shared" si="339"/>
        <v>1.1046714701548845</v>
      </c>
      <c r="AE139" s="7">
        <v>9.5</v>
      </c>
      <c r="AF139" s="7">
        <v>7</v>
      </c>
      <c r="AG139" s="7">
        <v>65</v>
      </c>
      <c r="AH139" s="7">
        <v>7</v>
      </c>
      <c r="AI139" s="7">
        <v>7</v>
      </c>
      <c r="AJ139" s="7">
        <f>MIN(2.5,(40*2*PI()*AE139^2/4/AG139/R139)/K139)</f>
        <v>1.5251680311268359</v>
      </c>
      <c r="AK139" s="4">
        <f t="shared" si="283"/>
        <v>429</v>
      </c>
      <c r="AL139" s="46">
        <f t="shared" si="355"/>
        <v>5.5150754451453753E-2</v>
      </c>
      <c r="AM139" s="25">
        <f t="shared" si="272"/>
        <v>444.9735182569961</v>
      </c>
      <c r="AN139" s="4">
        <f t="shared" si="273"/>
        <v>0.72</v>
      </c>
      <c r="AO139" s="4">
        <v>1.25</v>
      </c>
      <c r="AP139" s="25">
        <f t="shared" si="322"/>
        <v>5</v>
      </c>
      <c r="AQ139" s="38">
        <f t="shared" si="275"/>
        <v>110.4328135925598</v>
      </c>
      <c r="AR139" s="38">
        <f t="shared" si="276"/>
        <v>110.4328135925598</v>
      </c>
      <c r="AT139" s="38">
        <f t="shared" si="356"/>
        <v>110.43281359255974</v>
      </c>
      <c r="AU139" s="38">
        <f t="shared" si="247"/>
        <v>1.0000000000000004</v>
      </c>
      <c r="AV139" s="38">
        <f t="shared" si="333"/>
        <v>1.7994651547426346</v>
      </c>
      <c r="AW139" s="4">
        <f t="shared" si="328"/>
        <v>0</v>
      </c>
      <c r="AX139" s="4">
        <f t="shared" si="385"/>
        <v>507.96972448880257</v>
      </c>
      <c r="AY139" s="4">
        <f t="shared" si="386"/>
        <v>1.2000000000000002</v>
      </c>
      <c r="AZ139" s="38">
        <f t="shared" si="277"/>
        <v>198.72000000000003</v>
      </c>
      <c r="BA139" s="4">
        <f t="shared" si="387"/>
        <v>0.44000000000000006</v>
      </c>
      <c r="BB139" s="4">
        <f t="shared" si="248"/>
        <v>116.7822396599757</v>
      </c>
      <c r="BC139" s="4">
        <f t="shared" si="249"/>
        <v>315.50223965997571</v>
      </c>
      <c r="BE139" s="36">
        <f t="shared" si="317"/>
        <v>1.6863256140070761</v>
      </c>
      <c r="BF139" s="36">
        <f t="shared" si="318"/>
        <v>499.11364032989434</v>
      </c>
      <c r="BK139" s="4">
        <f t="shared" si="361"/>
        <v>20.700000000000003</v>
      </c>
      <c r="BL139" s="4">
        <f t="shared" si="362"/>
        <v>20.700000000000003</v>
      </c>
      <c r="BM139" s="4">
        <f t="shared" si="363"/>
        <v>58.2</v>
      </c>
      <c r="BN139" s="4">
        <f t="shared" si="364"/>
        <v>35</v>
      </c>
      <c r="BO139" s="4">
        <f t="shared" si="365"/>
        <v>1.181159420289855</v>
      </c>
      <c r="BP139" s="25">
        <f t="shared" si="278"/>
        <v>3.0322956128775931</v>
      </c>
      <c r="BR139" s="4">
        <f t="shared" si="336"/>
        <v>14.3</v>
      </c>
      <c r="BV139" s="9"/>
      <c r="BX139" s="9"/>
      <c r="BY139" s="9"/>
      <c r="BZ139" s="9">
        <f t="shared" si="389"/>
        <v>14.3</v>
      </c>
      <c r="CA139" s="9">
        <f t="shared" si="390"/>
        <v>28.6</v>
      </c>
      <c r="CB139" s="9">
        <f t="shared" si="252"/>
        <v>0.78458409789675088</v>
      </c>
      <c r="CC139" s="9">
        <v>20</v>
      </c>
      <c r="CD139" s="9">
        <f t="shared" si="311"/>
        <v>0.05</v>
      </c>
      <c r="CE139" s="9">
        <f t="shared" si="253"/>
        <v>0.8</v>
      </c>
      <c r="CF139" s="9">
        <f t="shared" si="391"/>
        <v>0.96044432035915817</v>
      </c>
      <c r="CG139" s="9">
        <f t="shared" si="392"/>
        <v>0.74299999999999999</v>
      </c>
      <c r="CH139" s="9">
        <f t="shared" si="254"/>
        <v>1.6070493790635749</v>
      </c>
      <c r="CI139" s="9">
        <f t="shared" si="255"/>
        <v>2.5465048905989884</v>
      </c>
      <c r="CJ139" s="9">
        <v>1</v>
      </c>
      <c r="CK139" s="9">
        <f t="shared" si="256"/>
        <v>305.58058687187861</v>
      </c>
      <c r="CM139" s="4">
        <f t="shared" si="346"/>
        <v>0.95281269073088048</v>
      </c>
      <c r="CN139" s="4">
        <f t="shared" si="347"/>
        <v>1.534062010214629</v>
      </c>
      <c r="CO139" s="4">
        <f t="shared" si="396"/>
        <v>0.96971903969624063</v>
      </c>
      <c r="CP139" s="4">
        <f t="shared" si="340"/>
        <v>1.5838702482855289</v>
      </c>
      <c r="CQ139" s="4">
        <f t="shared" si="397"/>
        <v>1.1046714701548845</v>
      </c>
      <c r="CR139" s="4">
        <f t="shared" si="398"/>
        <v>1.1269337764078953</v>
      </c>
      <c r="CS139" s="4">
        <f t="shared" si="334"/>
        <v>1.146690173406641</v>
      </c>
      <c r="DA139" s="4">
        <f t="shared" ref="DA139:DB152" si="400">CM139</f>
        <v>0.95281269073088048</v>
      </c>
      <c r="DB139" s="4">
        <f t="shared" si="400"/>
        <v>1.534062010214629</v>
      </c>
      <c r="DC139" s="4">
        <f t="shared" ref="DC139:DC152" si="401">CP139</f>
        <v>1.5838702482855289</v>
      </c>
      <c r="DD139" s="4">
        <f t="shared" ref="DD139:DD152" si="402">CS139</f>
        <v>1.146690173406641</v>
      </c>
      <c r="DE139" s="4">
        <f t="shared" ref="DE139:DF152" si="403">CQ139</f>
        <v>1.1046714701548845</v>
      </c>
      <c r="DF139" s="4">
        <f t="shared" si="403"/>
        <v>1.1269337764078953</v>
      </c>
      <c r="DH139" s="4">
        <f t="shared" si="368"/>
        <v>7</v>
      </c>
      <c r="DI139" s="4">
        <f t="shared" si="369"/>
        <v>429</v>
      </c>
      <c r="DJ139" s="4">
        <f t="shared" si="370"/>
        <v>1</v>
      </c>
      <c r="DL139" s="4">
        <f t="shared" si="371"/>
        <v>2.8953960744479089E-5</v>
      </c>
      <c r="DM139" s="4">
        <f t="shared" si="372"/>
        <v>7.1242815844827039</v>
      </c>
      <c r="DN139" s="4">
        <f t="shared" si="342"/>
        <v>0.16594176945972797</v>
      </c>
      <c r="DO139" s="4">
        <f t="shared" si="257"/>
        <v>3.4731485838138183</v>
      </c>
      <c r="DP139" s="4">
        <f t="shared" si="258"/>
        <v>5.6076430390294192</v>
      </c>
      <c r="DQ139" s="4">
        <f t="shared" si="259"/>
        <v>6.2969374888096059</v>
      </c>
      <c r="DR139" s="38">
        <f t="shared" si="279"/>
        <v>438.13931388319372</v>
      </c>
      <c r="DS139" s="4">
        <f t="shared" si="260"/>
        <v>1.0001011208183974</v>
      </c>
      <c r="DT139" s="4">
        <f t="shared" si="335"/>
        <v>2.2360679774997898</v>
      </c>
      <c r="DU139" s="4">
        <f t="shared" si="280"/>
        <v>110.43281359255974</v>
      </c>
      <c r="DY139" s="4">
        <f t="shared" si="393"/>
        <v>1</v>
      </c>
      <c r="DZ139" s="4">
        <f t="shared" si="261"/>
        <v>1</v>
      </c>
      <c r="EA139" s="4">
        <f t="shared" si="262"/>
        <v>0.7</v>
      </c>
      <c r="EB139" s="4">
        <f t="shared" si="263"/>
        <v>0.7</v>
      </c>
      <c r="ED139" s="4">
        <f t="shared" si="281"/>
        <v>429.48397690479328</v>
      </c>
      <c r="EE139" s="25">
        <f t="shared" si="357"/>
        <v>108.89130560307159</v>
      </c>
      <c r="EH139" s="4">
        <f t="shared" si="319"/>
        <v>7.1242815844827039</v>
      </c>
      <c r="EI139" s="4">
        <f t="shared" si="373"/>
        <v>7.1242815844827039</v>
      </c>
      <c r="EK139" s="4">
        <f t="shared" si="374"/>
        <v>63.951544156493995</v>
      </c>
      <c r="EL139" s="4">
        <f t="shared" si="375"/>
        <v>2.2360679774997898</v>
      </c>
      <c r="EM139" s="4">
        <f t="shared" si="376"/>
        <v>5.8383637923874583E-2</v>
      </c>
      <c r="EP139" s="4">
        <f t="shared" si="337"/>
        <v>5.8383637923874583E-2</v>
      </c>
      <c r="EQ139" s="4">
        <f t="shared" si="338"/>
        <v>0.16566484357384129</v>
      </c>
      <c r="ER139" s="4">
        <f t="shared" si="377"/>
        <v>3.4708290070070413</v>
      </c>
      <c r="ES139" s="4">
        <f t="shared" si="394"/>
        <v>5.6069341897316711</v>
      </c>
      <c r="ET139" s="4">
        <f t="shared" si="378"/>
        <v>257.79845584350602</v>
      </c>
      <c r="EU139" s="4">
        <f t="shared" si="379"/>
        <v>107.25</v>
      </c>
      <c r="EV139" s="4">
        <f t="shared" si="265"/>
        <v>2.8953960744479089E-5</v>
      </c>
      <c r="EW139" s="4">
        <f t="shared" si="395"/>
        <v>6.2970711206046541</v>
      </c>
      <c r="EX139" s="4">
        <f t="shared" si="380"/>
        <v>438.0950133569072</v>
      </c>
      <c r="EY139" s="4">
        <f t="shared" si="381"/>
        <v>257.79845584350602</v>
      </c>
      <c r="EZ139" s="4">
        <f t="shared" si="382"/>
        <v>107.24999999999999</v>
      </c>
      <c r="FB139" s="4">
        <f t="shared" si="343"/>
        <v>0</v>
      </c>
      <c r="FG139" s="23">
        <f t="shared" si="344"/>
        <v>1</v>
      </c>
      <c r="FH139" s="23">
        <f t="shared" si="344"/>
        <v>1.6</v>
      </c>
      <c r="FI139" s="23">
        <f t="shared" si="388"/>
        <v>1.2</v>
      </c>
      <c r="FJ139" s="23">
        <f t="shared" si="345"/>
        <v>1.6</v>
      </c>
      <c r="FK139" s="23">
        <f t="shared" si="345"/>
        <v>1.2</v>
      </c>
      <c r="FL139" s="23">
        <f t="shared" si="345"/>
        <v>1.2</v>
      </c>
      <c r="FM139" s="23">
        <f t="shared" si="399"/>
        <v>0</v>
      </c>
      <c r="FN139" s="23"/>
      <c r="FX139" s="4">
        <f t="shared" si="267"/>
        <v>1.25</v>
      </c>
      <c r="FY139" s="4">
        <f t="shared" si="308"/>
        <v>0.67768622629572395</v>
      </c>
      <c r="FZ139" s="4">
        <f t="shared" si="269"/>
        <v>0.3</v>
      </c>
      <c r="GA139" s="4">
        <f t="shared" si="270"/>
        <v>422.08437049923435</v>
      </c>
    </row>
    <row r="140" spans="1:183" ht="12" customHeight="1" x14ac:dyDescent="0.3">
      <c r="A140" s="25">
        <v>122</v>
      </c>
      <c r="B140" s="24" t="s">
        <v>128</v>
      </c>
      <c r="C140" s="24">
        <v>2015</v>
      </c>
      <c r="D140" s="24" t="s">
        <v>293</v>
      </c>
      <c r="E140" s="24"/>
      <c r="F140" s="7" t="s">
        <v>139</v>
      </c>
      <c r="G140" s="7">
        <v>710</v>
      </c>
      <c r="H140" s="7">
        <f t="shared" si="320"/>
        <v>572</v>
      </c>
      <c r="I140" s="7">
        <f t="shared" si="349"/>
        <v>572</v>
      </c>
      <c r="J140" s="7">
        <v>41.4</v>
      </c>
      <c r="K140" s="7">
        <v>28.6</v>
      </c>
      <c r="L140" s="7">
        <v>20</v>
      </c>
      <c r="M140" s="7">
        <f t="shared" si="350"/>
        <v>20</v>
      </c>
      <c r="N140" s="7">
        <v>261</v>
      </c>
      <c r="O140" s="7">
        <f t="shared" si="351"/>
        <v>28.6</v>
      </c>
      <c r="P140" s="7"/>
      <c r="Q140" s="7">
        <f t="shared" si="384"/>
        <v>28.6</v>
      </c>
      <c r="R140" s="7">
        <v>2</v>
      </c>
      <c r="S140" s="7">
        <f t="shared" si="352"/>
        <v>58.2</v>
      </c>
      <c r="T140" s="7">
        <f t="shared" si="309"/>
        <v>1</v>
      </c>
      <c r="U140" s="7">
        <f t="shared" si="359"/>
        <v>1.5000000000000002</v>
      </c>
      <c r="V140" s="7">
        <f t="shared" si="353"/>
        <v>4</v>
      </c>
      <c r="W140" s="7">
        <f t="shared" si="360"/>
        <v>4</v>
      </c>
      <c r="X140" s="7">
        <v>5</v>
      </c>
      <c r="Y140" s="7">
        <f t="shared" si="358"/>
        <v>63.951544156493995</v>
      </c>
      <c r="Z140" s="7"/>
      <c r="AA140" s="7"/>
      <c r="AB140" s="7">
        <v>585</v>
      </c>
      <c r="AC140" s="7"/>
      <c r="AD140" s="7">
        <f t="shared" si="339"/>
        <v>1.1231070404717092</v>
      </c>
      <c r="AE140" s="7">
        <v>9.5</v>
      </c>
      <c r="AF140" s="7">
        <v>9</v>
      </c>
      <c r="AG140" s="7">
        <v>65</v>
      </c>
      <c r="AH140" s="7">
        <v>9</v>
      </c>
      <c r="AI140" s="7">
        <v>9</v>
      </c>
      <c r="AJ140" s="7">
        <f t="shared" ref="AJ140:AJ152" si="404">MIN(2.5,(40*2*PI()*AE140^2/4/AG140/R140)/K140)</f>
        <v>1.5251680311268359</v>
      </c>
      <c r="AK140" s="4">
        <f t="shared" si="283"/>
        <v>572</v>
      </c>
      <c r="AL140" s="46">
        <f t="shared" si="355"/>
        <v>3.1022299378942735E-2</v>
      </c>
      <c r="AM140" s="25">
        <f t="shared" si="272"/>
        <v>685.08154812781754</v>
      </c>
      <c r="AN140" s="4">
        <f t="shared" si="273"/>
        <v>0.71499999999999997</v>
      </c>
      <c r="AO140" s="4">
        <v>1.25</v>
      </c>
      <c r="AP140" s="25">
        <f t="shared" si="322"/>
        <v>5</v>
      </c>
      <c r="AQ140" s="38">
        <f t="shared" si="275"/>
        <v>94.973471829891636</v>
      </c>
      <c r="AR140" s="38">
        <f t="shared" si="276"/>
        <v>94.973471829891636</v>
      </c>
      <c r="AT140" s="38">
        <f t="shared" si="356"/>
        <v>94.973471829891608</v>
      </c>
      <c r="AU140" s="38">
        <f t="shared" si="247"/>
        <v>1.0000000000000002</v>
      </c>
      <c r="AV140" s="38">
        <f t="shared" si="333"/>
        <v>2.092373756283548</v>
      </c>
      <c r="AW140" s="4">
        <f t="shared" si="328"/>
        <v>0</v>
      </c>
      <c r="AX140" s="4">
        <f t="shared" si="385"/>
        <v>677.29296598506994</v>
      </c>
      <c r="AY140" s="4">
        <f t="shared" si="386"/>
        <v>1.2000000000000002</v>
      </c>
      <c r="AZ140" s="38">
        <f t="shared" si="277"/>
        <v>198.72000000000003</v>
      </c>
      <c r="BA140" s="4">
        <f t="shared" si="387"/>
        <v>0.44000000000000006</v>
      </c>
      <c r="BB140" s="4">
        <f t="shared" si="248"/>
        <v>155.70965287996762</v>
      </c>
      <c r="BC140" s="4">
        <f t="shared" si="249"/>
        <v>354.42965287996765</v>
      </c>
      <c r="BE140" s="36">
        <f t="shared" si="317"/>
        <v>1.6863256140070761</v>
      </c>
      <c r="BF140" s="36">
        <f t="shared" si="318"/>
        <v>585.91601256118031</v>
      </c>
      <c r="BK140" s="4">
        <f t="shared" si="361"/>
        <v>20.700000000000003</v>
      </c>
      <c r="BL140" s="4">
        <f t="shared" si="362"/>
        <v>20.700000000000003</v>
      </c>
      <c r="BM140" s="4">
        <f t="shared" si="363"/>
        <v>58.2</v>
      </c>
      <c r="BN140" s="4">
        <f t="shared" si="364"/>
        <v>35</v>
      </c>
      <c r="BO140" s="4">
        <f t="shared" si="365"/>
        <v>1.181159420289855</v>
      </c>
      <c r="BP140" s="25">
        <f t="shared" si="278"/>
        <v>3.0322956128775931</v>
      </c>
      <c r="BR140" s="4">
        <f t="shared" si="336"/>
        <v>14.3</v>
      </c>
      <c r="BV140" s="9"/>
      <c r="BX140" s="9"/>
      <c r="BY140" s="9"/>
      <c r="BZ140" s="9">
        <f t="shared" si="389"/>
        <v>14.3</v>
      </c>
      <c r="CA140" s="9">
        <f t="shared" si="390"/>
        <v>28.6</v>
      </c>
      <c r="CB140" s="9">
        <f t="shared" si="252"/>
        <v>0.78458409789675088</v>
      </c>
      <c r="CC140" s="9">
        <v>20</v>
      </c>
      <c r="CD140" s="9">
        <f t="shared" si="311"/>
        <v>0.05</v>
      </c>
      <c r="CE140" s="9">
        <f t="shared" si="253"/>
        <v>0.8</v>
      </c>
      <c r="CF140" s="9">
        <f t="shared" si="391"/>
        <v>0.96044432035915817</v>
      </c>
      <c r="CG140" s="9">
        <f t="shared" si="392"/>
        <v>0.74299999999999999</v>
      </c>
      <c r="CH140" s="9">
        <f t="shared" si="254"/>
        <v>1.6070493790635749</v>
      </c>
      <c r="CI140" s="9">
        <f t="shared" si="255"/>
        <v>2.5465048905989884</v>
      </c>
      <c r="CJ140" s="9">
        <v>1</v>
      </c>
      <c r="CK140" s="9">
        <f t="shared" si="256"/>
        <v>356.51068468385836</v>
      </c>
      <c r="CM140" s="4">
        <f t="shared" si="346"/>
        <v>0.86373257863259068</v>
      </c>
      <c r="CN140" s="4">
        <f t="shared" si="347"/>
        <v>1.6505390992161655</v>
      </c>
      <c r="CO140" s="4">
        <f t="shared" si="396"/>
        <v>0.99843661456327815</v>
      </c>
      <c r="CP140" s="4">
        <f t="shared" si="340"/>
        <v>1.640904537037251</v>
      </c>
      <c r="CQ140" s="4">
        <f t="shared" si="397"/>
        <v>1.1231070404717092</v>
      </c>
      <c r="CR140" s="4">
        <f t="shared" si="398"/>
        <v>1.1221539038315145</v>
      </c>
      <c r="CS140" s="4">
        <f t="shared" si="334"/>
        <v>1.0394841189714128</v>
      </c>
      <c r="DA140" s="4">
        <f t="shared" si="400"/>
        <v>0.86373257863259068</v>
      </c>
      <c r="DB140" s="4">
        <f t="shared" si="400"/>
        <v>1.6505390992161655</v>
      </c>
      <c r="DC140" s="4">
        <f t="shared" si="401"/>
        <v>1.640904537037251</v>
      </c>
      <c r="DD140" s="4">
        <f t="shared" si="402"/>
        <v>1.0394841189714128</v>
      </c>
      <c r="DE140" s="4">
        <f t="shared" si="403"/>
        <v>1.1231070404717092</v>
      </c>
      <c r="DF140" s="4">
        <f t="shared" si="403"/>
        <v>1.1221539038315145</v>
      </c>
      <c r="DH140" s="4">
        <f t="shared" si="368"/>
        <v>9</v>
      </c>
      <c r="DI140" s="4">
        <f t="shared" si="369"/>
        <v>572</v>
      </c>
      <c r="DJ140" s="4">
        <f t="shared" si="370"/>
        <v>1</v>
      </c>
      <c r="DL140" s="4">
        <f t="shared" si="371"/>
        <v>3.8605280992638792E-5</v>
      </c>
      <c r="DM140" s="4">
        <f t="shared" si="372"/>
        <v>7.1242815844827039</v>
      </c>
      <c r="DN140" s="4">
        <f t="shared" si="342"/>
        <v>0.14271180326286331</v>
      </c>
      <c r="DO140" s="4">
        <f t="shared" si="257"/>
        <v>3.2698289451363891</v>
      </c>
      <c r="DP140" s="4">
        <f t="shared" si="258"/>
        <v>5.5470914187820428</v>
      </c>
      <c r="DQ140" s="4">
        <f t="shared" si="259"/>
        <v>5.672297025351078</v>
      </c>
      <c r="DR140" s="38">
        <f t="shared" si="279"/>
        <v>520.87644268911163</v>
      </c>
      <c r="DS140" s="4">
        <f t="shared" si="260"/>
        <v>1.0000919981850391</v>
      </c>
      <c r="DT140" s="4">
        <f t="shared" si="335"/>
        <v>2.2360679774997898</v>
      </c>
      <c r="DU140" s="4">
        <f t="shared" si="280"/>
        <v>94.973471829891608</v>
      </c>
      <c r="DY140" s="4">
        <f t="shared" si="393"/>
        <v>1</v>
      </c>
      <c r="DZ140" s="4">
        <f t="shared" si="261"/>
        <v>1</v>
      </c>
      <c r="EA140" s="4">
        <f t="shared" si="262"/>
        <v>0.7</v>
      </c>
      <c r="EB140" s="4">
        <f t="shared" si="263"/>
        <v>0.7</v>
      </c>
      <c r="ED140" s="4">
        <f t="shared" si="281"/>
        <v>521.31886544489055</v>
      </c>
      <c r="EE140" s="25">
        <f t="shared" si="357"/>
        <v>93.861970375928266</v>
      </c>
      <c r="EH140" s="4">
        <f t="shared" si="319"/>
        <v>7.1242815844827039</v>
      </c>
      <c r="EI140" s="4">
        <f t="shared" si="373"/>
        <v>7.1242815844827039</v>
      </c>
      <c r="EK140" s="4">
        <f t="shared" si="374"/>
        <v>63.951544156493995</v>
      </c>
      <c r="EL140" s="4">
        <f t="shared" si="375"/>
        <v>2.2360679774997898</v>
      </c>
      <c r="EM140" s="4">
        <f t="shared" si="376"/>
        <v>5.0210590596265252E-2</v>
      </c>
      <c r="EP140" s="4">
        <f t="shared" si="337"/>
        <v>5.0210590596265252E-2</v>
      </c>
      <c r="EQ140" s="4">
        <f t="shared" si="338"/>
        <v>0.14247364386108202</v>
      </c>
      <c r="ER140" s="4">
        <f t="shared" si="377"/>
        <v>3.2676451573714158</v>
      </c>
      <c r="ES140" s="4">
        <f t="shared" si="394"/>
        <v>5.5464586551755382</v>
      </c>
      <c r="ET140" s="4">
        <f t="shared" si="378"/>
        <v>365.04845584350602</v>
      </c>
      <c r="EU140" s="4">
        <f t="shared" si="379"/>
        <v>143</v>
      </c>
      <c r="EV140" s="4">
        <f t="shared" si="265"/>
        <v>3.8605280992638792E-5</v>
      </c>
      <c r="EW140" s="4">
        <f t="shared" si="395"/>
        <v>5.6724931912992886</v>
      </c>
      <c r="EX140" s="4">
        <f t="shared" si="380"/>
        <v>520.82852740987335</v>
      </c>
      <c r="EY140" s="4">
        <f t="shared" si="381"/>
        <v>365.04845584350602</v>
      </c>
      <c r="EZ140" s="4">
        <f t="shared" si="382"/>
        <v>143</v>
      </c>
      <c r="FB140" s="4">
        <f t="shared" si="343"/>
        <v>0</v>
      </c>
      <c r="FG140" s="23">
        <f t="shared" si="344"/>
        <v>1</v>
      </c>
      <c r="FH140" s="23">
        <f t="shared" si="344"/>
        <v>1.8</v>
      </c>
      <c r="FI140" s="23">
        <f t="shared" si="388"/>
        <v>1.2</v>
      </c>
      <c r="FJ140" s="23">
        <f t="shared" si="345"/>
        <v>1.8</v>
      </c>
      <c r="FK140" s="23">
        <f t="shared" si="345"/>
        <v>1.2</v>
      </c>
      <c r="FL140" s="23">
        <f t="shared" si="345"/>
        <v>1.2</v>
      </c>
      <c r="FM140" s="23">
        <f t="shared" si="399"/>
        <v>0</v>
      </c>
      <c r="FN140" s="23"/>
      <c r="FX140" s="4">
        <f t="shared" si="267"/>
        <v>1.25</v>
      </c>
      <c r="FY140" s="4">
        <f t="shared" si="308"/>
        <v>0.67768622629572395</v>
      </c>
      <c r="FZ140" s="4">
        <f t="shared" si="269"/>
        <v>0.3</v>
      </c>
      <c r="GA140" s="4">
        <f t="shared" si="270"/>
        <v>562.7791606656458</v>
      </c>
    </row>
    <row r="141" spans="1:183" ht="12" customHeight="1" x14ac:dyDescent="0.3">
      <c r="A141" s="25">
        <v>123</v>
      </c>
      <c r="B141" s="24" t="s">
        <v>128</v>
      </c>
      <c r="C141" s="24">
        <v>2015</v>
      </c>
      <c r="D141" s="24" t="s">
        <v>293</v>
      </c>
      <c r="E141" s="24"/>
      <c r="F141" s="7" t="s">
        <v>147</v>
      </c>
      <c r="G141" s="7">
        <v>710</v>
      </c>
      <c r="H141" s="7">
        <f t="shared" si="320"/>
        <v>572</v>
      </c>
      <c r="I141" s="7">
        <f t="shared" si="349"/>
        <v>572</v>
      </c>
      <c r="J141" s="7">
        <v>41.4</v>
      </c>
      <c r="K141" s="7">
        <v>28.6</v>
      </c>
      <c r="L141" s="7">
        <v>20</v>
      </c>
      <c r="M141" s="7">
        <f t="shared" si="350"/>
        <v>20</v>
      </c>
      <c r="N141" s="7">
        <v>261</v>
      </c>
      <c r="O141" s="7">
        <f t="shared" si="351"/>
        <v>28.6</v>
      </c>
      <c r="P141" s="7"/>
      <c r="Q141" s="7">
        <f t="shared" si="384"/>
        <v>28.6</v>
      </c>
      <c r="R141" s="7">
        <v>2</v>
      </c>
      <c r="S141" s="7">
        <f t="shared" si="352"/>
        <v>58.2</v>
      </c>
      <c r="T141" s="7">
        <f t="shared" si="309"/>
        <v>1</v>
      </c>
      <c r="U141" s="7">
        <f>MIN(S141/K141+0.5, (O141+K141/2)/K141)</f>
        <v>1.5000000000000002</v>
      </c>
      <c r="V141" s="7">
        <f t="shared" si="353"/>
        <v>4</v>
      </c>
      <c r="W141" s="7">
        <f t="shared" si="360"/>
        <v>4</v>
      </c>
      <c r="X141" s="7">
        <v>5</v>
      </c>
      <c r="Y141" s="7">
        <f t="shared" si="358"/>
        <v>63.951544156493995</v>
      </c>
      <c r="Z141" s="7"/>
      <c r="AA141" s="7"/>
      <c r="AB141" s="7">
        <v>489</v>
      </c>
      <c r="AC141" s="7"/>
      <c r="AD141" s="7">
        <f t="shared" si="339"/>
        <v>1.2855692591244996</v>
      </c>
      <c r="AE141" s="7">
        <v>9.5</v>
      </c>
      <c r="AF141" s="7">
        <v>4</v>
      </c>
      <c r="AG141" s="7">
        <f>H141/3</f>
        <v>190.66666666666666</v>
      </c>
      <c r="AH141" s="7">
        <v>4</v>
      </c>
      <c r="AI141" s="7">
        <v>4</v>
      </c>
      <c r="AJ141" s="7">
        <f t="shared" si="404"/>
        <v>0.51994364697505768</v>
      </c>
      <c r="AK141" s="4">
        <f t="shared" si="283"/>
        <v>572</v>
      </c>
      <c r="AL141" s="46">
        <f t="shared" si="355"/>
        <v>3.1022299378942735E-2</v>
      </c>
      <c r="AM141" s="25">
        <f t="shared" si="272"/>
        <v>685.08154812781754</v>
      </c>
      <c r="AN141" s="4">
        <f t="shared" si="273"/>
        <v>0.71499999999999997</v>
      </c>
      <c r="AO141" s="4">
        <v>1.25</v>
      </c>
      <c r="AP141" s="25">
        <f t="shared" si="322"/>
        <v>5</v>
      </c>
      <c r="AQ141" s="38">
        <f t="shared" si="275"/>
        <v>94.973471829891636</v>
      </c>
      <c r="AR141" s="38">
        <f t="shared" si="276"/>
        <v>94.973471829891636</v>
      </c>
      <c r="AT141" s="38">
        <f t="shared" si="356"/>
        <v>94.973471829891608</v>
      </c>
      <c r="AU141" s="38">
        <f t="shared" si="247"/>
        <v>1.0000000000000002</v>
      </c>
      <c r="AV141" s="38">
        <f t="shared" si="333"/>
        <v>2.092373756283548</v>
      </c>
      <c r="AW141" s="4">
        <f t="shared" si="328"/>
        <v>0</v>
      </c>
      <c r="AX141" s="4">
        <f t="shared" si="385"/>
        <v>677.29296598506994</v>
      </c>
      <c r="AY141" s="4">
        <f t="shared" si="386"/>
        <v>1.2000000000000002</v>
      </c>
      <c r="AZ141" s="38">
        <f t="shared" si="277"/>
        <v>198.72000000000003</v>
      </c>
      <c r="BA141" s="4">
        <f t="shared" si="387"/>
        <v>0.44000000000000006</v>
      </c>
      <c r="BB141" s="4">
        <f t="shared" si="248"/>
        <v>155.70965287996762</v>
      </c>
      <c r="BC141" s="4">
        <f t="shared" si="249"/>
        <v>354.42965287996765</v>
      </c>
      <c r="BE141" s="36">
        <f t="shared" si="317"/>
        <v>1.233974641138776</v>
      </c>
      <c r="BF141" s="36">
        <f t="shared" si="318"/>
        <v>428.74608280403612</v>
      </c>
      <c r="BK141" s="4">
        <f t="shared" si="361"/>
        <v>20.700000000000003</v>
      </c>
      <c r="BL141" s="4">
        <f t="shared" si="362"/>
        <v>20.700000000000003</v>
      </c>
      <c r="BM141" s="4">
        <f t="shared" si="363"/>
        <v>58.2</v>
      </c>
      <c r="BN141" s="4">
        <f t="shared" si="364"/>
        <v>35</v>
      </c>
      <c r="BO141" s="4">
        <f t="shared" si="365"/>
        <v>1.181159420289855</v>
      </c>
      <c r="BP141" s="25">
        <f t="shared" si="278"/>
        <v>1.9864364506664733</v>
      </c>
      <c r="BR141" s="4">
        <f t="shared" si="336"/>
        <v>14.3</v>
      </c>
      <c r="BV141" s="9"/>
      <c r="BX141" s="9"/>
      <c r="BY141" s="9"/>
      <c r="BZ141" s="9">
        <f t="shared" si="389"/>
        <v>14.3</v>
      </c>
      <c r="CA141" s="9">
        <f t="shared" si="390"/>
        <v>28.6</v>
      </c>
      <c r="CB141" s="9">
        <f t="shared" si="252"/>
        <v>0.78458409789675088</v>
      </c>
      <c r="CC141" s="9">
        <v>20</v>
      </c>
      <c r="CD141" s="9">
        <f t="shared" si="311"/>
        <v>0.05</v>
      </c>
      <c r="CE141" s="9">
        <f t="shared" si="253"/>
        <v>0.8</v>
      </c>
      <c r="CF141" s="9">
        <f t="shared" si="391"/>
        <v>0.96044432035915817</v>
      </c>
      <c r="CG141" s="9">
        <f t="shared" si="392"/>
        <v>0.74299999999999999</v>
      </c>
      <c r="CH141" s="9">
        <f t="shared" si="254"/>
        <v>1.6070493790635749</v>
      </c>
      <c r="CI141" s="9">
        <f t="shared" si="255"/>
        <v>2.5465048905989884</v>
      </c>
      <c r="CJ141" s="9">
        <v>1</v>
      </c>
      <c r="CK141" s="9">
        <f t="shared" si="256"/>
        <v>356.51068468385836</v>
      </c>
      <c r="CM141" s="4">
        <f t="shared" si="346"/>
        <v>0.72199184778006298</v>
      </c>
      <c r="CN141" s="4">
        <f t="shared" si="347"/>
        <v>1.3796814008832563</v>
      </c>
      <c r="CO141" s="4">
        <f t="shared" si="396"/>
        <v>1.1405352016323931</v>
      </c>
      <c r="CP141" s="4">
        <f t="shared" si="340"/>
        <v>1.3716278950619074</v>
      </c>
      <c r="CQ141" s="4">
        <f t="shared" si="397"/>
        <v>1.2855692591244996</v>
      </c>
      <c r="CR141" s="4">
        <f t="shared" si="398"/>
        <v>1.3078849210171859</v>
      </c>
      <c r="CS141" s="4">
        <f t="shared" si="334"/>
        <v>0.86890210970430914</v>
      </c>
      <c r="DA141" s="4">
        <f t="shared" si="400"/>
        <v>0.72199184778006298</v>
      </c>
      <c r="DB141" s="4">
        <f t="shared" si="400"/>
        <v>1.3796814008832563</v>
      </c>
      <c r="DC141" s="4">
        <f t="shared" si="401"/>
        <v>1.3716278950619074</v>
      </c>
      <c r="DD141" s="4">
        <f t="shared" si="402"/>
        <v>0.86890210970430914</v>
      </c>
      <c r="DE141" s="4">
        <f t="shared" si="403"/>
        <v>1.2855692591244996</v>
      </c>
      <c r="DF141" s="4">
        <f t="shared" si="403"/>
        <v>1.3078849210171859</v>
      </c>
      <c r="DH141" s="4">
        <f t="shared" si="368"/>
        <v>4</v>
      </c>
      <c r="DI141" s="4">
        <f t="shared" si="369"/>
        <v>572</v>
      </c>
      <c r="DJ141" s="4">
        <f t="shared" si="370"/>
        <v>1</v>
      </c>
      <c r="DL141" s="4">
        <f t="shared" si="371"/>
        <v>3.8605280992638792E-5</v>
      </c>
      <c r="DM141" s="4">
        <f t="shared" si="372"/>
        <v>4.6670689243250978</v>
      </c>
      <c r="DN141" s="4">
        <f t="shared" si="342"/>
        <v>0.14271180326286331</v>
      </c>
      <c r="DO141" s="4">
        <f t="shared" si="257"/>
        <v>2.1420429381881072</v>
      </c>
      <c r="DP141" s="4">
        <f t="shared" si="258"/>
        <v>3.6338622602138306</v>
      </c>
      <c r="DQ141" s="4">
        <f t="shared" si="259"/>
        <v>4.0357134700457804</v>
      </c>
      <c r="DR141" s="38">
        <f t="shared" si="279"/>
        <v>380.3762391868483</v>
      </c>
      <c r="DS141" s="4">
        <f t="shared" si="260"/>
        <v>1.0000847999993252</v>
      </c>
      <c r="DT141" s="4">
        <f t="shared" si="335"/>
        <v>2.2360679774997898</v>
      </c>
      <c r="DU141" s="4">
        <f t="shared" si="280"/>
        <v>94.973471829891608</v>
      </c>
      <c r="DY141" s="4">
        <f t="shared" si="393"/>
        <v>1</v>
      </c>
      <c r="DZ141" s="4">
        <f t="shared" si="261"/>
        <v>1</v>
      </c>
      <c r="EA141" s="4">
        <f t="shared" si="262"/>
        <v>0.81019487505501497</v>
      </c>
      <c r="EB141" s="4">
        <f t="shared" si="263"/>
        <v>0.81019487505501497</v>
      </c>
      <c r="ED141" s="4">
        <f t="shared" si="281"/>
        <v>373.88610583543414</v>
      </c>
      <c r="EE141" s="25">
        <f t="shared" si="357"/>
        <v>93.861970375928266</v>
      </c>
      <c r="EH141" s="4">
        <f t="shared" si="319"/>
        <v>4.6670689243250978</v>
      </c>
      <c r="EI141" s="4">
        <f>IF(K141&lt;22.2,1.1*5*(J141/30)^0.5,IF(K141&gt;=31.8,0.9*5*(J141/30)^0.5,1*5*(J141/30)^0.5))*BP141/2.5</f>
        <v>4.6670689243250978</v>
      </c>
      <c r="EK141" s="4">
        <f t="shared" si="374"/>
        <v>63.951544156493995</v>
      </c>
      <c r="EL141" s="4">
        <f t="shared" si="375"/>
        <v>2.2360679774997898</v>
      </c>
      <c r="EM141" s="4">
        <f t="shared" si="376"/>
        <v>5.0210590596265252E-2</v>
      </c>
      <c r="EP141" s="4">
        <f t="shared" si="337"/>
        <v>5.0210590596265252E-2</v>
      </c>
      <c r="EQ141" s="4">
        <f t="shared" si="338"/>
        <v>0.14247364386108202</v>
      </c>
      <c r="ER141" s="4">
        <f t="shared" si="377"/>
        <v>2.1406123535187107</v>
      </c>
      <c r="ES141" s="4">
        <f t="shared" si="394"/>
        <v>3.6334477410332875</v>
      </c>
      <c r="ET141" s="4">
        <f t="shared" si="378"/>
        <v>365.04845584350602</v>
      </c>
      <c r="EU141" s="4">
        <f t="shared" si="379"/>
        <v>143</v>
      </c>
      <c r="EV141" s="4">
        <f t="shared" si="265"/>
        <v>3.8605280992638792E-5</v>
      </c>
      <c r="EW141" s="4">
        <f t="shared" si="395"/>
        <v>4.0357987674000588</v>
      </c>
      <c r="EX141" s="4">
        <f t="shared" si="380"/>
        <v>380.34398601709069</v>
      </c>
      <c r="EY141" s="4">
        <f t="shared" si="381"/>
        <v>365.04845584350602</v>
      </c>
      <c r="EZ141" s="4">
        <f t="shared" si="382"/>
        <v>143</v>
      </c>
      <c r="FB141" s="4">
        <f t="shared" si="343"/>
        <v>0</v>
      </c>
      <c r="FG141" s="23">
        <f t="shared" si="344"/>
        <v>0.8</v>
      </c>
      <c r="FH141" s="23">
        <f t="shared" si="344"/>
        <v>1.4</v>
      </c>
      <c r="FI141" s="23">
        <f t="shared" si="388"/>
        <v>1</v>
      </c>
      <c r="FJ141" s="23">
        <f t="shared" si="345"/>
        <v>1.4</v>
      </c>
      <c r="FK141" s="23">
        <f t="shared" si="345"/>
        <v>1.4</v>
      </c>
      <c r="FL141" s="23">
        <f t="shared" si="345"/>
        <v>1.4</v>
      </c>
      <c r="FM141" s="23">
        <f t="shared" si="399"/>
        <v>0</v>
      </c>
      <c r="FN141" s="23"/>
      <c r="FX141" s="4">
        <f t="shared" si="267"/>
        <v>1.25</v>
      </c>
      <c r="FY141" s="4">
        <f t="shared" si="308"/>
        <v>0.67768622629572395</v>
      </c>
      <c r="FZ141" s="4">
        <f t="shared" si="269"/>
        <v>0.3</v>
      </c>
      <c r="GA141" s="4">
        <f t="shared" si="270"/>
        <v>562.7791606656458</v>
      </c>
    </row>
    <row r="142" spans="1:183" ht="12" customHeight="1" x14ac:dyDescent="0.3">
      <c r="A142" s="25">
        <v>124</v>
      </c>
      <c r="B142" s="24" t="s">
        <v>128</v>
      </c>
      <c r="C142" s="24">
        <v>2015</v>
      </c>
      <c r="D142" s="24" t="s">
        <v>293</v>
      </c>
      <c r="E142" s="24"/>
      <c r="F142" s="7" t="s">
        <v>148</v>
      </c>
      <c r="G142" s="7">
        <v>710</v>
      </c>
      <c r="H142" s="7">
        <f t="shared" si="320"/>
        <v>715</v>
      </c>
      <c r="I142" s="7">
        <f t="shared" si="349"/>
        <v>715</v>
      </c>
      <c r="J142" s="7">
        <v>40.1</v>
      </c>
      <c r="K142" s="7">
        <v>28.6</v>
      </c>
      <c r="L142" s="7">
        <v>25</v>
      </c>
      <c r="M142" s="7">
        <f t="shared" si="350"/>
        <v>25</v>
      </c>
      <c r="N142" s="7">
        <v>261</v>
      </c>
      <c r="O142" s="7">
        <f t="shared" si="351"/>
        <v>28.6</v>
      </c>
      <c r="P142" s="7"/>
      <c r="Q142" s="7">
        <f t="shared" si="384"/>
        <v>28.6</v>
      </c>
      <c r="R142" s="7">
        <v>2</v>
      </c>
      <c r="S142" s="7">
        <f t="shared" si="352"/>
        <v>58.2</v>
      </c>
      <c r="T142" s="7">
        <f t="shared" si="309"/>
        <v>1</v>
      </c>
      <c r="U142" s="7">
        <f t="shared" si="359"/>
        <v>1.5000000000000002</v>
      </c>
      <c r="V142" s="7">
        <f t="shared" si="353"/>
        <v>4</v>
      </c>
      <c r="W142" s="7">
        <f t="shared" si="360"/>
        <v>4</v>
      </c>
      <c r="X142" s="7">
        <v>5</v>
      </c>
      <c r="Y142" s="7">
        <f t="shared" si="358"/>
        <v>63.951544156493995</v>
      </c>
      <c r="Z142" s="7"/>
      <c r="AA142" s="7"/>
      <c r="AB142" s="7">
        <v>570</v>
      </c>
      <c r="AC142" s="7"/>
      <c r="AD142" s="7">
        <f t="shared" si="339"/>
        <v>1.3945416640120281</v>
      </c>
      <c r="AE142" s="7">
        <v>9.5</v>
      </c>
      <c r="AF142" s="7">
        <v>4</v>
      </c>
      <c r="AG142" s="7">
        <f>H142/3</f>
        <v>238.33333333333334</v>
      </c>
      <c r="AH142" s="7">
        <v>4</v>
      </c>
      <c r="AI142" s="7">
        <v>4</v>
      </c>
      <c r="AJ142" s="7">
        <f t="shared" si="404"/>
        <v>0.41595491758004616</v>
      </c>
      <c r="AK142" s="4">
        <f t="shared" si="283"/>
        <v>715</v>
      </c>
      <c r="AL142" s="46">
        <f t="shared" si="355"/>
        <v>1.985427160252335E-2</v>
      </c>
      <c r="AM142" s="25">
        <f t="shared" si="272"/>
        <v>942.2785516468773</v>
      </c>
      <c r="AN142" s="4">
        <f t="shared" si="273"/>
        <v>0.71199999999999997</v>
      </c>
      <c r="AO142" s="4">
        <v>1.25</v>
      </c>
      <c r="AP142" s="25">
        <f t="shared" si="322"/>
        <v>5</v>
      </c>
      <c r="AQ142" s="38">
        <f t="shared" si="275"/>
        <v>83.251731588850959</v>
      </c>
      <c r="AR142" s="38">
        <f t="shared" si="276"/>
        <v>83.251731588850959</v>
      </c>
      <c r="AT142" s="38">
        <f t="shared" si="356"/>
        <v>83.251731588851015</v>
      </c>
      <c r="AU142" s="38">
        <f t="shared" si="247"/>
        <v>0.99999999999999933</v>
      </c>
      <c r="AV142" s="38">
        <f t="shared" si="333"/>
        <v>2.3120239822828714</v>
      </c>
      <c r="AW142" s="4">
        <f t="shared" si="328"/>
        <v>0</v>
      </c>
      <c r="AX142" s="4">
        <f t="shared" si="385"/>
        <v>833.21790520987179</v>
      </c>
      <c r="AY142" s="4">
        <f t="shared" si="386"/>
        <v>1.2000000000000002</v>
      </c>
      <c r="AZ142" s="38">
        <f t="shared" si="277"/>
        <v>192.48000000000005</v>
      </c>
      <c r="BA142" s="4">
        <f t="shared" si="387"/>
        <v>0.44000000000000006</v>
      </c>
      <c r="BB142" s="4">
        <f t="shared" si="248"/>
        <v>191.55679640774952</v>
      </c>
      <c r="BC142" s="4">
        <f t="shared" si="249"/>
        <v>384.03679640774953</v>
      </c>
      <c r="BE142" s="36">
        <f t="shared" si="317"/>
        <v>1.1871797129110209</v>
      </c>
      <c r="BF142" s="36">
        <f t="shared" si="318"/>
        <v>466.10133021690683</v>
      </c>
      <c r="BK142" s="4">
        <f t="shared" si="361"/>
        <v>20.700000000000003</v>
      </c>
      <c r="BL142" s="4">
        <f t="shared" si="362"/>
        <v>20.700000000000003</v>
      </c>
      <c r="BM142" s="4">
        <f t="shared" si="363"/>
        <v>58.2</v>
      </c>
      <c r="BN142" s="4">
        <f t="shared" si="364"/>
        <v>35</v>
      </c>
      <c r="BO142" s="4">
        <f t="shared" si="365"/>
        <v>1.181159420289855</v>
      </c>
      <c r="BP142" s="25">
        <f t="shared" si="278"/>
        <v>1.8713952421261202</v>
      </c>
      <c r="BR142" s="4">
        <f t="shared" si="336"/>
        <v>14.3</v>
      </c>
      <c r="BV142" s="9"/>
      <c r="BX142" s="9"/>
      <c r="BY142" s="9"/>
      <c r="BZ142" s="9">
        <f t="shared" si="389"/>
        <v>14.3</v>
      </c>
      <c r="CA142" s="9">
        <f t="shared" si="390"/>
        <v>28.6</v>
      </c>
      <c r="CB142" s="9">
        <f t="shared" si="252"/>
        <v>0.78458409789675088</v>
      </c>
      <c r="CC142" s="9">
        <v>20</v>
      </c>
      <c r="CD142" s="9">
        <f t="shared" si="311"/>
        <v>4.1595491758004616E-2</v>
      </c>
      <c r="CE142" s="9">
        <f t="shared" si="253"/>
        <v>0.63190983516009225</v>
      </c>
      <c r="CF142" s="9">
        <f t="shared" si="391"/>
        <v>0.96044432035915817</v>
      </c>
      <c r="CG142" s="9">
        <f t="shared" si="392"/>
        <v>0.74299999999999999</v>
      </c>
      <c r="CH142" s="9">
        <f t="shared" si="254"/>
        <v>1.5816166822222031</v>
      </c>
      <c r="CI142" s="9">
        <f t="shared" si="255"/>
        <v>2.2403504347892436</v>
      </c>
      <c r="CJ142" s="9">
        <v>1</v>
      </c>
      <c r="CK142" s="9">
        <f t="shared" si="256"/>
        <v>358.45606956627898</v>
      </c>
      <c r="CM142" s="4">
        <f t="shared" si="346"/>
        <v>0.68409475652881924</v>
      </c>
      <c r="CN142" s="4">
        <f t="shared" si="347"/>
        <v>1.4842327749104667</v>
      </c>
      <c r="CO142" s="4">
        <f t="shared" si="396"/>
        <v>1.2229100477673867</v>
      </c>
      <c r="CP142" s="4">
        <f t="shared" si="340"/>
        <v>1.5901530156531671</v>
      </c>
      <c r="CQ142" s="4">
        <f t="shared" si="397"/>
        <v>1.3945416640120281</v>
      </c>
      <c r="CR142" s="4">
        <f t="shared" si="398"/>
        <v>1.4007274122258497</v>
      </c>
      <c r="CS142" s="4">
        <f t="shared" si="334"/>
        <v>0.81675316740153681</v>
      </c>
      <c r="DA142" s="4">
        <f t="shared" si="400"/>
        <v>0.68409475652881924</v>
      </c>
      <c r="DB142" s="4">
        <f t="shared" si="400"/>
        <v>1.4842327749104667</v>
      </c>
      <c r="DC142" s="4">
        <f t="shared" si="401"/>
        <v>1.5901530156531671</v>
      </c>
      <c r="DD142" s="4">
        <f t="shared" si="402"/>
        <v>0.81675316740153681</v>
      </c>
      <c r="DE142" s="4">
        <f t="shared" si="403"/>
        <v>1.3945416640120281</v>
      </c>
      <c r="DF142" s="4">
        <f t="shared" si="403"/>
        <v>1.4007274122258497</v>
      </c>
      <c r="DH142" s="4">
        <f t="shared" si="368"/>
        <v>4</v>
      </c>
      <c r="DI142" s="4">
        <f t="shared" si="369"/>
        <v>715</v>
      </c>
      <c r="DJ142" s="4">
        <f t="shared" si="370"/>
        <v>1</v>
      </c>
      <c r="DL142" s="4">
        <f t="shared" si="371"/>
        <v>4.7844538760390357E-5</v>
      </c>
      <c r="DM142" s="4">
        <f t="shared" si="372"/>
        <v>4.3272010677467785</v>
      </c>
      <c r="DN142" s="4">
        <f t="shared" si="342"/>
        <v>0.12915369137489427</v>
      </c>
      <c r="DO142" s="4">
        <f t="shared" si="257"/>
        <v>1.9083138616493587</v>
      </c>
      <c r="DP142" s="4">
        <f t="shared" si="258"/>
        <v>3.3471014245372079</v>
      </c>
      <c r="DQ142" s="4">
        <f t="shared" si="259"/>
        <v>3.492840488416765</v>
      </c>
      <c r="DR142" s="38">
        <f t="shared" si="279"/>
        <v>408.73644345636683</v>
      </c>
      <c r="DS142" s="4">
        <f t="shared" si="260"/>
        <v>1.0000793568982886</v>
      </c>
      <c r="DT142" s="4">
        <f t="shared" si="335"/>
        <v>2.2360679774997898</v>
      </c>
      <c r="DU142" s="4">
        <f t="shared" si="280"/>
        <v>83.251731588851015</v>
      </c>
      <c r="DY142" s="4">
        <f t="shared" si="393"/>
        <v>1</v>
      </c>
      <c r="DZ142" s="4">
        <f t="shared" si="261"/>
        <v>1</v>
      </c>
      <c r="EA142" s="4">
        <f t="shared" si="262"/>
        <v>0.81019487505501497</v>
      </c>
      <c r="EB142" s="4">
        <f t="shared" si="263"/>
        <v>0.81019487505501497</v>
      </c>
      <c r="ED142" s="4">
        <f t="shared" si="281"/>
        <v>406.93142364811138</v>
      </c>
      <c r="EE142" s="25">
        <f t="shared" si="357"/>
        <v>82.39134356710295</v>
      </c>
      <c r="EH142" s="4">
        <f t="shared" si="319"/>
        <v>4.3272010677467785</v>
      </c>
      <c r="EI142" s="4">
        <f t="shared" si="373"/>
        <v>4.3272010677467785</v>
      </c>
      <c r="EK142" s="4">
        <f t="shared" si="374"/>
        <v>63.951544156493995</v>
      </c>
      <c r="EL142" s="4">
        <f t="shared" si="375"/>
        <v>2.2360679774997898</v>
      </c>
      <c r="EM142" s="4">
        <f t="shared" si="376"/>
        <v>4.4721285124322517E-2</v>
      </c>
      <c r="EP142" s="4">
        <f t="shared" si="337"/>
        <v>4.4721285124322517E-2</v>
      </c>
      <c r="EQ142" s="4">
        <f t="shared" si="338"/>
        <v>0.12893815793496546</v>
      </c>
      <c r="ER142" s="4">
        <f t="shared" si="377"/>
        <v>1.9070393752671284</v>
      </c>
      <c r="ES142" s="4">
        <f t="shared" si="394"/>
        <v>3.3467452567635192</v>
      </c>
      <c r="ET142" s="4">
        <f t="shared" si="378"/>
        <v>472.29845584350602</v>
      </c>
      <c r="EU142" s="4">
        <f t="shared" si="379"/>
        <v>178.74999999999994</v>
      </c>
      <c r="EV142" s="4">
        <f t="shared" si="265"/>
        <v>4.784453876039033E-5</v>
      </c>
      <c r="EW142" s="4">
        <f t="shared" si="395"/>
        <v>3.4929402000892389</v>
      </c>
      <c r="EX142" s="4">
        <f t="shared" si="380"/>
        <v>408.70400997381716</v>
      </c>
      <c r="EY142" s="4">
        <f t="shared" si="381"/>
        <v>472.29845584350602</v>
      </c>
      <c r="EZ142" s="4">
        <f t="shared" si="382"/>
        <v>178.75</v>
      </c>
      <c r="FB142" s="4">
        <f t="shared" si="343"/>
        <v>0</v>
      </c>
      <c r="FG142" s="23">
        <f t="shared" si="344"/>
        <v>0.8</v>
      </c>
      <c r="FH142" s="23">
        <f t="shared" si="344"/>
        <v>1.6</v>
      </c>
      <c r="FI142" s="23">
        <f t="shared" si="388"/>
        <v>1</v>
      </c>
      <c r="FJ142" s="23">
        <f t="shared" si="345"/>
        <v>1.6</v>
      </c>
      <c r="FK142" s="23">
        <f t="shared" si="345"/>
        <v>1.4</v>
      </c>
      <c r="FL142" s="23">
        <f t="shared" si="345"/>
        <v>1.6</v>
      </c>
      <c r="FM142" s="23">
        <f t="shared" si="399"/>
        <v>0</v>
      </c>
      <c r="FN142" s="23"/>
      <c r="FX142" s="4">
        <f t="shared" si="267"/>
        <v>1.25</v>
      </c>
      <c r="FY142" s="4">
        <f t="shared" si="308"/>
        <v>0.67768622629572395</v>
      </c>
      <c r="FZ142" s="4">
        <f t="shared" si="269"/>
        <v>0.3</v>
      </c>
      <c r="GA142" s="4">
        <f t="shared" si="270"/>
        <v>697.8852641777064</v>
      </c>
    </row>
    <row r="143" spans="1:183" ht="12" customHeight="1" x14ac:dyDescent="0.3">
      <c r="A143" s="25">
        <v>125</v>
      </c>
      <c r="B143" s="24" t="s">
        <v>128</v>
      </c>
      <c r="C143" s="24">
        <v>2015</v>
      </c>
      <c r="D143" s="24" t="s">
        <v>293</v>
      </c>
      <c r="E143" s="24"/>
      <c r="F143" s="7" t="s">
        <v>149</v>
      </c>
      <c r="G143" s="7">
        <v>710</v>
      </c>
      <c r="H143" s="7">
        <f t="shared" si="320"/>
        <v>429</v>
      </c>
      <c r="I143" s="7">
        <f t="shared" si="349"/>
        <v>429</v>
      </c>
      <c r="J143" s="7">
        <v>40.1</v>
      </c>
      <c r="K143" s="7">
        <v>28.6</v>
      </c>
      <c r="L143" s="7">
        <v>15</v>
      </c>
      <c r="M143" s="7">
        <f t="shared" si="350"/>
        <v>15</v>
      </c>
      <c r="N143" s="7">
        <v>261</v>
      </c>
      <c r="O143" s="7">
        <f t="shared" si="351"/>
        <v>28.6</v>
      </c>
      <c r="P143" s="7"/>
      <c r="Q143" s="7">
        <f t="shared" si="384"/>
        <v>28.6</v>
      </c>
      <c r="R143" s="7">
        <v>2</v>
      </c>
      <c r="S143" s="7">
        <f t="shared" si="352"/>
        <v>58.2</v>
      </c>
      <c r="T143" s="7">
        <f t="shared" si="309"/>
        <v>1</v>
      </c>
      <c r="U143" s="7">
        <f t="shared" si="359"/>
        <v>1.5000000000000002</v>
      </c>
      <c r="V143" s="7">
        <f t="shared" si="353"/>
        <v>4</v>
      </c>
      <c r="W143" s="7">
        <f t="shared" si="360"/>
        <v>4</v>
      </c>
      <c r="X143" s="7">
        <v>5</v>
      </c>
      <c r="Y143" s="7">
        <f t="shared" si="358"/>
        <v>63.951544156493995</v>
      </c>
      <c r="Z143" s="7"/>
      <c r="AA143" s="7"/>
      <c r="AB143" s="7">
        <v>522</v>
      </c>
      <c r="AC143" s="7"/>
      <c r="AD143" s="7">
        <f t="shared" si="339"/>
        <v>0.98457361518909292</v>
      </c>
      <c r="AE143" s="7">
        <v>9.5</v>
      </c>
      <c r="AF143" s="7">
        <v>12</v>
      </c>
      <c r="AG143" s="7">
        <v>39</v>
      </c>
      <c r="AH143" s="7">
        <v>12</v>
      </c>
      <c r="AI143" s="7">
        <v>12</v>
      </c>
      <c r="AJ143" s="7">
        <f t="shared" si="404"/>
        <v>2.5</v>
      </c>
      <c r="AK143" s="4">
        <f t="shared" si="283"/>
        <v>429</v>
      </c>
      <c r="AL143" s="46">
        <f t="shared" si="355"/>
        <v>5.5150754451453753E-2</v>
      </c>
      <c r="AM143" s="25">
        <f t="shared" si="272"/>
        <v>437.93149656201666</v>
      </c>
      <c r="AN143" s="4">
        <f t="shared" si="273"/>
        <v>0.72</v>
      </c>
      <c r="AO143" s="4">
        <v>1.25</v>
      </c>
      <c r="AP143" s="25">
        <f t="shared" si="322"/>
        <v>5</v>
      </c>
      <c r="AQ143" s="38">
        <f t="shared" si="275"/>
        <v>108.68513595052249</v>
      </c>
      <c r="AR143" s="38">
        <f t="shared" si="276"/>
        <v>108.68513595052249</v>
      </c>
      <c r="AT143" s="38">
        <f t="shared" si="356"/>
        <v>108.68513595052244</v>
      </c>
      <c r="AU143" s="38">
        <f t="shared" si="247"/>
        <v>1.0000000000000004</v>
      </c>
      <c r="AV143" s="38">
        <f t="shared" si="333"/>
        <v>1.7709873417062678</v>
      </c>
      <c r="AW143" s="4">
        <f t="shared" si="328"/>
        <v>0</v>
      </c>
      <c r="AX143" s="4">
        <f t="shared" si="385"/>
        <v>499.93074312592307</v>
      </c>
      <c r="AY143" s="4">
        <f t="shared" si="386"/>
        <v>1.2000000000000002</v>
      </c>
      <c r="AZ143" s="38">
        <f t="shared" si="277"/>
        <v>192.48000000000005</v>
      </c>
      <c r="BA143" s="4">
        <f t="shared" si="387"/>
        <v>0.44000000000000006</v>
      </c>
      <c r="BB143" s="4">
        <f t="shared" si="248"/>
        <v>114.93407784464971</v>
      </c>
      <c r="BC143" s="4">
        <f t="shared" si="249"/>
        <v>307.41407784464974</v>
      </c>
      <c r="BE143" s="36">
        <f t="shared" si="317"/>
        <v>2.125</v>
      </c>
      <c r="BF143" s="36">
        <f t="shared" si="318"/>
        <v>618.99758178041373</v>
      </c>
      <c r="BK143" s="4">
        <f t="shared" si="361"/>
        <v>20.700000000000003</v>
      </c>
      <c r="BL143" s="4">
        <f t="shared" si="362"/>
        <v>20.700000000000003</v>
      </c>
      <c r="BM143" s="4">
        <f t="shared" si="363"/>
        <v>58.2</v>
      </c>
      <c r="BN143" s="4">
        <f t="shared" si="364"/>
        <v>35</v>
      </c>
      <c r="BO143" s="4">
        <f t="shared" si="365"/>
        <v>1.181159420289855</v>
      </c>
      <c r="BP143" s="25">
        <f t="shared" si="278"/>
        <v>4</v>
      </c>
      <c r="BR143" s="4">
        <f t="shared" si="336"/>
        <v>14.3</v>
      </c>
      <c r="BV143" s="9"/>
      <c r="BX143" s="9"/>
      <c r="BY143" s="9"/>
      <c r="BZ143" s="9">
        <f t="shared" si="389"/>
        <v>14.3</v>
      </c>
      <c r="CA143" s="9">
        <f t="shared" si="390"/>
        <v>28.6</v>
      </c>
      <c r="CB143" s="9">
        <f t="shared" si="252"/>
        <v>0.78458409789675088</v>
      </c>
      <c r="CC143" s="9">
        <v>20</v>
      </c>
      <c r="CD143" s="9">
        <f t="shared" si="311"/>
        <v>0.05</v>
      </c>
      <c r="CE143" s="9">
        <f t="shared" si="253"/>
        <v>0.8</v>
      </c>
      <c r="CF143" s="9">
        <f t="shared" si="391"/>
        <v>0.96044432035915817</v>
      </c>
      <c r="CG143" s="9">
        <f t="shared" si="392"/>
        <v>0.74299999999999999</v>
      </c>
      <c r="CH143" s="9">
        <f t="shared" si="254"/>
        <v>1.5816166822222031</v>
      </c>
      <c r="CI143" s="9">
        <f t="shared" si="255"/>
        <v>2.5062046436175218</v>
      </c>
      <c r="CJ143" s="9">
        <v>1</v>
      </c>
      <c r="CK143" s="9">
        <f t="shared" si="256"/>
        <v>300.74455723410261</v>
      </c>
      <c r="CM143" s="4">
        <f t="shared" si="346"/>
        <v>1.0441446283860925</v>
      </c>
      <c r="CN143" s="4">
        <f t="shared" si="347"/>
        <v>1.6980354434639466</v>
      </c>
      <c r="CO143" s="4">
        <f t="shared" si="396"/>
        <v>0.84329893260419375</v>
      </c>
      <c r="CP143" s="4">
        <f t="shared" si="340"/>
        <v>1.735692259240688</v>
      </c>
      <c r="CQ143" s="4">
        <f t="shared" si="397"/>
        <v>0.98457361518909292</v>
      </c>
      <c r="CR143" s="4">
        <f t="shared" si="398"/>
        <v>0.99736422977580386</v>
      </c>
      <c r="CS143" s="4">
        <f t="shared" si="334"/>
        <v>1.2466232555076091</v>
      </c>
      <c r="DA143" s="4">
        <f t="shared" si="400"/>
        <v>1.0441446283860925</v>
      </c>
      <c r="DB143" s="4">
        <f t="shared" si="400"/>
        <v>1.6980354434639466</v>
      </c>
      <c r="DC143" s="4">
        <f t="shared" si="401"/>
        <v>1.735692259240688</v>
      </c>
      <c r="DD143" s="4">
        <f t="shared" si="402"/>
        <v>1.2466232555076091</v>
      </c>
      <c r="DE143" s="4">
        <f t="shared" si="403"/>
        <v>0.98457361518909292</v>
      </c>
      <c r="DF143" s="4">
        <f t="shared" si="403"/>
        <v>0.99736422977580386</v>
      </c>
      <c r="DH143" s="4">
        <f t="shared" si="368"/>
        <v>12</v>
      </c>
      <c r="DI143" s="4">
        <f t="shared" si="369"/>
        <v>429</v>
      </c>
      <c r="DJ143" s="4">
        <f t="shared" si="370"/>
        <v>1</v>
      </c>
      <c r="DL143" s="4">
        <f t="shared" si="371"/>
        <v>2.8706723256234209E-5</v>
      </c>
      <c r="DM143" s="4">
        <f t="shared" si="372"/>
        <v>9.2491441045464668</v>
      </c>
      <c r="DN143" s="4">
        <f t="shared" si="342"/>
        <v>0.16861014465039709</v>
      </c>
      <c r="DO143" s="4">
        <f t="shared" si="257"/>
        <v>4.5379010977730605</v>
      </c>
      <c r="DP143" s="4">
        <f t="shared" si="258"/>
        <v>7.2890060364848717</v>
      </c>
      <c r="DQ143" s="4">
        <f t="shared" si="259"/>
        <v>7.8729976209340178</v>
      </c>
      <c r="DR143" s="38">
        <f t="shared" si="279"/>
        <v>530.17874128157189</v>
      </c>
      <c r="DS143" s="4">
        <f t="shared" si="260"/>
        <v>1.0001081359323825</v>
      </c>
      <c r="DT143" s="4">
        <f t="shared" si="335"/>
        <v>2.2360679774997898</v>
      </c>
      <c r="DU143" s="4">
        <f t="shared" si="280"/>
        <v>108.68513595052244</v>
      </c>
      <c r="DY143" s="4">
        <f t="shared" si="393"/>
        <v>1</v>
      </c>
      <c r="DZ143" s="4">
        <f t="shared" si="261"/>
        <v>1</v>
      </c>
      <c r="EA143" s="4">
        <f t="shared" si="262"/>
        <v>0.7</v>
      </c>
      <c r="EB143" s="4">
        <f t="shared" si="263"/>
        <v>0.7</v>
      </c>
      <c r="ED143" s="4">
        <f t="shared" si="281"/>
        <v>523.37950812346628</v>
      </c>
      <c r="EE143" s="25">
        <f t="shared" si="357"/>
        <v>107.16802341887519</v>
      </c>
      <c r="EH143" s="4">
        <f t="shared" si="319"/>
        <v>9.2491441045464668</v>
      </c>
      <c r="EI143" s="4">
        <f t="shared" si="373"/>
        <v>9.2491441045464668</v>
      </c>
      <c r="EK143" s="4">
        <f t="shared" si="374"/>
        <v>63.951544156493995</v>
      </c>
      <c r="EL143" s="4">
        <f t="shared" si="375"/>
        <v>2.2360679774997898</v>
      </c>
      <c r="EM143" s="4">
        <f t="shared" si="376"/>
        <v>5.8383637923874576E-2</v>
      </c>
      <c r="EP143" s="4">
        <f t="shared" si="337"/>
        <v>5.8383637923874576E-2</v>
      </c>
      <c r="EQ143" s="4">
        <f t="shared" si="338"/>
        <v>0.1683287657436347</v>
      </c>
      <c r="ER143" s="4">
        <f t="shared" si="377"/>
        <v>4.5348704154155897</v>
      </c>
      <c r="ES143" s="4">
        <f t="shared" si="394"/>
        <v>7.2880747439476643</v>
      </c>
      <c r="ET143" s="4">
        <f t="shared" si="378"/>
        <v>257.79845584350602</v>
      </c>
      <c r="EU143" s="4">
        <f t="shared" si="379"/>
        <v>107.25</v>
      </c>
      <c r="EV143" s="4">
        <f t="shared" si="265"/>
        <v>2.8706723256234209E-5</v>
      </c>
      <c r="EW143" s="4">
        <f t="shared" si="395"/>
        <v>7.8732216545316964</v>
      </c>
      <c r="EX143" s="4">
        <f t="shared" si="380"/>
        <v>530.12141610796516</v>
      </c>
      <c r="EY143" s="4">
        <f t="shared" si="381"/>
        <v>257.79845584350602</v>
      </c>
      <c r="EZ143" s="4">
        <f t="shared" si="382"/>
        <v>107.24999999999999</v>
      </c>
      <c r="FB143" s="4">
        <f t="shared" si="343"/>
        <v>0</v>
      </c>
      <c r="FG143" s="23">
        <f t="shared" si="344"/>
        <v>1.2</v>
      </c>
      <c r="FH143" s="23">
        <f t="shared" si="344"/>
        <v>1.8</v>
      </c>
      <c r="FI143" s="23">
        <f t="shared" si="388"/>
        <v>1.4</v>
      </c>
      <c r="FJ143" s="23">
        <f t="shared" si="345"/>
        <v>1.8</v>
      </c>
      <c r="FK143" s="23">
        <f t="shared" si="345"/>
        <v>1</v>
      </c>
      <c r="FL143" s="23">
        <f t="shared" si="345"/>
        <v>1</v>
      </c>
      <c r="FM143" s="23">
        <f t="shared" si="399"/>
        <v>0</v>
      </c>
      <c r="FN143" s="23"/>
      <c r="FX143" s="4">
        <f t="shared" si="267"/>
        <v>1.25</v>
      </c>
      <c r="FY143" s="4">
        <f t="shared" si="308"/>
        <v>0.67768622629572395</v>
      </c>
      <c r="FZ143" s="4">
        <f t="shared" si="269"/>
        <v>0.3</v>
      </c>
      <c r="GA143" s="4">
        <f t="shared" si="270"/>
        <v>418.73115850662379</v>
      </c>
    </row>
    <row r="144" spans="1:183" ht="12" customHeight="1" x14ac:dyDescent="0.3">
      <c r="A144" s="25">
        <v>126</v>
      </c>
      <c r="B144" s="24" t="s">
        <v>128</v>
      </c>
      <c r="C144" s="24">
        <v>2015</v>
      </c>
      <c r="D144" s="24" t="s">
        <v>293</v>
      </c>
      <c r="E144" s="24"/>
      <c r="F144" s="7" t="s">
        <v>150</v>
      </c>
      <c r="G144" s="7">
        <v>710</v>
      </c>
      <c r="H144" s="7">
        <f t="shared" si="320"/>
        <v>572</v>
      </c>
      <c r="I144" s="7">
        <f t="shared" si="349"/>
        <v>572</v>
      </c>
      <c r="J144" s="7">
        <v>40.1</v>
      </c>
      <c r="K144" s="7">
        <v>28.6</v>
      </c>
      <c r="L144" s="7">
        <v>20</v>
      </c>
      <c r="M144" s="7">
        <f t="shared" si="350"/>
        <v>20</v>
      </c>
      <c r="N144" s="7">
        <v>261</v>
      </c>
      <c r="O144" s="7">
        <f t="shared" si="351"/>
        <v>28.6</v>
      </c>
      <c r="P144" s="7"/>
      <c r="Q144" s="7">
        <f t="shared" si="384"/>
        <v>28.6</v>
      </c>
      <c r="R144" s="7">
        <v>2</v>
      </c>
      <c r="S144" s="7">
        <f t="shared" si="352"/>
        <v>58.2</v>
      </c>
      <c r="T144" s="7">
        <f t="shared" si="309"/>
        <v>1</v>
      </c>
      <c r="U144" s="7">
        <f t="shared" si="359"/>
        <v>1.5000000000000002</v>
      </c>
      <c r="V144" s="7">
        <f t="shared" si="353"/>
        <v>4</v>
      </c>
      <c r="W144" s="7">
        <f t="shared" si="360"/>
        <v>4</v>
      </c>
      <c r="X144" s="7">
        <v>5</v>
      </c>
      <c r="Y144" s="7">
        <f t="shared" si="358"/>
        <v>63.951544156493995</v>
      </c>
      <c r="Z144" s="7"/>
      <c r="AA144" s="7"/>
      <c r="AB144" s="7">
        <v>681</v>
      </c>
      <c r="AC144" s="7"/>
      <c r="AD144" s="7">
        <f t="shared" si="339"/>
        <v>1.0696097344059088</v>
      </c>
      <c r="AE144" s="7">
        <v>9.5</v>
      </c>
      <c r="AF144" s="7">
        <v>15</v>
      </c>
      <c r="AG144" s="7">
        <v>39</v>
      </c>
      <c r="AH144" s="7">
        <v>15</v>
      </c>
      <c r="AI144" s="7">
        <v>15</v>
      </c>
      <c r="AJ144" s="7">
        <f t="shared" si="404"/>
        <v>2.5</v>
      </c>
      <c r="AK144" s="4">
        <f t="shared" si="283"/>
        <v>572</v>
      </c>
      <c r="AL144" s="46">
        <f t="shared" si="355"/>
        <v>3.1022299378942735E-2</v>
      </c>
      <c r="AM144" s="25">
        <f t="shared" si="272"/>
        <v>674.23964647118942</v>
      </c>
      <c r="AN144" s="4">
        <f t="shared" si="273"/>
        <v>0.71499999999999997</v>
      </c>
      <c r="AO144" s="4">
        <v>1.25</v>
      </c>
      <c r="AP144" s="25">
        <f t="shared" si="322"/>
        <v>5</v>
      </c>
      <c r="AQ144" s="38">
        <f t="shared" si="275"/>
        <v>93.470449241730918</v>
      </c>
      <c r="AR144" s="38">
        <f t="shared" si="276"/>
        <v>93.470449241730918</v>
      </c>
      <c r="AT144" s="38">
        <f t="shared" si="356"/>
        <v>93.470449241730861</v>
      </c>
      <c r="AU144" s="38">
        <f t="shared" si="247"/>
        <v>1.0000000000000007</v>
      </c>
      <c r="AV144" s="38">
        <f t="shared" si="333"/>
        <v>2.0592604567697461</v>
      </c>
      <c r="AW144" s="4">
        <f t="shared" si="328"/>
        <v>0</v>
      </c>
      <c r="AX144" s="4">
        <f t="shared" si="385"/>
        <v>666.57432416789743</v>
      </c>
      <c r="AY144" s="4">
        <f t="shared" si="386"/>
        <v>1.2000000000000002</v>
      </c>
      <c r="AZ144" s="38">
        <f t="shared" si="277"/>
        <v>192.48000000000005</v>
      </c>
      <c r="BA144" s="4">
        <f t="shared" si="387"/>
        <v>0.44000000000000006</v>
      </c>
      <c r="BB144" s="4">
        <f t="shared" si="248"/>
        <v>153.24543712619962</v>
      </c>
      <c r="BC144" s="4">
        <f t="shared" si="249"/>
        <v>345.72543712619967</v>
      </c>
      <c r="BE144" s="36">
        <f t="shared" si="317"/>
        <v>2.125</v>
      </c>
      <c r="BF144" s="36">
        <f t="shared" si="318"/>
        <v>726.64933513352912</v>
      </c>
      <c r="BK144" s="4">
        <f t="shared" si="361"/>
        <v>20.700000000000003</v>
      </c>
      <c r="BL144" s="4">
        <f t="shared" si="362"/>
        <v>20.700000000000003</v>
      </c>
      <c r="BM144" s="4">
        <f t="shared" si="363"/>
        <v>58.2</v>
      </c>
      <c r="BN144" s="4">
        <f t="shared" si="364"/>
        <v>35</v>
      </c>
      <c r="BO144" s="4">
        <f t="shared" si="365"/>
        <v>1.181159420289855</v>
      </c>
      <c r="BP144" s="25">
        <f t="shared" si="278"/>
        <v>4</v>
      </c>
      <c r="BR144" s="4">
        <f t="shared" si="336"/>
        <v>14.3</v>
      </c>
      <c r="BV144" s="9"/>
      <c r="BX144" s="9"/>
      <c r="BY144" s="9"/>
      <c r="BZ144" s="9">
        <f t="shared" si="389"/>
        <v>14.3</v>
      </c>
      <c r="CA144" s="9">
        <f t="shared" si="390"/>
        <v>28.6</v>
      </c>
      <c r="CB144" s="9">
        <f t="shared" si="252"/>
        <v>0.78458409789675088</v>
      </c>
      <c r="CC144" s="9">
        <v>20</v>
      </c>
      <c r="CD144" s="9">
        <f t="shared" si="311"/>
        <v>0.05</v>
      </c>
      <c r="CE144" s="9">
        <f t="shared" si="253"/>
        <v>0.8</v>
      </c>
      <c r="CF144" s="9">
        <f t="shared" si="391"/>
        <v>0.96044432035915817</v>
      </c>
      <c r="CG144" s="9">
        <f t="shared" si="392"/>
        <v>0.74299999999999999</v>
      </c>
      <c r="CH144" s="9">
        <f t="shared" si="254"/>
        <v>1.5816166822222031</v>
      </c>
      <c r="CI144" s="9">
        <f t="shared" si="255"/>
        <v>2.5062046436175218</v>
      </c>
      <c r="CJ144" s="9">
        <v>1</v>
      </c>
      <c r="CK144" s="9">
        <f t="shared" si="256"/>
        <v>350.86865010645306</v>
      </c>
      <c r="CM144" s="4">
        <f t="shared" si="346"/>
        <v>1.0216415113950128</v>
      </c>
      <c r="CN144" s="4">
        <f t="shared" si="347"/>
        <v>1.9697711735090395</v>
      </c>
      <c r="CO144" s="4">
        <f t="shared" si="396"/>
        <v>0.93717831569316634</v>
      </c>
      <c r="CP144" s="4">
        <f t="shared" si="340"/>
        <v>1.9408972554070749</v>
      </c>
      <c r="CQ144" s="4">
        <f t="shared" si="397"/>
        <v>1.0696097344059088</v>
      </c>
      <c r="CR144" s="4">
        <f t="shared" si="398"/>
        <v>1.0520214823303664</v>
      </c>
      <c r="CS144" s="4">
        <f t="shared" si="334"/>
        <v>1.2197563750009797</v>
      </c>
      <c r="DA144" s="4">
        <f t="shared" si="400"/>
        <v>1.0216415113950128</v>
      </c>
      <c r="DB144" s="4">
        <f t="shared" si="400"/>
        <v>1.9697711735090395</v>
      </c>
      <c r="DC144" s="4">
        <f t="shared" si="401"/>
        <v>1.9408972554070749</v>
      </c>
      <c r="DD144" s="4">
        <f t="shared" si="402"/>
        <v>1.2197563750009797</v>
      </c>
      <c r="DE144" s="4">
        <f t="shared" si="403"/>
        <v>1.0696097344059088</v>
      </c>
      <c r="DF144" s="4">
        <f t="shared" si="403"/>
        <v>1.0520214823303664</v>
      </c>
      <c r="DH144" s="4">
        <f t="shared" si="368"/>
        <v>15</v>
      </c>
      <c r="DI144" s="4">
        <f t="shared" si="369"/>
        <v>572</v>
      </c>
      <c r="DJ144" s="4">
        <f t="shared" si="370"/>
        <v>1</v>
      </c>
      <c r="DL144" s="4">
        <f t="shared" si="371"/>
        <v>3.8275631008312281E-5</v>
      </c>
      <c r="DM144" s="4">
        <f t="shared" si="372"/>
        <v>9.2491441045464668</v>
      </c>
      <c r="DN144" s="4">
        <f t="shared" si="342"/>
        <v>0.14500663618215845</v>
      </c>
      <c r="DO144" s="4">
        <f t="shared" si="257"/>
        <v>4.272250380768611</v>
      </c>
      <c r="DP144" s="4">
        <f t="shared" si="258"/>
        <v>7.2094456377406724</v>
      </c>
      <c r="DQ144" s="4">
        <f t="shared" si="259"/>
        <v>6.8457351462215854</v>
      </c>
      <c r="DR144" s="38">
        <f t="shared" si="279"/>
        <v>636.68081739948491</v>
      </c>
      <c r="DS144" s="4">
        <f t="shared" si="260"/>
        <v>1.0000964813136164</v>
      </c>
      <c r="DT144" s="4">
        <f t="shared" si="335"/>
        <v>2.2360679774997898</v>
      </c>
      <c r="DU144" s="4">
        <f t="shared" si="280"/>
        <v>93.470449241730861</v>
      </c>
      <c r="DY144" s="4">
        <f t="shared" si="393"/>
        <v>1</v>
      </c>
      <c r="DZ144" s="4">
        <f t="shared" si="261"/>
        <v>1</v>
      </c>
      <c r="EA144" s="4">
        <f t="shared" si="262"/>
        <v>0.7</v>
      </c>
      <c r="EB144" s="4">
        <f t="shared" si="263"/>
        <v>0.7</v>
      </c>
      <c r="ED144" s="4">
        <f t="shared" si="281"/>
        <v>647.32518435982422</v>
      </c>
      <c r="EE144" s="25">
        <f t="shared" si="357"/>
        <v>92.37653808703628</v>
      </c>
      <c r="EH144" s="4">
        <f t="shared" si="319"/>
        <v>9.2491441045464668</v>
      </c>
      <c r="EI144" s="4">
        <f t="shared" si="373"/>
        <v>9.2491441045464668</v>
      </c>
      <c r="EK144" s="4">
        <f t="shared" si="374"/>
        <v>63.951544156493995</v>
      </c>
      <c r="EL144" s="4">
        <f t="shared" si="375"/>
        <v>2.2360679774997898</v>
      </c>
      <c r="EM144" s="4">
        <f t="shared" si="376"/>
        <v>5.0210590596265245E-2</v>
      </c>
      <c r="EP144" s="4">
        <f t="shared" si="337"/>
        <v>5.0210590596265245E-2</v>
      </c>
      <c r="EQ144" s="4">
        <f t="shared" si="338"/>
        <v>0.1447646471319336</v>
      </c>
      <c r="ER144" s="4">
        <f t="shared" si="377"/>
        <v>4.2693971158832111</v>
      </c>
      <c r="ES144" s="4">
        <f t="shared" si="394"/>
        <v>7.2086141540327731</v>
      </c>
      <c r="ET144" s="4">
        <f t="shared" si="378"/>
        <v>365.04845584350602</v>
      </c>
      <c r="EU144" s="4">
        <f t="shared" si="379"/>
        <v>143</v>
      </c>
      <c r="EV144" s="4">
        <f t="shared" si="265"/>
        <v>3.8275631008312281E-5</v>
      </c>
      <c r="EW144" s="4">
        <f t="shared" si="395"/>
        <v>6.8460626715972968</v>
      </c>
      <c r="EX144" s="4">
        <f t="shared" si="380"/>
        <v>636.61939552393108</v>
      </c>
      <c r="EY144" s="4">
        <f t="shared" si="381"/>
        <v>365.04845584350602</v>
      </c>
      <c r="EZ144" s="4">
        <f t="shared" si="382"/>
        <v>143</v>
      </c>
      <c r="FB144" s="4">
        <f t="shared" si="343"/>
        <v>0</v>
      </c>
      <c r="FG144" s="23">
        <f t="shared" si="344"/>
        <v>1.2</v>
      </c>
      <c r="FH144" s="23">
        <f t="shared" si="344"/>
        <v>2</v>
      </c>
      <c r="FI144" s="23">
        <f t="shared" si="388"/>
        <v>1.4</v>
      </c>
      <c r="FJ144" s="23">
        <f t="shared" si="345"/>
        <v>2</v>
      </c>
      <c r="FK144" s="23">
        <f t="shared" si="345"/>
        <v>1.2</v>
      </c>
      <c r="FL144" s="23">
        <f t="shared" si="345"/>
        <v>1.2</v>
      </c>
      <c r="FM144" s="23">
        <f t="shared" si="399"/>
        <v>0</v>
      </c>
      <c r="FN144" s="23"/>
      <c r="FX144" s="4">
        <f t="shared" si="267"/>
        <v>1.25</v>
      </c>
      <c r="FY144" s="4">
        <f t="shared" si="308"/>
        <v>0.67768622629572395</v>
      </c>
      <c r="FZ144" s="4">
        <f t="shared" si="269"/>
        <v>0.3</v>
      </c>
      <c r="GA144" s="4">
        <f t="shared" si="270"/>
        <v>558.30821134216501</v>
      </c>
    </row>
    <row r="145" spans="1:183" ht="12" customHeight="1" x14ac:dyDescent="0.3">
      <c r="A145" s="25">
        <v>127</v>
      </c>
      <c r="B145" s="24" t="s">
        <v>128</v>
      </c>
      <c r="C145" s="24">
        <v>2015</v>
      </c>
      <c r="D145" s="24" t="s">
        <v>293</v>
      </c>
      <c r="E145" s="24"/>
      <c r="F145" s="7" t="s">
        <v>151</v>
      </c>
      <c r="G145" s="7">
        <v>710</v>
      </c>
      <c r="H145" s="7">
        <f t="shared" si="320"/>
        <v>429</v>
      </c>
      <c r="I145" s="7">
        <f t="shared" si="349"/>
        <v>429</v>
      </c>
      <c r="J145" s="7">
        <v>62.9</v>
      </c>
      <c r="K145" s="7">
        <v>28.6</v>
      </c>
      <c r="L145" s="7">
        <v>15</v>
      </c>
      <c r="M145" s="7">
        <f t="shared" si="350"/>
        <v>15</v>
      </c>
      <c r="N145" s="7">
        <v>261</v>
      </c>
      <c r="O145" s="7">
        <f t="shared" si="351"/>
        <v>28.6</v>
      </c>
      <c r="P145" s="7"/>
      <c r="Q145" s="7">
        <f t="shared" si="384"/>
        <v>28.6</v>
      </c>
      <c r="R145" s="7">
        <v>2</v>
      </c>
      <c r="S145" s="7">
        <f t="shared" si="352"/>
        <v>58.2</v>
      </c>
      <c r="T145" s="7">
        <f t="shared" si="309"/>
        <v>1</v>
      </c>
      <c r="U145" s="7">
        <f t="shared" si="359"/>
        <v>1.5000000000000002</v>
      </c>
      <c r="V145" s="7">
        <f t="shared" si="353"/>
        <v>4</v>
      </c>
      <c r="W145" s="7">
        <f t="shared" si="360"/>
        <v>4</v>
      </c>
      <c r="X145" s="7">
        <v>5</v>
      </c>
      <c r="Y145" s="7">
        <f t="shared" si="358"/>
        <v>63.951544156493995</v>
      </c>
      <c r="Z145" s="7"/>
      <c r="AA145" s="7"/>
      <c r="AB145" s="7">
        <v>562</v>
      </c>
      <c r="AC145" s="7"/>
      <c r="AD145" s="7">
        <f t="shared" si="339"/>
        <v>0.98161770338061449</v>
      </c>
      <c r="AE145" s="7">
        <v>9.5</v>
      </c>
      <c r="AF145" s="7">
        <v>7</v>
      </c>
      <c r="AG145" s="7">
        <v>65</v>
      </c>
      <c r="AH145" s="7">
        <v>7</v>
      </c>
      <c r="AI145" s="7">
        <v>7</v>
      </c>
      <c r="AJ145" s="7">
        <f t="shared" si="404"/>
        <v>1.5251680311268359</v>
      </c>
      <c r="AK145" s="4">
        <f t="shared" si="283"/>
        <v>429</v>
      </c>
      <c r="AL145" s="46">
        <f t="shared" si="355"/>
        <v>5.5150754451453753E-2</v>
      </c>
      <c r="AM145" s="25">
        <f t="shared" si="272"/>
        <v>548.47813315761925</v>
      </c>
      <c r="AN145" s="4">
        <f t="shared" si="273"/>
        <v>0.72</v>
      </c>
      <c r="AO145" s="4">
        <v>1.25</v>
      </c>
      <c r="AP145" s="25">
        <f t="shared" si="322"/>
        <v>5</v>
      </c>
      <c r="AQ145" s="38">
        <f t="shared" si="275"/>
        <v>136.12042279695424</v>
      </c>
      <c r="AR145" s="38">
        <f t="shared" si="276"/>
        <v>136.12042279695424</v>
      </c>
      <c r="AT145" s="38">
        <f t="shared" si="356"/>
        <v>136.12042279695419</v>
      </c>
      <c r="AU145" s="38">
        <f t="shared" si="247"/>
        <v>1.0000000000000004</v>
      </c>
      <c r="AV145" s="38">
        <f t="shared" si="333"/>
        <v>2.2180360139665667</v>
      </c>
      <c r="AW145" s="4">
        <f t="shared" si="328"/>
        <v>0</v>
      </c>
      <c r="AX145" s="4">
        <f t="shared" si="385"/>
        <v>626.1277913336321</v>
      </c>
      <c r="AY145" s="4">
        <f t="shared" si="386"/>
        <v>1.2000000000000002</v>
      </c>
      <c r="AZ145" s="38">
        <f t="shared" si="277"/>
        <v>301.92</v>
      </c>
      <c r="BA145" s="4">
        <f t="shared" si="387"/>
        <v>0.44000000000000006</v>
      </c>
      <c r="BB145" s="4">
        <f t="shared" si="248"/>
        <v>143.94677922760204</v>
      </c>
      <c r="BC145" s="4">
        <f t="shared" si="249"/>
        <v>445.86677922760202</v>
      </c>
      <c r="BE145" s="36">
        <f t="shared" si="317"/>
        <v>1.6863256140070761</v>
      </c>
      <c r="BF145" s="36">
        <f t="shared" si="318"/>
        <v>615.21170687631093</v>
      </c>
      <c r="BK145" s="4">
        <f t="shared" si="361"/>
        <v>20.700000000000003</v>
      </c>
      <c r="BL145" s="4">
        <f t="shared" si="362"/>
        <v>20.700000000000003</v>
      </c>
      <c r="BM145" s="4">
        <f t="shared" si="363"/>
        <v>58.2</v>
      </c>
      <c r="BN145" s="4">
        <f t="shared" si="364"/>
        <v>35</v>
      </c>
      <c r="BO145" s="4">
        <f t="shared" si="365"/>
        <v>1.181159420289855</v>
      </c>
      <c r="BP145" s="25">
        <f t="shared" si="278"/>
        <v>3.4014035908980222</v>
      </c>
      <c r="BR145" s="4">
        <f t="shared" si="336"/>
        <v>14.3</v>
      </c>
      <c r="BV145" s="9"/>
      <c r="BX145" s="9"/>
      <c r="BY145" s="9"/>
      <c r="BZ145" s="9">
        <f t="shared" si="389"/>
        <v>14.3</v>
      </c>
      <c r="CA145" s="9">
        <f t="shared" si="390"/>
        <v>28.6</v>
      </c>
      <c r="CB145" s="9">
        <f t="shared" si="252"/>
        <v>0.78458409789675088</v>
      </c>
      <c r="CC145" s="9">
        <v>20</v>
      </c>
      <c r="CD145" s="9">
        <f t="shared" si="311"/>
        <v>0.05</v>
      </c>
      <c r="CE145" s="9">
        <f t="shared" si="253"/>
        <v>0.8</v>
      </c>
      <c r="CF145" s="9">
        <f t="shared" si="391"/>
        <v>0.96044432035915817</v>
      </c>
      <c r="CG145" s="9">
        <f t="shared" si="392"/>
        <v>0.74299999999999999</v>
      </c>
      <c r="CH145" s="9">
        <f t="shared" si="254"/>
        <v>1.9808626966691243</v>
      </c>
      <c r="CI145" s="9">
        <f t="shared" si="255"/>
        <v>3.1388435292587697</v>
      </c>
      <c r="CJ145" s="9">
        <v>1</v>
      </c>
      <c r="CK145" s="9">
        <f t="shared" si="256"/>
        <v>376.66122351105236</v>
      </c>
      <c r="CM145" s="4">
        <f t="shared" si="346"/>
        <v>0.89758034666207365</v>
      </c>
      <c r="CN145" s="4">
        <f t="shared" si="347"/>
        <v>1.2604661889669859</v>
      </c>
      <c r="CO145" s="4">
        <f t="shared" si="396"/>
        <v>0.91350667374896166</v>
      </c>
      <c r="CP145" s="4">
        <f t="shared" si="340"/>
        <v>1.4920569597297801</v>
      </c>
      <c r="CQ145" s="4">
        <f t="shared" si="397"/>
        <v>0.98161770338061449</v>
      </c>
      <c r="CR145" s="4">
        <f t="shared" si="398"/>
        <v>0.97318154685335856</v>
      </c>
      <c r="CS145" s="4">
        <f t="shared" si="334"/>
        <v>1.199290707588252</v>
      </c>
      <c r="DA145" s="4">
        <f t="shared" si="400"/>
        <v>0.89758034666207365</v>
      </c>
      <c r="DB145" s="4">
        <f t="shared" si="400"/>
        <v>1.2604661889669859</v>
      </c>
      <c r="DC145" s="4">
        <f t="shared" si="401"/>
        <v>1.4920569597297801</v>
      </c>
      <c r="DD145" s="4">
        <f t="shared" si="402"/>
        <v>1.199290707588252</v>
      </c>
      <c r="DE145" s="4">
        <f t="shared" si="403"/>
        <v>0.98161770338061449</v>
      </c>
      <c r="DF145" s="4">
        <f t="shared" si="403"/>
        <v>0.97318154685335856</v>
      </c>
      <c r="DH145" s="4">
        <f t="shared" si="368"/>
        <v>7</v>
      </c>
      <c r="DI145" s="4">
        <f t="shared" si="369"/>
        <v>429</v>
      </c>
      <c r="DJ145" s="4">
        <f t="shared" si="370"/>
        <v>1</v>
      </c>
      <c r="DL145" s="4">
        <f t="shared" si="371"/>
        <v>3.3150409818642976E-5</v>
      </c>
      <c r="DM145" s="4">
        <f t="shared" si="372"/>
        <v>9.850377101520138</v>
      </c>
      <c r="DN145" s="4">
        <f t="shared" si="342"/>
        <v>0.13462650289663738</v>
      </c>
      <c r="DO145" s="4">
        <f t="shared" si="257"/>
        <v>4.4167730350132439</v>
      </c>
      <c r="DP145" s="4">
        <f t="shared" si="258"/>
        <v>7.6397750506487814</v>
      </c>
      <c r="DQ145" s="4">
        <f t="shared" si="259"/>
        <v>8.0960945358675964</v>
      </c>
      <c r="DR145" s="38">
        <f t="shared" si="279"/>
        <v>572.52431171984369</v>
      </c>
      <c r="DS145" s="4">
        <f t="shared" si="260"/>
        <v>1.0000921123312927</v>
      </c>
      <c r="DT145" s="4">
        <f t="shared" si="335"/>
        <v>2.2360679774997898</v>
      </c>
      <c r="DU145" s="4">
        <f t="shared" si="280"/>
        <v>136.12042279695419</v>
      </c>
      <c r="DY145" s="4">
        <f t="shared" si="393"/>
        <v>1</v>
      </c>
      <c r="DZ145" s="4">
        <f t="shared" si="261"/>
        <v>1</v>
      </c>
      <c r="EA145" s="4">
        <f t="shared" si="262"/>
        <v>0.7</v>
      </c>
      <c r="EB145" s="4">
        <f t="shared" si="263"/>
        <v>0.7</v>
      </c>
      <c r="ED145" s="4">
        <f t="shared" si="281"/>
        <v>577.48731654144649</v>
      </c>
      <c r="EE145" s="25">
        <f t="shared" si="357"/>
        <v>134.22034697304031</v>
      </c>
      <c r="EH145" s="4">
        <f t="shared" si="319"/>
        <v>9.850377101520138</v>
      </c>
      <c r="EI145" s="4">
        <f t="shared" si="373"/>
        <v>9.850377101520138</v>
      </c>
      <c r="EK145" s="4">
        <f t="shared" si="374"/>
        <v>63.951544156493995</v>
      </c>
      <c r="EL145" s="4">
        <f t="shared" si="375"/>
        <v>2.2360679774997898</v>
      </c>
      <c r="EM145" s="4">
        <f t="shared" si="376"/>
        <v>5.8383637923874576E-2</v>
      </c>
      <c r="EP145" s="4">
        <f t="shared" si="337"/>
        <v>5.8383637923874576E-2</v>
      </c>
      <c r="EQ145" s="4">
        <f t="shared" si="338"/>
        <v>0.13440183635427219</v>
      </c>
      <c r="ER145" s="4">
        <f t="shared" si="377"/>
        <v>4.4138232492365681</v>
      </c>
      <c r="ES145" s="4">
        <f t="shared" si="394"/>
        <v>7.6389381357232935</v>
      </c>
      <c r="ET145" s="4">
        <f t="shared" si="378"/>
        <v>257.79845584350602</v>
      </c>
      <c r="EU145" s="4">
        <f t="shared" si="379"/>
        <v>107.25</v>
      </c>
      <c r="EV145" s="4">
        <f t="shared" si="265"/>
        <v>3.3150409818642976E-5</v>
      </c>
      <c r="EW145" s="4">
        <f t="shared" si="395"/>
        <v>8.096349707281961</v>
      </c>
      <c r="EX145" s="4">
        <f t="shared" si="380"/>
        <v>572.47158002800847</v>
      </c>
      <c r="EY145" s="4">
        <f t="shared" si="381"/>
        <v>257.79845584350602</v>
      </c>
      <c r="EZ145" s="4">
        <f t="shared" si="382"/>
        <v>107.24999999999999</v>
      </c>
      <c r="FB145" s="4">
        <f t="shared" si="343"/>
        <v>0</v>
      </c>
      <c r="FG145" s="23">
        <f t="shared" si="344"/>
        <v>1</v>
      </c>
      <c r="FH145" s="23">
        <f t="shared" si="344"/>
        <v>1.4</v>
      </c>
      <c r="FI145" s="23">
        <f t="shared" si="388"/>
        <v>1.2</v>
      </c>
      <c r="FJ145" s="23">
        <f t="shared" si="345"/>
        <v>1.6</v>
      </c>
      <c r="FK145" s="23">
        <f t="shared" si="345"/>
        <v>1</v>
      </c>
      <c r="FL145" s="23">
        <f t="shared" si="345"/>
        <v>1</v>
      </c>
      <c r="FM145" s="23">
        <f t="shared" si="399"/>
        <v>0</v>
      </c>
      <c r="FN145" s="23"/>
      <c r="FX145" s="4">
        <f t="shared" si="267"/>
        <v>1.25</v>
      </c>
      <c r="FY145" s="4">
        <f t="shared" si="308"/>
        <v>0.67768622629572395</v>
      </c>
      <c r="FZ145" s="4">
        <f t="shared" si="269"/>
        <v>0.3</v>
      </c>
      <c r="GA145" s="4">
        <f t="shared" si="270"/>
        <v>468.61031811892383</v>
      </c>
    </row>
    <row r="146" spans="1:183" ht="12" customHeight="1" x14ac:dyDescent="0.3">
      <c r="A146" s="25">
        <v>128</v>
      </c>
      <c r="B146" s="24" t="s">
        <v>128</v>
      </c>
      <c r="C146" s="24">
        <v>2015</v>
      </c>
      <c r="D146" s="51" t="s">
        <v>293</v>
      </c>
      <c r="E146" s="24"/>
      <c r="F146" s="7" t="s">
        <v>152</v>
      </c>
      <c r="G146" s="7">
        <v>710</v>
      </c>
      <c r="H146" s="7">
        <f t="shared" si="320"/>
        <v>572</v>
      </c>
      <c r="I146" s="7">
        <f t="shared" si="349"/>
        <v>572</v>
      </c>
      <c r="J146" s="7">
        <v>62.9</v>
      </c>
      <c r="K146" s="7">
        <v>28.6</v>
      </c>
      <c r="L146" s="7">
        <v>20</v>
      </c>
      <c r="M146" s="7">
        <f t="shared" si="350"/>
        <v>20</v>
      </c>
      <c r="N146" s="7">
        <v>261</v>
      </c>
      <c r="O146" s="7">
        <f t="shared" si="351"/>
        <v>28.6</v>
      </c>
      <c r="P146" s="7"/>
      <c r="Q146" s="7">
        <f t="shared" si="384"/>
        <v>28.6</v>
      </c>
      <c r="R146" s="7">
        <v>2</v>
      </c>
      <c r="S146" s="7">
        <f t="shared" si="352"/>
        <v>58.2</v>
      </c>
      <c r="T146" s="7">
        <f t="shared" si="309"/>
        <v>1</v>
      </c>
      <c r="U146" s="7">
        <f t="shared" si="359"/>
        <v>1.5000000000000002</v>
      </c>
      <c r="V146" s="7">
        <f t="shared" si="353"/>
        <v>4</v>
      </c>
      <c r="W146" s="7">
        <f t="shared" si="360"/>
        <v>4</v>
      </c>
      <c r="X146" s="7">
        <v>5</v>
      </c>
      <c r="Y146" s="7">
        <f t="shared" si="358"/>
        <v>63.951544156493995</v>
      </c>
      <c r="Z146" s="7"/>
      <c r="AA146" s="7"/>
      <c r="AB146" s="7">
        <v>710</v>
      </c>
      <c r="AC146" s="7"/>
      <c r="AD146" s="7">
        <f t="shared" si="339"/>
        <v>1.0495656592307139</v>
      </c>
      <c r="AE146" s="7">
        <v>9.5</v>
      </c>
      <c r="AF146" s="7">
        <v>9</v>
      </c>
      <c r="AG146" s="7">
        <v>65</v>
      </c>
      <c r="AH146" s="7">
        <v>9</v>
      </c>
      <c r="AI146" s="7">
        <v>9</v>
      </c>
      <c r="AJ146" s="7">
        <f t="shared" si="404"/>
        <v>1.5251680311268359</v>
      </c>
      <c r="AK146" s="4">
        <f t="shared" si="283"/>
        <v>572</v>
      </c>
      <c r="AL146" s="46">
        <f t="shared" si="355"/>
        <v>3.1022299378942735E-2</v>
      </c>
      <c r="AM146" s="25">
        <f t="shared" si="272"/>
        <v>844.43732752846654</v>
      </c>
      <c r="AN146" s="4">
        <f t="shared" si="273"/>
        <v>0.71499999999999997</v>
      </c>
      <c r="AO146" s="4">
        <v>1.25</v>
      </c>
      <c r="AP146" s="25">
        <f t="shared" si="322"/>
        <v>5</v>
      </c>
      <c r="AQ146" s="38">
        <f>AL146*AN146*AO146*AP146*AM146</f>
        <v>117.06510700412386</v>
      </c>
      <c r="AR146" s="38">
        <f t="shared" si="276"/>
        <v>117.06510700412386</v>
      </c>
      <c r="AT146" s="38">
        <f t="shared" si="356"/>
        <v>117.06510700412382</v>
      </c>
      <c r="AU146" s="38">
        <f t="shared" si="247"/>
        <v>1.0000000000000004</v>
      </c>
      <c r="AV146" s="38">
        <f t="shared" si="333"/>
        <v>2.5790776408666707</v>
      </c>
      <c r="AW146" s="4">
        <f t="shared" si="328"/>
        <v>0</v>
      </c>
      <c r="AX146" s="4">
        <f t="shared" si="385"/>
        <v>834.83705511150959</v>
      </c>
      <c r="AY146" s="4">
        <f t="shared" si="386"/>
        <v>1.2000000000000002</v>
      </c>
      <c r="AZ146" s="38">
        <f t="shared" si="277"/>
        <v>301.92</v>
      </c>
      <c r="BA146" s="4">
        <f t="shared" si="387"/>
        <v>0.44000000000000006</v>
      </c>
      <c r="BB146" s="4">
        <f t="shared" si="248"/>
        <v>191.92903897013608</v>
      </c>
      <c r="BC146" s="4">
        <f t="shared" si="249"/>
        <v>493.84903897013612</v>
      </c>
      <c r="BE146" s="36">
        <f t="shared" si="317"/>
        <v>1.6863256140070761</v>
      </c>
      <c r="BF146" s="36">
        <f t="shared" si="318"/>
        <v>722.20504720262591</v>
      </c>
      <c r="BK146" s="4">
        <f t="shared" si="361"/>
        <v>20.700000000000003</v>
      </c>
      <c r="BL146" s="4">
        <f t="shared" si="362"/>
        <v>20.700000000000003</v>
      </c>
      <c r="BM146" s="4">
        <f t="shared" si="363"/>
        <v>58.2</v>
      </c>
      <c r="BN146" s="4">
        <f t="shared" si="364"/>
        <v>35</v>
      </c>
      <c r="BO146" s="4">
        <f t="shared" si="365"/>
        <v>1.181159420289855</v>
      </c>
      <c r="BP146" s="25">
        <f t="shared" si="278"/>
        <v>3.4014035908980222</v>
      </c>
      <c r="BR146" s="4">
        <f t="shared" si="336"/>
        <v>14.3</v>
      </c>
      <c r="BV146" s="9"/>
      <c r="BX146" s="9"/>
      <c r="BY146" s="9"/>
      <c r="BZ146" s="9">
        <f t="shared" si="389"/>
        <v>14.3</v>
      </c>
      <c r="CA146" s="9">
        <f t="shared" si="390"/>
        <v>28.6</v>
      </c>
      <c r="CB146" s="9">
        <f t="shared" si="252"/>
        <v>0.78458409789675088</v>
      </c>
      <c r="CC146" s="9">
        <v>20</v>
      </c>
      <c r="CD146" s="9">
        <f t="shared" si="311"/>
        <v>0.05</v>
      </c>
      <c r="CE146" s="9">
        <f t="shared" si="253"/>
        <v>0.8</v>
      </c>
      <c r="CF146" s="9">
        <f t="shared" si="391"/>
        <v>0.96044432035915817</v>
      </c>
      <c r="CG146" s="9">
        <f t="shared" si="392"/>
        <v>0.74299999999999999</v>
      </c>
      <c r="CH146" s="9">
        <f t="shared" si="254"/>
        <v>1.9808626966691243</v>
      </c>
      <c r="CI146" s="9">
        <f t="shared" si="255"/>
        <v>3.1388435292587697</v>
      </c>
      <c r="CJ146" s="9">
        <v>1</v>
      </c>
      <c r="CK146" s="9">
        <f t="shared" si="256"/>
        <v>439.43809409622776</v>
      </c>
      <c r="CM146" s="4">
        <f t="shared" si="346"/>
        <v>0.85046536405258744</v>
      </c>
      <c r="CN146" s="4">
        <f t="shared" si="347"/>
        <v>1.4376863048688344</v>
      </c>
      <c r="CO146" s="4">
        <f t="shared" si="396"/>
        <v>0.98310030198501008</v>
      </c>
      <c r="CP146" s="4">
        <f t="shared" si="340"/>
        <v>1.6156997072823751</v>
      </c>
      <c r="CQ146" s="4">
        <f t="shared" si="397"/>
        <v>1.0495656592307139</v>
      </c>
      <c r="CR146" s="4">
        <f t="shared" si="398"/>
        <v>1.0046444472606173</v>
      </c>
      <c r="CS146" s="4">
        <f t="shared" si="334"/>
        <v>1.1363386152860215</v>
      </c>
      <c r="DA146" s="4">
        <f t="shared" si="400"/>
        <v>0.85046536405258744</v>
      </c>
      <c r="DB146" s="4">
        <f t="shared" si="400"/>
        <v>1.4376863048688344</v>
      </c>
      <c r="DC146" s="4">
        <f t="shared" si="401"/>
        <v>1.6156997072823751</v>
      </c>
      <c r="DD146" s="4">
        <f t="shared" si="402"/>
        <v>1.1363386152860215</v>
      </c>
      <c r="DE146" s="4">
        <f t="shared" si="403"/>
        <v>1.0495656592307139</v>
      </c>
      <c r="DF146" s="4">
        <f t="shared" si="403"/>
        <v>1.0046444472606173</v>
      </c>
      <c r="DH146" s="4">
        <f t="shared" si="368"/>
        <v>9</v>
      </c>
      <c r="DI146" s="4">
        <f t="shared" si="369"/>
        <v>572</v>
      </c>
      <c r="DJ146" s="4">
        <f t="shared" si="370"/>
        <v>1</v>
      </c>
      <c r="DL146" s="4">
        <f t="shared" si="371"/>
        <v>4.4200546424857304E-5</v>
      </c>
      <c r="DM146" s="4">
        <f t="shared" si="372"/>
        <v>9.850377101520138</v>
      </c>
      <c r="DN146" s="4">
        <f t="shared" si="342"/>
        <v>0.11578031895106987</v>
      </c>
      <c r="DO146" s="4">
        <f t="shared" si="257"/>
        <v>4.158213207833894</v>
      </c>
      <c r="DP146" s="4">
        <f t="shared" si="258"/>
        <v>7.5683663322028245</v>
      </c>
      <c r="DQ146" s="4">
        <f t="shared" si="259"/>
        <v>6.790227666092334</v>
      </c>
      <c r="DR146" s="38">
        <f t="shared" si="279"/>
        <v>676.47030345905102</v>
      </c>
      <c r="DS146" s="4">
        <f t="shared" si="260"/>
        <v>1.0000820786886133</v>
      </c>
      <c r="DT146" s="4">
        <f t="shared" si="335"/>
        <v>2.2360679774997898</v>
      </c>
      <c r="DU146" s="4">
        <f t="shared" si="280"/>
        <v>117.06510700412382</v>
      </c>
      <c r="DY146" s="4">
        <f t="shared" si="393"/>
        <v>1</v>
      </c>
      <c r="DZ146" s="4">
        <f t="shared" si="261"/>
        <v>1</v>
      </c>
      <c r="EA146" s="4">
        <f t="shared" si="262"/>
        <v>0.7</v>
      </c>
      <c r="EB146" s="4">
        <f t="shared" si="263"/>
        <v>0.7</v>
      </c>
      <c r="ED146" s="4">
        <f t="shared" si="281"/>
        <v>706.71768697470054</v>
      </c>
      <c r="EE146" s="25">
        <f t="shared" si="357"/>
        <v>115.69506088349222</v>
      </c>
      <c r="EH146" s="4">
        <f t="shared" si="319"/>
        <v>9.850377101520138</v>
      </c>
      <c r="EI146" s="4">
        <f t="shared" si="373"/>
        <v>9.850377101520138</v>
      </c>
      <c r="EK146" s="4">
        <f t="shared" si="374"/>
        <v>63.951544156493995</v>
      </c>
      <c r="EL146" s="4">
        <f t="shared" si="375"/>
        <v>2.2360679774997898</v>
      </c>
      <c r="EM146" s="4">
        <f t="shared" si="376"/>
        <v>5.0210590596265252E-2</v>
      </c>
      <c r="EP146" s="4">
        <f t="shared" si="337"/>
        <v>5.0210590596265252E-2</v>
      </c>
      <c r="EQ146" s="4">
        <f t="shared" si="338"/>
        <v>0.11558710317725863</v>
      </c>
      <c r="ER146" s="4">
        <f t="shared" si="377"/>
        <v>4.1554361038080332</v>
      </c>
      <c r="ES146" s="4">
        <f t="shared" si="394"/>
        <v>7.5676210201178815</v>
      </c>
      <c r="ET146" s="4">
        <f t="shared" si="378"/>
        <v>365.04845584350602</v>
      </c>
      <c r="EU146" s="4">
        <f t="shared" si="379"/>
        <v>143</v>
      </c>
      <c r="EV146" s="4">
        <f t="shared" si="265"/>
        <v>4.4200546424857304E-5</v>
      </c>
      <c r="EW146" s="4">
        <f t="shared" si="395"/>
        <v>6.7905962854039981</v>
      </c>
      <c r="EX146" s="4">
        <f t="shared" si="380"/>
        <v>676.41478422060356</v>
      </c>
      <c r="EY146" s="4">
        <f t="shared" si="381"/>
        <v>365.04845584350602</v>
      </c>
      <c r="EZ146" s="4">
        <f t="shared" si="382"/>
        <v>143</v>
      </c>
      <c r="FB146" s="4">
        <f t="shared" si="343"/>
        <v>0</v>
      </c>
      <c r="FG146" s="23">
        <f t="shared" si="344"/>
        <v>1</v>
      </c>
      <c r="FH146" s="23">
        <f t="shared" si="344"/>
        <v>1.6</v>
      </c>
      <c r="FI146" s="23">
        <f t="shared" si="388"/>
        <v>1.2</v>
      </c>
      <c r="FJ146" s="23">
        <f t="shared" si="345"/>
        <v>1.8</v>
      </c>
      <c r="FK146" s="23">
        <f t="shared" si="345"/>
        <v>1.2</v>
      </c>
      <c r="FL146" s="23">
        <f t="shared" si="345"/>
        <v>1.2</v>
      </c>
      <c r="FM146" s="23">
        <f t="shared" si="399"/>
        <v>0</v>
      </c>
      <c r="FN146" s="23"/>
      <c r="FX146" s="4">
        <f t="shared" si="267"/>
        <v>1.25</v>
      </c>
      <c r="FY146" s="4">
        <f t="shared" si="308"/>
        <v>0.67768622629572395</v>
      </c>
      <c r="FZ146" s="4">
        <f t="shared" si="269"/>
        <v>0.3</v>
      </c>
      <c r="GA146" s="4">
        <f t="shared" si="270"/>
        <v>624.81375749189851</v>
      </c>
    </row>
    <row r="147" spans="1:183" ht="12" customHeight="1" x14ac:dyDescent="0.3">
      <c r="A147" s="25">
        <v>129</v>
      </c>
      <c r="B147" s="24" t="s">
        <v>605</v>
      </c>
      <c r="C147" s="24">
        <v>2016</v>
      </c>
      <c r="D147" s="51" t="s">
        <v>293</v>
      </c>
      <c r="E147" s="24"/>
      <c r="F147" s="7" t="s">
        <v>646</v>
      </c>
      <c r="G147" s="38">
        <f>119.8/0.145</f>
        <v>826.20689655172418</v>
      </c>
      <c r="H147" s="38">
        <f>12*25.4</f>
        <v>304.79999999999995</v>
      </c>
      <c r="I147" s="4">
        <f>H147</f>
        <v>304.79999999999995</v>
      </c>
      <c r="J147" s="38">
        <f>6330/145</f>
        <v>43.655172413793103</v>
      </c>
      <c r="K147" s="38">
        <f>0.75*25.4</f>
        <v>19.049999999999997</v>
      </c>
      <c r="L147" s="7">
        <f>H147/K147</f>
        <v>16</v>
      </c>
      <c r="M147" s="7">
        <f>I147/K147</f>
        <v>16</v>
      </c>
      <c r="N147" s="38">
        <f>18*25.4</f>
        <v>457.2</v>
      </c>
      <c r="O147" s="38">
        <f>2*25.4</f>
        <v>50.8</v>
      </c>
      <c r="P147" s="21">
        <f>(6-0.5-2*0.75)*25.4</f>
        <v>101.6</v>
      </c>
      <c r="Q147" s="21">
        <f>(0.5)*25.4</f>
        <v>12.7</v>
      </c>
      <c r="R147" s="38">
        <v>3</v>
      </c>
      <c r="S147" s="38">
        <f>2*25.4</f>
        <v>50.8</v>
      </c>
      <c r="T147" s="7">
        <f>MIN(Q147/K147/2+0.5, (S147+K147/2)/K147, O147/K147+0.5)</f>
        <v>0.83333333333333337</v>
      </c>
      <c r="U147" s="7">
        <f>MIN(S147/K147+0.5, (O147+K147/2)/K147)</f>
        <v>3.166666666666667</v>
      </c>
      <c r="V147" s="38">
        <v>4</v>
      </c>
      <c r="W147" s="4">
        <f>V147</f>
        <v>4</v>
      </c>
      <c r="X147" s="4">
        <f>W147+1</f>
        <v>5</v>
      </c>
      <c r="Y147" s="7">
        <f t="shared" si="358"/>
        <v>42.597094971370993</v>
      </c>
      <c r="Z147" s="7"/>
      <c r="AA147" s="7"/>
      <c r="AB147" s="38">
        <f t="shared" ref="AB147:AB152" si="405">AC147/0.145</f>
        <v>573.79310344827593</v>
      </c>
      <c r="AC147" s="4">
        <v>83.2</v>
      </c>
      <c r="AD147" s="7">
        <f t="shared" si="339"/>
        <v>0.98217058503586896</v>
      </c>
      <c r="AE147" s="7">
        <v>0</v>
      </c>
      <c r="AF147" s="7">
        <v>0</v>
      </c>
      <c r="AG147" s="7">
        <f>I147</f>
        <v>304.79999999999995</v>
      </c>
      <c r="AH147" s="7"/>
      <c r="AI147" s="7"/>
      <c r="AJ147" s="7">
        <f t="shared" si="404"/>
        <v>0</v>
      </c>
      <c r="AK147" s="4">
        <f t="shared" si="283"/>
        <v>304.79999999999995</v>
      </c>
      <c r="AL147" s="47">
        <f>MIN(N147)*(MIN(360-S147-0.5*K147,1.5*AK147)+S147+K147/2)/(3*H147)^2</f>
        <v>0.19685039370078747</v>
      </c>
      <c r="AM147" s="25">
        <f t="shared" si="272"/>
        <v>411.18683539092382</v>
      </c>
      <c r="AN147" s="4">
        <f t="shared" si="273"/>
        <v>0.73958333333333326</v>
      </c>
      <c r="AO147" s="4">
        <v>1.25</v>
      </c>
      <c r="AP147" s="25">
        <f t="shared" si="322"/>
        <v>5</v>
      </c>
      <c r="AQ147" s="38">
        <f>AL147*AN147*AO147*AP147*AM147</f>
        <v>374.14730603002477</v>
      </c>
      <c r="AR147" s="38">
        <f t="shared" si="276"/>
        <v>374.14730603002477</v>
      </c>
      <c r="AT147" s="38">
        <f>AP147* (J147^0.5/AK147^0.5)/(PI()/4*K147^2)/R147/0.72 *(0.7+(MIN(O147,S147)+0.5*K147)/5/H147) *(N147*MIN(S147+0.5*K147+1.5*H147,360))</f>
        <v>374.14730603002448</v>
      </c>
      <c r="AU147" s="38">
        <f t="shared" ref="AU147:AU207" si="406">AQ147/AT147</f>
        <v>1.0000000000000007</v>
      </c>
      <c r="AV147" s="38">
        <f t="shared" si="333"/>
        <v>0.77786069301609739</v>
      </c>
      <c r="AW147" s="4">
        <f t="shared" si="328"/>
        <v>1</v>
      </c>
      <c r="AX147" s="4">
        <f t="shared" si="385"/>
        <v>556.39630294068945</v>
      </c>
      <c r="AY147" s="4">
        <f t="shared" si="386"/>
        <v>2</v>
      </c>
      <c r="AZ147" s="38">
        <f t="shared" si="277"/>
        <v>291.0344827586207</v>
      </c>
      <c r="BA147" s="4">
        <f t="shared" si="387"/>
        <v>0.44000000000000006</v>
      </c>
      <c r="BB147" s="4">
        <f t="shared" ref="BB147:BB152" si="407">BA147*G147*I147/(G147*K147/2.75/J147^0.5)</f>
        <v>127.91551004606451</v>
      </c>
      <c r="BC147" s="4">
        <f t="shared" ref="BC147:BC152" si="408">AZ147+BB147</f>
        <v>418.94999280468522</v>
      </c>
      <c r="BE147" s="36">
        <f t="shared" si="317"/>
        <v>1.2083333333333333</v>
      </c>
      <c r="BF147" s="36">
        <f t="shared" si="318"/>
        <v>380.02447070331317</v>
      </c>
      <c r="BK147" s="4">
        <f t="shared" si="361"/>
        <v>12.75</v>
      </c>
      <c r="BL147" s="4">
        <f t="shared" si="362"/>
        <v>12.75</v>
      </c>
      <c r="BM147" s="4">
        <f t="shared" si="363"/>
        <v>50.8</v>
      </c>
      <c r="BN147" s="4">
        <f t="shared" si="364"/>
        <v>22.274999999999999</v>
      </c>
      <c r="BO147" s="4">
        <f t="shared" si="365"/>
        <v>1.25</v>
      </c>
      <c r="BP147" s="25">
        <f t="shared" si="278"/>
        <v>1.4616141732283467</v>
      </c>
      <c r="BR147" s="4">
        <f t="shared" si="336"/>
        <v>6.35</v>
      </c>
      <c r="BV147" s="9"/>
      <c r="BX147" s="9"/>
      <c r="BY147" s="9"/>
      <c r="BZ147" s="9">
        <f t="shared" si="389"/>
        <v>6.35</v>
      </c>
      <c r="CA147" s="9">
        <f t="shared" si="390"/>
        <v>50.8</v>
      </c>
      <c r="CB147" s="9">
        <f t="shared" ref="CB147:CB152" si="409">(BZ147/K147)^0.5*(CA147/BZ147)^0.15</f>
        <v>0.78868370996101578</v>
      </c>
      <c r="CC147" s="9">
        <v>20</v>
      </c>
      <c r="CD147" s="9">
        <f t="shared" si="311"/>
        <v>0</v>
      </c>
      <c r="CE147" s="9">
        <f t="shared" ref="CE147:CE152" si="410">MAX(0,CC147*(CD147-0.5/50))</f>
        <v>0</v>
      </c>
      <c r="CF147" s="9">
        <f t="shared" si="391"/>
        <v>1</v>
      </c>
      <c r="CG147" s="9">
        <f t="shared" si="392"/>
        <v>0.68</v>
      </c>
      <c r="CH147" s="9">
        <f t="shared" ref="CH147:CH152" si="411">1.75*CF147*CG147*(J147/25)^0.5</f>
        <v>1.5725150511861237</v>
      </c>
      <c r="CI147" s="9">
        <f t="shared" ref="CI147:CI152" si="412">MIN((CB147+CE147)*CH147,2.5*CH147,J147^0.5)</f>
        <v>1.2402170045390086</v>
      </c>
      <c r="CJ147" s="9">
        <v>1</v>
      </c>
      <c r="CK147" s="9">
        <f t="shared" ref="CK147:CK152" si="413">4*CI147*M147+60*CI147</f>
        <v>153.78690856283708</v>
      </c>
      <c r="CM147" s="4">
        <f t="shared" si="346"/>
        <v>1.0312669232625022</v>
      </c>
      <c r="CN147" s="4">
        <f t="shared" si="347"/>
        <v>1.3695980744789717</v>
      </c>
      <c r="CO147" s="4">
        <f t="shared" si="396"/>
        <v>1.509884619762391</v>
      </c>
      <c r="CP147" s="4">
        <f t="shared" si="340"/>
        <v>3.7310919948288381</v>
      </c>
      <c r="CQ147" s="4">
        <f t="shared" si="397"/>
        <v>0.98217058503586896</v>
      </c>
      <c r="CR147" s="4">
        <f t="shared" si="398"/>
        <v>1.0330895299523886</v>
      </c>
      <c r="CS147" s="4">
        <f t="shared" si="334"/>
        <v>1.2369414191987771</v>
      </c>
      <c r="DA147" s="4">
        <f t="shared" si="400"/>
        <v>1.0312669232625022</v>
      </c>
      <c r="DB147" s="4">
        <f t="shared" si="400"/>
        <v>1.3695980744789717</v>
      </c>
      <c r="DC147" s="4">
        <f t="shared" si="401"/>
        <v>3.7310919948288381</v>
      </c>
      <c r="DD147" s="4">
        <f t="shared" si="402"/>
        <v>1.2369414191987771</v>
      </c>
      <c r="DE147" s="4">
        <f t="shared" si="403"/>
        <v>0.98217058503586896</v>
      </c>
      <c r="DF147" s="4">
        <f t="shared" si="403"/>
        <v>1.0330895299523886</v>
      </c>
      <c r="DH147" s="4">
        <f t="shared" si="368"/>
        <v>0</v>
      </c>
      <c r="DI147" s="4">
        <f t="shared" si="369"/>
        <v>304.79999999999995</v>
      </c>
      <c r="DJ147" s="4">
        <f t="shared" si="370"/>
        <v>1</v>
      </c>
      <c r="DL147" s="4">
        <f t="shared" si="371"/>
        <v>3.1342636205669919E-5</v>
      </c>
      <c r="DM147" s="4">
        <f t="shared" si="372"/>
        <v>3.8789363481980437</v>
      </c>
      <c r="DN147" s="4">
        <f t="shared" si="342"/>
        <v>0.35513525052023837</v>
      </c>
      <c r="DO147" s="4">
        <f t="shared" ref="DO147:DO152" si="414">DM147*DN147^0.4</f>
        <v>2.5637174885558873</v>
      </c>
      <c r="DP147" s="4">
        <f t="shared" ref="DP147:DP152" si="415">MIN(DM147, DM147/1.4*(1-DN147^1.4)/(1-DN147))</f>
        <v>3.2880315468491821</v>
      </c>
      <c r="DQ147" s="4">
        <f t="shared" ref="DQ147:DQ152" si="416">MAX(DM147/2, (4-DL147*(8*Y147*(DO147-DP147)+6*H147*DP147))/(4+DL147*H147*DM147)*DM147)</f>
        <v>3.6696783450107433</v>
      </c>
      <c r="DR147" s="38">
        <f t="shared" si="279"/>
        <v>584.20921191334696</v>
      </c>
      <c r="DS147" s="4">
        <f t="shared" ref="DS147:DS164" si="417">DR147/EX147</f>
        <v>1.0000694336744724</v>
      </c>
      <c r="DT147" s="4">
        <f t="shared" si="335"/>
        <v>2.2360679774997898</v>
      </c>
      <c r="DU147" s="4">
        <f t="shared" si="280"/>
        <v>374.14730603002448</v>
      </c>
      <c r="DY147" s="4">
        <f t="shared" si="393"/>
        <v>0.85</v>
      </c>
      <c r="DZ147" s="4">
        <f t="shared" ref="DZ147:DZ152" si="418">MIN(1,MAX(0.7,(1-0.1*(BR147-1*K147)/K147)))</f>
        <v>1</v>
      </c>
      <c r="EA147" s="4">
        <f t="shared" ref="EA147:EA152" si="419">MIN(1,MAX(0.7,1-0.3*(PI()*AE147^2/4*AF147*2-0.25*PI()/4*K147^2)/(PI()/4*K147^2)))</f>
        <v>1</v>
      </c>
      <c r="EB147" s="4">
        <f t="shared" ref="EB147:EB152" si="420">IF(DZ147*EA147&lt;0.7,0.7,DZ147*EA147)</f>
        <v>1</v>
      </c>
      <c r="ED147" s="4">
        <f t="shared" si="281"/>
        <v>555.41469234977149</v>
      </c>
      <c r="EE147" s="25">
        <f>8.8*N147*360*J147^0.5/R147/K147^2/H147^0.5*(0.7+MIN(S147,O147)/5/H147)</f>
        <v>369.2257476362654</v>
      </c>
      <c r="EH147" s="4">
        <f t="shared" si="319"/>
        <v>3.8789363481980437</v>
      </c>
      <c r="EI147" s="4">
        <f t="shared" si="373"/>
        <v>3.8789363481980437</v>
      </c>
      <c r="EK147" s="4">
        <f t="shared" si="374"/>
        <v>42.597094971370993</v>
      </c>
      <c r="EL147" s="4">
        <f t="shared" si="375"/>
        <v>2.2360679774997898</v>
      </c>
      <c r="EM147" s="4">
        <f t="shared" si="376"/>
        <v>0.12830598100215107</v>
      </c>
      <c r="EP147" s="4">
        <f t="shared" si="337"/>
        <v>0.12830598100215107</v>
      </c>
      <c r="EQ147" s="4">
        <f t="shared" si="338"/>
        <v>0.35454259597533333</v>
      </c>
      <c r="ER147" s="4">
        <f t="shared" si="377"/>
        <v>2.5620052843463426</v>
      </c>
      <c r="ES147" s="4">
        <f t="shared" si="394"/>
        <v>3.2873657007314261</v>
      </c>
      <c r="ET147" s="4">
        <f t="shared" si="378"/>
        <v>186.00290502862896</v>
      </c>
      <c r="EU147" s="4">
        <f t="shared" si="379"/>
        <v>76.199999999999989</v>
      </c>
      <c r="EV147" s="4">
        <f t="shared" ref="EV147:EV152" si="421">EU147/(1-0.3*(J147/30)^0.5)/200000/K147</f>
        <v>3.1342636205669919E-5</v>
      </c>
      <c r="EW147" s="4">
        <f t="shared" si="395"/>
        <v>3.6697257543228932</v>
      </c>
      <c r="EX147" s="4">
        <f t="shared" si="380"/>
        <v>584.1686509374008</v>
      </c>
      <c r="EY147" s="4">
        <f t="shared" si="381"/>
        <v>186.00290502862896</v>
      </c>
      <c r="EZ147" s="4">
        <f t="shared" si="382"/>
        <v>76.2</v>
      </c>
      <c r="FB147" s="4">
        <f t="shared" si="343"/>
        <v>0</v>
      </c>
      <c r="FG147" s="23">
        <f t="shared" si="344"/>
        <v>1.2</v>
      </c>
      <c r="FH147" s="23">
        <f t="shared" si="344"/>
        <v>1.4</v>
      </c>
      <c r="FI147" s="23">
        <f t="shared" si="388"/>
        <v>1.4</v>
      </c>
      <c r="FJ147" s="23">
        <f t="shared" si="345"/>
        <v>2.2000000000000002</v>
      </c>
      <c r="FK147" s="23">
        <f t="shared" si="345"/>
        <v>1</v>
      </c>
      <c r="FL147" s="23">
        <f t="shared" si="345"/>
        <v>1.2</v>
      </c>
      <c r="FM147" s="23">
        <f t="shared" si="399"/>
        <v>0</v>
      </c>
      <c r="FN147" s="23"/>
      <c r="FX147" s="4">
        <f t="shared" ref="FX147:FX207" si="422">IF(O147&gt;=2.5*25.4,1,1.25)</f>
        <v>1.25</v>
      </c>
      <c r="FY147" s="4">
        <f t="shared" si="308"/>
        <v>0.81666666666666665</v>
      </c>
      <c r="FZ147" s="4">
        <f t="shared" ref="FZ147:FZ207" si="423">MIN(0.3, AE147^2*PI()/4*2*AH147/(K147^2*PI()/4*R147))</f>
        <v>0</v>
      </c>
      <c r="GA147" s="4">
        <f t="shared" ref="GA147:GA207" si="424">(H147/25.4)/(K147/25.4)^1.5/0.0024*(J147*145)^0.25/FX147/FY147/145</f>
        <v>463.8805803915497</v>
      </c>
    </row>
    <row r="148" spans="1:183" ht="12" customHeight="1" x14ac:dyDescent="0.3">
      <c r="A148" s="25">
        <v>130</v>
      </c>
      <c r="B148" s="24" t="s">
        <v>605</v>
      </c>
      <c r="C148" s="24">
        <v>2016</v>
      </c>
      <c r="D148" s="51" t="s">
        <v>293</v>
      </c>
      <c r="E148" s="24"/>
      <c r="F148" s="7" t="s">
        <v>647</v>
      </c>
      <c r="G148" s="38">
        <f t="shared" ref="G148:G152" si="425">119.8/0.145</f>
        <v>826.20689655172418</v>
      </c>
      <c r="H148" s="38">
        <f t="shared" ref="H148:H152" si="426">12*25.4</f>
        <v>304.79999999999995</v>
      </c>
      <c r="I148" s="7">
        <f t="shared" ref="I148:I152" si="427">H148</f>
        <v>304.79999999999995</v>
      </c>
      <c r="J148" s="38">
        <f t="shared" ref="J148:J149" si="428">6330/145</f>
        <v>43.655172413793103</v>
      </c>
      <c r="K148" s="38">
        <f t="shared" ref="K148:K152" si="429">0.75*25.4</f>
        <v>19.049999999999997</v>
      </c>
      <c r="L148" s="7">
        <f t="shared" ref="L148:L152" si="430">H148/K148</f>
        <v>16</v>
      </c>
      <c r="M148" s="7">
        <f t="shared" ref="M148:M152" si="431">I148/K148</f>
        <v>16</v>
      </c>
      <c r="N148" s="38">
        <f>18.1*25.4</f>
        <v>459.74</v>
      </c>
      <c r="O148" s="38">
        <f t="shared" ref="O148:O152" si="432">2*25.4</f>
        <v>50.8</v>
      </c>
      <c r="P148" s="21">
        <f>(5.8-1-2*0.75)*25.4</f>
        <v>83.82</v>
      </c>
      <c r="Q148" s="21">
        <f>(1)*25.4</f>
        <v>25.4</v>
      </c>
      <c r="R148" s="38">
        <v>3</v>
      </c>
      <c r="S148" s="38">
        <f t="shared" ref="S148:S152" si="433">2*25.4</f>
        <v>50.8</v>
      </c>
      <c r="T148" s="7">
        <f t="shared" ref="T148:T152" si="434">MIN(Q148/K148/2+0.5, (S148+K148/2)/K148, O148/K148+0.5)</f>
        <v>1.1666666666666667</v>
      </c>
      <c r="U148" s="7">
        <f t="shared" ref="U148:U152" si="435">MIN(S148/K148+0.5, (O148+K148/2)/K148)</f>
        <v>3.166666666666667</v>
      </c>
      <c r="V148" s="38">
        <v>4</v>
      </c>
      <c r="W148" s="7">
        <f t="shared" ref="W148:W152" si="436">MIN(W$16,V148)</f>
        <v>4</v>
      </c>
      <c r="X148" s="4">
        <f t="shared" ref="X148:X152" si="437">W148+1</f>
        <v>5</v>
      </c>
      <c r="Y148" s="7">
        <f t="shared" si="358"/>
        <v>42.597094971370993</v>
      </c>
      <c r="Z148" s="7"/>
      <c r="AA148" s="7"/>
      <c r="AB148" s="38">
        <f t="shared" si="405"/>
        <v>621.37931034482756</v>
      </c>
      <c r="AC148" s="4">
        <v>90.1</v>
      </c>
      <c r="AD148" s="7">
        <f t="shared" si="339"/>
        <v>0.99040992596962307</v>
      </c>
      <c r="AE148" s="7">
        <v>0</v>
      </c>
      <c r="AF148" s="7">
        <v>0</v>
      </c>
      <c r="AG148" s="7">
        <f t="shared" ref="AG148:AG165" si="438">I148</f>
        <v>304.79999999999995</v>
      </c>
      <c r="AH148" s="7"/>
      <c r="AI148" s="7"/>
      <c r="AJ148" s="7">
        <f t="shared" si="404"/>
        <v>0</v>
      </c>
      <c r="AK148" s="4">
        <f t="shared" si="283"/>
        <v>304.79999999999995</v>
      </c>
      <c r="AL148" s="47">
        <f t="shared" ref="AL148:AL152" si="439">MIN(N148)*(MIN(360-S148-0.5*K148,1.5*AK148)+S148+K148/2)/(3*H148)^2</f>
        <v>0.19794400699912515</v>
      </c>
      <c r="AM148" s="25">
        <f t="shared" ref="AM148:AM152" si="440">MIN(10*J148^0.5*AK148^1.5,100*3.9*J148^0.5*AK148^(5/3))/(PI()/4*K148^2)/R148</f>
        <v>411.18683539092382</v>
      </c>
      <c r="AN148" s="4">
        <f t="shared" ref="AN148:AN152" si="441">MIN(0.7+0.3*(MIN(O148,S148)+0.5*K148)/1.5/H148,1)</f>
        <v>0.73958333333333326</v>
      </c>
      <c r="AO148" s="4">
        <v>1.25</v>
      </c>
      <c r="AP148" s="25">
        <f t="shared" si="322"/>
        <v>5</v>
      </c>
      <c r="AQ148" s="38">
        <f t="shared" ref="AQ148:AQ152" si="442">AL148*AN148*AO148*AP148*AM148</f>
        <v>376.22590217463596</v>
      </c>
      <c r="AR148" s="38">
        <f t="shared" ref="AR148:AR152" si="443">AQ148</f>
        <v>376.22590217463596</v>
      </c>
      <c r="AT148" s="38">
        <f t="shared" ref="AT148:AT152" si="444">AP148* (J148^0.5/AK148^0.5)/(PI()/4*K148^2)/R148/0.72 *(0.7+(MIN(O148,S148)+0.5*K148)/5/H148) *(N148*MIN(S148+0.5*K148+1.5*H148,360))</f>
        <v>376.22590217463573</v>
      </c>
      <c r="AU148" s="38">
        <f t="shared" si="406"/>
        <v>1.0000000000000007</v>
      </c>
      <c r="AV148" s="38">
        <f t="shared" si="333"/>
        <v>0.91280448174927686</v>
      </c>
      <c r="AW148" s="4">
        <f t="shared" si="328"/>
        <v>1</v>
      </c>
      <c r="AX148" s="4">
        <f t="shared" si="385"/>
        <v>556.39630294068945</v>
      </c>
      <c r="AY148" s="4">
        <f t="shared" si="386"/>
        <v>1.6857142857142859</v>
      </c>
      <c r="AZ148" s="38">
        <f t="shared" ref="AZ148:AZ152" si="445">2*J148*T148*V148^0.5*AY148*0.7/0.7</f>
        <v>343.42068965517251</v>
      </c>
      <c r="BA148" s="4">
        <f t="shared" si="387"/>
        <v>0.44000000000000006</v>
      </c>
      <c r="BB148" s="4">
        <f t="shared" si="407"/>
        <v>127.91551004606451</v>
      </c>
      <c r="BC148" s="4">
        <f t="shared" si="408"/>
        <v>471.33619970123704</v>
      </c>
      <c r="BE148" s="36">
        <f t="shared" si="317"/>
        <v>1.1366666666666669</v>
      </c>
      <c r="BF148" s="36">
        <f t="shared" si="318"/>
        <v>357.48508830297885</v>
      </c>
      <c r="BK148" s="4">
        <f t="shared" si="361"/>
        <v>19.100000000000001</v>
      </c>
      <c r="BL148" s="4">
        <f t="shared" si="362"/>
        <v>19.100000000000001</v>
      </c>
      <c r="BM148" s="4">
        <f t="shared" si="363"/>
        <v>50.8</v>
      </c>
      <c r="BN148" s="4">
        <f t="shared" si="364"/>
        <v>28.625</v>
      </c>
      <c r="BO148" s="4">
        <f t="shared" si="365"/>
        <v>1.1659685863874345</v>
      </c>
      <c r="BP148" s="25">
        <f t="shared" ref="BP148:BP152" si="446">MIN(4, (BN148*BO148+(6*J148^0.5*(0.03*K148+0.22)*(AE148^2/4*PI())*2/AG148/R148))/K148)</f>
        <v>1.7520131645847936</v>
      </c>
      <c r="BR148" s="4">
        <f t="shared" si="336"/>
        <v>12.7</v>
      </c>
      <c r="BV148" s="9"/>
      <c r="BX148" s="9"/>
      <c r="BY148" s="9"/>
      <c r="BZ148" s="9">
        <f t="shared" si="389"/>
        <v>12.7</v>
      </c>
      <c r="CA148" s="9">
        <f t="shared" si="390"/>
        <v>50.8</v>
      </c>
      <c r="CB148" s="9">
        <f t="shared" si="409"/>
        <v>1.0052252041243952</v>
      </c>
      <c r="CC148" s="9">
        <v>20</v>
      </c>
      <c r="CD148" s="9">
        <f t="shared" si="311"/>
        <v>0</v>
      </c>
      <c r="CE148" s="9">
        <f t="shared" si="410"/>
        <v>0</v>
      </c>
      <c r="CF148" s="9">
        <f t="shared" si="391"/>
        <v>1</v>
      </c>
      <c r="CG148" s="9">
        <f t="shared" si="392"/>
        <v>0.68</v>
      </c>
      <c r="CH148" s="9">
        <f t="shared" si="411"/>
        <v>1.5725150511861237</v>
      </c>
      <c r="CI148" s="9">
        <f t="shared" si="412"/>
        <v>1.5807317633172548</v>
      </c>
      <c r="CJ148" s="9">
        <v>1</v>
      </c>
      <c r="CK148" s="9">
        <f t="shared" si="413"/>
        <v>196.01073865133961</v>
      </c>
      <c r="CM148" s="4">
        <f t="shared" si="346"/>
        <v>1.1167926656965317</v>
      </c>
      <c r="CN148" s="4">
        <f t="shared" si="347"/>
        <v>1.3183356396956087</v>
      </c>
      <c r="CO148" s="4">
        <f t="shared" si="396"/>
        <v>1.7381964470031006</v>
      </c>
      <c r="CP148" s="4">
        <f t="shared" si="340"/>
        <v>3.1701289154882781</v>
      </c>
      <c r="CQ148" s="4">
        <f t="shared" si="397"/>
        <v>0.99040992596962307</v>
      </c>
      <c r="CR148" s="4">
        <f t="shared" si="398"/>
        <v>1.0452859834815846</v>
      </c>
      <c r="CS148" s="4">
        <f t="shared" si="334"/>
        <v>1.2848498400414692</v>
      </c>
      <c r="DA148" s="4">
        <f t="shared" si="400"/>
        <v>1.1167926656965317</v>
      </c>
      <c r="DB148" s="4">
        <f t="shared" si="400"/>
        <v>1.3183356396956087</v>
      </c>
      <c r="DC148" s="4">
        <f t="shared" si="401"/>
        <v>3.1701289154882781</v>
      </c>
      <c r="DD148" s="4">
        <f t="shared" si="402"/>
        <v>1.2848498400414692</v>
      </c>
      <c r="DE148" s="4">
        <f t="shared" si="403"/>
        <v>0.99040992596962307</v>
      </c>
      <c r="DF148" s="4">
        <f t="shared" si="403"/>
        <v>1.0452859834815846</v>
      </c>
      <c r="DH148" s="4">
        <f t="shared" si="368"/>
        <v>0</v>
      </c>
      <c r="DI148" s="4">
        <f t="shared" si="369"/>
        <v>304.79999999999995</v>
      </c>
      <c r="DJ148" s="4">
        <f t="shared" si="370"/>
        <v>1</v>
      </c>
      <c r="DL148" s="4">
        <f t="shared" si="371"/>
        <v>3.1342636205669919E-5</v>
      </c>
      <c r="DM148" s="4">
        <f t="shared" si="372"/>
        <v>4.6496179847646513</v>
      </c>
      <c r="DN148" s="4">
        <f t="shared" si="342"/>
        <v>0.35710822413423976</v>
      </c>
      <c r="DO148" s="4">
        <f t="shared" si="414"/>
        <v>3.0799042372107639</v>
      </c>
      <c r="DP148" s="4">
        <f t="shared" si="415"/>
        <v>3.9439640269273464</v>
      </c>
      <c r="DQ148" s="4">
        <f t="shared" si="416"/>
        <v>4.349268467956561</v>
      </c>
      <c r="DR148" s="38">
        <f t="shared" ref="DR148:DR164" si="447">MIN(1/K148*(4*Y148*(DO148-DP148)+(3*DP148+DQ148)*H148)+DU148 -FB148,MAX(G148,AB148))</f>
        <v>627.39608524873154</v>
      </c>
      <c r="DS148" s="4">
        <f t="shared" si="417"/>
        <v>1.000077464150948</v>
      </c>
      <c r="DT148" s="4">
        <f t="shared" si="335"/>
        <v>2.2360679774997898</v>
      </c>
      <c r="DU148" s="4">
        <f t="shared" ref="DU148:DU164" si="448">MIN(DT$10*AT148)</f>
        <v>376.22590217463573</v>
      </c>
      <c r="DY148" s="4">
        <f t="shared" si="393"/>
        <v>0.85</v>
      </c>
      <c r="DZ148" s="4">
        <f t="shared" si="418"/>
        <v>1</v>
      </c>
      <c r="EA148" s="4">
        <f t="shared" si="419"/>
        <v>1</v>
      </c>
      <c r="EB148" s="4">
        <f t="shared" si="420"/>
        <v>1</v>
      </c>
      <c r="ED148" s="4">
        <f t="shared" ref="ED148:ED152" si="449">MIN(DM148/K148*3*H148+EE148-FB148,MAX(G148,AB148))</f>
        <v>594.45866505850336</v>
      </c>
      <c r="EE148" s="25">
        <f t="shared" ref="EE148:EE152" si="450">8.8*N148*360*J148^0.5/R148/K148^2/H148^0.5*(0.7+MIN(S148,O148)/5/H148)</f>
        <v>371.27700178980012</v>
      </c>
      <c r="EH148" s="4">
        <f t="shared" si="319"/>
        <v>4.6496179847646513</v>
      </c>
      <c r="EI148" s="4">
        <f t="shared" si="373"/>
        <v>4.6496179847646513</v>
      </c>
      <c r="EK148" s="4">
        <f t="shared" si="374"/>
        <v>42.597094971370993</v>
      </c>
      <c r="EL148" s="4">
        <f t="shared" si="375"/>
        <v>2.2360679774997898</v>
      </c>
      <c r="EM148" s="4">
        <f t="shared" si="376"/>
        <v>0.12901879200771857</v>
      </c>
      <c r="EP148" s="4">
        <f t="shared" si="337"/>
        <v>0.12901879200771857</v>
      </c>
      <c r="EQ148" s="4">
        <f t="shared" si="338"/>
        <v>0.35651227706408517</v>
      </c>
      <c r="ER148" s="4">
        <f t="shared" si="377"/>
        <v>3.0778472925499387</v>
      </c>
      <c r="ES148" s="4">
        <f t="shared" si="394"/>
        <v>3.9431628512491677</v>
      </c>
      <c r="ET148" s="4">
        <f t="shared" si="378"/>
        <v>186.00290502862896</v>
      </c>
      <c r="EU148" s="4">
        <f t="shared" si="379"/>
        <v>76.199999999999989</v>
      </c>
      <c r="EV148" s="4">
        <f t="shared" si="421"/>
        <v>3.1342636205669919E-5</v>
      </c>
      <c r="EW148" s="4">
        <f t="shared" si="395"/>
        <v>4.3493366824102093</v>
      </c>
      <c r="EX148" s="4">
        <f t="shared" si="380"/>
        <v>627.34748830820035</v>
      </c>
      <c r="EY148" s="4">
        <f t="shared" si="381"/>
        <v>186.00290502862896</v>
      </c>
      <c r="EZ148" s="4">
        <f t="shared" si="382"/>
        <v>76.2</v>
      </c>
      <c r="FB148" s="4">
        <f t="shared" si="343"/>
        <v>0</v>
      </c>
      <c r="FG148" s="23">
        <f t="shared" si="344"/>
        <v>1.2</v>
      </c>
      <c r="FH148" s="23">
        <f t="shared" si="344"/>
        <v>1.4</v>
      </c>
      <c r="FI148" s="23">
        <f t="shared" si="388"/>
        <v>1.4</v>
      </c>
      <c r="FJ148" s="23">
        <f t="shared" si="345"/>
        <v>2.2000000000000002</v>
      </c>
      <c r="FK148" s="23">
        <f t="shared" si="345"/>
        <v>1</v>
      </c>
      <c r="FL148" s="23">
        <f t="shared" si="345"/>
        <v>1.2</v>
      </c>
      <c r="FM148" s="23">
        <f t="shared" si="399"/>
        <v>0</v>
      </c>
      <c r="FN148" s="23"/>
      <c r="FX148" s="4">
        <f t="shared" si="422"/>
        <v>1.25</v>
      </c>
      <c r="FY148" s="4">
        <f t="shared" si="308"/>
        <v>0.78333333333333333</v>
      </c>
      <c r="FZ148" s="4">
        <f t="shared" si="423"/>
        <v>0</v>
      </c>
      <c r="GA148" s="4">
        <f t="shared" si="424"/>
        <v>483.62017955714748</v>
      </c>
    </row>
    <row r="149" spans="1:183" ht="12" customHeight="1" x14ac:dyDescent="0.3">
      <c r="A149" s="25">
        <v>131</v>
      </c>
      <c r="B149" s="24" t="s">
        <v>605</v>
      </c>
      <c r="C149" s="24">
        <v>2016</v>
      </c>
      <c r="D149" s="51" t="s">
        <v>293</v>
      </c>
      <c r="E149" s="24"/>
      <c r="F149" s="7" t="s">
        <v>648</v>
      </c>
      <c r="G149" s="38">
        <f t="shared" si="425"/>
        <v>826.20689655172418</v>
      </c>
      <c r="H149" s="38">
        <f t="shared" si="426"/>
        <v>304.79999999999995</v>
      </c>
      <c r="I149" s="7">
        <f t="shared" si="427"/>
        <v>304.79999999999995</v>
      </c>
      <c r="J149" s="38">
        <f t="shared" si="428"/>
        <v>43.655172413793103</v>
      </c>
      <c r="K149" s="38">
        <f t="shared" si="429"/>
        <v>19.049999999999997</v>
      </c>
      <c r="L149" s="7">
        <f t="shared" si="430"/>
        <v>16</v>
      </c>
      <c r="M149" s="7">
        <f t="shared" si="431"/>
        <v>16</v>
      </c>
      <c r="N149" s="38">
        <f t="shared" ref="N149:N152" si="451">18*25.4</f>
        <v>457.2</v>
      </c>
      <c r="O149" s="38">
        <f t="shared" si="432"/>
        <v>50.8</v>
      </c>
      <c r="P149" s="21">
        <f>(5.3-1.9-2*0.75)*25.4</f>
        <v>48.26</v>
      </c>
      <c r="Q149" s="21">
        <f>(1.9)*25.4</f>
        <v>48.26</v>
      </c>
      <c r="R149" s="38">
        <v>3</v>
      </c>
      <c r="S149" s="38">
        <f t="shared" si="433"/>
        <v>50.8</v>
      </c>
      <c r="T149" s="7">
        <f t="shared" si="434"/>
        <v>1.7666666666666668</v>
      </c>
      <c r="U149" s="7">
        <f t="shared" si="435"/>
        <v>3.166666666666667</v>
      </c>
      <c r="V149" s="38">
        <v>4</v>
      </c>
      <c r="W149" s="7">
        <f t="shared" si="436"/>
        <v>4</v>
      </c>
      <c r="X149" s="4">
        <f t="shared" si="437"/>
        <v>5</v>
      </c>
      <c r="Y149" s="7">
        <f t="shared" si="358"/>
        <v>42.597094971370993</v>
      </c>
      <c r="Z149" s="7"/>
      <c r="AA149" s="7"/>
      <c r="AB149" s="38">
        <f t="shared" si="405"/>
        <v>566.89655172413802</v>
      </c>
      <c r="AC149" s="4">
        <v>82.2</v>
      </c>
      <c r="AD149" s="7">
        <f t="shared" si="339"/>
        <v>0.81721497365135776</v>
      </c>
      <c r="AE149" s="7">
        <v>0</v>
      </c>
      <c r="AF149" s="7">
        <v>0</v>
      </c>
      <c r="AG149" s="7">
        <f t="shared" si="438"/>
        <v>304.79999999999995</v>
      </c>
      <c r="AH149" s="7"/>
      <c r="AI149" s="7"/>
      <c r="AJ149" s="7">
        <f t="shared" si="404"/>
        <v>0</v>
      </c>
      <c r="AK149" s="4">
        <f t="shared" si="283"/>
        <v>304.79999999999995</v>
      </c>
      <c r="AL149" s="47">
        <f t="shared" si="439"/>
        <v>0.19685039370078747</v>
      </c>
      <c r="AM149" s="25">
        <f t="shared" si="440"/>
        <v>411.18683539092382</v>
      </c>
      <c r="AN149" s="4">
        <f t="shared" si="441"/>
        <v>0.73958333333333326</v>
      </c>
      <c r="AO149" s="4">
        <v>1.25</v>
      </c>
      <c r="AP149" s="25">
        <f t="shared" si="322"/>
        <v>5</v>
      </c>
      <c r="AQ149" s="38">
        <f t="shared" si="442"/>
        <v>374.14730603002477</v>
      </c>
      <c r="AR149" s="38">
        <f t="shared" si="443"/>
        <v>374.14730603002477</v>
      </c>
      <c r="AT149" s="38">
        <f t="shared" si="444"/>
        <v>374.14730603002448</v>
      </c>
      <c r="AU149" s="38">
        <f t="shared" si="406"/>
        <v>1.0000000000000007</v>
      </c>
      <c r="AV149" s="38">
        <f t="shared" si="333"/>
        <v>1.0858935274504717</v>
      </c>
      <c r="AW149" s="4">
        <f t="shared" si="328"/>
        <v>0</v>
      </c>
      <c r="AX149" s="4">
        <f t="shared" si="385"/>
        <v>556.39630294068945</v>
      </c>
      <c r="AY149" s="4">
        <f t="shared" si="386"/>
        <v>1.3169811320754716</v>
      </c>
      <c r="AZ149" s="38">
        <f t="shared" si="445"/>
        <v>406.28413793103448</v>
      </c>
      <c r="BA149" s="4">
        <f t="shared" si="387"/>
        <v>0.44000000000000006</v>
      </c>
      <c r="BB149" s="4">
        <f t="shared" si="407"/>
        <v>127.91551004606451</v>
      </c>
      <c r="BC149" s="4">
        <f t="shared" si="408"/>
        <v>534.19964797709895</v>
      </c>
      <c r="BE149" s="36">
        <f t="shared" si="317"/>
        <v>1.1057894736842107</v>
      </c>
      <c r="BF149" s="36">
        <f t="shared" si="318"/>
        <v>347.77411816232063</v>
      </c>
      <c r="BK149" s="4">
        <f t="shared" si="361"/>
        <v>30.53</v>
      </c>
      <c r="BL149" s="4">
        <f t="shared" si="362"/>
        <v>30.53</v>
      </c>
      <c r="BM149" s="4">
        <f t="shared" si="363"/>
        <v>50.8</v>
      </c>
      <c r="BN149" s="4">
        <f t="shared" si="364"/>
        <v>40.055</v>
      </c>
      <c r="BO149" s="4">
        <f t="shared" si="365"/>
        <v>1.0663937111038324</v>
      </c>
      <c r="BP149" s="25">
        <f t="shared" si="446"/>
        <v>2.2422257269429928</v>
      </c>
      <c r="BR149" s="4">
        <f t="shared" si="336"/>
        <v>24.13</v>
      </c>
      <c r="BV149" s="9"/>
      <c r="BX149" s="9"/>
      <c r="BY149" s="9"/>
      <c r="BZ149" s="9">
        <f t="shared" si="389"/>
        <v>24.13</v>
      </c>
      <c r="CA149" s="9">
        <f t="shared" si="390"/>
        <v>50.8</v>
      </c>
      <c r="CB149" s="9">
        <f t="shared" si="409"/>
        <v>1.2584243974819915</v>
      </c>
      <c r="CC149" s="9">
        <v>20</v>
      </c>
      <c r="CD149" s="9">
        <f t="shared" si="311"/>
        <v>0</v>
      </c>
      <c r="CE149" s="9">
        <f t="shared" si="410"/>
        <v>0</v>
      </c>
      <c r="CF149" s="9">
        <f t="shared" si="391"/>
        <v>1</v>
      </c>
      <c r="CG149" s="9">
        <f t="shared" si="392"/>
        <v>0.68</v>
      </c>
      <c r="CH149" s="9">
        <f t="shared" si="411"/>
        <v>1.5725150511861237</v>
      </c>
      <c r="CI149" s="9">
        <f t="shared" si="412"/>
        <v>1.9788913058202608</v>
      </c>
      <c r="CJ149" s="9">
        <v>1</v>
      </c>
      <c r="CK149" s="9">
        <f t="shared" si="413"/>
        <v>245.38252192171234</v>
      </c>
      <c r="CM149" s="4">
        <f t="shared" si="346"/>
        <v>1.0188718881271357</v>
      </c>
      <c r="CN149" s="4">
        <f t="shared" si="347"/>
        <v>1.0612072731063289</v>
      </c>
      <c r="CO149" s="4">
        <f t="shared" si="396"/>
        <v>1.6300711355971114</v>
      </c>
      <c r="CP149" s="4">
        <f t="shared" si="340"/>
        <v>2.3102564407786246</v>
      </c>
      <c r="CQ149" s="4">
        <f t="shared" si="397"/>
        <v>0.81721497365135776</v>
      </c>
      <c r="CR149" s="4">
        <f t="shared" si="398"/>
        <v>0.86568447721291919</v>
      </c>
      <c r="CS149" s="4">
        <f t="shared" si="334"/>
        <v>1.0824086965667323</v>
      </c>
      <c r="DA149" s="4">
        <f t="shared" si="400"/>
        <v>1.0188718881271357</v>
      </c>
      <c r="DB149" s="4">
        <f t="shared" si="400"/>
        <v>1.0612072731063289</v>
      </c>
      <c r="DC149" s="4">
        <f t="shared" si="401"/>
        <v>2.3102564407786246</v>
      </c>
      <c r="DD149" s="4">
        <f t="shared" si="402"/>
        <v>1.0824086965667323</v>
      </c>
      <c r="DE149" s="4">
        <f t="shared" si="403"/>
        <v>0.81721497365135776</v>
      </c>
      <c r="DF149" s="4">
        <f t="shared" si="403"/>
        <v>0.86568447721291919</v>
      </c>
      <c r="DH149" s="4">
        <f t="shared" si="368"/>
        <v>0</v>
      </c>
      <c r="DI149" s="4">
        <f t="shared" si="369"/>
        <v>304.79999999999995</v>
      </c>
      <c r="DJ149" s="4">
        <f t="shared" si="370"/>
        <v>1</v>
      </c>
      <c r="DL149" s="4">
        <f t="shared" si="371"/>
        <v>3.1342636205669919E-5</v>
      </c>
      <c r="DM149" s="4">
        <f t="shared" si="372"/>
        <v>5.9505791832145585</v>
      </c>
      <c r="DN149" s="4">
        <f t="shared" si="342"/>
        <v>0.35513525052023837</v>
      </c>
      <c r="DO149" s="4">
        <f t="shared" si="414"/>
        <v>3.9329348433703348</v>
      </c>
      <c r="DP149" s="4">
        <f t="shared" si="415"/>
        <v>5.0440869145797498</v>
      </c>
      <c r="DQ149" s="4">
        <f t="shared" si="416"/>
        <v>5.4605167584808374</v>
      </c>
      <c r="DR149" s="38">
        <f t="shared" si="447"/>
        <v>693.69329980729015</v>
      </c>
      <c r="DS149" s="4">
        <f t="shared" si="417"/>
        <v>1.0000888235071765</v>
      </c>
      <c r="DT149" s="4">
        <f t="shared" si="335"/>
        <v>2.2360679774997898</v>
      </c>
      <c r="DU149" s="4">
        <f t="shared" si="448"/>
        <v>374.14730603002448</v>
      </c>
      <c r="DY149" s="4">
        <f t="shared" si="393"/>
        <v>0.85</v>
      </c>
      <c r="DZ149" s="4">
        <f t="shared" si="418"/>
        <v>0.97333333333333327</v>
      </c>
      <c r="EA149" s="4">
        <f t="shared" si="419"/>
        <v>1</v>
      </c>
      <c r="EB149" s="4">
        <f t="shared" si="420"/>
        <v>0.97333333333333327</v>
      </c>
      <c r="ED149" s="4">
        <f t="shared" si="449"/>
        <v>654.85354843056416</v>
      </c>
      <c r="EE149" s="25">
        <f t="shared" si="450"/>
        <v>369.2257476362654</v>
      </c>
      <c r="EH149" s="4">
        <f t="shared" si="319"/>
        <v>5.9505791832145585</v>
      </c>
      <c r="EI149" s="4">
        <f t="shared" si="373"/>
        <v>5.9505791832145585</v>
      </c>
      <c r="EK149" s="4">
        <f t="shared" si="374"/>
        <v>42.597094971370993</v>
      </c>
      <c r="EL149" s="4">
        <f t="shared" si="375"/>
        <v>2.2360679774997898</v>
      </c>
      <c r="EM149" s="4">
        <f t="shared" si="376"/>
        <v>0.12830598100215107</v>
      </c>
      <c r="EP149" s="4">
        <f t="shared" si="337"/>
        <v>0.12830598100215107</v>
      </c>
      <c r="EQ149" s="4">
        <f t="shared" si="338"/>
        <v>0.35454259597533333</v>
      </c>
      <c r="ER149" s="4">
        <f t="shared" si="377"/>
        <v>3.9303081937395761</v>
      </c>
      <c r="ES149" s="4">
        <f t="shared" si="394"/>
        <v>5.0430654567129842</v>
      </c>
      <c r="ET149" s="4">
        <f t="shared" si="378"/>
        <v>186.00290502862896</v>
      </c>
      <c r="EU149" s="4">
        <f t="shared" si="379"/>
        <v>76.199999999999989</v>
      </c>
      <c r="EV149" s="4">
        <f t="shared" si="421"/>
        <v>3.1342636205669919E-5</v>
      </c>
      <c r="EW149" s="4">
        <f t="shared" si="395"/>
        <v>5.4606277865997805</v>
      </c>
      <c r="EX149" s="4">
        <f t="shared" si="380"/>
        <v>693.6316890079836</v>
      </c>
      <c r="EY149" s="4">
        <f t="shared" si="381"/>
        <v>186.00290502862896</v>
      </c>
      <c r="EZ149" s="4">
        <f t="shared" si="382"/>
        <v>76.2</v>
      </c>
      <c r="FB149" s="4">
        <f t="shared" si="343"/>
        <v>0</v>
      </c>
      <c r="FG149" s="23">
        <f t="shared" si="344"/>
        <v>1.2</v>
      </c>
      <c r="FH149" s="23">
        <f t="shared" si="344"/>
        <v>1.2</v>
      </c>
      <c r="FI149" s="23">
        <f t="shared" si="388"/>
        <v>1.2</v>
      </c>
      <c r="FJ149" s="23">
        <f t="shared" si="345"/>
        <v>2.2000000000000002</v>
      </c>
      <c r="FK149" s="23">
        <f t="shared" si="345"/>
        <v>1</v>
      </c>
      <c r="FL149" s="23">
        <f t="shared" si="345"/>
        <v>1</v>
      </c>
      <c r="FM149" s="23">
        <f t="shared" si="399"/>
        <v>0</v>
      </c>
      <c r="FN149" s="23"/>
      <c r="FX149" s="4">
        <f t="shared" si="422"/>
        <v>1.25</v>
      </c>
      <c r="FY149" s="4">
        <f t="shared" si="308"/>
        <v>0.72333333333333327</v>
      </c>
      <c r="FZ149" s="4">
        <f t="shared" si="423"/>
        <v>0</v>
      </c>
      <c r="GA149" s="4">
        <f t="shared" si="424"/>
        <v>523.73613915174963</v>
      </c>
    </row>
    <row r="150" spans="1:183" ht="12" customHeight="1" x14ac:dyDescent="0.3">
      <c r="A150" s="25">
        <v>132</v>
      </c>
      <c r="B150" s="24" t="s">
        <v>605</v>
      </c>
      <c r="C150" s="24">
        <v>2016</v>
      </c>
      <c r="D150" s="51" t="s">
        <v>293</v>
      </c>
      <c r="E150" s="24"/>
      <c r="F150" s="7" t="s">
        <v>649</v>
      </c>
      <c r="G150" s="38">
        <f t="shared" si="425"/>
        <v>826.20689655172418</v>
      </c>
      <c r="H150" s="38">
        <f t="shared" si="426"/>
        <v>304.79999999999995</v>
      </c>
      <c r="I150" s="7">
        <f t="shared" si="427"/>
        <v>304.79999999999995</v>
      </c>
      <c r="J150" s="38">
        <f>10890/145</f>
        <v>75.103448275862064</v>
      </c>
      <c r="K150" s="38">
        <f t="shared" si="429"/>
        <v>19.049999999999997</v>
      </c>
      <c r="L150" s="7">
        <f t="shared" si="430"/>
        <v>16</v>
      </c>
      <c r="M150" s="7">
        <f t="shared" si="431"/>
        <v>16</v>
      </c>
      <c r="N150" s="38">
        <f t="shared" si="451"/>
        <v>457.2</v>
      </c>
      <c r="O150" s="38">
        <f t="shared" si="432"/>
        <v>50.8</v>
      </c>
      <c r="P150" s="21">
        <f>(6-0.5-2*0.75)*25.4</f>
        <v>101.6</v>
      </c>
      <c r="Q150" s="21">
        <f>(0.5)*25.4</f>
        <v>12.7</v>
      </c>
      <c r="R150" s="38">
        <v>3</v>
      </c>
      <c r="S150" s="38">
        <f t="shared" si="433"/>
        <v>50.8</v>
      </c>
      <c r="T150" s="7">
        <f t="shared" si="434"/>
        <v>0.83333333333333337</v>
      </c>
      <c r="U150" s="7">
        <f t="shared" si="435"/>
        <v>3.166666666666667</v>
      </c>
      <c r="V150" s="38">
        <v>4</v>
      </c>
      <c r="W150" s="7">
        <f t="shared" si="436"/>
        <v>4</v>
      </c>
      <c r="X150" s="4">
        <f t="shared" si="437"/>
        <v>5</v>
      </c>
      <c r="Y150" s="7">
        <f t="shared" si="358"/>
        <v>42.597094971370993</v>
      </c>
      <c r="Z150" s="7"/>
      <c r="AA150" s="7"/>
      <c r="AB150" s="38">
        <f t="shared" si="405"/>
        <v>614.48275862068965</v>
      </c>
      <c r="AC150" s="4">
        <v>89.1</v>
      </c>
      <c r="AD150" s="7">
        <f t="shared" si="339"/>
        <v>0.81303221963079941</v>
      </c>
      <c r="AE150" s="7">
        <v>0</v>
      </c>
      <c r="AF150" s="7">
        <v>0</v>
      </c>
      <c r="AG150" s="7">
        <f t="shared" si="438"/>
        <v>304.79999999999995</v>
      </c>
      <c r="AH150" s="7"/>
      <c r="AI150" s="7"/>
      <c r="AJ150" s="7">
        <f t="shared" si="404"/>
        <v>0</v>
      </c>
      <c r="AK150" s="4">
        <f t="shared" ref="AK150:AK164" si="452">H150</f>
        <v>304.79999999999995</v>
      </c>
      <c r="AL150" s="47">
        <f t="shared" si="439"/>
        <v>0.19685039370078747</v>
      </c>
      <c r="AM150" s="25">
        <f t="shared" si="440"/>
        <v>539.3259121429644</v>
      </c>
      <c r="AN150" s="4">
        <f t="shared" si="441"/>
        <v>0.73958333333333326</v>
      </c>
      <c r="AO150" s="4">
        <v>1.25</v>
      </c>
      <c r="AP150" s="25">
        <f t="shared" si="322"/>
        <v>5</v>
      </c>
      <c r="AQ150" s="38">
        <f t="shared" si="442"/>
        <v>490.74367108235009</v>
      </c>
      <c r="AR150" s="38">
        <f t="shared" si="443"/>
        <v>490.74367108235009</v>
      </c>
      <c r="AT150" s="38">
        <f t="shared" si="444"/>
        <v>490.74367108234986</v>
      </c>
      <c r="AU150" s="38">
        <f t="shared" si="406"/>
        <v>1.0000000000000004</v>
      </c>
      <c r="AV150" s="38">
        <f t="shared" si="333"/>
        <v>1.020267167313901</v>
      </c>
      <c r="AW150" s="4">
        <f t="shared" si="328"/>
        <v>0</v>
      </c>
      <c r="AX150" s="4">
        <f t="shared" si="385"/>
        <v>729.78733210456323</v>
      </c>
      <c r="AY150" s="4">
        <f t="shared" si="386"/>
        <v>2</v>
      </c>
      <c r="AZ150" s="38">
        <f t="shared" si="445"/>
        <v>500.68965517241384</v>
      </c>
      <c r="BA150" s="4">
        <f t="shared" si="387"/>
        <v>0.44000000000000006</v>
      </c>
      <c r="BB150" s="4">
        <f t="shared" si="407"/>
        <v>167.7781076508391</v>
      </c>
      <c r="BC150" s="4">
        <f t="shared" si="408"/>
        <v>668.467762823253</v>
      </c>
      <c r="BE150" s="36">
        <f t="shared" si="317"/>
        <v>1.2083333333333333</v>
      </c>
      <c r="BF150" s="36">
        <f t="shared" si="318"/>
        <v>498.45234977879278</v>
      </c>
      <c r="BK150" s="4">
        <f t="shared" si="361"/>
        <v>12.75</v>
      </c>
      <c r="BL150" s="4">
        <f t="shared" si="362"/>
        <v>12.75</v>
      </c>
      <c r="BM150" s="4">
        <f t="shared" si="363"/>
        <v>50.8</v>
      </c>
      <c r="BN150" s="4">
        <f t="shared" si="364"/>
        <v>22.274999999999999</v>
      </c>
      <c r="BO150" s="4">
        <f t="shared" si="365"/>
        <v>1.25</v>
      </c>
      <c r="BP150" s="25">
        <f t="shared" si="446"/>
        <v>1.4616141732283467</v>
      </c>
      <c r="BR150" s="4">
        <f t="shared" si="336"/>
        <v>6.35</v>
      </c>
      <c r="BV150" s="9"/>
      <c r="BX150" s="9"/>
      <c r="BY150" s="9"/>
      <c r="BZ150" s="9">
        <f t="shared" si="389"/>
        <v>6.35</v>
      </c>
      <c r="CA150" s="9">
        <f t="shared" si="390"/>
        <v>50.8</v>
      </c>
      <c r="CB150" s="9">
        <f t="shared" si="409"/>
        <v>0.78868370996101578</v>
      </c>
      <c r="CC150" s="9">
        <v>20</v>
      </c>
      <c r="CD150" s="9">
        <f t="shared" si="311"/>
        <v>0</v>
      </c>
      <c r="CE150" s="9">
        <f t="shared" si="410"/>
        <v>0</v>
      </c>
      <c r="CF150" s="9">
        <f t="shared" si="391"/>
        <v>1</v>
      </c>
      <c r="CG150" s="9">
        <f t="shared" si="392"/>
        <v>0.68</v>
      </c>
      <c r="CH150" s="9">
        <f t="shared" si="411"/>
        <v>2.062561447360522</v>
      </c>
      <c r="CI150" s="9">
        <f t="shared" si="412"/>
        <v>1.626708614326859</v>
      </c>
      <c r="CJ150" s="9">
        <v>1</v>
      </c>
      <c r="CK150" s="9">
        <f t="shared" si="413"/>
        <v>201.71186817653052</v>
      </c>
      <c r="CM150" s="4">
        <f t="shared" si="346"/>
        <v>0.84200250071297089</v>
      </c>
      <c r="CN150" s="4">
        <f t="shared" si="347"/>
        <v>0.91924067665647879</v>
      </c>
      <c r="CO150" s="4">
        <f t="shared" si="396"/>
        <v>1.2327813458867027</v>
      </c>
      <c r="CP150" s="4">
        <f t="shared" si="340"/>
        <v>3.0463391379773341</v>
      </c>
      <c r="CQ150" s="4">
        <f t="shared" si="397"/>
        <v>0.81303221963079941</v>
      </c>
      <c r="CR150" s="4">
        <f t="shared" si="398"/>
        <v>0.84349061145916415</v>
      </c>
      <c r="CS150" s="4">
        <f t="shared" si="334"/>
        <v>1.1566380294527625</v>
      </c>
      <c r="DA150" s="4">
        <f t="shared" si="400"/>
        <v>0.84200250071297089</v>
      </c>
      <c r="DB150" s="4">
        <f t="shared" si="400"/>
        <v>0.91924067665647879</v>
      </c>
      <c r="DC150" s="4">
        <f t="shared" si="401"/>
        <v>3.0463391379773341</v>
      </c>
      <c r="DD150" s="4">
        <f t="shared" si="402"/>
        <v>1.1566380294527625</v>
      </c>
      <c r="DE150" s="4">
        <f t="shared" si="403"/>
        <v>0.81303221963079941</v>
      </c>
      <c r="DF150" s="4">
        <f t="shared" si="403"/>
        <v>0.84349061145916415</v>
      </c>
      <c r="DH150" s="4">
        <f t="shared" si="368"/>
        <v>0</v>
      </c>
      <c r="DI150" s="4">
        <f t="shared" si="369"/>
        <v>304.79999999999995</v>
      </c>
      <c r="DJ150" s="4">
        <f t="shared" si="370"/>
        <v>1</v>
      </c>
      <c r="DL150" s="4">
        <f t="shared" si="371"/>
        <v>3.807121106173361E-5</v>
      </c>
      <c r="DM150" s="4">
        <f t="shared" si="372"/>
        <v>5.0877379917756649</v>
      </c>
      <c r="DN150" s="4">
        <f t="shared" si="342"/>
        <v>0.2707582493430632</v>
      </c>
      <c r="DO150" s="4">
        <f t="shared" si="414"/>
        <v>3.0168756996773256</v>
      </c>
      <c r="DP150" s="4">
        <f t="shared" si="415"/>
        <v>4.1833021422574221</v>
      </c>
      <c r="DQ150" s="4">
        <f t="shared" si="416"/>
        <v>4.6676287655490585</v>
      </c>
      <c r="DR150" s="38">
        <f t="shared" si="447"/>
        <v>755.79139889404166</v>
      </c>
      <c r="DS150" s="4">
        <f t="shared" si="417"/>
        <v>1.000059423889732</v>
      </c>
      <c r="DT150" s="4">
        <f t="shared" si="335"/>
        <v>2.2360679774997898</v>
      </c>
      <c r="DU150" s="4">
        <f t="shared" si="448"/>
        <v>490.74367108234986</v>
      </c>
      <c r="DY150" s="4">
        <f t="shared" si="393"/>
        <v>0.85</v>
      </c>
      <c r="DZ150" s="4">
        <f t="shared" si="418"/>
        <v>1</v>
      </c>
      <c r="EA150" s="4">
        <f t="shared" si="419"/>
        <v>1</v>
      </c>
      <c r="EB150" s="4">
        <f t="shared" si="420"/>
        <v>1</v>
      </c>
      <c r="ED150" s="4">
        <f t="shared" si="449"/>
        <v>728.49982000118393</v>
      </c>
      <c r="EE150" s="25">
        <f t="shared" si="450"/>
        <v>484.28839639595202</v>
      </c>
      <c r="EH150" s="4">
        <f t="shared" si="319"/>
        <v>5.0877379917756649</v>
      </c>
      <c r="EI150" s="4">
        <f t="shared" si="373"/>
        <v>5.0877379917756649</v>
      </c>
      <c r="EK150" s="4">
        <f t="shared" si="374"/>
        <v>42.597094971370993</v>
      </c>
      <c r="EL150" s="4">
        <f t="shared" si="375"/>
        <v>2.2360679774997898</v>
      </c>
      <c r="EM150" s="4">
        <f t="shared" si="376"/>
        <v>0.1283059810021511</v>
      </c>
      <c r="EP150" s="4">
        <f t="shared" si="337"/>
        <v>0.1283059810021511</v>
      </c>
      <c r="EQ150" s="4">
        <f t="shared" si="338"/>
        <v>0.27030640428738761</v>
      </c>
      <c r="ER150" s="4">
        <f t="shared" si="377"/>
        <v>3.0148608492518321</v>
      </c>
      <c r="ES150" s="4">
        <f t="shared" si="394"/>
        <v>4.1825792372626935</v>
      </c>
      <c r="ET150" s="4">
        <f t="shared" si="378"/>
        <v>186.00290502862896</v>
      </c>
      <c r="EU150" s="4">
        <f t="shared" si="379"/>
        <v>76.199999999999989</v>
      </c>
      <c r="EV150" s="4">
        <f t="shared" si="421"/>
        <v>3.807121106173361E-5</v>
      </c>
      <c r="EW150" s="4">
        <f t="shared" si="395"/>
        <v>4.6677128627312667</v>
      </c>
      <c r="EX150" s="4">
        <f t="shared" si="380"/>
        <v>755.74648949798438</v>
      </c>
      <c r="EY150" s="4">
        <f t="shared" si="381"/>
        <v>186.00290502862896</v>
      </c>
      <c r="EZ150" s="4">
        <f t="shared" si="382"/>
        <v>76.2</v>
      </c>
      <c r="FB150" s="4">
        <f t="shared" si="343"/>
        <v>0</v>
      </c>
      <c r="FG150" s="23">
        <f t="shared" si="344"/>
        <v>1</v>
      </c>
      <c r="FH150" s="23">
        <f t="shared" si="344"/>
        <v>1</v>
      </c>
      <c r="FI150" s="23">
        <f t="shared" si="388"/>
        <v>1.2</v>
      </c>
      <c r="FJ150" s="23">
        <f t="shared" si="345"/>
        <v>2.2000000000000002</v>
      </c>
      <c r="FK150" s="23">
        <f t="shared" si="345"/>
        <v>1</v>
      </c>
      <c r="FL150" s="23">
        <f t="shared" si="345"/>
        <v>1</v>
      </c>
      <c r="FM150" s="23">
        <f t="shared" si="399"/>
        <v>0</v>
      </c>
      <c r="FN150" s="23"/>
      <c r="FX150" s="4">
        <f t="shared" si="422"/>
        <v>1.25</v>
      </c>
      <c r="FY150" s="4">
        <f t="shared" si="308"/>
        <v>0.81666666666666665</v>
      </c>
      <c r="FZ150" s="4">
        <f t="shared" si="423"/>
        <v>0</v>
      </c>
      <c r="GA150" s="4">
        <f t="shared" si="424"/>
        <v>531.26625873733246</v>
      </c>
    </row>
    <row r="151" spans="1:183" ht="12" customHeight="1" x14ac:dyDescent="0.3">
      <c r="A151" s="25">
        <v>133</v>
      </c>
      <c r="B151" s="24" t="s">
        <v>605</v>
      </c>
      <c r="C151" s="24">
        <v>2016</v>
      </c>
      <c r="D151" s="51" t="s">
        <v>293</v>
      </c>
      <c r="E151" s="24"/>
      <c r="F151" s="7" t="s">
        <v>650</v>
      </c>
      <c r="G151" s="38">
        <f t="shared" si="425"/>
        <v>826.20689655172418</v>
      </c>
      <c r="H151" s="38">
        <f t="shared" si="426"/>
        <v>304.79999999999995</v>
      </c>
      <c r="I151" s="7">
        <f t="shared" si="427"/>
        <v>304.79999999999995</v>
      </c>
      <c r="J151" s="38">
        <f t="shared" ref="J151:J152" si="453">10890/145</f>
        <v>75.103448275862064</v>
      </c>
      <c r="K151" s="38">
        <f t="shared" si="429"/>
        <v>19.049999999999997</v>
      </c>
      <c r="L151" s="7">
        <f t="shared" si="430"/>
        <v>16</v>
      </c>
      <c r="M151" s="7">
        <f t="shared" si="431"/>
        <v>16</v>
      </c>
      <c r="N151" s="38">
        <f t="shared" si="451"/>
        <v>457.2</v>
      </c>
      <c r="O151" s="38">
        <f t="shared" si="432"/>
        <v>50.8</v>
      </c>
      <c r="P151" s="21">
        <f>(5.8-1-2*0.75)*25.4</f>
        <v>83.82</v>
      </c>
      <c r="Q151" s="21">
        <f>(1)*25.4</f>
        <v>25.4</v>
      </c>
      <c r="R151" s="38">
        <v>3</v>
      </c>
      <c r="S151" s="38">
        <f t="shared" si="433"/>
        <v>50.8</v>
      </c>
      <c r="T151" s="7">
        <f t="shared" si="434"/>
        <v>1.1666666666666667</v>
      </c>
      <c r="U151" s="7">
        <f t="shared" si="435"/>
        <v>3.166666666666667</v>
      </c>
      <c r="V151" s="38">
        <v>4</v>
      </c>
      <c r="W151" s="7">
        <f t="shared" si="436"/>
        <v>4</v>
      </c>
      <c r="X151" s="4">
        <f t="shared" si="437"/>
        <v>5</v>
      </c>
      <c r="Y151" s="7">
        <f t="shared" si="358"/>
        <v>42.597094971370993</v>
      </c>
      <c r="Z151" s="7"/>
      <c r="AA151" s="7"/>
      <c r="AB151" s="38">
        <f t="shared" si="405"/>
        <v>562.06896551724139</v>
      </c>
      <c r="AC151" s="4">
        <v>81.5</v>
      </c>
      <c r="AD151" s="7">
        <f t="shared" si="339"/>
        <v>0.69659629554846381</v>
      </c>
      <c r="AE151" s="7">
        <v>0</v>
      </c>
      <c r="AF151" s="7">
        <v>0</v>
      </c>
      <c r="AG151" s="7">
        <f t="shared" si="438"/>
        <v>304.79999999999995</v>
      </c>
      <c r="AH151" s="7"/>
      <c r="AI151" s="7"/>
      <c r="AJ151" s="7">
        <f t="shared" si="404"/>
        <v>0</v>
      </c>
      <c r="AK151" s="4">
        <f t="shared" si="452"/>
        <v>304.79999999999995</v>
      </c>
      <c r="AL151" s="47">
        <f t="shared" si="439"/>
        <v>0.19685039370078747</v>
      </c>
      <c r="AM151" s="25">
        <f t="shared" si="440"/>
        <v>539.3259121429644</v>
      </c>
      <c r="AN151" s="4">
        <f t="shared" si="441"/>
        <v>0.73958333333333326</v>
      </c>
      <c r="AO151" s="4">
        <v>1.25</v>
      </c>
      <c r="AP151" s="25">
        <f t="shared" si="322"/>
        <v>5</v>
      </c>
      <c r="AQ151" s="38">
        <f t="shared" si="442"/>
        <v>490.74367108235009</v>
      </c>
      <c r="AR151" s="38">
        <f t="shared" si="443"/>
        <v>490.74367108235009</v>
      </c>
      <c r="AT151" s="38">
        <f t="shared" si="444"/>
        <v>490.74367108234986</v>
      </c>
      <c r="AU151" s="38">
        <f t="shared" si="406"/>
        <v>1.0000000000000004</v>
      </c>
      <c r="AV151" s="38">
        <f t="shared" si="333"/>
        <v>1.2039152574304033</v>
      </c>
      <c r="AW151" s="4">
        <f t="shared" si="328"/>
        <v>0</v>
      </c>
      <c r="AX151" s="4">
        <f t="shared" si="385"/>
        <v>729.78733210456323</v>
      </c>
      <c r="AY151" s="4">
        <f t="shared" si="386"/>
        <v>1.6857142857142859</v>
      </c>
      <c r="AZ151" s="38">
        <f t="shared" si="445"/>
        <v>590.81379310344835</v>
      </c>
      <c r="BA151" s="4">
        <f t="shared" si="387"/>
        <v>0.44000000000000006</v>
      </c>
      <c r="BB151" s="4">
        <f t="shared" si="407"/>
        <v>167.7781076508391</v>
      </c>
      <c r="BC151" s="4">
        <f t="shared" si="408"/>
        <v>758.59190075428751</v>
      </c>
      <c r="BE151" s="36">
        <f t="shared" si="317"/>
        <v>1.1366666666666669</v>
      </c>
      <c r="BF151" s="36">
        <f t="shared" si="318"/>
        <v>468.88896903329208</v>
      </c>
      <c r="BK151" s="4">
        <f t="shared" si="361"/>
        <v>19.100000000000001</v>
      </c>
      <c r="BL151" s="4">
        <f t="shared" si="362"/>
        <v>19.100000000000001</v>
      </c>
      <c r="BM151" s="4">
        <f t="shared" si="363"/>
        <v>50.8</v>
      </c>
      <c r="BN151" s="4">
        <f t="shared" si="364"/>
        <v>28.625</v>
      </c>
      <c r="BO151" s="4">
        <f t="shared" si="365"/>
        <v>1.1659685863874345</v>
      </c>
      <c r="BP151" s="25">
        <f t="shared" si="446"/>
        <v>1.7520131645847936</v>
      </c>
      <c r="BR151" s="4">
        <f t="shared" si="336"/>
        <v>12.7</v>
      </c>
      <c r="BV151" s="9"/>
      <c r="BX151" s="9"/>
      <c r="BY151" s="9"/>
      <c r="BZ151" s="9">
        <f t="shared" si="389"/>
        <v>12.7</v>
      </c>
      <c r="CA151" s="9">
        <f t="shared" si="390"/>
        <v>50.8</v>
      </c>
      <c r="CB151" s="9">
        <f t="shared" si="409"/>
        <v>1.0052252041243952</v>
      </c>
      <c r="CC151" s="9">
        <v>20</v>
      </c>
      <c r="CD151" s="9">
        <f t="shared" si="311"/>
        <v>0</v>
      </c>
      <c r="CE151" s="9">
        <f t="shared" si="410"/>
        <v>0</v>
      </c>
      <c r="CF151" s="9">
        <f t="shared" si="391"/>
        <v>1</v>
      </c>
      <c r="CG151" s="9">
        <f t="shared" si="392"/>
        <v>0.68</v>
      </c>
      <c r="CH151" s="9">
        <f t="shared" si="411"/>
        <v>2.062561447360522</v>
      </c>
      <c r="CI151" s="9">
        <f t="shared" si="412"/>
        <v>2.0733387519420887</v>
      </c>
      <c r="CJ151" s="9">
        <v>1</v>
      </c>
      <c r="CK151" s="9">
        <f t="shared" si="413"/>
        <v>257.094005240819</v>
      </c>
      <c r="CM151" s="4">
        <f t="shared" si="346"/>
        <v>0.77018186092151664</v>
      </c>
      <c r="CN151" s="4">
        <f t="shared" si="347"/>
        <v>0.74093720873945756</v>
      </c>
      <c r="CO151" s="4">
        <f t="shared" si="396"/>
        <v>1.1987250770178246</v>
      </c>
      <c r="CP151" s="4">
        <f t="shared" si="340"/>
        <v>2.1862390956597899</v>
      </c>
      <c r="CQ151" s="4">
        <f t="shared" si="397"/>
        <v>0.69659629554846381</v>
      </c>
      <c r="CR151" s="4">
        <f t="shared" si="398"/>
        <v>0.72336424582212799</v>
      </c>
      <c r="CS151" s="4">
        <f t="shared" si="334"/>
        <v>1.0147969426278216</v>
      </c>
      <c r="DA151" s="4">
        <f t="shared" si="400"/>
        <v>0.77018186092151664</v>
      </c>
      <c r="DB151" s="4">
        <f t="shared" si="400"/>
        <v>0.74093720873945756</v>
      </c>
      <c r="DC151" s="4">
        <f t="shared" si="401"/>
        <v>2.1862390956597899</v>
      </c>
      <c r="DD151" s="4">
        <f t="shared" si="402"/>
        <v>1.0147969426278216</v>
      </c>
      <c r="DE151" s="4">
        <f t="shared" si="403"/>
        <v>0.69659629554846381</v>
      </c>
      <c r="DF151" s="4">
        <f t="shared" si="403"/>
        <v>0.72336424582212799</v>
      </c>
      <c r="DH151" s="4">
        <f t="shared" si="368"/>
        <v>0</v>
      </c>
      <c r="DI151" s="4">
        <f t="shared" si="369"/>
        <v>304.79999999999995</v>
      </c>
      <c r="DJ151" s="4">
        <f t="shared" si="370"/>
        <v>1</v>
      </c>
      <c r="DL151" s="4">
        <f t="shared" si="371"/>
        <v>3.807121106173361E-5</v>
      </c>
      <c r="DM151" s="4">
        <f t="shared" si="372"/>
        <v>6.0985888771595622</v>
      </c>
      <c r="DN151" s="4">
        <f t="shared" si="342"/>
        <v>0.2707582493430632</v>
      </c>
      <c r="DO151" s="4">
        <f t="shared" si="414"/>
        <v>3.6162798901135647</v>
      </c>
      <c r="DP151" s="4">
        <f t="shared" si="415"/>
        <v>5.0144563174851866</v>
      </c>
      <c r="DQ151" s="4">
        <f t="shared" si="416"/>
        <v>5.4966973614584278</v>
      </c>
      <c r="DR151" s="38">
        <f t="shared" si="447"/>
        <v>806.87906196041058</v>
      </c>
      <c r="DS151" s="4">
        <f t="shared" si="417"/>
        <v>1.0000663306694051</v>
      </c>
      <c r="DT151" s="4">
        <f t="shared" si="335"/>
        <v>2.2360679774997898</v>
      </c>
      <c r="DU151" s="4">
        <f t="shared" si="448"/>
        <v>490.74367108234986</v>
      </c>
      <c r="DY151" s="4">
        <f t="shared" si="393"/>
        <v>0.85</v>
      </c>
      <c r="DZ151" s="4">
        <f t="shared" si="418"/>
        <v>1</v>
      </c>
      <c r="EA151" s="4">
        <f t="shared" si="419"/>
        <v>1</v>
      </c>
      <c r="EB151" s="4">
        <f t="shared" si="420"/>
        <v>1</v>
      </c>
      <c r="ED151" s="4">
        <f t="shared" si="449"/>
        <v>777.02066249961103</v>
      </c>
      <c r="EE151" s="25">
        <f t="shared" si="450"/>
        <v>484.28839639595202</v>
      </c>
      <c r="EH151" s="4">
        <f t="shared" si="319"/>
        <v>6.0985888771595622</v>
      </c>
      <c r="EI151" s="4">
        <f t="shared" si="373"/>
        <v>6.0985888771595622</v>
      </c>
      <c r="EK151" s="4">
        <f t="shared" si="374"/>
        <v>42.597094971370993</v>
      </c>
      <c r="EL151" s="4">
        <f t="shared" si="375"/>
        <v>2.2360679774997898</v>
      </c>
      <c r="EM151" s="4">
        <f t="shared" si="376"/>
        <v>0.1283059810021511</v>
      </c>
      <c r="EP151" s="4">
        <f t="shared" si="337"/>
        <v>0.1283059810021511</v>
      </c>
      <c r="EQ151" s="4">
        <f t="shared" si="338"/>
        <v>0.27030640428738761</v>
      </c>
      <c r="ER151" s="4">
        <f t="shared" si="377"/>
        <v>3.6138647216410691</v>
      </c>
      <c r="ES151" s="4">
        <f t="shared" si="394"/>
        <v>5.0135897830120628</v>
      </c>
      <c r="ET151" s="4">
        <f t="shared" si="378"/>
        <v>186.00290502862896</v>
      </c>
      <c r="EU151" s="4">
        <f t="shared" si="379"/>
        <v>76.199999999999989</v>
      </c>
      <c r="EV151" s="4">
        <f t="shared" si="421"/>
        <v>3.807121106173361E-5</v>
      </c>
      <c r="EW151" s="4">
        <f t="shared" si="395"/>
        <v>5.4968178476970175</v>
      </c>
      <c r="EX151" s="4">
        <f t="shared" si="380"/>
        <v>806.82554468193871</v>
      </c>
      <c r="EY151" s="4">
        <f t="shared" si="381"/>
        <v>186.00290502862896</v>
      </c>
      <c r="EZ151" s="4">
        <f t="shared" si="382"/>
        <v>76.2</v>
      </c>
      <c r="FB151" s="4">
        <f t="shared" si="343"/>
        <v>0</v>
      </c>
      <c r="FG151" s="23">
        <f t="shared" si="344"/>
        <v>0.8</v>
      </c>
      <c r="FH151" s="23">
        <f t="shared" si="344"/>
        <v>0.8</v>
      </c>
      <c r="FI151" s="23">
        <f t="shared" si="388"/>
        <v>1.2</v>
      </c>
      <c r="FJ151" s="23">
        <f t="shared" si="345"/>
        <v>2.2000000000000002</v>
      </c>
      <c r="FK151" s="23">
        <f t="shared" si="345"/>
        <v>0.8</v>
      </c>
      <c r="FL151" s="23">
        <f t="shared" si="345"/>
        <v>0.8</v>
      </c>
      <c r="FM151" s="23">
        <f t="shared" si="399"/>
        <v>1</v>
      </c>
      <c r="FN151" s="23"/>
      <c r="FX151" s="4">
        <f t="shared" si="422"/>
        <v>1.25</v>
      </c>
      <c r="FY151" s="4">
        <f t="shared" si="308"/>
        <v>0.78333333333333333</v>
      </c>
      <c r="FZ151" s="4">
        <f t="shared" si="423"/>
        <v>0</v>
      </c>
      <c r="GA151" s="4">
        <f t="shared" si="424"/>
        <v>553.873333577219</v>
      </c>
    </row>
    <row r="152" spans="1:183" ht="12" customHeight="1" x14ac:dyDescent="0.3">
      <c r="A152" s="25">
        <v>134</v>
      </c>
      <c r="B152" s="24" t="s">
        <v>605</v>
      </c>
      <c r="C152" s="24">
        <v>2016</v>
      </c>
      <c r="D152" s="51" t="s">
        <v>293</v>
      </c>
      <c r="E152" s="24"/>
      <c r="F152" s="7" t="s">
        <v>651</v>
      </c>
      <c r="G152" s="38">
        <f t="shared" si="425"/>
        <v>826.20689655172418</v>
      </c>
      <c r="H152" s="38">
        <f t="shared" si="426"/>
        <v>304.79999999999995</v>
      </c>
      <c r="I152" s="7">
        <f t="shared" si="427"/>
        <v>304.79999999999995</v>
      </c>
      <c r="J152" s="38">
        <f t="shared" si="453"/>
        <v>75.103448275862064</v>
      </c>
      <c r="K152" s="38">
        <f t="shared" si="429"/>
        <v>19.049999999999997</v>
      </c>
      <c r="L152" s="7">
        <f t="shared" si="430"/>
        <v>16</v>
      </c>
      <c r="M152" s="7">
        <f t="shared" si="431"/>
        <v>16</v>
      </c>
      <c r="N152" s="38">
        <f t="shared" si="451"/>
        <v>457.2</v>
      </c>
      <c r="O152" s="38">
        <f t="shared" si="432"/>
        <v>50.8</v>
      </c>
      <c r="P152" s="21">
        <f>(5.3-1.9-2*0.75)*25.4</f>
        <v>48.26</v>
      </c>
      <c r="Q152" s="21">
        <f>(1.9)*25.4</f>
        <v>48.26</v>
      </c>
      <c r="R152" s="38">
        <v>3</v>
      </c>
      <c r="S152" s="38">
        <f t="shared" si="433"/>
        <v>50.8</v>
      </c>
      <c r="T152" s="7">
        <f t="shared" si="434"/>
        <v>1.7666666666666668</v>
      </c>
      <c r="U152" s="7">
        <f t="shared" si="435"/>
        <v>3.166666666666667</v>
      </c>
      <c r="V152" s="38">
        <v>4</v>
      </c>
      <c r="W152" s="7">
        <f t="shared" si="436"/>
        <v>4</v>
      </c>
      <c r="X152" s="4">
        <f t="shared" si="437"/>
        <v>5</v>
      </c>
      <c r="Y152" s="7">
        <f t="shared" si="358"/>
        <v>42.597094971370993</v>
      </c>
      <c r="Z152" s="7"/>
      <c r="AA152" s="7"/>
      <c r="AB152" s="38">
        <f t="shared" si="405"/>
        <v>621.37931034482756</v>
      </c>
      <c r="AC152" s="4">
        <v>90.1</v>
      </c>
      <c r="AD152" s="7">
        <f t="shared" si="339"/>
        <v>0.75208681135225364</v>
      </c>
      <c r="AE152" s="7">
        <v>0</v>
      </c>
      <c r="AF152" s="7">
        <v>0</v>
      </c>
      <c r="AG152" s="7">
        <f t="shared" si="438"/>
        <v>304.79999999999995</v>
      </c>
      <c r="AH152" s="7"/>
      <c r="AI152" s="7"/>
      <c r="AJ152" s="7">
        <f t="shared" si="404"/>
        <v>0</v>
      </c>
      <c r="AK152" s="4">
        <f t="shared" si="452"/>
        <v>304.79999999999995</v>
      </c>
      <c r="AL152" s="47">
        <f t="shared" si="439"/>
        <v>0.19685039370078747</v>
      </c>
      <c r="AM152" s="25">
        <f t="shared" si="440"/>
        <v>539.3259121429644</v>
      </c>
      <c r="AN152" s="4">
        <f t="shared" si="441"/>
        <v>0.73958333333333326</v>
      </c>
      <c r="AO152" s="4">
        <v>1.25</v>
      </c>
      <c r="AP152" s="25">
        <f t="shared" si="322"/>
        <v>5</v>
      </c>
      <c r="AQ152" s="38">
        <f t="shared" si="442"/>
        <v>490.74367108235009</v>
      </c>
      <c r="AR152" s="38">
        <f t="shared" si="443"/>
        <v>490.74367108235009</v>
      </c>
      <c r="AT152" s="38">
        <f t="shared" si="444"/>
        <v>490.74367108234986</v>
      </c>
      <c r="AU152" s="38">
        <f t="shared" si="406"/>
        <v>1.0000000000000004</v>
      </c>
      <c r="AV152" s="38">
        <f t="shared" si="333"/>
        <v>1.4242929655702057</v>
      </c>
      <c r="AW152" s="4">
        <f t="shared" si="328"/>
        <v>0</v>
      </c>
      <c r="AX152" s="4">
        <f t="shared" si="385"/>
        <v>729.78733210456323</v>
      </c>
      <c r="AY152" s="4">
        <f t="shared" si="386"/>
        <v>1.3169811320754716</v>
      </c>
      <c r="AZ152" s="38">
        <f t="shared" si="445"/>
        <v>698.96275862068967</v>
      </c>
      <c r="BA152" s="4">
        <f t="shared" si="387"/>
        <v>0.44000000000000006</v>
      </c>
      <c r="BB152" s="4">
        <f t="shared" si="407"/>
        <v>167.7781076508391</v>
      </c>
      <c r="BC152" s="4">
        <f t="shared" si="408"/>
        <v>866.74086627152883</v>
      </c>
      <c r="BE152" s="36">
        <f t="shared" si="317"/>
        <v>1.1057894736842107</v>
      </c>
      <c r="BF152" s="36">
        <f t="shared" si="318"/>
        <v>456.15174746362703</v>
      </c>
      <c r="BK152" s="4">
        <f t="shared" si="361"/>
        <v>30.53</v>
      </c>
      <c r="BL152" s="4">
        <f t="shared" si="362"/>
        <v>30.53</v>
      </c>
      <c r="BM152" s="4">
        <f t="shared" si="363"/>
        <v>50.8</v>
      </c>
      <c r="BN152" s="4">
        <f t="shared" si="364"/>
        <v>40.055</v>
      </c>
      <c r="BO152" s="4">
        <f t="shared" si="365"/>
        <v>1.0663937111038324</v>
      </c>
      <c r="BP152" s="25">
        <f t="shared" si="446"/>
        <v>2.2422257269429928</v>
      </c>
      <c r="BR152" s="4">
        <f t="shared" si="336"/>
        <v>24.13</v>
      </c>
      <c r="BV152" s="9"/>
      <c r="BX152" s="9"/>
      <c r="BY152" s="9"/>
      <c r="BZ152" s="9">
        <f t="shared" si="389"/>
        <v>24.13</v>
      </c>
      <c r="CA152" s="9">
        <f t="shared" si="390"/>
        <v>50.8</v>
      </c>
      <c r="CB152" s="9">
        <f t="shared" si="409"/>
        <v>1.2584243974819915</v>
      </c>
      <c r="CC152" s="9">
        <v>20</v>
      </c>
      <c r="CD152" s="9">
        <f t="shared" si="311"/>
        <v>0</v>
      </c>
      <c r="CE152" s="9">
        <f t="shared" si="410"/>
        <v>0</v>
      </c>
      <c r="CF152" s="9">
        <f t="shared" si="391"/>
        <v>1</v>
      </c>
      <c r="CG152" s="9">
        <f t="shared" si="392"/>
        <v>0.68</v>
      </c>
      <c r="CH152" s="9">
        <f t="shared" si="411"/>
        <v>2.062561447360522</v>
      </c>
      <c r="CI152" s="9">
        <f t="shared" si="412"/>
        <v>2.5955776466642493</v>
      </c>
      <c r="CJ152" s="9">
        <v>1</v>
      </c>
      <c r="CK152" s="9">
        <f t="shared" si="413"/>
        <v>321.85162818636695</v>
      </c>
      <c r="CM152" s="4">
        <f t="shared" si="346"/>
        <v>0.85145258489605702</v>
      </c>
      <c r="CN152" s="4">
        <f t="shared" si="347"/>
        <v>0.7169147487158688</v>
      </c>
      <c r="CO152" s="4">
        <f t="shared" si="396"/>
        <v>1.362220607067554</v>
      </c>
      <c r="CP152" s="4">
        <f t="shared" si="340"/>
        <v>1.9306390147730439</v>
      </c>
      <c r="CQ152" s="4">
        <f t="shared" si="397"/>
        <v>0.75208681135225364</v>
      </c>
      <c r="CR152" s="4">
        <f t="shared" si="398"/>
        <v>0.75208681135225364</v>
      </c>
      <c r="CS152" s="4">
        <f t="shared" si="334"/>
        <v>1.0359485906892771</v>
      </c>
      <c r="DA152" s="4">
        <f t="shared" si="400"/>
        <v>0.85145258489605702</v>
      </c>
      <c r="DB152" s="4">
        <f t="shared" si="400"/>
        <v>0.7169147487158688</v>
      </c>
      <c r="DC152" s="4">
        <f t="shared" si="401"/>
        <v>1.9306390147730439</v>
      </c>
      <c r="DD152" s="4">
        <f t="shared" si="402"/>
        <v>1.0359485906892771</v>
      </c>
      <c r="DE152" s="4">
        <f t="shared" si="403"/>
        <v>0.75208681135225364</v>
      </c>
      <c r="DF152" s="4">
        <f t="shared" si="403"/>
        <v>0.75208681135225364</v>
      </c>
      <c r="DH152" s="4">
        <f t="shared" si="368"/>
        <v>0</v>
      </c>
      <c r="DI152" s="4">
        <f t="shared" si="369"/>
        <v>304.79999999999995</v>
      </c>
      <c r="DJ152" s="4">
        <f t="shared" si="370"/>
        <v>1</v>
      </c>
      <c r="DL152" s="4">
        <f t="shared" si="371"/>
        <v>3.807121106173361E-5</v>
      </c>
      <c r="DM152" s="4">
        <f t="shared" si="372"/>
        <v>7.8049715349349125</v>
      </c>
      <c r="DN152" s="4">
        <f t="shared" si="342"/>
        <v>0.2707582493430632</v>
      </c>
      <c r="DO152" s="4">
        <f t="shared" si="414"/>
        <v>4.6281135149808286</v>
      </c>
      <c r="DP152" s="4">
        <f t="shared" si="415"/>
        <v>6.4174991312703371</v>
      </c>
      <c r="DQ152" s="4">
        <f t="shared" si="416"/>
        <v>6.8239133200440145</v>
      </c>
      <c r="DR152" s="38">
        <f t="shared" si="447"/>
        <v>826.20689655172418</v>
      </c>
      <c r="DS152" s="4">
        <f t="shared" si="417"/>
        <v>1</v>
      </c>
      <c r="DT152" s="4">
        <f t="shared" si="335"/>
        <v>2.2360679774997898</v>
      </c>
      <c r="DU152" s="4">
        <f t="shared" si="448"/>
        <v>490.74367108234986</v>
      </c>
      <c r="DY152" s="4">
        <f t="shared" si="393"/>
        <v>0.85</v>
      </c>
      <c r="DZ152" s="4">
        <f t="shared" si="418"/>
        <v>0.97333333333333327</v>
      </c>
      <c r="EA152" s="4">
        <f t="shared" si="419"/>
        <v>1</v>
      </c>
      <c r="EB152" s="4">
        <f t="shared" si="420"/>
        <v>0.97333333333333327</v>
      </c>
      <c r="ED152" s="4">
        <f t="shared" si="449"/>
        <v>826.20689655172418</v>
      </c>
      <c r="EE152" s="25">
        <f t="shared" si="450"/>
        <v>484.28839639595202</v>
      </c>
      <c r="EH152" s="4">
        <f t="shared" si="319"/>
        <v>7.8049715349349125</v>
      </c>
      <c r="EI152" s="4">
        <f t="shared" si="373"/>
        <v>7.8049715349349125</v>
      </c>
      <c r="EK152" s="4">
        <f t="shared" si="374"/>
        <v>42.597094971370993</v>
      </c>
      <c r="EL152" s="4">
        <f t="shared" si="375"/>
        <v>2.2360679774997898</v>
      </c>
      <c r="EM152" s="4">
        <f t="shared" si="376"/>
        <v>0.1283059810021511</v>
      </c>
      <c r="EP152" s="4">
        <f t="shared" si="337"/>
        <v>0.1283059810021511</v>
      </c>
      <c r="EQ152" s="4">
        <f t="shared" si="338"/>
        <v>0.27030640428738761</v>
      </c>
      <c r="ER152" s="4">
        <f t="shared" si="377"/>
        <v>4.6250225833637622</v>
      </c>
      <c r="ES152" s="4">
        <f t="shared" si="394"/>
        <v>6.4163901408082813</v>
      </c>
      <c r="ET152" s="4">
        <f t="shared" si="378"/>
        <v>186.00290502862896</v>
      </c>
      <c r="EU152" s="4">
        <f t="shared" si="379"/>
        <v>76.199999999999989</v>
      </c>
      <c r="EV152" s="4">
        <f t="shared" si="421"/>
        <v>3.807121106173361E-5</v>
      </c>
      <c r="EW152" s="4">
        <f t="shared" si="395"/>
        <v>6.824109707617299</v>
      </c>
      <c r="EX152" s="4">
        <f t="shared" si="380"/>
        <v>826.20689655172418</v>
      </c>
      <c r="EY152" s="4">
        <f t="shared" si="381"/>
        <v>186.00290502862896</v>
      </c>
      <c r="EZ152" s="4">
        <f t="shared" si="382"/>
        <v>76.2</v>
      </c>
      <c r="FB152" s="4">
        <f t="shared" si="343"/>
        <v>0</v>
      </c>
      <c r="FG152" s="23">
        <f t="shared" si="344"/>
        <v>1</v>
      </c>
      <c r="FH152" s="23">
        <f t="shared" si="344"/>
        <v>0.8</v>
      </c>
      <c r="FI152" s="23">
        <f t="shared" si="388"/>
        <v>1.2</v>
      </c>
      <c r="FJ152" s="23">
        <f t="shared" si="345"/>
        <v>2</v>
      </c>
      <c r="FK152" s="23">
        <f t="shared" si="345"/>
        <v>0.8</v>
      </c>
      <c r="FL152" s="23">
        <f t="shared" si="345"/>
        <v>0.8</v>
      </c>
      <c r="FM152" s="23">
        <f t="shared" si="399"/>
        <v>1</v>
      </c>
      <c r="FN152" s="23"/>
      <c r="FX152" s="4">
        <f t="shared" si="422"/>
        <v>1.25</v>
      </c>
      <c r="FY152" s="4">
        <f t="shared" si="308"/>
        <v>0.72333333333333327</v>
      </c>
      <c r="FZ152" s="4">
        <f t="shared" si="423"/>
        <v>0</v>
      </c>
      <c r="GA152" s="4">
        <f t="shared" si="424"/>
        <v>599.81674373569797</v>
      </c>
    </row>
    <row r="153" spans="1:183" ht="12" customHeight="1" x14ac:dyDescent="0.3">
      <c r="A153" s="25">
        <v>135</v>
      </c>
      <c r="B153" s="24" t="s">
        <v>659</v>
      </c>
      <c r="C153" s="24">
        <v>2007</v>
      </c>
      <c r="D153" s="24" t="s">
        <v>309</v>
      </c>
      <c r="E153" s="24"/>
      <c r="F153" s="4" t="s">
        <v>112</v>
      </c>
      <c r="G153" s="7">
        <v>447.7</v>
      </c>
      <c r="H153" s="7">
        <v>888</v>
      </c>
      <c r="I153" s="7">
        <f>H153</f>
        <v>888</v>
      </c>
      <c r="J153" s="7">
        <v>24.2</v>
      </c>
      <c r="K153" s="37">
        <v>57.3</v>
      </c>
      <c r="L153" s="7">
        <f t="shared" ref="L153:L164" si="454">H153/K153</f>
        <v>15.497382198952881</v>
      </c>
      <c r="M153" s="7">
        <f t="shared" ref="M153:M164" si="455">I153/K153</f>
        <v>15.497382198952881</v>
      </c>
      <c r="N153" s="7">
        <v>350</v>
      </c>
      <c r="O153" s="7">
        <f t="shared" ref="O153:O164" si="456">(N153-K153)/2</f>
        <v>146.35</v>
      </c>
      <c r="P153" s="7">
        <f>958-20-I153</f>
        <v>50</v>
      </c>
      <c r="Q153" s="7">
        <v>0</v>
      </c>
      <c r="R153" s="7">
        <v>1</v>
      </c>
      <c r="S153" s="7">
        <f>958-105</f>
        <v>853</v>
      </c>
      <c r="T153" s="7">
        <f>O153/K153+0.5</f>
        <v>3.0541012216404888</v>
      </c>
      <c r="U153" s="7">
        <f>O153/K153+0.5</f>
        <v>3.0541012216404888</v>
      </c>
      <c r="V153" s="7">
        <f>10324/2581</f>
        <v>4</v>
      </c>
      <c r="W153" s="7">
        <f>10324/2581</f>
        <v>4</v>
      </c>
      <c r="X153" s="7">
        <f t="shared" ref="X153:X164" si="457">W153+1</f>
        <v>5</v>
      </c>
      <c r="Y153" s="7">
        <f t="shared" ref="Y153:Y164" si="458">K153*X153^0.5</f>
        <v>128.12669511073796</v>
      </c>
      <c r="Z153" s="7">
        <f>G153</f>
        <v>447.7</v>
      </c>
      <c r="AA153" s="7">
        <v>20</v>
      </c>
      <c r="AB153" s="7"/>
      <c r="AC153" s="32" t="s">
        <v>183</v>
      </c>
      <c r="AD153" s="7"/>
      <c r="AE153" s="7">
        <v>0</v>
      </c>
      <c r="AF153" s="7">
        <v>0</v>
      </c>
      <c r="AG153" s="7">
        <f t="shared" si="438"/>
        <v>888</v>
      </c>
      <c r="AH153" s="7"/>
      <c r="AI153" s="7"/>
      <c r="AJ153" s="7"/>
      <c r="AK153" s="4">
        <f t="shared" si="452"/>
        <v>888</v>
      </c>
      <c r="AL153" s="4">
        <f t="shared" ref="AL153:AL164" si="459">MIN(9*H153^2,N153*3*H153)/(9*H153^2)</f>
        <v>0.13138138138138139</v>
      </c>
      <c r="AM153" s="4">
        <f t="shared" ref="AM153:AM164" si="460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25">
        <v>1</v>
      </c>
      <c r="AQ153" s="38">
        <f>AL153*AN153*AO153*AP153*AM153</f>
        <v>61.299898558592346</v>
      </c>
      <c r="AT153" s="38">
        <f t="shared" ref="AT153:AT215" si="461">AP153* (J153^0.5/AK153^0.5)/(PI()/4*K153^2)/R153/0.72 *(0.7+(MIN(O153,S153)+0.5*K153)/5/H153) *(3*N153*H153)</f>
        <v>61.299898558592375</v>
      </c>
      <c r="AU153" s="38">
        <f t="shared" si="406"/>
        <v>0.99999999999999956</v>
      </c>
      <c r="AV153" s="38">
        <f t="shared" ref="AV153:AV215" si="462">AZ153/AT153</f>
        <v>4.8227975120092603</v>
      </c>
      <c r="AW153" s="4">
        <f t="shared" ref="AW153:AW215" si="463">IF(AV153&lt;1,1,0)</f>
        <v>0</v>
      </c>
      <c r="AX153" s="4">
        <f t="shared" ref="AX153:AX164" si="464">I153/K153*J153^0.5/0.19</f>
        <v>401.24757975967572</v>
      </c>
      <c r="AY153" s="4">
        <f t="shared" si="386"/>
        <v>1</v>
      </c>
      <c r="AZ153" s="38">
        <f t="shared" ref="AZ153:AZ216" si="465">2*J153*T153*V153^0.5*AY153*0.7/0.7</f>
        <v>295.63699825479932</v>
      </c>
      <c r="BA153" s="4">
        <f t="shared" ref="BA153:BA164" si="466">MAX(1-0.7*W153/5,0.3)</f>
        <v>0.44000000000000006</v>
      </c>
      <c r="BB153" s="4">
        <f t="shared" ref="BB153:BB164" si="467">BA153*G153*I153/(G153*K153/2.75/J153^0.5)</f>
        <v>92.246818586749441</v>
      </c>
      <c r="BC153" s="4">
        <f t="shared" ref="BC153:BC164" si="468">AZ153+BB153</f>
        <v>387.88381684154876</v>
      </c>
      <c r="BE153" s="4">
        <f t="shared" ref="BE153:BE213" si="469">MIN(1.5, 0.75+0.25*MIN(3,MAX(1,O153/K153))+0.4*MIN(1,(40*2*PI()*AE153^2/4/AG153/R153)/K153))</f>
        <v>1.3885253054101221</v>
      </c>
      <c r="BF153" s="4">
        <f t="shared" ref="BF153:BF213" si="470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K153" s="4">
        <f t="shared" ref="BK153:BK165" si="471">IF(R153=1,O153,MIN(O153,Q153/2+6.4))</f>
        <v>146.35</v>
      </c>
      <c r="BL153" s="4">
        <f t="shared" ref="BL153:BL165" si="472">MIN(S153,BK153)</f>
        <v>146.35</v>
      </c>
      <c r="BM153" s="4">
        <f t="shared" ref="BM153:BM165" si="473">MAX(S153,BK153)</f>
        <v>853</v>
      </c>
      <c r="BN153" s="4">
        <f t="shared" ref="BN153:BN165" si="474">BL153+K153/2</f>
        <v>175</v>
      </c>
      <c r="BO153" s="4">
        <f t="shared" ref="BO153:BO165" si="475">MIN(1.25, 0.1*BM153/BL153+0.9)</f>
        <v>1.25</v>
      </c>
      <c r="BP153" s="25">
        <f t="shared" ref="BP153:BP165" si="476">MIN(4, (BN153*BO153+(6*J153^0.5*(0.03*K153+0.22)*(AE153^2/4*PI())*2/AG153/R153))/K153)</f>
        <v>3.8176265270506109</v>
      </c>
      <c r="BR153" s="4">
        <f t="shared" ref="BR153:BR164" si="477">IF(Q153=0,O153,MIN(Q153/2,O153))</f>
        <v>146.35</v>
      </c>
      <c r="BV153" s="9"/>
      <c r="BX153" s="9"/>
      <c r="BY153" s="9"/>
      <c r="BZ153" s="9">
        <f t="shared" ref="BZ153:BZ164" si="478">IF(Q153=0,MIN(O153,P153),MIN(Q153/2,O153,P153))</f>
        <v>50</v>
      </c>
      <c r="CA153" s="9">
        <f t="shared" ref="CA153:CA164" si="479">MAX(Q153/2,O153)</f>
        <v>146.35</v>
      </c>
      <c r="CB153" s="9">
        <f t="shared" ref="CB153:CB215" si="480">(BZ153/K153)^0.5*(CA153/BZ153)^0.15</f>
        <v>1.0974155243334465</v>
      </c>
      <c r="CC153" s="9">
        <v>0</v>
      </c>
      <c r="CD153" s="9">
        <f t="shared" ref="CD153:CD164" si="481">MIN(PI()*AE153^2/4*AF153*2/R153/K153/MAX(0.01,AG153),0.05)</f>
        <v>0</v>
      </c>
      <c r="CE153" s="9">
        <f t="shared" ref="CE153:CE164" si="482">MAX(0,CC153*(CD153-0.5/50))</f>
        <v>0</v>
      </c>
      <c r="CF153" s="9">
        <f t="shared" ref="CF153:CF164" si="483">MIN(1,(25/K153)^0.3)</f>
        <v>0.77971450958075206</v>
      </c>
      <c r="CG153" s="9">
        <f t="shared" ref="CG153:CG164" si="484">IF(G153&gt;=800,0.68,IF(G153&gt;=700,0.75-(G153-700)*0.07/100,IF(G153&gt;=600,0.85-(G153-600)*0.1/100,IF(G153&gt;=500,1-(G153-500)*0.15/100,1.2-(G153-400)*0.2/100))))</f>
        <v>1.1046</v>
      </c>
      <c r="CH153" s="9">
        <f t="shared" ref="CH153:CH215" si="485">1.75*CF153*CG153*(J153/25)^0.5</f>
        <v>1.4829154235940361</v>
      </c>
      <c r="CI153" s="9">
        <f t="shared" ref="CI153:CI215" si="486">MIN((CB153+CE153)*CH153,2.5*CH153,J153^0.5)</f>
        <v>1.627374407125604</v>
      </c>
      <c r="CJ153" s="9">
        <v>1</v>
      </c>
      <c r="CK153" s="9">
        <f t="shared" ref="CK153:CK215" si="487">4*CI153*M153+60*CI153</f>
        <v>198.52263709961557</v>
      </c>
      <c r="DH153" s="4">
        <f t="shared" si="368"/>
        <v>0</v>
      </c>
      <c r="DI153" s="4">
        <f t="shared" ref="DI153:DI164" si="488">I153</f>
        <v>888</v>
      </c>
      <c r="DL153" s="4">
        <f t="shared" si="371"/>
        <v>2.6516412632020574E-5</v>
      </c>
      <c r="DM153" s="4">
        <f t="shared" si="372"/>
        <v>4.7853498859682935</v>
      </c>
      <c r="DR153" s="38">
        <f t="shared" si="447"/>
        <v>61.299898558592375</v>
      </c>
      <c r="DS153" s="4">
        <f t="shared" si="417"/>
        <v>0.20373398091093661</v>
      </c>
      <c r="DU153" s="4">
        <f t="shared" si="448"/>
        <v>61.299898558592375</v>
      </c>
      <c r="DY153" s="4">
        <f t="shared" ref="DY153:DY164" si="489">IF(P153&gt;1*K153,0.85,1)</f>
        <v>1</v>
      </c>
      <c r="DZ153" s="4">
        <f t="shared" ref="DZ153:DZ164" si="490">MIN(1,MAX(0.7,(1-0.1*(BR153-1*K153)/K153)))</f>
        <v>0.84458987783595108</v>
      </c>
      <c r="EA153" s="4">
        <f t="shared" ref="EA153:EA164" si="491">MIN(1,MAX(0.7,1-0.3*(PI()*AE153^2/4*AF153*2-0.25*PI()/4*K153^2)/(PI()/4*K153^2)))</f>
        <v>1</v>
      </c>
      <c r="EB153" s="4">
        <f t="shared" ref="EB153:EB164" si="492">IF(DZ153*EA153&lt;0.7,0.7,DZ153*EA153)</f>
        <v>0.84458987783595108</v>
      </c>
      <c r="EE153" s="25">
        <f t="shared" ref="EE153:EE164" si="493">13.3*N153*H153^0.5*J153^0.5/R153/K153^2*(0.7+O153/5/H153)</f>
        <v>152.33717440824648</v>
      </c>
      <c r="EH153" s="4">
        <f t="shared" ref="EH153:EH164" si="494">IF(K153&lt;22.2,1.1*5*(J153/30)^0.5,IF(K153&gt;=31.8,0.9*5*(J153/30)^0.5,1*5*(J153/30)^0.5))/EB153/DY153</f>
        <v>4.7853498859682935</v>
      </c>
      <c r="EK153" s="4">
        <f t="shared" si="374"/>
        <v>128.12669511073796</v>
      </c>
      <c r="EL153" s="4">
        <f t="shared" si="375"/>
        <v>2.2360679774997898</v>
      </c>
      <c r="EM153" s="4">
        <f t="shared" si="376"/>
        <v>8.4924666039829386E-2</v>
      </c>
      <c r="EP153" s="4">
        <f t="shared" ref="EP153:EP164" si="495">EM153</f>
        <v>8.4924666039829386E-2</v>
      </c>
      <c r="EQ153" s="4">
        <f t="shared" ref="EQ153:EQ215" si="496">MIN(0.999, EP153/(0.3*(J153/30)^0.5))</f>
        <v>0.31518499753613483</v>
      </c>
      <c r="ER153" s="4">
        <f t="shared" si="377"/>
        <v>3.0153651565646373</v>
      </c>
      <c r="ES153" s="4">
        <f t="shared" ref="ES153:ES164" si="497">EH153/1.4*(1-EQ153^1.4)/(1-EQ153)</f>
        <v>3.9999874968613209</v>
      </c>
      <c r="ET153" s="4">
        <f t="shared" si="378"/>
        <v>537.87330488926204</v>
      </c>
      <c r="EU153" s="4">
        <f t="shared" si="379"/>
        <v>222</v>
      </c>
      <c r="EV153" s="4">
        <f t="shared" ref="EV153:EV215" si="498">EU153/(1-0.3*(J153/30)^0.5)/200000/K153</f>
        <v>2.6516412632020574E-5</v>
      </c>
      <c r="EW153" s="4">
        <f t="shared" ref="EW153:EW164" si="499">MAX(0.5*EH153, (1-2*EV153*(EK153*ER153+ET153*ES153))/(1/EH153+EV153*EU153))</f>
        <v>4.0278338019438173</v>
      </c>
      <c r="EX153" s="4">
        <f>MIN(4/K153*(1*ER153*EK153+ES153*ET153+EU153*EW153)+DU153,MAX(G153,AB153))</f>
        <v>300.88205357058206</v>
      </c>
      <c r="FG153" s="23"/>
      <c r="FH153" s="23"/>
      <c r="FI153" s="23"/>
      <c r="FJ153" s="23"/>
      <c r="FK153" s="23"/>
      <c r="FL153" s="23"/>
      <c r="FM153" s="23"/>
      <c r="FN153" s="23"/>
      <c r="FX153" s="4">
        <f t="shared" si="422"/>
        <v>1</v>
      </c>
      <c r="FY153" s="4">
        <f t="shared" si="308"/>
        <v>0.85000000000000009</v>
      </c>
      <c r="FZ153" s="4">
        <f t="shared" si="423"/>
        <v>0</v>
      </c>
      <c r="GA153" s="4">
        <f t="shared" si="424"/>
        <v>268.46987681572057</v>
      </c>
    </row>
    <row r="154" spans="1:183" ht="12" customHeight="1" x14ac:dyDescent="0.3">
      <c r="A154" s="25">
        <v>136</v>
      </c>
      <c r="B154" s="24" t="s">
        <v>659</v>
      </c>
      <c r="C154" s="24">
        <v>2007</v>
      </c>
      <c r="D154" s="24" t="s">
        <v>309</v>
      </c>
      <c r="E154" s="24"/>
      <c r="F154" s="4" t="s">
        <v>113</v>
      </c>
      <c r="G154" s="7">
        <v>447.7</v>
      </c>
      <c r="H154" s="7">
        <v>684</v>
      </c>
      <c r="I154" s="7">
        <f t="shared" ref="I154:I164" si="500">H154</f>
        <v>684</v>
      </c>
      <c r="J154" s="7">
        <v>24.2</v>
      </c>
      <c r="K154" s="37">
        <v>57.3</v>
      </c>
      <c r="L154" s="7">
        <f t="shared" si="454"/>
        <v>11.93717277486911</v>
      </c>
      <c r="M154" s="7">
        <f t="shared" si="455"/>
        <v>11.93717277486911</v>
      </c>
      <c r="N154" s="7">
        <v>350</v>
      </c>
      <c r="O154" s="7">
        <f t="shared" si="456"/>
        <v>146.35</v>
      </c>
      <c r="P154" s="7">
        <f t="shared" ref="P154:P156" si="501">958-20-I154</f>
        <v>254</v>
      </c>
      <c r="Q154" s="7">
        <v>0</v>
      </c>
      <c r="R154" s="7">
        <v>1</v>
      </c>
      <c r="S154" s="7">
        <f t="shared" ref="S154:S156" si="502">958-105</f>
        <v>853</v>
      </c>
      <c r="T154" s="7">
        <f t="shared" ref="T154:T164" si="503">O154/K154+0.5</f>
        <v>3.0541012216404888</v>
      </c>
      <c r="U154" s="7">
        <f t="shared" ref="U154:U217" si="504">O154/K154+0.5</f>
        <v>3.0541012216404888</v>
      </c>
      <c r="V154" s="7">
        <f t="shared" ref="V154:W160" si="505">10324/2581</f>
        <v>4</v>
      </c>
      <c r="W154" s="7">
        <f t="shared" si="505"/>
        <v>4</v>
      </c>
      <c r="X154" s="7">
        <f t="shared" si="457"/>
        <v>5</v>
      </c>
      <c r="Y154" s="7">
        <f t="shared" si="458"/>
        <v>128.12669511073796</v>
      </c>
      <c r="Z154" s="7">
        <f t="shared" ref="Z154:Z217" si="506">G154</f>
        <v>447.7</v>
      </c>
      <c r="AA154" s="7">
        <v>20</v>
      </c>
      <c r="AB154" s="7"/>
      <c r="AC154" s="32" t="s">
        <v>183</v>
      </c>
      <c r="AD154" s="7"/>
      <c r="AE154" s="7">
        <v>0</v>
      </c>
      <c r="AF154" s="7">
        <v>0</v>
      </c>
      <c r="AG154" s="7">
        <f t="shared" si="438"/>
        <v>684</v>
      </c>
      <c r="AH154" s="7"/>
      <c r="AI154" s="7"/>
      <c r="AJ154" s="7"/>
      <c r="AK154" s="4">
        <f t="shared" si="452"/>
        <v>684</v>
      </c>
      <c r="AL154" s="4">
        <f t="shared" si="459"/>
        <v>0.1705653021442495</v>
      </c>
      <c r="AM154" s="4">
        <f t="shared" si="460"/>
        <v>341.26575496815576</v>
      </c>
      <c r="AN154" s="4">
        <f>MIN(0.7+0.3*N154/2/1.5/H154,1)</f>
        <v>0.75116959064327482</v>
      </c>
      <c r="AO154" s="4">
        <v>1.25</v>
      </c>
      <c r="AP154" s="25">
        <v>1</v>
      </c>
      <c r="AQ154" s="38">
        <f t="shared" ref="AQ154:AQ164" si="507">AL154*AN154*AO154*AP154*AM154</f>
        <v>54.655190126095995</v>
      </c>
      <c r="AT154" s="38">
        <f t="shared" si="461"/>
        <v>54.655190126096059</v>
      </c>
      <c r="AU154" s="38">
        <f t="shared" si="406"/>
        <v>0.99999999999999878</v>
      </c>
      <c r="AV154" s="38">
        <f t="shared" si="462"/>
        <v>5.4091294453963004</v>
      </c>
      <c r="AW154" s="4">
        <f t="shared" si="463"/>
        <v>0</v>
      </c>
      <c r="AX154" s="4">
        <f t="shared" si="464"/>
        <v>309.06908170677718</v>
      </c>
      <c r="AY154" s="4">
        <f t="shared" si="386"/>
        <v>1</v>
      </c>
      <c r="AZ154" s="38">
        <f t="shared" si="465"/>
        <v>295.63699825479932</v>
      </c>
      <c r="BA154" s="4">
        <f t="shared" si="466"/>
        <v>0.44000000000000006</v>
      </c>
      <c r="BB154" s="4">
        <f t="shared" si="467"/>
        <v>71.054981884388084</v>
      </c>
      <c r="BC154" s="4">
        <f t="shared" si="468"/>
        <v>366.69198013918742</v>
      </c>
      <c r="BE154" s="4">
        <f t="shared" si="469"/>
        <v>1.3885253054101221</v>
      </c>
      <c r="BF154" s="4">
        <f t="shared" si="470"/>
        <v>449.53487752054093</v>
      </c>
      <c r="BH154" s="4">
        <f t="shared" ref="BH154:BH217" si="508">3.4/PI()^0.5*J154*T154*W154^0.5*AY154</f>
        <v>283.55203537536278</v>
      </c>
      <c r="BI154" s="4">
        <f t="shared" ref="BI154:BI217" si="509">8/3*Z154*AA154^2/(Y154-K154-22)/K154*(Y154^2-K154^2)/(Y154^2-(K154+22)^2)</f>
        <v>221.33552459284101</v>
      </c>
      <c r="BJ154" s="4">
        <f t="shared" ref="BJ154:BJ217" si="510">BI154/BH154</f>
        <v>0.78058168159449004</v>
      </c>
      <c r="BK154" s="4">
        <f t="shared" si="471"/>
        <v>146.35</v>
      </c>
      <c r="BL154" s="4">
        <f t="shared" si="472"/>
        <v>146.35</v>
      </c>
      <c r="BM154" s="4">
        <f t="shared" si="473"/>
        <v>853</v>
      </c>
      <c r="BN154" s="4">
        <f t="shared" si="474"/>
        <v>175</v>
      </c>
      <c r="BO154" s="4">
        <f t="shared" si="475"/>
        <v>1.25</v>
      </c>
      <c r="BP154" s="25">
        <f t="shared" si="476"/>
        <v>3.8176265270506109</v>
      </c>
      <c r="BR154" s="4">
        <f t="shared" si="477"/>
        <v>146.35</v>
      </c>
      <c r="BV154" s="9"/>
      <c r="BX154" s="9"/>
      <c r="BY154" s="9"/>
      <c r="BZ154" s="9">
        <f t="shared" si="478"/>
        <v>146.35</v>
      </c>
      <c r="CA154" s="9">
        <f t="shared" si="479"/>
        <v>146.35</v>
      </c>
      <c r="CB154" s="9">
        <f t="shared" si="480"/>
        <v>1.5981555686604758</v>
      </c>
      <c r="CC154" s="9">
        <v>0</v>
      </c>
      <c r="CD154" s="9">
        <f t="shared" si="481"/>
        <v>0</v>
      </c>
      <c r="CE154" s="9">
        <f t="shared" si="482"/>
        <v>0</v>
      </c>
      <c r="CF154" s="9">
        <f t="shared" si="483"/>
        <v>0.77971450958075206</v>
      </c>
      <c r="CG154" s="9">
        <f t="shared" si="484"/>
        <v>1.1046</v>
      </c>
      <c r="CH154" s="9">
        <f t="shared" si="485"/>
        <v>1.4829154235940361</v>
      </c>
      <c r="CI154" s="9">
        <f t="shared" si="486"/>
        <v>2.3699295420693169</v>
      </c>
      <c r="CJ154" s="9">
        <v>1</v>
      </c>
      <c r="CK154" s="9">
        <f t="shared" si="487"/>
        <v>255.35680615595049</v>
      </c>
      <c r="DH154" s="4">
        <f t="shared" si="368"/>
        <v>0</v>
      </c>
      <c r="DI154" s="4">
        <f t="shared" si="488"/>
        <v>684</v>
      </c>
      <c r="DL154" s="4">
        <f t="shared" si="371"/>
        <v>2.0424804324664502E-5</v>
      </c>
      <c r="DM154" s="4">
        <f t="shared" si="372"/>
        <v>5.6298233952568157</v>
      </c>
      <c r="DR154" s="38">
        <f t="shared" si="447"/>
        <v>54.655190126096059</v>
      </c>
      <c r="DS154" s="4">
        <f t="shared" si="417"/>
        <v>0.20262170774375035</v>
      </c>
      <c r="DU154" s="4">
        <f t="shared" si="448"/>
        <v>54.655190126096059</v>
      </c>
      <c r="DY154" s="4">
        <f t="shared" si="489"/>
        <v>0.85</v>
      </c>
      <c r="DZ154" s="4">
        <f t="shared" si="490"/>
        <v>0.84458987783595108</v>
      </c>
      <c r="EA154" s="4">
        <f t="shared" si="491"/>
        <v>1</v>
      </c>
      <c r="EB154" s="4">
        <f t="shared" si="492"/>
        <v>0.84458987783595108</v>
      </c>
      <c r="EE154" s="25">
        <f t="shared" si="493"/>
        <v>135.49199124919727</v>
      </c>
      <c r="EH154" s="4">
        <f t="shared" si="494"/>
        <v>5.6298233952568157</v>
      </c>
      <c r="EK154" s="4">
        <f t="shared" si="374"/>
        <v>128.12669511073796</v>
      </c>
      <c r="EL154" s="4">
        <f t="shared" si="375"/>
        <v>2.2360679774997898</v>
      </c>
      <c r="EM154" s="4">
        <f t="shared" si="376"/>
        <v>7.5719110111830371E-2</v>
      </c>
      <c r="EP154" s="4">
        <f t="shared" si="495"/>
        <v>7.5719110111830371E-2</v>
      </c>
      <c r="EQ154" s="4">
        <f t="shared" si="496"/>
        <v>0.28101997507817955</v>
      </c>
      <c r="ER154" s="4">
        <f t="shared" si="377"/>
        <v>3.3883607929613855</v>
      </c>
      <c r="ES154" s="4">
        <f t="shared" si="497"/>
        <v>4.64708552147642</v>
      </c>
      <c r="ET154" s="4">
        <f t="shared" si="378"/>
        <v>384.87330488926204</v>
      </c>
      <c r="EU154" s="4">
        <f t="shared" si="379"/>
        <v>171</v>
      </c>
      <c r="EV154" s="4">
        <f t="shared" si="498"/>
        <v>2.0424804324664502E-5</v>
      </c>
      <c r="EW154" s="4">
        <f t="shared" si="499"/>
        <v>5.0199533535242882</v>
      </c>
      <c r="EX154" s="4">
        <f t="shared" ref="EX154:EX217" si="511">MIN(4/K154*(1*ER154*EK154+ES154*ET154+EU154*EW154)+DU154,MAX(G154,AB154))</f>
        <v>269.74005270559093</v>
      </c>
      <c r="FG154" s="23"/>
      <c r="FH154" s="23"/>
      <c r="FI154" s="23"/>
      <c r="FJ154" s="23"/>
      <c r="FK154" s="23"/>
      <c r="FL154" s="23"/>
      <c r="FM154" s="23"/>
      <c r="FN154" s="23"/>
      <c r="FX154" s="4">
        <f t="shared" si="422"/>
        <v>1</v>
      </c>
      <c r="FY154" s="4">
        <f t="shared" si="308"/>
        <v>0.85000000000000009</v>
      </c>
      <c r="FZ154" s="4">
        <f t="shared" si="423"/>
        <v>0</v>
      </c>
      <c r="GA154" s="4">
        <f t="shared" si="424"/>
        <v>206.79436457427124</v>
      </c>
    </row>
    <row r="155" spans="1:183" ht="12" customHeight="1" x14ac:dyDescent="0.3">
      <c r="A155" s="25">
        <v>137</v>
      </c>
      <c r="B155" s="24" t="s">
        <v>659</v>
      </c>
      <c r="C155" s="24">
        <v>2007</v>
      </c>
      <c r="D155" s="24" t="s">
        <v>309</v>
      </c>
      <c r="E155" s="24"/>
      <c r="F155" s="4" t="s">
        <v>114</v>
      </c>
      <c r="G155" s="7">
        <v>447.7</v>
      </c>
      <c r="H155" s="7">
        <v>684</v>
      </c>
      <c r="I155" s="7">
        <f t="shared" si="500"/>
        <v>684</v>
      </c>
      <c r="J155" s="7">
        <v>24.2</v>
      </c>
      <c r="K155" s="37">
        <v>57.3</v>
      </c>
      <c r="L155" s="7">
        <f t="shared" si="454"/>
        <v>11.93717277486911</v>
      </c>
      <c r="M155" s="7">
        <f t="shared" si="455"/>
        <v>11.93717277486911</v>
      </c>
      <c r="N155" s="7">
        <v>350</v>
      </c>
      <c r="O155" s="7">
        <f t="shared" si="456"/>
        <v>146.35</v>
      </c>
      <c r="P155" s="7">
        <f t="shared" si="501"/>
        <v>254</v>
      </c>
      <c r="Q155" s="7">
        <v>0</v>
      </c>
      <c r="R155" s="7">
        <v>1</v>
      </c>
      <c r="S155" s="7">
        <f t="shared" si="502"/>
        <v>853</v>
      </c>
      <c r="T155" s="7">
        <f t="shared" si="503"/>
        <v>3.0541012216404888</v>
      </c>
      <c r="U155" s="7">
        <f t="shared" si="504"/>
        <v>3.0541012216404888</v>
      </c>
      <c r="V155" s="7">
        <f t="shared" si="505"/>
        <v>4</v>
      </c>
      <c r="W155" s="7">
        <f t="shared" si="505"/>
        <v>4</v>
      </c>
      <c r="X155" s="7">
        <f t="shared" si="457"/>
        <v>5</v>
      </c>
      <c r="Y155" s="7">
        <f t="shared" si="458"/>
        <v>128.12669511073796</v>
      </c>
      <c r="Z155" s="7">
        <f t="shared" si="506"/>
        <v>447.7</v>
      </c>
      <c r="AA155" s="7">
        <v>20</v>
      </c>
      <c r="AB155" s="7"/>
      <c r="AC155" s="32" t="s">
        <v>183</v>
      </c>
      <c r="AD155" s="7"/>
      <c r="AE155" s="7">
        <v>0</v>
      </c>
      <c r="AF155" s="7">
        <v>0</v>
      </c>
      <c r="AG155" s="7">
        <f t="shared" si="438"/>
        <v>684</v>
      </c>
      <c r="AH155" s="7"/>
      <c r="AI155" s="7"/>
      <c r="AJ155" s="7"/>
      <c r="AK155" s="4">
        <f t="shared" si="452"/>
        <v>684</v>
      </c>
      <c r="AL155" s="4">
        <f t="shared" si="459"/>
        <v>0.1705653021442495</v>
      </c>
      <c r="AM155" s="4">
        <f t="shared" si="460"/>
        <v>341.26575496815576</v>
      </c>
      <c r="AN155" s="4">
        <f t="shared" ref="AN155:AN164" si="512">MIN(0.7+0.3*N155/2/1.5/H155,1)</f>
        <v>0.75116959064327482</v>
      </c>
      <c r="AO155" s="4">
        <v>1.25</v>
      </c>
      <c r="AP155" s="25">
        <v>1</v>
      </c>
      <c r="AQ155" s="38">
        <f t="shared" si="507"/>
        <v>54.655190126095995</v>
      </c>
      <c r="AT155" s="38">
        <f t="shared" si="461"/>
        <v>54.655190126096059</v>
      </c>
      <c r="AU155" s="38">
        <f t="shared" si="406"/>
        <v>0.99999999999999878</v>
      </c>
      <c r="AV155" s="38">
        <f t="shared" si="462"/>
        <v>5.4091294453963004</v>
      </c>
      <c r="AW155" s="4">
        <f t="shared" si="463"/>
        <v>0</v>
      </c>
      <c r="AX155" s="4">
        <f t="shared" si="464"/>
        <v>309.06908170677718</v>
      </c>
      <c r="AY155" s="4">
        <f t="shared" si="386"/>
        <v>1</v>
      </c>
      <c r="AZ155" s="38">
        <f t="shared" si="465"/>
        <v>295.63699825479932</v>
      </c>
      <c r="BA155" s="4">
        <f t="shared" si="466"/>
        <v>0.44000000000000006</v>
      </c>
      <c r="BB155" s="4">
        <f t="shared" si="467"/>
        <v>71.054981884388084</v>
      </c>
      <c r="BC155" s="4">
        <f t="shared" si="468"/>
        <v>366.69198013918742</v>
      </c>
      <c r="BE155" s="4">
        <f t="shared" si="469"/>
        <v>1.3885253054101221</v>
      </c>
      <c r="BF155" s="4">
        <f t="shared" si="470"/>
        <v>449.53487752054093</v>
      </c>
      <c r="BH155" s="4">
        <f t="shared" si="508"/>
        <v>283.55203537536278</v>
      </c>
      <c r="BI155" s="4">
        <f t="shared" si="509"/>
        <v>221.33552459284101</v>
      </c>
      <c r="BJ155" s="4">
        <f t="shared" si="510"/>
        <v>0.78058168159449004</v>
      </c>
      <c r="BK155" s="4">
        <f t="shared" si="471"/>
        <v>146.35</v>
      </c>
      <c r="BL155" s="4">
        <f t="shared" si="472"/>
        <v>146.35</v>
      </c>
      <c r="BM155" s="4">
        <f t="shared" si="473"/>
        <v>853</v>
      </c>
      <c r="BN155" s="4">
        <f t="shared" si="474"/>
        <v>175</v>
      </c>
      <c r="BO155" s="4">
        <f t="shared" si="475"/>
        <v>1.25</v>
      </c>
      <c r="BP155" s="25">
        <f t="shared" si="476"/>
        <v>3.8176265270506109</v>
      </c>
      <c r="BR155" s="4">
        <f t="shared" si="477"/>
        <v>146.35</v>
      </c>
      <c r="BV155" s="9"/>
      <c r="BX155" s="9"/>
      <c r="BY155" s="9"/>
      <c r="BZ155" s="9">
        <f t="shared" si="478"/>
        <v>146.35</v>
      </c>
      <c r="CA155" s="9">
        <f t="shared" si="479"/>
        <v>146.35</v>
      </c>
      <c r="CB155" s="9">
        <f t="shared" si="480"/>
        <v>1.5981555686604758</v>
      </c>
      <c r="CC155" s="9">
        <v>0</v>
      </c>
      <c r="CD155" s="9">
        <f t="shared" si="481"/>
        <v>0</v>
      </c>
      <c r="CE155" s="9">
        <f t="shared" si="482"/>
        <v>0</v>
      </c>
      <c r="CF155" s="9">
        <f t="shared" si="483"/>
        <v>0.77971450958075206</v>
      </c>
      <c r="CG155" s="9">
        <f t="shared" si="484"/>
        <v>1.1046</v>
      </c>
      <c r="CH155" s="9">
        <f t="shared" si="485"/>
        <v>1.4829154235940361</v>
      </c>
      <c r="CI155" s="9">
        <f t="shared" si="486"/>
        <v>2.3699295420693169</v>
      </c>
      <c r="CJ155" s="9">
        <v>1</v>
      </c>
      <c r="CK155" s="9">
        <f t="shared" si="487"/>
        <v>255.35680615595049</v>
      </c>
      <c r="DH155" s="4">
        <f t="shared" si="368"/>
        <v>0</v>
      </c>
      <c r="DI155" s="4">
        <f t="shared" si="488"/>
        <v>684</v>
      </c>
      <c r="DL155" s="4">
        <f t="shared" si="371"/>
        <v>2.0424804324664502E-5</v>
      </c>
      <c r="DM155" s="4">
        <f t="shared" si="372"/>
        <v>5.6298233952568157</v>
      </c>
      <c r="DR155" s="38">
        <f t="shared" si="447"/>
        <v>54.655190126096059</v>
      </c>
      <c r="DS155" s="4">
        <f t="shared" si="417"/>
        <v>0.20262170774375035</v>
      </c>
      <c r="DU155" s="4">
        <f t="shared" si="448"/>
        <v>54.655190126096059</v>
      </c>
      <c r="DY155" s="4">
        <f t="shared" si="489"/>
        <v>0.85</v>
      </c>
      <c r="DZ155" s="4">
        <f t="shared" si="490"/>
        <v>0.84458987783595108</v>
      </c>
      <c r="EA155" s="4">
        <f t="shared" si="491"/>
        <v>1</v>
      </c>
      <c r="EB155" s="4">
        <f t="shared" si="492"/>
        <v>0.84458987783595108</v>
      </c>
      <c r="EE155" s="25">
        <f t="shared" si="493"/>
        <v>135.49199124919727</v>
      </c>
      <c r="EH155" s="4">
        <f t="shared" si="494"/>
        <v>5.6298233952568157</v>
      </c>
      <c r="EK155" s="4">
        <f t="shared" si="374"/>
        <v>128.12669511073796</v>
      </c>
      <c r="EL155" s="4">
        <f t="shared" si="375"/>
        <v>2.2360679774997898</v>
      </c>
      <c r="EM155" s="4">
        <f t="shared" si="376"/>
        <v>7.5719110111830371E-2</v>
      </c>
      <c r="EP155" s="4">
        <f t="shared" si="495"/>
        <v>7.5719110111830371E-2</v>
      </c>
      <c r="EQ155" s="4">
        <f t="shared" si="496"/>
        <v>0.28101997507817955</v>
      </c>
      <c r="ER155" s="4">
        <f t="shared" si="377"/>
        <v>3.3883607929613855</v>
      </c>
      <c r="ES155" s="4">
        <f t="shared" si="497"/>
        <v>4.64708552147642</v>
      </c>
      <c r="ET155" s="4">
        <f t="shared" si="378"/>
        <v>384.87330488926204</v>
      </c>
      <c r="EU155" s="4">
        <f t="shared" si="379"/>
        <v>171</v>
      </c>
      <c r="EV155" s="4">
        <f t="shared" si="498"/>
        <v>2.0424804324664502E-5</v>
      </c>
      <c r="EW155" s="4">
        <f t="shared" si="499"/>
        <v>5.0199533535242882</v>
      </c>
      <c r="EX155" s="4">
        <f t="shared" si="511"/>
        <v>269.74005270559093</v>
      </c>
      <c r="FG155" s="23"/>
      <c r="FH155" s="23"/>
      <c r="FI155" s="23"/>
      <c r="FJ155" s="23"/>
      <c r="FK155" s="23"/>
      <c r="FL155" s="23"/>
      <c r="FM155" s="23"/>
      <c r="FN155" s="23"/>
      <c r="FX155" s="4">
        <f t="shared" si="422"/>
        <v>1</v>
      </c>
      <c r="FY155" s="4">
        <f t="shared" si="308"/>
        <v>0.85000000000000009</v>
      </c>
      <c r="FZ155" s="4">
        <f t="shared" si="423"/>
        <v>0</v>
      </c>
      <c r="GA155" s="4">
        <f t="shared" si="424"/>
        <v>206.79436457427124</v>
      </c>
    </row>
    <row r="156" spans="1:183" ht="12" customHeight="1" x14ac:dyDescent="0.3">
      <c r="A156" s="25">
        <v>138</v>
      </c>
      <c r="B156" s="24" t="s">
        <v>659</v>
      </c>
      <c r="C156" s="24">
        <v>2007</v>
      </c>
      <c r="D156" s="24" t="s">
        <v>309</v>
      </c>
      <c r="E156" s="24"/>
      <c r="F156" s="4" t="s">
        <v>115</v>
      </c>
      <c r="G156" s="7">
        <v>447.7</v>
      </c>
      <c r="H156" s="7">
        <v>479</v>
      </c>
      <c r="I156" s="7">
        <f t="shared" si="500"/>
        <v>479</v>
      </c>
      <c r="J156" s="7">
        <v>24.2</v>
      </c>
      <c r="K156" s="37">
        <v>57.3</v>
      </c>
      <c r="L156" s="7">
        <f t="shared" si="454"/>
        <v>8.3595113438045381</v>
      </c>
      <c r="M156" s="7">
        <f t="shared" si="455"/>
        <v>8.3595113438045381</v>
      </c>
      <c r="N156" s="7">
        <v>350</v>
      </c>
      <c r="O156" s="7">
        <f t="shared" si="456"/>
        <v>146.35</v>
      </c>
      <c r="P156" s="7">
        <f t="shared" si="501"/>
        <v>459</v>
      </c>
      <c r="Q156" s="7">
        <v>0</v>
      </c>
      <c r="R156" s="7">
        <v>1</v>
      </c>
      <c r="S156" s="7">
        <f t="shared" si="502"/>
        <v>853</v>
      </c>
      <c r="T156" s="7">
        <f>O156/K156+0.5</f>
        <v>3.0541012216404888</v>
      </c>
      <c r="U156" s="7">
        <f>O156/K156+0.5</f>
        <v>3.0541012216404888</v>
      </c>
      <c r="V156" s="7">
        <f t="shared" si="505"/>
        <v>4</v>
      </c>
      <c r="W156" s="7">
        <f t="shared" si="505"/>
        <v>4</v>
      </c>
      <c r="X156" s="7">
        <f t="shared" si="457"/>
        <v>5</v>
      </c>
      <c r="Y156" s="7">
        <f t="shared" si="458"/>
        <v>128.12669511073796</v>
      </c>
      <c r="Z156" s="7">
        <f t="shared" si="506"/>
        <v>447.7</v>
      </c>
      <c r="AA156" s="7">
        <v>20</v>
      </c>
      <c r="AB156" s="7">
        <f>309/2581*1000</f>
        <v>119.72103835722588</v>
      </c>
      <c r="AC156" s="32"/>
      <c r="AD156" s="7"/>
      <c r="AE156" s="7">
        <v>0</v>
      </c>
      <c r="AF156" s="7">
        <v>0</v>
      </c>
      <c r="AG156" s="7">
        <f t="shared" si="438"/>
        <v>479</v>
      </c>
      <c r="AH156" s="7"/>
      <c r="AI156" s="7"/>
      <c r="AJ156" s="7"/>
      <c r="AK156" s="4">
        <f t="shared" si="452"/>
        <v>479</v>
      </c>
      <c r="AL156" s="4">
        <f t="shared" si="459"/>
        <v>0.24356297842727906</v>
      </c>
      <c r="AM156" s="4">
        <f t="shared" si="460"/>
        <v>199.9916335695587</v>
      </c>
      <c r="AN156" s="4">
        <f t="shared" si="512"/>
        <v>0.77306889352818364</v>
      </c>
      <c r="AO156" s="4">
        <v>1.25</v>
      </c>
      <c r="AP156" s="25">
        <v>1</v>
      </c>
      <c r="AQ156" s="38">
        <f t="shared" si="507"/>
        <v>47.070771405253517</v>
      </c>
      <c r="AT156" s="38">
        <f t="shared" si="461"/>
        <v>47.070771405253538</v>
      </c>
      <c r="AU156" s="38">
        <f t="shared" si="406"/>
        <v>0.99999999999999956</v>
      </c>
      <c r="AV156" s="38">
        <f t="shared" si="462"/>
        <v>6.2806915932931462</v>
      </c>
      <c r="AW156" s="4">
        <f t="shared" si="463"/>
        <v>0</v>
      </c>
      <c r="AX156" s="4">
        <f t="shared" si="464"/>
        <v>216.43872827126648</v>
      </c>
      <c r="AY156" s="4">
        <f t="shared" si="386"/>
        <v>1</v>
      </c>
      <c r="AZ156" s="38">
        <f t="shared" si="465"/>
        <v>295.63699825479932</v>
      </c>
      <c r="BA156" s="4">
        <f t="shared" si="466"/>
        <v>0.44000000000000006</v>
      </c>
      <c r="BB156" s="4">
        <f t="shared" si="467"/>
        <v>49.759263629564167</v>
      </c>
      <c r="BC156" s="4">
        <f t="shared" si="468"/>
        <v>345.39626188436347</v>
      </c>
      <c r="BE156" s="4">
        <f t="shared" si="469"/>
        <v>1.3885253054101221</v>
      </c>
      <c r="BF156" s="4">
        <f t="shared" si="470"/>
        <v>376.22171133779551</v>
      </c>
      <c r="BH156" s="4">
        <f t="shared" si="508"/>
        <v>283.55203537536278</v>
      </c>
      <c r="BI156" s="4">
        <f t="shared" si="509"/>
        <v>221.33552459284101</v>
      </c>
      <c r="BJ156" s="4">
        <f t="shared" si="510"/>
        <v>0.78058168159449004</v>
      </c>
      <c r="BK156" s="4">
        <f t="shared" si="471"/>
        <v>146.35</v>
      </c>
      <c r="BL156" s="4">
        <f t="shared" si="472"/>
        <v>146.35</v>
      </c>
      <c r="BM156" s="4">
        <f t="shared" si="473"/>
        <v>853</v>
      </c>
      <c r="BN156" s="4">
        <f t="shared" si="474"/>
        <v>175</v>
      </c>
      <c r="BO156" s="4">
        <f t="shared" si="475"/>
        <v>1.25</v>
      </c>
      <c r="BP156" s="25">
        <f t="shared" si="476"/>
        <v>3.8176265270506109</v>
      </c>
      <c r="BR156" s="4">
        <f t="shared" si="477"/>
        <v>146.35</v>
      </c>
      <c r="BV156" s="9"/>
      <c r="BX156" s="9"/>
      <c r="BY156" s="9"/>
      <c r="BZ156" s="9">
        <f t="shared" si="478"/>
        <v>146.35</v>
      </c>
      <c r="CA156" s="9">
        <f t="shared" si="479"/>
        <v>146.35</v>
      </c>
      <c r="CB156" s="9">
        <f t="shared" si="480"/>
        <v>1.5981555686604758</v>
      </c>
      <c r="CC156" s="9">
        <v>0</v>
      </c>
      <c r="CD156" s="9">
        <f t="shared" si="481"/>
        <v>0</v>
      </c>
      <c r="CE156" s="9">
        <f t="shared" si="482"/>
        <v>0</v>
      </c>
      <c r="CF156" s="9">
        <f t="shared" si="483"/>
        <v>0.77971450958075206</v>
      </c>
      <c r="CG156" s="9">
        <f t="shared" si="484"/>
        <v>1.1046</v>
      </c>
      <c r="CH156" s="9">
        <f t="shared" si="485"/>
        <v>1.4829154235940361</v>
      </c>
      <c r="CI156" s="9">
        <f t="shared" si="486"/>
        <v>2.3699295420693169</v>
      </c>
      <c r="CJ156" s="9">
        <v>1</v>
      </c>
      <c r="CK156" s="9">
        <f t="shared" si="487"/>
        <v>221.44158408794283</v>
      </c>
      <c r="DH156" s="4">
        <f t="shared" si="368"/>
        <v>0</v>
      </c>
      <c r="DI156" s="4">
        <f t="shared" si="488"/>
        <v>479</v>
      </c>
      <c r="DL156" s="4">
        <f t="shared" si="371"/>
        <v>1.4303335192272361E-5</v>
      </c>
      <c r="DM156" s="4">
        <f t="shared" si="372"/>
        <v>5.6298233952568157</v>
      </c>
      <c r="DR156" s="38">
        <f t="shared" si="447"/>
        <v>47.070771405253538</v>
      </c>
      <c r="DS156" s="4">
        <f t="shared" si="417"/>
        <v>0.24247237022892729</v>
      </c>
      <c r="DU156" s="4">
        <f t="shared" si="448"/>
        <v>47.070771405253538</v>
      </c>
      <c r="DY156" s="4">
        <f t="shared" si="489"/>
        <v>0.85</v>
      </c>
      <c r="DZ156" s="4">
        <f t="shared" si="490"/>
        <v>0.84458987783595108</v>
      </c>
      <c r="EA156" s="4">
        <f t="shared" si="491"/>
        <v>1</v>
      </c>
      <c r="EB156" s="4">
        <f t="shared" si="492"/>
        <v>0.84458987783595108</v>
      </c>
      <c r="EE156" s="25">
        <f t="shared" si="493"/>
        <v>116.17997960897675</v>
      </c>
      <c r="EH156" s="4">
        <f t="shared" si="494"/>
        <v>5.6298233952568157</v>
      </c>
      <c r="EK156" s="4">
        <f t="shared" si="374"/>
        <v>128.12669511073796</v>
      </c>
      <c r="EL156" s="4">
        <f t="shared" si="375"/>
        <v>2.2360679774997898</v>
      </c>
      <c r="EM156" s="4">
        <f t="shared" si="376"/>
        <v>6.5211682822075137E-2</v>
      </c>
      <c r="EP156" s="4">
        <f t="shared" si="495"/>
        <v>6.5211682822075137E-2</v>
      </c>
      <c r="EQ156" s="4">
        <f t="shared" si="496"/>
        <v>0.24202325482167125</v>
      </c>
      <c r="ER156" s="4">
        <f t="shared" si="377"/>
        <v>3.1918142575020001</v>
      </c>
      <c r="ES156" s="4">
        <f t="shared" si="497"/>
        <v>4.5773455930716711</v>
      </c>
      <c r="ET156" s="4">
        <f t="shared" si="378"/>
        <v>231.12330488926204</v>
      </c>
      <c r="EU156" s="4">
        <f t="shared" si="379"/>
        <v>119.75</v>
      </c>
      <c r="EV156" s="4">
        <f t="shared" si="498"/>
        <v>1.4303335192272361E-5</v>
      </c>
      <c r="EW156" s="4">
        <f t="shared" si="499"/>
        <v>5.3420673548371704</v>
      </c>
      <c r="EX156" s="4">
        <f t="shared" si="511"/>
        <v>194.12839228161235</v>
      </c>
      <c r="FG156" s="23"/>
      <c r="FH156" s="23"/>
      <c r="FI156" s="23"/>
      <c r="FJ156" s="23"/>
      <c r="FK156" s="23"/>
      <c r="FL156" s="23"/>
      <c r="FM156" s="23"/>
      <c r="FN156" s="23"/>
      <c r="FX156" s="4">
        <f t="shared" si="422"/>
        <v>1</v>
      </c>
      <c r="FY156" s="4">
        <f t="shared" si="308"/>
        <v>0.85000000000000009</v>
      </c>
      <c r="FZ156" s="4">
        <f t="shared" si="423"/>
        <v>0</v>
      </c>
      <c r="GA156" s="4">
        <f t="shared" si="424"/>
        <v>144.81652139046187</v>
      </c>
    </row>
    <row r="157" spans="1:183" ht="12" customHeight="1" x14ac:dyDescent="0.3">
      <c r="A157" s="25">
        <v>139</v>
      </c>
      <c r="B157" s="24" t="s">
        <v>659</v>
      </c>
      <c r="C157" s="24">
        <v>2007</v>
      </c>
      <c r="D157" s="24" t="s">
        <v>309</v>
      </c>
      <c r="E157" s="24"/>
      <c r="F157" s="4" t="s">
        <v>116</v>
      </c>
      <c r="G157" s="7">
        <v>450.6</v>
      </c>
      <c r="H157" s="7">
        <v>372</v>
      </c>
      <c r="I157" s="7">
        <f t="shared" si="500"/>
        <v>372</v>
      </c>
      <c r="J157" s="7">
        <v>24.6</v>
      </c>
      <c r="K157" s="7">
        <v>35.799999999999997</v>
      </c>
      <c r="L157" s="7">
        <f t="shared" si="454"/>
        <v>10.391061452513968</v>
      </c>
      <c r="M157" s="7">
        <f t="shared" si="455"/>
        <v>10.391061452513968</v>
      </c>
      <c r="N157" s="7">
        <v>220</v>
      </c>
      <c r="O157" s="7">
        <f t="shared" si="456"/>
        <v>92.1</v>
      </c>
      <c r="P157" s="7">
        <f>434-12-I157</f>
        <v>50</v>
      </c>
      <c r="Q157" s="7">
        <v>0</v>
      </c>
      <c r="R157" s="7">
        <v>1</v>
      </c>
      <c r="S157" s="7">
        <f>434-65</f>
        <v>369</v>
      </c>
      <c r="T157" s="7">
        <f t="shared" si="503"/>
        <v>3.0726256983240225</v>
      </c>
      <c r="U157" s="7">
        <f t="shared" si="504"/>
        <v>3.0726256983240225</v>
      </c>
      <c r="V157" s="7">
        <f>4024/1006</f>
        <v>4</v>
      </c>
      <c r="W157" s="7">
        <f>4024/1006</f>
        <v>4</v>
      </c>
      <c r="X157" s="7">
        <f t="shared" si="457"/>
        <v>5</v>
      </c>
      <c r="Y157" s="7">
        <f t="shared" si="458"/>
        <v>80.051233594492473</v>
      </c>
      <c r="Z157" s="7">
        <f t="shared" si="506"/>
        <v>450.6</v>
      </c>
      <c r="AA157" s="7">
        <v>12</v>
      </c>
      <c r="AB157" s="7"/>
      <c r="AC157" s="32" t="s">
        <v>183</v>
      </c>
      <c r="AD157" s="7"/>
      <c r="AE157" s="7">
        <v>0</v>
      </c>
      <c r="AF157" s="7">
        <v>0</v>
      </c>
      <c r="AG157" s="7">
        <f t="shared" si="438"/>
        <v>372</v>
      </c>
      <c r="AH157" s="7"/>
      <c r="AI157" s="7"/>
      <c r="AJ157" s="7"/>
      <c r="AK157" s="4">
        <f t="shared" si="452"/>
        <v>372</v>
      </c>
      <c r="AL157" s="4">
        <f t="shared" si="459"/>
        <v>0.1971326164874552</v>
      </c>
      <c r="AM157" s="4">
        <f t="shared" si="460"/>
        <v>353.52980095027158</v>
      </c>
      <c r="AN157" s="4">
        <f t="shared" si="512"/>
        <v>0.75913978494623646</v>
      </c>
      <c r="AO157" s="4">
        <v>1.25</v>
      </c>
      <c r="AP157" s="25">
        <v>1</v>
      </c>
      <c r="AQ157" s="38">
        <f t="shared" si="507"/>
        <v>66.132704025990705</v>
      </c>
      <c r="AT157" s="38">
        <f t="shared" si="461"/>
        <v>66.132704025990748</v>
      </c>
      <c r="AU157" s="38">
        <f t="shared" si="406"/>
        <v>0.99999999999999933</v>
      </c>
      <c r="AV157" s="38">
        <f t="shared" si="462"/>
        <v>4.5718131923996177</v>
      </c>
      <c r="AW157" s="4">
        <f t="shared" si="463"/>
        <v>0</v>
      </c>
      <c r="AX157" s="4">
        <f t="shared" si="464"/>
        <v>271.25257262928875</v>
      </c>
      <c r="AY157" s="4">
        <f t="shared" si="386"/>
        <v>1</v>
      </c>
      <c r="AZ157" s="38">
        <f t="shared" si="465"/>
        <v>302.34636871508383</v>
      </c>
      <c r="BA157" s="4">
        <f t="shared" si="466"/>
        <v>0.44000000000000006</v>
      </c>
      <c r="BB157" s="4">
        <f t="shared" si="467"/>
        <v>62.360966447473494</v>
      </c>
      <c r="BC157" s="4">
        <f t="shared" si="468"/>
        <v>364.70733516255734</v>
      </c>
      <c r="BE157" s="4">
        <f t="shared" si="469"/>
        <v>1.3931564245810057</v>
      </c>
      <c r="BF157" s="4">
        <f t="shared" si="470"/>
        <v>422.69637540686551</v>
      </c>
      <c r="BH157" s="4">
        <f t="shared" si="508"/>
        <v>289.98714214931721</v>
      </c>
      <c r="BI157" s="4">
        <f t="shared" si="509"/>
        <v>363.03340318192352</v>
      </c>
      <c r="BJ157" s="4">
        <f t="shared" si="510"/>
        <v>1.2518948270988997</v>
      </c>
      <c r="BK157" s="4">
        <f t="shared" si="471"/>
        <v>92.1</v>
      </c>
      <c r="BL157" s="4">
        <f t="shared" si="472"/>
        <v>92.1</v>
      </c>
      <c r="BM157" s="4">
        <f t="shared" si="473"/>
        <v>369</v>
      </c>
      <c r="BN157" s="4">
        <f t="shared" si="474"/>
        <v>110</v>
      </c>
      <c r="BO157" s="4">
        <f t="shared" si="475"/>
        <v>1.25</v>
      </c>
      <c r="BP157" s="25">
        <f t="shared" si="476"/>
        <v>3.8407821229050283</v>
      </c>
      <c r="BR157" s="4">
        <f t="shared" si="477"/>
        <v>92.1</v>
      </c>
      <c r="BV157" s="9"/>
      <c r="BX157" s="9"/>
      <c r="BY157" s="9"/>
      <c r="BZ157" s="9">
        <f t="shared" si="478"/>
        <v>50</v>
      </c>
      <c r="CA157" s="9">
        <f t="shared" si="479"/>
        <v>92.1</v>
      </c>
      <c r="CB157" s="9">
        <f t="shared" si="480"/>
        <v>1.2952002892239232</v>
      </c>
      <c r="CC157" s="9">
        <v>0</v>
      </c>
      <c r="CD157" s="9">
        <f t="shared" si="481"/>
        <v>0</v>
      </c>
      <c r="CE157" s="9">
        <f t="shared" si="482"/>
        <v>0</v>
      </c>
      <c r="CF157" s="9">
        <f t="shared" si="483"/>
        <v>0.89787751228078194</v>
      </c>
      <c r="CG157" s="9">
        <f t="shared" si="484"/>
        <v>1.0988</v>
      </c>
      <c r="CH157" s="9">
        <f t="shared" si="485"/>
        <v>1.7126607436390533</v>
      </c>
      <c r="CI157" s="9">
        <f t="shared" si="486"/>
        <v>2.2182386905037612</v>
      </c>
      <c r="CJ157" s="9">
        <v>1</v>
      </c>
      <c r="CK157" s="9">
        <f t="shared" si="487"/>
        <v>225.29373962770046</v>
      </c>
      <c r="DH157" s="4">
        <f t="shared" si="368"/>
        <v>0</v>
      </c>
      <c r="DI157" s="4">
        <f t="shared" si="488"/>
        <v>372</v>
      </c>
      <c r="DL157" s="4">
        <f t="shared" si="371"/>
        <v>1.7833504313203137E-5</v>
      </c>
      <c r="DM157" s="4">
        <f t="shared" si="372"/>
        <v>5.6886371181108544</v>
      </c>
      <c r="DR157" s="38">
        <f t="shared" si="447"/>
        <v>66.132704025990748</v>
      </c>
      <c r="DS157" s="4">
        <f t="shared" si="417"/>
        <v>0.26356326816005199</v>
      </c>
      <c r="DU157" s="4">
        <f t="shared" si="448"/>
        <v>66.132704025990748</v>
      </c>
      <c r="DY157" s="4">
        <f t="shared" si="489"/>
        <v>0.85</v>
      </c>
      <c r="DZ157" s="4">
        <f t="shared" si="490"/>
        <v>0.84273743016759772</v>
      </c>
      <c r="EA157" s="4">
        <f t="shared" si="491"/>
        <v>1</v>
      </c>
      <c r="EB157" s="4">
        <f t="shared" si="492"/>
        <v>0.84273743016759772</v>
      </c>
      <c r="EE157" s="25">
        <f t="shared" si="493"/>
        <v>163.69230907129906</v>
      </c>
      <c r="EH157" s="4">
        <f t="shared" si="494"/>
        <v>5.6886371181108544</v>
      </c>
      <c r="EK157" s="4">
        <f t="shared" si="374"/>
        <v>80.051233594492473</v>
      </c>
      <c r="EL157" s="4">
        <f t="shared" si="375"/>
        <v>2.2360679774997898</v>
      </c>
      <c r="EM157" s="4">
        <f t="shared" si="376"/>
        <v>5.6775230548321946E-2</v>
      </c>
      <c r="EP157" s="4">
        <f t="shared" si="495"/>
        <v>5.6775230548321946E-2</v>
      </c>
      <c r="EQ157" s="4">
        <f t="shared" si="496"/>
        <v>0.20899251175674796</v>
      </c>
      <c r="ER157" s="4">
        <f t="shared" si="377"/>
        <v>3.0413088165266138</v>
      </c>
      <c r="ES157" s="4">
        <f t="shared" si="497"/>
        <v>4.5629208180888385</v>
      </c>
      <c r="ET157" s="4">
        <f t="shared" si="378"/>
        <v>198.94876640550751</v>
      </c>
      <c r="EU157" s="4">
        <f t="shared" si="379"/>
        <v>93</v>
      </c>
      <c r="EV157" s="4">
        <f t="shared" si="498"/>
        <v>1.7833504313203137E-5</v>
      </c>
      <c r="EW157" s="4">
        <f t="shared" si="499"/>
        <v>5.4040670108283386</v>
      </c>
      <c r="EX157" s="4">
        <f t="shared" si="511"/>
        <v>250.91775681667013</v>
      </c>
      <c r="FG157" s="23"/>
      <c r="FH157" s="23"/>
      <c r="FI157" s="23"/>
      <c r="FJ157" s="23"/>
      <c r="FK157" s="23"/>
      <c r="FL157" s="23"/>
      <c r="FM157" s="23"/>
      <c r="FN157" s="23"/>
      <c r="FX157" s="4">
        <f t="shared" si="422"/>
        <v>1</v>
      </c>
      <c r="FY157" s="4">
        <f t="shared" ref="FY157:FY219" si="513">IF(AG157&gt;1, 0.05*(18-MIN(8,(Q157+K157)/K157))*(1-48000/MAX(60000,(G157*145))*(K157/25.4)^0.75*FZ157), 1/12*(14-MIN(8,(Q157+K157)/K157)))</f>
        <v>0.85000000000000009</v>
      </c>
      <c r="FZ157" s="4">
        <f t="shared" si="423"/>
        <v>0</v>
      </c>
      <c r="GA157" s="4">
        <f t="shared" si="424"/>
        <v>228.6719345585708</v>
      </c>
    </row>
    <row r="158" spans="1:183" ht="12" customHeight="1" x14ac:dyDescent="0.3">
      <c r="A158" s="25">
        <v>140</v>
      </c>
      <c r="B158" s="24" t="s">
        <v>659</v>
      </c>
      <c r="C158" s="24">
        <v>2007</v>
      </c>
      <c r="D158" s="24" t="s">
        <v>309</v>
      </c>
      <c r="E158" s="24"/>
      <c r="F158" s="4" t="s">
        <v>117</v>
      </c>
      <c r="G158" s="7">
        <v>450.6</v>
      </c>
      <c r="H158" s="7">
        <v>295</v>
      </c>
      <c r="I158" s="7">
        <f t="shared" si="500"/>
        <v>295</v>
      </c>
      <c r="J158" s="7">
        <v>24.6</v>
      </c>
      <c r="K158" s="7">
        <v>35.799999999999997</v>
      </c>
      <c r="L158" s="7">
        <f t="shared" si="454"/>
        <v>8.2402234636871512</v>
      </c>
      <c r="M158" s="7">
        <f t="shared" si="455"/>
        <v>8.2402234636871512</v>
      </c>
      <c r="N158" s="7">
        <v>220</v>
      </c>
      <c r="O158" s="7">
        <f t="shared" si="456"/>
        <v>92.1</v>
      </c>
      <c r="P158" s="7">
        <f t="shared" ref="P158:P160" si="514">434-12-I158</f>
        <v>127</v>
      </c>
      <c r="Q158" s="7">
        <v>0</v>
      </c>
      <c r="R158" s="7">
        <v>1</v>
      </c>
      <c r="S158" s="7">
        <f>434-65</f>
        <v>369</v>
      </c>
      <c r="T158" s="7">
        <f t="shared" si="503"/>
        <v>3.0726256983240225</v>
      </c>
      <c r="U158" s="7">
        <f t="shared" si="504"/>
        <v>3.0726256983240225</v>
      </c>
      <c r="V158" s="7">
        <f t="shared" si="505"/>
        <v>4</v>
      </c>
      <c r="W158" s="7">
        <f t="shared" si="505"/>
        <v>4</v>
      </c>
      <c r="X158" s="7">
        <f t="shared" si="457"/>
        <v>5</v>
      </c>
      <c r="Y158" s="7">
        <f t="shared" si="458"/>
        <v>80.051233594492473</v>
      </c>
      <c r="Z158" s="7">
        <f t="shared" si="506"/>
        <v>450.6</v>
      </c>
      <c r="AA158" s="7">
        <v>12</v>
      </c>
      <c r="AB158" s="7"/>
      <c r="AC158" s="32" t="s">
        <v>183</v>
      </c>
      <c r="AD158" s="7"/>
      <c r="AE158" s="7">
        <v>0</v>
      </c>
      <c r="AF158" s="7">
        <v>0</v>
      </c>
      <c r="AG158" s="7">
        <f t="shared" si="438"/>
        <v>295</v>
      </c>
      <c r="AH158" s="7"/>
      <c r="AI158" s="7"/>
      <c r="AJ158" s="7"/>
      <c r="AK158" s="4">
        <f t="shared" si="452"/>
        <v>295</v>
      </c>
      <c r="AL158" s="4">
        <f t="shared" si="459"/>
        <v>0.24858757062146894</v>
      </c>
      <c r="AM158" s="4">
        <f t="shared" si="460"/>
        <v>249.65751469880246</v>
      </c>
      <c r="AN158" s="4">
        <f t="shared" si="512"/>
        <v>0.77457627118644068</v>
      </c>
      <c r="AO158" s="4">
        <v>1.25</v>
      </c>
      <c r="AP158" s="25">
        <v>1</v>
      </c>
      <c r="AQ158" s="38">
        <f t="shared" si="507"/>
        <v>60.089453528242842</v>
      </c>
      <c r="AT158" s="38">
        <f t="shared" si="461"/>
        <v>60.089453528242863</v>
      </c>
      <c r="AU158" s="38">
        <f t="shared" si="406"/>
        <v>0.99999999999999967</v>
      </c>
      <c r="AV158" s="38">
        <f t="shared" si="462"/>
        <v>5.0316045655661839</v>
      </c>
      <c r="AW158" s="4">
        <f t="shared" si="463"/>
        <v>0</v>
      </c>
      <c r="AX158" s="4">
        <f t="shared" si="464"/>
        <v>215.10620678935533</v>
      </c>
      <c r="AY158" s="4">
        <f t="shared" si="386"/>
        <v>1</v>
      </c>
      <c r="AZ158" s="38">
        <f t="shared" si="465"/>
        <v>302.34636871508383</v>
      </c>
      <c r="BA158" s="4">
        <f t="shared" si="466"/>
        <v>0.44000000000000006</v>
      </c>
      <c r="BB158" s="4">
        <f t="shared" si="467"/>
        <v>49.452916940872797</v>
      </c>
      <c r="BC158" s="4">
        <f t="shared" si="468"/>
        <v>351.79928565595662</v>
      </c>
      <c r="BE158" s="4">
        <f t="shared" si="469"/>
        <v>1.3931564245810057</v>
      </c>
      <c r="BF158" s="4">
        <f t="shared" si="470"/>
        <v>378.1105933434016</v>
      </c>
      <c r="BH158" s="4">
        <f t="shared" si="508"/>
        <v>289.98714214931721</v>
      </c>
      <c r="BI158" s="4">
        <f t="shared" si="509"/>
        <v>363.03340318192352</v>
      </c>
      <c r="BJ158" s="4">
        <f t="shared" si="510"/>
        <v>1.2518948270988997</v>
      </c>
      <c r="BK158" s="4">
        <f t="shared" si="471"/>
        <v>92.1</v>
      </c>
      <c r="BL158" s="4">
        <f t="shared" si="472"/>
        <v>92.1</v>
      </c>
      <c r="BM158" s="4">
        <f t="shared" si="473"/>
        <v>369</v>
      </c>
      <c r="BN158" s="4">
        <f t="shared" si="474"/>
        <v>110</v>
      </c>
      <c r="BO158" s="4">
        <f t="shared" si="475"/>
        <v>1.25</v>
      </c>
      <c r="BP158" s="25">
        <f t="shared" si="476"/>
        <v>3.8407821229050283</v>
      </c>
      <c r="BR158" s="4">
        <f t="shared" si="477"/>
        <v>92.1</v>
      </c>
      <c r="BV158" s="9"/>
      <c r="BX158" s="9"/>
      <c r="BY158" s="9"/>
      <c r="BZ158" s="9">
        <f t="shared" si="478"/>
        <v>92.1</v>
      </c>
      <c r="CA158" s="9">
        <f t="shared" si="479"/>
        <v>92.1</v>
      </c>
      <c r="CB158" s="9">
        <f t="shared" si="480"/>
        <v>1.6039406779317067</v>
      </c>
      <c r="CC158" s="9">
        <v>0</v>
      </c>
      <c r="CD158" s="9">
        <f t="shared" si="481"/>
        <v>0</v>
      </c>
      <c r="CE158" s="9">
        <f t="shared" si="482"/>
        <v>0</v>
      </c>
      <c r="CF158" s="9">
        <f t="shared" si="483"/>
        <v>0.89787751228078194</v>
      </c>
      <c r="CG158" s="9">
        <f t="shared" si="484"/>
        <v>1.0988</v>
      </c>
      <c r="CH158" s="9">
        <f t="shared" si="485"/>
        <v>1.7126607436390533</v>
      </c>
      <c r="CI158" s="9">
        <f t="shared" si="486"/>
        <v>2.7470062342194441</v>
      </c>
      <c r="CJ158" s="9">
        <v>1</v>
      </c>
      <c r="CK158" s="9">
        <f t="shared" si="487"/>
        <v>255.36415495760644</v>
      </c>
      <c r="DH158" s="4">
        <f t="shared" si="368"/>
        <v>0</v>
      </c>
      <c r="DI158" s="4">
        <f t="shared" si="488"/>
        <v>295</v>
      </c>
      <c r="DL158" s="4">
        <f t="shared" si="371"/>
        <v>1.4142160678480981E-5</v>
      </c>
      <c r="DM158" s="4">
        <f t="shared" si="372"/>
        <v>5.6886371181108544</v>
      </c>
      <c r="DR158" s="38">
        <f t="shared" si="447"/>
        <v>60.089453528242863</v>
      </c>
      <c r="DS158" s="4">
        <f t="shared" si="417"/>
        <v>0.29583762773159056</v>
      </c>
      <c r="DU158" s="4">
        <f t="shared" si="448"/>
        <v>60.089453528242863</v>
      </c>
      <c r="DY158" s="4">
        <f t="shared" si="489"/>
        <v>0.85</v>
      </c>
      <c r="DZ158" s="4">
        <f t="shared" si="490"/>
        <v>0.84273743016759772</v>
      </c>
      <c r="EA158" s="4">
        <f t="shared" si="491"/>
        <v>1</v>
      </c>
      <c r="EB158" s="4">
        <f t="shared" si="492"/>
        <v>0.84273743016759772</v>
      </c>
      <c r="EE158" s="25">
        <f t="shared" si="493"/>
        <v>148.28352068460089</v>
      </c>
      <c r="EH158" s="4">
        <f t="shared" si="494"/>
        <v>5.6886371181108544</v>
      </c>
      <c r="EK158" s="4">
        <f t="shared" si="374"/>
        <v>80.051233594492473</v>
      </c>
      <c r="EL158" s="4">
        <f t="shared" si="375"/>
        <v>2.2360679774997898</v>
      </c>
      <c r="EM158" s="4">
        <f t="shared" si="376"/>
        <v>5.1587072203306245E-2</v>
      </c>
      <c r="EP158" s="4">
        <f t="shared" si="495"/>
        <v>5.1587072203306245E-2</v>
      </c>
      <c r="EQ158" s="4">
        <f t="shared" si="496"/>
        <v>0.18989463697148015</v>
      </c>
      <c r="ER158" s="4">
        <f t="shared" si="377"/>
        <v>2.9269365675660954</v>
      </c>
      <c r="ES158" s="4">
        <f t="shared" si="497"/>
        <v>4.5257142689842214</v>
      </c>
      <c r="ET158" s="4">
        <f t="shared" si="378"/>
        <v>141.19876640550751</v>
      </c>
      <c r="EU158" s="4">
        <f t="shared" si="379"/>
        <v>73.75</v>
      </c>
      <c r="EV158" s="4">
        <f t="shared" si="498"/>
        <v>1.4142160678480981E-5</v>
      </c>
      <c r="EW158" s="4">
        <f t="shared" si="499"/>
        <v>5.5153952400549962</v>
      </c>
      <c r="EX158" s="4">
        <f t="shared" si="511"/>
        <v>203.1163310394079</v>
      </c>
      <c r="FG158" s="23"/>
      <c r="FH158" s="23"/>
      <c r="FI158" s="23"/>
      <c r="FJ158" s="23"/>
      <c r="FK158" s="23"/>
      <c r="FL158" s="23"/>
      <c r="FM158" s="23"/>
      <c r="FN158" s="23"/>
      <c r="FX158" s="4">
        <f t="shared" si="422"/>
        <v>1</v>
      </c>
      <c r="FY158" s="4">
        <f t="shared" si="513"/>
        <v>0.85000000000000009</v>
      </c>
      <c r="FZ158" s="4">
        <f t="shared" si="423"/>
        <v>0</v>
      </c>
      <c r="GA158" s="4">
        <f t="shared" si="424"/>
        <v>181.33930294295271</v>
      </c>
    </row>
    <row r="159" spans="1:183" ht="12" customHeight="1" x14ac:dyDescent="0.3">
      <c r="A159" s="25">
        <v>141</v>
      </c>
      <c r="B159" s="24" t="s">
        <v>659</v>
      </c>
      <c r="C159" s="24">
        <v>2007</v>
      </c>
      <c r="D159" s="24" t="s">
        <v>309</v>
      </c>
      <c r="E159" s="24"/>
      <c r="F159" s="4" t="s">
        <v>118</v>
      </c>
      <c r="G159" s="7">
        <v>450.6</v>
      </c>
      <c r="H159" s="7">
        <v>295</v>
      </c>
      <c r="I159" s="7">
        <f t="shared" si="500"/>
        <v>295</v>
      </c>
      <c r="J159" s="7">
        <v>24.6</v>
      </c>
      <c r="K159" s="7">
        <v>35.799999999999997</v>
      </c>
      <c r="L159" s="7">
        <f t="shared" si="454"/>
        <v>8.2402234636871512</v>
      </c>
      <c r="M159" s="7">
        <f t="shared" si="455"/>
        <v>8.2402234636871512</v>
      </c>
      <c r="N159" s="7">
        <v>220</v>
      </c>
      <c r="O159" s="7">
        <f t="shared" si="456"/>
        <v>92.1</v>
      </c>
      <c r="P159" s="7">
        <f t="shared" si="514"/>
        <v>127</v>
      </c>
      <c r="Q159" s="7">
        <v>0</v>
      </c>
      <c r="R159" s="7">
        <v>1</v>
      </c>
      <c r="S159" s="7">
        <f>434-65</f>
        <v>369</v>
      </c>
      <c r="T159" s="7">
        <f t="shared" si="503"/>
        <v>3.0726256983240225</v>
      </c>
      <c r="U159" s="7">
        <f t="shared" si="504"/>
        <v>3.0726256983240225</v>
      </c>
      <c r="V159" s="7">
        <f t="shared" si="505"/>
        <v>4</v>
      </c>
      <c r="W159" s="7">
        <f t="shared" si="505"/>
        <v>4</v>
      </c>
      <c r="X159" s="7">
        <f t="shared" si="457"/>
        <v>5</v>
      </c>
      <c r="Y159" s="7">
        <f t="shared" si="458"/>
        <v>80.051233594492473</v>
      </c>
      <c r="Z159" s="7">
        <f t="shared" si="506"/>
        <v>450.6</v>
      </c>
      <c r="AA159" s="7">
        <v>12</v>
      </c>
      <c r="AB159" s="7"/>
      <c r="AC159" s="32" t="s">
        <v>183</v>
      </c>
      <c r="AD159" s="7"/>
      <c r="AE159" s="7">
        <v>0</v>
      </c>
      <c r="AF159" s="7">
        <v>0</v>
      </c>
      <c r="AG159" s="7">
        <f t="shared" si="438"/>
        <v>295</v>
      </c>
      <c r="AH159" s="7"/>
      <c r="AI159" s="7"/>
      <c r="AJ159" s="7"/>
      <c r="AK159" s="4">
        <f t="shared" si="452"/>
        <v>295</v>
      </c>
      <c r="AL159" s="4">
        <f t="shared" si="459"/>
        <v>0.24858757062146894</v>
      </c>
      <c r="AM159" s="4">
        <f t="shared" si="460"/>
        <v>249.65751469880246</v>
      </c>
      <c r="AN159" s="4">
        <f t="shared" si="512"/>
        <v>0.77457627118644068</v>
      </c>
      <c r="AO159" s="4">
        <v>1.25</v>
      </c>
      <c r="AP159" s="25">
        <v>1</v>
      </c>
      <c r="AQ159" s="38">
        <f t="shared" si="507"/>
        <v>60.089453528242842</v>
      </c>
      <c r="AT159" s="38">
        <f t="shared" si="461"/>
        <v>60.089453528242863</v>
      </c>
      <c r="AU159" s="38">
        <f t="shared" si="406"/>
        <v>0.99999999999999967</v>
      </c>
      <c r="AV159" s="38">
        <f t="shared" si="462"/>
        <v>5.0316045655661839</v>
      </c>
      <c r="AW159" s="4">
        <f t="shared" si="463"/>
        <v>0</v>
      </c>
      <c r="AX159" s="4">
        <f t="shared" si="464"/>
        <v>215.10620678935533</v>
      </c>
      <c r="AY159" s="4">
        <f t="shared" si="386"/>
        <v>1</v>
      </c>
      <c r="AZ159" s="38">
        <f t="shared" si="465"/>
        <v>302.34636871508383</v>
      </c>
      <c r="BA159" s="4">
        <f t="shared" si="466"/>
        <v>0.44000000000000006</v>
      </c>
      <c r="BB159" s="4">
        <f t="shared" si="467"/>
        <v>49.452916940872797</v>
      </c>
      <c r="BC159" s="4">
        <f t="shared" si="468"/>
        <v>351.79928565595662</v>
      </c>
      <c r="BE159" s="4">
        <f t="shared" si="469"/>
        <v>1.3931564245810057</v>
      </c>
      <c r="BF159" s="4">
        <f t="shared" si="470"/>
        <v>378.1105933434016</v>
      </c>
      <c r="BH159" s="4">
        <f t="shared" si="508"/>
        <v>289.98714214931721</v>
      </c>
      <c r="BI159" s="4">
        <f t="shared" si="509"/>
        <v>363.03340318192352</v>
      </c>
      <c r="BJ159" s="4">
        <f t="shared" si="510"/>
        <v>1.2518948270988997</v>
      </c>
      <c r="BK159" s="4">
        <f t="shared" si="471"/>
        <v>92.1</v>
      </c>
      <c r="BL159" s="4">
        <f t="shared" si="472"/>
        <v>92.1</v>
      </c>
      <c r="BM159" s="4">
        <f t="shared" si="473"/>
        <v>369</v>
      </c>
      <c r="BN159" s="4">
        <f t="shared" si="474"/>
        <v>110</v>
      </c>
      <c r="BO159" s="4">
        <f t="shared" si="475"/>
        <v>1.25</v>
      </c>
      <c r="BP159" s="25">
        <f t="shared" si="476"/>
        <v>3.8407821229050283</v>
      </c>
      <c r="BR159" s="4">
        <f t="shared" si="477"/>
        <v>92.1</v>
      </c>
      <c r="BV159" s="9"/>
      <c r="BX159" s="9"/>
      <c r="BY159" s="9"/>
      <c r="BZ159" s="9">
        <f t="shared" si="478"/>
        <v>92.1</v>
      </c>
      <c r="CA159" s="9">
        <f t="shared" si="479"/>
        <v>92.1</v>
      </c>
      <c r="CB159" s="9">
        <f t="shared" si="480"/>
        <v>1.6039406779317067</v>
      </c>
      <c r="CC159" s="9">
        <v>0</v>
      </c>
      <c r="CD159" s="9">
        <f t="shared" si="481"/>
        <v>0</v>
      </c>
      <c r="CE159" s="9">
        <f t="shared" si="482"/>
        <v>0</v>
      </c>
      <c r="CF159" s="9">
        <f t="shared" si="483"/>
        <v>0.89787751228078194</v>
      </c>
      <c r="CG159" s="9">
        <f t="shared" si="484"/>
        <v>1.0988</v>
      </c>
      <c r="CH159" s="9">
        <f t="shared" si="485"/>
        <v>1.7126607436390533</v>
      </c>
      <c r="CI159" s="9">
        <f t="shared" si="486"/>
        <v>2.7470062342194441</v>
      </c>
      <c r="CJ159" s="9">
        <v>1</v>
      </c>
      <c r="CK159" s="9">
        <f t="shared" si="487"/>
        <v>255.36415495760644</v>
      </c>
      <c r="DH159" s="4">
        <f t="shared" si="368"/>
        <v>0</v>
      </c>
      <c r="DI159" s="4">
        <f t="shared" si="488"/>
        <v>295</v>
      </c>
      <c r="DL159" s="4">
        <f t="shared" si="371"/>
        <v>1.4142160678480981E-5</v>
      </c>
      <c r="DM159" s="4">
        <f t="shared" si="372"/>
        <v>5.6886371181108544</v>
      </c>
      <c r="DR159" s="38">
        <f t="shared" si="447"/>
        <v>60.089453528242863</v>
      </c>
      <c r="DS159" s="4">
        <f t="shared" si="417"/>
        <v>0.29583762773159056</v>
      </c>
      <c r="DU159" s="4">
        <f t="shared" si="448"/>
        <v>60.089453528242863</v>
      </c>
      <c r="DY159" s="4">
        <f t="shared" si="489"/>
        <v>0.85</v>
      </c>
      <c r="DZ159" s="4">
        <f t="shared" si="490"/>
        <v>0.84273743016759772</v>
      </c>
      <c r="EA159" s="4">
        <f t="shared" si="491"/>
        <v>1</v>
      </c>
      <c r="EB159" s="4">
        <f t="shared" si="492"/>
        <v>0.84273743016759772</v>
      </c>
      <c r="EE159" s="25">
        <f t="shared" si="493"/>
        <v>148.28352068460089</v>
      </c>
      <c r="EH159" s="4">
        <f t="shared" si="494"/>
        <v>5.6886371181108544</v>
      </c>
      <c r="EK159" s="4">
        <f t="shared" si="374"/>
        <v>80.051233594492473</v>
      </c>
      <c r="EL159" s="4">
        <f t="shared" si="375"/>
        <v>2.2360679774997898</v>
      </c>
      <c r="EM159" s="4">
        <f t="shared" si="376"/>
        <v>5.1587072203306245E-2</v>
      </c>
      <c r="EP159" s="4">
        <f t="shared" si="495"/>
        <v>5.1587072203306245E-2</v>
      </c>
      <c r="EQ159" s="4">
        <f t="shared" si="496"/>
        <v>0.18989463697148015</v>
      </c>
      <c r="ER159" s="4">
        <f t="shared" si="377"/>
        <v>2.9269365675660954</v>
      </c>
      <c r="ES159" s="4">
        <f t="shared" si="497"/>
        <v>4.5257142689842214</v>
      </c>
      <c r="ET159" s="4">
        <f t="shared" si="378"/>
        <v>141.19876640550751</v>
      </c>
      <c r="EU159" s="4">
        <f t="shared" si="379"/>
        <v>73.75</v>
      </c>
      <c r="EV159" s="4">
        <f t="shared" si="498"/>
        <v>1.4142160678480981E-5</v>
      </c>
      <c r="EW159" s="4">
        <f t="shared" si="499"/>
        <v>5.5153952400549962</v>
      </c>
      <c r="EX159" s="4">
        <f t="shared" si="511"/>
        <v>203.1163310394079</v>
      </c>
      <c r="FG159" s="23"/>
      <c r="FH159" s="23"/>
      <c r="FI159" s="23"/>
      <c r="FJ159" s="23"/>
      <c r="FK159" s="23"/>
      <c r="FL159" s="23"/>
      <c r="FM159" s="23"/>
      <c r="FN159" s="23"/>
      <c r="FX159" s="4">
        <f t="shared" si="422"/>
        <v>1</v>
      </c>
      <c r="FY159" s="4">
        <f t="shared" si="513"/>
        <v>0.85000000000000009</v>
      </c>
      <c r="FZ159" s="4">
        <f t="shared" si="423"/>
        <v>0</v>
      </c>
      <c r="GA159" s="4">
        <f t="shared" si="424"/>
        <v>181.33930294295271</v>
      </c>
    </row>
    <row r="160" spans="1:183" ht="12" customHeight="1" x14ac:dyDescent="0.3">
      <c r="A160" s="25">
        <v>142</v>
      </c>
      <c r="B160" s="24" t="s">
        <v>659</v>
      </c>
      <c r="C160" s="24">
        <v>2007</v>
      </c>
      <c r="D160" s="24" t="s">
        <v>309</v>
      </c>
      <c r="E160" s="24"/>
      <c r="F160" s="4" t="s">
        <v>119</v>
      </c>
      <c r="G160" s="7">
        <v>450.6</v>
      </c>
      <c r="H160" s="7">
        <v>217</v>
      </c>
      <c r="I160" s="7">
        <f t="shared" si="500"/>
        <v>217</v>
      </c>
      <c r="J160" s="7">
        <v>24.6</v>
      </c>
      <c r="K160" s="7">
        <v>35.799999999999997</v>
      </c>
      <c r="L160" s="7">
        <f t="shared" si="454"/>
        <v>6.061452513966481</v>
      </c>
      <c r="M160" s="7">
        <f t="shared" si="455"/>
        <v>6.061452513966481</v>
      </c>
      <c r="N160" s="7">
        <v>220</v>
      </c>
      <c r="O160" s="7">
        <f t="shared" si="456"/>
        <v>92.1</v>
      </c>
      <c r="P160" s="7">
        <f t="shared" si="514"/>
        <v>205</v>
      </c>
      <c r="Q160" s="7">
        <v>0</v>
      </c>
      <c r="R160" s="7">
        <v>1</v>
      </c>
      <c r="S160" s="7">
        <f>434-65</f>
        <v>369</v>
      </c>
      <c r="T160" s="7">
        <f t="shared" si="503"/>
        <v>3.0726256983240225</v>
      </c>
      <c r="U160" s="7">
        <f t="shared" si="504"/>
        <v>3.0726256983240225</v>
      </c>
      <c r="V160" s="7">
        <f t="shared" si="505"/>
        <v>4</v>
      </c>
      <c r="W160" s="7">
        <f t="shared" si="505"/>
        <v>4</v>
      </c>
      <c r="X160" s="7">
        <f t="shared" si="457"/>
        <v>5</v>
      </c>
      <c r="Y160" s="7">
        <f t="shared" si="458"/>
        <v>80.051233594492473</v>
      </c>
      <c r="Z160" s="7">
        <f t="shared" si="506"/>
        <v>450.6</v>
      </c>
      <c r="AA160" s="7">
        <v>12</v>
      </c>
      <c r="AB160" s="7">
        <f>(117+122)/2/1006*1000</f>
        <v>118.78727634194831</v>
      </c>
      <c r="AC160" s="7"/>
      <c r="AD160" s="7"/>
      <c r="AE160" s="7">
        <v>0</v>
      </c>
      <c r="AF160" s="7">
        <v>0</v>
      </c>
      <c r="AG160" s="7">
        <f t="shared" si="438"/>
        <v>217</v>
      </c>
      <c r="AH160" s="7"/>
      <c r="AI160" s="7"/>
      <c r="AJ160" s="7"/>
      <c r="AK160" s="4">
        <f t="shared" si="452"/>
        <v>217</v>
      </c>
      <c r="AL160" s="4">
        <f t="shared" si="459"/>
        <v>0.33794162826420893</v>
      </c>
      <c r="AM160" s="4">
        <f t="shared" si="460"/>
        <v>150.58294354764655</v>
      </c>
      <c r="AN160" s="4">
        <f t="shared" si="512"/>
        <v>0.80138248847926263</v>
      </c>
      <c r="AO160" s="4">
        <v>1.25</v>
      </c>
      <c r="AP160" s="25">
        <v>1</v>
      </c>
      <c r="AQ160" s="38">
        <f t="shared" si="507"/>
        <v>50.976185647089032</v>
      </c>
      <c r="AT160" s="38">
        <f t="shared" si="461"/>
        <v>53.320323184075299</v>
      </c>
      <c r="AU160" s="38">
        <f t="shared" si="406"/>
        <v>0.95603669676018821</v>
      </c>
      <c r="AV160" s="38">
        <f t="shared" si="462"/>
        <v>5.6703776470241447</v>
      </c>
      <c r="AW160" s="4">
        <f t="shared" si="463"/>
        <v>0</v>
      </c>
      <c r="AX160" s="4">
        <f t="shared" si="464"/>
        <v>158.23066736708512</v>
      </c>
      <c r="AY160" s="4">
        <f t="shared" si="386"/>
        <v>1</v>
      </c>
      <c r="AZ160" s="38">
        <f t="shared" si="465"/>
        <v>302.34636871508383</v>
      </c>
      <c r="BA160" s="4">
        <f t="shared" si="466"/>
        <v>0.44000000000000006</v>
      </c>
      <c r="BB160" s="4">
        <f t="shared" si="467"/>
        <v>36.377230427692872</v>
      </c>
      <c r="BC160" s="4">
        <f t="shared" si="468"/>
        <v>338.72359914277672</v>
      </c>
      <c r="BE160" s="4">
        <f t="shared" si="469"/>
        <v>1.3931564245810057</v>
      </c>
      <c r="BF160" s="4">
        <f t="shared" si="470"/>
        <v>332.94577514924339</v>
      </c>
      <c r="BH160" s="4">
        <f t="shared" si="508"/>
        <v>289.98714214931721</v>
      </c>
      <c r="BI160" s="4">
        <f t="shared" si="509"/>
        <v>363.03340318192352</v>
      </c>
      <c r="BJ160" s="4">
        <f t="shared" si="510"/>
        <v>1.2518948270988997</v>
      </c>
      <c r="BK160" s="4">
        <f t="shared" si="471"/>
        <v>92.1</v>
      </c>
      <c r="BL160" s="4">
        <f t="shared" si="472"/>
        <v>92.1</v>
      </c>
      <c r="BM160" s="4">
        <f t="shared" si="473"/>
        <v>369</v>
      </c>
      <c r="BN160" s="4">
        <f t="shared" si="474"/>
        <v>110</v>
      </c>
      <c r="BO160" s="4">
        <f t="shared" si="475"/>
        <v>1.25</v>
      </c>
      <c r="BP160" s="25">
        <f t="shared" si="476"/>
        <v>3.8407821229050283</v>
      </c>
      <c r="BR160" s="4">
        <f t="shared" si="477"/>
        <v>92.1</v>
      </c>
      <c r="BV160" s="9"/>
      <c r="BX160" s="9"/>
      <c r="BY160" s="9"/>
      <c r="BZ160" s="9">
        <f t="shared" si="478"/>
        <v>92.1</v>
      </c>
      <c r="CA160" s="9">
        <f t="shared" si="479"/>
        <v>92.1</v>
      </c>
      <c r="CB160" s="9">
        <f t="shared" si="480"/>
        <v>1.6039406779317067</v>
      </c>
      <c r="CC160" s="9">
        <v>0</v>
      </c>
      <c r="CD160" s="9">
        <f t="shared" si="481"/>
        <v>0</v>
      </c>
      <c r="CE160" s="9">
        <f t="shared" si="482"/>
        <v>0</v>
      </c>
      <c r="CF160" s="9">
        <f t="shared" si="483"/>
        <v>0.89787751228078194</v>
      </c>
      <c r="CG160" s="9">
        <f t="shared" si="484"/>
        <v>1.0988</v>
      </c>
      <c r="CH160" s="9">
        <f t="shared" si="485"/>
        <v>1.7126607436390533</v>
      </c>
      <c r="CI160" s="9">
        <f t="shared" si="486"/>
        <v>2.7470062342194441</v>
      </c>
      <c r="CJ160" s="9">
        <v>1</v>
      </c>
      <c r="CK160" s="9">
        <f t="shared" si="487"/>
        <v>231.42376543033083</v>
      </c>
      <c r="DH160" s="4">
        <f t="shared" si="368"/>
        <v>0</v>
      </c>
      <c r="DI160" s="4">
        <f t="shared" si="488"/>
        <v>217</v>
      </c>
      <c r="DL160" s="4">
        <f t="shared" si="371"/>
        <v>1.0402877516035162E-5</v>
      </c>
      <c r="DM160" s="4">
        <f t="shared" si="372"/>
        <v>5.6886371181108544</v>
      </c>
      <c r="DR160" s="38">
        <f t="shared" si="447"/>
        <v>53.320323184075299</v>
      </c>
      <c r="DS160" s="4">
        <f t="shared" si="417"/>
        <v>0.34703441987354833</v>
      </c>
      <c r="DU160" s="4">
        <f t="shared" si="448"/>
        <v>53.320323184075299</v>
      </c>
      <c r="DY160" s="4">
        <f t="shared" si="489"/>
        <v>0.85</v>
      </c>
      <c r="DZ160" s="4">
        <f t="shared" si="490"/>
        <v>0.84273743016759772</v>
      </c>
      <c r="EA160" s="4">
        <f t="shared" si="491"/>
        <v>1</v>
      </c>
      <c r="EB160" s="4">
        <f t="shared" si="492"/>
        <v>0.84273743016759772</v>
      </c>
      <c r="EE160" s="25">
        <f t="shared" si="493"/>
        <v>130.92169024282668</v>
      </c>
      <c r="EH160" s="4">
        <f t="shared" si="494"/>
        <v>5.6886371181108544</v>
      </c>
      <c r="EK160" s="4">
        <f t="shared" si="374"/>
        <v>80.051233594492473</v>
      </c>
      <c r="EL160" s="4">
        <f t="shared" si="375"/>
        <v>2.2360679774997898</v>
      </c>
      <c r="EM160" s="4">
        <f t="shared" si="376"/>
        <v>4.5775742671843048E-2</v>
      </c>
      <c r="EP160" s="4">
        <f t="shared" si="495"/>
        <v>4.5775742671843048E-2</v>
      </c>
      <c r="EQ160" s="4">
        <f t="shared" si="496"/>
        <v>0.16850283734870336</v>
      </c>
      <c r="ER160" s="4">
        <f t="shared" si="377"/>
        <v>2.7903014063860758</v>
      </c>
      <c r="ES160" s="4">
        <f t="shared" si="497"/>
        <v>4.4828461654785512</v>
      </c>
      <c r="ET160" s="4">
        <f t="shared" si="378"/>
        <v>82.698766405507527</v>
      </c>
      <c r="EU160" s="4">
        <f t="shared" si="379"/>
        <v>54.249999999999986</v>
      </c>
      <c r="EV160" s="4">
        <f t="shared" si="498"/>
        <v>1.0402877516035159E-5</v>
      </c>
      <c r="EW160" s="4">
        <f t="shared" si="499"/>
        <v>5.6003429880312172</v>
      </c>
      <c r="EX160" s="4">
        <f t="shared" si="511"/>
        <v>153.64563320117944</v>
      </c>
      <c r="FG160" s="23"/>
      <c r="FH160" s="23"/>
      <c r="FI160" s="23"/>
      <c r="FJ160" s="23"/>
      <c r="FK160" s="23"/>
      <c r="FL160" s="23"/>
      <c r="FM160" s="23"/>
      <c r="FN160" s="23"/>
      <c r="FX160" s="4">
        <f t="shared" si="422"/>
        <v>1</v>
      </c>
      <c r="FY160" s="4">
        <f t="shared" si="513"/>
        <v>0.85000000000000009</v>
      </c>
      <c r="FZ160" s="4">
        <f t="shared" si="423"/>
        <v>0</v>
      </c>
      <c r="GA160" s="4">
        <f t="shared" si="424"/>
        <v>133.39196182583299</v>
      </c>
    </row>
    <row r="161" spans="1:183" ht="12" customHeight="1" x14ac:dyDescent="0.3">
      <c r="A161" s="25">
        <v>143</v>
      </c>
      <c r="B161" s="24" t="s">
        <v>659</v>
      </c>
      <c r="C161" s="24">
        <v>2007</v>
      </c>
      <c r="D161" s="24" t="s">
        <v>309</v>
      </c>
      <c r="E161" s="24"/>
      <c r="F161" s="4" t="s">
        <v>120</v>
      </c>
      <c r="G161" s="7">
        <v>454.8</v>
      </c>
      <c r="H161" s="7">
        <v>264</v>
      </c>
      <c r="I161" s="7">
        <f t="shared" si="500"/>
        <v>264</v>
      </c>
      <c r="J161" s="7">
        <v>25.1</v>
      </c>
      <c r="K161" s="7">
        <v>25.4</v>
      </c>
      <c r="L161" s="7">
        <f t="shared" si="454"/>
        <v>10.393700787401576</v>
      </c>
      <c r="M161" s="7">
        <f t="shared" si="455"/>
        <v>10.393700787401576</v>
      </c>
      <c r="N161" s="7">
        <v>160</v>
      </c>
      <c r="O161" s="7">
        <f t="shared" si="456"/>
        <v>67.3</v>
      </c>
      <c r="P161" s="7">
        <f>323-9-I161</f>
        <v>50</v>
      </c>
      <c r="Q161" s="7">
        <v>0</v>
      </c>
      <c r="R161" s="7">
        <v>1</v>
      </c>
      <c r="S161" s="7">
        <f>323-45</f>
        <v>278</v>
      </c>
      <c r="T161" s="7">
        <f t="shared" si="503"/>
        <v>3.1496062992125986</v>
      </c>
      <c r="U161" s="7">
        <f t="shared" si="504"/>
        <v>3.1496062992125986</v>
      </c>
      <c r="V161" s="7">
        <f>2040/510</f>
        <v>4</v>
      </c>
      <c r="W161" s="7">
        <f>2040/510</f>
        <v>4</v>
      </c>
      <c r="X161" s="7">
        <f t="shared" si="457"/>
        <v>5</v>
      </c>
      <c r="Y161" s="7">
        <f t="shared" si="458"/>
        <v>56.796126628494655</v>
      </c>
      <c r="Z161" s="7">
        <f t="shared" si="506"/>
        <v>454.8</v>
      </c>
      <c r="AA161" s="7">
        <v>9</v>
      </c>
      <c r="AB161" s="7"/>
      <c r="AC161" s="32" t="s">
        <v>183</v>
      </c>
      <c r="AD161" s="7"/>
      <c r="AE161" s="7">
        <v>0</v>
      </c>
      <c r="AF161" s="7">
        <v>0</v>
      </c>
      <c r="AG161" s="7">
        <f t="shared" si="438"/>
        <v>264</v>
      </c>
      <c r="AH161" s="7"/>
      <c r="AI161" s="7"/>
      <c r="AJ161" s="7"/>
      <c r="AK161" s="4">
        <f t="shared" si="452"/>
        <v>264</v>
      </c>
      <c r="AL161" s="4">
        <f t="shared" si="459"/>
        <v>0.20202020202020202</v>
      </c>
      <c r="AM161" s="4">
        <f t="shared" si="460"/>
        <v>418.93890953923358</v>
      </c>
      <c r="AN161" s="4">
        <f t="shared" si="512"/>
        <v>0.76060606060606051</v>
      </c>
      <c r="AO161" s="4">
        <v>1.25</v>
      </c>
      <c r="AP161" s="25">
        <v>1</v>
      </c>
      <c r="AQ161" s="38">
        <f t="shared" si="507"/>
        <v>80.466533742231093</v>
      </c>
      <c r="AT161" s="38">
        <f t="shared" si="461"/>
        <v>81.461055336491228</v>
      </c>
      <c r="AU161" s="38">
        <f t="shared" si="406"/>
        <v>0.98779144721177425</v>
      </c>
      <c r="AV161" s="38">
        <f t="shared" si="462"/>
        <v>3.8818607386650328</v>
      </c>
      <c r="AW161" s="4">
        <f t="shared" si="463"/>
        <v>0</v>
      </c>
      <c r="AX161" s="4">
        <f t="shared" si="464"/>
        <v>274.06493271173576</v>
      </c>
      <c r="AY161" s="4">
        <f t="shared" si="386"/>
        <v>1</v>
      </c>
      <c r="AZ161" s="38">
        <f t="shared" si="465"/>
        <v>316.22047244094495</v>
      </c>
      <c r="BA161" s="4">
        <f t="shared" si="466"/>
        <v>0.44000000000000006</v>
      </c>
      <c r="BB161" s="4">
        <f t="shared" si="467"/>
        <v>63.007528030428062</v>
      </c>
      <c r="BC161" s="4">
        <f t="shared" si="468"/>
        <v>379.22800047137298</v>
      </c>
      <c r="BE161" s="4">
        <f t="shared" si="469"/>
        <v>1.4124015748031495</v>
      </c>
      <c r="BF161" s="4">
        <f t="shared" si="470"/>
        <v>432.92468707718285</v>
      </c>
      <c r="BH161" s="4">
        <f t="shared" si="508"/>
        <v>303.29410431474349</v>
      </c>
      <c r="BI161" s="4">
        <f t="shared" si="509"/>
        <v>1084.9722194286705</v>
      </c>
      <c r="BJ161" s="4">
        <f t="shared" si="510"/>
        <v>3.5772941313186242</v>
      </c>
      <c r="BK161" s="4">
        <f t="shared" si="471"/>
        <v>67.3</v>
      </c>
      <c r="BL161" s="4">
        <f t="shared" si="472"/>
        <v>67.3</v>
      </c>
      <c r="BM161" s="4">
        <f t="shared" si="473"/>
        <v>278</v>
      </c>
      <c r="BN161" s="4">
        <f t="shared" si="474"/>
        <v>80</v>
      </c>
      <c r="BO161" s="4">
        <f t="shared" si="475"/>
        <v>1.25</v>
      </c>
      <c r="BP161" s="25">
        <f t="shared" si="476"/>
        <v>3.9370078740157481</v>
      </c>
      <c r="BR161" s="4">
        <f t="shared" si="477"/>
        <v>67.3</v>
      </c>
      <c r="BV161" s="9"/>
      <c r="BX161" s="9"/>
      <c r="BY161" s="9"/>
      <c r="BZ161" s="9">
        <f t="shared" si="478"/>
        <v>50</v>
      </c>
      <c r="CA161" s="9">
        <f t="shared" si="479"/>
        <v>67.3</v>
      </c>
      <c r="CB161" s="9">
        <f t="shared" si="480"/>
        <v>1.4669823979017429</v>
      </c>
      <c r="CC161" s="9">
        <v>0</v>
      </c>
      <c r="CD161" s="9">
        <f t="shared" si="481"/>
        <v>0</v>
      </c>
      <c r="CE161" s="9">
        <f t="shared" si="482"/>
        <v>0</v>
      </c>
      <c r="CF161" s="9">
        <f t="shared" si="483"/>
        <v>0.99524931562137331</v>
      </c>
      <c r="CG161" s="9">
        <f t="shared" si="484"/>
        <v>1.0903999999999998</v>
      </c>
      <c r="CH161" s="9">
        <f t="shared" si="485"/>
        <v>1.9029292228649537</v>
      </c>
      <c r="CI161" s="9">
        <f t="shared" si="486"/>
        <v>2.7915636743957299</v>
      </c>
      <c r="CJ161" s="9">
        <v>1</v>
      </c>
      <c r="CK161" s="9">
        <f t="shared" si="487"/>
        <v>283.55253070633796</v>
      </c>
      <c r="DH161" s="4">
        <f t="shared" si="368"/>
        <v>0</v>
      </c>
      <c r="DI161" s="4">
        <f t="shared" si="488"/>
        <v>264</v>
      </c>
      <c r="DL161" s="4">
        <f t="shared" si="371"/>
        <v>1.7905564181465992E-5</v>
      </c>
      <c r="DM161" s="4">
        <f t="shared" si="372"/>
        <v>6.4434781492989988</v>
      </c>
      <c r="DR161" s="38">
        <f t="shared" si="447"/>
        <v>81.461055336491228</v>
      </c>
      <c r="DS161" s="4">
        <f t="shared" si="417"/>
        <v>0.28267276618563297</v>
      </c>
      <c r="DU161" s="4">
        <f t="shared" si="448"/>
        <v>81.461055336491228</v>
      </c>
      <c r="DY161" s="4">
        <f t="shared" si="489"/>
        <v>0.85</v>
      </c>
      <c r="DZ161" s="4">
        <f t="shared" si="490"/>
        <v>0.83503937007874018</v>
      </c>
      <c r="EA161" s="4">
        <f t="shared" si="491"/>
        <v>1</v>
      </c>
      <c r="EB161" s="4">
        <f t="shared" si="492"/>
        <v>0.83503937007874018</v>
      </c>
      <c r="EE161" s="25">
        <f t="shared" si="493"/>
        <v>201.63883962534558</v>
      </c>
      <c r="EH161" s="4">
        <f t="shared" si="494"/>
        <v>6.4434781492989988</v>
      </c>
      <c r="EK161" s="4">
        <f t="shared" si="374"/>
        <v>56.796126628494655</v>
      </c>
      <c r="EL161" s="4">
        <f t="shared" si="375"/>
        <v>2.2360679774997898</v>
      </c>
      <c r="EM161" s="4">
        <f t="shared" si="376"/>
        <v>4.9121773799761105E-2</v>
      </c>
      <c r="EP161" s="4">
        <f t="shared" si="495"/>
        <v>4.9121773799761105E-2</v>
      </c>
      <c r="EQ161" s="4">
        <f t="shared" si="496"/>
        <v>0.1790096950802787</v>
      </c>
      <c r="ER161" s="4">
        <f t="shared" si="377"/>
        <v>3.2379562856849557</v>
      </c>
      <c r="ES161" s="4">
        <f t="shared" si="497"/>
        <v>5.1017242284597168</v>
      </c>
      <c r="ET161" s="4">
        <f t="shared" si="378"/>
        <v>141.20387337150535</v>
      </c>
      <c r="EU161" s="4">
        <f t="shared" si="379"/>
        <v>66</v>
      </c>
      <c r="EV161" s="4">
        <f t="shared" si="498"/>
        <v>1.7905564181465992E-5</v>
      </c>
      <c r="EW161" s="4">
        <f t="shared" si="499"/>
        <v>6.1876982116989092</v>
      </c>
      <c r="EX161" s="4">
        <f t="shared" si="511"/>
        <v>288.18147724565461</v>
      </c>
      <c r="FG161" s="23"/>
      <c r="FH161" s="23"/>
      <c r="FI161" s="23"/>
      <c r="FJ161" s="23"/>
      <c r="FK161" s="23"/>
      <c r="FL161" s="23"/>
      <c r="FM161" s="23"/>
      <c r="FN161" s="23"/>
      <c r="FX161" s="4">
        <f t="shared" si="422"/>
        <v>1</v>
      </c>
      <c r="FY161" s="4">
        <f t="shared" si="513"/>
        <v>0.85000000000000009</v>
      </c>
      <c r="FZ161" s="4">
        <f t="shared" si="423"/>
        <v>0</v>
      </c>
      <c r="GA161" s="4">
        <f t="shared" si="424"/>
        <v>272.91818318296151</v>
      </c>
    </row>
    <row r="162" spans="1:183" ht="12" customHeight="1" x14ac:dyDescent="0.3">
      <c r="A162" s="25">
        <v>144</v>
      </c>
      <c r="B162" s="24" t="s">
        <v>659</v>
      </c>
      <c r="C162" s="24">
        <v>2007</v>
      </c>
      <c r="D162" s="24" t="s">
        <v>309</v>
      </c>
      <c r="E162" s="24"/>
      <c r="F162" s="4" t="s">
        <v>121</v>
      </c>
      <c r="G162" s="7">
        <v>454.8</v>
      </c>
      <c r="H162" s="7">
        <v>212</v>
      </c>
      <c r="I162" s="7">
        <f t="shared" si="500"/>
        <v>212</v>
      </c>
      <c r="J162" s="7">
        <v>25.1</v>
      </c>
      <c r="K162" s="7">
        <v>25.4</v>
      </c>
      <c r="L162" s="7">
        <f t="shared" si="454"/>
        <v>8.346456692913387</v>
      </c>
      <c r="M162" s="7">
        <f t="shared" si="455"/>
        <v>8.346456692913387</v>
      </c>
      <c r="N162" s="7">
        <v>160</v>
      </c>
      <c r="O162" s="7">
        <f t="shared" si="456"/>
        <v>67.3</v>
      </c>
      <c r="P162" s="7">
        <f t="shared" ref="P162:P164" si="515">323-9-I162</f>
        <v>102</v>
      </c>
      <c r="Q162" s="7">
        <v>0</v>
      </c>
      <c r="R162" s="7">
        <v>1</v>
      </c>
      <c r="S162" s="7">
        <f t="shared" ref="S162:S164" si="516">323-45</f>
        <v>278</v>
      </c>
      <c r="T162" s="7">
        <f t="shared" si="503"/>
        <v>3.1496062992125986</v>
      </c>
      <c r="U162" s="7">
        <f t="shared" si="504"/>
        <v>3.1496062992125986</v>
      </c>
      <c r="V162" s="7">
        <f t="shared" ref="V162:W211" si="517">2040/510</f>
        <v>4</v>
      </c>
      <c r="W162" s="7">
        <f t="shared" si="517"/>
        <v>4</v>
      </c>
      <c r="X162" s="7">
        <f t="shared" si="457"/>
        <v>5</v>
      </c>
      <c r="Y162" s="7">
        <f t="shared" si="458"/>
        <v>56.796126628494655</v>
      </c>
      <c r="Z162" s="7">
        <f t="shared" si="506"/>
        <v>454.8</v>
      </c>
      <c r="AA162" s="7">
        <v>9</v>
      </c>
      <c r="AB162" s="7"/>
      <c r="AC162" s="32" t="s">
        <v>183</v>
      </c>
      <c r="AD162" s="7"/>
      <c r="AE162" s="7">
        <v>0</v>
      </c>
      <c r="AF162" s="7">
        <v>0</v>
      </c>
      <c r="AG162" s="7">
        <f t="shared" si="438"/>
        <v>212</v>
      </c>
      <c r="AH162" s="7"/>
      <c r="AI162" s="7"/>
      <c r="AJ162" s="7"/>
      <c r="AK162" s="4">
        <f t="shared" si="452"/>
        <v>212</v>
      </c>
      <c r="AL162" s="4">
        <f t="shared" si="459"/>
        <v>0.25157232704402516</v>
      </c>
      <c r="AM162" s="4">
        <f t="shared" si="460"/>
        <v>290.65017450591699</v>
      </c>
      <c r="AN162" s="4">
        <f t="shared" si="512"/>
        <v>0.77547169811320749</v>
      </c>
      <c r="AO162" s="4">
        <v>1.25</v>
      </c>
      <c r="AP162" s="25">
        <v>1</v>
      </c>
      <c r="AQ162" s="38">
        <f t="shared" si="507"/>
        <v>70.877668044340737</v>
      </c>
      <c r="AT162" s="38">
        <f t="shared" si="461"/>
        <v>74.425570064086557</v>
      </c>
      <c r="AU162" s="38">
        <f t="shared" si="406"/>
        <v>0.95232952845788377</v>
      </c>
      <c r="AV162" s="38">
        <f t="shared" si="462"/>
        <v>4.2488149189674065</v>
      </c>
      <c r="AW162" s="4">
        <f t="shared" si="463"/>
        <v>0</v>
      </c>
      <c r="AX162" s="4">
        <f t="shared" si="464"/>
        <v>220.08244596548479</v>
      </c>
      <c r="AY162" s="4">
        <f t="shared" si="386"/>
        <v>1</v>
      </c>
      <c r="AZ162" s="38">
        <f t="shared" si="465"/>
        <v>316.22047244094495</v>
      </c>
      <c r="BA162" s="4">
        <f t="shared" si="466"/>
        <v>0.44000000000000006</v>
      </c>
      <c r="BB162" s="4">
        <f t="shared" si="467"/>
        <v>50.596954327464957</v>
      </c>
      <c r="BC162" s="4">
        <f t="shared" si="468"/>
        <v>366.81742676840992</v>
      </c>
      <c r="BE162" s="4">
        <f t="shared" si="469"/>
        <v>1.4124015748031495</v>
      </c>
      <c r="BF162" s="4">
        <f t="shared" si="470"/>
        <v>389.46506598063172</v>
      </c>
      <c r="BH162" s="4">
        <f t="shared" si="508"/>
        <v>303.29410431474349</v>
      </c>
      <c r="BI162" s="4">
        <f t="shared" si="509"/>
        <v>1084.9722194286705</v>
      </c>
      <c r="BJ162" s="4">
        <f t="shared" si="510"/>
        <v>3.5772941313186242</v>
      </c>
      <c r="BK162" s="4">
        <f t="shared" si="471"/>
        <v>67.3</v>
      </c>
      <c r="BL162" s="4">
        <f t="shared" si="472"/>
        <v>67.3</v>
      </c>
      <c r="BM162" s="4">
        <f t="shared" si="473"/>
        <v>278</v>
      </c>
      <c r="BN162" s="4">
        <f t="shared" si="474"/>
        <v>80</v>
      </c>
      <c r="BO162" s="4">
        <f t="shared" si="475"/>
        <v>1.25</v>
      </c>
      <c r="BP162" s="25">
        <f t="shared" si="476"/>
        <v>3.9370078740157481</v>
      </c>
      <c r="BR162" s="4">
        <f t="shared" si="477"/>
        <v>67.3</v>
      </c>
      <c r="BV162" s="9"/>
      <c r="BX162" s="9"/>
      <c r="BY162" s="9"/>
      <c r="BZ162" s="9">
        <f t="shared" si="478"/>
        <v>67.3</v>
      </c>
      <c r="CA162" s="9">
        <f t="shared" si="479"/>
        <v>67.3</v>
      </c>
      <c r="CB162" s="9">
        <f t="shared" si="480"/>
        <v>1.6277611308827222</v>
      </c>
      <c r="CC162" s="9">
        <v>0</v>
      </c>
      <c r="CD162" s="9">
        <f t="shared" si="481"/>
        <v>0</v>
      </c>
      <c r="CE162" s="9">
        <f t="shared" si="482"/>
        <v>0</v>
      </c>
      <c r="CF162" s="9">
        <f t="shared" si="483"/>
        <v>0.99524931562137331</v>
      </c>
      <c r="CG162" s="9">
        <f t="shared" si="484"/>
        <v>1.0903999999999998</v>
      </c>
      <c r="CH162" s="9">
        <f t="shared" si="485"/>
        <v>1.9029292228649537</v>
      </c>
      <c r="CI162" s="9">
        <f t="shared" si="486"/>
        <v>3.0975142238004367</v>
      </c>
      <c r="CJ162" s="9">
        <v>1</v>
      </c>
      <c r="CK162" s="9">
        <f t="shared" si="487"/>
        <v>289.2639267265605</v>
      </c>
      <c r="DH162" s="4">
        <f t="shared" si="368"/>
        <v>0</v>
      </c>
      <c r="DI162" s="4">
        <f t="shared" si="488"/>
        <v>212</v>
      </c>
      <c r="DL162" s="4">
        <f>H162/4/(1-0.3*(J162/30)^0.5)/200000/K162</f>
        <v>1.4378710630571176E-5</v>
      </c>
      <c r="DM162" s="4">
        <f t="shared" si="372"/>
        <v>6.4434781492989988</v>
      </c>
      <c r="DR162" s="38">
        <f t="shared" si="447"/>
        <v>74.425570064086557</v>
      </c>
      <c r="DS162" s="4">
        <f t="shared" si="417"/>
        <v>0.31489832014202762</v>
      </c>
      <c r="DU162" s="4">
        <f t="shared" si="448"/>
        <v>74.425570064086557</v>
      </c>
      <c r="DY162" s="4">
        <f t="shared" si="489"/>
        <v>0.85</v>
      </c>
      <c r="DZ162" s="4">
        <f t="shared" si="490"/>
        <v>0.83503937007874018</v>
      </c>
      <c r="EA162" s="4">
        <f t="shared" si="491"/>
        <v>1</v>
      </c>
      <c r="EB162" s="4">
        <f t="shared" si="492"/>
        <v>0.83503937007874018</v>
      </c>
      <c r="EE162" s="25">
        <f t="shared" si="493"/>
        <v>183.70148062647743</v>
      </c>
      <c r="EH162" s="4">
        <f t="shared" si="494"/>
        <v>6.4434781492989988</v>
      </c>
      <c r="EK162" s="4">
        <f>EL162*K162</f>
        <v>56.796126628494655</v>
      </c>
      <c r="EL162" s="4">
        <f>X162^0.5</f>
        <v>2.2360679774997898</v>
      </c>
      <c r="EM162" s="4">
        <f>MIN(DU162)/(4700*J162^0.5)/W162*EK162</f>
        <v>4.4879310763957535E-2</v>
      </c>
      <c r="EP162" s="4">
        <f t="shared" si="495"/>
        <v>4.4879310763957535E-2</v>
      </c>
      <c r="EQ162" s="4">
        <f t="shared" si="496"/>
        <v>0.16354930031676054</v>
      </c>
      <c r="ER162" s="4">
        <f t="shared" si="377"/>
        <v>3.1230564645812455</v>
      </c>
      <c r="ES162" s="4">
        <f t="shared" si="497"/>
        <v>5.0662233136767156</v>
      </c>
      <c r="ET162" s="4">
        <f t="shared" si="378"/>
        <v>102.20387337150535</v>
      </c>
      <c r="EU162" s="4">
        <f t="shared" si="379"/>
        <v>53</v>
      </c>
      <c r="EV162" s="4">
        <f t="shared" si="498"/>
        <v>1.4378710630571176E-5</v>
      </c>
      <c r="EW162" s="4">
        <f t="shared" si="499"/>
        <v>6.2838095953115438</v>
      </c>
      <c r="EX162" s="4">
        <f t="shared" si="511"/>
        <v>236.3479425057543</v>
      </c>
      <c r="FG162" s="23"/>
      <c r="FH162" s="23"/>
      <c r="FI162" s="23"/>
      <c r="FJ162" s="23"/>
      <c r="FK162" s="23"/>
      <c r="FL162" s="23"/>
      <c r="FM162" s="23"/>
      <c r="FN162" s="23"/>
      <c r="FX162" s="4">
        <f t="shared" si="422"/>
        <v>1</v>
      </c>
      <c r="FY162" s="4">
        <f t="shared" si="513"/>
        <v>0.85000000000000009</v>
      </c>
      <c r="FZ162" s="4">
        <f t="shared" si="423"/>
        <v>0</v>
      </c>
      <c r="GA162" s="4">
        <f t="shared" si="424"/>
        <v>219.16157134389334</v>
      </c>
    </row>
    <row r="163" spans="1:183" ht="12" customHeight="1" x14ac:dyDescent="0.3">
      <c r="A163" s="25">
        <v>145</v>
      </c>
      <c r="B163" s="24" t="s">
        <v>659</v>
      </c>
      <c r="C163" s="24">
        <v>2007</v>
      </c>
      <c r="D163" s="24" t="s">
        <v>309</v>
      </c>
      <c r="E163" s="24"/>
      <c r="F163" s="4" t="s">
        <v>122</v>
      </c>
      <c r="G163" s="7">
        <v>454.8</v>
      </c>
      <c r="H163" s="7">
        <v>212</v>
      </c>
      <c r="I163" s="7">
        <f t="shared" si="500"/>
        <v>212</v>
      </c>
      <c r="J163" s="7">
        <v>25.1</v>
      </c>
      <c r="K163" s="7">
        <v>25.4</v>
      </c>
      <c r="L163" s="7">
        <f t="shared" si="454"/>
        <v>8.346456692913387</v>
      </c>
      <c r="M163" s="7">
        <f t="shared" si="455"/>
        <v>8.346456692913387</v>
      </c>
      <c r="N163" s="7">
        <v>160</v>
      </c>
      <c r="O163" s="7">
        <f t="shared" si="456"/>
        <v>67.3</v>
      </c>
      <c r="P163" s="7">
        <f t="shared" si="515"/>
        <v>102</v>
      </c>
      <c r="Q163" s="7">
        <v>0</v>
      </c>
      <c r="R163" s="7">
        <v>1</v>
      </c>
      <c r="S163" s="7">
        <f t="shared" si="516"/>
        <v>278</v>
      </c>
      <c r="T163" s="7">
        <f t="shared" si="503"/>
        <v>3.1496062992125986</v>
      </c>
      <c r="U163" s="7">
        <f t="shared" si="504"/>
        <v>3.1496062992125986</v>
      </c>
      <c r="V163" s="7">
        <f t="shared" si="517"/>
        <v>4</v>
      </c>
      <c r="W163" s="7">
        <f t="shared" si="517"/>
        <v>4</v>
      </c>
      <c r="X163" s="7">
        <f t="shared" si="457"/>
        <v>5</v>
      </c>
      <c r="Y163" s="7">
        <f t="shared" si="458"/>
        <v>56.796126628494655</v>
      </c>
      <c r="Z163" s="7">
        <f t="shared" si="506"/>
        <v>454.8</v>
      </c>
      <c r="AA163" s="7">
        <v>9</v>
      </c>
      <c r="AB163" s="7"/>
      <c r="AC163" s="32" t="s">
        <v>183</v>
      </c>
      <c r="AD163" s="7"/>
      <c r="AE163" s="7">
        <v>0</v>
      </c>
      <c r="AF163" s="7">
        <v>0</v>
      </c>
      <c r="AG163" s="7">
        <f t="shared" si="438"/>
        <v>212</v>
      </c>
      <c r="AH163" s="7"/>
      <c r="AI163" s="7"/>
      <c r="AJ163" s="7">
        <f t="shared" ref="AJ163:AJ164" si="518">3*AK163/(Q163+K163)</f>
        <v>25.039370078740159</v>
      </c>
      <c r="AK163" s="4">
        <f t="shared" si="452"/>
        <v>212</v>
      </c>
      <c r="AL163" s="4">
        <f t="shared" si="459"/>
        <v>0.25157232704402516</v>
      </c>
      <c r="AM163" s="4">
        <f t="shared" si="460"/>
        <v>290.65017450591699</v>
      </c>
      <c r="AN163" s="4">
        <f t="shared" si="512"/>
        <v>0.77547169811320749</v>
      </c>
      <c r="AO163" s="4">
        <v>1.25</v>
      </c>
      <c r="AP163" s="25">
        <v>1</v>
      </c>
      <c r="AQ163" s="38">
        <f t="shared" si="507"/>
        <v>70.877668044340737</v>
      </c>
      <c r="AT163" s="38">
        <f t="shared" si="461"/>
        <v>74.425570064086557</v>
      </c>
      <c r="AU163" s="38">
        <f t="shared" si="406"/>
        <v>0.95232952845788377</v>
      </c>
      <c r="AV163" s="38">
        <f t="shared" si="462"/>
        <v>4.2488149189674065</v>
      </c>
      <c r="AW163" s="4">
        <f t="shared" si="463"/>
        <v>0</v>
      </c>
      <c r="AX163" s="4">
        <f t="shared" si="464"/>
        <v>220.08244596548479</v>
      </c>
      <c r="AY163" s="4">
        <f t="shared" si="386"/>
        <v>1</v>
      </c>
      <c r="AZ163" s="38">
        <f t="shared" si="465"/>
        <v>316.22047244094495</v>
      </c>
      <c r="BA163" s="4">
        <f t="shared" si="466"/>
        <v>0.44000000000000006</v>
      </c>
      <c r="BB163" s="4">
        <f t="shared" si="467"/>
        <v>50.596954327464957</v>
      </c>
      <c r="BC163" s="4">
        <f t="shared" si="468"/>
        <v>366.81742676840992</v>
      </c>
      <c r="BE163" s="4">
        <f t="shared" si="469"/>
        <v>1.4124015748031495</v>
      </c>
      <c r="BF163" s="4">
        <f t="shared" si="470"/>
        <v>389.46506598063172</v>
      </c>
      <c r="BH163" s="4">
        <f t="shared" si="508"/>
        <v>303.29410431474349</v>
      </c>
      <c r="BI163" s="4">
        <f t="shared" si="509"/>
        <v>1084.9722194286705</v>
      </c>
      <c r="BJ163" s="4">
        <f t="shared" si="510"/>
        <v>3.5772941313186242</v>
      </c>
      <c r="BK163" s="4">
        <f t="shared" si="471"/>
        <v>67.3</v>
      </c>
      <c r="BL163" s="4">
        <f t="shared" si="472"/>
        <v>67.3</v>
      </c>
      <c r="BM163" s="4">
        <f t="shared" si="473"/>
        <v>278</v>
      </c>
      <c r="BN163" s="4">
        <f t="shared" si="474"/>
        <v>80</v>
      </c>
      <c r="BO163" s="4">
        <f t="shared" si="475"/>
        <v>1.25</v>
      </c>
      <c r="BP163" s="25">
        <f t="shared" si="476"/>
        <v>3.9370078740157481</v>
      </c>
      <c r="BR163" s="4">
        <f t="shared" si="477"/>
        <v>67.3</v>
      </c>
      <c r="BV163" s="9"/>
      <c r="BX163" s="9"/>
      <c r="BY163" s="9"/>
      <c r="BZ163" s="9">
        <f t="shared" si="478"/>
        <v>67.3</v>
      </c>
      <c r="CA163" s="9">
        <f t="shared" si="479"/>
        <v>67.3</v>
      </c>
      <c r="CB163" s="9">
        <f t="shared" si="480"/>
        <v>1.6277611308827222</v>
      </c>
      <c r="CC163" s="9">
        <v>0</v>
      </c>
      <c r="CD163" s="9">
        <f t="shared" si="481"/>
        <v>0</v>
      </c>
      <c r="CE163" s="9">
        <f t="shared" si="482"/>
        <v>0</v>
      </c>
      <c r="CF163" s="9">
        <f t="shared" si="483"/>
        <v>0.99524931562137331</v>
      </c>
      <c r="CG163" s="9">
        <f t="shared" si="484"/>
        <v>1.0903999999999998</v>
      </c>
      <c r="CH163" s="9">
        <f t="shared" si="485"/>
        <v>1.9029292228649537</v>
      </c>
      <c r="CI163" s="9">
        <f t="shared" si="486"/>
        <v>3.0975142238004367</v>
      </c>
      <c r="CJ163" s="9">
        <v>1</v>
      </c>
      <c r="CK163" s="9">
        <f t="shared" si="487"/>
        <v>289.2639267265605</v>
      </c>
      <c r="DH163" s="4">
        <f t="shared" si="368"/>
        <v>0</v>
      </c>
      <c r="DI163" s="4">
        <f t="shared" si="488"/>
        <v>212</v>
      </c>
      <c r="DL163" s="4">
        <f>H163/4/(1-0.3*(J163/30)^0.5)/200000/K163</f>
        <v>1.4378710630571176E-5</v>
      </c>
      <c r="DM163" s="4">
        <f t="shared" si="372"/>
        <v>6.4434781492989988</v>
      </c>
      <c r="DR163" s="38">
        <f t="shared" si="447"/>
        <v>74.425570064086557</v>
      </c>
      <c r="DS163" s="4">
        <f t="shared" si="417"/>
        <v>0.31489832014202762</v>
      </c>
      <c r="DU163" s="4">
        <f t="shared" si="448"/>
        <v>74.425570064086557</v>
      </c>
      <c r="DY163" s="4">
        <f t="shared" si="489"/>
        <v>0.85</v>
      </c>
      <c r="DZ163" s="4">
        <f t="shared" si="490"/>
        <v>0.83503937007874018</v>
      </c>
      <c r="EA163" s="4">
        <f t="shared" si="491"/>
        <v>1</v>
      </c>
      <c r="EB163" s="4">
        <f t="shared" si="492"/>
        <v>0.83503937007874018</v>
      </c>
      <c r="EE163" s="25">
        <f t="shared" si="493"/>
        <v>183.70148062647743</v>
      </c>
      <c r="EH163" s="4">
        <f t="shared" si="494"/>
        <v>6.4434781492989988</v>
      </c>
      <c r="EK163" s="4">
        <f>EL163*K163</f>
        <v>56.796126628494655</v>
      </c>
      <c r="EL163" s="4">
        <f>X163^0.5</f>
        <v>2.2360679774997898</v>
      </c>
      <c r="EM163" s="4">
        <f>MIN(DU163)/(4700*J163^0.5)/W163*EK163</f>
        <v>4.4879310763957535E-2</v>
      </c>
      <c r="EP163" s="4">
        <f t="shared" si="495"/>
        <v>4.4879310763957535E-2</v>
      </c>
      <c r="EQ163" s="4">
        <f t="shared" si="496"/>
        <v>0.16354930031676054</v>
      </c>
      <c r="ER163" s="4">
        <f t="shared" si="377"/>
        <v>3.1230564645812455</v>
      </c>
      <c r="ES163" s="4">
        <f t="shared" si="497"/>
        <v>5.0662233136767156</v>
      </c>
      <c r="ET163" s="4">
        <f t="shared" si="378"/>
        <v>102.20387337150535</v>
      </c>
      <c r="EU163" s="4">
        <f t="shared" si="379"/>
        <v>53</v>
      </c>
      <c r="EV163" s="4">
        <f t="shared" si="498"/>
        <v>1.4378710630571176E-5</v>
      </c>
      <c r="EW163" s="4">
        <f t="shared" si="499"/>
        <v>6.2838095953115438</v>
      </c>
      <c r="EX163" s="4">
        <f t="shared" si="511"/>
        <v>236.3479425057543</v>
      </c>
      <c r="FG163" s="23"/>
      <c r="FH163" s="23"/>
      <c r="FI163" s="23"/>
      <c r="FJ163" s="23"/>
      <c r="FK163" s="23"/>
      <c r="FL163" s="23"/>
      <c r="FM163" s="23"/>
      <c r="FN163" s="23"/>
      <c r="FX163" s="4">
        <f t="shared" si="422"/>
        <v>1</v>
      </c>
      <c r="FY163" s="4">
        <f t="shared" si="513"/>
        <v>0.85000000000000009</v>
      </c>
      <c r="FZ163" s="4">
        <f t="shared" si="423"/>
        <v>0</v>
      </c>
      <c r="GA163" s="4">
        <f t="shared" si="424"/>
        <v>219.16157134389334</v>
      </c>
    </row>
    <row r="164" spans="1:183" ht="12" customHeight="1" x14ac:dyDescent="0.3">
      <c r="A164" s="25">
        <v>146</v>
      </c>
      <c r="B164" s="24" t="s">
        <v>659</v>
      </c>
      <c r="C164" s="24">
        <v>2007</v>
      </c>
      <c r="D164" s="24" t="s">
        <v>309</v>
      </c>
      <c r="E164" s="24"/>
      <c r="F164" s="4" t="s">
        <v>123</v>
      </c>
      <c r="G164" s="7">
        <v>454.8</v>
      </c>
      <c r="H164" s="7">
        <v>161</v>
      </c>
      <c r="I164" s="7">
        <f t="shared" si="500"/>
        <v>161</v>
      </c>
      <c r="J164" s="7">
        <v>25.1</v>
      </c>
      <c r="K164" s="7">
        <v>25.4</v>
      </c>
      <c r="L164" s="7">
        <f t="shared" si="454"/>
        <v>6.3385826771653546</v>
      </c>
      <c r="M164" s="7">
        <f t="shared" si="455"/>
        <v>6.3385826771653546</v>
      </c>
      <c r="N164" s="7">
        <v>160</v>
      </c>
      <c r="O164" s="7">
        <f t="shared" si="456"/>
        <v>67.3</v>
      </c>
      <c r="P164" s="7">
        <f t="shared" si="515"/>
        <v>153</v>
      </c>
      <c r="Q164" s="7">
        <v>0</v>
      </c>
      <c r="R164" s="7">
        <v>1</v>
      </c>
      <c r="S164" s="7">
        <f t="shared" si="516"/>
        <v>278</v>
      </c>
      <c r="T164" s="7">
        <f t="shared" si="503"/>
        <v>3.1496062992125986</v>
      </c>
      <c r="U164" s="7">
        <f t="shared" si="504"/>
        <v>3.1496062992125986</v>
      </c>
      <c r="V164" s="7">
        <f t="shared" si="517"/>
        <v>4</v>
      </c>
      <c r="W164" s="7">
        <f t="shared" si="517"/>
        <v>4</v>
      </c>
      <c r="X164" s="7">
        <f t="shared" si="457"/>
        <v>5</v>
      </c>
      <c r="Y164" s="7">
        <f t="shared" si="458"/>
        <v>56.796126628494655</v>
      </c>
      <c r="Z164" s="7">
        <f t="shared" si="506"/>
        <v>454.8</v>
      </c>
      <c r="AA164" s="7">
        <v>9</v>
      </c>
      <c r="AB164" s="7">
        <f>(59+56)/2/510*1000</f>
        <v>112.74509803921569</v>
      </c>
      <c r="AC164" s="7"/>
      <c r="AD164" s="7"/>
      <c r="AE164" s="7">
        <v>0</v>
      </c>
      <c r="AF164" s="7">
        <v>0</v>
      </c>
      <c r="AG164" s="7">
        <f t="shared" si="438"/>
        <v>161</v>
      </c>
      <c r="AH164" s="7"/>
      <c r="AI164" s="7"/>
      <c r="AJ164" s="7">
        <f t="shared" si="518"/>
        <v>19.015748031496063</v>
      </c>
      <c r="AK164" s="4">
        <f t="shared" si="452"/>
        <v>161</v>
      </c>
      <c r="AL164" s="4">
        <f t="shared" si="459"/>
        <v>0.33126293995859213</v>
      </c>
      <c r="AM164" s="4">
        <f t="shared" si="460"/>
        <v>183.73304806343879</v>
      </c>
      <c r="AN164" s="4">
        <f t="shared" si="512"/>
        <v>0.79937888198757756</v>
      </c>
      <c r="AO164" s="4">
        <v>1.25</v>
      </c>
      <c r="AP164" s="25">
        <v>1</v>
      </c>
      <c r="AQ164" s="38">
        <f t="shared" si="507"/>
        <v>60.816695049739771</v>
      </c>
      <c r="AT164" s="38">
        <f t="shared" si="461"/>
        <v>66.858079292379969</v>
      </c>
      <c r="AU164" s="38">
        <f t="shared" si="406"/>
        <v>0.90963868082090182</v>
      </c>
      <c r="AV164" s="38">
        <f t="shared" si="462"/>
        <v>4.7297271442403765</v>
      </c>
      <c r="AW164" s="4">
        <f t="shared" si="463"/>
        <v>0</v>
      </c>
      <c r="AX164" s="4">
        <f t="shared" si="464"/>
        <v>167.13808396435402</v>
      </c>
      <c r="AY164" s="4">
        <f t="shared" si="386"/>
        <v>1</v>
      </c>
      <c r="AZ164" s="38">
        <f t="shared" si="465"/>
        <v>316.22047244094495</v>
      </c>
      <c r="BA164" s="4">
        <f t="shared" si="466"/>
        <v>0.44000000000000006</v>
      </c>
      <c r="BB164" s="4">
        <f t="shared" si="467"/>
        <v>38.425045503404988</v>
      </c>
      <c r="BC164" s="4">
        <f t="shared" si="468"/>
        <v>354.64551794434993</v>
      </c>
      <c r="BE164" s="4">
        <f t="shared" si="469"/>
        <v>1.4124015748031495</v>
      </c>
      <c r="BF164" s="4">
        <f t="shared" si="470"/>
        <v>346.84120682824488</v>
      </c>
      <c r="BH164" s="4">
        <f t="shared" si="508"/>
        <v>303.29410431474349</v>
      </c>
      <c r="BI164" s="4">
        <f t="shared" si="509"/>
        <v>1084.9722194286705</v>
      </c>
      <c r="BJ164" s="4">
        <f t="shared" si="510"/>
        <v>3.5772941313186242</v>
      </c>
      <c r="BK164" s="4">
        <f t="shared" si="471"/>
        <v>67.3</v>
      </c>
      <c r="BL164" s="4">
        <f t="shared" si="472"/>
        <v>67.3</v>
      </c>
      <c r="BM164" s="4">
        <f t="shared" si="473"/>
        <v>278</v>
      </c>
      <c r="BN164" s="4">
        <f t="shared" si="474"/>
        <v>80</v>
      </c>
      <c r="BO164" s="4">
        <f t="shared" si="475"/>
        <v>1.25</v>
      </c>
      <c r="BP164" s="25">
        <f t="shared" si="476"/>
        <v>3.9370078740157481</v>
      </c>
      <c r="BR164" s="4">
        <f t="shared" si="477"/>
        <v>67.3</v>
      </c>
      <c r="BV164" s="9"/>
      <c r="BX164" s="9"/>
      <c r="BY164" s="9"/>
      <c r="BZ164" s="9">
        <f t="shared" si="478"/>
        <v>67.3</v>
      </c>
      <c r="CA164" s="9">
        <f t="shared" si="479"/>
        <v>67.3</v>
      </c>
      <c r="CB164" s="9">
        <f t="shared" si="480"/>
        <v>1.6277611308827222</v>
      </c>
      <c r="CC164" s="9">
        <v>0</v>
      </c>
      <c r="CD164" s="9">
        <f t="shared" si="481"/>
        <v>0</v>
      </c>
      <c r="CE164" s="9">
        <f t="shared" si="482"/>
        <v>0</v>
      </c>
      <c r="CF164" s="9">
        <f t="shared" si="483"/>
        <v>0.99524931562137331</v>
      </c>
      <c r="CG164" s="9">
        <f t="shared" si="484"/>
        <v>1.0903999999999998</v>
      </c>
      <c r="CH164" s="9">
        <f t="shared" si="485"/>
        <v>1.9029292228649537</v>
      </c>
      <c r="CI164" s="9">
        <f t="shared" si="486"/>
        <v>3.0975142238004367</v>
      </c>
      <c r="CJ164" s="9">
        <v>1</v>
      </c>
      <c r="CK164" s="9">
        <f t="shared" si="487"/>
        <v>264.38625343304517</v>
      </c>
      <c r="DH164" s="4">
        <f t="shared" si="368"/>
        <v>0</v>
      </c>
      <c r="DI164" s="4">
        <f t="shared" si="488"/>
        <v>161</v>
      </c>
      <c r="DL164" s="4">
        <f>H164/4/(1-0.3*(J164/30)^0.5)/200000/K164</f>
        <v>1.0919681186424338E-5</v>
      </c>
      <c r="DM164" s="4">
        <f t="shared" si="372"/>
        <v>6.4434781492989988</v>
      </c>
      <c r="DR164" s="38">
        <f t="shared" si="447"/>
        <v>66.858079292379969</v>
      </c>
      <c r="DS164" s="4">
        <f t="shared" si="417"/>
        <v>0.36229788726661166</v>
      </c>
      <c r="DU164" s="4">
        <f t="shared" si="448"/>
        <v>66.858079292379969</v>
      </c>
      <c r="DY164" s="4">
        <f t="shared" si="489"/>
        <v>0.85</v>
      </c>
      <c r="DZ164" s="4">
        <f t="shared" si="490"/>
        <v>0.83503937007874018</v>
      </c>
      <c r="EA164" s="4">
        <f t="shared" si="491"/>
        <v>1</v>
      </c>
      <c r="EB164" s="4">
        <f t="shared" si="492"/>
        <v>0.83503937007874018</v>
      </c>
      <c r="EE164" s="25">
        <f t="shared" si="493"/>
        <v>164.30462685185057</v>
      </c>
      <c r="EH164" s="4">
        <f t="shared" si="494"/>
        <v>6.4434781492989988</v>
      </c>
      <c r="EK164" s="4">
        <f>EL164*K164</f>
        <v>56.796126628494655</v>
      </c>
      <c r="EL164" s="4">
        <f>X164^0.5</f>
        <v>2.2360679774997898</v>
      </c>
      <c r="EM164" s="4">
        <f>MIN(DU164)/(4700*J164^0.5)/W164*EK164</f>
        <v>4.0316043465442299E-2</v>
      </c>
      <c r="EP164" s="4">
        <f t="shared" si="495"/>
        <v>4.0316043465442299E-2</v>
      </c>
      <c r="EQ164" s="4">
        <f t="shared" si="496"/>
        <v>0.14691982982966276</v>
      </c>
      <c r="ER164" s="4">
        <f t="shared" si="377"/>
        <v>2.991937566563843</v>
      </c>
      <c r="ES164" s="4">
        <f t="shared" si="497"/>
        <v>5.0270800205596196</v>
      </c>
      <c r="ET164" s="4">
        <f t="shared" si="378"/>
        <v>63.953873371505345</v>
      </c>
      <c r="EU164" s="4">
        <f t="shared" si="379"/>
        <v>40.250000000000007</v>
      </c>
      <c r="EV164" s="4">
        <f t="shared" si="498"/>
        <v>1.091968118642434E-5</v>
      </c>
      <c r="EW164" s="4">
        <f t="shared" si="499"/>
        <v>6.3563219390598054</v>
      </c>
      <c r="EX164" s="4">
        <f t="shared" si="511"/>
        <v>184.53897094679917</v>
      </c>
      <c r="FG164" s="23"/>
      <c r="FH164" s="23"/>
      <c r="FI164" s="23"/>
      <c r="FJ164" s="23"/>
      <c r="FK164" s="23"/>
      <c r="FL164" s="23"/>
      <c r="FM164" s="23"/>
      <c r="FN164" s="23"/>
      <c r="FX164" s="4">
        <f t="shared" si="422"/>
        <v>1</v>
      </c>
      <c r="FY164" s="4">
        <f t="shared" si="513"/>
        <v>0.85000000000000009</v>
      </c>
      <c r="FZ164" s="4">
        <f t="shared" si="423"/>
        <v>0</v>
      </c>
      <c r="GA164" s="4">
        <f t="shared" si="424"/>
        <v>166.43874050173031</v>
      </c>
    </row>
    <row r="165" spans="1:183" ht="12" customHeight="1" x14ac:dyDescent="0.3">
      <c r="A165" s="25">
        <v>147</v>
      </c>
      <c r="B165" s="24" t="s">
        <v>128</v>
      </c>
      <c r="C165" s="24">
        <v>2017</v>
      </c>
      <c r="D165" s="24" t="s">
        <v>309</v>
      </c>
      <c r="E165" s="24"/>
      <c r="F165" s="4" t="s">
        <v>155</v>
      </c>
      <c r="G165" s="7">
        <v>606</v>
      </c>
      <c r="H165" s="7">
        <f>7*K165</f>
        <v>301</v>
      </c>
      <c r="I165" s="7">
        <f t="shared" ref="I165:I228" si="519">H165</f>
        <v>301</v>
      </c>
      <c r="J165" s="7">
        <v>47.9</v>
      </c>
      <c r="K165" s="37">
        <v>43</v>
      </c>
      <c r="L165" s="7">
        <f>H165/K165</f>
        <v>7</v>
      </c>
      <c r="M165" s="7">
        <f>I165/K165</f>
        <v>7</v>
      </c>
      <c r="N165" s="7">
        <f>Q165+2*O165+2*K165</f>
        <v>541.79999999999995</v>
      </c>
      <c r="O165" s="7">
        <f t="shared" ref="O165:O171" si="520">1*K165</f>
        <v>43</v>
      </c>
      <c r="P165" s="7">
        <f>40+16</f>
        <v>56</v>
      </c>
      <c r="Q165" s="7">
        <f>(9.6-1)*K165</f>
        <v>369.8</v>
      </c>
      <c r="R165" s="7">
        <v>2</v>
      </c>
      <c r="S165" s="7">
        <f>2/3*H165-0.5*125</f>
        <v>138.16666666666666</v>
      </c>
      <c r="T165" s="7">
        <f t="shared" ref="T165:T211" si="521">MIN(O165/K165+0.5, Q165/2/K165+0.5)</f>
        <v>1.5</v>
      </c>
      <c r="U165" s="7">
        <f t="shared" ref="U165:U191" si="522">O165/K165+0.5</f>
        <v>1.5</v>
      </c>
      <c r="V165" s="7">
        <f t="shared" si="517"/>
        <v>4</v>
      </c>
      <c r="W165" s="7">
        <f t="shared" si="517"/>
        <v>4</v>
      </c>
      <c r="X165" s="7">
        <f t="shared" ref="X165:X228" si="523">W165+1</f>
        <v>5</v>
      </c>
      <c r="Y165" s="7">
        <f t="shared" ref="Y165:Y228" si="524">K165*X165^0.5</f>
        <v>96.150923032490965</v>
      </c>
      <c r="Z165" s="7">
        <f t="shared" ref="Z165:Z191" si="525">G165</f>
        <v>606</v>
      </c>
      <c r="AA165" s="7">
        <v>19</v>
      </c>
      <c r="AB165" s="7">
        <f>(297+328)/2</f>
        <v>312.5</v>
      </c>
      <c r="AC165" s="7"/>
      <c r="AD165" s="4">
        <f t="shared" ref="AD165:AD228" si="526">CQ165</f>
        <v>0.96129394656467926</v>
      </c>
      <c r="AE165" s="7">
        <v>0</v>
      </c>
      <c r="AF165" s="7">
        <v>0</v>
      </c>
      <c r="AG165" s="7">
        <f t="shared" si="438"/>
        <v>301</v>
      </c>
      <c r="AH165" s="7"/>
      <c r="AI165" s="7"/>
      <c r="AJ165" s="7">
        <f t="shared" ref="AJ165:AJ228" si="527">3*AK165/(Q165+K165)</f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38">
        <f>AL165*AN165*AO165*AP165*AM165</f>
        <v>173.32742600802251</v>
      </c>
      <c r="AR165" s="38">
        <f>AQ165</f>
        <v>173.32742600802251</v>
      </c>
      <c r="AS165" s="38">
        <f>IF(J165&lt;50, 0.3*J165^(2/3), 2.12*LN(1+0.1*(J165+8)))</f>
        <v>3.9568075739830846</v>
      </c>
      <c r="AT165" s="38">
        <f t="shared" si="461"/>
        <v>173.32742600802277</v>
      </c>
      <c r="AU165" s="38">
        <f t="shared" si="406"/>
        <v>0.99999999999999856</v>
      </c>
      <c r="AV165" s="38">
        <f t="shared" si="462"/>
        <v>1.6581334334630755</v>
      </c>
      <c r="AW165" s="4">
        <f t="shared" si="463"/>
        <v>0</v>
      </c>
      <c r="AX165" s="4">
        <f t="shared" ref="AX165:AX228" si="528">I165/K165*J165^0.5/0.19</f>
        <v>254.98356907576408</v>
      </c>
      <c r="AY165" s="4">
        <f t="shared" ref="AY165:AY228" si="529">MIN(0.6+0.4*(U165/T165),2)</f>
        <v>1</v>
      </c>
      <c r="AZ165" s="38">
        <f t="shared" ref="AZ165:AZ191" si="530">2*J165*T165*V165^0.5*AY165*0.7/0.7</f>
        <v>287.39999999999998</v>
      </c>
      <c r="BA165" s="4">
        <f t="shared" ref="BA165:BA228" si="531">MAX(1-0.7*W165/5,0.3)</f>
        <v>0.44000000000000006</v>
      </c>
      <c r="BB165" s="4">
        <f t="shared" ref="BB165:BB228" si="532">BA165*G165*I165/(G165*K165/2.75/J165^0.5)</f>
        <v>58.620722530518172</v>
      </c>
      <c r="BC165" s="4">
        <f t="shared" ref="BC165:BC228" si="533">AZ165+BB165</f>
        <v>346.02072253051813</v>
      </c>
      <c r="BE165" s="4">
        <f t="shared" ref="BE165:BE191" si="534">MIN(1.5, 0.75+0.25*MIN(3,MAX(1,O165/K165))+0.4*MIN(1,(40*2*PI()*AE165^2/4/AG165/R165)/K165))</f>
        <v>1</v>
      </c>
      <c r="BF165" s="4">
        <f t="shared" ref="BF165:BF191" si="535">(3*M165+30)*BE165*J165^0.5</f>
        <v>352.97011204916487</v>
      </c>
      <c r="BH165" s="4">
        <f t="shared" ref="BH165:BH191" si="536">3.4/PI()^0.5*J165*T165*W165^0.5*AY165</f>
        <v>275.65174672976275</v>
      </c>
      <c r="BI165" s="4">
        <f t="shared" ref="BI165:BI191" si="537">8/3*Z165*AA165^2/(Y165-K165-22)/K165*(Y165^2-K165^2)/(Y165^2-(K165+22)^2)</f>
        <v>641.65616063635548</v>
      </c>
      <c r="BJ165" s="4">
        <f t="shared" ref="BJ165:BJ191" si="538">BI165/BH165</f>
        <v>2.3277783226434909</v>
      </c>
      <c r="BK165" s="4">
        <f t="shared" si="471"/>
        <v>43</v>
      </c>
      <c r="BL165" s="4">
        <f t="shared" si="472"/>
        <v>43</v>
      </c>
      <c r="BM165" s="4">
        <f t="shared" si="473"/>
        <v>138.16666666666666</v>
      </c>
      <c r="BN165" s="4">
        <f t="shared" si="474"/>
        <v>64.5</v>
      </c>
      <c r="BO165" s="4">
        <f t="shared" si="475"/>
        <v>1.2213178294573643</v>
      </c>
      <c r="BP165" s="25">
        <f t="shared" si="476"/>
        <v>1.8319767441860466</v>
      </c>
      <c r="BR165" s="4">
        <f t="shared" ref="BR165:BR228" si="539">IF(Q165=0,O165,MIN(Q165/2,O165))</f>
        <v>43</v>
      </c>
      <c r="BV165" s="9"/>
      <c r="BX165" s="9"/>
      <c r="BY165" s="9"/>
      <c r="BZ165" s="9">
        <f t="shared" ref="BZ165:BZ228" si="540">IF(Q165=0,MIN(O165,P165),MIN(Q165/2,O165,P165))</f>
        <v>43</v>
      </c>
      <c r="CA165" s="9">
        <f t="shared" ref="CA165:CA228" si="541">MAX(Q165/2,O165)</f>
        <v>184.9</v>
      </c>
      <c r="CB165" s="9">
        <f t="shared" ref="CB165:CB191" si="542">(BZ165/K165)^0.5*(CA165/BZ165)^0.15</f>
        <v>1.2445726940891169</v>
      </c>
      <c r="CC165" s="9">
        <v>0</v>
      </c>
      <c r="CD165" s="9">
        <f t="shared" ref="CD165:CD228" si="543">MIN(PI()*AE165^2/4*AF165*2/R165/K165/MAX(0.01,AG165),0.05)</f>
        <v>0</v>
      </c>
      <c r="CE165" s="9">
        <f t="shared" ref="CE165:CE228" si="544">MAX(0,CC165*(CD165-0.5/50))</f>
        <v>0</v>
      </c>
      <c r="CF165" s="9">
        <f t="shared" ref="CF165:CF228" si="545">MIN(1,(25/K165)^0.3)</f>
        <v>0.84984840943171969</v>
      </c>
      <c r="CG165" s="9">
        <f t="shared" ref="CG165:CG228" si="546">IF(G165&gt;=800,0.68,IF(G165&gt;=700,0.75-(G165-700)*0.07/100,IF(G165&gt;=600,0.85-(G165-600)*0.1/100,IF(G165&gt;=500,1-(G165-500)*0.15/100,1.2-(G165-400)*0.2/100))))</f>
        <v>0.84399999999999997</v>
      </c>
      <c r="CH165" s="9">
        <f t="shared" ref="CH165:CH191" si="547">1.75*CF165*CG165*(J165/25)^0.5</f>
        <v>1.7374795977330737</v>
      </c>
      <c r="CI165" s="9">
        <f t="shared" ref="CI165:CI191" si="548">MIN((CB165+CE165)*CH165,2.5*CH165,J165^0.5)</f>
        <v>2.1624196638755264</v>
      </c>
      <c r="CJ165" s="9">
        <v>1</v>
      </c>
      <c r="CK165" s="9">
        <f t="shared" ref="CK165:CK191" si="549">4*CI165*M165+60*CI165</f>
        <v>190.29293042104632</v>
      </c>
      <c r="CM165" s="4">
        <f t="shared" ref="CM165:CM211" si="550">AB165/AX165</f>
        <v>1.225569165623946</v>
      </c>
      <c r="CN165" s="4">
        <f t="shared" ref="CN165:CN211" si="551">AB165/BC165</f>
        <v>0.90312510104777988</v>
      </c>
      <c r="CO165" s="4">
        <f t="shared" ref="CO165:CO211" si="552">AB165/BF165</f>
        <v>0.88534408249407859</v>
      </c>
      <c r="CP165" s="4">
        <f t="shared" ref="CP165:CP211" si="553">AB165/CK165</f>
        <v>1.6422049905298932</v>
      </c>
      <c r="CQ165" s="4">
        <f t="shared" ref="CQ165:CQ211" si="554">AB165/DR165</f>
        <v>0.96129394656467926</v>
      </c>
      <c r="CR165" s="4">
        <f t="shared" ref="CR165:CR211" si="555">AB165/ED165</f>
        <v>1.0049803374710342</v>
      </c>
      <c r="CS165" s="4">
        <f t="shared" ref="CS165:CS211" si="556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557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ref="DH165:DH228" si="558">AF165</f>
        <v>0</v>
      </c>
      <c r="DI165" s="4">
        <f t="shared" ref="DI165:DI228" si="559">I165</f>
        <v>301</v>
      </c>
      <c r="DL165" s="4">
        <f t="shared" ref="DL165:DL228" si="560">H165/4/(1-0.3*(J165/30)^0.5)/200000/K165</f>
        <v>1.4091943242647847E-5</v>
      </c>
      <c r="DM165" s="4">
        <f t="shared" ref="DM165:DM228" si="561">EH165</f>
        <v>6.6896087368323061</v>
      </c>
      <c r="DN165" s="4">
        <f t="shared" ref="DN165:DN228" si="562">DU165*Y165/257/J165/V165</f>
        <v>0.33844812875228814</v>
      </c>
      <c r="DO165" s="4">
        <f t="shared" ref="DO165:DO228" si="563">DM165*DN165^0.4</f>
        <v>4.3370813109730566</v>
      </c>
      <c r="DP165" s="4">
        <f t="shared" ref="DP165:DP228" si="564">MIN(DM165, DM165/1.4*(1-DN165^1.4)/(1-DN165))</f>
        <v>5.6379680974746442</v>
      </c>
      <c r="DQ165" s="4">
        <f t="shared" ref="DQ165:DQ228" si="565">MAX(DM165/2, (4-DL165*(8*Y165*(DO165-DP165)+6*H165*DP165))/(4+DL165*H165*DM165)*DM165)</f>
        <v>6.4276280243738011</v>
      </c>
      <c r="DR165" s="38">
        <f>MIN(1/K165*(4*Y165*(DO165-DP165)+(3*DP165+DQ165)*H165)+DU165 -FB165,MAX(G165,AB165))</f>
        <v>325.08266708301164</v>
      </c>
      <c r="DS165" s="4">
        <f t="shared" ref="DS165:DS228" si="566">DR165/EX165</f>
        <v>1.0001192057484978</v>
      </c>
      <c r="DT165" s="4">
        <f t="shared" ref="DT165:DT228" si="567">Y165/K165</f>
        <v>2.2360679774997898</v>
      </c>
      <c r="DU165" s="4">
        <f t="shared" ref="DU165:DU228" si="568">MIN(DT$10*AT165)</f>
        <v>173.32742600802277</v>
      </c>
      <c r="DY165" s="4">
        <f t="shared" ref="DY165:DY228" si="569">IF(P165&gt;1*K165,0.85,1)</f>
        <v>0.85</v>
      </c>
      <c r="DZ165" s="4">
        <f t="shared" ref="DZ165:DZ228" si="570">MIN(1,MAX(0.7,(1-0.1*(BR165-1*K165)/K165)))</f>
        <v>1</v>
      </c>
      <c r="EA165" s="4">
        <f>MIN(1,MAX(0.7,1-0.3*(PI()*AE165^2/4*AI165*2-0.25*PI()/4*K165^2)/(PI()/4*K165^2)))</f>
        <v>1</v>
      </c>
      <c r="EB165" s="4">
        <f t="shared" ref="EB165:EB228" si="571">IF(DZ165*EA165&lt;0.7,0.7,DZ165*EA165)</f>
        <v>1</v>
      </c>
      <c r="ED165" s="4">
        <f>MIN(DM165/K165*3*H165+EE165-FB165,MAX(G165,AB165))</f>
        <v>310.95135730355219</v>
      </c>
      <c r="EE165" s="25">
        <f>13.3*N165*H165^0.5*J165^0.5/R165/K165^2*(0.7+O165/5/H165)</f>
        <v>170.46957383007376</v>
      </c>
      <c r="EH165" s="4">
        <f>IF(K165&lt;22.2,1.1*5*(J165/30)^0.5,IF(K165&gt;=31.8,0.9*5*(J165/30)^0.5,1*5*(J165/30)^0.5))/DY165/EB165</f>
        <v>6.6896087368323061</v>
      </c>
      <c r="EK165" s="4">
        <f t="shared" ref="EK165:EK228" si="572">EL165*K165</f>
        <v>96.150923032490965</v>
      </c>
      <c r="EL165" s="4">
        <f t="shared" ref="EL165:EL228" si="573">X165^0.5</f>
        <v>2.2360679774997898</v>
      </c>
      <c r="EM165" s="4">
        <f t="shared" ref="EM165:EM228" si="574">MIN(DU165)/(4700*J165^0.5)/W165*EK165</f>
        <v>0.12808407592670423</v>
      </c>
      <c r="EP165" s="4">
        <f t="shared" ref="EP165:EP228" si="575">EM165</f>
        <v>0.12808407592670423</v>
      </c>
      <c r="EQ165" s="4">
        <f t="shared" ref="EQ165:EQ191" si="576">MIN(0.999, EP165/(0.3*(J165/30)^0.5))</f>
        <v>0.33788332190355697</v>
      </c>
      <c r="ER165" s="4">
        <f t="shared" ref="ER165:ER228" si="577">EH165/1*EQ165^0.4</f>
        <v>4.3341847481064635</v>
      </c>
      <c r="ES165" s="4">
        <f t="shared" ref="ES165:ES228" si="578">EH165/1.4*(1-EQ165^1.4)/(1-EQ165)</f>
        <v>5.6368571639286049</v>
      </c>
      <c r="ET165" s="4">
        <f t="shared" ref="ET165:ET228" si="579">MAX(0,DI165*ET$9-EK165)</f>
        <v>129.59907696750903</v>
      </c>
      <c r="EU165" s="4">
        <f t="shared" ref="EU165:EU228" si="580">MAX(0,DI165-EK165-ET165)</f>
        <v>75.25</v>
      </c>
      <c r="EV165" s="4">
        <f t="shared" ref="EV165:EV191" si="581">EU165/(1-0.3*(J165/30)^0.5)/200000/K165</f>
        <v>1.4091943242647847E-5</v>
      </c>
      <c r="EW165" s="4">
        <f t="shared" ref="EW165:EW228" si="582">MAX(0.5*EH165, (1-2*EV165*(EK165*ER165+ET165*ES165))/(1/EH165+EV165*EU165))</f>
        <v>6.4277071179258733</v>
      </c>
      <c r="EX165" s="4">
        <f t="shared" ref="EX165:EX191" si="583">MIN(4/K165*(1*ER165*EK165+ES165*ET165+EU165*EW165)+DU165,MAX(G165,AB165))</f>
        <v>325.04391997923585</v>
      </c>
      <c r="FG165" s="23">
        <f t="shared" ref="FG165:FH191" si="584">IF(CM165&lt;0.6,0.6,IF(CM165&lt;0.8,0.8,IF(CM165&lt;1,1,IF(CM165&lt;1.2,1.2,IF(CM165&lt;1.4,1.4,IF(CM165&lt;1.6,1.6,IF(CM165&lt;1.8,1.8,IF(CM165&lt;2,2,2.2))))))))</f>
        <v>1.4</v>
      </c>
      <c r="FH165" s="23">
        <f t="shared" si="584"/>
        <v>1</v>
      </c>
      <c r="FI165" s="23">
        <f t="shared" ref="FI165:FI211" si="585">IF(CS165&lt;0.6,0.6,IF(CS165&lt;0.8,0.8,IF(CS165&lt;1,1,IF(CS165&lt;1.2,1.2,IF(CS165&lt;1.4,1.4,IF(CS165&lt;1.6,1.6,IF(CS165&lt;1.8,1.8,IF(CS165&lt;2,2,2.2))))))))</f>
        <v>1.4</v>
      </c>
      <c r="FJ165" s="23">
        <f t="shared" ref="FJ165:FL191" si="586">IF(CP165&lt;0.6,0.6,IF(CP165&lt;0.8,0.8,IF(CP165&lt;1,1,IF(CP165&lt;1.2,1.2,IF(CP165&lt;1.4,1.4,IF(CP165&lt;1.6,1.6,IF(CP165&lt;1.8,1.8,IF(CP165&lt;2,2,2.2))))))))</f>
        <v>1.8</v>
      </c>
      <c r="FK165" s="23">
        <f t="shared" si="586"/>
        <v>1</v>
      </c>
      <c r="FL165" s="23">
        <f t="shared" si="586"/>
        <v>1.2</v>
      </c>
      <c r="FM165" s="23">
        <f t="shared" ref="FM165:FM211" si="587">IF(FK165&lt;1,1,0)</f>
        <v>0</v>
      </c>
      <c r="FN165" s="23"/>
      <c r="FX165" s="4">
        <f t="shared" si="422"/>
        <v>1.25</v>
      </c>
      <c r="FY165" s="4">
        <f t="shared" si="513"/>
        <v>0.5</v>
      </c>
      <c r="FZ165" s="4">
        <f t="shared" si="423"/>
        <v>0</v>
      </c>
      <c r="GA165" s="4">
        <f t="shared" si="424"/>
        <v>225.81214084001218</v>
      </c>
    </row>
    <row r="166" spans="1:183" ht="12" customHeight="1" x14ac:dyDescent="0.3">
      <c r="A166" s="25">
        <v>148</v>
      </c>
      <c r="B166" s="24" t="s">
        <v>128</v>
      </c>
      <c r="C166" s="24">
        <v>2017</v>
      </c>
      <c r="D166" s="24" t="s">
        <v>309</v>
      </c>
      <c r="E166" s="24"/>
      <c r="F166" s="4" t="s">
        <v>156</v>
      </c>
      <c r="G166" s="7">
        <v>606</v>
      </c>
      <c r="H166" s="7">
        <f>7*K166</f>
        <v>301</v>
      </c>
      <c r="I166" s="7">
        <f t="shared" si="519"/>
        <v>301</v>
      </c>
      <c r="J166" s="7">
        <v>47.9</v>
      </c>
      <c r="K166" s="37">
        <v>43</v>
      </c>
      <c r="L166" s="7">
        <f t="shared" ref="L166:L229" si="588">H166/K166</f>
        <v>7</v>
      </c>
      <c r="M166" s="7">
        <f t="shared" ref="M166:M229" si="589">I166/K166</f>
        <v>7</v>
      </c>
      <c r="N166" s="7">
        <f t="shared" ref="N166:N191" si="590">Q166+2*O166+2*K166</f>
        <v>541.79999999999995</v>
      </c>
      <c r="O166" s="7">
        <f t="shared" si="520"/>
        <v>43</v>
      </c>
      <c r="P166" s="7">
        <f t="shared" ref="P166:P191" si="591">40+16</f>
        <v>56</v>
      </c>
      <c r="Q166" s="7">
        <f t="shared" ref="Q166:Q170" si="592">(9.6-1)*K166</f>
        <v>369.8</v>
      </c>
      <c r="R166" s="7">
        <v>2</v>
      </c>
      <c r="S166" s="7">
        <f t="shared" ref="S166:S170" si="593">2/3*H166-0.5*125</f>
        <v>138.16666666666666</v>
      </c>
      <c r="T166" s="7">
        <f t="shared" si="521"/>
        <v>1.5</v>
      </c>
      <c r="U166" s="7">
        <f t="shared" si="522"/>
        <v>1.5</v>
      </c>
      <c r="V166" s="7">
        <f t="shared" si="517"/>
        <v>4</v>
      </c>
      <c r="W166" s="7">
        <f t="shared" si="517"/>
        <v>4</v>
      </c>
      <c r="X166" s="7">
        <f t="shared" si="523"/>
        <v>5</v>
      </c>
      <c r="Y166" s="7">
        <f t="shared" si="524"/>
        <v>96.150923032490965</v>
      </c>
      <c r="Z166" s="7">
        <f t="shared" si="525"/>
        <v>606</v>
      </c>
      <c r="AA166" s="7">
        <v>19</v>
      </c>
      <c r="AB166" s="7">
        <f>(449+385)/2</f>
        <v>417</v>
      </c>
      <c r="AC166" s="7"/>
      <c r="AD166" s="4">
        <f t="shared" si="526"/>
        <v>1.2785719938235214</v>
      </c>
      <c r="AE166" s="7">
        <v>15.9</v>
      </c>
      <c r="AF166" s="7">
        <v>1</v>
      </c>
      <c r="AG166" s="7">
        <v>370</v>
      </c>
      <c r="AH166" s="7">
        <v>2</v>
      </c>
      <c r="AI166" s="7">
        <f>AF166</f>
        <v>1</v>
      </c>
      <c r="AJ166" s="7">
        <f t="shared" si="527"/>
        <v>2.1875</v>
      </c>
      <c r="AK166" s="4">
        <f t="shared" ref="AK166:AK191" si="594">H166</f>
        <v>301</v>
      </c>
      <c r="AL166" s="4">
        <f t="shared" ref="AL166:AL229" si="595">IF(H166*3&gt;Q166+K166, N166, (O166+K166/2)*2+1.5*H166*(2*R166-2))*(3*H166)/(9*H166^2)</f>
        <v>0.6</v>
      </c>
      <c r="AM166" s="4">
        <f t="shared" ref="AM166:AM229" si="596">MIN(10*J166^0.5*H166^1.5,100*3.9*J166^0.5*H166^(5/3))/(PI()/4*K166^2)/R166</f>
        <v>124.44020328781106</v>
      </c>
      <c r="AN166" s="4">
        <f t="shared" ref="AN166:AN229" si="597">MIN(0.7+0.3*(MIN(O166,S166)+0.5*K166)/1.5/H166,1)</f>
        <v>0.74285714285714277</v>
      </c>
      <c r="AO166" s="4">
        <v>1.25</v>
      </c>
      <c r="AP166" s="4">
        <f t="shared" ref="AP166:AP190" si="598">AP165</f>
        <v>2.5</v>
      </c>
      <c r="AQ166" s="38">
        <f t="shared" ref="AQ166:AQ229" si="599">AL166*AN166*AO166*AP166*AM166</f>
        <v>173.32742600802251</v>
      </c>
      <c r="AR166" s="38">
        <f t="shared" ref="AR166:AR229" si="600">AQ166</f>
        <v>173.32742600802251</v>
      </c>
      <c r="AS166" s="38">
        <f t="shared" ref="AS166:AS229" si="601">IF(J166&lt;50, 0.3*J166^(2/3), 2.12*LN(1+0.1*(J166+8)))</f>
        <v>3.9568075739830846</v>
      </c>
      <c r="AT166" s="38">
        <f t="shared" si="461"/>
        <v>173.32742600802277</v>
      </c>
      <c r="AU166" s="38">
        <f t="shared" si="406"/>
        <v>0.99999999999999856</v>
      </c>
      <c r="AV166" s="38">
        <f t="shared" si="462"/>
        <v>1.6581334334630755</v>
      </c>
      <c r="AW166" s="4">
        <f t="shared" si="463"/>
        <v>0</v>
      </c>
      <c r="AX166" s="4">
        <f t="shared" si="528"/>
        <v>254.98356907576408</v>
      </c>
      <c r="AY166" s="4">
        <f t="shared" si="529"/>
        <v>1</v>
      </c>
      <c r="AZ166" s="38">
        <f t="shared" si="530"/>
        <v>287.39999999999998</v>
      </c>
      <c r="BA166" s="4">
        <f t="shared" si="531"/>
        <v>0.44000000000000006</v>
      </c>
      <c r="BB166" s="4">
        <f t="shared" si="532"/>
        <v>58.620722530518172</v>
      </c>
      <c r="BC166" s="4">
        <f t="shared" si="533"/>
        <v>346.02072253051813</v>
      </c>
      <c r="BE166" s="4">
        <f t="shared" si="534"/>
        <v>1.1996797080462691</v>
      </c>
      <c r="BF166" s="4">
        <f t="shared" si="535"/>
        <v>423.451080972201</v>
      </c>
      <c r="BH166" s="4">
        <f t="shared" si="536"/>
        <v>275.65174672976275</v>
      </c>
      <c r="BI166" s="4">
        <f t="shared" si="537"/>
        <v>641.65616063635548</v>
      </c>
      <c r="BJ166" s="4">
        <f t="shared" si="538"/>
        <v>2.3277783226434909</v>
      </c>
      <c r="BK166" s="4">
        <f t="shared" ref="BK166:BK229" si="602">IF(R166=1,O166,MIN(O166,Q166/2+6.4))</f>
        <v>43</v>
      </c>
      <c r="BL166" s="4">
        <f t="shared" ref="BL166:BL229" si="603">MIN(S166,BK166)</f>
        <v>43</v>
      </c>
      <c r="BM166" s="4">
        <f t="shared" ref="BM166:BM229" si="604">MAX(S166,BK166)</f>
        <v>138.16666666666666</v>
      </c>
      <c r="BN166" s="4">
        <f t="shared" ref="BN166:BN229" si="605">BL166+K166/2</f>
        <v>64.5</v>
      </c>
      <c r="BO166" s="4">
        <f t="shared" ref="BO166:BO229" si="606">MIN(1.25, 0.1*BM166/BL166+0.9)</f>
        <v>1.2213178294573643</v>
      </c>
      <c r="BP166" s="25">
        <f t="shared" ref="BP166:BP229" si="607">MIN(4, (BN166*BO166+(6*J166^0.5*(0.03*K166+0.22)*(AE166^2/4*PI())*2/AG166/R166))/K166)</f>
        <v>2.6145227961991684</v>
      </c>
      <c r="BR166" s="4">
        <f t="shared" si="539"/>
        <v>43</v>
      </c>
      <c r="BV166" s="9"/>
      <c r="BX166" s="9"/>
      <c r="BY166" s="9"/>
      <c r="BZ166" s="9">
        <f t="shared" si="540"/>
        <v>43</v>
      </c>
      <c r="CA166" s="9">
        <f t="shared" si="541"/>
        <v>184.9</v>
      </c>
      <c r="CB166" s="9">
        <f t="shared" si="542"/>
        <v>1.2445726940891169</v>
      </c>
      <c r="CC166" s="9">
        <v>20</v>
      </c>
      <c r="CD166" s="9">
        <f t="shared" si="543"/>
        <v>1.2479981752891823E-2</v>
      </c>
      <c r="CE166" s="9">
        <f t="shared" si="544"/>
        <v>4.9599635057836454E-2</v>
      </c>
      <c r="CF166" s="9">
        <f t="shared" si="545"/>
        <v>0.84984840943171969</v>
      </c>
      <c r="CG166" s="9">
        <f t="shared" si="546"/>
        <v>0.84399999999999997</v>
      </c>
      <c r="CH166" s="9">
        <f t="shared" si="547"/>
        <v>1.7374795977330737</v>
      </c>
      <c r="CI166" s="9">
        <f t="shared" si="548"/>
        <v>2.2485980178435234</v>
      </c>
      <c r="CJ166" s="9">
        <v>1</v>
      </c>
      <c r="CK166" s="9">
        <f t="shared" si="549"/>
        <v>197.87662557023009</v>
      </c>
      <c r="CM166" s="4">
        <f t="shared" si="550"/>
        <v>1.6353994946085937</v>
      </c>
      <c r="CN166" s="4">
        <f t="shared" si="551"/>
        <v>1.2051301348381576</v>
      </c>
      <c r="CO166" s="4">
        <f t="shared" si="552"/>
        <v>0.98476546344529348</v>
      </c>
      <c r="CP166" s="4">
        <f t="shared" si="553"/>
        <v>2.1073737173267033</v>
      </c>
      <c r="CQ166" s="4">
        <f t="shared" si="554"/>
        <v>1.2785719938235214</v>
      </c>
      <c r="CR166" s="4">
        <f t="shared" si="555"/>
        <v>1.336765961716297</v>
      </c>
      <c r="CS166" s="4">
        <f t="shared" si="556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608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558"/>
        <v>1</v>
      </c>
      <c r="DI166" s="4">
        <f t="shared" si="559"/>
        <v>301</v>
      </c>
      <c r="DL166" s="4">
        <f t="shared" si="560"/>
        <v>1.4091943242647847E-5</v>
      </c>
      <c r="DM166" s="4">
        <f t="shared" si="561"/>
        <v>6.7370156108794408</v>
      </c>
      <c r="DN166" s="4">
        <f t="shared" si="562"/>
        <v>0.33844812875228814</v>
      </c>
      <c r="DO166" s="4">
        <f t="shared" si="563"/>
        <v>4.3678166612050413</v>
      </c>
      <c r="DP166" s="4">
        <f t="shared" si="564"/>
        <v>5.6779223689415446</v>
      </c>
      <c r="DQ166" s="4">
        <f t="shared" si="565"/>
        <v>6.4713218762920217</v>
      </c>
      <c r="DR166" s="38">
        <f t="shared" ref="DR166:DR229" si="609">MIN(1/K166*(4*Y166*(DO166-DP166)+(3*DP166+DQ166)*H166)+DU166 -FB166,MAX(G166,AB166))</f>
        <v>326.14510720900216</v>
      </c>
      <c r="DS166" s="4">
        <f t="shared" si="566"/>
        <v>1.0001196474663594</v>
      </c>
      <c r="DT166" s="4">
        <f t="shared" si="567"/>
        <v>2.2360679774997898</v>
      </c>
      <c r="DU166" s="4">
        <f t="shared" si="568"/>
        <v>173.32742600802277</v>
      </c>
      <c r="DY166" s="4">
        <f t="shared" si="569"/>
        <v>0.85</v>
      </c>
      <c r="DZ166" s="4">
        <f t="shared" si="570"/>
        <v>1</v>
      </c>
      <c r="EA166" s="4">
        <f t="shared" ref="EA166:EA229" si="610">MIN(1,MAX(0.7,1-0.3*(PI()*AE166^2/4*AI166*2-0.25*PI()/4*K166^2)/(PI()/4*K166^2)))</f>
        <v>0.99296322336398057</v>
      </c>
      <c r="EB166" s="4">
        <f t="shared" si="571"/>
        <v>0.99296322336398057</v>
      </c>
      <c r="ED166" s="4">
        <f t="shared" ref="ED166:ED229" si="611">MIN(DM166/K166*3*H166+EE166-FB166,MAX(G166,AB166))</f>
        <v>311.946901658542</v>
      </c>
      <c r="EE166" s="25">
        <f t="shared" ref="EE166:EE229" si="612">13.3*N166*H166^0.5*J166^0.5/R166/K166^2*(0.7+O166/5/H166)</f>
        <v>170.46957383007376</v>
      </c>
      <c r="EH166" s="4">
        <f t="shared" ref="EH166:EH229" si="613">IF(K166&lt;22.2,1.1*5*(J166/30)^0.5,IF(K166&gt;=31.8,0.9*5*(J166/30)^0.5,1*5*(J166/30)^0.5))/DY166/EB166</f>
        <v>6.7370156108794408</v>
      </c>
      <c r="EK166" s="4">
        <f t="shared" si="572"/>
        <v>96.150923032490965</v>
      </c>
      <c r="EL166" s="4">
        <f t="shared" si="573"/>
        <v>2.2360679774997898</v>
      </c>
      <c r="EM166" s="4">
        <f t="shared" si="574"/>
        <v>0.12808407592670423</v>
      </c>
      <c r="EP166" s="4">
        <f t="shared" si="575"/>
        <v>0.12808407592670423</v>
      </c>
      <c r="EQ166" s="4">
        <f t="shared" si="576"/>
        <v>0.33788332190355697</v>
      </c>
      <c r="ER166" s="4">
        <f t="shared" si="577"/>
        <v>4.3648995714292678</v>
      </c>
      <c r="ES166" s="4">
        <f t="shared" si="578"/>
        <v>5.6768035626052171</v>
      </c>
      <c r="ET166" s="4">
        <f t="shared" si="579"/>
        <v>129.59907696750903</v>
      </c>
      <c r="EU166" s="4">
        <f t="shared" si="580"/>
        <v>75.25</v>
      </c>
      <c r="EV166" s="4">
        <f t="shared" si="581"/>
        <v>1.4091943242647847E-5</v>
      </c>
      <c r="EW166" s="4">
        <f t="shared" si="582"/>
        <v>6.471402090827798</v>
      </c>
      <c r="EX166" s="4">
        <f t="shared" si="583"/>
        <v>326.10608944163607</v>
      </c>
      <c r="FG166" s="23">
        <f t="shared" si="584"/>
        <v>1.8</v>
      </c>
      <c r="FH166" s="23">
        <f t="shared" si="584"/>
        <v>1.4</v>
      </c>
      <c r="FI166" s="23">
        <f t="shared" si="585"/>
        <v>1.6</v>
      </c>
      <c r="FJ166" s="23">
        <f t="shared" si="586"/>
        <v>2.2000000000000002</v>
      </c>
      <c r="FK166" s="23">
        <f t="shared" si="586"/>
        <v>1.4</v>
      </c>
      <c r="FL166" s="23">
        <f t="shared" si="586"/>
        <v>1.4</v>
      </c>
      <c r="FM166" s="23">
        <f t="shared" si="587"/>
        <v>0</v>
      </c>
      <c r="FN166" s="23"/>
      <c r="FX166" s="4">
        <f t="shared" si="422"/>
        <v>1.25</v>
      </c>
      <c r="FY166" s="4">
        <f t="shared" si="513"/>
        <v>0.38915043257609383</v>
      </c>
      <c r="FZ166" s="4">
        <f t="shared" si="423"/>
        <v>0.27345592212006492</v>
      </c>
      <c r="GA166" s="4">
        <f t="shared" si="424"/>
        <v>290.13476786494033</v>
      </c>
    </row>
    <row r="167" spans="1:183" ht="12" customHeight="1" x14ac:dyDescent="0.3">
      <c r="A167" s="25">
        <v>149</v>
      </c>
      <c r="B167" s="24" t="s">
        <v>128</v>
      </c>
      <c r="C167" s="24">
        <v>2017</v>
      </c>
      <c r="D167" s="24" t="s">
        <v>309</v>
      </c>
      <c r="E167" s="24"/>
      <c r="F167" s="4" t="s">
        <v>157</v>
      </c>
      <c r="G167" s="7">
        <v>606</v>
      </c>
      <c r="H167" s="7">
        <f>7*K167</f>
        <v>301</v>
      </c>
      <c r="I167" s="7">
        <f t="shared" si="519"/>
        <v>301</v>
      </c>
      <c r="J167" s="7">
        <v>68.2</v>
      </c>
      <c r="K167" s="37">
        <v>43</v>
      </c>
      <c r="L167" s="7">
        <f t="shared" si="588"/>
        <v>7</v>
      </c>
      <c r="M167" s="7">
        <f t="shared" si="589"/>
        <v>7</v>
      </c>
      <c r="N167" s="7">
        <f t="shared" si="590"/>
        <v>541.79999999999995</v>
      </c>
      <c r="O167" s="7">
        <f t="shared" si="520"/>
        <v>43</v>
      </c>
      <c r="P167" s="7">
        <f t="shared" si="591"/>
        <v>56</v>
      </c>
      <c r="Q167" s="7">
        <f t="shared" si="592"/>
        <v>369.8</v>
      </c>
      <c r="R167" s="7">
        <v>2</v>
      </c>
      <c r="S167" s="7">
        <f t="shared" si="593"/>
        <v>138.16666666666666</v>
      </c>
      <c r="T167" s="7">
        <f t="shared" si="521"/>
        <v>1.5</v>
      </c>
      <c r="U167" s="7">
        <f t="shared" si="522"/>
        <v>1.5</v>
      </c>
      <c r="V167" s="7">
        <f t="shared" si="517"/>
        <v>4</v>
      </c>
      <c r="W167" s="7">
        <f t="shared" si="517"/>
        <v>4</v>
      </c>
      <c r="X167" s="7">
        <f t="shared" si="523"/>
        <v>5</v>
      </c>
      <c r="Y167" s="7">
        <f t="shared" si="524"/>
        <v>96.150923032490965</v>
      </c>
      <c r="Z167" s="7">
        <f t="shared" si="525"/>
        <v>606</v>
      </c>
      <c r="AA167" s="7">
        <v>19</v>
      </c>
      <c r="AB167" s="7">
        <f>(501+501)/2</f>
        <v>501</v>
      </c>
      <c r="AC167" s="7"/>
      <c r="AD167" s="4">
        <f t="shared" si="526"/>
        <v>1.3098915185197448</v>
      </c>
      <c r="AE167" s="7">
        <v>0</v>
      </c>
      <c r="AF167" s="7">
        <v>0</v>
      </c>
      <c r="AG167" s="7">
        <f>I167</f>
        <v>301</v>
      </c>
      <c r="AH167" s="7"/>
      <c r="AI167" s="7"/>
      <c r="AJ167" s="7">
        <f t="shared" si="527"/>
        <v>2.1875</v>
      </c>
      <c r="AK167" s="4">
        <f t="shared" si="594"/>
        <v>301</v>
      </c>
      <c r="AL167" s="4">
        <f t="shared" si="595"/>
        <v>0.6</v>
      </c>
      <c r="AM167" s="4">
        <f t="shared" si="596"/>
        <v>148.48587499878823</v>
      </c>
      <c r="AN167" s="4">
        <f t="shared" si="597"/>
        <v>0.74285714285714277</v>
      </c>
      <c r="AO167" s="4">
        <v>1.25</v>
      </c>
      <c r="AP167" s="4">
        <f t="shared" si="598"/>
        <v>2.5</v>
      </c>
      <c r="AQ167" s="38">
        <f t="shared" si="599"/>
        <v>206.81961160545501</v>
      </c>
      <c r="AR167" s="38">
        <f t="shared" si="600"/>
        <v>206.81961160545501</v>
      </c>
      <c r="AS167" s="38">
        <f t="shared" si="601"/>
        <v>4.5666603795122764</v>
      </c>
      <c r="AT167" s="38">
        <f t="shared" si="461"/>
        <v>206.81961160545529</v>
      </c>
      <c r="AU167" s="38">
        <f t="shared" si="406"/>
        <v>0.99999999999999867</v>
      </c>
      <c r="AV167" s="38">
        <f t="shared" si="462"/>
        <v>1.9785357724228825</v>
      </c>
      <c r="AW167" s="4">
        <f t="shared" si="463"/>
        <v>0</v>
      </c>
      <c r="AX167" s="4">
        <f t="shared" si="528"/>
        <v>304.25423106197485</v>
      </c>
      <c r="AY167" s="4">
        <f t="shared" si="529"/>
        <v>1</v>
      </c>
      <c r="AZ167" s="38">
        <f t="shared" si="530"/>
        <v>409.20000000000005</v>
      </c>
      <c r="BA167" s="4">
        <f t="shared" si="531"/>
        <v>0.44000000000000006</v>
      </c>
      <c r="BB167" s="4">
        <f t="shared" si="532"/>
        <v>69.948047721148029</v>
      </c>
      <c r="BC167" s="4">
        <f t="shared" si="533"/>
        <v>479.14804772114809</v>
      </c>
      <c r="BE167" s="4">
        <f t="shared" si="534"/>
        <v>1</v>
      </c>
      <c r="BF167" s="4">
        <f t="shared" si="535"/>
        <v>421.17478557007666</v>
      </c>
      <c r="BH167" s="4">
        <f t="shared" si="536"/>
        <v>392.47284189916127</v>
      </c>
      <c r="BI167" s="4">
        <f t="shared" si="537"/>
        <v>641.65616063635548</v>
      </c>
      <c r="BJ167" s="4">
        <f t="shared" si="538"/>
        <v>1.6349058893639763</v>
      </c>
      <c r="BK167" s="4">
        <f t="shared" si="602"/>
        <v>43</v>
      </c>
      <c r="BL167" s="4">
        <f t="shared" si="603"/>
        <v>43</v>
      </c>
      <c r="BM167" s="4">
        <f t="shared" si="604"/>
        <v>138.16666666666666</v>
      </c>
      <c r="BN167" s="4">
        <f t="shared" si="605"/>
        <v>64.5</v>
      </c>
      <c r="BO167" s="4">
        <f t="shared" si="606"/>
        <v>1.2213178294573643</v>
      </c>
      <c r="BP167" s="25">
        <f t="shared" si="607"/>
        <v>1.8319767441860466</v>
      </c>
      <c r="BR167" s="4">
        <f t="shared" si="539"/>
        <v>43</v>
      </c>
      <c r="BV167" s="9"/>
      <c r="BX167" s="9"/>
      <c r="BY167" s="9"/>
      <c r="BZ167" s="9">
        <f t="shared" si="540"/>
        <v>43</v>
      </c>
      <c r="CA167" s="9">
        <f t="shared" si="541"/>
        <v>184.9</v>
      </c>
      <c r="CB167" s="9">
        <f t="shared" si="542"/>
        <v>1.2445726940891169</v>
      </c>
      <c r="CC167" s="9">
        <v>0</v>
      </c>
      <c r="CD167" s="9">
        <f t="shared" si="543"/>
        <v>0</v>
      </c>
      <c r="CE167" s="9">
        <f t="shared" si="544"/>
        <v>0</v>
      </c>
      <c r="CF167" s="9">
        <f t="shared" si="545"/>
        <v>0.84984840943171969</v>
      </c>
      <c r="CG167" s="9">
        <f t="shared" si="546"/>
        <v>0.84399999999999997</v>
      </c>
      <c r="CH167" s="9">
        <f t="shared" si="547"/>
        <v>2.0732140541850779</v>
      </c>
      <c r="CI167" s="9">
        <f t="shared" si="548"/>
        <v>2.5802656008405425</v>
      </c>
      <c r="CJ167" s="9">
        <v>1</v>
      </c>
      <c r="CK167" s="9">
        <f t="shared" si="549"/>
        <v>227.06337287396775</v>
      </c>
      <c r="CM167" s="4">
        <f t="shared" si="550"/>
        <v>1.6466492454395782</v>
      </c>
      <c r="CN167" s="4">
        <f t="shared" si="551"/>
        <v>1.0456058464242541</v>
      </c>
      <c r="CO167" s="4">
        <f t="shared" si="552"/>
        <v>1.1895298986663618</v>
      </c>
      <c r="CP167" s="4">
        <f t="shared" si="553"/>
        <v>2.2064324759153546</v>
      </c>
      <c r="CQ167" s="4">
        <f t="shared" si="554"/>
        <v>1.3098915185197448</v>
      </c>
      <c r="CR167" s="4">
        <f t="shared" si="555"/>
        <v>1.3502706830387621</v>
      </c>
      <c r="CS167" s="4">
        <f t="shared" si="556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557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558"/>
        <v>0</v>
      </c>
      <c r="DI167" s="4">
        <f t="shared" si="559"/>
        <v>301</v>
      </c>
      <c r="DL167" s="4">
        <f t="shared" si="560"/>
        <v>1.5976696011144739E-5</v>
      </c>
      <c r="DM167" s="4">
        <f t="shared" si="561"/>
        <v>7.9822467373402182</v>
      </c>
      <c r="DN167" s="4">
        <f t="shared" si="562"/>
        <v>0.2836401371151141</v>
      </c>
      <c r="DO167" s="4">
        <f t="shared" si="563"/>
        <v>4.8220557004738289</v>
      </c>
      <c r="DP167" s="4">
        <f t="shared" si="564"/>
        <v>6.5953665189642372</v>
      </c>
      <c r="DQ167" s="4">
        <f t="shared" si="565"/>
        <v>7.5732980781767054</v>
      </c>
      <c r="DR167" s="38">
        <f t="shared" si="609"/>
        <v>382.47442090941985</v>
      </c>
      <c r="DS167" s="4">
        <f t="shared" si="566"/>
        <v>1.0001101319994157</v>
      </c>
      <c r="DT167" s="4">
        <f t="shared" si="567"/>
        <v>2.2360679774997898</v>
      </c>
      <c r="DU167" s="4">
        <f t="shared" si="568"/>
        <v>206.81961160545529</v>
      </c>
      <c r="DY167" s="4">
        <f t="shared" si="569"/>
        <v>0.85</v>
      </c>
      <c r="DZ167" s="4">
        <f t="shared" si="570"/>
        <v>1</v>
      </c>
      <c r="EA167" s="4">
        <f t="shared" si="610"/>
        <v>1</v>
      </c>
      <c r="EB167" s="4">
        <f t="shared" si="571"/>
        <v>1</v>
      </c>
      <c r="ED167" s="4">
        <f t="shared" si="611"/>
        <v>371.03671604015551</v>
      </c>
      <c r="EE167" s="25">
        <f t="shared" si="612"/>
        <v>203.40953455601098</v>
      </c>
      <c r="EH167" s="4">
        <f t="shared" si="613"/>
        <v>7.9822467373402182</v>
      </c>
      <c r="EK167" s="4">
        <f t="shared" si="572"/>
        <v>96.150923032490965</v>
      </c>
      <c r="EL167" s="4">
        <f t="shared" si="573"/>
        <v>2.2360679774997898</v>
      </c>
      <c r="EM167" s="4">
        <f t="shared" si="574"/>
        <v>0.12808407592670423</v>
      </c>
      <c r="EP167" s="4">
        <f t="shared" si="575"/>
        <v>0.12808407592670423</v>
      </c>
      <c r="EQ167" s="4">
        <f t="shared" si="576"/>
        <v>0.28316679458960436</v>
      </c>
      <c r="ER167" s="4">
        <f t="shared" si="577"/>
        <v>4.8188352426402856</v>
      </c>
      <c r="ES167" s="4">
        <f t="shared" si="578"/>
        <v>6.5941944952946905</v>
      </c>
      <c r="ET167" s="4">
        <f t="shared" si="579"/>
        <v>129.59907696750903</v>
      </c>
      <c r="EU167" s="4">
        <f t="shared" si="580"/>
        <v>75.25</v>
      </c>
      <c r="EV167" s="4">
        <f t="shared" si="581"/>
        <v>1.5976696011144739E-5</v>
      </c>
      <c r="EW167" s="4">
        <f t="shared" si="582"/>
        <v>7.5734146803275983</v>
      </c>
      <c r="EX167" s="4">
        <f t="shared" si="583"/>
        <v>382.43230287526308</v>
      </c>
      <c r="FG167" s="23">
        <f t="shared" si="584"/>
        <v>1.8</v>
      </c>
      <c r="FH167" s="23">
        <f t="shared" si="584"/>
        <v>1.2</v>
      </c>
      <c r="FI167" s="23">
        <f t="shared" si="585"/>
        <v>2.2000000000000002</v>
      </c>
      <c r="FJ167" s="23">
        <f t="shared" si="586"/>
        <v>2.2000000000000002</v>
      </c>
      <c r="FK167" s="23">
        <f t="shared" si="586"/>
        <v>1.4</v>
      </c>
      <c r="FL167" s="23">
        <f t="shared" si="586"/>
        <v>1.4</v>
      </c>
      <c r="FM167" s="23">
        <f t="shared" si="587"/>
        <v>0</v>
      </c>
      <c r="FN167" s="23"/>
      <c r="FX167" s="4">
        <f t="shared" si="422"/>
        <v>1.25</v>
      </c>
      <c r="FY167" s="4">
        <f t="shared" si="513"/>
        <v>0.5</v>
      </c>
      <c r="FZ167" s="4">
        <f t="shared" si="423"/>
        <v>0</v>
      </c>
      <c r="GA167" s="4">
        <f t="shared" si="424"/>
        <v>246.6661205377913</v>
      </c>
    </row>
    <row r="168" spans="1:183" ht="12" customHeight="1" x14ac:dyDescent="0.3">
      <c r="A168" s="25">
        <v>150</v>
      </c>
      <c r="B168" s="24" t="s">
        <v>128</v>
      </c>
      <c r="C168" s="24">
        <v>2017</v>
      </c>
      <c r="D168" s="24" t="s">
        <v>309</v>
      </c>
      <c r="E168" s="24"/>
      <c r="F168" s="4" t="s">
        <v>158</v>
      </c>
      <c r="G168" s="7">
        <v>606</v>
      </c>
      <c r="H168" s="7">
        <f>10*K168</f>
        <v>430</v>
      </c>
      <c r="I168" s="7">
        <f t="shared" si="519"/>
        <v>430</v>
      </c>
      <c r="J168" s="7">
        <v>52.2</v>
      </c>
      <c r="K168" s="37">
        <v>43</v>
      </c>
      <c r="L168" s="7">
        <f t="shared" si="588"/>
        <v>10</v>
      </c>
      <c r="M168" s="7">
        <f t="shared" si="589"/>
        <v>10</v>
      </c>
      <c r="N168" s="7">
        <f t="shared" si="590"/>
        <v>541.79999999999995</v>
      </c>
      <c r="O168" s="7">
        <f t="shared" si="520"/>
        <v>43</v>
      </c>
      <c r="P168" s="7">
        <f t="shared" si="591"/>
        <v>56</v>
      </c>
      <c r="Q168" s="7">
        <f t="shared" si="592"/>
        <v>369.8</v>
      </c>
      <c r="R168" s="7">
        <v>2</v>
      </c>
      <c r="S168" s="7">
        <f t="shared" si="593"/>
        <v>224.16666666666663</v>
      </c>
      <c r="T168" s="7">
        <f t="shared" si="521"/>
        <v>1.5</v>
      </c>
      <c r="U168" s="7">
        <f t="shared" si="522"/>
        <v>1.5</v>
      </c>
      <c r="V168" s="7">
        <f t="shared" si="517"/>
        <v>4</v>
      </c>
      <c r="W168" s="7">
        <f t="shared" si="517"/>
        <v>4</v>
      </c>
      <c r="X168" s="7">
        <f t="shared" si="523"/>
        <v>5</v>
      </c>
      <c r="Y168" s="7">
        <f t="shared" si="524"/>
        <v>96.150923032490965</v>
      </c>
      <c r="Z168" s="7">
        <f t="shared" si="525"/>
        <v>606</v>
      </c>
      <c r="AA168" s="7">
        <v>19</v>
      </c>
      <c r="AB168" s="7">
        <f>(437+437)/2</f>
        <v>437</v>
      </c>
      <c r="AC168" s="7"/>
      <c r="AD168" s="4">
        <f t="shared" si="526"/>
        <v>0.98353055359065744</v>
      </c>
      <c r="AE168" s="7">
        <v>0</v>
      </c>
      <c r="AF168" s="7">
        <v>0</v>
      </c>
      <c r="AG168" s="7">
        <f>I168</f>
        <v>430</v>
      </c>
      <c r="AH168" s="7"/>
      <c r="AI168" s="7"/>
      <c r="AJ168" s="7">
        <f t="shared" si="527"/>
        <v>3.125</v>
      </c>
      <c r="AK168" s="4">
        <f t="shared" si="594"/>
        <v>430</v>
      </c>
      <c r="AL168" s="4">
        <f t="shared" si="595"/>
        <v>0.41999999999999993</v>
      </c>
      <c r="AM168" s="4">
        <f t="shared" si="596"/>
        <v>221.8100126942922</v>
      </c>
      <c r="AN168" s="4">
        <f t="shared" si="597"/>
        <v>0.73</v>
      </c>
      <c r="AO168" s="4">
        <v>1.25</v>
      </c>
      <c r="AP168" s="4">
        <f t="shared" si="598"/>
        <v>2.5</v>
      </c>
      <c r="AQ168" s="38">
        <f t="shared" si="599"/>
        <v>212.52171841271866</v>
      </c>
      <c r="AR168" s="38">
        <f t="shared" si="600"/>
        <v>212.52171841271866</v>
      </c>
      <c r="AS168" s="38">
        <f t="shared" si="601"/>
        <v>4.1313780222399661</v>
      </c>
      <c r="AT168" s="38">
        <f t="shared" si="461"/>
        <v>212.52171841271891</v>
      </c>
      <c r="AU168" s="38">
        <f t="shared" si="406"/>
        <v>0.99999999999999878</v>
      </c>
      <c r="AV168" s="38">
        <f t="shared" si="462"/>
        <v>1.4737317312283496</v>
      </c>
      <c r="AW168" s="4">
        <f t="shared" si="463"/>
        <v>0</v>
      </c>
      <c r="AX168" s="4">
        <f t="shared" si="528"/>
        <v>380.26088143554614</v>
      </c>
      <c r="AY168" s="4">
        <f t="shared" si="529"/>
        <v>1</v>
      </c>
      <c r="AZ168" s="38">
        <f t="shared" si="530"/>
        <v>313.20000000000005</v>
      </c>
      <c r="BA168" s="4">
        <f t="shared" si="531"/>
        <v>0.44000000000000006</v>
      </c>
      <c r="BB168" s="4">
        <f t="shared" si="532"/>
        <v>87.421976642032064</v>
      </c>
      <c r="BC168" s="4">
        <f t="shared" si="533"/>
        <v>400.62197664203211</v>
      </c>
      <c r="BE168" s="4">
        <f t="shared" si="534"/>
        <v>1</v>
      </c>
      <c r="BF168" s="4">
        <f t="shared" si="535"/>
        <v>433.49740483652266</v>
      </c>
      <c r="BH168" s="4">
        <f t="shared" si="536"/>
        <v>300.39710186416738</v>
      </c>
      <c r="BI168" s="4">
        <f t="shared" si="537"/>
        <v>641.65616063635548</v>
      </c>
      <c r="BJ168" s="4">
        <f t="shared" si="538"/>
        <v>2.1360264684793715</v>
      </c>
      <c r="BK168" s="4">
        <f t="shared" si="602"/>
        <v>43</v>
      </c>
      <c r="BL168" s="4">
        <f t="shared" si="603"/>
        <v>43</v>
      </c>
      <c r="BM168" s="4">
        <f t="shared" si="604"/>
        <v>224.16666666666663</v>
      </c>
      <c r="BN168" s="4">
        <f t="shared" si="605"/>
        <v>64.5</v>
      </c>
      <c r="BO168" s="4">
        <f t="shared" si="606"/>
        <v>1.25</v>
      </c>
      <c r="BP168" s="25">
        <f t="shared" si="607"/>
        <v>1.875</v>
      </c>
      <c r="BR168" s="4">
        <f t="shared" si="539"/>
        <v>43</v>
      </c>
      <c r="BV168" s="9"/>
      <c r="BX168" s="9"/>
      <c r="BY168" s="9"/>
      <c r="BZ168" s="9">
        <f t="shared" si="540"/>
        <v>43</v>
      </c>
      <c r="CA168" s="9">
        <f t="shared" si="541"/>
        <v>184.9</v>
      </c>
      <c r="CB168" s="9">
        <f t="shared" si="542"/>
        <v>1.2445726940891169</v>
      </c>
      <c r="CC168" s="9">
        <v>0</v>
      </c>
      <c r="CD168" s="9">
        <f t="shared" si="543"/>
        <v>0</v>
      </c>
      <c r="CE168" s="9">
        <f t="shared" si="544"/>
        <v>0</v>
      </c>
      <c r="CF168" s="9">
        <f t="shared" si="545"/>
        <v>0.84984840943171969</v>
      </c>
      <c r="CG168" s="9">
        <f t="shared" si="546"/>
        <v>0.84399999999999997</v>
      </c>
      <c r="CH168" s="9">
        <f t="shared" si="547"/>
        <v>1.8137908571660144</v>
      </c>
      <c r="CI168" s="9">
        <f t="shared" si="548"/>
        <v>2.2573945736173151</v>
      </c>
      <c r="CJ168" s="9">
        <v>1</v>
      </c>
      <c r="CK168" s="9">
        <f t="shared" si="549"/>
        <v>225.7394573617315</v>
      </c>
      <c r="CM168" s="4">
        <f t="shared" si="550"/>
        <v>1.1492110320426716</v>
      </c>
      <c r="CN168" s="4">
        <f t="shared" si="551"/>
        <v>1.0908038636893671</v>
      </c>
      <c r="CO168" s="4">
        <f t="shared" si="552"/>
        <v>1.00807985266901</v>
      </c>
      <c r="CP168" s="4">
        <f t="shared" si="553"/>
        <v>1.9358600623361049</v>
      </c>
      <c r="CQ168" s="4">
        <f t="shared" si="554"/>
        <v>0.98353055359065744</v>
      </c>
      <c r="CR168" s="4">
        <f t="shared" si="555"/>
        <v>1.0412218156152346</v>
      </c>
      <c r="CS168" s="4">
        <f t="shared" si="556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557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558"/>
        <v>0</v>
      </c>
      <c r="DI168" s="4">
        <f t="shared" si="559"/>
        <v>430</v>
      </c>
      <c r="DL168" s="4">
        <f t="shared" si="560"/>
        <v>2.068602055294326E-5</v>
      </c>
      <c r="DM168" s="4">
        <f t="shared" si="561"/>
        <v>6.9834208014386041</v>
      </c>
      <c r="DN168" s="4">
        <f t="shared" si="562"/>
        <v>0.38079668496343849</v>
      </c>
      <c r="DO168" s="4">
        <f t="shared" si="563"/>
        <v>4.7461938887450668</v>
      </c>
      <c r="DP168" s="4">
        <f t="shared" si="564"/>
        <v>5.9709050746754713</v>
      </c>
      <c r="DQ168" s="4">
        <f t="shared" si="565"/>
        <v>6.3622945193921439</v>
      </c>
      <c r="DR168" s="38">
        <f t="shared" si="609"/>
        <v>444.31766598872548</v>
      </c>
      <c r="DS168" s="4">
        <f t="shared" si="566"/>
        <v>1.0001196288150624</v>
      </c>
      <c r="DT168" s="4">
        <f t="shared" si="567"/>
        <v>2.2360679774997898</v>
      </c>
      <c r="DU168" s="4">
        <f t="shared" si="568"/>
        <v>212.52171841271891</v>
      </c>
      <c r="DY168" s="4">
        <f t="shared" si="569"/>
        <v>0.85</v>
      </c>
      <c r="DZ168" s="4">
        <f t="shared" si="570"/>
        <v>1</v>
      </c>
      <c r="EA168" s="4">
        <f t="shared" si="610"/>
        <v>1</v>
      </c>
      <c r="EB168" s="4">
        <f t="shared" si="571"/>
        <v>1</v>
      </c>
      <c r="ED168" s="4">
        <f t="shared" si="611"/>
        <v>419.69923550034969</v>
      </c>
      <c r="EE168" s="25">
        <f t="shared" si="612"/>
        <v>210.19661145719158</v>
      </c>
      <c r="EH168" s="4">
        <f t="shared" si="613"/>
        <v>6.9834208014386041</v>
      </c>
      <c r="EK168" s="4">
        <f t="shared" si="572"/>
        <v>96.150923032490965</v>
      </c>
      <c r="EL168" s="4">
        <f t="shared" si="573"/>
        <v>2.2360679774997898</v>
      </c>
      <c r="EM168" s="4">
        <f t="shared" si="574"/>
        <v>0.15044012162558293</v>
      </c>
      <c r="EP168" s="4">
        <f t="shared" si="575"/>
        <v>0.15044012162558293</v>
      </c>
      <c r="EQ168" s="4">
        <f t="shared" si="576"/>
        <v>0.38016120626708905</v>
      </c>
      <c r="ER168" s="4">
        <f t="shared" si="577"/>
        <v>4.7430240959765975</v>
      </c>
      <c r="ES168" s="4">
        <f t="shared" si="578"/>
        <v>5.9696478367042616</v>
      </c>
      <c r="ET168" s="4">
        <f t="shared" si="579"/>
        <v>226.34907696750903</v>
      </c>
      <c r="EU168" s="4">
        <f t="shared" si="580"/>
        <v>107.50000000000003</v>
      </c>
      <c r="EV168" s="4">
        <f t="shared" si="581"/>
        <v>2.068602055294326E-5</v>
      </c>
      <c r="EW168" s="4">
        <f t="shared" si="582"/>
        <v>6.3624621905206977</v>
      </c>
      <c r="EX168" s="4">
        <f t="shared" si="583"/>
        <v>444.26451915072516</v>
      </c>
      <c r="FG168" s="23">
        <f t="shared" si="584"/>
        <v>1.2</v>
      </c>
      <c r="FH168" s="23">
        <f t="shared" si="584"/>
        <v>1.2</v>
      </c>
      <c r="FI168" s="23">
        <f t="shared" si="585"/>
        <v>1.4</v>
      </c>
      <c r="FJ168" s="23">
        <f t="shared" si="586"/>
        <v>2</v>
      </c>
      <c r="FK168" s="23">
        <f t="shared" si="586"/>
        <v>1</v>
      </c>
      <c r="FL168" s="23">
        <f t="shared" si="586"/>
        <v>1.2</v>
      </c>
      <c r="FM168" s="23">
        <f t="shared" si="587"/>
        <v>0</v>
      </c>
      <c r="FN168" s="23"/>
      <c r="FX168" s="4">
        <f t="shared" si="422"/>
        <v>1.25</v>
      </c>
      <c r="FY168" s="4">
        <f t="shared" si="513"/>
        <v>0.5</v>
      </c>
      <c r="FZ168" s="4">
        <f t="shared" si="423"/>
        <v>0</v>
      </c>
      <c r="GA168" s="4">
        <f t="shared" si="424"/>
        <v>329.59680681931764</v>
      </c>
    </row>
    <row r="169" spans="1:183" ht="12" customHeight="1" x14ac:dyDescent="0.3">
      <c r="A169" s="25">
        <v>151</v>
      </c>
      <c r="B169" s="24" t="s">
        <v>128</v>
      </c>
      <c r="C169" s="24">
        <v>2017</v>
      </c>
      <c r="D169" s="24" t="s">
        <v>309</v>
      </c>
      <c r="E169" s="24"/>
      <c r="F169" s="4" t="s">
        <v>181</v>
      </c>
      <c r="G169" s="7">
        <v>606</v>
      </c>
      <c r="H169" s="7">
        <f t="shared" ref="H169:H170" si="614">10*K169</f>
        <v>430</v>
      </c>
      <c r="I169" s="7">
        <f t="shared" si="519"/>
        <v>430</v>
      </c>
      <c r="J169" s="7">
        <v>52.2</v>
      </c>
      <c r="K169" s="37">
        <v>43</v>
      </c>
      <c r="L169" s="7">
        <f t="shared" si="588"/>
        <v>10</v>
      </c>
      <c r="M169" s="7">
        <f t="shared" si="589"/>
        <v>10</v>
      </c>
      <c r="N169" s="7">
        <f t="shared" si="590"/>
        <v>541.79999999999995</v>
      </c>
      <c r="O169" s="7">
        <f t="shared" si="520"/>
        <v>43</v>
      </c>
      <c r="P169" s="7">
        <f t="shared" si="591"/>
        <v>56</v>
      </c>
      <c r="Q169" s="7">
        <f t="shared" si="592"/>
        <v>369.8</v>
      </c>
      <c r="R169" s="7">
        <v>2</v>
      </c>
      <c r="S169" s="7">
        <f t="shared" si="593"/>
        <v>224.16666666666663</v>
      </c>
      <c r="T169" s="7">
        <f t="shared" si="521"/>
        <v>1.5</v>
      </c>
      <c r="U169" s="7">
        <f t="shared" si="522"/>
        <v>1.5</v>
      </c>
      <c r="V169" s="7">
        <f t="shared" si="517"/>
        <v>4</v>
      </c>
      <c r="W169" s="7">
        <f t="shared" si="517"/>
        <v>4</v>
      </c>
      <c r="X169" s="7">
        <f t="shared" si="523"/>
        <v>5</v>
      </c>
      <c r="Y169" s="7">
        <f t="shared" si="524"/>
        <v>96.150923032490965</v>
      </c>
      <c r="Z169" s="7">
        <f t="shared" si="525"/>
        <v>606</v>
      </c>
      <c r="AA169" s="7">
        <v>19</v>
      </c>
      <c r="AB169" s="7">
        <f>(489+498)/2</f>
        <v>493.5</v>
      </c>
      <c r="AC169" s="7"/>
      <c r="AD169" s="4">
        <f t="shared" si="526"/>
        <v>1.1067090057702911</v>
      </c>
      <c r="AE169" s="7">
        <v>15.9</v>
      </c>
      <c r="AF169" s="7">
        <v>1</v>
      </c>
      <c r="AG169" s="7">
        <v>370</v>
      </c>
      <c r="AH169" s="7">
        <v>2</v>
      </c>
      <c r="AI169" s="7">
        <f>AF169</f>
        <v>1</v>
      </c>
      <c r="AJ169" s="7">
        <f t="shared" si="527"/>
        <v>3.125</v>
      </c>
      <c r="AK169" s="4">
        <f t="shared" si="594"/>
        <v>430</v>
      </c>
      <c r="AL169" s="4">
        <f t="shared" si="595"/>
        <v>0.41999999999999993</v>
      </c>
      <c r="AM169" s="4">
        <f t="shared" si="596"/>
        <v>221.8100126942922</v>
      </c>
      <c r="AN169" s="4">
        <f t="shared" si="597"/>
        <v>0.73</v>
      </c>
      <c r="AO169" s="4">
        <v>1.25</v>
      </c>
      <c r="AP169" s="4">
        <f t="shared" si="598"/>
        <v>2.5</v>
      </c>
      <c r="AQ169" s="38">
        <f t="shared" si="599"/>
        <v>212.52171841271866</v>
      </c>
      <c r="AR169" s="38">
        <f t="shared" si="600"/>
        <v>212.52171841271866</v>
      </c>
      <c r="AS169" s="38">
        <f t="shared" si="601"/>
        <v>4.1313780222399661</v>
      </c>
      <c r="AT169" s="38">
        <f t="shared" si="461"/>
        <v>212.52171841271891</v>
      </c>
      <c r="AU169" s="38">
        <f t="shared" si="406"/>
        <v>0.99999999999999878</v>
      </c>
      <c r="AV169" s="38">
        <f t="shared" si="462"/>
        <v>1.4737317312283496</v>
      </c>
      <c r="AW169" s="4">
        <f t="shared" si="463"/>
        <v>0</v>
      </c>
      <c r="AX169" s="4">
        <f t="shared" si="528"/>
        <v>380.26088143554614</v>
      </c>
      <c r="AY169" s="4">
        <f t="shared" si="529"/>
        <v>1</v>
      </c>
      <c r="AZ169" s="38">
        <f t="shared" si="530"/>
        <v>313.20000000000005</v>
      </c>
      <c r="BA169" s="4">
        <f t="shared" si="531"/>
        <v>0.44000000000000006</v>
      </c>
      <c r="BB169" s="4">
        <f t="shared" si="532"/>
        <v>87.421976642032064</v>
      </c>
      <c r="BC169" s="4">
        <f t="shared" si="533"/>
        <v>400.62197664203211</v>
      </c>
      <c r="BE169" s="4">
        <f t="shared" si="534"/>
        <v>1.1996797080462691</v>
      </c>
      <c r="BF169" s="4">
        <f t="shared" si="535"/>
        <v>520.05804007309484</v>
      </c>
      <c r="BH169" s="4">
        <f t="shared" si="536"/>
        <v>300.39710186416738</v>
      </c>
      <c r="BI169" s="4">
        <f t="shared" si="537"/>
        <v>641.65616063635548</v>
      </c>
      <c r="BJ169" s="4">
        <f t="shared" si="538"/>
        <v>2.1360264684793715</v>
      </c>
      <c r="BK169" s="4">
        <f t="shared" si="602"/>
        <v>43</v>
      </c>
      <c r="BL169" s="4">
        <f t="shared" si="603"/>
        <v>43</v>
      </c>
      <c r="BM169" s="4">
        <f t="shared" si="604"/>
        <v>224.16666666666663</v>
      </c>
      <c r="BN169" s="4">
        <f t="shared" si="605"/>
        <v>64.5</v>
      </c>
      <c r="BO169" s="4">
        <f t="shared" si="606"/>
        <v>1.25</v>
      </c>
      <c r="BP169" s="25">
        <f t="shared" si="607"/>
        <v>2.6919159950451501</v>
      </c>
      <c r="BR169" s="4">
        <f t="shared" si="539"/>
        <v>43</v>
      </c>
      <c r="BV169" s="9"/>
      <c r="BX169" s="9"/>
      <c r="BY169" s="9"/>
      <c r="BZ169" s="9">
        <f t="shared" si="540"/>
        <v>43</v>
      </c>
      <c r="CA169" s="9">
        <f t="shared" si="541"/>
        <v>184.9</v>
      </c>
      <c r="CB169" s="9">
        <f t="shared" si="542"/>
        <v>1.2445726940891169</v>
      </c>
      <c r="CC169" s="9">
        <v>20</v>
      </c>
      <c r="CD169" s="9">
        <f t="shared" si="543"/>
        <v>1.2479981752891823E-2</v>
      </c>
      <c r="CE169" s="9">
        <f t="shared" si="544"/>
        <v>4.9599635057836454E-2</v>
      </c>
      <c r="CF169" s="9">
        <f t="shared" si="545"/>
        <v>0.84984840943171969</v>
      </c>
      <c r="CG169" s="9">
        <f t="shared" si="546"/>
        <v>0.84399999999999997</v>
      </c>
      <c r="CH169" s="9">
        <f t="shared" si="547"/>
        <v>1.8137908571660144</v>
      </c>
      <c r="CI169" s="9">
        <f t="shared" si="548"/>
        <v>2.3473579382039897</v>
      </c>
      <c r="CJ169" s="9">
        <v>1</v>
      </c>
      <c r="CK169" s="9">
        <f t="shared" si="549"/>
        <v>234.73579382039895</v>
      </c>
      <c r="CM169" s="4">
        <f t="shared" si="550"/>
        <v>1.2977932364143214</v>
      </c>
      <c r="CN169" s="4">
        <f t="shared" si="551"/>
        <v>1.2318345691778092</v>
      </c>
      <c r="CO169" s="4">
        <f t="shared" si="552"/>
        <v>0.94893254593398446</v>
      </c>
      <c r="CP169" s="4">
        <f t="shared" si="553"/>
        <v>2.1023636487990696</v>
      </c>
      <c r="CQ169" s="4">
        <f t="shared" si="554"/>
        <v>1.1067090057702911</v>
      </c>
      <c r="CR169" s="4">
        <f t="shared" si="555"/>
        <v>1.1716971921552939</v>
      </c>
      <c r="CS169" s="4">
        <f t="shared" si="556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615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558"/>
        <v>1</v>
      </c>
      <c r="DI169" s="4">
        <f t="shared" si="559"/>
        <v>430</v>
      </c>
      <c r="DL169" s="4">
        <f t="shared" si="560"/>
        <v>2.068602055294326E-5</v>
      </c>
      <c r="DM169" s="4">
        <f t="shared" si="561"/>
        <v>7.0329098169215492</v>
      </c>
      <c r="DN169" s="4">
        <f t="shared" si="562"/>
        <v>0.38079668496343849</v>
      </c>
      <c r="DO169" s="4">
        <f t="shared" si="563"/>
        <v>4.7798284740756225</v>
      </c>
      <c r="DP169" s="4">
        <f t="shared" si="564"/>
        <v>6.0132187518960869</v>
      </c>
      <c r="DQ169" s="4">
        <f t="shared" si="565"/>
        <v>6.403017200513113</v>
      </c>
      <c r="DR169" s="38">
        <f t="shared" si="609"/>
        <v>445.91667495875697</v>
      </c>
      <c r="DS169" s="4">
        <f t="shared" si="566"/>
        <v>1.0001200181870185</v>
      </c>
      <c r="DT169" s="4">
        <f t="shared" si="567"/>
        <v>2.2360679774997898</v>
      </c>
      <c r="DU169" s="4">
        <f t="shared" si="568"/>
        <v>212.52171841271891</v>
      </c>
      <c r="DY169" s="4">
        <f t="shared" si="569"/>
        <v>0.85</v>
      </c>
      <c r="DZ169" s="4">
        <f t="shared" si="570"/>
        <v>1</v>
      </c>
      <c r="EA169" s="4">
        <f t="shared" si="610"/>
        <v>0.99296322336398057</v>
      </c>
      <c r="EB169" s="4">
        <f t="shared" si="571"/>
        <v>0.99296322336398057</v>
      </c>
      <c r="ED169" s="4">
        <f t="shared" si="611"/>
        <v>421.183905964838</v>
      </c>
      <c r="EE169" s="25">
        <f t="shared" si="612"/>
        <v>210.19661145719158</v>
      </c>
      <c r="EH169" s="4">
        <f t="shared" si="613"/>
        <v>7.0329098169215492</v>
      </c>
      <c r="EK169" s="4">
        <f t="shared" si="572"/>
        <v>96.150923032490965</v>
      </c>
      <c r="EL169" s="4">
        <f t="shared" si="573"/>
        <v>2.2360679774997898</v>
      </c>
      <c r="EM169" s="4">
        <f t="shared" si="574"/>
        <v>0.15044012162558293</v>
      </c>
      <c r="EP169" s="4">
        <f t="shared" si="575"/>
        <v>0.15044012162558293</v>
      </c>
      <c r="EQ169" s="4">
        <f t="shared" si="576"/>
        <v>0.38016120626708905</v>
      </c>
      <c r="ER169" s="4">
        <f t="shared" si="577"/>
        <v>4.7766362181149926</v>
      </c>
      <c r="ES169" s="4">
        <f t="shared" si="578"/>
        <v>6.0119526043272469</v>
      </c>
      <c r="ET169" s="4">
        <f t="shared" si="579"/>
        <v>226.34907696750903</v>
      </c>
      <c r="EU169" s="4">
        <f t="shared" si="580"/>
        <v>107.50000000000003</v>
      </c>
      <c r="EV169" s="4">
        <f t="shared" si="581"/>
        <v>2.068602055294326E-5</v>
      </c>
      <c r="EW169" s="4">
        <f t="shared" si="582"/>
        <v>6.4031872380866517</v>
      </c>
      <c r="EX169" s="4">
        <f t="shared" si="583"/>
        <v>445.86316327024292</v>
      </c>
      <c r="FG169" s="23">
        <f t="shared" si="584"/>
        <v>1.4</v>
      </c>
      <c r="FH169" s="23">
        <f t="shared" si="584"/>
        <v>1.4</v>
      </c>
      <c r="FI169" s="23">
        <f t="shared" si="585"/>
        <v>1.2</v>
      </c>
      <c r="FJ169" s="23">
        <f t="shared" si="586"/>
        <v>2.2000000000000002</v>
      </c>
      <c r="FK169" s="23">
        <f t="shared" si="586"/>
        <v>1.2</v>
      </c>
      <c r="FL169" s="23">
        <f t="shared" si="586"/>
        <v>1.2</v>
      </c>
      <c r="FM169" s="23">
        <f t="shared" si="587"/>
        <v>0</v>
      </c>
      <c r="FN169" s="23"/>
      <c r="FX169" s="4">
        <f t="shared" si="422"/>
        <v>1.25</v>
      </c>
      <c r="FY169" s="4">
        <f t="shared" si="513"/>
        <v>0.38915043257609383</v>
      </c>
      <c r="FZ169" s="4">
        <f t="shared" si="423"/>
        <v>0.27345592212006492</v>
      </c>
      <c r="GA169" s="4">
        <f t="shared" si="424"/>
        <v>423.48251373826855</v>
      </c>
    </row>
    <row r="170" spans="1:183" ht="12" customHeight="1" x14ac:dyDescent="0.3">
      <c r="A170" s="25">
        <v>152</v>
      </c>
      <c r="B170" s="24" t="s">
        <v>128</v>
      </c>
      <c r="C170" s="24">
        <v>2017</v>
      </c>
      <c r="D170" s="24" t="s">
        <v>309</v>
      </c>
      <c r="E170" s="24"/>
      <c r="F170" s="4" t="s">
        <v>159</v>
      </c>
      <c r="G170" s="7">
        <v>606</v>
      </c>
      <c r="H170" s="7">
        <f t="shared" si="614"/>
        <v>430</v>
      </c>
      <c r="I170" s="7">
        <f t="shared" si="519"/>
        <v>430</v>
      </c>
      <c r="J170" s="7">
        <v>81.2</v>
      </c>
      <c r="K170" s="37">
        <v>43</v>
      </c>
      <c r="L170" s="7">
        <f t="shared" si="588"/>
        <v>10</v>
      </c>
      <c r="M170" s="7">
        <f t="shared" si="589"/>
        <v>10</v>
      </c>
      <c r="N170" s="7">
        <f t="shared" si="590"/>
        <v>541.79999999999995</v>
      </c>
      <c r="O170" s="7">
        <f t="shared" si="520"/>
        <v>43</v>
      </c>
      <c r="P170" s="7">
        <f t="shared" si="591"/>
        <v>56</v>
      </c>
      <c r="Q170" s="7">
        <f t="shared" si="592"/>
        <v>369.8</v>
      </c>
      <c r="R170" s="7">
        <v>2</v>
      </c>
      <c r="S170" s="7">
        <f t="shared" si="593"/>
        <v>224.16666666666663</v>
      </c>
      <c r="T170" s="7">
        <f t="shared" si="521"/>
        <v>1.5</v>
      </c>
      <c r="U170" s="7">
        <f t="shared" si="522"/>
        <v>1.5</v>
      </c>
      <c r="V170" s="7">
        <f t="shared" si="517"/>
        <v>4</v>
      </c>
      <c r="W170" s="7">
        <f t="shared" si="517"/>
        <v>4</v>
      </c>
      <c r="X170" s="7">
        <f t="shared" si="523"/>
        <v>5</v>
      </c>
      <c r="Y170" s="7">
        <f t="shared" si="524"/>
        <v>96.150923032490965</v>
      </c>
      <c r="Z170" s="7">
        <f t="shared" si="525"/>
        <v>606</v>
      </c>
      <c r="AA170" s="7">
        <v>19</v>
      </c>
      <c r="AB170" s="7">
        <f>(595+590)/2</f>
        <v>592.5</v>
      </c>
      <c r="AC170" s="7"/>
      <c r="AD170" s="4">
        <f t="shared" si="526"/>
        <v>1.0925318620009352</v>
      </c>
      <c r="AE170" s="7">
        <v>0</v>
      </c>
      <c r="AF170" s="7">
        <v>0</v>
      </c>
      <c r="AG170" s="7">
        <f>I170</f>
        <v>430</v>
      </c>
      <c r="AH170" s="7"/>
      <c r="AI170" s="7"/>
      <c r="AJ170" s="7">
        <f t="shared" si="527"/>
        <v>3.125</v>
      </c>
      <c r="AK170" s="4">
        <f t="shared" si="594"/>
        <v>430</v>
      </c>
      <c r="AL170" s="4">
        <f t="shared" si="595"/>
        <v>0.41999999999999993</v>
      </c>
      <c r="AM170" s="4">
        <f t="shared" si="596"/>
        <v>276.64569081934007</v>
      </c>
      <c r="AN170" s="4">
        <f t="shared" si="597"/>
        <v>0.73</v>
      </c>
      <c r="AO170" s="4">
        <v>1.25</v>
      </c>
      <c r="AP170" s="4">
        <f t="shared" si="598"/>
        <v>2.5</v>
      </c>
      <c r="AQ170" s="38">
        <f t="shared" si="599"/>
        <v>265.06115251628017</v>
      </c>
      <c r="AR170" s="38">
        <f t="shared" si="600"/>
        <v>265.06115251628017</v>
      </c>
      <c r="AS170" s="38">
        <f t="shared" si="601"/>
        <v>4.8644521931491767</v>
      </c>
      <c r="AT170" s="38">
        <f t="shared" si="461"/>
        <v>265.0611525162804</v>
      </c>
      <c r="AU170" s="38">
        <f t="shared" si="406"/>
        <v>0.99999999999999911</v>
      </c>
      <c r="AV170" s="38">
        <f t="shared" si="462"/>
        <v>1.8380664060912344</v>
      </c>
      <c r="AW170" s="4">
        <f t="shared" si="463"/>
        <v>0</v>
      </c>
      <c r="AX170" s="4">
        <f t="shared" si="528"/>
        <v>474.26864530816039</v>
      </c>
      <c r="AY170" s="4">
        <f t="shared" si="529"/>
        <v>1</v>
      </c>
      <c r="AZ170" s="38">
        <f t="shared" si="530"/>
        <v>487.20000000000005</v>
      </c>
      <c r="BA170" s="4">
        <f t="shared" si="531"/>
        <v>0.44000000000000006</v>
      </c>
      <c r="BB170" s="4">
        <f t="shared" si="532"/>
        <v>109.03436155634607</v>
      </c>
      <c r="BC170" s="4">
        <f t="shared" si="533"/>
        <v>596.23436155634613</v>
      </c>
      <c r="BE170" s="4">
        <f t="shared" si="534"/>
        <v>1</v>
      </c>
      <c r="BF170" s="4">
        <f t="shared" si="535"/>
        <v>540.66625565130289</v>
      </c>
      <c r="BH170" s="4">
        <f t="shared" si="536"/>
        <v>467.28438067759373</v>
      </c>
      <c r="BI170" s="4">
        <f t="shared" si="537"/>
        <v>641.65616063635548</v>
      </c>
      <c r="BJ170" s="4">
        <f t="shared" si="538"/>
        <v>1.3731598725938816</v>
      </c>
      <c r="BK170" s="4">
        <f t="shared" si="602"/>
        <v>43</v>
      </c>
      <c r="BL170" s="4">
        <f t="shared" si="603"/>
        <v>43</v>
      </c>
      <c r="BM170" s="4">
        <f t="shared" si="604"/>
        <v>224.16666666666663</v>
      </c>
      <c r="BN170" s="4">
        <f t="shared" si="605"/>
        <v>64.5</v>
      </c>
      <c r="BO170" s="4">
        <f t="shared" si="606"/>
        <v>1.25</v>
      </c>
      <c r="BP170" s="25">
        <f t="shared" si="607"/>
        <v>1.875</v>
      </c>
      <c r="BR170" s="4">
        <f t="shared" si="539"/>
        <v>43</v>
      </c>
      <c r="BV170" s="9"/>
      <c r="BX170" s="9"/>
      <c r="BY170" s="9"/>
      <c r="BZ170" s="9">
        <f t="shared" si="540"/>
        <v>43</v>
      </c>
      <c r="CA170" s="9">
        <f t="shared" si="541"/>
        <v>184.9</v>
      </c>
      <c r="CB170" s="9">
        <f t="shared" si="542"/>
        <v>1.2445726940891169</v>
      </c>
      <c r="CC170" s="9">
        <v>0</v>
      </c>
      <c r="CD170" s="9">
        <f t="shared" si="543"/>
        <v>0</v>
      </c>
      <c r="CE170" s="9">
        <f t="shared" si="544"/>
        <v>0</v>
      </c>
      <c r="CF170" s="9">
        <f t="shared" si="545"/>
        <v>0.84984840943171969</v>
      </c>
      <c r="CG170" s="9">
        <f t="shared" si="546"/>
        <v>0.84399999999999997</v>
      </c>
      <c r="CH170" s="9">
        <f t="shared" si="547"/>
        <v>2.2621946529260857</v>
      </c>
      <c r="CI170" s="9">
        <f t="shared" si="548"/>
        <v>2.815465693746213</v>
      </c>
      <c r="CJ170" s="9">
        <v>1</v>
      </c>
      <c r="CK170" s="9">
        <f t="shared" si="549"/>
        <v>281.5465693746213</v>
      </c>
      <c r="CM170" s="4">
        <f t="shared" si="550"/>
        <v>1.2492919484799965</v>
      </c>
      <c r="CN170" s="4">
        <f t="shared" si="551"/>
        <v>0.99373675554928043</v>
      </c>
      <c r="CO170" s="4">
        <f t="shared" si="552"/>
        <v>1.0958701302456109</v>
      </c>
      <c r="CP170" s="4">
        <f t="shared" si="553"/>
        <v>2.1044475921552754</v>
      </c>
      <c r="CQ170" s="4">
        <f t="shared" si="554"/>
        <v>1.0925318620009352</v>
      </c>
      <c r="CR170" s="4">
        <f t="shared" si="555"/>
        <v>1.131898315070766</v>
      </c>
      <c r="CS170" s="4">
        <f t="shared" si="556"/>
        <v>1.6096593536070971</v>
      </c>
      <c r="CU170" s="4">
        <f t="shared" ref="CU170:CV172" si="616">CM170</f>
        <v>1.2492919484799965</v>
      </c>
      <c r="CV170" s="4">
        <f t="shared" si="616"/>
        <v>0.99373675554928043</v>
      </c>
      <c r="CW170" s="4">
        <f>CP170</f>
        <v>2.1044475921552754</v>
      </c>
      <c r="CX170" s="4">
        <f t="shared" si="557"/>
        <v>1.6096593536070971</v>
      </c>
      <c r="CY170" s="4">
        <f t="shared" ref="CY170:CZ172" si="617">CQ170</f>
        <v>1.0925318620009352</v>
      </c>
      <c r="CZ170" s="4">
        <f t="shared" si="617"/>
        <v>1.131898315070766</v>
      </c>
      <c r="DH170" s="4">
        <f t="shared" si="558"/>
        <v>0</v>
      </c>
      <c r="DI170" s="4">
        <f t="shared" si="559"/>
        <v>430</v>
      </c>
      <c r="DL170" s="4">
        <f t="shared" si="560"/>
        <v>2.4682021866243434E-5</v>
      </c>
      <c r="DM170" s="4">
        <f t="shared" si="561"/>
        <v>8.7098560088845165</v>
      </c>
      <c r="DN170" s="4">
        <f t="shared" si="562"/>
        <v>0.30531658481838836</v>
      </c>
      <c r="DO170" s="4">
        <f t="shared" si="563"/>
        <v>5.4188999627402126</v>
      </c>
      <c r="DP170" s="4">
        <f t="shared" si="564"/>
        <v>7.2544617597434549</v>
      </c>
      <c r="DQ170" s="4">
        <f t="shared" si="565"/>
        <v>7.6041038286671467</v>
      </c>
      <c r="DR170" s="38">
        <f t="shared" si="609"/>
        <v>542.31827977525177</v>
      </c>
      <c r="DS170" s="4">
        <f t="shared" si="566"/>
        <v>1.0001069246678245</v>
      </c>
      <c r="DT170" s="4">
        <f t="shared" si="567"/>
        <v>2.2360679774997898</v>
      </c>
      <c r="DU170" s="4">
        <f t="shared" si="568"/>
        <v>265.0611525162804</v>
      </c>
      <c r="DY170" s="4">
        <f t="shared" si="569"/>
        <v>0.85</v>
      </c>
      <c r="DZ170" s="4">
        <f t="shared" si="570"/>
        <v>1</v>
      </c>
      <c r="EA170" s="4">
        <f t="shared" si="610"/>
        <v>1</v>
      </c>
      <c r="EB170" s="4">
        <f t="shared" si="571"/>
        <v>1</v>
      </c>
      <c r="ED170" s="4">
        <f t="shared" si="611"/>
        <v>523.45691491108641</v>
      </c>
      <c r="EE170" s="25">
        <f t="shared" si="612"/>
        <v>262.16123464455097</v>
      </c>
      <c r="EH170" s="4">
        <f t="shared" si="613"/>
        <v>8.7098560088845165</v>
      </c>
      <c r="EK170" s="4">
        <f t="shared" si="572"/>
        <v>96.150923032490965</v>
      </c>
      <c r="EL170" s="4">
        <f t="shared" si="573"/>
        <v>2.2360679774997898</v>
      </c>
      <c r="EM170" s="4">
        <f t="shared" si="574"/>
        <v>0.1504401216255829</v>
      </c>
      <c r="EP170" s="4">
        <f t="shared" si="575"/>
        <v>0.1504401216255829</v>
      </c>
      <c r="EQ170" s="4">
        <f t="shared" si="576"/>
        <v>0.30480706834160254</v>
      </c>
      <c r="ER170" s="4">
        <f t="shared" si="577"/>
        <v>5.4152808965331429</v>
      </c>
      <c r="ES170" s="4">
        <f t="shared" si="578"/>
        <v>7.2531151252049844</v>
      </c>
      <c r="ET170" s="4">
        <f t="shared" si="579"/>
        <v>226.34907696750903</v>
      </c>
      <c r="EU170" s="4">
        <f t="shared" si="580"/>
        <v>107.50000000000003</v>
      </c>
      <c r="EV170" s="4">
        <f t="shared" si="581"/>
        <v>2.468202186624344E-5</v>
      </c>
      <c r="EW170" s="4">
        <f t="shared" si="582"/>
        <v>7.6043781567245556</v>
      </c>
      <c r="EX170" s="4">
        <f t="shared" si="583"/>
        <v>542.26029877293104</v>
      </c>
      <c r="FG170" s="23">
        <f t="shared" si="584"/>
        <v>1.4</v>
      </c>
      <c r="FH170" s="23">
        <f t="shared" si="584"/>
        <v>1</v>
      </c>
      <c r="FI170" s="23">
        <f t="shared" si="585"/>
        <v>1.8</v>
      </c>
      <c r="FJ170" s="23">
        <f t="shared" si="586"/>
        <v>2.2000000000000002</v>
      </c>
      <c r="FK170" s="23">
        <f t="shared" si="586"/>
        <v>1.2</v>
      </c>
      <c r="FL170" s="23">
        <f t="shared" si="586"/>
        <v>1.2</v>
      </c>
      <c r="FM170" s="23">
        <f t="shared" si="587"/>
        <v>0</v>
      </c>
      <c r="FN170" s="23"/>
      <c r="FX170" s="4">
        <f t="shared" si="422"/>
        <v>1.25</v>
      </c>
      <c r="FY170" s="4">
        <f t="shared" si="513"/>
        <v>0.5</v>
      </c>
      <c r="FZ170" s="4">
        <f t="shared" si="423"/>
        <v>0</v>
      </c>
      <c r="GA170" s="4">
        <f t="shared" si="424"/>
        <v>368.09030349947182</v>
      </c>
    </row>
    <row r="171" spans="1:183" ht="12" customHeight="1" x14ac:dyDescent="0.3">
      <c r="A171" s="25">
        <v>153</v>
      </c>
      <c r="B171" s="24" t="s">
        <v>128</v>
      </c>
      <c r="C171" s="24">
        <v>2017</v>
      </c>
      <c r="D171" s="24" t="s">
        <v>309</v>
      </c>
      <c r="E171" s="24"/>
      <c r="F171" s="4" t="s">
        <v>160</v>
      </c>
      <c r="G171" s="7">
        <v>606</v>
      </c>
      <c r="H171" s="7">
        <f>13*K171</f>
        <v>559</v>
      </c>
      <c r="I171" s="7">
        <f t="shared" si="519"/>
        <v>559</v>
      </c>
      <c r="J171" s="7">
        <v>45.8</v>
      </c>
      <c r="K171" s="37">
        <v>43</v>
      </c>
      <c r="L171" s="7">
        <f t="shared" si="588"/>
        <v>13</v>
      </c>
      <c r="M171" s="7">
        <f t="shared" si="589"/>
        <v>13</v>
      </c>
      <c r="N171" s="7">
        <f t="shared" si="590"/>
        <v>344</v>
      </c>
      <c r="O171" s="7">
        <f t="shared" si="520"/>
        <v>43</v>
      </c>
      <c r="P171" s="7">
        <f t="shared" si="591"/>
        <v>56</v>
      </c>
      <c r="Q171" s="7">
        <f>(5-1)*K171</f>
        <v>172</v>
      </c>
      <c r="R171" s="7">
        <v>2</v>
      </c>
      <c r="S171" s="7">
        <f>2/3*H171-0.5*200</f>
        <v>272.66666666666663</v>
      </c>
      <c r="T171" s="7">
        <f t="shared" si="521"/>
        <v>1.5</v>
      </c>
      <c r="U171" s="7">
        <f t="shared" si="522"/>
        <v>1.5</v>
      </c>
      <c r="V171" s="7">
        <f t="shared" si="517"/>
        <v>4</v>
      </c>
      <c r="W171" s="7">
        <f t="shared" si="517"/>
        <v>4</v>
      </c>
      <c r="X171" s="7">
        <f t="shared" si="523"/>
        <v>5</v>
      </c>
      <c r="Y171" s="7">
        <f t="shared" si="524"/>
        <v>96.150923032490965</v>
      </c>
      <c r="Z171" s="7">
        <f t="shared" si="525"/>
        <v>606</v>
      </c>
      <c r="AA171" s="7">
        <v>19</v>
      </c>
      <c r="AB171" s="7">
        <f>(475+475)/2</f>
        <v>475</v>
      </c>
      <c r="AC171" s="7"/>
      <c r="AD171" s="4">
        <f t="shared" si="526"/>
        <v>1.1437168102008413</v>
      </c>
      <c r="AE171" s="7">
        <v>0</v>
      </c>
      <c r="AF171" s="7">
        <v>0</v>
      </c>
      <c r="AG171" s="7">
        <f t="shared" ref="AG171:AG172" si="618">I171</f>
        <v>559</v>
      </c>
      <c r="AH171" s="7"/>
      <c r="AI171" s="7"/>
      <c r="AJ171" s="7">
        <f t="shared" si="527"/>
        <v>7.8</v>
      </c>
      <c r="AK171" s="4">
        <f t="shared" si="594"/>
        <v>559</v>
      </c>
      <c r="AL171" s="4">
        <f t="shared" si="595"/>
        <v>0.20512820512820512</v>
      </c>
      <c r="AM171" s="4">
        <f t="shared" si="596"/>
        <v>307.95954027775866</v>
      </c>
      <c r="AN171" s="4">
        <f t="shared" si="597"/>
        <v>0.72307692307692306</v>
      </c>
      <c r="AO171" s="4">
        <v>1.25</v>
      </c>
      <c r="AP171" s="4">
        <f t="shared" si="598"/>
        <v>2.5</v>
      </c>
      <c r="AQ171" s="38">
        <f t="shared" si="599"/>
        <v>142.74258770270868</v>
      </c>
      <c r="AR171" s="38">
        <f t="shared" si="600"/>
        <v>142.74258770270868</v>
      </c>
      <c r="AS171" s="38">
        <f t="shared" si="601"/>
        <v>3.8402978284624769</v>
      </c>
      <c r="AT171" s="38">
        <f t="shared" si="461"/>
        <v>142.74258770270856</v>
      </c>
      <c r="AU171" s="38">
        <f t="shared" si="406"/>
        <v>1.0000000000000009</v>
      </c>
      <c r="AV171" s="38">
        <f t="shared" si="462"/>
        <v>1.9251437459738976</v>
      </c>
      <c r="AW171" s="4">
        <f t="shared" si="463"/>
        <v>0</v>
      </c>
      <c r="AX171" s="4">
        <f t="shared" si="528"/>
        <v>463.04424442937301</v>
      </c>
      <c r="AY171" s="4">
        <f t="shared" si="529"/>
        <v>1</v>
      </c>
      <c r="AZ171" s="38">
        <f t="shared" si="530"/>
        <v>274.79999999999995</v>
      </c>
      <c r="BA171" s="4">
        <f t="shared" si="531"/>
        <v>0.44000000000000006</v>
      </c>
      <c r="BB171" s="4">
        <f t="shared" si="532"/>
        <v>106.45387179431289</v>
      </c>
      <c r="BC171" s="4">
        <f t="shared" si="533"/>
        <v>381.25387179431283</v>
      </c>
      <c r="BE171" s="4">
        <f t="shared" si="534"/>
        <v>1</v>
      </c>
      <c r="BF171" s="4">
        <f t="shared" si="535"/>
        <v>466.96231111300619</v>
      </c>
      <c r="BH171" s="4">
        <f t="shared" si="536"/>
        <v>263.56680585016983</v>
      </c>
      <c r="BI171" s="4">
        <f t="shared" si="537"/>
        <v>641.65616063635548</v>
      </c>
      <c r="BJ171" s="4">
        <f t="shared" si="538"/>
        <v>2.4345105164764891</v>
      </c>
      <c r="BK171" s="4">
        <f t="shared" si="602"/>
        <v>43</v>
      </c>
      <c r="BL171" s="4">
        <f t="shared" si="603"/>
        <v>43</v>
      </c>
      <c r="BM171" s="4">
        <f t="shared" si="604"/>
        <v>272.66666666666663</v>
      </c>
      <c r="BN171" s="4">
        <f t="shared" si="605"/>
        <v>64.5</v>
      </c>
      <c r="BO171" s="4">
        <f t="shared" si="606"/>
        <v>1.25</v>
      </c>
      <c r="BP171" s="25">
        <f t="shared" si="607"/>
        <v>1.875</v>
      </c>
      <c r="BR171" s="4">
        <f t="shared" si="539"/>
        <v>43</v>
      </c>
      <c r="BV171" s="9"/>
      <c r="BX171" s="9"/>
      <c r="BY171" s="9"/>
      <c r="BZ171" s="9">
        <f t="shared" si="540"/>
        <v>43</v>
      </c>
      <c r="CA171" s="9">
        <f t="shared" si="541"/>
        <v>86</v>
      </c>
      <c r="CB171" s="9">
        <f t="shared" si="542"/>
        <v>1.1095694720678451</v>
      </c>
      <c r="CC171" s="9">
        <v>0</v>
      </c>
      <c r="CD171" s="9">
        <f t="shared" si="543"/>
        <v>0</v>
      </c>
      <c r="CE171" s="9">
        <f t="shared" si="544"/>
        <v>0</v>
      </c>
      <c r="CF171" s="9">
        <f t="shared" si="545"/>
        <v>0.84984840943171969</v>
      </c>
      <c r="CG171" s="9">
        <f t="shared" si="546"/>
        <v>0.84399999999999997</v>
      </c>
      <c r="CH171" s="9">
        <f t="shared" si="547"/>
        <v>1.6989660317871056</v>
      </c>
      <c r="CI171" s="9">
        <f t="shared" si="548"/>
        <v>1.8851208429512205</v>
      </c>
      <c r="CJ171" s="9">
        <v>1</v>
      </c>
      <c r="CK171" s="9">
        <f t="shared" si="549"/>
        <v>211.1335344105367</v>
      </c>
      <c r="CM171" s="4">
        <f t="shared" si="550"/>
        <v>1.0258198988853873</v>
      </c>
      <c r="CN171" s="4">
        <f t="shared" si="551"/>
        <v>1.2458889866861822</v>
      </c>
      <c r="CO171" s="4">
        <f t="shared" si="552"/>
        <v>1.0172127143791025</v>
      </c>
      <c r="CP171" s="4">
        <f t="shared" si="553"/>
        <v>2.2497610402163333</v>
      </c>
      <c r="CQ171" s="4">
        <f t="shared" si="554"/>
        <v>1.1437168102008413</v>
      </c>
      <c r="CR171" s="4">
        <f t="shared" si="555"/>
        <v>1.1972859454860088</v>
      </c>
      <c r="CS171" s="4">
        <f t="shared" si="556"/>
        <v>1.489058878211396</v>
      </c>
      <c r="CU171" s="4">
        <f t="shared" si="616"/>
        <v>1.0258198988853873</v>
      </c>
      <c r="CV171" s="4">
        <f t="shared" si="616"/>
        <v>1.2458889866861822</v>
      </c>
      <c r="CW171" s="4">
        <f>CP171</f>
        <v>2.2497610402163333</v>
      </c>
      <c r="CX171" s="4">
        <f t="shared" si="557"/>
        <v>1.489058878211396</v>
      </c>
      <c r="CY171" s="4">
        <f t="shared" si="617"/>
        <v>1.1437168102008413</v>
      </c>
      <c r="CZ171" s="4">
        <f t="shared" si="617"/>
        <v>1.1972859454860088</v>
      </c>
      <c r="DH171" s="4">
        <f t="shared" si="558"/>
        <v>0</v>
      </c>
      <c r="DI171" s="4">
        <f t="shared" si="559"/>
        <v>559</v>
      </c>
      <c r="DL171" s="4">
        <f t="shared" si="560"/>
        <v>2.5821318945834057E-5</v>
      </c>
      <c r="DM171" s="4">
        <f t="shared" si="561"/>
        <v>6.5413245857119913</v>
      </c>
      <c r="DN171" s="4">
        <f t="shared" si="562"/>
        <v>0.29150662590823162</v>
      </c>
      <c r="DO171" s="4">
        <f t="shared" si="563"/>
        <v>3.9950762435455838</v>
      </c>
      <c r="DP171" s="4">
        <f t="shared" si="564"/>
        <v>5.4206912728238548</v>
      </c>
      <c r="DQ171" s="4">
        <f t="shared" si="565"/>
        <v>5.685703021131018</v>
      </c>
      <c r="DR171" s="38">
        <f t="shared" si="609"/>
        <v>415.31259815669591</v>
      </c>
      <c r="DS171" s="4">
        <f t="shared" si="566"/>
        <v>1.0001224158311306</v>
      </c>
      <c r="DT171" s="4">
        <f t="shared" si="567"/>
        <v>2.2360679774997898</v>
      </c>
      <c r="DU171" s="4">
        <f t="shared" si="568"/>
        <v>142.74258770270856</v>
      </c>
      <c r="DY171" s="4">
        <f t="shared" si="569"/>
        <v>0.85</v>
      </c>
      <c r="DZ171" s="4">
        <f t="shared" si="570"/>
        <v>1</v>
      </c>
      <c r="EA171" s="4">
        <f t="shared" si="610"/>
        <v>1</v>
      </c>
      <c r="EB171" s="4">
        <f t="shared" si="571"/>
        <v>1</v>
      </c>
      <c r="ED171" s="4">
        <f t="shared" si="611"/>
        <v>396.73062378359873</v>
      </c>
      <c r="EE171" s="25">
        <f t="shared" si="612"/>
        <v>141.61896494083106</v>
      </c>
      <c r="EH171" s="4">
        <f t="shared" si="613"/>
        <v>6.5413245857119913</v>
      </c>
      <c r="EK171" s="4">
        <f t="shared" si="572"/>
        <v>96.150923032490965</v>
      </c>
      <c r="EL171" s="4">
        <f t="shared" si="573"/>
        <v>2.2360679774997898</v>
      </c>
      <c r="EM171" s="4">
        <f t="shared" si="574"/>
        <v>0.10787391362592545</v>
      </c>
      <c r="EP171" s="4">
        <f t="shared" si="575"/>
        <v>0.10787391362592545</v>
      </c>
      <c r="EQ171" s="4">
        <f t="shared" si="576"/>
        <v>0.29102015567904033</v>
      </c>
      <c r="ER171" s="4">
        <f t="shared" si="577"/>
        <v>3.9924080921629965</v>
      </c>
      <c r="ES171" s="4">
        <f t="shared" si="578"/>
        <v>5.419712164383319</v>
      </c>
      <c r="ET171" s="4">
        <f t="shared" si="579"/>
        <v>323.09907696750906</v>
      </c>
      <c r="EU171" s="4">
        <f t="shared" si="580"/>
        <v>139.75</v>
      </c>
      <c r="EV171" s="4">
        <f t="shared" si="581"/>
        <v>2.5821318945834057E-5</v>
      </c>
      <c r="EW171" s="4">
        <f t="shared" si="582"/>
        <v>5.6858920884080515</v>
      </c>
      <c r="EX171" s="4">
        <f t="shared" si="583"/>
        <v>415.26176354277504</v>
      </c>
      <c r="FG171" s="23">
        <f t="shared" si="584"/>
        <v>1.2</v>
      </c>
      <c r="FH171" s="23">
        <f t="shared" si="584"/>
        <v>1.4</v>
      </c>
      <c r="FI171" s="23">
        <f t="shared" si="585"/>
        <v>1.6</v>
      </c>
      <c r="FJ171" s="23">
        <f t="shared" si="586"/>
        <v>2.2000000000000002</v>
      </c>
      <c r="FK171" s="23">
        <f t="shared" si="586"/>
        <v>1.2</v>
      </c>
      <c r="FL171" s="23">
        <f t="shared" si="586"/>
        <v>1.2</v>
      </c>
      <c r="FM171" s="23">
        <f t="shared" si="587"/>
        <v>0</v>
      </c>
      <c r="FN171" s="23"/>
      <c r="FX171" s="4">
        <f t="shared" si="422"/>
        <v>1.25</v>
      </c>
      <c r="FY171" s="4">
        <f t="shared" si="513"/>
        <v>0.65</v>
      </c>
      <c r="FZ171" s="4">
        <f t="shared" si="423"/>
        <v>0</v>
      </c>
      <c r="GA171" s="4">
        <f t="shared" si="424"/>
        <v>318.99343064966843</v>
      </c>
    </row>
    <row r="172" spans="1:183" ht="12" customHeight="1" x14ac:dyDescent="0.3">
      <c r="A172" s="25">
        <v>154</v>
      </c>
      <c r="B172" s="24" t="s">
        <v>128</v>
      </c>
      <c r="C172" s="24">
        <v>2017</v>
      </c>
      <c r="D172" s="24" t="s">
        <v>309</v>
      </c>
      <c r="E172" s="24"/>
      <c r="F172" s="4" t="s">
        <v>161</v>
      </c>
      <c r="G172" s="7">
        <v>606</v>
      </c>
      <c r="H172" s="7">
        <f t="shared" ref="H172:H174" si="619">13*K172</f>
        <v>559</v>
      </c>
      <c r="I172" s="7">
        <f t="shared" si="519"/>
        <v>559</v>
      </c>
      <c r="J172" s="7">
        <v>44.3</v>
      </c>
      <c r="K172" s="37">
        <v>43</v>
      </c>
      <c r="L172" s="7">
        <f t="shared" si="588"/>
        <v>13</v>
      </c>
      <c r="M172" s="7">
        <f t="shared" si="589"/>
        <v>13</v>
      </c>
      <c r="N172" s="7">
        <f t="shared" si="590"/>
        <v>430</v>
      </c>
      <c r="O172" s="7">
        <f>2*K172</f>
        <v>86</v>
      </c>
      <c r="P172" s="7">
        <f t="shared" si="591"/>
        <v>56</v>
      </c>
      <c r="Q172" s="7">
        <f t="shared" ref="Q172:Q178" si="620">(5-1)*K172</f>
        <v>172</v>
      </c>
      <c r="R172" s="7">
        <v>2</v>
      </c>
      <c r="S172" s="7">
        <f t="shared" ref="S172:S178" si="621">2/3*H172-0.5*200</f>
        <v>272.66666666666663</v>
      </c>
      <c r="T172" s="7">
        <f t="shared" si="521"/>
        <v>2.5</v>
      </c>
      <c r="U172" s="7">
        <f t="shared" si="522"/>
        <v>2.5</v>
      </c>
      <c r="V172" s="7">
        <f t="shared" si="517"/>
        <v>4</v>
      </c>
      <c r="W172" s="7">
        <f t="shared" si="517"/>
        <v>4</v>
      </c>
      <c r="X172" s="7">
        <f t="shared" si="523"/>
        <v>5</v>
      </c>
      <c r="Y172" s="7">
        <f t="shared" si="524"/>
        <v>96.150923032490965</v>
      </c>
      <c r="Z172" s="7">
        <f t="shared" si="525"/>
        <v>606</v>
      </c>
      <c r="AA172" s="7">
        <v>19</v>
      </c>
      <c r="AB172" s="7">
        <f>(540+540)/2</f>
        <v>540</v>
      </c>
      <c r="AC172" s="7"/>
      <c r="AD172" s="4">
        <f t="shared" si="526"/>
        <v>1.112459169884874</v>
      </c>
      <c r="AE172" s="7">
        <v>0</v>
      </c>
      <c r="AF172" s="7">
        <v>0</v>
      </c>
      <c r="AG172" s="7">
        <f t="shared" si="618"/>
        <v>559</v>
      </c>
      <c r="AH172" s="7"/>
      <c r="AI172" s="7"/>
      <c r="AJ172" s="7">
        <f t="shared" si="527"/>
        <v>7.8</v>
      </c>
      <c r="AK172" s="4">
        <f t="shared" si="594"/>
        <v>559</v>
      </c>
      <c r="AL172" s="4">
        <f t="shared" si="595"/>
        <v>0.25641025641025639</v>
      </c>
      <c r="AM172" s="4">
        <f t="shared" si="596"/>
        <v>302.87455339265739</v>
      </c>
      <c r="AN172" s="4">
        <f t="shared" si="597"/>
        <v>0.73846153846153839</v>
      </c>
      <c r="AO172" s="4">
        <v>1.25</v>
      </c>
      <c r="AP172" s="4">
        <f t="shared" si="598"/>
        <v>2.5</v>
      </c>
      <c r="AQ172" s="38">
        <f t="shared" si="599"/>
        <v>179.21571206666115</v>
      </c>
      <c r="AR172" s="38">
        <f t="shared" si="600"/>
        <v>179.21571206666115</v>
      </c>
      <c r="AS172" s="38">
        <f t="shared" si="601"/>
        <v>3.7559840459059588</v>
      </c>
      <c r="AT172" s="38">
        <f t="shared" si="461"/>
        <v>179.21571206666113</v>
      </c>
      <c r="AU172" s="38">
        <f t="shared" si="406"/>
        <v>1.0000000000000002</v>
      </c>
      <c r="AV172" s="38">
        <f t="shared" si="462"/>
        <v>2.4718814823290804</v>
      </c>
      <c r="AW172" s="4">
        <f t="shared" si="463"/>
        <v>0</v>
      </c>
      <c r="AX172" s="4">
        <f t="shared" si="528"/>
        <v>455.39851957856541</v>
      </c>
      <c r="AY172" s="4">
        <f t="shared" si="529"/>
        <v>1</v>
      </c>
      <c r="AZ172" s="38">
        <f t="shared" si="530"/>
        <v>443</v>
      </c>
      <c r="BA172" s="4">
        <f t="shared" si="531"/>
        <v>0.44000000000000006</v>
      </c>
      <c r="BB172" s="4">
        <f t="shared" si="532"/>
        <v>104.69611965111221</v>
      </c>
      <c r="BC172" s="4">
        <f t="shared" si="533"/>
        <v>547.69611965111221</v>
      </c>
      <c r="BE172" s="4">
        <f t="shared" si="534"/>
        <v>1.25</v>
      </c>
      <c r="BF172" s="4">
        <f t="shared" si="535"/>
        <v>574.06486458413394</v>
      </c>
      <c r="BH172" s="4">
        <f t="shared" si="536"/>
        <v>424.89117536981524</v>
      </c>
      <c r="BI172" s="4">
        <f t="shared" si="537"/>
        <v>641.65616063635548</v>
      </c>
      <c r="BJ172" s="4">
        <f t="shared" si="538"/>
        <v>1.5101658914847387</v>
      </c>
      <c r="BK172" s="4">
        <f t="shared" si="602"/>
        <v>86</v>
      </c>
      <c r="BL172" s="4">
        <f t="shared" si="603"/>
        <v>86</v>
      </c>
      <c r="BM172" s="4">
        <f t="shared" si="604"/>
        <v>272.66666666666663</v>
      </c>
      <c r="BN172" s="4">
        <f t="shared" si="605"/>
        <v>107.5</v>
      </c>
      <c r="BO172" s="4">
        <f t="shared" si="606"/>
        <v>1.2170542635658914</v>
      </c>
      <c r="BP172" s="25">
        <f t="shared" si="607"/>
        <v>3.0426356589147283</v>
      </c>
      <c r="BR172" s="4">
        <f t="shared" si="539"/>
        <v>86</v>
      </c>
      <c r="BV172" s="9"/>
      <c r="BX172" s="9"/>
      <c r="BY172" s="9"/>
      <c r="BZ172" s="9">
        <f t="shared" si="540"/>
        <v>56</v>
      </c>
      <c r="CA172" s="9">
        <f t="shared" si="541"/>
        <v>86</v>
      </c>
      <c r="CB172" s="9">
        <f t="shared" si="542"/>
        <v>1.2170441953580799</v>
      </c>
      <c r="CC172" s="9">
        <v>0</v>
      </c>
      <c r="CD172" s="9">
        <f t="shared" si="543"/>
        <v>0</v>
      </c>
      <c r="CE172" s="9">
        <f t="shared" si="544"/>
        <v>0</v>
      </c>
      <c r="CF172" s="9">
        <f t="shared" si="545"/>
        <v>0.84984840943171969</v>
      </c>
      <c r="CG172" s="9">
        <f t="shared" si="546"/>
        <v>0.84399999999999997</v>
      </c>
      <c r="CH172" s="9">
        <f t="shared" si="547"/>
        <v>1.6709129311035618</v>
      </c>
      <c r="CI172" s="9">
        <f t="shared" si="548"/>
        <v>2.0335748837483454</v>
      </c>
      <c r="CJ172" s="9">
        <v>1</v>
      </c>
      <c r="CK172" s="9">
        <f t="shared" si="549"/>
        <v>227.76038697981468</v>
      </c>
      <c r="CM172" s="4">
        <f t="shared" si="550"/>
        <v>1.1857746057227556</v>
      </c>
      <c r="CN172" s="4">
        <f t="shared" si="551"/>
        <v>0.98594819394372424</v>
      </c>
      <c r="CO172" s="4">
        <f t="shared" si="552"/>
        <v>0.94066025167937894</v>
      </c>
      <c r="CP172" s="4">
        <f t="shared" si="553"/>
        <v>2.3709127261355487</v>
      </c>
      <c r="CQ172" s="4">
        <f t="shared" si="554"/>
        <v>1.112459169884874</v>
      </c>
      <c r="CR172" s="4">
        <f t="shared" si="555"/>
        <v>1.1825979304836267</v>
      </c>
      <c r="CS172" s="4">
        <f t="shared" si="556"/>
        <v>1.3655809367192053</v>
      </c>
      <c r="CU172" s="4">
        <f t="shared" si="616"/>
        <v>1.1857746057227556</v>
      </c>
      <c r="CV172" s="4">
        <f t="shared" si="616"/>
        <v>0.98594819394372424</v>
      </c>
      <c r="CW172" s="4">
        <f>CP172</f>
        <v>2.3709127261355487</v>
      </c>
      <c r="CX172" s="4">
        <f t="shared" si="557"/>
        <v>1.3655809367192053</v>
      </c>
      <c r="CY172" s="4">
        <f t="shared" si="617"/>
        <v>1.112459169884874</v>
      </c>
      <c r="CZ172" s="4">
        <f t="shared" si="617"/>
        <v>1.1825979304836267</v>
      </c>
      <c r="DH172" s="4">
        <f t="shared" si="558"/>
        <v>0</v>
      </c>
      <c r="DI172" s="4">
        <f t="shared" si="559"/>
        <v>559</v>
      </c>
      <c r="DL172" s="4">
        <f t="shared" si="560"/>
        <v>2.5572610994587026E-5</v>
      </c>
      <c r="DM172" s="4">
        <f t="shared" si="561"/>
        <v>7.1481278955130128</v>
      </c>
      <c r="DN172" s="4">
        <f t="shared" si="562"/>
        <v>0.37838394342462073</v>
      </c>
      <c r="DO172" s="4">
        <f t="shared" si="563"/>
        <v>4.8457989776777417</v>
      </c>
      <c r="DP172" s="4">
        <f t="shared" si="564"/>
        <v>6.1068418968815141</v>
      </c>
      <c r="DQ172" s="4">
        <f t="shared" si="565"/>
        <v>6.1005875633463997</v>
      </c>
      <c r="DR172" s="38">
        <f t="shared" si="609"/>
        <v>485.41107360900577</v>
      </c>
      <c r="DS172" s="4">
        <f t="shared" si="566"/>
        <v>1.0001320650522827</v>
      </c>
      <c r="DT172" s="4">
        <f t="shared" si="567"/>
        <v>2.2360679774997898</v>
      </c>
      <c r="DU172" s="4">
        <f t="shared" si="568"/>
        <v>179.21571206666113</v>
      </c>
      <c r="DY172" s="4">
        <f t="shared" si="569"/>
        <v>0.85</v>
      </c>
      <c r="DZ172" s="4">
        <f t="shared" si="570"/>
        <v>0.9</v>
      </c>
      <c r="EA172" s="4">
        <f t="shared" si="610"/>
        <v>1</v>
      </c>
      <c r="EB172" s="4">
        <f t="shared" si="571"/>
        <v>0.9</v>
      </c>
      <c r="ED172" s="4">
        <f t="shared" si="611"/>
        <v>456.6218036413826</v>
      </c>
      <c r="EE172" s="25">
        <f t="shared" si="612"/>
        <v>177.84481571637505</v>
      </c>
      <c r="EH172" s="4">
        <f t="shared" si="613"/>
        <v>7.1481278955130128</v>
      </c>
      <c r="EK172" s="4">
        <f t="shared" si="572"/>
        <v>96.150923032490965</v>
      </c>
      <c r="EL172" s="4">
        <f t="shared" si="573"/>
        <v>2.2360679774997898</v>
      </c>
      <c r="EM172" s="4">
        <f t="shared" si="574"/>
        <v>0.1377113790969261</v>
      </c>
      <c r="EP172" s="4">
        <f t="shared" si="575"/>
        <v>0.1377113790969261</v>
      </c>
      <c r="EQ172" s="4">
        <f t="shared" si="576"/>
        <v>0.37775249114422549</v>
      </c>
      <c r="ER172" s="4">
        <f t="shared" si="577"/>
        <v>4.8425626626604963</v>
      </c>
      <c r="ES172" s="4">
        <f t="shared" si="578"/>
        <v>6.1055605578094418</v>
      </c>
      <c r="ET172" s="4">
        <f t="shared" si="579"/>
        <v>323.09907696750906</v>
      </c>
      <c r="EU172" s="4">
        <f t="shared" si="580"/>
        <v>139.75</v>
      </c>
      <c r="EV172" s="4">
        <f t="shared" si="581"/>
        <v>2.5572610994587026E-5</v>
      </c>
      <c r="EW172" s="4">
        <f t="shared" si="582"/>
        <v>6.1008460776887325</v>
      </c>
      <c r="EX172" s="4">
        <f t="shared" si="583"/>
        <v>485.34697623521407</v>
      </c>
      <c r="FG172" s="23">
        <f t="shared" si="584"/>
        <v>1.2</v>
      </c>
      <c r="FH172" s="23">
        <f t="shared" si="584"/>
        <v>1</v>
      </c>
      <c r="FI172" s="23">
        <f t="shared" si="585"/>
        <v>1.4</v>
      </c>
      <c r="FJ172" s="23">
        <f t="shared" si="586"/>
        <v>2.2000000000000002</v>
      </c>
      <c r="FK172" s="23">
        <f t="shared" si="586"/>
        <v>1.2</v>
      </c>
      <c r="FL172" s="23">
        <f t="shared" si="586"/>
        <v>1.2</v>
      </c>
      <c r="FM172" s="23">
        <f t="shared" si="587"/>
        <v>0</v>
      </c>
      <c r="FN172" s="23"/>
      <c r="FX172" s="4">
        <f t="shared" si="422"/>
        <v>1</v>
      </c>
      <c r="FY172" s="4">
        <f t="shared" si="513"/>
        <v>0.65</v>
      </c>
      <c r="FZ172" s="4">
        <f t="shared" si="423"/>
        <v>0</v>
      </c>
      <c r="GA172" s="4">
        <f t="shared" si="424"/>
        <v>395.43610010941177</v>
      </c>
    </row>
    <row r="173" spans="1:183" ht="12" customHeight="1" x14ac:dyDescent="0.3">
      <c r="A173" s="25">
        <v>155</v>
      </c>
      <c r="B173" s="24" t="s">
        <v>128</v>
      </c>
      <c r="C173" s="24">
        <v>2017</v>
      </c>
      <c r="D173" s="24" t="s">
        <v>309</v>
      </c>
      <c r="E173" s="24"/>
      <c r="F173" s="4" t="s">
        <v>162</v>
      </c>
      <c r="G173" s="7">
        <v>606</v>
      </c>
      <c r="H173" s="7">
        <f t="shared" si="619"/>
        <v>559</v>
      </c>
      <c r="I173" s="7">
        <f t="shared" si="519"/>
        <v>559</v>
      </c>
      <c r="J173" s="7">
        <v>40.5</v>
      </c>
      <c r="K173" s="37">
        <v>43</v>
      </c>
      <c r="L173" s="7">
        <f t="shared" si="588"/>
        <v>13</v>
      </c>
      <c r="M173" s="7">
        <f t="shared" si="589"/>
        <v>13</v>
      </c>
      <c r="N173" s="7">
        <f t="shared" si="590"/>
        <v>344</v>
      </c>
      <c r="O173" s="7">
        <f>1*K173</f>
        <v>43</v>
      </c>
      <c r="P173" s="7">
        <f t="shared" si="591"/>
        <v>56</v>
      </c>
      <c r="Q173" s="7">
        <f t="shared" si="620"/>
        <v>172</v>
      </c>
      <c r="R173" s="7">
        <v>2</v>
      </c>
      <c r="S173" s="7">
        <f t="shared" si="621"/>
        <v>272.66666666666663</v>
      </c>
      <c r="T173" s="7">
        <f t="shared" si="521"/>
        <v>1.5</v>
      </c>
      <c r="U173" s="7">
        <f t="shared" si="522"/>
        <v>1.5</v>
      </c>
      <c r="V173" s="7">
        <f t="shared" si="517"/>
        <v>4</v>
      </c>
      <c r="W173" s="7">
        <f t="shared" si="517"/>
        <v>4</v>
      </c>
      <c r="X173" s="7">
        <f t="shared" si="523"/>
        <v>5</v>
      </c>
      <c r="Y173" s="7">
        <f t="shared" si="524"/>
        <v>96.150923032490965</v>
      </c>
      <c r="Z173" s="7">
        <f t="shared" si="525"/>
        <v>606</v>
      </c>
      <c r="AA173" s="7">
        <v>19</v>
      </c>
      <c r="AB173" s="7">
        <f>(468+468)/2</f>
        <v>468</v>
      </c>
      <c r="AC173" s="7"/>
      <c r="AD173" s="4">
        <f t="shared" si="526"/>
        <v>1.1206763468020458</v>
      </c>
      <c r="AE173" s="7">
        <v>15.9</v>
      </c>
      <c r="AF173" s="10">
        <v>2</v>
      </c>
      <c r="AG173" s="7">
        <v>120</v>
      </c>
      <c r="AH173" s="7">
        <v>4</v>
      </c>
      <c r="AI173" s="7">
        <f>AF173</f>
        <v>2</v>
      </c>
      <c r="AJ173" s="7">
        <f t="shared" si="527"/>
        <v>7.8</v>
      </c>
      <c r="AK173" s="4">
        <f t="shared" si="594"/>
        <v>559</v>
      </c>
      <c r="AL173" s="4">
        <f t="shared" si="595"/>
        <v>0.20512820512820512</v>
      </c>
      <c r="AM173" s="4">
        <f t="shared" si="596"/>
        <v>289.59325025411408</v>
      </c>
      <c r="AN173" s="4">
        <f t="shared" si="597"/>
        <v>0.72307692307692306</v>
      </c>
      <c r="AO173" s="4">
        <v>1.25</v>
      </c>
      <c r="AP173" s="4">
        <f t="shared" si="598"/>
        <v>2.5</v>
      </c>
      <c r="AQ173" s="38">
        <f t="shared" si="599"/>
        <v>134.22961303691679</v>
      </c>
      <c r="AR173" s="38">
        <f t="shared" si="600"/>
        <v>134.22961303691679</v>
      </c>
      <c r="AS173" s="38">
        <f t="shared" si="601"/>
        <v>3.538000882182009</v>
      </c>
      <c r="AT173" s="38">
        <f t="shared" si="461"/>
        <v>134.22961303691673</v>
      </c>
      <c r="AU173" s="38">
        <f t="shared" si="406"/>
        <v>1.0000000000000004</v>
      </c>
      <c r="AV173" s="38">
        <f t="shared" si="462"/>
        <v>1.8103307794917691</v>
      </c>
      <c r="AW173" s="4">
        <f t="shared" si="463"/>
        <v>0</v>
      </c>
      <c r="AX173" s="4">
        <f t="shared" si="528"/>
        <v>435.4289126254003</v>
      </c>
      <c r="AY173" s="4">
        <f t="shared" si="529"/>
        <v>1</v>
      </c>
      <c r="AZ173" s="38">
        <f t="shared" si="530"/>
        <v>243</v>
      </c>
      <c r="BA173" s="4">
        <f t="shared" si="531"/>
        <v>0.44000000000000006</v>
      </c>
      <c r="BB173" s="4">
        <f t="shared" si="532"/>
        <v>100.10510701257955</v>
      </c>
      <c r="BC173" s="4">
        <f t="shared" si="533"/>
        <v>343.10510701257954</v>
      </c>
      <c r="BE173" s="4">
        <f t="shared" si="534"/>
        <v>1.4</v>
      </c>
      <c r="BF173" s="4">
        <f t="shared" si="535"/>
        <v>614.75863556358433</v>
      </c>
      <c r="BH173" s="4">
        <f t="shared" si="536"/>
        <v>233.06671696357813</v>
      </c>
      <c r="BI173" s="4">
        <f t="shared" si="537"/>
        <v>641.65616063635548</v>
      </c>
      <c r="BJ173" s="4">
        <f t="shared" si="538"/>
        <v>2.7531007815956343</v>
      </c>
      <c r="BK173" s="4">
        <f t="shared" si="602"/>
        <v>43</v>
      </c>
      <c r="BL173" s="4">
        <f t="shared" si="603"/>
        <v>43</v>
      </c>
      <c r="BM173" s="4">
        <f t="shared" si="604"/>
        <v>272.66666666666663</v>
      </c>
      <c r="BN173" s="4">
        <f t="shared" si="605"/>
        <v>64.5</v>
      </c>
      <c r="BO173" s="4">
        <f t="shared" si="606"/>
        <v>1.25</v>
      </c>
      <c r="BP173" s="25">
        <f t="shared" si="607"/>
        <v>4</v>
      </c>
      <c r="BR173" s="4">
        <f t="shared" si="539"/>
        <v>43</v>
      </c>
      <c r="BV173" s="9"/>
      <c r="BX173" s="9"/>
      <c r="BY173" s="9"/>
      <c r="BZ173" s="9">
        <f t="shared" si="540"/>
        <v>43</v>
      </c>
      <c r="CA173" s="9">
        <f t="shared" si="541"/>
        <v>86</v>
      </c>
      <c r="CB173" s="9">
        <f t="shared" si="542"/>
        <v>1.1095694720678451</v>
      </c>
      <c r="CC173" s="9">
        <v>20</v>
      </c>
      <c r="CD173" s="9">
        <f t="shared" si="543"/>
        <v>0.05</v>
      </c>
      <c r="CE173" s="9">
        <f t="shared" si="544"/>
        <v>0.8</v>
      </c>
      <c r="CF173" s="9">
        <f t="shared" si="545"/>
        <v>0.84984840943171969</v>
      </c>
      <c r="CG173" s="9">
        <f t="shared" si="546"/>
        <v>0.84399999999999997</v>
      </c>
      <c r="CH173" s="9">
        <f t="shared" si="547"/>
        <v>1.5976419979481837</v>
      </c>
      <c r="CI173" s="9">
        <f t="shared" si="548"/>
        <v>3.0508083865753304</v>
      </c>
      <c r="CJ173" s="9">
        <v>1</v>
      </c>
      <c r="CK173" s="9">
        <f t="shared" si="549"/>
        <v>341.69053929643701</v>
      </c>
      <c r="CM173" s="4">
        <f t="shared" si="550"/>
        <v>1.0748023074035522</v>
      </c>
      <c r="CN173" s="4">
        <f t="shared" si="551"/>
        <v>1.3640135061669056</v>
      </c>
      <c r="CO173" s="4">
        <f t="shared" si="552"/>
        <v>0.76127438140166614</v>
      </c>
      <c r="CP173" s="4">
        <f t="shared" si="553"/>
        <v>1.3696603978665678</v>
      </c>
      <c r="CQ173" s="4">
        <f t="shared" si="554"/>
        <v>1.1206763468020458</v>
      </c>
      <c r="CR173" s="4">
        <f t="shared" si="555"/>
        <v>1.1802441564682067</v>
      </c>
      <c r="CS173" s="4">
        <f t="shared" si="556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622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558"/>
        <v>2</v>
      </c>
      <c r="DI173" s="4">
        <f t="shared" si="559"/>
        <v>559</v>
      </c>
      <c r="DL173" s="4">
        <f t="shared" si="560"/>
        <v>2.4945063339588327E-5</v>
      </c>
      <c r="DM173" s="4">
        <f t="shared" si="561"/>
        <v>6.7526954191214541</v>
      </c>
      <c r="DN173" s="4">
        <f t="shared" si="562"/>
        <v>0.30999426410610625</v>
      </c>
      <c r="DO173" s="4">
        <f t="shared" si="563"/>
        <v>4.2268674058260229</v>
      </c>
      <c r="DP173" s="4">
        <f t="shared" si="564"/>
        <v>5.6338980606213793</v>
      </c>
      <c r="DQ173" s="4">
        <f t="shared" si="565"/>
        <v>5.8644758836363353</v>
      </c>
      <c r="DR173" s="38">
        <f t="shared" si="609"/>
        <v>417.60495912622901</v>
      </c>
      <c r="DS173" s="4">
        <f t="shared" si="566"/>
        <v>1.0001301470472594</v>
      </c>
      <c r="DT173" s="4">
        <f t="shared" si="567"/>
        <v>2.2360679774997898</v>
      </c>
      <c r="DU173" s="4">
        <f t="shared" si="568"/>
        <v>134.22961303691673</v>
      </c>
      <c r="DY173" s="4">
        <f t="shared" si="569"/>
        <v>0.85</v>
      </c>
      <c r="DZ173" s="4">
        <f t="shared" si="570"/>
        <v>1</v>
      </c>
      <c r="EA173" s="4">
        <f t="shared" si="610"/>
        <v>0.91092644672796108</v>
      </c>
      <c r="EB173" s="4">
        <f t="shared" si="571"/>
        <v>0.91092644672796108</v>
      </c>
      <c r="ED173" s="4">
        <f t="shared" si="611"/>
        <v>396.52812296097733</v>
      </c>
      <c r="EE173" s="25">
        <f t="shared" si="612"/>
        <v>133.17300161524059</v>
      </c>
      <c r="EH173" s="4">
        <f t="shared" si="613"/>
        <v>6.7526954191214541</v>
      </c>
      <c r="EK173" s="4">
        <f t="shared" si="572"/>
        <v>96.150923032490965</v>
      </c>
      <c r="EL173" s="4">
        <f t="shared" si="573"/>
        <v>2.2360679774997898</v>
      </c>
      <c r="EM173" s="4">
        <f t="shared" si="574"/>
        <v>0.10787391362592545</v>
      </c>
      <c r="EP173" s="4">
        <f t="shared" si="575"/>
        <v>0.10787391362592545</v>
      </c>
      <c r="EQ173" s="4">
        <f t="shared" si="576"/>
        <v>0.30947694145439009</v>
      </c>
      <c r="ER173" s="4">
        <f t="shared" si="577"/>
        <v>4.2240444504115704</v>
      </c>
      <c r="ES173" s="4">
        <f t="shared" si="578"/>
        <v>5.6328428910831558</v>
      </c>
      <c r="ET173" s="4">
        <f t="shared" si="579"/>
        <v>323.09907696750906</v>
      </c>
      <c r="EU173" s="4">
        <f t="shared" si="580"/>
        <v>139.75</v>
      </c>
      <c r="EV173" s="4">
        <f t="shared" si="581"/>
        <v>2.4945063339588327E-5</v>
      </c>
      <c r="EW173" s="4">
        <f t="shared" si="582"/>
        <v>5.8646774366958354</v>
      </c>
      <c r="EX173" s="4">
        <f t="shared" si="583"/>
        <v>417.55061614645615</v>
      </c>
      <c r="FG173" s="23">
        <f t="shared" si="584"/>
        <v>1.2</v>
      </c>
      <c r="FH173" s="23">
        <f t="shared" si="584"/>
        <v>1.4</v>
      </c>
      <c r="FI173" s="23">
        <f t="shared" si="585"/>
        <v>1.2</v>
      </c>
      <c r="FJ173" s="23">
        <f t="shared" si="586"/>
        <v>1.4</v>
      </c>
      <c r="FK173" s="23">
        <f t="shared" si="586"/>
        <v>1.2</v>
      </c>
      <c r="FL173" s="23">
        <f t="shared" si="586"/>
        <v>1.2</v>
      </c>
      <c r="FM173" s="23">
        <f t="shared" si="587"/>
        <v>0</v>
      </c>
      <c r="FN173" s="23"/>
      <c r="FX173" s="4">
        <f t="shared" si="422"/>
        <v>1.25</v>
      </c>
      <c r="FY173" s="4">
        <f t="shared" si="513"/>
        <v>0.49190749660801991</v>
      </c>
      <c r="FZ173" s="4">
        <f t="shared" si="423"/>
        <v>0.3</v>
      </c>
      <c r="GA173" s="4">
        <f t="shared" si="424"/>
        <v>408.75120035069614</v>
      </c>
    </row>
    <row r="174" spans="1:183" ht="12" customHeight="1" x14ac:dyDescent="0.3">
      <c r="A174" s="25">
        <v>156</v>
      </c>
      <c r="B174" s="24" t="s">
        <v>128</v>
      </c>
      <c r="C174" s="24">
        <v>2017</v>
      </c>
      <c r="D174" s="24" t="s">
        <v>309</v>
      </c>
      <c r="E174" s="24"/>
      <c r="F174" s="4" t="s">
        <v>163</v>
      </c>
      <c r="G174" s="7">
        <v>606</v>
      </c>
      <c r="H174" s="7">
        <f t="shared" si="619"/>
        <v>559</v>
      </c>
      <c r="I174" s="7">
        <f t="shared" si="519"/>
        <v>559</v>
      </c>
      <c r="J174" s="7">
        <v>41.8</v>
      </c>
      <c r="K174" s="37">
        <v>43</v>
      </c>
      <c r="L174" s="7">
        <f t="shared" si="588"/>
        <v>13</v>
      </c>
      <c r="M174" s="7">
        <f t="shared" si="589"/>
        <v>13</v>
      </c>
      <c r="N174" s="7">
        <f t="shared" si="590"/>
        <v>430</v>
      </c>
      <c r="O174" s="7">
        <f>2*K174</f>
        <v>86</v>
      </c>
      <c r="P174" s="7">
        <f t="shared" si="591"/>
        <v>56</v>
      </c>
      <c r="Q174" s="7">
        <f t="shared" si="620"/>
        <v>172</v>
      </c>
      <c r="R174" s="7">
        <v>2</v>
      </c>
      <c r="S174" s="7">
        <f t="shared" si="621"/>
        <v>272.66666666666663</v>
      </c>
      <c r="T174" s="7">
        <f t="shared" si="521"/>
        <v>2.5</v>
      </c>
      <c r="U174" s="7">
        <f t="shared" si="522"/>
        <v>2.5</v>
      </c>
      <c r="V174" s="7">
        <f t="shared" si="517"/>
        <v>4</v>
      </c>
      <c r="W174" s="7">
        <f t="shared" si="517"/>
        <v>4</v>
      </c>
      <c r="X174" s="7">
        <f t="shared" si="523"/>
        <v>5</v>
      </c>
      <c r="Y174" s="7">
        <f t="shared" si="524"/>
        <v>96.150923032490965</v>
      </c>
      <c r="Z174" s="7">
        <f t="shared" si="525"/>
        <v>606</v>
      </c>
      <c r="AA174" s="7">
        <v>19</v>
      </c>
      <c r="AB174" s="7">
        <f>(644+644)/2</f>
        <v>644</v>
      </c>
      <c r="AC174" s="7"/>
      <c r="AD174" s="4">
        <f t="shared" si="526"/>
        <v>1.285171889692756</v>
      </c>
      <c r="AE174" s="7">
        <v>15.9</v>
      </c>
      <c r="AF174" s="10">
        <v>2</v>
      </c>
      <c r="AG174" s="7">
        <v>120</v>
      </c>
      <c r="AH174" s="7">
        <v>4</v>
      </c>
      <c r="AI174" s="7">
        <f>AF174</f>
        <v>2</v>
      </c>
      <c r="AJ174" s="7">
        <f t="shared" si="527"/>
        <v>7.8</v>
      </c>
      <c r="AK174" s="4">
        <f t="shared" si="594"/>
        <v>559</v>
      </c>
      <c r="AL174" s="4">
        <f t="shared" si="595"/>
        <v>0.25641025641025639</v>
      </c>
      <c r="AM174" s="4">
        <f t="shared" si="596"/>
        <v>294.20433290598754</v>
      </c>
      <c r="AN174" s="4">
        <f t="shared" si="597"/>
        <v>0.73846153846153839</v>
      </c>
      <c r="AO174" s="4">
        <v>1.25</v>
      </c>
      <c r="AP174" s="4">
        <f t="shared" si="598"/>
        <v>2.5</v>
      </c>
      <c r="AQ174" s="38">
        <f t="shared" si="599"/>
        <v>174.08540408638314</v>
      </c>
      <c r="AR174" s="38">
        <f t="shared" si="600"/>
        <v>174.08540408638314</v>
      </c>
      <c r="AS174" s="38">
        <f t="shared" si="601"/>
        <v>3.613311826901703</v>
      </c>
      <c r="AT174" s="38">
        <f t="shared" si="461"/>
        <v>174.08540408638308</v>
      </c>
      <c r="AU174" s="38">
        <f t="shared" si="406"/>
        <v>1.0000000000000002</v>
      </c>
      <c r="AV174" s="38">
        <f t="shared" si="462"/>
        <v>2.4011203132950989</v>
      </c>
      <c r="AW174" s="4">
        <f t="shared" si="463"/>
        <v>0</v>
      </c>
      <c r="AX174" s="4">
        <f t="shared" si="528"/>
        <v>442.36208079616836</v>
      </c>
      <c r="AY174" s="4">
        <f t="shared" si="529"/>
        <v>1</v>
      </c>
      <c r="AZ174" s="38">
        <f t="shared" si="530"/>
        <v>418</v>
      </c>
      <c r="BA174" s="4">
        <f t="shared" si="531"/>
        <v>0.44000000000000006</v>
      </c>
      <c r="BB174" s="4">
        <f t="shared" si="532"/>
        <v>101.69904237503914</v>
      </c>
      <c r="BC174" s="4">
        <f t="shared" si="533"/>
        <v>519.6990423750392</v>
      </c>
      <c r="BE174" s="4">
        <f t="shared" si="534"/>
        <v>1.5</v>
      </c>
      <c r="BF174" s="4">
        <f t="shared" si="535"/>
        <v>669.15771683512696</v>
      </c>
      <c r="BH174" s="4">
        <f t="shared" si="536"/>
        <v>400.91311806903559</v>
      </c>
      <c r="BI174" s="4">
        <f t="shared" si="537"/>
        <v>641.65616063635548</v>
      </c>
      <c r="BJ174" s="4">
        <f t="shared" si="538"/>
        <v>1.6004868180089455</v>
      </c>
      <c r="BK174" s="4">
        <f t="shared" si="602"/>
        <v>86</v>
      </c>
      <c r="BL174" s="4">
        <f t="shared" si="603"/>
        <v>86</v>
      </c>
      <c r="BM174" s="4">
        <f t="shared" si="604"/>
        <v>272.66666666666663</v>
      </c>
      <c r="BN174" s="4">
        <f t="shared" si="605"/>
        <v>107.5</v>
      </c>
      <c r="BO174" s="4">
        <f t="shared" si="606"/>
        <v>1.2170542635658914</v>
      </c>
      <c r="BP174" s="25">
        <f t="shared" si="607"/>
        <v>4</v>
      </c>
      <c r="BR174" s="4">
        <f t="shared" si="539"/>
        <v>86</v>
      </c>
      <c r="BV174" s="9"/>
      <c r="BX174" s="9"/>
      <c r="BY174" s="9"/>
      <c r="BZ174" s="9">
        <f t="shared" si="540"/>
        <v>56</v>
      </c>
      <c r="CA174" s="9">
        <f t="shared" si="541"/>
        <v>86</v>
      </c>
      <c r="CB174" s="9">
        <f t="shared" si="542"/>
        <v>1.2170441953580799</v>
      </c>
      <c r="CC174" s="9">
        <v>20</v>
      </c>
      <c r="CD174" s="9">
        <f t="shared" si="543"/>
        <v>0.05</v>
      </c>
      <c r="CE174" s="9">
        <f t="shared" si="544"/>
        <v>0.8</v>
      </c>
      <c r="CF174" s="9">
        <f t="shared" si="545"/>
        <v>0.84984840943171969</v>
      </c>
      <c r="CG174" s="9">
        <f t="shared" si="546"/>
        <v>0.84399999999999997</v>
      </c>
      <c r="CH174" s="9">
        <f t="shared" si="547"/>
        <v>1.6230806409213159</v>
      </c>
      <c r="CI174" s="9">
        <f t="shared" si="548"/>
        <v>3.2738253853684127</v>
      </c>
      <c r="CJ174" s="9">
        <v>1</v>
      </c>
      <c r="CK174" s="9">
        <f t="shared" si="549"/>
        <v>366.66844316126219</v>
      </c>
      <c r="CM174" s="4">
        <f t="shared" si="550"/>
        <v>1.455820984567487</v>
      </c>
      <c r="CN174" s="4">
        <f t="shared" si="551"/>
        <v>1.2391787313228477</v>
      </c>
      <c r="CO174" s="4">
        <f t="shared" si="552"/>
        <v>0.9624039053840493</v>
      </c>
      <c r="CP174" s="4">
        <f t="shared" si="553"/>
        <v>1.7563551268489346</v>
      </c>
      <c r="CQ174" s="4">
        <f t="shared" si="554"/>
        <v>1.285171889692756</v>
      </c>
      <c r="CR174" s="4">
        <f t="shared" si="555"/>
        <v>1.3701259564751176</v>
      </c>
      <c r="CS174" s="4">
        <f t="shared" si="556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622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558"/>
        <v>2</v>
      </c>
      <c r="DI174" s="4">
        <f t="shared" si="559"/>
        <v>559</v>
      </c>
      <c r="DL174" s="4">
        <f t="shared" si="560"/>
        <v>2.5159418755006149E-5</v>
      </c>
      <c r="DM174" s="4">
        <f t="shared" si="561"/>
        <v>7.6224622307194574</v>
      </c>
      <c r="DN174" s="4">
        <f t="shared" si="562"/>
        <v>0.38953494241128567</v>
      </c>
      <c r="DO174" s="4">
        <f t="shared" si="563"/>
        <v>5.2277384310464221</v>
      </c>
      <c r="DP174" s="4">
        <f t="shared" si="564"/>
        <v>6.5360889007016727</v>
      </c>
      <c r="DQ174" s="4">
        <f t="shared" si="565"/>
        <v>6.4468966142736903</v>
      </c>
      <c r="DR174" s="38">
        <f t="shared" si="609"/>
        <v>501.10028484513464</v>
      </c>
      <c r="DS174" s="4">
        <f t="shared" si="566"/>
        <v>1.0001383080113373</v>
      </c>
      <c r="DT174" s="4">
        <f t="shared" si="567"/>
        <v>2.2360679774997898</v>
      </c>
      <c r="DU174" s="4">
        <f t="shared" si="568"/>
        <v>174.08540408638308</v>
      </c>
      <c r="DY174" s="4">
        <f t="shared" si="569"/>
        <v>0.85</v>
      </c>
      <c r="DZ174" s="4">
        <f t="shared" si="570"/>
        <v>0.9</v>
      </c>
      <c r="EA174" s="4">
        <f t="shared" si="610"/>
        <v>0.91092644672796108</v>
      </c>
      <c r="EB174" s="4">
        <f t="shared" si="571"/>
        <v>0.81983380205516498</v>
      </c>
      <c r="ED174" s="4">
        <f t="shared" si="611"/>
        <v>470.02977861743432</v>
      </c>
      <c r="EE174" s="25">
        <f t="shared" si="612"/>
        <v>172.75375161937544</v>
      </c>
      <c r="EH174" s="4">
        <f t="shared" si="613"/>
        <v>7.6224622307194574</v>
      </c>
      <c r="EK174" s="4">
        <f t="shared" si="572"/>
        <v>96.150923032490965</v>
      </c>
      <c r="EL174" s="4">
        <f t="shared" si="573"/>
        <v>2.2360679774997898</v>
      </c>
      <c r="EM174" s="4">
        <f t="shared" si="574"/>
        <v>0.1377113790969261</v>
      </c>
      <c r="EP174" s="4">
        <f t="shared" si="575"/>
        <v>0.1377113790969261</v>
      </c>
      <c r="EQ174" s="4">
        <f t="shared" si="576"/>
        <v>0.38888488119184528</v>
      </c>
      <c r="ER174" s="4">
        <f t="shared" si="577"/>
        <v>5.2242470339685472</v>
      </c>
      <c r="ES174" s="4">
        <f t="shared" si="578"/>
        <v>6.5346953129848373</v>
      </c>
      <c r="ET174" s="4">
        <f t="shared" si="579"/>
        <v>323.09907696750906</v>
      </c>
      <c r="EU174" s="4">
        <f t="shared" si="580"/>
        <v>139.75</v>
      </c>
      <c r="EV174" s="4">
        <f t="shared" si="581"/>
        <v>2.5159418755006149E-5</v>
      </c>
      <c r="EW174" s="4">
        <f t="shared" si="582"/>
        <v>6.4471902064809594</v>
      </c>
      <c r="EX174" s="4">
        <f t="shared" si="583"/>
        <v>501.03098824553206</v>
      </c>
      <c r="FG174" s="23">
        <f t="shared" si="584"/>
        <v>1.6</v>
      </c>
      <c r="FH174" s="23">
        <f t="shared" si="584"/>
        <v>1.4</v>
      </c>
      <c r="FI174" s="23">
        <f t="shared" si="585"/>
        <v>1.4</v>
      </c>
      <c r="FJ174" s="23">
        <f t="shared" si="586"/>
        <v>1.8</v>
      </c>
      <c r="FK174" s="23">
        <f t="shared" si="586"/>
        <v>1.4</v>
      </c>
      <c r="FL174" s="23">
        <f t="shared" si="586"/>
        <v>1.4</v>
      </c>
      <c r="FM174" s="23">
        <f t="shared" si="587"/>
        <v>0</v>
      </c>
      <c r="FN174" s="23"/>
      <c r="FX174" s="4">
        <f t="shared" si="422"/>
        <v>1</v>
      </c>
      <c r="FY174" s="4">
        <f t="shared" si="513"/>
        <v>0.49190749660801991</v>
      </c>
      <c r="FZ174" s="4">
        <f t="shared" si="423"/>
        <v>0.3</v>
      </c>
      <c r="GA174" s="4">
        <f t="shared" si="424"/>
        <v>514.99067902208481</v>
      </c>
    </row>
    <row r="175" spans="1:183" ht="12" customHeight="1" x14ac:dyDescent="0.3">
      <c r="A175" s="25">
        <v>157</v>
      </c>
      <c r="B175" s="24" t="s">
        <v>128</v>
      </c>
      <c r="C175" s="24">
        <v>2017</v>
      </c>
      <c r="D175" s="24" t="s">
        <v>309</v>
      </c>
      <c r="E175" s="24"/>
      <c r="F175" s="4" t="s">
        <v>164</v>
      </c>
      <c r="G175" s="7">
        <v>606</v>
      </c>
      <c r="H175" s="7">
        <f>16*K175</f>
        <v>688</v>
      </c>
      <c r="I175" s="7">
        <f t="shared" si="519"/>
        <v>688</v>
      </c>
      <c r="J175" s="7">
        <v>45.8</v>
      </c>
      <c r="K175" s="37">
        <v>43</v>
      </c>
      <c r="L175" s="7">
        <f t="shared" si="588"/>
        <v>16</v>
      </c>
      <c r="M175" s="7">
        <f t="shared" si="589"/>
        <v>16</v>
      </c>
      <c r="N175" s="7">
        <f t="shared" si="590"/>
        <v>344</v>
      </c>
      <c r="O175" s="7">
        <f>1*K175</f>
        <v>43</v>
      </c>
      <c r="P175" s="7">
        <f t="shared" si="591"/>
        <v>56</v>
      </c>
      <c r="Q175" s="7">
        <f t="shared" si="620"/>
        <v>172</v>
      </c>
      <c r="R175" s="7">
        <v>2</v>
      </c>
      <c r="S175" s="7">
        <f t="shared" si="621"/>
        <v>358.66666666666663</v>
      </c>
      <c r="T175" s="7">
        <f t="shared" si="521"/>
        <v>1.5</v>
      </c>
      <c r="U175" s="7">
        <f t="shared" si="522"/>
        <v>1.5</v>
      </c>
      <c r="V175" s="7">
        <f t="shared" si="517"/>
        <v>4</v>
      </c>
      <c r="W175" s="7">
        <f t="shared" si="517"/>
        <v>4</v>
      </c>
      <c r="X175" s="7">
        <f t="shared" si="523"/>
        <v>5</v>
      </c>
      <c r="Y175" s="7">
        <f t="shared" si="524"/>
        <v>96.150923032490965</v>
      </c>
      <c r="Z175" s="7">
        <f t="shared" si="525"/>
        <v>606</v>
      </c>
      <c r="AA175" s="7">
        <v>19</v>
      </c>
      <c r="AB175" s="7">
        <f>(572+572)/2</f>
        <v>572</v>
      </c>
      <c r="AC175" s="7"/>
      <c r="AD175" s="4">
        <f t="shared" si="526"/>
        <v>1.1618846803400318</v>
      </c>
      <c r="AE175" s="7">
        <v>0</v>
      </c>
      <c r="AF175" s="7">
        <v>0</v>
      </c>
      <c r="AG175" s="7">
        <f>I175</f>
        <v>688</v>
      </c>
      <c r="AH175" s="7"/>
      <c r="AI175" s="7"/>
      <c r="AJ175" s="7">
        <f t="shared" si="527"/>
        <v>9.6</v>
      </c>
      <c r="AK175" s="4">
        <f t="shared" si="594"/>
        <v>688</v>
      </c>
      <c r="AL175" s="4">
        <f t="shared" si="595"/>
        <v>0.16666666666666666</v>
      </c>
      <c r="AM175" s="4">
        <f t="shared" si="596"/>
        <v>420.49284288370211</v>
      </c>
      <c r="AN175" s="4">
        <f t="shared" si="597"/>
        <v>0.71875</v>
      </c>
      <c r="AO175" s="4">
        <v>1.25</v>
      </c>
      <c r="AP175" s="4">
        <f t="shared" si="598"/>
        <v>2.5</v>
      </c>
      <c r="AQ175" s="38">
        <f t="shared" si="599"/>
        <v>157.41105772013586</v>
      </c>
      <c r="AR175" s="38">
        <f t="shared" si="600"/>
        <v>157.41105772013586</v>
      </c>
      <c r="AS175" s="38">
        <f t="shared" si="601"/>
        <v>3.8402978284624769</v>
      </c>
      <c r="AT175" s="38">
        <f t="shared" si="461"/>
        <v>157.41105772013589</v>
      </c>
      <c r="AU175" s="38">
        <f t="shared" si="406"/>
        <v>0.99999999999999978</v>
      </c>
      <c r="AV175" s="38">
        <f t="shared" si="462"/>
        <v>1.7457477510161459</v>
      </c>
      <c r="AW175" s="4">
        <f t="shared" si="463"/>
        <v>0</v>
      </c>
      <c r="AX175" s="4">
        <f t="shared" si="528"/>
        <v>569.90060852845909</v>
      </c>
      <c r="AY175" s="4">
        <f t="shared" si="529"/>
        <v>1</v>
      </c>
      <c r="AZ175" s="38">
        <f t="shared" si="530"/>
        <v>274.79999999999995</v>
      </c>
      <c r="BA175" s="4">
        <f t="shared" si="531"/>
        <v>0.44000000000000006</v>
      </c>
      <c r="BB175" s="4">
        <f t="shared" si="532"/>
        <v>131.02014990069279</v>
      </c>
      <c r="BC175" s="4">
        <f t="shared" si="533"/>
        <v>405.82014990069274</v>
      </c>
      <c r="BE175" s="4">
        <f t="shared" si="534"/>
        <v>1</v>
      </c>
      <c r="BF175" s="4">
        <f t="shared" si="535"/>
        <v>527.87043864948532</v>
      </c>
      <c r="BH175" s="4">
        <f t="shared" si="536"/>
        <v>263.56680585016983</v>
      </c>
      <c r="BI175" s="4">
        <f t="shared" si="537"/>
        <v>641.65616063635548</v>
      </c>
      <c r="BJ175" s="4">
        <f t="shared" si="538"/>
        <v>2.4345105164764891</v>
      </c>
      <c r="BK175" s="4">
        <f t="shared" si="602"/>
        <v>43</v>
      </c>
      <c r="BL175" s="4">
        <f t="shared" si="603"/>
        <v>43</v>
      </c>
      <c r="BM175" s="4">
        <f t="shared" si="604"/>
        <v>358.66666666666663</v>
      </c>
      <c r="BN175" s="4">
        <f t="shared" si="605"/>
        <v>64.5</v>
      </c>
      <c r="BO175" s="4">
        <f t="shared" si="606"/>
        <v>1.25</v>
      </c>
      <c r="BP175" s="25">
        <f t="shared" si="607"/>
        <v>1.875</v>
      </c>
      <c r="BR175" s="4">
        <f t="shared" si="539"/>
        <v>43</v>
      </c>
      <c r="BV175" s="9"/>
      <c r="BX175" s="9"/>
      <c r="BY175" s="9"/>
      <c r="BZ175" s="9">
        <f t="shared" si="540"/>
        <v>43</v>
      </c>
      <c r="CA175" s="9">
        <f t="shared" si="541"/>
        <v>86</v>
      </c>
      <c r="CB175" s="9">
        <f t="shared" si="542"/>
        <v>1.1095694720678451</v>
      </c>
      <c r="CC175" s="9">
        <v>0</v>
      </c>
      <c r="CD175" s="9">
        <f t="shared" si="543"/>
        <v>0</v>
      </c>
      <c r="CE175" s="9">
        <f t="shared" si="544"/>
        <v>0</v>
      </c>
      <c r="CF175" s="9">
        <f t="shared" si="545"/>
        <v>0.84984840943171969</v>
      </c>
      <c r="CG175" s="9">
        <f t="shared" si="546"/>
        <v>0.84399999999999997</v>
      </c>
      <c r="CH175" s="9">
        <f t="shared" si="547"/>
        <v>1.6989660317871056</v>
      </c>
      <c r="CI175" s="9">
        <f t="shared" si="548"/>
        <v>1.8851208429512205</v>
      </c>
      <c r="CJ175" s="9">
        <v>1</v>
      </c>
      <c r="CK175" s="9">
        <f t="shared" si="549"/>
        <v>233.75498452595133</v>
      </c>
      <c r="CM175" s="4">
        <f t="shared" si="550"/>
        <v>1.0036837852778606</v>
      </c>
      <c r="CN175" s="4">
        <f t="shared" si="551"/>
        <v>1.4094913723233622</v>
      </c>
      <c r="CO175" s="4">
        <f t="shared" si="552"/>
        <v>1.0835992283701597</v>
      </c>
      <c r="CP175" s="4">
        <f t="shared" si="553"/>
        <v>2.4470066431310555</v>
      </c>
      <c r="CQ175" s="4">
        <f t="shared" si="554"/>
        <v>1.1618846803400318</v>
      </c>
      <c r="CR175" s="4">
        <f t="shared" si="555"/>
        <v>1.2158256317980205</v>
      </c>
      <c r="CS175" s="4">
        <f t="shared" si="556"/>
        <v>1.4569265550499924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623">CS175</f>
        <v>1.4569265550499924</v>
      </c>
      <c r="CY175" s="4">
        <f>CQ175</f>
        <v>1.1618846803400318</v>
      </c>
      <c r="CZ175" s="4">
        <f>CR175</f>
        <v>1.2158256317980205</v>
      </c>
      <c r="DH175" s="4">
        <f t="shared" si="558"/>
        <v>0</v>
      </c>
      <c r="DI175" s="4">
        <f t="shared" si="559"/>
        <v>688</v>
      </c>
      <c r="DL175" s="4">
        <f t="shared" si="560"/>
        <v>3.1780084856411147E-5</v>
      </c>
      <c r="DM175" s="4">
        <f t="shared" si="561"/>
        <v>6.5413245857119913</v>
      </c>
      <c r="DN175" s="4">
        <f t="shared" si="562"/>
        <v>0.32146234039283844</v>
      </c>
      <c r="DO175" s="4">
        <f t="shared" si="563"/>
        <v>4.154490216734021</v>
      </c>
      <c r="DP175" s="4">
        <f t="shared" si="564"/>
        <v>5.4800752805835637</v>
      </c>
      <c r="DQ175" s="4">
        <f t="shared" si="565"/>
        <v>5.2315820417165027</v>
      </c>
      <c r="DR175" s="38">
        <f t="shared" si="609"/>
        <v>492.3035906047071</v>
      </c>
      <c r="DS175" s="4">
        <f t="shared" si="566"/>
        <v>1.0001243667108182</v>
      </c>
      <c r="DT175" s="4">
        <f t="shared" si="567"/>
        <v>2.2360679774997898</v>
      </c>
      <c r="DU175" s="4">
        <f t="shared" si="568"/>
        <v>157.41105772013589</v>
      </c>
      <c r="DY175" s="4">
        <f t="shared" si="569"/>
        <v>0.85</v>
      </c>
      <c r="DZ175" s="4">
        <f t="shared" si="570"/>
        <v>1</v>
      </c>
      <c r="EA175" s="4">
        <f t="shared" si="610"/>
        <v>1</v>
      </c>
      <c r="EB175" s="4">
        <f t="shared" si="571"/>
        <v>1</v>
      </c>
      <c r="ED175" s="4">
        <f t="shared" si="611"/>
        <v>470.46219872342988</v>
      </c>
      <c r="EE175" s="25">
        <f t="shared" si="612"/>
        <v>156.47861860925426</v>
      </c>
      <c r="EH175" s="4">
        <f t="shared" si="613"/>
        <v>6.5413245857119913</v>
      </c>
      <c r="EK175" s="4">
        <f t="shared" si="572"/>
        <v>96.150923032490965</v>
      </c>
      <c r="EL175" s="4">
        <f t="shared" si="573"/>
        <v>2.2360679774997898</v>
      </c>
      <c r="EM175" s="4">
        <f t="shared" si="574"/>
        <v>0.1189592196523231</v>
      </c>
      <c r="EP175" s="4">
        <f t="shared" si="575"/>
        <v>0.1189592196523231</v>
      </c>
      <c r="EQ175" s="4">
        <f t="shared" si="576"/>
        <v>0.32092587965915864</v>
      </c>
      <c r="ER175" s="4">
        <f t="shared" si="577"/>
        <v>4.1517155991447741</v>
      </c>
      <c r="ES175" s="4">
        <f t="shared" si="578"/>
        <v>5.4790269878759252</v>
      </c>
      <c r="ET175" s="4">
        <f t="shared" si="579"/>
        <v>419.84907696750906</v>
      </c>
      <c r="EU175" s="4">
        <f t="shared" si="580"/>
        <v>172</v>
      </c>
      <c r="EV175" s="4">
        <f t="shared" si="581"/>
        <v>3.1780084856411147E-5</v>
      </c>
      <c r="EW175" s="4">
        <f t="shared" si="582"/>
        <v>5.2318658044900577</v>
      </c>
      <c r="EX175" s="4">
        <f t="shared" si="583"/>
        <v>492.2423720399712</v>
      </c>
      <c r="FG175" s="23">
        <f t="shared" si="584"/>
        <v>1.2</v>
      </c>
      <c r="FH175" s="23">
        <f t="shared" si="584"/>
        <v>1.6</v>
      </c>
      <c r="FI175" s="23">
        <f t="shared" si="585"/>
        <v>1.6</v>
      </c>
      <c r="FJ175" s="23">
        <f t="shared" si="586"/>
        <v>2.2000000000000002</v>
      </c>
      <c r="FK175" s="23">
        <f t="shared" si="586"/>
        <v>1.2</v>
      </c>
      <c r="FL175" s="23">
        <f t="shared" si="586"/>
        <v>1.4</v>
      </c>
      <c r="FM175" s="23">
        <f t="shared" si="587"/>
        <v>0</v>
      </c>
      <c r="FN175" s="23"/>
      <c r="FX175" s="4">
        <f t="shared" si="422"/>
        <v>1.25</v>
      </c>
      <c r="FY175" s="4">
        <f t="shared" si="513"/>
        <v>0.65</v>
      </c>
      <c r="FZ175" s="4">
        <f t="shared" si="423"/>
        <v>0</v>
      </c>
      <c r="GA175" s="4">
        <f t="shared" si="424"/>
        <v>392.60729926113032</v>
      </c>
    </row>
    <row r="176" spans="1:183" ht="12" customHeight="1" x14ac:dyDescent="0.3">
      <c r="A176" s="25">
        <v>158</v>
      </c>
      <c r="B176" s="24" t="s">
        <v>128</v>
      </c>
      <c r="C176" s="24">
        <v>2017</v>
      </c>
      <c r="D176" s="24" t="s">
        <v>309</v>
      </c>
      <c r="E176" s="24"/>
      <c r="F176" s="4" t="s">
        <v>165</v>
      </c>
      <c r="G176" s="7">
        <v>606</v>
      </c>
      <c r="H176" s="7">
        <f t="shared" ref="H176:H178" si="624">16*K176</f>
        <v>688</v>
      </c>
      <c r="I176" s="7">
        <f t="shared" si="519"/>
        <v>688</v>
      </c>
      <c r="J176" s="7">
        <v>45.8</v>
      </c>
      <c r="K176" s="37">
        <v>43</v>
      </c>
      <c r="L176" s="7">
        <f t="shared" si="588"/>
        <v>16</v>
      </c>
      <c r="M176" s="7">
        <f t="shared" si="589"/>
        <v>16</v>
      </c>
      <c r="N176" s="7">
        <f t="shared" si="590"/>
        <v>430</v>
      </c>
      <c r="O176" s="7">
        <f>2*K176</f>
        <v>86</v>
      </c>
      <c r="P176" s="7">
        <f t="shared" si="591"/>
        <v>56</v>
      </c>
      <c r="Q176" s="7">
        <f t="shared" si="620"/>
        <v>172</v>
      </c>
      <c r="R176" s="7">
        <v>2</v>
      </c>
      <c r="S176" s="7">
        <f t="shared" si="621"/>
        <v>358.66666666666663</v>
      </c>
      <c r="T176" s="7">
        <f t="shared" si="521"/>
        <v>2.5</v>
      </c>
      <c r="U176" s="7">
        <f t="shared" si="522"/>
        <v>2.5</v>
      </c>
      <c r="V176" s="7">
        <f t="shared" si="517"/>
        <v>4</v>
      </c>
      <c r="W176" s="7">
        <f t="shared" si="517"/>
        <v>4</v>
      </c>
      <c r="X176" s="7">
        <f t="shared" si="523"/>
        <v>5</v>
      </c>
      <c r="Y176" s="7">
        <f t="shared" si="524"/>
        <v>96.150923032490965</v>
      </c>
      <c r="Z176" s="7">
        <f t="shared" si="525"/>
        <v>606</v>
      </c>
      <c r="AA176" s="7">
        <v>19</v>
      </c>
      <c r="AB176" s="7">
        <f>(607+607)/2</f>
        <v>607</v>
      </c>
      <c r="AC176" s="7"/>
      <c r="AD176" s="4">
        <f t="shared" si="526"/>
        <v>1.0461407976053076</v>
      </c>
      <c r="AE176" s="7">
        <v>0</v>
      </c>
      <c r="AF176" s="7">
        <v>0</v>
      </c>
      <c r="AG176" s="7">
        <f>I176</f>
        <v>688</v>
      </c>
      <c r="AH176" s="7"/>
      <c r="AI176" s="7"/>
      <c r="AJ176" s="7">
        <f t="shared" si="527"/>
        <v>9.6</v>
      </c>
      <c r="AK176" s="4">
        <f t="shared" si="594"/>
        <v>688</v>
      </c>
      <c r="AL176" s="4">
        <f t="shared" si="595"/>
        <v>0.20833333333333334</v>
      </c>
      <c r="AM176" s="4">
        <f t="shared" si="596"/>
        <v>420.49284288370211</v>
      </c>
      <c r="AN176" s="4">
        <f t="shared" si="597"/>
        <v>0.73124999999999996</v>
      </c>
      <c r="AO176" s="4">
        <v>1.25</v>
      </c>
      <c r="AP176" s="4">
        <f t="shared" si="598"/>
        <v>2.5</v>
      </c>
      <c r="AQ176" s="38">
        <f t="shared" si="599"/>
        <v>200.18580166582498</v>
      </c>
      <c r="AR176" s="38">
        <f t="shared" si="600"/>
        <v>200.18580166582498</v>
      </c>
      <c r="AS176" s="38">
        <f t="shared" si="601"/>
        <v>3.8402978284624769</v>
      </c>
      <c r="AT176" s="38">
        <f t="shared" si="461"/>
        <v>200.18580166582495</v>
      </c>
      <c r="AU176" s="38">
        <f t="shared" si="406"/>
        <v>1.0000000000000002</v>
      </c>
      <c r="AV176" s="38">
        <f t="shared" si="462"/>
        <v>2.2878745454912459</v>
      </c>
      <c r="AW176" s="4">
        <f t="shared" si="463"/>
        <v>0</v>
      </c>
      <c r="AX176" s="4">
        <f t="shared" si="528"/>
        <v>569.90060852845909</v>
      </c>
      <c r="AY176" s="4">
        <f t="shared" si="529"/>
        <v>1</v>
      </c>
      <c r="AZ176" s="38">
        <f t="shared" si="530"/>
        <v>458</v>
      </c>
      <c r="BA176" s="4">
        <f t="shared" si="531"/>
        <v>0.44000000000000006</v>
      </c>
      <c r="BB176" s="4">
        <f t="shared" si="532"/>
        <v>131.02014990069279</v>
      </c>
      <c r="BC176" s="4">
        <f t="shared" si="533"/>
        <v>589.02014990069279</v>
      </c>
      <c r="BE176" s="4">
        <f t="shared" si="534"/>
        <v>1.25</v>
      </c>
      <c r="BF176" s="4">
        <f t="shared" si="535"/>
        <v>659.8380483118566</v>
      </c>
      <c r="BH176" s="4">
        <f t="shared" si="536"/>
        <v>439.27800975028305</v>
      </c>
      <c r="BI176" s="4">
        <f t="shared" si="537"/>
        <v>641.65616063635548</v>
      </c>
      <c r="BJ176" s="4">
        <f t="shared" si="538"/>
        <v>1.4607063098858935</v>
      </c>
      <c r="BK176" s="4">
        <f t="shared" si="602"/>
        <v>86</v>
      </c>
      <c r="BL176" s="4">
        <f t="shared" si="603"/>
        <v>86</v>
      </c>
      <c r="BM176" s="4">
        <f t="shared" si="604"/>
        <v>358.66666666666663</v>
      </c>
      <c r="BN176" s="4">
        <f t="shared" si="605"/>
        <v>107.5</v>
      </c>
      <c r="BO176" s="4">
        <f t="shared" si="606"/>
        <v>1.25</v>
      </c>
      <c r="BP176" s="25">
        <f t="shared" si="607"/>
        <v>3.125</v>
      </c>
      <c r="BR176" s="4">
        <f t="shared" si="539"/>
        <v>86</v>
      </c>
      <c r="BV176" s="9"/>
      <c r="BX176" s="9"/>
      <c r="BY176" s="9"/>
      <c r="BZ176" s="9">
        <f t="shared" si="540"/>
        <v>56</v>
      </c>
      <c r="CA176" s="9">
        <f t="shared" si="541"/>
        <v>86</v>
      </c>
      <c r="CB176" s="9">
        <f t="shared" si="542"/>
        <v>1.2170441953580799</v>
      </c>
      <c r="CC176" s="9">
        <v>0</v>
      </c>
      <c r="CD176" s="9">
        <f t="shared" si="543"/>
        <v>0</v>
      </c>
      <c r="CE176" s="9">
        <f t="shared" si="544"/>
        <v>0</v>
      </c>
      <c r="CF176" s="9">
        <f t="shared" si="545"/>
        <v>0.84984840943171969</v>
      </c>
      <c r="CG176" s="9">
        <f t="shared" si="546"/>
        <v>0.84399999999999997</v>
      </c>
      <c r="CH176" s="9">
        <f t="shared" si="547"/>
        <v>1.6989660317871056</v>
      </c>
      <c r="CI176" s="9">
        <f t="shared" si="548"/>
        <v>2.0677167470970481</v>
      </c>
      <c r="CJ176" s="9">
        <v>1</v>
      </c>
      <c r="CK176" s="9">
        <f t="shared" si="549"/>
        <v>256.39687664003395</v>
      </c>
      <c r="CM176" s="4">
        <f t="shared" si="550"/>
        <v>1.0650980029084989</v>
      </c>
      <c r="CN176" s="4">
        <f t="shared" si="551"/>
        <v>1.030525017017395</v>
      </c>
      <c r="CO176" s="4">
        <f t="shared" si="552"/>
        <v>0.91992270156739442</v>
      </c>
      <c r="CP176" s="4">
        <f t="shared" si="553"/>
        <v>2.3674235347733665</v>
      </c>
      <c r="CQ176" s="4">
        <f t="shared" si="554"/>
        <v>1.0461407976053076</v>
      </c>
      <c r="CR176" s="4">
        <f t="shared" si="555"/>
        <v>1.1078654557321155</v>
      </c>
      <c r="CS176" s="4">
        <f t="shared" si="556"/>
        <v>1.2368593271543291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623"/>
        <v>1.2368593271543291</v>
      </c>
      <c r="CY176" s="4">
        <f>CQ176</f>
        <v>1.0461407976053076</v>
      </c>
      <c r="CZ176" s="4">
        <f>CR176</f>
        <v>1.1078654557321155</v>
      </c>
      <c r="DH176" s="4">
        <f t="shared" si="558"/>
        <v>0</v>
      </c>
      <c r="DI176" s="4">
        <f t="shared" si="559"/>
        <v>688</v>
      </c>
      <c r="DL176" s="4">
        <f t="shared" si="560"/>
        <v>3.1780084856411147E-5</v>
      </c>
      <c r="DM176" s="4">
        <f t="shared" si="561"/>
        <v>7.2681384285688786</v>
      </c>
      <c r="DN176" s="4">
        <f t="shared" si="562"/>
        <v>0.40881623723871846</v>
      </c>
      <c r="DO176" s="4">
        <f t="shared" si="563"/>
        <v>5.0819974748536216</v>
      </c>
      <c r="DP176" s="4">
        <f t="shared" si="564"/>
        <v>6.2713583807787048</v>
      </c>
      <c r="DQ176" s="4">
        <f t="shared" si="565"/>
        <v>5.6034242965167413</v>
      </c>
      <c r="DR176" s="38">
        <f t="shared" si="609"/>
        <v>580.22782534575379</v>
      </c>
      <c r="DS176" s="4">
        <f t="shared" si="566"/>
        <v>1.0001336896718742</v>
      </c>
      <c r="DT176" s="4">
        <f t="shared" si="567"/>
        <v>2.2360679774997898</v>
      </c>
      <c r="DU176" s="4">
        <f t="shared" si="568"/>
        <v>200.18580166582495</v>
      </c>
      <c r="DY176" s="4">
        <f t="shared" si="569"/>
        <v>0.85</v>
      </c>
      <c r="DZ176" s="4">
        <f t="shared" si="570"/>
        <v>0.9</v>
      </c>
      <c r="EA176" s="4">
        <f t="shared" si="610"/>
        <v>1</v>
      </c>
      <c r="EB176" s="4">
        <f t="shared" si="571"/>
        <v>0.9</v>
      </c>
      <c r="ED176" s="4">
        <f t="shared" si="611"/>
        <v>547.90046648658574</v>
      </c>
      <c r="EE176" s="25">
        <f t="shared" si="612"/>
        <v>199.02982191527957</v>
      </c>
      <c r="EH176" s="4">
        <f t="shared" si="613"/>
        <v>7.2681384285688786</v>
      </c>
      <c r="EK176" s="4">
        <f t="shared" si="572"/>
        <v>96.150923032490965</v>
      </c>
      <c r="EL176" s="4">
        <f t="shared" si="573"/>
        <v>2.2360679774997898</v>
      </c>
      <c r="EM176" s="4">
        <f t="shared" si="574"/>
        <v>0.15128509455784567</v>
      </c>
      <c r="EP176" s="4">
        <f t="shared" si="575"/>
        <v>0.15128509455784567</v>
      </c>
      <c r="EQ176" s="4">
        <f t="shared" si="576"/>
        <v>0.40813399913175602</v>
      </c>
      <c r="ER176" s="4">
        <f t="shared" si="577"/>
        <v>5.0786034123220896</v>
      </c>
      <c r="ES176" s="4">
        <f t="shared" si="578"/>
        <v>6.2699854603578888</v>
      </c>
      <c r="ET176" s="4">
        <f t="shared" si="579"/>
        <v>419.84907696750906</v>
      </c>
      <c r="EU176" s="4">
        <f t="shared" si="580"/>
        <v>172</v>
      </c>
      <c r="EV176" s="4">
        <f t="shared" si="581"/>
        <v>3.1780084856411147E-5</v>
      </c>
      <c r="EW176" s="4">
        <f t="shared" si="582"/>
        <v>5.6038254044047084</v>
      </c>
      <c r="EX176" s="4">
        <f t="shared" si="583"/>
        <v>580.15026524715518</v>
      </c>
      <c r="FG176" s="23">
        <f t="shared" si="584"/>
        <v>1.2</v>
      </c>
      <c r="FH176" s="23">
        <f t="shared" si="584"/>
        <v>1.2</v>
      </c>
      <c r="FI176" s="23">
        <f t="shared" si="585"/>
        <v>1.4</v>
      </c>
      <c r="FJ176" s="23">
        <f t="shared" si="586"/>
        <v>2.2000000000000002</v>
      </c>
      <c r="FK176" s="23">
        <f t="shared" si="586"/>
        <v>1.2</v>
      </c>
      <c r="FL176" s="23">
        <f t="shared" si="586"/>
        <v>1.2</v>
      </c>
      <c r="FM176" s="23">
        <f t="shared" si="587"/>
        <v>0</v>
      </c>
      <c r="FN176" s="23"/>
      <c r="FX176" s="4">
        <f t="shared" si="422"/>
        <v>1</v>
      </c>
      <c r="FY176" s="4">
        <f t="shared" si="513"/>
        <v>0.65</v>
      </c>
      <c r="FZ176" s="4">
        <f t="shared" si="423"/>
        <v>0</v>
      </c>
      <c r="GA176" s="4">
        <f t="shared" si="424"/>
        <v>490.75912407641289</v>
      </c>
    </row>
    <row r="177" spans="1:183" ht="12" customHeight="1" x14ac:dyDescent="0.3">
      <c r="A177" s="25">
        <v>159</v>
      </c>
      <c r="B177" s="24" t="s">
        <v>128</v>
      </c>
      <c r="C177" s="24">
        <v>2017</v>
      </c>
      <c r="D177" s="24" t="s">
        <v>309</v>
      </c>
      <c r="E177" s="24"/>
      <c r="F177" s="4" t="s">
        <v>166</v>
      </c>
      <c r="G177" s="7">
        <v>606</v>
      </c>
      <c r="H177" s="7">
        <f t="shared" si="624"/>
        <v>688</v>
      </c>
      <c r="I177" s="7">
        <f t="shared" si="519"/>
        <v>688</v>
      </c>
      <c r="J177" s="7">
        <v>41.8</v>
      </c>
      <c r="K177" s="37">
        <v>43</v>
      </c>
      <c r="L177" s="7">
        <f t="shared" si="588"/>
        <v>16</v>
      </c>
      <c r="M177" s="7">
        <f t="shared" si="589"/>
        <v>16</v>
      </c>
      <c r="N177" s="7">
        <f t="shared" si="590"/>
        <v>344</v>
      </c>
      <c r="O177" s="7">
        <f>1*K177</f>
        <v>43</v>
      </c>
      <c r="P177" s="7">
        <f t="shared" si="591"/>
        <v>56</v>
      </c>
      <c r="Q177" s="7">
        <f t="shared" si="620"/>
        <v>172</v>
      </c>
      <c r="R177" s="7">
        <v>2</v>
      </c>
      <c r="S177" s="7">
        <f t="shared" si="621"/>
        <v>358.66666666666663</v>
      </c>
      <c r="T177" s="7">
        <f t="shared" si="521"/>
        <v>1.5</v>
      </c>
      <c r="U177" s="7">
        <f t="shared" si="522"/>
        <v>1.5</v>
      </c>
      <c r="V177" s="7">
        <f t="shared" si="517"/>
        <v>4</v>
      </c>
      <c r="W177" s="7">
        <f t="shared" si="517"/>
        <v>4</v>
      </c>
      <c r="X177" s="7">
        <f t="shared" si="523"/>
        <v>5</v>
      </c>
      <c r="Y177" s="7">
        <f t="shared" si="524"/>
        <v>96.150923032490965</v>
      </c>
      <c r="Z177" s="7">
        <f t="shared" si="525"/>
        <v>606</v>
      </c>
      <c r="AA177" s="7">
        <v>19</v>
      </c>
      <c r="AB177" s="7">
        <f>(424+424)/2</f>
        <v>424</v>
      </c>
      <c r="AC177" s="7"/>
      <c r="AD177" s="4">
        <f t="shared" si="526"/>
        <v>0.84308759932066202</v>
      </c>
      <c r="AE177" s="7">
        <v>15.9</v>
      </c>
      <c r="AF177" s="10">
        <v>2</v>
      </c>
      <c r="AG177" s="7">
        <v>120</v>
      </c>
      <c r="AH177" s="7">
        <v>4</v>
      </c>
      <c r="AI177" s="7">
        <f t="shared" ref="AI177:AI178" si="625">AF177</f>
        <v>2</v>
      </c>
      <c r="AJ177" s="7">
        <f t="shared" si="527"/>
        <v>9.6</v>
      </c>
      <c r="AK177" s="4">
        <f t="shared" si="594"/>
        <v>688</v>
      </c>
      <c r="AL177" s="4">
        <f t="shared" si="595"/>
        <v>0.16666666666666666</v>
      </c>
      <c r="AM177" s="4">
        <f t="shared" si="596"/>
        <v>401.7112644757263</v>
      </c>
      <c r="AN177" s="4">
        <f t="shared" si="597"/>
        <v>0.71875</v>
      </c>
      <c r="AO177" s="4">
        <v>1.25</v>
      </c>
      <c r="AP177" s="4">
        <f t="shared" si="598"/>
        <v>2.5</v>
      </c>
      <c r="AQ177" s="38">
        <f>AL177*AN177*AO177*AP177*AM177</f>
        <v>150.38019340725427</v>
      </c>
      <c r="AR177" s="38">
        <f t="shared" si="600"/>
        <v>150.38019340725427</v>
      </c>
      <c r="AS177" s="38">
        <f t="shared" si="601"/>
        <v>3.613311826901703</v>
      </c>
      <c r="AT177" s="38">
        <f t="shared" si="461"/>
        <v>150.38019340725435</v>
      </c>
      <c r="AU177" s="38">
        <f t="shared" si="406"/>
        <v>0.99999999999999944</v>
      </c>
      <c r="AV177" s="38">
        <f t="shared" si="462"/>
        <v>1.6677728251139579</v>
      </c>
      <c r="AW177" s="4">
        <f t="shared" si="463"/>
        <v>0</v>
      </c>
      <c r="AX177" s="4">
        <f t="shared" si="528"/>
        <v>544.4456379029765</v>
      </c>
      <c r="AY177" s="4">
        <f t="shared" si="529"/>
        <v>1</v>
      </c>
      <c r="AZ177" s="38">
        <f t="shared" si="530"/>
        <v>250.79999999999998</v>
      </c>
      <c r="BA177" s="4">
        <f t="shared" si="531"/>
        <v>0.44000000000000006</v>
      </c>
      <c r="BB177" s="4">
        <f t="shared" si="532"/>
        <v>125.16805215389431</v>
      </c>
      <c r="BC177" s="4">
        <f t="shared" si="533"/>
        <v>375.96805215389429</v>
      </c>
      <c r="BE177" s="4">
        <f t="shared" si="534"/>
        <v>1.4</v>
      </c>
      <c r="BF177" s="4">
        <f t="shared" si="535"/>
        <v>706.00988095068465</v>
      </c>
      <c r="BH177" s="4">
        <f t="shared" si="536"/>
        <v>240.54787084142137</v>
      </c>
      <c r="BI177" s="4">
        <f t="shared" si="537"/>
        <v>641.65616063635548</v>
      </c>
      <c r="BJ177" s="4">
        <f t="shared" si="538"/>
        <v>2.6674780300149092</v>
      </c>
      <c r="BK177" s="4">
        <f t="shared" si="602"/>
        <v>43</v>
      </c>
      <c r="BL177" s="4">
        <f t="shared" si="603"/>
        <v>43</v>
      </c>
      <c r="BM177" s="4">
        <f t="shared" si="604"/>
        <v>358.66666666666663</v>
      </c>
      <c r="BN177" s="4">
        <f t="shared" si="605"/>
        <v>64.5</v>
      </c>
      <c r="BO177" s="4">
        <f t="shared" si="606"/>
        <v>1.25</v>
      </c>
      <c r="BP177" s="25">
        <f t="shared" si="607"/>
        <v>4</v>
      </c>
      <c r="BR177" s="4">
        <f t="shared" si="539"/>
        <v>43</v>
      </c>
      <c r="BV177" s="9"/>
      <c r="BX177" s="9"/>
      <c r="BY177" s="9"/>
      <c r="BZ177" s="9">
        <f t="shared" si="540"/>
        <v>43</v>
      </c>
      <c r="CA177" s="9">
        <f t="shared" si="541"/>
        <v>86</v>
      </c>
      <c r="CB177" s="9">
        <f t="shared" si="542"/>
        <v>1.1095694720678451</v>
      </c>
      <c r="CC177" s="9">
        <v>20</v>
      </c>
      <c r="CD177" s="9">
        <f t="shared" si="543"/>
        <v>0.05</v>
      </c>
      <c r="CE177" s="9">
        <f t="shared" si="544"/>
        <v>0.8</v>
      </c>
      <c r="CF177" s="9">
        <f t="shared" si="545"/>
        <v>0.84984840943171969</v>
      </c>
      <c r="CG177" s="9">
        <f t="shared" si="546"/>
        <v>0.84399999999999997</v>
      </c>
      <c r="CH177" s="9">
        <f t="shared" si="547"/>
        <v>1.6230806409213159</v>
      </c>
      <c r="CI177" s="9">
        <f t="shared" si="548"/>
        <v>3.0993852426076569</v>
      </c>
      <c r="CJ177" s="9">
        <v>1</v>
      </c>
      <c r="CK177" s="9">
        <f t="shared" si="549"/>
        <v>384.32377008334947</v>
      </c>
      <c r="CM177" s="4">
        <f t="shared" si="550"/>
        <v>0.77877380307996769</v>
      </c>
      <c r="CN177" s="4">
        <f t="shared" si="551"/>
        <v>1.1277553972230727</v>
      </c>
      <c r="CO177" s="4">
        <f t="shared" si="552"/>
        <v>0.60055816701751907</v>
      </c>
      <c r="CP177" s="4">
        <f t="shared" si="553"/>
        <v>1.1032364714470975</v>
      </c>
      <c r="CQ177" s="4">
        <f t="shared" si="554"/>
        <v>0.84308759932066202</v>
      </c>
      <c r="CR177" s="4">
        <f t="shared" si="555"/>
        <v>0.88558461738800009</v>
      </c>
      <c r="CS177" s="4">
        <f t="shared" si="556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626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558"/>
        <v>2</v>
      </c>
      <c r="DI177" s="4">
        <f t="shared" si="559"/>
        <v>688</v>
      </c>
      <c r="DL177" s="4">
        <f t="shared" si="560"/>
        <v>3.0965438467699878E-5</v>
      </c>
      <c r="DM177" s="4">
        <f t="shared" si="561"/>
        <v>6.8602160076475114</v>
      </c>
      <c r="DN177" s="4">
        <f t="shared" si="562"/>
        <v>0.33649196660752562</v>
      </c>
      <c r="DO177" s="4">
        <f t="shared" si="563"/>
        <v>4.4373907190807582</v>
      </c>
      <c r="DP177" s="4">
        <f t="shared" si="564"/>
        <v>5.7778067568446536</v>
      </c>
      <c r="DQ177" s="4">
        <f t="shared" si="565"/>
        <v>5.4492167000577307</v>
      </c>
      <c r="DR177" s="38">
        <f t="shared" si="609"/>
        <v>502.91333942243739</v>
      </c>
      <c r="DS177" s="4">
        <f t="shared" si="566"/>
        <v>1.0001309164907113</v>
      </c>
      <c r="DT177" s="4">
        <f t="shared" si="567"/>
        <v>2.2360679774997898</v>
      </c>
      <c r="DU177" s="4">
        <f t="shared" si="568"/>
        <v>150.38019340725435</v>
      </c>
      <c r="DY177" s="4">
        <f t="shared" si="569"/>
        <v>0.85</v>
      </c>
      <c r="DZ177" s="4">
        <f t="shared" si="570"/>
        <v>1</v>
      </c>
      <c r="EA177" s="4">
        <f t="shared" si="610"/>
        <v>0.91092644672796108</v>
      </c>
      <c r="EB177" s="4">
        <f t="shared" si="571"/>
        <v>0.91092644672796108</v>
      </c>
      <c r="ED177" s="4">
        <f t="shared" si="611"/>
        <v>478.77977064526334</v>
      </c>
      <c r="EE177" s="25">
        <f t="shared" si="612"/>
        <v>149.48940227818281</v>
      </c>
      <c r="EH177" s="4">
        <f t="shared" si="613"/>
        <v>6.8602160076475114</v>
      </c>
      <c r="EK177" s="4">
        <f t="shared" si="572"/>
        <v>96.150923032490965</v>
      </c>
      <c r="EL177" s="4">
        <f t="shared" si="573"/>
        <v>2.2360679774997898</v>
      </c>
      <c r="EM177" s="4">
        <f t="shared" si="574"/>
        <v>0.11895921965232313</v>
      </c>
      <c r="EP177" s="4">
        <f t="shared" si="575"/>
        <v>0.11895921965232313</v>
      </c>
      <c r="EQ177" s="4">
        <f t="shared" si="576"/>
        <v>0.33593042422883501</v>
      </c>
      <c r="ER177" s="4">
        <f t="shared" si="577"/>
        <v>4.4344271635788264</v>
      </c>
      <c r="ES177" s="4">
        <f t="shared" si="578"/>
        <v>5.7766720378636887</v>
      </c>
      <c r="ET177" s="4">
        <f t="shared" si="579"/>
        <v>419.84907696750906</v>
      </c>
      <c r="EU177" s="4">
        <f t="shared" si="580"/>
        <v>172</v>
      </c>
      <c r="EV177" s="4">
        <f t="shared" si="581"/>
        <v>3.0965438467699878E-5</v>
      </c>
      <c r="EW177" s="4">
        <f t="shared" si="582"/>
        <v>5.449528768248185</v>
      </c>
      <c r="EX177" s="4">
        <f t="shared" si="583"/>
        <v>502.84750839127594</v>
      </c>
      <c r="FG177" s="23">
        <f t="shared" si="584"/>
        <v>0.8</v>
      </c>
      <c r="FH177" s="23">
        <f t="shared" si="584"/>
        <v>1.2</v>
      </c>
      <c r="FI177" s="23">
        <f t="shared" si="585"/>
        <v>1</v>
      </c>
      <c r="FJ177" s="23">
        <f t="shared" si="586"/>
        <v>1.2</v>
      </c>
      <c r="FK177" s="23">
        <f t="shared" si="586"/>
        <v>1</v>
      </c>
      <c r="FL177" s="23">
        <f t="shared" si="586"/>
        <v>1</v>
      </c>
      <c r="FM177" s="23">
        <f t="shared" si="587"/>
        <v>0</v>
      </c>
      <c r="FN177" s="23"/>
      <c r="FX177" s="4">
        <f t="shared" si="422"/>
        <v>1.25</v>
      </c>
      <c r="FY177" s="4">
        <f t="shared" si="513"/>
        <v>0.49190749660801991</v>
      </c>
      <c r="FZ177" s="4">
        <f t="shared" si="423"/>
        <v>0.3</v>
      </c>
      <c r="GA177" s="4">
        <f t="shared" si="424"/>
        <v>507.0677454986681</v>
      </c>
    </row>
    <row r="178" spans="1:183" ht="12" customHeight="1" x14ac:dyDescent="0.3">
      <c r="A178" s="25">
        <v>160</v>
      </c>
      <c r="B178" s="24" t="s">
        <v>128</v>
      </c>
      <c r="C178" s="24">
        <v>2017</v>
      </c>
      <c r="D178" s="24" t="s">
        <v>309</v>
      </c>
      <c r="E178" s="24"/>
      <c r="F178" s="4" t="s">
        <v>167</v>
      </c>
      <c r="G178" s="7">
        <v>606</v>
      </c>
      <c r="H178" s="7">
        <f t="shared" si="624"/>
        <v>688</v>
      </c>
      <c r="I178" s="7">
        <f t="shared" si="519"/>
        <v>688</v>
      </c>
      <c r="J178" s="7">
        <v>44.3</v>
      </c>
      <c r="K178" s="37">
        <v>43</v>
      </c>
      <c r="L178" s="7">
        <f t="shared" si="588"/>
        <v>16</v>
      </c>
      <c r="M178" s="7">
        <f t="shared" si="589"/>
        <v>16</v>
      </c>
      <c r="N178" s="7">
        <f t="shared" si="590"/>
        <v>430</v>
      </c>
      <c r="O178" s="7">
        <f>2*K178</f>
        <v>86</v>
      </c>
      <c r="P178" s="7">
        <f t="shared" si="591"/>
        <v>56</v>
      </c>
      <c r="Q178" s="7">
        <f t="shared" si="620"/>
        <v>172</v>
      </c>
      <c r="R178" s="7">
        <v>2</v>
      </c>
      <c r="S178" s="7">
        <f t="shared" si="621"/>
        <v>358.66666666666663</v>
      </c>
      <c r="T178" s="7">
        <f t="shared" si="521"/>
        <v>2.5</v>
      </c>
      <c r="U178" s="7">
        <f t="shared" si="522"/>
        <v>2.5</v>
      </c>
      <c r="V178" s="7">
        <f t="shared" si="517"/>
        <v>4</v>
      </c>
      <c r="W178" s="7">
        <f t="shared" si="517"/>
        <v>4</v>
      </c>
      <c r="X178" s="7">
        <f t="shared" si="523"/>
        <v>5</v>
      </c>
      <c r="Y178" s="7">
        <f t="shared" si="524"/>
        <v>96.150923032490965</v>
      </c>
      <c r="Z178" s="7">
        <f t="shared" si="525"/>
        <v>606</v>
      </c>
      <c r="AA178" s="7">
        <v>19</v>
      </c>
      <c r="AB178" s="7">
        <f>(628+628)/2</f>
        <v>628</v>
      </c>
      <c r="AC178" s="7"/>
      <c r="AD178" s="4">
        <f t="shared" si="526"/>
        <v>1.0360993957423605</v>
      </c>
      <c r="AE178" s="7">
        <v>15.9</v>
      </c>
      <c r="AF178" s="10">
        <v>2</v>
      </c>
      <c r="AG178" s="7">
        <v>120</v>
      </c>
      <c r="AH178" s="7">
        <v>4</v>
      </c>
      <c r="AI178" s="7">
        <f t="shared" si="625"/>
        <v>2</v>
      </c>
      <c r="AJ178" s="7">
        <f t="shared" si="527"/>
        <v>9.6</v>
      </c>
      <c r="AK178" s="4">
        <f t="shared" si="594"/>
        <v>688</v>
      </c>
      <c r="AL178" s="4">
        <f t="shared" si="595"/>
        <v>0.20833333333333334</v>
      </c>
      <c r="AM178" s="4">
        <f t="shared" si="596"/>
        <v>413.54972110408767</v>
      </c>
      <c r="AN178" s="4">
        <f t="shared" si="597"/>
        <v>0.73124999999999996</v>
      </c>
      <c r="AO178" s="4">
        <v>1.25</v>
      </c>
      <c r="AP178" s="4">
        <f t="shared" si="598"/>
        <v>2.5</v>
      </c>
      <c r="AQ178" s="38">
        <f t="shared" si="599"/>
        <v>196.88036038890891</v>
      </c>
      <c r="AR178" s="38">
        <f t="shared" si="600"/>
        <v>196.88036038890891</v>
      </c>
      <c r="AS178" s="38">
        <f t="shared" si="601"/>
        <v>3.7559840459059588</v>
      </c>
      <c r="AT178" s="38">
        <f t="shared" si="461"/>
        <v>196.88036038890891</v>
      </c>
      <c r="AU178" s="38">
        <f t="shared" si="406"/>
        <v>1</v>
      </c>
      <c r="AV178" s="38">
        <f t="shared" si="462"/>
        <v>2.2500974659174591</v>
      </c>
      <c r="AW178" s="4">
        <f t="shared" si="463"/>
        <v>0</v>
      </c>
      <c r="AX178" s="4">
        <f t="shared" si="528"/>
        <v>560.49048563515748</v>
      </c>
      <c r="AY178" s="4">
        <f t="shared" si="529"/>
        <v>1</v>
      </c>
      <c r="AZ178" s="38">
        <f t="shared" si="530"/>
        <v>443</v>
      </c>
      <c r="BA178" s="4">
        <f t="shared" si="531"/>
        <v>0.44000000000000006</v>
      </c>
      <c r="BB178" s="4">
        <f t="shared" si="532"/>
        <v>128.85676264752271</v>
      </c>
      <c r="BC178" s="4">
        <f t="shared" si="533"/>
        <v>571.85676264752271</v>
      </c>
      <c r="BE178" s="4">
        <f t="shared" si="534"/>
        <v>1.5</v>
      </c>
      <c r="BF178" s="4">
        <f t="shared" si="535"/>
        <v>778.73146847934686</v>
      </c>
      <c r="BH178" s="4">
        <f t="shared" si="536"/>
        <v>424.89117536981524</v>
      </c>
      <c r="BI178" s="4">
        <f t="shared" si="537"/>
        <v>641.65616063635548</v>
      </c>
      <c r="BJ178" s="4">
        <f t="shared" si="538"/>
        <v>1.5101658914847387</v>
      </c>
      <c r="BK178" s="4">
        <f t="shared" si="602"/>
        <v>86</v>
      </c>
      <c r="BL178" s="4">
        <f t="shared" si="603"/>
        <v>86</v>
      </c>
      <c r="BM178" s="4">
        <f t="shared" si="604"/>
        <v>358.66666666666663</v>
      </c>
      <c r="BN178" s="4">
        <f t="shared" si="605"/>
        <v>107.5</v>
      </c>
      <c r="BO178" s="4">
        <f t="shared" si="606"/>
        <v>1.25</v>
      </c>
      <c r="BP178" s="25">
        <f t="shared" si="607"/>
        <v>4</v>
      </c>
      <c r="BR178" s="4">
        <f t="shared" si="539"/>
        <v>86</v>
      </c>
      <c r="BV178" s="9"/>
      <c r="BX178" s="9"/>
      <c r="BY178" s="9"/>
      <c r="BZ178" s="9">
        <f t="shared" si="540"/>
        <v>56</v>
      </c>
      <c r="CA178" s="9">
        <f t="shared" si="541"/>
        <v>86</v>
      </c>
      <c r="CB178" s="9">
        <f t="shared" si="542"/>
        <v>1.2170441953580799</v>
      </c>
      <c r="CC178" s="9">
        <v>20</v>
      </c>
      <c r="CD178" s="9">
        <f t="shared" si="543"/>
        <v>0.05</v>
      </c>
      <c r="CE178" s="9">
        <f t="shared" si="544"/>
        <v>0.8</v>
      </c>
      <c r="CF178" s="9">
        <f t="shared" si="545"/>
        <v>0.84984840943171969</v>
      </c>
      <c r="CG178" s="9">
        <f t="shared" si="546"/>
        <v>0.84399999999999997</v>
      </c>
      <c r="CH178" s="9">
        <f t="shared" si="547"/>
        <v>1.6709129311035618</v>
      </c>
      <c r="CI178" s="9">
        <f t="shared" si="548"/>
        <v>3.370305228631195</v>
      </c>
      <c r="CJ178" s="9">
        <v>1</v>
      </c>
      <c r="CK178" s="9">
        <f t="shared" si="549"/>
        <v>417.91784835026817</v>
      </c>
      <c r="CM178" s="4">
        <f t="shared" si="550"/>
        <v>1.1204472084630297</v>
      </c>
      <c r="CN178" s="4">
        <f t="shared" si="551"/>
        <v>1.0981770978672198</v>
      </c>
      <c r="CO178" s="4">
        <f t="shared" si="552"/>
        <v>0.8064397361857164</v>
      </c>
      <c r="CP178" s="4">
        <f t="shared" si="553"/>
        <v>1.5026876752908058</v>
      </c>
      <c r="CQ178" s="4">
        <f t="shared" si="554"/>
        <v>1.0360993957423605</v>
      </c>
      <c r="CR178" s="4">
        <f t="shared" si="555"/>
        <v>1.0971269956239666</v>
      </c>
      <c r="CS178" s="4">
        <f t="shared" si="556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626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558"/>
        <v>2</v>
      </c>
      <c r="DI178" s="4">
        <f t="shared" si="559"/>
        <v>688</v>
      </c>
      <c r="DL178" s="4">
        <f t="shared" si="560"/>
        <v>3.1473982762568646E-5</v>
      </c>
      <c r="DM178" s="4">
        <f t="shared" si="561"/>
        <v>7.8470966796375476</v>
      </c>
      <c r="DN178" s="4">
        <f t="shared" si="562"/>
        <v>0.41567988815124735</v>
      </c>
      <c r="DO178" s="4">
        <f t="shared" si="563"/>
        <v>5.5234777430767332</v>
      </c>
      <c r="DP178" s="4">
        <f t="shared" si="564"/>
        <v>6.7857839718640527</v>
      </c>
      <c r="DQ178" s="4">
        <f t="shared" si="565"/>
        <v>5.9257420668611704</v>
      </c>
      <c r="DR178" s="38">
        <f t="shared" si="609"/>
        <v>606.11945396420276</v>
      </c>
      <c r="DS178" s="4">
        <f t="shared" si="566"/>
        <v>1.0001387353798858</v>
      </c>
      <c r="DT178" s="4">
        <f t="shared" si="567"/>
        <v>2.2360679774997898</v>
      </c>
      <c r="DU178" s="4">
        <f t="shared" si="568"/>
        <v>196.88036038890891</v>
      </c>
      <c r="DY178" s="4">
        <f t="shared" si="569"/>
        <v>0.85</v>
      </c>
      <c r="DZ178" s="4">
        <f t="shared" si="570"/>
        <v>0.9</v>
      </c>
      <c r="EA178" s="4">
        <f t="shared" si="610"/>
        <v>0.91092644672796108</v>
      </c>
      <c r="EB178" s="4">
        <f t="shared" si="571"/>
        <v>0.81983380205516498</v>
      </c>
      <c r="ED178" s="4">
        <f t="shared" si="611"/>
        <v>572.40410864454111</v>
      </c>
      <c r="EE178" s="25">
        <f t="shared" si="612"/>
        <v>195.7434680219389</v>
      </c>
      <c r="EH178" s="4">
        <f t="shared" si="613"/>
        <v>7.8470966796375476</v>
      </c>
      <c r="EK178" s="4">
        <f t="shared" si="572"/>
        <v>96.150923032490965</v>
      </c>
      <c r="EL178" s="4">
        <f t="shared" si="573"/>
        <v>2.2360679774997898</v>
      </c>
      <c r="EM178" s="4">
        <f t="shared" si="574"/>
        <v>0.15128509455784567</v>
      </c>
      <c r="EP178" s="4">
        <f t="shared" si="575"/>
        <v>0.15128509455784567</v>
      </c>
      <c r="EQ178" s="4">
        <f t="shared" si="576"/>
        <v>0.41498619589012259</v>
      </c>
      <c r="ER178" s="4">
        <f t="shared" si="577"/>
        <v>5.5197888335595016</v>
      </c>
      <c r="ES178" s="4">
        <f t="shared" si="578"/>
        <v>6.784284979316852</v>
      </c>
      <c r="ET178" s="4">
        <f t="shared" si="579"/>
        <v>419.84907696750906</v>
      </c>
      <c r="EU178" s="4">
        <f t="shared" si="580"/>
        <v>172</v>
      </c>
      <c r="EV178" s="4">
        <f t="shared" si="581"/>
        <v>3.1473982762568646E-5</v>
      </c>
      <c r="EW178" s="4">
        <f t="shared" si="582"/>
        <v>5.9262083360532509</v>
      </c>
      <c r="EX178" s="4">
        <f t="shared" si="583"/>
        <v>606.03537541617015</v>
      </c>
      <c r="FG178" s="23">
        <f t="shared" si="584"/>
        <v>1.2</v>
      </c>
      <c r="FH178" s="23">
        <f t="shared" si="584"/>
        <v>1.2</v>
      </c>
      <c r="FI178" s="23">
        <f t="shared" si="585"/>
        <v>1</v>
      </c>
      <c r="FJ178" s="23">
        <f t="shared" si="586"/>
        <v>1.6</v>
      </c>
      <c r="FK178" s="23">
        <f t="shared" si="586"/>
        <v>1.2</v>
      </c>
      <c r="FL178" s="23">
        <f t="shared" si="586"/>
        <v>1.2</v>
      </c>
      <c r="FM178" s="23">
        <f t="shared" si="587"/>
        <v>0</v>
      </c>
      <c r="FN178" s="23"/>
      <c r="FX178" s="4">
        <f t="shared" si="422"/>
        <v>1</v>
      </c>
      <c r="FY178" s="4">
        <f t="shared" si="513"/>
        <v>0.49190749660801991</v>
      </c>
      <c r="FZ178" s="4">
        <f t="shared" si="423"/>
        <v>0.3</v>
      </c>
      <c r="GA178" s="4">
        <f t="shared" si="424"/>
        <v>643.10644230659943</v>
      </c>
    </row>
    <row r="179" spans="1:183" ht="12" customHeight="1" x14ac:dyDescent="0.3">
      <c r="A179" s="25">
        <v>161</v>
      </c>
      <c r="B179" s="24" t="s">
        <v>128</v>
      </c>
      <c r="C179" s="24">
        <v>2017</v>
      </c>
      <c r="D179" s="24" t="s">
        <v>309</v>
      </c>
      <c r="E179" s="24"/>
      <c r="F179" s="4" t="s">
        <v>168</v>
      </c>
      <c r="G179" s="7">
        <v>583</v>
      </c>
      <c r="H179" s="7">
        <f t="shared" ref="H179:H181" si="627">7*K179</f>
        <v>401.09999999999997</v>
      </c>
      <c r="I179" s="7">
        <f t="shared" si="519"/>
        <v>401.09999999999997</v>
      </c>
      <c r="J179" s="7">
        <v>51.4</v>
      </c>
      <c r="K179" s="37">
        <v>57.3</v>
      </c>
      <c r="L179" s="7">
        <f t="shared" si="588"/>
        <v>7</v>
      </c>
      <c r="M179" s="7">
        <f t="shared" si="589"/>
        <v>7</v>
      </c>
      <c r="N179" s="7">
        <f t="shared" si="590"/>
        <v>584.46</v>
      </c>
      <c r="O179" s="7">
        <f t="shared" ref="O179:O188" si="628">1*K179</f>
        <v>57.3</v>
      </c>
      <c r="P179" s="7">
        <f t="shared" si="591"/>
        <v>56</v>
      </c>
      <c r="Q179" s="7">
        <f>(7.2-1)*K179</f>
        <v>355.26</v>
      </c>
      <c r="R179" s="7">
        <v>2</v>
      </c>
      <c r="S179" s="7">
        <f>2/3*H179-0.5*186</f>
        <v>174.39999999999998</v>
      </c>
      <c r="T179" s="7">
        <f t="shared" si="521"/>
        <v>1.5</v>
      </c>
      <c r="U179" s="7">
        <f t="shared" si="522"/>
        <v>1.5</v>
      </c>
      <c r="V179" s="7">
        <f t="shared" si="517"/>
        <v>4</v>
      </c>
      <c r="W179" s="7">
        <f t="shared" si="517"/>
        <v>4</v>
      </c>
      <c r="X179" s="7">
        <f t="shared" si="523"/>
        <v>5</v>
      </c>
      <c r="Y179" s="7">
        <f t="shared" si="524"/>
        <v>128.12669511073796</v>
      </c>
      <c r="Z179" s="7">
        <f t="shared" si="525"/>
        <v>583</v>
      </c>
      <c r="AA179" s="7">
        <v>25</v>
      </c>
      <c r="AB179" s="7">
        <f>(338+330)/2</f>
        <v>334</v>
      </c>
      <c r="AC179" s="7"/>
      <c r="AD179" s="4">
        <f t="shared" si="526"/>
        <v>1.2987627920477962</v>
      </c>
      <c r="AE179" s="7">
        <v>0</v>
      </c>
      <c r="AF179" s="7">
        <v>0</v>
      </c>
      <c r="AG179" s="7">
        <f>I179</f>
        <v>401.09999999999997</v>
      </c>
      <c r="AH179" s="7"/>
      <c r="AI179" s="7"/>
      <c r="AJ179" s="7">
        <f t="shared" si="527"/>
        <v>2.9166666666666665</v>
      </c>
      <c r="AK179" s="4">
        <f t="shared" si="594"/>
        <v>401.09999999999997</v>
      </c>
      <c r="AL179" s="4">
        <f t="shared" si="595"/>
        <v>0.48571428571428582</v>
      </c>
      <c r="AM179" s="4">
        <f t="shared" si="596"/>
        <v>111.66869259763561</v>
      </c>
      <c r="AN179" s="4">
        <f t="shared" si="597"/>
        <v>0.74285714285714277</v>
      </c>
      <c r="AO179" s="4">
        <v>1.25</v>
      </c>
      <c r="AP179" s="4">
        <f t="shared" si="598"/>
        <v>2.5</v>
      </c>
      <c r="AQ179" s="38">
        <f t="shared" si="599"/>
        <v>125.91214828610957</v>
      </c>
      <c r="AR179" s="38">
        <f t="shared" si="600"/>
        <v>125.91214828610957</v>
      </c>
      <c r="AS179" s="38">
        <f t="shared" si="601"/>
        <v>4.107079761979672</v>
      </c>
      <c r="AT179" s="38">
        <f t="shared" si="461"/>
        <v>125.91214828610951</v>
      </c>
      <c r="AU179" s="38">
        <f t="shared" si="406"/>
        <v>1.0000000000000004</v>
      </c>
      <c r="AV179" s="38">
        <f t="shared" si="462"/>
        <v>2.4493268060141764</v>
      </c>
      <c r="AW179" s="4">
        <f t="shared" si="463"/>
        <v>0</v>
      </c>
      <c r="AX179" s="4">
        <f t="shared" si="528"/>
        <v>264.13502800535673</v>
      </c>
      <c r="AY179" s="4">
        <f t="shared" si="529"/>
        <v>1</v>
      </c>
      <c r="AZ179" s="38">
        <f t="shared" si="530"/>
        <v>308.39999999999998</v>
      </c>
      <c r="BA179" s="4">
        <f t="shared" si="531"/>
        <v>0.44000000000000006</v>
      </c>
      <c r="BB179" s="4">
        <f t="shared" si="532"/>
        <v>60.724642938431515</v>
      </c>
      <c r="BC179" s="4">
        <f t="shared" si="533"/>
        <v>369.12464293843152</v>
      </c>
      <c r="BE179" s="4">
        <f t="shared" si="534"/>
        <v>1</v>
      </c>
      <c r="BF179" s="4">
        <f t="shared" si="535"/>
        <v>365.63834591027239</v>
      </c>
      <c r="BH179" s="4">
        <f t="shared" si="536"/>
        <v>295.79331486241767</v>
      </c>
      <c r="BI179" s="4">
        <f t="shared" si="537"/>
        <v>450.3525339151019</v>
      </c>
      <c r="BJ179" s="4">
        <f t="shared" si="538"/>
        <v>1.5225243820151051</v>
      </c>
      <c r="BK179" s="4">
        <f t="shared" si="602"/>
        <v>57.3</v>
      </c>
      <c r="BL179" s="4">
        <f t="shared" si="603"/>
        <v>57.3</v>
      </c>
      <c r="BM179" s="4">
        <f t="shared" si="604"/>
        <v>174.39999999999998</v>
      </c>
      <c r="BN179" s="4">
        <f t="shared" si="605"/>
        <v>85.949999999999989</v>
      </c>
      <c r="BO179" s="4">
        <f t="shared" si="606"/>
        <v>1.2043630017452007</v>
      </c>
      <c r="BP179" s="25">
        <f t="shared" si="607"/>
        <v>1.8065445026178009</v>
      </c>
      <c r="BR179" s="4">
        <f t="shared" si="539"/>
        <v>57.3</v>
      </c>
      <c r="BV179" s="9"/>
      <c r="BX179" s="9"/>
      <c r="BY179" s="9"/>
      <c r="BZ179" s="9">
        <f t="shared" si="540"/>
        <v>56</v>
      </c>
      <c r="CA179" s="9">
        <f t="shared" si="541"/>
        <v>177.63</v>
      </c>
      <c r="CB179" s="9">
        <f t="shared" si="542"/>
        <v>1.1754818988273255</v>
      </c>
      <c r="CC179" s="9">
        <v>0</v>
      </c>
      <c r="CD179" s="9">
        <f t="shared" si="543"/>
        <v>0</v>
      </c>
      <c r="CE179" s="9">
        <f t="shared" si="544"/>
        <v>0</v>
      </c>
      <c r="CF179" s="9">
        <f t="shared" si="545"/>
        <v>0.77971450958075206</v>
      </c>
      <c r="CG179" s="9">
        <f t="shared" si="546"/>
        <v>0.87549999999999994</v>
      </c>
      <c r="CH179" s="9">
        <f t="shared" si="547"/>
        <v>1.7129369207551171</v>
      </c>
      <c r="CI179" s="9">
        <f t="shared" si="548"/>
        <v>2.013526344180657</v>
      </c>
      <c r="CJ179" s="9">
        <v>1</v>
      </c>
      <c r="CK179" s="9">
        <f t="shared" si="549"/>
        <v>177.19031828789781</v>
      </c>
      <c r="CM179" s="4">
        <f t="shared" si="550"/>
        <v>1.2645047592598222</v>
      </c>
      <c r="CN179" s="4">
        <f t="shared" si="551"/>
        <v>0.90484340828935073</v>
      </c>
      <c r="CO179" s="4">
        <f t="shared" si="552"/>
        <v>0.913470930321853</v>
      </c>
      <c r="CP179" s="4">
        <f t="shared" si="553"/>
        <v>1.8849788364696016</v>
      </c>
      <c r="CQ179" s="4">
        <f t="shared" si="554"/>
        <v>1.2987627920477962</v>
      </c>
      <c r="CR179" s="4">
        <f t="shared" si="555"/>
        <v>1.3493245422364921</v>
      </c>
      <c r="CS179" s="4">
        <f t="shared" si="556"/>
        <v>1.8117952467104248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629">CS179</f>
        <v>1.8117952467104248</v>
      </c>
      <c r="CY179" s="4">
        <f>CQ179</f>
        <v>1.2987627920477962</v>
      </c>
      <c r="CZ179" s="4">
        <f>CR179</f>
        <v>1.3493245422364921</v>
      </c>
      <c r="DH179" s="4">
        <f t="shared" si="558"/>
        <v>0</v>
      </c>
      <c r="DI179" s="4">
        <f t="shared" si="559"/>
        <v>401.09999999999997</v>
      </c>
      <c r="DL179" s="4">
        <f t="shared" si="560"/>
        <v>1.4407634115999734E-5</v>
      </c>
      <c r="DM179" s="4">
        <f t="shared" si="561"/>
        <v>5.8902461748215584</v>
      </c>
      <c r="DN179" s="4">
        <f t="shared" si="562"/>
        <v>0.30531702664295407</v>
      </c>
      <c r="DO179" s="4">
        <f t="shared" si="563"/>
        <v>3.6646614158187836</v>
      </c>
      <c r="DP179" s="4">
        <f t="shared" si="564"/>
        <v>4.9060021731239356</v>
      </c>
      <c r="DQ179" s="4">
        <f t="shared" si="565"/>
        <v>5.6189312114065979</v>
      </c>
      <c r="DR179" s="38">
        <f t="shared" si="609"/>
        <v>257.16782313525681</v>
      </c>
      <c r="DS179" s="4">
        <f t="shared" si="566"/>
        <v>1.0001256742113467</v>
      </c>
      <c r="DT179" s="4">
        <f t="shared" si="567"/>
        <v>2.2360679774997898</v>
      </c>
      <c r="DU179" s="4">
        <f t="shared" si="568"/>
        <v>125.91214828610951</v>
      </c>
      <c r="DY179" s="4">
        <f t="shared" si="569"/>
        <v>1</v>
      </c>
      <c r="DZ179" s="4">
        <f t="shared" si="570"/>
        <v>1</v>
      </c>
      <c r="EA179" s="4">
        <f t="shared" si="610"/>
        <v>1</v>
      </c>
      <c r="EB179" s="4">
        <f t="shared" si="571"/>
        <v>1</v>
      </c>
      <c r="ED179" s="4">
        <f t="shared" si="611"/>
        <v>247.53125696980081</v>
      </c>
      <c r="EE179" s="25">
        <f t="shared" si="612"/>
        <v>123.83608729854809</v>
      </c>
      <c r="EH179" s="4">
        <f t="shared" si="613"/>
        <v>5.8902461748215584</v>
      </c>
      <c r="EK179" s="4">
        <f t="shared" si="572"/>
        <v>128.12669511073796</v>
      </c>
      <c r="EL179" s="4">
        <f t="shared" si="573"/>
        <v>2.2360679774997898</v>
      </c>
      <c r="EM179" s="4">
        <f t="shared" si="574"/>
        <v>0.1196927510980095</v>
      </c>
      <c r="EP179" s="4">
        <f t="shared" si="575"/>
        <v>0.1196927510980095</v>
      </c>
      <c r="EQ179" s="4">
        <f t="shared" si="576"/>
        <v>0.30480750942884544</v>
      </c>
      <c r="ER179" s="4">
        <f t="shared" si="577"/>
        <v>3.6622139352634062</v>
      </c>
      <c r="ES179" s="4">
        <f t="shared" si="578"/>
        <v>4.9050914787398536</v>
      </c>
      <c r="ET179" s="4">
        <f t="shared" si="579"/>
        <v>172.69830488926203</v>
      </c>
      <c r="EU179" s="4">
        <f t="shared" si="580"/>
        <v>100.27499999999998</v>
      </c>
      <c r="EV179" s="4">
        <f t="shared" si="581"/>
        <v>1.4407634115999731E-5</v>
      </c>
      <c r="EW179" s="4">
        <f t="shared" si="582"/>
        <v>5.619010456162763</v>
      </c>
      <c r="EX179" s="4">
        <f t="shared" si="583"/>
        <v>257.13550783310063</v>
      </c>
      <c r="FG179" s="23">
        <f t="shared" si="584"/>
        <v>1.4</v>
      </c>
      <c r="FH179" s="23">
        <f t="shared" si="584"/>
        <v>1</v>
      </c>
      <c r="FI179" s="23">
        <f t="shared" si="585"/>
        <v>2</v>
      </c>
      <c r="FJ179" s="23">
        <f t="shared" si="586"/>
        <v>2</v>
      </c>
      <c r="FK179" s="23">
        <f t="shared" si="586"/>
        <v>1.4</v>
      </c>
      <c r="FL179" s="23">
        <f t="shared" si="586"/>
        <v>1.4</v>
      </c>
      <c r="FM179" s="23">
        <f t="shared" si="587"/>
        <v>0</v>
      </c>
      <c r="FN179" s="23"/>
      <c r="FX179" s="4">
        <f t="shared" si="422"/>
        <v>1.25</v>
      </c>
      <c r="FY179" s="4">
        <f t="shared" si="513"/>
        <v>0.54</v>
      </c>
      <c r="FZ179" s="4">
        <f t="shared" si="423"/>
        <v>0</v>
      </c>
      <c r="GA179" s="4">
        <f t="shared" si="424"/>
        <v>184.3475418132513</v>
      </c>
    </row>
    <row r="180" spans="1:183" ht="12" customHeight="1" x14ac:dyDescent="0.3">
      <c r="A180" s="25">
        <v>162</v>
      </c>
      <c r="B180" s="24" t="s">
        <v>128</v>
      </c>
      <c r="C180" s="24">
        <v>2017</v>
      </c>
      <c r="D180" s="24" t="s">
        <v>309</v>
      </c>
      <c r="E180" s="24"/>
      <c r="F180" s="4" t="s">
        <v>169</v>
      </c>
      <c r="G180" s="7">
        <v>583</v>
      </c>
      <c r="H180" s="7">
        <f t="shared" si="627"/>
        <v>401.09999999999997</v>
      </c>
      <c r="I180" s="7">
        <f t="shared" si="519"/>
        <v>401.09999999999997</v>
      </c>
      <c r="J180" s="7">
        <v>51.4</v>
      </c>
      <c r="K180" s="37">
        <v>57.3</v>
      </c>
      <c r="L180" s="7">
        <f t="shared" si="588"/>
        <v>7</v>
      </c>
      <c r="M180" s="7">
        <f t="shared" si="589"/>
        <v>7</v>
      </c>
      <c r="N180" s="7">
        <f t="shared" si="590"/>
        <v>584.46</v>
      </c>
      <c r="O180" s="7">
        <f t="shared" si="628"/>
        <v>57.3</v>
      </c>
      <c r="P180" s="7">
        <f t="shared" si="591"/>
        <v>56</v>
      </c>
      <c r="Q180" s="7">
        <f t="shared" ref="Q180:Q191" si="630">(7.2-1)*K180</f>
        <v>355.26</v>
      </c>
      <c r="R180" s="7">
        <v>2</v>
      </c>
      <c r="S180" s="7">
        <f t="shared" ref="S180:S184" si="631">2/3*H180-0.5*186</f>
        <v>174.39999999999998</v>
      </c>
      <c r="T180" s="7">
        <f t="shared" si="521"/>
        <v>1.5</v>
      </c>
      <c r="U180" s="7">
        <f t="shared" si="522"/>
        <v>1.5</v>
      </c>
      <c r="V180" s="7">
        <f t="shared" si="517"/>
        <v>4</v>
      </c>
      <c r="W180" s="7">
        <f t="shared" si="517"/>
        <v>4</v>
      </c>
      <c r="X180" s="7">
        <f t="shared" si="523"/>
        <v>5</v>
      </c>
      <c r="Y180" s="7">
        <f t="shared" si="524"/>
        <v>128.12669511073796</v>
      </c>
      <c r="Z180" s="7">
        <f t="shared" si="525"/>
        <v>583</v>
      </c>
      <c r="AA180" s="7">
        <v>25</v>
      </c>
      <c r="AB180" s="7">
        <f>(424+424)/2</f>
        <v>424</v>
      </c>
      <c r="AC180" s="7"/>
      <c r="AD180" s="4">
        <f t="shared" si="526"/>
        <v>1.634175742192578</v>
      </c>
      <c r="AE180" s="7">
        <v>15.9</v>
      </c>
      <c r="AF180" s="7">
        <v>2</v>
      </c>
      <c r="AG180" s="7">
        <v>275</v>
      </c>
      <c r="AH180" s="7">
        <v>4</v>
      </c>
      <c r="AI180" s="7">
        <f>AF180</f>
        <v>2</v>
      </c>
      <c r="AJ180" s="7">
        <f t="shared" si="527"/>
        <v>2.9166666666666665</v>
      </c>
      <c r="AK180" s="4">
        <f t="shared" si="594"/>
        <v>401.09999999999997</v>
      </c>
      <c r="AL180" s="4">
        <f t="shared" si="595"/>
        <v>0.48571428571428582</v>
      </c>
      <c r="AM180" s="4">
        <f t="shared" si="596"/>
        <v>111.66869259763561</v>
      </c>
      <c r="AN180" s="4">
        <f t="shared" si="597"/>
        <v>0.74285714285714277</v>
      </c>
      <c r="AO180" s="4">
        <v>1.25</v>
      </c>
      <c r="AP180" s="4">
        <f t="shared" si="598"/>
        <v>2.5</v>
      </c>
      <c r="AQ180" s="38">
        <f t="shared" si="599"/>
        <v>125.91214828610957</v>
      </c>
      <c r="AR180" s="38">
        <f t="shared" si="600"/>
        <v>125.91214828610957</v>
      </c>
      <c r="AS180" s="38">
        <f t="shared" si="601"/>
        <v>4.107079761979672</v>
      </c>
      <c r="AT180" s="38">
        <f t="shared" si="461"/>
        <v>125.91214828610951</v>
      </c>
      <c r="AU180" s="38">
        <f t="shared" si="406"/>
        <v>1.0000000000000004</v>
      </c>
      <c r="AV180" s="38">
        <f t="shared" si="462"/>
        <v>2.4493268060141764</v>
      </c>
      <c r="AW180" s="4">
        <f t="shared" si="463"/>
        <v>0</v>
      </c>
      <c r="AX180" s="4">
        <f t="shared" si="528"/>
        <v>264.13502800535673</v>
      </c>
      <c r="AY180" s="4">
        <f t="shared" si="529"/>
        <v>1</v>
      </c>
      <c r="AZ180" s="38">
        <f t="shared" si="530"/>
        <v>308.39999999999998</v>
      </c>
      <c r="BA180" s="4">
        <f t="shared" si="531"/>
        <v>0.44000000000000006</v>
      </c>
      <c r="BB180" s="4">
        <f t="shared" si="532"/>
        <v>60.724642938431515</v>
      </c>
      <c r="BC180" s="4">
        <f t="shared" si="533"/>
        <v>369.12464293843152</v>
      </c>
      <c r="BE180" s="4">
        <f t="shared" si="534"/>
        <v>1.201612194511575</v>
      </c>
      <c r="BF180" s="4">
        <f t="shared" si="535"/>
        <v>439.35549522682476</v>
      </c>
      <c r="BH180" s="4">
        <f t="shared" si="536"/>
        <v>295.79331486241767</v>
      </c>
      <c r="BI180" s="4">
        <f t="shared" si="537"/>
        <v>450.3525339151019</v>
      </c>
      <c r="BJ180" s="4">
        <f t="shared" si="538"/>
        <v>1.5225243820151051</v>
      </c>
      <c r="BK180" s="4">
        <f t="shared" si="602"/>
        <v>57.3</v>
      </c>
      <c r="BL180" s="4">
        <f t="shared" si="603"/>
        <v>57.3</v>
      </c>
      <c r="BM180" s="4">
        <f t="shared" si="604"/>
        <v>174.39999999999998</v>
      </c>
      <c r="BN180" s="4">
        <f t="shared" si="605"/>
        <v>85.949999999999989</v>
      </c>
      <c r="BO180" s="4">
        <f t="shared" si="606"/>
        <v>1.2043630017452007</v>
      </c>
      <c r="BP180" s="25">
        <f t="shared" si="607"/>
        <v>2.8575559182412937</v>
      </c>
      <c r="BR180" s="4">
        <f t="shared" si="539"/>
        <v>57.3</v>
      </c>
      <c r="BV180" s="9"/>
      <c r="BX180" s="9"/>
      <c r="BY180" s="9"/>
      <c r="BZ180" s="9">
        <f t="shared" si="540"/>
        <v>56</v>
      </c>
      <c r="CA180" s="9">
        <f t="shared" si="541"/>
        <v>177.63</v>
      </c>
      <c r="CB180" s="9">
        <f t="shared" si="542"/>
        <v>1.1754818988273255</v>
      </c>
      <c r="CC180" s="9">
        <v>20</v>
      </c>
      <c r="CD180" s="9">
        <f t="shared" si="543"/>
        <v>2.5201524313946871E-2</v>
      </c>
      <c r="CE180" s="9">
        <f t="shared" si="544"/>
        <v>0.30403048627893742</v>
      </c>
      <c r="CF180" s="9">
        <f t="shared" si="545"/>
        <v>0.77971450958075206</v>
      </c>
      <c r="CG180" s="9">
        <f t="shared" si="546"/>
        <v>0.87549999999999994</v>
      </c>
      <c r="CH180" s="9">
        <f t="shared" si="547"/>
        <v>1.7129369207551171</v>
      </c>
      <c r="CI180" s="9">
        <f t="shared" si="548"/>
        <v>2.5343113891629807</v>
      </c>
      <c r="CJ180" s="9">
        <v>1</v>
      </c>
      <c r="CK180" s="9">
        <f t="shared" si="549"/>
        <v>223.01940224634231</v>
      </c>
      <c r="CM180" s="4">
        <f t="shared" si="550"/>
        <v>1.6052395746292354</v>
      </c>
      <c r="CN180" s="4">
        <f t="shared" si="551"/>
        <v>1.1486634883673195</v>
      </c>
      <c r="CO180" s="4">
        <f t="shared" si="552"/>
        <v>0.96504995295689378</v>
      </c>
      <c r="CP180" s="4">
        <f t="shared" si="553"/>
        <v>1.9011798782047624</v>
      </c>
      <c r="CQ180" s="4">
        <f t="shared" si="554"/>
        <v>1.634175742192578</v>
      </c>
      <c r="CR180" s="4">
        <f t="shared" si="555"/>
        <v>1.6978913823018422</v>
      </c>
      <c r="CS180" s="4">
        <f t="shared" si="556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632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558"/>
        <v>2</v>
      </c>
      <c r="DI180" s="4">
        <f t="shared" si="559"/>
        <v>401.09999999999997</v>
      </c>
      <c r="DL180" s="4">
        <f t="shared" si="560"/>
        <v>1.4407634115999734E-5</v>
      </c>
      <c r="DM180" s="4">
        <f t="shared" si="561"/>
        <v>5.99454394365008</v>
      </c>
      <c r="DN180" s="4">
        <f t="shared" si="562"/>
        <v>0.30531702664295407</v>
      </c>
      <c r="DO180" s="4">
        <f t="shared" si="563"/>
        <v>3.7295510652218411</v>
      </c>
      <c r="DP180" s="4">
        <f t="shared" si="564"/>
        <v>4.9928720704657401</v>
      </c>
      <c r="DQ180" s="4">
        <f t="shared" si="565"/>
        <v>5.7135776207412556</v>
      </c>
      <c r="DR180" s="38">
        <f t="shared" si="609"/>
        <v>259.45801853056395</v>
      </c>
      <c r="DS180" s="4">
        <f t="shared" si="566"/>
        <v>1.0001267324911889</v>
      </c>
      <c r="DT180" s="4">
        <f t="shared" si="567"/>
        <v>2.2360679774997898</v>
      </c>
      <c r="DU180" s="4">
        <f t="shared" si="568"/>
        <v>125.91214828610951</v>
      </c>
      <c r="DY180" s="4">
        <f t="shared" si="569"/>
        <v>1</v>
      </c>
      <c r="DZ180" s="4">
        <f t="shared" si="570"/>
        <v>1</v>
      </c>
      <c r="EA180" s="4">
        <f t="shared" si="610"/>
        <v>0.9826012170719004</v>
      </c>
      <c r="EB180" s="4">
        <f t="shared" si="571"/>
        <v>0.9826012170719004</v>
      </c>
      <c r="ED180" s="4">
        <f t="shared" si="611"/>
        <v>249.72151011519978</v>
      </c>
      <c r="EE180" s="25">
        <f t="shared" si="612"/>
        <v>123.83608729854809</v>
      </c>
      <c r="EH180" s="4">
        <f t="shared" si="613"/>
        <v>5.99454394365008</v>
      </c>
      <c r="EK180" s="4">
        <f t="shared" si="572"/>
        <v>128.12669511073796</v>
      </c>
      <c r="EL180" s="4">
        <f t="shared" si="573"/>
        <v>2.2360679774997898</v>
      </c>
      <c r="EM180" s="4">
        <f t="shared" si="574"/>
        <v>0.1196927510980095</v>
      </c>
      <c r="EP180" s="4">
        <f t="shared" si="575"/>
        <v>0.1196927510980095</v>
      </c>
      <c r="EQ180" s="4">
        <f t="shared" si="576"/>
        <v>0.30480750942884544</v>
      </c>
      <c r="ER180" s="4">
        <f t="shared" si="577"/>
        <v>3.7270602474690695</v>
      </c>
      <c r="ES180" s="4">
        <f t="shared" si="578"/>
        <v>4.9919452505430089</v>
      </c>
      <c r="ET180" s="4">
        <f t="shared" si="579"/>
        <v>172.69830488926203</v>
      </c>
      <c r="EU180" s="4">
        <f t="shared" si="580"/>
        <v>100.27499999999998</v>
      </c>
      <c r="EV180" s="4">
        <f t="shared" si="581"/>
        <v>1.4407634115999731E-5</v>
      </c>
      <c r="EW180" s="4">
        <f t="shared" si="582"/>
        <v>5.7136596844338339</v>
      </c>
      <c r="EX180" s="4">
        <f t="shared" si="583"/>
        <v>259.42514093617609</v>
      </c>
      <c r="FG180" s="23">
        <f t="shared" si="584"/>
        <v>1.8</v>
      </c>
      <c r="FH180" s="23">
        <f t="shared" si="584"/>
        <v>1.2</v>
      </c>
      <c r="FI180" s="23">
        <f t="shared" si="585"/>
        <v>1.6</v>
      </c>
      <c r="FJ180" s="23">
        <f t="shared" si="586"/>
        <v>2</v>
      </c>
      <c r="FK180" s="23">
        <f t="shared" si="586"/>
        <v>1.8</v>
      </c>
      <c r="FL180" s="23">
        <f t="shared" si="586"/>
        <v>1.8</v>
      </c>
      <c r="FM180" s="23">
        <f t="shared" si="587"/>
        <v>0</v>
      </c>
      <c r="FN180" s="23"/>
      <c r="FX180" s="4">
        <f t="shared" si="422"/>
        <v>1.25</v>
      </c>
      <c r="FY180" s="4">
        <f t="shared" si="513"/>
        <v>0.37067917575318227</v>
      </c>
      <c r="FZ180" s="4">
        <f t="shared" si="423"/>
        <v>0.3</v>
      </c>
      <c r="GA180" s="4">
        <f t="shared" si="424"/>
        <v>268.55480180909814</v>
      </c>
    </row>
    <row r="181" spans="1:183" ht="12" customHeight="1" x14ac:dyDescent="0.3">
      <c r="A181" s="25">
        <v>163</v>
      </c>
      <c r="B181" s="24" t="s">
        <v>128</v>
      </c>
      <c r="C181" s="24">
        <v>2017</v>
      </c>
      <c r="D181" s="24" t="s">
        <v>309</v>
      </c>
      <c r="E181" s="24"/>
      <c r="F181" s="4" t="s">
        <v>170</v>
      </c>
      <c r="G181" s="7">
        <v>583</v>
      </c>
      <c r="H181" s="7">
        <f t="shared" si="627"/>
        <v>401.09999999999997</v>
      </c>
      <c r="I181" s="7">
        <f t="shared" si="519"/>
        <v>401.09999999999997</v>
      </c>
      <c r="J181" s="7">
        <v>76.900000000000006</v>
      </c>
      <c r="K181" s="37">
        <v>57.3</v>
      </c>
      <c r="L181" s="7">
        <f t="shared" si="588"/>
        <v>7</v>
      </c>
      <c r="M181" s="7">
        <f t="shared" si="589"/>
        <v>7</v>
      </c>
      <c r="N181" s="7">
        <f t="shared" si="590"/>
        <v>584.46</v>
      </c>
      <c r="O181" s="7">
        <f t="shared" si="628"/>
        <v>57.3</v>
      </c>
      <c r="P181" s="7">
        <f t="shared" si="591"/>
        <v>56</v>
      </c>
      <c r="Q181" s="7">
        <f t="shared" si="630"/>
        <v>355.26</v>
      </c>
      <c r="R181" s="7">
        <v>2</v>
      </c>
      <c r="S181" s="7">
        <f t="shared" si="631"/>
        <v>174.39999999999998</v>
      </c>
      <c r="T181" s="7">
        <f t="shared" si="521"/>
        <v>1.5</v>
      </c>
      <c r="U181" s="7">
        <f t="shared" si="522"/>
        <v>1.5</v>
      </c>
      <c r="V181" s="7">
        <f t="shared" si="517"/>
        <v>4</v>
      </c>
      <c r="W181" s="7">
        <f t="shared" si="517"/>
        <v>4</v>
      </c>
      <c r="X181" s="7">
        <f t="shared" si="523"/>
        <v>5</v>
      </c>
      <c r="Y181" s="7">
        <f t="shared" si="524"/>
        <v>128.12669511073796</v>
      </c>
      <c r="Z181" s="7">
        <f t="shared" si="525"/>
        <v>583</v>
      </c>
      <c r="AA181" s="7">
        <v>25</v>
      </c>
      <c r="AB181" s="7">
        <f>(405+388)/2</f>
        <v>396.5</v>
      </c>
      <c r="AC181" s="7"/>
      <c r="AD181" s="4">
        <f t="shared" si="526"/>
        <v>1.2828934748820127</v>
      </c>
      <c r="AE181" s="7">
        <v>0</v>
      </c>
      <c r="AF181" s="7">
        <v>0</v>
      </c>
      <c r="AG181" s="7">
        <f>I181</f>
        <v>401.09999999999997</v>
      </c>
      <c r="AH181" s="7"/>
      <c r="AI181" s="7"/>
      <c r="AJ181" s="7">
        <f t="shared" si="527"/>
        <v>2.9166666666666665</v>
      </c>
      <c r="AK181" s="4">
        <f t="shared" si="594"/>
        <v>401.09999999999997</v>
      </c>
      <c r="AL181" s="4">
        <f t="shared" si="595"/>
        <v>0.48571428571428582</v>
      </c>
      <c r="AM181" s="4">
        <f t="shared" si="596"/>
        <v>136.58815600212856</v>
      </c>
      <c r="AN181" s="4">
        <f t="shared" si="597"/>
        <v>0.74285714285714277</v>
      </c>
      <c r="AO181" s="4">
        <v>1.25</v>
      </c>
      <c r="AP181" s="4">
        <f t="shared" si="598"/>
        <v>2.5</v>
      </c>
      <c r="AQ181" s="38">
        <f t="shared" si="599"/>
        <v>154.01011467586949</v>
      </c>
      <c r="AR181" s="38">
        <f t="shared" si="600"/>
        <v>154.01011467586949</v>
      </c>
      <c r="AS181" s="38">
        <f t="shared" si="601"/>
        <v>4.7705058587582929</v>
      </c>
      <c r="AT181" s="38">
        <f t="shared" si="461"/>
        <v>154.01011467586937</v>
      </c>
      <c r="AU181" s="38">
        <f t="shared" si="406"/>
        <v>1.0000000000000007</v>
      </c>
      <c r="AV181" s="38">
        <f t="shared" si="462"/>
        <v>2.9959071257823897</v>
      </c>
      <c r="AW181" s="4">
        <f t="shared" si="463"/>
        <v>0</v>
      </c>
      <c r="AX181" s="4">
        <f t="shared" si="528"/>
        <v>323.0781660605395</v>
      </c>
      <c r="AY181" s="4">
        <f t="shared" si="529"/>
        <v>1</v>
      </c>
      <c r="AZ181" s="38">
        <f t="shared" si="530"/>
        <v>461.40000000000003</v>
      </c>
      <c r="BA181" s="4">
        <f t="shared" si="531"/>
        <v>0.44000000000000006</v>
      </c>
      <c r="BB181" s="4">
        <f t="shared" si="532"/>
        <v>74.275670377318036</v>
      </c>
      <c r="BC181" s="4">
        <f t="shared" si="533"/>
        <v>535.67567037731806</v>
      </c>
      <c r="BE181" s="4">
        <f t="shared" si="534"/>
        <v>1</v>
      </c>
      <c r="BF181" s="4">
        <f t="shared" si="535"/>
        <v>447.2324898752326</v>
      </c>
      <c r="BH181" s="4">
        <f t="shared" si="536"/>
        <v>442.53902554318915</v>
      </c>
      <c r="BI181" s="4">
        <f t="shared" si="537"/>
        <v>450.3525339151019</v>
      </c>
      <c r="BJ181" s="4">
        <f t="shared" si="538"/>
        <v>1.0176560888891599</v>
      </c>
      <c r="BK181" s="4">
        <f t="shared" si="602"/>
        <v>57.3</v>
      </c>
      <c r="BL181" s="4">
        <f t="shared" si="603"/>
        <v>57.3</v>
      </c>
      <c r="BM181" s="4">
        <f t="shared" si="604"/>
        <v>174.39999999999998</v>
      </c>
      <c r="BN181" s="4">
        <f t="shared" si="605"/>
        <v>85.949999999999989</v>
      </c>
      <c r="BO181" s="4">
        <f t="shared" si="606"/>
        <v>1.2043630017452007</v>
      </c>
      <c r="BP181" s="25">
        <f t="shared" si="607"/>
        <v>1.8065445026178009</v>
      </c>
      <c r="BR181" s="4">
        <f t="shared" si="539"/>
        <v>57.3</v>
      </c>
      <c r="BV181" s="9"/>
      <c r="BX181" s="9"/>
      <c r="BY181" s="9"/>
      <c r="BZ181" s="9">
        <f t="shared" si="540"/>
        <v>56</v>
      </c>
      <c r="CA181" s="9">
        <f t="shared" si="541"/>
        <v>177.63</v>
      </c>
      <c r="CB181" s="9">
        <f t="shared" si="542"/>
        <v>1.1754818988273255</v>
      </c>
      <c r="CC181" s="9">
        <v>0</v>
      </c>
      <c r="CD181" s="9">
        <f t="shared" si="543"/>
        <v>0</v>
      </c>
      <c r="CE181" s="9">
        <f t="shared" si="544"/>
        <v>0</v>
      </c>
      <c r="CF181" s="9">
        <f t="shared" si="545"/>
        <v>0.77971450958075206</v>
      </c>
      <c r="CG181" s="9">
        <f t="shared" si="546"/>
        <v>0.87549999999999994</v>
      </c>
      <c r="CH181" s="9">
        <f t="shared" si="547"/>
        <v>2.0951879162491376</v>
      </c>
      <c r="CI181" s="9">
        <f t="shared" si="548"/>
        <v>2.4628554701926038</v>
      </c>
      <c r="CJ181" s="9">
        <v>1</v>
      </c>
      <c r="CK181" s="9">
        <f t="shared" si="549"/>
        <v>216.73128137694914</v>
      </c>
      <c r="CM181" s="4">
        <f t="shared" si="550"/>
        <v>1.2272571830982304</v>
      </c>
      <c r="CN181" s="4">
        <f t="shared" si="551"/>
        <v>0.74018668744226179</v>
      </c>
      <c r="CO181" s="4">
        <f t="shared" si="552"/>
        <v>0.88656349656218902</v>
      </c>
      <c r="CP181" s="4">
        <f t="shared" si="553"/>
        <v>1.8294544169209646</v>
      </c>
      <c r="CQ181" s="4">
        <f t="shared" si="554"/>
        <v>1.2828934748820127</v>
      </c>
      <c r="CR181" s="4">
        <f t="shared" si="555"/>
        <v>1.3095784928162608</v>
      </c>
      <c r="CS181" s="4">
        <f t="shared" si="556"/>
        <v>1.9447556217215154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633">CS181</f>
        <v>1.9447556217215154</v>
      </c>
      <c r="CY181" s="4">
        <f>CQ181</f>
        <v>1.2828934748820127</v>
      </c>
      <c r="CZ181" s="4">
        <f>CR181</f>
        <v>1.3095784928162608</v>
      </c>
      <c r="DH181" s="4">
        <f t="shared" si="558"/>
        <v>0</v>
      </c>
      <c r="DI181" s="4">
        <f t="shared" si="559"/>
        <v>401.09999999999997</v>
      </c>
      <c r="DL181" s="4">
        <f t="shared" si="560"/>
        <v>1.6837038197690092E-5</v>
      </c>
      <c r="DM181" s="4">
        <f t="shared" si="561"/>
        <v>7.2046859751136969</v>
      </c>
      <c r="DN181" s="4">
        <f t="shared" si="562"/>
        <v>0.24961427250313586</v>
      </c>
      <c r="DO181" s="4">
        <f t="shared" si="563"/>
        <v>4.1354504528865519</v>
      </c>
      <c r="DP181" s="4">
        <f t="shared" si="564"/>
        <v>5.875472052633139</v>
      </c>
      <c r="DQ181" s="4">
        <f t="shared" si="565"/>
        <v>6.7478813180619772</v>
      </c>
      <c r="DR181" s="38">
        <f t="shared" si="609"/>
        <v>309.0669706901939</v>
      </c>
      <c r="DS181" s="4">
        <f t="shared" si="566"/>
        <v>1.0001148015514811</v>
      </c>
      <c r="DT181" s="4">
        <f t="shared" si="567"/>
        <v>2.2360679774997898</v>
      </c>
      <c r="DU181" s="4">
        <f t="shared" si="568"/>
        <v>154.01011467586937</v>
      </c>
      <c r="DY181" s="4">
        <f t="shared" si="569"/>
        <v>1</v>
      </c>
      <c r="DZ181" s="4">
        <f t="shared" si="570"/>
        <v>1</v>
      </c>
      <c r="EA181" s="4">
        <f t="shared" si="610"/>
        <v>1</v>
      </c>
      <c r="EB181" s="4">
        <f t="shared" si="571"/>
        <v>1</v>
      </c>
      <c r="ED181" s="4">
        <f t="shared" si="611"/>
        <v>302.76917510100753</v>
      </c>
      <c r="EE181" s="25">
        <f t="shared" si="612"/>
        <v>151.4707696236199</v>
      </c>
      <c r="EH181" s="4">
        <f t="shared" si="613"/>
        <v>7.2046859751136969</v>
      </c>
      <c r="EK181" s="4">
        <f t="shared" si="572"/>
        <v>128.12669511073796</v>
      </c>
      <c r="EL181" s="4">
        <f t="shared" si="573"/>
        <v>2.2360679774997898</v>
      </c>
      <c r="EM181" s="4">
        <f t="shared" si="574"/>
        <v>0.11969275109800948</v>
      </c>
      <c r="EP181" s="4">
        <f t="shared" si="575"/>
        <v>0.11969275109800948</v>
      </c>
      <c r="EQ181" s="4">
        <f t="shared" si="576"/>
        <v>0.24919771280410444</v>
      </c>
      <c r="ER181" s="4">
        <f t="shared" si="577"/>
        <v>4.1326885511928575</v>
      </c>
      <c r="ES181" s="4">
        <f t="shared" si="578"/>
        <v>5.8745058887859321</v>
      </c>
      <c r="ET181" s="4">
        <f t="shared" si="579"/>
        <v>172.69830488926203</v>
      </c>
      <c r="EU181" s="4">
        <f t="shared" si="580"/>
        <v>100.27499999999998</v>
      </c>
      <c r="EV181" s="4">
        <f t="shared" si="581"/>
        <v>1.6837038197690092E-5</v>
      </c>
      <c r="EW181" s="4">
        <f t="shared" si="582"/>
        <v>6.7480061342721207</v>
      </c>
      <c r="EX181" s="4">
        <f t="shared" si="583"/>
        <v>309.03149339529557</v>
      </c>
      <c r="FG181" s="23">
        <f t="shared" si="584"/>
        <v>1.4</v>
      </c>
      <c r="FH181" s="23">
        <f t="shared" si="584"/>
        <v>0.8</v>
      </c>
      <c r="FI181" s="23">
        <f t="shared" si="585"/>
        <v>2</v>
      </c>
      <c r="FJ181" s="23">
        <f t="shared" si="586"/>
        <v>2</v>
      </c>
      <c r="FK181" s="23">
        <f t="shared" si="586"/>
        <v>1.4</v>
      </c>
      <c r="FL181" s="23">
        <f t="shared" si="586"/>
        <v>1.4</v>
      </c>
      <c r="FM181" s="23">
        <f t="shared" si="587"/>
        <v>0</v>
      </c>
      <c r="FN181" s="23"/>
      <c r="FX181" s="4">
        <f t="shared" si="422"/>
        <v>1.25</v>
      </c>
      <c r="FY181" s="4">
        <f t="shared" si="513"/>
        <v>0.54</v>
      </c>
      <c r="FZ181" s="4">
        <f t="shared" si="423"/>
        <v>0</v>
      </c>
      <c r="GA181" s="4">
        <f t="shared" si="424"/>
        <v>203.88165771132446</v>
      </c>
    </row>
    <row r="182" spans="1:183" ht="12" customHeight="1" x14ac:dyDescent="0.3">
      <c r="A182" s="25">
        <v>164</v>
      </c>
      <c r="B182" s="24" t="s">
        <v>128</v>
      </c>
      <c r="C182" s="24">
        <v>2017</v>
      </c>
      <c r="D182" s="24" t="s">
        <v>309</v>
      </c>
      <c r="E182" s="24"/>
      <c r="F182" s="4" t="s">
        <v>171</v>
      </c>
      <c r="G182" s="7">
        <v>583</v>
      </c>
      <c r="H182" s="7">
        <f>10*K182</f>
        <v>573</v>
      </c>
      <c r="I182" s="7">
        <f t="shared" si="519"/>
        <v>573</v>
      </c>
      <c r="J182" s="7">
        <v>51.4</v>
      </c>
      <c r="K182" s="37">
        <v>57.3</v>
      </c>
      <c r="L182" s="7">
        <f t="shared" si="588"/>
        <v>10</v>
      </c>
      <c r="M182" s="7">
        <f t="shared" si="589"/>
        <v>10</v>
      </c>
      <c r="N182" s="7">
        <f t="shared" si="590"/>
        <v>584.46</v>
      </c>
      <c r="O182" s="7">
        <f t="shared" si="628"/>
        <v>57.3</v>
      </c>
      <c r="P182" s="7">
        <f t="shared" si="591"/>
        <v>56</v>
      </c>
      <c r="Q182" s="7">
        <f t="shared" si="630"/>
        <v>355.26</v>
      </c>
      <c r="R182" s="7">
        <v>2</v>
      </c>
      <c r="S182" s="7">
        <f t="shared" si="631"/>
        <v>289</v>
      </c>
      <c r="T182" s="7">
        <f t="shared" si="521"/>
        <v>1.5</v>
      </c>
      <c r="U182" s="7">
        <f t="shared" si="522"/>
        <v>1.5</v>
      </c>
      <c r="V182" s="7">
        <f t="shared" si="517"/>
        <v>4</v>
      </c>
      <c r="W182" s="7">
        <f t="shared" si="517"/>
        <v>4</v>
      </c>
      <c r="X182" s="7">
        <f t="shared" si="523"/>
        <v>5</v>
      </c>
      <c r="Y182" s="7">
        <f t="shared" si="524"/>
        <v>128.12669511073796</v>
      </c>
      <c r="Z182" s="7">
        <f t="shared" si="525"/>
        <v>583</v>
      </c>
      <c r="AA182" s="7">
        <v>25</v>
      </c>
      <c r="AB182" s="7">
        <f>(354+380)/2</f>
        <v>367</v>
      </c>
      <c r="AC182" s="7"/>
      <c r="AD182" s="4">
        <f t="shared" si="526"/>
        <v>1.0755836101514773</v>
      </c>
      <c r="AE182" s="7">
        <v>0</v>
      </c>
      <c r="AF182" s="7">
        <v>0</v>
      </c>
      <c r="AG182" s="7">
        <f>I182</f>
        <v>573</v>
      </c>
      <c r="AH182" s="7"/>
      <c r="AI182" s="7"/>
      <c r="AJ182" s="7">
        <f t="shared" si="527"/>
        <v>4.166666666666667</v>
      </c>
      <c r="AK182" s="4">
        <f t="shared" si="594"/>
        <v>573</v>
      </c>
      <c r="AL182" s="4">
        <f t="shared" si="595"/>
        <v>0.34</v>
      </c>
      <c r="AM182" s="4">
        <f t="shared" si="596"/>
        <v>190.67088022808852</v>
      </c>
      <c r="AN182" s="4">
        <f t="shared" si="597"/>
        <v>0.73</v>
      </c>
      <c r="AO182" s="4">
        <v>1.25</v>
      </c>
      <c r="AP182" s="4">
        <f t="shared" si="598"/>
        <v>2.5</v>
      </c>
      <c r="AQ182" s="38">
        <f t="shared" si="599"/>
        <v>147.88910147691115</v>
      </c>
      <c r="AR182" s="38">
        <f t="shared" si="600"/>
        <v>147.88910147691115</v>
      </c>
      <c r="AS182" s="38">
        <f t="shared" si="601"/>
        <v>4.107079761979672</v>
      </c>
      <c r="AT182" s="38">
        <f t="shared" si="461"/>
        <v>147.88910147691104</v>
      </c>
      <c r="AU182" s="38">
        <f t="shared" si="406"/>
        <v>1.0000000000000007</v>
      </c>
      <c r="AV182" s="38">
        <f t="shared" si="462"/>
        <v>2.0853463637288274</v>
      </c>
      <c r="AW182" s="4">
        <f t="shared" si="463"/>
        <v>0</v>
      </c>
      <c r="AX182" s="4">
        <f t="shared" si="528"/>
        <v>377.33575429336673</v>
      </c>
      <c r="AY182" s="4">
        <f t="shared" si="529"/>
        <v>1</v>
      </c>
      <c r="AZ182" s="38">
        <f t="shared" si="530"/>
        <v>308.39999999999998</v>
      </c>
      <c r="BA182" s="4">
        <f t="shared" si="531"/>
        <v>0.44000000000000006</v>
      </c>
      <c r="BB182" s="4">
        <f t="shared" si="532"/>
        <v>86.749489912045021</v>
      </c>
      <c r="BC182" s="4">
        <f t="shared" si="533"/>
        <v>395.149489912045</v>
      </c>
      <c r="BE182" s="4">
        <f t="shared" si="534"/>
        <v>1</v>
      </c>
      <c r="BF182" s="4">
        <f t="shared" si="535"/>
        <v>430.16275989443812</v>
      </c>
      <c r="BH182" s="4">
        <f t="shared" si="536"/>
        <v>295.79331486241767</v>
      </c>
      <c r="BI182" s="4">
        <f t="shared" si="537"/>
        <v>450.3525339151019</v>
      </c>
      <c r="BJ182" s="4">
        <f t="shared" si="538"/>
        <v>1.5225243820151051</v>
      </c>
      <c r="BK182" s="4">
        <f t="shared" si="602"/>
        <v>57.3</v>
      </c>
      <c r="BL182" s="4">
        <f t="shared" si="603"/>
        <v>57.3</v>
      </c>
      <c r="BM182" s="4">
        <f t="shared" si="604"/>
        <v>289</v>
      </c>
      <c r="BN182" s="4">
        <f t="shared" si="605"/>
        <v>85.949999999999989</v>
      </c>
      <c r="BO182" s="4">
        <f t="shared" si="606"/>
        <v>1.25</v>
      </c>
      <c r="BP182" s="25">
        <f t="shared" si="607"/>
        <v>1.8749999999999998</v>
      </c>
      <c r="BR182" s="4">
        <f t="shared" si="539"/>
        <v>57.3</v>
      </c>
      <c r="BV182" s="9"/>
      <c r="BX182" s="9"/>
      <c r="BY182" s="9"/>
      <c r="BZ182" s="9">
        <f t="shared" si="540"/>
        <v>56</v>
      </c>
      <c r="CA182" s="9">
        <f t="shared" si="541"/>
        <v>177.63</v>
      </c>
      <c r="CB182" s="9">
        <f t="shared" si="542"/>
        <v>1.1754818988273255</v>
      </c>
      <c r="CC182" s="9">
        <v>0</v>
      </c>
      <c r="CD182" s="9">
        <f t="shared" si="543"/>
        <v>0</v>
      </c>
      <c r="CE182" s="9">
        <f t="shared" si="544"/>
        <v>0</v>
      </c>
      <c r="CF182" s="9">
        <f t="shared" si="545"/>
        <v>0.77971450958075206</v>
      </c>
      <c r="CG182" s="9">
        <f t="shared" si="546"/>
        <v>0.87549999999999994</v>
      </c>
      <c r="CH182" s="9">
        <f t="shared" si="547"/>
        <v>1.7129369207551171</v>
      </c>
      <c r="CI182" s="9">
        <f t="shared" si="548"/>
        <v>2.013526344180657</v>
      </c>
      <c r="CJ182" s="9">
        <v>1</v>
      </c>
      <c r="CK182" s="9">
        <f t="shared" si="549"/>
        <v>201.35263441806569</v>
      </c>
      <c r="CM182" s="4">
        <f t="shared" si="550"/>
        <v>0.97260860076002498</v>
      </c>
      <c r="CN182" s="4">
        <f t="shared" si="551"/>
        <v>0.92876242882583326</v>
      </c>
      <c r="CO182" s="4">
        <f t="shared" si="552"/>
        <v>0.85316543926317967</v>
      </c>
      <c r="CP182" s="4">
        <f t="shared" si="553"/>
        <v>1.8226729491803071</v>
      </c>
      <c r="CQ182" s="4">
        <f t="shared" si="554"/>
        <v>1.0755836101514773</v>
      </c>
      <c r="CR182" s="4">
        <f t="shared" si="555"/>
        <v>1.1362985571149462</v>
      </c>
      <c r="CS182" s="4">
        <f t="shared" si="556"/>
        <v>1.3935634697003241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633"/>
        <v>1.3935634697003241</v>
      </c>
      <c r="CY182" s="4">
        <f>CQ182</f>
        <v>1.0755836101514773</v>
      </c>
      <c r="CZ182" s="4">
        <f>CR182</f>
        <v>1.1362985571149462</v>
      </c>
      <c r="DH182" s="4">
        <f t="shared" si="558"/>
        <v>0</v>
      </c>
      <c r="DI182" s="4">
        <f t="shared" si="559"/>
        <v>573</v>
      </c>
      <c r="DL182" s="4">
        <f t="shared" si="560"/>
        <v>2.0582334451428195E-5</v>
      </c>
      <c r="DM182" s="4">
        <f t="shared" si="561"/>
        <v>5.8902461748215584</v>
      </c>
      <c r="DN182" s="4">
        <f t="shared" si="562"/>
        <v>0.35860765899432934</v>
      </c>
      <c r="DO182" s="4">
        <f t="shared" si="563"/>
        <v>3.9082404040937933</v>
      </c>
      <c r="DP182" s="4">
        <f t="shared" si="564"/>
        <v>4.9988583382791711</v>
      </c>
      <c r="DQ182" s="4">
        <f t="shared" si="565"/>
        <v>5.3110039929911856</v>
      </c>
      <c r="DR182" s="38">
        <f t="shared" si="609"/>
        <v>341.21010820192248</v>
      </c>
      <c r="DS182" s="4">
        <f t="shared" si="566"/>
        <v>1.0001267681888111</v>
      </c>
      <c r="DT182" s="4">
        <f t="shared" si="567"/>
        <v>2.2360679774997898</v>
      </c>
      <c r="DU182" s="4">
        <f t="shared" si="568"/>
        <v>147.88910147691104</v>
      </c>
      <c r="DY182" s="4">
        <f t="shared" si="569"/>
        <v>1</v>
      </c>
      <c r="DZ182" s="4">
        <f t="shared" si="570"/>
        <v>1</v>
      </c>
      <c r="EA182" s="4">
        <f t="shared" si="610"/>
        <v>1</v>
      </c>
      <c r="EB182" s="4">
        <f t="shared" si="571"/>
        <v>1</v>
      </c>
      <c r="ED182" s="4">
        <f t="shared" si="611"/>
        <v>322.97849689417046</v>
      </c>
      <c r="EE182" s="25">
        <f t="shared" si="612"/>
        <v>146.27111164952376</v>
      </c>
      <c r="EH182" s="4">
        <f t="shared" si="613"/>
        <v>5.8902461748215584</v>
      </c>
      <c r="EK182" s="4">
        <f t="shared" si="572"/>
        <v>128.12669511073796</v>
      </c>
      <c r="EL182" s="4">
        <f t="shared" si="573"/>
        <v>2.2360679774997898</v>
      </c>
      <c r="EM182" s="4">
        <f t="shared" si="574"/>
        <v>0.14058415851154979</v>
      </c>
      <c r="EP182" s="4">
        <f t="shared" si="575"/>
        <v>0.14058415851154979</v>
      </c>
      <c r="EQ182" s="4">
        <f t="shared" si="576"/>
        <v>0.3580092096468499</v>
      </c>
      <c r="ER182" s="4">
        <f t="shared" si="577"/>
        <v>3.9056302468897819</v>
      </c>
      <c r="ES182" s="4">
        <f t="shared" si="578"/>
        <v>4.9978404724563692</v>
      </c>
      <c r="ET182" s="4">
        <f t="shared" si="579"/>
        <v>301.62330488926204</v>
      </c>
      <c r="EU182" s="4">
        <f t="shared" si="580"/>
        <v>143.25</v>
      </c>
      <c r="EV182" s="4">
        <f t="shared" si="581"/>
        <v>2.0582334451428195E-5</v>
      </c>
      <c r="EW182" s="4">
        <f t="shared" si="582"/>
        <v>5.3111568686859387</v>
      </c>
      <c r="EX182" s="4">
        <f t="shared" si="583"/>
        <v>341.16685909711236</v>
      </c>
      <c r="FG182" s="23">
        <f t="shared" si="584"/>
        <v>1</v>
      </c>
      <c r="FH182" s="23">
        <f t="shared" si="584"/>
        <v>1</v>
      </c>
      <c r="FI182" s="23">
        <f t="shared" si="585"/>
        <v>1.4</v>
      </c>
      <c r="FJ182" s="23">
        <f t="shared" si="586"/>
        <v>2</v>
      </c>
      <c r="FK182" s="23">
        <f t="shared" si="586"/>
        <v>1.2</v>
      </c>
      <c r="FL182" s="23">
        <f t="shared" si="586"/>
        <v>1.2</v>
      </c>
      <c r="FM182" s="23">
        <f t="shared" si="587"/>
        <v>0</v>
      </c>
      <c r="FN182" s="23"/>
      <c r="FX182" s="4">
        <f t="shared" si="422"/>
        <v>1.25</v>
      </c>
      <c r="FY182" s="4">
        <f t="shared" si="513"/>
        <v>0.54</v>
      </c>
      <c r="FZ182" s="4">
        <f t="shared" si="423"/>
        <v>0</v>
      </c>
      <c r="GA182" s="4">
        <f t="shared" si="424"/>
        <v>263.35363116178752</v>
      </c>
    </row>
    <row r="183" spans="1:183" ht="12" customHeight="1" x14ac:dyDescent="0.3">
      <c r="A183" s="25">
        <v>165</v>
      </c>
      <c r="B183" s="24" t="s">
        <v>128</v>
      </c>
      <c r="C183" s="24">
        <v>2017</v>
      </c>
      <c r="D183" s="24" t="s">
        <v>309</v>
      </c>
      <c r="E183" s="24"/>
      <c r="F183" s="4" t="s">
        <v>172</v>
      </c>
      <c r="G183" s="7">
        <v>583</v>
      </c>
      <c r="H183" s="7">
        <f t="shared" ref="H183:H184" si="634">10*K183</f>
        <v>573</v>
      </c>
      <c r="I183" s="7">
        <f t="shared" si="519"/>
        <v>573</v>
      </c>
      <c r="J183" s="7">
        <v>51.4</v>
      </c>
      <c r="K183" s="37">
        <v>57.3</v>
      </c>
      <c r="L183" s="7">
        <f t="shared" si="588"/>
        <v>10</v>
      </c>
      <c r="M183" s="7">
        <f t="shared" si="589"/>
        <v>10</v>
      </c>
      <c r="N183" s="7">
        <f t="shared" si="590"/>
        <v>584.46</v>
      </c>
      <c r="O183" s="7">
        <f t="shared" si="628"/>
        <v>57.3</v>
      </c>
      <c r="P183" s="7">
        <f t="shared" si="591"/>
        <v>56</v>
      </c>
      <c r="Q183" s="7">
        <f t="shared" si="630"/>
        <v>355.26</v>
      </c>
      <c r="R183" s="7">
        <v>2</v>
      </c>
      <c r="S183" s="7">
        <f t="shared" si="631"/>
        <v>289</v>
      </c>
      <c r="T183" s="7">
        <f t="shared" si="521"/>
        <v>1.5</v>
      </c>
      <c r="U183" s="7">
        <f t="shared" si="522"/>
        <v>1.5</v>
      </c>
      <c r="V183" s="7">
        <f t="shared" si="517"/>
        <v>4</v>
      </c>
      <c r="W183" s="7">
        <f t="shared" si="517"/>
        <v>4</v>
      </c>
      <c r="X183" s="7">
        <f t="shared" si="523"/>
        <v>5</v>
      </c>
      <c r="Y183" s="7">
        <f t="shared" si="524"/>
        <v>128.12669511073796</v>
      </c>
      <c r="Z183" s="7">
        <f t="shared" si="525"/>
        <v>583</v>
      </c>
      <c r="AA183" s="7">
        <v>25</v>
      </c>
      <c r="AB183" s="7">
        <f>(470+475)/2</f>
        <v>472.5</v>
      </c>
      <c r="AC183" s="7"/>
      <c r="AD183" s="4">
        <f t="shared" si="526"/>
        <v>1.3714309698264442</v>
      </c>
      <c r="AE183" s="7">
        <v>15.9</v>
      </c>
      <c r="AF183" s="7">
        <v>2</v>
      </c>
      <c r="AG183" s="7">
        <v>275</v>
      </c>
      <c r="AH183" s="7">
        <v>4</v>
      </c>
      <c r="AI183" s="7">
        <f>AF183</f>
        <v>2</v>
      </c>
      <c r="AJ183" s="7">
        <f t="shared" si="527"/>
        <v>4.166666666666667</v>
      </c>
      <c r="AK183" s="4">
        <f t="shared" si="594"/>
        <v>573</v>
      </c>
      <c r="AL183" s="4">
        <f t="shared" si="595"/>
        <v>0.34</v>
      </c>
      <c r="AM183" s="4">
        <f t="shared" si="596"/>
        <v>190.67088022808852</v>
      </c>
      <c r="AN183" s="4">
        <f t="shared" si="597"/>
        <v>0.73</v>
      </c>
      <c r="AO183" s="4">
        <v>1.25</v>
      </c>
      <c r="AP183" s="4">
        <f t="shared" si="598"/>
        <v>2.5</v>
      </c>
      <c r="AQ183" s="38">
        <f t="shared" si="599"/>
        <v>147.88910147691115</v>
      </c>
      <c r="AR183" s="38">
        <f t="shared" si="600"/>
        <v>147.88910147691115</v>
      </c>
      <c r="AS183" s="38">
        <f t="shared" si="601"/>
        <v>4.107079761979672</v>
      </c>
      <c r="AT183" s="38">
        <f t="shared" si="461"/>
        <v>147.88910147691104</v>
      </c>
      <c r="AU183" s="38">
        <f t="shared" si="406"/>
        <v>1.0000000000000007</v>
      </c>
      <c r="AV183" s="38">
        <f t="shared" si="462"/>
        <v>2.0853463637288274</v>
      </c>
      <c r="AW183" s="4">
        <f t="shared" si="463"/>
        <v>0</v>
      </c>
      <c r="AX183" s="4">
        <f t="shared" si="528"/>
        <v>377.33575429336673</v>
      </c>
      <c r="AY183" s="4">
        <f t="shared" si="529"/>
        <v>1</v>
      </c>
      <c r="AZ183" s="38">
        <f t="shared" si="530"/>
        <v>308.39999999999998</v>
      </c>
      <c r="BA183" s="4">
        <f t="shared" si="531"/>
        <v>0.44000000000000006</v>
      </c>
      <c r="BB183" s="4">
        <f t="shared" si="532"/>
        <v>86.749489912045021</v>
      </c>
      <c r="BC183" s="4">
        <f t="shared" si="533"/>
        <v>395.149489912045</v>
      </c>
      <c r="BE183" s="4">
        <f t="shared" si="534"/>
        <v>1.201612194511575</v>
      </c>
      <c r="BF183" s="4">
        <f t="shared" si="535"/>
        <v>516.88881791391145</v>
      </c>
      <c r="BH183" s="4">
        <f t="shared" si="536"/>
        <v>295.79331486241767</v>
      </c>
      <c r="BI183" s="4">
        <f t="shared" si="537"/>
        <v>450.3525339151019</v>
      </c>
      <c r="BJ183" s="4">
        <f t="shared" si="538"/>
        <v>1.5225243820151051</v>
      </c>
      <c r="BK183" s="4">
        <f t="shared" si="602"/>
        <v>57.3</v>
      </c>
      <c r="BL183" s="4">
        <f t="shared" si="603"/>
        <v>57.3</v>
      </c>
      <c r="BM183" s="4">
        <f t="shared" si="604"/>
        <v>289</v>
      </c>
      <c r="BN183" s="4">
        <f t="shared" si="605"/>
        <v>85.949999999999989</v>
      </c>
      <c r="BO183" s="4">
        <f t="shared" si="606"/>
        <v>1.25</v>
      </c>
      <c r="BP183" s="25">
        <f t="shared" si="607"/>
        <v>2.9260114156234924</v>
      </c>
      <c r="BR183" s="4">
        <f t="shared" si="539"/>
        <v>57.3</v>
      </c>
      <c r="BV183" s="9"/>
      <c r="BX183" s="9"/>
      <c r="BY183" s="9"/>
      <c r="BZ183" s="9">
        <f t="shared" si="540"/>
        <v>56</v>
      </c>
      <c r="CA183" s="9">
        <f t="shared" si="541"/>
        <v>177.63</v>
      </c>
      <c r="CB183" s="9">
        <f t="shared" si="542"/>
        <v>1.1754818988273255</v>
      </c>
      <c r="CC183" s="9">
        <v>20</v>
      </c>
      <c r="CD183" s="9">
        <f t="shared" si="543"/>
        <v>2.5201524313946871E-2</v>
      </c>
      <c r="CE183" s="9">
        <f t="shared" si="544"/>
        <v>0.30403048627893742</v>
      </c>
      <c r="CF183" s="9">
        <f t="shared" si="545"/>
        <v>0.77971450958075206</v>
      </c>
      <c r="CG183" s="9">
        <f t="shared" si="546"/>
        <v>0.87549999999999994</v>
      </c>
      <c r="CH183" s="9">
        <f t="shared" si="547"/>
        <v>1.7129369207551171</v>
      </c>
      <c r="CI183" s="9">
        <f t="shared" si="548"/>
        <v>2.5343113891629807</v>
      </c>
      <c r="CJ183" s="9">
        <v>1</v>
      </c>
      <c r="CK183" s="9">
        <f t="shared" si="549"/>
        <v>253.43113891629807</v>
      </c>
      <c r="CM183" s="4">
        <f t="shared" si="550"/>
        <v>1.2522004464825935</v>
      </c>
      <c r="CN183" s="4">
        <f t="shared" si="551"/>
        <v>1.1957499935155482</v>
      </c>
      <c r="CO183" s="4">
        <f t="shared" si="552"/>
        <v>0.91412308338752946</v>
      </c>
      <c r="CP183" s="4">
        <f t="shared" si="553"/>
        <v>1.8644117767866515</v>
      </c>
      <c r="CQ183" s="4">
        <f t="shared" si="554"/>
        <v>1.3714309698264442</v>
      </c>
      <c r="CR183" s="4">
        <f t="shared" si="555"/>
        <v>1.4489090299456451</v>
      </c>
      <c r="CS183" s="4">
        <f t="shared" si="556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635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558"/>
        <v>2</v>
      </c>
      <c r="DI183" s="4">
        <f t="shared" si="559"/>
        <v>573</v>
      </c>
      <c r="DL183" s="4">
        <f t="shared" si="560"/>
        <v>2.0582334451428195E-5</v>
      </c>
      <c r="DM183" s="4">
        <f t="shared" si="561"/>
        <v>5.99454394365008</v>
      </c>
      <c r="DN183" s="4">
        <f t="shared" si="562"/>
        <v>0.35860765899432934</v>
      </c>
      <c r="DO183" s="4">
        <f t="shared" si="563"/>
        <v>3.9774430727250092</v>
      </c>
      <c r="DP183" s="4">
        <f t="shared" si="564"/>
        <v>5.0873724268075948</v>
      </c>
      <c r="DQ183" s="4">
        <f t="shared" si="565"/>
        <v>5.3947883136519268</v>
      </c>
      <c r="DR183" s="38">
        <f t="shared" si="609"/>
        <v>344.53064747385378</v>
      </c>
      <c r="DS183" s="4">
        <f t="shared" si="566"/>
        <v>1.0001276909834023</v>
      </c>
      <c r="DT183" s="4">
        <f t="shared" si="567"/>
        <v>2.2360679774997898</v>
      </c>
      <c r="DU183" s="4">
        <f t="shared" si="568"/>
        <v>147.88910147691104</v>
      </c>
      <c r="DY183" s="4">
        <f t="shared" si="569"/>
        <v>1</v>
      </c>
      <c r="DZ183" s="4">
        <f t="shared" si="570"/>
        <v>1</v>
      </c>
      <c r="EA183" s="4">
        <f t="shared" si="610"/>
        <v>0.9826012170719004</v>
      </c>
      <c r="EB183" s="4">
        <f t="shared" si="571"/>
        <v>0.9826012170719004</v>
      </c>
      <c r="ED183" s="4">
        <f t="shared" si="611"/>
        <v>326.10742995902615</v>
      </c>
      <c r="EE183" s="25">
        <f t="shared" si="612"/>
        <v>146.27111164952376</v>
      </c>
      <c r="EH183" s="4">
        <f t="shared" si="613"/>
        <v>5.99454394365008</v>
      </c>
      <c r="EK183" s="4">
        <f t="shared" si="572"/>
        <v>128.12669511073796</v>
      </c>
      <c r="EL183" s="4">
        <f t="shared" si="573"/>
        <v>2.2360679774997898</v>
      </c>
      <c r="EM183" s="4">
        <f t="shared" si="574"/>
        <v>0.14058415851154979</v>
      </c>
      <c r="EP183" s="4">
        <f t="shared" si="575"/>
        <v>0.14058415851154979</v>
      </c>
      <c r="EQ183" s="4">
        <f t="shared" si="576"/>
        <v>0.3580092096468499</v>
      </c>
      <c r="ER183" s="4">
        <f t="shared" si="577"/>
        <v>3.9747866978308384</v>
      </c>
      <c r="ES183" s="4">
        <f t="shared" si="578"/>
        <v>5.0863365377764023</v>
      </c>
      <c r="ET183" s="4">
        <f t="shared" si="579"/>
        <v>301.62330488926204</v>
      </c>
      <c r="EU183" s="4">
        <f t="shared" si="580"/>
        <v>143.25</v>
      </c>
      <c r="EV183" s="4">
        <f t="shared" si="581"/>
        <v>2.0582334451428195E-5</v>
      </c>
      <c r="EW183" s="4">
        <f t="shared" si="582"/>
        <v>5.3949466033302231</v>
      </c>
      <c r="EX183" s="4">
        <f t="shared" si="583"/>
        <v>344.48665963351618</v>
      </c>
      <c r="FG183" s="23">
        <f t="shared" si="584"/>
        <v>1.4</v>
      </c>
      <c r="FH183" s="23">
        <f t="shared" si="584"/>
        <v>1.2</v>
      </c>
      <c r="FI183" s="23">
        <f t="shared" si="585"/>
        <v>1.4</v>
      </c>
      <c r="FJ183" s="23">
        <f t="shared" si="586"/>
        <v>2</v>
      </c>
      <c r="FK183" s="23">
        <f t="shared" si="586"/>
        <v>1.4</v>
      </c>
      <c r="FL183" s="23">
        <f t="shared" si="586"/>
        <v>1.6</v>
      </c>
      <c r="FM183" s="23">
        <f t="shared" si="587"/>
        <v>0</v>
      </c>
      <c r="FN183" s="23"/>
      <c r="FX183" s="4">
        <f t="shared" si="422"/>
        <v>1.25</v>
      </c>
      <c r="FY183" s="4">
        <f t="shared" si="513"/>
        <v>0.37067917575318227</v>
      </c>
      <c r="FZ183" s="4">
        <f t="shared" si="423"/>
        <v>0.3</v>
      </c>
      <c r="GA183" s="4">
        <f t="shared" si="424"/>
        <v>383.64971687014014</v>
      </c>
    </row>
    <row r="184" spans="1:183" ht="12" customHeight="1" x14ac:dyDescent="0.3">
      <c r="A184" s="25">
        <v>166</v>
      </c>
      <c r="B184" s="24" t="s">
        <v>128</v>
      </c>
      <c r="C184" s="24">
        <v>2017</v>
      </c>
      <c r="D184" s="24" t="s">
        <v>309</v>
      </c>
      <c r="E184" s="24"/>
      <c r="F184" s="4" t="s">
        <v>173</v>
      </c>
      <c r="G184" s="7">
        <v>583</v>
      </c>
      <c r="H184" s="7">
        <f t="shared" si="634"/>
        <v>573</v>
      </c>
      <c r="I184" s="7">
        <f t="shared" si="519"/>
        <v>573</v>
      </c>
      <c r="J184" s="7">
        <v>76.900000000000006</v>
      </c>
      <c r="K184" s="37">
        <v>57.3</v>
      </c>
      <c r="L184" s="7">
        <f t="shared" si="588"/>
        <v>10</v>
      </c>
      <c r="M184" s="7">
        <f t="shared" si="589"/>
        <v>10</v>
      </c>
      <c r="N184" s="7">
        <f t="shared" si="590"/>
        <v>584.46</v>
      </c>
      <c r="O184" s="7">
        <f t="shared" si="628"/>
        <v>57.3</v>
      </c>
      <c r="P184" s="7">
        <f t="shared" si="591"/>
        <v>56</v>
      </c>
      <c r="Q184" s="7">
        <f t="shared" si="630"/>
        <v>355.26</v>
      </c>
      <c r="R184" s="7">
        <v>2</v>
      </c>
      <c r="S184" s="7">
        <f t="shared" si="631"/>
        <v>289</v>
      </c>
      <c r="T184" s="7">
        <f t="shared" si="521"/>
        <v>1.5</v>
      </c>
      <c r="U184" s="7">
        <f t="shared" si="522"/>
        <v>1.5</v>
      </c>
      <c r="V184" s="7">
        <f t="shared" si="517"/>
        <v>4</v>
      </c>
      <c r="W184" s="7">
        <f t="shared" si="517"/>
        <v>4</v>
      </c>
      <c r="X184" s="7">
        <f t="shared" si="523"/>
        <v>5</v>
      </c>
      <c r="Y184" s="7">
        <f t="shared" si="524"/>
        <v>128.12669511073796</v>
      </c>
      <c r="Z184" s="7">
        <f t="shared" si="525"/>
        <v>583</v>
      </c>
      <c r="AA184" s="7">
        <v>25</v>
      </c>
      <c r="AB184" s="7">
        <f>(445+445)/2</f>
        <v>445</v>
      </c>
      <c r="AC184" s="7"/>
      <c r="AD184" s="4">
        <f t="shared" si="526"/>
        <v>1.0895526539249616</v>
      </c>
      <c r="AE184" s="7">
        <v>0</v>
      </c>
      <c r="AF184" s="7">
        <v>0</v>
      </c>
      <c r="AG184" s="7">
        <f>I184</f>
        <v>573</v>
      </c>
      <c r="AH184" s="7"/>
      <c r="AI184" s="7"/>
      <c r="AJ184" s="7">
        <f t="shared" si="527"/>
        <v>4.166666666666667</v>
      </c>
      <c r="AK184" s="4">
        <f t="shared" si="594"/>
        <v>573</v>
      </c>
      <c r="AL184" s="4">
        <f t="shared" si="595"/>
        <v>0.34</v>
      </c>
      <c r="AM184" s="4">
        <f t="shared" si="596"/>
        <v>233.220102499962</v>
      </c>
      <c r="AN184" s="4">
        <f t="shared" si="597"/>
        <v>0.73</v>
      </c>
      <c r="AO184" s="4">
        <v>1.25</v>
      </c>
      <c r="AP184" s="4">
        <f t="shared" si="598"/>
        <v>2.5</v>
      </c>
      <c r="AQ184" s="38">
        <f t="shared" si="599"/>
        <v>180.89134200153302</v>
      </c>
      <c r="AR184" s="38">
        <f t="shared" si="600"/>
        <v>180.89134200153302</v>
      </c>
      <c r="AS184" s="38">
        <f t="shared" si="601"/>
        <v>4.7705058587582929</v>
      </c>
      <c r="AT184" s="38">
        <f t="shared" si="461"/>
        <v>180.89134200153285</v>
      </c>
      <c r="AU184" s="38">
        <f t="shared" si="406"/>
        <v>1.0000000000000009</v>
      </c>
      <c r="AV184" s="38">
        <f t="shared" si="462"/>
        <v>2.550702509554549</v>
      </c>
      <c r="AW184" s="4">
        <f t="shared" si="463"/>
        <v>0</v>
      </c>
      <c r="AX184" s="4">
        <f t="shared" si="528"/>
        <v>461.54023722934221</v>
      </c>
      <c r="AY184" s="4">
        <f t="shared" si="529"/>
        <v>1</v>
      </c>
      <c r="AZ184" s="38">
        <f t="shared" si="530"/>
        <v>461.40000000000003</v>
      </c>
      <c r="BA184" s="4">
        <f t="shared" si="531"/>
        <v>0.44000000000000006</v>
      </c>
      <c r="BB184" s="4">
        <f t="shared" si="532"/>
        <v>106.10810053902577</v>
      </c>
      <c r="BC184" s="4">
        <f t="shared" si="533"/>
        <v>567.5081005390258</v>
      </c>
      <c r="BE184" s="4">
        <f t="shared" si="534"/>
        <v>1</v>
      </c>
      <c r="BF184" s="4">
        <f t="shared" si="535"/>
        <v>526.15587044145013</v>
      </c>
      <c r="BH184" s="4">
        <f t="shared" si="536"/>
        <v>442.53902554318915</v>
      </c>
      <c r="BI184" s="4">
        <f t="shared" si="537"/>
        <v>450.3525339151019</v>
      </c>
      <c r="BJ184" s="4">
        <f t="shared" si="538"/>
        <v>1.0176560888891599</v>
      </c>
      <c r="BK184" s="4">
        <f t="shared" si="602"/>
        <v>57.3</v>
      </c>
      <c r="BL184" s="4">
        <f t="shared" si="603"/>
        <v>57.3</v>
      </c>
      <c r="BM184" s="4">
        <f t="shared" si="604"/>
        <v>289</v>
      </c>
      <c r="BN184" s="4">
        <f t="shared" si="605"/>
        <v>85.949999999999989</v>
      </c>
      <c r="BO184" s="4">
        <f t="shared" si="606"/>
        <v>1.25</v>
      </c>
      <c r="BP184" s="25">
        <f t="shared" si="607"/>
        <v>1.8749999999999998</v>
      </c>
      <c r="BR184" s="4">
        <f t="shared" si="539"/>
        <v>57.3</v>
      </c>
      <c r="BV184" s="9"/>
      <c r="BX184" s="9"/>
      <c r="BY184" s="9"/>
      <c r="BZ184" s="9">
        <f t="shared" si="540"/>
        <v>56</v>
      </c>
      <c r="CA184" s="9">
        <f t="shared" si="541"/>
        <v>177.63</v>
      </c>
      <c r="CB184" s="9">
        <f t="shared" si="542"/>
        <v>1.1754818988273255</v>
      </c>
      <c r="CC184" s="9">
        <v>0</v>
      </c>
      <c r="CD184" s="9">
        <f t="shared" si="543"/>
        <v>0</v>
      </c>
      <c r="CE184" s="9">
        <f t="shared" si="544"/>
        <v>0</v>
      </c>
      <c r="CF184" s="9">
        <f t="shared" si="545"/>
        <v>0.77971450958075206</v>
      </c>
      <c r="CG184" s="9">
        <f t="shared" si="546"/>
        <v>0.87549999999999994</v>
      </c>
      <c r="CH184" s="9">
        <f t="shared" si="547"/>
        <v>2.0951879162491376</v>
      </c>
      <c r="CI184" s="9">
        <f t="shared" si="548"/>
        <v>2.4628554701926038</v>
      </c>
      <c r="CJ184" s="9">
        <v>1</v>
      </c>
      <c r="CK184" s="9">
        <f t="shared" si="549"/>
        <v>246.28554701926038</v>
      </c>
      <c r="CM184" s="4">
        <f t="shared" si="550"/>
        <v>0.96416295721336365</v>
      </c>
      <c r="CN184" s="4">
        <f t="shared" si="551"/>
        <v>0.78412977643373516</v>
      </c>
      <c r="CO184" s="4">
        <f t="shared" si="552"/>
        <v>0.8457569800117225</v>
      </c>
      <c r="CP184" s="4">
        <f t="shared" si="553"/>
        <v>1.8068457746941986</v>
      </c>
      <c r="CQ184" s="4">
        <f t="shared" si="554"/>
        <v>1.0895526539249616</v>
      </c>
      <c r="CR184" s="4">
        <f t="shared" si="555"/>
        <v>1.1264315123772384</v>
      </c>
      <c r="CS184" s="4">
        <f t="shared" si="556"/>
        <v>1.5278471025630567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636">CS184</f>
        <v>1.5278471025630567</v>
      </c>
      <c r="CY184" s="4">
        <f>CQ184</f>
        <v>1.0895526539249616</v>
      </c>
      <c r="CZ184" s="4">
        <f>CR184</f>
        <v>1.1264315123772384</v>
      </c>
      <c r="DH184" s="4">
        <f t="shared" si="558"/>
        <v>0</v>
      </c>
      <c r="DI184" s="4">
        <f t="shared" si="559"/>
        <v>573</v>
      </c>
      <c r="DL184" s="4">
        <f t="shared" si="560"/>
        <v>2.4052911710985851E-5</v>
      </c>
      <c r="DM184" s="4">
        <f t="shared" si="561"/>
        <v>7.2046859751136969</v>
      </c>
      <c r="DN184" s="4">
        <f t="shared" si="562"/>
        <v>0.2931824369513521</v>
      </c>
      <c r="DO184" s="4">
        <f t="shared" si="563"/>
        <v>4.4103213681169242</v>
      </c>
      <c r="DP184" s="4">
        <f t="shared" si="564"/>
        <v>5.9741190834231039</v>
      </c>
      <c r="DQ184" s="4">
        <f t="shared" si="565"/>
        <v>6.2296619398373565</v>
      </c>
      <c r="DR184" s="38">
        <f t="shared" si="609"/>
        <v>408.42450192466561</v>
      </c>
      <c r="DS184" s="4">
        <f t="shared" si="566"/>
        <v>1.00011450770191</v>
      </c>
      <c r="DT184" s="4">
        <f t="shared" si="567"/>
        <v>2.2360679774997898</v>
      </c>
      <c r="DU184" s="4">
        <f t="shared" si="568"/>
        <v>180.89134200153285</v>
      </c>
      <c r="DY184" s="4">
        <f t="shared" si="569"/>
        <v>1</v>
      </c>
      <c r="DZ184" s="4">
        <f t="shared" si="570"/>
        <v>1</v>
      </c>
      <c r="EA184" s="4">
        <f t="shared" si="610"/>
        <v>1</v>
      </c>
      <c r="EB184" s="4">
        <f t="shared" si="571"/>
        <v>1</v>
      </c>
      <c r="ED184" s="4">
        <f t="shared" si="611"/>
        <v>395.05286838155405</v>
      </c>
      <c r="EE184" s="25">
        <f t="shared" si="612"/>
        <v>178.9122891281431</v>
      </c>
      <c r="EH184" s="4">
        <f t="shared" si="613"/>
        <v>7.2046859751136969</v>
      </c>
      <c r="EK184" s="4">
        <f t="shared" si="572"/>
        <v>128.12669511073796</v>
      </c>
      <c r="EL184" s="4">
        <f t="shared" si="573"/>
        <v>2.2360679774997898</v>
      </c>
      <c r="EM184" s="4">
        <f t="shared" si="574"/>
        <v>0.14058415851154979</v>
      </c>
      <c r="EP184" s="4">
        <f t="shared" si="575"/>
        <v>0.14058415851154979</v>
      </c>
      <c r="EQ184" s="4">
        <f t="shared" si="576"/>
        <v>0.2926931701058586</v>
      </c>
      <c r="ER184" s="4">
        <f t="shared" si="577"/>
        <v>4.4073758911501191</v>
      </c>
      <c r="ES184" s="4">
        <f t="shared" si="578"/>
        <v>5.9730363357603444</v>
      </c>
      <c r="ET184" s="4">
        <f t="shared" si="579"/>
        <v>301.62330488926204</v>
      </c>
      <c r="EU184" s="4">
        <f t="shared" si="580"/>
        <v>143.25</v>
      </c>
      <c r="EV184" s="4">
        <f t="shared" si="581"/>
        <v>2.4052911710985851E-5</v>
      </c>
      <c r="EW184" s="4">
        <f t="shared" si="582"/>
        <v>6.2299000189181877</v>
      </c>
      <c r="EX184" s="4">
        <f t="shared" si="583"/>
        <v>408.377739528201</v>
      </c>
      <c r="FG184" s="23">
        <f t="shared" si="584"/>
        <v>1</v>
      </c>
      <c r="FH184" s="23">
        <f t="shared" si="584"/>
        <v>0.8</v>
      </c>
      <c r="FI184" s="23">
        <f t="shared" si="585"/>
        <v>1.6</v>
      </c>
      <c r="FJ184" s="23">
        <f t="shared" si="586"/>
        <v>2</v>
      </c>
      <c r="FK184" s="23">
        <f t="shared" si="586"/>
        <v>1.2</v>
      </c>
      <c r="FL184" s="23">
        <f t="shared" si="586"/>
        <v>1.2</v>
      </c>
      <c r="FM184" s="23">
        <f t="shared" si="587"/>
        <v>0</v>
      </c>
      <c r="FN184" s="23"/>
      <c r="FX184" s="4">
        <f t="shared" si="422"/>
        <v>1.25</v>
      </c>
      <c r="FY184" s="4">
        <f t="shared" si="513"/>
        <v>0.54</v>
      </c>
      <c r="FZ184" s="4">
        <f t="shared" si="423"/>
        <v>0</v>
      </c>
      <c r="GA184" s="4">
        <f t="shared" si="424"/>
        <v>291.25951101617784</v>
      </c>
    </row>
    <row r="185" spans="1:183" ht="12" customHeight="1" x14ac:dyDescent="0.3">
      <c r="A185" s="25">
        <v>167</v>
      </c>
      <c r="B185" s="24" t="s">
        <v>128</v>
      </c>
      <c r="C185" s="24">
        <v>2017</v>
      </c>
      <c r="D185" s="24" t="s">
        <v>309</v>
      </c>
      <c r="E185" s="24"/>
      <c r="F185" s="4" t="s">
        <v>174</v>
      </c>
      <c r="G185" s="7">
        <v>583</v>
      </c>
      <c r="H185" s="7">
        <f t="shared" ref="H185:H189" si="637">13*K185</f>
        <v>744.9</v>
      </c>
      <c r="I185" s="7">
        <f t="shared" si="519"/>
        <v>744.9</v>
      </c>
      <c r="J185" s="7">
        <v>40.5</v>
      </c>
      <c r="K185" s="37">
        <v>57.3</v>
      </c>
      <c r="L185" s="7">
        <f t="shared" si="588"/>
        <v>13</v>
      </c>
      <c r="M185" s="7">
        <f t="shared" si="589"/>
        <v>13</v>
      </c>
      <c r="N185" s="7">
        <f t="shared" si="590"/>
        <v>584.46</v>
      </c>
      <c r="O185" s="7">
        <f t="shared" si="628"/>
        <v>57.3</v>
      </c>
      <c r="P185" s="7">
        <f t="shared" si="591"/>
        <v>56</v>
      </c>
      <c r="Q185" s="7">
        <f t="shared" si="630"/>
        <v>355.26</v>
      </c>
      <c r="R185" s="7">
        <v>2</v>
      </c>
      <c r="S185" s="7">
        <f>2/3*H185-0.5*240</f>
        <v>376.59999999999997</v>
      </c>
      <c r="T185" s="7">
        <f t="shared" si="521"/>
        <v>1.5</v>
      </c>
      <c r="U185" s="7">
        <f t="shared" si="522"/>
        <v>1.5</v>
      </c>
      <c r="V185" s="7">
        <f t="shared" si="517"/>
        <v>4</v>
      </c>
      <c r="W185" s="7">
        <f t="shared" si="517"/>
        <v>4</v>
      </c>
      <c r="X185" s="7">
        <f t="shared" si="523"/>
        <v>5</v>
      </c>
      <c r="Y185" s="7">
        <f t="shared" si="524"/>
        <v>128.12669511073796</v>
      </c>
      <c r="Z185" s="7">
        <f t="shared" si="525"/>
        <v>583</v>
      </c>
      <c r="AA185" s="7">
        <v>25</v>
      </c>
      <c r="AB185" s="7">
        <f>(439+439)/2</f>
        <v>439</v>
      </c>
      <c r="AC185" s="7"/>
      <c r="AD185" s="4">
        <f t="shared" si="526"/>
        <v>1.1605850652682879</v>
      </c>
      <c r="AE185" s="7">
        <v>0</v>
      </c>
      <c r="AF185" s="7">
        <v>0</v>
      </c>
      <c r="AG185" s="7">
        <f>I185</f>
        <v>744.9</v>
      </c>
      <c r="AH185" s="7"/>
      <c r="AI185" s="7"/>
      <c r="AJ185" s="7">
        <f t="shared" si="527"/>
        <v>5.4166666666666661</v>
      </c>
      <c r="AK185" s="4">
        <f t="shared" si="594"/>
        <v>744.9</v>
      </c>
      <c r="AL185" s="4">
        <f t="shared" si="595"/>
        <v>0.2615384615384615</v>
      </c>
      <c r="AM185" s="4">
        <f t="shared" si="596"/>
        <v>250.86804884585459</v>
      </c>
      <c r="AN185" s="4">
        <f t="shared" si="597"/>
        <v>0.72307692307692306</v>
      </c>
      <c r="AO185" s="4">
        <v>1.25</v>
      </c>
      <c r="AP185" s="4">
        <f t="shared" si="598"/>
        <v>2.5</v>
      </c>
      <c r="AQ185" s="38">
        <f t="shared" si="599"/>
        <v>148.25707916260191</v>
      </c>
      <c r="AR185" s="38">
        <f t="shared" si="600"/>
        <v>148.25707916260191</v>
      </c>
      <c r="AS185" s="38">
        <f t="shared" si="601"/>
        <v>3.538000882182009</v>
      </c>
      <c r="AT185" s="38">
        <f t="shared" si="461"/>
        <v>148.25707916260185</v>
      </c>
      <c r="AU185" s="38">
        <f t="shared" si="406"/>
        <v>1.0000000000000004</v>
      </c>
      <c r="AV185" s="38">
        <f t="shared" si="462"/>
        <v>1.6390448359871455</v>
      </c>
      <c r="AW185" s="4">
        <f t="shared" si="463"/>
        <v>0</v>
      </c>
      <c r="AX185" s="4">
        <f t="shared" si="528"/>
        <v>435.4289126254003</v>
      </c>
      <c r="AY185" s="4">
        <f t="shared" si="529"/>
        <v>1</v>
      </c>
      <c r="AZ185" s="38">
        <f t="shared" si="530"/>
        <v>243</v>
      </c>
      <c r="BA185" s="4">
        <f t="shared" si="531"/>
        <v>0.44000000000000006</v>
      </c>
      <c r="BB185" s="4">
        <f t="shared" si="532"/>
        <v>100.10510701257954</v>
      </c>
      <c r="BC185" s="4">
        <f t="shared" si="533"/>
        <v>343.10510701257954</v>
      </c>
      <c r="BE185" s="4">
        <f t="shared" si="534"/>
        <v>1</v>
      </c>
      <c r="BF185" s="4">
        <f t="shared" si="535"/>
        <v>439.11331111684598</v>
      </c>
      <c r="BH185" s="4">
        <f t="shared" si="536"/>
        <v>233.06671696357813</v>
      </c>
      <c r="BI185" s="4">
        <f t="shared" si="537"/>
        <v>450.3525339151019</v>
      </c>
      <c r="BJ185" s="4">
        <f t="shared" si="538"/>
        <v>1.9322902033475655</v>
      </c>
      <c r="BK185" s="4">
        <f t="shared" si="602"/>
        <v>57.3</v>
      </c>
      <c r="BL185" s="4">
        <f t="shared" si="603"/>
        <v>57.3</v>
      </c>
      <c r="BM185" s="4">
        <f t="shared" si="604"/>
        <v>376.59999999999997</v>
      </c>
      <c r="BN185" s="4">
        <f t="shared" si="605"/>
        <v>85.949999999999989</v>
      </c>
      <c r="BO185" s="4">
        <f t="shared" si="606"/>
        <v>1.25</v>
      </c>
      <c r="BP185" s="25">
        <f t="shared" si="607"/>
        <v>1.8749999999999998</v>
      </c>
      <c r="BR185" s="4">
        <f t="shared" si="539"/>
        <v>57.3</v>
      </c>
      <c r="BV185" s="9"/>
      <c r="BX185" s="9"/>
      <c r="BY185" s="9"/>
      <c r="BZ185" s="9">
        <f t="shared" si="540"/>
        <v>56</v>
      </c>
      <c r="CA185" s="9">
        <f t="shared" si="541"/>
        <v>177.63</v>
      </c>
      <c r="CB185" s="9">
        <f t="shared" si="542"/>
        <v>1.1754818988273255</v>
      </c>
      <c r="CC185" s="9">
        <v>0</v>
      </c>
      <c r="CD185" s="9">
        <f t="shared" si="543"/>
        <v>0</v>
      </c>
      <c r="CE185" s="9">
        <f t="shared" si="544"/>
        <v>0</v>
      </c>
      <c r="CF185" s="9">
        <f t="shared" si="545"/>
        <v>0.77971450958075206</v>
      </c>
      <c r="CG185" s="9">
        <f t="shared" si="546"/>
        <v>0.87549999999999994</v>
      </c>
      <c r="CH185" s="9">
        <f t="shared" si="547"/>
        <v>1.5205031436526735</v>
      </c>
      <c r="CI185" s="9">
        <f t="shared" si="548"/>
        <v>1.7873239224737623</v>
      </c>
      <c r="CJ185" s="9">
        <v>1</v>
      </c>
      <c r="CK185" s="9">
        <f t="shared" si="549"/>
        <v>200.18027931706138</v>
      </c>
      <c r="CM185" s="4">
        <f t="shared" si="550"/>
        <v>1.0082013097225628</v>
      </c>
      <c r="CN185" s="4">
        <f t="shared" si="551"/>
        <v>1.2794913017249394</v>
      </c>
      <c r="CO185" s="4">
        <f t="shared" si="552"/>
        <v>0.99974195472107696</v>
      </c>
      <c r="CP185" s="4">
        <f t="shared" si="553"/>
        <v>2.1930232163612731</v>
      </c>
      <c r="CQ185" s="4">
        <f t="shared" si="554"/>
        <v>1.1605850652682879</v>
      </c>
      <c r="CR185" s="4">
        <f t="shared" si="555"/>
        <v>1.250702910301895</v>
      </c>
      <c r="CS185" s="4">
        <f t="shared" si="556"/>
        <v>1.3610023686073467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636"/>
        <v>1.3610023686073467</v>
      </c>
      <c r="CY185" s="4">
        <f>CQ185</f>
        <v>1.1605850652682879</v>
      </c>
      <c r="CZ185" s="4">
        <f>CR185</f>
        <v>1.250702910301895</v>
      </c>
      <c r="DH185" s="4">
        <f t="shared" si="558"/>
        <v>0</v>
      </c>
      <c r="DI185" s="4">
        <f t="shared" si="559"/>
        <v>744.9</v>
      </c>
      <c r="DL185" s="4">
        <f t="shared" si="560"/>
        <v>2.4945063339588324E-5</v>
      </c>
      <c r="DM185" s="4">
        <f t="shared" si="561"/>
        <v>5.2285275173800132</v>
      </c>
      <c r="DN185" s="4">
        <f t="shared" si="562"/>
        <v>0.45625425325155472</v>
      </c>
      <c r="DO185" s="4">
        <f t="shared" si="563"/>
        <v>3.819989493522661</v>
      </c>
      <c r="DP185" s="4">
        <f t="shared" si="564"/>
        <v>4.5788746518647905</v>
      </c>
      <c r="DQ185" s="4">
        <f t="shared" si="565"/>
        <v>4.4778446177325462</v>
      </c>
      <c r="DR185" s="38">
        <f t="shared" si="609"/>
        <v>378.25749541117705</v>
      </c>
      <c r="DS185" s="4">
        <f t="shared" si="566"/>
        <v>1.0001379395280499</v>
      </c>
      <c r="DT185" s="4">
        <f t="shared" si="567"/>
        <v>2.2360679774997898</v>
      </c>
      <c r="DU185" s="4">
        <f t="shared" si="568"/>
        <v>148.25707916260185</v>
      </c>
      <c r="DY185" s="4">
        <f t="shared" si="569"/>
        <v>1</v>
      </c>
      <c r="DZ185" s="4">
        <f t="shared" si="570"/>
        <v>1</v>
      </c>
      <c r="EA185" s="4">
        <f t="shared" si="610"/>
        <v>1</v>
      </c>
      <c r="EB185" s="4">
        <f t="shared" si="571"/>
        <v>1</v>
      </c>
      <c r="ED185" s="4">
        <f t="shared" si="611"/>
        <v>351.00262131318948</v>
      </c>
      <c r="EE185" s="25">
        <f t="shared" si="612"/>
        <v>147.09004813536899</v>
      </c>
      <c r="EH185" s="4">
        <f t="shared" si="613"/>
        <v>5.2285275173800132</v>
      </c>
      <c r="EK185" s="4">
        <f t="shared" si="572"/>
        <v>128.12669511073796</v>
      </c>
      <c r="EL185" s="4">
        <f t="shared" si="573"/>
        <v>2.2360679774997898</v>
      </c>
      <c r="EM185" s="4">
        <f t="shared" si="574"/>
        <v>0.15877045999106873</v>
      </c>
      <c r="EP185" s="4">
        <f t="shared" si="575"/>
        <v>0.15877045999106873</v>
      </c>
      <c r="EQ185" s="4">
        <f t="shared" si="576"/>
        <v>0.45549284993711125</v>
      </c>
      <c r="ER185" s="4">
        <f t="shared" si="577"/>
        <v>3.8174382755665395</v>
      </c>
      <c r="ES185" s="4">
        <f t="shared" si="578"/>
        <v>4.5778116928835146</v>
      </c>
      <c r="ET185" s="4">
        <f t="shared" si="579"/>
        <v>430.548304889262</v>
      </c>
      <c r="EU185" s="4">
        <f t="shared" si="580"/>
        <v>186.22500000000002</v>
      </c>
      <c r="EV185" s="4">
        <f t="shared" si="581"/>
        <v>2.4945063339588331E-5</v>
      </c>
      <c r="EW185" s="4">
        <f t="shared" si="582"/>
        <v>4.4780444122745671</v>
      </c>
      <c r="EX185" s="4">
        <f t="shared" si="583"/>
        <v>378.20532594701001</v>
      </c>
      <c r="FG185" s="23">
        <f t="shared" si="584"/>
        <v>1.2</v>
      </c>
      <c r="FH185" s="23">
        <f t="shared" si="584"/>
        <v>1.4</v>
      </c>
      <c r="FI185" s="23">
        <f t="shared" si="585"/>
        <v>1.4</v>
      </c>
      <c r="FJ185" s="23">
        <f t="shared" si="586"/>
        <v>2.2000000000000002</v>
      </c>
      <c r="FK185" s="23">
        <f t="shared" si="586"/>
        <v>1.2</v>
      </c>
      <c r="FL185" s="23">
        <f t="shared" si="586"/>
        <v>1.4</v>
      </c>
      <c r="FM185" s="23">
        <f t="shared" si="587"/>
        <v>0</v>
      </c>
      <c r="FN185" s="23"/>
      <c r="FX185" s="4">
        <f t="shared" si="422"/>
        <v>1.25</v>
      </c>
      <c r="FY185" s="4">
        <f t="shared" si="513"/>
        <v>0.54</v>
      </c>
      <c r="FZ185" s="4">
        <f t="shared" si="423"/>
        <v>0</v>
      </c>
      <c r="GA185" s="4">
        <f t="shared" si="424"/>
        <v>322.55638206508723</v>
      </c>
    </row>
    <row r="186" spans="1:183" ht="12" customHeight="1" x14ac:dyDescent="0.3">
      <c r="A186" s="25">
        <v>168</v>
      </c>
      <c r="B186" s="24" t="s">
        <v>128</v>
      </c>
      <c r="C186" s="24">
        <v>2017</v>
      </c>
      <c r="D186" s="24" t="s">
        <v>309</v>
      </c>
      <c r="E186" s="24"/>
      <c r="F186" s="4" t="s">
        <v>175</v>
      </c>
      <c r="G186" s="7">
        <v>583</v>
      </c>
      <c r="H186" s="7">
        <f t="shared" si="637"/>
        <v>744.9</v>
      </c>
      <c r="I186" s="7">
        <f t="shared" si="519"/>
        <v>744.9</v>
      </c>
      <c r="J186" s="7">
        <v>40.5</v>
      </c>
      <c r="K186" s="37">
        <v>57.3</v>
      </c>
      <c r="L186" s="7">
        <f t="shared" si="588"/>
        <v>13</v>
      </c>
      <c r="M186" s="7">
        <f t="shared" si="589"/>
        <v>13</v>
      </c>
      <c r="N186" s="7">
        <f t="shared" si="590"/>
        <v>584.46</v>
      </c>
      <c r="O186" s="7">
        <f t="shared" si="628"/>
        <v>57.3</v>
      </c>
      <c r="P186" s="7">
        <f t="shared" si="591"/>
        <v>56</v>
      </c>
      <c r="Q186" s="7">
        <f t="shared" si="630"/>
        <v>355.26</v>
      </c>
      <c r="R186" s="7">
        <v>2</v>
      </c>
      <c r="S186" s="7">
        <f t="shared" ref="S186:S191" si="638">2/3*H186-0.5*240</f>
        <v>376.59999999999997</v>
      </c>
      <c r="T186" s="7">
        <f t="shared" si="521"/>
        <v>1.5</v>
      </c>
      <c r="U186" s="7">
        <f t="shared" si="522"/>
        <v>1.5</v>
      </c>
      <c r="V186" s="7">
        <f t="shared" si="517"/>
        <v>4</v>
      </c>
      <c r="W186" s="7">
        <f t="shared" si="517"/>
        <v>4</v>
      </c>
      <c r="X186" s="7">
        <f t="shared" si="523"/>
        <v>5</v>
      </c>
      <c r="Y186" s="7">
        <f t="shared" si="524"/>
        <v>128.12669511073796</v>
      </c>
      <c r="Z186" s="7">
        <f t="shared" si="525"/>
        <v>583</v>
      </c>
      <c r="AA186" s="7">
        <v>25</v>
      </c>
      <c r="AB186" s="7">
        <f>(586+586)/2</f>
        <v>586</v>
      </c>
      <c r="AC186" s="7"/>
      <c r="AD186" s="4">
        <f t="shared" si="526"/>
        <v>1.4903787129361226</v>
      </c>
      <c r="AE186" s="7">
        <v>15.9</v>
      </c>
      <c r="AF186" s="7">
        <v>3</v>
      </c>
      <c r="AG186" s="7">
        <v>275</v>
      </c>
      <c r="AH186" s="7">
        <v>4</v>
      </c>
      <c r="AI186" s="7">
        <f t="shared" ref="AI186:AI188" si="639">AF186</f>
        <v>3</v>
      </c>
      <c r="AJ186" s="7">
        <f t="shared" si="527"/>
        <v>5.4166666666666661</v>
      </c>
      <c r="AK186" s="4">
        <f t="shared" si="594"/>
        <v>744.9</v>
      </c>
      <c r="AL186" s="4">
        <f t="shared" si="595"/>
        <v>0.2615384615384615</v>
      </c>
      <c r="AM186" s="4">
        <f t="shared" si="596"/>
        <v>250.86804884585459</v>
      </c>
      <c r="AN186" s="4">
        <f t="shared" si="597"/>
        <v>0.72307692307692306</v>
      </c>
      <c r="AO186" s="4">
        <v>1.25</v>
      </c>
      <c r="AP186" s="4">
        <f t="shared" si="598"/>
        <v>2.5</v>
      </c>
      <c r="AQ186" s="38">
        <f t="shared" si="599"/>
        <v>148.25707916260191</v>
      </c>
      <c r="AR186" s="38">
        <f t="shared" si="600"/>
        <v>148.25707916260191</v>
      </c>
      <c r="AS186" s="38">
        <f t="shared" si="601"/>
        <v>3.538000882182009</v>
      </c>
      <c r="AT186" s="38">
        <f t="shared" si="461"/>
        <v>148.25707916260185</v>
      </c>
      <c r="AU186" s="38">
        <f t="shared" si="406"/>
        <v>1.0000000000000004</v>
      </c>
      <c r="AV186" s="38">
        <f t="shared" si="462"/>
        <v>1.6390448359871455</v>
      </c>
      <c r="AW186" s="4">
        <f t="shared" si="463"/>
        <v>0</v>
      </c>
      <c r="AX186" s="4">
        <f t="shared" si="528"/>
        <v>435.4289126254003</v>
      </c>
      <c r="AY186" s="4">
        <f t="shared" si="529"/>
        <v>1</v>
      </c>
      <c r="AZ186" s="38">
        <f t="shared" si="530"/>
        <v>243</v>
      </c>
      <c r="BA186" s="4">
        <f t="shared" si="531"/>
        <v>0.44000000000000006</v>
      </c>
      <c r="BB186" s="4">
        <f t="shared" si="532"/>
        <v>100.10510701257954</v>
      </c>
      <c r="BC186" s="4">
        <f t="shared" si="533"/>
        <v>343.10510701257954</v>
      </c>
      <c r="BE186" s="4">
        <f t="shared" si="534"/>
        <v>1.201612194511575</v>
      </c>
      <c r="BF186" s="4">
        <f t="shared" si="535"/>
        <v>527.64390941035731</v>
      </c>
      <c r="BH186" s="4">
        <f t="shared" si="536"/>
        <v>233.06671696357813</v>
      </c>
      <c r="BI186" s="4">
        <f t="shared" si="537"/>
        <v>450.3525339151019</v>
      </c>
      <c r="BJ186" s="4">
        <f t="shared" si="538"/>
        <v>1.9322902033475655</v>
      </c>
      <c r="BK186" s="4">
        <f t="shared" si="602"/>
        <v>57.3</v>
      </c>
      <c r="BL186" s="4">
        <f t="shared" si="603"/>
        <v>57.3</v>
      </c>
      <c r="BM186" s="4">
        <f t="shared" si="604"/>
        <v>376.59999999999997</v>
      </c>
      <c r="BN186" s="4">
        <f t="shared" si="605"/>
        <v>85.949999999999989</v>
      </c>
      <c r="BO186" s="4">
        <f t="shared" si="606"/>
        <v>1.25</v>
      </c>
      <c r="BP186" s="25">
        <f t="shared" si="607"/>
        <v>2.8079392939734693</v>
      </c>
      <c r="BR186" s="4">
        <f t="shared" si="539"/>
        <v>57.3</v>
      </c>
      <c r="BV186" s="9"/>
      <c r="BX186" s="9"/>
      <c r="BY186" s="9"/>
      <c r="BZ186" s="9">
        <f t="shared" si="540"/>
        <v>56</v>
      </c>
      <c r="CA186" s="9">
        <f t="shared" si="541"/>
        <v>177.63</v>
      </c>
      <c r="CB186" s="9">
        <f t="shared" si="542"/>
        <v>1.1754818988273255</v>
      </c>
      <c r="CC186" s="9">
        <v>20</v>
      </c>
      <c r="CD186" s="9">
        <f t="shared" si="543"/>
        <v>3.7802286470920307E-2</v>
      </c>
      <c r="CE186" s="9">
        <f t="shared" si="544"/>
        <v>0.55604572941840613</v>
      </c>
      <c r="CF186" s="9">
        <f t="shared" si="545"/>
        <v>0.77971450958075206</v>
      </c>
      <c r="CG186" s="9">
        <f t="shared" si="546"/>
        <v>0.87549999999999994</v>
      </c>
      <c r="CH186" s="9">
        <f t="shared" si="547"/>
        <v>1.5205031436526735</v>
      </c>
      <c r="CI186" s="9">
        <f t="shared" si="548"/>
        <v>2.632793202069093</v>
      </c>
      <c r="CJ186" s="9">
        <v>1</v>
      </c>
      <c r="CK186" s="9">
        <f t="shared" si="549"/>
        <v>294.87283863173843</v>
      </c>
      <c r="CM186" s="4">
        <f t="shared" si="550"/>
        <v>1.3457994703813709</v>
      </c>
      <c r="CN186" s="4">
        <f t="shared" si="551"/>
        <v>1.7079314414824931</v>
      </c>
      <c r="CO186" s="4">
        <f t="shared" si="552"/>
        <v>1.1105974873373516</v>
      </c>
      <c r="CP186" s="4">
        <f t="shared" si="553"/>
        <v>1.9872973133746143</v>
      </c>
      <c r="CQ186" s="4">
        <f t="shared" si="554"/>
        <v>1.4903787129361226</v>
      </c>
      <c r="CR186" s="4">
        <f t="shared" si="555"/>
        <v>1.6061312508358303</v>
      </c>
      <c r="CS186" s="4">
        <f t="shared" si="556"/>
        <v>1.2470860052703576</v>
      </c>
      <c r="DA186" s="4">
        <f t="shared" ref="DA186:DB188" si="640">CM186</f>
        <v>1.3457994703813709</v>
      </c>
      <c r="DB186" s="4">
        <f t="shared" si="640"/>
        <v>1.7079314414824931</v>
      </c>
      <c r="DC186" s="4">
        <f>CP186</f>
        <v>1.9872973133746143</v>
      </c>
      <c r="DD186" s="4">
        <f t="shared" ref="DD186:DD188" si="641">CS186</f>
        <v>1.2470860052703576</v>
      </c>
      <c r="DE186" s="4">
        <f t="shared" ref="DE186:DF188" si="642">CQ186</f>
        <v>1.4903787129361226</v>
      </c>
      <c r="DF186" s="4">
        <f t="shared" si="642"/>
        <v>1.6061312508358303</v>
      </c>
      <c r="DH186" s="4">
        <f t="shared" si="558"/>
        <v>3</v>
      </c>
      <c r="DI186" s="4">
        <f t="shared" si="559"/>
        <v>744.9</v>
      </c>
      <c r="DL186" s="4">
        <f t="shared" si="560"/>
        <v>2.4945063339588324E-5</v>
      </c>
      <c r="DM186" s="4">
        <f t="shared" si="561"/>
        <v>5.5836366123976697</v>
      </c>
      <c r="DN186" s="4">
        <f t="shared" si="562"/>
        <v>0.45625425325155472</v>
      </c>
      <c r="DO186" s="4">
        <f t="shared" si="563"/>
        <v>4.0794340517682928</v>
      </c>
      <c r="DP186" s="4">
        <f t="shared" si="564"/>
        <v>4.8898608766514151</v>
      </c>
      <c r="DQ186" s="4">
        <f t="shared" si="565"/>
        <v>4.7288983440601244</v>
      </c>
      <c r="DR186" s="38">
        <f t="shared" si="609"/>
        <v>393.18865393987676</v>
      </c>
      <c r="DS186" s="4">
        <f t="shared" si="566"/>
        <v>1.0001412474896851</v>
      </c>
      <c r="DT186" s="4">
        <f t="shared" si="567"/>
        <v>2.2360679774997898</v>
      </c>
      <c r="DU186" s="4">
        <f t="shared" si="568"/>
        <v>148.25707916260185</v>
      </c>
      <c r="DY186" s="4">
        <f t="shared" si="569"/>
        <v>1</v>
      </c>
      <c r="DZ186" s="4">
        <f t="shared" si="570"/>
        <v>1</v>
      </c>
      <c r="EA186" s="4">
        <f t="shared" si="610"/>
        <v>0.93640182560785068</v>
      </c>
      <c r="EB186" s="4">
        <f t="shared" si="571"/>
        <v>0.93640182560785068</v>
      </c>
      <c r="ED186" s="4">
        <f t="shared" si="611"/>
        <v>364.8518760188781</v>
      </c>
      <c r="EE186" s="25">
        <f t="shared" si="612"/>
        <v>147.09004813536899</v>
      </c>
      <c r="EH186" s="4">
        <f t="shared" si="613"/>
        <v>5.5836366123976697</v>
      </c>
      <c r="EK186" s="4">
        <f t="shared" si="572"/>
        <v>128.12669511073796</v>
      </c>
      <c r="EL186" s="4">
        <f t="shared" si="573"/>
        <v>2.2360679774997898</v>
      </c>
      <c r="EM186" s="4">
        <f t="shared" si="574"/>
        <v>0.15877045999106873</v>
      </c>
      <c r="EP186" s="4">
        <f t="shared" si="575"/>
        <v>0.15877045999106873</v>
      </c>
      <c r="EQ186" s="4">
        <f t="shared" si="576"/>
        <v>0.45549284993711125</v>
      </c>
      <c r="ER186" s="4">
        <f t="shared" si="577"/>
        <v>4.07670956118492</v>
      </c>
      <c r="ES186" s="4">
        <f t="shared" si="578"/>
        <v>4.888725724036151</v>
      </c>
      <c r="ET186" s="4">
        <f t="shared" si="579"/>
        <v>430.548304889262</v>
      </c>
      <c r="EU186" s="4">
        <f t="shared" si="580"/>
        <v>186.22500000000002</v>
      </c>
      <c r="EV186" s="4">
        <f t="shared" si="581"/>
        <v>2.4945063339588331E-5</v>
      </c>
      <c r="EW186" s="4">
        <f t="shared" si="582"/>
        <v>4.7291258329784815</v>
      </c>
      <c r="EX186" s="4">
        <f t="shared" si="583"/>
        <v>393.13312487287641</v>
      </c>
      <c r="FG186" s="23">
        <f t="shared" si="584"/>
        <v>1.4</v>
      </c>
      <c r="FH186" s="23">
        <f t="shared" si="584"/>
        <v>1.8</v>
      </c>
      <c r="FI186" s="23">
        <f t="shared" si="585"/>
        <v>1.4</v>
      </c>
      <c r="FJ186" s="23">
        <f t="shared" si="586"/>
        <v>2</v>
      </c>
      <c r="FK186" s="23">
        <f t="shared" si="586"/>
        <v>1.6</v>
      </c>
      <c r="FL186" s="23">
        <f t="shared" si="586"/>
        <v>1.8</v>
      </c>
      <c r="FM186" s="23">
        <f t="shared" si="587"/>
        <v>0</v>
      </c>
      <c r="FN186" s="23"/>
      <c r="FX186" s="4">
        <f t="shared" si="422"/>
        <v>1.25</v>
      </c>
      <c r="FY186" s="4">
        <f t="shared" si="513"/>
        <v>0.37067917575318227</v>
      </c>
      <c r="FZ186" s="4">
        <f t="shared" si="423"/>
        <v>0.3</v>
      </c>
      <c r="GA186" s="4">
        <f t="shared" si="424"/>
        <v>469.89541821773565</v>
      </c>
    </row>
    <row r="187" spans="1:183" ht="12" customHeight="1" x14ac:dyDescent="0.3">
      <c r="A187" s="25">
        <v>169</v>
      </c>
      <c r="B187" s="24" t="s">
        <v>128</v>
      </c>
      <c r="C187" s="24">
        <v>2017</v>
      </c>
      <c r="D187" s="24" t="s">
        <v>309</v>
      </c>
      <c r="E187" s="24"/>
      <c r="F187" s="4" t="s">
        <v>176</v>
      </c>
      <c r="G187" s="7">
        <v>583</v>
      </c>
      <c r="H187" s="7">
        <f t="shared" si="637"/>
        <v>744.9</v>
      </c>
      <c r="I187" s="7">
        <f t="shared" si="519"/>
        <v>744.9</v>
      </c>
      <c r="J187" s="7">
        <v>40.5</v>
      </c>
      <c r="K187" s="37">
        <v>57.3</v>
      </c>
      <c r="L187" s="7">
        <f t="shared" si="588"/>
        <v>13</v>
      </c>
      <c r="M187" s="7">
        <f t="shared" si="589"/>
        <v>13</v>
      </c>
      <c r="N187" s="7">
        <f t="shared" si="590"/>
        <v>584.46</v>
      </c>
      <c r="O187" s="7">
        <f t="shared" si="628"/>
        <v>57.3</v>
      </c>
      <c r="P187" s="7">
        <f t="shared" si="591"/>
        <v>56</v>
      </c>
      <c r="Q187" s="7">
        <f t="shared" si="630"/>
        <v>355.26</v>
      </c>
      <c r="R187" s="7">
        <v>2</v>
      </c>
      <c r="S187" s="7">
        <f t="shared" si="638"/>
        <v>376.59999999999997</v>
      </c>
      <c r="T187" s="7">
        <f t="shared" si="521"/>
        <v>1.5</v>
      </c>
      <c r="U187" s="7">
        <f t="shared" si="522"/>
        <v>1.5</v>
      </c>
      <c r="V187" s="7">
        <f t="shared" si="517"/>
        <v>4</v>
      </c>
      <c r="W187" s="7">
        <f t="shared" si="517"/>
        <v>4</v>
      </c>
      <c r="X187" s="7">
        <f t="shared" si="523"/>
        <v>5</v>
      </c>
      <c r="Y187" s="7">
        <f t="shared" si="524"/>
        <v>128.12669511073796</v>
      </c>
      <c r="Z187" s="7">
        <f t="shared" si="525"/>
        <v>583</v>
      </c>
      <c r="AA187" s="7">
        <v>25</v>
      </c>
      <c r="AB187" s="7">
        <f>(586+586)/2</f>
        <v>586</v>
      </c>
      <c r="AC187" s="7"/>
      <c r="AD187" s="4">
        <f t="shared" si="526"/>
        <v>1.3995998347943011</v>
      </c>
      <c r="AE187" s="7">
        <v>15.9</v>
      </c>
      <c r="AF187" s="7">
        <v>5</v>
      </c>
      <c r="AG187" s="7">
        <v>138</v>
      </c>
      <c r="AH187" s="7">
        <v>6</v>
      </c>
      <c r="AI187" s="7">
        <f t="shared" si="639"/>
        <v>5</v>
      </c>
      <c r="AJ187" s="7">
        <f t="shared" si="527"/>
        <v>5.4166666666666661</v>
      </c>
      <c r="AK187" s="4">
        <f t="shared" si="594"/>
        <v>744.9</v>
      </c>
      <c r="AL187" s="4">
        <f t="shared" si="595"/>
        <v>0.2615384615384615</v>
      </c>
      <c r="AM187" s="4">
        <f t="shared" si="596"/>
        <v>250.86804884585459</v>
      </c>
      <c r="AN187" s="4">
        <f t="shared" si="597"/>
        <v>0.72307692307692306</v>
      </c>
      <c r="AO187" s="4">
        <v>1.25</v>
      </c>
      <c r="AP187" s="4">
        <f t="shared" si="598"/>
        <v>2.5</v>
      </c>
      <c r="AQ187" s="38">
        <f t="shared" si="599"/>
        <v>148.25707916260191</v>
      </c>
      <c r="AR187" s="38">
        <f t="shared" si="600"/>
        <v>148.25707916260191</v>
      </c>
      <c r="AS187" s="38">
        <f t="shared" si="601"/>
        <v>3.538000882182009</v>
      </c>
      <c r="AT187" s="38">
        <f t="shared" si="461"/>
        <v>148.25707916260185</v>
      </c>
      <c r="AU187" s="38">
        <f t="shared" si="406"/>
        <v>1.0000000000000004</v>
      </c>
      <c r="AV187" s="38">
        <f t="shared" si="462"/>
        <v>1.6390448359871455</v>
      </c>
      <c r="AW187" s="4">
        <f t="shared" si="463"/>
        <v>0</v>
      </c>
      <c r="AX187" s="4">
        <f t="shared" si="528"/>
        <v>435.4289126254003</v>
      </c>
      <c r="AY187" s="4">
        <f t="shared" si="529"/>
        <v>1</v>
      </c>
      <c r="AZ187" s="38">
        <f t="shared" si="530"/>
        <v>243</v>
      </c>
      <c r="BA187" s="4">
        <f t="shared" si="531"/>
        <v>0.44000000000000006</v>
      </c>
      <c r="BB187" s="4">
        <f t="shared" si="532"/>
        <v>100.10510701257954</v>
      </c>
      <c r="BC187" s="4">
        <f t="shared" si="533"/>
        <v>343.10510701257954</v>
      </c>
      <c r="BE187" s="4">
        <f t="shared" si="534"/>
        <v>1.4</v>
      </c>
      <c r="BF187" s="4">
        <f t="shared" si="535"/>
        <v>614.75863556358433</v>
      </c>
      <c r="BH187" s="4">
        <f t="shared" si="536"/>
        <v>233.06671696357813</v>
      </c>
      <c r="BI187" s="4">
        <f t="shared" si="537"/>
        <v>450.3525339151019</v>
      </c>
      <c r="BJ187" s="4">
        <f t="shared" si="538"/>
        <v>1.9322902033475655</v>
      </c>
      <c r="BK187" s="4">
        <f t="shared" si="602"/>
        <v>57.3</v>
      </c>
      <c r="BL187" s="4">
        <f t="shared" si="603"/>
        <v>57.3</v>
      </c>
      <c r="BM187" s="4">
        <f t="shared" si="604"/>
        <v>376.59999999999997</v>
      </c>
      <c r="BN187" s="4">
        <f t="shared" si="605"/>
        <v>85.949999999999989</v>
      </c>
      <c r="BO187" s="4">
        <f t="shared" si="606"/>
        <v>1.25</v>
      </c>
      <c r="BP187" s="25">
        <f t="shared" si="607"/>
        <v>3.7341181582804643</v>
      </c>
      <c r="BR187" s="4">
        <f t="shared" si="539"/>
        <v>57.3</v>
      </c>
      <c r="BV187" s="9"/>
      <c r="BX187" s="9"/>
      <c r="BY187" s="9"/>
      <c r="BZ187" s="9">
        <f t="shared" si="540"/>
        <v>56</v>
      </c>
      <c r="CA187" s="9">
        <f t="shared" si="541"/>
        <v>177.63</v>
      </c>
      <c r="CB187" s="9">
        <f t="shared" si="542"/>
        <v>1.1754818988273255</v>
      </c>
      <c r="CC187" s="9">
        <v>20</v>
      </c>
      <c r="CD187" s="9">
        <f t="shared" si="543"/>
        <v>0.05</v>
      </c>
      <c r="CE187" s="9">
        <f t="shared" si="544"/>
        <v>0.8</v>
      </c>
      <c r="CF187" s="9">
        <f t="shared" si="545"/>
        <v>0.77971450958075206</v>
      </c>
      <c r="CG187" s="9">
        <f t="shared" si="546"/>
        <v>0.87549999999999994</v>
      </c>
      <c r="CH187" s="9">
        <f t="shared" si="547"/>
        <v>1.5205031436526735</v>
      </c>
      <c r="CI187" s="9">
        <f t="shared" si="548"/>
        <v>3.0037264373959012</v>
      </c>
      <c r="CJ187" s="9">
        <v>1</v>
      </c>
      <c r="CK187" s="9">
        <f t="shared" si="549"/>
        <v>336.41736098834093</v>
      </c>
      <c r="CM187" s="4">
        <f t="shared" si="550"/>
        <v>1.3457994703813709</v>
      </c>
      <c r="CN187" s="4">
        <f t="shared" si="551"/>
        <v>1.7079314414824931</v>
      </c>
      <c r="CO187" s="4">
        <f t="shared" si="552"/>
        <v>0.95321963141319743</v>
      </c>
      <c r="CP187" s="4">
        <f t="shared" si="553"/>
        <v>1.7418839452233523</v>
      </c>
      <c r="CQ187" s="4">
        <f t="shared" si="554"/>
        <v>1.3995998347943011</v>
      </c>
      <c r="CR187" s="4">
        <f t="shared" si="555"/>
        <v>1.5076213914643732</v>
      </c>
      <c r="CS187" s="4">
        <f t="shared" si="556"/>
        <v>1.2470860052703576</v>
      </c>
      <c r="DA187" s="4">
        <f t="shared" si="640"/>
        <v>1.3457994703813709</v>
      </c>
      <c r="DB187" s="4">
        <f t="shared" si="640"/>
        <v>1.7079314414824931</v>
      </c>
      <c r="DC187" s="4">
        <f>CP187</f>
        <v>1.7418839452233523</v>
      </c>
      <c r="DD187" s="4">
        <f t="shared" si="641"/>
        <v>1.2470860052703576</v>
      </c>
      <c r="DE187" s="4">
        <f t="shared" si="642"/>
        <v>1.3995998347943011</v>
      </c>
      <c r="DF187" s="4">
        <f t="shared" si="642"/>
        <v>1.5076213914643732</v>
      </c>
      <c r="DH187" s="4">
        <f t="shared" si="558"/>
        <v>5</v>
      </c>
      <c r="DI187" s="4">
        <f t="shared" si="559"/>
        <v>744.9</v>
      </c>
      <c r="DL187" s="4">
        <f t="shared" si="560"/>
        <v>2.4945063339588324E-5</v>
      </c>
      <c r="DM187" s="4">
        <f t="shared" si="561"/>
        <v>6.1949154836920748</v>
      </c>
      <c r="DN187" s="4">
        <f t="shared" si="562"/>
        <v>0.45625425325155472</v>
      </c>
      <c r="DO187" s="4">
        <f t="shared" si="563"/>
        <v>4.5260375855921167</v>
      </c>
      <c r="DP187" s="4">
        <f t="shared" si="564"/>
        <v>5.4251873753045228</v>
      </c>
      <c r="DQ187" s="4">
        <f t="shared" si="565"/>
        <v>5.1456890319944577</v>
      </c>
      <c r="DR187" s="38">
        <f t="shared" si="609"/>
        <v>418.69110400839986</v>
      </c>
      <c r="DS187" s="4">
        <f t="shared" si="566"/>
        <v>1.0001463322692512</v>
      </c>
      <c r="DT187" s="4">
        <f t="shared" si="567"/>
        <v>2.2360679774997898</v>
      </c>
      <c r="DU187" s="4">
        <f t="shared" si="568"/>
        <v>148.25707916260185</v>
      </c>
      <c r="DY187" s="4">
        <f t="shared" si="569"/>
        <v>1</v>
      </c>
      <c r="DZ187" s="4">
        <f t="shared" si="570"/>
        <v>1</v>
      </c>
      <c r="EA187" s="4">
        <f t="shared" si="610"/>
        <v>0.84400304267975113</v>
      </c>
      <c r="EB187" s="4">
        <f t="shared" si="571"/>
        <v>0.84400304267975113</v>
      </c>
      <c r="ED187" s="4">
        <f t="shared" si="611"/>
        <v>388.69175199935989</v>
      </c>
      <c r="EE187" s="25">
        <f t="shared" si="612"/>
        <v>147.09004813536899</v>
      </c>
      <c r="EH187" s="4">
        <f t="shared" si="613"/>
        <v>6.1949154836920748</v>
      </c>
      <c r="EK187" s="4">
        <f t="shared" si="572"/>
        <v>128.12669511073796</v>
      </c>
      <c r="EL187" s="4">
        <f t="shared" si="573"/>
        <v>2.2360679774997898</v>
      </c>
      <c r="EM187" s="4">
        <f t="shared" si="574"/>
        <v>0.15877045999106873</v>
      </c>
      <c r="EP187" s="4">
        <f t="shared" si="575"/>
        <v>0.15877045999106873</v>
      </c>
      <c r="EQ187" s="4">
        <f t="shared" si="576"/>
        <v>0.45549284993711125</v>
      </c>
      <c r="ER187" s="4">
        <f t="shared" si="577"/>
        <v>4.5230148263991863</v>
      </c>
      <c r="ES187" s="4">
        <f t="shared" si="578"/>
        <v>5.4239279497722386</v>
      </c>
      <c r="ET187" s="4">
        <f t="shared" si="579"/>
        <v>430.548304889262</v>
      </c>
      <c r="EU187" s="4">
        <f t="shared" si="580"/>
        <v>186.22500000000002</v>
      </c>
      <c r="EV187" s="4">
        <f t="shared" si="581"/>
        <v>2.4945063339588331E-5</v>
      </c>
      <c r="EW187" s="4">
        <f t="shared" si="582"/>
        <v>5.1459682840175045</v>
      </c>
      <c r="EX187" s="4">
        <f t="shared" si="583"/>
        <v>418.62984495321155</v>
      </c>
      <c r="FG187" s="23">
        <f t="shared" si="584"/>
        <v>1.4</v>
      </c>
      <c r="FH187" s="23">
        <f t="shared" si="584"/>
        <v>1.8</v>
      </c>
      <c r="FI187" s="23">
        <f t="shared" si="585"/>
        <v>1.4</v>
      </c>
      <c r="FJ187" s="23">
        <f t="shared" si="586"/>
        <v>1.8</v>
      </c>
      <c r="FK187" s="23">
        <f t="shared" si="586"/>
        <v>1.4</v>
      </c>
      <c r="FL187" s="23">
        <f t="shared" si="586"/>
        <v>1.6</v>
      </c>
      <c r="FM187" s="23">
        <f t="shared" si="587"/>
        <v>0</v>
      </c>
      <c r="FN187" s="23"/>
      <c r="FX187" s="4">
        <f t="shared" si="422"/>
        <v>1.25</v>
      </c>
      <c r="FY187" s="4">
        <f t="shared" si="513"/>
        <v>0.37067917575318227</v>
      </c>
      <c r="FZ187" s="4">
        <f t="shared" si="423"/>
        <v>0.3</v>
      </c>
      <c r="GA187" s="4">
        <f t="shared" si="424"/>
        <v>469.89541821773565</v>
      </c>
    </row>
    <row r="188" spans="1:183" ht="12" customHeight="1" x14ac:dyDescent="0.3">
      <c r="A188" s="25">
        <v>170</v>
      </c>
      <c r="B188" s="24" t="s">
        <v>128</v>
      </c>
      <c r="C188" s="24">
        <v>2017</v>
      </c>
      <c r="D188" s="24" t="s">
        <v>309</v>
      </c>
      <c r="E188" s="24"/>
      <c r="F188" s="4" t="s">
        <v>177</v>
      </c>
      <c r="G188" s="7">
        <v>583</v>
      </c>
      <c r="H188" s="7">
        <f t="shared" si="637"/>
        <v>744.9</v>
      </c>
      <c r="I188" s="7">
        <f t="shared" si="519"/>
        <v>744.9</v>
      </c>
      <c r="J188" s="7">
        <v>40.5</v>
      </c>
      <c r="K188" s="37">
        <v>57.3</v>
      </c>
      <c r="L188" s="7">
        <f t="shared" si="588"/>
        <v>13</v>
      </c>
      <c r="M188" s="7">
        <f t="shared" si="589"/>
        <v>13</v>
      </c>
      <c r="N188" s="7">
        <f t="shared" si="590"/>
        <v>584.46</v>
      </c>
      <c r="O188" s="7">
        <f t="shared" si="628"/>
        <v>57.3</v>
      </c>
      <c r="P188" s="7">
        <f t="shared" si="591"/>
        <v>56</v>
      </c>
      <c r="Q188" s="7">
        <f t="shared" si="630"/>
        <v>355.26</v>
      </c>
      <c r="R188" s="7">
        <v>2</v>
      </c>
      <c r="S188" s="7">
        <f t="shared" si="638"/>
        <v>376.59999999999997</v>
      </c>
      <c r="T188" s="7">
        <f t="shared" si="521"/>
        <v>1.5</v>
      </c>
      <c r="U188" s="7">
        <f t="shared" si="522"/>
        <v>1.5</v>
      </c>
      <c r="V188" s="7">
        <f t="shared" si="517"/>
        <v>4</v>
      </c>
      <c r="W188" s="7">
        <f t="shared" si="517"/>
        <v>4</v>
      </c>
      <c r="X188" s="7">
        <f t="shared" si="523"/>
        <v>5</v>
      </c>
      <c r="Y188" s="7">
        <f t="shared" si="524"/>
        <v>128.12669511073796</v>
      </c>
      <c r="Z188" s="7">
        <f t="shared" si="525"/>
        <v>583</v>
      </c>
      <c r="AA188" s="7">
        <v>25</v>
      </c>
      <c r="AB188" s="7">
        <f>(588+588)/2</f>
        <v>588</v>
      </c>
      <c r="AC188" s="7"/>
      <c r="AD188" s="4">
        <f t="shared" si="526"/>
        <v>1.4954653297038225</v>
      </c>
      <c r="AE188" s="7">
        <v>15.9</v>
      </c>
      <c r="AF188" s="7">
        <v>3</v>
      </c>
      <c r="AG188" s="7">
        <v>275</v>
      </c>
      <c r="AH188" s="7">
        <v>4</v>
      </c>
      <c r="AI188" s="7">
        <f t="shared" si="639"/>
        <v>3</v>
      </c>
      <c r="AJ188" s="7">
        <f t="shared" si="527"/>
        <v>5.4166666666666661</v>
      </c>
      <c r="AK188" s="4">
        <f t="shared" si="594"/>
        <v>744.9</v>
      </c>
      <c r="AL188" s="4">
        <f t="shared" si="595"/>
        <v>0.2615384615384615</v>
      </c>
      <c r="AM188" s="4">
        <f t="shared" si="596"/>
        <v>250.86804884585459</v>
      </c>
      <c r="AN188" s="4">
        <f t="shared" si="597"/>
        <v>0.72307692307692306</v>
      </c>
      <c r="AO188" s="4">
        <v>1.25</v>
      </c>
      <c r="AP188" s="4">
        <f t="shared" si="598"/>
        <v>2.5</v>
      </c>
      <c r="AQ188" s="38">
        <f t="shared" si="599"/>
        <v>148.25707916260191</v>
      </c>
      <c r="AR188" s="38">
        <f t="shared" si="600"/>
        <v>148.25707916260191</v>
      </c>
      <c r="AS188" s="38">
        <f t="shared" si="601"/>
        <v>3.538000882182009</v>
      </c>
      <c r="AT188" s="38">
        <f t="shared" si="461"/>
        <v>148.25707916260185</v>
      </c>
      <c r="AU188" s="38">
        <f t="shared" si="406"/>
        <v>1.0000000000000004</v>
      </c>
      <c r="AV188" s="38">
        <f t="shared" si="462"/>
        <v>1.6390448359871455</v>
      </c>
      <c r="AW188" s="4">
        <f t="shared" si="463"/>
        <v>0</v>
      </c>
      <c r="AX188" s="4">
        <f t="shared" si="528"/>
        <v>435.4289126254003</v>
      </c>
      <c r="AY188" s="4">
        <f t="shared" si="529"/>
        <v>1</v>
      </c>
      <c r="AZ188" s="38">
        <f t="shared" si="530"/>
        <v>243</v>
      </c>
      <c r="BA188" s="4">
        <f t="shared" si="531"/>
        <v>0.44000000000000006</v>
      </c>
      <c r="BB188" s="4">
        <f t="shared" si="532"/>
        <v>100.10510701257954</v>
      </c>
      <c r="BC188" s="4">
        <f t="shared" si="533"/>
        <v>343.10510701257954</v>
      </c>
      <c r="BE188" s="4">
        <f t="shared" si="534"/>
        <v>1.201612194511575</v>
      </c>
      <c r="BF188" s="4">
        <f t="shared" si="535"/>
        <v>527.64390941035731</v>
      </c>
      <c r="BH188" s="4">
        <f t="shared" si="536"/>
        <v>233.06671696357813</v>
      </c>
      <c r="BI188" s="4">
        <f t="shared" si="537"/>
        <v>450.3525339151019</v>
      </c>
      <c r="BJ188" s="4">
        <f t="shared" si="538"/>
        <v>1.9322902033475655</v>
      </c>
      <c r="BK188" s="4">
        <f t="shared" si="602"/>
        <v>57.3</v>
      </c>
      <c r="BL188" s="4">
        <f t="shared" si="603"/>
        <v>57.3</v>
      </c>
      <c r="BM188" s="4">
        <f t="shared" si="604"/>
        <v>376.59999999999997</v>
      </c>
      <c r="BN188" s="4">
        <f t="shared" si="605"/>
        <v>85.949999999999989</v>
      </c>
      <c r="BO188" s="4">
        <f t="shared" si="606"/>
        <v>1.25</v>
      </c>
      <c r="BP188" s="25">
        <f t="shared" si="607"/>
        <v>2.8079392939734693</v>
      </c>
      <c r="BR188" s="4">
        <f t="shared" si="539"/>
        <v>57.3</v>
      </c>
      <c r="BV188" s="9"/>
      <c r="BX188" s="9"/>
      <c r="BY188" s="9"/>
      <c r="BZ188" s="9">
        <f t="shared" si="540"/>
        <v>56</v>
      </c>
      <c r="CA188" s="9">
        <f t="shared" si="541"/>
        <v>177.63</v>
      </c>
      <c r="CB188" s="9">
        <f t="shared" si="542"/>
        <v>1.1754818988273255</v>
      </c>
      <c r="CC188" s="9">
        <v>20</v>
      </c>
      <c r="CD188" s="9">
        <f t="shared" si="543"/>
        <v>3.7802286470920307E-2</v>
      </c>
      <c r="CE188" s="9">
        <f t="shared" si="544"/>
        <v>0.55604572941840613</v>
      </c>
      <c r="CF188" s="9">
        <f t="shared" si="545"/>
        <v>0.77971450958075206</v>
      </c>
      <c r="CG188" s="9">
        <f t="shared" si="546"/>
        <v>0.87549999999999994</v>
      </c>
      <c r="CH188" s="9">
        <f t="shared" si="547"/>
        <v>1.5205031436526735</v>
      </c>
      <c r="CI188" s="9">
        <f t="shared" si="548"/>
        <v>2.632793202069093</v>
      </c>
      <c r="CJ188" s="9">
        <v>1</v>
      </c>
      <c r="CK188" s="9">
        <f t="shared" si="549"/>
        <v>294.87283863173843</v>
      </c>
      <c r="CM188" s="4">
        <f t="shared" si="550"/>
        <v>1.3503926426352324</v>
      </c>
      <c r="CN188" s="4">
        <f t="shared" si="551"/>
        <v>1.713760559030215</v>
      </c>
      <c r="CO188" s="4">
        <f t="shared" si="552"/>
        <v>1.114387922447718</v>
      </c>
      <c r="CP188" s="4">
        <f t="shared" si="553"/>
        <v>1.9940798980618999</v>
      </c>
      <c r="CQ188" s="4">
        <f t="shared" si="554"/>
        <v>1.4954653297038225</v>
      </c>
      <c r="CR188" s="4">
        <f t="shared" si="555"/>
        <v>1.6116129274598434</v>
      </c>
      <c r="CS188" s="4">
        <f t="shared" si="556"/>
        <v>1.2513422714999494</v>
      </c>
      <c r="DA188" s="4">
        <f t="shared" si="640"/>
        <v>1.3503926426352324</v>
      </c>
      <c r="DB188" s="4">
        <f t="shared" si="640"/>
        <v>1.713760559030215</v>
      </c>
      <c r="DC188" s="4">
        <f>CP188</f>
        <v>1.9940798980618999</v>
      </c>
      <c r="DD188" s="4">
        <f t="shared" si="641"/>
        <v>1.2513422714999494</v>
      </c>
      <c r="DE188" s="4">
        <f t="shared" si="642"/>
        <v>1.4954653297038225</v>
      </c>
      <c r="DF188" s="4">
        <f t="shared" si="642"/>
        <v>1.6116129274598434</v>
      </c>
      <c r="DH188" s="4">
        <f t="shared" si="558"/>
        <v>3</v>
      </c>
      <c r="DI188" s="4">
        <f t="shared" si="559"/>
        <v>744.9</v>
      </c>
      <c r="DL188" s="4">
        <f t="shared" si="560"/>
        <v>2.4945063339588324E-5</v>
      </c>
      <c r="DM188" s="4">
        <f t="shared" si="561"/>
        <v>5.5836366123976697</v>
      </c>
      <c r="DN188" s="4">
        <f t="shared" si="562"/>
        <v>0.45625425325155472</v>
      </c>
      <c r="DO188" s="4">
        <f t="shared" si="563"/>
        <v>4.0794340517682928</v>
      </c>
      <c r="DP188" s="4">
        <f t="shared" si="564"/>
        <v>4.8898608766514151</v>
      </c>
      <c r="DQ188" s="4">
        <f t="shared" si="565"/>
        <v>4.7288983440601244</v>
      </c>
      <c r="DR188" s="38">
        <f t="shared" si="609"/>
        <v>393.18865393987676</v>
      </c>
      <c r="DS188" s="4">
        <f t="shared" si="566"/>
        <v>1.0001412474896851</v>
      </c>
      <c r="DT188" s="4">
        <f t="shared" si="567"/>
        <v>2.2360679774997898</v>
      </c>
      <c r="DU188" s="4">
        <f t="shared" si="568"/>
        <v>148.25707916260185</v>
      </c>
      <c r="DY188" s="4">
        <f t="shared" si="569"/>
        <v>1</v>
      </c>
      <c r="DZ188" s="4">
        <f t="shared" si="570"/>
        <v>1</v>
      </c>
      <c r="EA188" s="4">
        <f t="shared" si="610"/>
        <v>0.93640182560785068</v>
      </c>
      <c r="EB188" s="4">
        <f t="shared" si="571"/>
        <v>0.93640182560785068</v>
      </c>
      <c r="ED188" s="4">
        <f t="shared" si="611"/>
        <v>364.8518760188781</v>
      </c>
      <c r="EE188" s="25">
        <f t="shared" si="612"/>
        <v>147.09004813536899</v>
      </c>
      <c r="EH188" s="4">
        <f t="shared" si="613"/>
        <v>5.5836366123976697</v>
      </c>
      <c r="EK188" s="4">
        <f t="shared" si="572"/>
        <v>128.12669511073796</v>
      </c>
      <c r="EL188" s="4">
        <f t="shared" si="573"/>
        <v>2.2360679774997898</v>
      </c>
      <c r="EM188" s="4">
        <f t="shared" si="574"/>
        <v>0.15877045999106873</v>
      </c>
      <c r="EP188" s="4">
        <f t="shared" si="575"/>
        <v>0.15877045999106873</v>
      </c>
      <c r="EQ188" s="4">
        <f t="shared" si="576"/>
        <v>0.45549284993711125</v>
      </c>
      <c r="ER188" s="4">
        <f t="shared" si="577"/>
        <v>4.07670956118492</v>
      </c>
      <c r="ES188" s="4">
        <f t="shared" si="578"/>
        <v>4.888725724036151</v>
      </c>
      <c r="ET188" s="4">
        <f t="shared" si="579"/>
        <v>430.548304889262</v>
      </c>
      <c r="EU188" s="4">
        <f t="shared" si="580"/>
        <v>186.22500000000002</v>
      </c>
      <c r="EV188" s="4">
        <f t="shared" si="581"/>
        <v>2.4945063339588331E-5</v>
      </c>
      <c r="EW188" s="4">
        <f t="shared" si="582"/>
        <v>4.7291258329784815</v>
      </c>
      <c r="EX188" s="4">
        <f t="shared" si="583"/>
        <v>393.13312487287641</v>
      </c>
      <c r="FG188" s="23">
        <f t="shared" si="584"/>
        <v>1.4</v>
      </c>
      <c r="FH188" s="23">
        <f t="shared" si="584"/>
        <v>1.8</v>
      </c>
      <c r="FI188" s="23">
        <f t="shared" si="585"/>
        <v>1.4</v>
      </c>
      <c r="FJ188" s="23">
        <f t="shared" si="586"/>
        <v>2</v>
      </c>
      <c r="FK188" s="23">
        <f t="shared" si="586"/>
        <v>1.6</v>
      </c>
      <c r="FL188" s="23">
        <f t="shared" si="586"/>
        <v>1.8</v>
      </c>
      <c r="FM188" s="23">
        <f t="shared" si="587"/>
        <v>0</v>
      </c>
      <c r="FN188" s="23"/>
      <c r="FX188" s="4">
        <f t="shared" si="422"/>
        <v>1.25</v>
      </c>
      <c r="FY188" s="4">
        <f t="shared" si="513"/>
        <v>0.37067917575318227</v>
      </c>
      <c r="FZ188" s="4">
        <f t="shared" si="423"/>
        <v>0.3</v>
      </c>
      <c r="GA188" s="4">
        <f t="shared" si="424"/>
        <v>469.89541821773565</v>
      </c>
    </row>
    <row r="189" spans="1:183" ht="12" customHeight="1" x14ac:dyDescent="0.3">
      <c r="A189" s="25">
        <v>171</v>
      </c>
      <c r="B189" s="24" t="s">
        <v>128</v>
      </c>
      <c r="C189" s="24">
        <v>2017</v>
      </c>
      <c r="D189" s="24" t="s">
        <v>309</v>
      </c>
      <c r="E189" s="24"/>
      <c r="F189" s="4" t="s">
        <v>178</v>
      </c>
      <c r="G189" s="7">
        <v>583</v>
      </c>
      <c r="H189" s="7">
        <f t="shared" si="637"/>
        <v>744.9</v>
      </c>
      <c r="I189" s="7">
        <f t="shared" si="519"/>
        <v>744.9</v>
      </c>
      <c r="J189" s="7">
        <v>40.5</v>
      </c>
      <c r="K189" s="37">
        <v>57.3</v>
      </c>
      <c r="L189" s="7">
        <f t="shared" si="588"/>
        <v>13</v>
      </c>
      <c r="M189" s="7">
        <f t="shared" si="589"/>
        <v>13</v>
      </c>
      <c r="N189" s="7">
        <f t="shared" si="590"/>
        <v>699.06000000000006</v>
      </c>
      <c r="O189" s="7">
        <f>2*K189</f>
        <v>114.6</v>
      </c>
      <c r="P189" s="7">
        <f t="shared" si="591"/>
        <v>56</v>
      </c>
      <c r="Q189" s="7">
        <f t="shared" si="630"/>
        <v>355.26</v>
      </c>
      <c r="R189" s="7">
        <v>2</v>
      </c>
      <c r="S189" s="7">
        <f t="shared" si="638"/>
        <v>376.59999999999997</v>
      </c>
      <c r="T189" s="7">
        <f t="shared" si="521"/>
        <v>2.5</v>
      </c>
      <c r="U189" s="7">
        <f t="shared" si="522"/>
        <v>2.5</v>
      </c>
      <c r="V189" s="7">
        <f t="shared" si="517"/>
        <v>4</v>
      </c>
      <c r="W189" s="7">
        <f t="shared" si="517"/>
        <v>4</v>
      </c>
      <c r="X189" s="7">
        <f t="shared" si="523"/>
        <v>5</v>
      </c>
      <c r="Y189" s="7">
        <f t="shared" si="524"/>
        <v>128.12669511073796</v>
      </c>
      <c r="Z189" s="7">
        <f t="shared" si="525"/>
        <v>583</v>
      </c>
      <c r="AA189" s="7">
        <v>25</v>
      </c>
      <c r="AB189" s="7">
        <f>(550+550)/2</f>
        <v>550</v>
      </c>
      <c r="AC189" s="7"/>
      <c r="AD189" s="4">
        <f t="shared" si="526"/>
        <v>1.2421247257802632</v>
      </c>
      <c r="AE189" s="7">
        <v>0</v>
      </c>
      <c r="AF189" s="7">
        <v>0</v>
      </c>
      <c r="AG189" s="7">
        <f>I189</f>
        <v>744.9</v>
      </c>
      <c r="AH189" s="7"/>
      <c r="AI189" s="7"/>
      <c r="AJ189" s="7">
        <f t="shared" si="527"/>
        <v>5.4166666666666661</v>
      </c>
      <c r="AK189" s="4">
        <f t="shared" si="594"/>
        <v>744.9</v>
      </c>
      <c r="AL189" s="4">
        <f t="shared" si="595"/>
        <v>0.31282051282051282</v>
      </c>
      <c r="AM189" s="4">
        <f t="shared" si="596"/>
        <v>250.86804884585459</v>
      </c>
      <c r="AN189" s="4">
        <f t="shared" si="597"/>
        <v>0.73846153846153839</v>
      </c>
      <c r="AO189" s="4">
        <v>1.25</v>
      </c>
      <c r="AP189" s="4">
        <f t="shared" si="598"/>
        <v>2.5</v>
      </c>
      <c r="AQ189" s="38">
        <f t="shared" si="599"/>
        <v>181.10001159286543</v>
      </c>
      <c r="AR189" s="38">
        <f t="shared" si="600"/>
        <v>181.10001159286543</v>
      </c>
      <c r="AS189" s="38">
        <f t="shared" si="601"/>
        <v>3.538000882182009</v>
      </c>
      <c r="AT189" s="38">
        <f t="shared" si="461"/>
        <v>181.10001159286537</v>
      </c>
      <c r="AU189" s="38">
        <f t="shared" si="406"/>
        <v>1.0000000000000002</v>
      </c>
      <c r="AV189" s="38">
        <f t="shared" si="462"/>
        <v>2.2363333742379252</v>
      </c>
      <c r="AW189" s="4">
        <f t="shared" si="463"/>
        <v>0</v>
      </c>
      <c r="AX189" s="4">
        <f t="shared" si="528"/>
        <v>435.4289126254003</v>
      </c>
      <c r="AY189" s="4">
        <f t="shared" si="529"/>
        <v>1</v>
      </c>
      <c r="AZ189" s="38">
        <f t="shared" si="530"/>
        <v>405</v>
      </c>
      <c r="BA189" s="4">
        <f t="shared" si="531"/>
        <v>0.44000000000000006</v>
      </c>
      <c r="BB189" s="4">
        <f t="shared" si="532"/>
        <v>100.10510701257954</v>
      </c>
      <c r="BC189" s="4">
        <f t="shared" si="533"/>
        <v>505.10510701257954</v>
      </c>
      <c r="BE189" s="4">
        <f t="shared" si="534"/>
        <v>1.25</v>
      </c>
      <c r="BF189" s="4">
        <f t="shared" si="535"/>
        <v>548.89163889605754</v>
      </c>
      <c r="BH189" s="4">
        <f t="shared" si="536"/>
        <v>388.44452827263018</v>
      </c>
      <c r="BI189" s="4">
        <f t="shared" si="537"/>
        <v>450.3525339151019</v>
      </c>
      <c r="BJ189" s="4">
        <f t="shared" si="538"/>
        <v>1.1593741220085394</v>
      </c>
      <c r="BK189" s="4">
        <f t="shared" si="602"/>
        <v>114.6</v>
      </c>
      <c r="BL189" s="4">
        <f t="shared" si="603"/>
        <v>114.6</v>
      </c>
      <c r="BM189" s="4">
        <f t="shared" si="604"/>
        <v>376.59999999999997</v>
      </c>
      <c r="BN189" s="4">
        <f t="shared" si="605"/>
        <v>143.25</v>
      </c>
      <c r="BO189" s="4">
        <f t="shared" si="606"/>
        <v>1.2286212914485166</v>
      </c>
      <c r="BP189" s="25">
        <f t="shared" si="607"/>
        <v>3.0715532286212914</v>
      </c>
      <c r="BR189" s="4">
        <f t="shared" si="539"/>
        <v>114.6</v>
      </c>
      <c r="BV189" s="9"/>
      <c r="BX189" s="9"/>
      <c r="BY189" s="9"/>
      <c r="BZ189" s="9">
        <f t="shared" si="540"/>
        <v>56</v>
      </c>
      <c r="CA189" s="9">
        <f t="shared" si="541"/>
        <v>177.63</v>
      </c>
      <c r="CB189" s="9">
        <f t="shared" si="542"/>
        <v>1.1754818988273255</v>
      </c>
      <c r="CC189" s="9">
        <v>0</v>
      </c>
      <c r="CD189" s="9">
        <f t="shared" si="543"/>
        <v>0</v>
      </c>
      <c r="CE189" s="9">
        <f t="shared" si="544"/>
        <v>0</v>
      </c>
      <c r="CF189" s="9">
        <f t="shared" si="545"/>
        <v>0.77971450958075206</v>
      </c>
      <c r="CG189" s="9">
        <f t="shared" si="546"/>
        <v>0.87549999999999994</v>
      </c>
      <c r="CH189" s="9">
        <f t="shared" si="547"/>
        <v>1.5205031436526735</v>
      </c>
      <c r="CI189" s="9">
        <f t="shared" si="548"/>
        <v>1.7873239224737623</v>
      </c>
      <c r="CJ189" s="9">
        <v>1</v>
      </c>
      <c r="CK189" s="9">
        <f t="shared" si="549"/>
        <v>200.18027931706138</v>
      </c>
      <c r="CM189" s="4">
        <f t="shared" si="550"/>
        <v>1.263122369811867</v>
      </c>
      <c r="CN189" s="4">
        <f t="shared" si="551"/>
        <v>1.0888822788843875</v>
      </c>
      <c r="CO189" s="4">
        <f t="shared" si="552"/>
        <v>1.0020192712466374</v>
      </c>
      <c r="CP189" s="4">
        <f t="shared" si="553"/>
        <v>2.7475233917965838</v>
      </c>
      <c r="CQ189" s="4">
        <f t="shared" si="554"/>
        <v>1.2421247257802632</v>
      </c>
      <c r="CR189" s="4">
        <f t="shared" si="555"/>
        <v>1.353732099805089</v>
      </c>
      <c r="CS189" s="4">
        <f t="shared" si="556"/>
        <v>1.3641026017932405</v>
      </c>
      <c r="CU189" s="4">
        <f t="shared" ref="CU189:CV204" si="643">CM189</f>
        <v>1.263122369811867</v>
      </c>
      <c r="CV189" s="4">
        <f t="shared" si="643"/>
        <v>1.0888822788843875</v>
      </c>
      <c r="CW189" s="4">
        <f>CP189</f>
        <v>2.7475233917965838</v>
      </c>
      <c r="CX189" s="4">
        <f t="shared" ref="CX189:CX199" si="644">CS189</f>
        <v>1.3641026017932405</v>
      </c>
      <c r="CY189" s="4">
        <f t="shared" ref="CY189:CZ204" si="645">CQ189</f>
        <v>1.2421247257802632</v>
      </c>
      <c r="CZ189" s="4">
        <f t="shared" si="645"/>
        <v>1.353732099805089</v>
      </c>
      <c r="DH189" s="4">
        <f t="shared" si="558"/>
        <v>0</v>
      </c>
      <c r="DI189" s="4">
        <f t="shared" si="559"/>
        <v>744.9</v>
      </c>
      <c r="DL189" s="4">
        <f t="shared" si="560"/>
        <v>2.4945063339588324E-5</v>
      </c>
      <c r="DM189" s="4">
        <f t="shared" si="561"/>
        <v>5.809475019311126</v>
      </c>
      <c r="DN189" s="4">
        <f t="shared" si="562"/>
        <v>0.55732684752630468</v>
      </c>
      <c r="DO189" s="4">
        <f t="shared" si="563"/>
        <v>4.5981260687888756</v>
      </c>
      <c r="DP189" s="4">
        <f t="shared" si="564"/>
        <v>5.2389764559133809</v>
      </c>
      <c r="DQ189" s="4">
        <f t="shared" si="565"/>
        <v>4.8539629856897069</v>
      </c>
      <c r="DR189" s="38">
        <f t="shared" si="609"/>
        <v>442.78967207138356</v>
      </c>
      <c r="DS189" s="4">
        <f t="shared" si="566"/>
        <v>1.0001454094918829</v>
      </c>
      <c r="DT189" s="4">
        <f t="shared" si="567"/>
        <v>2.2360679774997898</v>
      </c>
      <c r="DU189" s="4">
        <f t="shared" si="568"/>
        <v>181.10001159286537</v>
      </c>
      <c r="DY189" s="4">
        <f t="shared" si="569"/>
        <v>1</v>
      </c>
      <c r="DZ189" s="4">
        <f t="shared" si="570"/>
        <v>0.9</v>
      </c>
      <c r="EA189" s="4">
        <f t="shared" si="610"/>
        <v>1</v>
      </c>
      <c r="EB189" s="4">
        <f t="shared" si="571"/>
        <v>0.9</v>
      </c>
      <c r="ED189" s="4">
        <f t="shared" si="611"/>
        <v>406.28422719620022</v>
      </c>
      <c r="EE189" s="25">
        <f t="shared" si="612"/>
        <v>179.7147014430663</v>
      </c>
      <c r="EH189" s="4">
        <f t="shared" si="613"/>
        <v>5.809475019311126</v>
      </c>
      <c r="EK189" s="4">
        <f t="shared" si="572"/>
        <v>128.12669511073796</v>
      </c>
      <c r="EL189" s="4">
        <f t="shared" si="573"/>
        <v>2.2360679774997898</v>
      </c>
      <c r="EM189" s="4">
        <f t="shared" si="574"/>
        <v>0.19394238917557335</v>
      </c>
      <c r="EP189" s="4">
        <f t="shared" si="575"/>
        <v>0.19394238917557335</v>
      </c>
      <c r="EQ189" s="4">
        <f t="shared" si="576"/>
        <v>0.5563967728893876</v>
      </c>
      <c r="ER189" s="4">
        <f t="shared" si="577"/>
        <v>4.5950551645858413</v>
      </c>
      <c r="ES189" s="4">
        <f t="shared" si="578"/>
        <v>5.2376296069701249</v>
      </c>
      <c r="ET189" s="4">
        <f t="shared" si="579"/>
        <v>430.548304889262</v>
      </c>
      <c r="EU189" s="4">
        <f t="shared" si="580"/>
        <v>186.22500000000002</v>
      </c>
      <c r="EV189" s="4">
        <f t="shared" si="581"/>
        <v>2.4945063339588331E-5</v>
      </c>
      <c r="EW189" s="4">
        <f t="shared" si="582"/>
        <v>4.8542376831927685</v>
      </c>
      <c r="EX189" s="4">
        <f t="shared" si="583"/>
        <v>442.72529561110508</v>
      </c>
      <c r="FG189" s="23">
        <f t="shared" si="584"/>
        <v>1.4</v>
      </c>
      <c r="FH189" s="23">
        <f t="shared" si="584"/>
        <v>1.2</v>
      </c>
      <c r="FI189" s="23">
        <f t="shared" si="585"/>
        <v>1.4</v>
      </c>
      <c r="FJ189" s="23">
        <f t="shared" si="586"/>
        <v>2.2000000000000002</v>
      </c>
      <c r="FK189" s="23">
        <f t="shared" si="586"/>
        <v>1.4</v>
      </c>
      <c r="FL189" s="23">
        <f t="shared" si="586"/>
        <v>1.4</v>
      </c>
      <c r="FM189" s="23">
        <f t="shared" si="587"/>
        <v>0</v>
      </c>
      <c r="FN189" s="23"/>
      <c r="FX189" s="4">
        <f t="shared" si="422"/>
        <v>1</v>
      </c>
      <c r="FY189" s="4">
        <f t="shared" si="513"/>
        <v>0.54</v>
      </c>
      <c r="FZ189" s="4">
        <f t="shared" si="423"/>
        <v>0</v>
      </c>
      <c r="GA189" s="4">
        <f t="shared" si="424"/>
        <v>403.195477581359</v>
      </c>
    </row>
    <row r="190" spans="1:183" ht="12" customHeight="1" x14ac:dyDescent="0.3">
      <c r="A190" s="25">
        <v>172</v>
      </c>
      <c r="B190" s="24" t="s">
        <v>128</v>
      </c>
      <c r="C190" s="24">
        <v>2017</v>
      </c>
      <c r="D190" s="24" t="s">
        <v>309</v>
      </c>
      <c r="E190" s="24"/>
      <c r="F190" s="4" t="s">
        <v>179</v>
      </c>
      <c r="G190" s="7">
        <v>583</v>
      </c>
      <c r="H190" s="7">
        <f>16*K190</f>
        <v>916.8</v>
      </c>
      <c r="I190" s="7">
        <f t="shared" si="519"/>
        <v>916.8</v>
      </c>
      <c r="J190" s="7">
        <v>41.8</v>
      </c>
      <c r="K190" s="37">
        <v>57.3</v>
      </c>
      <c r="L190" s="7">
        <f t="shared" si="588"/>
        <v>16</v>
      </c>
      <c r="M190" s="7">
        <f t="shared" si="589"/>
        <v>16</v>
      </c>
      <c r="N190" s="7">
        <f t="shared" si="590"/>
        <v>584.46</v>
      </c>
      <c r="O190" s="7">
        <f t="shared" ref="O190" si="646">1*K190</f>
        <v>57.3</v>
      </c>
      <c r="P190" s="7">
        <f t="shared" si="591"/>
        <v>56</v>
      </c>
      <c r="Q190" s="7">
        <f t="shared" si="630"/>
        <v>355.26</v>
      </c>
      <c r="R190" s="7">
        <v>2</v>
      </c>
      <c r="S190" s="7">
        <f t="shared" si="638"/>
        <v>491.19999999999993</v>
      </c>
      <c r="T190" s="7">
        <f t="shared" si="521"/>
        <v>1.5</v>
      </c>
      <c r="U190" s="7">
        <f t="shared" si="522"/>
        <v>1.5</v>
      </c>
      <c r="V190" s="7">
        <f t="shared" si="517"/>
        <v>4</v>
      </c>
      <c r="W190" s="7">
        <f t="shared" si="517"/>
        <v>4</v>
      </c>
      <c r="X190" s="7">
        <f t="shared" si="523"/>
        <v>5</v>
      </c>
      <c r="Y190" s="7">
        <f t="shared" si="524"/>
        <v>128.12669511073796</v>
      </c>
      <c r="Z190" s="7">
        <f t="shared" si="525"/>
        <v>583</v>
      </c>
      <c r="AA190" s="7">
        <v>25</v>
      </c>
      <c r="AB190" s="7">
        <f>(510+510)/2</f>
        <v>510</v>
      </c>
      <c r="AC190" s="7"/>
      <c r="AD190" s="4">
        <f t="shared" si="526"/>
        <v>1.1290382156017438</v>
      </c>
      <c r="AE190" s="7">
        <v>0</v>
      </c>
      <c r="AF190" s="7">
        <v>0</v>
      </c>
      <c r="AG190" s="7">
        <f t="shared" ref="AG190:AG199" si="647">I190</f>
        <v>916.8</v>
      </c>
      <c r="AH190" s="7"/>
      <c r="AI190" s="7"/>
      <c r="AJ190" s="7">
        <f t="shared" si="527"/>
        <v>6.6666666666666661</v>
      </c>
      <c r="AK190" s="4">
        <f t="shared" si="594"/>
        <v>916.8</v>
      </c>
      <c r="AL190" s="4">
        <f t="shared" si="595"/>
        <v>0.21250000000000002</v>
      </c>
      <c r="AM190" s="4">
        <f t="shared" si="596"/>
        <v>347.99333558360394</v>
      </c>
      <c r="AN190" s="4">
        <f t="shared" si="597"/>
        <v>0.71875</v>
      </c>
      <c r="AO190" s="4">
        <v>1.25</v>
      </c>
      <c r="AP190" s="4">
        <f t="shared" si="598"/>
        <v>2.5</v>
      </c>
      <c r="AQ190" s="38">
        <f t="shared" si="599"/>
        <v>166.0954519203969</v>
      </c>
      <c r="AR190" s="38">
        <f t="shared" si="600"/>
        <v>166.0954519203969</v>
      </c>
      <c r="AS190" s="38">
        <f t="shared" si="601"/>
        <v>3.613311826901703</v>
      </c>
      <c r="AT190" s="38">
        <f t="shared" si="461"/>
        <v>166.09545192039693</v>
      </c>
      <c r="AU190" s="38">
        <f t="shared" si="406"/>
        <v>0.99999999999999978</v>
      </c>
      <c r="AV190" s="38">
        <f t="shared" si="462"/>
        <v>1.5099751203314022</v>
      </c>
      <c r="AW190" s="4">
        <f t="shared" si="463"/>
        <v>0</v>
      </c>
      <c r="AX190" s="4">
        <f t="shared" si="528"/>
        <v>544.4456379029765</v>
      </c>
      <c r="AY190" s="4">
        <f t="shared" si="529"/>
        <v>1</v>
      </c>
      <c r="AZ190" s="38">
        <f t="shared" si="530"/>
        <v>250.79999999999998</v>
      </c>
      <c r="BA190" s="4">
        <f t="shared" si="531"/>
        <v>0.44000000000000006</v>
      </c>
      <c r="BB190" s="4">
        <f t="shared" si="532"/>
        <v>125.16805215389429</v>
      </c>
      <c r="BC190" s="4">
        <f t="shared" si="533"/>
        <v>375.96805215389429</v>
      </c>
      <c r="BE190" s="4">
        <f t="shared" si="534"/>
        <v>1</v>
      </c>
      <c r="BF190" s="4">
        <f t="shared" si="535"/>
        <v>504.29277210763195</v>
      </c>
      <c r="BH190" s="4">
        <f t="shared" si="536"/>
        <v>240.54787084142137</v>
      </c>
      <c r="BI190" s="4">
        <f t="shared" si="537"/>
        <v>450.3525339151019</v>
      </c>
      <c r="BJ190" s="4">
        <f t="shared" si="538"/>
        <v>1.8721950534826892</v>
      </c>
      <c r="BK190" s="4">
        <f t="shared" si="602"/>
        <v>57.3</v>
      </c>
      <c r="BL190" s="4">
        <f t="shared" si="603"/>
        <v>57.3</v>
      </c>
      <c r="BM190" s="4">
        <f t="shared" si="604"/>
        <v>491.19999999999993</v>
      </c>
      <c r="BN190" s="4">
        <f t="shared" si="605"/>
        <v>85.949999999999989</v>
      </c>
      <c r="BO190" s="4">
        <f t="shared" si="606"/>
        <v>1.25</v>
      </c>
      <c r="BP190" s="25">
        <f t="shared" si="607"/>
        <v>1.8749999999999998</v>
      </c>
      <c r="BR190" s="4">
        <f t="shared" si="539"/>
        <v>57.3</v>
      </c>
      <c r="BV190" s="9"/>
      <c r="BX190" s="9"/>
      <c r="BY190" s="9"/>
      <c r="BZ190" s="9">
        <f t="shared" si="540"/>
        <v>56</v>
      </c>
      <c r="CA190" s="9">
        <f t="shared" si="541"/>
        <v>177.63</v>
      </c>
      <c r="CB190" s="9">
        <f t="shared" si="542"/>
        <v>1.1754818988273255</v>
      </c>
      <c r="CC190" s="9">
        <v>0</v>
      </c>
      <c r="CD190" s="9">
        <f t="shared" si="543"/>
        <v>0</v>
      </c>
      <c r="CE190" s="9">
        <f t="shared" si="544"/>
        <v>0</v>
      </c>
      <c r="CF190" s="9">
        <f t="shared" si="545"/>
        <v>0.77971450958075206</v>
      </c>
      <c r="CG190" s="9">
        <f t="shared" si="546"/>
        <v>0.87549999999999994</v>
      </c>
      <c r="CH190" s="9">
        <f t="shared" si="547"/>
        <v>1.5447135341285001</v>
      </c>
      <c r="CI190" s="9">
        <f t="shared" si="548"/>
        <v>1.8157827982416379</v>
      </c>
      <c r="CJ190" s="9">
        <v>1</v>
      </c>
      <c r="CK190" s="9">
        <f t="shared" si="549"/>
        <v>225.15706698196311</v>
      </c>
      <c r="CM190" s="4">
        <f t="shared" si="550"/>
        <v>0.9367326404971309</v>
      </c>
      <c r="CN190" s="4">
        <f t="shared" si="551"/>
        <v>1.3564982372258658</v>
      </c>
      <c r="CO190" s="4">
        <f t="shared" si="552"/>
        <v>1.0113172906851617</v>
      </c>
      <c r="CP190" s="4">
        <f t="shared" si="553"/>
        <v>2.265085466053149</v>
      </c>
      <c r="CQ190" s="4">
        <f t="shared" si="554"/>
        <v>1.1290382156017438</v>
      </c>
      <c r="CR190" s="4">
        <f t="shared" si="555"/>
        <v>1.2140631955584191</v>
      </c>
      <c r="CS190" s="4">
        <f t="shared" si="556"/>
        <v>1.27455209712855</v>
      </c>
      <c r="CU190" s="4">
        <f t="shared" si="643"/>
        <v>0.9367326404971309</v>
      </c>
      <c r="CV190" s="4">
        <f t="shared" si="643"/>
        <v>1.3564982372258658</v>
      </c>
      <c r="CW190" s="4">
        <f>CP190</f>
        <v>2.265085466053149</v>
      </c>
      <c r="CX190" s="4">
        <f t="shared" si="644"/>
        <v>1.27455209712855</v>
      </c>
      <c r="CY190" s="4">
        <f t="shared" si="645"/>
        <v>1.1290382156017438</v>
      </c>
      <c r="CZ190" s="4">
        <f t="shared" si="645"/>
        <v>1.2140631955584191</v>
      </c>
      <c r="DH190" s="4">
        <f t="shared" si="558"/>
        <v>0</v>
      </c>
      <c r="DI190" s="4">
        <f t="shared" si="559"/>
        <v>916.8</v>
      </c>
      <c r="DL190" s="4">
        <f t="shared" si="560"/>
        <v>3.0965438467699871E-5</v>
      </c>
      <c r="DM190" s="4">
        <f t="shared" si="561"/>
        <v>5.3117793628877328</v>
      </c>
      <c r="DN190" s="4">
        <f t="shared" si="562"/>
        <v>0.49525397314162617</v>
      </c>
      <c r="DO190" s="4">
        <f t="shared" si="563"/>
        <v>4.0102478497857943</v>
      </c>
      <c r="DP190" s="4">
        <f t="shared" si="564"/>
        <v>4.7063105644554275</v>
      </c>
      <c r="DQ190" s="4">
        <f t="shared" si="565"/>
        <v>4.1212073343230777</v>
      </c>
      <c r="DR190" s="38">
        <f t="shared" si="609"/>
        <v>451.71190217700928</v>
      </c>
      <c r="DS190" s="4">
        <f t="shared" si="566"/>
        <v>1.0001406096231449</v>
      </c>
      <c r="DT190" s="4">
        <f t="shared" si="567"/>
        <v>2.2360679774997898</v>
      </c>
      <c r="DU190" s="4">
        <f t="shared" si="568"/>
        <v>166.09545192039693</v>
      </c>
      <c r="DY190" s="4">
        <f t="shared" si="569"/>
        <v>1</v>
      </c>
      <c r="DZ190" s="4">
        <f t="shared" si="570"/>
        <v>1</v>
      </c>
      <c r="EA190" s="4">
        <f t="shared" si="610"/>
        <v>1</v>
      </c>
      <c r="EB190" s="4">
        <f t="shared" si="571"/>
        <v>1</v>
      </c>
      <c r="ED190" s="4">
        <f t="shared" si="611"/>
        <v>420.07697940750188</v>
      </c>
      <c r="EE190" s="25">
        <f t="shared" si="612"/>
        <v>165.11156998889066</v>
      </c>
      <c r="EH190" s="4">
        <f t="shared" si="613"/>
        <v>5.3117793628877328</v>
      </c>
      <c r="EK190" s="4">
        <f t="shared" si="572"/>
        <v>128.12669511073796</v>
      </c>
      <c r="EL190" s="4">
        <f t="shared" si="573"/>
        <v>2.2360679774997898</v>
      </c>
      <c r="EM190" s="4">
        <f t="shared" si="574"/>
        <v>0.17508598130474001</v>
      </c>
      <c r="EP190" s="4">
        <f t="shared" si="575"/>
        <v>0.17508598130474001</v>
      </c>
      <c r="EQ190" s="4">
        <f t="shared" si="576"/>
        <v>0.4944274865632457</v>
      </c>
      <c r="ER190" s="4">
        <f t="shared" si="577"/>
        <v>4.0075695658951647</v>
      </c>
      <c r="ES190" s="4">
        <f t="shared" si="578"/>
        <v>4.7051704844984386</v>
      </c>
      <c r="ET190" s="4">
        <f t="shared" si="579"/>
        <v>559.47330488926195</v>
      </c>
      <c r="EU190" s="4">
        <f t="shared" si="580"/>
        <v>229.20000000000005</v>
      </c>
      <c r="EV190" s="4">
        <f t="shared" si="581"/>
        <v>3.0965438467699885E-5</v>
      </c>
      <c r="EW190" s="4">
        <f t="shared" si="582"/>
        <v>4.1215183244109621</v>
      </c>
      <c r="EX190" s="4">
        <f t="shared" si="583"/>
        <v>451.64839606624446</v>
      </c>
      <c r="FG190" s="23">
        <f t="shared" si="584"/>
        <v>1</v>
      </c>
      <c r="FH190" s="23">
        <f t="shared" si="584"/>
        <v>1.4</v>
      </c>
      <c r="FI190" s="23">
        <f t="shared" si="585"/>
        <v>1.4</v>
      </c>
      <c r="FJ190" s="23">
        <f t="shared" si="586"/>
        <v>2.2000000000000002</v>
      </c>
      <c r="FK190" s="23">
        <f t="shared" si="586"/>
        <v>1.2</v>
      </c>
      <c r="FL190" s="23">
        <f t="shared" si="586"/>
        <v>1.4</v>
      </c>
      <c r="FM190" s="23">
        <f t="shared" si="587"/>
        <v>0</v>
      </c>
      <c r="FN190" s="23"/>
      <c r="FX190" s="4">
        <f t="shared" si="422"/>
        <v>1.25</v>
      </c>
      <c r="FY190" s="4">
        <f t="shared" si="513"/>
        <v>0.54</v>
      </c>
      <c r="FZ190" s="4">
        <f t="shared" si="423"/>
        <v>0</v>
      </c>
      <c r="GA190" s="4">
        <f t="shared" si="424"/>
        <v>400.14056792890898</v>
      </c>
    </row>
    <row r="191" spans="1:183" ht="12" customHeight="1" x14ac:dyDescent="0.3">
      <c r="A191" s="25">
        <v>173</v>
      </c>
      <c r="B191" s="24" t="s">
        <v>128</v>
      </c>
      <c r="C191" s="24">
        <v>2017</v>
      </c>
      <c r="D191" s="24" t="s">
        <v>309</v>
      </c>
      <c r="E191" s="24"/>
      <c r="F191" s="4" t="s">
        <v>180</v>
      </c>
      <c r="G191" s="7">
        <v>583</v>
      </c>
      <c r="H191" s="7">
        <f>16*K191</f>
        <v>916.8</v>
      </c>
      <c r="I191" s="7">
        <f t="shared" si="519"/>
        <v>916.8</v>
      </c>
      <c r="J191" s="7">
        <v>41.8</v>
      </c>
      <c r="K191" s="37">
        <v>57.3</v>
      </c>
      <c r="L191" s="7">
        <f t="shared" si="588"/>
        <v>16</v>
      </c>
      <c r="M191" s="7">
        <f t="shared" si="589"/>
        <v>16</v>
      </c>
      <c r="N191" s="7">
        <f t="shared" si="590"/>
        <v>699.06000000000006</v>
      </c>
      <c r="O191" s="7">
        <f>2*K191</f>
        <v>114.6</v>
      </c>
      <c r="P191" s="7">
        <f t="shared" si="591"/>
        <v>56</v>
      </c>
      <c r="Q191" s="7">
        <f t="shared" si="630"/>
        <v>355.26</v>
      </c>
      <c r="R191" s="7">
        <v>2</v>
      </c>
      <c r="S191" s="7">
        <f t="shared" si="638"/>
        <v>491.19999999999993</v>
      </c>
      <c r="T191" s="7">
        <f t="shared" si="521"/>
        <v>2.5</v>
      </c>
      <c r="U191" s="7">
        <f t="shared" si="522"/>
        <v>2.5</v>
      </c>
      <c r="V191" s="7">
        <f t="shared" si="517"/>
        <v>4</v>
      </c>
      <c r="W191" s="7">
        <f t="shared" si="517"/>
        <v>4</v>
      </c>
      <c r="X191" s="7">
        <f t="shared" si="523"/>
        <v>5</v>
      </c>
      <c r="Y191" s="7">
        <f t="shared" si="524"/>
        <v>128.12669511073796</v>
      </c>
      <c r="Z191" s="7">
        <f t="shared" si="525"/>
        <v>583</v>
      </c>
      <c r="AA191" s="7">
        <v>25</v>
      </c>
      <c r="AB191" s="7">
        <f>(588+588)/2</f>
        <v>588</v>
      </c>
      <c r="AC191" s="7"/>
      <c r="AD191" s="4">
        <f t="shared" si="526"/>
        <v>1.118054357765794</v>
      </c>
      <c r="AE191" s="7">
        <v>0</v>
      </c>
      <c r="AF191" s="7">
        <v>0</v>
      </c>
      <c r="AG191" s="7">
        <f t="shared" si="647"/>
        <v>916.8</v>
      </c>
      <c r="AH191" s="7"/>
      <c r="AI191" s="7"/>
      <c r="AJ191" s="7">
        <f t="shared" si="527"/>
        <v>6.6666666666666661</v>
      </c>
      <c r="AK191" s="4">
        <f t="shared" si="594"/>
        <v>916.8</v>
      </c>
      <c r="AL191" s="4">
        <f t="shared" si="595"/>
        <v>0.25416666666666665</v>
      </c>
      <c r="AM191" s="4">
        <f t="shared" si="596"/>
        <v>347.99333558360394</v>
      </c>
      <c r="AN191" s="4">
        <f t="shared" si="597"/>
        <v>0.73124999999999996</v>
      </c>
      <c r="AO191" s="4">
        <v>1.25</v>
      </c>
      <c r="AP191" s="4">
        <f>AP190</f>
        <v>2.5</v>
      </c>
      <c r="AQ191" s="38">
        <f t="shared" si="599"/>
        <v>202.11819954916837</v>
      </c>
      <c r="AR191" s="38">
        <f t="shared" si="600"/>
        <v>202.11819954916837</v>
      </c>
      <c r="AS191" s="38">
        <f t="shared" si="601"/>
        <v>3.613311826901703</v>
      </c>
      <c r="AT191" s="38">
        <f t="shared" si="461"/>
        <v>202.11819954916842</v>
      </c>
      <c r="AU191" s="38">
        <f t="shared" si="406"/>
        <v>0.99999999999999967</v>
      </c>
      <c r="AV191" s="38">
        <f t="shared" si="462"/>
        <v>2.068096791542589</v>
      </c>
      <c r="AW191" s="4">
        <f t="shared" si="463"/>
        <v>0</v>
      </c>
      <c r="AX191" s="4">
        <f t="shared" si="528"/>
        <v>544.4456379029765</v>
      </c>
      <c r="AY191" s="4">
        <f t="shared" si="529"/>
        <v>1</v>
      </c>
      <c r="AZ191" s="38">
        <f t="shared" si="530"/>
        <v>418</v>
      </c>
      <c r="BA191" s="4">
        <f t="shared" si="531"/>
        <v>0.44000000000000006</v>
      </c>
      <c r="BB191" s="4">
        <f t="shared" si="532"/>
        <v>125.16805215389429</v>
      </c>
      <c r="BC191" s="4">
        <f t="shared" si="533"/>
        <v>543.16805215389434</v>
      </c>
      <c r="BE191" s="4">
        <f t="shared" si="534"/>
        <v>1.25</v>
      </c>
      <c r="BF191" s="4">
        <f t="shared" si="535"/>
        <v>630.36596513453992</v>
      </c>
      <c r="BH191" s="4">
        <f t="shared" si="536"/>
        <v>400.91311806903559</v>
      </c>
      <c r="BI191" s="4">
        <f t="shared" si="537"/>
        <v>450.3525339151019</v>
      </c>
      <c r="BJ191" s="4">
        <f t="shared" si="538"/>
        <v>1.1233170320896135</v>
      </c>
      <c r="BK191" s="4">
        <f t="shared" si="602"/>
        <v>114.6</v>
      </c>
      <c r="BL191" s="4">
        <f t="shared" si="603"/>
        <v>114.6</v>
      </c>
      <c r="BM191" s="4">
        <f t="shared" si="604"/>
        <v>491.19999999999993</v>
      </c>
      <c r="BN191" s="4">
        <f t="shared" si="605"/>
        <v>143.25</v>
      </c>
      <c r="BO191" s="4">
        <f t="shared" si="606"/>
        <v>1.25</v>
      </c>
      <c r="BP191" s="25">
        <f t="shared" si="607"/>
        <v>3.125</v>
      </c>
      <c r="BR191" s="4">
        <f t="shared" si="539"/>
        <v>114.6</v>
      </c>
      <c r="BV191" s="9"/>
      <c r="BX191" s="9"/>
      <c r="BY191" s="9"/>
      <c r="BZ191" s="9">
        <f t="shared" si="540"/>
        <v>56</v>
      </c>
      <c r="CA191" s="9">
        <f t="shared" si="541"/>
        <v>177.63</v>
      </c>
      <c r="CB191" s="9">
        <f t="shared" si="542"/>
        <v>1.1754818988273255</v>
      </c>
      <c r="CC191" s="9">
        <v>0</v>
      </c>
      <c r="CD191" s="9">
        <f t="shared" si="543"/>
        <v>0</v>
      </c>
      <c r="CE191" s="9">
        <f t="shared" si="544"/>
        <v>0</v>
      </c>
      <c r="CF191" s="9">
        <f t="shared" si="545"/>
        <v>0.77971450958075206</v>
      </c>
      <c r="CG191" s="9">
        <f t="shared" si="546"/>
        <v>0.87549999999999994</v>
      </c>
      <c r="CH191" s="9">
        <f t="shared" si="547"/>
        <v>1.5447135341285001</v>
      </c>
      <c r="CI191" s="9">
        <f t="shared" si="548"/>
        <v>1.8157827982416379</v>
      </c>
      <c r="CJ191" s="9">
        <v>1</v>
      </c>
      <c r="CK191" s="9">
        <f t="shared" si="549"/>
        <v>225.15706698196311</v>
      </c>
      <c r="CM191" s="4">
        <f t="shared" si="550"/>
        <v>1.0799976325731626</v>
      </c>
      <c r="CN191" s="4">
        <f t="shared" si="551"/>
        <v>1.0825378953499341</v>
      </c>
      <c r="CO191" s="4">
        <f t="shared" si="552"/>
        <v>0.93279147752607849</v>
      </c>
      <c r="CP191" s="4">
        <f t="shared" si="553"/>
        <v>2.6115103020377481</v>
      </c>
      <c r="CQ191" s="4">
        <f t="shared" si="554"/>
        <v>1.118054357765794</v>
      </c>
      <c r="CR191" s="4">
        <f t="shared" si="555"/>
        <v>1.2142589675863487</v>
      </c>
      <c r="CS191" s="4">
        <f t="shared" si="556"/>
        <v>1.1755868754691567</v>
      </c>
      <c r="CU191" s="4">
        <f t="shared" si="643"/>
        <v>1.0799976325731626</v>
      </c>
      <c r="CV191" s="4">
        <f t="shared" si="643"/>
        <v>1.0825378953499341</v>
      </c>
      <c r="CW191" s="4">
        <f>CP191</f>
        <v>2.6115103020377481</v>
      </c>
      <c r="CX191" s="4">
        <f t="shared" si="644"/>
        <v>1.1755868754691567</v>
      </c>
      <c r="CY191" s="4">
        <f t="shared" si="645"/>
        <v>1.118054357765794</v>
      </c>
      <c r="CZ191" s="4">
        <f t="shared" si="645"/>
        <v>1.2142589675863487</v>
      </c>
      <c r="DH191" s="4">
        <f t="shared" si="558"/>
        <v>0</v>
      </c>
      <c r="DI191" s="4">
        <f t="shared" si="559"/>
        <v>916.8</v>
      </c>
      <c r="DL191" s="4">
        <f t="shared" si="560"/>
        <v>3.0965438467699871E-5</v>
      </c>
      <c r="DM191" s="4">
        <f t="shared" si="561"/>
        <v>5.9019770698752589</v>
      </c>
      <c r="DN191" s="4">
        <f t="shared" si="562"/>
        <v>0.6026645535058458</v>
      </c>
      <c r="DO191" s="4">
        <f t="shared" si="563"/>
        <v>4.8197862381440757</v>
      </c>
      <c r="DP191" s="4">
        <f t="shared" si="564"/>
        <v>5.3881474261259941</v>
      </c>
      <c r="DQ191" s="4">
        <f t="shared" si="565"/>
        <v>4.390494243913488</v>
      </c>
      <c r="DR191" s="38">
        <f t="shared" si="609"/>
        <v>525.91360689743146</v>
      </c>
      <c r="DS191" s="4">
        <f t="shared" si="566"/>
        <v>1.0001486407882336</v>
      </c>
      <c r="DT191" s="4">
        <f t="shared" si="567"/>
        <v>2.2360679774997898</v>
      </c>
      <c r="DU191" s="4">
        <f t="shared" si="568"/>
        <v>202.11819954916842</v>
      </c>
      <c r="DY191" s="4">
        <f t="shared" si="569"/>
        <v>1</v>
      </c>
      <c r="DZ191" s="4">
        <f t="shared" si="570"/>
        <v>0.9</v>
      </c>
      <c r="EA191" s="4">
        <f t="shared" si="610"/>
        <v>1</v>
      </c>
      <c r="EB191" s="4">
        <f t="shared" si="571"/>
        <v>0.9</v>
      </c>
      <c r="ED191" s="4">
        <f t="shared" si="611"/>
        <v>484.24596045504273</v>
      </c>
      <c r="EE191" s="25">
        <f t="shared" si="612"/>
        <v>200.95106110103035</v>
      </c>
      <c r="EH191" s="4">
        <f t="shared" si="613"/>
        <v>5.9019770698752589</v>
      </c>
      <c r="EK191" s="4">
        <f t="shared" si="572"/>
        <v>128.12669511073796</v>
      </c>
      <c r="EL191" s="4">
        <f t="shared" si="573"/>
        <v>2.2360679774997898</v>
      </c>
      <c r="EM191" s="4">
        <f t="shared" si="574"/>
        <v>0.21305859310689335</v>
      </c>
      <c r="EP191" s="4">
        <f t="shared" si="575"/>
        <v>0.21305859310689335</v>
      </c>
      <c r="EQ191" s="4">
        <f t="shared" si="576"/>
        <v>0.60165881868744842</v>
      </c>
      <c r="ER191" s="4">
        <f t="shared" si="577"/>
        <v>4.816567295993508</v>
      </c>
      <c r="ES191" s="4">
        <f t="shared" si="578"/>
        <v>5.3867083605866668</v>
      </c>
      <c r="ET191" s="4">
        <f t="shared" si="579"/>
        <v>559.47330488926195</v>
      </c>
      <c r="EU191" s="4">
        <f t="shared" si="580"/>
        <v>229.20000000000005</v>
      </c>
      <c r="EV191" s="4">
        <f t="shared" si="581"/>
        <v>3.0965438467699885E-5</v>
      </c>
      <c r="EW191" s="4">
        <f t="shared" si="582"/>
        <v>4.3909213846038186</v>
      </c>
      <c r="EX191" s="4">
        <f t="shared" si="583"/>
        <v>525.83544630221195</v>
      </c>
      <c r="FG191" s="23">
        <f t="shared" si="584"/>
        <v>1.2</v>
      </c>
      <c r="FH191" s="23">
        <f t="shared" si="584"/>
        <v>1.2</v>
      </c>
      <c r="FI191" s="23">
        <f t="shared" si="585"/>
        <v>1.2</v>
      </c>
      <c r="FJ191" s="23">
        <f t="shared" si="586"/>
        <v>2.2000000000000002</v>
      </c>
      <c r="FK191" s="23">
        <f t="shared" si="586"/>
        <v>1.2</v>
      </c>
      <c r="FL191" s="23">
        <f t="shared" si="586"/>
        <v>1.4</v>
      </c>
      <c r="FM191" s="23">
        <f t="shared" si="587"/>
        <v>0</v>
      </c>
      <c r="FN191" s="23"/>
      <c r="FX191" s="4">
        <f t="shared" si="422"/>
        <v>1</v>
      </c>
      <c r="FY191" s="4">
        <f t="shared" si="513"/>
        <v>0.54</v>
      </c>
      <c r="FZ191" s="4">
        <f t="shared" si="423"/>
        <v>0</v>
      </c>
      <c r="GA191" s="4">
        <f t="shared" si="424"/>
        <v>500.17570991113627</v>
      </c>
    </row>
    <row r="192" spans="1:183" ht="12" customHeight="1" x14ac:dyDescent="0.3">
      <c r="A192" s="25">
        <v>174</v>
      </c>
      <c r="B192" s="24" t="s">
        <v>128</v>
      </c>
      <c r="C192" s="24">
        <v>2017</v>
      </c>
      <c r="D192" s="24" t="s">
        <v>309</v>
      </c>
      <c r="E192" s="24"/>
      <c r="F192" s="4" t="s">
        <v>153</v>
      </c>
      <c r="G192" s="7">
        <v>661</v>
      </c>
      <c r="H192" s="7">
        <f>4*K192</f>
        <v>88.8</v>
      </c>
      <c r="I192" s="7">
        <f t="shared" si="519"/>
        <v>88.8</v>
      </c>
      <c r="J192" s="7">
        <v>225.5</v>
      </c>
      <c r="K192" s="7">
        <v>22.2</v>
      </c>
      <c r="L192" s="7">
        <f t="shared" si="588"/>
        <v>4</v>
      </c>
      <c r="M192" s="7">
        <f t="shared" si="589"/>
        <v>4</v>
      </c>
      <c r="N192" s="7">
        <v>366</v>
      </c>
      <c r="O192" s="7">
        <f>1*K192</f>
        <v>22.2</v>
      </c>
      <c r="P192" s="7">
        <f>118-I192</f>
        <v>29.200000000000003</v>
      </c>
      <c r="Q192" s="7">
        <f>N192-2*K192-2*O192</f>
        <v>277.20000000000005</v>
      </c>
      <c r="R192" s="7">
        <v>2</v>
      </c>
      <c r="S192" s="7">
        <f>2/3*H192</f>
        <v>59.199999999999996</v>
      </c>
      <c r="T192" s="7">
        <f t="shared" si="521"/>
        <v>1.5</v>
      </c>
      <c r="U192" s="7">
        <f t="shared" si="504"/>
        <v>1.5</v>
      </c>
      <c r="V192" s="7">
        <f t="shared" si="517"/>
        <v>4</v>
      </c>
      <c r="W192" s="7">
        <f t="shared" si="517"/>
        <v>4</v>
      </c>
      <c r="X192" s="7">
        <f t="shared" si="523"/>
        <v>5</v>
      </c>
      <c r="Y192" s="7">
        <f t="shared" si="524"/>
        <v>49.640709100495329</v>
      </c>
      <c r="Z192" s="7">
        <f t="shared" si="506"/>
        <v>661</v>
      </c>
      <c r="AA192" s="7">
        <v>8</v>
      </c>
      <c r="AB192" s="7">
        <f>(853+842)/2</f>
        <v>847.5</v>
      </c>
      <c r="AC192" s="7"/>
      <c r="AD192" s="4">
        <f t="shared" si="526"/>
        <v>1</v>
      </c>
      <c r="AE192" s="7">
        <v>0</v>
      </c>
      <c r="AF192" s="7">
        <v>0</v>
      </c>
      <c r="AG192" s="7">
        <f t="shared" si="647"/>
        <v>88.8</v>
      </c>
      <c r="AH192" s="7"/>
      <c r="AI192" s="7"/>
      <c r="AJ192" s="7">
        <f t="shared" si="527"/>
        <v>0.88977955911823625</v>
      </c>
      <c r="AK192" s="4">
        <f>H192</f>
        <v>88.8</v>
      </c>
      <c r="AL192" s="4">
        <f t="shared" si="595"/>
        <v>1.25</v>
      </c>
      <c r="AM192" s="4">
        <f t="shared" si="596"/>
        <v>162.318079587065</v>
      </c>
      <c r="AN192" s="4">
        <f t="shared" si="597"/>
        <v>0.77499999999999991</v>
      </c>
      <c r="AO192" s="4">
        <v>1.25</v>
      </c>
      <c r="AP192" s="47">
        <v>5</v>
      </c>
      <c r="AQ192" s="38">
        <f t="shared" si="599"/>
        <v>982.7852474998075</v>
      </c>
      <c r="AR192" s="38">
        <f t="shared" si="600"/>
        <v>982.7852474998075</v>
      </c>
      <c r="AS192" s="38">
        <f t="shared" si="601"/>
        <v>6.7681675210006302</v>
      </c>
      <c r="AT192" s="38">
        <f t="shared" si="461"/>
        <v>1080.1783801349238</v>
      </c>
      <c r="AU192" s="38">
        <f t="shared" si="406"/>
        <v>0.90983606557377028</v>
      </c>
      <c r="AV192" s="38">
        <f t="shared" si="462"/>
        <v>1.2525708946618597</v>
      </c>
      <c r="AW192" s="4">
        <f t="shared" si="463"/>
        <v>0</v>
      </c>
      <c r="AX192" s="4">
        <f t="shared" si="528"/>
        <v>316.14015616170963</v>
      </c>
      <c r="AY192" s="4">
        <f t="shared" si="529"/>
        <v>1</v>
      </c>
      <c r="AZ192" s="38">
        <f t="shared" si="465"/>
        <v>1353</v>
      </c>
      <c r="BA192" s="4">
        <f t="shared" si="531"/>
        <v>0.44000000000000006</v>
      </c>
      <c r="BB192" s="4">
        <f t="shared" si="532"/>
        <v>72.680621901577041</v>
      </c>
      <c r="BC192" s="4">
        <f t="shared" si="533"/>
        <v>1425.6806219015771</v>
      </c>
      <c r="BE192" s="4">
        <f t="shared" si="469"/>
        <v>1</v>
      </c>
      <c r="BF192" s="4">
        <f t="shared" si="470"/>
        <v>630.69961154261068</v>
      </c>
      <c r="BH192" s="4">
        <f t="shared" si="508"/>
        <v>1297.6924611181944</v>
      </c>
      <c r="BI192" s="4">
        <f t="shared" si="509"/>
        <v>3606.2915864545262</v>
      </c>
      <c r="BJ192" s="4">
        <f t="shared" si="510"/>
        <v>2.779003265031732</v>
      </c>
      <c r="BK192" s="4">
        <f t="shared" si="602"/>
        <v>22.2</v>
      </c>
      <c r="BL192" s="4">
        <f t="shared" si="603"/>
        <v>22.2</v>
      </c>
      <c r="BM192" s="4">
        <f t="shared" si="604"/>
        <v>59.199999999999996</v>
      </c>
      <c r="BN192" s="4">
        <f t="shared" si="605"/>
        <v>33.299999999999997</v>
      </c>
      <c r="BO192" s="4">
        <f t="shared" si="606"/>
        <v>1.1666666666666667</v>
      </c>
      <c r="BP192" s="25">
        <f t="shared" si="607"/>
        <v>1.7500000000000002</v>
      </c>
      <c r="BR192" s="4">
        <f t="shared" si="539"/>
        <v>22.2</v>
      </c>
      <c r="BV192" s="9"/>
      <c r="BX192" s="9"/>
      <c r="BY192" s="9"/>
      <c r="BZ192" s="9">
        <f t="shared" si="540"/>
        <v>22.2</v>
      </c>
      <c r="CA192" s="9">
        <f t="shared" si="541"/>
        <v>138.60000000000002</v>
      </c>
      <c r="CB192" s="9">
        <f t="shared" si="480"/>
        <v>1.3161686388047049</v>
      </c>
      <c r="CC192" s="9">
        <v>0</v>
      </c>
      <c r="CD192" s="9">
        <f t="shared" si="543"/>
        <v>0</v>
      </c>
      <c r="CE192" s="9">
        <f t="shared" si="544"/>
        <v>0</v>
      </c>
      <c r="CF192" s="9">
        <f t="shared" si="545"/>
        <v>1</v>
      </c>
      <c r="CG192" s="9">
        <f t="shared" si="546"/>
        <v>0.78899999999999992</v>
      </c>
      <c r="CH192" s="9">
        <f t="shared" si="485"/>
        <v>4.1468499458926642</v>
      </c>
      <c r="CI192" s="9">
        <f t="shared" si="486"/>
        <v>5.4579538486129122</v>
      </c>
      <c r="CJ192" s="9">
        <v>1</v>
      </c>
      <c r="CK192" s="9">
        <f t="shared" si="487"/>
        <v>414.80449249458132</v>
      </c>
      <c r="CM192" s="4">
        <f t="shared" si="550"/>
        <v>2.6807730162772905</v>
      </c>
      <c r="CN192" s="4">
        <f t="shared" si="551"/>
        <v>0.59445291391391852</v>
      </c>
      <c r="CO192" s="4">
        <f t="shared" si="552"/>
        <v>1.343745872820697</v>
      </c>
      <c r="CP192" s="4">
        <f t="shared" si="553"/>
        <v>2.0431311987564142</v>
      </c>
      <c r="CQ192" s="44">
        <f t="shared" si="554"/>
        <v>1</v>
      </c>
      <c r="CR192" s="4">
        <f t="shared" si="555"/>
        <v>1</v>
      </c>
      <c r="CS192" s="4">
        <f t="shared" si="556"/>
        <v>3.203833724920901</v>
      </c>
      <c r="CU192" s="4">
        <f t="shared" si="643"/>
        <v>2.6807730162772905</v>
      </c>
      <c r="CV192" s="4">
        <f t="shared" si="643"/>
        <v>0.59445291391391852</v>
      </c>
      <c r="CW192" s="4">
        <f t="shared" ref="CW192:CW224" si="648">CP192</f>
        <v>2.0431311987564142</v>
      </c>
      <c r="CX192" s="4">
        <f t="shared" si="644"/>
        <v>3.203833724920901</v>
      </c>
      <c r="CY192" s="4">
        <f t="shared" si="645"/>
        <v>1</v>
      </c>
      <c r="CZ192" s="4">
        <f t="shared" si="645"/>
        <v>1</v>
      </c>
      <c r="DH192" s="4">
        <f t="shared" si="558"/>
        <v>0</v>
      </c>
      <c r="DI192" s="4">
        <f t="shared" si="559"/>
        <v>88.8</v>
      </c>
      <c r="DL192" s="4">
        <f t="shared" si="560"/>
        <v>2.8168411137544479E-5</v>
      </c>
      <c r="DM192" s="4">
        <f t="shared" si="561"/>
        <v>16.127376482335833</v>
      </c>
      <c r="DN192" s="4">
        <f t="shared" si="562"/>
        <v>0.23130967389770252</v>
      </c>
      <c r="DO192" s="4">
        <f t="shared" si="563"/>
        <v>8.9792743880390749</v>
      </c>
      <c r="DP192" s="4">
        <f t="shared" si="564"/>
        <v>13.055957437041979</v>
      </c>
      <c r="DQ192" s="4">
        <f t="shared" si="565"/>
        <v>15.366250826866818</v>
      </c>
      <c r="DR192" s="38">
        <f t="shared" si="609"/>
        <v>847.5</v>
      </c>
      <c r="DS192" s="4">
        <f t="shared" si="566"/>
        <v>1</v>
      </c>
      <c r="DT192" s="4">
        <f t="shared" si="567"/>
        <v>2.2360679774997898</v>
      </c>
      <c r="DU192" s="4">
        <f t="shared" si="568"/>
        <v>1080.1783801349238</v>
      </c>
      <c r="DY192" s="4">
        <f t="shared" si="569"/>
        <v>0.85</v>
      </c>
      <c r="DZ192" s="4">
        <f t="shared" si="570"/>
        <v>1</v>
      </c>
      <c r="EA192" s="4">
        <f t="shared" si="610"/>
        <v>1</v>
      </c>
      <c r="EB192" s="4">
        <f t="shared" si="571"/>
        <v>1</v>
      </c>
      <c r="ED192" s="4">
        <f t="shared" si="611"/>
        <v>847.5</v>
      </c>
      <c r="EE192" s="25">
        <f>26.5*N192*H192^0.5*J192^0.5/R192/K192^2*(0.7+O192/5/H192)</f>
        <v>1044.3162458944753</v>
      </c>
      <c r="EH192" s="4">
        <f t="shared" si="613"/>
        <v>16.127376482335833</v>
      </c>
      <c r="EK192" s="4">
        <f t="shared" si="572"/>
        <v>49.640709100495329</v>
      </c>
      <c r="EL192" s="4">
        <f t="shared" si="573"/>
        <v>2.2360679774997898</v>
      </c>
      <c r="EM192" s="4">
        <f t="shared" si="574"/>
        <v>0.18993383393437457</v>
      </c>
      <c r="EP192" s="4">
        <f t="shared" si="575"/>
        <v>0.18993383393437457</v>
      </c>
      <c r="EQ192" s="4">
        <f t="shared" si="496"/>
        <v>0.23092366116223015</v>
      </c>
      <c r="ER192" s="4">
        <f t="shared" si="577"/>
        <v>8.9732774903799175</v>
      </c>
      <c r="ES192" s="4">
        <f t="shared" si="578"/>
        <v>13.053909774486275</v>
      </c>
      <c r="ET192" s="4">
        <f t="shared" si="579"/>
        <v>16.959290899504666</v>
      </c>
      <c r="EU192" s="4">
        <f t="shared" si="580"/>
        <v>22.200000000000003</v>
      </c>
      <c r="EV192" s="4">
        <f t="shared" si="498"/>
        <v>2.8168411137544483E-5</v>
      </c>
      <c r="EW192" s="4">
        <f t="shared" si="582"/>
        <v>15.366549833999832</v>
      </c>
      <c r="EX192" s="4">
        <f t="shared" si="511"/>
        <v>847.5</v>
      </c>
      <c r="FG192" s="23">
        <f t="shared" ref="FG192:FH211" si="649">IF(CM192&lt;0.6,0.6,IF(CM192&lt;0.8,0.8,IF(CM192&lt;1,1,IF(CM192&lt;1.2,1.2,IF(CM192&lt;1.4,1.4,IF(CM192&lt;1.6,1.6,IF(CM192&lt;1.8,1.8,IF(CM192&lt;2,2,2.2))))))))</f>
        <v>2.2000000000000002</v>
      </c>
      <c r="FH192" s="23">
        <f t="shared" si="649"/>
        <v>0.6</v>
      </c>
      <c r="FI192" s="23">
        <f t="shared" si="585"/>
        <v>2.2000000000000002</v>
      </c>
      <c r="FJ192" s="23">
        <f t="shared" ref="FJ192:FL211" si="650">IF(CP192&lt;0.6,0.6,IF(CP192&lt;0.8,0.8,IF(CP192&lt;1,1,IF(CP192&lt;1.2,1.2,IF(CP192&lt;1.4,1.4,IF(CP192&lt;1.6,1.6,IF(CP192&lt;1.8,1.8,IF(CP192&lt;2,2,2.2))))))))</f>
        <v>2.2000000000000002</v>
      </c>
      <c r="FK192" s="23">
        <f t="shared" si="650"/>
        <v>1.2</v>
      </c>
      <c r="FL192" s="23">
        <f t="shared" si="650"/>
        <v>1.2</v>
      </c>
      <c r="FM192" s="23">
        <f t="shared" si="587"/>
        <v>0</v>
      </c>
      <c r="FN192" s="23"/>
      <c r="FX192" s="4">
        <f t="shared" si="422"/>
        <v>1.25</v>
      </c>
      <c r="FY192" s="4">
        <f t="shared" si="513"/>
        <v>0.5</v>
      </c>
      <c r="FZ192" s="4">
        <f t="shared" si="423"/>
        <v>0</v>
      </c>
      <c r="GA192" s="4">
        <f t="shared" si="424"/>
        <v>264.52683652330421</v>
      </c>
    </row>
    <row r="193" spans="1:183" ht="12" customHeight="1" x14ac:dyDescent="0.3">
      <c r="A193" s="25">
        <v>175</v>
      </c>
      <c r="B193" s="24" t="s">
        <v>128</v>
      </c>
      <c r="C193" s="24">
        <v>2017</v>
      </c>
      <c r="D193" s="24" t="s">
        <v>309</v>
      </c>
      <c r="E193" s="24"/>
      <c r="F193" s="4" t="s">
        <v>311</v>
      </c>
      <c r="G193" s="7">
        <v>661</v>
      </c>
      <c r="H193" s="7">
        <f t="shared" ref="H193:H209" si="651">4*K193</f>
        <v>88.8</v>
      </c>
      <c r="I193" s="7">
        <f t="shared" si="519"/>
        <v>88.8</v>
      </c>
      <c r="J193" s="7">
        <v>225.5</v>
      </c>
      <c r="K193" s="7">
        <v>22.2</v>
      </c>
      <c r="L193" s="7">
        <f t="shared" si="588"/>
        <v>4</v>
      </c>
      <c r="M193" s="7">
        <f t="shared" si="589"/>
        <v>4</v>
      </c>
      <c r="N193" s="7">
        <v>366</v>
      </c>
      <c r="O193" s="7">
        <f t="shared" ref="O193:O211" si="652">1*K193</f>
        <v>22.2</v>
      </c>
      <c r="P193" s="7">
        <f>118-I193</f>
        <v>29.200000000000003</v>
      </c>
      <c r="Q193" s="7">
        <f t="shared" ref="Q193:Q211" si="653">N193-2*K193-2*O193</f>
        <v>277.20000000000005</v>
      </c>
      <c r="R193" s="7">
        <v>2</v>
      </c>
      <c r="S193" s="7">
        <f t="shared" ref="S193:S211" si="654">2/3*H193</f>
        <v>59.199999999999996</v>
      </c>
      <c r="T193" s="7">
        <f t="shared" si="521"/>
        <v>1.5</v>
      </c>
      <c r="U193" s="7">
        <f t="shared" si="504"/>
        <v>1.5</v>
      </c>
      <c r="V193" s="7">
        <f t="shared" si="517"/>
        <v>4</v>
      </c>
      <c r="W193" s="7">
        <f t="shared" si="517"/>
        <v>4</v>
      </c>
      <c r="X193" s="7">
        <f t="shared" si="523"/>
        <v>5</v>
      </c>
      <c r="Y193" s="7">
        <f t="shared" si="524"/>
        <v>49.640709100495329</v>
      </c>
      <c r="Z193" s="7">
        <f t="shared" si="506"/>
        <v>661</v>
      </c>
      <c r="AA193" s="7">
        <v>8</v>
      </c>
      <c r="AB193" s="7">
        <f>(847+826)/2</f>
        <v>836.5</v>
      </c>
      <c r="AC193" s="7"/>
      <c r="AD193" s="4">
        <f t="shared" si="526"/>
        <v>1</v>
      </c>
      <c r="AE193" s="7">
        <v>0</v>
      </c>
      <c r="AF193" s="7">
        <v>0</v>
      </c>
      <c r="AG193" s="7">
        <f t="shared" si="647"/>
        <v>88.8</v>
      </c>
      <c r="AH193" s="7"/>
      <c r="AI193" s="7"/>
      <c r="AJ193" s="7">
        <f t="shared" si="527"/>
        <v>0.88977955911823625</v>
      </c>
      <c r="AK193" s="4">
        <f t="shared" ref="AK193:AK243" si="655">H193</f>
        <v>88.8</v>
      </c>
      <c r="AL193" s="4">
        <f t="shared" si="595"/>
        <v>1.25</v>
      </c>
      <c r="AM193" s="4">
        <f t="shared" si="596"/>
        <v>162.318079587065</v>
      </c>
      <c r="AN193" s="4">
        <f t="shared" si="597"/>
        <v>0.77499999999999991</v>
      </c>
      <c r="AO193" s="4">
        <v>1.25</v>
      </c>
      <c r="AP193" s="47">
        <f>AP192</f>
        <v>5</v>
      </c>
      <c r="AQ193" s="38">
        <f t="shared" si="599"/>
        <v>982.7852474998075</v>
      </c>
      <c r="AR193" s="38">
        <f t="shared" si="600"/>
        <v>982.7852474998075</v>
      </c>
      <c r="AS193" s="38">
        <f t="shared" si="601"/>
        <v>6.7681675210006302</v>
      </c>
      <c r="AT193" s="38">
        <f t="shared" si="461"/>
        <v>1080.1783801349238</v>
      </c>
      <c r="AU193" s="38">
        <f t="shared" si="406"/>
        <v>0.90983606557377028</v>
      </c>
      <c r="AV193" s="38">
        <f t="shared" si="462"/>
        <v>1.2525708946618597</v>
      </c>
      <c r="AW193" s="4">
        <f t="shared" si="463"/>
        <v>0</v>
      </c>
      <c r="AX193" s="4">
        <f t="shared" si="528"/>
        <v>316.14015616170963</v>
      </c>
      <c r="AY193" s="4">
        <f t="shared" si="529"/>
        <v>1</v>
      </c>
      <c r="AZ193" s="38">
        <f t="shared" si="465"/>
        <v>1353</v>
      </c>
      <c r="BA193" s="4">
        <f t="shared" si="531"/>
        <v>0.44000000000000006</v>
      </c>
      <c r="BB193" s="4">
        <f t="shared" si="532"/>
        <v>72.680621901577041</v>
      </c>
      <c r="BC193" s="4">
        <f t="shared" si="533"/>
        <v>1425.6806219015771</v>
      </c>
      <c r="BE193" s="4">
        <f t="shared" si="469"/>
        <v>1</v>
      </c>
      <c r="BF193" s="4">
        <f t="shared" si="470"/>
        <v>630.69961154261068</v>
      </c>
      <c r="BH193" s="4">
        <f t="shared" si="508"/>
        <v>1297.6924611181944</v>
      </c>
      <c r="BI193" s="4">
        <f t="shared" si="509"/>
        <v>3606.2915864545262</v>
      </c>
      <c r="BJ193" s="4">
        <f t="shared" si="510"/>
        <v>2.779003265031732</v>
      </c>
      <c r="BK193" s="4">
        <f t="shared" si="602"/>
        <v>22.2</v>
      </c>
      <c r="BL193" s="4">
        <f t="shared" si="603"/>
        <v>22.2</v>
      </c>
      <c r="BM193" s="4">
        <f t="shared" si="604"/>
        <v>59.199999999999996</v>
      </c>
      <c r="BN193" s="4">
        <f t="shared" si="605"/>
        <v>33.299999999999997</v>
      </c>
      <c r="BO193" s="4">
        <f t="shared" si="606"/>
        <v>1.1666666666666667</v>
      </c>
      <c r="BP193" s="25">
        <f t="shared" si="607"/>
        <v>1.7500000000000002</v>
      </c>
      <c r="BR193" s="4">
        <f t="shared" si="539"/>
        <v>22.2</v>
      </c>
      <c r="BV193" s="9"/>
      <c r="BX193" s="9"/>
      <c r="BY193" s="9"/>
      <c r="BZ193" s="9">
        <f t="shared" si="540"/>
        <v>22.2</v>
      </c>
      <c r="CA193" s="9">
        <f t="shared" si="541"/>
        <v>138.60000000000002</v>
      </c>
      <c r="CB193" s="9">
        <f t="shared" si="480"/>
        <v>1.3161686388047049</v>
      </c>
      <c r="CC193" s="9">
        <v>0</v>
      </c>
      <c r="CD193" s="9">
        <f t="shared" si="543"/>
        <v>0</v>
      </c>
      <c r="CE193" s="9">
        <f t="shared" si="544"/>
        <v>0</v>
      </c>
      <c r="CF193" s="9">
        <f t="shared" si="545"/>
        <v>1</v>
      </c>
      <c r="CG193" s="9">
        <f t="shared" si="546"/>
        <v>0.78899999999999992</v>
      </c>
      <c r="CH193" s="9">
        <f t="shared" si="485"/>
        <v>4.1468499458926642</v>
      </c>
      <c r="CI193" s="9">
        <f t="shared" si="486"/>
        <v>5.4579538486129122</v>
      </c>
      <c r="CJ193" s="9">
        <v>1</v>
      </c>
      <c r="CK193" s="9">
        <f t="shared" si="487"/>
        <v>414.80449249458132</v>
      </c>
      <c r="CM193" s="4">
        <f t="shared" si="550"/>
        <v>2.6459783222607123</v>
      </c>
      <c r="CN193" s="4">
        <f t="shared" si="551"/>
        <v>0.58673730087196796</v>
      </c>
      <c r="CO193" s="4">
        <f t="shared" si="552"/>
        <v>1.3263049234389535</v>
      </c>
      <c r="CP193" s="4">
        <f t="shared" si="553"/>
        <v>2.0166126817224077</v>
      </c>
      <c r="CQ193" s="44">
        <f t="shared" si="554"/>
        <v>1</v>
      </c>
      <c r="CR193" s="4">
        <f t="shared" si="555"/>
        <v>1</v>
      </c>
      <c r="CS193" s="4">
        <f t="shared" si="556"/>
        <v>3.1622500423555562</v>
      </c>
      <c r="CU193" s="4">
        <f t="shared" si="643"/>
        <v>2.6459783222607123</v>
      </c>
      <c r="CV193" s="4">
        <f t="shared" si="643"/>
        <v>0.58673730087196796</v>
      </c>
      <c r="CW193" s="4">
        <f t="shared" si="648"/>
        <v>2.0166126817224077</v>
      </c>
      <c r="CX193" s="4">
        <f t="shared" si="644"/>
        <v>3.1622500423555562</v>
      </c>
      <c r="CY193" s="4">
        <f t="shared" si="645"/>
        <v>1</v>
      </c>
      <c r="CZ193" s="4">
        <f t="shared" si="645"/>
        <v>1</v>
      </c>
      <c r="DH193" s="4">
        <f t="shared" si="558"/>
        <v>0</v>
      </c>
      <c r="DI193" s="4">
        <f t="shared" si="559"/>
        <v>88.8</v>
      </c>
      <c r="DL193" s="4">
        <f t="shared" si="560"/>
        <v>2.8168411137544479E-5</v>
      </c>
      <c r="DM193" s="4">
        <f t="shared" si="561"/>
        <v>16.127376482335833</v>
      </c>
      <c r="DN193" s="4">
        <f t="shared" si="562"/>
        <v>0.23130967389770252</v>
      </c>
      <c r="DO193" s="4">
        <f t="shared" si="563"/>
        <v>8.9792743880390749</v>
      </c>
      <c r="DP193" s="4">
        <f t="shared" si="564"/>
        <v>13.055957437041979</v>
      </c>
      <c r="DQ193" s="4">
        <f t="shared" si="565"/>
        <v>15.366250826866818</v>
      </c>
      <c r="DR193" s="38">
        <f t="shared" si="609"/>
        <v>836.5</v>
      </c>
      <c r="DS193" s="4">
        <f t="shared" si="566"/>
        <v>1</v>
      </c>
      <c r="DT193" s="4">
        <f t="shared" si="567"/>
        <v>2.2360679774997898</v>
      </c>
      <c r="DU193" s="4">
        <f t="shared" si="568"/>
        <v>1080.1783801349238</v>
      </c>
      <c r="DY193" s="4">
        <f t="shared" si="569"/>
        <v>0.85</v>
      </c>
      <c r="DZ193" s="4">
        <f t="shared" si="570"/>
        <v>1</v>
      </c>
      <c r="EA193" s="4">
        <f t="shared" si="610"/>
        <v>1</v>
      </c>
      <c r="EB193" s="4">
        <f t="shared" si="571"/>
        <v>1</v>
      </c>
      <c r="ED193" s="4">
        <f t="shared" si="611"/>
        <v>836.5</v>
      </c>
      <c r="EE193" s="25">
        <f t="shared" ref="EE193:EE211" si="656">26.5*N193*H193^0.5*J193^0.5/R193/K193^2*(0.7+O193/5/H193)</f>
        <v>1044.3162458944753</v>
      </c>
      <c r="EH193" s="4">
        <f t="shared" si="613"/>
        <v>16.127376482335833</v>
      </c>
      <c r="EK193" s="4">
        <f t="shared" si="572"/>
        <v>49.640709100495329</v>
      </c>
      <c r="EL193" s="4">
        <f t="shared" si="573"/>
        <v>2.2360679774997898</v>
      </c>
      <c r="EM193" s="4">
        <f t="shared" si="574"/>
        <v>0.18993383393437457</v>
      </c>
      <c r="EP193" s="4">
        <f t="shared" si="575"/>
        <v>0.18993383393437457</v>
      </c>
      <c r="EQ193" s="4">
        <f t="shared" si="496"/>
        <v>0.23092366116223015</v>
      </c>
      <c r="ER193" s="4">
        <f t="shared" si="577"/>
        <v>8.9732774903799175</v>
      </c>
      <c r="ES193" s="4">
        <f t="shared" si="578"/>
        <v>13.053909774486275</v>
      </c>
      <c r="ET193" s="4">
        <f t="shared" si="579"/>
        <v>16.959290899504666</v>
      </c>
      <c r="EU193" s="4">
        <f t="shared" si="580"/>
        <v>22.200000000000003</v>
      </c>
      <c r="EV193" s="4">
        <f t="shared" si="498"/>
        <v>2.8168411137544483E-5</v>
      </c>
      <c r="EW193" s="4">
        <f t="shared" si="582"/>
        <v>15.366549833999832</v>
      </c>
      <c r="EX193" s="4">
        <f t="shared" si="511"/>
        <v>836.5</v>
      </c>
      <c r="FG193" s="23">
        <f t="shared" si="649"/>
        <v>2.2000000000000002</v>
      </c>
      <c r="FH193" s="23">
        <f t="shared" si="649"/>
        <v>0.6</v>
      </c>
      <c r="FI193" s="23">
        <f t="shared" si="585"/>
        <v>2.2000000000000002</v>
      </c>
      <c r="FJ193" s="23">
        <f t="shared" si="650"/>
        <v>2.2000000000000002</v>
      </c>
      <c r="FK193" s="23">
        <f t="shared" si="650"/>
        <v>1.2</v>
      </c>
      <c r="FL193" s="23">
        <f t="shared" si="650"/>
        <v>1.2</v>
      </c>
      <c r="FM193" s="23">
        <f t="shared" si="587"/>
        <v>0</v>
      </c>
      <c r="FN193" s="23"/>
      <c r="FX193" s="4">
        <f t="shared" si="422"/>
        <v>1.25</v>
      </c>
      <c r="FY193" s="4">
        <f t="shared" si="513"/>
        <v>0.5</v>
      </c>
      <c r="FZ193" s="4">
        <f t="shared" si="423"/>
        <v>0</v>
      </c>
      <c r="GA193" s="4">
        <f t="shared" si="424"/>
        <v>264.52683652330421</v>
      </c>
    </row>
    <row r="194" spans="1:183" ht="12" customHeight="1" x14ac:dyDescent="0.3">
      <c r="A194" s="25">
        <v>176</v>
      </c>
      <c r="B194" s="24" t="s">
        <v>128</v>
      </c>
      <c r="C194" s="24">
        <v>2017</v>
      </c>
      <c r="D194" s="24" t="s">
        <v>309</v>
      </c>
      <c r="E194" s="24"/>
      <c r="F194" s="4" t="s">
        <v>312</v>
      </c>
      <c r="G194" s="7">
        <v>667</v>
      </c>
      <c r="H194" s="7">
        <f t="shared" si="651"/>
        <v>88.8</v>
      </c>
      <c r="I194" s="7">
        <f t="shared" si="519"/>
        <v>88.8</v>
      </c>
      <c r="J194" s="7">
        <v>225.5</v>
      </c>
      <c r="K194" s="7">
        <v>22.2</v>
      </c>
      <c r="L194" s="7">
        <f t="shared" si="588"/>
        <v>4</v>
      </c>
      <c r="M194" s="7">
        <f t="shared" si="589"/>
        <v>4</v>
      </c>
      <c r="N194" s="7">
        <v>396</v>
      </c>
      <c r="O194" s="7">
        <f t="shared" si="652"/>
        <v>22.2</v>
      </c>
      <c r="P194" s="7">
        <f>171-I194</f>
        <v>82.2</v>
      </c>
      <c r="Q194" s="7">
        <f t="shared" si="653"/>
        <v>307.20000000000005</v>
      </c>
      <c r="R194" s="7">
        <v>2</v>
      </c>
      <c r="S194" s="7">
        <f t="shared" si="654"/>
        <v>59.199999999999996</v>
      </c>
      <c r="T194" s="7">
        <f t="shared" si="521"/>
        <v>1.5</v>
      </c>
      <c r="U194" s="7">
        <f t="shared" si="504"/>
        <v>1.5</v>
      </c>
      <c r="V194" s="7">
        <f t="shared" si="517"/>
        <v>4</v>
      </c>
      <c r="W194" s="7">
        <f t="shared" si="517"/>
        <v>4</v>
      </c>
      <c r="X194" s="7">
        <f t="shared" si="523"/>
        <v>5</v>
      </c>
      <c r="Y194" s="7">
        <f t="shared" si="524"/>
        <v>49.640709100495329</v>
      </c>
      <c r="Z194" s="7">
        <f t="shared" si="506"/>
        <v>667</v>
      </c>
      <c r="AA194" s="7">
        <v>11</v>
      </c>
      <c r="AB194" s="7">
        <f>(728+642)/2</f>
        <v>685</v>
      </c>
      <c r="AC194" s="7"/>
      <c r="AD194" s="4">
        <f t="shared" si="526"/>
        <v>1</v>
      </c>
      <c r="AE194" s="7">
        <v>0</v>
      </c>
      <c r="AF194" s="7">
        <v>0</v>
      </c>
      <c r="AG194" s="7">
        <f t="shared" si="647"/>
        <v>88.8</v>
      </c>
      <c r="AH194" s="7"/>
      <c r="AI194" s="7"/>
      <c r="AJ194" s="7">
        <f t="shared" si="527"/>
        <v>0.808743169398907</v>
      </c>
      <c r="AK194" s="4">
        <f t="shared" si="655"/>
        <v>88.8</v>
      </c>
      <c r="AL194" s="4">
        <f t="shared" si="595"/>
        <v>1.25</v>
      </c>
      <c r="AM194" s="4">
        <f t="shared" si="596"/>
        <v>162.318079587065</v>
      </c>
      <c r="AN194" s="4">
        <f t="shared" si="597"/>
        <v>0.77499999999999991</v>
      </c>
      <c r="AO194" s="4">
        <v>1.25</v>
      </c>
      <c r="AP194" s="47">
        <f t="shared" ref="AP194:AP211" si="657">AP193</f>
        <v>5</v>
      </c>
      <c r="AQ194" s="38">
        <f t="shared" si="599"/>
        <v>982.7852474998075</v>
      </c>
      <c r="AR194" s="38">
        <f t="shared" si="600"/>
        <v>982.7852474998075</v>
      </c>
      <c r="AS194" s="38">
        <f t="shared" si="601"/>
        <v>6.7681675210006302</v>
      </c>
      <c r="AT194" s="38">
        <f t="shared" si="461"/>
        <v>1168.717591621393</v>
      </c>
      <c r="AU194" s="38">
        <f t="shared" si="406"/>
        <v>0.84090909090909072</v>
      </c>
      <c r="AV194" s="38">
        <f t="shared" si="462"/>
        <v>1.1576791602177794</v>
      </c>
      <c r="AW194" s="4">
        <f t="shared" si="463"/>
        <v>0</v>
      </c>
      <c r="AX194" s="4">
        <f t="shared" si="528"/>
        <v>316.14015616170963</v>
      </c>
      <c r="AY194" s="4">
        <f t="shared" si="529"/>
        <v>1</v>
      </c>
      <c r="AZ194" s="38">
        <f t="shared" si="465"/>
        <v>1353</v>
      </c>
      <c r="BA194" s="4">
        <f t="shared" si="531"/>
        <v>0.44000000000000006</v>
      </c>
      <c r="BB194" s="4">
        <f t="shared" si="532"/>
        <v>72.680621901577055</v>
      </c>
      <c r="BC194" s="4">
        <f t="shared" si="533"/>
        <v>1425.6806219015771</v>
      </c>
      <c r="BE194" s="4">
        <f t="shared" si="469"/>
        <v>1</v>
      </c>
      <c r="BF194" s="4">
        <f t="shared" si="470"/>
        <v>630.69961154261068</v>
      </c>
      <c r="BH194" s="4">
        <f t="shared" si="508"/>
        <v>1297.6924611181944</v>
      </c>
      <c r="BI194" s="4">
        <f t="shared" si="509"/>
        <v>6880.0343955178114</v>
      </c>
      <c r="BJ194" s="4">
        <f t="shared" si="510"/>
        <v>5.3017449061770998</v>
      </c>
      <c r="BK194" s="4">
        <f t="shared" si="602"/>
        <v>22.2</v>
      </c>
      <c r="BL194" s="4">
        <f t="shared" si="603"/>
        <v>22.2</v>
      </c>
      <c r="BM194" s="4">
        <f t="shared" si="604"/>
        <v>59.199999999999996</v>
      </c>
      <c r="BN194" s="4">
        <f t="shared" si="605"/>
        <v>33.299999999999997</v>
      </c>
      <c r="BO194" s="4">
        <f t="shared" si="606"/>
        <v>1.1666666666666667</v>
      </c>
      <c r="BP194" s="25">
        <f t="shared" si="607"/>
        <v>1.7500000000000002</v>
      </c>
      <c r="BR194" s="4">
        <f t="shared" si="539"/>
        <v>22.2</v>
      </c>
      <c r="BV194" s="9"/>
      <c r="BX194" s="9"/>
      <c r="BY194" s="9"/>
      <c r="BZ194" s="9">
        <f t="shared" si="540"/>
        <v>22.2</v>
      </c>
      <c r="CA194" s="9">
        <f t="shared" si="541"/>
        <v>153.60000000000002</v>
      </c>
      <c r="CB194" s="9">
        <f t="shared" si="480"/>
        <v>1.3366131704942024</v>
      </c>
      <c r="CC194" s="9">
        <v>0</v>
      </c>
      <c r="CD194" s="9">
        <f t="shared" si="543"/>
        <v>0</v>
      </c>
      <c r="CE194" s="9">
        <f t="shared" si="544"/>
        <v>0</v>
      </c>
      <c r="CF194" s="9">
        <f t="shared" si="545"/>
        <v>1</v>
      </c>
      <c r="CG194" s="9">
        <f t="shared" si="546"/>
        <v>0.78299999999999992</v>
      </c>
      <c r="CH194" s="9">
        <f t="shared" si="485"/>
        <v>4.1153149653155339</v>
      </c>
      <c r="CI194" s="9">
        <f t="shared" si="486"/>
        <v>5.5005841833726343</v>
      </c>
      <c r="CJ194" s="9">
        <v>1</v>
      </c>
      <c r="CK194" s="9">
        <f t="shared" si="487"/>
        <v>418.04439793632019</v>
      </c>
      <c r="CM194" s="4">
        <f t="shared" si="550"/>
        <v>2.1667604910323823</v>
      </c>
      <c r="CN194" s="4">
        <f t="shared" si="551"/>
        <v>0.48047226670328519</v>
      </c>
      <c r="CO194" s="4">
        <f t="shared" si="552"/>
        <v>1.0860954842267581</v>
      </c>
      <c r="CP194" s="4">
        <f t="shared" si="553"/>
        <v>1.6385819386206548</v>
      </c>
      <c r="CQ194" s="44">
        <f t="shared" si="554"/>
        <v>1</v>
      </c>
      <c r="CR194" s="4">
        <f t="shared" si="555"/>
        <v>1</v>
      </c>
      <c r="CS194" s="4">
        <f t="shared" si="556"/>
        <v>2.5895293233873948</v>
      </c>
      <c r="CU194" s="4">
        <f t="shared" si="643"/>
        <v>2.1667604910323823</v>
      </c>
      <c r="CV194" s="4">
        <f t="shared" si="643"/>
        <v>0.48047226670328519</v>
      </c>
      <c r="CW194" s="4">
        <f t="shared" si="648"/>
        <v>1.6385819386206548</v>
      </c>
      <c r="CX194" s="4">
        <f t="shared" si="644"/>
        <v>2.5895293233873948</v>
      </c>
      <c r="CY194" s="4">
        <f t="shared" si="645"/>
        <v>1</v>
      </c>
      <c r="CZ194" s="4">
        <f t="shared" si="645"/>
        <v>1</v>
      </c>
      <c r="DH194" s="4">
        <f t="shared" si="558"/>
        <v>0</v>
      </c>
      <c r="DI194" s="4">
        <f t="shared" si="559"/>
        <v>88.8</v>
      </c>
      <c r="DL194" s="4">
        <f t="shared" si="560"/>
        <v>2.8168411137544479E-5</v>
      </c>
      <c r="DM194" s="4">
        <f t="shared" si="561"/>
        <v>16.127376482335833</v>
      </c>
      <c r="DN194" s="4">
        <f t="shared" si="562"/>
        <v>0.25026948323357978</v>
      </c>
      <c r="DO194" s="4">
        <f t="shared" si="563"/>
        <v>9.2667379743898639</v>
      </c>
      <c r="DP194" s="4">
        <f t="shared" si="564"/>
        <v>13.155388550026604</v>
      </c>
      <c r="DQ194" s="4">
        <f t="shared" si="565"/>
        <v>15.351898346055917</v>
      </c>
      <c r="DR194" s="38">
        <f t="shared" si="609"/>
        <v>685</v>
      </c>
      <c r="DS194" s="4">
        <f t="shared" si="566"/>
        <v>1</v>
      </c>
      <c r="DT194" s="4">
        <f t="shared" si="567"/>
        <v>2.2360679774997898</v>
      </c>
      <c r="DU194" s="4">
        <f t="shared" si="568"/>
        <v>1168.717591621393</v>
      </c>
      <c r="DY194" s="4">
        <f t="shared" si="569"/>
        <v>0.85</v>
      </c>
      <c r="DZ194" s="4">
        <f t="shared" si="570"/>
        <v>1</v>
      </c>
      <c r="EA194" s="4">
        <f t="shared" si="610"/>
        <v>1</v>
      </c>
      <c r="EB194" s="4">
        <f t="shared" si="571"/>
        <v>1</v>
      </c>
      <c r="ED194" s="4">
        <f t="shared" si="611"/>
        <v>685</v>
      </c>
      <c r="EE194" s="25">
        <f t="shared" si="656"/>
        <v>1129.9159381809077</v>
      </c>
      <c r="EH194" s="4">
        <f t="shared" si="613"/>
        <v>16.127376482335833</v>
      </c>
      <c r="EK194" s="4">
        <f t="shared" si="572"/>
        <v>49.640709100495329</v>
      </c>
      <c r="EL194" s="4">
        <f t="shared" si="573"/>
        <v>2.2360679774997898</v>
      </c>
      <c r="EM194" s="4">
        <f t="shared" si="574"/>
        <v>0.20550218097817574</v>
      </c>
      <c r="EP194" s="4">
        <f t="shared" si="575"/>
        <v>0.20550218097817574</v>
      </c>
      <c r="EQ194" s="4">
        <f t="shared" si="496"/>
        <v>0.2498518301099539</v>
      </c>
      <c r="ER194" s="4">
        <f t="shared" si="577"/>
        <v>9.2605490913170101</v>
      </c>
      <c r="ES194" s="4">
        <f t="shared" si="578"/>
        <v>13.15322177909766</v>
      </c>
      <c r="ET194" s="4">
        <f t="shared" si="579"/>
        <v>16.959290899504666</v>
      </c>
      <c r="EU194" s="4">
        <f t="shared" si="580"/>
        <v>22.200000000000003</v>
      </c>
      <c r="EV194" s="4">
        <f t="shared" si="498"/>
        <v>2.8168411137544483E-5</v>
      </c>
      <c r="EW194" s="4">
        <f t="shared" si="582"/>
        <v>15.352207742597887</v>
      </c>
      <c r="EX194" s="4">
        <f t="shared" si="511"/>
        <v>685</v>
      </c>
      <c r="FG194" s="23">
        <f t="shared" si="649"/>
        <v>2.2000000000000002</v>
      </c>
      <c r="FH194" s="23">
        <f t="shared" si="649"/>
        <v>0.6</v>
      </c>
      <c r="FI194" s="23">
        <f t="shared" si="585"/>
        <v>2.2000000000000002</v>
      </c>
      <c r="FJ194" s="23">
        <f t="shared" si="650"/>
        <v>1.8</v>
      </c>
      <c r="FK194" s="23">
        <f t="shared" si="650"/>
        <v>1.2</v>
      </c>
      <c r="FL194" s="23">
        <f t="shared" si="650"/>
        <v>1.2</v>
      </c>
      <c r="FM194" s="23">
        <f t="shared" si="587"/>
        <v>0</v>
      </c>
      <c r="FN194" s="23"/>
      <c r="FX194" s="4">
        <f t="shared" si="422"/>
        <v>1.25</v>
      </c>
      <c r="FY194" s="4">
        <f t="shared" si="513"/>
        <v>0.5</v>
      </c>
      <c r="FZ194" s="4">
        <f t="shared" si="423"/>
        <v>0</v>
      </c>
      <c r="GA194" s="4">
        <f t="shared" si="424"/>
        <v>264.52683652330421</v>
      </c>
    </row>
    <row r="195" spans="1:183" ht="12" customHeight="1" x14ac:dyDescent="0.3">
      <c r="A195" s="25">
        <v>177</v>
      </c>
      <c r="B195" s="24" t="s">
        <v>128</v>
      </c>
      <c r="C195" s="24">
        <v>2017</v>
      </c>
      <c r="D195" s="24" t="s">
        <v>309</v>
      </c>
      <c r="E195" s="24"/>
      <c r="F195" s="4" t="s">
        <v>154</v>
      </c>
      <c r="G195" s="7">
        <v>667</v>
      </c>
      <c r="H195" s="7">
        <f t="shared" si="651"/>
        <v>88.8</v>
      </c>
      <c r="I195" s="7">
        <f t="shared" si="519"/>
        <v>88.8</v>
      </c>
      <c r="J195" s="7">
        <v>225.5</v>
      </c>
      <c r="K195" s="7">
        <v>22.2</v>
      </c>
      <c r="L195" s="7">
        <f t="shared" si="588"/>
        <v>4</v>
      </c>
      <c r="M195" s="7">
        <f t="shared" si="589"/>
        <v>4</v>
      </c>
      <c r="N195" s="7">
        <v>396</v>
      </c>
      <c r="O195" s="7">
        <f t="shared" si="652"/>
        <v>22.2</v>
      </c>
      <c r="P195" s="7">
        <f t="shared" ref="P195" si="658">171-I195</f>
        <v>82.2</v>
      </c>
      <c r="Q195" s="7">
        <f t="shared" si="653"/>
        <v>307.20000000000005</v>
      </c>
      <c r="R195" s="7">
        <v>2</v>
      </c>
      <c r="S195" s="7">
        <f t="shared" si="654"/>
        <v>59.199999999999996</v>
      </c>
      <c r="T195" s="7">
        <f t="shared" si="521"/>
        <v>1.5</v>
      </c>
      <c r="U195" s="7">
        <f t="shared" si="504"/>
        <v>1.5</v>
      </c>
      <c r="V195" s="7">
        <f t="shared" si="517"/>
        <v>4</v>
      </c>
      <c r="W195" s="7">
        <f t="shared" si="517"/>
        <v>4</v>
      </c>
      <c r="X195" s="7">
        <f t="shared" si="523"/>
        <v>5</v>
      </c>
      <c r="Y195" s="7">
        <f t="shared" si="524"/>
        <v>49.640709100495329</v>
      </c>
      <c r="Z195" s="7">
        <f t="shared" si="506"/>
        <v>667</v>
      </c>
      <c r="AA195" s="7">
        <v>11</v>
      </c>
      <c r="AB195" s="7">
        <f>(742+707)/2</f>
        <v>724.5</v>
      </c>
      <c r="AC195" s="7"/>
      <c r="AD195" s="4">
        <f t="shared" si="526"/>
        <v>1</v>
      </c>
      <c r="AE195" s="7">
        <v>0</v>
      </c>
      <c r="AF195" s="7">
        <v>0</v>
      </c>
      <c r="AG195" s="7">
        <f t="shared" si="647"/>
        <v>88.8</v>
      </c>
      <c r="AH195" s="7"/>
      <c r="AI195" s="7"/>
      <c r="AJ195" s="7">
        <f t="shared" si="527"/>
        <v>0.808743169398907</v>
      </c>
      <c r="AK195" s="4">
        <f t="shared" si="655"/>
        <v>88.8</v>
      </c>
      <c r="AL195" s="4">
        <f t="shared" si="595"/>
        <v>1.25</v>
      </c>
      <c r="AM195" s="4">
        <f t="shared" si="596"/>
        <v>162.318079587065</v>
      </c>
      <c r="AN195" s="4">
        <f t="shared" si="597"/>
        <v>0.77499999999999991</v>
      </c>
      <c r="AO195" s="4">
        <v>1.25</v>
      </c>
      <c r="AP195" s="47">
        <f t="shared" si="657"/>
        <v>5</v>
      </c>
      <c r="AQ195" s="38">
        <f t="shared" si="599"/>
        <v>982.7852474998075</v>
      </c>
      <c r="AR195" s="38">
        <f t="shared" si="600"/>
        <v>982.7852474998075</v>
      </c>
      <c r="AS195" s="38">
        <f t="shared" si="601"/>
        <v>6.7681675210006302</v>
      </c>
      <c r="AT195" s="38">
        <f t="shared" si="461"/>
        <v>1168.717591621393</v>
      </c>
      <c r="AU195" s="38">
        <f t="shared" si="406"/>
        <v>0.84090909090909072</v>
      </c>
      <c r="AV195" s="38">
        <f t="shared" si="462"/>
        <v>1.1576791602177794</v>
      </c>
      <c r="AW195" s="4">
        <f t="shared" si="463"/>
        <v>0</v>
      </c>
      <c r="AX195" s="4">
        <f t="shared" si="528"/>
        <v>316.14015616170963</v>
      </c>
      <c r="AY195" s="4">
        <f t="shared" si="529"/>
        <v>1</v>
      </c>
      <c r="AZ195" s="38">
        <f t="shared" si="465"/>
        <v>1353</v>
      </c>
      <c r="BA195" s="4">
        <f t="shared" si="531"/>
        <v>0.44000000000000006</v>
      </c>
      <c r="BB195" s="4">
        <f t="shared" si="532"/>
        <v>72.680621901577055</v>
      </c>
      <c r="BC195" s="4">
        <f t="shared" si="533"/>
        <v>1425.6806219015771</v>
      </c>
      <c r="BE195" s="4">
        <f t="shared" si="469"/>
        <v>1</v>
      </c>
      <c r="BF195" s="4">
        <f t="shared" si="470"/>
        <v>630.69961154261068</v>
      </c>
      <c r="BH195" s="4">
        <f t="shared" si="508"/>
        <v>1297.6924611181944</v>
      </c>
      <c r="BI195" s="4">
        <f t="shared" si="509"/>
        <v>6880.0343955178114</v>
      </c>
      <c r="BJ195" s="4">
        <f t="shared" si="510"/>
        <v>5.3017449061770998</v>
      </c>
      <c r="BK195" s="4">
        <f t="shared" si="602"/>
        <v>22.2</v>
      </c>
      <c r="BL195" s="4">
        <f t="shared" si="603"/>
        <v>22.2</v>
      </c>
      <c r="BM195" s="4">
        <f t="shared" si="604"/>
        <v>59.199999999999996</v>
      </c>
      <c r="BN195" s="4">
        <f t="shared" si="605"/>
        <v>33.299999999999997</v>
      </c>
      <c r="BO195" s="4">
        <f t="shared" si="606"/>
        <v>1.1666666666666667</v>
      </c>
      <c r="BP195" s="25">
        <f t="shared" si="607"/>
        <v>1.7500000000000002</v>
      </c>
      <c r="BR195" s="4">
        <f t="shared" si="539"/>
        <v>22.2</v>
      </c>
      <c r="BV195" s="9"/>
      <c r="BX195" s="9"/>
      <c r="BY195" s="9"/>
      <c r="BZ195" s="9">
        <f t="shared" si="540"/>
        <v>22.2</v>
      </c>
      <c r="CA195" s="9">
        <f t="shared" si="541"/>
        <v>153.60000000000002</v>
      </c>
      <c r="CB195" s="9">
        <f t="shared" si="480"/>
        <v>1.3366131704942024</v>
      </c>
      <c r="CC195" s="9">
        <v>0</v>
      </c>
      <c r="CD195" s="9">
        <f t="shared" si="543"/>
        <v>0</v>
      </c>
      <c r="CE195" s="9">
        <f t="shared" si="544"/>
        <v>0</v>
      </c>
      <c r="CF195" s="9">
        <f t="shared" si="545"/>
        <v>1</v>
      </c>
      <c r="CG195" s="9">
        <f t="shared" si="546"/>
        <v>0.78299999999999992</v>
      </c>
      <c r="CH195" s="9">
        <f t="shared" si="485"/>
        <v>4.1153149653155339</v>
      </c>
      <c r="CI195" s="9">
        <f t="shared" si="486"/>
        <v>5.5005841833726343</v>
      </c>
      <c r="CJ195" s="9">
        <v>1</v>
      </c>
      <c r="CK195" s="9">
        <f t="shared" si="487"/>
        <v>418.04439793632019</v>
      </c>
      <c r="CM195" s="4">
        <f t="shared" si="550"/>
        <v>2.2917050740919138</v>
      </c>
      <c r="CN195" s="4">
        <f t="shared" si="551"/>
        <v>0.50817833171756221</v>
      </c>
      <c r="CO195" s="4">
        <f t="shared" si="552"/>
        <v>1.1487243479157463</v>
      </c>
      <c r="CP195" s="4">
        <f t="shared" si="553"/>
        <v>1.7330695102637437</v>
      </c>
      <c r="CQ195" s="44">
        <f t="shared" si="554"/>
        <v>1</v>
      </c>
      <c r="CR195" s="4">
        <f t="shared" si="555"/>
        <v>1</v>
      </c>
      <c r="CS195" s="4">
        <f t="shared" si="556"/>
        <v>2.7388525471447704</v>
      </c>
      <c r="CU195" s="4">
        <f t="shared" si="643"/>
        <v>2.2917050740919138</v>
      </c>
      <c r="CV195" s="4">
        <f t="shared" si="643"/>
        <v>0.50817833171756221</v>
      </c>
      <c r="CW195" s="4">
        <f t="shared" si="648"/>
        <v>1.7330695102637437</v>
      </c>
      <c r="CX195" s="4">
        <f t="shared" si="644"/>
        <v>2.7388525471447704</v>
      </c>
      <c r="CY195" s="4">
        <f t="shared" si="645"/>
        <v>1</v>
      </c>
      <c r="CZ195" s="4">
        <f t="shared" si="645"/>
        <v>1</v>
      </c>
      <c r="DH195" s="4">
        <f t="shared" si="558"/>
        <v>0</v>
      </c>
      <c r="DI195" s="4">
        <f t="shared" si="559"/>
        <v>88.8</v>
      </c>
      <c r="DL195" s="4">
        <f t="shared" si="560"/>
        <v>2.8168411137544479E-5</v>
      </c>
      <c r="DM195" s="4">
        <f t="shared" si="561"/>
        <v>16.127376482335833</v>
      </c>
      <c r="DN195" s="4">
        <f t="shared" si="562"/>
        <v>0.25026948323357978</v>
      </c>
      <c r="DO195" s="4">
        <f t="shared" si="563"/>
        <v>9.2667379743898639</v>
      </c>
      <c r="DP195" s="4">
        <f t="shared" si="564"/>
        <v>13.155388550026604</v>
      </c>
      <c r="DQ195" s="4">
        <f t="shared" si="565"/>
        <v>15.351898346055917</v>
      </c>
      <c r="DR195" s="38">
        <f t="shared" si="609"/>
        <v>724.5</v>
      </c>
      <c r="DS195" s="4">
        <f t="shared" si="566"/>
        <v>1</v>
      </c>
      <c r="DT195" s="4">
        <f t="shared" si="567"/>
        <v>2.2360679774997898</v>
      </c>
      <c r="DU195" s="4">
        <f t="shared" si="568"/>
        <v>1168.717591621393</v>
      </c>
      <c r="DY195" s="4">
        <f t="shared" si="569"/>
        <v>0.85</v>
      </c>
      <c r="DZ195" s="4">
        <f t="shared" si="570"/>
        <v>1</v>
      </c>
      <c r="EA195" s="4">
        <f t="shared" si="610"/>
        <v>1</v>
      </c>
      <c r="EB195" s="4">
        <f t="shared" si="571"/>
        <v>1</v>
      </c>
      <c r="ED195" s="4">
        <f t="shared" si="611"/>
        <v>724.5</v>
      </c>
      <c r="EE195" s="25">
        <f t="shared" si="656"/>
        <v>1129.9159381809077</v>
      </c>
      <c r="EH195" s="4">
        <f t="shared" si="613"/>
        <v>16.127376482335833</v>
      </c>
      <c r="EK195" s="4">
        <f t="shared" si="572"/>
        <v>49.640709100495329</v>
      </c>
      <c r="EL195" s="4">
        <f t="shared" si="573"/>
        <v>2.2360679774997898</v>
      </c>
      <c r="EM195" s="4">
        <f t="shared" si="574"/>
        <v>0.20550218097817574</v>
      </c>
      <c r="EP195" s="4">
        <f t="shared" si="575"/>
        <v>0.20550218097817574</v>
      </c>
      <c r="EQ195" s="4">
        <f t="shared" si="496"/>
        <v>0.2498518301099539</v>
      </c>
      <c r="ER195" s="4">
        <f t="shared" si="577"/>
        <v>9.2605490913170101</v>
      </c>
      <c r="ES195" s="4">
        <f t="shared" si="578"/>
        <v>13.15322177909766</v>
      </c>
      <c r="ET195" s="4">
        <f t="shared" si="579"/>
        <v>16.959290899504666</v>
      </c>
      <c r="EU195" s="4">
        <f t="shared" si="580"/>
        <v>22.200000000000003</v>
      </c>
      <c r="EV195" s="4">
        <f t="shared" si="498"/>
        <v>2.8168411137544483E-5</v>
      </c>
      <c r="EW195" s="4">
        <f t="shared" si="582"/>
        <v>15.352207742597887</v>
      </c>
      <c r="EX195" s="4">
        <f t="shared" si="511"/>
        <v>724.5</v>
      </c>
      <c r="FG195" s="23">
        <f t="shared" si="649"/>
        <v>2.2000000000000002</v>
      </c>
      <c r="FH195" s="23">
        <f t="shared" si="649"/>
        <v>0.6</v>
      </c>
      <c r="FI195" s="23">
        <f t="shared" si="585"/>
        <v>2.2000000000000002</v>
      </c>
      <c r="FJ195" s="23">
        <f t="shared" si="650"/>
        <v>1.8</v>
      </c>
      <c r="FK195" s="23">
        <f t="shared" si="650"/>
        <v>1.2</v>
      </c>
      <c r="FL195" s="23">
        <f t="shared" si="650"/>
        <v>1.2</v>
      </c>
      <c r="FM195" s="23">
        <f t="shared" si="587"/>
        <v>0</v>
      </c>
      <c r="FN195" s="23"/>
      <c r="FX195" s="4">
        <f t="shared" si="422"/>
        <v>1.25</v>
      </c>
      <c r="FY195" s="4">
        <f t="shared" si="513"/>
        <v>0.5</v>
      </c>
      <c r="FZ195" s="4">
        <f t="shared" si="423"/>
        <v>0</v>
      </c>
      <c r="GA195" s="4">
        <f t="shared" si="424"/>
        <v>264.52683652330421</v>
      </c>
    </row>
    <row r="196" spans="1:183" ht="12" customHeight="1" x14ac:dyDescent="0.3">
      <c r="A196" s="25">
        <v>178</v>
      </c>
      <c r="B196" s="24" t="s">
        <v>128</v>
      </c>
      <c r="C196" s="24">
        <v>2017</v>
      </c>
      <c r="D196" s="24" t="s">
        <v>309</v>
      </c>
      <c r="E196" s="24"/>
      <c r="F196" s="4" t="s">
        <v>153</v>
      </c>
      <c r="G196" s="7">
        <v>679</v>
      </c>
      <c r="H196" s="7">
        <f t="shared" si="651"/>
        <v>88.8</v>
      </c>
      <c r="I196" s="7">
        <f t="shared" si="519"/>
        <v>88.8</v>
      </c>
      <c r="J196" s="7">
        <v>129.9</v>
      </c>
      <c r="K196" s="7">
        <v>22.2</v>
      </c>
      <c r="L196" s="7">
        <f t="shared" si="588"/>
        <v>4</v>
      </c>
      <c r="M196" s="7">
        <f t="shared" si="589"/>
        <v>4</v>
      </c>
      <c r="N196" s="7">
        <v>366</v>
      </c>
      <c r="O196" s="7">
        <f t="shared" si="652"/>
        <v>22.2</v>
      </c>
      <c r="P196" s="7">
        <f t="shared" ref="P196:P201" si="659">118-I196</f>
        <v>29.200000000000003</v>
      </c>
      <c r="Q196" s="7">
        <f t="shared" si="653"/>
        <v>277.20000000000005</v>
      </c>
      <c r="R196" s="7">
        <v>2</v>
      </c>
      <c r="S196" s="7">
        <f t="shared" si="654"/>
        <v>59.199999999999996</v>
      </c>
      <c r="T196" s="7">
        <f t="shared" si="521"/>
        <v>1.5</v>
      </c>
      <c r="U196" s="7">
        <f t="shared" si="504"/>
        <v>1.5</v>
      </c>
      <c r="V196" s="7">
        <f t="shared" si="517"/>
        <v>4</v>
      </c>
      <c r="W196" s="7">
        <f t="shared" si="517"/>
        <v>4</v>
      </c>
      <c r="X196" s="7">
        <f t="shared" si="523"/>
        <v>5</v>
      </c>
      <c r="Y196" s="7">
        <f t="shared" si="524"/>
        <v>49.640709100495329</v>
      </c>
      <c r="Z196" s="7">
        <f t="shared" si="506"/>
        <v>679</v>
      </c>
      <c r="AA196" s="7">
        <v>8</v>
      </c>
      <c r="AB196" s="7">
        <f>(678+662)/2</f>
        <v>670</v>
      </c>
      <c r="AC196" s="7"/>
      <c r="AD196" s="4">
        <f t="shared" si="526"/>
        <v>0.98674521354933731</v>
      </c>
      <c r="AE196" s="7">
        <v>0</v>
      </c>
      <c r="AF196" s="7">
        <v>0</v>
      </c>
      <c r="AG196" s="7">
        <f t="shared" si="647"/>
        <v>88.8</v>
      </c>
      <c r="AH196" s="7"/>
      <c r="AI196" s="7"/>
      <c r="AJ196" s="7">
        <f t="shared" si="527"/>
        <v>0.88977955911823625</v>
      </c>
      <c r="AK196" s="4">
        <f t="shared" si="655"/>
        <v>88.8</v>
      </c>
      <c r="AL196" s="4">
        <f t="shared" si="595"/>
        <v>1.25</v>
      </c>
      <c r="AM196" s="4">
        <f t="shared" si="596"/>
        <v>123.19645135939774</v>
      </c>
      <c r="AN196" s="4">
        <f t="shared" si="597"/>
        <v>0.77499999999999991</v>
      </c>
      <c r="AO196" s="4">
        <v>1.25</v>
      </c>
      <c r="AP196" s="47">
        <f t="shared" si="657"/>
        <v>5</v>
      </c>
      <c r="AQ196" s="38">
        <f>AL196*AN196*AO196*AP196*AM196</f>
        <v>745.91601409010343</v>
      </c>
      <c r="AR196" s="38">
        <f t="shared" si="600"/>
        <v>745.91601409010343</v>
      </c>
      <c r="AS196" s="38">
        <f t="shared" si="601"/>
        <v>5.7111767066521422</v>
      </c>
      <c r="AT196" s="38">
        <f>AP196* (J196^0.5/AK196^0.5)/(PI()/4*K196^2)/R196/0.72 *(0.7+(MIN(O196,S196)+0.5*K196)/5/H196) *(3*N196*H196)</f>
        <v>819.83561909002367</v>
      </c>
      <c r="AU196" s="38">
        <f>AQ196/AT196</f>
        <v>0.90983606557377039</v>
      </c>
      <c r="AV196" s="38">
        <f t="shared" si="462"/>
        <v>0.9506783821677508</v>
      </c>
      <c r="AW196" s="4">
        <f t="shared" si="463"/>
        <v>1</v>
      </c>
      <c r="AX196" s="4">
        <f t="shared" si="528"/>
        <v>239.94459194200661</v>
      </c>
      <c r="AY196" s="4">
        <f t="shared" si="529"/>
        <v>1</v>
      </c>
      <c r="AZ196" s="38">
        <f t="shared" si="465"/>
        <v>779.40000000000009</v>
      </c>
      <c r="BA196" s="4">
        <f t="shared" si="531"/>
        <v>0.44000000000000006</v>
      </c>
      <c r="BB196" s="4">
        <f t="shared" si="532"/>
        <v>55.163261687467326</v>
      </c>
      <c r="BC196" s="4">
        <f t="shared" si="533"/>
        <v>834.56326168746739</v>
      </c>
      <c r="BE196" s="4">
        <f t="shared" si="469"/>
        <v>1</v>
      </c>
      <c r="BF196" s="4">
        <f t="shared" si="470"/>
        <v>478.68946092430321</v>
      </c>
      <c r="BH196" s="4">
        <f t="shared" si="508"/>
        <v>747.53991440910613</v>
      </c>
      <c r="BI196" s="4">
        <f t="shared" si="509"/>
        <v>3704.4961984911101</v>
      </c>
      <c r="BJ196" s="4">
        <f t="shared" si="510"/>
        <v>4.9555831429005819</v>
      </c>
      <c r="BK196" s="4">
        <f t="shared" si="602"/>
        <v>22.2</v>
      </c>
      <c r="BL196" s="4">
        <f t="shared" si="603"/>
        <v>22.2</v>
      </c>
      <c r="BM196" s="4">
        <f t="shared" si="604"/>
        <v>59.199999999999996</v>
      </c>
      <c r="BN196" s="4">
        <f t="shared" si="605"/>
        <v>33.299999999999997</v>
      </c>
      <c r="BO196" s="4">
        <f t="shared" si="606"/>
        <v>1.1666666666666667</v>
      </c>
      <c r="BP196" s="25">
        <f t="shared" si="607"/>
        <v>1.7500000000000002</v>
      </c>
      <c r="BR196" s="4">
        <f t="shared" si="539"/>
        <v>22.2</v>
      </c>
      <c r="BV196" s="9"/>
      <c r="BX196" s="9"/>
      <c r="BY196" s="9"/>
      <c r="BZ196" s="9">
        <f t="shared" si="540"/>
        <v>22.2</v>
      </c>
      <c r="CA196" s="9">
        <f t="shared" si="541"/>
        <v>138.60000000000002</v>
      </c>
      <c r="CB196" s="9">
        <f t="shared" si="480"/>
        <v>1.3161686388047049</v>
      </c>
      <c r="CC196" s="9">
        <v>0</v>
      </c>
      <c r="CD196" s="9">
        <f t="shared" si="543"/>
        <v>0</v>
      </c>
      <c r="CE196" s="9">
        <f t="shared" si="544"/>
        <v>0</v>
      </c>
      <c r="CF196" s="9">
        <f t="shared" si="545"/>
        <v>1</v>
      </c>
      <c r="CG196" s="9">
        <f t="shared" si="546"/>
        <v>0.77100000000000002</v>
      </c>
      <c r="CH196" s="9">
        <f t="shared" si="485"/>
        <v>3.0755797864386483</v>
      </c>
      <c r="CI196" s="9">
        <f t="shared" si="486"/>
        <v>4.047981661052221</v>
      </c>
      <c r="CJ196" s="9">
        <v>1</v>
      </c>
      <c r="CK196" s="9">
        <f t="shared" si="487"/>
        <v>307.64660623996883</v>
      </c>
      <c r="CM196" s="4">
        <f t="shared" si="550"/>
        <v>2.7923113189478994</v>
      </c>
      <c r="CN196" s="4">
        <f t="shared" si="551"/>
        <v>0.80281511391392391</v>
      </c>
      <c r="CO196" s="4">
        <f t="shared" si="552"/>
        <v>1.3996547964651125</v>
      </c>
      <c r="CP196" s="4">
        <f t="shared" si="553"/>
        <v>2.1778234715106537</v>
      </c>
      <c r="CQ196" s="44">
        <f t="shared" si="554"/>
        <v>0.98674521354933731</v>
      </c>
      <c r="CR196" s="4">
        <f t="shared" si="555"/>
        <v>0.98674521354933731</v>
      </c>
      <c r="CS196" s="4">
        <f t="shared" si="556"/>
        <v>2.9072970877236819</v>
      </c>
      <c r="CU196" s="4">
        <f t="shared" si="643"/>
        <v>2.7923113189478994</v>
      </c>
      <c r="CV196" s="4">
        <f t="shared" si="643"/>
        <v>0.80281511391392391</v>
      </c>
      <c r="CW196" s="4">
        <f t="shared" si="648"/>
        <v>2.1778234715106537</v>
      </c>
      <c r="CX196" s="4">
        <f t="shared" si="644"/>
        <v>2.9072970877236819</v>
      </c>
      <c r="CY196" s="4">
        <f t="shared" si="645"/>
        <v>0.98674521354933731</v>
      </c>
      <c r="CZ196" s="4">
        <f t="shared" si="645"/>
        <v>0.98674521354933731</v>
      </c>
      <c r="DH196" s="4">
        <f t="shared" si="558"/>
        <v>0</v>
      </c>
      <c r="DI196" s="4">
        <f t="shared" si="559"/>
        <v>88.8</v>
      </c>
      <c r="DL196" s="4">
        <f t="shared" si="560"/>
        <v>1.3307058507295954E-5</v>
      </c>
      <c r="DM196" s="4">
        <f t="shared" si="561"/>
        <v>12.240383556873418</v>
      </c>
      <c r="DN196" s="4">
        <f t="shared" si="562"/>
        <v>0.30476317818160303</v>
      </c>
      <c r="DO196" s="4">
        <f t="shared" si="563"/>
        <v>7.6099188282326313</v>
      </c>
      <c r="DP196" s="4">
        <f t="shared" si="564"/>
        <v>10.192991795564765</v>
      </c>
      <c r="DQ196" s="4">
        <f t="shared" si="565"/>
        <v>12.017551598084074</v>
      </c>
      <c r="DR196" s="38">
        <f t="shared" si="609"/>
        <v>679</v>
      </c>
      <c r="DS196" s="4">
        <f t="shared" si="566"/>
        <v>1</v>
      </c>
      <c r="DT196" s="4">
        <f t="shared" si="567"/>
        <v>2.2360679774997898</v>
      </c>
      <c r="DU196" s="4">
        <f t="shared" si="568"/>
        <v>819.83561909002367</v>
      </c>
      <c r="DY196" s="4">
        <f t="shared" si="569"/>
        <v>0.85</v>
      </c>
      <c r="DZ196" s="4">
        <f t="shared" si="570"/>
        <v>1</v>
      </c>
      <c r="EA196" s="4">
        <f t="shared" si="610"/>
        <v>1</v>
      </c>
      <c r="EB196" s="4">
        <f t="shared" si="571"/>
        <v>1</v>
      </c>
      <c r="ED196" s="4">
        <f t="shared" si="611"/>
        <v>679</v>
      </c>
      <c r="EE196" s="25">
        <f t="shared" si="656"/>
        <v>792.6169156169592</v>
      </c>
      <c r="EH196" s="4">
        <f t="shared" si="613"/>
        <v>12.240383556873418</v>
      </c>
      <c r="EK196" s="4">
        <f t="shared" si="572"/>
        <v>49.640709100495329</v>
      </c>
      <c r="EL196" s="4">
        <f t="shared" si="573"/>
        <v>2.2360679774997898</v>
      </c>
      <c r="EM196" s="4">
        <f t="shared" si="574"/>
        <v>0.18993383393437455</v>
      </c>
      <c r="EP196" s="4">
        <f t="shared" si="575"/>
        <v>0.18993383393437455</v>
      </c>
      <c r="EQ196" s="4">
        <f t="shared" si="496"/>
        <v>0.30425458523735305</v>
      </c>
      <c r="ER196" s="4">
        <f t="shared" si="577"/>
        <v>7.6048364682962655</v>
      </c>
      <c r="ES196" s="4">
        <f t="shared" si="578"/>
        <v>10.191101700613215</v>
      </c>
      <c r="ET196" s="4">
        <f t="shared" si="579"/>
        <v>16.959290899504666</v>
      </c>
      <c r="EU196" s="4">
        <f t="shared" si="580"/>
        <v>22.200000000000003</v>
      </c>
      <c r="EV196" s="4">
        <f t="shared" si="498"/>
        <v>1.3307058507295955E-5</v>
      </c>
      <c r="EW196" s="4">
        <f t="shared" si="582"/>
        <v>12.01764389508271</v>
      </c>
      <c r="EX196" s="4">
        <f t="shared" si="511"/>
        <v>679</v>
      </c>
      <c r="FG196" s="23">
        <f t="shared" si="649"/>
        <v>2.2000000000000002</v>
      </c>
      <c r="FH196" s="23">
        <f t="shared" si="649"/>
        <v>1</v>
      </c>
      <c r="FI196" s="23">
        <f t="shared" si="585"/>
        <v>2.2000000000000002</v>
      </c>
      <c r="FJ196" s="23">
        <f t="shared" si="650"/>
        <v>2.2000000000000002</v>
      </c>
      <c r="FK196" s="23">
        <f t="shared" si="650"/>
        <v>1</v>
      </c>
      <c r="FL196" s="23">
        <f t="shared" si="650"/>
        <v>1</v>
      </c>
      <c r="FM196" s="23">
        <f t="shared" si="587"/>
        <v>0</v>
      </c>
      <c r="FN196" s="23"/>
      <c r="FX196" s="4">
        <f t="shared" si="422"/>
        <v>1.25</v>
      </c>
      <c r="FY196" s="4">
        <f t="shared" si="513"/>
        <v>0.5</v>
      </c>
      <c r="FZ196" s="4">
        <f t="shared" si="423"/>
        <v>0</v>
      </c>
      <c r="GA196" s="4">
        <f t="shared" si="424"/>
        <v>230.4546043227347</v>
      </c>
    </row>
    <row r="197" spans="1:183" ht="12" customHeight="1" x14ac:dyDescent="0.3">
      <c r="A197" s="25">
        <v>179</v>
      </c>
      <c r="B197" s="24" t="s">
        <v>128</v>
      </c>
      <c r="C197" s="24">
        <v>2017</v>
      </c>
      <c r="D197" s="24" t="s">
        <v>309</v>
      </c>
      <c r="E197" s="24"/>
      <c r="F197" s="4" t="s">
        <v>311</v>
      </c>
      <c r="G197" s="7">
        <v>679</v>
      </c>
      <c r="H197" s="7">
        <f t="shared" si="651"/>
        <v>88.8</v>
      </c>
      <c r="I197" s="7">
        <f t="shared" si="519"/>
        <v>88.8</v>
      </c>
      <c r="J197" s="7">
        <v>129.9</v>
      </c>
      <c r="K197" s="7">
        <v>22.2</v>
      </c>
      <c r="L197" s="7">
        <f t="shared" si="588"/>
        <v>4</v>
      </c>
      <c r="M197" s="7">
        <f t="shared" si="589"/>
        <v>4</v>
      </c>
      <c r="N197" s="7">
        <v>366</v>
      </c>
      <c r="O197" s="7">
        <f t="shared" si="652"/>
        <v>22.2</v>
      </c>
      <c r="P197" s="7">
        <f t="shared" si="659"/>
        <v>29.200000000000003</v>
      </c>
      <c r="Q197" s="7">
        <f t="shared" si="653"/>
        <v>277.20000000000005</v>
      </c>
      <c r="R197" s="7">
        <v>2</v>
      </c>
      <c r="S197" s="7">
        <f t="shared" si="654"/>
        <v>59.199999999999996</v>
      </c>
      <c r="T197" s="7">
        <f t="shared" si="521"/>
        <v>1.5</v>
      </c>
      <c r="U197" s="7">
        <f t="shared" si="504"/>
        <v>1.5</v>
      </c>
      <c r="V197" s="7">
        <f t="shared" si="517"/>
        <v>4</v>
      </c>
      <c r="W197" s="7">
        <f t="shared" si="517"/>
        <v>4</v>
      </c>
      <c r="X197" s="7">
        <f t="shared" si="523"/>
        <v>5</v>
      </c>
      <c r="Y197" s="7">
        <f t="shared" si="524"/>
        <v>49.640709100495329</v>
      </c>
      <c r="Z197" s="7">
        <f t="shared" si="506"/>
        <v>679</v>
      </c>
      <c r="AA197" s="7">
        <v>8</v>
      </c>
      <c r="AB197" s="7">
        <f>(711+686)/2</f>
        <v>698.5</v>
      </c>
      <c r="AC197" s="7"/>
      <c r="AD197" s="4">
        <f t="shared" si="526"/>
        <v>1</v>
      </c>
      <c r="AE197" s="7">
        <v>0</v>
      </c>
      <c r="AF197" s="7">
        <v>0</v>
      </c>
      <c r="AG197" s="7">
        <f t="shared" si="647"/>
        <v>88.8</v>
      </c>
      <c r="AH197" s="7"/>
      <c r="AI197" s="7"/>
      <c r="AJ197" s="7">
        <f t="shared" si="527"/>
        <v>0.88977955911823625</v>
      </c>
      <c r="AK197" s="4">
        <f t="shared" si="655"/>
        <v>88.8</v>
      </c>
      <c r="AL197" s="4">
        <f t="shared" si="595"/>
        <v>1.25</v>
      </c>
      <c r="AM197" s="4">
        <f t="shared" si="596"/>
        <v>123.19645135939774</v>
      </c>
      <c r="AN197" s="4">
        <f t="shared" si="597"/>
        <v>0.77499999999999991</v>
      </c>
      <c r="AO197" s="4">
        <v>1.25</v>
      </c>
      <c r="AP197" s="47">
        <f t="shared" si="657"/>
        <v>5</v>
      </c>
      <c r="AQ197" s="38">
        <f t="shared" si="599"/>
        <v>745.91601409010343</v>
      </c>
      <c r="AR197" s="38">
        <f t="shared" si="600"/>
        <v>745.91601409010343</v>
      </c>
      <c r="AS197" s="38">
        <f t="shared" si="601"/>
        <v>5.7111767066521422</v>
      </c>
      <c r="AT197" s="38">
        <f t="shared" si="461"/>
        <v>819.83561909002367</v>
      </c>
      <c r="AU197" s="38">
        <f t="shared" si="406"/>
        <v>0.90983606557377039</v>
      </c>
      <c r="AV197" s="38">
        <f t="shared" si="462"/>
        <v>0.9506783821677508</v>
      </c>
      <c r="AW197" s="4">
        <f t="shared" si="463"/>
        <v>1</v>
      </c>
      <c r="AX197" s="4">
        <f t="shared" si="528"/>
        <v>239.94459194200661</v>
      </c>
      <c r="AY197" s="4">
        <f t="shared" si="529"/>
        <v>1</v>
      </c>
      <c r="AZ197" s="38">
        <f t="shared" si="465"/>
        <v>779.40000000000009</v>
      </c>
      <c r="BA197" s="4">
        <f t="shared" si="531"/>
        <v>0.44000000000000006</v>
      </c>
      <c r="BB197" s="4">
        <f t="shared" si="532"/>
        <v>55.163261687467326</v>
      </c>
      <c r="BC197" s="4">
        <f t="shared" si="533"/>
        <v>834.56326168746739</v>
      </c>
      <c r="BE197" s="4">
        <f t="shared" si="469"/>
        <v>1</v>
      </c>
      <c r="BF197" s="4">
        <f t="shared" si="470"/>
        <v>478.68946092430321</v>
      </c>
      <c r="BH197" s="4">
        <f t="shared" si="508"/>
        <v>747.53991440910613</v>
      </c>
      <c r="BI197" s="4">
        <f t="shared" si="509"/>
        <v>3704.4961984911101</v>
      </c>
      <c r="BJ197" s="4">
        <f t="shared" si="510"/>
        <v>4.9555831429005819</v>
      </c>
      <c r="BK197" s="4">
        <f t="shared" si="602"/>
        <v>22.2</v>
      </c>
      <c r="BL197" s="4">
        <f t="shared" si="603"/>
        <v>22.2</v>
      </c>
      <c r="BM197" s="4">
        <f t="shared" si="604"/>
        <v>59.199999999999996</v>
      </c>
      <c r="BN197" s="4">
        <f t="shared" si="605"/>
        <v>33.299999999999997</v>
      </c>
      <c r="BO197" s="4">
        <f t="shared" si="606"/>
        <v>1.1666666666666667</v>
      </c>
      <c r="BP197" s="25">
        <f t="shared" si="607"/>
        <v>1.7500000000000002</v>
      </c>
      <c r="BR197" s="4">
        <f t="shared" si="539"/>
        <v>22.2</v>
      </c>
      <c r="BV197" s="9"/>
      <c r="BX197" s="9"/>
      <c r="BY197" s="9"/>
      <c r="BZ197" s="9">
        <f t="shared" si="540"/>
        <v>22.2</v>
      </c>
      <c r="CA197" s="9">
        <f t="shared" si="541"/>
        <v>138.60000000000002</v>
      </c>
      <c r="CB197" s="9">
        <f t="shared" si="480"/>
        <v>1.3161686388047049</v>
      </c>
      <c r="CC197" s="9">
        <v>0</v>
      </c>
      <c r="CD197" s="9">
        <f t="shared" si="543"/>
        <v>0</v>
      </c>
      <c r="CE197" s="9">
        <f t="shared" si="544"/>
        <v>0</v>
      </c>
      <c r="CF197" s="9">
        <f t="shared" si="545"/>
        <v>1</v>
      </c>
      <c r="CG197" s="9">
        <f t="shared" si="546"/>
        <v>0.77100000000000002</v>
      </c>
      <c r="CH197" s="9">
        <f t="shared" si="485"/>
        <v>3.0755797864386483</v>
      </c>
      <c r="CI197" s="9">
        <f t="shared" si="486"/>
        <v>4.047981661052221</v>
      </c>
      <c r="CJ197" s="9">
        <v>1</v>
      </c>
      <c r="CK197" s="9">
        <f t="shared" si="487"/>
        <v>307.64660623996883</v>
      </c>
      <c r="CM197" s="4">
        <f t="shared" si="550"/>
        <v>2.9110887407240416</v>
      </c>
      <c r="CN197" s="4">
        <f t="shared" si="551"/>
        <v>0.8369647120430983</v>
      </c>
      <c r="CO197" s="4">
        <f t="shared" si="552"/>
        <v>1.459192351240121</v>
      </c>
      <c r="CP197" s="4">
        <f t="shared" si="553"/>
        <v>2.2704622311196889</v>
      </c>
      <c r="CQ197" s="44">
        <f t="shared" si="554"/>
        <v>1</v>
      </c>
      <c r="CR197" s="4">
        <f t="shared" si="555"/>
        <v>1</v>
      </c>
      <c r="CS197" s="4">
        <f t="shared" si="556"/>
        <v>3.0309656951865547</v>
      </c>
      <c r="CU197" s="4">
        <f t="shared" si="643"/>
        <v>2.9110887407240416</v>
      </c>
      <c r="CV197" s="4">
        <f t="shared" si="643"/>
        <v>0.8369647120430983</v>
      </c>
      <c r="CW197" s="4">
        <f t="shared" si="648"/>
        <v>2.2704622311196889</v>
      </c>
      <c r="CX197" s="4">
        <f t="shared" si="644"/>
        <v>3.0309656951865547</v>
      </c>
      <c r="CY197" s="4">
        <f t="shared" si="645"/>
        <v>1</v>
      </c>
      <c r="CZ197" s="4">
        <f t="shared" si="645"/>
        <v>1</v>
      </c>
      <c r="DH197" s="4">
        <f t="shared" si="558"/>
        <v>0</v>
      </c>
      <c r="DI197" s="4">
        <f t="shared" si="559"/>
        <v>88.8</v>
      </c>
      <c r="DL197" s="4">
        <f t="shared" si="560"/>
        <v>1.3307058507295954E-5</v>
      </c>
      <c r="DM197" s="4">
        <f t="shared" si="561"/>
        <v>12.240383556873418</v>
      </c>
      <c r="DN197" s="4">
        <f t="shared" si="562"/>
        <v>0.30476317818160303</v>
      </c>
      <c r="DO197" s="4">
        <f t="shared" si="563"/>
        <v>7.6099188282326313</v>
      </c>
      <c r="DP197" s="4">
        <f t="shared" si="564"/>
        <v>10.192991795564765</v>
      </c>
      <c r="DQ197" s="4">
        <f t="shared" si="565"/>
        <v>12.017551598084074</v>
      </c>
      <c r="DR197" s="38">
        <f t="shared" si="609"/>
        <v>698.5</v>
      </c>
      <c r="DS197" s="4">
        <f t="shared" si="566"/>
        <v>1</v>
      </c>
      <c r="DT197" s="4">
        <f t="shared" si="567"/>
        <v>2.2360679774997898</v>
      </c>
      <c r="DU197" s="4">
        <f t="shared" si="568"/>
        <v>819.83561909002367</v>
      </c>
      <c r="DY197" s="4">
        <f t="shared" si="569"/>
        <v>0.85</v>
      </c>
      <c r="DZ197" s="4">
        <f t="shared" si="570"/>
        <v>1</v>
      </c>
      <c r="EA197" s="4">
        <f t="shared" si="610"/>
        <v>1</v>
      </c>
      <c r="EB197" s="4">
        <f t="shared" si="571"/>
        <v>1</v>
      </c>
      <c r="ED197" s="4">
        <f t="shared" si="611"/>
        <v>698.5</v>
      </c>
      <c r="EE197" s="25">
        <f t="shared" si="656"/>
        <v>792.6169156169592</v>
      </c>
      <c r="EH197" s="4">
        <f t="shared" si="613"/>
        <v>12.240383556873418</v>
      </c>
      <c r="EK197" s="4">
        <f t="shared" si="572"/>
        <v>49.640709100495329</v>
      </c>
      <c r="EL197" s="4">
        <f t="shared" si="573"/>
        <v>2.2360679774997898</v>
      </c>
      <c r="EM197" s="4">
        <f t="shared" si="574"/>
        <v>0.18993383393437455</v>
      </c>
      <c r="EP197" s="4">
        <f t="shared" si="575"/>
        <v>0.18993383393437455</v>
      </c>
      <c r="EQ197" s="4">
        <f t="shared" si="496"/>
        <v>0.30425458523735305</v>
      </c>
      <c r="ER197" s="4">
        <f t="shared" si="577"/>
        <v>7.6048364682962655</v>
      </c>
      <c r="ES197" s="4">
        <f t="shared" si="578"/>
        <v>10.191101700613215</v>
      </c>
      <c r="ET197" s="4">
        <f t="shared" si="579"/>
        <v>16.959290899504666</v>
      </c>
      <c r="EU197" s="4">
        <f t="shared" si="580"/>
        <v>22.200000000000003</v>
      </c>
      <c r="EV197" s="4">
        <f t="shared" si="498"/>
        <v>1.3307058507295955E-5</v>
      </c>
      <c r="EW197" s="4">
        <f t="shared" si="582"/>
        <v>12.01764389508271</v>
      </c>
      <c r="EX197" s="4">
        <f t="shared" si="511"/>
        <v>698.5</v>
      </c>
      <c r="FG197" s="23">
        <f t="shared" si="649"/>
        <v>2.2000000000000002</v>
      </c>
      <c r="FH197" s="23">
        <f t="shared" si="649"/>
        <v>1</v>
      </c>
      <c r="FI197" s="23">
        <f t="shared" si="585"/>
        <v>2.2000000000000002</v>
      </c>
      <c r="FJ197" s="23">
        <f t="shared" si="650"/>
        <v>2.2000000000000002</v>
      </c>
      <c r="FK197" s="23">
        <f t="shared" si="650"/>
        <v>1.2</v>
      </c>
      <c r="FL197" s="23">
        <f t="shared" si="650"/>
        <v>1.2</v>
      </c>
      <c r="FM197" s="23">
        <f t="shared" si="587"/>
        <v>0</v>
      </c>
      <c r="FN197" s="23"/>
      <c r="FX197" s="4">
        <f t="shared" si="422"/>
        <v>1.25</v>
      </c>
      <c r="FY197" s="4">
        <f t="shared" si="513"/>
        <v>0.5</v>
      </c>
      <c r="FZ197" s="4">
        <f t="shared" si="423"/>
        <v>0</v>
      </c>
      <c r="GA197" s="4">
        <f t="shared" si="424"/>
        <v>230.4546043227347</v>
      </c>
    </row>
    <row r="198" spans="1:183" ht="12" customHeight="1" x14ac:dyDescent="0.3">
      <c r="A198" s="25">
        <v>180</v>
      </c>
      <c r="B198" s="24" t="s">
        <v>128</v>
      </c>
      <c r="C198" s="24">
        <v>2017</v>
      </c>
      <c r="D198" s="24" t="s">
        <v>309</v>
      </c>
      <c r="E198" s="24"/>
      <c r="F198" s="4" t="s">
        <v>314</v>
      </c>
      <c r="G198" s="7">
        <v>679</v>
      </c>
      <c r="H198" s="7">
        <f t="shared" si="651"/>
        <v>88.8</v>
      </c>
      <c r="I198" s="7">
        <f t="shared" si="519"/>
        <v>88.8</v>
      </c>
      <c r="J198" s="7">
        <v>129.9</v>
      </c>
      <c r="K198" s="7">
        <v>22.2</v>
      </c>
      <c r="L198" s="7">
        <f t="shared" si="588"/>
        <v>4</v>
      </c>
      <c r="M198" s="7">
        <f t="shared" si="589"/>
        <v>4</v>
      </c>
      <c r="N198" s="7">
        <v>388</v>
      </c>
      <c r="O198" s="7">
        <f>1.5*K198</f>
        <v>33.299999999999997</v>
      </c>
      <c r="P198" s="7">
        <f t="shared" si="659"/>
        <v>29.200000000000003</v>
      </c>
      <c r="Q198" s="7">
        <f t="shared" si="653"/>
        <v>277</v>
      </c>
      <c r="R198" s="7">
        <v>2</v>
      </c>
      <c r="S198" s="7">
        <f t="shared" si="654"/>
        <v>59.199999999999996</v>
      </c>
      <c r="T198" s="7">
        <f t="shared" si="521"/>
        <v>2</v>
      </c>
      <c r="U198" s="7">
        <f t="shared" si="504"/>
        <v>2</v>
      </c>
      <c r="V198" s="7">
        <f t="shared" si="517"/>
        <v>4</v>
      </c>
      <c r="W198" s="7">
        <f t="shared" si="517"/>
        <v>4</v>
      </c>
      <c r="X198" s="7">
        <f t="shared" si="523"/>
        <v>5</v>
      </c>
      <c r="Y198" s="7">
        <f t="shared" si="524"/>
        <v>49.640709100495329</v>
      </c>
      <c r="Z198" s="7">
        <f t="shared" si="506"/>
        <v>679</v>
      </c>
      <c r="AA198" s="7">
        <v>8</v>
      </c>
      <c r="AB198" s="7">
        <f>(751+699)/2</f>
        <v>725</v>
      </c>
      <c r="AC198" s="7"/>
      <c r="AD198" s="4">
        <f t="shared" si="526"/>
        <v>1</v>
      </c>
      <c r="AE198" s="7">
        <v>0</v>
      </c>
      <c r="AF198" s="7">
        <v>0</v>
      </c>
      <c r="AG198" s="7">
        <f t="shared" si="647"/>
        <v>88.8</v>
      </c>
      <c r="AH198" s="7"/>
      <c r="AI198" s="7"/>
      <c r="AJ198" s="7">
        <f t="shared" si="527"/>
        <v>0.89037433155080214</v>
      </c>
      <c r="AK198" s="4">
        <f t="shared" si="655"/>
        <v>88.8</v>
      </c>
      <c r="AL198" s="4">
        <f t="shared" si="595"/>
        <v>1.3333333333333333</v>
      </c>
      <c r="AM198" s="4">
        <f t="shared" si="596"/>
        <v>123.19645135939774</v>
      </c>
      <c r="AN198" s="4">
        <f t="shared" si="597"/>
        <v>0.79999999999999993</v>
      </c>
      <c r="AO198" s="4">
        <v>1.25</v>
      </c>
      <c r="AP198" s="47">
        <f t="shared" si="657"/>
        <v>5</v>
      </c>
      <c r="AQ198" s="38">
        <f t="shared" si="599"/>
        <v>821.30967572931809</v>
      </c>
      <c r="AR198" s="38">
        <f t="shared" si="600"/>
        <v>821.30967572931809</v>
      </c>
      <c r="AS198" s="38">
        <f t="shared" si="601"/>
        <v>5.7111767066521422</v>
      </c>
      <c r="AT198" s="38">
        <f t="shared" si="461"/>
        <v>897.15133497459317</v>
      </c>
      <c r="AU198" s="38">
        <f t="shared" si="406"/>
        <v>0.91546391752577294</v>
      </c>
      <c r="AV198" s="38">
        <f t="shared" si="462"/>
        <v>1.1583330030149592</v>
      </c>
      <c r="AW198" s="4">
        <f t="shared" si="463"/>
        <v>0</v>
      </c>
      <c r="AX198" s="4">
        <f t="shared" si="528"/>
        <v>239.94459194200661</v>
      </c>
      <c r="AY198" s="4">
        <f t="shared" si="529"/>
        <v>1</v>
      </c>
      <c r="AZ198" s="38">
        <f t="shared" si="465"/>
        <v>1039.2</v>
      </c>
      <c r="BA198" s="4">
        <f t="shared" si="531"/>
        <v>0.44000000000000006</v>
      </c>
      <c r="BB198" s="4">
        <f t="shared" si="532"/>
        <v>55.163261687467326</v>
      </c>
      <c r="BC198" s="4">
        <f t="shared" si="533"/>
        <v>1094.3632616874675</v>
      </c>
      <c r="BE198" s="4">
        <f t="shared" si="469"/>
        <v>1.125</v>
      </c>
      <c r="BF198" s="4">
        <f t="shared" si="470"/>
        <v>538.5256435398411</v>
      </c>
      <c r="BH198" s="4">
        <f t="shared" si="508"/>
        <v>996.71988587880821</v>
      </c>
      <c r="BI198" s="4">
        <f t="shared" si="509"/>
        <v>3704.4961984911101</v>
      </c>
      <c r="BJ198" s="4">
        <f t="shared" si="510"/>
        <v>3.7166873571754362</v>
      </c>
      <c r="BK198" s="4">
        <f t="shared" si="602"/>
        <v>33.299999999999997</v>
      </c>
      <c r="BL198" s="4">
        <f t="shared" si="603"/>
        <v>33.299999999999997</v>
      </c>
      <c r="BM198" s="4">
        <f t="shared" si="604"/>
        <v>59.199999999999996</v>
      </c>
      <c r="BN198" s="4">
        <f t="shared" si="605"/>
        <v>44.4</v>
      </c>
      <c r="BO198" s="4">
        <f t="shared" si="606"/>
        <v>1.0777777777777777</v>
      </c>
      <c r="BP198" s="25">
        <f t="shared" si="607"/>
        <v>2.1555555555555554</v>
      </c>
      <c r="BR198" s="4">
        <f t="shared" si="539"/>
        <v>33.299999999999997</v>
      </c>
      <c r="BV198" s="9"/>
      <c r="BX198" s="9"/>
      <c r="BY198" s="9"/>
      <c r="BZ198" s="9">
        <f t="shared" si="540"/>
        <v>29.200000000000003</v>
      </c>
      <c r="CA198" s="9">
        <f t="shared" si="541"/>
        <v>138.5</v>
      </c>
      <c r="CB198" s="9">
        <f t="shared" si="480"/>
        <v>1.4485216037038422</v>
      </c>
      <c r="CC198" s="9">
        <v>0</v>
      </c>
      <c r="CD198" s="9">
        <f t="shared" si="543"/>
        <v>0</v>
      </c>
      <c r="CE198" s="9">
        <f t="shared" si="544"/>
        <v>0</v>
      </c>
      <c r="CF198" s="9">
        <f t="shared" si="545"/>
        <v>1</v>
      </c>
      <c r="CG198" s="9">
        <f t="shared" si="546"/>
        <v>0.77100000000000002</v>
      </c>
      <c r="CH198" s="9">
        <f t="shared" si="485"/>
        <v>3.0755797864386483</v>
      </c>
      <c r="CI198" s="9">
        <f t="shared" si="486"/>
        <v>4.4550437645712311</v>
      </c>
      <c r="CJ198" s="9">
        <v>1</v>
      </c>
      <c r="CK198" s="9">
        <f t="shared" si="487"/>
        <v>338.58332610741354</v>
      </c>
      <c r="CM198" s="4">
        <f t="shared" si="550"/>
        <v>3.0215309048316823</v>
      </c>
      <c r="CN198" s="4">
        <f t="shared" si="551"/>
        <v>0.6624856895159994</v>
      </c>
      <c r="CO198" s="4">
        <f t="shared" si="552"/>
        <v>1.346268295107405</v>
      </c>
      <c r="CP198" s="4">
        <f t="shared" si="553"/>
        <v>2.1412749657081402</v>
      </c>
      <c r="CQ198" s="44">
        <f t="shared" si="554"/>
        <v>1</v>
      </c>
      <c r="CR198" s="4">
        <f t="shared" si="555"/>
        <v>1</v>
      </c>
      <c r="CS198" s="4">
        <f t="shared" si="556"/>
        <v>3.1459558038801037</v>
      </c>
      <c r="CU198" s="4">
        <f t="shared" si="643"/>
        <v>3.0215309048316823</v>
      </c>
      <c r="CV198" s="4">
        <f t="shared" si="643"/>
        <v>0.6624856895159994</v>
      </c>
      <c r="CW198" s="4">
        <f t="shared" si="648"/>
        <v>2.1412749657081402</v>
      </c>
      <c r="CX198" s="4">
        <f t="shared" si="644"/>
        <v>3.1459558038801037</v>
      </c>
      <c r="CY198" s="4">
        <f t="shared" si="645"/>
        <v>1</v>
      </c>
      <c r="CZ198" s="4">
        <f t="shared" si="645"/>
        <v>1</v>
      </c>
      <c r="DH198" s="4">
        <f t="shared" si="558"/>
        <v>0</v>
      </c>
      <c r="DI198" s="4">
        <f t="shared" si="559"/>
        <v>88.8</v>
      </c>
      <c r="DL198" s="4">
        <f t="shared" si="560"/>
        <v>1.3307058507295954E-5</v>
      </c>
      <c r="DM198" s="4">
        <f t="shared" si="561"/>
        <v>12.884614270393072</v>
      </c>
      <c r="DN198" s="4">
        <f t="shared" si="562"/>
        <v>0.33350428523733322</v>
      </c>
      <c r="DO198" s="4">
        <f t="shared" si="563"/>
        <v>8.3044713080107613</v>
      </c>
      <c r="DP198" s="4">
        <f t="shared" si="564"/>
        <v>10.84031994129483</v>
      </c>
      <c r="DQ198" s="4">
        <f t="shared" si="565"/>
        <v>12.632127494153044</v>
      </c>
      <c r="DR198" s="38">
        <f t="shared" si="609"/>
        <v>725</v>
      </c>
      <c r="DS198" s="4">
        <f t="shared" si="566"/>
        <v>1</v>
      </c>
      <c r="DT198" s="4">
        <f t="shared" si="567"/>
        <v>2.2360679774997898</v>
      </c>
      <c r="DU198" s="4">
        <f t="shared" si="568"/>
        <v>897.15133497459317</v>
      </c>
      <c r="DY198" s="4">
        <f t="shared" si="569"/>
        <v>0.85</v>
      </c>
      <c r="DZ198" s="4">
        <f t="shared" si="570"/>
        <v>0.95</v>
      </c>
      <c r="EA198" s="4">
        <f t="shared" si="610"/>
        <v>1</v>
      </c>
      <c r="EB198" s="4">
        <f t="shared" si="571"/>
        <v>0.95</v>
      </c>
      <c r="ED198" s="4">
        <f t="shared" si="611"/>
        <v>725</v>
      </c>
      <c r="EE198" s="25">
        <f t="shared" si="656"/>
        <v>868.2692405319475</v>
      </c>
      <c r="EH198" s="4">
        <f t="shared" si="613"/>
        <v>12.884614270393072</v>
      </c>
      <c r="EK198" s="4">
        <f t="shared" si="572"/>
        <v>49.640709100495329</v>
      </c>
      <c r="EL198" s="4">
        <f t="shared" si="573"/>
        <v>2.2360679774997898</v>
      </c>
      <c r="EM198" s="4">
        <f t="shared" si="574"/>
        <v>0.20784580311380174</v>
      </c>
      <c r="EP198" s="4">
        <f t="shared" si="575"/>
        <v>0.20784580311380174</v>
      </c>
      <c r="EQ198" s="4">
        <f t="shared" si="496"/>
        <v>0.3329477287420215</v>
      </c>
      <c r="ER198" s="4">
        <f t="shared" si="577"/>
        <v>8.2989250842965276</v>
      </c>
      <c r="ES198" s="4">
        <f t="shared" si="578"/>
        <v>10.83820183717541</v>
      </c>
      <c r="ET198" s="4">
        <f t="shared" si="579"/>
        <v>16.959290899504666</v>
      </c>
      <c r="EU198" s="4">
        <f t="shared" si="580"/>
        <v>22.200000000000003</v>
      </c>
      <c r="EV198" s="4">
        <f t="shared" si="498"/>
        <v>1.3307058507295955E-5</v>
      </c>
      <c r="EW198" s="4">
        <f t="shared" si="582"/>
        <v>12.632233817586011</v>
      </c>
      <c r="EX198" s="4">
        <f t="shared" si="511"/>
        <v>725</v>
      </c>
      <c r="FG198" s="23">
        <f t="shared" si="649"/>
        <v>2.2000000000000002</v>
      </c>
      <c r="FH198" s="23">
        <f t="shared" si="649"/>
        <v>0.8</v>
      </c>
      <c r="FI198" s="23">
        <f t="shared" si="585"/>
        <v>2.2000000000000002</v>
      </c>
      <c r="FJ198" s="23">
        <f t="shared" si="650"/>
        <v>2.2000000000000002</v>
      </c>
      <c r="FK198" s="23">
        <f t="shared" si="650"/>
        <v>1.2</v>
      </c>
      <c r="FL198" s="23">
        <f t="shared" si="650"/>
        <v>1.2</v>
      </c>
      <c r="FM198" s="23">
        <f t="shared" si="587"/>
        <v>0</v>
      </c>
      <c r="FN198" s="23"/>
      <c r="FX198" s="4">
        <f t="shared" si="422"/>
        <v>1.25</v>
      </c>
      <c r="FY198" s="4">
        <f t="shared" si="513"/>
        <v>0.5</v>
      </c>
      <c r="FZ198" s="4">
        <f t="shared" si="423"/>
        <v>0</v>
      </c>
      <c r="GA198" s="4">
        <f t="shared" si="424"/>
        <v>230.4546043227347</v>
      </c>
    </row>
    <row r="199" spans="1:183" ht="12" customHeight="1" x14ac:dyDescent="0.3">
      <c r="A199" s="25">
        <v>181</v>
      </c>
      <c r="B199" s="24" t="s">
        <v>128</v>
      </c>
      <c r="C199" s="24">
        <v>2017</v>
      </c>
      <c r="D199" s="24" t="s">
        <v>309</v>
      </c>
      <c r="E199" s="24"/>
      <c r="F199" s="4" t="s">
        <v>315</v>
      </c>
      <c r="G199" s="7">
        <v>679</v>
      </c>
      <c r="H199" s="7">
        <f t="shared" si="651"/>
        <v>88.8</v>
      </c>
      <c r="I199" s="7">
        <f t="shared" si="519"/>
        <v>88.8</v>
      </c>
      <c r="J199" s="7">
        <v>129.9</v>
      </c>
      <c r="K199" s="7">
        <v>22.2</v>
      </c>
      <c r="L199" s="7">
        <f t="shared" si="588"/>
        <v>4</v>
      </c>
      <c r="M199" s="7">
        <f t="shared" si="589"/>
        <v>4</v>
      </c>
      <c r="N199" s="7">
        <v>388</v>
      </c>
      <c r="O199" s="7">
        <f>1.5*K199</f>
        <v>33.299999999999997</v>
      </c>
      <c r="P199" s="7">
        <f t="shared" si="659"/>
        <v>29.200000000000003</v>
      </c>
      <c r="Q199" s="7">
        <f t="shared" si="653"/>
        <v>277</v>
      </c>
      <c r="R199" s="7">
        <v>2</v>
      </c>
      <c r="S199" s="7">
        <f t="shared" si="654"/>
        <v>59.199999999999996</v>
      </c>
      <c r="T199" s="7">
        <f t="shared" si="521"/>
        <v>2</v>
      </c>
      <c r="U199" s="7">
        <f t="shared" si="504"/>
        <v>2</v>
      </c>
      <c r="V199" s="7">
        <f t="shared" si="517"/>
        <v>4</v>
      </c>
      <c r="W199" s="7">
        <f t="shared" si="517"/>
        <v>4</v>
      </c>
      <c r="X199" s="7">
        <f t="shared" si="523"/>
        <v>5</v>
      </c>
      <c r="Y199" s="7">
        <f t="shared" si="524"/>
        <v>49.640709100495329</v>
      </c>
      <c r="Z199" s="7">
        <f t="shared" si="506"/>
        <v>679</v>
      </c>
      <c r="AA199" s="7">
        <v>8</v>
      </c>
      <c r="AB199" s="7">
        <f>(731+693)/2</f>
        <v>712</v>
      </c>
      <c r="AC199" s="7"/>
      <c r="AD199" s="4">
        <f t="shared" si="526"/>
        <v>1</v>
      </c>
      <c r="AE199" s="7">
        <v>0</v>
      </c>
      <c r="AF199" s="7">
        <v>0</v>
      </c>
      <c r="AG199" s="7">
        <f t="shared" si="647"/>
        <v>88.8</v>
      </c>
      <c r="AH199" s="7"/>
      <c r="AI199" s="7"/>
      <c r="AJ199" s="7">
        <f t="shared" si="527"/>
        <v>0.89037433155080214</v>
      </c>
      <c r="AK199" s="4">
        <f t="shared" si="655"/>
        <v>88.8</v>
      </c>
      <c r="AL199" s="4">
        <f t="shared" si="595"/>
        <v>1.3333333333333333</v>
      </c>
      <c r="AM199" s="4">
        <f t="shared" si="596"/>
        <v>123.19645135939774</v>
      </c>
      <c r="AN199" s="4">
        <f t="shared" si="597"/>
        <v>0.79999999999999993</v>
      </c>
      <c r="AO199" s="4">
        <v>1.25</v>
      </c>
      <c r="AP199" s="47">
        <f t="shared" si="657"/>
        <v>5</v>
      </c>
      <c r="AQ199" s="38">
        <f t="shared" si="599"/>
        <v>821.30967572931809</v>
      </c>
      <c r="AR199" s="38">
        <f t="shared" si="600"/>
        <v>821.30967572931809</v>
      </c>
      <c r="AS199" s="38">
        <f t="shared" si="601"/>
        <v>5.7111767066521422</v>
      </c>
      <c r="AT199" s="38">
        <f t="shared" si="461"/>
        <v>897.15133497459317</v>
      </c>
      <c r="AU199" s="38">
        <f t="shared" si="406"/>
        <v>0.91546391752577294</v>
      </c>
      <c r="AV199" s="38">
        <f t="shared" si="462"/>
        <v>1.1583330030149592</v>
      </c>
      <c r="AW199" s="4">
        <f t="shared" si="463"/>
        <v>0</v>
      </c>
      <c r="AX199" s="4">
        <f t="shared" si="528"/>
        <v>239.94459194200661</v>
      </c>
      <c r="AY199" s="4">
        <f t="shared" si="529"/>
        <v>1</v>
      </c>
      <c r="AZ199" s="38">
        <f t="shared" si="465"/>
        <v>1039.2</v>
      </c>
      <c r="BA199" s="4">
        <f t="shared" si="531"/>
        <v>0.44000000000000006</v>
      </c>
      <c r="BB199" s="4">
        <f t="shared" si="532"/>
        <v>55.163261687467326</v>
      </c>
      <c r="BC199" s="4">
        <f t="shared" si="533"/>
        <v>1094.3632616874675</v>
      </c>
      <c r="BE199" s="4">
        <f t="shared" si="469"/>
        <v>1.125</v>
      </c>
      <c r="BF199" s="4">
        <f t="shared" si="470"/>
        <v>538.5256435398411</v>
      </c>
      <c r="BH199" s="4">
        <f t="shared" si="508"/>
        <v>996.71988587880821</v>
      </c>
      <c r="BI199" s="4">
        <f t="shared" si="509"/>
        <v>3704.4961984911101</v>
      </c>
      <c r="BJ199" s="4">
        <f t="shared" si="510"/>
        <v>3.7166873571754362</v>
      </c>
      <c r="BK199" s="4">
        <f t="shared" si="602"/>
        <v>33.299999999999997</v>
      </c>
      <c r="BL199" s="4">
        <f t="shared" si="603"/>
        <v>33.299999999999997</v>
      </c>
      <c r="BM199" s="4">
        <f t="shared" si="604"/>
        <v>59.199999999999996</v>
      </c>
      <c r="BN199" s="4">
        <f t="shared" si="605"/>
        <v>44.4</v>
      </c>
      <c r="BO199" s="4">
        <f t="shared" si="606"/>
        <v>1.0777777777777777</v>
      </c>
      <c r="BP199" s="25">
        <f t="shared" si="607"/>
        <v>2.1555555555555554</v>
      </c>
      <c r="BR199" s="4">
        <f t="shared" si="539"/>
        <v>33.299999999999997</v>
      </c>
      <c r="BV199" s="9"/>
      <c r="BX199" s="9"/>
      <c r="BY199" s="9"/>
      <c r="BZ199" s="9">
        <f t="shared" si="540"/>
        <v>29.200000000000003</v>
      </c>
      <c r="CA199" s="9">
        <f t="shared" si="541"/>
        <v>138.5</v>
      </c>
      <c r="CB199" s="9">
        <f t="shared" si="480"/>
        <v>1.4485216037038422</v>
      </c>
      <c r="CC199" s="9">
        <v>0</v>
      </c>
      <c r="CD199" s="9">
        <f t="shared" si="543"/>
        <v>0</v>
      </c>
      <c r="CE199" s="9">
        <f t="shared" si="544"/>
        <v>0</v>
      </c>
      <c r="CF199" s="9">
        <f t="shared" si="545"/>
        <v>1</v>
      </c>
      <c r="CG199" s="9">
        <f t="shared" si="546"/>
        <v>0.77100000000000002</v>
      </c>
      <c r="CH199" s="9">
        <f t="shared" si="485"/>
        <v>3.0755797864386483</v>
      </c>
      <c r="CI199" s="9">
        <f t="shared" si="486"/>
        <v>4.4550437645712311</v>
      </c>
      <c r="CJ199" s="9">
        <v>1</v>
      </c>
      <c r="CK199" s="9">
        <f t="shared" si="487"/>
        <v>338.58332610741354</v>
      </c>
      <c r="CM199" s="4">
        <f t="shared" si="550"/>
        <v>2.9673517299864245</v>
      </c>
      <c r="CN199" s="4">
        <f t="shared" si="551"/>
        <v>0.65060663577295397</v>
      </c>
      <c r="CO199" s="4">
        <f t="shared" si="552"/>
        <v>1.3221283118847895</v>
      </c>
      <c r="CP199" s="4">
        <f t="shared" si="553"/>
        <v>2.1028796904609597</v>
      </c>
      <c r="CQ199" s="44">
        <f t="shared" si="554"/>
        <v>1</v>
      </c>
      <c r="CR199" s="4">
        <f t="shared" si="555"/>
        <v>1</v>
      </c>
      <c r="CS199" s="4">
        <f t="shared" si="556"/>
        <v>3.0895455618794947</v>
      </c>
      <c r="CU199" s="4">
        <f t="shared" si="643"/>
        <v>2.9673517299864245</v>
      </c>
      <c r="CV199" s="4">
        <f t="shared" si="643"/>
        <v>0.65060663577295397</v>
      </c>
      <c r="CW199" s="4">
        <f t="shared" si="648"/>
        <v>2.1028796904609597</v>
      </c>
      <c r="CX199" s="4">
        <f t="shared" si="644"/>
        <v>3.0895455618794947</v>
      </c>
      <c r="CY199" s="4">
        <f t="shared" si="645"/>
        <v>1</v>
      </c>
      <c r="CZ199" s="4">
        <f t="shared" si="645"/>
        <v>1</v>
      </c>
      <c r="DH199" s="4">
        <f t="shared" si="558"/>
        <v>0</v>
      </c>
      <c r="DI199" s="4">
        <f t="shared" si="559"/>
        <v>88.8</v>
      </c>
      <c r="DL199" s="4">
        <f t="shared" si="560"/>
        <v>1.3307058507295954E-5</v>
      </c>
      <c r="DM199" s="4">
        <f t="shared" si="561"/>
        <v>12.884614270393072</v>
      </c>
      <c r="DN199" s="4">
        <f t="shared" si="562"/>
        <v>0.33350428523733322</v>
      </c>
      <c r="DO199" s="4">
        <f t="shared" si="563"/>
        <v>8.3044713080107613</v>
      </c>
      <c r="DP199" s="4">
        <f t="shared" si="564"/>
        <v>10.84031994129483</v>
      </c>
      <c r="DQ199" s="4">
        <f t="shared" si="565"/>
        <v>12.632127494153044</v>
      </c>
      <c r="DR199" s="38">
        <f t="shared" si="609"/>
        <v>712</v>
      </c>
      <c r="DS199" s="4">
        <f t="shared" si="566"/>
        <v>1</v>
      </c>
      <c r="DT199" s="4">
        <f t="shared" si="567"/>
        <v>2.2360679774997898</v>
      </c>
      <c r="DU199" s="4">
        <f t="shared" si="568"/>
        <v>897.15133497459317</v>
      </c>
      <c r="DY199" s="4">
        <f t="shared" si="569"/>
        <v>0.85</v>
      </c>
      <c r="DZ199" s="4">
        <f t="shared" si="570"/>
        <v>0.95</v>
      </c>
      <c r="EA199" s="4">
        <f t="shared" si="610"/>
        <v>1</v>
      </c>
      <c r="EB199" s="4">
        <f t="shared" si="571"/>
        <v>0.95</v>
      </c>
      <c r="ED199" s="4">
        <f t="shared" si="611"/>
        <v>712</v>
      </c>
      <c r="EE199" s="25">
        <f t="shared" si="656"/>
        <v>868.2692405319475</v>
      </c>
      <c r="EH199" s="4">
        <f t="shared" si="613"/>
        <v>12.884614270393072</v>
      </c>
      <c r="EK199" s="4">
        <f t="shared" si="572"/>
        <v>49.640709100495329</v>
      </c>
      <c r="EL199" s="4">
        <f t="shared" si="573"/>
        <v>2.2360679774997898</v>
      </c>
      <c r="EM199" s="4">
        <f t="shared" si="574"/>
        <v>0.20784580311380174</v>
      </c>
      <c r="EP199" s="4">
        <f t="shared" si="575"/>
        <v>0.20784580311380174</v>
      </c>
      <c r="EQ199" s="4">
        <f t="shared" si="496"/>
        <v>0.3329477287420215</v>
      </c>
      <c r="ER199" s="4">
        <f t="shared" si="577"/>
        <v>8.2989250842965276</v>
      </c>
      <c r="ES199" s="4">
        <f t="shared" si="578"/>
        <v>10.83820183717541</v>
      </c>
      <c r="ET199" s="4">
        <f t="shared" si="579"/>
        <v>16.959290899504666</v>
      </c>
      <c r="EU199" s="4">
        <f t="shared" si="580"/>
        <v>22.200000000000003</v>
      </c>
      <c r="EV199" s="4">
        <f t="shared" si="498"/>
        <v>1.3307058507295955E-5</v>
      </c>
      <c r="EW199" s="4">
        <f t="shared" si="582"/>
        <v>12.632233817586011</v>
      </c>
      <c r="EX199" s="4">
        <f t="shared" si="511"/>
        <v>712</v>
      </c>
      <c r="FG199" s="23">
        <f t="shared" si="649"/>
        <v>2.2000000000000002</v>
      </c>
      <c r="FH199" s="23">
        <f t="shared" si="649"/>
        <v>0.8</v>
      </c>
      <c r="FI199" s="23">
        <f t="shared" si="585"/>
        <v>2.2000000000000002</v>
      </c>
      <c r="FJ199" s="23">
        <f t="shared" si="650"/>
        <v>2.2000000000000002</v>
      </c>
      <c r="FK199" s="23">
        <f t="shared" si="650"/>
        <v>1.2</v>
      </c>
      <c r="FL199" s="23">
        <f t="shared" si="650"/>
        <v>1.2</v>
      </c>
      <c r="FM199" s="23">
        <f t="shared" si="587"/>
        <v>0</v>
      </c>
      <c r="FN199" s="23"/>
      <c r="FX199" s="4">
        <f t="shared" si="422"/>
        <v>1.25</v>
      </c>
      <c r="FY199" s="4">
        <f t="shared" si="513"/>
        <v>0.5</v>
      </c>
      <c r="FZ199" s="4">
        <f t="shared" si="423"/>
        <v>0</v>
      </c>
      <c r="GA199" s="4">
        <f t="shared" si="424"/>
        <v>230.4546043227347</v>
      </c>
    </row>
    <row r="200" spans="1:183" ht="12" customHeight="1" x14ac:dyDescent="0.3">
      <c r="A200" s="25">
        <v>182</v>
      </c>
      <c r="B200" s="24" t="s">
        <v>128</v>
      </c>
      <c r="C200" s="24">
        <v>2017</v>
      </c>
      <c r="D200" s="24" t="s">
        <v>309</v>
      </c>
      <c r="E200" s="24"/>
      <c r="F200" s="4" t="s">
        <v>316</v>
      </c>
      <c r="G200" s="7">
        <v>679</v>
      </c>
      <c r="H200" s="7">
        <f t="shared" si="651"/>
        <v>88.8</v>
      </c>
      <c r="I200" s="7">
        <f t="shared" si="519"/>
        <v>88.8</v>
      </c>
      <c r="J200" s="7">
        <v>129.9</v>
      </c>
      <c r="K200" s="7">
        <v>22.2</v>
      </c>
      <c r="L200" s="7">
        <f t="shared" si="588"/>
        <v>4</v>
      </c>
      <c r="M200" s="7">
        <f t="shared" si="589"/>
        <v>4</v>
      </c>
      <c r="N200" s="7">
        <v>366</v>
      </c>
      <c r="O200" s="7">
        <f t="shared" si="652"/>
        <v>22.2</v>
      </c>
      <c r="P200" s="7">
        <f t="shared" si="659"/>
        <v>29.200000000000003</v>
      </c>
      <c r="Q200" s="7">
        <f t="shared" si="653"/>
        <v>277.20000000000005</v>
      </c>
      <c r="R200" s="7">
        <v>2</v>
      </c>
      <c r="S200" s="7">
        <f t="shared" si="654"/>
        <v>59.199999999999996</v>
      </c>
      <c r="T200" s="7">
        <f t="shared" si="521"/>
        <v>1.5</v>
      </c>
      <c r="U200" s="7">
        <f t="shared" si="504"/>
        <v>1.5</v>
      </c>
      <c r="V200" s="7">
        <f t="shared" si="517"/>
        <v>4</v>
      </c>
      <c r="W200" s="7">
        <f t="shared" si="517"/>
        <v>4</v>
      </c>
      <c r="X200" s="7">
        <f t="shared" si="523"/>
        <v>5</v>
      </c>
      <c r="Y200" s="7">
        <f t="shared" si="524"/>
        <v>49.640709100495329</v>
      </c>
      <c r="Z200" s="7">
        <f t="shared" si="506"/>
        <v>679</v>
      </c>
      <c r="AA200" s="7">
        <v>8</v>
      </c>
      <c r="AB200" s="7">
        <f>(735+707)/2</f>
        <v>721</v>
      </c>
      <c r="AC200" s="7"/>
      <c r="AD200" s="4">
        <f t="shared" si="526"/>
        <v>1</v>
      </c>
      <c r="AE200" s="7">
        <v>9.5</v>
      </c>
      <c r="AF200" s="7">
        <v>2</v>
      </c>
      <c r="AG200" s="7">
        <v>52</v>
      </c>
      <c r="AH200" s="7">
        <v>4</v>
      </c>
      <c r="AI200" s="7">
        <f t="shared" ref="AI200:AI201" si="660">AF200</f>
        <v>2</v>
      </c>
      <c r="AJ200" s="7">
        <f t="shared" si="527"/>
        <v>0.88977955911823625</v>
      </c>
      <c r="AK200" s="4">
        <f t="shared" si="655"/>
        <v>88.8</v>
      </c>
      <c r="AL200" s="4">
        <f t="shared" si="595"/>
        <v>1.25</v>
      </c>
      <c r="AM200" s="4">
        <f t="shared" si="596"/>
        <v>123.19645135939774</v>
      </c>
      <c r="AN200" s="4">
        <f t="shared" si="597"/>
        <v>0.77499999999999991</v>
      </c>
      <c r="AO200" s="4">
        <v>1.25</v>
      </c>
      <c r="AP200" s="47">
        <f t="shared" si="657"/>
        <v>5</v>
      </c>
      <c r="AQ200" s="38">
        <f t="shared" si="599"/>
        <v>745.91601409010343</v>
      </c>
      <c r="AR200" s="38">
        <f t="shared" si="600"/>
        <v>745.91601409010343</v>
      </c>
      <c r="AS200" s="38">
        <f t="shared" si="601"/>
        <v>5.7111767066521422</v>
      </c>
      <c r="AT200" s="38">
        <f t="shared" si="461"/>
        <v>819.83561909002367</v>
      </c>
      <c r="AU200" s="38">
        <f t="shared" si="406"/>
        <v>0.90983606557377039</v>
      </c>
      <c r="AV200" s="38">
        <f t="shared" si="462"/>
        <v>0.9506783821677508</v>
      </c>
      <c r="AW200" s="4">
        <f t="shared" si="463"/>
        <v>1</v>
      </c>
      <c r="AX200" s="4">
        <f t="shared" si="528"/>
        <v>239.94459194200661</v>
      </c>
      <c r="AY200" s="4">
        <f t="shared" si="529"/>
        <v>1</v>
      </c>
      <c r="AZ200" s="38">
        <f t="shared" si="465"/>
        <v>779.40000000000009</v>
      </c>
      <c r="BA200" s="4">
        <f t="shared" si="531"/>
        <v>0.44000000000000006</v>
      </c>
      <c r="BB200" s="4">
        <f t="shared" si="532"/>
        <v>55.163261687467326</v>
      </c>
      <c r="BC200" s="4">
        <f t="shared" si="533"/>
        <v>834.56326168746739</v>
      </c>
      <c r="BE200" s="4">
        <f t="shared" si="469"/>
        <v>1.4</v>
      </c>
      <c r="BF200" s="4">
        <f t="shared" si="470"/>
        <v>670.16524529402443</v>
      </c>
      <c r="BH200" s="4">
        <f t="shared" si="508"/>
        <v>747.53991440910613</v>
      </c>
      <c r="BI200" s="4">
        <f t="shared" si="509"/>
        <v>3704.4961984911101</v>
      </c>
      <c r="BJ200" s="4">
        <f t="shared" si="510"/>
        <v>4.9555831429005819</v>
      </c>
      <c r="BK200" s="4">
        <f t="shared" si="602"/>
        <v>22.2</v>
      </c>
      <c r="BL200" s="4">
        <f t="shared" si="603"/>
        <v>22.2</v>
      </c>
      <c r="BM200" s="4">
        <f t="shared" si="604"/>
        <v>59.199999999999996</v>
      </c>
      <c r="BN200" s="4">
        <f t="shared" si="605"/>
        <v>33.299999999999997</v>
      </c>
      <c r="BO200" s="4">
        <f t="shared" si="606"/>
        <v>1.1666666666666667</v>
      </c>
      <c r="BP200" s="25">
        <f t="shared" si="607"/>
        <v>4</v>
      </c>
      <c r="BR200" s="4">
        <f t="shared" si="539"/>
        <v>22.2</v>
      </c>
      <c r="BV200" s="9"/>
      <c r="BX200" s="9"/>
      <c r="BY200" s="9"/>
      <c r="BZ200" s="9">
        <f t="shared" si="540"/>
        <v>22.2</v>
      </c>
      <c r="CA200" s="9">
        <f t="shared" si="541"/>
        <v>138.60000000000002</v>
      </c>
      <c r="CB200" s="9">
        <f t="shared" si="480"/>
        <v>1.3161686388047049</v>
      </c>
      <c r="CC200" s="9">
        <v>20</v>
      </c>
      <c r="CD200" s="9">
        <f t="shared" si="543"/>
        <v>0.05</v>
      </c>
      <c r="CE200" s="9">
        <f t="shared" si="544"/>
        <v>0.8</v>
      </c>
      <c r="CF200" s="9">
        <f t="shared" si="545"/>
        <v>1</v>
      </c>
      <c r="CG200" s="9">
        <f t="shared" si="546"/>
        <v>0.77100000000000002</v>
      </c>
      <c r="CH200" s="9">
        <f t="shared" si="485"/>
        <v>3.0755797864386483</v>
      </c>
      <c r="CI200" s="9">
        <f t="shared" si="486"/>
        <v>6.5084454902031403</v>
      </c>
      <c r="CJ200" s="9">
        <v>1</v>
      </c>
      <c r="CK200" s="9">
        <f t="shared" si="487"/>
        <v>494.64185725543865</v>
      </c>
      <c r="CM200" s="4">
        <f t="shared" si="550"/>
        <v>3.0048603894946799</v>
      </c>
      <c r="CN200" s="4">
        <f t="shared" si="551"/>
        <v>0.86392492109244645</v>
      </c>
      <c r="CO200" s="4">
        <f t="shared" si="552"/>
        <v>1.0758540599694522</v>
      </c>
      <c r="CP200" s="4">
        <f t="shared" si="553"/>
        <v>1.4576202750016511</v>
      </c>
      <c r="CQ200" s="44">
        <f t="shared" si="554"/>
        <v>1</v>
      </c>
      <c r="CR200" s="4">
        <f t="shared" si="555"/>
        <v>1</v>
      </c>
      <c r="CS200" s="4">
        <f t="shared" si="556"/>
        <v>2.7149668974723982</v>
      </c>
      <c r="DA200" s="4">
        <f t="shared" ref="DA200:DB225" si="661">CM200</f>
        <v>3.0048603894946799</v>
      </c>
      <c r="DB200" s="4">
        <f t="shared" si="661"/>
        <v>0.86392492109244645</v>
      </c>
      <c r="DC200" s="4">
        <f t="shared" ref="DC200:DC225" si="662">CP200</f>
        <v>1.4576202750016511</v>
      </c>
      <c r="DD200" s="4">
        <f t="shared" ref="DD200:DD201" si="663">CS200</f>
        <v>2.7149668974723982</v>
      </c>
      <c r="DE200" s="4">
        <f t="shared" ref="DE200:DF225" si="664">CQ200</f>
        <v>1</v>
      </c>
      <c r="DF200" s="4">
        <f t="shared" si="664"/>
        <v>1</v>
      </c>
      <c r="DH200" s="4">
        <f t="shared" si="558"/>
        <v>2</v>
      </c>
      <c r="DI200" s="4">
        <f t="shared" si="559"/>
        <v>88.8</v>
      </c>
      <c r="DL200" s="4">
        <f t="shared" si="560"/>
        <v>1.3307058507295954E-5</v>
      </c>
      <c r="DM200" s="4">
        <f t="shared" si="561"/>
        <v>14.311999279173566</v>
      </c>
      <c r="DN200" s="4">
        <f t="shared" si="562"/>
        <v>0.30476317818160303</v>
      </c>
      <c r="DO200" s="4">
        <f t="shared" si="563"/>
        <v>8.8978545711564809</v>
      </c>
      <c r="DP200" s="4">
        <f t="shared" si="564"/>
        <v>11.918098036137676</v>
      </c>
      <c r="DQ200" s="4">
        <f t="shared" si="565"/>
        <v>14.007544153387153</v>
      </c>
      <c r="DR200" s="38">
        <f t="shared" si="609"/>
        <v>721</v>
      </c>
      <c r="DS200" s="4">
        <f t="shared" si="566"/>
        <v>1</v>
      </c>
      <c r="DT200" s="4">
        <f t="shared" si="567"/>
        <v>2.2360679774997898</v>
      </c>
      <c r="DU200" s="4">
        <f t="shared" si="568"/>
        <v>819.83561909002367</v>
      </c>
      <c r="DY200" s="4">
        <f t="shared" si="569"/>
        <v>0.85</v>
      </c>
      <c r="DZ200" s="4">
        <f t="shared" si="570"/>
        <v>1</v>
      </c>
      <c r="EA200" s="4">
        <f t="shared" si="610"/>
        <v>0.8552532261991721</v>
      </c>
      <c r="EB200" s="4">
        <f t="shared" si="571"/>
        <v>0.8552532261991721</v>
      </c>
      <c r="ED200" s="4">
        <f t="shared" si="611"/>
        <v>721</v>
      </c>
      <c r="EE200" s="25">
        <f t="shared" si="656"/>
        <v>792.6169156169592</v>
      </c>
      <c r="EH200" s="4">
        <f t="shared" si="613"/>
        <v>14.311999279173566</v>
      </c>
      <c r="EK200" s="4">
        <f t="shared" si="572"/>
        <v>49.640709100495329</v>
      </c>
      <c r="EL200" s="4">
        <f t="shared" si="573"/>
        <v>2.2360679774997898</v>
      </c>
      <c r="EM200" s="4">
        <f t="shared" si="574"/>
        <v>0.18993383393437455</v>
      </c>
      <c r="EP200" s="4">
        <f t="shared" si="575"/>
        <v>0.18993383393437455</v>
      </c>
      <c r="EQ200" s="4">
        <f t="shared" si="496"/>
        <v>0.30425458523735305</v>
      </c>
      <c r="ER200" s="4">
        <f t="shared" si="577"/>
        <v>8.8919120505313884</v>
      </c>
      <c r="ES200" s="4">
        <f t="shared" si="578"/>
        <v>11.915888053300256</v>
      </c>
      <c r="ET200" s="4">
        <f t="shared" si="579"/>
        <v>16.959290899504666</v>
      </c>
      <c r="EU200" s="4">
        <f t="shared" si="580"/>
        <v>22.200000000000003</v>
      </c>
      <c r="EV200" s="4">
        <f t="shared" si="498"/>
        <v>1.3307058507295955E-5</v>
      </c>
      <c r="EW200" s="4">
        <f t="shared" si="582"/>
        <v>14.007670258702035</v>
      </c>
      <c r="EX200" s="4">
        <f t="shared" si="511"/>
        <v>721</v>
      </c>
      <c r="FG200" s="23">
        <f t="shared" si="649"/>
        <v>2.2000000000000002</v>
      </c>
      <c r="FH200" s="23">
        <f t="shared" si="649"/>
        <v>1</v>
      </c>
      <c r="FI200" s="23">
        <f t="shared" si="585"/>
        <v>2.2000000000000002</v>
      </c>
      <c r="FJ200" s="23">
        <f t="shared" si="650"/>
        <v>1.6</v>
      </c>
      <c r="FK200" s="23">
        <f t="shared" si="650"/>
        <v>1.2</v>
      </c>
      <c r="FL200" s="23">
        <f t="shared" si="650"/>
        <v>1.2</v>
      </c>
      <c r="FM200" s="23">
        <f t="shared" si="587"/>
        <v>0</v>
      </c>
      <c r="FN200" s="23"/>
      <c r="FX200" s="4">
        <f t="shared" si="422"/>
        <v>1.25</v>
      </c>
      <c r="FY200" s="4">
        <f t="shared" si="513"/>
        <v>0.4338950222651346</v>
      </c>
      <c r="FZ200" s="4">
        <f t="shared" si="423"/>
        <v>0.3</v>
      </c>
      <c r="GA200" s="4">
        <f t="shared" si="424"/>
        <v>265.56493218066208</v>
      </c>
    </row>
    <row r="201" spans="1:183" ht="12" customHeight="1" x14ac:dyDescent="0.3">
      <c r="A201" s="25">
        <v>183</v>
      </c>
      <c r="B201" s="24" t="s">
        <v>128</v>
      </c>
      <c r="C201" s="24">
        <v>2017</v>
      </c>
      <c r="D201" s="24" t="s">
        <v>309</v>
      </c>
      <c r="E201" s="24"/>
      <c r="F201" s="4" t="s">
        <v>317</v>
      </c>
      <c r="G201" s="7">
        <v>679</v>
      </c>
      <c r="H201" s="7">
        <f t="shared" si="651"/>
        <v>88.8</v>
      </c>
      <c r="I201" s="7">
        <f t="shared" si="519"/>
        <v>88.8</v>
      </c>
      <c r="J201" s="7">
        <v>129.9</v>
      </c>
      <c r="K201" s="7">
        <v>22.2</v>
      </c>
      <c r="L201" s="7">
        <f t="shared" si="588"/>
        <v>4</v>
      </c>
      <c r="M201" s="7">
        <f t="shared" si="589"/>
        <v>4</v>
      </c>
      <c r="N201" s="7">
        <v>366</v>
      </c>
      <c r="O201" s="7">
        <f t="shared" si="652"/>
        <v>22.2</v>
      </c>
      <c r="P201" s="7">
        <f t="shared" si="659"/>
        <v>29.200000000000003</v>
      </c>
      <c r="Q201" s="7">
        <f t="shared" si="653"/>
        <v>277.20000000000005</v>
      </c>
      <c r="R201" s="7">
        <v>2</v>
      </c>
      <c r="S201" s="7">
        <f t="shared" si="654"/>
        <v>59.199999999999996</v>
      </c>
      <c r="T201" s="7">
        <f t="shared" si="521"/>
        <v>1.5</v>
      </c>
      <c r="U201" s="7">
        <f t="shared" si="504"/>
        <v>1.5</v>
      </c>
      <c r="V201" s="7">
        <f t="shared" si="517"/>
        <v>4</v>
      </c>
      <c r="W201" s="7">
        <f t="shared" si="517"/>
        <v>4</v>
      </c>
      <c r="X201" s="7">
        <f t="shared" si="523"/>
        <v>5</v>
      </c>
      <c r="Y201" s="7">
        <f t="shared" si="524"/>
        <v>49.640709100495329</v>
      </c>
      <c r="Z201" s="7">
        <f t="shared" si="506"/>
        <v>679</v>
      </c>
      <c r="AA201" s="7">
        <v>8</v>
      </c>
      <c r="AB201" s="7">
        <f>(735+703)/2</f>
        <v>719</v>
      </c>
      <c r="AC201" s="7"/>
      <c r="AD201" s="4">
        <f t="shared" si="526"/>
        <v>1</v>
      </c>
      <c r="AE201" s="7">
        <v>9.5</v>
      </c>
      <c r="AF201" s="7">
        <v>2</v>
      </c>
      <c r="AG201" s="7">
        <v>52</v>
      </c>
      <c r="AH201" s="7">
        <v>4</v>
      </c>
      <c r="AI201" s="7">
        <f t="shared" si="660"/>
        <v>2</v>
      </c>
      <c r="AJ201" s="7">
        <f t="shared" si="527"/>
        <v>0.88977955911823625</v>
      </c>
      <c r="AK201" s="4">
        <f t="shared" si="655"/>
        <v>88.8</v>
      </c>
      <c r="AL201" s="4">
        <f t="shared" si="595"/>
        <v>1.25</v>
      </c>
      <c r="AM201" s="4">
        <f t="shared" si="596"/>
        <v>123.19645135939774</v>
      </c>
      <c r="AN201" s="4">
        <f t="shared" si="597"/>
        <v>0.77499999999999991</v>
      </c>
      <c r="AO201" s="4">
        <v>1.25</v>
      </c>
      <c r="AP201" s="47">
        <f t="shared" si="657"/>
        <v>5</v>
      </c>
      <c r="AQ201" s="38">
        <f t="shared" si="599"/>
        <v>745.91601409010343</v>
      </c>
      <c r="AR201" s="38">
        <f t="shared" si="600"/>
        <v>745.91601409010343</v>
      </c>
      <c r="AS201" s="38">
        <f t="shared" si="601"/>
        <v>5.7111767066521422</v>
      </c>
      <c r="AT201" s="38">
        <f t="shared" si="461"/>
        <v>819.83561909002367</v>
      </c>
      <c r="AU201" s="38">
        <f t="shared" si="406"/>
        <v>0.90983606557377039</v>
      </c>
      <c r="AV201" s="38">
        <f t="shared" si="462"/>
        <v>0.9506783821677508</v>
      </c>
      <c r="AW201" s="4">
        <f t="shared" si="463"/>
        <v>1</v>
      </c>
      <c r="AX201" s="4">
        <f t="shared" si="528"/>
        <v>239.94459194200661</v>
      </c>
      <c r="AY201" s="4">
        <f t="shared" si="529"/>
        <v>1</v>
      </c>
      <c r="AZ201" s="38">
        <f t="shared" si="465"/>
        <v>779.40000000000009</v>
      </c>
      <c r="BA201" s="4">
        <f t="shared" si="531"/>
        <v>0.44000000000000006</v>
      </c>
      <c r="BB201" s="4">
        <f t="shared" si="532"/>
        <v>55.163261687467326</v>
      </c>
      <c r="BC201" s="4">
        <f t="shared" si="533"/>
        <v>834.56326168746739</v>
      </c>
      <c r="BE201" s="4">
        <f t="shared" si="469"/>
        <v>1.4</v>
      </c>
      <c r="BF201" s="4">
        <f t="shared" si="470"/>
        <v>670.16524529402443</v>
      </c>
      <c r="BH201" s="4">
        <f t="shared" si="508"/>
        <v>747.53991440910613</v>
      </c>
      <c r="BI201" s="4">
        <f t="shared" si="509"/>
        <v>3704.4961984911101</v>
      </c>
      <c r="BJ201" s="4">
        <f t="shared" si="510"/>
        <v>4.9555831429005819</v>
      </c>
      <c r="BK201" s="4">
        <f t="shared" si="602"/>
        <v>22.2</v>
      </c>
      <c r="BL201" s="4">
        <f t="shared" si="603"/>
        <v>22.2</v>
      </c>
      <c r="BM201" s="4">
        <f t="shared" si="604"/>
        <v>59.199999999999996</v>
      </c>
      <c r="BN201" s="4">
        <f t="shared" si="605"/>
        <v>33.299999999999997</v>
      </c>
      <c r="BO201" s="4">
        <f t="shared" si="606"/>
        <v>1.1666666666666667</v>
      </c>
      <c r="BP201" s="25">
        <f t="shared" si="607"/>
        <v>4</v>
      </c>
      <c r="BR201" s="4">
        <f t="shared" si="539"/>
        <v>22.2</v>
      </c>
      <c r="BV201" s="9"/>
      <c r="BX201" s="9"/>
      <c r="BY201" s="9"/>
      <c r="BZ201" s="9">
        <f t="shared" si="540"/>
        <v>22.2</v>
      </c>
      <c r="CA201" s="9">
        <f t="shared" si="541"/>
        <v>138.60000000000002</v>
      </c>
      <c r="CB201" s="9">
        <f t="shared" si="480"/>
        <v>1.3161686388047049</v>
      </c>
      <c r="CC201" s="9">
        <v>20</v>
      </c>
      <c r="CD201" s="9">
        <f t="shared" si="543"/>
        <v>0.05</v>
      </c>
      <c r="CE201" s="9">
        <f t="shared" si="544"/>
        <v>0.8</v>
      </c>
      <c r="CF201" s="9">
        <f t="shared" si="545"/>
        <v>1</v>
      </c>
      <c r="CG201" s="9">
        <f t="shared" si="546"/>
        <v>0.77100000000000002</v>
      </c>
      <c r="CH201" s="9">
        <f t="shared" si="485"/>
        <v>3.0755797864386483</v>
      </c>
      <c r="CI201" s="9">
        <f t="shared" si="486"/>
        <v>6.5084454902031403</v>
      </c>
      <c r="CJ201" s="9">
        <v>1</v>
      </c>
      <c r="CK201" s="9">
        <f t="shared" si="487"/>
        <v>494.64185725543865</v>
      </c>
      <c r="CM201" s="4">
        <f t="shared" si="550"/>
        <v>2.9965251318261785</v>
      </c>
      <c r="CN201" s="4">
        <f t="shared" si="551"/>
        <v>0.86152845806583767</v>
      </c>
      <c r="CO201" s="4">
        <f t="shared" si="552"/>
        <v>1.0728697213842386</v>
      </c>
      <c r="CP201" s="4">
        <f t="shared" si="553"/>
        <v>1.4535769455286924</v>
      </c>
      <c r="CQ201" s="44">
        <f t="shared" si="554"/>
        <v>1</v>
      </c>
      <c r="CR201" s="4">
        <f t="shared" si="555"/>
        <v>1</v>
      </c>
      <c r="CS201" s="4">
        <f t="shared" si="556"/>
        <v>2.7074357826389104</v>
      </c>
      <c r="DA201" s="4">
        <f t="shared" si="661"/>
        <v>2.9965251318261785</v>
      </c>
      <c r="DB201" s="4">
        <f t="shared" si="661"/>
        <v>0.86152845806583767</v>
      </c>
      <c r="DC201" s="4">
        <f t="shared" si="662"/>
        <v>1.4535769455286924</v>
      </c>
      <c r="DD201" s="4">
        <f t="shared" si="663"/>
        <v>2.7074357826389104</v>
      </c>
      <c r="DE201" s="4">
        <f t="shared" si="664"/>
        <v>1</v>
      </c>
      <c r="DF201" s="4">
        <f t="shared" si="664"/>
        <v>1</v>
      </c>
      <c r="DH201" s="4">
        <f t="shared" si="558"/>
        <v>2</v>
      </c>
      <c r="DI201" s="4">
        <f t="shared" si="559"/>
        <v>88.8</v>
      </c>
      <c r="DL201" s="4">
        <f t="shared" si="560"/>
        <v>1.3307058507295954E-5</v>
      </c>
      <c r="DM201" s="4">
        <f t="shared" si="561"/>
        <v>14.311999279173566</v>
      </c>
      <c r="DN201" s="4">
        <f t="shared" si="562"/>
        <v>0.30476317818160303</v>
      </c>
      <c r="DO201" s="4">
        <f t="shared" si="563"/>
        <v>8.8978545711564809</v>
      </c>
      <c r="DP201" s="4">
        <f t="shared" si="564"/>
        <v>11.918098036137676</v>
      </c>
      <c r="DQ201" s="4">
        <f t="shared" si="565"/>
        <v>14.007544153387153</v>
      </c>
      <c r="DR201" s="38">
        <f t="shared" si="609"/>
        <v>719</v>
      </c>
      <c r="DS201" s="4">
        <f t="shared" si="566"/>
        <v>1</v>
      </c>
      <c r="DT201" s="4">
        <f t="shared" si="567"/>
        <v>2.2360679774997898</v>
      </c>
      <c r="DU201" s="4">
        <f t="shared" si="568"/>
        <v>819.83561909002367</v>
      </c>
      <c r="DY201" s="4">
        <f t="shared" si="569"/>
        <v>0.85</v>
      </c>
      <c r="DZ201" s="4">
        <f t="shared" si="570"/>
        <v>1</v>
      </c>
      <c r="EA201" s="4">
        <f t="shared" si="610"/>
        <v>0.8552532261991721</v>
      </c>
      <c r="EB201" s="4">
        <f t="shared" si="571"/>
        <v>0.8552532261991721</v>
      </c>
      <c r="ED201" s="4">
        <f t="shared" si="611"/>
        <v>719</v>
      </c>
      <c r="EE201" s="25">
        <f t="shared" si="656"/>
        <v>792.6169156169592</v>
      </c>
      <c r="EH201" s="4">
        <f t="shared" si="613"/>
        <v>14.311999279173566</v>
      </c>
      <c r="EK201" s="4">
        <f t="shared" si="572"/>
        <v>49.640709100495329</v>
      </c>
      <c r="EL201" s="4">
        <f t="shared" si="573"/>
        <v>2.2360679774997898</v>
      </c>
      <c r="EM201" s="4">
        <f t="shared" si="574"/>
        <v>0.18993383393437455</v>
      </c>
      <c r="EP201" s="4">
        <f t="shared" si="575"/>
        <v>0.18993383393437455</v>
      </c>
      <c r="EQ201" s="4">
        <f t="shared" si="496"/>
        <v>0.30425458523735305</v>
      </c>
      <c r="ER201" s="4">
        <f t="shared" si="577"/>
        <v>8.8919120505313884</v>
      </c>
      <c r="ES201" s="4">
        <f t="shared" si="578"/>
        <v>11.915888053300256</v>
      </c>
      <c r="ET201" s="4">
        <f t="shared" si="579"/>
        <v>16.959290899504666</v>
      </c>
      <c r="EU201" s="4">
        <f t="shared" si="580"/>
        <v>22.200000000000003</v>
      </c>
      <c r="EV201" s="4">
        <f t="shared" si="498"/>
        <v>1.3307058507295955E-5</v>
      </c>
      <c r="EW201" s="4">
        <f t="shared" si="582"/>
        <v>14.007670258702035</v>
      </c>
      <c r="EX201" s="4">
        <f t="shared" si="511"/>
        <v>719</v>
      </c>
      <c r="FG201" s="23">
        <f t="shared" si="649"/>
        <v>2.2000000000000002</v>
      </c>
      <c r="FH201" s="23">
        <f t="shared" si="649"/>
        <v>1</v>
      </c>
      <c r="FI201" s="23">
        <f t="shared" si="585"/>
        <v>2.2000000000000002</v>
      </c>
      <c r="FJ201" s="23">
        <f t="shared" si="650"/>
        <v>1.6</v>
      </c>
      <c r="FK201" s="23">
        <f t="shared" si="650"/>
        <v>1.2</v>
      </c>
      <c r="FL201" s="23">
        <f t="shared" si="650"/>
        <v>1.2</v>
      </c>
      <c r="FM201" s="23">
        <f t="shared" si="587"/>
        <v>0</v>
      </c>
      <c r="FN201" s="23"/>
      <c r="FX201" s="4">
        <f t="shared" si="422"/>
        <v>1.25</v>
      </c>
      <c r="FY201" s="4">
        <f t="shared" si="513"/>
        <v>0.4338950222651346</v>
      </c>
      <c r="FZ201" s="4">
        <f t="shared" si="423"/>
        <v>0.3</v>
      </c>
      <c r="GA201" s="4">
        <f t="shared" si="424"/>
        <v>265.56493218066208</v>
      </c>
    </row>
    <row r="202" spans="1:183" ht="12" customHeight="1" x14ac:dyDescent="0.3">
      <c r="A202" s="25">
        <v>184</v>
      </c>
      <c r="B202" s="24" t="s">
        <v>128</v>
      </c>
      <c r="C202" s="24">
        <v>2017</v>
      </c>
      <c r="D202" s="24" t="s">
        <v>309</v>
      </c>
      <c r="E202" s="24"/>
      <c r="F202" s="4" t="s">
        <v>318</v>
      </c>
      <c r="G202" s="7">
        <v>679</v>
      </c>
      <c r="H202" s="7">
        <f>6*K202</f>
        <v>133.19999999999999</v>
      </c>
      <c r="I202" s="7">
        <f t="shared" si="519"/>
        <v>133.19999999999999</v>
      </c>
      <c r="J202" s="7">
        <v>129.9</v>
      </c>
      <c r="K202" s="7">
        <v>22.2</v>
      </c>
      <c r="L202" s="7">
        <f t="shared" si="588"/>
        <v>6</v>
      </c>
      <c r="M202" s="7">
        <f t="shared" si="589"/>
        <v>6</v>
      </c>
      <c r="N202" s="7">
        <v>366</v>
      </c>
      <c r="O202" s="7">
        <f t="shared" si="652"/>
        <v>22.2</v>
      </c>
      <c r="P202" s="7">
        <f>176-I202</f>
        <v>42.800000000000011</v>
      </c>
      <c r="Q202" s="7">
        <f t="shared" si="653"/>
        <v>277.20000000000005</v>
      </c>
      <c r="R202" s="7">
        <v>2</v>
      </c>
      <c r="S202" s="7">
        <f t="shared" si="654"/>
        <v>88.799999999999983</v>
      </c>
      <c r="T202" s="7">
        <f t="shared" si="521"/>
        <v>1.5</v>
      </c>
      <c r="U202" s="7">
        <f t="shared" si="504"/>
        <v>1.5</v>
      </c>
      <c r="V202" s="7">
        <f t="shared" si="517"/>
        <v>4</v>
      </c>
      <c r="W202" s="7">
        <f t="shared" si="517"/>
        <v>4</v>
      </c>
      <c r="X202" s="7">
        <f t="shared" si="523"/>
        <v>5</v>
      </c>
      <c r="Y202" s="7">
        <f t="shared" si="524"/>
        <v>49.640709100495329</v>
      </c>
      <c r="Z202" s="7">
        <f t="shared" si="506"/>
        <v>679</v>
      </c>
      <c r="AA202" s="7">
        <v>8</v>
      </c>
      <c r="AB202" s="7">
        <f>(750+710)/2</f>
        <v>730</v>
      </c>
      <c r="AC202" s="7"/>
      <c r="AD202" s="4">
        <f t="shared" si="526"/>
        <v>1</v>
      </c>
      <c r="AE202" s="7">
        <v>0</v>
      </c>
      <c r="AF202" s="7">
        <v>0</v>
      </c>
      <c r="AG202" s="7">
        <f>I202</f>
        <v>133.19999999999999</v>
      </c>
      <c r="AH202" s="7"/>
      <c r="AI202" s="7"/>
      <c r="AJ202" s="7">
        <f t="shared" si="527"/>
        <v>1.3346693386773545</v>
      </c>
      <c r="AK202" s="4">
        <f t="shared" si="655"/>
        <v>133.19999999999999</v>
      </c>
      <c r="AL202" s="4">
        <f t="shared" si="595"/>
        <v>0.91591591591591592</v>
      </c>
      <c r="AM202" s="4">
        <f t="shared" si="596"/>
        <v>226.32633296409878</v>
      </c>
      <c r="AN202" s="4">
        <f t="shared" si="597"/>
        <v>0.75</v>
      </c>
      <c r="AO202" s="4">
        <v>1.25</v>
      </c>
      <c r="AP202" s="47">
        <f t="shared" si="657"/>
        <v>5</v>
      </c>
      <c r="AQ202" s="38">
        <f t="shared" si="599"/>
        <v>971.6994869657957</v>
      </c>
      <c r="AR202" s="38">
        <f t="shared" si="600"/>
        <v>971.6994869657957</v>
      </c>
      <c r="AS202" s="38">
        <f t="shared" si="601"/>
        <v>5.7111767066521422</v>
      </c>
      <c r="AT202" s="38">
        <f t="shared" si="461"/>
        <v>971.69948696579524</v>
      </c>
      <c r="AU202" s="38">
        <f t="shared" si="406"/>
        <v>1.0000000000000004</v>
      </c>
      <c r="AV202" s="38">
        <f t="shared" si="462"/>
        <v>0.80209983688859943</v>
      </c>
      <c r="AW202" s="4">
        <f t="shared" si="463"/>
        <v>1</v>
      </c>
      <c r="AX202" s="4">
        <f t="shared" si="528"/>
        <v>359.91688791300993</v>
      </c>
      <c r="AY202" s="4">
        <f t="shared" si="529"/>
        <v>1</v>
      </c>
      <c r="AZ202" s="38">
        <f t="shared" si="465"/>
        <v>779.40000000000009</v>
      </c>
      <c r="BA202" s="4">
        <f t="shared" si="531"/>
        <v>0.44000000000000006</v>
      </c>
      <c r="BB202" s="4">
        <f t="shared" si="532"/>
        <v>82.744892531200989</v>
      </c>
      <c r="BC202" s="4">
        <f t="shared" si="533"/>
        <v>862.14489253120109</v>
      </c>
      <c r="BE202" s="4">
        <f t="shared" si="469"/>
        <v>1</v>
      </c>
      <c r="BF202" s="4">
        <f t="shared" si="470"/>
        <v>547.07366962777508</v>
      </c>
      <c r="BH202" s="4">
        <f t="shared" si="508"/>
        <v>747.53991440910613</v>
      </c>
      <c r="BI202" s="4">
        <f t="shared" si="509"/>
        <v>3704.4961984911101</v>
      </c>
      <c r="BJ202" s="4">
        <f t="shared" si="510"/>
        <v>4.9555831429005819</v>
      </c>
      <c r="BK202" s="4">
        <f t="shared" si="602"/>
        <v>22.2</v>
      </c>
      <c r="BL202" s="4">
        <f t="shared" si="603"/>
        <v>22.2</v>
      </c>
      <c r="BM202" s="4">
        <f t="shared" si="604"/>
        <v>88.799999999999983</v>
      </c>
      <c r="BN202" s="4">
        <f t="shared" si="605"/>
        <v>33.299999999999997</v>
      </c>
      <c r="BO202" s="4">
        <f t="shared" si="606"/>
        <v>1.25</v>
      </c>
      <c r="BP202" s="25">
        <f t="shared" si="607"/>
        <v>1.875</v>
      </c>
      <c r="BR202" s="4">
        <f t="shared" si="539"/>
        <v>22.2</v>
      </c>
      <c r="BV202" s="9"/>
      <c r="BX202" s="9"/>
      <c r="BY202" s="9"/>
      <c r="BZ202" s="9">
        <f t="shared" si="540"/>
        <v>22.2</v>
      </c>
      <c r="CA202" s="9">
        <f t="shared" si="541"/>
        <v>138.60000000000002</v>
      </c>
      <c r="CB202" s="9">
        <f t="shared" si="480"/>
        <v>1.3161686388047049</v>
      </c>
      <c r="CC202" s="9">
        <v>0</v>
      </c>
      <c r="CD202" s="9">
        <f t="shared" si="543"/>
        <v>0</v>
      </c>
      <c r="CE202" s="9">
        <f t="shared" si="544"/>
        <v>0</v>
      </c>
      <c r="CF202" s="9">
        <f t="shared" si="545"/>
        <v>1</v>
      </c>
      <c r="CG202" s="9">
        <f t="shared" si="546"/>
        <v>0.77100000000000002</v>
      </c>
      <c r="CH202" s="9">
        <f t="shared" si="485"/>
        <v>3.0755797864386483</v>
      </c>
      <c r="CI202" s="9">
        <f t="shared" si="486"/>
        <v>4.047981661052221</v>
      </c>
      <c r="CJ202" s="9">
        <v>1</v>
      </c>
      <c r="CK202" s="9">
        <f t="shared" si="487"/>
        <v>340.03045952838659</v>
      </c>
      <c r="CM202" s="4">
        <f t="shared" si="550"/>
        <v>2.0282460326686236</v>
      </c>
      <c r="CN202" s="4">
        <f t="shared" si="551"/>
        <v>0.84672542437358489</v>
      </c>
      <c r="CO202" s="4">
        <f t="shared" si="552"/>
        <v>1.334372389913568</v>
      </c>
      <c r="CP202" s="4">
        <f t="shared" si="553"/>
        <v>2.1468664925268488</v>
      </c>
      <c r="CQ202" s="44">
        <f t="shared" si="554"/>
        <v>1</v>
      </c>
      <c r="CR202" s="4">
        <f t="shared" si="555"/>
        <v>1</v>
      </c>
      <c r="CS202" s="4">
        <f t="shared" si="556"/>
        <v>2.1117680338689433</v>
      </c>
      <c r="CU202" s="4">
        <f t="shared" si="643"/>
        <v>2.0282460326686236</v>
      </c>
      <c r="CV202" s="4">
        <f t="shared" si="643"/>
        <v>0.84672542437358489</v>
      </c>
      <c r="CW202" s="4">
        <f t="shared" si="648"/>
        <v>2.1468664925268488</v>
      </c>
      <c r="CX202" s="4">
        <f t="shared" ref="CX202:CX207" si="665">CS202</f>
        <v>2.1117680338689433</v>
      </c>
      <c r="CY202" s="4">
        <f t="shared" si="645"/>
        <v>1</v>
      </c>
      <c r="CZ202" s="4">
        <f t="shared" si="645"/>
        <v>1</v>
      </c>
      <c r="DH202" s="4">
        <f t="shared" si="558"/>
        <v>0</v>
      </c>
      <c r="DI202" s="4">
        <f t="shared" si="559"/>
        <v>133.19999999999999</v>
      </c>
      <c r="DL202" s="4">
        <f t="shared" si="560"/>
        <v>1.9960587760943928E-5</v>
      </c>
      <c r="DM202" s="4">
        <f t="shared" si="561"/>
        <v>12.240383556873418</v>
      </c>
      <c r="DN202" s="4">
        <f t="shared" si="562"/>
        <v>0.36121658658088979</v>
      </c>
      <c r="DO202" s="4">
        <f t="shared" si="563"/>
        <v>8.1452065255624326</v>
      </c>
      <c r="DP202" s="4">
        <f t="shared" si="564"/>
        <v>10.397219445794885</v>
      </c>
      <c r="DQ202" s="4">
        <f t="shared" si="565"/>
        <v>11.692328802700976</v>
      </c>
      <c r="DR202" s="38">
        <f t="shared" si="609"/>
        <v>730</v>
      </c>
      <c r="DS202" s="4">
        <f t="shared" si="566"/>
        <v>1</v>
      </c>
      <c r="DT202" s="4">
        <f t="shared" si="567"/>
        <v>2.2360679774997898</v>
      </c>
      <c r="DU202" s="4">
        <f t="shared" si="568"/>
        <v>971.69948696579524</v>
      </c>
      <c r="DY202" s="4">
        <f t="shared" si="569"/>
        <v>0.85</v>
      </c>
      <c r="DZ202" s="4">
        <f t="shared" si="570"/>
        <v>1</v>
      </c>
      <c r="EA202" s="4">
        <f t="shared" si="610"/>
        <v>1</v>
      </c>
      <c r="EB202" s="4">
        <f t="shared" si="571"/>
        <v>1</v>
      </c>
      <c r="ED202" s="4">
        <f t="shared" si="611"/>
        <v>730</v>
      </c>
      <c r="EE202" s="25">
        <f t="shared" si="656"/>
        <v>949.1812023271998</v>
      </c>
      <c r="EH202" s="4">
        <f t="shared" si="613"/>
        <v>12.240383556873418</v>
      </c>
      <c r="EK202" s="4">
        <f t="shared" si="572"/>
        <v>49.640709100495329</v>
      </c>
      <c r="EL202" s="4">
        <f t="shared" si="573"/>
        <v>2.2360679774997898</v>
      </c>
      <c r="EM202" s="4">
        <f t="shared" si="574"/>
        <v>0.22511660227245195</v>
      </c>
      <c r="EP202" s="4">
        <f t="shared" si="575"/>
        <v>0.22511660227245195</v>
      </c>
      <c r="EQ202" s="4">
        <f t="shared" si="496"/>
        <v>0.36061378341950645</v>
      </c>
      <c r="ER202" s="4">
        <f t="shared" si="577"/>
        <v>8.1397666684163408</v>
      </c>
      <c r="ES202" s="4">
        <f t="shared" si="578"/>
        <v>10.395093719934293</v>
      </c>
      <c r="ET202" s="4">
        <f t="shared" si="579"/>
        <v>50.259290899504663</v>
      </c>
      <c r="EU202" s="4">
        <f t="shared" si="580"/>
        <v>33.299999999999997</v>
      </c>
      <c r="EV202" s="4">
        <f t="shared" si="498"/>
        <v>1.9960587760943928E-5</v>
      </c>
      <c r="EW202" s="4">
        <f t="shared" si="582"/>
        <v>11.69251147702512</v>
      </c>
      <c r="EX202" s="4">
        <f t="shared" si="511"/>
        <v>730</v>
      </c>
      <c r="FG202" s="23">
        <f t="shared" si="649"/>
        <v>2.2000000000000002</v>
      </c>
      <c r="FH202" s="23">
        <f t="shared" si="649"/>
        <v>1</v>
      </c>
      <c r="FI202" s="23">
        <f t="shared" si="585"/>
        <v>2.2000000000000002</v>
      </c>
      <c r="FJ202" s="23">
        <f t="shared" si="650"/>
        <v>2.2000000000000002</v>
      </c>
      <c r="FK202" s="23">
        <f t="shared" si="650"/>
        <v>1.2</v>
      </c>
      <c r="FL202" s="23">
        <f t="shared" si="650"/>
        <v>1.2</v>
      </c>
      <c r="FM202" s="23">
        <f t="shared" si="587"/>
        <v>0</v>
      </c>
      <c r="FN202" s="23"/>
      <c r="FX202" s="4">
        <f t="shared" si="422"/>
        <v>1.25</v>
      </c>
      <c r="FY202" s="4">
        <f t="shared" si="513"/>
        <v>0.5</v>
      </c>
      <c r="FZ202" s="4">
        <f t="shared" si="423"/>
        <v>0</v>
      </c>
      <c r="GA202" s="4">
        <f t="shared" si="424"/>
        <v>345.681906484102</v>
      </c>
    </row>
    <row r="203" spans="1:183" ht="12" customHeight="1" x14ac:dyDescent="0.3">
      <c r="A203" s="25">
        <v>185</v>
      </c>
      <c r="B203" s="24" t="s">
        <v>128</v>
      </c>
      <c r="C203" s="24">
        <v>2017</v>
      </c>
      <c r="D203" s="24" t="s">
        <v>309</v>
      </c>
      <c r="E203" s="24"/>
      <c r="F203" s="4" t="s">
        <v>319</v>
      </c>
      <c r="G203" s="7">
        <v>679</v>
      </c>
      <c r="H203" s="7">
        <f t="shared" ref="H203" si="666">6*K203</f>
        <v>133.19999999999999</v>
      </c>
      <c r="I203" s="7">
        <f t="shared" si="519"/>
        <v>133.19999999999999</v>
      </c>
      <c r="J203" s="7">
        <v>129.9</v>
      </c>
      <c r="K203" s="7">
        <v>22.2</v>
      </c>
      <c r="L203" s="7">
        <f t="shared" si="588"/>
        <v>6</v>
      </c>
      <c r="M203" s="7">
        <f t="shared" si="589"/>
        <v>6</v>
      </c>
      <c r="N203" s="7">
        <v>366</v>
      </c>
      <c r="O203" s="7">
        <f t="shared" si="652"/>
        <v>22.2</v>
      </c>
      <c r="P203" s="7">
        <f t="shared" ref="P203" si="667">176-I203</f>
        <v>42.800000000000011</v>
      </c>
      <c r="Q203" s="7">
        <f t="shared" si="653"/>
        <v>277.20000000000005</v>
      </c>
      <c r="R203" s="7">
        <v>2</v>
      </c>
      <c r="S203" s="7">
        <f t="shared" si="654"/>
        <v>88.799999999999983</v>
      </c>
      <c r="T203" s="7">
        <f t="shared" si="521"/>
        <v>1.5</v>
      </c>
      <c r="U203" s="7">
        <f t="shared" si="504"/>
        <v>1.5</v>
      </c>
      <c r="V203" s="7">
        <f t="shared" si="517"/>
        <v>4</v>
      </c>
      <c r="W203" s="7">
        <f t="shared" si="517"/>
        <v>4</v>
      </c>
      <c r="X203" s="7">
        <f t="shared" si="523"/>
        <v>5</v>
      </c>
      <c r="Y203" s="7">
        <f t="shared" si="524"/>
        <v>49.640709100495329</v>
      </c>
      <c r="Z203" s="7">
        <f t="shared" si="506"/>
        <v>679</v>
      </c>
      <c r="AA203" s="7">
        <v>8</v>
      </c>
      <c r="AB203" s="7">
        <f>(742+721)/2</f>
        <v>731.5</v>
      </c>
      <c r="AC203" s="7"/>
      <c r="AD203" s="4">
        <f t="shared" si="526"/>
        <v>1</v>
      </c>
      <c r="AE203" s="7">
        <v>0</v>
      </c>
      <c r="AF203" s="7">
        <v>0</v>
      </c>
      <c r="AG203" s="7">
        <f t="shared" ref="AG203:AG207" si="668">I203</f>
        <v>133.19999999999999</v>
      </c>
      <c r="AH203" s="7"/>
      <c r="AI203" s="7"/>
      <c r="AJ203" s="7">
        <f t="shared" si="527"/>
        <v>1.3346693386773545</v>
      </c>
      <c r="AK203" s="4">
        <f t="shared" si="655"/>
        <v>133.19999999999999</v>
      </c>
      <c r="AL203" s="4">
        <f t="shared" si="595"/>
        <v>0.91591591591591592</v>
      </c>
      <c r="AM203" s="4">
        <f t="shared" si="596"/>
        <v>226.32633296409878</v>
      </c>
      <c r="AN203" s="4">
        <f t="shared" si="597"/>
        <v>0.75</v>
      </c>
      <c r="AO203" s="4">
        <v>1.25</v>
      </c>
      <c r="AP203" s="47">
        <f t="shared" si="657"/>
        <v>5</v>
      </c>
      <c r="AQ203" s="38">
        <f t="shared" si="599"/>
        <v>971.6994869657957</v>
      </c>
      <c r="AR203" s="38">
        <f t="shared" si="600"/>
        <v>971.6994869657957</v>
      </c>
      <c r="AS203" s="38">
        <f t="shared" si="601"/>
        <v>5.7111767066521422</v>
      </c>
      <c r="AT203" s="38">
        <f t="shared" si="461"/>
        <v>971.69948696579524</v>
      </c>
      <c r="AU203" s="38">
        <f t="shared" si="406"/>
        <v>1.0000000000000004</v>
      </c>
      <c r="AV203" s="38">
        <f t="shared" si="462"/>
        <v>0.80209983688859943</v>
      </c>
      <c r="AW203" s="4">
        <f t="shared" si="463"/>
        <v>1</v>
      </c>
      <c r="AX203" s="4">
        <f t="shared" si="528"/>
        <v>359.91688791300993</v>
      </c>
      <c r="AY203" s="4">
        <f t="shared" si="529"/>
        <v>1</v>
      </c>
      <c r="AZ203" s="38">
        <f t="shared" si="465"/>
        <v>779.40000000000009</v>
      </c>
      <c r="BA203" s="4">
        <f t="shared" si="531"/>
        <v>0.44000000000000006</v>
      </c>
      <c r="BB203" s="4">
        <f t="shared" si="532"/>
        <v>82.744892531200989</v>
      </c>
      <c r="BC203" s="4">
        <f t="shared" si="533"/>
        <v>862.14489253120109</v>
      </c>
      <c r="BE203" s="4">
        <f t="shared" si="469"/>
        <v>1</v>
      </c>
      <c r="BF203" s="4">
        <f t="shared" si="470"/>
        <v>547.07366962777508</v>
      </c>
      <c r="BH203" s="4">
        <f t="shared" si="508"/>
        <v>747.53991440910613</v>
      </c>
      <c r="BI203" s="4">
        <f t="shared" si="509"/>
        <v>3704.4961984911101</v>
      </c>
      <c r="BJ203" s="4">
        <f t="shared" si="510"/>
        <v>4.9555831429005819</v>
      </c>
      <c r="BK203" s="4">
        <f t="shared" si="602"/>
        <v>22.2</v>
      </c>
      <c r="BL203" s="4">
        <f t="shared" si="603"/>
        <v>22.2</v>
      </c>
      <c r="BM203" s="4">
        <f t="shared" si="604"/>
        <v>88.799999999999983</v>
      </c>
      <c r="BN203" s="4">
        <f t="shared" si="605"/>
        <v>33.299999999999997</v>
      </c>
      <c r="BO203" s="4">
        <f t="shared" si="606"/>
        <v>1.25</v>
      </c>
      <c r="BP203" s="25">
        <f t="shared" si="607"/>
        <v>1.875</v>
      </c>
      <c r="BR203" s="4">
        <f t="shared" si="539"/>
        <v>22.2</v>
      </c>
      <c r="BV203" s="9"/>
      <c r="BX203" s="9"/>
      <c r="BY203" s="9"/>
      <c r="BZ203" s="9">
        <f t="shared" si="540"/>
        <v>22.2</v>
      </c>
      <c r="CA203" s="9">
        <f t="shared" si="541"/>
        <v>138.60000000000002</v>
      </c>
      <c r="CB203" s="9">
        <f t="shared" si="480"/>
        <v>1.3161686388047049</v>
      </c>
      <c r="CC203" s="9">
        <v>0</v>
      </c>
      <c r="CD203" s="9">
        <f t="shared" si="543"/>
        <v>0</v>
      </c>
      <c r="CE203" s="9">
        <f t="shared" si="544"/>
        <v>0</v>
      </c>
      <c r="CF203" s="9">
        <f t="shared" si="545"/>
        <v>1</v>
      </c>
      <c r="CG203" s="9">
        <f t="shared" si="546"/>
        <v>0.77100000000000002</v>
      </c>
      <c r="CH203" s="9">
        <f t="shared" si="485"/>
        <v>3.0755797864386483</v>
      </c>
      <c r="CI203" s="9">
        <f t="shared" si="486"/>
        <v>4.047981661052221</v>
      </c>
      <c r="CJ203" s="9">
        <v>1</v>
      </c>
      <c r="CK203" s="9">
        <f t="shared" si="487"/>
        <v>340.03045952838659</v>
      </c>
      <c r="CM203" s="4">
        <f t="shared" si="550"/>
        <v>2.0324136615028738</v>
      </c>
      <c r="CN203" s="4">
        <f t="shared" si="551"/>
        <v>0.84846527113599635</v>
      </c>
      <c r="CO203" s="4">
        <f t="shared" si="552"/>
        <v>1.3371142509887328</v>
      </c>
      <c r="CP203" s="4">
        <f t="shared" si="553"/>
        <v>2.1512778620320412</v>
      </c>
      <c r="CQ203" s="44">
        <f t="shared" si="554"/>
        <v>1</v>
      </c>
      <c r="CR203" s="4">
        <f t="shared" si="555"/>
        <v>1</v>
      </c>
      <c r="CS203" s="4">
        <f t="shared" si="556"/>
        <v>2.1161072832536054</v>
      </c>
      <c r="CU203" s="4">
        <f t="shared" si="643"/>
        <v>2.0324136615028738</v>
      </c>
      <c r="CV203" s="4">
        <f t="shared" si="643"/>
        <v>0.84846527113599635</v>
      </c>
      <c r="CW203" s="4">
        <f t="shared" si="648"/>
        <v>2.1512778620320412</v>
      </c>
      <c r="CX203" s="4">
        <f t="shared" si="665"/>
        <v>2.1161072832536054</v>
      </c>
      <c r="CY203" s="4">
        <f t="shared" si="645"/>
        <v>1</v>
      </c>
      <c r="CZ203" s="4">
        <f t="shared" si="645"/>
        <v>1</v>
      </c>
      <c r="DH203" s="4">
        <f t="shared" si="558"/>
        <v>0</v>
      </c>
      <c r="DI203" s="4">
        <f t="shared" si="559"/>
        <v>133.19999999999999</v>
      </c>
      <c r="DL203" s="4">
        <f t="shared" si="560"/>
        <v>1.9960587760943928E-5</v>
      </c>
      <c r="DM203" s="4">
        <f t="shared" si="561"/>
        <v>12.240383556873418</v>
      </c>
      <c r="DN203" s="4">
        <f t="shared" si="562"/>
        <v>0.36121658658088979</v>
      </c>
      <c r="DO203" s="4">
        <f t="shared" si="563"/>
        <v>8.1452065255624326</v>
      </c>
      <c r="DP203" s="4">
        <f t="shared" si="564"/>
        <v>10.397219445794885</v>
      </c>
      <c r="DQ203" s="4">
        <f t="shared" si="565"/>
        <v>11.692328802700976</v>
      </c>
      <c r="DR203" s="38">
        <f t="shared" si="609"/>
        <v>731.5</v>
      </c>
      <c r="DS203" s="4">
        <f t="shared" si="566"/>
        <v>1</v>
      </c>
      <c r="DT203" s="4">
        <f t="shared" si="567"/>
        <v>2.2360679774997898</v>
      </c>
      <c r="DU203" s="4">
        <f t="shared" si="568"/>
        <v>971.69948696579524</v>
      </c>
      <c r="DY203" s="4">
        <f t="shared" si="569"/>
        <v>0.85</v>
      </c>
      <c r="DZ203" s="4">
        <f t="shared" si="570"/>
        <v>1</v>
      </c>
      <c r="EA203" s="4">
        <f t="shared" si="610"/>
        <v>1</v>
      </c>
      <c r="EB203" s="4">
        <f t="shared" si="571"/>
        <v>1</v>
      </c>
      <c r="ED203" s="4">
        <f t="shared" si="611"/>
        <v>731.5</v>
      </c>
      <c r="EE203" s="25">
        <f t="shared" si="656"/>
        <v>949.1812023271998</v>
      </c>
      <c r="EH203" s="4">
        <f t="shared" si="613"/>
        <v>12.240383556873418</v>
      </c>
      <c r="EK203" s="4">
        <f t="shared" si="572"/>
        <v>49.640709100495329</v>
      </c>
      <c r="EL203" s="4">
        <f t="shared" si="573"/>
        <v>2.2360679774997898</v>
      </c>
      <c r="EM203" s="4">
        <f t="shared" si="574"/>
        <v>0.22511660227245195</v>
      </c>
      <c r="EP203" s="4">
        <f t="shared" si="575"/>
        <v>0.22511660227245195</v>
      </c>
      <c r="EQ203" s="4">
        <f t="shared" si="496"/>
        <v>0.36061378341950645</v>
      </c>
      <c r="ER203" s="4">
        <f t="shared" si="577"/>
        <v>8.1397666684163408</v>
      </c>
      <c r="ES203" s="4">
        <f t="shared" si="578"/>
        <v>10.395093719934293</v>
      </c>
      <c r="ET203" s="4">
        <f t="shared" si="579"/>
        <v>50.259290899504663</v>
      </c>
      <c r="EU203" s="4">
        <f t="shared" si="580"/>
        <v>33.299999999999997</v>
      </c>
      <c r="EV203" s="4">
        <f t="shared" si="498"/>
        <v>1.9960587760943928E-5</v>
      </c>
      <c r="EW203" s="4">
        <f t="shared" si="582"/>
        <v>11.69251147702512</v>
      </c>
      <c r="EX203" s="4">
        <f t="shared" si="511"/>
        <v>731.5</v>
      </c>
      <c r="FG203" s="23">
        <f t="shared" si="649"/>
        <v>2.2000000000000002</v>
      </c>
      <c r="FH203" s="23">
        <f t="shared" si="649"/>
        <v>1</v>
      </c>
      <c r="FI203" s="23">
        <f t="shared" si="585"/>
        <v>2.2000000000000002</v>
      </c>
      <c r="FJ203" s="23">
        <f t="shared" si="650"/>
        <v>2.2000000000000002</v>
      </c>
      <c r="FK203" s="23">
        <f t="shared" si="650"/>
        <v>1.2</v>
      </c>
      <c r="FL203" s="23">
        <f t="shared" si="650"/>
        <v>1.2</v>
      </c>
      <c r="FM203" s="23">
        <f t="shared" si="587"/>
        <v>0</v>
      </c>
      <c r="FN203" s="23"/>
      <c r="FX203" s="4">
        <f t="shared" si="422"/>
        <v>1.25</v>
      </c>
      <c r="FY203" s="4">
        <f t="shared" si="513"/>
        <v>0.5</v>
      </c>
      <c r="FZ203" s="4">
        <f t="shared" si="423"/>
        <v>0</v>
      </c>
      <c r="GA203" s="4">
        <f t="shared" si="424"/>
        <v>345.681906484102</v>
      </c>
    </row>
    <row r="204" spans="1:183" ht="12" customHeight="1" x14ac:dyDescent="0.3">
      <c r="A204" s="25">
        <v>186</v>
      </c>
      <c r="B204" s="24" t="s">
        <v>128</v>
      </c>
      <c r="C204" s="24">
        <v>2017</v>
      </c>
      <c r="D204" s="24" t="s">
        <v>309</v>
      </c>
      <c r="E204" s="24"/>
      <c r="F204" s="4" t="s">
        <v>312</v>
      </c>
      <c r="G204" s="7">
        <v>649</v>
      </c>
      <c r="H204" s="7">
        <f t="shared" si="651"/>
        <v>127.2</v>
      </c>
      <c r="I204" s="7">
        <f t="shared" si="519"/>
        <v>127.2</v>
      </c>
      <c r="J204" s="7">
        <v>129.9</v>
      </c>
      <c r="K204" s="7">
        <v>31.8</v>
      </c>
      <c r="L204" s="7">
        <f t="shared" si="588"/>
        <v>4</v>
      </c>
      <c r="M204" s="7">
        <f t="shared" si="589"/>
        <v>4</v>
      </c>
      <c r="N204" s="7">
        <v>396</v>
      </c>
      <c r="O204" s="7">
        <f t="shared" si="652"/>
        <v>31.8</v>
      </c>
      <c r="P204" s="7">
        <f>171-I204</f>
        <v>43.8</v>
      </c>
      <c r="Q204" s="7">
        <f t="shared" si="653"/>
        <v>268.79999999999995</v>
      </c>
      <c r="R204" s="7">
        <v>2</v>
      </c>
      <c r="S204" s="7">
        <f t="shared" si="654"/>
        <v>84.8</v>
      </c>
      <c r="T204" s="7">
        <f t="shared" si="521"/>
        <v>1.5</v>
      </c>
      <c r="U204" s="7">
        <f t="shared" si="504"/>
        <v>1.5</v>
      </c>
      <c r="V204" s="7">
        <f t="shared" si="517"/>
        <v>4</v>
      </c>
      <c r="W204" s="7">
        <f t="shared" si="517"/>
        <v>4</v>
      </c>
      <c r="X204" s="7">
        <f t="shared" si="523"/>
        <v>5</v>
      </c>
      <c r="Y204" s="7">
        <f t="shared" si="524"/>
        <v>71.106961684493314</v>
      </c>
      <c r="Z204" s="7">
        <f t="shared" si="506"/>
        <v>649</v>
      </c>
      <c r="AA204" s="7">
        <v>11</v>
      </c>
      <c r="AB204" s="7">
        <f>(714+700)/2</f>
        <v>707</v>
      </c>
      <c r="AC204" s="7"/>
      <c r="AD204" s="4">
        <f t="shared" si="526"/>
        <v>1.0926922449567047</v>
      </c>
      <c r="AE204" s="7">
        <v>0</v>
      </c>
      <c r="AF204" s="7">
        <v>0</v>
      </c>
      <c r="AG204" s="7">
        <f t="shared" si="668"/>
        <v>127.2</v>
      </c>
      <c r="AH204" s="7"/>
      <c r="AI204" s="7"/>
      <c r="AJ204" s="7">
        <f t="shared" si="527"/>
        <v>1.2694610778443116</v>
      </c>
      <c r="AK204" s="4">
        <f t="shared" si="655"/>
        <v>127.2</v>
      </c>
      <c r="AL204" s="4">
        <f t="shared" si="595"/>
        <v>1.0377358490566038</v>
      </c>
      <c r="AM204" s="4">
        <f t="shared" si="596"/>
        <v>102.93453939452981</v>
      </c>
      <c r="AN204" s="4">
        <f t="shared" si="597"/>
        <v>0.77499999999999991</v>
      </c>
      <c r="AO204" s="4">
        <v>1.25</v>
      </c>
      <c r="AP204" s="47">
        <f t="shared" si="657"/>
        <v>5</v>
      </c>
      <c r="AQ204" s="38">
        <f t="shared" si="599"/>
        <v>517.40386104856509</v>
      </c>
      <c r="AR204" s="38">
        <f t="shared" si="600"/>
        <v>517.40386104856509</v>
      </c>
      <c r="AS204" s="38">
        <f t="shared" si="601"/>
        <v>5.7111767066521422</v>
      </c>
      <c r="AT204" s="38">
        <f t="shared" si="461"/>
        <v>517.40386104856543</v>
      </c>
      <c r="AU204" s="38">
        <f t="shared" si="406"/>
        <v>0.99999999999999933</v>
      </c>
      <c r="AV204" s="38">
        <f t="shared" si="462"/>
        <v>1.5063668029466883</v>
      </c>
      <c r="AW204" s="4">
        <f t="shared" si="463"/>
        <v>0</v>
      </c>
      <c r="AX204" s="4">
        <f t="shared" si="528"/>
        <v>239.94459194200661</v>
      </c>
      <c r="AY204" s="4">
        <f t="shared" si="529"/>
        <v>1</v>
      </c>
      <c r="AZ204" s="38">
        <f t="shared" si="465"/>
        <v>779.40000000000009</v>
      </c>
      <c r="BA204" s="4">
        <f t="shared" si="531"/>
        <v>0.44000000000000006</v>
      </c>
      <c r="BB204" s="4">
        <f t="shared" si="532"/>
        <v>55.163261687467333</v>
      </c>
      <c r="BC204" s="4">
        <f t="shared" si="533"/>
        <v>834.56326168746739</v>
      </c>
      <c r="BE204" s="4">
        <f t="shared" si="469"/>
        <v>1</v>
      </c>
      <c r="BF204" s="4">
        <f t="shared" si="470"/>
        <v>478.68946092430321</v>
      </c>
      <c r="BH204" s="4">
        <f t="shared" si="508"/>
        <v>747.53991440910613</v>
      </c>
      <c r="BI204" s="4">
        <f t="shared" si="509"/>
        <v>711.96329095823319</v>
      </c>
      <c r="BJ204" s="4">
        <f t="shared" si="510"/>
        <v>0.95240839617374207</v>
      </c>
      <c r="BK204" s="4">
        <f t="shared" si="602"/>
        <v>31.8</v>
      </c>
      <c r="BL204" s="4">
        <f t="shared" si="603"/>
        <v>31.8</v>
      </c>
      <c r="BM204" s="4">
        <f t="shared" si="604"/>
        <v>84.8</v>
      </c>
      <c r="BN204" s="4">
        <f t="shared" si="605"/>
        <v>47.7</v>
      </c>
      <c r="BO204" s="4">
        <f t="shared" si="606"/>
        <v>1.1666666666666667</v>
      </c>
      <c r="BP204" s="25">
        <f t="shared" si="607"/>
        <v>1.7500000000000002</v>
      </c>
      <c r="BR204" s="4">
        <f t="shared" si="539"/>
        <v>31.8</v>
      </c>
      <c r="BV204" s="9"/>
      <c r="BX204" s="9"/>
      <c r="BY204" s="9"/>
      <c r="BZ204" s="9">
        <f t="shared" si="540"/>
        <v>31.8</v>
      </c>
      <c r="CA204" s="9">
        <f t="shared" si="541"/>
        <v>134.39999999999998</v>
      </c>
      <c r="CB204" s="9">
        <f t="shared" si="480"/>
        <v>1.2413544982455165</v>
      </c>
      <c r="CC204" s="9">
        <v>0</v>
      </c>
      <c r="CD204" s="9">
        <f t="shared" si="543"/>
        <v>0</v>
      </c>
      <c r="CE204" s="9">
        <f t="shared" si="544"/>
        <v>0</v>
      </c>
      <c r="CF204" s="9">
        <f t="shared" si="545"/>
        <v>0.93036607665491811</v>
      </c>
      <c r="CG204" s="9">
        <f t="shared" si="546"/>
        <v>0.80099999999999993</v>
      </c>
      <c r="CH204" s="9">
        <f t="shared" si="485"/>
        <v>2.9727542082721463</v>
      </c>
      <c r="CI204" s="9">
        <f t="shared" si="486"/>
        <v>3.6902418086169178</v>
      </c>
      <c r="CJ204" s="9">
        <v>1</v>
      </c>
      <c r="CK204" s="9">
        <f t="shared" si="487"/>
        <v>280.45837745488575</v>
      </c>
      <c r="CM204" s="4">
        <f t="shared" si="550"/>
        <v>2.9465135858151714</v>
      </c>
      <c r="CN204" s="4">
        <f t="shared" si="551"/>
        <v>0.84714967990618539</v>
      </c>
      <c r="CO204" s="4">
        <f t="shared" si="552"/>
        <v>1.476949165822141</v>
      </c>
      <c r="CP204" s="4">
        <f t="shared" si="553"/>
        <v>2.5208731734666308</v>
      </c>
      <c r="CQ204" s="44">
        <f t="shared" si="554"/>
        <v>1.0926922449567047</v>
      </c>
      <c r="CR204" s="4">
        <f t="shared" si="555"/>
        <v>1.1179242582161224</v>
      </c>
      <c r="CS204" s="4">
        <f t="shared" si="556"/>
        <v>3.6717330366569469</v>
      </c>
      <c r="CU204" s="4">
        <f t="shared" si="643"/>
        <v>2.9465135858151714</v>
      </c>
      <c r="CV204" s="4">
        <f t="shared" si="643"/>
        <v>0.84714967990618539</v>
      </c>
      <c r="CW204" s="4">
        <f t="shared" si="648"/>
        <v>2.5208731734666308</v>
      </c>
      <c r="CX204" s="4">
        <f t="shared" si="665"/>
        <v>3.6717330366569469</v>
      </c>
      <c r="CY204" s="4">
        <f t="shared" si="645"/>
        <v>1.0926922449567047</v>
      </c>
      <c r="CZ204" s="4">
        <f t="shared" si="645"/>
        <v>1.1179242582161224</v>
      </c>
      <c r="DH204" s="4">
        <f t="shared" si="558"/>
        <v>0</v>
      </c>
      <c r="DI204" s="4">
        <f t="shared" si="559"/>
        <v>127.2</v>
      </c>
      <c r="DL204" s="4">
        <f t="shared" si="560"/>
        <v>1.3307058507295954E-5</v>
      </c>
      <c r="DM204" s="4">
        <f t="shared" si="561"/>
        <v>11.016345201186075</v>
      </c>
      <c r="DN204" s="4">
        <f t="shared" si="562"/>
        <v>0.2755113670422118</v>
      </c>
      <c r="DO204" s="4">
        <f t="shared" si="563"/>
        <v>6.577992059640426</v>
      </c>
      <c r="DP204" s="4">
        <f t="shared" si="564"/>
        <v>9.0744139065227447</v>
      </c>
      <c r="DQ204" s="4">
        <f t="shared" si="565"/>
        <v>10.764395049922769</v>
      </c>
      <c r="DR204" s="38">
        <f t="shared" si="609"/>
        <v>647.02573232595171</v>
      </c>
      <c r="DS204" s="4">
        <f t="shared" si="566"/>
        <v>1.0000675853676408</v>
      </c>
      <c r="DT204" s="4">
        <f t="shared" si="567"/>
        <v>2.2360679774997898</v>
      </c>
      <c r="DU204" s="4">
        <f t="shared" si="568"/>
        <v>517.40386104856543</v>
      </c>
      <c r="DY204" s="4">
        <f t="shared" si="569"/>
        <v>0.85</v>
      </c>
      <c r="DZ204" s="4">
        <f t="shared" si="570"/>
        <v>1</v>
      </c>
      <c r="EA204" s="4">
        <f t="shared" si="610"/>
        <v>1</v>
      </c>
      <c r="EB204" s="4">
        <f t="shared" si="571"/>
        <v>1</v>
      </c>
      <c r="ED204" s="4">
        <f t="shared" si="611"/>
        <v>632.4220937187315</v>
      </c>
      <c r="EE204" s="25">
        <f t="shared" si="656"/>
        <v>500.22595130449861</v>
      </c>
      <c r="EH204" s="4">
        <f t="shared" si="613"/>
        <v>11.016345201186075</v>
      </c>
      <c r="EK204" s="4">
        <f t="shared" si="572"/>
        <v>71.106961684493314</v>
      </c>
      <c r="EL204" s="4">
        <f t="shared" si="573"/>
        <v>2.2360679774997898</v>
      </c>
      <c r="EM204" s="4">
        <f t="shared" si="574"/>
        <v>0.17170358488533044</v>
      </c>
      <c r="EP204" s="4">
        <f t="shared" si="575"/>
        <v>0.17170358488533044</v>
      </c>
      <c r="EQ204" s="4">
        <f t="shared" si="496"/>
        <v>0.27505158991895695</v>
      </c>
      <c r="ER204" s="4">
        <f t="shared" si="577"/>
        <v>6.5735988822544051</v>
      </c>
      <c r="ES204" s="4">
        <f t="shared" si="578"/>
        <v>9.0728292317903581</v>
      </c>
      <c r="ET204" s="4">
        <f t="shared" si="579"/>
        <v>24.293038315506692</v>
      </c>
      <c r="EU204" s="4">
        <f t="shared" si="580"/>
        <v>31.799999999999997</v>
      </c>
      <c r="EV204" s="4">
        <f t="shared" si="498"/>
        <v>1.330705850729595E-5</v>
      </c>
      <c r="EW204" s="4">
        <f t="shared" si="582"/>
        <v>10.764497447788541</v>
      </c>
      <c r="EX204" s="4">
        <f t="shared" si="511"/>
        <v>646.98200580923208</v>
      </c>
      <c r="FG204" s="23">
        <f t="shared" si="649"/>
        <v>2.2000000000000002</v>
      </c>
      <c r="FH204" s="23">
        <f t="shared" si="649"/>
        <v>1</v>
      </c>
      <c r="FI204" s="23">
        <f t="shared" si="585"/>
        <v>2.2000000000000002</v>
      </c>
      <c r="FJ204" s="23">
        <f t="shared" si="650"/>
        <v>2.2000000000000002</v>
      </c>
      <c r="FK204" s="23">
        <f t="shared" si="650"/>
        <v>1.2</v>
      </c>
      <c r="FL204" s="23">
        <f t="shared" si="650"/>
        <v>1.2</v>
      </c>
      <c r="FM204" s="23">
        <f t="shared" si="587"/>
        <v>0</v>
      </c>
      <c r="FN204" s="23"/>
      <c r="FX204" s="4">
        <f t="shared" si="422"/>
        <v>1.25</v>
      </c>
      <c r="FY204" s="4">
        <f t="shared" si="513"/>
        <v>0.5</v>
      </c>
      <c r="FZ204" s="4">
        <f t="shared" si="423"/>
        <v>0</v>
      </c>
      <c r="GA204" s="4">
        <f t="shared" si="424"/>
        <v>192.55212537012548</v>
      </c>
    </row>
    <row r="205" spans="1:183" ht="12" customHeight="1" x14ac:dyDescent="0.3">
      <c r="A205" s="25">
        <v>187</v>
      </c>
      <c r="B205" s="24" t="s">
        <v>128</v>
      </c>
      <c r="C205" s="24">
        <v>2017</v>
      </c>
      <c r="D205" s="24" t="s">
        <v>309</v>
      </c>
      <c r="E205" s="24"/>
      <c r="F205" s="4" t="s">
        <v>154</v>
      </c>
      <c r="G205" s="7">
        <v>649</v>
      </c>
      <c r="H205" s="7">
        <f t="shared" si="651"/>
        <v>127.2</v>
      </c>
      <c r="I205" s="7">
        <f t="shared" si="519"/>
        <v>127.2</v>
      </c>
      <c r="J205" s="7">
        <v>129.9</v>
      </c>
      <c r="K205" s="7">
        <v>31.8</v>
      </c>
      <c r="L205" s="7">
        <f t="shared" si="588"/>
        <v>4</v>
      </c>
      <c r="M205" s="7">
        <f t="shared" si="589"/>
        <v>4</v>
      </c>
      <c r="N205" s="7">
        <v>396</v>
      </c>
      <c r="O205" s="7">
        <f t="shared" si="652"/>
        <v>31.8</v>
      </c>
      <c r="P205" s="7">
        <f t="shared" ref="P205:P209" si="669">171-I205</f>
        <v>43.8</v>
      </c>
      <c r="Q205" s="7">
        <f t="shared" si="653"/>
        <v>268.79999999999995</v>
      </c>
      <c r="R205" s="7">
        <v>2</v>
      </c>
      <c r="S205" s="7">
        <f t="shared" si="654"/>
        <v>84.8</v>
      </c>
      <c r="T205" s="7">
        <f t="shared" si="521"/>
        <v>1.5</v>
      </c>
      <c r="U205" s="7">
        <f t="shared" si="504"/>
        <v>1.5</v>
      </c>
      <c r="V205" s="7">
        <f t="shared" si="517"/>
        <v>4</v>
      </c>
      <c r="W205" s="7">
        <f t="shared" si="517"/>
        <v>4</v>
      </c>
      <c r="X205" s="7">
        <f t="shared" si="523"/>
        <v>5</v>
      </c>
      <c r="Y205" s="7">
        <f t="shared" si="524"/>
        <v>71.106961684493314</v>
      </c>
      <c r="Z205" s="7">
        <f t="shared" si="506"/>
        <v>649</v>
      </c>
      <c r="AA205" s="7">
        <v>11</v>
      </c>
      <c r="AB205" s="7">
        <f>(720+688)/2</f>
        <v>704</v>
      </c>
      <c r="AC205" s="7"/>
      <c r="AD205" s="4">
        <f t="shared" si="526"/>
        <v>1.0880556442001699</v>
      </c>
      <c r="AE205" s="7">
        <v>0</v>
      </c>
      <c r="AF205" s="7">
        <v>0</v>
      </c>
      <c r="AG205" s="7">
        <f t="shared" si="668"/>
        <v>127.2</v>
      </c>
      <c r="AH205" s="7"/>
      <c r="AI205" s="7"/>
      <c r="AJ205" s="7">
        <f t="shared" si="527"/>
        <v>1.2694610778443116</v>
      </c>
      <c r="AK205" s="4">
        <f t="shared" si="655"/>
        <v>127.2</v>
      </c>
      <c r="AL205" s="4">
        <f t="shared" si="595"/>
        <v>1.0377358490566038</v>
      </c>
      <c r="AM205" s="4">
        <f t="shared" si="596"/>
        <v>102.93453939452981</v>
      </c>
      <c r="AN205" s="4">
        <f t="shared" si="597"/>
        <v>0.77499999999999991</v>
      </c>
      <c r="AO205" s="4">
        <v>1.25</v>
      </c>
      <c r="AP205" s="47">
        <f t="shared" si="657"/>
        <v>5</v>
      </c>
      <c r="AQ205" s="38">
        <f t="shared" si="599"/>
        <v>517.40386104856509</v>
      </c>
      <c r="AR205" s="38">
        <f t="shared" si="600"/>
        <v>517.40386104856509</v>
      </c>
      <c r="AS205" s="38">
        <f t="shared" si="601"/>
        <v>5.7111767066521422</v>
      </c>
      <c r="AT205" s="38">
        <f t="shared" si="461"/>
        <v>517.40386104856543</v>
      </c>
      <c r="AU205" s="38">
        <f t="shared" si="406"/>
        <v>0.99999999999999933</v>
      </c>
      <c r="AV205" s="38">
        <f t="shared" si="462"/>
        <v>1.5063668029466883</v>
      </c>
      <c r="AW205" s="4">
        <f t="shared" si="463"/>
        <v>0</v>
      </c>
      <c r="AX205" s="4">
        <f t="shared" si="528"/>
        <v>239.94459194200661</v>
      </c>
      <c r="AY205" s="4">
        <f t="shared" si="529"/>
        <v>1</v>
      </c>
      <c r="AZ205" s="38">
        <f t="shared" si="465"/>
        <v>779.40000000000009</v>
      </c>
      <c r="BA205" s="4">
        <f t="shared" si="531"/>
        <v>0.44000000000000006</v>
      </c>
      <c r="BB205" s="4">
        <f t="shared" si="532"/>
        <v>55.163261687467333</v>
      </c>
      <c r="BC205" s="4">
        <f t="shared" si="533"/>
        <v>834.56326168746739</v>
      </c>
      <c r="BE205" s="4">
        <f t="shared" si="469"/>
        <v>1</v>
      </c>
      <c r="BF205" s="4">
        <f t="shared" si="470"/>
        <v>478.68946092430321</v>
      </c>
      <c r="BH205" s="4">
        <f t="shared" si="508"/>
        <v>747.53991440910613</v>
      </c>
      <c r="BI205" s="4">
        <f t="shared" si="509"/>
        <v>711.96329095823319</v>
      </c>
      <c r="BJ205" s="4">
        <f t="shared" si="510"/>
        <v>0.95240839617374207</v>
      </c>
      <c r="BK205" s="4">
        <f t="shared" si="602"/>
        <v>31.8</v>
      </c>
      <c r="BL205" s="4">
        <f t="shared" si="603"/>
        <v>31.8</v>
      </c>
      <c r="BM205" s="4">
        <f t="shared" si="604"/>
        <v>84.8</v>
      </c>
      <c r="BN205" s="4">
        <f t="shared" si="605"/>
        <v>47.7</v>
      </c>
      <c r="BO205" s="4">
        <f t="shared" si="606"/>
        <v>1.1666666666666667</v>
      </c>
      <c r="BP205" s="25">
        <f t="shared" si="607"/>
        <v>1.7500000000000002</v>
      </c>
      <c r="BR205" s="4">
        <f t="shared" si="539"/>
        <v>31.8</v>
      </c>
      <c r="BV205" s="9"/>
      <c r="BX205" s="9"/>
      <c r="BY205" s="9"/>
      <c r="BZ205" s="9">
        <f t="shared" si="540"/>
        <v>31.8</v>
      </c>
      <c r="CA205" s="9">
        <f t="shared" si="541"/>
        <v>134.39999999999998</v>
      </c>
      <c r="CB205" s="9">
        <f t="shared" si="480"/>
        <v>1.2413544982455165</v>
      </c>
      <c r="CC205" s="9">
        <v>0</v>
      </c>
      <c r="CD205" s="9">
        <f t="shared" si="543"/>
        <v>0</v>
      </c>
      <c r="CE205" s="9">
        <f t="shared" si="544"/>
        <v>0</v>
      </c>
      <c r="CF205" s="9">
        <f t="shared" si="545"/>
        <v>0.93036607665491811</v>
      </c>
      <c r="CG205" s="9">
        <f t="shared" si="546"/>
        <v>0.80099999999999993</v>
      </c>
      <c r="CH205" s="9">
        <f t="shared" si="485"/>
        <v>2.9727542082721463</v>
      </c>
      <c r="CI205" s="9">
        <f t="shared" si="486"/>
        <v>3.6902418086169178</v>
      </c>
      <c r="CJ205" s="9">
        <v>1</v>
      </c>
      <c r="CK205" s="9">
        <f t="shared" si="487"/>
        <v>280.45837745488575</v>
      </c>
      <c r="CM205" s="4">
        <f t="shared" si="550"/>
        <v>2.9340106993124198</v>
      </c>
      <c r="CN205" s="4">
        <f t="shared" si="551"/>
        <v>0.84355498536627227</v>
      </c>
      <c r="CO205" s="4">
        <f t="shared" si="552"/>
        <v>1.4706820547931927</v>
      </c>
      <c r="CP205" s="4">
        <f t="shared" si="553"/>
        <v>2.5101763990389081</v>
      </c>
      <c r="CQ205" s="44">
        <f t="shared" si="554"/>
        <v>1.0880556442001699</v>
      </c>
      <c r="CR205" s="4">
        <f t="shared" si="555"/>
        <v>1.1131805909252479</v>
      </c>
      <c r="CS205" s="4">
        <f t="shared" si="556"/>
        <v>3.6561528398960266</v>
      </c>
      <c r="CU205" s="4">
        <f t="shared" ref="CU205:CV224" si="670">CM205</f>
        <v>2.9340106993124198</v>
      </c>
      <c r="CV205" s="4">
        <f t="shared" si="670"/>
        <v>0.84355498536627227</v>
      </c>
      <c r="CW205" s="4">
        <f t="shared" si="648"/>
        <v>2.5101763990389081</v>
      </c>
      <c r="CX205" s="4">
        <f t="shared" si="665"/>
        <v>3.6561528398960266</v>
      </c>
      <c r="CY205" s="4">
        <f t="shared" ref="CY205:CZ224" si="671">CQ205</f>
        <v>1.0880556442001699</v>
      </c>
      <c r="CZ205" s="4">
        <f t="shared" si="671"/>
        <v>1.1131805909252479</v>
      </c>
      <c r="DH205" s="4">
        <f t="shared" si="558"/>
        <v>0</v>
      </c>
      <c r="DI205" s="4">
        <f t="shared" si="559"/>
        <v>127.2</v>
      </c>
      <c r="DL205" s="4">
        <f t="shared" si="560"/>
        <v>1.3307058507295954E-5</v>
      </c>
      <c r="DM205" s="4">
        <f t="shared" si="561"/>
        <v>11.016345201186075</v>
      </c>
      <c r="DN205" s="4">
        <f t="shared" si="562"/>
        <v>0.2755113670422118</v>
      </c>
      <c r="DO205" s="4">
        <f t="shared" si="563"/>
        <v>6.577992059640426</v>
      </c>
      <c r="DP205" s="4">
        <f t="shared" si="564"/>
        <v>9.0744139065227447</v>
      </c>
      <c r="DQ205" s="4">
        <f t="shared" si="565"/>
        <v>10.764395049922769</v>
      </c>
      <c r="DR205" s="38">
        <f t="shared" si="609"/>
        <v>647.02573232595171</v>
      </c>
      <c r="DS205" s="4">
        <f t="shared" si="566"/>
        <v>1.0000675853676408</v>
      </c>
      <c r="DT205" s="4">
        <f t="shared" si="567"/>
        <v>2.2360679774997898</v>
      </c>
      <c r="DU205" s="4">
        <f t="shared" si="568"/>
        <v>517.40386104856543</v>
      </c>
      <c r="DY205" s="4">
        <f t="shared" si="569"/>
        <v>0.85</v>
      </c>
      <c r="DZ205" s="4">
        <f t="shared" si="570"/>
        <v>1</v>
      </c>
      <c r="EA205" s="4">
        <f t="shared" si="610"/>
        <v>1</v>
      </c>
      <c r="EB205" s="4">
        <f t="shared" si="571"/>
        <v>1</v>
      </c>
      <c r="ED205" s="4">
        <f t="shared" si="611"/>
        <v>632.4220937187315</v>
      </c>
      <c r="EE205" s="25">
        <f t="shared" si="656"/>
        <v>500.22595130449861</v>
      </c>
      <c r="EH205" s="4">
        <f t="shared" si="613"/>
        <v>11.016345201186075</v>
      </c>
      <c r="EK205" s="4">
        <f t="shared" si="572"/>
        <v>71.106961684493314</v>
      </c>
      <c r="EL205" s="4">
        <f t="shared" si="573"/>
        <v>2.2360679774997898</v>
      </c>
      <c r="EM205" s="4">
        <f t="shared" si="574"/>
        <v>0.17170358488533044</v>
      </c>
      <c r="EP205" s="4">
        <f t="shared" si="575"/>
        <v>0.17170358488533044</v>
      </c>
      <c r="EQ205" s="4">
        <f t="shared" si="496"/>
        <v>0.27505158991895695</v>
      </c>
      <c r="ER205" s="4">
        <f t="shared" si="577"/>
        <v>6.5735988822544051</v>
      </c>
      <c r="ES205" s="4">
        <f t="shared" si="578"/>
        <v>9.0728292317903581</v>
      </c>
      <c r="ET205" s="4">
        <f t="shared" si="579"/>
        <v>24.293038315506692</v>
      </c>
      <c r="EU205" s="4">
        <f t="shared" si="580"/>
        <v>31.799999999999997</v>
      </c>
      <c r="EV205" s="4">
        <f t="shared" si="498"/>
        <v>1.330705850729595E-5</v>
      </c>
      <c r="EW205" s="4">
        <f t="shared" si="582"/>
        <v>10.764497447788541</v>
      </c>
      <c r="EX205" s="4">
        <f t="shared" si="511"/>
        <v>646.98200580923208</v>
      </c>
      <c r="FG205" s="23">
        <f t="shared" si="649"/>
        <v>2.2000000000000002</v>
      </c>
      <c r="FH205" s="23">
        <f t="shared" si="649"/>
        <v>1</v>
      </c>
      <c r="FI205" s="23">
        <f t="shared" si="585"/>
        <v>2.2000000000000002</v>
      </c>
      <c r="FJ205" s="23">
        <f t="shared" si="650"/>
        <v>2.2000000000000002</v>
      </c>
      <c r="FK205" s="23">
        <f t="shared" si="650"/>
        <v>1.2</v>
      </c>
      <c r="FL205" s="23">
        <f t="shared" si="650"/>
        <v>1.2</v>
      </c>
      <c r="FM205" s="23">
        <f t="shared" si="587"/>
        <v>0</v>
      </c>
      <c r="FN205" s="23"/>
      <c r="FX205" s="4">
        <f t="shared" si="422"/>
        <v>1.25</v>
      </c>
      <c r="FY205" s="4">
        <f t="shared" si="513"/>
        <v>0.5</v>
      </c>
      <c r="FZ205" s="4">
        <f t="shared" si="423"/>
        <v>0</v>
      </c>
      <c r="GA205" s="4">
        <f t="shared" si="424"/>
        <v>192.55212537012548</v>
      </c>
    </row>
    <row r="206" spans="1:183" ht="12" customHeight="1" x14ac:dyDescent="0.3">
      <c r="A206" s="25">
        <v>188</v>
      </c>
      <c r="B206" s="24" t="s">
        <v>128</v>
      </c>
      <c r="C206" s="24">
        <v>2017</v>
      </c>
      <c r="D206" s="24" t="s">
        <v>309</v>
      </c>
      <c r="E206" s="24"/>
      <c r="F206" s="4" t="s">
        <v>320</v>
      </c>
      <c r="G206" s="7">
        <v>649</v>
      </c>
      <c r="H206" s="7">
        <f t="shared" si="651"/>
        <v>127.2</v>
      </c>
      <c r="I206" s="7">
        <f t="shared" si="519"/>
        <v>127.2</v>
      </c>
      <c r="J206" s="7">
        <v>129.9</v>
      </c>
      <c r="K206" s="7">
        <v>31.8</v>
      </c>
      <c r="L206" s="7">
        <f t="shared" si="588"/>
        <v>4</v>
      </c>
      <c r="M206" s="7">
        <f t="shared" si="589"/>
        <v>4</v>
      </c>
      <c r="N206" s="7">
        <v>428</v>
      </c>
      <c r="O206" s="7">
        <f t="shared" ref="O206:O207" si="672">1.5*K206</f>
        <v>47.7</v>
      </c>
      <c r="P206" s="7">
        <f t="shared" si="669"/>
        <v>43.8</v>
      </c>
      <c r="Q206" s="7">
        <f t="shared" si="653"/>
        <v>269</v>
      </c>
      <c r="R206" s="7">
        <v>2</v>
      </c>
      <c r="S206" s="7">
        <f t="shared" si="654"/>
        <v>84.8</v>
      </c>
      <c r="T206" s="7">
        <f t="shared" si="521"/>
        <v>2</v>
      </c>
      <c r="U206" s="7">
        <f t="shared" si="504"/>
        <v>2</v>
      </c>
      <c r="V206" s="7">
        <f t="shared" si="517"/>
        <v>4</v>
      </c>
      <c r="W206" s="7">
        <f t="shared" si="517"/>
        <v>4</v>
      </c>
      <c r="X206" s="7">
        <f t="shared" si="523"/>
        <v>5</v>
      </c>
      <c r="Y206" s="7">
        <f t="shared" si="524"/>
        <v>71.106961684493314</v>
      </c>
      <c r="Z206" s="7">
        <f t="shared" si="506"/>
        <v>649</v>
      </c>
      <c r="AA206" s="7">
        <v>11</v>
      </c>
      <c r="AB206" s="7">
        <f>(741+710)/2</f>
        <v>725.5</v>
      </c>
      <c r="AC206" s="7"/>
      <c r="AD206" s="4">
        <f t="shared" si="526"/>
        <v>1.0122350649057119</v>
      </c>
      <c r="AE206" s="7">
        <v>0</v>
      </c>
      <c r="AF206" s="7">
        <v>0</v>
      </c>
      <c r="AG206" s="7">
        <f t="shared" si="668"/>
        <v>127.2</v>
      </c>
      <c r="AH206" s="7"/>
      <c r="AI206" s="7"/>
      <c r="AJ206" s="7">
        <f t="shared" si="527"/>
        <v>1.2686170212765957</v>
      </c>
      <c r="AK206" s="4">
        <f t="shared" si="655"/>
        <v>127.2</v>
      </c>
      <c r="AL206" s="4">
        <f t="shared" si="595"/>
        <v>1.1215932914046123</v>
      </c>
      <c r="AM206" s="4">
        <f t="shared" si="596"/>
        <v>102.93453939452981</v>
      </c>
      <c r="AN206" s="4">
        <f t="shared" si="597"/>
        <v>0.79999999999999993</v>
      </c>
      <c r="AO206" s="4">
        <v>1.25</v>
      </c>
      <c r="AP206" s="47">
        <f t="shared" si="657"/>
        <v>5</v>
      </c>
      <c r="AQ206" s="38">
        <f t="shared" si="599"/>
        <v>577.25344419364194</v>
      </c>
      <c r="AR206" s="38">
        <f t="shared" si="600"/>
        <v>577.25344419364194</v>
      </c>
      <c r="AS206" s="38">
        <f t="shared" si="601"/>
        <v>5.7111767066521422</v>
      </c>
      <c r="AT206" s="38">
        <f t="shared" si="461"/>
        <v>577.25344419364239</v>
      </c>
      <c r="AU206" s="38">
        <f t="shared" si="406"/>
        <v>0.99999999999999922</v>
      </c>
      <c r="AV206" s="38">
        <f t="shared" si="462"/>
        <v>1.8002491114654926</v>
      </c>
      <c r="AW206" s="4">
        <f t="shared" si="463"/>
        <v>0</v>
      </c>
      <c r="AX206" s="4">
        <f t="shared" si="528"/>
        <v>239.94459194200661</v>
      </c>
      <c r="AY206" s="4">
        <f t="shared" si="529"/>
        <v>1</v>
      </c>
      <c r="AZ206" s="38">
        <f t="shared" si="465"/>
        <v>1039.2</v>
      </c>
      <c r="BA206" s="4">
        <f t="shared" si="531"/>
        <v>0.44000000000000006</v>
      </c>
      <c r="BB206" s="4">
        <f t="shared" si="532"/>
        <v>55.163261687467333</v>
      </c>
      <c r="BC206" s="4">
        <f t="shared" si="533"/>
        <v>1094.3632616874675</v>
      </c>
      <c r="BE206" s="4">
        <f t="shared" si="469"/>
        <v>1.125</v>
      </c>
      <c r="BF206" s="4">
        <f t="shared" si="470"/>
        <v>538.5256435398411</v>
      </c>
      <c r="BH206" s="4">
        <f t="shared" si="508"/>
        <v>996.71988587880821</v>
      </c>
      <c r="BI206" s="4">
        <f t="shared" si="509"/>
        <v>711.96329095823319</v>
      </c>
      <c r="BJ206" s="4">
        <f t="shared" si="510"/>
        <v>0.71430629713030647</v>
      </c>
      <c r="BK206" s="4">
        <f t="shared" si="602"/>
        <v>47.7</v>
      </c>
      <c r="BL206" s="4">
        <f t="shared" si="603"/>
        <v>47.7</v>
      </c>
      <c r="BM206" s="4">
        <f t="shared" si="604"/>
        <v>84.8</v>
      </c>
      <c r="BN206" s="4">
        <f t="shared" si="605"/>
        <v>63.6</v>
      </c>
      <c r="BO206" s="4">
        <f t="shared" si="606"/>
        <v>1.0777777777777777</v>
      </c>
      <c r="BP206" s="25">
        <f t="shared" si="607"/>
        <v>2.1555555555555554</v>
      </c>
      <c r="BR206" s="4">
        <f t="shared" si="539"/>
        <v>47.7</v>
      </c>
      <c r="BV206" s="9"/>
      <c r="BX206" s="9"/>
      <c r="BY206" s="9"/>
      <c r="BZ206" s="9">
        <f t="shared" si="540"/>
        <v>43.8</v>
      </c>
      <c r="CA206" s="9">
        <f t="shared" si="541"/>
        <v>134.5</v>
      </c>
      <c r="CB206" s="9">
        <f t="shared" si="480"/>
        <v>1.3887073091970812</v>
      </c>
      <c r="CC206" s="9">
        <v>0</v>
      </c>
      <c r="CD206" s="9">
        <f t="shared" si="543"/>
        <v>0</v>
      </c>
      <c r="CE206" s="9">
        <f t="shared" si="544"/>
        <v>0</v>
      </c>
      <c r="CF206" s="9">
        <f t="shared" si="545"/>
        <v>0.93036607665491811</v>
      </c>
      <c r="CG206" s="9">
        <f t="shared" si="546"/>
        <v>0.80099999999999993</v>
      </c>
      <c r="CH206" s="9">
        <f t="shared" si="485"/>
        <v>2.9727542082721463</v>
      </c>
      <c r="CI206" s="9">
        <f t="shared" si="486"/>
        <v>4.1282854974739118</v>
      </c>
      <c r="CJ206" s="9">
        <v>1</v>
      </c>
      <c r="CK206" s="9">
        <f t="shared" si="487"/>
        <v>313.74969780801729</v>
      </c>
      <c r="CM206" s="4">
        <f t="shared" si="550"/>
        <v>3.0236147192488074</v>
      </c>
      <c r="CN206" s="4">
        <f t="shared" si="551"/>
        <v>0.66294257619842423</v>
      </c>
      <c r="CO206" s="4">
        <f t="shared" si="552"/>
        <v>1.3471967560005826</v>
      </c>
      <c r="CP206" s="4">
        <f t="shared" si="553"/>
        <v>2.3123528247792344</v>
      </c>
      <c r="CQ206" s="44">
        <f t="shared" si="554"/>
        <v>1.0122350649057119</v>
      </c>
      <c r="CR206" s="4">
        <f t="shared" si="555"/>
        <v>1.0396608877230671</v>
      </c>
      <c r="CS206" s="4">
        <f t="shared" si="556"/>
        <v>3.7678109166826239</v>
      </c>
      <c r="CU206" s="4">
        <f t="shared" si="670"/>
        <v>3.0236147192488074</v>
      </c>
      <c r="CV206" s="4">
        <f t="shared" si="670"/>
        <v>0.66294257619842423</v>
      </c>
      <c r="CW206" s="4">
        <f t="shared" si="648"/>
        <v>2.3123528247792344</v>
      </c>
      <c r="CX206" s="4">
        <f t="shared" si="665"/>
        <v>3.7678109166826239</v>
      </c>
      <c r="CY206" s="4">
        <f t="shared" si="671"/>
        <v>1.0122350649057119</v>
      </c>
      <c r="CZ206" s="4">
        <f t="shared" si="671"/>
        <v>1.0396608877230671</v>
      </c>
      <c r="DH206" s="4">
        <f t="shared" si="558"/>
        <v>0</v>
      </c>
      <c r="DI206" s="4">
        <f t="shared" si="559"/>
        <v>127.2</v>
      </c>
      <c r="DL206" s="4">
        <f t="shared" si="560"/>
        <v>1.3307058507295954E-5</v>
      </c>
      <c r="DM206" s="4">
        <f t="shared" si="561"/>
        <v>11.596152843353764</v>
      </c>
      <c r="DN206" s="4">
        <f t="shared" si="562"/>
        <v>0.30738055417156512</v>
      </c>
      <c r="DO206" s="4">
        <f t="shared" si="563"/>
        <v>7.2340996459405771</v>
      </c>
      <c r="DP206" s="4">
        <f t="shared" si="564"/>
        <v>9.6657193846819744</v>
      </c>
      <c r="DQ206" s="4">
        <f t="shared" si="565"/>
        <v>11.309436008935599</v>
      </c>
      <c r="DR206" s="38">
        <f t="shared" si="609"/>
        <v>716.73075272054439</v>
      </c>
      <c r="DS206" s="4">
        <f t="shared" si="566"/>
        <v>1.0000673124475594</v>
      </c>
      <c r="DT206" s="4">
        <f t="shared" si="567"/>
        <v>2.2360679774997898</v>
      </c>
      <c r="DU206" s="4">
        <f t="shared" si="568"/>
        <v>577.25344419364239</v>
      </c>
      <c r="DY206" s="4">
        <f t="shared" si="569"/>
        <v>0.85</v>
      </c>
      <c r="DZ206" s="4">
        <f t="shared" si="570"/>
        <v>0.95</v>
      </c>
      <c r="EA206" s="4">
        <f t="shared" si="610"/>
        <v>1</v>
      </c>
      <c r="EB206" s="4">
        <f t="shared" si="571"/>
        <v>0.95</v>
      </c>
      <c r="ED206" s="4">
        <f t="shared" si="611"/>
        <v>697.82369286671712</v>
      </c>
      <c r="EE206" s="25">
        <f t="shared" si="656"/>
        <v>558.66985874647196</v>
      </c>
      <c r="EH206" s="4">
        <f t="shared" si="613"/>
        <v>11.596152843353764</v>
      </c>
      <c r="EK206" s="4">
        <f t="shared" si="572"/>
        <v>71.106961684493314</v>
      </c>
      <c r="EL206" s="4">
        <f t="shared" si="573"/>
        <v>2.2360679774997898</v>
      </c>
      <c r="EM206" s="4">
        <f t="shared" si="574"/>
        <v>0.19156502921061311</v>
      </c>
      <c r="EP206" s="4">
        <f t="shared" si="575"/>
        <v>0.19156502921061311</v>
      </c>
      <c r="EQ206" s="4">
        <f t="shared" si="496"/>
        <v>0.30686759331460051</v>
      </c>
      <c r="ER206" s="4">
        <f t="shared" si="577"/>
        <v>7.2292682805809623</v>
      </c>
      <c r="ES206" s="4">
        <f t="shared" si="578"/>
        <v>9.6639180482033353</v>
      </c>
      <c r="ET206" s="4">
        <f t="shared" si="579"/>
        <v>24.293038315506692</v>
      </c>
      <c r="EU206" s="4">
        <f t="shared" si="580"/>
        <v>31.799999999999997</v>
      </c>
      <c r="EV206" s="4">
        <f t="shared" si="498"/>
        <v>1.330705850729595E-5</v>
      </c>
      <c r="EW206" s="4">
        <f t="shared" si="582"/>
        <v>11.309554955437452</v>
      </c>
      <c r="EX206" s="4">
        <f t="shared" si="511"/>
        <v>716.68251106660148</v>
      </c>
      <c r="FG206" s="23">
        <f t="shared" si="649"/>
        <v>2.2000000000000002</v>
      </c>
      <c r="FH206" s="23">
        <f t="shared" si="649"/>
        <v>0.8</v>
      </c>
      <c r="FI206" s="23">
        <f t="shared" si="585"/>
        <v>2.2000000000000002</v>
      </c>
      <c r="FJ206" s="23">
        <f t="shared" si="650"/>
        <v>2.2000000000000002</v>
      </c>
      <c r="FK206" s="23">
        <f t="shared" si="650"/>
        <v>1.2</v>
      </c>
      <c r="FL206" s="23">
        <f t="shared" si="650"/>
        <v>1.2</v>
      </c>
      <c r="FM206" s="23">
        <f t="shared" si="587"/>
        <v>0</v>
      </c>
      <c r="FN206" s="23"/>
      <c r="FX206" s="4">
        <f t="shared" si="422"/>
        <v>1.25</v>
      </c>
      <c r="FY206" s="4">
        <f t="shared" si="513"/>
        <v>0.5</v>
      </c>
      <c r="FZ206" s="4">
        <f t="shared" si="423"/>
        <v>0</v>
      </c>
      <c r="GA206" s="4">
        <f t="shared" si="424"/>
        <v>192.55212537012548</v>
      </c>
    </row>
    <row r="207" spans="1:183" ht="12" customHeight="1" x14ac:dyDescent="0.3">
      <c r="A207" s="25">
        <v>189</v>
      </c>
      <c r="B207" s="24" t="s">
        <v>128</v>
      </c>
      <c r="C207" s="24">
        <v>2017</v>
      </c>
      <c r="D207" s="24" t="s">
        <v>309</v>
      </c>
      <c r="E207" s="24"/>
      <c r="F207" s="4" t="s">
        <v>321</v>
      </c>
      <c r="G207" s="7">
        <v>649</v>
      </c>
      <c r="H207" s="7">
        <f t="shared" si="651"/>
        <v>127.2</v>
      </c>
      <c r="I207" s="7">
        <f t="shared" si="519"/>
        <v>127.2</v>
      </c>
      <c r="J207" s="7">
        <v>129.9</v>
      </c>
      <c r="K207" s="7">
        <v>31.8</v>
      </c>
      <c r="L207" s="7">
        <f t="shared" si="588"/>
        <v>4</v>
      </c>
      <c r="M207" s="7">
        <f t="shared" si="589"/>
        <v>4</v>
      </c>
      <c r="N207" s="7">
        <v>428</v>
      </c>
      <c r="O207" s="7">
        <f t="shared" si="672"/>
        <v>47.7</v>
      </c>
      <c r="P207" s="7">
        <f t="shared" si="669"/>
        <v>43.8</v>
      </c>
      <c r="Q207" s="7">
        <f t="shared" si="653"/>
        <v>269</v>
      </c>
      <c r="R207" s="7">
        <v>2</v>
      </c>
      <c r="S207" s="7">
        <f t="shared" si="654"/>
        <v>84.8</v>
      </c>
      <c r="T207" s="7">
        <f t="shared" si="521"/>
        <v>2</v>
      </c>
      <c r="U207" s="7">
        <f t="shared" si="504"/>
        <v>2</v>
      </c>
      <c r="V207" s="7">
        <f t="shared" si="517"/>
        <v>4</v>
      </c>
      <c r="W207" s="7">
        <f t="shared" si="517"/>
        <v>4</v>
      </c>
      <c r="X207" s="7">
        <f t="shared" si="523"/>
        <v>5</v>
      </c>
      <c r="Y207" s="7">
        <f t="shared" si="524"/>
        <v>71.106961684493314</v>
      </c>
      <c r="Z207" s="7">
        <f t="shared" si="506"/>
        <v>649</v>
      </c>
      <c r="AA207" s="7">
        <v>11</v>
      </c>
      <c r="AB207" s="7">
        <f>(728+714)/2</f>
        <v>721</v>
      </c>
      <c r="AC207" s="7"/>
      <c r="AD207" s="4">
        <f t="shared" si="526"/>
        <v>1.0059565565775579</v>
      </c>
      <c r="AE207" s="7">
        <v>0</v>
      </c>
      <c r="AF207" s="7">
        <v>0</v>
      </c>
      <c r="AG207" s="7">
        <f t="shared" si="668"/>
        <v>127.2</v>
      </c>
      <c r="AH207" s="7"/>
      <c r="AI207" s="7"/>
      <c r="AJ207" s="7">
        <f t="shared" si="527"/>
        <v>1.2686170212765957</v>
      </c>
      <c r="AK207" s="4">
        <f t="shared" si="655"/>
        <v>127.2</v>
      </c>
      <c r="AL207" s="4">
        <f t="shared" si="595"/>
        <v>1.1215932914046123</v>
      </c>
      <c r="AM207" s="4">
        <f t="shared" si="596"/>
        <v>102.93453939452981</v>
      </c>
      <c r="AN207" s="4">
        <f t="shared" si="597"/>
        <v>0.79999999999999993</v>
      </c>
      <c r="AO207" s="4">
        <v>1.25</v>
      </c>
      <c r="AP207" s="47">
        <f t="shared" si="657"/>
        <v>5</v>
      </c>
      <c r="AQ207" s="38">
        <f t="shared" si="599"/>
        <v>577.25344419364194</v>
      </c>
      <c r="AR207" s="38">
        <f t="shared" si="600"/>
        <v>577.25344419364194</v>
      </c>
      <c r="AS207" s="38">
        <f t="shared" si="601"/>
        <v>5.7111767066521422</v>
      </c>
      <c r="AT207" s="38">
        <f t="shared" si="461"/>
        <v>577.25344419364239</v>
      </c>
      <c r="AU207" s="38">
        <f t="shared" si="406"/>
        <v>0.99999999999999922</v>
      </c>
      <c r="AV207" s="38">
        <f t="shared" si="462"/>
        <v>1.8002491114654926</v>
      </c>
      <c r="AW207" s="4">
        <f t="shared" si="463"/>
        <v>0</v>
      </c>
      <c r="AX207" s="4">
        <f t="shared" si="528"/>
        <v>239.94459194200661</v>
      </c>
      <c r="AY207" s="4">
        <f t="shared" si="529"/>
        <v>1</v>
      </c>
      <c r="AZ207" s="38">
        <f t="shared" si="465"/>
        <v>1039.2</v>
      </c>
      <c r="BA207" s="4">
        <f t="shared" si="531"/>
        <v>0.44000000000000006</v>
      </c>
      <c r="BB207" s="4">
        <f t="shared" si="532"/>
        <v>55.163261687467333</v>
      </c>
      <c r="BC207" s="4">
        <f t="shared" si="533"/>
        <v>1094.3632616874675</v>
      </c>
      <c r="BE207" s="4">
        <f t="shared" si="469"/>
        <v>1.125</v>
      </c>
      <c r="BF207" s="4">
        <f t="shared" si="470"/>
        <v>538.5256435398411</v>
      </c>
      <c r="BH207" s="4">
        <f t="shared" si="508"/>
        <v>996.71988587880821</v>
      </c>
      <c r="BI207" s="4">
        <f t="shared" si="509"/>
        <v>711.96329095823319</v>
      </c>
      <c r="BJ207" s="4">
        <f t="shared" si="510"/>
        <v>0.71430629713030647</v>
      </c>
      <c r="BK207" s="4">
        <f t="shared" si="602"/>
        <v>47.7</v>
      </c>
      <c r="BL207" s="4">
        <f t="shared" si="603"/>
        <v>47.7</v>
      </c>
      <c r="BM207" s="4">
        <f t="shared" si="604"/>
        <v>84.8</v>
      </c>
      <c r="BN207" s="4">
        <f t="shared" si="605"/>
        <v>63.6</v>
      </c>
      <c r="BO207" s="4">
        <f t="shared" si="606"/>
        <v>1.0777777777777777</v>
      </c>
      <c r="BP207" s="25">
        <f t="shared" si="607"/>
        <v>2.1555555555555554</v>
      </c>
      <c r="BR207" s="4">
        <f t="shared" si="539"/>
        <v>47.7</v>
      </c>
      <c r="BV207" s="9"/>
      <c r="BX207" s="9"/>
      <c r="BY207" s="9"/>
      <c r="BZ207" s="9">
        <f t="shared" si="540"/>
        <v>43.8</v>
      </c>
      <c r="CA207" s="9">
        <f t="shared" si="541"/>
        <v>134.5</v>
      </c>
      <c r="CB207" s="9">
        <f t="shared" si="480"/>
        <v>1.3887073091970812</v>
      </c>
      <c r="CC207" s="9">
        <v>0</v>
      </c>
      <c r="CD207" s="9">
        <f t="shared" si="543"/>
        <v>0</v>
      </c>
      <c r="CE207" s="9">
        <f t="shared" si="544"/>
        <v>0</v>
      </c>
      <c r="CF207" s="9">
        <f t="shared" si="545"/>
        <v>0.93036607665491811</v>
      </c>
      <c r="CG207" s="9">
        <f t="shared" si="546"/>
        <v>0.80099999999999993</v>
      </c>
      <c r="CH207" s="9">
        <f t="shared" si="485"/>
        <v>2.9727542082721463</v>
      </c>
      <c r="CI207" s="9">
        <f t="shared" si="486"/>
        <v>4.1282854974739118</v>
      </c>
      <c r="CJ207" s="9">
        <v>1</v>
      </c>
      <c r="CK207" s="9">
        <f t="shared" si="487"/>
        <v>313.74969780801729</v>
      </c>
      <c r="CM207" s="4">
        <f t="shared" si="550"/>
        <v>3.0048603894946799</v>
      </c>
      <c r="CN207" s="4">
        <f t="shared" si="551"/>
        <v>0.65883059605660077</v>
      </c>
      <c r="CO207" s="4">
        <f t="shared" si="552"/>
        <v>1.3388406079619848</v>
      </c>
      <c r="CP207" s="4">
        <f t="shared" si="553"/>
        <v>2.2980101814828782</v>
      </c>
      <c r="CQ207" s="44">
        <f t="shared" si="554"/>
        <v>1.0059565565775579</v>
      </c>
      <c r="CR207" s="4">
        <f t="shared" si="555"/>
        <v>1.0332122674684099</v>
      </c>
      <c r="CS207" s="4">
        <f t="shared" si="556"/>
        <v>3.7444406215412429</v>
      </c>
      <c r="CU207" s="4">
        <f t="shared" si="670"/>
        <v>3.0048603894946799</v>
      </c>
      <c r="CV207" s="4">
        <f t="shared" si="670"/>
        <v>0.65883059605660077</v>
      </c>
      <c r="CW207" s="4">
        <f t="shared" si="648"/>
        <v>2.2980101814828782</v>
      </c>
      <c r="CX207" s="4">
        <f t="shared" si="665"/>
        <v>3.7444406215412429</v>
      </c>
      <c r="CY207" s="4">
        <f t="shared" si="671"/>
        <v>1.0059565565775579</v>
      </c>
      <c r="CZ207" s="4">
        <f t="shared" si="671"/>
        <v>1.0332122674684099</v>
      </c>
      <c r="DH207" s="4">
        <f t="shared" si="558"/>
        <v>0</v>
      </c>
      <c r="DI207" s="4">
        <f t="shared" si="559"/>
        <v>127.2</v>
      </c>
      <c r="DL207" s="4">
        <f t="shared" si="560"/>
        <v>1.3307058507295954E-5</v>
      </c>
      <c r="DM207" s="4">
        <f t="shared" si="561"/>
        <v>11.596152843353764</v>
      </c>
      <c r="DN207" s="4">
        <f t="shared" si="562"/>
        <v>0.30738055417156512</v>
      </c>
      <c r="DO207" s="4">
        <f t="shared" si="563"/>
        <v>7.2340996459405771</v>
      </c>
      <c r="DP207" s="4">
        <f t="shared" si="564"/>
        <v>9.6657193846819744</v>
      </c>
      <c r="DQ207" s="4">
        <f t="shared" si="565"/>
        <v>11.309436008935599</v>
      </c>
      <c r="DR207" s="38">
        <f t="shared" si="609"/>
        <v>716.73075272054439</v>
      </c>
      <c r="DS207" s="4">
        <f t="shared" si="566"/>
        <v>1.0000673124475594</v>
      </c>
      <c r="DT207" s="4">
        <f t="shared" si="567"/>
        <v>2.2360679774997898</v>
      </c>
      <c r="DU207" s="4">
        <f t="shared" si="568"/>
        <v>577.25344419364239</v>
      </c>
      <c r="DY207" s="4">
        <f t="shared" si="569"/>
        <v>0.85</v>
      </c>
      <c r="DZ207" s="4">
        <f t="shared" si="570"/>
        <v>0.95</v>
      </c>
      <c r="EA207" s="4">
        <f t="shared" si="610"/>
        <v>1</v>
      </c>
      <c r="EB207" s="4">
        <f t="shared" si="571"/>
        <v>0.95</v>
      </c>
      <c r="ED207" s="4">
        <f t="shared" si="611"/>
        <v>697.82369286671712</v>
      </c>
      <c r="EE207" s="25">
        <f t="shared" si="656"/>
        <v>558.66985874647196</v>
      </c>
      <c r="EH207" s="4">
        <f t="shared" si="613"/>
        <v>11.596152843353764</v>
      </c>
      <c r="EK207" s="4">
        <f t="shared" si="572"/>
        <v>71.106961684493314</v>
      </c>
      <c r="EL207" s="4">
        <f t="shared" si="573"/>
        <v>2.2360679774997898</v>
      </c>
      <c r="EM207" s="4">
        <f t="shared" si="574"/>
        <v>0.19156502921061311</v>
      </c>
      <c r="EP207" s="4">
        <f t="shared" si="575"/>
        <v>0.19156502921061311</v>
      </c>
      <c r="EQ207" s="4">
        <f t="shared" si="496"/>
        <v>0.30686759331460051</v>
      </c>
      <c r="ER207" s="4">
        <f t="shared" si="577"/>
        <v>7.2292682805809623</v>
      </c>
      <c r="ES207" s="4">
        <f t="shared" si="578"/>
        <v>9.6639180482033353</v>
      </c>
      <c r="ET207" s="4">
        <f t="shared" si="579"/>
        <v>24.293038315506692</v>
      </c>
      <c r="EU207" s="4">
        <f t="shared" si="580"/>
        <v>31.799999999999997</v>
      </c>
      <c r="EV207" s="4">
        <f t="shared" si="498"/>
        <v>1.330705850729595E-5</v>
      </c>
      <c r="EW207" s="4">
        <f t="shared" si="582"/>
        <v>11.309554955437452</v>
      </c>
      <c r="EX207" s="4">
        <f t="shared" si="511"/>
        <v>716.68251106660148</v>
      </c>
      <c r="FG207" s="23">
        <f t="shared" si="649"/>
        <v>2.2000000000000002</v>
      </c>
      <c r="FH207" s="23">
        <f t="shared" si="649"/>
        <v>0.8</v>
      </c>
      <c r="FI207" s="23">
        <f t="shared" si="585"/>
        <v>2.2000000000000002</v>
      </c>
      <c r="FJ207" s="23">
        <f t="shared" si="650"/>
        <v>2.2000000000000002</v>
      </c>
      <c r="FK207" s="23">
        <f t="shared" si="650"/>
        <v>1.2</v>
      </c>
      <c r="FL207" s="23">
        <f t="shared" si="650"/>
        <v>1.2</v>
      </c>
      <c r="FM207" s="23">
        <f t="shared" si="587"/>
        <v>0</v>
      </c>
      <c r="FN207" s="23"/>
      <c r="FX207" s="4">
        <f t="shared" si="422"/>
        <v>1.25</v>
      </c>
      <c r="FY207" s="4">
        <f t="shared" si="513"/>
        <v>0.5</v>
      </c>
      <c r="FZ207" s="4">
        <f t="shared" si="423"/>
        <v>0</v>
      </c>
      <c r="GA207" s="4">
        <f t="shared" si="424"/>
        <v>192.55212537012548</v>
      </c>
    </row>
    <row r="208" spans="1:183" ht="12" customHeight="1" x14ac:dyDescent="0.3">
      <c r="A208" s="25">
        <v>190</v>
      </c>
      <c r="B208" s="24" t="s">
        <v>128</v>
      </c>
      <c r="C208" s="24">
        <v>2017</v>
      </c>
      <c r="D208" s="24" t="s">
        <v>309</v>
      </c>
      <c r="E208" s="24"/>
      <c r="F208" s="4" t="s">
        <v>322</v>
      </c>
      <c r="G208" s="7">
        <v>649</v>
      </c>
      <c r="H208" s="7">
        <f t="shared" si="651"/>
        <v>127.2</v>
      </c>
      <c r="I208" s="7">
        <f t="shared" si="519"/>
        <v>127.2</v>
      </c>
      <c r="J208" s="7">
        <v>129.9</v>
      </c>
      <c r="K208" s="7">
        <v>31.8</v>
      </c>
      <c r="L208" s="7">
        <f t="shared" si="588"/>
        <v>4</v>
      </c>
      <c r="M208" s="7">
        <f t="shared" si="589"/>
        <v>4</v>
      </c>
      <c r="N208" s="7">
        <v>396</v>
      </c>
      <c r="O208" s="7">
        <f t="shared" si="652"/>
        <v>31.8</v>
      </c>
      <c r="P208" s="7">
        <f t="shared" si="669"/>
        <v>43.8</v>
      </c>
      <c r="Q208" s="7">
        <f t="shared" si="653"/>
        <v>268.79999999999995</v>
      </c>
      <c r="R208" s="7">
        <v>2</v>
      </c>
      <c r="S208" s="7">
        <f t="shared" si="654"/>
        <v>84.8</v>
      </c>
      <c r="T208" s="7">
        <f t="shared" si="521"/>
        <v>1.5</v>
      </c>
      <c r="U208" s="7">
        <f t="shared" si="504"/>
        <v>1.5</v>
      </c>
      <c r="V208" s="7">
        <f t="shared" si="517"/>
        <v>4</v>
      </c>
      <c r="W208" s="7">
        <f t="shared" si="517"/>
        <v>4</v>
      </c>
      <c r="X208" s="7">
        <f t="shared" si="523"/>
        <v>5</v>
      </c>
      <c r="Y208" s="7">
        <f t="shared" si="524"/>
        <v>71.106961684493314</v>
      </c>
      <c r="Z208" s="7">
        <f t="shared" si="506"/>
        <v>649</v>
      </c>
      <c r="AA208" s="7">
        <v>11</v>
      </c>
      <c r="AB208" s="7">
        <f>(738+710)/2</f>
        <v>724</v>
      </c>
      <c r="AC208" s="7"/>
      <c r="AD208" s="4">
        <f t="shared" si="526"/>
        <v>1.0904414032234904</v>
      </c>
      <c r="AE208" s="7">
        <v>12.7</v>
      </c>
      <c r="AF208" s="7">
        <v>2</v>
      </c>
      <c r="AG208" s="7">
        <v>64</v>
      </c>
      <c r="AH208" s="7">
        <v>4</v>
      </c>
      <c r="AI208" s="7">
        <f t="shared" ref="AI208:AI209" si="673">AF208</f>
        <v>2</v>
      </c>
      <c r="AJ208" s="7">
        <f t="shared" si="527"/>
        <v>1.2694610778443116</v>
      </c>
      <c r="AK208" s="4">
        <f t="shared" si="655"/>
        <v>127.2</v>
      </c>
      <c r="AL208" s="4">
        <f t="shared" si="595"/>
        <v>1.0377358490566038</v>
      </c>
      <c r="AM208" s="4">
        <f t="shared" si="596"/>
        <v>102.93453939452981</v>
      </c>
      <c r="AN208" s="4">
        <f t="shared" si="597"/>
        <v>0.77499999999999991</v>
      </c>
      <c r="AO208" s="4">
        <v>1.25</v>
      </c>
      <c r="AP208" s="47">
        <f t="shared" si="657"/>
        <v>5</v>
      </c>
      <c r="AQ208" s="38">
        <f t="shared" si="599"/>
        <v>517.40386104856509</v>
      </c>
      <c r="AR208" s="38">
        <f t="shared" si="600"/>
        <v>517.40386104856509</v>
      </c>
      <c r="AS208" s="38">
        <f t="shared" si="601"/>
        <v>5.7111767066521422</v>
      </c>
      <c r="AT208" s="38">
        <f t="shared" si="461"/>
        <v>517.40386104856543</v>
      </c>
      <c r="AU208" s="38">
        <f t="shared" ref="AU208:AU271" si="674">AQ208/AT208</f>
        <v>0.99999999999999933</v>
      </c>
      <c r="AV208" s="38">
        <f t="shared" si="462"/>
        <v>1.5063668029466883</v>
      </c>
      <c r="AW208" s="4">
        <f t="shared" si="463"/>
        <v>0</v>
      </c>
      <c r="AX208" s="4">
        <f t="shared" si="528"/>
        <v>239.94459194200661</v>
      </c>
      <c r="AY208" s="4">
        <f t="shared" si="529"/>
        <v>1</v>
      </c>
      <c r="AZ208" s="38">
        <f t="shared" si="465"/>
        <v>779.40000000000009</v>
      </c>
      <c r="BA208" s="4">
        <f t="shared" si="531"/>
        <v>0.44000000000000006</v>
      </c>
      <c r="BB208" s="4">
        <f t="shared" si="532"/>
        <v>55.163261687467333</v>
      </c>
      <c r="BC208" s="4">
        <f t="shared" si="533"/>
        <v>834.56326168746739</v>
      </c>
      <c r="BE208" s="4">
        <f t="shared" si="469"/>
        <v>1.4</v>
      </c>
      <c r="BF208" s="4">
        <f t="shared" si="470"/>
        <v>670.16524529402443</v>
      </c>
      <c r="BH208" s="4">
        <f t="shared" si="508"/>
        <v>747.53991440910613</v>
      </c>
      <c r="BI208" s="4">
        <f t="shared" si="509"/>
        <v>711.96329095823319</v>
      </c>
      <c r="BJ208" s="4">
        <f t="shared" si="510"/>
        <v>0.95240839617374207</v>
      </c>
      <c r="BK208" s="4">
        <f t="shared" si="602"/>
        <v>31.8</v>
      </c>
      <c r="BL208" s="4">
        <f t="shared" si="603"/>
        <v>31.8</v>
      </c>
      <c r="BM208" s="4">
        <f t="shared" si="604"/>
        <v>84.8</v>
      </c>
      <c r="BN208" s="4">
        <f t="shared" si="605"/>
        <v>47.7</v>
      </c>
      <c r="BO208" s="4">
        <f t="shared" si="606"/>
        <v>1.1666666666666667</v>
      </c>
      <c r="BP208" s="25">
        <f t="shared" si="607"/>
        <v>4</v>
      </c>
      <c r="BR208" s="4">
        <f t="shared" si="539"/>
        <v>31.8</v>
      </c>
      <c r="BV208" s="9"/>
      <c r="BX208" s="9"/>
      <c r="BY208" s="9"/>
      <c r="BZ208" s="9">
        <f t="shared" si="540"/>
        <v>31.8</v>
      </c>
      <c r="CA208" s="9">
        <f t="shared" si="541"/>
        <v>134.39999999999998</v>
      </c>
      <c r="CB208" s="9">
        <f t="shared" si="480"/>
        <v>1.2413544982455165</v>
      </c>
      <c r="CC208" s="9">
        <v>20</v>
      </c>
      <c r="CD208" s="9">
        <f t="shared" si="543"/>
        <v>0.05</v>
      </c>
      <c r="CE208" s="9">
        <f t="shared" si="544"/>
        <v>0.8</v>
      </c>
      <c r="CF208" s="9">
        <f t="shared" si="545"/>
        <v>0.93036607665491811</v>
      </c>
      <c r="CG208" s="9">
        <f t="shared" si="546"/>
        <v>0.80099999999999993</v>
      </c>
      <c r="CH208" s="9">
        <f t="shared" si="485"/>
        <v>2.9727542082721463</v>
      </c>
      <c r="CI208" s="9">
        <f t="shared" si="486"/>
        <v>6.0684451752346353</v>
      </c>
      <c r="CJ208" s="9">
        <v>1</v>
      </c>
      <c r="CK208" s="9">
        <f t="shared" si="487"/>
        <v>461.20183331783232</v>
      </c>
      <c r="CM208" s="4">
        <f t="shared" si="550"/>
        <v>3.0173632759974316</v>
      </c>
      <c r="CN208" s="4">
        <f t="shared" si="551"/>
        <v>0.86751961563235958</v>
      </c>
      <c r="CO208" s="4">
        <f t="shared" si="552"/>
        <v>1.0803305678472723</v>
      </c>
      <c r="CP208" s="4">
        <f t="shared" si="553"/>
        <v>1.5698116262713619</v>
      </c>
      <c r="CQ208" s="44">
        <f t="shared" si="554"/>
        <v>1.0904414032234904</v>
      </c>
      <c r="CR208" s="4">
        <f t="shared" si="555"/>
        <v>1.1141268495754608</v>
      </c>
      <c r="CS208" s="4">
        <f t="shared" si="556"/>
        <v>3.0790396611328834</v>
      </c>
      <c r="DA208" s="4">
        <f t="shared" si="661"/>
        <v>3.0173632759974316</v>
      </c>
      <c r="DB208" s="4">
        <f t="shared" si="661"/>
        <v>0.86751961563235958</v>
      </c>
      <c r="DC208" s="4">
        <f t="shared" si="662"/>
        <v>1.5698116262713619</v>
      </c>
      <c r="DD208" s="4">
        <f t="shared" ref="DD208:DD209" si="675">CS208</f>
        <v>3.0790396611328834</v>
      </c>
      <c r="DE208" s="4">
        <f t="shared" si="664"/>
        <v>1.0904414032234904</v>
      </c>
      <c r="DF208" s="4">
        <f t="shared" si="664"/>
        <v>1.1141268495754608</v>
      </c>
      <c r="DH208" s="4">
        <f t="shared" si="558"/>
        <v>2</v>
      </c>
      <c r="DI208" s="4">
        <f t="shared" si="559"/>
        <v>127.2</v>
      </c>
      <c r="DL208" s="4">
        <f t="shared" si="560"/>
        <v>1.3307058507295954E-5</v>
      </c>
      <c r="DM208" s="4">
        <f t="shared" si="561"/>
        <v>12.467523847691927</v>
      </c>
      <c r="DN208" s="4">
        <f t="shared" si="562"/>
        <v>0.2755113670422118</v>
      </c>
      <c r="DO208" s="4">
        <f t="shared" si="563"/>
        <v>7.4445082625647387</v>
      </c>
      <c r="DP208" s="4">
        <f t="shared" si="564"/>
        <v>10.269782738037188</v>
      </c>
      <c r="DQ208" s="4">
        <f t="shared" si="565"/>
        <v>12.145020230488436</v>
      </c>
      <c r="DR208" s="38">
        <f t="shared" si="609"/>
        <v>663.95131169795957</v>
      </c>
      <c r="DS208" s="4">
        <f t="shared" si="566"/>
        <v>1.000074447522397</v>
      </c>
      <c r="DT208" s="4">
        <f t="shared" si="567"/>
        <v>2.2360679774997898</v>
      </c>
      <c r="DU208" s="4">
        <f t="shared" si="568"/>
        <v>517.40386104856543</v>
      </c>
      <c r="DY208" s="4">
        <f t="shared" si="569"/>
        <v>0.85</v>
      </c>
      <c r="DZ208" s="4">
        <f t="shared" si="570"/>
        <v>1</v>
      </c>
      <c r="EA208" s="4">
        <f t="shared" si="610"/>
        <v>0.88360329892013767</v>
      </c>
      <c r="EB208" s="4">
        <f t="shared" si="571"/>
        <v>0.88360329892013767</v>
      </c>
      <c r="ED208" s="4">
        <f t="shared" si="611"/>
        <v>649.83623747680167</v>
      </c>
      <c r="EE208" s="25">
        <f t="shared" si="656"/>
        <v>500.22595130449861</v>
      </c>
      <c r="EH208" s="4">
        <f t="shared" si="613"/>
        <v>12.467523847691927</v>
      </c>
      <c r="EK208" s="4">
        <f t="shared" si="572"/>
        <v>71.106961684493314</v>
      </c>
      <c r="EL208" s="4">
        <f t="shared" si="573"/>
        <v>2.2360679774997898</v>
      </c>
      <c r="EM208" s="4">
        <f t="shared" si="574"/>
        <v>0.17170358488533044</v>
      </c>
      <c r="EP208" s="4">
        <f t="shared" si="575"/>
        <v>0.17170358488533044</v>
      </c>
      <c r="EQ208" s="4">
        <f t="shared" si="496"/>
        <v>0.27505158991895695</v>
      </c>
      <c r="ER208" s="4">
        <f t="shared" si="577"/>
        <v>7.43953637371893</v>
      </c>
      <c r="ES208" s="4">
        <f t="shared" si="578"/>
        <v>10.267989314750604</v>
      </c>
      <c r="ET208" s="4">
        <f t="shared" si="579"/>
        <v>24.293038315506692</v>
      </c>
      <c r="EU208" s="4">
        <f t="shared" si="580"/>
        <v>31.799999999999997</v>
      </c>
      <c r="EV208" s="4">
        <f t="shared" si="498"/>
        <v>1.330705850729595E-5</v>
      </c>
      <c r="EW208" s="4">
        <f t="shared" si="582"/>
        <v>12.145151302773725</v>
      </c>
      <c r="EX208" s="4">
        <f t="shared" si="511"/>
        <v>663.90188584744351</v>
      </c>
      <c r="FG208" s="23">
        <f t="shared" si="649"/>
        <v>2.2000000000000002</v>
      </c>
      <c r="FH208" s="23">
        <f t="shared" si="649"/>
        <v>1</v>
      </c>
      <c r="FI208" s="23">
        <f t="shared" si="585"/>
        <v>2.2000000000000002</v>
      </c>
      <c r="FJ208" s="23">
        <f t="shared" si="650"/>
        <v>1.6</v>
      </c>
      <c r="FK208" s="23">
        <f t="shared" si="650"/>
        <v>1.2</v>
      </c>
      <c r="FL208" s="23">
        <f t="shared" si="650"/>
        <v>1.2</v>
      </c>
      <c r="FM208" s="23">
        <f t="shared" si="587"/>
        <v>0</v>
      </c>
      <c r="FN208" s="23"/>
      <c r="FX208" s="4">
        <f t="shared" ref="FX208:FX271" si="676">IF(O208&gt;=2.5*25.4,1,1.25)</f>
        <v>1.25</v>
      </c>
      <c r="FY208" s="4">
        <f t="shared" si="513"/>
        <v>0.40944449644340308</v>
      </c>
      <c r="FZ208" s="4">
        <f t="shared" ref="FZ208:FZ271" si="677">MIN(0.3, AE208^2*PI()/4*2*AH208/(K208^2*PI()/4*R208))</f>
        <v>0.3</v>
      </c>
      <c r="GA208" s="4">
        <f t="shared" ref="GA208:GA271" si="678">(H208/25.4)/(K208/25.4)^1.5/0.0024*(J208*145)^0.25/FX208/FY208/145</f>
        <v>235.13825077966541</v>
      </c>
    </row>
    <row r="209" spans="1:183" ht="12" customHeight="1" x14ac:dyDescent="0.3">
      <c r="A209" s="25">
        <v>191</v>
      </c>
      <c r="B209" s="24" t="s">
        <v>128</v>
      </c>
      <c r="C209" s="24">
        <v>2017</v>
      </c>
      <c r="D209" s="24" t="s">
        <v>309</v>
      </c>
      <c r="E209" s="24"/>
      <c r="F209" s="4" t="s">
        <v>323</v>
      </c>
      <c r="G209" s="7">
        <v>649</v>
      </c>
      <c r="H209" s="7">
        <f t="shared" si="651"/>
        <v>127.2</v>
      </c>
      <c r="I209" s="7">
        <f t="shared" si="519"/>
        <v>127.2</v>
      </c>
      <c r="J209" s="7">
        <v>129.9</v>
      </c>
      <c r="K209" s="7">
        <v>31.8</v>
      </c>
      <c r="L209" s="7">
        <f t="shared" si="588"/>
        <v>4</v>
      </c>
      <c r="M209" s="7">
        <f t="shared" si="589"/>
        <v>4</v>
      </c>
      <c r="N209" s="7">
        <v>396</v>
      </c>
      <c r="O209" s="7">
        <f t="shared" si="652"/>
        <v>31.8</v>
      </c>
      <c r="P209" s="7">
        <f t="shared" si="669"/>
        <v>43.8</v>
      </c>
      <c r="Q209" s="7">
        <f t="shared" si="653"/>
        <v>268.79999999999995</v>
      </c>
      <c r="R209" s="7">
        <v>2</v>
      </c>
      <c r="S209" s="7">
        <f t="shared" si="654"/>
        <v>84.8</v>
      </c>
      <c r="T209" s="7">
        <f t="shared" si="521"/>
        <v>1.5</v>
      </c>
      <c r="U209" s="7">
        <f t="shared" si="504"/>
        <v>1.5</v>
      </c>
      <c r="V209" s="7">
        <f t="shared" si="517"/>
        <v>4</v>
      </c>
      <c r="W209" s="7">
        <f t="shared" si="517"/>
        <v>4</v>
      </c>
      <c r="X209" s="7">
        <f t="shared" si="523"/>
        <v>5</v>
      </c>
      <c r="Y209" s="7">
        <f t="shared" si="524"/>
        <v>71.106961684493314</v>
      </c>
      <c r="Z209" s="7">
        <f t="shared" si="506"/>
        <v>649</v>
      </c>
      <c r="AA209" s="7">
        <v>11</v>
      </c>
      <c r="AB209" s="7">
        <f>(732+713)/2</f>
        <v>722.5</v>
      </c>
      <c r="AC209" s="7"/>
      <c r="AD209" s="4">
        <f t="shared" si="526"/>
        <v>1.0881822014212317</v>
      </c>
      <c r="AE209" s="7">
        <v>12.7</v>
      </c>
      <c r="AF209" s="7">
        <v>2</v>
      </c>
      <c r="AG209" s="7">
        <v>64</v>
      </c>
      <c r="AH209" s="7">
        <v>4</v>
      </c>
      <c r="AI209" s="7">
        <f t="shared" si="673"/>
        <v>2</v>
      </c>
      <c r="AJ209" s="7">
        <f t="shared" si="527"/>
        <v>1.2694610778443116</v>
      </c>
      <c r="AK209" s="4">
        <f t="shared" si="655"/>
        <v>127.2</v>
      </c>
      <c r="AL209" s="4">
        <f t="shared" si="595"/>
        <v>1.0377358490566038</v>
      </c>
      <c r="AM209" s="4">
        <f t="shared" si="596"/>
        <v>102.93453939452981</v>
      </c>
      <c r="AN209" s="4">
        <f t="shared" si="597"/>
        <v>0.77499999999999991</v>
      </c>
      <c r="AO209" s="4">
        <v>1.25</v>
      </c>
      <c r="AP209" s="47">
        <f t="shared" si="657"/>
        <v>5</v>
      </c>
      <c r="AQ209" s="38">
        <f t="shared" si="599"/>
        <v>517.40386104856509</v>
      </c>
      <c r="AR209" s="38">
        <f t="shared" si="600"/>
        <v>517.40386104856509</v>
      </c>
      <c r="AS209" s="38">
        <f t="shared" si="601"/>
        <v>5.7111767066521422</v>
      </c>
      <c r="AT209" s="38">
        <f t="shared" si="461"/>
        <v>517.40386104856543</v>
      </c>
      <c r="AU209" s="38">
        <f t="shared" si="674"/>
        <v>0.99999999999999933</v>
      </c>
      <c r="AV209" s="38">
        <f t="shared" si="462"/>
        <v>1.5063668029466883</v>
      </c>
      <c r="AW209" s="4">
        <f t="shared" si="463"/>
        <v>0</v>
      </c>
      <c r="AX209" s="4">
        <f t="shared" si="528"/>
        <v>239.94459194200661</v>
      </c>
      <c r="AY209" s="4">
        <f t="shared" si="529"/>
        <v>1</v>
      </c>
      <c r="AZ209" s="38">
        <f t="shared" si="465"/>
        <v>779.40000000000009</v>
      </c>
      <c r="BA209" s="4">
        <f t="shared" si="531"/>
        <v>0.44000000000000006</v>
      </c>
      <c r="BB209" s="4">
        <f t="shared" si="532"/>
        <v>55.163261687467333</v>
      </c>
      <c r="BC209" s="4">
        <f t="shared" si="533"/>
        <v>834.56326168746739</v>
      </c>
      <c r="BE209" s="4">
        <f t="shared" si="469"/>
        <v>1.4</v>
      </c>
      <c r="BF209" s="4">
        <f t="shared" si="470"/>
        <v>670.16524529402443</v>
      </c>
      <c r="BH209" s="4">
        <f t="shared" si="508"/>
        <v>747.53991440910613</v>
      </c>
      <c r="BI209" s="4">
        <f t="shared" si="509"/>
        <v>711.96329095823319</v>
      </c>
      <c r="BJ209" s="4">
        <f t="shared" si="510"/>
        <v>0.95240839617374207</v>
      </c>
      <c r="BK209" s="4">
        <f t="shared" si="602"/>
        <v>31.8</v>
      </c>
      <c r="BL209" s="4">
        <f t="shared" si="603"/>
        <v>31.8</v>
      </c>
      <c r="BM209" s="4">
        <f t="shared" si="604"/>
        <v>84.8</v>
      </c>
      <c r="BN209" s="4">
        <f t="shared" si="605"/>
        <v>47.7</v>
      </c>
      <c r="BO209" s="4">
        <f t="shared" si="606"/>
        <v>1.1666666666666667</v>
      </c>
      <c r="BP209" s="25">
        <f t="shared" si="607"/>
        <v>4</v>
      </c>
      <c r="BR209" s="4">
        <f t="shared" si="539"/>
        <v>31.8</v>
      </c>
      <c r="BV209" s="9"/>
      <c r="BX209" s="9"/>
      <c r="BY209" s="9"/>
      <c r="BZ209" s="9">
        <f t="shared" si="540"/>
        <v>31.8</v>
      </c>
      <c r="CA209" s="9">
        <f t="shared" si="541"/>
        <v>134.39999999999998</v>
      </c>
      <c r="CB209" s="9">
        <f t="shared" si="480"/>
        <v>1.2413544982455165</v>
      </c>
      <c r="CC209" s="9">
        <v>20</v>
      </c>
      <c r="CD209" s="9">
        <f t="shared" si="543"/>
        <v>0.05</v>
      </c>
      <c r="CE209" s="9">
        <f t="shared" si="544"/>
        <v>0.8</v>
      </c>
      <c r="CF209" s="9">
        <f t="shared" si="545"/>
        <v>0.93036607665491811</v>
      </c>
      <c r="CG209" s="9">
        <f t="shared" si="546"/>
        <v>0.80099999999999993</v>
      </c>
      <c r="CH209" s="9">
        <f t="shared" si="485"/>
        <v>2.9727542082721463</v>
      </c>
      <c r="CI209" s="9">
        <f t="shared" si="486"/>
        <v>6.0684451752346353</v>
      </c>
      <c r="CJ209" s="9">
        <v>1</v>
      </c>
      <c r="CK209" s="9">
        <f t="shared" si="487"/>
        <v>461.20183331783232</v>
      </c>
      <c r="CM209" s="4">
        <f t="shared" si="550"/>
        <v>3.0111118327460558</v>
      </c>
      <c r="CN209" s="4">
        <f t="shared" si="551"/>
        <v>0.86572226836240296</v>
      </c>
      <c r="CO209" s="4">
        <f t="shared" si="552"/>
        <v>1.0780923139083622</v>
      </c>
      <c r="CP209" s="4">
        <f t="shared" si="553"/>
        <v>1.5665592541174849</v>
      </c>
      <c r="CQ209" s="44">
        <f t="shared" si="554"/>
        <v>1.0881822014212317</v>
      </c>
      <c r="CR209" s="4">
        <f t="shared" si="555"/>
        <v>1.111818575715843</v>
      </c>
      <c r="CS209" s="4">
        <f t="shared" si="556"/>
        <v>3.0726604353156195</v>
      </c>
      <c r="DA209" s="4">
        <f t="shared" si="661"/>
        <v>3.0111118327460558</v>
      </c>
      <c r="DB209" s="4">
        <f t="shared" si="661"/>
        <v>0.86572226836240296</v>
      </c>
      <c r="DC209" s="4">
        <f t="shared" si="662"/>
        <v>1.5665592541174849</v>
      </c>
      <c r="DD209" s="4">
        <f t="shared" si="675"/>
        <v>3.0726604353156195</v>
      </c>
      <c r="DE209" s="4">
        <f t="shared" si="664"/>
        <v>1.0881822014212317</v>
      </c>
      <c r="DF209" s="4">
        <f t="shared" si="664"/>
        <v>1.111818575715843</v>
      </c>
      <c r="DH209" s="4">
        <f t="shared" si="558"/>
        <v>2</v>
      </c>
      <c r="DI209" s="4">
        <f t="shared" si="559"/>
        <v>127.2</v>
      </c>
      <c r="DL209" s="4">
        <f t="shared" si="560"/>
        <v>1.3307058507295954E-5</v>
      </c>
      <c r="DM209" s="4">
        <f t="shared" si="561"/>
        <v>12.467523847691927</v>
      </c>
      <c r="DN209" s="4">
        <f t="shared" si="562"/>
        <v>0.2755113670422118</v>
      </c>
      <c r="DO209" s="4">
        <f t="shared" si="563"/>
        <v>7.4445082625647387</v>
      </c>
      <c r="DP209" s="4">
        <f t="shared" si="564"/>
        <v>10.269782738037188</v>
      </c>
      <c r="DQ209" s="4">
        <f t="shared" si="565"/>
        <v>12.145020230488436</v>
      </c>
      <c r="DR209" s="38">
        <f t="shared" si="609"/>
        <v>663.95131169795957</v>
      </c>
      <c r="DS209" s="4">
        <f t="shared" si="566"/>
        <v>1.000074447522397</v>
      </c>
      <c r="DT209" s="4">
        <f t="shared" si="567"/>
        <v>2.2360679774997898</v>
      </c>
      <c r="DU209" s="4">
        <f t="shared" si="568"/>
        <v>517.40386104856543</v>
      </c>
      <c r="DY209" s="4">
        <f t="shared" si="569"/>
        <v>0.85</v>
      </c>
      <c r="DZ209" s="4">
        <f t="shared" si="570"/>
        <v>1</v>
      </c>
      <c r="EA209" s="4">
        <f t="shared" si="610"/>
        <v>0.88360329892013767</v>
      </c>
      <c r="EB209" s="4">
        <f t="shared" si="571"/>
        <v>0.88360329892013767</v>
      </c>
      <c r="ED209" s="4">
        <f t="shared" si="611"/>
        <v>649.83623747680167</v>
      </c>
      <c r="EE209" s="25">
        <f t="shared" si="656"/>
        <v>500.22595130449861</v>
      </c>
      <c r="EH209" s="4">
        <f t="shared" si="613"/>
        <v>12.467523847691927</v>
      </c>
      <c r="EK209" s="4">
        <f t="shared" si="572"/>
        <v>71.106961684493314</v>
      </c>
      <c r="EL209" s="4">
        <f t="shared" si="573"/>
        <v>2.2360679774997898</v>
      </c>
      <c r="EM209" s="4">
        <f t="shared" si="574"/>
        <v>0.17170358488533044</v>
      </c>
      <c r="EP209" s="4">
        <f t="shared" si="575"/>
        <v>0.17170358488533044</v>
      </c>
      <c r="EQ209" s="4">
        <f t="shared" si="496"/>
        <v>0.27505158991895695</v>
      </c>
      <c r="ER209" s="4">
        <f t="shared" si="577"/>
        <v>7.43953637371893</v>
      </c>
      <c r="ES209" s="4">
        <f t="shared" si="578"/>
        <v>10.267989314750604</v>
      </c>
      <c r="ET209" s="4">
        <f t="shared" si="579"/>
        <v>24.293038315506692</v>
      </c>
      <c r="EU209" s="4">
        <f t="shared" si="580"/>
        <v>31.799999999999997</v>
      </c>
      <c r="EV209" s="4">
        <f t="shared" si="498"/>
        <v>1.330705850729595E-5</v>
      </c>
      <c r="EW209" s="4">
        <f t="shared" si="582"/>
        <v>12.145151302773725</v>
      </c>
      <c r="EX209" s="4">
        <f t="shared" si="511"/>
        <v>663.90188584744351</v>
      </c>
      <c r="FG209" s="23">
        <f t="shared" si="649"/>
        <v>2.2000000000000002</v>
      </c>
      <c r="FH209" s="23">
        <f t="shared" si="649"/>
        <v>1</v>
      </c>
      <c r="FI209" s="23">
        <f t="shared" si="585"/>
        <v>2.2000000000000002</v>
      </c>
      <c r="FJ209" s="23">
        <f t="shared" si="650"/>
        <v>1.6</v>
      </c>
      <c r="FK209" s="23">
        <f t="shared" si="650"/>
        <v>1.2</v>
      </c>
      <c r="FL209" s="23">
        <f t="shared" si="650"/>
        <v>1.2</v>
      </c>
      <c r="FM209" s="23">
        <f t="shared" si="587"/>
        <v>0</v>
      </c>
      <c r="FN209" s="23"/>
      <c r="FX209" s="4">
        <f t="shared" si="676"/>
        <v>1.25</v>
      </c>
      <c r="FY209" s="4">
        <f t="shared" si="513"/>
        <v>0.40944449644340308</v>
      </c>
      <c r="FZ209" s="4">
        <f t="shared" si="677"/>
        <v>0.3</v>
      </c>
      <c r="GA209" s="4">
        <f t="shared" si="678"/>
        <v>235.13825077966541</v>
      </c>
    </row>
    <row r="210" spans="1:183" ht="12" customHeight="1" x14ac:dyDescent="0.3">
      <c r="A210" s="25">
        <v>192</v>
      </c>
      <c r="B210" s="24" t="s">
        <v>128</v>
      </c>
      <c r="C210" s="24">
        <v>2017</v>
      </c>
      <c r="D210" s="24" t="s">
        <v>309</v>
      </c>
      <c r="E210" s="24"/>
      <c r="F210" s="4" t="s">
        <v>324</v>
      </c>
      <c r="G210" s="7">
        <v>649</v>
      </c>
      <c r="H210" s="7">
        <f>6*K210</f>
        <v>190.8</v>
      </c>
      <c r="I210" s="7">
        <f t="shared" si="519"/>
        <v>190.8</v>
      </c>
      <c r="J210" s="7">
        <v>129.9</v>
      </c>
      <c r="K210" s="7">
        <v>31.8</v>
      </c>
      <c r="L210" s="7">
        <f t="shared" si="588"/>
        <v>6</v>
      </c>
      <c r="M210" s="7">
        <f t="shared" si="589"/>
        <v>6</v>
      </c>
      <c r="N210" s="7">
        <v>396</v>
      </c>
      <c r="O210" s="7">
        <f t="shared" si="652"/>
        <v>31.8</v>
      </c>
      <c r="P210" s="7">
        <f>256-I210</f>
        <v>65.199999999999989</v>
      </c>
      <c r="Q210" s="7">
        <f t="shared" si="653"/>
        <v>268.79999999999995</v>
      </c>
      <c r="R210" s="7">
        <v>2</v>
      </c>
      <c r="S210" s="7">
        <f t="shared" si="654"/>
        <v>127.2</v>
      </c>
      <c r="T210" s="7">
        <f t="shared" si="521"/>
        <v>1.5</v>
      </c>
      <c r="U210" s="7">
        <f t="shared" si="504"/>
        <v>1.5</v>
      </c>
      <c r="V210" s="7">
        <f t="shared" si="517"/>
        <v>4</v>
      </c>
      <c r="W210" s="7">
        <f t="shared" si="517"/>
        <v>4</v>
      </c>
      <c r="X210" s="7">
        <f t="shared" si="523"/>
        <v>5</v>
      </c>
      <c r="Y210" s="7">
        <f t="shared" si="524"/>
        <v>71.106961684493314</v>
      </c>
      <c r="Z210" s="7">
        <f t="shared" si="506"/>
        <v>649</v>
      </c>
      <c r="AA210" s="7">
        <v>11</v>
      </c>
      <c r="AB210" s="7">
        <f>(723+708)/2</f>
        <v>715.5</v>
      </c>
      <c r="AC210" s="7"/>
      <c r="AD210" s="4">
        <f t="shared" si="526"/>
        <v>1</v>
      </c>
      <c r="AE210" s="7">
        <v>0</v>
      </c>
      <c r="AF210" s="7">
        <v>0</v>
      </c>
      <c r="AG210" s="7">
        <f>I210</f>
        <v>190.8</v>
      </c>
      <c r="AH210" s="7"/>
      <c r="AI210" s="7"/>
      <c r="AJ210" s="7">
        <f t="shared" si="527"/>
        <v>1.9041916167664676</v>
      </c>
      <c r="AK210" s="4">
        <f t="shared" si="655"/>
        <v>190.8</v>
      </c>
      <c r="AL210" s="4">
        <f t="shared" si="595"/>
        <v>0.69182389937106914</v>
      </c>
      <c r="AM210" s="4">
        <f t="shared" si="596"/>
        <v>189.10282381875894</v>
      </c>
      <c r="AN210" s="4">
        <f t="shared" si="597"/>
        <v>0.75</v>
      </c>
      <c r="AO210" s="4">
        <v>1.25</v>
      </c>
      <c r="AP210" s="47">
        <f t="shared" si="657"/>
        <v>5</v>
      </c>
      <c r="AQ210" s="38">
        <f t="shared" si="599"/>
        <v>613.2461857330037</v>
      </c>
      <c r="AR210" s="38">
        <f t="shared" si="600"/>
        <v>613.2461857330037</v>
      </c>
      <c r="AS210" s="38">
        <f t="shared" si="601"/>
        <v>5.7111767066521422</v>
      </c>
      <c r="AT210" s="38">
        <f t="shared" si="461"/>
        <v>613.24618573300347</v>
      </c>
      <c r="AU210" s="38">
        <f t="shared" si="674"/>
        <v>1.0000000000000004</v>
      </c>
      <c r="AV210" s="38">
        <f t="shared" si="462"/>
        <v>1.2709414557033005</v>
      </c>
      <c r="AW210" s="4">
        <f t="shared" si="463"/>
        <v>0</v>
      </c>
      <c r="AX210" s="4">
        <f t="shared" si="528"/>
        <v>359.91688791300993</v>
      </c>
      <c r="AY210" s="4">
        <f t="shared" si="529"/>
        <v>1</v>
      </c>
      <c r="AZ210" s="38">
        <f t="shared" si="465"/>
        <v>779.40000000000009</v>
      </c>
      <c r="BA210" s="4">
        <f t="shared" si="531"/>
        <v>0.44000000000000006</v>
      </c>
      <c r="BB210" s="4">
        <f t="shared" si="532"/>
        <v>82.744892531200989</v>
      </c>
      <c r="BC210" s="4">
        <f t="shared" si="533"/>
        <v>862.14489253120109</v>
      </c>
      <c r="BE210" s="4">
        <f t="shared" si="469"/>
        <v>1</v>
      </c>
      <c r="BF210" s="4">
        <f t="shared" si="470"/>
        <v>547.07366962777508</v>
      </c>
      <c r="BH210" s="4">
        <f t="shared" si="508"/>
        <v>747.53991440910613</v>
      </c>
      <c r="BI210" s="4">
        <f t="shared" si="509"/>
        <v>711.96329095823319</v>
      </c>
      <c r="BJ210" s="4">
        <f t="shared" si="510"/>
        <v>0.95240839617374207</v>
      </c>
      <c r="BK210" s="4">
        <f t="shared" si="602"/>
        <v>31.8</v>
      </c>
      <c r="BL210" s="4">
        <f t="shared" si="603"/>
        <v>31.8</v>
      </c>
      <c r="BM210" s="4">
        <f t="shared" si="604"/>
        <v>127.2</v>
      </c>
      <c r="BN210" s="4">
        <f t="shared" si="605"/>
        <v>47.7</v>
      </c>
      <c r="BO210" s="4">
        <f t="shared" si="606"/>
        <v>1.25</v>
      </c>
      <c r="BP210" s="25">
        <f t="shared" si="607"/>
        <v>1.875</v>
      </c>
      <c r="BR210" s="4">
        <f t="shared" si="539"/>
        <v>31.8</v>
      </c>
      <c r="BV210" s="9"/>
      <c r="BX210" s="9"/>
      <c r="BY210" s="9"/>
      <c r="BZ210" s="9">
        <f t="shared" si="540"/>
        <v>31.8</v>
      </c>
      <c r="CA210" s="9">
        <f t="shared" si="541"/>
        <v>134.39999999999998</v>
      </c>
      <c r="CB210" s="9">
        <f t="shared" si="480"/>
        <v>1.2413544982455165</v>
      </c>
      <c r="CC210" s="9">
        <v>0</v>
      </c>
      <c r="CD210" s="9">
        <f t="shared" si="543"/>
        <v>0</v>
      </c>
      <c r="CE210" s="9">
        <f t="shared" si="544"/>
        <v>0</v>
      </c>
      <c r="CF210" s="9">
        <f t="shared" si="545"/>
        <v>0.93036607665491811</v>
      </c>
      <c r="CG210" s="9">
        <f t="shared" si="546"/>
        <v>0.80099999999999993</v>
      </c>
      <c r="CH210" s="9">
        <f t="shared" si="485"/>
        <v>2.9727542082721463</v>
      </c>
      <c r="CI210" s="9">
        <f t="shared" si="486"/>
        <v>3.6902418086169178</v>
      </c>
      <c r="CJ210" s="9">
        <v>1</v>
      </c>
      <c r="CK210" s="9">
        <f t="shared" si="487"/>
        <v>309.98031192382109</v>
      </c>
      <c r="CM210" s="4">
        <f t="shared" si="550"/>
        <v>1.9879589539375342</v>
      </c>
      <c r="CN210" s="4">
        <f t="shared" si="551"/>
        <v>0.82990690567027392</v>
      </c>
      <c r="CO210" s="4">
        <f t="shared" si="552"/>
        <v>1.307867732853641</v>
      </c>
      <c r="CP210" s="4">
        <f t="shared" si="553"/>
        <v>2.3082111104392879</v>
      </c>
      <c r="CQ210" s="44">
        <f t="shared" si="554"/>
        <v>1</v>
      </c>
      <c r="CR210" s="4">
        <f t="shared" si="555"/>
        <v>1</v>
      </c>
      <c r="CS210" s="4">
        <f t="shared" si="556"/>
        <v>2.4772512849863699</v>
      </c>
      <c r="CU210" s="4">
        <f t="shared" si="670"/>
        <v>1.9879589539375342</v>
      </c>
      <c r="CV210" s="4">
        <f t="shared" si="670"/>
        <v>0.82990690567027392</v>
      </c>
      <c r="CW210" s="4">
        <f t="shared" si="648"/>
        <v>2.3082111104392879</v>
      </c>
      <c r="CX210" s="4">
        <f t="shared" ref="CX210:CX211" si="679">CS210</f>
        <v>2.4772512849863699</v>
      </c>
      <c r="CY210" s="4">
        <f t="shared" si="671"/>
        <v>1</v>
      </c>
      <c r="CZ210" s="4">
        <f t="shared" si="671"/>
        <v>1</v>
      </c>
      <c r="DH210" s="4">
        <f t="shared" si="558"/>
        <v>0</v>
      </c>
      <c r="DI210" s="4">
        <f t="shared" si="559"/>
        <v>190.8</v>
      </c>
      <c r="DL210" s="4">
        <f t="shared" si="560"/>
        <v>1.9960587760943931E-5</v>
      </c>
      <c r="DM210" s="4">
        <f t="shared" si="561"/>
        <v>11.016345201186075</v>
      </c>
      <c r="DN210" s="4">
        <f t="shared" si="562"/>
        <v>0.32654625851132374</v>
      </c>
      <c r="DO210" s="4">
        <f t="shared" si="563"/>
        <v>7.0406932135075824</v>
      </c>
      <c r="DP210" s="4">
        <f t="shared" si="564"/>
        <v>9.245765137822632</v>
      </c>
      <c r="DQ210" s="4">
        <f t="shared" si="565"/>
        <v>10.394409547490856</v>
      </c>
      <c r="DR210" s="38">
        <f t="shared" si="609"/>
        <v>715.5</v>
      </c>
      <c r="DS210" s="4">
        <f t="shared" si="566"/>
        <v>1</v>
      </c>
      <c r="DT210" s="4">
        <f t="shared" si="567"/>
        <v>2.2360679774997898</v>
      </c>
      <c r="DU210" s="4">
        <f t="shared" si="568"/>
        <v>613.24618573300347</v>
      </c>
      <c r="DY210" s="4">
        <f t="shared" si="569"/>
        <v>0.85</v>
      </c>
      <c r="DZ210" s="4">
        <f t="shared" si="570"/>
        <v>1</v>
      </c>
      <c r="EA210" s="4">
        <f t="shared" si="610"/>
        <v>1</v>
      </c>
      <c r="EB210" s="4">
        <f t="shared" si="571"/>
        <v>1</v>
      </c>
      <c r="ED210" s="4">
        <f t="shared" si="611"/>
        <v>715.5</v>
      </c>
      <c r="EE210" s="25">
        <f t="shared" si="656"/>
        <v>599.03474243278185</v>
      </c>
      <c r="EH210" s="4">
        <f t="shared" si="613"/>
        <v>11.016345201186075</v>
      </c>
      <c r="EK210" s="4">
        <f t="shared" si="572"/>
        <v>71.106961684493314</v>
      </c>
      <c r="EL210" s="4">
        <f t="shared" si="573"/>
        <v>2.2360679774997898</v>
      </c>
      <c r="EM210" s="4">
        <f t="shared" si="574"/>
        <v>0.2035094370850247</v>
      </c>
      <c r="EP210" s="4">
        <f t="shared" si="575"/>
        <v>0.2035094370850247</v>
      </c>
      <c r="EQ210" s="4">
        <f t="shared" si="496"/>
        <v>0.3260013136658178</v>
      </c>
      <c r="ER210" s="4">
        <f t="shared" si="577"/>
        <v>7.0359910165564381</v>
      </c>
      <c r="ES210" s="4">
        <f t="shared" si="578"/>
        <v>9.243980381251852</v>
      </c>
      <c r="ET210" s="4">
        <f t="shared" si="579"/>
        <v>71.993038315506709</v>
      </c>
      <c r="EU210" s="4">
        <f t="shared" si="580"/>
        <v>47.699999999999989</v>
      </c>
      <c r="EV210" s="4">
        <f t="shared" si="498"/>
        <v>1.9960587760943925E-5</v>
      </c>
      <c r="EW210" s="4">
        <f t="shared" si="582"/>
        <v>10.394610988846095</v>
      </c>
      <c r="EX210" s="4">
        <f t="shared" si="511"/>
        <v>715.5</v>
      </c>
      <c r="FG210" s="23">
        <f t="shared" si="649"/>
        <v>2</v>
      </c>
      <c r="FH210" s="23">
        <f t="shared" si="649"/>
        <v>1</v>
      </c>
      <c r="FI210" s="23">
        <f t="shared" si="585"/>
        <v>2.2000000000000002</v>
      </c>
      <c r="FJ210" s="23">
        <f t="shared" si="650"/>
        <v>2.2000000000000002</v>
      </c>
      <c r="FK210" s="23">
        <f t="shared" si="650"/>
        <v>1.2</v>
      </c>
      <c r="FL210" s="23">
        <f t="shared" si="650"/>
        <v>1.2</v>
      </c>
      <c r="FM210" s="23">
        <f t="shared" si="587"/>
        <v>0</v>
      </c>
      <c r="FN210" s="23"/>
      <c r="FX210" s="4">
        <f t="shared" si="676"/>
        <v>1.25</v>
      </c>
      <c r="FY210" s="4">
        <f t="shared" si="513"/>
        <v>0.5</v>
      </c>
      <c r="FZ210" s="4">
        <f t="shared" si="677"/>
        <v>0</v>
      </c>
      <c r="GA210" s="4">
        <f t="shared" si="678"/>
        <v>288.82818805518826</v>
      </c>
    </row>
    <row r="211" spans="1:183" ht="12" customHeight="1" x14ac:dyDescent="0.3">
      <c r="A211" s="25">
        <v>193</v>
      </c>
      <c r="B211" s="24" t="s">
        <v>128</v>
      </c>
      <c r="C211" s="24">
        <v>2017</v>
      </c>
      <c r="D211" s="24" t="s">
        <v>309</v>
      </c>
      <c r="E211" s="24"/>
      <c r="F211" s="4" t="s">
        <v>325</v>
      </c>
      <c r="G211" s="7">
        <v>649</v>
      </c>
      <c r="H211" s="7">
        <f t="shared" ref="H211" si="680">6*K211</f>
        <v>190.8</v>
      </c>
      <c r="I211" s="7">
        <f t="shared" si="519"/>
        <v>190.8</v>
      </c>
      <c r="J211" s="7">
        <v>129.9</v>
      </c>
      <c r="K211" s="7">
        <v>31.8</v>
      </c>
      <c r="L211" s="7">
        <f t="shared" si="588"/>
        <v>6</v>
      </c>
      <c r="M211" s="7">
        <f t="shared" si="589"/>
        <v>6</v>
      </c>
      <c r="N211" s="7">
        <v>396</v>
      </c>
      <c r="O211" s="7">
        <f t="shared" si="652"/>
        <v>31.8</v>
      </c>
      <c r="P211" s="7">
        <f t="shared" ref="P211" si="681">256-I211</f>
        <v>65.199999999999989</v>
      </c>
      <c r="Q211" s="7">
        <f t="shared" si="653"/>
        <v>268.79999999999995</v>
      </c>
      <c r="R211" s="7">
        <v>2</v>
      </c>
      <c r="S211" s="7">
        <f t="shared" si="654"/>
        <v>127.2</v>
      </c>
      <c r="T211" s="7">
        <f t="shared" si="521"/>
        <v>1.5</v>
      </c>
      <c r="U211" s="7">
        <f t="shared" si="504"/>
        <v>1.5</v>
      </c>
      <c r="V211" s="7">
        <f t="shared" si="517"/>
        <v>4</v>
      </c>
      <c r="W211" s="7">
        <f t="shared" si="517"/>
        <v>4</v>
      </c>
      <c r="X211" s="7">
        <f t="shared" si="523"/>
        <v>5</v>
      </c>
      <c r="Y211" s="7">
        <f t="shared" si="524"/>
        <v>71.106961684493314</v>
      </c>
      <c r="Z211" s="7">
        <f t="shared" si="506"/>
        <v>649</v>
      </c>
      <c r="AA211" s="7">
        <v>11</v>
      </c>
      <c r="AB211" s="7">
        <f>(736+710)/2</f>
        <v>723</v>
      </c>
      <c r="AC211" s="7"/>
      <c r="AD211" s="4">
        <f t="shared" si="526"/>
        <v>1</v>
      </c>
      <c r="AE211" s="7">
        <v>0</v>
      </c>
      <c r="AF211" s="7">
        <v>0</v>
      </c>
      <c r="AG211" s="7">
        <f t="shared" ref="AG211:AG216" si="682">I211</f>
        <v>190.8</v>
      </c>
      <c r="AH211" s="7"/>
      <c r="AI211" s="7"/>
      <c r="AJ211" s="7">
        <f t="shared" si="527"/>
        <v>1.9041916167664676</v>
      </c>
      <c r="AK211" s="4">
        <f t="shared" si="655"/>
        <v>190.8</v>
      </c>
      <c r="AL211" s="4">
        <f t="shared" si="595"/>
        <v>0.69182389937106914</v>
      </c>
      <c r="AM211" s="4">
        <f t="shared" si="596"/>
        <v>189.10282381875894</v>
      </c>
      <c r="AN211" s="4">
        <f t="shared" si="597"/>
        <v>0.75</v>
      </c>
      <c r="AO211" s="4">
        <v>1.25</v>
      </c>
      <c r="AP211" s="47">
        <f t="shared" si="657"/>
        <v>5</v>
      </c>
      <c r="AQ211" s="38">
        <f t="shared" si="599"/>
        <v>613.2461857330037</v>
      </c>
      <c r="AR211" s="38">
        <f t="shared" si="600"/>
        <v>613.2461857330037</v>
      </c>
      <c r="AS211" s="38">
        <f t="shared" si="601"/>
        <v>5.7111767066521422</v>
      </c>
      <c r="AT211" s="38">
        <f t="shared" si="461"/>
        <v>613.24618573300347</v>
      </c>
      <c r="AU211" s="38">
        <f t="shared" si="674"/>
        <v>1.0000000000000004</v>
      </c>
      <c r="AV211" s="38">
        <f t="shared" si="462"/>
        <v>1.2709414557033005</v>
      </c>
      <c r="AW211" s="4">
        <f t="shared" si="463"/>
        <v>0</v>
      </c>
      <c r="AX211" s="4">
        <f t="shared" si="528"/>
        <v>359.91688791300993</v>
      </c>
      <c r="AY211" s="4">
        <f t="shared" si="529"/>
        <v>1</v>
      </c>
      <c r="AZ211" s="38">
        <f t="shared" si="465"/>
        <v>779.40000000000009</v>
      </c>
      <c r="BA211" s="4">
        <f t="shared" si="531"/>
        <v>0.44000000000000006</v>
      </c>
      <c r="BB211" s="4">
        <f t="shared" si="532"/>
        <v>82.744892531200989</v>
      </c>
      <c r="BC211" s="4">
        <f t="shared" si="533"/>
        <v>862.14489253120109</v>
      </c>
      <c r="BE211" s="4">
        <f t="shared" si="469"/>
        <v>1</v>
      </c>
      <c r="BF211" s="4">
        <f t="shared" si="470"/>
        <v>547.07366962777508</v>
      </c>
      <c r="BH211" s="4">
        <f t="shared" si="508"/>
        <v>747.53991440910613</v>
      </c>
      <c r="BI211" s="4">
        <f t="shared" si="509"/>
        <v>711.96329095823319</v>
      </c>
      <c r="BJ211" s="4">
        <f t="shared" si="510"/>
        <v>0.95240839617374207</v>
      </c>
      <c r="BK211" s="4">
        <f t="shared" si="602"/>
        <v>31.8</v>
      </c>
      <c r="BL211" s="4">
        <f t="shared" si="603"/>
        <v>31.8</v>
      </c>
      <c r="BM211" s="4">
        <f t="shared" si="604"/>
        <v>127.2</v>
      </c>
      <c r="BN211" s="4">
        <f t="shared" si="605"/>
        <v>47.7</v>
      </c>
      <c r="BO211" s="4">
        <f t="shared" si="606"/>
        <v>1.25</v>
      </c>
      <c r="BP211" s="25">
        <f t="shared" si="607"/>
        <v>1.875</v>
      </c>
      <c r="BR211" s="4">
        <f t="shared" si="539"/>
        <v>31.8</v>
      </c>
      <c r="BV211" s="9"/>
      <c r="BX211" s="9"/>
      <c r="BY211" s="9"/>
      <c r="BZ211" s="9">
        <f t="shared" si="540"/>
        <v>31.8</v>
      </c>
      <c r="CA211" s="9">
        <f t="shared" si="541"/>
        <v>134.39999999999998</v>
      </c>
      <c r="CB211" s="9">
        <f t="shared" si="480"/>
        <v>1.2413544982455165</v>
      </c>
      <c r="CC211" s="9">
        <v>0</v>
      </c>
      <c r="CD211" s="9">
        <f t="shared" si="543"/>
        <v>0</v>
      </c>
      <c r="CE211" s="9">
        <f t="shared" si="544"/>
        <v>0</v>
      </c>
      <c r="CF211" s="9">
        <f t="shared" si="545"/>
        <v>0.93036607665491811</v>
      </c>
      <c r="CG211" s="9">
        <f t="shared" si="546"/>
        <v>0.80099999999999993</v>
      </c>
      <c r="CH211" s="9">
        <f t="shared" si="485"/>
        <v>2.9727542082721463</v>
      </c>
      <c r="CI211" s="9">
        <f t="shared" si="486"/>
        <v>3.6902418086169178</v>
      </c>
      <c r="CJ211" s="9">
        <v>1</v>
      </c>
      <c r="CK211" s="9">
        <f t="shared" si="487"/>
        <v>309.98031192382109</v>
      </c>
      <c r="CM211" s="4">
        <f t="shared" si="550"/>
        <v>2.0087970981087873</v>
      </c>
      <c r="CN211" s="4">
        <f t="shared" si="551"/>
        <v>0.83860613948233131</v>
      </c>
      <c r="CO211" s="4">
        <f t="shared" si="552"/>
        <v>1.3215770382294654</v>
      </c>
      <c r="CP211" s="4">
        <f t="shared" si="553"/>
        <v>2.3324061954543751</v>
      </c>
      <c r="CQ211" s="44">
        <f t="shared" si="554"/>
        <v>1</v>
      </c>
      <c r="CR211" s="4">
        <f t="shared" si="555"/>
        <v>1</v>
      </c>
      <c r="CS211" s="4">
        <f t="shared" si="556"/>
        <v>2.5032182795879043</v>
      </c>
      <c r="CU211" s="4">
        <f t="shared" si="670"/>
        <v>2.0087970981087873</v>
      </c>
      <c r="CV211" s="4">
        <f t="shared" si="670"/>
        <v>0.83860613948233131</v>
      </c>
      <c r="CW211" s="4">
        <f t="shared" si="648"/>
        <v>2.3324061954543751</v>
      </c>
      <c r="CX211" s="4">
        <f t="shared" si="679"/>
        <v>2.5032182795879043</v>
      </c>
      <c r="CY211" s="4">
        <f t="shared" si="671"/>
        <v>1</v>
      </c>
      <c r="CZ211" s="4">
        <f t="shared" si="671"/>
        <v>1</v>
      </c>
      <c r="DH211" s="4">
        <f t="shared" si="558"/>
        <v>0</v>
      </c>
      <c r="DI211" s="4">
        <f t="shared" si="559"/>
        <v>190.8</v>
      </c>
      <c r="DL211" s="4">
        <f t="shared" si="560"/>
        <v>1.9960587760943931E-5</v>
      </c>
      <c r="DM211" s="4">
        <f t="shared" si="561"/>
        <v>11.016345201186075</v>
      </c>
      <c r="DN211" s="4">
        <f t="shared" si="562"/>
        <v>0.32654625851132374</v>
      </c>
      <c r="DO211" s="4">
        <f t="shared" si="563"/>
        <v>7.0406932135075824</v>
      </c>
      <c r="DP211" s="4">
        <f t="shared" si="564"/>
        <v>9.245765137822632</v>
      </c>
      <c r="DQ211" s="4">
        <f t="shared" si="565"/>
        <v>10.394409547490856</v>
      </c>
      <c r="DR211" s="38">
        <f t="shared" si="609"/>
        <v>723</v>
      </c>
      <c r="DS211" s="4">
        <f t="shared" si="566"/>
        <v>1</v>
      </c>
      <c r="DT211" s="4">
        <f t="shared" si="567"/>
        <v>2.2360679774997898</v>
      </c>
      <c r="DU211" s="4">
        <f t="shared" si="568"/>
        <v>613.24618573300347</v>
      </c>
      <c r="DY211" s="4">
        <f t="shared" si="569"/>
        <v>0.85</v>
      </c>
      <c r="DZ211" s="4">
        <f t="shared" si="570"/>
        <v>1</v>
      </c>
      <c r="EA211" s="4">
        <f t="shared" si="610"/>
        <v>1</v>
      </c>
      <c r="EB211" s="4">
        <f t="shared" si="571"/>
        <v>1</v>
      </c>
      <c r="ED211" s="4">
        <f t="shared" si="611"/>
        <v>723</v>
      </c>
      <c r="EE211" s="25">
        <f t="shared" si="656"/>
        <v>599.03474243278185</v>
      </c>
      <c r="EH211" s="4">
        <f t="shared" si="613"/>
        <v>11.016345201186075</v>
      </c>
      <c r="EK211" s="4">
        <f t="shared" si="572"/>
        <v>71.106961684493314</v>
      </c>
      <c r="EL211" s="4">
        <f t="shared" si="573"/>
        <v>2.2360679774997898</v>
      </c>
      <c r="EM211" s="4">
        <f t="shared" si="574"/>
        <v>0.2035094370850247</v>
      </c>
      <c r="EP211" s="4">
        <f t="shared" si="575"/>
        <v>0.2035094370850247</v>
      </c>
      <c r="EQ211" s="4">
        <f t="shared" si="496"/>
        <v>0.3260013136658178</v>
      </c>
      <c r="ER211" s="4">
        <f t="shared" si="577"/>
        <v>7.0359910165564381</v>
      </c>
      <c r="ES211" s="4">
        <f t="shared" si="578"/>
        <v>9.243980381251852</v>
      </c>
      <c r="ET211" s="4">
        <f t="shared" si="579"/>
        <v>71.993038315506709</v>
      </c>
      <c r="EU211" s="4">
        <f t="shared" si="580"/>
        <v>47.699999999999989</v>
      </c>
      <c r="EV211" s="4">
        <f t="shared" si="498"/>
        <v>1.9960587760943925E-5</v>
      </c>
      <c r="EW211" s="4">
        <f t="shared" si="582"/>
        <v>10.394610988846095</v>
      </c>
      <c r="EX211" s="4">
        <f t="shared" si="511"/>
        <v>723</v>
      </c>
      <c r="FG211" s="23">
        <f t="shared" si="649"/>
        <v>2.2000000000000002</v>
      </c>
      <c r="FH211" s="23">
        <f t="shared" si="649"/>
        <v>1</v>
      </c>
      <c r="FI211" s="23">
        <f t="shared" si="585"/>
        <v>2.2000000000000002</v>
      </c>
      <c r="FJ211" s="23">
        <f t="shared" si="650"/>
        <v>2.2000000000000002</v>
      </c>
      <c r="FK211" s="23">
        <f t="shared" si="650"/>
        <v>1.2</v>
      </c>
      <c r="FL211" s="23">
        <f t="shared" si="650"/>
        <v>1.2</v>
      </c>
      <c r="FM211" s="23">
        <f t="shared" si="587"/>
        <v>0</v>
      </c>
      <c r="FN211" s="23"/>
      <c r="FX211" s="4">
        <f t="shared" si="676"/>
        <v>1.25</v>
      </c>
      <c r="FY211" s="4">
        <f t="shared" si="513"/>
        <v>0.5</v>
      </c>
      <c r="FZ211" s="4">
        <f t="shared" si="677"/>
        <v>0</v>
      </c>
      <c r="GA211" s="4">
        <f t="shared" si="678"/>
        <v>288.82818805518826</v>
      </c>
    </row>
    <row r="212" spans="1:183" ht="12" customHeight="1" x14ac:dyDescent="0.3">
      <c r="A212" s="25">
        <v>194</v>
      </c>
      <c r="B212" s="24" t="s">
        <v>182</v>
      </c>
      <c r="C212" s="4">
        <v>1996</v>
      </c>
      <c r="D212" s="24" t="s">
        <v>309</v>
      </c>
      <c r="E212" s="24"/>
      <c r="F212" s="4" t="s">
        <v>328</v>
      </c>
      <c r="G212" s="7">
        <v>556</v>
      </c>
      <c r="H212" s="7">
        <f>381-P212-25</f>
        <v>280</v>
      </c>
      <c r="I212" s="7">
        <f t="shared" si="519"/>
        <v>280</v>
      </c>
      <c r="J212" s="7">
        <v>26.7</v>
      </c>
      <c r="K212" s="7">
        <v>35.799999999999997</v>
      </c>
      <c r="L212" s="7">
        <f t="shared" si="588"/>
        <v>7.8212290502793298</v>
      </c>
      <c r="M212" s="7">
        <f t="shared" si="589"/>
        <v>7.8212290502793298</v>
      </c>
      <c r="N212" s="7">
        <v>305</v>
      </c>
      <c r="O212" s="7">
        <v>76</v>
      </c>
      <c r="P212" s="7">
        <v>76</v>
      </c>
      <c r="Q212" s="7">
        <f>N212-2*K212-2*O212</f>
        <v>81.400000000000006</v>
      </c>
      <c r="R212" s="7">
        <v>2</v>
      </c>
      <c r="S212" s="7">
        <f>775-(343+152)</f>
        <v>280</v>
      </c>
      <c r="T212" s="7">
        <f>MIN(O212/K212+0.5, Q212/2/K212+0.5)</f>
        <v>1.6368715083798884</v>
      </c>
      <c r="U212" s="7">
        <f>O212/K212+0.5</f>
        <v>2.6229050279329611</v>
      </c>
      <c r="V212" s="7">
        <f>5500/(K212^2*PI()/4)-1</f>
        <v>4.4639504822285474</v>
      </c>
      <c r="W212" s="7">
        <f>5500/(K212^2*PI()/4)-1</f>
        <v>4.4639504822285474</v>
      </c>
      <c r="X212" s="7">
        <f t="shared" si="523"/>
        <v>5.4639504822285474</v>
      </c>
      <c r="Y212" s="7">
        <f t="shared" si="524"/>
        <v>83.682838718840046</v>
      </c>
      <c r="Z212" s="7">
        <f t="shared" si="506"/>
        <v>556</v>
      </c>
      <c r="AA212" s="7">
        <v>25</v>
      </c>
      <c r="AB212" s="7"/>
      <c r="AC212" s="32" t="s">
        <v>183</v>
      </c>
      <c r="AD212" s="4">
        <f t="shared" si="526"/>
        <v>0</v>
      </c>
      <c r="AE212" s="7">
        <v>0</v>
      </c>
      <c r="AF212" s="7">
        <v>0</v>
      </c>
      <c r="AG212" s="7">
        <f t="shared" si="682"/>
        <v>280</v>
      </c>
      <c r="AH212" s="7"/>
      <c r="AI212" s="7"/>
      <c r="AJ212" s="7">
        <f t="shared" si="527"/>
        <v>7.1672354948805461</v>
      </c>
      <c r="AK212" s="4">
        <f t="shared" si="655"/>
        <v>280</v>
      </c>
      <c r="AL212" s="4">
        <f t="shared" si="595"/>
        <v>0.36309523809523808</v>
      </c>
      <c r="AM212" s="4">
        <f t="shared" si="596"/>
        <v>120.25599814291758</v>
      </c>
      <c r="AN212" s="4">
        <f t="shared" si="597"/>
        <v>0.76707142857142852</v>
      </c>
      <c r="AO212" s="4">
        <v>1.25</v>
      </c>
      <c r="AP212" s="4">
        <f>AP165</f>
        <v>2.5</v>
      </c>
      <c r="AQ212" s="38">
        <f t="shared" si="599"/>
        <v>104.66780799248551</v>
      </c>
      <c r="AR212" s="38">
        <f t="shared" si="600"/>
        <v>104.66780799248551</v>
      </c>
      <c r="AS212" s="38">
        <f t="shared" si="601"/>
        <v>2.6799627788697054</v>
      </c>
      <c r="AT212" s="38">
        <f t="shared" si="461"/>
        <v>104.66780799248556</v>
      </c>
      <c r="AU212" s="38">
        <f t="shared" si="674"/>
        <v>0.99999999999999944</v>
      </c>
      <c r="AV212" s="38">
        <f t="shared" si="462"/>
        <v>2.1895691011964828</v>
      </c>
      <c r="AW212" s="4">
        <f t="shared" si="463"/>
        <v>0</v>
      </c>
      <c r="AX212" s="4">
        <f t="shared" si="528"/>
        <v>212.70467457652856</v>
      </c>
      <c r="AY212" s="4">
        <f t="shared" si="529"/>
        <v>1.2409556313993173</v>
      </c>
      <c r="AZ212" s="38">
        <f t="shared" si="465"/>
        <v>229.17739827031264</v>
      </c>
      <c r="BA212" s="4">
        <f t="shared" si="531"/>
        <v>0.37504693248800336</v>
      </c>
      <c r="BB212" s="4">
        <f t="shared" si="532"/>
        <v>41.682038166723196</v>
      </c>
      <c r="BC212" s="4">
        <f t="shared" si="533"/>
        <v>270.85943643703581</v>
      </c>
      <c r="BE212" s="4">
        <f t="shared" si="469"/>
        <v>1.2807262569832403</v>
      </c>
      <c r="BF212" s="4">
        <f t="shared" si="470"/>
        <v>353.81060880941163</v>
      </c>
      <c r="BH212" s="4">
        <f t="shared" si="508"/>
        <v>219.80915151076618</v>
      </c>
      <c r="BI212" s="4">
        <f t="shared" si="509"/>
        <v>1562.4220485187734</v>
      </c>
      <c r="BJ212" s="4">
        <f t="shared" si="510"/>
        <v>7.1080846169512029</v>
      </c>
      <c r="BK212" s="4">
        <f t="shared" si="602"/>
        <v>47.1</v>
      </c>
      <c r="BL212" s="4">
        <f t="shared" si="603"/>
        <v>47.1</v>
      </c>
      <c r="BM212" s="4">
        <f t="shared" si="604"/>
        <v>280</v>
      </c>
      <c r="BN212" s="4">
        <f t="shared" si="605"/>
        <v>65</v>
      </c>
      <c r="BO212" s="4">
        <f t="shared" si="606"/>
        <v>1.25</v>
      </c>
      <c r="BP212" s="25">
        <f t="shared" si="607"/>
        <v>2.2695530726256985</v>
      </c>
      <c r="BR212" s="4">
        <f t="shared" si="539"/>
        <v>40.700000000000003</v>
      </c>
      <c r="BV212" s="9"/>
      <c r="BX212" s="9"/>
      <c r="BY212" s="9"/>
      <c r="BZ212" s="9">
        <f t="shared" si="540"/>
        <v>40.700000000000003</v>
      </c>
      <c r="CA212" s="9">
        <f t="shared" si="541"/>
        <v>76</v>
      </c>
      <c r="CB212" s="9">
        <f t="shared" si="480"/>
        <v>1.1709505872794554</v>
      </c>
      <c r="CC212" s="9">
        <v>0</v>
      </c>
      <c r="CD212" s="9">
        <f t="shared" si="543"/>
        <v>0</v>
      </c>
      <c r="CE212" s="9">
        <f t="shared" si="544"/>
        <v>0</v>
      </c>
      <c r="CF212" s="9">
        <f t="shared" si="545"/>
        <v>0.89787751228078194</v>
      </c>
      <c r="CG212" s="9">
        <f t="shared" si="546"/>
        <v>0.91600000000000004</v>
      </c>
      <c r="CH212" s="9">
        <f t="shared" si="485"/>
        <v>1.4874289957293467</v>
      </c>
      <c r="CI212" s="9">
        <f t="shared" si="486"/>
        <v>1.7417058560857692</v>
      </c>
      <c r="CJ212" s="9">
        <v>1</v>
      </c>
      <c r="CK212" s="9">
        <f t="shared" si="487"/>
        <v>158.99147311978476</v>
      </c>
      <c r="DH212" s="4">
        <f t="shared" si="558"/>
        <v>0</v>
      </c>
      <c r="DI212" s="4">
        <f t="shared" si="559"/>
        <v>280</v>
      </c>
      <c r="DL212" s="4">
        <f t="shared" si="560"/>
        <v>1.3635706148731076E-5</v>
      </c>
      <c r="DM212" s="4">
        <f t="shared" si="561"/>
        <v>5.0637691717870918</v>
      </c>
      <c r="DN212" s="4">
        <f t="shared" si="562"/>
        <v>0.28594715504203178</v>
      </c>
      <c r="DO212" s="4">
        <f t="shared" si="563"/>
        <v>3.0689386907352811</v>
      </c>
      <c r="DP212" s="4">
        <f t="shared" si="564"/>
        <v>4.187580106722991</v>
      </c>
      <c r="DQ212" s="4">
        <f t="shared" si="565"/>
        <v>4.931420533735495</v>
      </c>
      <c r="DR212" s="38">
        <f t="shared" si="609"/>
        <v>231.03430749807197</v>
      </c>
      <c r="DS212" s="4">
        <f t="shared" si="566"/>
        <v>1.0001274074983466</v>
      </c>
      <c r="DT212" s="4">
        <f t="shared" si="567"/>
        <v>2.3375094614201131</v>
      </c>
      <c r="DU212" s="4">
        <f t="shared" si="568"/>
        <v>104.66780799248556</v>
      </c>
      <c r="DY212" s="4">
        <f t="shared" si="569"/>
        <v>0.85</v>
      </c>
      <c r="DZ212" s="4">
        <f t="shared" si="570"/>
        <v>0.98631284916201112</v>
      </c>
      <c r="EA212" s="4">
        <f t="shared" si="610"/>
        <v>1</v>
      </c>
      <c r="EB212" s="4">
        <f t="shared" si="571"/>
        <v>0.98631284916201112</v>
      </c>
      <c r="ED212" s="4">
        <f t="shared" si="611"/>
        <v>222.0256895508856</v>
      </c>
      <c r="EE212" s="25">
        <f t="shared" si="612"/>
        <v>103.2109939000153</v>
      </c>
      <c r="EG212" s="4">
        <f t="shared" ref="EG212:EG275" si="683">DY212*EB212</f>
        <v>0.83836592178770941</v>
      </c>
      <c r="EH212" s="4">
        <f t="shared" si="613"/>
        <v>5.0637691717870918</v>
      </c>
      <c r="EK212" s="4">
        <f t="shared" si="572"/>
        <v>83.682838718840046</v>
      </c>
      <c r="EL212" s="4">
        <f t="shared" si="573"/>
        <v>2.3375094614201131</v>
      </c>
      <c r="EM212" s="4">
        <f t="shared" si="574"/>
        <v>8.0793547209318639E-2</v>
      </c>
      <c r="EP212" s="4">
        <f t="shared" si="575"/>
        <v>8.0793547209318639E-2</v>
      </c>
      <c r="EQ212" s="4">
        <f t="shared" si="496"/>
        <v>0.28546996253357176</v>
      </c>
      <c r="ER212" s="4">
        <f t="shared" si="577"/>
        <v>3.0668890695236737</v>
      </c>
      <c r="ES212" s="4">
        <f t="shared" si="578"/>
        <v>4.1868323477407055</v>
      </c>
      <c r="ET212" s="4">
        <f t="shared" si="579"/>
        <v>126.31716128115995</v>
      </c>
      <c r="EU212" s="4">
        <f t="shared" si="580"/>
        <v>69.999999999999986</v>
      </c>
      <c r="EV212" s="4">
        <f t="shared" si="498"/>
        <v>1.3635706148731075E-5</v>
      </c>
      <c r="EW212" s="4">
        <f t="shared" si="582"/>
        <v>4.931457086892582</v>
      </c>
      <c r="EX212" s="4">
        <f t="shared" si="511"/>
        <v>231.00487574474744</v>
      </c>
      <c r="FG212" s="23"/>
      <c r="FH212" s="23"/>
      <c r="FI212" s="23"/>
      <c r="FJ212" s="23"/>
      <c r="FK212" s="23"/>
      <c r="FL212" s="23"/>
      <c r="FM212" s="23"/>
      <c r="FN212" s="23"/>
      <c r="FX212" s="4">
        <f t="shared" si="676"/>
        <v>1</v>
      </c>
      <c r="FY212" s="4">
        <f t="shared" si="513"/>
        <v>0.73631284916201123</v>
      </c>
      <c r="FZ212" s="4">
        <f t="shared" si="677"/>
        <v>0</v>
      </c>
      <c r="GA212" s="4">
        <f t="shared" si="678"/>
        <v>202.80494600576549</v>
      </c>
    </row>
    <row r="213" spans="1:183" ht="12" customHeight="1" x14ac:dyDescent="0.3">
      <c r="A213" s="25">
        <v>195</v>
      </c>
      <c r="B213" s="24" t="s">
        <v>182</v>
      </c>
      <c r="C213" s="4">
        <v>1996</v>
      </c>
      <c r="D213" s="24" t="s">
        <v>309</v>
      </c>
      <c r="F213" s="4" t="s">
        <v>329</v>
      </c>
      <c r="G213" s="7">
        <v>556</v>
      </c>
      <c r="H213" s="7">
        <f>381-P213-25</f>
        <v>280</v>
      </c>
      <c r="I213" s="7">
        <f t="shared" si="519"/>
        <v>280</v>
      </c>
      <c r="J213" s="7">
        <v>29.4</v>
      </c>
      <c r="K213" s="7">
        <v>35.799999999999997</v>
      </c>
      <c r="L213" s="7">
        <f t="shared" si="588"/>
        <v>7.8212290502793298</v>
      </c>
      <c r="M213" s="7">
        <f t="shared" si="589"/>
        <v>7.8212290502793298</v>
      </c>
      <c r="N213" s="7">
        <v>305</v>
      </c>
      <c r="O213" s="7">
        <v>76</v>
      </c>
      <c r="P213" s="7">
        <v>76</v>
      </c>
      <c r="Q213" s="7">
        <f>N213-2*K213-2*O213</f>
        <v>81.400000000000006</v>
      </c>
      <c r="R213" s="7">
        <v>2</v>
      </c>
      <c r="S213" s="7">
        <f t="shared" ref="S213:S243" si="684">775-(343+152)</f>
        <v>280</v>
      </c>
      <c r="T213" s="7">
        <f t="shared" ref="T213:T247" si="685">MIN(O213/K213+0.5, Q213/2/K213+0.5)</f>
        <v>1.6368715083798884</v>
      </c>
      <c r="U213" s="7">
        <f t="shared" si="504"/>
        <v>2.6229050279329611</v>
      </c>
      <c r="V213" s="7">
        <f>5500/(K213^2*PI()/4)-1</f>
        <v>4.4639504822285474</v>
      </c>
      <c r="W213" s="7">
        <f t="shared" ref="W213:W240" si="686">5500/(K213^2*PI()/4)-1</f>
        <v>4.4639504822285474</v>
      </c>
      <c r="X213" s="7">
        <f t="shared" si="523"/>
        <v>5.4639504822285474</v>
      </c>
      <c r="Y213" s="7">
        <f t="shared" si="524"/>
        <v>83.682838718840046</v>
      </c>
      <c r="Z213" s="7">
        <f t="shared" si="506"/>
        <v>556</v>
      </c>
      <c r="AA213" s="7">
        <v>25</v>
      </c>
      <c r="AB213" s="7"/>
      <c r="AC213" s="32" t="s">
        <v>183</v>
      </c>
      <c r="AD213" s="4">
        <f t="shared" si="526"/>
        <v>0</v>
      </c>
      <c r="AE213" s="7">
        <v>0</v>
      </c>
      <c r="AF213" s="7">
        <v>0</v>
      </c>
      <c r="AG213" s="7">
        <f t="shared" si="682"/>
        <v>280</v>
      </c>
      <c r="AH213" s="7"/>
      <c r="AI213" s="7"/>
      <c r="AJ213" s="7">
        <f t="shared" si="527"/>
        <v>7.1672354948805461</v>
      </c>
      <c r="AK213" s="4">
        <f t="shared" si="655"/>
        <v>280</v>
      </c>
      <c r="AL213" s="4">
        <f t="shared" si="595"/>
        <v>0.36309523809523808</v>
      </c>
      <c r="AM213" s="4">
        <f t="shared" si="596"/>
        <v>126.18995395992187</v>
      </c>
      <c r="AN213" s="4">
        <f t="shared" si="597"/>
        <v>0.76707142857142852</v>
      </c>
      <c r="AO213" s="4">
        <v>1.25</v>
      </c>
      <c r="AP213" s="4">
        <f>AP212</f>
        <v>2.5</v>
      </c>
      <c r="AQ213" s="38">
        <f t="shared" si="599"/>
        <v>109.83257447134307</v>
      </c>
      <c r="AR213" s="38">
        <f t="shared" si="600"/>
        <v>109.83257447134307</v>
      </c>
      <c r="AS213" s="38">
        <f t="shared" si="601"/>
        <v>2.8577186887004142</v>
      </c>
      <c r="AT213" s="38">
        <f t="shared" si="461"/>
        <v>109.83257447134312</v>
      </c>
      <c r="AU213" s="38">
        <f t="shared" si="674"/>
        <v>0.99999999999999944</v>
      </c>
      <c r="AV213" s="38">
        <f t="shared" si="462"/>
        <v>2.2976119972301303</v>
      </c>
      <c r="AW213" s="4">
        <f t="shared" si="463"/>
        <v>0</v>
      </c>
      <c r="AX213" s="4">
        <f t="shared" si="528"/>
        <v>223.20045158972471</v>
      </c>
      <c r="AY213" s="4">
        <f t="shared" si="529"/>
        <v>1.2409556313993173</v>
      </c>
      <c r="AZ213" s="38">
        <f t="shared" si="465"/>
        <v>252.35264079202972</v>
      </c>
      <c r="BA213" s="4">
        <f t="shared" si="531"/>
        <v>0.37504693248800336</v>
      </c>
      <c r="BB213" s="4">
        <f t="shared" si="532"/>
        <v>43.738811855051594</v>
      </c>
      <c r="BC213" s="4">
        <f t="shared" si="533"/>
        <v>296.09145264708133</v>
      </c>
      <c r="BE213" s="4">
        <f t="shared" si="469"/>
        <v>1.2807262569832403</v>
      </c>
      <c r="BF213" s="4">
        <f t="shared" si="470"/>
        <v>371.26916848780127</v>
      </c>
      <c r="BH213" s="4">
        <f t="shared" si="508"/>
        <v>242.03704323657402</v>
      </c>
      <c r="BI213" s="4">
        <f t="shared" si="509"/>
        <v>1562.4220485187734</v>
      </c>
      <c r="BJ213" s="4">
        <f t="shared" si="510"/>
        <v>6.4553013358026226</v>
      </c>
      <c r="BK213" s="4">
        <f t="shared" si="602"/>
        <v>47.1</v>
      </c>
      <c r="BL213" s="4">
        <f t="shared" si="603"/>
        <v>47.1</v>
      </c>
      <c r="BM213" s="4">
        <f t="shared" si="604"/>
        <v>280</v>
      </c>
      <c r="BN213" s="4">
        <f t="shared" si="605"/>
        <v>65</v>
      </c>
      <c r="BO213" s="4">
        <f t="shared" si="606"/>
        <v>1.25</v>
      </c>
      <c r="BP213" s="25">
        <f t="shared" si="607"/>
        <v>2.2695530726256985</v>
      </c>
      <c r="BR213" s="4">
        <f t="shared" si="539"/>
        <v>40.700000000000003</v>
      </c>
      <c r="BV213" s="9"/>
      <c r="BX213" s="9"/>
      <c r="BY213" s="9"/>
      <c r="BZ213" s="9">
        <f t="shared" si="540"/>
        <v>40.700000000000003</v>
      </c>
      <c r="CA213" s="9">
        <f t="shared" si="541"/>
        <v>76</v>
      </c>
      <c r="CB213" s="9">
        <f t="shared" si="480"/>
        <v>1.1709505872794554</v>
      </c>
      <c r="CC213" s="9">
        <v>0</v>
      </c>
      <c r="CD213" s="9">
        <f t="shared" si="543"/>
        <v>0</v>
      </c>
      <c r="CE213" s="9">
        <f t="shared" si="544"/>
        <v>0</v>
      </c>
      <c r="CF213" s="9">
        <f t="shared" si="545"/>
        <v>0.89787751228078194</v>
      </c>
      <c r="CG213" s="9">
        <f t="shared" si="546"/>
        <v>0.91600000000000004</v>
      </c>
      <c r="CH213" s="9">
        <f t="shared" si="485"/>
        <v>1.560825234402609</v>
      </c>
      <c r="CI213" s="9">
        <f t="shared" si="486"/>
        <v>1.8276492248643288</v>
      </c>
      <c r="CJ213" s="9">
        <v>1</v>
      </c>
      <c r="CK213" s="9">
        <f t="shared" si="487"/>
        <v>166.83680633677727</v>
      </c>
      <c r="DH213" s="4">
        <f t="shared" si="558"/>
        <v>0</v>
      </c>
      <c r="DI213" s="4">
        <f t="shared" si="559"/>
        <v>280</v>
      </c>
      <c r="DL213" s="4">
        <f t="shared" si="560"/>
        <v>1.3906579803299705E-5</v>
      </c>
      <c r="DM213" s="4">
        <f t="shared" si="561"/>
        <v>5.3136376440206563</v>
      </c>
      <c r="DN213" s="4">
        <f t="shared" si="562"/>
        <v>0.27250077733310263</v>
      </c>
      <c r="DO213" s="4">
        <f t="shared" si="563"/>
        <v>3.1589229508698327</v>
      </c>
      <c r="DP213" s="4">
        <f t="shared" si="564"/>
        <v>4.3719523242236811</v>
      </c>
      <c r="DQ213" s="4">
        <f t="shared" si="565"/>
        <v>5.1662301389039698</v>
      </c>
      <c r="DR213" s="38">
        <f t="shared" si="609"/>
        <v>241.47909473935039</v>
      </c>
      <c r="DS213" s="4">
        <f t="shared" si="566"/>
        <v>1.0001247348077087</v>
      </c>
      <c r="DT213" s="4">
        <f t="shared" si="567"/>
        <v>2.3375094614201131</v>
      </c>
      <c r="DU213" s="4">
        <f t="shared" si="568"/>
        <v>109.83257447134312</v>
      </c>
      <c r="DY213" s="4">
        <f t="shared" si="569"/>
        <v>0.85</v>
      </c>
      <c r="DZ213" s="4">
        <f t="shared" si="570"/>
        <v>0.98631284916201112</v>
      </c>
      <c r="EA213" s="4">
        <f t="shared" si="610"/>
        <v>1</v>
      </c>
      <c r="EB213" s="4">
        <f t="shared" si="571"/>
        <v>0.98631284916201112</v>
      </c>
      <c r="ED213" s="4">
        <f t="shared" si="611"/>
        <v>232.98140612536457</v>
      </c>
      <c r="EE213" s="25">
        <f t="shared" si="612"/>
        <v>108.30387481314804</v>
      </c>
      <c r="EG213" s="4">
        <f t="shared" si="683"/>
        <v>0.83836592178770941</v>
      </c>
      <c r="EH213" s="4">
        <f t="shared" si="613"/>
        <v>5.3136376440206563</v>
      </c>
      <c r="EK213" s="4">
        <f t="shared" si="572"/>
        <v>83.682838718840046</v>
      </c>
      <c r="EL213" s="4">
        <f t="shared" si="573"/>
        <v>2.3375094614201131</v>
      </c>
      <c r="EM213" s="4">
        <f t="shared" si="574"/>
        <v>8.0793547209318639E-2</v>
      </c>
      <c r="EP213" s="4">
        <f t="shared" si="575"/>
        <v>8.0793547209318639E-2</v>
      </c>
      <c r="EQ213" s="4">
        <f t="shared" si="496"/>
        <v>0.27204602432297464</v>
      </c>
      <c r="ER213" s="4">
        <f t="shared" si="577"/>
        <v>3.1568132327755998</v>
      </c>
      <c r="ES213" s="4">
        <f t="shared" si="578"/>
        <v>4.3711938856443737</v>
      </c>
      <c r="ET213" s="4">
        <f t="shared" si="579"/>
        <v>126.31716128115995</v>
      </c>
      <c r="EU213" s="4">
        <f t="shared" si="580"/>
        <v>69.999999999999986</v>
      </c>
      <c r="EV213" s="4">
        <f t="shared" si="498"/>
        <v>1.3906579803299705E-5</v>
      </c>
      <c r="EW213" s="4">
        <f t="shared" si="582"/>
        <v>5.1662701822721298</v>
      </c>
      <c r="EX213" s="4">
        <f t="shared" si="511"/>
        <v>241.44897764755208</v>
      </c>
      <c r="FG213" s="23"/>
      <c r="FH213" s="23"/>
      <c r="FI213" s="23"/>
      <c r="FJ213" s="23"/>
      <c r="FK213" s="23"/>
      <c r="FL213" s="23"/>
      <c r="FM213" s="23"/>
      <c r="FN213" s="23"/>
      <c r="FX213" s="4">
        <f t="shared" si="676"/>
        <v>1</v>
      </c>
      <c r="FY213" s="4">
        <f t="shared" si="513"/>
        <v>0.73631284916201123</v>
      </c>
      <c r="FZ213" s="4">
        <f t="shared" si="677"/>
        <v>0</v>
      </c>
      <c r="GA213" s="4">
        <f t="shared" si="678"/>
        <v>207.74833873527734</v>
      </c>
    </row>
    <row r="214" spans="1:183" ht="12" customHeight="1" x14ac:dyDescent="0.3">
      <c r="A214" s="25">
        <v>196</v>
      </c>
      <c r="B214" s="24" t="s">
        <v>182</v>
      </c>
      <c r="C214" s="4">
        <v>1996</v>
      </c>
      <c r="D214" s="24" t="s">
        <v>309</v>
      </c>
      <c r="E214" s="24"/>
      <c r="F214" s="4" t="s">
        <v>330</v>
      </c>
      <c r="G214" s="7">
        <v>556</v>
      </c>
      <c r="H214" s="7">
        <f>381-P214-20</f>
        <v>285</v>
      </c>
      <c r="I214" s="7">
        <f t="shared" si="519"/>
        <v>285</v>
      </c>
      <c r="J214" s="7">
        <v>29.4</v>
      </c>
      <c r="K214" s="7">
        <v>35.799999999999997</v>
      </c>
      <c r="L214" s="7">
        <f t="shared" si="588"/>
        <v>7.9608938547486039</v>
      </c>
      <c r="M214" s="7">
        <f t="shared" si="589"/>
        <v>7.9608938547486039</v>
      </c>
      <c r="N214" s="7">
        <v>305</v>
      </c>
      <c r="O214" s="7">
        <v>76</v>
      </c>
      <c r="P214" s="7">
        <v>76</v>
      </c>
      <c r="Q214" s="7">
        <f t="shared" ref="Q214:Q243" si="687">N214-2*K214-2*O214</f>
        <v>81.400000000000006</v>
      </c>
      <c r="R214" s="7">
        <v>2</v>
      </c>
      <c r="S214" s="7">
        <f t="shared" si="684"/>
        <v>280</v>
      </c>
      <c r="T214" s="7">
        <f t="shared" si="685"/>
        <v>1.6368715083798884</v>
      </c>
      <c r="U214" s="7">
        <f t="shared" si="504"/>
        <v>2.6229050279329611</v>
      </c>
      <c r="V214" s="7">
        <f>8100/(K214^2*PI()/4)-1</f>
        <v>7.0469088920093164</v>
      </c>
      <c r="W214" s="7">
        <f>8100/(K214^2*PI()/4)-1</f>
        <v>7.0469088920093164</v>
      </c>
      <c r="X214" s="7">
        <f t="shared" si="523"/>
        <v>8.0469088920093164</v>
      </c>
      <c r="Y214" s="7">
        <f t="shared" si="524"/>
        <v>101.55412503859614</v>
      </c>
      <c r="Z214" s="7">
        <f t="shared" si="506"/>
        <v>556</v>
      </c>
      <c r="AA214" s="7">
        <v>20</v>
      </c>
      <c r="AB214" s="7"/>
      <c r="AC214" s="32" t="s">
        <v>183</v>
      </c>
      <c r="AD214" s="4">
        <f t="shared" si="526"/>
        <v>0</v>
      </c>
      <c r="AE214" s="7">
        <v>0</v>
      </c>
      <c r="AF214" s="7">
        <v>0</v>
      </c>
      <c r="AG214" s="7">
        <f t="shared" si="682"/>
        <v>285</v>
      </c>
      <c r="AH214" s="7"/>
      <c r="AI214" s="7"/>
      <c r="AJ214" s="7">
        <f t="shared" si="527"/>
        <v>7.2952218430034126</v>
      </c>
      <c r="AK214" s="4">
        <f t="shared" si="655"/>
        <v>285</v>
      </c>
      <c r="AL214" s="4">
        <f t="shared" si="595"/>
        <v>0.35672514619883039</v>
      </c>
      <c r="AM214" s="4">
        <f t="shared" si="596"/>
        <v>129.58508707954471</v>
      </c>
      <c r="AN214" s="4">
        <f t="shared" si="597"/>
        <v>0.76589473684210518</v>
      </c>
      <c r="AO214" s="4">
        <v>1.25</v>
      </c>
      <c r="AP214" s="4">
        <f t="shared" ref="AP214:AP277" si="688">AP213</f>
        <v>2.5</v>
      </c>
      <c r="AQ214" s="38">
        <f t="shared" si="599"/>
        <v>110.63890179485381</v>
      </c>
      <c r="AR214" s="38">
        <f t="shared" si="600"/>
        <v>110.63890179485381</v>
      </c>
      <c r="AS214" s="38">
        <f t="shared" si="601"/>
        <v>2.8577186887004142</v>
      </c>
      <c r="AT214" s="38">
        <f t="shared" si="461"/>
        <v>110.63890179485385</v>
      </c>
      <c r="AU214" s="38">
        <f t="shared" si="674"/>
        <v>0.99999999999999967</v>
      </c>
      <c r="AV214" s="38">
        <f t="shared" si="462"/>
        <v>2.8657588460091983</v>
      </c>
      <c r="AW214" s="4">
        <f t="shared" si="463"/>
        <v>0</v>
      </c>
      <c r="AX214" s="4">
        <f t="shared" si="528"/>
        <v>227.18617393954122</v>
      </c>
      <c r="AY214" s="4">
        <f t="shared" si="529"/>
        <v>1.2409556313993173</v>
      </c>
      <c r="AZ214" s="38">
        <f t="shared" si="465"/>
        <v>317.0644115313454</v>
      </c>
      <c r="BA214" s="4">
        <f t="shared" si="531"/>
        <v>0.3</v>
      </c>
      <c r="BB214" s="4">
        <f t="shared" si="532"/>
        <v>35.611432765023082</v>
      </c>
      <c r="BC214" s="4">
        <f t="shared" si="533"/>
        <v>352.6758442963685</v>
      </c>
      <c r="BE214" s="4">
        <f t="shared" ref="BE214:BE277" si="689">MIN(1.5, 0.75+0.25*MIN(3,MAX(1,O214/K214))+0.4*MIN(1,(40*2*PI()*AE214^2/4/AG214/R214)/K214))</f>
        <v>1.2807262569832403</v>
      </c>
      <c r="BF214" s="4">
        <f t="shared" ref="BF214:BF278" si="690">(3*M214+30)*BE214*J214^0.5</f>
        <v>374.17880146968059</v>
      </c>
      <c r="BH214" s="4">
        <f t="shared" si="508"/>
        <v>304.10354510946308</v>
      </c>
      <c r="BI214" s="4">
        <f t="shared" si="509"/>
        <v>490.43773856597932</v>
      </c>
      <c r="BJ214" s="4">
        <f t="shared" si="510"/>
        <v>1.6127327236170319</v>
      </c>
      <c r="BK214" s="4">
        <f t="shared" si="602"/>
        <v>47.1</v>
      </c>
      <c r="BL214" s="4">
        <f t="shared" si="603"/>
        <v>47.1</v>
      </c>
      <c r="BM214" s="4">
        <f t="shared" si="604"/>
        <v>280</v>
      </c>
      <c r="BN214" s="4">
        <f t="shared" si="605"/>
        <v>65</v>
      </c>
      <c r="BO214" s="4">
        <f t="shared" si="606"/>
        <v>1.25</v>
      </c>
      <c r="BP214" s="25">
        <f t="shared" si="607"/>
        <v>2.2695530726256985</v>
      </c>
      <c r="BR214" s="4">
        <f t="shared" si="539"/>
        <v>40.700000000000003</v>
      </c>
      <c r="BV214" s="9"/>
      <c r="BX214" s="9"/>
      <c r="BY214" s="9"/>
      <c r="BZ214" s="9">
        <f t="shared" si="540"/>
        <v>40.700000000000003</v>
      </c>
      <c r="CA214" s="9">
        <f t="shared" si="541"/>
        <v>76</v>
      </c>
      <c r="CB214" s="9">
        <f t="shared" si="480"/>
        <v>1.1709505872794554</v>
      </c>
      <c r="CC214" s="9">
        <v>0</v>
      </c>
      <c r="CD214" s="9">
        <f t="shared" si="543"/>
        <v>0</v>
      </c>
      <c r="CE214" s="9">
        <f t="shared" si="544"/>
        <v>0</v>
      </c>
      <c r="CF214" s="9">
        <f t="shared" si="545"/>
        <v>0.89787751228078194</v>
      </c>
      <c r="CG214" s="9">
        <f t="shared" si="546"/>
        <v>0.91600000000000004</v>
      </c>
      <c r="CH214" s="9">
        <f t="shared" si="485"/>
        <v>1.560825234402609</v>
      </c>
      <c r="CI214" s="9">
        <f t="shared" si="486"/>
        <v>1.8276492248643288</v>
      </c>
      <c r="CJ214" s="9">
        <v>1</v>
      </c>
      <c r="CK214" s="9">
        <f t="shared" si="487"/>
        <v>167.85783942329368</v>
      </c>
      <c r="DH214" s="4">
        <f t="shared" si="558"/>
        <v>0</v>
      </c>
      <c r="DI214" s="4">
        <f t="shared" si="559"/>
        <v>285</v>
      </c>
      <c r="DL214" s="4">
        <f t="shared" si="560"/>
        <v>1.4154911585501488E-5</v>
      </c>
      <c r="DM214" s="4">
        <f t="shared" si="561"/>
        <v>5.3136376440206563</v>
      </c>
      <c r="DN214" s="4">
        <f t="shared" si="562"/>
        <v>0.21102130995889065</v>
      </c>
      <c r="DO214" s="4">
        <f t="shared" si="563"/>
        <v>2.8518223011626525</v>
      </c>
      <c r="DP214" s="4">
        <f t="shared" si="564"/>
        <v>4.2657700805707144</v>
      </c>
      <c r="DQ214" s="4">
        <f t="shared" si="565"/>
        <v>5.1703683026065779</v>
      </c>
      <c r="DR214" s="38">
        <f t="shared" si="609"/>
        <v>237.63385896744128</v>
      </c>
      <c r="DS214" s="4">
        <f t="shared" si="566"/>
        <v>1.0001229347243812</v>
      </c>
      <c r="DT214" s="4">
        <f t="shared" si="567"/>
        <v>2.8367074033127415</v>
      </c>
      <c r="DU214" s="4">
        <f t="shared" si="568"/>
        <v>110.63890179485385</v>
      </c>
      <c r="DY214" s="4">
        <f t="shared" si="569"/>
        <v>0.85</v>
      </c>
      <c r="DZ214" s="4">
        <f t="shared" si="570"/>
        <v>0.98631284916201112</v>
      </c>
      <c r="EA214" s="4">
        <f t="shared" si="610"/>
        <v>1</v>
      </c>
      <c r="EB214" s="4">
        <f t="shared" si="571"/>
        <v>0.98631284916201112</v>
      </c>
      <c r="ED214" s="4">
        <f t="shared" si="611"/>
        <v>236.03254778315886</v>
      </c>
      <c r="EE214" s="25">
        <f t="shared" si="612"/>
        <v>109.12863198322417</v>
      </c>
      <c r="EG214" s="4">
        <f t="shared" si="683"/>
        <v>0.83836592178770941</v>
      </c>
      <c r="EH214" s="4">
        <f t="shared" si="613"/>
        <v>5.3136376440206563</v>
      </c>
      <c r="EK214" s="4">
        <f t="shared" si="572"/>
        <v>101.55412503859614</v>
      </c>
      <c r="EL214" s="4">
        <f t="shared" si="573"/>
        <v>2.8367074033127415</v>
      </c>
      <c r="EM214" s="4">
        <f t="shared" si="574"/>
        <v>6.2565546914000694E-2</v>
      </c>
      <c r="EP214" s="4">
        <f t="shared" si="575"/>
        <v>6.2565546914000694E-2</v>
      </c>
      <c r="EQ214" s="4">
        <f t="shared" si="496"/>
        <v>0.21066915472159506</v>
      </c>
      <c r="ER214" s="4">
        <f t="shared" si="577"/>
        <v>2.8499176832900814</v>
      </c>
      <c r="ES214" s="4">
        <f t="shared" si="578"/>
        <v>4.2651388314267988</v>
      </c>
      <c r="ET214" s="4">
        <f t="shared" si="579"/>
        <v>112.19587496140386</v>
      </c>
      <c r="EU214" s="4">
        <f t="shared" si="580"/>
        <v>71.25</v>
      </c>
      <c r="EV214" s="4">
        <f t="shared" si="498"/>
        <v>1.4154911585501488E-5</v>
      </c>
      <c r="EW214" s="4">
        <f t="shared" si="582"/>
        <v>5.170407840659351</v>
      </c>
      <c r="EX214" s="4">
        <f t="shared" si="511"/>
        <v>237.60464910539184</v>
      </c>
      <c r="FG214" s="23"/>
      <c r="FH214" s="23"/>
      <c r="FI214" s="23"/>
      <c r="FJ214" s="23"/>
      <c r="FK214" s="23"/>
      <c r="FL214" s="23"/>
      <c r="FM214" s="23"/>
      <c r="FN214" s="23"/>
      <c r="FX214" s="4">
        <f t="shared" si="676"/>
        <v>1</v>
      </c>
      <c r="FY214" s="4">
        <f t="shared" si="513"/>
        <v>0.73631284916201123</v>
      </c>
      <c r="FZ214" s="4">
        <f t="shared" si="677"/>
        <v>0</v>
      </c>
      <c r="GA214" s="4">
        <f t="shared" si="678"/>
        <v>211.45813049840731</v>
      </c>
    </row>
    <row r="215" spans="1:183" ht="12" customHeight="1" x14ac:dyDescent="0.3">
      <c r="A215" s="25">
        <v>197</v>
      </c>
      <c r="B215" s="24" t="s">
        <v>182</v>
      </c>
      <c r="C215" s="4">
        <v>1996</v>
      </c>
      <c r="D215" s="24" t="s">
        <v>309</v>
      </c>
      <c r="E215" s="24"/>
      <c r="F215" s="4" t="s">
        <v>331</v>
      </c>
      <c r="G215" s="7">
        <v>578</v>
      </c>
      <c r="H215" s="7">
        <f>305-P215-18</f>
        <v>211</v>
      </c>
      <c r="I215" s="7">
        <f t="shared" si="519"/>
        <v>211</v>
      </c>
      <c r="J215" s="7">
        <v>26.7</v>
      </c>
      <c r="K215" s="7">
        <v>25.4</v>
      </c>
      <c r="L215" s="7">
        <f t="shared" si="588"/>
        <v>8.3070866141732296</v>
      </c>
      <c r="M215" s="7">
        <f t="shared" si="589"/>
        <v>8.3070866141732296</v>
      </c>
      <c r="N215" s="7">
        <v>305</v>
      </c>
      <c r="O215" s="7">
        <v>76</v>
      </c>
      <c r="P215" s="7">
        <v>76</v>
      </c>
      <c r="Q215" s="7">
        <f t="shared" si="687"/>
        <v>102.19999999999999</v>
      </c>
      <c r="R215" s="7">
        <v>2</v>
      </c>
      <c r="S215" s="7">
        <f t="shared" si="684"/>
        <v>280</v>
      </c>
      <c r="T215" s="7">
        <f t="shared" si="685"/>
        <v>2.5118110236220472</v>
      </c>
      <c r="U215" s="7">
        <f t="shared" si="504"/>
        <v>3.4921259842519685</v>
      </c>
      <c r="V215" s="7">
        <f>3200/(K215^2*PI()/4)-1</f>
        <v>5.3152807724479523</v>
      </c>
      <c r="W215" s="7">
        <f>3200/(K215^2*PI()/4)-1</f>
        <v>5.3152807724479523</v>
      </c>
      <c r="X215" s="7">
        <f t="shared" si="523"/>
        <v>6.3152807724479523</v>
      </c>
      <c r="Y215" s="7">
        <f t="shared" si="524"/>
        <v>63.830764864229231</v>
      </c>
      <c r="Z215" s="7">
        <f t="shared" si="506"/>
        <v>578</v>
      </c>
      <c r="AA215" s="7">
        <v>18</v>
      </c>
      <c r="AB215" s="7"/>
      <c r="AC215" s="32" t="s">
        <v>183</v>
      </c>
      <c r="AD215" s="4">
        <f t="shared" si="526"/>
        <v>0</v>
      </c>
      <c r="AE215" s="7">
        <v>0</v>
      </c>
      <c r="AF215" s="7">
        <v>0</v>
      </c>
      <c r="AG215" s="7">
        <f t="shared" si="682"/>
        <v>211</v>
      </c>
      <c r="AH215" s="7"/>
      <c r="AI215" s="7"/>
      <c r="AJ215" s="7">
        <f t="shared" si="527"/>
        <v>4.9608150470219439</v>
      </c>
      <c r="AK215" s="4">
        <f t="shared" si="655"/>
        <v>211</v>
      </c>
      <c r="AL215" s="4">
        <f t="shared" si="595"/>
        <v>0.48183254344391785</v>
      </c>
      <c r="AM215" s="4">
        <f t="shared" si="596"/>
        <v>156.27589807670793</v>
      </c>
      <c r="AN215" s="4">
        <f t="shared" si="597"/>
        <v>0.7840758293838862</v>
      </c>
      <c r="AO215" s="4">
        <v>1.25</v>
      </c>
      <c r="AP215" s="4">
        <f t="shared" si="688"/>
        <v>2.5</v>
      </c>
      <c r="AQ215" s="38">
        <f t="shared" si="599"/>
        <v>184.49993627146509</v>
      </c>
      <c r="AR215" s="38">
        <f t="shared" si="600"/>
        <v>184.49993627146509</v>
      </c>
      <c r="AS215" s="38">
        <f t="shared" si="601"/>
        <v>2.6799627788697054</v>
      </c>
      <c r="AT215" s="38">
        <f t="shared" si="461"/>
        <v>184.49993627146509</v>
      </c>
      <c r="AU215" s="38">
        <f t="shared" si="674"/>
        <v>1</v>
      </c>
      <c r="AV215" s="38">
        <f t="shared" si="462"/>
        <v>1.937739236514296</v>
      </c>
      <c r="AW215" s="4">
        <f t="shared" si="463"/>
        <v>0</v>
      </c>
      <c r="AX215" s="4">
        <f t="shared" si="528"/>
        <v>225.91796552533489</v>
      </c>
      <c r="AY215" s="4">
        <f t="shared" si="529"/>
        <v>1.1561128526645768</v>
      </c>
      <c r="AZ215" s="38">
        <f t="shared" si="465"/>
        <v>357.51276564760502</v>
      </c>
      <c r="BA215" s="4">
        <f t="shared" si="531"/>
        <v>0.3</v>
      </c>
      <c r="BB215" s="4">
        <f t="shared" si="532"/>
        <v>35.412641096096245</v>
      </c>
      <c r="BC215" s="4">
        <f t="shared" si="533"/>
        <v>392.92540674370127</v>
      </c>
      <c r="BE215" s="4">
        <f t="shared" si="689"/>
        <v>1.4980314960629921</v>
      </c>
      <c r="BF215" s="4">
        <f t="shared" si="690"/>
        <v>425.12541232465287</v>
      </c>
      <c r="BH215" s="4">
        <f t="shared" si="508"/>
        <v>342.89846321833909</v>
      </c>
      <c r="BI215" s="4">
        <f t="shared" si="509"/>
        <v>2245.2309649218914</v>
      </c>
      <c r="BJ215" s="4">
        <f t="shared" si="510"/>
        <v>6.5478011882842724</v>
      </c>
      <c r="BK215" s="4">
        <f t="shared" si="602"/>
        <v>57.499999999999993</v>
      </c>
      <c r="BL215" s="4">
        <f t="shared" si="603"/>
        <v>57.499999999999993</v>
      </c>
      <c r="BM215" s="4">
        <f t="shared" si="604"/>
        <v>280</v>
      </c>
      <c r="BN215" s="4">
        <f t="shared" si="605"/>
        <v>70.199999999999989</v>
      </c>
      <c r="BO215" s="4">
        <f t="shared" si="606"/>
        <v>1.25</v>
      </c>
      <c r="BP215" s="25">
        <f t="shared" si="607"/>
        <v>3.4547244094488185</v>
      </c>
      <c r="BR215" s="4">
        <f t="shared" si="539"/>
        <v>51.099999999999994</v>
      </c>
      <c r="BV215" s="9"/>
      <c r="BX215" s="9"/>
      <c r="BY215" s="9"/>
      <c r="BZ215" s="9">
        <f t="shared" si="540"/>
        <v>51.099999999999994</v>
      </c>
      <c r="CA215" s="9">
        <f t="shared" si="541"/>
        <v>76</v>
      </c>
      <c r="CB215" s="9">
        <f t="shared" si="480"/>
        <v>1.5054020239149992</v>
      </c>
      <c r="CC215" s="9">
        <v>0</v>
      </c>
      <c r="CD215" s="9">
        <f t="shared" si="543"/>
        <v>0</v>
      </c>
      <c r="CE215" s="9">
        <f t="shared" si="544"/>
        <v>0</v>
      </c>
      <c r="CF215" s="9">
        <f t="shared" si="545"/>
        <v>0.99524931562137331</v>
      </c>
      <c r="CG215" s="9">
        <f t="shared" si="546"/>
        <v>0.88300000000000001</v>
      </c>
      <c r="CH215" s="9">
        <f t="shared" si="485"/>
        <v>1.5893379964194141</v>
      </c>
      <c r="CI215" s="9">
        <f t="shared" si="486"/>
        <v>2.3925926364947956</v>
      </c>
      <c r="CJ215" s="9">
        <v>1</v>
      </c>
      <c r="CK215" s="9">
        <f t="shared" si="487"/>
        <v>223.05745524486912</v>
      </c>
      <c r="DH215" s="4">
        <f t="shared" si="558"/>
        <v>0</v>
      </c>
      <c r="DI215" s="4">
        <f t="shared" si="559"/>
        <v>211</v>
      </c>
      <c r="DL215" s="4">
        <f t="shared" si="560"/>
        <v>1.4482761122930935E-5</v>
      </c>
      <c r="DM215" s="4">
        <f t="shared" si="561"/>
        <v>6.1741032375934068</v>
      </c>
      <c r="DN215" s="4">
        <f t="shared" si="562"/>
        <v>0.32289080206314286</v>
      </c>
      <c r="DO215" s="4">
        <f t="shared" si="563"/>
        <v>3.9282232030926831</v>
      </c>
      <c r="DP215" s="4">
        <f t="shared" si="564"/>
        <v>5.1750632497803224</v>
      </c>
      <c r="DQ215" s="4">
        <f t="shared" si="565"/>
        <v>6.0135131520244283</v>
      </c>
      <c r="DR215" s="38">
        <f t="shared" si="609"/>
        <v>350.89045976809524</v>
      </c>
      <c r="DS215" s="4">
        <f t="shared" si="566"/>
        <v>1.0001161267300582</v>
      </c>
      <c r="DT215" s="4">
        <f t="shared" si="567"/>
        <v>2.5130222387491825</v>
      </c>
      <c r="DU215" s="4">
        <f t="shared" si="568"/>
        <v>184.49993627146509</v>
      </c>
      <c r="DY215" s="4">
        <f t="shared" si="569"/>
        <v>0.85</v>
      </c>
      <c r="DZ215" s="4">
        <f t="shared" si="570"/>
        <v>0.89881889763779532</v>
      </c>
      <c r="EA215" s="4">
        <f t="shared" si="610"/>
        <v>1</v>
      </c>
      <c r="EB215" s="4">
        <f t="shared" si="571"/>
        <v>0.89881889763779532</v>
      </c>
      <c r="ED215" s="4">
        <f t="shared" si="611"/>
        <v>336.04175011156474</v>
      </c>
      <c r="EE215" s="25">
        <f t="shared" si="612"/>
        <v>182.17531903295736</v>
      </c>
      <c r="EG215" s="4">
        <f t="shared" si="683"/>
        <v>0.76399606299212597</v>
      </c>
      <c r="EH215" s="4">
        <f t="shared" si="613"/>
        <v>6.1741032375934068</v>
      </c>
      <c r="EK215" s="4">
        <f t="shared" si="572"/>
        <v>63.830764864229231</v>
      </c>
      <c r="EL215" s="4">
        <f t="shared" si="573"/>
        <v>2.5130222387491825</v>
      </c>
      <c r="EM215" s="4">
        <f t="shared" si="574"/>
        <v>9.1231868546160749E-2</v>
      </c>
      <c r="EP215" s="4">
        <f t="shared" si="575"/>
        <v>9.1231868546160749E-2</v>
      </c>
      <c r="EQ215" s="4">
        <f t="shared" si="496"/>
        <v>0.32235195749316436</v>
      </c>
      <c r="ER215" s="4">
        <f t="shared" si="577"/>
        <v>3.9255997001777194</v>
      </c>
      <c r="ES215" s="4">
        <f t="shared" si="578"/>
        <v>5.1740707586068853</v>
      </c>
      <c r="ET215" s="4">
        <f t="shared" si="579"/>
        <v>94.419235135770776</v>
      </c>
      <c r="EU215" s="4">
        <f t="shared" si="580"/>
        <v>52.75</v>
      </c>
      <c r="EV215" s="4">
        <f t="shared" si="498"/>
        <v>1.4482761122930935E-5</v>
      </c>
      <c r="EW215" s="4">
        <f t="shared" si="582"/>
        <v>6.0135596394644217</v>
      </c>
      <c r="EX215" s="4">
        <f t="shared" si="511"/>
        <v>350.84971673774862</v>
      </c>
      <c r="FG215" s="23"/>
      <c r="FH215" s="23"/>
      <c r="FI215" s="23"/>
      <c r="FJ215" s="23"/>
      <c r="FK215" s="23"/>
      <c r="FL215" s="23"/>
      <c r="FM215" s="23"/>
      <c r="FN215" s="23"/>
      <c r="FX215" s="4">
        <f t="shared" si="676"/>
        <v>1</v>
      </c>
      <c r="FY215" s="4">
        <f t="shared" si="513"/>
        <v>0.64881889763779532</v>
      </c>
      <c r="FZ215" s="4">
        <f t="shared" si="677"/>
        <v>0</v>
      </c>
      <c r="GA215" s="4">
        <f t="shared" si="678"/>
        <v>290.21230320534846</v>
      </c>
    </row>
    <row r="216" spans="1:183" ht="12" customHeight="1" x14ac:dyDescent="0.3">
      <c r="A216" s="25">
        <v>198</v>
      </c>
      <c r="B216" s="24" t="s">
        <v>182</v>
      </c>
      <c r="C216" s="4">
        <v>1996</v>
      </c>
      <c r="D216" s="24" t="s">
        <v>309</v>
      </c>
      <c r="E216" s="24"/>
      <c r="F216" s="4" t="s">
        <v>332</v>
      </c>
      <c r="G216" s="7">
        <v>556</v>
      </c>
      <c r="H216" s="7">
        <f>381-P216-25</f>
        <v>280</v>
      </c>
      <c r="I216" s="7">
        <f t="shared" si="519"/>
        <v>280</v>
      </c>
      <c r="J216" s="7">
        <v>22.5</v>
      </c>
      <c r="K216" s="7">
        <v>35.799999999999997</v>
      </c>
      <c r="L216" s="7">
        <f t="shared" si="588"/>
        <v>7.8212290502793298</v>
      </c>
      <c r="M216" s="7">
        <f t="shared" si="589"/>
        <v>7.8212290502793298</v>
      </c>
      <c r="N216" s="7">
        <v>305</v>
      </c>
      <c r="O216" s="7">
        <v>76</v>
      </c>
      <c r="P216" s="7">
        <v>76</v>
      </c>
      <c r="Q216" s="7">
        <f t="shared" si="687"/>
        <v>81.400000000000006</v>
      </c>
      <c r="R216" s="7">
        <v>2</v>
      </c>
      <c r="S216" s="7">
        <f t="shared" si="684"/>
        <v>280</v>
      </c>
      <c r="T216" s="7">
        <f t="shared" si="685"/>
        <v>1.6368715083798884</v>
      </c>
      <c r="U216" s="7">
        <f t="shared" si="504"/>
        <v>2.6229050279329611</v>
      </c>
      <c r="V216" s="7">
        <f>5500/(K216^2*PI()/4)-1</f>
        <v>4.4639504822285474</v>
      </c>
      <c r="W216" s="7">
        <f t="shared" si="686"/>
        <v>4.4639504822285474</v>
      </c>
      <c r="X216" s="7">
        <f t="shared" si="523"/>
        <v>5.4639504822285474</v>
      </c>
      <c r="Y216" s="7">
        <f t="shared" si="524"/>
        <v>83.682838718840046</v>
      </c>
      <c r="Z216" s="7">
        <f t="shared" si="506"/>
        <v>556</v>
      </c>
      <c r="AA216" s="7">
        <v>25</v>
      </c>
      <c r="AB216" s="7"/>
      <c r="AC216" s="32" t="s">
        <v>183</v>
      </c>
      <c r="AD216" s="4">
        <f t="shared" si="526"/>
        <v>0</v>
      </c>
      <c r="AE216" s="7">
        <v>0</v>
      </c>
      <c r="AF216" s="7">
        <v>0</v>
      </c>
      <c r="AG216" s="7">
        <f t="shared" si="682"/>
        <v>280</v>
      </c>
      <c r="AH216" s="7"/>
      <c r="AI216" s="7"/>
      <c r="AJ216" s="7">
        <f t="shared" si="527"/>
        <v>7.1672354948805461</v>
      </c>
      <c r="AK216" s="4">
        <f t="shared" si="655"/>
        <v>280</v>
      </c>
      <c r="AL216" s="4">
        <f t="shared" si="595"/>
        <v>0.36309523809523808</v>
      </c>
      <c r="AM216" s="4">
        <f t="shared" si="596"/>
        <v>110.3932135239679</v>
      </c>
      <c r="AN216" s="4">
        <f t="shared" si="597"/>
        <v>0.76707142857142852</v>
      </c>
      <c r="AO216" s="4">
        <v>1.25</v>
      </c>
      <c r="AP216" s="4">
        <f t="shared" si="688"/>
        <v>2.5</v>
      </c>
      <c r="AQ216" s="38">
        <f t="shared" si="599"/>
        <v>96.083487353937286</v>
      </c>
      <c r="AR216" s="38">
        <f t="shared" si="600"/>
        <v>96.083487353937286</v>
      </c>
      <c r="AS216" s="38">
        <f t="shared" si="601"/>
        <v>2.3909817806608746</v>
      </c>
      <c r="AT216" s="38">
        <f t="shared" ref="AT216:AT279" si="691">AP216* (J216^0.5/AK216^0.5)/(PI()/4*K216^2)/R216/0.72 *(0.7+(MIN(O216,S216)+0.5*K216)/5/H216) *(3*N216*H216)</f>
        <v>96.083487353937329</v>
      </c>
      <c r="AU216" s="38">
        <f t="shared" si="674"/>
        <v>0.99999999999999956</v>
      </c>
      <c r="AV216" s="38">
        <f t="shared" ref="AV216:AV279" si="692">AZ216/AT216</f>
        <v>2.0099917928967055</v>
      </c>
      <c r="AW216" s="4">
        <f t="shared" ref="AW216:AW279" si="693">IF(AV216&lt;1,1,0)</f>
        <v>0</v>
      </c>
      <c r="AX216" s="4">
        <f t="shared" si="528"/>
        <v>195.25972026914428</v>
      </c>
      <c r="AY216" s="4">
        <f t="shared" si="529"/>
        <v>1.2409556313993173</v>
      </c>
      <c r="AZ216" s="38">
        <f t="shared" si="465"/>
        <v>193.12702101430844</v>
      </c>
      <c r="BA216" s="4">
        <f t="shared" si="531"/>
        <v>0.37504693248800336</v>
      </c>
      <c r="BB216" s="4">
        <f t="shared" si="532"/>
        <v>38.263489643025764</v>
      </c>
      <c r="BC216" s="4">
        <f t="shared" si="533"/>
        <v>231.3905106573342</v>
      </c>
      <c r="BE216" s="4">
        <f t="shared" si="689"/>
        <v>1.2807262569832403</v>
      </c>
      <c r="BF216" s="4">
        <f t="shared" si="690"/>
        <v>324.7928642937531</v>
      </c>
      <c r="BH216" s="4">
        <f t="shared" si="508"/>
        <v>185.23243104839844</v>
      </c>
      <c r="BI216" s="4">
        <f t="shared" si="509"/>
        <v>1562.4220485187734</v>
      </c>
      <c r="BJ216" s="4">
        <f t="shared" si="510"/>
        <v>8.4349270787820956</v>
      </c>
      <c r="BK216" s="4">
        <f t="shared" si="602"/>
        <v>47.1</v>
      </c>
      <c r="BL216" s="4">
        <f t="shared" si="603"/>
        <v>47.1</v>
      </c>
      <c r="BM216" s="4">
        <f t="shared" si="604"/>
        <v>280</v>
      </c>
      <c r="BN216" s="4">
        <f t="shared" si="605"/>
        <v>65</v>
      </c>
      <c r="BO216" s="4">
        <f t="shared" si="606"/>
        <v>1.25</v>
      </c>
      <c r="BP216" s="25">
        <f t="shared" si="607"/>
        <v>2.2695530726256985</v>
      </c>
      <c r="BR216" s="4">
        <f t="shared" si="539"/>
        <v>40.700000000000003</v>
      </c>
      <c r="BV216" s="9"/>
      <c r="BX216" s="9"/>
      <c r="BY216" s="9"/>
      <c r="BZ216" s="9">
        <f t="shared" si="540"/>
        <v>40.700000000000003</v>
      </c>
      <c r="CA216" s="9">
        <f t="shared" si="541"/>
        <v>76</v>
      </c>
      <c r="CB216" s="9">
        <f t="shared" ref="CB216:CB279" si="694">(BZ216/K216)^0.5*(CA216/BZ216)^0.15</f>
        <v>1.1709505872794554</v>
      </c>
      <c r="CC216" s="9">
        <v>0</v>
      </c>
      <c r="CD216" s="9">
        <f t="shared" si="543"/>
        <v>0</v>
      </c>
      <c r="CE216" s="9">
        <f t="shared" si="544"/>
        <v>0</v>
      </c>
      <c r="CF216" s="9">
        <f t="shared" si="545"/>
        <v>0.89787751228078194</v>
      </c>
      <c r="CG216" s="9">
        <f t="shared" si="546"/>
        <v>0.91600000000000004</v>
      </c>
      <c r="CH216" s="9">
        <f t="shared" ref="CH216:CH279" si="695">1.75*CF216*CG216*(J216/25)^0.5</f>
        <v>1.3654376435522646</v>
      </c>
      <c r="CI216" s="9">
        <f t="shared" ref="CI216:CI279" si="696">MIN((CB216+CE216)*CH216,2.5*CH216,J216^0.5)</f>
        <v>1.598860010611</v>
      </c>
      <c r="CJ216" s="9">
        <v>1</v>
      </c>
      <c r="CK216" s="9">
        <f t="shared" ref="CK216:CK279" si="697">4*CI216*M216+60*CI216</f>
        <v>145.95180208594269</v>
      </c>
      <c r="DH216" s="4">
        <f t="shared" si="558"/>
        <v>0</v>
      </c>
      <c r="DI216" s="4">
        <f t="shared" si="559"/>
        <v>280</v>
      </c>
      <c r="DL216" s="4">
        <f t="shared" si="560"/>
        <v>1.3208101828668835E-5</v>
      </c>
      <c r="DM216" s="4">
        <f t="shared" si="561"/>
        <v>4.6484646092482738</v>
      </c>
      <c r="DN216" s="4">
        <f t="shared" si="562"/>
        <v>0.31149433418967626</v>
      </c>
      <c r="DO216" s="4">
        <f t="shared" si="563"/>
        <v>2.9153425379443894</v>
      </c>
      <c r="DP216" s="4">
        <f t="shared" si="564"/>
        <v>3.8804037208967719</v>
      </c>
      <c r="DQ216" s="4">
        <f t="shared" si="565"/>
        <v>4.5388108160927203</v>
      </c>
      <c r="DR216" s="38">
        <f t="shared" si="609"/>
        <v>213.60778670455136</v>
      </c>
      <c r="DS216" s="4">
        <f t="shared" si="566"/>
        <v>1.0001322563224397</v>
      </c>
      <c r="DT216" s="4">
        <f t="shared" si="567"/>
        <v>2.3375094614201131</v>
      </c>
      <c r="DU216" s="4">
        <f t="shared" si="568"/>
        <v>96.083487353937329</v>
      </c>
      <c r="DY216" s="4">
        <f t="shared" si="569"/>
        <v>0.85</v>
      </c>
      <c r="DZ216" s="4">
        <f t="shared" si="570"/>
        <v>0.98631284916201112</v>
      </c>
      <c r="EA216" s="4">
        <f t="shared" si="610"/>
        <v>1</v>
      </c>
      <c r="EB216" s="4">
        <f t="shared" si="571"/>
        <v>0.98631284916201112</v>
      </c>
      <c r="ED216" s="4">
        <f t="shared" si="611"/>
        <v>203.81627305831509</v>
      </c>
      <c r="EE216" s="25">
        <f t="shared" si="612"/>
        <v>94.746153735171248</v>
      </c>
      <c r="EG216" s="4">
        <f t="shared" si="683"/>
        <v>0.83836592178770941</v>
      </c>
      <c r="EH216" s="4">
        <f t="shared" si="613"/>
        <v>4.6484646092482738</v>
      </c>
      <c r="EK216" s="4">
        <f t="shared" si="572"/>
        <v>83.682838718840046</v>
      </c>
      <c r="EL216" s="4">
        <f t="shared" si="573"/>
        <v>2.3375094614201131</v>
      </c>
      <c r="EM216" s="4">
        <f t="shared" si="574"/>
        <v>8.0793547209318639E-2</v>
      </c>
      <c r="EP216" s="4">
        <f t="shared" si="575"/>
        <v>8.0793547209318639E-2</v>
      </c>
      <c r="EQ216" s="4">
        <f t="shared" ref="EQ216:EQ279" si="698">MIN(0.999, EP216/(0.3*(J216/30)^0.5))</f>
        <v>0.31097450820056571</v>
      </c>
      <c r="ER216" s="4">
        <f t="shared" si="577"/>
        <v>2.9133954974502569</v>
      </c>
      <c r="ES216" s="4">
        <f t="shared" si="578"/>
        <v>3.8796749091669303</v>
      </c>
      <c r="ET216" s="4">
        <f t="shared" si="579"/>
        <v>126.31716128115995</v>
      </c>
      <c r="EU216" s="4">
        <f t="shared" si="580"/>
        <v>69.999999999999986</v>
      </c>
      <c r="EV216" s="4">
        <f t="shared" ref="EV216:EV279" si="699">EU216/(1-0.3*(J216/30)^0.5)/200000/K216</f>
        <v>1.3208101828668833E-5</v>
      </c>
      <c r="EW216" s="4">
        <f t="shared" si="582"/>
        <v>4.538841994189255</v>
      </c>
      <c r="EX216" s="4">
        <f t="shared" si="511"/>
        <v>213.57953946011401</v>
      </c>
      <c r="FG216" s="23"/>
      <c r="FH216" s="23"/>
      <c r="FI216" s="23"/>
      <c r="FJ216" s="23"/>
      <c r="FK216" s="23"/>
      <c r="FL216" s="23"/>
      <c r="FM216" s="23"/>
      <c r="FN216" s="23"/>
      <c r="FX216" s="4">
        <f t="shared" si="676"/>
        <v>1</v>
      </c>
      <c r="FY216" s="4">
        <f t="shared" si="513"/>
        <v>0.73631284916201123</v>
      </c>
      <c r="FZ216" s="4">
        <f t="shared" si="677"/>
        <v>0</v>
      </c>
      <c r="GA216" s="4">
        <f t="shared" si="678"/>
        <v>194.3105390354047</v>
      </c>
    </row>
    <row r="217" spans="1:183" ht="12" customHeight="1" x14ac:dyDescent="0.3">
      <c r="A217" s="25">
        <v>199</v>
      </c>
      <c r="B217" s="24" t="s">
        <v>182</v>
      </c>
      <c r="C217" s="4">
        <v>1996</v>
      </c>
      <c r="D217" s="24" t="s">
        <v>309</v>
      </c>
      <c r="E217" s="24"/>
      <c r="F217" s="4" t="s">
        <v>333</v>
      </c>
      <c r="G217" s="7">
        <v>556</v>
      </c>
      <c r="H217" s="7">
        <f>381-P217-25</f>
        <v>280</v>
      </c>
      <c r="I217" s="7">
        <f t="shared" si="519"/>
        <v>280</v>
      </c>
      <c r="J217" s="7">
        <v>22.5</v>
      </c>
      <c r="K217" s="7">
        <v>35.799999999999997</v>
      </c>
      <c r="L217" s="7">
        <f t="shared" si="588"/>
        <v>7.8212290502793298</v>
      </c>
      <c r="M217" s="7">
        <f t="shared" si="589"/>
        <v>7.8212290502793298</v>
      </c>
      <c r="N217" s="7">
        <v>305</v>
      </c>
      <c r="O217" s="7">
        <v>76</v>
      </c>
      <c r="P217" s="7">
        <v>76</v>
      </c>
      <c r="Q217" s="7">
        <f t="shared" si="687"/>
        <v>81.400000000000006</v>
      </c>
      <c r="R217" s="7">
        <v>2</v>
      </c>
      <c r="S217" s="7">
        <f t="shared" si="684"/>
        <v>280</v>
      </c>
      <c r="T217" s="7">
        <f t="shared" si="685"/>
        <v>1.6368715083798884</v>
      </c>
      <c r="U217" s="7">
        <f t="shared" si="504"/>
        <v>2.6229050279329611</v>
      </c>
      <c r="V217" s="7">
        <f>5500/(K217^2*PI()/4)-1</f>
        <v>4.4639504822285474</v>
      </c>
      <c r="W217" s="7">
        <f t="shared" si="686"/>
        <v>4.4639504822285474</v>
      </c>
      <c r="X217" s="7">
        <f t="shared" si="523"/>
        <v>5.4639504822285474</v>
      </c>
      <c r="Y217" s="7">
        <f t="shared" si="524"/>
        <v>83.682838718840046</v>
      </c>
      <c r="Z217" s="7">
        <f t="shared" si="506"/>
        <v>556</v>
      </c>
      <c r="AA217" s="7">
        <v>25</v>
      </c>
      <c r="AB217" s="7"/>
      <c r="AC217" s="32" t="s">
        <v>183</v>
      </c>
      <c r="AD217" s="4">
        <f t="shared" si="526"/>
        <v>0</v>
      </c>
      <c r="AE217" s="7">
        <v>9.5</v>
      </c>
      <c r="AF217" s="7">
        <v>2</v>
      </c>
      <c r="AG217" s="7">
        <v>102</v>
      </c>
      <c r="AH217" s="7">
        <v>4</v>
      </c>
      <c r="AI217" s="7">
        <f t="shared" ref="AI217:AI219" si="700">AF217</f>
        <v>2</v>
      </c>
      <c r="AJ217" s="7">
        <f t="shared" si="527"/>
        <v>7.1672354948805461</v>
      </c>
      <c r="AK217" s="4">
        <f t="shared" si="655"/>
        <v>280</v>
      </c>
      <c r="AL217" s="4">
        <f t="shared" si="595"/>
        <v>0.36309523809523808</v>
      </c>
      <c r="AM217" s="4">
        <f t="shared" si="596"/>
        <v>110.3932135239679</v>
      </c>
      <c r="AN217" s="4">
        <f t="shared" si="597"/>
        <v>0.76707142857142852</v>
      </c>
      <c r="AO217" s="4">
        <v>1.25</v>
      </c>
      <c r="AP217" s="4">
        <f t="shared" si="688"/>
        <v>2.5</v>
      </c>
      <c r="AQ217" s="38">
        <f t="shared" si="599"/>
        <v>96.083487353937286</v>
      </c>
      <c r="AR217" s="38">
        <f t="shared" si="600"/>
        <v>96.083487353937286</v>
      </c>
      <c r="AS217" s="38">
        <f t="shared" si="601"/>
        <v>2.3909817806608746</v>
      </c>
      <c r="AT217" s="38">
        <f t="shared" si="691"/>
        <v>96.083487353937329</v>
      </c>
      <c r="AU217" s="38">
        <f t="shared" si="674"/>
        <v>0.99999999999999956</v>
      </c>
      <c r="AV217" s="38">
        <f t="shared" si="692"/>
        <v>2.0099917928967055</v>
      </c>
      <c r="AW217" s="4">
        <f t="shared" si="693"/>
        <v>0</v>
      </c>
      <c r="AX217" s="4">
        <f t="shared" si="528"/>
        <v>195.25972026914428</v>
      </c>
      <c r="AY217" s="4">
        <f t="shared" si="529"/>
        <v>1.2409556313993173</v>
      </c>
      <c r="AZ217" s="38">
        <f t="shared" ref="AZ217:AZ280" si="701">2*J217*T217*V217^0.5*AY217*0.7/0.7</f>
        <v>193.12702101430844</v>
      </c>
      <c r="BA217" s="4">
        <f t="shared" si="531"/>
        <v>0.37504693248800336</v>
      </c>
      <c r="BB217" s="4">
        <f t="shared" si="532"/>
        <v>38.263489643025764</v>
      </c>
      <c r="BC217" s="4">
        <f t="shared" si="533"/>
        <v>231.3905106573342</v>
      </c>
      <c r="BE217" s="4">
        <f t="shared" si="689"/>
        <v>1.5</v>
      </c>
      <c r="BF217" s="4">
        <f t="shared" si="690"/>
        <v>380.40080289148398</v>
      </c>
      <c r="BH217" s="4">
        <f t="shared" si="508"/>
        <v>185.23243104839844</v>
      </c>
      <c r="BI217" s="4">
        <f t="shared" si="509"/>
        <v>1562.4220485187734</v>
      </c>
      <c r="BJ217" s="4">
        <f t="shared" si="510"/>
        <v>8.4349270787820956</v>
      </c>
      <c r="BK217" s="4">
        <f t="shared" si="602"/>
        <v>47.1</v>
      </c>
      <c r="BL217" s="4">
        <f t="shared" si="603"/>
        <v>47.1</v>
      </c>
      <c r="BM217" s="4">
        <f t="shared" si="604"/>
        <v>280</v>
      </c>
      <c r="BN217" s="4">
        <f t="shared" si="605"/>
        <v>65</v>
      </c>
      <c r="BO217" s="4">
        <f t="shared" si="606"/>
        <v>1.25</v>
      </c>
      <c r="BP217" s="25">
        <f t="shared" si="607"/>
        <v>2.9844290104781046</v>
      </c>
      <c r="BR217" s="4">
        <f t="shared" si="539"/>
        <v>40.700000000000003</v>
      </c>
      <c r="BV217" s="9"/>
      <c r="BX217" s="9"/>
      <c r="BY217" s="9"/>
      <c r="BZ217" s="9">
        <f t="shared" si="540"/>
        <v>40.700000000000003</v>
      </c>
      <c r="CA217" s="9">
        <f t="shared" si="541"/>
        <v>76</v>
      </c>
      <c r="CB217" s="9">
        <f t="shared" si="694"/>
        <v>1.1709505872794554</v>
      </c>
      <c r="CC217" s="9">
        <v>20</v>
      </c>
      <c r="CD217" s="9">
        <f t="shared" si="543"/>
        <v>3.8822534914349713E-2</v>
      </c>
      <c r="CE217" s="9">
        <f t="shared" si="544"/>
        <v>0.57645069828699425</v>
      </c>
      <c r="CF217" s="9">
        <f t="shared" si="545"/>
        <v>0.89787751228078194</v>
      </c>
      <c r="CG217" s="9">
        <f t="shared" si="546"/>
        <v>0.91600000000000004</v>
      </c>
      <c r="CH217" s="9">
        <f t="shared" si="695"/>
        <v>1.3654376435522646</v>
      </c>
      <c r="CI217" s="9">
        <f t="shared" si="696"/>
        <v>2.3859674937040509</v>
      </c>
      <c r="CJ217" s="9">
        <v>1</v>
      </c>
      <c r="CK217" s="9">
        <f t="shared" si="697"/>
        <v>217.80284272136419</v>
      </c>
      <c r="DH217" s="4">
        <f t="shared" si="558"/>
        <v>2</v>
      </c>
      <c r="DI217" s="4">
        <f t="shared" si="559"/>
        <v>280</v>
      </c>
      <c r="DL217" s="4">
        <f t="shared" si="560"/>
        <v>1.3208101828668835E-5</v>
      </c>
      <c r="DM217" s="4">
        <f t="shared" si="561"/>
        <v>4.6930538202349794</v>
      </c>
      <c r="DN217" s="4">
        <f t="shared" si="562"/>
        <v>0.31149433418967626</v>
      </c>
      <c r="DO217" s="4">
        <f t="shared" si="563"/>
        <v>2.9433072175644721</v>
      </c>
      <c r="DP217" s="4">
        <f t="shared" si="564"/>
        <v>3.9176255037367289</v>
      </c>
      <c r="DQ217" s="4">
        <f t="shared" si="565"/>
        <v>4.5812908734182951</v>
      </c>
      <c r="DR217" s="38">
        <f t="shared" si="609"/>
        <v>214.72683896526962</v>
      </c>
      <c r="DS217" s="4">
        <f t="shared" si="566"/>
        <v>1.000132818213</v>
      </c>
      <c r="DT217" s="4">
        <f t="shared" si="567"/>
        <v>2.3375094614201131</v>
      </c>
      <c r="DU217" s="4">
        <f t="shared" si="568"/>
        <v>96.083487353937329</v>
      </c>
      <c r="DY217" s="4">
        <f t="shared" si="569"/>
        <v>0.85</v>
      </c>
      <c r="DZ217" s="4">
        <f t="shared" si="570"/>
        <v>0.98631284916201112</v>
      </c>
      <c r="EA217" s="4">
        <f t="shared" si="610"/>
        <v>0.99049889204456787</v>
      </c>
      <c r="EB217" s="4">
        <f t="shared" si="571"/>
        <v>0.97694178430429301</v>
      </c>
      <c r="ED217" s="4">
        <f t="shared" si="611"/>
        <v>204.86250035520987</v>
      </c>
      <c r="EE217" s="25">
        <f t="shared" si="612"/>
        <v>94.746153735171248</v>
      </c>
      <c r="EG217" s="4">
        <f t="shared" si="683"/>
        <v>0.830400516658649</v>
      </c>
      <c r="EH217" s="4">
        <f t="shared" si="613"/>
        <v>4.6930538202349794</v>
      </c>
      <c r="EK217" s="4">
        <f t="shared" si="572"/>
        <v>83.682838718840046</v>
      </c>
      <c r="EL217" s="4">
        <f t="shared" si="573"/>
        <v>2.3375094614201131</v>
      </c>
      <c r="EM217" s="4">
        <f t="shared" si="574"/>
        <v>8.0793547209318639E-2</v>
      </c>
      <c r="EP217" s="4">
        <f t="shared" si="575"/>
        <v>8.0793547209318639E-2</v>
      </c>
      <c r="EQ217" s="4">
        <f t="shared" si="698"/>
        <v>0.31097450820056571</v>
      </c>
      <c r="ER217" s="4">
        <f t="shared" si="577"/>
        <v>2.9413415005810704</v>
      </c>
      <c r="ES217" s="4">
        <f t="shared" si="578"/>
        <v>3.9168897010662813</v>
      </c>
      <c r="ET217" s="4">
        <f t="shared" si="579"/>
        <v>126.31716128115995</v>
      </c>
      <c r="EU217" s="4">
        <f t="shared" si="580"/>
        <v>69.999999999999986</v>
      </c>
      <c r="EV217" s="4">
        <f t="shared" si="699"/>
        <v>1.3208101828668833E-5</v>
      </c>
      <c r="EW217" s="4">
        <f t="shared" si="582"/>
        <v>4.5813226512149816</v>
      </c>
      <c r="EX217" s="4">
        <f t="shared" si="511"/>
        <v>214.69832311765902</v>
      </c>
      <c r="FG217" s="23"/>
      <c r="FH217" s="23"/>
      <c r="FI217" s="23"/>
      <c r="FJ217" s="23"/>
      <c r="FK217" s="23"/>
      <c r="FL217" s="23"/>
      <c r="FM217" s="23"/>
      <c r="FN217" s="23"/>
      <c r="FX217" s="4">
        <f t="shared" si="676"/>
        <v>1</v>
      </c>
      <c r="FY217" s="4">
        <f t="shared" si="513"/>
        <v>0.57658194354098002</v>
      </c>
      <c r="FZ217" s="4">
        <f t="shared" si="677"/>
        <v>0.28167035985144034</v>
      </c>
      <c r="GA217" s="4">
        <f t="shared" si="678"/>
        <v>248.14052576933713</v>
      </c>
    </row>
    <row r="218" spans="1:183" ht="12" customHeight="1" x14ac:dyDescent="0.3">
      <c r="A218" s="25">
        <v>200</v>
      </c>
      <c r="B218" s="24" t="s">
        <v>182</v>
      </c>
      <c r="C218" s="4">
        <v>1996</v>
      </c>
      <c r="D218" s="24" t="s">
        <v>309</v>
      </c>
      <c r="E218" s="24"/>
      <c r="F218" s="4" t="s">
        <v>334</v>
      </c>
      <c r="G218" s="7">
        <v>556</v>
      </c>
      <c r="H218" s="7">
        <f>381-P218-25</f>
        <v>280</v>
      </c>
      <c r="I218" s="7">
        <f t="shared" si="519"/>
        <v>280</v>
      </c>
      <c r="J218" s="7">
        <v>23.2</v>
      </c>
      <c r="K218" s="7">
        <v>35.799999999999997</v>
      </c>
      <c r="L218" s="7">
        <f t="shared" si="588"/>
        <v>7.8212290502793298</v>
      </c>
      <c r="M218" s="7">
        <f t="shared" si="589"/>
        <v>7.8212290502793298</v>
      </c>
      <c r="N218" s="7">
        <v>305</v>
      </c>
      <c r="O218" s="7">
        <v>76</v>
      </c>
      <c r="P218" s="7">
        <v>76</v>
      </c>
      <c r="Q218" s="7">
        <f t="shared" si="687"/>
        <v>81.400000000000006</v>
      </c>
      <c r="R218" s="7">
        <v>2</v>
      </c>
      <c r="S218" s="7">
        <f t="shared" si="684"/>
        <v>280</v>
      </c>
      <c r="T218" s="7">
        <f t="shared" si="685"/>
        <v>1.6368715083798884</v>
      </c>
      <c r="U218" s="7">
        <f t="shared" ref="U218:U281" si="702">O218/K218+0.5</f>
        <v>2.6229050279329611</v>
      </c>
      <c r="V218" s="7">
        <f>5500/(K218^2*PI()/4)-1</f>
        <v>4.4639504822285474</v>
      </c>
      <c r="W218" s="7">
        <f t="shared" si="686"/>
        <v>4.4639504822285474</v>
      </c>
      <c r="X218" s="7">
        <f t="shared" si="523"/>
        <v>5.4639504822285474</v>
      </c>
      <c r="Y218" s="7">
        <f t="shared" si="524"/>
        <v>83.682838718840046</v>
      </c>
      <c r="Z218" s="7">
        <f t="shared" ref="Z218:Z243" si="703">G218</f>
        <v>556</v>
      </c>
      <c r="AA218" s="7">
        <v>25</v>
      </c>
      <c r="AB218" s="7"/>
      <c r="AC218" s="32" t="s">
        <v>183</v>
      </c>
      <c r="AD218" s="4">
        <f t="shared" si="526"/>
        <v>0</v>
      </c>
      <c r="AE218" s="7">
        <v>9.5</v>
      </c>
      <c r="AF218" s="7">
        <v>2</v>
      </c>
      <c r="AG218" s="7">
        <v>64</v>
      </c>
      <c r="AH218" s="7">
        <v>6</v>
      </c>
      <c r="AI218" s="7">
        <f t="shared" si="700"/>
        <v>2</v>
      </c>
      <c r="AJ218" s="7">
        <f t="shared" si="527"/>
        <v>7.1672354948805461</v>
      </c>
      <c r="AK218" s="4">
        <f t="shared" si="655"/>
        <v>280</v>
      </c>
      <c r="AL218" s="4">
        <f t="shared" si="595"/>
        <v>0.36309523809523808</v>
      </c>
      <c r="AM218" s="4">
        <f t="shared" si="596"/>
        <v>112.09728888343021</v>
      </c>
      <c r="AN218" s="4">
        <f t="shared" si="597"/>
        <v>0.76707142857142852</v>
      </c>
      <c r="AO218" s="4">
        <v>1.25</v>
      </c>
      <c r="AP218" s="4">
        <f t="shared" si="688"/>
        <v>2.5</v>
      </c>
      <c r="AQ218" s="38">
        <f t="shared" si="599"/>
        <v>97.56667185436406</v>
      </c>
      <c r="AR218" s="38">
        <f t="shared" si="600"/>
        <v>97.56667185436406</v>
      </c>
      <c r="AS218" s="38">
        <f t="shared" si="601"/>
        <v>2.4403188690141904</v>
      </c>
      <c r="AT218" s="38">
        <f t="shared" si="691"/>
        <v>97.566671854364117</v>
      </c>
      <c r="AU218" s="38">
        <f t="shared" si="674"/>
        <v>0.99999999999999944</v>
      </c>
      <c r="AV218" s="38">
        <f t="shared" si="692"/>
        <v>2.0410188585799882</v>
      </c>
      <c r="AW218" s="4">
        <f t="shared" si="693"/>
        <v>0</v>
      </c>
      <c r="AX218" s="4">
        <f t="shared" si="528"/>
        <v>198.27383017123452</v>
      </c>
      <c r="AY218" s="4">
        <f t="shared" si="529"/>
        <v>1.2409556313993173</v>
      </c>
      <c r="AZ218" s="38">
        <f t="shared" si="701"/>
        <v>199.13541722364249</v>
      </c>
      <c r="BA218" s="4">
        <f t="shared" si="531"/>
        <v>0.37504693248800336</v>
      </c>
      <c r="BB218" s="4">
        <f t="shared" si="532"/>
        <v>38.854140714647713</v>
      </c>
      <c r="BC218" s="4">
        <f t="shared" si="533"/>
        <v>237.9895579382902</v>
      </c>
      <c r="BE218" s="4">
        <f t="shared" si="689"/>
        <v>1.5</v>
      </c>
      <c r="BF218" s="4">
        <f t="shared" si="690"/>
        <v>386.2728272146669</v>
      </c>
      <c r="BH218" s="4">
        <f t="shared" ref="BH218:BH281" si="704">3.4/PI()^0.5*J218*T218*W218^0.5*AY218</f>
        <v>190.99521779212648</v>
      </c>
      <c r="BI218" s="4">
        <f t="shared" ref="BI218:BI259" si="705">8/3*Z218*AA218^2/(Y218-K218-22)/K218*(Y218^2-K218^2)/(Y218^2-(K218+22)^2)</f>
        <v>1562.4220485187734</v>
      </c>
      <c r="BJ218" s="4">
        <f t="shared" ref="BJ218:BJ281" si="706">BI218/BH218</f>
        <v>8.1804249686464257</v>
      </c>
      <c r="BK218" s="4">
        <f t="shared" si="602"/>
        <v>47.1</v>
      </c>
      <c r="BL218" s="4">
        <f t="shared" si="603"/>
        <v>47.1</v>
      </c>
      <c r="BM218" s="4">
        <f t="shared" si="604"/>
        <v>280</v>
      </c>
      <c r="BN218" s="4">
        <f t="shared" si="605"/>
        <v>65</v>
      </c>
      <c r="BO218" s="4">
        <f t="shared" si="606"/>
        <v>1.25</v>
      </c>
      <c r="BP218" s="25">
        <f t="shared" si="607"/>
        <v>3.4264738226998879</v>
      </c>
      <c r="BR218" s="4">
        <f t="shared" si="539"/>
        <v>40.700000000000003</v>
      </c>
      <c r="BV218" s="9"/>
      <c r="BX218" s="9"/>
      <c r="BY218" s="9"/>
      <c r="BZ218" s="9">
        <f t="shared" si="540"/>
        <v>40.700000000000003</v>
      </c>
      <c r="CA218" s="9">
        <f t="shared" si="541"/>
        <v>76</v>
      </c>
      <c r="CB218" s="9">
        <f t="shared" si="694"/>
        <v>1.1709505872794554</v>
      </c>
      <c r="CC218" s="9">
        <v>20</v>
      </c>
      <c r="CD218" s="9">
        <f t="shared" si="543"/>
        <v>0.05</v>
      </c>
      <c r="CE218" s="9">
        <f t="shared" si="544"/>
        <v>0.8</v>
      </c>
      <c r="CF218" s="9">
        <f t="shared" si="545"/>
        <v>0.89787751228078194</v>
      </c>
      <c r="CG218" s="9">
        <f t="shared" si="546"/>
        <v>0.91600000000000004</v>
      </c>
      <c r="CH218" s="9">
        <f t="shared" si="695"/>
        <v>1.3865151044666033</v>
      </c>
      <c r="CI218" s="9">
        <f t="shared" si="696"/>
        <v>2.7327527594202872</v>
      </c>
      <c r="CJ218" s="9">
        <v>1</v>
      </c>
      <c r="CK218" s="9">
        <f t="shared" si="697"/>
        <v>249.45910664205303</v>
      </c>
      <c r="DH218" s="4">
        <f t="shared" si="558"/>
        <v>2</v>
      </c>
      <c r="DI218" s="4">
        <f t="shared" si="559"/>
        <v>280</v>
      </c>
      <c r="DL218" s="4">
        <f t="shared" si="560"/>
        <v>1.3280055604963279E-5</v>
      </c>
      <c r="DM218" s="4">
        <f t="shared" si="561"/>
        <v>4.765497742468991</v>
      </c>
      <c r="DN218" s="4">
        <f t="shared" si="562"/>
        <v>0.30675907408845532</v>
      </c>
      <c r="DO218" s="4">
        <f t="shared" si="563"/>
        <v>2.970484122953561</v>
      </c>
      <c r="DP218" s="4">
        <f t="shared" si="564"/>
        <v>3.9712794120387733</v>
      </c>
      <c r="DQ218" s="4">
        <f t="shared" si="565"/>
        <v>4.6499415161614266</v>
      </c>
      <c r="DR218" s="38">
        <f t="shared" si="609"/>
        <v>217.75831340658192</v>
      </c>
      <c r="DS218" s="4">
        <f t="shared" si="566"/>
        <v>1.0001319376329623</v>
      </c>
      <c r="DT218" s="4">
        <f t="shared" si="567"/>
        <v>2.3375094614201131</v>
      </c>
      <c r="DU218" s="4">
        <f t="shared" si="568"/>
        <v>97.566671854364117</v>
      </c>
      <c r="DY218" s="4">
        <f t="shared" si="569"/>
        <v>0.85</v>
      </c>
      <c r="DZ218" s="4">
        <f t="shared" si="570"/>
        <v>0.98631284916201112</v>
      </c>
      <c r="EA218" s="4">
        <f t="shared" si="610"/>
        <v>0.99049889204456787</v>
      </c>
      <c r="EB218" s="4">
        <f t="shared" si="571"/>
        <v>0.97694178430429301</v>
      </c>
      <c r="ED218" s="4">
        <f t="shared" si="611"/>
        <v>208.02484274736571</v>
      </c>
      <c r="EE218" s="25">
        <f t="shared" si="612"/>
        <v>96.208694600048602</v>
      </c>
      <c r="EG218" s="4">
        <f t="shared" si="683"/>
        <v>0.830400516658649</v>
      </c>
      <c r="EH218" s="4">
        <f t="shared" si="613"/>
        <v>4.765497742468991</v>
      </c>
      <c r="EK218" s="4">
        <f t="shared" si="572"/>
        <v>83.682838718840046</v>
      </c>
      <c r="EL218" s="4">
        <f t="shared" si="573"/>
        <v>2.3375094614201131</v>
      </c>
      <c r="EM218" s="4">
        <f t="shared" si="574"/>
        <v>8.0793547209318639E-2</v>
      </c>
      <c r="EP218" s="4">
        <f t="shared" si="575"/>
        <v>8.0793547209318639E-2</v>
      </c>
      <c r="EQ218" s="4">
        <f t="shared" si="698"/>
        <v>0.30624715036592115</v>
      </c>
      <c r="ER218" s="4">
        <f t="shared" si="577"/>
        <v>2.9685002556037405</v>
      </c>
      <c r="ES218" s="4">
        <f t="shared" si="578"/>
        <v>3.970540188322834</v>
      </c>
      <c r="ET218" s="4">
        <f t="shared" si="579"/>
        <v>126.31716128115995</v>
      </c>
      <c r="EU218" s="4">
        <f t="shared" si="580"/>
        <v>69.999999999999986</v>
      </c>
      <c r="EV218" s="4">
        <f t="shared" si="699"/>
        <v>1.3280055604963274E-5</v>
      </c>
      <c r="EW218" s="4">
        <f t="shared" si="582"/>
        <v>4.6499742031972318</v>
      </c>
      <c r="EX218" s="4">
        <f t="shared" ref="EX218:EX281" si="707">MIN(4/K218*(1*ER218*EK218+ES218*ET218+EU218*EW218)+DU218,MAX(G218,AB218))</f>
        <v>217.72958668028949</v>
      </c>
      <c r="FG218" s="23"/>
      <c r="FH218" s="23"/>
      <c r="FI218" s="23"/>
      <c r="FJ218" s="23"/>
      <c r="FK218" s="23"/>
      <c r="FL218" s="23"/>
      <c r="FM218" s="23"/>
      <c r="FN218" s="23"/>
      <c r="FX218" s="4">
        <f t="shared" si="676"/>
        <v>1</v>
      </c>
      <c r="FY218" s="4">
        <f t="shared" si="513"/>
        <v>0.56618748804278263</v>
      </c>
      <c r="FZ218" s="4">
        <f t="shared" si="677"/>
        <v>0.3</v>
      </c>
      <c r="GA218" s="4">
        <f t="shared" si="678"/>
        <v>254.63894993046731</v>
      </c>
    </row>
    <row r="219" spans="1:183" ht="12" customHeight="1" x14ac:dyDescent="0.3">
      <c r="A219" s="25">
        <v>201</v>
      </c>
      <c r="B219" s="24" t="s">
        <v>182</v>
      </c>
      <c r="C219" s="4">
        <v>1996</v>
      </c>
      <c r="D219" s="24" t="s">
        <v>309</v>
      </c>
      <c r="E219" s="24"/>
      <c r="F219" s="4" t="s">
        <v>335</v>
      </c>
      <c r="G219" s="7">
        <v>578</v>
      </c>
      <c r="H219" s="7">
        <f>305-P219-18</f>
        <v>211</v>
      </c>
      <c r="I219" s="7">
        <f t="shared" si="519"/>
        <v>211</v>
      </c>
      <c r="J219" s="7">
        <v>29.6</v>
      </c>
      <c r="K219" s="7">
        <v>25.4</v>
      </c>
      <c r="L219" s="7">
        <f t="shared" si="588"/>
        <v>8.3070866141732296</v>
      </c>
      <c r="M219" s="7">
        <f t="shared" si="589"/>
        <v>8.3070866141732296</v>
      </c>
      <c r="N219" s="7">
        <v>305</v>
      </c>
      <c r="O219" s="7">
        <v>76</v>
      </c>
      <c r="P219" s="7">
        <v>76</v>
      </c>
      <c r="Q219" s="7">
        <f t="shared" si="687"/>
        <v>102.19999999999999</v>
      </c>
      <c r="R219" s="7">
        <v>2</v>
      </c>
      <c r="S219" s="7">
        <f t="shared" si="684"/>
        <v>280</v>
      </c>
      <c r="T219" s="7">
        <f t="shared" si="685"/>
        <v>2.5118110236220472</v>
      </c>
      <c r="U219" s="7">
        <f t="shared" si="702"/>
        <v>3.4921259842519685</v>
      </c>
      <c r="V219" s="7">
        <f>3200/(K219^2*PI()/4)-1</f>
        <v>5.3152807724479523</v>
      </c>
      <c r="W219" s="7">
        <f>3200/(K219^2*PI()/4)-1</f>
        <v>5.3152807724479523</v>
      </c>
      <c r="X219" s="7">
        <f t="shared" si="523"/>
        <v>6.3152807724479523</v>
      </c>
      <c r="Y219" s="7">
        <f t="shared" si="524"/>
        <v>63.830764864229231</v>
      </c>
      <c r="Z219" s="7">
        <f t="shared" si="703"/>
        <v>578</v>
      </c>
      <c r="AA219" s="7">
        <v>18</v>
      </c>
      <c r="AB219" s="7"/>
      <c r="AC219" s="32" t="s">
        <v>183</v>
      </c>
      <c r="AD219" s="4">
        <f t="shared" si="526"/>
        <v>0</v>
      </c>
      <c r="AE219" s="7">
        <v>9.5</v>
      </c>
      <c r="AF219" s="7">
        <v>2</v>
      </c>
      <c r="AG219" s="7">
        <v>102</v>
      </c>
      <c r="AH219" s="7">
        <v>4</v>
      </c>
      <c r="AI219" s="7">
        <f t="shared" si="700"/>
        <v>2</v>
      </c>
      <c r="AJ219" s="7">
        <f t="shared" si="527"/>
        <v>4.9608150470219439</v>
      </c>
      <c r="AK219" s="4">
        <f t="shared" si="655"/>
        <v>211</v>
      </c>
      <c r="AL219" s="4">
        <f t="shared" si="595"/>
        <v>0.48183254344391785</v>
      </c>
      <c r="AM219" s="4">
        <f t="shared" si="596"/>
        <v>164.54406728062244</v>
      </c>
      <c r="AN219" s="4">
        <f t="shared" si="597"/>
        <v>0.7840758293838862</v>
      </c>
      <c r="AO219" s="4">
        <v>1.25</v>
      </c>
      <c r="AP219" s="4">
        <f t="shared" si="688"/>
        <v>2.5</v>
      </c>
      <c r="AQ219" s="38">
        <f t="shared" si="599"/>
        <v>194.26136916020866</v>
      </c>
      <c r="AR219" s="38">
        <f t="shared" si="600"/>
        <v>194.26136916020866</v>
      </c>
      <c r="AS219" s="38">
        <f t="shared" si="601"/>
        <v>2.8706642143339227</v>
      </c>
      <c r="AT219" s="38">
        <f t="shared" si="691"/>
        <v>194.26136916020874</v>
      </c>
      <c r="AU219" s="38">
        <f t="shared" si="674"/>
        <v>0.99999999999999956</v>
      </c>
      <c r="AV219" s="38">
        <f t="shared" si="692"/>
        <v>2.0402602015366833</v>
      </c>
      <c r="AW219" s="4">
        <f t="shared" si="693"/>
        <v>0</v>
      </c>
      <c r="AX219" s="4">
        <f t="shared" si="528"/>
        <v>237.87072336039611</v>
      </c>
      <c r="AY219" s="4">
        <f t="shared" si="529"/>
        <v>1.1561128526645768</v>
      </c>
      <c r="AZ219" s="38">
        <f t="shared" si="701"/>
        <v>396.34374019359956</v>
      </c>
      <c r="BA219" s="4">
        <f t="shared" si="531"/>
        <v>0.3</v>
      </c>
      <c r="BB219" s="4">
        <f t="shared" si="532"/>
        <v>37.286235886742084</v>
      </c>
      <c r="BC219" s="4">
        <f t="shared" si="533"/>
        <v>433.62997608034163</v>
      </c>
      <c r="BE219" s="4">
        <f t="shared" si="689"/>
        <v>1.5</v>
      </c>
      <c r="BF219" s="4">
        <f t="shared" si="690"/>
        <v>448.20593763037658</v>
      </c>
      <c r="BH219" s="4">
        <f t="shared" si="704"/>
        <v>380.14211652669815</v>
      </c>
      <c r="BI219" s="4">
        <f t="shared" si="705"/>
        <v>2245.2309649218914</v>
      </c>
      <c r="BJ219" s="4">
        <f t="shared" si="706"/>
        <v>5.9062936394320946</v>
      </c>
      <c r="BK219" s="4">
        <f t="shared" si="602"/>
        <v>57.499999999999993</v>
      </c>
      <c r="BL219" s="4">
        <f t="shared" si="603"/>
        <v>57.499999999999993</v>
      </c>
      <c r="BM219" s="4">
        <f t="shared" si="604"/>
        <v>280</v>
      </c>
      <c r="BN219" s="4">
        <f t="shared" si="605"/>
        <v>70.199999999999989</v>
      </c>
      <c r="BO219" s="4">
        <f t="shared" si="606"/>
        <v>1.25</v>
      </c>
      <c r="BP219" s="25">
        <f t="shared" si="607"/>
        <v>4</v>
      </c>
      <c r="BR219" s="4">
        <f t="shared" si="539"/>
        <v>51.099999999999994</v>
      </c>
      <c r="BV219" s="9"/>
      <c r="BX219" s="9"/>
      <c r="BY219" s="9"/>
      <c r="BZ219" s="9">
        <f t="shared" si="540"/>
        <v>51.099999999999994</v>
      </c>
      <c r="CA219" s="9">
        <f t="shared" si="541"/>
        <v>76</v>
      </c>
      <c r="CB219" s="9">
        <f t="shared" si="694"/>
        <v>1.5054020239149992</v>
      </c>
      <c r="CC219" s="9">
        <v>20</v>
      </c>
      <c r="CD219" s="9">
        <f t="shared" si="543"/>
        <v>0.05</v>
      </c>
      <c r="CE219" s="9">
        <f t="shared" si="544"/>
        <v>0.8</v>
      </c>
      <c r="CF219" s="9">
        <f t="shared" si="545"/>
        <v>0.99524931562137331</v>
      </c>
      <c r="CG219" s="9">
        <f t="shared" si="546"/>
        <v>0.88300000000000001</v>
      </c>
      <c r="CH219" s="9">
        <f t="shared" si="695"/>
        <v>1.673425918090842</v>
      </c>
      <c r="CI219" s="9">
        <f t="shared" si="696"/>
        <v>3.8579194984384428</v>
      </c>
      <c r="CJ219" s="9">
        <v>1</v>
      </c>
      <c r="CK219" s="9">
        <f t="shared" si="697"/>
        <v>359.6674556024501</v>
      </c>
      <c r="DH219" s="4">
        <f t="shared" si="558"/>
        <v>2</v>
      </c>
      <c r="DI219" s="4">
        <f t="shared" si="559"/>
        <v>211</v>
      </c>
      <c r="DL219" s="4">
        <f t="shared" si="560"/>
        <v>1.4791679478037025E-5</v>
      </c>
      <c r="DM219" s="4">
        <f t="shared" si="561"/>
        <v>7.1662565049066815</v>
      </c>
      <c r="DN219" s="4">
        <f t="shared" si="562"/>
        <v>0.30666587320385641</v>
      </c>
      <c r="DO219" s="4">
        <f t="shared" si="563"/>
        <v>4.4664093970676291</v>
      </c>
      <c r="DP219" s="4">
        <f t="shared" si="564"/>
        <v>5.971725137421525</v>
      </c>
      <c r="DQ219" s="4">
        <f t="shared" si="565"/>
        <v>6.9474326441800711</v>
      </c>
      <c r="DR219" s="38">
        <f t="shared" si="609"/>
        <v>385.66564001194138</v>
      </c>
      <c r="DS219" s="4">
        <f t="shared" si="566"/>
        <v>1.0001192703791044</v>
      </c>
      <c r="DT219" s="4">
        <f t="shared" si="567"/>
        <v>2.5130222387491825</v>
      </c>
      <c r="DU219" s="4">
        <f t="shared" si="568"/>
        <v>194.26136916020874</v>
      </c>
      <c r="DY219" s="4">
        <f t="shared" si="569"/>
        <v>0.85</v>
      </c>
      <c r="DZ219" s="4">
        <f t="shared" si="570"/>
        <v>0.89881889763779532</v>
      </c>
      <c r="EA219" s="4">
        <f t="shared" si="610"/>
        <v>0.90713466426932854</v>
      </c>
      <c r="EB219" s="4">
        <f t="shared" si="571"/>
        <v>0.81534977894758942</v>
      </c>
      <c r="ED219" s="4">
        <f t="shared" si="611"/>
        <v>370.40590266045024</v>
      </c>
      <c r="EE219" s="25">
        <f t="shared" si="612"/>
        <v>191.81376220352391</v>
      </c>
      <c r="EG219" s="4">
        <f t="shared" si="683"/>
        <v>0.69304731210545101</v>
      </c>
      <c r="EH219" s="4">
        <f t="shared" si="613"/>
        <v>7.1662565049066815</v>
      </c>
      <c r="EK219" s="4">
        <f t="shared" si="572"/>
        <v>63.830764864229231</v>
      </c>
      <c r="EL219" s="4">
        <f t="shared" si="573"/>
        <v>2.5130222387491825</v>
      </c>
      <c r="EM219" s="4">
        <f t="shared" si="574"/>
        <v>9.1231868546160763E-2</v>
      </c>
      <c r="EP219" s="4">
        <f t="shared" si="575"/>
        <v>9.1231868546160763E-2</v>
      </c>
      <c r="EQ219" s="4">
        <f t="shared" si="698"/>
        <v>0.30615410501622836</v>
      </c>
      <c r="ER219" s="4">
        <f t="shared" si="577"/>
        <v>4.4634264611531416</v>
      </c>
      <c r="ES219" s="4">
        <f t="shared" si="578"/>
        <v>5.970613743851005</v>
      </c>
      <c r="ET219" s="4">
        <f t="shared" si="579"/>
        <v>94.419235135770776</v>
      </c>
      <c r="EU219" s="4">
        <f t="shared" si="580"/>
        <v>52.75</v>
      </c>
      <c r="EV219" s="4">
        <f t="shared" si="699"/>
        <v>1.4791679478037025E-5</v>
      </c>
      <c r="EW219" s="4">
        <f t="shared" si="582"/>
        <v>6.9474949086799773</v>
      </c>
      <c r="EX219" s="4">
        <f t="shared" si="707"/>
        <v>385.6196470104523</v>
      </c>
      <c r="FG219" s="23"/>
      <c r="FH219" s="23"/>
      <c r="FI219" s="23"/>
      <c r="FJ219" s="23"/>
      <c r="FK219" s="23"/>
      <c r="FL219" s="23"/>
      <c r="FM219" s="23"/>
      <c r="FN219" s="23"/>
      <c r="FX219" s="4">
        <f t="shared" si="676"/>
        <v>1</v>
      </c>
      <c r="FY219" s="4">
        <f t="shared" si="513"/>
        <v>0.53734064771553958</v>
      </c>
      <c r="FZ219" s="4">
        <f t="shared" si="677"/>
        <v>0.3</v>
      </c>
      <c r="GA219" s="4">
        <f t="shared" si="678"/>
        <v>359.57105850766999</v>
      </c>
    </row>
    <row r="220" spans="1:183" ht="12" customHeight="1" x14ac:dyDescent="0.3">
      <c r="A220" s="25">
        <v>202</v>
      </c>
      <c r="B220" s="24" t="s">
        <v>182</v>
      </c>
      <c r="C220" s="4">
        <v>1996</v>
      </c>
      <c r="D220" s="24" t="s">
        <v>309</v>
      </c>
      <c r="E220" s="24"/>
      <c r="F220" s="4" t="s">
        <v>336</v>
      </c>
      <c r="G220" s="7">
        <v>556</v>
      </c>
      <c r="H220" s="7">
        <f>381-P220-25</f>
        <v>280</v>
      </c>
      <c r="I220" s="7">
        <f t="shared" si="519"/>
        <v>280</v>
      </c>
      <c r="J220" s="7">
        <v>34.5</v>
      </c>
      <c r="K220" s="7">
        <v>35.799999999999997</v>
      </c>
      <c r="L220" s="7">
        <f t="shared" si="588"/>
        <v>7.8212290502793298</v>
      </c>
      <c r="M220" s="7">
        <f t="shared" si="589"/>
        <v>7.8212290502793298</v>
      </c>
      <c r="N220" s="7">
        <v>305</v>
      </c>
      <c r="O220" s="7">
        <v>76</v>
      </c>
      <c r="P220" s="7">
        <v>76</v>
      </c>
      <c r="Q220" s="7">
        <f t="shared" si="687"/>
        <v>81.400000000000006</v>
      </c>
      <c r="R220" s="7">
        <v>2</v>
      </c>
      <c r="S220" s="7">
        <f t="shared" si="684"/>
        <v>280</v>
      </c>
      <c r="T220" s="7">
        <f t="shared" si="685"/>
        <v>1.6368715083798884</v>
      </c>
      <c r="U220" s="7">
        <f t="shared" si="702"/>
        <v>2.6229050279329611</v>
      </c>
      <c r="V220" s="7">
        <f>3025/(K220^2*PI()/4)-1</f>
        <v>2.0051727652257014</v>
      </c>
      <c r="W220" s="7">
        <f>3025/(K220^2*PI()/4)-1</f>
        <v>2.0051727652257014</v>
      </c>
      <c r="X220" s="7">
        <f t="shared" si="523"/>
        <v>3.0051727652257014</v>
      </c>
      <c r="Y220" s="7">
        <f t="shared" si="524"/>
        <v>62.060854190253195</v>
      </c>
      <c r="Z220" s="7">
        <f t="shared" si="703"/>
        <v>556</v>
      </c>
      <c r="AA220" s="7">
        <v>25</v>
      </c>
      <c r="AB220" s="7">
        <f>340*1000/(K220^2*PI()/4)</f>
        <v>337.7714843559466</v>
      </c>
      <c r="AC220" s="7"/>
      <c r="AD220" s="4">
        <f t="shared" si="526"/>
        <v>1.2380919937878554</v>
      </c>
      <c r="AE220" s="7">
        <v>0</v>
      </c>
      <c r="AF220" s="7">
        <v>0</v>
      </c>
      <c r="AG220" s="7">
        <f>I220</f>
        <v>280</v>
      </c>
      <c r="AH220" s="7"/>
      <c r="AI220" s="7"/>
      <c r="AJ220" s="7">
        <f t="shared" si="527"/>
        <v>7.1672354948805461</v>
      </c>
      <c r="AK220" s="4">
        <f t="shared" si="655"/>
        <v>280</v>
      </c>
      <c r="AL220" s="4">
        <f t="shared" si="595"/>
        <v>0.36309523809523808</v>
      </c>
      <c r="AM220" s="4">
        <f t="shared" si="596"/>
        <v>136.69752902409817</v>
      </c>
      <c r="AN220" s="4">
        <f t="shared" si="597"/>
        <v>0.76707142857142852</v>
      </c>
      <c r="AO220" s="4">
        <v>1.25</v>
      </c>
      <c r="AP220" s="4">
        <f t="shared" si="688"/>
        <v>2.5</v>
      </c>
      <c r="AQ220" s="38">
        <f t="shared" si="599"/>
        <v>118.97810455938722</v>
      </c>
      <c r="AR220" s="38">
        <f t="shared" si="600"/>
        <v>118.97810455938722</v>
      </c>
      <c r="AS220" s="38">
        <f t="shared" si="601"/>
        <v>3.1793181165219675</v>
      </c>
      <c r="AT220" s="38">
        <f t="shared" si="691"/>
        <v>118.97810455938726</v>
      </c>
      <c r="AU220" s="38">
        <f t="shared" si="674"/>
        <v>0.99999999999999967</v>
      </c>
      <c r="AV220" s="38">
        <f t="shared" si="692"/>
        <v>1.6681257525259441</v>
      </c>
      <c r="AW220" s="4">
        <f t="shared" si="693"/>
        <v>0</v>
      </c>
      <c r="AX220" s="4">
        <f t="shared" si="528"/>
        <v>241.78588906584861</v>
      </c>
      <c r="AY220" s="4">
        <f t="shared" si="529"/>
        <v>1.2409556313993173</v>
      </c>
      <c r="AZ220" s="38">
        <f t="shared" si="701"/>
        <v>198.47044020223834</v>
      </c>
      <c r="BA220" s="4">
        <f t="shared" si="531"/>
        <v>0.71927581286840181</v>
      </c>
      <c r="BB220" s="4">
        <f t="shared" si="532"/>
        <v>90.868362641677564</v>
      </c>
      <c r="BC220" s="4">
        <f t="shared" si="533"/>
        <v>289.33880284391591</v>
      </c>
      <c r="BE220" s="4">
        <f t="shared" si="689"/>
        <v>1.2807262569832403</v>
      </c>
      <c r="BF220" s="4">
        <f t="shared" si="690"/>
        <v>402.18398012279795</v>
      </c>
      <c r="BH220" s="4">
        <f t="shared" si="704"/>
        <v>190.35742350720918</v>
      </c>
      <c r="BI220" s="4">
        <f t="shared" si="705"/>
        <v>30569.451870773988</v>
      </c>
      <c r="BJ220" s="4">
        <f t="shared" si="706"/>
        <v>160.58975430299554</v>
      </c>
      <c r="BK220" s="4">
        <f t="shared" si="602"/>
        <v>47.1</v>
      </c>
      <c r="BL220" s="4">
        <f t="shared" si="603"/>
        <v>47.1</v>
      </c>
      <c r="BM220" s="4">
        <f t="shared" si="604"/>
        <v>280</v>
      </c>
      <c r="BN220" s="4">
        <f t="shared" si="605"/>
        <v>65</v>
      </c>
      <c r="BO220" s="4">
        <f t="shared" si="606"/>
        <v>1.25</v>
      </c>
      <c r="BP220" s="25">
        <f t="shared" si="607"/>
        <v>2.2695530726256985</v>
      </c>
      <c r="BR220" s="4">
        <f t="shared" si="539"/>
        <v>40.700000000000003</v>
      </c>
      <c r="BV220" s="9"/>
      <c r="BX220" s="9"/>
      <c r="BY220" s="9"/>
      <c r="BZ220" s="9">
        <f t="shared" si="540"/>
        <v>40.700000000000003</v>
      </c>
      <c r="CA220" s="9">
        <f t="shared" si="541"/>
        <v>76</v>
      </c>
      <c r="CB220" s="9">
        <f t="shared" si="694"/>
        <v>1.1709505872794554</v>
      </c>
      <c r="CC220" s="9">
        <v>0</v>
      </c>
      <c r="CD220" s="9">
        <f t="shared" si="543"/>
        <v>0</v>
      </c>
      <c r="CE220" s="9">
        <f t="shared" si="544"/>
        <v>0</v>
      </c>
      <c r="CF220" s="9">
        <f t="shared" si="545"/>
        <v>0.89787751228078194</v>
      </c>
      <c r="CG220" s="9">
        <f t="shared" si="546"/>
        <v>0.91600000000000004</v>
      </c>
      <c r="CH220" s="9">
        <f t="shared" si="695"/>
        <v>1.6907919060582215</v>
      </c>
      <c r="CI220" s="9">
        <f t="shared" si="696"/>
        <v>1.9798337753662243</v>
      </c>
      <c r="CJ220" s="9">
        <v>1</v>
      </c>
      <c r="CK220" s="9">
        <f t="shared" si="697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708">AB220/BF220</f>
        <v>0.83984320870467188</v>
      </c>
      <c r="CP220" s="4">
        <f>AB220/CK220</f>
        <v>1.8689394540824167</v>
      </c>
      <c r="CQ220" s="4">
        <f t="shared" ref="CQ220:CQ227" si="709">AB220/DR220</f>
        <v>1.2380919937878554</v>
      </c>
      <c r="CR220" s="4">
        <f t="shared" ref="CR220:CR221" si="710">AB220/ED220</f>
        <v>1.3383380886118024</v>
      </c>
      <c r="CS220" s="4">
        <f>AB220/GA220</f>
        <v>1.5621311103571764</v>
      </c>
      <c r="CU220" s="4">
        <f t="shared" si="670"/>
        <v>1.3969859269328866</v>
      </c>
      <c r="CV220" s="4">
        <f t="shared" si="670"/>
        <v>1.1673908961949973</v>
      </c>
      <c r="CW220" s="4">
        <f t="shared" si="648"/>
        <v>1.8689394540824167</v>
      </c>
      <c r="CX220" s="4">
        <f t="shared" ref="CX220:CX221" si="711">CS220</f>
        <v>1.5621311103571764</v>
      </c>
      <c r="CY220" s="4">
        <f t="shared" si="671"/>
        <v>1.2380919937878554</v>
      </c>
      <c r="CZ220" s="4">
        <f t="shared" si="671"/>
        <v>1.3383380886118024</v>
      </c>
      <c r="DH220" s="4">
        <f t="shared" si="558"/>
        <v>0</v>
      </c>
      <c r="DI220" s="4">
        <f t="shared" si="559"/>
        <v>280</v>
      </c>
      <c r="DL220" s="4">
        <f t="shared" si="560"/>
        <v>1.4413593384422284E-5</v>
      </c>
      <c r="DM220" s="4">
        <f t="shared" si="561"/>
        <v>5.7560932013474524</v>
      </c>
      <c r="DN220" s="4">
        <f t="shared" si="562"/>
        <v>0.41531802396359924</v>
      </c>
      <c r="DO220" s="4">
        <f t="shared" si="563"/>
        <v>4.0502341293306188</v>
      </c>
      <c r="DP220" s="4">
        <f t="shared" si="564"/>
        <v>4.9770133082573631</v>
      </c>
      <c r="DQ220" s="4">
        <f t="shared" si="565"/>
        <v>5.5599195823198233</v>
      </c>
      <c r="DR220" s="38">
        <f t="shared" si="609"/>
        <v>272.8161445601134</v>
      </c>
      <c r="DS220" s="4">
        <f t="shared" si="566"/>
        <v>1.0001337893468336</v>
      </c>
      <c r="DT220" s="4">
        <f t="shared" si="567"/>
        <v>1.7335434131355643</v>
      </c>
      <c r="DU220" s="4">
        <f t="shared" si="568"/>
        <v>118.97810455938726</v>
      </c>
      <c r="DY220" s="4">
        <f t="shared" si="569"/>
        <v>0.85</v>
      </c>
      <c r="DZ220" s="4">
        <f t="shared" si="570"/>
        <v>0.98631284916201112</v>
      </c>
      <c r="EA220" s="4">
        <f t="shared" si="610"/>
        <v>1</v>
      </c>
      <c r="EB220" s="4">
        <f t="shared" si="571"/>
        <v>0.98631284916201112</v>
      </c>
      <c r="ED220" s="4">
        <f t="shared" si="611"/>
        <v>252.38128334694687</v>
      </c>
      <c r="EE220" s="25">
        <f t="shared" si="612"/>
        <v>117.32211325946476</v>
      </c>
      <c r="EG220" s="4">
        <f t="shared" si="683"/>
        <v>0.83836592178770941</v>
      </c>
      <c r="EH220" s="4">
        <f t="shared" si="613"/>
        <v>5.7560932013474524</v>
      </c>
      <c r="EK220" s="4">
        <f t="shared" si="572"/>
        <v>62.060854190253195</v>
      </c>
      <c r="EL220" s="4">
        <f t="shared" si="573"/>
        <v>1.7335434131355643</v>
      </c>
      <c r="EM220" s="4">
        <f t="shared" si="574"/>
        <v>0.13339071238746128</v>
      </c>
      <c r="EP220" s="4">
        <f t="shared" si="575"/>
        <v>0.13339071238746128</v>
      </c>
      <c r="EQ220" s="4">
        <f t="shared" si="698"/>
        <v>0.41462493558636138</v>
      </c>
      <c r="ER220" s="4">
        <f t="shared" si="577"/>
        <v>4.0475291402057101</v>
      </c>
      <c r="ES220" s="4">
        <f t="shared" si="578"/>
        <v>4.9759143938040786</v>
      </c>
      <c r="ET220" s="4">
        <f t="shared" si="579"/>
        <v>147.9391458097468</v>
      </c>
      <c r="EU220" s="4">
        <f t="shared" si="580"/>
        <v>70</v>
      </c>
      <c r="EV220" s="4">
        <f t="shared" si="699"/>
        <v>1.4413593384422284E-5</v>
      </c>
      <c r="EW220" s="4">
        <f t="shared" si="582"/>
        <v>5.5599740973409251</v>
      </c>
      <c r="EX220" s="4">
        <f t="shared" si="707"/>
        <v>272.77964954897072</v>
      </c>
      <c r="FG220" s="23">
        <f t="shared" ref="FG220:FH221" si="712">IF(CM220&lt;0.6,0.6,IF(CM220&lt;0.8,0.8,IF(CM220&lt;1,1,IF(CM220&lt;1.2,1.2,IF(CM220&lt;1.4,1.4,IF(CM220&lt;1.6,1.6,IF(CM220&lt;1.8,1.8,IF(CM220&lt;2,2,2.2))))))))</f>
        <v>1.4</v>
      </c>
      <c r="FH220" s="23">
        <f t="shared" si="712"/>
        <v>1.2</v>
      </c>
      <c r="FI220" s="23">
        <f t="shared" ref="FI220:FI221" si="713">IF(CS220&lt;0.6,0.6,IF(CS220&lt;0.8,0.8,IF(CS220&lt;1,1,IF(CS220&lt;1.2,1.2,IF(CS220&lt;1.4,1.4,IF(CS220&lt;1.6,1.6,IF(CS220&lt;1.8,1.8,IF(CS220&lt;2,2,2.2))))))))</f>
        <v>1.6</v>
      </c>
      <c r="FJ220" s="23">
        <f t="shared" ref="FJ220:FL221" si="714">IF(CP220&lt;0.6,0.6,IF(CP220&lt;0.8,0.8,IF(CP220&lt;1,1,IF(CP220&lt;1.2,1.2,IF(CP220&lt;1.4,1.4,IF(CP220&lt;1.6,1.6,IF(CP220&lt;1.8,1.8,IF(CP220&lt;2,2,2.2))))))))</f>
        <v>2</v>
      </c>
      <c r="FK220" s="23">
        <f t="shared" si="714"/>
        <v>1.4</v>
      </c>
      <c r="FL220" s="23">
        <f t="shared" si="714"/>
        <v>1.4</v>
      </c>
      <c r="FM220" s="23">
        <f t="shared" ref="FM220:FM221" si="715">IF(FK220&lt;1,1,0)</f>
        <v>0</v>
      </c>
      <c r="FN220" s="23"/>
      <c r="FX220" s="4">
        <f t="shared" si="676"/>
        <v>1</v>
      </c>
      <c r="FY220" s="4">
        <f t="shared" ref="FY220:FY283" si="716">IF(AG220&gt;1, 0.05*(18-MIN(8,(Q220+K220)/K220))*(1-48000/MAX(60000,(G220*145))*(K220/25.4)^0.75*FZ220), 1/12*(14-MIN(8,(Q220+K220)/K220)))</f>
        <v>0.73631284916201123</v>
      </c>
      <c r="FZ220" s="4">
        <f t="shared" si="677"/>
        <v>0</v>
      </c>
      <c r="GA220" s="4">
        <f t="shared" si="678"/>
        <v>216.22479836453434</v>
      </c>
    </row>
    <row r="221" spans="1:183" ht="12" customHeight="1" x14ac:dyDescent="0.3">
      <c r="A221" s="25">
        <v>203</v>
      </c>
      <c r="B221" s="24" t="s">
        <v>182</v>
      </c>
      <c r="C221" s="4">
        <v>1996</v>
      </c>
      <c r="D221" s="24" t="s">
        <v>309</v>
      </c>
      <c r="E221" s="24"/>
      <c r="F221" s="4" t="s">
        <v>337</v>
      </c>
      <c r="G221" s="7">
        <v>556</v>
      </c>
      <c r="H221" s="7">
        <f>381-P221-25</f>
        <v>280</v>
      </c>
      <c r="I221" s="7">
        <f t="shared" si="519"/>
        <v>280</v>
      </c>
      <c r="J221" s="7">
        <v>34.5</v>
      </c>
      <c r="K221" s="7">
        <v>35.799999999999997</v>
      </c>
      <c r="L221" s="7">
        <f t="shared" si="588"/>
        <v>7.8212290502793298</v>
      </c>
      <c r="M221" s="7">
        <f t="shared" si="589"/>
        <v>7.8212290502793298</v>
      </c>
      <c r="N221" s="7">
        <v>305</v>
      </c>
      <c r="O221" s="7">
        <v>76</v>
      </c>
      <c r="P221" s="7">
        <v>76</v>
      </c>
      <c r="Q221" s="7">
        <f t="shared" si="687"/>
        <v>81.400000000000006</v>
      </c>
      <c r="R221" s="7">
        <v>2</v>
      </c>
      <c r="S221" s="7">
        <f t="shared" si="684"/>
        <v>280</v>
      </c>
      <c r="T221" s="7">
        <f t="shared" si="685"/>
        <v>1.6368715083798884</v>
      </c>
      <c r="U221" s="7">
        <f t="shared" si="702"/>
        <v>2.6229050279329611</v>
      </c>
      <c r="V221" s="7">
        <f>2970/(K221^2*PI()/4)-1</f>
        <v>1.9505332604034158</v>
      </c>
      <c r="W221" s="7">
        <f>2970/(K221^2*PI()/4)-1</f>
        <v>1.9505332604034158</v>
      </c>
      <c r="X221" s="7">
        <f t="shared" si="523"/>
        <v>2.9505332604034158</v>
      </c>
      <c r="Y221" s="7">
        <f t="shared" si="524"/>
        <v>61.494076526633307</v>
      </c>
      <c r="Z221" s="7">
        <f t="shared" si="703"/>
        <v>556</v>
      </c>
      <c r="AA221" s="7">
        <v>25</v>
      </c>
      <c r="AB221" s="7">
        <f>271*1000/(K221^2*PI()/4)</f>
        <v>269.22374194253388</v>
      </c>
      <c r="AC221" s="7"/>
      <c r="AD221" s="4">
        <f t="shared" si="526"/>
        <v>0.98516281921633742</v>
      </c>
      <c r="AE221" s="7">
        <v>0</v>
      </c>
      <c r="AF221" s="7">
        <v>0</v>
      </c>
      <c r="AG221" s="7">
        <f>I221</f>
        <v>280</v>
      </c>
      <c r="AH221" s="7"/>
      <c r="AI221" s="7"/>
      <c r="AJ221" s="7">
        <f t="shared" si="527"/>
        <v>7.1672354948805461</v>
      </c>
      <c r="AK221" s="4">
        <f t="shared" si="655"/>
        <v>280</v>
      </c>
      <c r="AL221" s="4">
        <f t="shared" si="595"/>
        <v>0.36309523809523808</v>
      </c>
      <c r="AM221" s="4">
        <f t="shared" si="596"/>
        <v>136.69752902409817</v>
      </c>
      <c r="AN221" s="4">
        <f t="shared" si="597"/>
        <v>0.76707142857142852</v>
      </c>
      <c r="AO221" s="4">
        <v>1.25</v>
      </c>
      <c r="AP221" s="4">
        <f t="shared" si="688"/>
        <v>2.5</v>
      </c>
      <c r="AQ221" s="38">
        <f t="shared" si="599"/>
        <v>118.97810455938722</v>
      </c>
      <c r="AR221" s="38">
        <f t="shared" si="600"/>
        <v>118.97810455938722</v>
      </c>
      <c r="AS221" s="38">
        <f t="shared" si="601"/>
        <v>3.1793181165219675</v>
      </c>
      <c r="AT221" s="38">
        <f t="shared" si="691"/>
        <v>118.97810455938726</v>
      </c>
      <c r="AU221" s="38">
        <f t="shared" si="674"/>
        <v>0.99999999999999967</v>
      </c>
      <c r="AV221" s="38">
        <f t="shared" si="692"/>
        <v>1.6452411697278291</v>
      </c>
      <c r="AW221" s="4">
        <f t="shared" si="693"/>
        <v>0</v>
      </c>
      <c r="AX221" s="4">
        <f t="shared" si="528"/>
        <v>241.78588906584861</v>
      </c>
      <c r="AY221" s="4">
        <f t="shared" si="529"/>
        <v>1.2409556313993173</v>
      </c>
      <c r="AZ221" s="38">
        <f t="shared" si="701"/>
        <v>195.74767591728624</v>
      </c>
      <c r="BA221" s="4">
        <f t="shared" si="531"/>
        <v>0.72692534354352178</v>
      </c>
      <c r="BB221" s="4">
        <f t="shared" si="532"/>
        <v>91.834751772230206</v>
      </c>
      <c r="BC221" s="4">
        <f t="shared" si="533"/>
        <v>287.58242768951646</v>
      </c>
      <c r="BE221" s="4">
        <f t="shared" si="689"/>
        <v>1.2807262569832403</v>
      </c>
      <c r="BF221" s="4">
        <f t="shared" si="690"/>
        <v>402.18398012279795</v>
      </c>
      <c r="BH221" s="4">
        <f t="shared" si="704"/>
        <v>187.74595958556532</v>
      </c>
      <c r="BI221" s="4">
        <f t="shared" si="705"/>
        <v>39749.280546165857</v>
      </c>
      <c r="BJ221" s="4">
        <f t="shared" si="706"/>
        <v>211.7184339620907</v>
      </c>
      <c r="BK221" s="4">
        <f t="shared" si="602"/>
        <v>47.1</v>
      </c>
      <c r="BL221" s="4">
        <f t="shared" si="603"/>
        <v>47.1</v>
      </c>
      <c r="BM221" s="4">
        <f t="shared" si="604"/>
        <v>280</v>
      </c>
      <c r="BN221" s="4">
        <f t="shared" si="605"/>
        <v>65</v>
      </c>
      <c r="BO221" s="4">
        <f t="shared" si="606"/>
        <v>1.25</v>
      </c>
      <c r="BP221" s="25">
        <f t="shared" si="607"/>
        <v>2.2695530726256985</v>
      </c>
      <c r="BR221" s="4">
        <f t="shared" si="539"/>
        <v>40.700000000000003</v>
      </c>
      <c r="BV221" s="9"/>
      <c r="BX221" s="9"/>
      <c r="BY221" s="9"/>
      <c r="BZ221" s="9">
        <f t="shared" si="540"/>
        <v>40.700000000000003</v>
      </c>
      <c r="CA221" s="9">
        <f t="shared" si="541"/>
        <v>76</v>
      </c>
      <c r="CB221" s="9">
        <f t="shared" si="694"/>
        <v>1.1709505872794554</v>
      </c>
      <c r="CC221" s="9">
        <v>0</v>
      </c>
      <c r="CD221" s="9">
        <f t="shared" si="543"/>
        <v>0</v>
      </c>
      <c r="CE221" s="9">
        <f t="shared" si="544"/>
        <v>0</v>
      </c>
      <c r="CF221" s="9">
        <f t="shared" si="545"/>
        <v>0.89787751228078194</v>
      </c>
      <c r="CG221" s="9">
        <f t="shared" si="546"/>
        <v>0.91600000000000004</v>
      </c>
      <c r="CH221" s="9">
        <f t="shared" si="695"/>
        <v>1.6907919060582215</v>
      </c>
      <c r="CI221" s="9">
        <f t="shared" si="696"/>
        <v>1.9798337753662243</v>
      </c>
      <c r="CJ221" s="9">
        <v>1</v>
      </c>
      <c r="CK221" s="9">
        <f t="shared" si="697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708"/>
        <v>0.66940443987931186</v>
      </c>
      <c r="CP221" s="4">
        <f>AB221/CK221</f>
        <v>1.4896546825186321</v>
      </c>
      <c r="CQ221" s="4">
        <f t="shared" si="709"/>
        <v>0.98516281921633742</v>
      </c>
      <c r="CR221" s="4">
        <f t="shared" si="710"/>
        <v>1.0667341823935248</v>
      </c>
      <c r="CS221" s="4">
        <f>AB221/GA221</f>
        <v>1.2451103850199845</v>
      </c>
      <c r="CU221" s="4">
        <f t="shared" si="670"/>
        <v>1.1134799594082712</v>
      </c>
      <c r="CV221" s="4">
        <f t="shared" si="670"/>
        <v>0.93616200442259556</v>
      </c>
      <c r="CW221" s="4">
        <f t="shared" si="648"/>
        <v>1.4896546825186321</v>
      </c>
      <c r="CX221" s="4">
        <f t="shared" si="711"/>
        <v>1.2451103850199845</v>
      </c>
      <c r="CY221" s="4">
        <f t="shared" si="671"/>
        <v>0.98516281921633742</v>
      </c>
      <c r="CZ221" s="4">
        <f t="shared" si="671"/>
        <v>1.0667341823935248</v>
      </c>
      <c r="DH221" s="4">
        <f t="shared" si="558"/>
        <v>0</v>
      </c>
      <c r="DI221" s="4">
        <f t="shared" si="559"/>
        <v>280</v>
      </c>
      <c r="DL221" s="4">
        <f t="shared" si="560"/>
        <v>1.4413593384422284E-5</v>
      </c>
      <c r="DM221" s="4">
        <f t="shared" si="561"/>
        <v>5.7560932013474524</v>
      </c>
      <c r="DN221" s="4">
        <f t="shared" si="562"/>
        <v>0.4230529727962522</v>
      </c>
      <c r="DO221" s="4">
        <f t="shared" si="563"/>
        <v>4.0802400819337299</v>
      </c>
      <c r="DP221" s="4">
        <f t="shared" si="564"/>
        <v>4.9892368362464685</v>
      </c>
      <c r="DQ221" s="4">
        <f t="shared" si="565"/>
        <v>5.5592290458545044</v>
      </c>
      <c r="DR221" s="38">
        <f t="shared" si="609"/>
        <v>273.2784233135107</v>
      </c>
      <c r="DS221" s="4">
        <f t="shared" si="566"/>
        <v>1.0001345161737132</v>
      </c>
      <c r="DT221" s="4">
        <f t="shared" si="567"/>
        <v>1.7177116348221595</v>
      </c>
      <c r="DU221" s="4">
        <f t="shared" si="568"/>
        <v>118.97810455938726</v>
      </c>
      <c r="DY221" s="4">
        <f t="shared" si="569"/>
        <v>0.85</v>
      </c>
      <c r="DZ221" s="4">
        <f t="shared" si="570"/>
        <v>0.98631284916201112</v>
      </c>
      <c r="EA221" s="4">
        <f t="shared" si="610"/>
        <v>1</v>
      </c>
      <c r="EB221" s="4">
        <f t="shared" si="571"/>
        <v>0.98631284916201112</v>
      </c>
      <c r="ED221" s="4">
        <f t="shared" si="611"/>
        <v>252.38128334694687</v>
      </c>
      <c r="EE221" s="25">
        <f t="shared" si="612"/>
        <v>117.32211325946476</v>
      </c>
      <c r="EG221" s="4">
        <f t="shared" si="683"/>
        <v>0.83836592178770941</v>
      </c>
      <c r="EH221" s="4">
        <f t="shared" si="613"/>
        <v>5.7560932013474524</v>
      </c>
      <c r="EK221" s="4">
        <f t="shared" si="572"/>
        <v>61.494076526633307</v>
      </c>
      <c r="EL221" s="4">
        <f t="shared" si="573"/>
        <v>1.7177116348221595</v>
      </c>
      <c r="EM221" s="4">
        <f t="shared" si="574"/>
        <v>0.1358750021980055</v>
      </c>
      <c r="EP221" s="4">
        <f t="shared" si="575"/>
        <v>0.1358750021980055</v>
      </c>
      <c r="EQ221" s="4">
        <f t="shared" si="698"/>
        <v>0.42234697623101108</v>
      </c>
      <c r="ER221" s="4">
        <f t="shared" si="577"/>
        <v>4.0775150530350981</v>
      </c>
      <c r="ES221" s="4">
        <f t="shared" si="578"/>
        <v>4.9881242126995069</v>
      </c>
      <c r="ET221" s="4">
        <f t="shared" si="579"/>
        <v>148.50592347336669</v>
      </c>
      <c r="EU221" s="4">
        <f t="shared" si="580"/>
        <v>70</v>
      </c>
      <c r="EV221" s="4">
        <f t="shared" si="699"/>
        <v>1.4413593384422284E-5</v>
      </c>
      <c r="EW221" s="4">
        <f t="shared" si="582"/>
        <v>5.5592839498710775</v>
      </c>
      <c r="EX221" s="4">
        <f t="shared" si="707"/>
        <v>273.24166788984712</v>
      </c>
      <c r="FG221" s="23">
        <f t="shared" si="712"/>
        <v>1.2</v>
      </c>
      <c r="FH221" s="23">
        <f t="shared" si="712"/>
        <v>1</v>
      </c>
      <c r="FI221" s="23">
        <f t="shared" si="713"/>
        <v>1.4</v>
      </c>
      <c r="FJ221" s="23">
        <f t="shared" si="714"/>
        <v>1.6</v>
      </c>
      <c r="FK221" s="23">
        <f t="shared" si="714"/>
        <v>1</v>
      </c>
      <c r="FL221" s="23">
        <f t="shared" si="714"/>
        <v>1.2</v>
      </c>
      <c r="FM221" s="23">
        <f t="shared" si="715"/>
        <v>0</v>
      </c>
      <c r="FN221" s="23"/>
      <c r="FX221" s="4">
        <f t="shared" si="676"/>
        <v>1</v>
      </c>
      <c r="FY221" s="4">
        <f t="shared" si="716"/>
        <v>0.73631284916201123</v>
      </c>
      <c r="FZ221" s="4">
        <f t="shared" si="677"/>
        <v>0</v>
      </c>
      <c r="GA221" s="4">
        <f t="shared" si="678"/>
        <v>216.22479836453434</v>
      </c>
    </row>
    <row r="222" spans="1:183" ht="12" customHeight="1" x14ac:dyDescent="0.3">
      <c r="A222" s="25">
        <v>204</v>
      </c>
      <c r="B222" s="24" t="s">
        <v>182</v>
      </c>
      <c r="C222" s="4">
        <v>1996</v>
      </c>
      <c r="D222" s="24" t="s">
        <v>309</v>
      </c>
      <c r="E222" s="24"/>
      <c r="F222" s="4" t="s">
        <v>338</v>
      </c>
      <c r="G222" s="7">
        <v>556</v>
      </c>
      <c r="H222" s="7">
        <f>381-P222-25</f>
        <v>280</v>
      </c>
      <c r="I222" s="7">
        <f t="shared" si="519"/>
        <v>280</v>
      </c>
      <c r="J222" s="7">
        <v>35</v>
      </c>
      <c r="K222" s="7">
        <v>35.799999999999997</v>
      </c>
      <c r="L222" s="7">
        <f t="shared" si="588"/>
        <v>7.8212290502793298</v>
      </c>
      <c r="M222" s="7">
        <f t="shared" si="589"/>
        <v>7.8212290502793298</v>
      </c>
      <c r="N222" s="7">
        <v>305</v>
      </c>
      <c r="O222" s="7">
        <v>76</v>
      </c>
      <c r="P222" s="7">
        <v>76</v>
      </c>
      <c r="Q222" s="7">
        <f t="shared" si="687"/>
        <v>81.400000000000006</v>
      </c>
      <c r="R222" s="7">
        <v>2</v>
      </c>
      <c r="S222" s="7">
        <f t="shared" si="684"/>
        <v>280</v>
      </c>
      <c r="T222" s="7">
        <f t="shared" si="685"/>
        <v>1.6368715083798884</v>
      </c>
      <c r="U222" s="7">
        <f t="shared" si="702"/>
        <v>2.6229050279329611</v>
      </c>
      <c r="V222" s="7">
        <f>5500/(K222^2*PI()/4)-1</f>
        <v>4.4639504822285474</v>
      </c>
      <c r="W222" s="7">
        <f t="shared" si="686"/>
        <v>4.4639504822285474</v>
      </c>
      <c r="X222" s="7">
        <f t="shared" si="523"/>
        <v>5.4639504822285474</v>
      </c>
      <c r="Y222" s="7">
        <f t="shared" si="524"/>
        <v>83.682838718840046</v>
      </c>
      <c r="Z222" s="7">
        <f t="shared" si="703"/>
        <v>556</v>
      </c>
      <c r="AA222" s="7">
        <v>25</v>
      </c>
      <c r="AB222" s="7"/>
      <c r="AC222" s="32" t="s">
        <v>183</v>
      </c>
      <c r="AD222" s="4">
        <f t="shared" si="526"/>
        <v>0</v>
      </c>
      <c r="AE222" s="7">
        <v>9.5</v>
      </c>
      <c r="AF222" s="7">
        <v>2</v>
      </c>
      <c r="AG222" s="7">
        <v>102</v>
      </c>
      <c r="AH222" s="7">
        <v>4</v>
      </c>
      <c r="AI222" s="7">
        <f>AF222</f>
        <v>2</v>
      </c>
      <c r="AJ222" s="7">
        <f t="shared" si="527"/>
        <v>7.1672354948805461</v>
      </c>
      <c r="AK222" s="4">
        <f t="shared" si="655"/>
        <v>280</v>
      </c>
      <c r="AL222" s="4">
        <f t="shared" si="595"/>
        <v>0.36309523809523808</v>
      </c>
      <c r="AM222" s="4">
        <f t="shared" si="596"/>
        <v>137.68452761055582</v>
      </c>
      <c r="AN222" s="4">
        <f t="shared" si="597"/>
        <v>0.76707142857142852</v>
      </c>
      <c r="AO222" s="4">
        <v>1.25</v>
      </c>
      <c r="AP222" s="4">
        <f t="shared" si="688"/>
        <v>2.5</v>
      </c>
      <c r="AQ222" s="38">
        <f t="shared" si="599"/>
        <v>119.83716340162</v>
      </c>
      <c r="AR222" s="38">
        <f t="shared" si="600"/>
        <v>119.83716340162</v>
      </c>
      <c r="AS222" s="38">
        <f t="shared" si="601"/>
        <v>3.2099624416952368</v>
      </c>
      <c r="AT222" s="38">
        <f t="shared" si="691"/>
        <v>119.83716340162006</v>
      </c>
      <c r="AU222" s="38">
        <f t="shared" si="674"/>
        <v>0.99999999999999956</v>
      </c>
      <c r="AV222" s="38">
        <f t="shared" si="692"/>
        <v>2.5069002130823193</v>
      </c>
      <c r="AW222" s="4">
        <f t="shared" si="693"/>
        <v>0</v>
      </c>
      <c r="AX222" s="4">
        <f t="shared" si="528"/>
        <v>243.53165822815239</v>
      </c>
      <c r="AY222" s="4">
        <f t="shared" si="529"/>
        <v>1.2409556313993173</v>
      </c>
      <c r="AZ222" s="38">
        <f t="shared" si="701"/>
        <v>300.41981046670202</v>
      </c>
      <c r="BA222" s="4">
        <f t="shared" si="531"/>
        <v>0.37504693248800336</v>
      </c>
      <c r="BB222" s="4">
        <f t="shared" si="532"/>
        <v>47.722956222191854</v>
      </c>
      <c r="BC222" s="4">
        <f t="shared" si="533"/>
        <v>348.14276668889386</v>
      </c>
      <c r="BE222" s="4">
        <f t="shared" si="689"/>
        <v>1.5</v>
      </c>
      <c r="BF222" s="4">
        <f t="shared" si="690"/>
        <v>474.44315802455304</v>
      </c>
      <c r="BH222" s="4">
        <f t="shared" si="704"/>
        <v>288.13933718639765</v>
      </c>
      <c r="BI222" s="4">
        <f t="shared" si="705"/>
        <v>1562.4220485187734</v>
      </c>
      <c r="BJ222" s="4">
        <f t="shared" si="706"/>
        <v>5.4224531220742032</v>
      </c>
      <c r="BK222" s="4">
        <f t="shared" si="602"/>
        <v>47.1</v>
      </c>
      <c r="BL222" s="4">
        <f t="shared" si="603"/>
        <v>47.1</v>
      </c>
      <c r="BM222" s="4">
        <f t="shared" si="604"/>
        <v>280</v>
      </c>
      <c r="BN222" s="4">
        <f t="shared" si="605"/>
        <v>65</v>
      </c>
      <c r="BO222" s="4">
        <f t="shared" si="606"/>
        <v>1.25</v>
      </c>
      <c r="BP222" s="25">
        <f t="shared" si="607"/>
        <v>3.1611600171231666</v>
      </c>
      <c r="BR222" s="4">
        <f t="shared" si="539"/>
        <v>40.700000000000003</v>
      </c>
      <c r="BV222" s="9"/>
      <c r="BX222" s="9"/>
      <c r="BY222" s="9"/>
      <c r="BZ222" s="9">
        <f t="shared" si="540"/>
        <v>40.700000000000003</v>
      </c>
      <c r="CA222" s="9">
        <f t="shared" si="541"/>
        <v>76</v>
      </c>
      <c r="CB222" s="9">
        <f t="shared" si="694"/>
        <v>1.1709505872794554</v>
      </c>
      <c r="CC222" s="9">
        <v>20</v>
      </c>
      <c r="CD222" s="9">
        <f t="shared" si="543"/>
        <v>3.8822534914349713E-2</v>
      </c>
      <c r="CE222" s="9">
        <f t="shared" si="544"/>
        <v>0.57645069828699425</v>
      </c>
      <c r="CF222" s="9">
        <f t="shared" si="545"/>
        <v>0.89787751228078194</v>
      </c>
      <c r="CG222" s="9">
        <f t="shared" si="546"/>
        <v>0.91600000000000004</v>
      </c>
      <c r="CH222" s="9">
        <f t="shared" si="695"/>
        <v>1.7029999483921783</v>
      </c>
      <c r="CI222" s="9">
        <f t="shared" si="696"/>
        <v>2.9758242991400894</v>
      </c>
      <c r="CJ222" s="9">
        <v>1</v>
      </c>
      <c r="CK222" s="9">
        <f t="shared" si="697"/>
        <v>271.64787177625175</v>
      </c>
      <c r="DH222" s="4">
        <f t="shared" si="558"/>
        <v>2</v>
      </c>
      <c r="DI222" s="4">
        <f t="shared" si="559"/>
        <v>280</v>
      </c>
      <c r="DL222" s="4">
        <f t="shared" si="560"/>
        <v>1.4463124191571349E-5</v>
      </c>
      <c r="DM222" s="4">
        <f t="shared" si="561"/>
        <v>5.8532664976699591</v>
      </c>
      <c r="DN222" s="4">
        <f t="shared" si="562"/>
        <v>0.24975108781264987</v>
      </c>
      <c r="DO222" s="4">
        <f t="shared" si="563"/>
        <v>3.3604795222157038</v>
      </c>
      <c r="DP222" s="4">
        <f t="shared" si="564"/>
        <v>4.7736376935091256</v>
      </c>
      <c r="DQ222" s="4">
        <f t="shared" si="565"/>
        <v>5.669958822199864</v>
      </c>
      <c r="DR222" s="38">
        <f t="shared" si="609"/>
        <v>262.9772690841171</v>
      </c>
      <c r="DS222" s="4">
        <f t="shared" si="566"/>
        <v>1.0001205169272527</v>
      </c>
      <c r="DT222" s="4">
        <f t="shared" si="567"/>
        <v>2.3375094614201131</v>
      </c>
      <c r="DU222" s="4">
        <f t="shared" si="568"/>
        <v>119.83716340162006</v>
      </c>
      <c r="DY222" s="4">
        <f t="shared" si="569"/>
        <v>0.85</v>
      </c>
      <c r="DZ222" s="4">
        <f t="shared" si="570"/>
        <v>0.98631284916201112</v>
      </c>
      <c r="EA222" s="4">
        <f t="shared" si="610"/>
        <v>0.99049889204456787</v>
      </c>
      <c r="EB222" s="4">
        <f t="shared" si="571"/>
        <v>0.97694178430429301</v>
      </c>
      <c r="ED222" s="4">
        <f t="shared" si="611"/>
        <v>255.5084292423501</v>
      </c>
      <c r="EE222" s="25">
        <f t="shared" si="612"/>
        <v>118.16921533054099</v>
      </c>
      <c r="EG222" s="4">
        <f t="shared" si="683"/>
        <v>0.830400516658649</v>
      </c>
      <c r="EH222" s="4">
        <f t="shared" si="613"/>
        <v>5.8532664976699591</v>
      </c>
      <c r="EK222" s="4">
        <f t="shared" si="572"/>
        <v>83.682838718840046</v>
      </c>
      <c r="EL222" s="4">
        <f t="shared" si="573"/>
        <v>2.3375094614201131</v>
      </c>
      <c r="EM222" s="4">
        <f t="shared" si="574"/>
        <v>8.0793547209318639E-2</v>
      </c>
      <c r="EP222" s="4">
        <f t="shared" si="575"/>
        <v>8.0793547209318639E-2</v>
      </c>
      <c r="EQ222" s="4">
        <f t="shared" si="698"/>
        <v>0.24933429979436575</v>
      </c>
      <c r="ER222" s="4">
        <f t="shared" si="577"/>
        <v>3.3582351925617111</v>
      </c>
      <c r="ES222" s="4">
        <f t="shared" si="578"/>
        <v>4.7728524504637697</v>
      </c>
      <c r="ET222" s="4">
        <f t="shared" si="579"/>
        <v>126.31716128115995</v>
      </c>
      <c r="EU222" s="4">
        <f t="shared" si="580"/>
        <v>69.999999999999986</v>
      </c>
      <c r="EV222" s="4">
        <f t="shared" si="699"/>
        <v>1.4463124191571347E-5</v>
      </c>
      <c r="EW222" s="4">
        <f t="shared" si="582"/>
        <v>5.6700071290405187</v>
      </c>
      <c r="EX222" s="4">
        <f t="shared" si="707"/>
        <v>262.94557969081808</v>
      </c>
      <c r="FG222" s="23"/>
      <c r="FH222" s="23"/>
      <c r="FI222" s="23"/>
      <c r="FJ222" s="23"/>
      <c r="FK222" s="23"/>
      <c r="FL222" s="23"/>
      <c r="FM222" s="23"/>
      <c r="FN222" s="23"/>
      <c r="FX222" s="4">
        <f t="shared" si="676"/>
        <v>1</v>
      </c>
      <c r="FY222" s="4">
        <f t="shared" si="716"/>
        <v>0.57658194354098002</v>
      </c>
      <c r="FZ222" s="4">
        <f t="shared" si="677"/>
        <v>0.28167035985144034</v>
      </c>
      <c r="GA222" s="4">
        <f t="shared" si="678"/>
        <v>277.12077165548715</v>
      </c>
    </row>
    <row r="223" spans="1:183" ht="12" customHeight="1" x14ac:dyDescent="0.3">
      <c r="A223" s="25">
        <v>205</v>
      </c>
      <c r="B223" s="24" t="s">
        <v>182</v>
      </c>
      <c r="C223" s="4">
        <v>1996</v>
      </c>
      <c r="D223" s="24" t="s">
        <v>309</v>
      </c>
      <c r="E223" s="24"/>
      <c r="F223" s="4" t="s">
        <v>339</v>
      </c>
      <c r="G223" s="7">
        <v>578</v>
      </c>
      <c r="H223" s="7">
        <f>305-P223-18</f>
        <v>211</v>
      </c>
      <c r="I223" s="7">
        <f t="shared" si="519"/>
        <v>211</v>
      </c>
      <c r="J223" s="7">
        <v>35</v>
      </c>
      <c r="K223" s="7">
        <v>25.4</v>
      </c>
      <c r="L223" s="7">
        <f t="shared" si="588"/>
        <v>8.3070866141732296</v>
      </c>
      <c r="M223" s="7">
        <f t="shared" si="589"/>
        <v>8.3070866141732296</v>
      </c>
      <c r="N223" s="7">
        <v>305</v>
      </c>
      <c r="O223" s="7">
        <v>38</v>
      </c>
      <c r="P223" s="7">
        <v>76</v>
      </c>
      <c r="Q223" s="7">
        <f>N223-2*K223-2*O223</f>
        <v>178.2</v>
      </c>
      <c r="R223" s="7">
        <v>2</v>
      </c>
      <c r="S223" s="7">
        <f t="shared" si="684"/>
        <v>280</v>
      </c>
      <c r="T223" s="7">
        <f t="shared" si="685"/>
        <v>1.9960629921259843</v>
      </c>
      <c r="U223" s="7">
        <f t="shared" si="702"/>
        <v>1.9960629921259843</v>
      </c>
      <c r="V223" s="7">
        <f>3200/(K223^2*PI()/4)-1</f>
        <v>5.3152807724479523</v>
      </c>
      <c r="W223" s="7">
        <f>3200/(K223^2*PI()/4)-1</f>
        <v>5.3152807724479523</v>
      </c>
      <c r="X223" s="7">
        <f t="shared" si="523"/>
        <v>6.3152807724479523</v>
      </c>
      <c r="Y223" s="7">
        <f t="shared" si="524"/>
        <v>63.830764864229231</v>
      </c>
      <c r="Z223" s="7">
        <f t="shared" si="703"/>
        <v>578</v>
      </c>
      <c r="AA223" s="7">
        <v>18</v>
      </c>
      <c r="AB223" s="7">
        <f>178*1000/(K223^2*PI()/4)</f>
        <v>351.28749296741734</v>
      </c>
      <c r="AC223" s="7"/>
      <c r="AD223" s="4">
        <f t="shared" si="526"/>
        <v>0.93206382246205521</v>
      </c>
      <c r="AE223" s="7">
        <v>0</v>
      </c>
      <c r="AF223" s="7">
        <v>0</v>
      </c>
      <c r="AG223" s="7">
        <f>I223</f>
        <v>211</v>
      </c>
      <c r="AH223" s="7"/>
      <c r="AI223" s="7"/>
      <c r="AJ223" s="7">
        <f t="shared" si="527"/>
        <v>3.1090373280943027</v>
      </c>
      <c r="AK223" s="4">
        <f t="shared" si="655"/>
        <v>211</v>
      </c>
      <c r="AL223" s="4">
        <f t="shared" si="595"/>
        <v>0.48183254344391785</v>
      </c>
      <c r="AM223" s="4">
        <f t="shared" si="596"/>
        <v>178.92474002033066</v>
      </c>
      <c r="AN223" s="4">
        <f t="shared" si="597"/>
        <v>0.7480568720379146</v>
      </c>
      <c r="AO223" s="4">
        <v>1.25</v>
      </c>
      <c r="AP223" s="4">
        <f t="shared" si="688"/>
        <v>2.5</v>
      </c>
      <c r="AQ223" s="38">
        <f t="shared" si="599"/>
        <v>201.53531700084281</v>
      </c>
      <c r="AR223" s="38">
        <f t="shared" si="600"/>
        <v>201.53531700084281</v>
      </c>
      <c r="AS223" s="38">
        <f t="shared" si="601"/>
        <v>3.2099624416952368</v>
      </c>
      <c r="AT223" s="38">
        <f t="shared" si="691"/>
        <v>201.53531700084287</v>
      </c>
      <c r="AU223" s="38">
        <f t="shared" si="674"/>
        <v>0.99999999999999967</v>
      </c>
      <c r="AV223" s="38">
        <f t="shared" si="692"/>
        <v>1.5983954151836357</v>
      </c>
      <c r="AW223" s="4">
        <f t="shared" si="693"/>
        <v>0</v>
      </c>
      <c r="AX223" s="4">
        <f t="shared" si="528"/>
        <v>258.6599324977247</v>
      </c>
      <c r="AY223" s="4">
        <f t="shared" si="529"/>
        <v>1</v>
      </c>
      <c r="AZ223" s="38">
        <f t="shared" si="701"/>
        <v>322.13312669172785</v>
      </c>
      <c r="BA223" s="4">
        <f t="shared" si="531"/>
        <v>0.3</v>
      </c>
      <c r="BB223" s="4">
        <f t="shared" si="532"/>
        <v>40.544944419018336</v>
      </c>
      <c r="BC223" s="4">
        <f t="shared" si="533"/>
        <v>362.6780711107462</v>
      </c>
      <c r="BE223" s="4">
        <f t="shared" si="689"/>
        <v>1.1240157480314961</v>
      </c>
      <c r="BF223" s="4">
        <f t="shared" si="690"/>
        <v>365.21357266639933</v>
      </c>
      <c r="BH223" s="4">
        <f t="shared" si="704"/>
        <v>308.96506281174231</v>
      </c>
      <c r="BI223" s="4">
        <f t="shared" si="705"/>
        <v>2245.2309649218914</v>
      </c>
      <c r="BJ223" s="4">
        <f t="shared" si="706"/>
        <v>7.2669412667216324</v>
      </c>
      <c r="BK223" s="4">
        <f t="shared" si="602"/>
        <v>38</v>
      </c>
      <c r="BL223" s="4">
        <f t="shared" si="603"/>
        <v>38</v>
      </c>
      <c r="BM223" s="4">
        <f t="shared" si="604"/>
        <v>280</v>
      </c>
      <c r="BN223" s="4">
        <f t="shared" si="605"/>
        <v>50.7</v>
      </c>
      <c r="BO223" s="4">
        <f t="shared" si="606"/>
        <v>1.25</v>
      </c>
      <c r="BP223" s="25">
        <f t="shared" si="607"/>
        <v>2.4950787401574805</v>
      </c>
      <c r="BR223" s="4">
        <f t="shared" si="539"/>
        <v>38</v>
      </c>
      <c r="BV223" s="9"/>
      <c r="BX223" s="9"/>
      <c r="BY223" s="9"/>
      <c r="BZ223" s="9">
        <f t="shared" si="540"/>
        <v>38</v>
      </c>
      <c r="CA223" s="9">
        <f t="shared" si="541"/>
        <v>89.1</v>
      </c>
      <c r="CB223" s="9">
        <f t="shared" si="694"/>
        <v>1.3899176059121618</v>
      </c>
      <c r="CC223" s="9">
        <v>0</v>
      </c>
      <c r="CD223" s="9">
        <f t="shared" si="543"/>
        <v>0</v>
      </c>
      <c r="CE223" s="9">
        <f t="shared" si="544"/>
        <v>0</v>
      </c>
      <c r="CF223" s="9">
        <f t="shared" si="545"/>
        <v>0.99524931562137331</v>
      </c>
      <c r="CG223" s="9">
        <f t="shared" si="546"/>
        <v>0.88300000000000001</v>
      </c>
      <c r="CH223" s="9">
        <f t="shared" si="695"/>
        <v>1.8196784745027872</v>
      </c>
      <c r="CI223" s="9">
        <f t="shared" si="696"/>
        <v>2.5292031488108089</v>
      </c>
      <c r="CJ223" s="9">
        <v>1</v>
      </c>
      <c r="CK223" s="9">
        <f t="shared" si="697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717">AB223/BF223</f>
        <v>0.96186866879752408</v>
      </c>
      <c r="CP223" s="4">
        <f>AB223/CK223</f>
        <v>1.4898103684061734</v>
      </c>
      <c r="CQ223" s="4">
        <f t="shared" si="709"/>
        <v>0.93206382246205521</v>
      </c>
      <c r="CR223" s="4">
        <f t="shared" ref="CR223:CR225" si="718">AB223/ED223</f>
        <v>0.96123910886210173</v>
      </c>
      <c r="CS223" s="4">
        <f>AB223/GA223</f>
        <v>1.08971818573285</v>
      </c>
      <c r="CU223" s="4">
        <f t="shared" si="670"/>
        <v>1.358105561906104</v>
      </c>
      <c r="CV223" s="4">
        <f t="shared" si="670"/>
        <v>0.96859314347723358</v>
      </c>
      <c r="CW223" s="4">
        <f t="shared" si="648"/>
        <v>1.4898103684061734</v>
      </c>
      <c r="CX223" s="4">
        <f t="shared" ref="CX223:CX224" si="719">CS223</f>
        <v>1.08971818573285</v>
      </c>
      <c r="CY223" s="4">
        <f t="shared" si="671"/>
        <v>0.93206382246205521</v>
      </c>
      <c r="CZ223" s="4">
        <f t="shared" si="671"/>
        <v>0.96123910886210173</v>
      </c>
      <c r="DH223" s="4">
        <f t="shared" si="558"/>
        <v>0</v>
      </c>
      <c r="DI223" s="4">
        <f t="shared" si="559"/>
        <v>211</v>
      </c>
      <c r="DL223" s="4">
        <f t="shared" si="560"/>
        <v>1.5361578672425713E-5</v>
      </c>
      <c r="DM223" s="4">
        <f t="shared" si="561"/>
        <v>6.6853003614357291</v>
      </c>
      <c r="DN223" s="4">
        <f t="shared" si="562"/>
        <v>0.26906290889067602</v>
      </c>
      <c r="DO223" s="4">
        <f t="shared" si="563"/>
        <v>3.9542348333817863</v>
      </c>
      <c r="DP223" s="4">
        <f t="shared" si="564"/>
        <v>5.4933029542331306</v>
      </c>
      <c r="DQ223" s="4">
        <f t="shared" si="565"/>
        <v>6.4917589700897658</v>
      </c>
      <c r="DR223" s="38">
        <f t="shared" si="609"/>
        <v>376.89210170124204</v>
      </c>
      <c r="DS223" s="4">
        <f t="shared" si="566"/>
        <v>1.0001065941860563</v>
      </c>
      <c r="DT223" s="4">
        <f t="shared" si="567"/>
        <v>2.5130222387491825</v>
      </c>
      <c r="DU223" s="4">
        <f t="shared" si="568"/>
        <v>201.53531700084287</v>
      </c>
      <c r="DY223" s="4">
        <f t="shared" si="569"/>
        <v>0.85</v>
      </c>
      <c r="DZ223" s="4">
        <f t="shared" si="570"/>
        <v>0.9503937007874016</v>
      </c>
      <c r="EA223" s="4">
        <f t="shared" si="610"/>
        <v>1</v>
      </c>
      <c r="EB223" s="4">
        <f t="shared" si="571"/>
        <v>0.9503937007874016</v>
      </c>
      <c r="ED223" s="4">
        <f t="shared" si="611"/>
        <v>365.45276792084064</v>
      </c>
      <c r="EE223" s="25">
        <f t="shared" si="612"/>
        <v>198.84666048821009</v>
      </c>
      <c r="EG223" s="4">
        <f t="shared" si="683"/>
        <v>0.80783464566929131</v>
      </c>
      <c r="EH223" s="4">
        <f t="shared" si="613"/>
        <v>6.6853003614357291</v>
      </c>
      <c r="EK223" s="4">
        <f t="shared" si="572"/>
        <v>63.830764864229231</v>
      </c>
      <c r="EL223" s="4">
        <f t="shared" si="573"/>
        <v>2.5130222387491825</v>
      </c>
      <c r="EM223" s="4">
        <f t="shared" si="574"/>
        <v>8.7040849439833257E-2</v>
      </c>
      <c r="EP223" s="4">
        <f t="shared" si="575"/>
        <v>8.7040849439833257E-2</v>
      </c>
      <c r="EQ223" s="4">
        <f t="shared" si="698"/>
        <v>0.26861389304224681</v>
      </c>
      <c r="ER223" s="4">
        <f t="shared" si="577"/>
        <v>3.9515939583409634</v>
      </c>
      <c r="ES223" s="4">
        <f t="shared" si="578"/>
        <v>5.4923572720963749</v>
      </c>
      <c r="ET223" s="4">
        <f t="shared" si="579"/>
        <v>94.419235135770776</v>
      </c>
      <c r="EU223" s="4">
        <f t="shared" si="580"/>
        <v>52.75</v>
      </c>
      <c r="EV223" s="4">
        <f t="shared" si="699"/>
        <v>1.5361578672425713E-5</v>
      </c>
      <c r="EW223" s="4">
        <f t="shared" si="582"/>
        <v>6.4918116474298335</v>
      </c>
      <c r="EX223" s="4">
        <f t="shared" si="707"/>
        <v>376.85193147634254</v>
      </c>
      <c r="FG223" s="23">
        <f t="shared" ref="FG223:FH225" si="720">IF(CM223&lt;0.6,0.6,IF(CM223&lt;0.8,0.8,IF(CM223&lt;1,1,IF(CM223&lt;1.2,1.2,IF(CM223&lt;1.4,1.4,IF(CM223&lt;1.6,1.6,IF(CM223&lt;1.8,1.8,IF(CM223&lt;2,2,2.2))))))))</f>
        <v>1.4</v>
      </c>
      <c r="FH223" s="23">
        <f t="shared" si="720"/>
        <v>1</v>
      </c>
      <c r="FI223" s="23">
        <f t="shared" ref="FI223:FI225" si="721">IF(CS223&lt;0.6,0.6,IF(CS223&lt;0.8,0.8,IF(CS223&lt;1,1,IF(CS223&lt;1.2,1.2,IF(CS223&lt;1.4,1.4,IF(CS223&lt;1.6,1.6,IF(CS223&lt;1.8,1.8,IF(CS223&lt;2,2,2.2))))))))</f>
        <v>1.2</v>
      </c>
      <c r="FJ223" s="23">
        <f t="shared" ref="FJ223:FL225" si="722">IF(CP223&lt;0.6,0.6,IF(CP223&lt;0.8,0.8,IF(CP223&lt;1,1,IF(CP223&lt;1.2,1.2,IF(CP223&lt;1.4,1.4,IF(CP223&lt;1.6,1.6,IF(CP223&lt;1.8,1.8,IF(CP223&lt;2,2,2.2))))))))</f>
        <v>1.6</v>
      </c>
      <c r="FK223" s="23">
        <f t="shared" si="722"/>
        <v>1</v>
      </c>
      <c r="FL223" s="23">
        <f t="shared" si="722"/>
        <v>1</v>
      </c>
      <c r="FM223" s="23">
        <f t="shared" ref="FM223:FM225" si="723">IF(FK223&lt;1,1,0)</f>
        <v>0</v>
      </c>
      <c r="FN223" s="23"/>
      <c r="FX223" s="4">
        <f t="shared" si="676"/>
        <v>1.25</v>
      </c>
      <c r="FY223" s="4">
        <f t="shared" si="716"/>
        <v>0.5</v>
      </c>
      <c r="FZ223" s="4">
        <f t="shared" si="677"/>
        <v>0</v>
      </c>
      <c r="GA223" s="4">
        <f t="shared" si="678"/>
        <v>322.36544967924146</v>
      </c>
    </row>
    <row r="224" spans="1:183" ht="12" customHeight="1" x14ac:dyDescent="0.3">
      <c r="A224" s="25">
        <v>206</v>
      </c>
      <c r="B224" s="24" t="s">
        <v>182</v>
      </c>
      <c r="C224" s="4">
        <v>1996</v>
      </c>
      <c r="D224" s="24" t="s">
        <v>309</v>
      </c>
      <c r="E224" s="24"/>
      <c r="F224" s="4" t="s">
        <v>340</v>
      </c>
      <c r="G224" s="7">
        <v>578</v>
      </c>
      <c r="H224" s="7">
        <f>381-P224-18</f>
        <v>287</v>
      </c>
      <c r="I224" s="7">
        <f t="shared" si="519"/>
        <v>287</v>
      </c>
      <c r="J224" s="7">
        <v>38.299999999999997</v>
      </c>
      <c r="K224" s="7">
        <v>25.4</v>
      </c>
      <c r="L224" s="7">
        <f t="shared" si="588"/>
        <v>11.299212598425198</v>
      </c>
      <c r="M224" s="7">
        <f t="shared" si="589"/>
        <v>11.299212598425198</v>
      </c>
      <c r="N224" s="7">
        <v>305</v>
      </c>
      <c r="O224" s="7">
        <v>76</v>
      </c>
      <c r="P224" s="7">
        <v>76</v>
      </c>
      <c r="Q224" s="7">
        <f t="shared" si="687"/>
        <v>102.19999999999999</v>
      </c>
      <c r="R224" s="7">
        <v>2</v>
      </c>
      <c r="S224" s="7">
        <f t="shared" si="684"/>
        <v>280</v>
      </c>
      <c r="T224" s="7">
        <f t="shared" si="685"/>
        <v>2.5118110236220472</v>
      </c>
      <c r="U224" s="7">
        <f t="shared" si="702"/>
        <v>3.4921259842519685</v>
      </c>
      <c r="V224" s="7">
        <f>3200/(K224^2*PI()/4)-1</f>
        <v>5.3152807724479523</v>
      </c>
      <c r="W224" s="7">
        <f>3200/(K224^2*PI()/4)-1</f>
        <v>5.3152807724479523</v>
      </c>
      <c r="X224" s="7">
        <f t="shared" si="523"/>
        <v>6.3152807724479523</v>
      </c>
      <c r="Y224" s="7">
        <f t="shared" si="524"/>
        <v>63.830764864229231</v>
      </c>
      <c r="Z224" s="7">
        <f t="shared" si="703"/>
        <v>578</v>
      </c>
      <c r="AA224" s="7">
        <v>18</v>
      </c>
      <c r="AB224" s="7">
        <f>273*1000/(K224^2*PI()/4)</f>
        <v>538.7723908994659</v>
      </c>
      <c r="AC224" s="7"/>
      <c r="AD224" s="4">
        <f t="shared" si="526"/>
        <v>1.0324950798962937</v>
      </c>
      <c r="AE224" s="7">
        <v>0</v>
      </c>
      <c r="AF224" s="7">
        <v>0</v>
      </c>
      <c r="AG224" s="7">
        <f>I224</f>
        <v>287</v>
      </c>
      <c r="AH224" s="7"/>
      <c r="AI224" s="7"/>
      <c r="AJ224" s="7">
        <f t="shared" si="527"/>
        <v>6.7476489028213171</v>
      </c>
      <c r="AK224" s="4">
        <f t="shared" si="655"/>
        <v>287</v>
      </c>
      <c r="AL224" s="4">
        <f t="shared" si="595"/>
        <v>0.35423925667828104</v>
      </c>
      <c r="AM224" s="4">
        <f t="shared" si="596"/>
        <v>296.91690288490338</v>
      </c>
      <c r="AN224" s="4">
        <f t="shared" si="597"/>
        <v>0.76181184668989543</v>
      </c>
      <c r="AO224" s="4">
        <v>1.25</v>
      </c>
      <c r="AP224" s="4">
        <f t="shared" si="688"/>
        <v>2.5</v>
      </c>
      <c r="AQ224" s="38">
        <f t="shared" si="599"/>
        <v>250.39713378541933</v>
      </c>
      <c r="AR224" s="38">
        <f t="shared" si="600"/>
        <v>250.39713378541933</v>
      </c>
      <c r="AS224" s="38">
        <f t="shared" si="601"/>
        <v>3.408686840836292</v>
      </c>
      <c r="AT224" s="38">
        <f t="shared" si="691"/>
        <v>250.39713378541916</v>
      </c>
      <c r="AU224" s="38">
        <f t="shared" si="674"/>
        <v>1.0000000000000007</v>
      </c>
      <c r="AV224" s="38">
        <f t="shared" si="692"/>
        <v>2.0480931873248389</v>
      </c>
      <c r="AW224" s="4">
        <f t="shared" si="693"/>
        <v>0</v>
      </c>
      <c r="AX224" s="4">
        <f t="shared" si="528"/>
        <v>368.03910519865605</v>
      </c>
      <c r="AY224" s="4">
        <f t="shared" si="529"/>
        <v>1.1561128526645768</v>
      </c>
      <c r="AZ224" s="38">
        <f t="shared" si="701"/>
        <v>512.83666383158322</v>
      </c>
      <c r="BA224" s="4">
        <f t="shared" si="531"/>
        <v>0.3</v>
      </c>
      <c r="BB224" s="4">
        <f t="shared" si="532"/>
        <v>57.690129739889343</v>
      </c>
      <c r="BC224" s="4">
        <f t="shared" si="533"/>
        <v>570.52679357147258</v>
      </c>
      <c r="BE224" s="4">
        <f t="shared" si="689"/>
        <v>1.4980314960629921</v>
      </c>
      <c r="BF224" s="4">
        <f t="shared" si="690"/>
        <v>592.38647535016992</v>
      </c>
      <c r="BH224" s="4">
        <f t="shared" si="704"/>
        <v>491.87307645177486</v>
      </c>
      <c r="BI224" s="4">
        <f t="shared" si="705"/>
        <v>2245.2309649218914</v>
      </c>
      <c r="BJ224" s="4">
        <f t="shared" si="706"/>
        <v>4.564655136480158</v>
      </c>
      <c r="BK224" s="4">
        <f t="shared" si="602"/>
        <v>57.499999999999993</v>
      </c>
      <c r="BL224" s="4">
        <f t="shared" si="603"/>
        <v>57.499999999999993</v>
      </c>
      <c r="BM224" s="4">
        <f t="shared" si="604"/>
        <v>280</v>
      </c>
      <c r="BN224" s="4">
        <f t="shared" si="605"/>
        <v>70.199999999999989</v>
      </c>
      <c r="BO224" s="4">
        <f t="shared" si="606"/>
        <v>1.25</v>
      </c>
      <c r="BP224" s="25">
        <f t="shared" si="607"/>
        <v>3.4547244094488185</v>
      </c>
      <c r="BR224" s="4">
        <f t="shared" si="539"/>
        <v>51.099999999999994</v>
      </c>
      <c r="BV224" s="9"/>
      <c r="BX224" s="9"/>
      <c r="BY224" s="9"/>
      <c r="BZ224" s="9">
        <f t="shared" si="540"/>
        <v>51.099999999999994</v>
      </c>
      <c r="CA224" s="9">
        <f t="shared" si="541"/>
        <v>76</v>
      </c>
      <c r="CB224" s="9">
        <f t="shared" si="694"/>
        <v>1.5054020239149992</v>
      </c>
      <c r="CC224" s="9">
        <v>0</v>
      </c>
      <c r="CD224" s="9">
        <f t="shared" si="543"/>
        <v>0</v>
      </c>
      <c r="CE224" s="9">
        <f t="shared" si="544"/>
        <v>0</v>
      </c>
      <c r="CF224" s="9">
        <f t="shared" si="545"/>
        <v>0.99524931562137331</v>
      </c>
      <c r="CG224" s="9">
        <f t="shared" si="546"/>
        <v>0.88300000000000001</v>
      </c>
      <c r="CH224" s="9">
        <f t="shared" si="695"/>
        <v>1.9035313007054222</v>
      </c>
      <c r="CI224" s="9">
        <f t="shared" si="696"/>
        <v>2.8655798726674937</v>
      </c>
      <c r="CJ224" s="9">
        <v>1</v>
      </c>
      <c r="CK224" s="9">
        <f t="shared" si="697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717"/>
        <v>0.90949475269668878</v>
      </c>
      <c r="CP224" s="4">
        <f>AB224/CK224</f>
        <v>1.7872696358516886</v>
      </c>
      <c r="CQ224" s="4">
        <f t="shared" si="709"/>
        <v>1.0324950798962937</v>
      </c>
      <c r="CR224" s="4">
        <f t="shared" si="718"/>
        <v>1.0800473563193289</v>
      </c>
      <c r="CS224" s="4">
        <f>AB224/GA224</f>
        <v>1.2471485696372469</v>
      </c>
      <c r="CU224" s="4">
        <f t="shared" si="670"/>
        <v>1.4638998500136373</v>
      </c>
      <c r="CV224" s="4">
        <f t="shared" si="670"/>
        <v>0.94434196074609311</v>
      </c>
      <c r="CW224" s="4">
        <f t="shared" si="648"/>
        <v>1.7872696358516886</v>
      </c>
      <c r="CX224" s="4">
        <f t="shared" si="719"/>
        <v>1.2471485696372469</v>
      </c>
      <c r="CY224" s="4">
        <f t="shared" si="671"/>
        <v>1.0324950798962937</v>
      </c>
      <c r="CZ224" s="4">
        <f t="shared" si="671"/>
        <v>1.0800473563193289</v>
      </c>
      <c r="DH224" s="4">
        <f t="shared" si="558"/>
        <v>0</v>
      </c>
      <c r="DI224" s="4">
        <f t="shared" si="559"/>
        <v>287</v>
      </c>
      <c r="DL224" s="4">
        <f t="shared" si="560"/>
        <v>2.13666473812144E-5</v>
      </c>
      <c r="DM224" s="4">
        <f t="shared" si="561"/>
        <v>7.3946503468884011</v>
      </c>
      <c r="DN224" s="4">
        <f t="shared" si="562"/>
        <v>0.30549302157709252</v>
      </c>
      <c r="DO224" s="4">
        <f t="shared" si="563"/>
        <v>4.6016985041395433</v>
      </c>
      <c r="DP224" s="4">
        <f t="shared" si="564"/>
        <v>6.1594193049739197</v>
      </c>
      <c r="DQ224" s="4">
        <f t="shared" si="565"/>
        <v>6.9285703929324711</v>
      </c>
      <c r="DR224" s="38">
        <f t="shared" si="609"/>
        <v>521.81594023051571</v>
      </c>
      <c r="DS224" s="4">
        <f t="shared" si="566"/>
        <v>1.0001089820011146</v>
      </c>
      <c r="DT224" s="4">
        <f t="shared" si="567"/>
        <v>2.5130222387491825</v>
      </c>
      <c r="DU224" s="4">
        <f t="shared" si="568"/>
        <v>250.39713378541916</v>
      </c>
      <c r="DY224" s="4">
        <f t="shared" si="569"/>
        <v>0.85</v>
      </c>
      <c r="DZ224" s="4">
        <f t="shared" si="570"/>
        <v>0.89881889763779532</v>
      </c>
      <c r="EA224" s="4">
        <f t="shared" si="610"/>
        <v>1</v>
      </c>
      <c r="EB224" s="4">
        <f t="shared" si="571"/>
        <v>0.89881889763779532</v>
      </c>
      <c r="ED224" s="4">
        <f t="shared" si="611"/>
        <v>498.84145148555075</v>
      </c>
      <c r="EE224" s="25">
        <f t="shared" si="612"/>
        <v>248.18027240401869</v>
      </c>
      <c r="EG224" s="4">
        <f t="shared" si="683"/>
        <v>0.76399606299212597</v>
      </c>
      <c r="EH224" s="4">
        <f t="shared" si="613"/>
        <v>7.3946503468884011</v>
      </c>
      <c r="EK224" s="4">
        <f t="shared" si="572"/>
        <v>63.830764864229231</v>
      </c>
      <c r="EL224" s="4">
        <f t="shared" si="573"/>
        <v>2.5130222387491825</v>
      </c>
      <c r="EM224" s="4">
        <f t="shared" si="574"/>
        <v>0.10337986159960641</v>
      </c>
      <c r="EP224" s="4">
        <f t="shared" si="575"/>
        <v>0.10337986159960641</v>
      </c>
      <c r="EQ224" s="4">
        <f t="shared" si="698"/>
        <v>0.3049832106602397</v>
      </c>
      <c r="ER224" s="4">
        <f t="shared" si="577"/>
        <v>4.5986252140500472</v>
      </c>
      <c r="ES224" s="4">
        <f t="shared" si="578"/>
        <v>6.1582755537013707</v>
      </c>
      <c r="ET224" s="4">
        <f t="shared" si="579"/>
        <v>151.41923513577078</v>
      </c>
      <c r="EU224" s="4">
        <f t="shared" si="580"/>
        <v>71.75</v>
      </c>
      <c r="EV224" s="4">
        <f t="shared" si="699"/>
        <v>2.13666473812144E-5</v>
      </c>
      <c r="EW224" s="4">
        <f t="shared" si="582"/>
        <v>6.9286858004244598</v>
      </c>
      <c r="EX224" s="4">
        <f t="shared" si="707"/>
        <v>521.75907788210839</v>
      </c>
      <c r="FG224" s="23">
        <f t="shared" si="720"/>
        <v>1.6</v>
      </c>
      <c r="FH224" s="23">
        <f t="shared" si="720"/>
        <v>1</v>
      </c>
      <c r="FI224" s="23">
        <f t="shared" si="721"/>
        <v>1.4</v>
      </c>
      <c r="FJ224" s="23">
        <f t="shared" si="722"/>
        <v>1.8</v>
      </c>
      <c r="FK224" s="23">
        <f t="shared" si="722"/>
        <v>1.2</v>
      </c>
      <c r="FL224" s="23">
        <f t="shared" si="722"/>
        <v>1.2</v>
      </c>
      <c r="FM224" s="23">
        <f t="shared" si="723"/>
        <v>0</v>
      </c>
      <c r="FN224" s="23"/>
      <c r="FX224" s="4">
        <f t="shared" si="676"/>
        <v>1</v>
      </c>
      <c r="FY224" s="4">
        <f t="shared" si="716"/>
        <v>0.64881889763779532</v>
      </c>
      <c r="FZ224" s="4">
        <f t="shared" si="677"/>
        <v>0</v>
      </c>
      <c r="GA224" s="4">
        <f t="shared" si="678"/>
        <v>432.00337475123473</v>
      </c>
    </row>
    <row r="225" spans="1:183" ht="12" customHeight="1" x14ac:dyDescent="0.3">
      <c r="A225" s="25">
        <v>207</v>
      </c>
      <c r="B225" s="24" t="s">
        <v>182</v>
      </c>
      <c r="C225" s="4">
        <v>1996</v>
      </c>
      <c r="D225" s="24" t="s">
        <v>309</v>
      </c>
      <c r="E225" s="24"/>
      <c r="F225" s="4" t="s">
        <v>341</v>
      </c>
      <c r="G225" s="7">
        <v>556</v>
      </c>
      <c r="H225" s="7">
        <f>381-P225-25</f>
        <v>280</v>
      </c>
      <c r="I225" s="7">
        <f t="shared" si="519"/>
        <v>280</v>
      </c>
      <c r="J225" s="7">
        <v>37.200000000000003</v>
      </c>
      <c r="K225" s="7">
        <v>35.799999999999997</v>
      </c>
      <c r="L225" s="7">
        <f t="shared" si="588"/>
        <v>7.8212290502793298</v>
      </c>
      <c r="M225" s="7">
        <f t="shared" si="589"/>
        <v>7.8212290502793298</v>
      </c>
      <c r="N225" s="7">
        <v>305</v>
      </c>
      <c r="O225" s="7">
        <v>76</v>
      </c>
      <c r="P225" s="7">
        <v>76</v>
      </c>
      <c r="Q225" s="7">
        <f t="shared" si="687"/>
        <v>81.400000000000006</v>
      </c>
      <c r="R225" s="7">
        <v>2</v>
      </c>
      <c r="S225" s="7">
        <f t="shared" si="684"/>
        <v>280</v>
      </c>
      <c r="T225" s="7">
        <f t="shared" si="685"/>
        <v>1.6368715083798884</v>
      </c>
      <c r="U225" s="7">
        <f t="shared" si="702"/>
        <v>2.6229050279329611</v>
      </c>
      <c r="V225" s="7">
        <f>3025/(K225^2*PI()/4)-1</f>
        <v>2.0051727652257014</v>
      </c>
      <c r="W225" s="7">
        <f>3025/(K225^2*PI()/4)-1</f>
        <v>2.0051727652257014</v>
      </c>
      <c r="X225" s="7">
        <f t="shared" si="523"/>
        <v>3.0051727652257014</v>
      </c>
      <c r="Y225" s="7">
        <f t="shared" si="524"/>
        <v>62.060854190253195</v>
      </c>
      <c r="Z225" s="7">
        <f t="shared" si="703"/>
        <v>556</v>
      </c>
      <c r="AA225" s="7">
        <v>25</v>
      </c>
      <c r="AB225" s="7">
        <f>416*1000/(K225^2*PI()/4)</f>
        <v>413.27334556492286</v>
      </c>
      <c r="AC225" s="7"/>
      <c r="AD225" s="4">
        <f t="shared" si="526"/>
        <v>1.4559039363893846</v>
      </c>
      <c r="AE225" s="7">
        <v>9.5</v>
      </c>
      <c r="AF225" s="7">
        <v>2</v>
      </c>
      <c r="AG225" s="7">
        <v>102</v>
      </c>
      <c r="AH225" s="7">
        <v>4</v>
      </c>
      <c r="AI225" s="7">
        <f>AF225</f>
        <v>2</v>
      </c>
      <c r="AJ225" s="7">
        <f t="shared" si="527"/>
        <v>7.1672354948805461</v>
      </c>
      <c r="AK225" s="4">
        <f t="shared" si="655"/>
        <v>280</v>
      </c>
      <c r="AL225" s="4">
        <f t="shared" si="595"/>
        <v>0.36309523809523808</v>
      </c>
      <c r="AM225" s="4">
        <f t="shared" si="596"/>
        <v>141.94581301451609</v>
      </c>
      <c r="AN225" s="4">
        <f t="shared" si="597"/>
        <v>0.76707142857142852</v>
      </c>
      <c r="AO225" s="4">
        <v>1.25</v>
      </c>
      <c r="AP225" s="4">
        <f t="shared" si="688"/>
        <v>2.5</v>
      </c>
      <c r="AQ225" s="38">
        <f t="shared" si="599"/>
        <v>123.54607945862055</v>
      </c>
      <c r="AR225" s="38">
        <f t="shared" si="600"/>
        <v>123.54607945862055</v>
      </c>
      <c r="AS225" s="38">
        <f t="shared" si="601"/>
        <v>3.3431039547269137</v>
      </c>
      <c r="AT225" s="38">
        <f t="shared" si="691"/>
        <v>123.54607945862062</v>
      </c>
      <c r="AU225" s="38">
        <f t="shared" si="674"/>
        <v>0.99999999999999944</v>
      </c>
      <c r="AV225" s="38">
        <f t="shared" si="692"/>
        <v>1.7321707849671844</v>
      </c>
      <c r="AW225" s="4">
        <f t="shared" si="693"/>
        <v>0</v>
      </c>
      <c r="AX225" s="4">
        <f t="shared" si="528"/>
        <v>251.06887332864065</v>
      </c>
      <c r="AY225" s="4">
        <f t="shared" si="529"/>
        <v>1.2409556313993173</v>
      </c>
      <c r="AZ225" s="38">
        <f t="shared" si="701"/>
        <v>214.00290943545701</v>
      </c>
      <c r="BA225" s="4">
        <f t="shared" si="531"/>
        <v>0.71927581286840181</v>
      </c>
      <c r="BB225" s="4">
        <f t="shared" si="532"/>
        <v>94.357108753567658</v>
      </c>
      <c r="BC225" s="4">
        <f t="shared" si="533"/>
        <v>308.36001818902469</v>
      </c>
      <c r="BE225" s="4">
        <f t="shared" si="689"/>
        <v>1.5</v>
      </c>
      <c r="BF225" s="4">
        <f t="shared" si="690"/>
        <v>489.12699897157211</v>
      </c>
      <c r="BH225" s="4">
        <f t="shared" si="704"/>
        <v>205.25496099907775</v>
      </c>
      <c r="BI225" s="4">
        <f t="shared" si="705"/>
        <v>30569.451870773988</v>
      </c>
      <c r="BJ225" s="4">
        <f t="shared" si="706"/>
        <v>148.93404632939101</v>
      </c>
      <c r="BK225" s="4">
        <f t="shared" si="602"/>
        <v>47.1</v>
      </c>
      <c r="BL225" s="4">
        <f t="shared" si="603"/>
        <v>47.1</v>
      </c>
      <c r="BM225" s="4">
        <f t="shared" si="604"/>
        <v>280</v>
      </c>
      <c r="BN225" s="4">
        <f t="shared" si="605"/>
        <v>65</v>
      </c>
      <c r="BO225" s="4">
        <f t="shared" si="606"/>
        <v>1.25</v>
      </c>
      <c r="BP225" s="25">
        <f t="shared" si="607"/>
        <v>3.1887549235704871</v>
      </c>
      <c r="BR225" s="4">
        <f t="shared" si="539"/>
        <v>40.700000000000003</v>
      </c>
      <c r="BV225" s="9"/>
      <c r="BX225" s="9"/>
      <c r="BY225" s="9"/>
      <c r="BZ225" s="9">
        <f t="shared" si="540"/>
        <v>40.700000000000003</v>
      </c>
      <c r="CA225" s="9">
        <f t="shared" si="541"/>
        <v>76</v>
      </c>
      <c r="CB225" s="9">
        <f t="shared" si="694"/>
        <v>1.1709505872794554</v>
      </c>
      <c r="CC225" s="9">
        <v>20</v>
      </c>
      <c r="CD225" s="9">
        <f t="shared" si="543"/>
        <v>3.8822534914349713E-2</v>
      </c>
      <c r="CE225" s="9">
        <f t="shared" si="544"/>
        <v>0.57645069828699425</v>
      </c>
      <c r="CF225" s="9">
        <f t="shared" si="545"/>
        <v>0.89787751228078194</v>
      </c>
      <c r="CG225" s="9">
        <f t="shared" si="546"/>
        <v>0.91600000000000004</v>
      </c>
      <c r="CH225" s="9">
        <f t="shared" si="695"/>
        <v>1.7557071693774966</v>
      </c>
      <c r="CI225" s="9">
        <f t="shared" si="696"/>
        <v>3.0679249648484697</v>
      </c>
      <c r="CJ225" s="9">
        <v>1</v>
      </c>
      <c r="CK225" s="9">
        <f t="shared" si="697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717"/>
        <v>0.84492033037199443</v>
      </c>
      <c r="CP225" s="4">
        <f>AB225/CK225</f>
        <v>1.4756849269594856</v>
      </c>
      <c r="CQ225" s="4">
        <f t="shared" si="709"/>
        <v>1.4559039363893846</v>
      </c>
      <c r="CR225" s="4">
        <f t="shared" si="718"/>
        <v>1.5688980242628909</v>
      </c>
      <c r="CS225" s="4">
        <f>AB225/GA225</f>
        <v>1.468755792642539</v>
      </c>
      <c r="DA225" s="4">
        <f t="shared" si="661"/>
        <v>1.6460556821950687</v>
      </c>
      <c r="DB225" s="4">
        <f t="shared" si="661"/>
        <v>1.3402299947705487</v>
      </c>
      <c r="DC225" s="4">
        <f t="shared" si="662"/>
        <v>1.4756849269594856</v>
      </c>
      <c r="DD225" s="4">
        <f t="shared" ref="DD225" si="724">CS225</f>
        <v>1.468755792642539</v>
      </c>
      <c r="DE225" s="4">
        <f t="shared" si="664"/>
        <v>1.4559039363893846</v>
      </c>
      <c r="DF225" s="4">
        <f t="shared" si="664"/>
        <v>1.5688980242628909</v>
      </c>
      <c r="DH225" s="4">
        <f t="shared" si="558"/>
        <v>2</v>
      </c>
      <c r="DI225" s="4">
        <f t="shared" si="559"/>
        <v>280</v>
      </c>
      <c r="DL225" s="4">
        <f t="shared" si="560"/>
        <v>1.4680935773666002E-5</v>
      </c>
      <c r="DM225" s="4">
        <f t="shared" si="561"/>
        <v>6.0344229393186612</v>
      </c>
      <c r="DN225" s="4">
        <f t="shared" si="562"/>
        <v>0.39996211532628534</v>
      </c>
      <c r="DO225" s="4">
        <f t="shared" si="563"/>
        <v>4.1825706759744072</v>
      </c>
      <c r="DP225" s="4">
        <f t="shared" si="564"/>
        <v>5.1919973193811018</v>
      </c>
      <c r="DQ225" s="4">
        <f t="shared" si="565"/>
        <v>5.8162689076432361</v>
      </c>
      <c r="DR225" s="38">
        <f t="shared" si="609"/>
        <v>283.8603119583791</v>
      </c>
      <c r="DS225" s="4">
        <f t="shared" si="566"/>
        <v>1.0001320096652284</v>
      </c>
      <c r="DT225" s="4">
        <f t="shared" si="567"/>
        <v>1.7335434131355643</v>
      </c>
      <c r="DU225" s="4">
        <f t="shared" si="568"/>
        <v>123.54607945862062</v>
      </c>
      <c r="DY225" s="4">
        <f t="shared" si="569"/>
        <v>0.85</v>
      </c>
      <c r="DZ225" s="4">
        <f t="shared" si="570"/>
        <v>0.98631284916201112</v>
      </c>
      <c r="EA225" s="4">
        <f t="shared" si="610"/>
        <v>0.99049889204456787</v>
      </c>
      <c r="EB225" s="4">
        <f t="shared" si="571"/>
        <v>0.97694178430429301</v>
      </c>
      <c r="ED225" s="4">
        <f t="shared" si="611"/>
        <v>263.41632099325858</v>
      </c>
      <c r="EE225" s="25">
        <f t="shared" si="612"/>
        <v>121.8265090092453</v>
      </c>
      <c r="EG225" s="4">
        <f t="shared" si="683"/>
        <v>0.830400516658649</v>
      </c>
      <c r="EH225" s="4">
        <f t="shared" si="613"/>
        <v>6.0344229393186612</v>
      </c>
      <c r="EK225" s="4">
        <f t="shared" si="572"/>
        <v>62.060854190253195</v>
      </c>
      <c r="EL225" s="4">
        <f t="shared" si="573"/>
        <v>1.7335434131355643</v>
      </c>
      <c r="EM225" s="4">
        <f t="shared" si="574"/>
        <v>0.13339071238746128</v>
      </c>
      <c r="EP225" s="4">
        <f t="shared" si="575"/>
        <v>0.13339071238746128</v>
      </c>
      <c r="EQ225" s="4">
        <f t="shared" si="698"/>
        <v>0.39929465309861079</v>
      </c>
      <c r="ER225" s="4">
        <f t="shared" si="577"/>
        <v>4.1797773045713216</v>
      </c>
      <c r="ES225" s="4">
        <f t="shared" si="578"/>
        <v>5.1908741626807178</v>
      </c>
      <c r="ET225" s="4">
        <f t="shared" si="579"/>
        <v>147.9391458097468</v>
      </c>
      <c r="EU225" s="4">
        <f t="shared" si="580"/>
        <v>70</v>
      </c>
      <c r="EV225" s="4">
        <f t="shared" si="699"/>
        <v>1.4680935773666002E-5</v>
      </c>
      <c r="EW225" s="4">
        <f t="shared" si="582"/>
        <v>5.8163286933267813</v>
      </c>
      <c r="EX225" s="4">
        <f t="shared" si="707"/>
        <v>283.82284459967934</v>
      </c>
      <c r="FG225" s="23">
        <f t="shared" si="720"/>
        <v>1.8</v>
      </c>
      <c r="FH225" s="23">
        <f t="shared" si="720"/>
        <v>1.4</v>
      </c>
      <c r="FI225" s="23">
        <f t="shared" si="721"/>
        <v>1.6</v>
      </c>
      <c r="FJ225" s="23">
        <f t="shared" si="722"/>
        <v>1.6</v>
      </c>
      <c r="FK225" s="23">
        <f t="shared" si="722"/>
        <v>1.6</v>
      </c>
      <c r="FL225" s="23">
        <f t="shared" si="722"/>
        <v>1.6</v>
      </c>
      <c r="FM225" s="23">
        <f t="shared" si="723"/>
        <v>0</v>
      </c>
      <c r="FN225" s="23"/>
      <c r="FX225" s="4">
        <f t="shared" si="676"/>
        <v>1</v>
      </c>
      <c r="FY225" s="4">
        <f t="shared" si="716"/>
        <v>0.57658194354098002</v>
      </c>
      <c r="FZ225" s="4">
        <f t="shared" si="677"/>
        <v>0.28167035985144034</v>
      </c>
      <c r="GA225" s="4">
        <f t="shared" si="678"/>
        <v>281.37648725209419</v>
      </c>
    </row>
    <row r="226" spans="1:183" ht="12" customHeight="1" x14ac:dyDescent="0.3">
      <c r="A226" s="25">
        <v>208</v>
      </c>
      <c r="B226" s="24" t="s">
        <v>182</v>
      </c>
      <c r="C226" s="4">
        <v>1996</v>
      </c>
      <c r="D226" s="24" t="s">
        <v>309</v>
      </c>
      <c r="E226" s="24"/>
      <c r="F226" s="4" t="s">
        <v>342</v>
      </c>
      <c r="G226" s="7">
        <v>556</v>
      </c>
      <c r="H226" s="7">
        <f>381-P226-20</f>
        <v>343</v>
      </c>
      <c r="I226" s="7">
        <f t="shared" si="519"/>
        <v>343</v>
      </c>
      <c r="J226" s="7">
        <v>40</v>
      </c>
      <c r="K226" s="7">
        <v>35.799999999999997</v>
      </c>
      <c r="L226" s="7">
        <f t="shared" si="588"/>
        <v>9.5810055865921804</v>
      </c>
      <c r="M226" s="7">
        <f t="shared" si="589"/>
        <v>9.5810055865921804</v>
      </c>
      <c r="N226" s="7">
        <v>305</v>
      </c>
      <c r="O226" s="7">
        <v>76</v>
      </c>
      <c r="P226" s="7">
        <v>18</v>
      </c>
      <c r="Q226" s="7">
        <f t="shared" si="687"/>
        <v>81.400000000000006</v>
      </c>
      <c r="R226" s="7">
        <v>2</v>
      </c>
      <c r="S226" s="7">
        <f t="shared" si="684"/>
        <v>280</v>
      </c>
      <c r="T226" s="7">
        <f t="shared" si="685"/>
        <v>1.6368715083798884</v>
      </c>
      <c r="U226" s="7">
        <f t="shared" si="702"/>
        <v>2.6229050279329611</v>
      </c>
      <c r="V226" s="7">
        <f>3025/(K226^2*PI()/4)-1</f>
        <v>2.0051727652257014</v>
      </c>
      <c r="W226" s="7">
        <f t="shared" ref="W226:W228" si="725">3025/(K226^2*PI()/4)-1</f>
        <v>2.0051727652257014</v>
      </c>
      <c r="X226" s="7">
        <f t="shared" si="523"/>
        <v>3.0051727652257014</v>
      </c>
      <c r="Y226" s="7">
        <f t="shared" si="524"/>
        <v>62.060854190253195</v>
      </c>
      <c r="Z226" s="7">
        <f t="shared" si="703"/>
        <v>556</v>
      </c>
      <c r="AA226" s="7">
        <v>20</v>
      </c>
      <c r="AB226" s="7"/>
      <c r="AC226" s="32" t="s">
        <v>183</v>
      </c>
      <c r="AD226" s="4">
        <f t="shared" si="526"/>
        <v>0</v>
      </c>
      <c r="AE226" s="7">
        <v>0</v>
      </c>
      <c r="AF226" s="7">
        <v>0</v>
      </c>
      <c r="AG226" s="7">
        <f>I226</f>
        <v>343</v>
      </c>
      <c r="AH226" s="7"/>
      <c r="AI226" s="7"/>
      <c r="AJ226" s="7">
        <f t="shared" si="527"/>
        <v>8.7798634812286682</v>
      </c>
      <c r="AK226" s="4">
        <f t="shared" si="655"/>
        <v>343</v>
      </c>
      <c r="AL226" s="4">
        <f t="shared" si="595"/>
        <v>0.29640427599611274</v>
      </c>
      <c r="AM226" s="4">
        <f t="shared" si="596"/>
        <v>199.56539930939542</v>
      </c>
      <c r="AN226" s="4">
        <f t="shared" si="597"/>
        <v>0.75475218658892129</v>
      </c>
      <c r="AO226" s="4">
        <v>1.25</v>
      </c>
      <c r="AP226" s="4">
        <f t="shared" si="688"/>
        <v>2.5</v>
      </c>
      <c r="AQ226" s="38">
        <f t="shared" si="599"/>
        <v>139.51603060118595</v>
      </c>
      <c r="AR226" s="38">
        <f t="shared" si="600"/>
        <v>139.51603060118595</v>
      </c>
      <c r="AS226" s="38">
        <f t="shared" si="601"/>
        <v>3.5088212858554391</v>
      </c>
      <c r="AT226" s="38">
        <f t="shared" si="691"/>
        <v>139.51603060118595</v>
      </c>
      <c r="AU226" s="38">
        <f t="shared" si="674"/>
        <v>1</v>
      </c>
      <c r="AV226" s="38">
        <f t="shared" si="692"/>
        <v>1.6493492132436494</v>
      </c>
      <c r="AW226" s="4">
        <f t="shared" si="693"/>
        <v>0</v>
      </c>
      <c r="AX226" s="4">
        <f t="shared" si="528"/>
        <v>318.92420977293574</v>
      </c>
      <c r="AY226" s="4">
        <f t="shared" si="529"/>
        <v>1.2409556313993173</v>
      </c>
      <c r="AZ226" s="38">
        <f t="shared" si="701"/>
        <v>230.11065530694296</v>
      </c>
      <c r="BA226" s="4">
        <f t="shared" si="531"/>
        <v>0.71927581286840181</v>
      </c>
      <c r="BB226" s="4">
        <f t="shared" si="532"/>
        <v>119.85861069404693</v>
      </c>
      <c r="BC226" s="4">
        <f t="shared" si="533"/>
        <v>349.96926600098988</v>
      </c>
      <c r="BE226" s="4">
        <f t="shared" si="689"/>
        <v>1.2807262569832403</v>
      </c>
      <c r="BF226" s="4">
        <f t="shared" si="690"/>
        <v>475.8198492579329</v>
      </c>
      <c r="BH226" s="4">
        <f t="shared" si="704"/>
        <v>220.70425913879328</v>
      </c>
      <c r="BI226" s="4">
        <f t="shared" si="705"/>
        <v>19564.449197295351</v>
      </c>
      <c r="BJ226" s="4">
        <f t="shared" si="706"/>
        <v>88.645544375253522</v>
      </c>
      <c r="BK226" s="4">
        <f t="shared" si="602"/>
        <v>47.1</v>
      </c>
      <c r="BL226" s="4">
        <f t="shared" si="603"/>
        <v>47.1</v>
      </c>
      <c r="BM226" s="4">
        <f t="shared" si="604"/>
        <v>280</v>
      </c>
      <c r="BN226" s="4">
        <f t="shared" si="605"/>
        <v>65</v>
      </c>
      <c r="BO226" s="4">
        <f t="shared" si="606"/>
        <v>1.25</v>
      </c>
      <c r="BP226" s="25">
        <f t="shared" si="607"/>
        <v>2.2695530726256985</v>
      </c>
      <c r="BR226" s="4">
        <f t="shared" si="539"/>
        <v>40.700000000000003</v>
      </c>
      <c r="BV226" s="9"/>
      <c r="BX226" s="9"/>
      <c r="BY226" s="9"/>
      <c r="BZ226" s="9">
        <f t="shared" si="540"/>
        <v>18</v>
      </c>
      <c r="CA226" s="9">
        <f t="shared" si="541"/>
        <v>76</v>
      </c>
      <c r="CB226" s="9">
        <f t="shared" si="694"/>
        <v>0.88008760053944035</v>
      </c>
      <c r="CC226" s="9">
        <v>0</v>
      </c>
      <c r="CD226" s="9">
        <f t="shared" si="543"/>
        <v>0</v>
      </c>
      <c r="CE226" s="9">
        <f t="shared" si="544"/>
        <v>0</v>
      </c>
      <c r="CF226" s="9">
        <f t="shared" si="545"/>
        <v>0.89787751228078194</v>
      </c>
      <c r="CG226" s="9">
        <f t="shared" si="546"/>
        <v>0.91600000000000004</v>
      </c>
      <c r="CH226" s="9">
        <f t="shared" si="695"/>
        <v>1.8205835247363529</v>
      </c>
      <c r="CI226" s="9">
        <f t="shared" si="696"/>
        <v>1.6022729858668536</v>
      </c>
      <c r="CJ226" s="9">
        <v>1</v>
      </c>
      <c r="CK226" s="9">
        <f t="shared" si="697"/>
        <v>157.54192486735545</v>
      </c>
      <c r="DH226" s="4">
        <f t="shared" si="558"/>
        <v>0</v>
      </c>
      <c r="DI226" s="4">
        <f t="shared" si="559"/>
        <v>343</v>
      </c>
      <c r="DL226" s="4">
        <f t="shared" si="560"/>
        <v>1.8323811476289715E-5</v>
      </c>
      <c r="DM226" s="4">
        <f t="shared" si="561"/>
        <v>5.2682598904813771</v>
      </c>
      <c r="DN226" s="4">
        <f t="shared" si="562"/>
        <v>0.42004609193670067</v>
      </c>
      <c r="DO226" s="4">
        <f t="shared" si="563"/>
        <v>3.7237967669270295</v>
      </c>
      <c r="DP226" s="4">
        <f t="shared" si="564"/>
        <v>4.5620541808432229</v>
      </c>
      <c r="DQ226" s="4">
        <f t="shared" si="565"/>
        <v>5.0102461147907276</v>
      </c>
      <c r="DR226" s="38">
        <f t="shared" si="609"/>
        <v>312.83380392255719</v>
      </c>
      <c r="DS226" s="4">
        <f t="shared" si="566"/>
        <v>1.0001237279128437</v>
      </c>
      <c r="DT226" s="4">
        <f t="shared" si="567"/>
        <v>1.7335434131355643</v>
      </c>
      <c r="DU226" s="4">
        <f t="shared" si="568"/>
        <v>139.51603060118595</v>
      </c>
      <c r="DY226" s="4">
        <f t="shared" si="569"/>
        <v>1</v>
      </c>
      <c r="DZ226" s="4">
        <f t="shared" si="570"/>
        <v>0.98631284916201112</v>
      </c>
      <c r="EA226" s="4">
        <f t="shared" si="610"/>
        <v>1</v>
      </c>
      <c r="EB226" s="4">
        <f t="shared" si="571"/>
        <v>0.98631284916201112</v>
      </c>
      <c r="ED226" s="4">
        <f t="shared" si="611"/>
        <v>289.39711749331366</v>
      </c>
      <c r="EE226" s="25">
        <f t="shared" si="612"/>
        <v>137.97143516634895</v>
      </c>
      <c r="EG226" s="4">
        <f t="shared" si="683"/>
        <v>0.98631284916201112</v>
      </c>
      <c r="EH226" s="4">
        <f t="shared" si="613"/>
        <v>5.2682598904813771</v>
      </c>
      <c r="EK226" s="4">
        <f t="shared" si="572"/>
        <v>62.060854190253195</v>
      </c>
      <c r="EL226" s="4">
        <f t="shared" si="573"/>
        <v>1.7335434131355643</v>
      </c>
      <c r="EM226" s="4">
        <f t="shared" si="574"/>
        <v>0.14526540842660543</v>
      </c>
      <c r="EP226" s="4">
        <f t="shared" si="575"/>
        <v>0.14526540842660543</v>
      </c>
      <c r="EQ226" s="4">
        <f t="shared" si="698"/>
        <v>0.41934511329520796</v>
      </c>
      <c r="ER226" s="4">
        <f t="shared" si="577"/>
        <v>3.7213097922395755</v>
      </c>
      <c r="ES226" s="4">
        <f t="shared" si="578"/>
        <v>4.5610407181665344</v>
      </c>
      <c r="ET226" s="4">
        <f t="shared" si="579"/>
        <v>195.1891458097468</v>
      </c>
      <c r="EU226" s="4">
        <f t="shared" si="580"/>
        <v>85.750000000000028</v>
      </c>
      <c r="EV226" s="4">
        <f t="shared" si="699"/>
        <v>1.8323811476289719E-5</v>
      </c>
      <c r="EW226" s="4">
        <f t="shared" si="582"/>
        <v>5.0103135479724656</v>
      </c>
      <c r="EX226" s="4">
        <f t="shared" si="707"/>
        <v>312.79510243738491</v>
      </c>
      <c r="FG226" s="23"/>
      <c r="FH226" s="23"/>
      <c r="FI226" s="23"/>
      <c r="FJ226" s="23"/>
      <c r="FK226" s="23"/>
      <c r="FL226" s="23"/>
      <c r="FM226" s="23"/>
      <c r="FN226" s="23"/>
      <c r="FX226" s="4">
        <f t="shared" si="676"/>
        <v>1</v>
      </c>
      <c r="FY226" s="4">
        <f t="shared" si="716"/>
        <v>0.73631284916201123</v>
      </c>
      <c r="FZ226" s="4">
        <f t="shared" si="677"/>
        <v>0</v>
      </c>
      <c r="GA226" s="4">
        <f t="shared" si="678"/>
        <v>274.85384294525693</v>
      </c>
    </row>
    <row r="227" spans="1:183" ht="12" customHeight="1" x14ac:dyDescent="0.3">
      <c r="A227" s="25">
        <v>209</v>
      </c>
      <c r="B227" s="24" t="s">
        <v>182</v>
      </c>
      <c r="C227" s="4">
        <v>1996</v>
      </c>
      <c r="D227" s="24" t="s">
        <v>309</v>
      </c>
      <c r="E227" s="24"/>
      <c r="F227" s="4" t="s">
        <v>343</v>
      </c>
      <c r="G227" s="7">
        <v>556</v>
      </c>
      <c r="H227" s="7">
        <f>457-P227-25</f>
        <v>356</v>
      </c>
      <c r="I227" s="7">
        <f t="shared" si="519"/>
        <v>356</v>
      </c>
      <c r="J227" s="7">
        <v>39.6</v>
      </c>
      <c r="K227" s="7">
        <v>35.799999999999997</v>
      </c>
      <c r="L227" s="7">
        <f t="shared" si="588"/>
        <v>9.9441340782122918</v>
      </c>
      <c r="M227" s="7">
        <f t="shared" si="589"/>
        <v>9.9441340782122918</v>
      </c>
      <c r="N227" s="7">
        <v>305</v>
      </c>
      <c r="O227" s="7">
        <v>76</v>
      </c>
      <c r="P227" s="7">
        <v>76</v>
      </c>
      <c r="Q227" s="7">
        <f t="shared" si="687"/>
        <v>81.400000000000006</v>
      </c>
      <c r="R227" s="7">
        <v>2</v>
      </c>
      <c r="S227" s="7">
        <f t="shared" si="684"/>
        <v>280</v>
      </c>
      <c r="T227" s="7">
        <f t="shared" si="685"/>
        <v>1.6368715083798884</v>
      </c>
      <c r="U227" s="7">
        <f t="shared" si="702"/>
        <v>2.6229050279329611</v>
      </c>
      <c r="V227" s="7">
        <f>3025/(K227^2*PI()/4)-1</f>
        <v>2.0051727652257014</v>
      </c>
      <c r="W227" s="7">
        <f t="shared" si="725"/>
        <v>2.0051727652257014</v>
      </c>
      <c r="X227" s="7">
        <f t="shared" si="523"/>
        <v>3.0051727652257014</v>
      </c>
      <c r="Y227" s="7">
        <f t="shared" si="524"/>
        <v>62.060854190253195</v>
      </c>
      <c r="Z227" s="7">
        <f t="shared" si="703"/>
        <v>556</v>
      </c>
      <c r="AA227" s="7">
        <v>25</v>
      </c>
      <c r="AB227" s="7">
        <f>426*1000/(K227^2*PI()/4)</f>
        <v>423.20780098715659</v>
      </c>
      <c r="AC227" s="7"/>
      <c r="AD227" s="4">
        <f t="shared" si="526"/>
        <v>1.2033493663218637</v>
      </c>
      <c r="AE227" s="7">
        <v>0</v>
      </c>
      <c r="AF227" s="7">
        <v>0</v>
      </c>
      <c r="AG227" s="7">
        <f t="shared" ref="AG227:AG235" si="726">I227</f>
        <v>356</v>
      </c>
      <c r="AH227" s="7"/>
      <c r="AI227" s="7"/>
      <c r="AJ227" s="7">
        <f t="shared" si="527"/>
        <v>9.112627986348123</v>
      </c>
      <c r="AK227" s="4">
        <f t="shared" si="655"/>
        <v>356</v>
      </c>
      <c r="AL227" s="4">
        <f t="shared" si="595"/>
        <v>0.28558052434456926</v>
      </c>
      <c r="AM227" s="4">
        <f t="shared" si="596"/>
        <v>209.96004617345227</v>
      </c>
      <c r="AN227" s="4">
        <f t="shared" si="597"/>
        <v>0.75275280898876396</v>
      </c>
      <c r="AO227" s="4">
        <v>1.25</v>
      </c>
      <c r="AP227" s="4">
        <f t="shared" si="688"/>
        <v>2.5</v>
      </c>
      <c r="AQ227" s="38">
        <f t="shared" si="599"/>
        <v>141.04823394313382</v>
      </c>
      <c r="AR227" s="38">
        <f t="shared" si="600"/>
        <v>141.04823394313382</v>
      </c>
      <c r="AS227" s="38">
        <f t="shared" si="601"/>
        <v>3.4853899827538752</v>
      </c>
      <c r="AT227" s="38">
        <f t="shared" si="691"/>
        <v>141.04823394313374</v>
      </c>
      <c r="AU227" s="38">
        <f t="shared" si="674"/>
        <v>1.0000000000000007</v>
      </c>
      <c r="AV227" s="38">
        <f t="shared" si="692"/>
        <v>1.6151180513590784</v>
      </c>
      <c r="AW227" s="4">
        <f t="shared" si="693"/>
        <v>0</v>
      </c>
      <c r="AX227" s="4">
        <f t="shared" si="528"/>
        <v>329.35249921955955</v>
      </c>
      <c r="AY227" s="4">
        <f t="shared" si="529"/>
        <v>1.2409556313993173</v>
      </c>
      <c r="AZ227" s="38">
        <f t="shared" si="701"/>
        <v>227.80954875387357</v>
      </c>
      <c r="BA227" s="4">
        <f t="shared" si="531"/>
        <v>0.71927581286840181</v>
      </c>
      <c r="BB227" s="4">
        <f t="shared" si="532"/>
        <v>123.77778724661293</v>
      </c>
      <c r="BC227" s="4">
        <f t="shared" si="533"/>
        <v>351.58733600048652</v>
      </c>
      <c r="BE227" s="4">
        <f t="shared" si="689"/>
        <v>1.2807262569832403</v>
      </c>
      <c r="BF227" s="4">
        <f t="shared" si="690"/>
        <v>482.21458979893413</v>
      </c>
      <c r="BH227" s="4">
        <f t="shared" si="704"/>
        <v>218.49721654740532</v>
      </c>
      <c r="BI227" s="4">
        <f t="shared" si="705"/>
        <v>30569.451870773988</v>
      </c>
      <c r="BJ227" s="4">
        <f t="shared" si="706"/>
        <v>139.9077404912461</v>
      </c>
      <c r="BK227" s="4">
        <f t="shared" si="602"/>
        <v>47.1</v>
      </c>
      <c r="BL227" s="4">
        <f t="shared" si="603"/>
        <v>47.1</v>
      </c>
      <c r="BM227" s="4">
        <f t="shared" si="604"/>
        <v>280</v>
      </c>
      <c r="BN227" s="4">
        <f t="shared" si="605"/>
        <v>65</v>
      </c>
      <c r="BO227" s="4">
        <f t="shared" si="606"/>
        <v>1.25</v>
      </c>
      <c r="BP227" s="25">
        <f t="shared" si="607"/>
        <v>2.2695530726256985</v>
      </c>
      <c r="BR227" s="4">
        <f t="shared" si="539"/>
        <v>40.700000000000003</v>
      </c>
      <c r="BV227" s="9"/>
      <c r="BX227" s="9"/>
      <c r="BY227" s="9"/>
      <c r="BZ227" s="9">
        <f t="shared" si="540"/>
        <v>40.700000000000003</v>
      </c>
      <c r="CA227" s="9">
        <f t="shared" si="541"/>
        <v>76</v>
      </c>
      <c r="CB227" s="9">
        <f t="shared" si="694"/>
        <v>1.1709505872794554</v>
      </c>
      <c r="CC227" s="9">
        <v>0</v>
      </c>
      <c r="CD227" s="9">
        <f t="shared" si="543"/>
        <v>0</v>
      </c>
      <c r="CE227" s="9">
        <f t="shared" si="544"/>
        <v>0</v>
      </c>
      <c r="CF227" s="9">
        <f t="shared" si="545"/>
        <v>0.89787751228078194</v>
      </c>
      <c r="CG227" s="9">
        <f t="shared" si="546"/>
        <v>0.91600000000000004</v>
      </c>
      <c r="CH227" s="9">
        <f t="shared" si="695"/>
        <v>1.8114577353159602</v>
      </c>
      <c r="CI227" s="9">
        <f t="shared" si="696"/>
        <v>2.1211274990001359</v>
      </c>
      <c r="CJ227" s="9">
        <v>1</v>
      </c>
      <c r="CK227" s="9">
        <f t="shared" si="697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727">AB227/BF227</f>
        <v>0.87763375463944127</v>
      </c>
      <c r="CP227" s="4">
        <f>AB227/CK227</f>
        <v>1.9996706233260206</v>
      </c>
      <c r="CQ227" s="4">
        <f t="shared" si="709"/>
        <v>1.2033493663218637</v>
      </c>
      <c r="CR227" s="4">
        <f t="shared" ref="CR227" si="728">AB227/ED227</f>
        <v>1.3081102480693489</v>
      </c>
      <c r="CS227" s="4">
        <f>AB227/GA227</f>
        <v>1.487260947268513</v>
      </c>
      <c r="CU227" s="4">
        <f t="shared" ref="CU227:CV243" si="729">CM227</f>
        <v>1.2849691500444007</v>
      </c>
      <c r="CV227" s="4">
        <f t="shared" si="729"/>
        <v>1.2037060430031272</v>
      </c>
      <c r="CW227" s="4">
        <f t="shared" ref="CW227:CW243" si="730">CP227</f>
        <v>1.9996706233260206</v>
      </c>
      <c r="CX227" s="4">
        <f t="shared" ref="CX227" si="731">CS227</f>
        <v>1.487260947268513</v>
      </c>
      <c r="CY227" s="4">
        <f t="shared" ref="CY227:CZ243" si="732">CQ227</f>
        <v>1.2033493663218637</v>
      </c>
      <c r="CZ227" s="4">
        <f t="shared" si="732"/>
        <v>1.3081102480693489</v>
      </c>
      <c r="DH227" s="4">
        <f t="shared" si="558"/>
        <v>0</v>
      </c>
      <c r="DI227" s="4">
        <f t="shared" si="559"/>
        <v>356</v>
      </c>
      <c r="DL227" s="4">
        <f t="shared" si="560"/>
        <v>1.8967907610196526E-5</v>
      </c>
      <c r="DM227" s="4">
        <f t="shared" si="561"/>
        <v>6.1668851840490211</v>
      </c>
      <c r="DN227" s="4">
        <f t="shared" si="562"/>
        <v>0.42894863980926484</v>
      </c>
      <c r="DO227" s="4">
        <f t="shared" si="563"/>
        <v>4.3956993516638692</v>
      </c>
      <c r="DP227" s="4">
        <f t="shared" si="564"/>
        <v>5.3552300003182269</v>
      </c>
      <c r="DQ227" s="4">
        <f t="shared" si="565"/>
        <v>5.7860734734060939</v>
      </c>
      <c r="DR227" s="38">
        <f t="shared" si="609"/>
        <v>351.69154763485358</v>
      </c>
      <c r="DS227" s="4">
        <f t="shared" si="566"/>
        <v>1.0001334282748957</v>
      </c>
      <c r="DT227" s="4">
        <f t="shared" si="567"/>
        <v>1.7335434131355643</v>
      </c>
      <c r="DU227" s="4">
        <f t="shared" si="568"/>
        <v>141.04823394313374</v>
      </c>
      <c r="DY227" s="4">
        <f t="shared" si="569"/>
        <v>0.85</v>
      </c>
      <c r="DZ227" s="4">
        <f t="shared" si="570"/>
        <v>0.98631284916201112</v>
      </c>
      <c r="EA227" s="4">
        <f t="shared" si="610"/>
        <v>1</v>
      </c>
      <c r="EB227" s="4">
        <f t="shared" si="571"/>
        <v>0.98631284916201112</v>
      </c>
      <c r="ED227" s="4">
        <f t="shared" si="611"/>
        <v>323.52609545852317</v>
      </c>
      <c r="EE227" s="25">
        <f t="shared" si="612"/>
        <v>139.55309611315016</v>
      </c>
      <c r="EG227" s="4">
        <f t="shared" si="683"/>
        <v>0.83836592178770941</v>
      </c>
      <c r="EH227" s="4">
        <f t="shared" si="613"/>
        <v>6.1668851840490211</v>
      </c>
      <c r="EK227" s="4">
        <f t="shared" si="572"/>
        <v>62.060854190253195</v>
      </c>
      <c r="EL227" s="4">
        <f t="shared" si="573"/>
        <v>1.7335434131355643</v>
      </c>
      <c r="EM227" s="4">
        <f t="shared" si="574"/>
        <v>0.14760061035641445</v>
      </c>
      <c r="EP227" s="4">
        <f t="shared" si="575"/>
        <v>0.14760061035641445</v>
      </c>
      <c r="EQ227" s="4">
        <f t="shared" si="698"/>
        <v>0.42823280447458212</v>
      </c>
      <c r="ER227" s="4">
        <f t="shared" si="577"/>
        <v>4.3927636401561037</v>
      </c>
      <c r="ES227" s="4">
        <f t="shared" si="578"/>
        <v>5.3540268593966776</v>
      </c>
      <c r="ET227" s="4">
        <f t="shared" si="579"/>
        <v>204.9391458097468</v>
      </c>
      <c r="EU227" s="4">
        <f t="shared" si="580"/>
        <v>89.000000000000028</v>
      </c>
      <c r="EV227" s="4">
        <f t="shared" si="699"/>
        <v>1.8967907610196532E-5</v>
      </c>
      <c r="EW227" s="4">
        <f t="shared" si="582"/>
        <v>5.7861727473186031</v>
      </c>
      <c r="EX227" s="4">
        <f t="shared" si="707"/>
        <v>351.64462829872332</v>
      </c>
      <c r="FG227" s="23">
        <f t="shared" ref="FG227:FH227" si="733">IF(CM227&lt;0.6,0.6,IF(CM227&lt;0.8,0.8,IF(CM227&lt;1,1,IF(CM227&lt;1.2,1.2,IF(CM227&lt;1.4,1.4,IF(CM227&lt;1.6,1.6,IF(CM227&lt;1.8,1.8,IF(CM227&lt;2,2,2.2))))))))</f>
        <v>1.4</v>
      </c>
      <c r="FH227" s="23">
        <f t="shared" si="733"/>
        <v>1.4</v>
      </c>
      <c r="FI227" s="23">
        <f t="shared" ref="FI227" si="734">IF(CS227&lt;0.6,0.6,IF(CS227&lt;0.8,0.8,IF(CS227&lt;1,1,IF(CS227&lt;1.2,1.2,IF(CS227&lt;1.4,1.4,IF(CS227&lt;1.6,1.6,IF(CS227&lt;1.8,1.8,IF(CS227&lt;2,2,2.2))))))))</f>
        <v>1.6</v>
      </c>
      <c r="FJ227" s="23">
        <f t="shared" ref="FJ227:FL227" si="735">IF(CP227&lt;0.6,0.6,IF(CP227&lt;0.8,0.8,IF(CP227&lt;1,1,IF(CP227&lt;1.2,1.2,IF(CP227&lt;1.4,1.4,IF(CP227&lt;1.6,1.6,IF(CP227&lt;1.8,1.8,IF(CP227&lt;2,2,2.2))))))))</f>
        <v>2</v>
      </c>
      <c r="FK227" s="23">
        <f t="shared" si="735"/>
        <v>1.4</v>
      </c>
      <c r="FL227" s="23">
        <f t="shared" si="735"/>
        <v>1.4</v>
      </c>
      <c r="FM227" s="23">
        <f t="shared" ref="FM227" si="736">IF(FK227&lt;1,1,0)</f>
        <v>0</v>
      </c>
      <c r="FN227" s="23"/>
      <c r="FX227" s="4">
        <f t="shared" si="676"/>
        <v>1</v>
      </c>
      <c r="FY227" s="4">
        <f t="shared" si="716"/>
        <v>0.73631284916201123</v>
      </c>
      <c r="FZ227" s="4">
        <f t="shared" si="677"/>
        <v>0</v>
      </c>
      <c r="GA227" s="4">
        <f t="shared" si="678"/>
        <v>284.55517625499101</v>
      </c>
    </row>
    <row r="228" spans="1:183" ht="12" customHeight="1" x14ac:dyDescent="0.3">
      <c r="A228" s="25">
        <v>210</v>
      </c>
      <c r="B228" s="24" t="s">
        <v>182</v>
      </c>
      <c r="C228" s="4">
        <v>1996</v>
      </c>
      <c r="D228" s="24" t="s">
        <v>309</v>
      </c>
      <c r="E228" s="24"/>
      <c r="F228" s="4" t="s">
        <v>344</v>
      </c>
      <c r="G228" s="7">
        <v>556</v>
      </c>
      <c r="H228" s="7">
        <f>305-P228-25</f>
        <v>204</v>
      </c>
      <c r="I228" s="7">
        <f t="shared" si="519"/>
        <v>204</v>
      </c>
      <c r="J228" s="7">
        <v>36.1</v>
      </c>
      <c r="K228" s="7">
        <v>35.799999999999997</v>
      </c>
      <c r="L228" s="7">
        <f t="shared" si="588"/>
        <v>5.6983240223463696</v>
      </c>
      <c r="M228" s="7">
        <f t="shared" si="589"/>
        <v>5.6983240223463696</v>
      </c>
      <c r="N228" s="7">
        <v>305</v>
      </c>
      <c r="O228" s="7">
        <v>76</v>
      </c>
      <c r="P228" s="7">
        <v>76</v>
      </c>
      <c r="Q228" s="7">
        <f t="shared" si="687"/>
        <v>81.400000000000006</v>
      </c>
      <c r="R228" s="7">
        <v>2</v>
      </c>
      <c r="S228" s="7">
        <f t="shared" si="684"/>
        <v>280</v>
      </c>
      <c r="T228" s="7">
        <f t="shared" si="685"/>
        <v>1.6368715083798884</v>
      </c>
      <c r="U228" s="7">
        <f t="shared" si="702"/>
        <v>2.6229050279329611</v>
      </c>
      <c r="V228" s="7">
        <f>3025/(K228^2*PI()/4)-1</f>
        <v>2.0051727652257014</v>
      </c>
      <c r="W228" s="7">
        <f t="shared" si="725"/>
        <v>2.0051727652257014</v>
      </c>
      <c r="X228" s="7">
        <f t="shared" si="523"/>
        <v>3.0051727652257014</v>
      </c>
      <c r="Y228" s="7">
        <f t="shared" si="524"/>
        <v>62.060854190253195</v>
      </c>
      <c r="Z228" s="7">
        <f t="shared" si="703"/>
        <v>556</v>
      </c>
      <c r="AA228" s="7">
        <v>25</v>
      </c>
      <c r="AB228" s="7"/>
      <c r="AC228" s="32" t="s">
        <v>183</v>
      </c>
      <c r="AD228" s="4">
        <f t="shared" si="526"/>
        <v>0</v>
      </c>
      <c r="AE228" s="7">
        <v>0</v>
      </c>
      <c r="AF228" s="7">
        <v>0</v>
      </c>
      <c r="AG228" s="7">
        <f t="shared" si="726"/>
        <v>204</v>
      </c>
      <c r="AH228" s="7"/>
      <c r="AI228" s="7"/>
      <c r="AJ228" s="7">
        <f t="shared" si="527"/>
        <v>5.2218430034129693</v>
      </c>
      <c r="AK228" s="4">
        <f t="shared" si="655"/>
        <v>204</v>
      </c>
      <c r="AL228" s="4">
        <f t="shared" si="595"/>
        <v>0.49836601307189543</v>
      </c>
      <c r="AM228" s="4">
        <f t="shared" si="596"/>
        <v>86.958676610533459</v>
      </c>
      <c r="AN228" s="4">
        <f t="shared" si="597"/>
        <v>0.7920588235294117</v>
      </c>
      <c r="AO228" s="4">
        <v>1.25</v>
      </c>
      <c r="AP228" s="4">
        <f t="shared" si="688"/>
        <v>2.5</v>
      </c>
      <c r="AQ228" s="38">
        <f t="shared" si="599"/>
        <v>107.26765759294925</v>
      </c>
      <c r="AR228" s="38">
        <f t="shared" si="600"/>
        <v>107.26765759294925</v>
      </c>
      <c r="AS228" s="38">
        <f t="shared" si="601"/>
        <v>3.2768713349985528</v>
      </c>
      <c r="AT228" s="38">
        <f t="shared" si="691"/>
        <v>107.26765759294932</v>
      </c>
      <c r="AU228" s="38">
        <f t="shared" si="674"/>
        <v>0.99999999999999933</v>
      </c>
      <c r="AV228" s="38">
        <f t="shared" si="692"/>
        <v>1.9360436414355566</v>
      </c>
      <c r="AW228" s="4">
        <f t="shared" si="693"/>
        <v>0</v>
      </c>
      <c r="AX228" s="4">
        <f t="shared" si="528"/>
        <v>180.19682756266744</v>
      </c>
      <c r="AY228" s="4">
        <f t="shared" si="529"/>
        <v>1.2409556313993173</v>
      </c>
      <c r="AZ228" s="38">
        <f t="shared" si="701"/>
        <v>207.67486641451603</v>
      </c>
      <c r="BA228" s="4">
        <f t="shared" si="531"/>
        <v>0.71927581286840181</v>
      </c>
      <c r="BB228" s="4">
        <f t="shared" si="532"/>
        <v>67.721862252204929</v>
      </c>
      <c r="BC228" s="4">
        <f t="shared" si="533"/>
        <v>275.39672866672095</v>
      </c>
      <c r="BE228" s="4">
        <f t="shared" si="689"/>
        <v>1.2807262569832403</v>
      </c>
      <c r="BF228" s="4">
        <f t="shared" si="690"/>
        <v>362.3968866174186</v>
      </c>
      <c r="BH228" s="4">
        <f t="shared" si="704"/>
        <v>199.18559387276096</v>
      </c>
      <c r="BI228" s="4">
        <f t="shared" si="705"/>
        <v>30569.451870773988</v>
      </c>
      <c r="BJ228" s="4">
        <f t="shared" si="706"/>
        <v>153.47220286574361</v>
      </c>
      <c r="BK228" s="4">
        <f t="shared" si="602"/>
        <v>47.1</v>
      </c>
      <c r="BL228" s="4">
        <f t="shared" si="603"/>
        <v>47.1</v>
      </c>
      <c r="BM228" s="4">
        <f t="shared" si="604"/>
        <v>280</v>
      </c>
      <c r="BN228" s="4">
        <f t="shared" si="605"/>
        <v>65</v>
      </c>
      <c r="BO228" s="4">
        <f t="shared" si="606"/>
        <v>1.25</v>
      </c>
      <c r="BP228" s="25">
        <f t="shared" si="607"/>
        <v>2.2695530726256985</v>
      </c>
      <c r="BR228" s="4">
        <f t="shared" si="539"/>
        <v>40.700000000000003</v>
      </c>
      <c r="BV228" s="9"/>
      <c r="BX228" s="9"/>
      <c r="BY228" s="9"/>
      <c r="BZ228" s="9">
        <f t="shared" si="540"/>
        <v>40.700000000000003</v>
      </c>
      <c r="CA228" s="9">
        <f t="shared" si="541"/>
        <v>76</v>
      </c>
      <c r="CB228" s="9">
        <f t="shared" si="694"/>
        <v>1.1709505872794554</v>
      </c>
      <c r="CC228" s="9">
        <v>0</v>
      </c>
      <c r="CD228" s="9">
        <f t="shared" si="543"/>
        <v>0</v>
      </c>
      <c r="CE228" s="9">
        <f t="shared" si="544"/>
        <v>0</v>
      </c>
      <c r="CF228" s="9">
        <f t="shared" si="545"/>
        <v>0.89787751228078194</v>
      </c>
      <c r="CG228" s="9">
        <f t="shared" si="546"/>
        <v>0.91600000000000004</v>
      </c>
      <c r="CH228" s="9">
        <f t="shared" si="695"/>
        <v>1.7295543484995353</v>
      </c>
      <c r="CI228" s="9">
        <f t="shared" si="696"/>
        <v>2.0252226801072668</v>
      </c>
      <c r="CJ228" s="9">
        <v>1</v>
      </c>
      <c r="CK228" s="9">
        <f t="shared" si="697"/>
        <v>167.67486100105975</v>
      </c>
      <c r="DH228" s="4">
        <f t="shared" si="558"/>
        <v>0</v>
      </c>
      <c r="DI228" s="4">
        <f t="shared" si="559"/>
        <v>204</v>
      </c>
      <c r="DL228" s="4">
        <f t="shared" si="560"/>
        <v>1.0616776242063277E-5</v>
      </c>
      <c r="DM228" s="4">
        <f t="shared" si="561"/>
        <v>5.8880551717144805</v>
      </c>
      <c r="DN228" s="4">
        <f t="shared" si="562"/>
        <v>0.35784456322904007</v>
      </c>
      <c r="DO228" s="4">
        <f t="shared" si="563"/>
        <v>3.903459161346345</v>
      </c>
      <c r="DP228" s="4">
        <f t="shared" si="564"/>
        <v>4.9957013919335163</v>
      </c>
      <c r="DQ228" s="4">
        <f t="shared" si="565"/>
        <v>5.7825332101658145</v>
      </c>
      <c r="DR228" s="38">
        <f t="shared" si="609"/>
        <v>218.04598394729314</v>
      </c>
      <c r="DS228" s="4">
        <f t="shared" si="566"/>
        <v>1.0001294391593079</v>
      </c>
      <c r="DT228" s="4">
        <f t="shared" si="567"/>
        <v>1.7335434131355643</v>
      </c>
      <c r="DU228" s="4">
        <f t="shared" si="568"/>
        <v>107.26765759294932</v>
      </c>
      <c r="DY228" s="4">
        <f t="shared" si="569"/>
        <v>0.85</v>
      </c>
      <c r="DZ228" s="4">
        <f t="shared" si="570"/>
        <v>0.98631284916201112</v>
      </c>
      <c r="EA228" s="4">
        <f t="shared" si="610"/>
        <v>1</v>
      </c>
      <c r="EB228" s="4">
        <f t="shared" si="571"/>
        <v>0.98631284916201112</v>
      </c>
      <c r="ED228" s="4">
        <f t="shared" si="611"/>
        <v>205.84046641765849</v>
      </c>
      <c r="EE228" s="25">
        <f t="shared" si="612"/>
        <v>105.18432772801428</v>
      </c>
      <c r="EG228" s="4">
        <f t="shared" si="683"/>
        <v>0.83836592178770941</v>
      </c>
      <c r="EH228" s="4">
        <f t="shared" si="613"/>
        <v>5.8880551717144805</v>
      </c>
      <c r="EK228" s="4">
        <f t="shared" si="572"/>
        <v>62.060854190253195</v>
      </c>
      <c r="EL228" s="4">
        <f t="shared" si="573"/>
        <v>1.7335434131355643</v>
      </c>
      <c r="EM228" s="4">
        <f t="shared" si="574"/>
        <v>0.1175664188934134</v>
      </c>
      <c r="EP228" s="4">
        <f t="shared" si="575"/>
        <v>0.1175664188934134</v>
      </c>
      <c r="EQ228" s="4">
        <f t="shared" si="698"/>
        <v>0.35724738734617123</v>
      </c>
      <c r="ER228" s="4">
        <f t="shared" si="577"/>
        <v>3.900852197342831</v>
      </c>
      <c r="ES228" s="4">
        <f t="shared" si="578"/>
        <v>4.994685388289958</v>
      </c>
      <c r="ET228" s="4">
        <f t="shared" si="579"/>
        <v>90.939145809746805</v>
      </c>
      <c r="EU228" s="4">
        <f t="shared" si="580"/>
        <v>51</v>
      </c>
      <c r="EV228" s="4">
        <f t="shared" si="699"/>
        <v>1.0616776242063277E-5</v>
      </c>
      <c r="EW228" s="4">
        <f t="shared" si="582"/>
        <v>5.7825648884700565</v>
      </c>
      <c r="EX228" s="4">
        <f t="shared" si="707"/>
        <v>218.01776391121831</v>
      </c>
      <c r="FG228" s="23"/>
      <c r="FH228" s="23"/>
      <c r="FI228" s="23"/>
      <c r="FJ228" s="23"/>
      <c r="FK228" s="23"/>
      <c r="FL228" s="23"/>
      <c r="FM228" s="23"/>
      <c r="FN228" s="23"/>
      <c r="FX228" s="4">
        <f t="shared" si="676"/>
        <v>1</v>
      </c>
      <c r="FY228" s="4">
        <f t="shared" si="716"/>
        <v>0.73631284916201123</v>
      </c>
      <c r="FZ228" s="4">
        <f t="shared" si="677"/>
        <v>0</v>
      </c>
      <c r="GA228" s="4">
        <f t="shared" si="678"/>
        <v>159.3307731608862</v>
      </c>
    </row>
    <row r="229" spans="1:183" ht="12" customHeight="1" x14ac:dyDescent="0.3">
      <c r="A229" s="25">
        <v>211</v>
      </c>
      <c r="B229" s="24" t="s">
        <v>182</v>
      </c>
      <c r="C229" s="4">
        <v>1996</v>
      </c>
      <c r="D229" s="24" t="s">
        <v>309</v>
      </c>
      <c r="E229" s="24"/>
      <c r="F229" s="4" t="s">
        <v>345</v>
      </c>
      <c r="G229" s="7">
        <v>556</v>
      </c>
      <c r="H229" s="7">
        <f>381-P229-20</f>
        <v>343</v>
      </c>
      <c r="I229" s="7">
        <f t="shared" ref="I229:I243" si="737">H229</f>
        <v>343</v>
      </c>
      <c r="J229" s="7">
        <v>36.200000000000003</v>
      </c>
      <c r="K229" s="7">
        <v>35.799999999999997</v>
      </c>
      <c r="L229" s="7">
        <f t="shared" si="588"/>
        <v>9.5810055865921804</v>
      </c>
      <c r="M229" s="7">
        <f t="shared" si="589"/>
        <v>9.5810055865921804</v>
      </c>
      <c r="N229" s="7">
        <v>305</v>
      </c>
      <c r="O229" s="7">
        <v>76</v>
      </c>
      <c r="P229" s="7">
        <v>18</v>
      </c>
      <c r="Q229" s="7">
        <f t="shared" si="687"/>
        <v>81.400000000000006</v>
      </c>
      <c r="R229" s="7">
        <v>2</v>
      </c>
      <c r="S229" s="7">
        <f t="shared" si="684"/>
        <v>280</v>
      </c>
      <c r="T229" s="7">
        <f t="shared" si="685"/>
        <v>1.6368715083798884</v>
      </c>
      <c r="U229" s="7">
        <f t="shared" si="702"/>
        <v>2.6229050279329611</v>
      </c>
      <c r="V229" s="7">
        <f>3150/(K229^2*PI()/4)-1</f>
        <v>2.1293534580036226</v>
      </c>
      <c r="W229" s="7">
        <f>3150/(K229^2*PI()/4)-1</f>
        <v>2.1293534580036226</v>
      </c>
      <c r="X229" s="7">
        <f t="shared" ref="X229:X243" si="738">W229+1</f>
        <v>3.1293534580036226</v>
      </c>
      <c r="Y229" s="7">
        <f t="shared" ref="Y229:Y243" si="739">K229*X229^0.5</f>
        <v>63.330123684671278</v>
      </c>
      <c r="Z229" s="7">
        <f t="shared" si="703"/>
        <v>556</v>
      </c>
      <c r="AA229" s="7">
        <v>20</v>
      </c>
      <c r="AB229" s="7"/>
      <c r="AC229" s="32" t="s">
        <v>183</v>
      </c>
      <c r="AD229" s="4">
        <f t="shared" ref="AD229:AD292" si="740">CQ229</f>
        <v>0</v>
      </c>
      <c r="AE229" s="7">
        <v>0</v>
      </c>
      <c r="AF229" s="7">
        <v>0</v>
      </c>
      <c r="AG229" s="7">
        <f t="shared" si="726"/>
        <v>343</v>
      </c>
      <c r="AH229" s="7"/>
      <c r="AI229" s="7"/>
      <c r="AJ229" s="7">
        <f t="shared" ref="AJ229:AJ243" si="741">3*AK229/(Q229+K229)</f>
        <v>8.7798634812286682</v>
      </c>
      <c r="AK229" s="4">
        <f t="shared" si="655"/>
        <v>343</v>
      </c>
      <c r="AL229" s="4">
        <f t="shared" si="595"/>
        <v>0.29640427599611274</v>
      </c>
      <c r="AM229" s="4">
        <f t="shared" si="596"/>
        <v>189.84953380078178</v>
      </c>
      <c r="AN229" s="4">
        <f t="shared" si="597"/>
        <v>0.75475218658892129</v>
      </c>
      <c r="AO229" s="4">
        <v>1.25</v>
      </c>
      <c r="AP229" s="4">
        <f t="shared" si="688"/>
        <v>2.5</v>
      </c>
      <c r="AQ229" s="38">
        <f t="shared" si="599"/>
        <v>132.72367584275798</v>
      </c>
      <c r="AR229" s="38">
        <f t="shared" si="600"/>
        <v>132.72367584275798</v>
      </c>
      <c r="AS229" s="38">
        <f t="shared" si="601"/>
        <v>3.282920015195979</v>
      </c>
      <c r="AT229" s="38">
        <f t="shared" si="691"/>
        <v>132.72367584275801</v>
      </c>
      <c r="AU229" s="38">
        <f t="shared" si="674"/>
        <v>0.99999999999999978</v>
      </c>
      <c r="AV229" s="38">
        <f t="shared" si="692"/>
        <v>1.6169064268162814</v>
      </c>
      <c r="AW229" s="4">
        <f t="shared" si="693"/>
        <v>0</v>
      </c>
      <c r="AX229" s="4">
        <f t="shared" ref="AX229:AX243" si="742">I229/K229*J229^0.5/0.19</f>
        <v>303.39734619679649</v>
      </c>
      <c r="AY229" s="4">
        <f t="shared" ref="AY229:AY243" si="743">MIN(0.6+0.4*(U229/T229),2)</f>
        <v>1.2409556313993173</v>
      </c>
      <c r="AZ229" s="38">
        <f t="shared" si="701"/>
        <v>214.60176446083625</v>
      </c>
      <c r="BA229" s="4">
        <f t="shared" ref="BA229:BA243" si="744">MAX(1-0.7*W229/5,0.3)</f>
        <v>0.7018905158794928</v>
      </c>
      <c r="BB229" s="4">
        <f t="shared" ref="BB229:BB243" si="745">BA229*G229*I229/(G229*K229/2.75/J229^0.5)</f>
        <v>111.2672736156364</v>
      </c>
      <c r="BC229" s="4">
        <f t="shared" ref="BC229:BC243" si="746">AZ229+BB229</f>
        <v>325.86903807647263</v>
      </c>
      <c r="BE229" s="4">
        <f t="shared" si="689"/>
        <v>1.2807262569832403</v>
      </c>
      <c r="BF229" s="4">
        <f t="shared" si="690"/>
        <v>452.65450257099729</v>
      </c>
      <c r="BH229" s="4">
        <f t="shared" si="704"/>
        <v>205.82933620361388</v>
      </c>
      <c r="BI229" s="4">
        <f t="shared" si="705"/>
        <v>12204.288039811765</v>
      </c>
      <c r="BJ229" s="4">
        <f t="shared" si="706"/>
        <v>59.29323907326232</v>
      </c>
      <c r="BK229" s="4">
        <f t="shared" si="602"/>
        <v>47.1</v>
      </c>
      <c r="BL229" s="4">
        <f t="shared" si="603"/>
        <v>47.1</v>
      </c>
      <c r="BM229" s="4">
        <f t="shared" si="604"/>
        <v>280</v>
      </c>
      <c r="BN229" s="4">
        <f t="shared" si="605"/>
        <v>65</v>
      </c>
      <c r="BO229" s="4">
        <f t="shared" si="606"/>
        <v>1.25</v>
      </c>
      <c r="BP229" s="25">
        <f t="shared" si="607"/>
        <v>2.2695530726256985</v>
      </c>
      <c r="BR229" s="4">
        <f t="shared" ref="BR229:BR243" si="747">IF(Q229=0,O229,MIN(Q229/2,O229))</f>
        <v>40.700000000000003</v>
      </c>
      <c r="BV229" s="9"/>
      <c r="BX229" s="9"/>
      <c r="BY229" s="9"/>
      <c r="BZ229" s="9">
        <f t="shared" ref="BZ229:BZ243" si="748">IF(Q229=0,MIN(O229,P229),MIN(Q229/2,O229,P229))</f>
        <v>18</v>
      </c>
      <c r="CA229" s="9">
        <f t="shared" ref="CA229:CA243" si="749">MAX(Q229/2,O229)</f>
        <v>76</v>
      </c>
      <c r="CB229" s="9">
        <f t="shared" si="694"/>
        <v>0.88008760053944035</v>
      </c>
      <c r="CC229" s="9">
        <v>0</v>
      </c>
      <c r="CD229" s="9">
        <f t="shared" ref="CD229:CD243" si="750">MIN(PI()*AE229^2/4*AF229*2/R229/K229/MAX(0.01,AG229),0.05)</f>
        <v>0</v>
      </c>
      <c r="CE229" s="9">
        <f t="shared" ref="CE229:CE243" si="751">MAX(0,CC229*(CD229-0.5/50))</f>
        <v>0</v>
      </c>
      <c r="CF229" s="9">
        <f t="shared" ref="CF229:CF243" si="752">MIN(1,(25/K229)^0.3)</f>
        <v>0.89787751228078194</v>
      </c>
      <c r="CG229" s="9">
        <f t="shared" ref="CG229:CG243" si="753">IF(G229&gt;=800,0.68,IF(G229&gt;=700,0.75-(G229-700)*0.07/100,IF(G229&gt;=600,0.85-(G229-600)*0.1/100,IF(G229&gt;=500,1-(G229-500)*0.15/100,1.2-(G229-400)*0.2/100))))</f>
        <v>0.91600000000000004</v>
      </c>
      <c r="CH229" s="9">
        <f t="shared" si="695"/>
        <v>1.7319481964943424</v>
      </c>
      <c r="CI229" s="9">
        <f t="shared" si="696"/>
        <v>1.5242661325113169</v>
      </c>
      <c r="CJ229" s="9">
        <v>1</v>
      </c>
      <c r="CK229" s="9">
        <f t="shared" si="697"/>
        <v>149.87197727485574</v>
      </c>
      <c r="DH229" s="4">
        <f t="shared" ref="DH229:DH247" si="754">AF229</f>
        <v>0</v>
      </c>
      <c r="DI229" s="4">
        <f t="shared" ref="DI229:DI243" si="755">I229</f>
        <v>343</v>
      </c>
      <c r="DL229" s="4">
        <f t="shared" ref="DL229:DL292" si="756">H229/4/(1-0.3*(J229/30)^0.5)/200000/K229</f>
        <v>1.7862883419588262E-5</v>
      </c>
      <c r="DM229" s="4">
        <f t="shared" ref="DM229:DM292" si="757">EH229</f>
        <v>5.0117740230039942</v>
      </c>
      <c r="DN229" s="4">
        <f t="shared" ref="DN229:DN292" si="758">DU229*Y229/257/J229/V229</f>
        <v>0.42429634064630556</v>
      </c>
      <c r="DO229" s="4">
        <f t="shared" ref="DO229:DO292" si="759">DM229*DN229^0.4</f>
        <v>3.556797951623889</v>
      </c>
      <c r="DP229" s="4">
        <f t="shared" ref="DP229:DP292" si="760">MIN(DM229, DM229/1.4*(1-DN229^1.4)/(1-DN229))</f>
        <v>4.3457845155512942</v>
      </c>
      <c r="DQ229" s="4">
        <f t="shared" ref="DQ229:DQ292" si="761">MAX(DM229/2, (4-DL229*(8*Y229*(DO229-DP229)+6*H229*DP229))/(4+DL229*H229*DM229)*DM229)</f>
        <v>4.7838273870400245</v>
      </c>
      <c r="DR229" s="38">
        <f t="shared" si="609"/>
        <v>297.88564772937099</v>
      </c>
      <c r="DS229" s="4">
        <f t="shared" ref="DS229:DS292" si="762">DR229/EX229</f>
        <v>1.0001251085431455</v>
      </c>
      <c r="DT229" s="4">
        <f t="shared" ref="DT229:DT292" si="763">Y229/K229</f>
        <v>1.7689978682869074</v>
      </c>
      <c r="DU229" s="4">
        <f t="shared" ref="DU229:DU292" si="764">MIN(DT$10*AT229)</f>
        <v>132.72367584275801</v>
      </c>
      <c r="DY229" s="4">
        <f t="shared" ref="DY229:DY292" si="765">IF(P229&gt;1*K229,0.85,1)</f>
        <v>1</v>
      </c>
      <c r="DZ229" s="4">
        <f t="shared" ref="DZ229:DZ292" si="766">MIN(1,MAX(0.7,(1-0.1*(BR229-1*K229)/K229)))</f>
        <v>0.98631284916201112</v>
      </c>
      <c r="EA229" s="4">
        <f t="shared" si="610"/>
        <v>1</v>
      </c>
      <c r="EB229" s="4">
        <f t="shared" ref="EB229:EB292" si="767">IF(DZ229*EA229&lt;0.7,0.7,DZ229*EA229)</f>
        <v>0.98631284916201112</v>
      </c>
      <c r="ED229" s="4">
        <f t="shared" si="611"/>
        <v>275.30778396217227</v>
      </c>
      <c r="EE229" s="25">
        <f t="shared" si="612"/>
        <v>131.2542792227558</v>
      </c>
      <c r="EG229" s="4">
        <f t="shared" si="683"/>
        <v>0.98631284916201112</v>
      </c>
      <c r="EH229" s="4">
        <f t="shared" si="613"/>
        <v>5.0117740230039942</v>
      </c>
      <c r="EK229" s="4">
        <f t="shared" ref="EK229:EK292" si="768">EL229*K229</f>
        <v>63.330123684671278</v>
      </c>
      <c r="EL229" s="4">
        <f t="shared" ref="EL229:EL292" si="769">X229^0.5</f>
        <v>1.7689978682869074</v>
      </c>
      <c r="EM229" s="4">
        <f t="shared" ref="EM229:EM292" si="770">MIN(DU229)/(4700*J229^0.5)/W229*EK229</f>
        <v>0.13959145590482508</v>
      </c>
      <c r="EP229" s="4">
        <f t="shared" ref="EP229:EP243" si="771">EM229</f>
        <v>0.13959145590482508</v>
      </c>
      <c r="EQ229" s="4">
        <f t="shared" si="698"/>
        <v>0.42358826913185504</v>
      </c>
      <c r="ER229" s="4">
        <f t="shared" ref="ER229:ER292" si="772">EH229/1*EQ229^0.4</f>
        <v>3.5544225087552985</v>
      </c>
      <c r="ES229" s="4">
        <f t="shared" ref="ES229:ES243" si="773">EH229/1.4*(1-EQ229^1.4)/(1-EQ229)</f>
        <v>4.3448138556349702</v>
      </c>
      <c r="ET229" s="4">
        <f t="shared" ref="ET229:ET292" si="774">MAX(0,DI229*ET$9-EK229)</f>
        <v>193.91987631532874</v>
      </c>
      <c r="EU229" s="4">
        <f t="shared" ref="EU229:EU292" si="775">MAX(0,DI229-EK229-ET229)</f>
        <v>85.75</v>
      </c>
      <c r="EV229" s="4">
        <f t="shared" si="699"/>
        <v>1.7862883419588262E-5</v>
      </c>
      <c r="EW229" s="4">
        <f t="shared" ref="EW229:EW243" si="776">MAX(0.5*EH229, (1-2*EV229*(EK229*ER229+ET229*ES229))/(1/EH229+EV229*EU229))</f>
        <v>4.7838875632903193</v>
      </c>
      <c r="EX229" s="4">
        <f t="shared" si="707"/>
        <v>297.84838435192648</v>
      </c>
      <c r="FG229" s="23"/>
      <c r="FH229" s="23"/>
      <c r="FI229" s="23"/>
      <c r="FJ229" s="23"/>
      <c r="FK229" s="23"/>
      <c r="FL229" s="23"/>
      <c r="FM229" s="23"/>
      <c r="FN229" s="23"/>
      <c r="FX229" s="4">
        <f t="shared" si="676"/>
        <v>1</v>
      </c>
      <c r="FY229" s="4">
        <f t="shared" si="716"/>
        <v>0.73631284916201123</v>
      </c>
      <c r="FZ229" s="4">
        <f t="shared" si="677"/>
        <v>0</v>
      </c>
      <c r="GA229" s="4">
        <f t="shared" si="678"/>
        <v>268.07971822990146</v>
      </c>
    </row>
    <row r="230" spans="1:183" ht="12" customHeight="1" x14ac:dyDescent="0.3">
      <c r="A230" s="25">
        <v>212</v>
      </c>
      <c r="B230" s="24" t="s">
        <v>182</v>
      </c>
      <c r="C230" s="4">
        <v>1996</v>
      </c>
      <c r="D230" s="24" t="s">
        <v>309</v>
      </c>
      <c r="E230" s="24"/>
      <c r="F230" s="4" t="s">
        <v>346</v>
      </c>
      <c r="G230" s="7">
        <v>556</v>
      </c>
      <c r="H230" s="7">
        <f>381-P230-25</f>
        <v>338</v>
      </c>
      <c r="I230" s="7">
        <f t="shared" si="737"/>
        <v>338</v>
      </c>
      <c r="J230" s="7">
        <v>36.200000000000003</v>
      </c>
      <c r="K230" s="7">
        <v>35.799999999999997</v>
      </c>
      <c r="L230" s="7">
        <f t="shared" ref="L230:L243" si="777">H230/K230</f>
        <v>9.4413407821229054</v>
      </c>
      <c r="M230" s="7">
        <f t="shared" ref="M230:M243" si="778">I230/K230</f>
        <v>9.4413407821229054</v>
      </c>
      <c r="N230" s="7">
        <v>305</v>
      </c>
      <c r="O230" s="7">
        <v>76</v>
      </c>
      <c r="P230" s="7">
        <v>18</v>
      </c>
      <c r="Q230" s="7">
        <f t="shared" si="687"/>
        <v>81.400000000000006</v>
      </c>
      <c r="R230" s="7">
        <v>2</v>
      </c>
      <c r="S230" s="7">
        <f t="shared" si="684"/>
        <v>280</v>
      </c>
      <c r="T230" s="7">
        <f t="shared" si="685"/>
        <v>1.6368715083798884</v>
      </c>
      <c r="U230" s="7">
        <f t="shared" si="702"/>
        <v>2.6229050279329611</v>
      </c>
      <c r="V230" s="7">
        <f>2970/(K230^2*PI()/4)-1</f>
        <v>1.9505332604034158</v>
      </c>
      <c r="W230" s="7">
        <f>2970/(K230^2*PI()/4)-1</f>
        <v>1.9505332604034158</v>
      </c>
      <c r="X230" s="7">
        <f t="shared" si="738"/>
        <v>2.9505332604034158</v>
      </c>
      <c r="Y230" s="7">
        <f t="shared" si="739"/>
        <v>61.494076526633307</v>
      </c>
      <c r="Z230" s="7">
        <f t="shared" si="703"/>
        <v>556</v>
      </c>
      <c r="AA230" s="7">
        <v>25</v>
      </c>
      <c r="AB230" s="7"/>
      <c r="AC230" s="32" t="s">
        <v>183</v>
      </c>
      <c r="AD230" s="4">
        <f t="shared" si="740"/>
        <v>0</v>
      </c>
      <c r="AE230" s="7">
        <v>0</v>
      </c>
      <c r="AF230" s="7">
        <v>0</v>
      </c>
      <c r="AG230" s="7">
        <f t="shared" si="726"/>
        <v>338</v>
      </c>
      <c r="AH230" s="7"/>
      <c r="AI230" s="7"/>
      <c r="AJ230" s="7">
        <f t="shared" si="741"/>
        <v>8.6518771331058026</v>
      </c>
      <c r="AK230" s="4">
        <f t="shared" si="655"/>
        <v>338</v>
      </c>
      <c r="AL230" s="4">
        <f t="shared" ref="AL230:AL293" si="779">IF(H230*3&gt;Q230+K230, N230, (O230+K230/2)*2+1.5*H230*(2*R230-2))*(3*H230)/(9*H230^2)</f>
        <v>0.30078895463510846</v>
      </c>
      <c r="AM230" s="4">
        <f t="shared" ref="AM230:AM293" si="780">MIN(10*J230^0.5*H230^1.5,100*3.9*J230^0.5*H230^(5/3))/(PI()/4*K230^2)/R230</f>
        <v>185.71347027015665</v>
      </c>
      <c r="AN230" s="4">
        <f t="shared" ref="AN230:AN293" si="781">MIN(0.7+0.3*(MIN(O230,S230)+0.5*K230)/1.5/H230,1)</f>
        <v>0.75556213017751472</v>
      </c>
      <c r="AO230" s="4">
        <v>1.25</v>
      </c>
      <c r="AP230" s="4">
        <f t="shared" si="688"/>
        <v>2.5</v>
      </c>
      <c r="AQ230" s="38">
        <f t="shared" ref="AQ230:AQ243" si="782">AL230*AN230*AO230*AP230*AM230</f>
        <v>131.8941379622575</v>
      </c>
      <c r="AR230" s="38">
        <f t="shared" ref="AR230:AR293" si="783">AQ230</f>
        <v>131.8941379622575</v>
      </c>
      <c r="AS230" s="38">
        <f t="shared" ref="AS230:AS293" si="784">IF(J230&lt;50, 0.3*J230^(2/3), 2.12*LN(1+0.1*(J230+8)))</f>
        <v>3.282920015195979</v>
      </c>
      <c r="AT230" s="38">
        <f t="shared" si="691"/>
        <v>131.89413796225756</v>
      </c>
      <c r="AU230" s="38">
        <f t="shared" si="674"/>
        <v>0.99999999999999956</v>
      </c>
      <c r="AV230" s="38">
        <f t="shared" si="692"/>
        <v>1.5572580915609477</v>
      </c>
      <c r="AW230" s="4">
        <f t="shared" si="693"/>
        <v>0</v>
      </c>
      <c r="AX230" s="4">
        <f t="shared" si="742"/>
        <v>298.97464435719303</v>
      </c>
      <c r="AY230" s="4">
        <f t="shared" si="743"/>
        <v>1.2409556313993173</v>
      </c>
      <c r="AZ230" s="38">
        <f t="shared" si="701"/>
        <v>205.39321357118155</v>
      </c>
      <c r="BA230" s="4">
        <f t="shared" si="744"/>
        <v>0.72692534354352178</v>
      </c>
      <c r="BB230" s="4">
        <f t="shared" si="745"/>
        <v>113.55609856643088</v>
      </c>
      <c r="BC230" s="4">
        <f t="shared" si="746"/>
        <v>318.94931213761242</v>
      </c>
      <c r="BE230" s="4">
        <f t="shared" si="689"/>
        <v>1.2807262569832403</v>
      </c>
      <c r="BF230" s="4">
        <f t="shared" si="690"/>
        <v>449.42586845850803</v>
      </c>
      <c r="BH230" s="4">
        <f t="shared" si="704"/>
        <v>196.99720976804247</v>
      </c>
      <c r="BI230" s="4">
        <f t="shared" si="705"/>
        <v>39749.280546165857</v>
      </c>
      <c r="BJ230" s="4">
        <f t="shared" si="706"/>
        <v>201.77585557160575</v>
      </c>
      <c r="BK230" s="4">
        <f t="shared" ref="BK230:BK293" si="785">IF(R230=1,O230,MIN(O230,Q230/2+6.4))</f>
        <v>47.1</v>
      </c>
      <c r="BL230" s="4">
        <f t="shared" ref="BL230:BL293" si="786">MIN(S230,BK230)</f>
        <v>47.1</v>
      </c>
      <c r="BM230" s="4">
        <f t="shared" ref="BM230:BM293" si="787">MAX(S230,BK230)</f>
        <v>280</v>
      </c>
      <c r="BN230" s="4">
        <f t="shared" ref="BN230:BN293" si="788">BL230+K230/2</f>
        <v>65</v>
      </c>
      <c r="BO230" s="4">
        <f t="shared" ref="BO230:BO293" si="789">MIN(1.25, 0.1*BM230/BL230+0.9)</f>
        <v>1.25</v>
      </c>
      <c r="BP230" s="25">
        <f t="shared" ref="BP230:BP293" si="790">MIN(4, (BN230*BO230+(6*J230^0.5*(0.03*K230+0.22)*(AE230^2/4*PI())*2/AG230/R230))/K230)</f>
        <v>2.2695530726256985</v>
      </c>
      <c r="BR230" s="4">
        <f t="shared" si="747"/>
        <v>40.700000000000003</v>
      </c>
      <c r="BV230" s="9"/>
      <c r="BX230" s="9"/>
      <c r="BY230" s="9"/>
      <c r="BZ230" s="9">
        <f t="shared" si="748"/>
        <v>18</v>
      </c>
      <c r="CA230" s="9">
        <f t="shared" si="749"/>
        <v>76</v>
      </c>
      <c r="CB230" s="9">
        <f t="shared" si="694"/>
        <v>0.88008760053944035</v>
      </c>
      <c r="CC230" s="9">
        <v>0</v>
      </c>
      <c r="CD230" s="9">
        <f t="shared" si="750"/>
        <v>0</v>
      </c>
      <c r="CE230" s="9">
        <f t="shared" si="751"/>
        <v>0</v>
      </c>
      <c r="CF230" s="9">
        <f t="shared" si="752"/>
        <v>0.89787751228078194</v>
      </c>
      <c r="CG230" s="9">
        <f t="shared" si="753"/>
        <v>0.91600000000000004</v>
      </c>
      <c r="CH230" s="9">
        <f t="shared" si="695"/>
        <v>1.7319481964943424</v>
      </c>
      <c r="CI230" s="9">
        <f t="shared" si="696"/>
        <v>1.5242661325113169</v>
      </c>
      <c r="CJ230" s="9">
        <v>1</v>
      </c>
      <c r="CK230" s="9">
        <f t="shared" si="697"/>
        <v>149.02043194943042</v>
      </c>
      <c r="DH230" s="4">
        <f t="shared" si="754"/>
        <v>0</v>
      </c>
      <c r="DI230" s="4">
        <f t="shared" si="755"/>
        <v>338</v>
      </c>
      <c r="DL230" s="4">
        <f t="shared" si="756"/>
        <v>1.7602491533005343E-5</v>
      </c>
      <c r="DM230" s="4">
        <f t="shared" si="757"/>
        <v>5.0117740230039942</v>
      </c>
      <c r="DN230" s="4">
        <f t="shared" si="758"/>
        <v>0.44695492134028231</v>
      </c>
      <c r="DO230" s="4">
        <f t="shared" si="759"/>
        <v>3.631591326605518</v>
      </c>
      <c r="DP230" s="4">
        <f t="shared" si="760"/>
        <v>4.3765696221017283</v>
      </c>
      <c r="DQ230" s="4">
        <f t="shared" si="761"/>
        <v>4.788408964910424</v>
      </c>
      <c r="DR230" s="38">
        <f t="shared" ref="DR230:DR293" si="791">MIN(1/K230*(4*Y230*(DO230-DP230)+(3*DP230+DQ230)*H230)+DU230 -FB230,MAX(G230,AB230))</f>
        <v>295.94656303754186</v>
      </c>
      <c r="DS230" s="4">
        <f t="shared" si="762"/>
        <v>1.0001272680051456</v>
      </c>
      <c r="DT230" s="4">
        <f t="shared" si="763"/>
        <v>1.7177116348221595</v>
      </c>
      <c r="DU230" s="4">
        <f t="shared" si="764"/>
        <v>131.89413796225756</v>
      </c>
      <c r="DY230" s="4">
        <f t="shared" si="765"/>
        <v>1</v>
      </c>
      <c r="DZ230" s="4">
        <f t="shared" si="766"/>
        <v>0.98631284916201112</v>
      </c>
      <c r="EA230" s="4">
        <f t="shared" ref="EA230:EA293" si="792">MIN(1,MAX(0.7,1-0.3*(PI()*AE230^2/4*AI230*2-0.25*PI()/4*K230^2)/(PI()/4*K230^2)))</f>
        <v>1</v>
      </c>
      <c r="EB230" s="4">
        <f t="shared" si="767"/>
        <v>0.98631284916201112</v>
      </c>
      <c r="ED230" s="4">
        <f t="shared" ref="ED230:ED293" si="793">MIN(DM230/K230*3*H230+EE230-FB230,MAX(G230,AB230))</f>
        <v>272.36245756768136</v>
      </c>
      <c r="EE230" s="25">
        <f t="shared" ref="EE230:EE293" si="794">13.3*N230*H230^0.5*J230^0.5/R230/K230^2*(0.7+O230/5/H230)</f>
        <v>130.40885814516599</v>
      </c>
      <c r="EG230" s="4">
        <f t="shared" si="683"/>
        <v>0.98631284916201112</v>
      </c>
      <c r="EH230" s="4">
        <f t="shared" ref="EH230:EH293" si="795">IF(K230&lt;22.2,1.1*5*(J230/30)^0.5,IF(K230&gt;=31.8,0.9*5*(J230/30)^0.5,1*5*(J230/30)^0.5))/DY230/EB230</f>
        <v>5.0117740230039942</v>
      </c>
      <c r="EK230" s="4">
        <f t="shared" si="768"/>
        <v>61.494076526633307</v>
      </c>
      <c r="EL230" s="4">
        <f t="shared" si="769"/>
        <v>1.7177116348221595</v>
      </c>
      <c r="EM230" s="4">
        <f t="shared" si="770"/>
        <v>0.14704602000262343</v>
      </c>
      <c r="EP230" s="4">
        <f t="shared" si="771"/>
        <v>0.14704602000262343</v>
      </c>
      <c r="EQ230" s="4">
        <f t="shared" si="698"/>
        <v>0.44620903687763885</v>
      </c>
      <c r="ER230" s="4">
        <f t="shared" si="772"/>
        <v>3.6291659322379566</v>
      </c>
      <c r="ES230" s="4">
        <f t="shared" si="773"/>
        <v>4.3755646000742985</v>
      </c>
      <c r="ET230" s="4">
        <f t="shared" si="774"/>
        <v>192.00592347336669</v>
      </c>
      <c r="EU230" s="4">
        <f t="shared" si="775"/>
        <v>84.5</v>
      </c>
      <c r="EV230" s="4">
        <f t="shared" si="699"/>
        <v>1.7602491533005343E-5</v>
      </c>
      <c r="EW230" s="4">
        <f t="shared" si="776"/>
        <v>4.7884688812852563</v>
      </c>
      <c r="EX230" s="4">
        <f t="shared" si="707"/>
        <v>295.90890330171385</v>
      </c>
      <c r="FG230" s="23"/>
      <c r="FH230" s="23"/>
      <c r="FI230" s="23"/>
      <c r="FJ230" s="23"/>
      <c r="FK230" s="23"/>
      <c r="FL230" s="23"/>
      <c r="FM230" s="23"/>
      <c r="FN230" s="23"/>
      <c r="FX230" s="4">
        <f t="shared" si="676"/>
        <v>1</v>
      </c>
      <c r="FY230" s="4">
        <f t="shared" si="716"/>
        <v>0.73631284916201123</v>
      </c>
      <c r="FZ230" s="4">
        <f t="shared" si="677"/>
        <v>0</v>
      </c>
      <c r="GA230" s="4">
        <f t="shared" si="678"/>
        <v>264.17185061722068</v>
      </c>
    </row>
    <row r="231" spans="1:183" ht="12" customHeight="1" x14ac:dyDescent="0.3">
      <c r="A231" s="25">
        <v>213</v>
      </c>
      <c r="B231" s="24" t="s">
        <v>182</v>
      </c>
      <c r="C231" s="4">
        <v>1996</v>
      </c>
      <c r="D231" s="24" t="s">
        <v>309</v>
      </c>
      <c r="E231" s="24"/>
      <c r="F231" s="4" t="s">
        <v>347</v>
      </c>
      <c r="G231" s="7">
        <v>556</v>
      </c>
      <c r="H231" s="7">
        <f>305-P231-20</f>
        <v>209</v>
      </c>
      <c r="I231" s="7">
        <f t="shared" si="737"/>
        <v>209</v>
      </c>
      <c r="J231" s="7">
        <v>35.200000000000003</v>
      </c>
      <c r="K231" s="7">
        <v>35.799999999999997</v>
      </c>
      <c r="L231" s="7">
        <f t="shared" si="777"/>
        <v>5.8379888268156428</v>
      </c>
      <c r="M231" s="7">
        <f t="shared" si="778"/>
        <v>5.8379888268156428</v>
      </c>
      <c r="N231" s="7">
        <v>305</v>
      </c>
      <c r="O231" s="7">
        <v>76</v>
      </c>
      <c r="P231" s="7">
        <v>76</v>
      </c>
      <c r="Q231" s="7">
        <f t="shared" si="687"/>
        <v>81.400000000000006</v>
      </c>
      <c r="R231" s="7">
        <v>2</v>
      </c>
      <c r="S231" s="7">
        <f t="shared" si="684"/>
        <v>280</v>
      </c>
      <c r="T231" s="7">
        <f t="shared" si="685"/>
        <v>1.6368715083798884</v>
      </c>
      <c r="U231" s="7">
        <f t="shared" si="702"/>
        <v>2.6229050279329611</v>
      </c>
      <c r="V231" s="7">
        <f>4225/(K231^2*PI()/4)-1</f>
        <v>3.1973074158937482</v>
      </c>
      <c r="W231" s="7">
        <f>4225/(K231^2*PI()/4)-1</f>
        <v>3.1973074158937482</v>
      </c>
      <c r="X231" s="7">
        <f t="shared" si="738"/>
        <v>4.1973074158937482</v>
      </c>
      <c r="Y231" s="7">
        <f t="shared" si="739"/>
        <v>73.344645861208321</v>
      </c>
      <c r="Z231" s="7">
        <f t="shared" si="703"/>
        <v>556</v>
      </c>
      <c r="AA231" s="7">
        <v>20</v>
      </c>
      <c r="AB231" s="7">
        <f>349*1000/(K231^2*PI()/4)</f>
        <v>346.71249423595691</v>
      </c>
      <c r="AC231" s="7"/>
      <c r="AD231" s="4">
        <f t="shared" si="740"/>
        <v>1.6270397075880396</v>
      </c>
      <c r="AE231" s="7">
        <v>0</v>
      </c>
      <c r="AF231" s="7">
        <v>0</v>
      </c>
      <c r="AG231" s="7">
        <f t="shared" si="726"/>
        <v>209</v>
      </c>
      <c r="AH231" s="7"/>
      <c r="AI231" s="7"/>
      <c r="AJ231" s="7">
        <f t="shared" si="741"/>
        <v>5.3498293515358357</v>
      </c>
      <c r="AK231" s="4">
        <f>H231</f>
        <v>209</v>
      </c>
      <c r="AL231" s="4">
        <f t="shared" si="779"/>
        <v>0.48644338118022329</v>
      </c>
      <c r="AM231" s="4">
        <f t="shared" si="780"/>
        <v>89.044034776358373</v>
      </c>
      <c r="AN231" s="4">
        <f t="shared" si="781"/>
        <v>0.78985645933014348</v>
      </c>
      <c r="AO231" s="4">
        <v>1.25</v>
      </c>
      <c r="AP231" s="4">
        <f t="shared" si="688"/>
        <v>2.5</v>
      </c>
      <c r="AQ231" s="38">
        <f t="shared" si="782"/>
        <v>106.91418381201157</v>
      </c>
      <c r="AR231" s="38">
        <f t="shared" si="783"/>
        <v>106.91418381201157</v>
      </c>
      <c r="AS231" s="38">
        <f t="shared" si="784"/>
        <v>3.222179253401551</v>
      </c>
      <c r="AT231" s="38">
        <f t="shared" si="691"/>
        <v>106.91418381201159</v>
      </c>
      <c r="AU231" s="38">
        <f t="shared" si="674"/>
        <v>0.99999999999999989</v>
      </c>
      <c r="AV231" s="38">
        <f t="shared" si="692"/>
        <v>2.3916651502566055</v>
      </c>
      <c r="AW231" s="4">
        <f t="shared" si="693"/>
        <v>0</v>
      </c>
      <c r="AX231" s="4">
        <f t="shared" si="742"/>
        <v>182.29761644257499</v>
      </c>
      <c r="AY231" s="4">
        <f t="shared" si="743"/>
        <v>1.2409556313993173</v>
      </c>
      <c r="AZ231" s="38">
        <f t="shared" si="701"/>
        <v>255.70292749131704</v>
      </c>
      <c r="BA231" s="4">
        <f t="shared" si="744"/>
        <v>0.55237696177487527</v>
      </c>
      <c r="BB231" s="4">
        <f t="shared" si="745"/>
        <v>52.614184333635947</v>
      </c>
      <c r="BC231" s="4">
        <f t="shared" si="746"/>
        <v>308.31711182495297</v>
      </c>
      <c r="BE231" s="4">
        <f t="shared" si="689"/>
        <v>1.2807262569832403</v>
      </c>
      <c r="BF231" s="4">
        <f t="shared" si="690"/>
        <v>361.03468916532245</v>
      </c>
      <c r="BH231" s="4">
        <f t="shared" si="704"/>
        <v>245.25037789455612</v>
      </c>
      <c r="BI231" s="4">
        <f t="shared" si="705"/>
        <v>2142.1935501129287</v>
      </c>
      <c r="BJ231" s="4">
        <f t="shared" si="706"/>
        <v>8.7347206903548642</v>
      </c>
      <c r="BK231" s="4">
        <f t="shared" si="785"/>
        <v>47.1</v>
      </c>
      <c r="BL231" s="4">
        <f t="shared" si="786"/>
        <v>47.1</v>
      </c>
      <c r="BM231" s="4">
        <f t="shared" si="787"/>
        <v>280</v>
      </c>
      <c r="BN231" s="4">
        <f t="shared" si="788"/>
        <v>65</v>
      </c>
      <c r="BO231" s="4">
        <f t="shared" si="789"/>
        <v>1.25</v>
      </c>
      <c r="BP231" s="25">
        <f t="shared" si="790"/>
        <v>2.2695530726256985</v>
      </c>
      <c r="BR231" s="4">
        <f t="shared" si="747"/>
        <v>40.700000000000003</v>
      </c>
      <c r="BV231" s="9"/>
      <c r="BX231" s="9"/>
      <c r="BY231" s="9"/>
      <c r="BZ231" s="9">
        <f t="shared" si="748"/>
        <v>40.700000000000003</v>
      </c>
      <c r="CA231" s="9">
        <f t="shared" si="749"/>
        <v>76</v>
      </c>
      <c r="CB231" s="9">
        <f t="shared" si="694"/>
        <v>1.1709505872794554</v>
      </c>
      <c r="CC231" s="9">
        <v>0</v>
      </c>
      <c r="CD231" s="9">
        <f t="shared" si="750"/>
        <v>0</v>
      </c>
      <c r="CE231" s="9">
        <f t="shared" si="751"/>
        <v>0</v>
      </c>
      <c r="CF231" s="9">
        <f t="shared" si="752"/>
        <v>0.89787751228078194</v>
      </c>
      <c r="CG231" s="9">
        <f t="shared" si="753"/>
        <v>0.91600000000000004</v>
      </c>
      <c r="CH231" s="9">
        <f t="shared" si="695"/>
        <v>1.7078587312996556</v>
      </c>
      <c r="CI231" s="9">
        <f t="shared" si="696"/>
        <v>1.9998181844056775</v>
      </c>
      <c r="CJ231" s="9">
        <v>1</v>
      </c>
      <c r="CK231" s="9">
        <f t="shared" si="697"/>
        <v>166.68875592923303</v>
      </c>
      <c r="CM231" s="4">
        <f t="shared" ref="CM231:CM241" si="796">AB231/AX231</f>
        <v>1.9019036068701081</v>
      </c>
      <c r="CN231" s="4">
        <f t="shared" ref="CN231:CN241" si="797">AB231/BC231</f>
        <v>1.1245321162479069</v>
      </c>
      <c r="CO231" s="4">
        <f t="shared" ref="CO231:CO241" si="798">AB231/BF231</f>
        <v>0.96033014178643861</v>
      </c>
      <c r="CP231" s="4">
        <f t="shared" ref="CP231:CP241" si="799">AB231/CK231</f>
        <v>2.0799992915128129</v>
      </c>
      <c r="CQ231" s="4">
        <f t="shared" ref="CQ231:CQ294" si="800">AB231/DR231</f>
        <v>1.6270397075880396</v>
      </c>
      <c r="CR231" s="4">
        <f t="shared" ref="CR231:CR294" si="801">AB231/ED231</f>
        <v>1.6772269266410664</v>
      </c>
      <c r="CS231" s="4">
        <f t="shared" ref="CS231:CS241" si="802">AB231/GA231</f>
        <v>2.137444489225357</v>
      </c>
      <c r="CU231" s="4">
        <f t="shared" si="729"/>
        <v>1.9019036068701081</v>
      </c>
      <c r="CV231" s="4">
        <f t="shared" si="729"/>
        <v>1.1245321162479069</v>
      </c>
      <c r="CW231" s="4">
        <f t="shared" si="730"/>
        <v>2.0799992915128129</v>
      </c>
      <c r="CX231" s="4">
        <f t="shared" ref="CX231:CX235" si="803">CS231</f>
        <v>2.137444489225357</v>
      </c>
      <c r="CY231" s="4">
        <f t="shared" si="732"/>
        <v>1.6270397075880396</v>
      </c>
      <c r="CZ231" s="4">
        <f t="shared" si="732"/>
        <v>1.6772269266410664</v>
      </c>
      <c r="DH231" s="4">
        <f t="shared" si="754"/>
        <v>0</v>
      </c>
      <c r="DI231" s="4">
        <f t="shared" si="755"/>
        <v>209</v>
      </c>
      <c r="DL231" s="4">
        <f t="shared" si="756"/>
        <v>1.0810474402128634E-5</v>
      </c>
      <c r="DM231" s="4">
        <f t="shared" si="757"/>
        <v>5.8141951099198845</v>
      </c>
      <c r="DN231" s="4">
        <f t="shared" si="758"/>
        <v>0.27110876525544425</v>
      </c>
      <c r="DO231" s="4">
        <f t="shared" si="759"/>
        <v>3.4494275298066173</v>
      </c>
      <c r="DP231" s="4">
        <f t="shared" si="760"/>
        <v>4.7812591811704239</v>
      </c>
      <c r="DQ231" s="4">
        <f t="shared" si="761"/>
        <v>5.7134970421870559</v>
      </c>
      <c r="DR231" s="38">
        <f t="shared" si="791"/>
        <v>213.09405825745418</v>
      </c>
      <c r="DS231" s="4">
        <f t="shared" si="762"/>
        <v>1.0001239543067137</v>
      </c>
      <c r="DT231" s="4">
        <f t="shared" si="763"/>
        <v>2.0487331246147575</v>
      </c>
      <c r="DU231" s="4">
        <f t="shared" si="764"/>
        <v>106.91418381201159</v>
      </c>
      <c r="DY231" s="4">
        <f t="shared" si="765"/>
        <v>0.85</v>
      </c>
      <c r="DZ231" s="4">
        <f t="shared" si="766"/>
        <v>0.98631284916201112</v>
      </c>
      <c r="EA231" s="4">
        <f t="shared" si="792"/>
        <v>1</v>
      </c>
      <c r="EB231" s="4">
        <f t="shared" si="767"/>
        <v>0.98631284916201112</v>
      </c>
      <c r="ED231" s="4">
        <f t="shared" si="793"/>
        <v>206.71770094360932</v>
      </c>
      <c r="EE231" s="25">
        <f t="shared" si="794"/>
        <v>104.88808267769402</v>
      </c>
      <c r="EG231" s="4">
        <f t="shared" si="683"/>
        <v>0.83836592178770941</v>
      </c>
      <c r="EH231" s="4">
        <f t="shared" si="795"/>
        <v>5.8141951099198845</v>
      </c>
      <c r="EK231" s="4">
        <f t="shared" si="768"/>
        <v>73.344645861208321</v>
      </c>
      <c r="EL231" s="4">
        <f t="shared" si="769"/>
        <v>2.0487331246147575</v>
      </c>
      <c r="EM231" s="4">
        <f t="shared" si="770"/>
        <v>8.7952898482473257E-2</v>
      </c>
      <c r="EP231" s="4">
        <f t="shared" si="771"/>
        <v>8.7952898482473257E-2</v>
      </c>
      <c r="EQ231" s="4">
        <f t="shared" si="698"/>
        <v>0.27065633525403809</v>
      </c>
      <c r="ER231" s="4">
        <f t="shared" si="772"/>
        <v>3.4471237953415605</v>
      </c>
      <c r="ES231" s="4">
        <f t="shared" si="773"/>
        <v>4.7804322984849321</v>
      </c>
      <c r="ET231" s="4">
        <f t="shared" si="774"/>
        <v>83.405354138791679</v>
      </c>
      <c r="EU231" s="4">
        <f t="shared" si="775"/>
        <v>52.249999999999986</v>
      </c>
      <c r="EV231" s="4">
        <f t="shared" si="699"/>
        <v>1.0810474402128631E-5</v>
      </c>
      <c r="EW231" s="4">
        <f t="shared" si="776"/>
        <v>5.7135268544638409</v>
      </c>
      <c r="EX231" s="4">
        <f t="shared" si="707"/>
        <v>213.0676476049122</v>
      </c>
      <c r="FG231" s="23">
        <f t="shared" ref="FG231:FH241" si="804">IF(CM231&lt;0.6,0.6,IF(CM231&lt;0.8,0.8,IF(CM231&lt;1,1,IF(CM231&lt;1.2,1.2,IF(CM231&lt;1.4,1.4,IF(CM231&lt;1.6,1.6,IF(CM231&lt;1.8,1.8,IF(CM231&lt;2,2,2.2))))))))</f>
        <v>2</v>
      </c>
      <c r="FH231" s="23">
        <f t="shared" si="804"/>
        <v>1.2</v>
      </c>
      <c r="FI231" s="23">
        <f t="shared" ref="FI231:FI241" si="805">IF(CS231&lt;0.6,0.6,IF(CS231&lt;0.8,0.8,IF(CS231&lt;1,1,IF(CS231&lt;1.2,1.2,IF(CS231&lt;1.4,1.4,IF(CS231&lt;1.6,1.6,IF(CS231&lt;1.8,1.8,IF(CS231&lt;2,2,2.2))))))))</f>
        <v>2.2000000000000002</v>
      </c>
      <c r="FJ231" s="23">
        <f t="shared" ref="FJ231:FL241" si="806">IF(CP231&lt;0.6,0.6,IF(CP231&lt;0.8,0.8,IF(CP231&lt;1,1,IF(CP231&lt;1.2,1.2,IF(CP231&lt;1.4,1.4,IF(CP231&lt;1.6,1.6,IF(CP231&lt;1.8,1.8,IF(CP231&lt;2,2,2.2))))))))</f>
        <v>2.2000000000000002</v>
      </c>
      <c r="FK231" s="23">
        <f t="shared" si="806"/>
        <v>1.8</v>
      </c>
      <c r="FL231" s="23">
        <f t="shared" si="806"/>
        <v>1.8</v>
      </c>
      <c r="FM231" s="23">
        <f t="shared" ref="FM231:FM294" si="807">IF(FK231&lt;1,1,0)</f>
        <v>0</v>
      </c>
      <c r="FN231" s="23"/>
      <c r="FX231" s="4">
        <f t="shared" si="676"/>
        <v>1</v>
      </c>
      <c r="FY231" s="4">
        <f t="shared" si="716"/>
        <v>0.73631284916201123</v>
      </c>
      <c r="FZ231" s="4">
        <f t="shared" si="677"/>
        <v>0</v>
      </c>
      <c r="GA231" s="4">
        <f t="shared" si="678"/>
        <v>162.20888822315609</v>
      </c>
    </row>
    <row r="232" spans="1:183" ht="12" customHeight="1" x14ac:dyDescent="0.3">
      <c r="A232" s="25">
        <v>214</v>
      </c>
      <c r="B232" s="24" t="s">
        <v>182</v>
      </c>
      <c r="C232" s="4">
        <v>1996</v>
      </c>
      <c r="D232" s="24" t="s">
        <v>309</v>
      </c>
      <c r="E232" s="24"/>
      <c r="F232" s="4" t="s">
        <v>348</v>
      </c>
      <c r="G232" s="7">
        <v>578</v>
      </c>
      <c r="H232" s="7">
        <f>305-P232-18</f>
        <v>211</v>
      </c>
      <c r="I232" s="7">
        <f t="shared" si="737"/>
        <v>211</v>
      </c>
      <c r="J232" s="7">
        <v>35.200000000000003</v>
      </c>
      <c r="K232" s="7">
        <v>25.4</v>
      </c>
      <c r="L232" s="7">
        <f t="shared" si="777"/>
        <v>8.3070866141732296</v>
      </c>
      <c r="M232" s="7">
        <f t="shared" si="778"/>
        <v>8.3070866141732296</v>
      </c>
      <c r="N232" s="7">
        <v>305</v>
      </c>
      <c r="O232" s="7">
        <v>76</v>
      </c>
      <c r="P232" s="7">
        <v>76</v>
      </c>
      <c r="Q232" s="7">
        <f t="shared" si="687"/>
        <v>102.19999999999999</v>
      </c>
      <c r="R232" s="7">
        <v>2</v>
      </c>
      <c r="S232" s="7">
        <f t="shared" si="684"/>
        <v>280</v>
      </c>
      <c r="T232" s="7">
        <f t="shared" si="685"/>
        <v>2.5118110236220472</v>
      </c>
      <c r="U232" s="7">
        <f t="shared" si="702"/>
        <v>3.4921259842519685</v>
      </c>
      <c r="V232" s="7">
        <f>3200/(K232^2*PI()/4)-1</f>
        <v>5.3152807724479523</v>
      </c>
      <c r="W232" s="7">
        <f>3200/(K232^2*PI()/4)-1</f>
        <v>5.3152807724479523</v>
      </c>
      <c r="X232" s="7">
        <f t="shared" si="738"/>
        <v>6.3152807724479523</v>
      </c>
      <c r="Y232" s="7">
        <f t="shared" si="739"/>
        <v>63.830764864229231</v>
      </c>
      <c r="Z232" s="7">
        <f t="shared" si="703"/>
        <v>578</v>
      </c>
      <c r="AA232" s="7">
        <v>18</v>
      </c>
      <c r="AB232" s="7">
        <f>218*1000/(K232^2*PI()/4)</f>
        <v>430.22850262301677</v>
      </c>
      <c r="AC232" s="7"/>
      <c r="AD232" s="4">
        <f t="shared" si="740"/>
        <v>1.0787425247853666</v>
      </c>
      <c r="AE232" s="7">
        <v>0</v>
      </c>
      <c r="AF232" s="7">
        <v>0</v>
      </c>
      <c r="AG232" s="7">
        <f t="shared" si="726"/>
        <v>211</v>
      </c>
      <c r="AH232" s="7"/>
      <c r="AI232" s="7"/>
      <c r="AJ232" s="7">
        <f t="shared" si="741"/>
        <v>4.9608150470219439</v>
      </c>
      <c r="AK232" s="4">
        <f t="shared" si="655"/>
        <v>211</v>
      </c>
      <c r="AL232" s="4">
        <f t="shared" si="779"/>
        <v>0.48183254344391785</v>
      </c>
      <c r="AM232" s="4">
        <f t="shared" si="780"/>
        <v>179.43522533734807</v>
      </c>
      <c r="AN232" s="4">
        <f t="shared" si="781"/>
        <v>0.7840758293838862</v>
      </c>
      <c r="AO232" s="4">
        <v>1.25</v>
      </c>
      <c r="AP232" s="4">
        <f t="shared" si="688"/>
        <v>2.5</v>
      </c>
      <c r="AQ232" s="38">
        <f t="shared" si="782"/>
        <v>211.84192858291391</v>
      </c>
      <c r="AR232" s="38">
        <f t="shared" si="783"/>
        <v>211.84192858291391</v>
      </c>
      <c r="AS232" s="38">
        <f t="shared" si="784"/>
        <v>3.222179253401551</v>
      </c>
      <c r="AT232" s="38">
        <f t="shared" si="691"/>
        <v>211.84192858291399</v>
      </c>
      <c r="AU232" s="38">
        <f t="shared" si="674"/>
        <v>0.99999999999999956</v>
      </c>
      <c r="AV232" s="38">
        <f t="shared" si="692"/>
        <v>2.2249027574187785</v>
      </c>
      <c r="AW232" s="4">
        <f t="shared" si="693"/>
        <v>0</v>
      </c>
      <c r="AX232" s="4">
        <f t="shared" si="742"/>
        <v>259.3979081271753</v>
      </c>
      <c r="AY232" s="4">
        <f t="shared" si="743"/>
        <v>1.1561128526645768</v>
      </c>
      <c r="AZ232" s="38">
        <f t="shared" si="701"/>
        <v>471.32769104103733</v>
      </c>
      <c r="BA232" s="4">
        <f t="shared" si="744"/>
        <v>0.3</v>
      </c>
      <c r="BB232" s="4">
        <f t="shared" si="745"/>
        <v>40.660622098934731</v>
      </c>
      <c r="BC232" s="4">
        <f t="shared" si="746"/>
        <v>511.98831313997204</v>
      </c>
      <c r="BE232" s="4">
        <f t="shared" si="689"/>
        <v>1.4980314960629921</v>
      </c>
      <c r="BF232" s="4">
        <f t="shared" si="690"/>
        <v>488.12692869417333</v>
      </c>
      <c r="BH232" s="4">
        <f t="shared" si="704"/>
        <v>452.06089532904645</v>
      </c>
      <c r="BI232" s="4">
        <f t="shared" si="705"/>
        <v>2245.2309649218914</v>
      </c>
      <c r="BJ232" s="4">
        <f t="shared" si="706"/>
        <v>4.9666560149769889</v>
      </c>
      <c r="BK232" s="4">
        <f t="shared" si="785"/>
        <v>57.499999999999993</v>
      </c>
      <c r="BL232" s="4">
        <f t="shared" si="786"/>
        <v>57.499999999999993</v>
      </c>
      <c r="BM232" s="4">
        <f t="shared" si="787"/>
        <v>280</v>
      </c>
      <c r="BN232" s="4">
        <f t="shared" si="788"/>
        <v>70.199999999999989</v>
      </c>
      <c r="BO232" s="4">
        <f t="shared" si="789"/>
        <v>1.25</v>
      </c>
      <c r="BP232" s="25">
        <f t="shared" si="790"/>
        <v>3.4547244094488185</v>
      </c>
      <c r="BR232" s="4">
        <f t="shared" si="747"/>
        <v>51.099999999999994</v>
      </c>
      <c r="BV232" s="9"/>
      <c r="BX232" s="9"/>
      <c r="BY232" s="9"/>
      <c r="BZ232" s="9">
        <f t="shared" si="748"/>
        <v>51.099999999999994</v>
      </c>
      <c r="CA232" s="9">
        <f t="shared" si="749"/>
        <v>76</v>
      </c>
      <c r="CB232" s="9">
        <f t="shared" si="694"/>
        <v>1.5054020239149992</v>
      </c>
      <c r="CC232" s="9">
        <v>0</v>
      </c>
      <c r="CD232" s="9">
        <f t="shared" si="750"/>
        <v>0</v>
      </c>
      <c r="CE232" s="9">
        <f t="shared" si="751"/>
        <v>0</v>
      </c>
      <c r="CF232" s="9">
        <f t="shared" si="752"/>
        <v>0.99524931562137331</v>
      </c>
      <c r="CG232" s="9">
        <f t="shared" si="753"/>
        <v>0.88300000000000001</v>
      </c>
      <c r="CH232" s="9">
        <f t="shared" si="695"/>
        <v>1.8248701497446835</v>
      </c>
      <c r="CI232" s="9">
        <f t="shared" si="696"/>
        <v>2.7471632168077145</v>
      </c>
      <c r="CJ232" s="9">
        <v>1</v>
      </c>
      <c r="CK232" s="9">
        <f t="shared" si="697"/>
        <v>256.1134841496326</v>
      </c>
      <c r="CM232" s="4">
        <f t="shared" si="796"/>
        <v>1.6585658139235577</v>
      </c>
      <c r="CN232" s="4">
        <f t="shared" si="797"/>
        <v>0.84030922499865146</v>
      </c>
      <c r="CO232" s="4">
        <f t="shared" si="798"/>
        <v>0.88138653561678071</v>
      </c>
      <c r="CP232" s="4">
        <f t="shared" si="799"/>
        <v>1.6798354215963835</v>
      </c>
      <c r="CQ232" s="4">
        <f t="shared" si="800"/>
        <v>1.0787425247853666</v>
      </c>
      <c r="CR232" s="4">
        <f t="shared" si="801"/>
        <v>1.1150394683014302</v>
      </c>
      <c r="CS232" s="4">
        <f t="shared" si="802"/>
        <v>1.3834883569132823</v>
      </c>
      <c r="CU232" s="4">
        <f t="shared" si="729"/>
        <v>1.6585658139235577</v>
      </c>
      <c r="CV232" s="4">
        <f t="shared" si="729"/>
        <v>0.84030922499865146</v>
      </c>
      <c r="CW232" s="4">
        <f t="shared" si="730"/>
        <v>1.6798354215963835</v>
      </c>
      <c r="CX232" s="4">
        <f t="shared" si="803"/>
        <v>1.3834883569132823</v>
      </c>
      <c r="CY232" s="4">
        <f t="shared" si="732"/>
        <v>1.0787425247853666</v>
      </c>
      <c r="CZ232" s="4">
        <f t="shared" si="732"/>
        <v>1.1150394683014302</v>
      </c>
      <c r="DH232" s="4">
        <f t="shared" si="754"/>
        <v>0</v>
      </c>
      <c r="DI232" s="4">
        <f t="shared" si="755"/>
        <v>211</v>
      </c>
      <c r="DL232" s="4">
        <f t="shared" si="756"/>
        <v>1.5382617175677067E-5</v>
      </c>
      <c r="DM232" s="4">
        <f t="shared" si="757"/>
        <v>7.0890752785809319</v>
      </c>
      <c r="DN232" s="4">
        <f t="shared" si="758"/>
        <v>0.28121596513872082</v>
      </c>
      <c r="DO232" s="4">
        <f t="shared" si="759"/>
        <v>4.2678149187599521</v>
      </c>
      <c r="DP232" s="4">
        <f t="shared" si="760"/>
        <v>5.8520434725818786</v>
      </c>
      <c r="DQ232" s="4">
        <f t="shared" si="761"/>
        <v>6.8696369122175298</v>
      </c>
      <c r="DR232" s="38">
        <f t="shared" si="791"/>
        <v>398.82408706249691</v>
      </c>
      <c r="DS232" s="4">
        <f t="shared" si="762"/>
        <v>1.0001091615168982</v>
      </c>
      <c r="DT232" s="4">
        <f t="shared" si="763"/>
        <v>2.5130222387491825</v>
      </c>
      <c r="DU232" s="4">
        <f t="shared" si="764"/>
        <v>211.84192858291399</v>
      </c>
      <c r="DY232" s="4">
        <f t="shared" si="765"/>
        <v>0.85</v>
      </c>
      <c r="DZ232" s="4">
        <f t="shared" si="766"/>
        <v>0.89881889763779532</v>
      </c>
      <c r="EA232" s="4">
        <f t="shared" si="792"/>
        <v>1</v>
      </c>
      <c r="EB232" s="4">
        <f t="shared" si="767"/>
        <v>0.89881889763779532</v>
      </c>
      <c r="ED232" s="4">
        <f t="shared" si="793"/>
        <v>385.84150144783257</v>
      </c>
      <c r="EE232" s="25">
        <f t="shared" si="794"/>
        <v>209.17281438713454</v>
      </c>
      <c r="EG232" s="4">
        <f t="shared" si="683"/>
        <v>0.76399606299212597</v>
      </c>
      <c r="EH232" s="4">
        <f t="shared" si="795"/>
        <v>7.0890752785809319</v>
      </c>
      <c r="EK232" s="4">
        <f t="shared" si="768"/>
        <v>63.830764864229231</v>
      </c>
      <c r="EL232" s="4">
        <f t="shared" si="769"/>
        <v>2.5130222387491825</v>
      </c>
      <c r="EM232" s="4">
        <f t="shared" si="770"/>
        <v>9.1231868546160763E-2</v>
      </c>
      <c r="EP232" s="4">
        <f t="shared" si="771"/>
        <v>9.1231868546160763E-2</v>
      </c>
      <c r="EQ232" s="4">
        <f t="shared" si="698"/>
        <v>0.28074666810443544</v>
      </c>
      <c r="ER232" s="4">
        <f t="shared" si="772"/>
        <v>4.2649646161419463</v>
      </c>
      <c r="ES232" s="4">
        <f t="shared" si="773"/>
        <v>5.85100886844935</v>
      </c>
      <c r="ET232" s="4">
        <f t="shared" si="774"/>
        <v>94.419235135770776</v>
      </c>
      <c r="EU232" s="4">
        <f t="shared" si="775"/>
        <v>52.75</v>
      </c>
      <c r="EV232" s="4">
        <f t="shared" si="699"/>
        <v>1.5382617175677067E-5</v>
      </c>
      <c r="EW232" s="4">
        <f t="shared" si="776"/>
        <v>6.8696975484886966</v>
      </c>
      <c r="EX232" s="4">
        <f t="shared" si="707"/>
        <v>398.78055557214111</v>
      </c>
      <c r="FG232" s="23">
        <f t="shared" si="804"/>
        <v>1.8</v>
      </c>
      <c r="FH232" s="23">
        <f t="shared" si="804"/>
        <v>1</v>
      </c>
      <c r="FI232" s="23">
        <f t="shared" si="805"/>
        <v>1.4</v>
      </c>
      <c r="FJ232" s="23">
        <f t="shared" si="806"/>
        <v>1.8</v>
      </c>
      <c r="FK232" s="23">
        <f t="shared" si="806"/>
        <v>1.2</v>
      </c>
      <c r="FL232" s="23">
        <f t="shared" si="806"/>
        <v>1.2</v>
      </c>
      <c r="FM232" s="23">
        <f t="shared" si="807"/>
        <v>0</v>
      </c>
      <c r="FN232" s="23"/>
      <c r="FX232" s="4">
        <f t="shared" si="676"/>
        <v>1</v>
      </c>
      <c r="FY232" s="4">
        <f t="shared" si="716"/>
        <v>0.64881889763779532</v>
      </c>
      <c r="FZ232" s="4">
        <f t="shared" si="677"/>
        <v>0</v>
      </c>
      <c r="GA232" s="4">
        <f t="shared" si="678"/>
        <v>310.97370677040232</v>
      </c>
    </row>
    <row r="233" spans="1:183" ht="12" customHeight="1" x14ac:dyDescent="0.3">
      <c r="A233" s="25">
        <v>215</v>
      </c>
      <c r="B233" s="24" t="s">
        <v>182</v>
      </c>
      <c r="C233" s="4">
        <v>1996</v>
      </c>
      <c r="D233" s="24" t="s">
        <v>309</v>
      </c>
      <c r="E233" s="24"/>
      <c r="F233" s="4" t="s">
        <v>349</v>
      </c>
      <c r="G233" s="7">
        <v>578</v>
      </c>
      <c r="H233" s="7">
        <f>305-P233-18</f>
        <v>211</v>
      </c>
      <c r="I233" s="7">
        <f t="shared" si="737"/>
        <v>211</v>
      </c>
      <c r="J233" s="7">
        <v>35.200000000000003</v>
      </c>
      <c r="K233" s="7">
        <v>25.4</v>
      </c>
      <c r="L233" s="7">
        <f t="shared" si="777"/>
        <v>8.3070866141732296</v>
      </c>
      <c r="M233" s="7">
        <f t="shared" si="778"/>
        <v>8.3070866141732296</v>
      </c>
      <c r="N233" s="7">
        <v>305</v>
      </c>
      <c r="O233" s="7">
        <v>76</v>
      </c>
      <c r="P233" s="7">
        <v>76</v>
      </c>
      <c r="Q233" s="7">
        <f t="shared" si="687"/>
        <v>102.19999999999999</v>
      </c>
      <c r="R233" s="7">
        <v>2</v>
      </c>
      <c r="S233" s="7">
        <f t="shared" si="684"/>
        <v>280</v>
      </c>
      <c r="T233" s="7">
        <f t="shared" si="685"/>
        <v>2.5118110236220472</v>
      </c>
      <c r="U233" s="7">
        <f t="shared" si="702"/>
        <v>3.4921259842519685</v>
      </c>
      <c r="V233" s="7">
        <f>1624/(K233^2*PI()/4)-1</f>
        <v>2.205004992017336</v>
      </c>
      <c r="W233" s="7">
        <f>1624/(K233^2*PI()/4)-1</f>
        <v>2.205004992017336</v>
      </c>
      <c r="X233" s="7">
        <f t="shared" si="738"/>
        <v>3.205004992017336</v>
      </c>
      <c r="Y233" s="7">
        <f t="shared" si="739"/>
        <v>45.472420439755616</v>
      </c>
      <c r="Z233" s="7">
        <f t="shared" si="703"/>
        <v>578</v>
      </c>
      <c r="AA233" s="7">
        <v>18</v>
      </c>
      <c r="AB233" s="7">
        <f>183*1000/(K233^2*PI()/4)</f>
        <v>361.15511917436726</v>
      </c>
      <c r="AC233" s="7"/>
      <c r="AD233" s="4">
        <f t="shared" si="740"/>
        <v>0.864466025227837</v>
      </c>
      <c r="AE233" s="7">
        <v>0</v>
      </c>
      <c r="AF233" s="7">
        <v>0</v>
      </c>
      <c r="AG233" s="7">
        <f t="shared" si="726"/>
        <v>211</v>
      </c>
      <c r="AH233" s="7"/>
      <c r="AI233" s="7"/>
      <c r="AJ233" s="7">
        <f t="shared" si="741"/>
        <v>4.9608150470219439</v>
      </c>
      <c r="AK233" s="4">
        <f t="shared" si="655"/>
        <v>211</v>
      </c>
      <c r="AL233" s="4">
        <f t="shared" si="779"/>
        <v>0.48183254344391785</v>
      </c>
      <c r="AM233" s="4">
        <f t="shared" si="780"/>
        <v>179.43522533734807</v>
      </c>
      <c r="AN233" s="4">
        <f t="shared" si="781"/>
        <v>0.7840758293838862</v>
      </c>
      <c r="AO233" s="4">
        <v>1.25</v>
      </c>
      <c r="AP233" s="4">
        <f t="shared" si="688"/>
        <v>2.5</v>
      </c>
      <c r="AQ233" s="38">
        <f t="shared" si="782"/>
        <v>211.84192858291391</v>
      </c>
      <c r="AR233" s="38">
        <f t="shared" si="783"/>
        <v>211.84192858291391</v>
      </c>
      <c r="AS233" s="38">
        <f t="shared" si="784"/>
        <v>3.222179253401551</v>
      </c>
      <c r="AT233" s="38">
        <f t="shared" si="691"/>
        <v>211.84192858291399</v>
      </c>
      <c r="AU233" s="38">
        <f t="shared" si="674"/>
        <v>0.99999999999999956</v>
      </c>
      <c r="AV233" s="38">
        <f t="shared" si="692"/>
        <v>1.4330215371477693</v>
      </c>
      <c r="AW233" s="4">
        <f t="shared" si="693"/>
        <v>0</v>
      </c>
      <c r="AX233" s="4">
        <f t="shared" si="742"/>
        <v>259.3979081271753</v>
      </c>
      <c r="AY233" s="4">
        <f t="shared" si="743"/>
        <v>1.1561128526645768</v>
      </c>
      <c r="AZ233" s="38">
        <f t="shared" si="701"/>
        <v>303.57404613023539</v>
      </c>
      <c r="BA233" s="4">
        <f t="shared" si="744"/>
        <v>0.69129930111757298</v>
      </c>
      <c r="BB233" s="4">
        <f t="shared" si="745"/>
        <v>93.695532133331071</v>
      </c>
      <c r="BC233" s="4">
        <f t="shared" si="746"/>
        <v>397.26957826356647</v>
      </c>
      <c r="BE233" s="4">
        <f t="shared" si="689"/>
        <v>1.4980314960629921</v>
      </c>
      <c r="BF233" s="4">
        <f t="shared" si="690"/>
        <v>488.12692869417333</v>
      </c>
      <c r="BH233" s="4">
        <f t="shared" si="704"/>
        <v>291.16463492561229</v>
      </c>
      <c r="BI233" s="4">
        <f t="shared" si="705"/>
        <v>81053.819577985545</v>
      </c>
      <c r="BJ233" s="4">
        <f t="shared" si="706"/>
        <v>278.37796852867604</v>
      </c>
      <c r="BK233" s="4">
        <f t="shared" si="785"/>
        <v>57.499999999999993</v>
      </c>
      <c r="BL233" s="4">
        <f t="shared" si="786"/>
        <v>57.499999999999993</v>
      </c>
      <c r="BM233" s="4">
        <f t="shared" si="787"/>
        <v>280</v>
      </c>
      <c r="BN233" s="4">
        <f t="shared" si="788"/>
        <v>70.199999999999989</v>
      </c>
      <c r="BO233" s="4">
        <f t="shared" si="789"/>
        <v>1.25</v>
      </c>
      <c r="BP233" s="25">
        <f t="shared" si="790"/>
        <v>3.4547244094488185</v>
      </c>
      <c r="BR233" s="4">
        <f t="shared" si="747"/>
        <v>51.099999999999994</v>
      </c>
      <c r="BV233" s="9"/>
      <c r="BX233" s="9"/>
      <c r="BY233" s="9"/>
      <c r="BZ233" s="9">
        <f t="shared" si="748"/>
        <v>51.099999999999994</v>
      </c>
      <c r="CA233" s="9">
        <f t="shared" si="749"/>
        <v>76</v>
      </c>
      <c r="CB233" s="9">
        <f t="shared" si="694"/>
        <v>1.5054020239149992</v>
      </c>
      <c r="CC233" s="9">
        <v>0</v>
      </c>
      <c r="CD233" s="9">
        <f t="shared" si="750"/>
        <v>0</v>
      </c>
      <c r="CE233" s="9">
        <f t="shared" si="751"/>
        <v>0</v>
      </c>
      <c r="CF233" s="9">
        <f t="shared" si="752"/>
        <v>0.99524931562137331</v>
      </c>
      <c r="CG233" s="9">
        <f t="shared" si="753"/>
        <v>0.88300000000000001</v>
      </c>
      <c r="CH233" s="9">
        <f t="shared" si="695"/>
        <v>1.8248701497446835</v>
      </c>
      <c r="CI233" s="9">
        <f t="shared" si="696"/>
        <v>2.7471632168077145</v>
      </c>
      <c r="CJ233" s="9">
        <v>1</v>
      </c>
      <c r="CK233" s="9">
        <f t="shared" si="697"/>
        <v>256.1134841496326</v>
      </c>
      <c r="CM233" s="4">
        <f t="shared" si="796"/>
        <v>1.392282311688124</v>
      </c>
      <c r="CN233" s="4">
        <f t="shared" si="797"/>
        <v>0.90909331832794082</v>
      </c>
      <c r="CO233" s="4">
        <f t="shared" si="798"/>
        <v>0.73987952301775617</v>
      </c>
      <c r="CP233" s="4">
        <f t="shared" si="799"/>
        <v>1.4101370740923769</v>
      </c>
      <c r="CQ233" s="4">
        <f t="shared" si="800"/>
        <v>0.864466025227837</v>
      </c>
      <c r="CR233" s="4">
        <f t="shared" si="801"/>
        <v>0.93601937017964099</v>
      </c>
      <c r="CS233" s="4">
        <f t="shared" si="802"/>
        <v>1.1613686665831682</v>
      </c>
      <c r="CU233" s="4">
        <f t="shared" si="729"/>
        <v>1.392282311688124</v>
      </c>
      <c r="CV233" s="4">
        <f t="shared" si="729"/>
        <v>0.90909331832794082</v>
      </c>
      <c r="CW233" s="4">
        <f t="shared" si="730"/>
        <v>1.4101370740923769</v>
      </c>
      <c r="CX233" s="4">
        <f t="shared" si="803"/>
        <v>1.1613686665831682</v>
      </c>
      <c r="CY233" s="4">
        <f t="shared" si="732"/>
        <v>0.864466025227837</v>
      </c>
      <c r="CZ233" s="4">
        <f t="shared" si="732"/>
        <v>0.93601937017964099</v>
      </c>
      <c r="DH233" s="4">
        <f t="shared" si="754"/>
        <v>0</v>
      </c>
      <c r="DI233" s="4">
        <f t="shared" si="755"/>
        <v>211</v>
      </c>
      <c r="DL233" s="4">
        <f t="shared" si="756"/>
        <v>1.5382617175677067E-5</v>
      </c>
      <c r="DM233" s="4">
        <f t="shared" si="757"/>
        <v>7.0890752785809319</v>
      </c>
      <c r="DN233" s="4">
        <f t="shared" si="758"/>
        <v>0.48291937453805894</v>
      </c>
      <c r="DO233" s="4">
        <f t="shared" si="759"/>
        <v>5.298335314469159</v>
      </c>
      <c r="DP233" s="4">
        <f t="shared" si="760"/>
        <v>6.2582206434403789</v>
      </c>
      <c r="DQ233" s="4">
        <f t="shared" si="761"/>
        <v>6.8432350850706829</v>
      </c>
      <c r="DR233" s="38">
        <f t="shared" si="791"/>
        <v>417.7782684740929</v>
      </c>
      <c r="DS233" s="4">
        <f t="shared" si="762"/>
        <v>1.0001228632795345</v>
      </c>
      <c r="DT233" s="4">
        <f t="shared" si="763"/>
        <v>1.7902527732187252</v>
      </c>
      <c r="DU233" s="4">
        <f t="shared" si="764"/>
        <v>211.84192858291399</v>
      </c>
      <c r="DY233" s="4">
        <f t="shared" si="765"/>
        <v>0.85</v>
      </c>
      <c r="DZ233" s="4">
        <f t="shared" si="766"/>
        <v>0.89881889763779532</v>
      </c>
      <c r="EA233" s="4">
        <f t="shared" si="792"/>
        <v>1</v>
      </c>
      <c r="EB233" s="4">
        <f t="shared" si="767"/>
        <v>0.89881889763779532</v>
      </c>
      <c r="ED233" s="4">
        <f t="shared" si="793"/>
        <v>385.84150144783257</v>
      </c>
      <c r="EE233" s="25">
        <f t="shared" si="794"/>
        <v>209.17281438713454</v>
      </c>
      <c r="EG233" s="4">
        <f t="shared" si="683"/>
        <v>0.76399606299212597</v>
      </c>
      <c r="EH233" s="4">
        <f t="shared" si="795"/>
        <v>7.0890752785809319</v>
      </c>
      <c r="EK233" s="4">
        <f t="shared" si="768"/>
        <v>45.472420439755616</v>
      </c>
      <c r="EL233" s="4">
        <f t="shared" si="769"/>
        <v>1.7902527732187252</v>
      </c>
      <c r="EM233" s="4">
        <f t="shared" si="770"/>
        <v>0.15666833451122594</v>
      </c>
      <c r="EP233" s="4">
        <f t="shared" si="771"/>
        <v>0.15666833451122594</v>
      </c>
      <c r="EQ233" s="4">
        <f t="shared" si="698"/>
        <v>0.48211347210589123</v>
      </c>
      <c r="ER233" s="4">
        <f t="shared" si="772"/>
        <v>5.2947967685609179</v>
      </c>
      <c r="ES233" s="4">
        <f t="shared" si="773"/>
        <v>6.2567241775106712</v>
      </c>
      <c r="ET233" s="4">
        <f t="shared" si="774"/>
        <v>112.77757956024439</v>
      </c>
      <c r="EU233" s="4">
        <f t="shared" si="775"/>
        <v>52.75</v>
      </c>
      <c r="EV233" s="4">
        <f t="shared" si="699"/>
        <v>1.5382617175677067E-5</v>
      </c>
      <c r="EW233" s="4">
        <f t="shared" si="776"/>
        <v>6.84330657478211</v>
      </c>
      <c r="EX233" s="4">
        <f t="shared" si="707"/>
        <v>417.72694517165917</v>
      </c>
      <c r="FG233" s="23">
        <f t="shared" si="804"/>
        <v>1.4</v>
      </c>
      <c r="FH233" s="23">
        <f t="shared" si="804"/>
        <v>1</v>
      </c>
      <c r="FI233" s="23">
        <f t="shared" si="805"/>
        <v>1.2</v>
      </c>
      <c r="FJ233" s="23">
        <f t="shared" si="806"/>
        <v>1.6</v>
      </c>
      <c r="FK233" s="23">
        <f t="shared" si="806"/>
        <v>1</v>
      </c>
      <c r="FL233" s="23">
        <f t="shared" si="806"/>
        <v>1</v>
      </c>
      <c r="FM233" s="23">
        <f t="shared" si="807"/>
        <v>0</v>
      </c>
      <c r="FN233" s="23"/>
      <c r="FX233" s="4">
        <f t="shared" si="676"/>
        <v>1</v>
      </c>
      <c r="FY233" s="4">
        <f t="shared" si="716"/>
        <v>0.64881889763779532</v>
      </c>
      <c r="FZ233" s="4">
        <f t="shared" si="677"/>
        <v>0</v>
      </c>
      <c r="GA233" s="4">
        <f t="shared" si="678"/>
        <v>310.97370677040232</v>
      </c>
    </row>
    <row r="234" spans="1:183" ht="12" customHeight="1" x14ac:dyDescent="0.3">
      <c r="A234" s="25">
        <v>216</v>
      </c>
      <c r="B234" s="24" t="s">
        <v>182</v>
      </c>
      <c r="C234" s="4">
        <v>1996</v>
      </c>
      <c r="D234" s="24" t="s">
        <v>309</v>
      </c>
      <c r="E234" s="24"/>
      <c r="F234" s="4" t="s">
        <v>350</v>
      </c>
      <c r="G234" s="7">
        <v>556</v>
      </c>
      <c r="H234" s="7">
        <f>381-P234-20</f>
        <v>285</v>
      </c>
      <c r="I234" s="7">
        <f t="shared" si="737"/>
        <v>285</v>
      </c>
      <c r="J234" s="7">
        <v>33.200000000000003</v>
      </c>
      <c r="K234" s="7">
        <v>35.799999999999997</v>
      </c>
      <c r="L234" s="7">
        <f t="shared" si="777"/>
        <v>7.9608938547486039</v>
      </c>
      <c r="M234" s="7">
        <f t="shared" si="778"/>
        <v>7.9608938547486039</v>
      </c>
      <c r="N234" s="7">
        <v>305</v>
      </c>
      <c r="O234" s="7">
        <v>76</v>
      </c>
      <c r="P234" s="7">
        <v>76</v>
      </c>
      <c r="Q234" s="7">
        <f t="shared" si="687"/>
        <v>81.400000000000006</v>
      </c>
      <c r="R234" s="7">
        <v>2</v>
      </c>
      <c r="S234" s="7">
        <f t="shared" si="684"/>
        <v>280</v>
      </c>
      <c r="T234" s="7">
        <f t="shared" si="685"/>
        <v>1.6368715083798884</v>
      </c>
      <c r="U234" s="7">
        <f t="shared" si="702"/>
        <v>2.6229050279329611</v>
      </c>
      <c r="V234" s="7">
        <f>2970/(K234^2*PI()/4)-1</f>
        <v>1.9505332604034158</v>
      </c>
      <c r="W234" s="7">
        <f>2970/(K234^2*PI()/4)-1</f>
        <v>1.9505332604034158</v>
      </c>
      <c r="X234" s="7">
        <f t="shared" si="738"/>
        <v>2.9505332604034158</v>
      </c>
      <c r="Y234" s="7">
        <f t="shared" si="739"/>
        <v>61.494076526633307</v>
      </c>
      <c r="Z234" s="7">
        <f t="shared" si="703"/>
        <v>556</v>
      </c>
      <c r="AA234" s="7">
        <v>20</v>
      </c>
      <c r="AB234" s="7">
        <f>306*1000/(K234^2*PI()/4)</f>
        <v>303.99433592035194</v>
      </c>
      <c r="AC234" s="7"/>
      <c r="AD234" s="4">
        <f t="shared" si="740"/>
        <v>1.1163081599228812</v>
      </c>
      <c r="AE234" s="7">
        <v>0</v>
      </c>
      <c r="AF234" s="7">
        <v>0</v>
      </c>
      <c r="AG234" s="7">
        <f t="shared" si="726"/>
        <v>285</v>
      </c>
      <c r="AH234" s="7"/>
      <c r="AI234" s="7"/>
      <c r="AJ234" s="7">
        <f t="shared" si="741"/>
        <v>7.2952218430034126</v>
      </c>
      <c r="AK234" s="4">
        <f t="shared" si="655"/>
        <v>285</v>
      </c>
      <c r="AL234" s="4">
        <f t="shared" si="779"/>
        <v>0.35672514619883039</v>
      </c>
      <c r="AM234" s="4">
        <f t="shared" si="780"/>
        <v>137.70521941374017</v>
      </c>
      <c r="AN234" s="4">
        <f t="shared" si="781"/>
        <v>0.76589473684210518</v>
      </c>
      <c r="AO234" s="4">
        <v>1.25</v>
      </c>
      <c r="AP234" s="4">
        <f t="shared" si="688"/>
        <v>2.5</v>
      </c>
      <c r="AQ234" s="38">
        <f t="shared" si="782"/>
        <v>117.57181779723911</v>
      </c>
      <c r="AR234" s="38">
        <f t="shared" si="783"/>
        <v>117.57181779723911</v>
      </c>
      <c r="AS234" s="38">
        <f t="shared" si="784"/>
        <v>3.098941018792384</v>
      </c>
      <c r="AT234" s="38">
        <f t="shared" si="691"/>
        <v>117.57181779723915</v>
      </c>
      <c r="AU234" s="38">
        <f t="shared" si="674"/>
        <v>0.99999999999999967</v>
      </c>
      <c r="AV234" s="38">
        <f t="shared" si="692"/>
        <v>1.6021839252307555</v>
      </c>
      <c r="AW234" s="4">
        <f t="shared" si="693"/>
        <v>0</v>
      </c>
      <c r="AX234" s="4">
        <f t="shared" si="742"/>
        <v>241.42223951208828</v>
      </c>
      <c r="AY234" s="4">
        <f t="shared" si="743"/>
        <v>1.2409556313993173</v>
      </c>
      <c r="AZ234" s="38">
        <f t="shared" si="701"/>
        <v>188.37167653489581</v>
      </c>
      <c r="BA234" s="4">
        <f t="shared" si="744"/>
        <v>0.72692534354352178</v>
      </c>
      <c r="BB234" s="4">
        <f t="shared" si="745"/>
        <v>91.696630947103927</v>
      </c>
      <c r="BC234" s="4">
        <f t="shared" si="746"/>
        <v>280.06830748199974</v>
      </c>
      <c r="BE234" s="4">
        <f t="shared" si="689"/>
        <v>1.2807262569832403</v>
      </c>
      <c r="BF234" s="4">
        <f t="shared" si="690"/>
        <v>397.62580029539703</v>
      </c>
      <c r="BH234" s="4">
        <f t="shared" si="704"/>
        <v>180.67147415190635</v>
      </c>
      <c r="BI234" s="4">
        <f t="shared" si="705"/>
        <v>25439.539549546142</v>
      </c>
      <c r="BJ234" s="4">
        <f t="shared" si="706"/>
        <v>140.80551270731809</v>
      </c>
      <c r="BK234" s="4">
        <f t="shared" si="785"/>
        <v>47.1</v>
      </c>
      <c r="BL234" s="4">
        <f t="shared" si="786"/>
        <v>47.1</v>
      </c>
      <c r="BM234" s="4">
        <f t="shared" si="787"/>
        <v>280</v>
      </c>
      <c r="BN234" s="4">
        <f t="shared" si="788"/>
        <v>65</v>
      </c>
      <c r="BO234" s="4">
        <f t="shared" si="789"/>
        <v>1.25</v>
      </c>
      <c r="BP234" s="25">
        <f t="shared" si="790"/>
        <v>2.2695530726256985</v>
      </c>
      <c r="BR234" s="4">
        <f t="shared" si="747"/>
        <v>40.700000000000003</v>
      </c>
      <c r="BV234" s="9"/>
      <c r="BX234" s="9"/>
      <c r="BY234" s="9"/>
      <c r="BZ234" s="9">
        <f t="shared" si="748"/>
        <v>40.700000000000003</v>
      </c>
      <c r="CA234" s="9">
        <f t="shared" si="749"/>
        <v>76</v>
      </c>
      <c r="CB234" s="9">
        <f t="shared" si="694"/>
        <v>1.1709505872794554</v>
      </c>
      <c r="CC234" s="9">
        <v>0</v>
      </c>
      <c r="CD234" s="9">
        <f t="shared" si="750"/>
        <v>0</v>
      </c>
      <c r="CE234" s="9">
        <f t="shared" si="751"/>
        <v>0</v>
      </c>
      <c r="CF234" s="9">
        <f t="shared" si="752"/>
        <v>0.89787751228078194</v>
      </c>
      <c r="CG234" s="9">
        <f t="shared" si="753"/>
        <v>0.91600000000000004</v>
      </c>
      <c r="CH234" s="9">
        <f t="shared" si="695"/>
        <v>1.6586305277394953</v>
      </c>
      <c r="CI234" s="9">
        <f t="shared" si="696"/>
        <v>1.942174390536195</v>
      </c>
      <c r="CJ234" s="9">
        <v>1</v>
      </c>
      <c r="CK234" s="9">
        <f t="shared" si="697"/>
        <v>178.37624011405055</v>
      </c>
      <c r="CM234" s="4">
        <f t="shared" si="796"/>
        <v>1.2591811613326145</v>
      </c>
      <c r="CN234" s="4">
        <f t="shared" si="797"/>
        <v>1.0854292606452445</v>
      </c>
      <c r="CO234" s="4">
        <f t="shared" si="798"/>
        <v>0.76452366947646233</v>
      </c>
      <c r="CP234" s="4">
        <f t="shared" si="799"/>
        <v>1.7042311000948527</v>
      </c>
      <c r="CQ234" s="4">
        <f t="shared" si="800"/>
        <v>1.1163081599228812</v>
      </c>
      <c r="CR234" s="4">
        <f t="shared" si="801"/>
        <v>1.2119877238401617</v>
      </c>
      <c r="CS234" s="4">
        <f t="shared" si="802"/>
        <v>1.3945799441927671</v>
      </c>
      <c r="CU234" s="4">
        <f t="shared" si="729"/>
        <v>1.2591811613326145</v>
      </c>
      <c r="CV234" s="4">
        <f t="shared" si="729"/>
        <v>1.0854292606452445</v>
      </c>
      <c r="CW234" s="4">
        <f t="shared" si="730"/>
        <v>1.7042311000948527</v>
      </c>
      <c r="CX234" s="4">
        <f t="shared" si="803"/>
        <v>1.3945799441927671</v>
      </c>
      <c r="CY234" s="4">
        <f t="shared" si="732"/>
        <v>1.1163081599228812</v>
      </c>
      <c r="CZ234" s="4">
        <f t="shared" si="732"/>
        <v>1.2119877238401617</v>
      </c>
      <c r="DH234" s="4">
        <f t="shared" si="754"/>
        <v>0</v>
      </c>
      <c r="DI234" s="4">
        <f t="shared" si="755"/>
        <v>285</v>
      </c>
      <c r="DL234" s="4">
        <f t="shared" si="756"/>
        <v>1.4539801168325371E-5</v>
      </c>
      <c r="DM234" s="4">
        <f t="shared" si="757"/>
        <v>5.6466037423412478</v>
      </c>
      <c r="DN234" s="4">
        <f t="shared" si="758"/>
        <v>0.43442213896878051</v>
      </c>
      <c r="DO234" s="4">
        <f t="shared" si="759"/>
        <v>4.0453126399641084</v>
      </c>
      <c r="DP234" s="4">
        <f t="shared" si="760"/>
        <v>4.9118289205503318</v>
      </c>
      <c r="DQ234" s="4">
        <f t="shared" si="761"/>
        <v>5.4510711945142196</v>
      </c>
      <c r="DR234" s="38">
        <f t="shared" si="791"/>
        <v>272.32116259129828</v>
      </c>
      <c r="DS234" s="4">
        <f t="shared" si="762"/>
        <v>1.0001359896403019</v>
      </c>
      <c r="DT234" s="4">
        <f t="shared" si="763"/>
        <v>1.7177116348221595</v>
      </c>
      <c r="DU234" s="4">
        <f t="shared" si="764"/>
        <v>117.57181779723915</v>
      </c>
      <c r="DY234" s="4">
        <f t="shared" si="765"/>
        <v>0.85</v>
      </c>
      <c r="DZ234" s="4">
        <f t="shared" si="766"/>
        <v>0.98631284916201112</v>
      </c>
      <c r="EA234" s="4">
        <f t="shared" si="792"/>
        <v>1</v>
      </c>
      <c r="EB234" s="4">
        <f t="shared" si="767"/>
        <v>0.98631284916201112</v>
      </c>
      <c r="ED234" s="4">
        <f t="shared" si="793"/>
        <v>250.82294972192562</v>
      </c>
      <c r="EE234" s="25">
        <f t="shared" si="794"/>
        <v>115.96691062411087</v>
      </c>
      <c r="EG234" s="4">
        <f t="shared" si="683"/>
        <v>0.83836592178770941</v>
      </c>
      <c r="EH234" s="4">
        <f t="shared" si="795"/>
        <v>5.6466037423412478</v>
      </c>
      <c r="EK234" s="4">
        <f t="shared" si="768"/>
        <v>61.494076526633307</v>
      </c>
      <c r="EL234" s="4">
        <f t="shared" si="769"/>
        <v>1.7177116348221595</v>
      </c>
      <c r="EM234" s="4">
        <f t="shared" si="770"/>
        <v>0.13687251798402508</v>
      </c>
      <c r="EP234" s="4">
        <f t="shared" si="771"/>
        <v>0.13687251798402508</v>
      </c>
      <c r="EQ234" s="4">
        <f t="shared" si="698"/>
        <v>0.43369716938412217</v>
      </c>
      <c r="ER234" s="4">
        <f t="shared" si="772"/>
        <v>4.0426109377047954</v>
      </c>
      <c r="ES234" s="4">
        <f t="shared" si="773"/>
        <v>4.9107178946531684</v>
      </c>
      <c r="ET234" s="4">
        <f t="shared" si="774"/>
        <v>152.25592347336669</v>
      </c>
      <c r="EU234" s="4">
        <f t="shared" si="775"/>
        <v>71.25</v>
      </c>
      <c r="EV234" s="4">
        <f t="shared" si="699"/>
        <v>1.4539801168325371E-5</v>
      </c>
      <c r="EW234" s="4">
        <f t="shared" si="776"/>
        <v>5.451125930747402</v>
      </c>
      <c r="EX234" s="4">
        <f t="shared" si="707"/>
        <v>272.28413476975101</v>
      </c>
      <c r="FG234" s="23">
        <f t="shared" si="804"/>
        <v>1.4</v>
      </c>
      <c r="FH234" s="23">
        <f t="shared" si="804"/>
        <v>1.2</v>
      </c>
      <c r="FI234" s="23">
        <f t="shared" si="805"/>
        <v>1.4</v>
      </c>
      <c r="FJ234" s="23">
        <f t="shared" si="806"/>
        <v>1.8</v>
      </c>
      <c r="FK234" s="23">
        <f t="shared" si="806"/>
        <v>1.2</v>
      </c>
      <c r="FL234" s="23">
        <f t="shared" si="806"/>
        <v>1.4</v>
      </c>
      <c r="FM234" s="23">
        <f t="shared" si="807"/>
        <v>0</v>
      </c>
      <c r="FN234" s="23"/>
      <c r="FX234" s="4">
        <f t="shared" si="676"/>
        <v>1</v>
      </c>
      <c r="FY234" s="4">
        <f t="shared" si="716"/>
        <v>0.73631284916201123</v>
      </c>
      <c r="FZ234" s="4">
        <f t="shared" si="677"/>
        <v>0</v>
      </c>
      <c r="GA234" s="4">
        <f t="shared" si="678"/>
        <v>217.98272460910428</v>
      </c>
    </row>
    <row r="235" spans="1:183" ht="12" customHeight="1" x14ac:dyDescent="0.3">
      <c r="A235" s="25">
        <v>217</v>
      </c>
      <c r="B235" s="24" t="s">
        <v>182</v>
      </c>
      <c r="C235" s="4">
        <v>1996</v>
      </c>
      <c r="D235" s="24" t="s">
        <v>309</v>
      </c>
      <c r="E235" s="24"/>
      <c r="F235" s="4" t="s">
        <v>351</v>
      </c>
      <c r="G235" s="7">
        <v>556</v>
      </c>
      <c r="H235" s="7">
        <f>381-P235-20</f>
        <v>285</v>
      </c>
      <c r="I235" s="7">
        <f t="shared" si="737"/>
        <v>285</v>
      </c>
      <c r="J235" s="7">
        <v>32.299999999999997</v>
      </c>
      <c r="K235" s="7">
        <v>35.799999999999997</v>
      </c>
      <c r="L235" s="7">
        <f t="shared" si="777"/>
        <v>7.9608938547486039</v>
      </c>
      <c r="M235" s="7">
        <f t="shared" si="778"/>
        <v>7.9608938547486039</v>
      </c>
      <c r="N235" s="7">
        <v>305</v>
      </c>
      <c r="O235" s="7">
        <v>76</v>
      </c>
      <c r="P235" s="7">
        <v>76</v>
      </c>
      <c r="Q235" s="7">
        <f t="shared" si="687"/>
        <v>81.400000000000006</v>
      </c>
      <c r="R235" s="7">
        <v>2</v>
      </c>
      <c r="S235" s="7">
        <f t="shared" si="684"/>
        <v>280</v>
      </c>
      <c r="T235" s="7">
        <f t="shared" si="685"/>
        <v>1.6368715083798884</v>
      </c>
      <c r="U235" s="7">
        <f t="shared" si="702"/>
        <v>2.6229050279329611</v>
      </c>
      <c r="V235" s="7">
        <f>2970/(K235^2*PI()/4)-1</f>
        <v>1.9505332604034158</v>
      </c>
      <c r="W235" s="7">
        <f>2970/(K235^2*PI()/4)-1</f>
        <v>1.9505332604034158</v>
      </c>
      <c r="X235" s="7">
        <f t="shared" si="738"/>
        <v>2.9505332604034158</v>
      </c>
      <c r="Y235" s="7">
        <f t="shared" si="739"/>
        <v>61.494076526633307</v>
      </c>
      <c r="Z235" s="7">
        <f t="shared" si="703"/>
        <v>556</v>
      </c>
      <c r="AA235" s="7">
        <v>20</v>
      </c>
      <c r="AB235" s="7">
        <f>357*1000/(K235^2*PI()/4)</f>
        <v>354.66005857374392</v>
      </c>
      <c r="AC235" s="7"/>
      <c r="AD235" s="4">
        <f t="shared" si="740"/>
        <v>1.3187489627900544</v>
      </c>
      <c r="AE235" s="7">
        <v>0</v>
      </c>
      <c r="AF235" s="7">
        <v>0</v>
      </c>
      <c r="AG235" s="7">
        <f t="shared" si="726"/>
        <v>285</v>
      </c>
      <c r="AH235" s="7"/>
      <c r="AI235" s="7"/>
      <c r="AJ235" s="7">
        <f t="shared" si="741"/>
        <v>7.2952218430034126</v>
      </c>
      <c r="AK235" s="4">
        <f t="shared" si="655"/>
        <v>285</v>
      </c>
      <c r="AL235" s="4">
        <f t="shared" si="779"/>
        <v>0.35672514619883039</v>
      </c>
      <c r="AM235" s="4">
        <f t="shared" si="780"/>
        <v>135.82590921165087</v>
      </c>
      <c r="AN235" s="4">
        <f t="shared" si="781"/>
        <v>0.76589473684210518</v>
      </c>
      <c r="AO235" s="4">
        <v>1.25</v>
      </c>
      <c r="AP235" s="4">
        <f t="shared" si="688"/>
        <v>2.5</v>
      </c>
      <c r="AQ235" s="38">
        <f t="shared" si="782"/>
        <v>115.9672750093534</v>
      </c>
      <c r="AR235" s="38">
        <f t="shared" si="783"/>
        <v>115.9672750093534</v>
      </c>
      <c r="AS235" s="38">
        <f t="shared" si="784"/>
        <v>3.042679928466983</v>
      </c>
      <c r="AT235" s="38">
        <f t="shared" si="691"/>
        <v>115.96727500935347</v>
      </c>
      <c r="AU235" s="38">
        <f t="shared" si="674"/>
        <v>0.99999999999999933</v>
      </c>
      <c r="AV235" s="38">
        <f t="shared" si="692"/>
        <v>1.5803183735172579</v>
      </c>
      <c r="AW235" s="4">
        <f t="shared" si="693"/>
        <v>0</v>
      </c>
      <c r="AX235" s="4">
        <f t="shared" si="742"/>
        <v>238.12746768239367</v>
      </c>
      <c r="AY235" s="4">
        <f t="shared" si="743"/>
        <v>1.2409556313993173</v>
      </c>
      <c r="AZ235" s="38">
        <f t="shared" si="701"/>
        <v>183.26521542401002</v>
      </c>
      <c r="BA235" s="4">
        <f t="shared" si="744"/>
        <v>0.72692534354352178</v>
      </c>
      <c r="BB235" s="4">
        <f t="shared" si="745"/>
        <v>90.445215679260329</v>
      </c>
      <c r="BC235" s="4">
        <f t="shared" si="746"/>
        <v>273.71043110327037</v>
      </c>
      <c r="BE235" s="4">
        <f t="shared" si="689"/>
        <v>1.2807262569832403</v>
      </c>
      <c r="BF235" s="4">
        <f t="shared" si="690"/>
        <v>392.19926507552367</v>
      </c>
      <c r="BH235" s="4">
        <f t="shared" si="704"/>
        <v>175.77375346706549</v>
      </c>
      <c r="BI235" s="4">
        <f t="shared" si="705"/>
        <v>25439.539549546142</v>
      </c>
      <c r="BJ235" s="4">
        <f t="shared" si="706"/>
        <v>144.72888612640747</v>
      </c>
      <c r="BK235" s="4">
        <f t="shared" si="785"/>
        <v>47.1</v>
      </c>
      <c r="BL235" s="4">
        <f t="shared" si="786"/>
        <v>47.1</v>
      </c>
      <c r="BM235" s="4">
        <f t="shared" si="787"/>
        <v>280</v>
      </c>
      <c r="BN235" s="4">
        <f t="shared" si="788"/>
        <v>65</v>
      </c>
      <c r="BO235" s="4">
        <f t="shared" si="789"/>
        <v>1.25</v>
      </c>
      <c r="BP235" s="25">
        <f t="shared" si="790"/>
        <v>2.2695530726256985</v>
      </c>
      <c r="BR235" s="4">
        <f t="shared" si="747"/>
        <v>40.700000000000003</v>
      </c>
      <c r="BV235" s="9"/>
      <c r="BX235" s="9"/>
      <c r="BY235" s="9"/>
      <c r="BZ235" s="9">
        <f t="shared" si="748"/>
        <v>40.700000000000003</v>
      </c>
      <c r="CA235" s="9">
        <f t="shared" si="749"/>
        <v>76</v>
      </c>
      <c r="CB235" s="9">
        <f t="shared" si="694"/>
        <v>1.1709505872794554</v>
      </c>
      <c r="CC235" s="9">
        <v>0</v>
      </c>
      <c r="CD235" s="9">
        <f t="shared" si="750"/>
        <v>0</v>
      </c>
      <c r="CE235" s="9">
        <f t="shared" si="751"/>
        <v>0</v>
      </c>
      <c r="CF235" s="9">
        <f t="shared" si="752"/>
        <v>0.89787751228078194</v>
      </c>
      <c r="CG235" s="9">
        <f t="shared" si="753"/>
        <v>0.91600000000000004</v>
      </c>
      <c r="CH235" s="9">
        <f t="shared" si="695"/>
        <v>1.6359946299460197</v>
      </c>
      <c r="CI235" s="9">
        <f t="shared" si="696"/>
        <v>1.9156688727213271</v>
      </c>
      <c r="CJ235" s="9">
        <v>1</v>
      </c>
      <c r="CK235" s="9">
        <f t="shared" si="697"/>
        <v>175.94187858960123</v>
      </c>
      <c r="CM235" s="4">
        <f t="shared" si="796"/>
        <v>1.4893706384463696</v>
      </c>
      <c r="CN235" s="4">
        <f t="shared" si="797"/>
        <v>1.2957491504586884</v>
      </c>
      <c r="CO235" s="4">
        <f t="shared" si="798"/>
        <v>0.90428537265476261</v>
      </c>
      <c r="CP235" s="4">
        <f t="shared" si="799"/>
        <v>2.0157796507391934</v>
      </c>
      <c r="CQ235" s="4">
        <f t="shared" si="800"/>
        <v>1.3187489627900544</v>
      </c>
      <c r="CR235" s="4">
        <f t="shared" si="801"/>
        <v>1.4335498222786425</v>
      </c>
      <c r="CS235" s="4">
        <f t="shared" si="802"/>
        <v>1.6382270596938808</v>
      </c>
      <c r="CU235" s="4">
        <f t="shared" si="729"/>
        <v>1.4893706384463696</v>
      </c>
      <c r="CV235" s="4">
        <f t="shared" si="729"/>
        <v>1.2957491504586884</v>
      </c>
      <c r="CW235" s="4">
        <f t="shared" si="730"/>
        <v>2.0157796507391934</v>
      </c>
      <c r="CX235" s="4">
        <f t="shared" si="803"/>
        <v>1.6382270596938808</v>
      </c>
      <c r="CY235" s="4">
        <f t="shared" si="732"/>
        <v>1.3187489627900544</v>
      </c>
      <c r="CZ235" s="4">
        <f t="shared" si="732"/>
        <v>1.4335498222786425</v>
      </c>
      <c r="DH235" s="4">
        <f t="shared" si="754"/>
        <v>0</v>
      </c>
      <c r="DI235" s="4">
        <f t="shared" si="755"/>
        <v>285</v>
      </c>
      <c r="DL235" s="4">
        <f t="shared" si="756"/>
        <v>1.4448873022591579E-5</v>
      </c>
      <c r="DM235" s="4">
        <f t="shared" si="757"/>
        <v>5.5695426108509878</v>
      </c>
      <c r="DN235" s="4">
        <f t="shared" si="758"/>
        <v>0.44043287699745309</v>
      </c>
      <c r="DO235" s="4">
        <f t="shared" si="759"/>
        <v>4.0120969880188291</v>
      </c>
      <c r="DP235" s="4">
        <f t="shared" si="760"/>
        <v>4.8538581180670093</v>
      </c>
      <c r="DQ235" s="4">
        <f t="shared" si="761"/>
        <v>5.3800412813062595</v>
      </c>
      <c r="DR235" s="38">
        <f t="shared" si="791"/>
        <v>268.93674882852287</v>
      </c>
      <c r="DS235" s="4">
        <f t="shared" si="762"/>
        <v>1.0001368566870967</v>
      </c>
      <c r="DT235" s="4">
        <f t="shared" si="763"/>
        <v>1.7177116348221595</v>
      </c>
      <c r="DU235" s="4">
        <f t="shared" si="764"/>
        <v>115.96727500935347</v>
      </c>
      <c r="DY235" s="4">
        <f t="shared" si="765"/>
        <v>0.85</v>
      </c>
      <c r="DZ235" s="4">
        <f t="shared" si="766"/>
        <v>0.98631284916201112</v>
      </c>
      <c r="EA235" s="4">
        <f t="shared" si="792"/>
        <v>1</v>
      </c>
      <c r="EB235" s="4">
        <f t="shared" si="767"/>
        <v>0.98631284916201112</v>
      </c>
      <c r="ED235" s="4">
        <f t="shared" si="793"/>
        <v>247.39988318648602</v>
      </c>
      <c r="EE235" s="25">
        <f t="shared" si="794"/>
        <v>114.38427055303366</v>
      </c>
      <c r="EG235" s="4">
        <f t="shared" si="683"/>
        <v>0.83836592178770941</v>
      </c>
      <c r="EH235" s="4">
        <f t="shared" si="795"/>
        <v>5.5695426108509878</v>
      </c>
      <c r="EK235" s="4">
        <f t="shared" si="768"/>
        <v>61.494076526633307</v>
      </c>
      <c r="EL235" s="4">
        <f t="shared" si="769"/>
        <v>1.7177116348221595</v>
      </c>
      <c r="EM235" s="4">
        <f t="shared" si="770"/>
        <v>0.13687251798402508</v>
      </c>
      <c r="EP235" s="4">
        <f t="shared" si="771"/>
        <v>0.13687251798402508</v>
      </c>
      <c r="EQ235" s="4">
        <f t="shared" si="698"/>
        <v>0.43969787661127396</v>
      </c>
      <c r="ER235" s="4">
        <f t="shared" si="772"/>
        <v>4.009417469162849</v>
      </c>
      <c r="ES235" s="4">
        <f t="shared" si="773"/>
        <v>4.8527521445412711</v>
      </c>
      <c r="ET235" s="4">
        <f t="shared" si="774"/>
        <v>152.25592347336669</v>
      </c>
      <c r="EU235" s="4">
        <f t="shared" si="775"/>
        <v>71.25</v>
      </c>
      <c r="EV235" s="4">
        <f t="shared" si="699"/>
        <v>1.4448873022591579E-5</v>
      </c>
      <c r="EW235" s="4">
        <f t="shared" si="776"/>
        <v>5.38009459767681</v>
      </c>
      <c r="EX235" s="4">
        <f t="shared" si="707"/>
        <v>268.89994807246916</v>
      </c>
      <c r="FG235" s="23">
        <f t="shared" si="804"/>
        <v>1.6</v>
      </c>
      <c r="FH235" s="23">
        <f t="shared" si="804"/>
        <v>1.4</v>
      </c>
      <c r="FI235" s="23">
        <f t="shared" si="805"/>
        <v>1.8</v>
      </c>
      <c r="FJ235" s="23">
        <f t="shared" si="806"/>
        <v>2.2000000000000002</v>
      </c>
      <c r="FK235" s="23">
        <f t="shared" si="806"/>
        <v>1.4</v>
      </c>
      <c r="FL235" s="23">
        <f t="shared" si="806"/>
        <v>1.6</v>
      </c>
      <c r="FM235" s="23">
        <f t="shared" si="807"/>
        <v>0</v>
      </c>
      <c r="FN235" s="23"/>
      <c r="FX235" s="4">
        <f t="shared" si="676"/>
        <v>1</v>
      </c>
      <c r="FY235" s="4">
        <f t="shared" si="716"/>
        <v>0.73631284916201123</v>
      </c>
      <c r="FZ235" s="4">
        <f t="shared" si="677"/>
        <v>0</v>
      </c>
      <c r="GA235" s="4">
        <f t="shared" si="678"/>
        <v>216.49017239406101</v>
      </c>
    </row>
    <row r="236" spans="1:183" ht="12" customHeight="1" x14ac:dyDescent="0.3">
      <c r="A236" s="25">
        <v>218</v>
      </c>
      <c r="B236" s="24" t="s">
        <v>182</v>
      </c>
      <c r="C236" s="4">
        <v>1996</v>
      </c>
      <c r="D236" s="24" t="s">
        <v>309</v>
      </c>
      <c r="E236" s="24"/>
      <c r="F236" s="4" t="s">
        <v>352</v>
      </c>
      <c r="G236" s="7">
        <v>556</v>
      </c>
      <c r="H236" s="7">
        <f>381-P236-25</f>
        <v>280</v>
      </c>
      <c r="I236" s="7">
        <f t="shared" si="737"/>
        <v>280</v>
      </c>
      <c r="J236" s="7">
        <v>32.299999999999997</v>
      </c>
      <c r="K236" s="7">
        <v>35.799999999999997</v>
      </c>
      <c r="L236" s="7">
        <f t="shared" si="777"/>
        <v>7.8212290502793298</v>
      </c>
      <c r="M236" s="7">
        <f t="shared" si="778"/>
        <v>7.8212290502793298</v>
      </c>
      <c r="N236" s="7">
        <v>305</v>
      </c>
      <c r="O236" s="7">
        <v>76</v>
      </c>
      <c r="P236" s="7">
        <v>76</v>
      </c>
      <c r="Q236" s="7">
        <f t="shared" si="687"/>
        <v>81.400000000000006</v>
      </c>
      <c r="R236" s="7">
        <v>2</v>
      </c>
      <c r="S236" s="7">
        <f t="shared" si="684"/>
        <v>280</v>
      </c>
      <c r="T236" s="7">
        <f t="shared" si="685"/>
        <v>1.6368715083798884</v>
      </c>
      <c r="U236" s="7">
        <f t="shared" si="702"/>
        <v>2.6229050279329611</v>
      </c>
      <c r="V236" s="7">
        <f>3025/(K236^2*PI()/4)-1</f>
        <v>2.0051727652257014</v>
      </c>
      <c r="W236" s="7">
        <f>3025/(K236^2*PI()/4)-1</f>
        <v>2.0051727652257014</v>
      </c>
      <c r="X236" s="7">
        <f t="shared" si="738"/>
        <v>3.0051727652257014</v>
      </c>
      <c r="Y236" s="7">
        <f t="shared" si="739"/>
        <v>62.060854190253195</v>
      </c>
      <c r="Z236" s="7">
        <f t="shared" si="703"/>
        <v>556</v>
      </c>
      <c r="AA236" s="7">
        <v>25</v>
      </c>
      <c r="AB236" s="7">
        <f>426*1000/(K236^2*PI()/4)</f>
        <v>423.20780098715659</v>
      </c>
      <c r="AC236" s="7"/>
      <c r="AD236" s="4">
        <f t="shared" si="740"/>
        <v>1.5899976895949632</v>
      </c>
      <c r="AE236" s="7">
        <v>9.5</v>
      </c>
      <c r="AF236" s="7">
        <v>2</v>
      </c>
      <c r="AG236" s="7">
        <v>102</v>
      </c>
      <c r="AH236" s="7">
        <v>4</v>
      </c>
      <c r="AI236" s="7">
        <f>AF236</f>
        <v>2</v>
      </c>
      <c r="AJ236" s="7">
        <f t="shared" si="741"/>
        <v>7.1672354948805461</v>
      </c>
      <c r="AK236" s="4">
        <f t="shared" si="655"/>
        <v>280</v>
      </c>
      <c r="AL236" s="4">
        <f t="shared" si="779"/>
        <v>0.36309523809523808</v>
      </c>
      <c r="AM236" s="4">
        <f t="shared" si="780"/>
        <v>132.26726636732195</v>
      </c>
      <c r="AN236" s="4">
        <f t="shared" si="781"/>
        <v>0.76707142857142852</v>
      </c>
      <c r="AO236" s="4">
        <v>1.25</v>
      </c>
      <c r="AP236" s="4">
        <f t="shared" si="688"/>
        <v>2.5</v>
      </c>
      <c r="AQ236" s="38">
        <f t="shared" si="782"/>
        <v>115.1221149349475</v>
      </c>
      <c r="AR236" s="38">
        <f t="shared" si="783"/>
        <v>115.1221149349475</v>
      </c>
      <c r="AS236" s="38">
        <f t="shared" si="784"/>
        <v>3.042679928466983</v>
      </c>
      <c r="AT236" s="38">
        <f t="shared" si="691"/>
        <v>115.12211493494758</v>
      </c>
      <c r="AU236" s="38">
        <f t="shared" si="674"/>
        <v>0.99999999999999933</v>
      </c>
      <c r="AV236" s="38">
        <f t="shared" si="692"/>
        <v>1.6140630691622992</v>
      </c>
      <c r="AW236" s="4">
        <f t="shared" si="693"/>
        <v>0</v>
      </c>
      <c r="AX236" s="4">
        <f t="shared" si="742"/>
        <v>233.94979281077272</v>
      </c>
      <c r="AY236" s="4">
        <f t="shared" si="743"/>
        <v>1.2409556313993173</v>
      </c>
      <c r="AZ236" s="38">
        <f t="shared" si="701"/>
        <v>185.81435416035646</v>
      </c>
      <c r="BA236" s="4">
        <f t="shared" si="744"/>
        <v>0.71927581286840181</v>
      </c>
      <c r="BB236" s="4">
        <f t="shared" si="745"/>
        <v>87.923388313554526</v>
      </c>
      <c r="BC236" s="4">
        <f t="shared" si="746"/>
        <v>273.737742473911</v>
      </c>
      <c r="BE236" s="4">
        <f t="shared" si="689"/>
        <v>1.5</v>
      </c>
      <c r="BF236" s="4">
        <f t="shared" si="690"/>
        <v>455.7759731441015</v>
      </c>
      <c r="BH236" s="4">
        <f t="shared" si="704"/>
        <v>178.21868925457557</v>
      </c>
      <c r="BI236" s="4">
        <f t="shared" si="705"/>
        <v>30569.451870773988</v>
      </c>
      <c r="BJ236" s="4">
        <f t="shared" si="706"/>
        <v>171.52775614406642</v>
      </c>
      <c r="BK236" s="4">
        <f t="shared" si="785"/>
        <v>47.1</v>
      </c>
      <c r="BL236" s="4">
        <f t="shared" si="786"/>
        <v>47.1</v>
      </c>
      <c r="BM236" s="4">
        <f t="shared" si="787"/>
        <v>280</v>
      </c>
      <c r="BN236" s="4">
        <f t="shared" si="788"/>
        <v>65</v>
      </c>
      <c r="BO236" s="4">
        <f t="shared" si="789"/>
        <v>1.25</v>
      </c>
      <c r="BP236" s="25">
        <f t="shared" si="790"/>
        <v>3.1260793306549952</v>
      </c>
      <c r="BR236" s="4">
        <f t="shared" si="747"/>
        <v>40.700000000000003</v>
      </c>
      <c r="BV236" s="9"/>
      <c r="BX236" s="9"/>
      <c r="BY236" s="9"/>
      <c r="BZ236" s="9">
        <f t="shared" si="748"/>
        <v>40.700000000000003</v>
      </c>
      <c r="CA236" s="9">
        <f t="shared" si="749"/>
        <v>76</v>
      </c>
      <c r="CB236" s="9">
        <f t="shared" si="694"/>
        <v>1.1709505872794554</v>
      </c>
      <c r="CC236" s="9">
        <v>20</v>
      </c>
      <c r="CD236" s="9">
        <f t="shared" si="750"/>
        <v>3.8822534914349713E-2</v>
      </c>
      <c r="CE236" s="9">
        <f t="shared" si="751"/>
        <v>0.57645069828699425</v>
      </c>
      <c r="CF236" s="9">
        <f t="shared" si="752"/>
        <v>0.89787751228078194</v>
      </c>
      <c r="CG236" s="9">
        <f t="shared" si="753"/>
        <v>0.91600000000000004</v>
      </c>
      <c r="CH236" s="9">
        <f t="shared" si="695"/>
        <v>1.6359946299460197</v>
      </c>
      <c r="CI236" s="9">
        <f t="shared" si="696"/>
        <v>2.8587391195474829</v>
      </c>
      <c r="CJ236" s="9">
        <v>1</v>
      </c>
      <c r="CK236" s="9">
        <f t="shared" si="697"/>
        <v>260.9597609687479</v>
      </c>
      <c r="CM236" s="4">
        <f t="shared" si="796"/>
        <v>1.8089684795295491</v>
      </c>
      <c r="CN236" s="4">
        <f t="shared" si="797"/>
        <v>1.5460337955680008</v>
      </c>
      <c r="CO236" s="4">
        <f t="shared" si="798"/>
        <v>0.92854346416666433</v>
      </c>
      <c r="CP236" s="4">
        <f t="shared" si="799"/>
        <v>1.621735854662433</v>
      </c>
      <c r="CQ236" s="4">
        <f t="shared" si="800"/>
        <v>1.5899976895949632</v>
      </c>
      <c r="CR236" s="4">
        <f t="shared" si="801"/>
        <v>1.7241744032031006</v>
      </c>
      <c r="CS236" s="4">
        <f t="shared" si="802"/>
        <v>1.5581202263866585</v>
      </c>
      <c r="DA236" s="4">
        <f t="shared" ref="DA236:DB247" si="808">CM236</f>
        <v>1.8089684795295491</v>
      </c>
      <c r="DB236" s="4">
        <f t="shared" si="808"/>
        <v>1.5460337955680008</v>
      </c>
      <c r="DC236" s="4">
        <f t="shared" ref="DC236:DC247" si="809">CP236</f>
        <v>1.621735854662433</v>
      </c>
      <c r="DD236" s="4">
        <f t="shared" ref="DD236" si="810">CS236</f>
        <v>1.5581202263866585</v>
      </c>
      <c r="DE236" s="4">
        <f t="shared" ref="DE236:DF247" si="811">CQ236</f>
        <v>1.5899976895949632</v>
      </c>
      <c r="DF236" s="4">
        <f t="shared" si="811"/>
        <v>1.7241744032031006</v>
      </c>
      <c r="DH236" s="4">
        <f t="shared" si="754"/>
        <v>2</v>
      </c>
      <c r="DI236" s="4">
        <f t="shared" si="755"/>
        <v>280</v>
      </c>
      <c r="DL236" s="4">
        <f t="shared" si="756"/>
        <v>1.4195384022195234E-5</v>
      </c>
      <c r="DM236" s="4">
        <f t="shared" si="757"/>
        <v>5.6229670276101471</v>
      </c>
      <c r="DN236" s="4">
        <f t="shared" si="758"/>
        <v>0.42922900876570613</v>
      </c>
      <c r="DO236" s="4">
        <f t="shared" si="759"/>
        <v>4.0090471412339257</v>
      </c>
      <c r="DP236" s="4">
        <f t="shared" si="760"/>
        <v>4.8833291873266678</v>
      </c>
      <c r="DQ236" s="4">
        <f t="shared" si="761"/>
        <v>5.4375361051668163</v>
      </c>
      <c r="DR236" s="38">
        <f t="shared" si="791"/>
        <v>266.16881505970287</v>
      </c>
      <c r="DS236" s="4">
        <f t="shared" si="762"/>
        <v>1.0001363960359797</v>
      </c>
      <c r="DT236" s="4">
        <f t="shared" si="763"/>
        <v>1.7335434131355643</v>
      </c>
      <c r="DU236" s="4">
        <f t="shared" si="764"/>
        <v>115.12211493494758</v>
      </c>
      <c r="DY236" s="4">
        <f t="shared" si="765"/>
        <v>0.85</v>
      </c>
      <c r="DZ236" s="4">
        <f t="shared" si="766"/>
        <v>0.98631284916201112</v>
      </c>
      <c r="EA236" s="4">
        <f t="shared" si="792"/>
        <v>0.99049889204456787</v>
      </c>
      <c r="EB236" s="4">
        <f t="shared" si="767"/>
        <v>0.97694178430429301</v>
      </c>
      <c r="ED236" s="4">
        <f t="shared" si="793"/>
        <v>245.45533224535666</v>
      </c>
      <c r="EE236" s="25">
        <f t="shared" si="794"/>
        <v>113.51979305003475</v>
      </c>
      <c r="EG236" s="4">
        <f t="shared" si="683"/>
        <v>0.830400516658649</v>
      </c>
      <c r="EH236" s="4">
        <f t="shared" si="795"/>
        <v>5.6229670276101471</v>
      </c>
      <c r="EK236" s="4">
        <f t="shared" si="768"/>
        <v>62.060854190253195</v>
      </c>
      <c r="EL236" s="4">
        <f t="shared" si="769"/>
        <v>1.7335434131355643</v>
      </c>
      <c r="EM236" s="4">
        <f t="shared" si="770"/>
        <v>0.13339071238746131</v>
      </c>
      <c r="EP236" s="4">
        <f t="shared" si="771"/>
        <v>0.13339071238746131</v>
      </c>
      <c r="EQ236" s="4">
        <f t="shared" si="698"/>
        <v>0.42851270554748871</v>
      </c>
      <c r="ER236" s="4">
        <f t="shared" si="772"/>
        <v>4.0063696592484384</v>
      </c>
      <c r="ES236" s="4">
        <f t="shared" si="773"/>
        <v>4.8822316829137922</v>
      </c>
      <c r="ET236" s="4">
        <f t="shared" si="774"/>
        <v>147.9391458097468</v>
      </c>
      <c r="EU236" s="4">
        <f t="shared" si="775"/>
        <v>70</v>
      </c>
      <c r="EV236" s="4">
        <f t="shared" si="699"/>
        <v>1.4195384022195234E-5</v>
      </c>
      <c r="EW236" s="4">
        <f t="shared" si="776"/>
        <v>5.437588260507729</v>
      </c>
      <c r="EX236" s="4">
        <f t="shared" si="707"/>
        <v>266.13251563952434</v>
      </c>
      <c r="FG236" s="23">
        <f t="shared" si="804"/>
        <v>2</v>
      </c>
      <c r="FH236" s="23">
        <f t="shared" si="804"/>
        <v>1.6</v>
      </c>
      <c r="FI236" s="23">
        <f t="shared" si="805"/>
        <v>1.6</v>
      </c>
      <c r="FJ236" s="23">
        <f t="shared" si="806"/>
        <v>1.8</v>
      </c>
      <c r="FK236" s="23">
        <f t="shared" si="806"/>
        <v>1.6</v>
      </c>
      <c r="FL236" s="23">
        <f t="shared" si="806"/>
        <v>1.8</v>
      </c>
      <c r="FM236" s="23">
        <f t="shared" si="807"/>
        <v>0</v>
      </c>
      <c r="FN236" s="23"/>
      <c r="FX236" s="4">
        <f t="shared" si="676"/>
        <v>1</v>
      </c>
      <c r="FY236" s="4">
        <f t="shared" si="716"/>
        <v>0.57658194354098002</v>
      </c>
      <c r="FZ236" s="4">
        <f t="shared" si="677"/>
        <v>0.28167035985144034</v>
      </c>
      <c r="GA236" s="4">
        <f t="shared" si="678"/>
        <v>271.61434260345362</v>
      </c>
    </row>
    <row r="237" spans="1:183" ht="12" customHeight="1" x14ac:dyDescent="0.3">
      <c r="A237" s="25">
        <v>219</v>
      </c>
      <c r="B237" s="24" t="s">
        <v>182</v>
      </c>
      <c r="C237" s="4">
        <v>1996</v>
      </c>
      <c r="D237" s="24" t="s">
        <v>309</v>
      </c>
      <c r="E237" s="24"/>
      <c r="F237" s="4" t="s">
        <v>353</v>
      </c>
      <c r="G237" s="7">
        <v>556</v>
      </c>
      <c r="H237" s="7">
        <f>533-P237-25</f>
        <v>432</v>
      </c>
      <c r="I237" s="7">
        <f t="shared" si="737"/>
        <v>432</v>
      </c>
      <c r="J237" s="7">
        <v>31.4</v>
      </c>
      <c r="K237" s="7">
        <v>35.799999999999997</v>
      </c>
      <c r="L237" s="7">
        <f t="shared" si="777"/>
        <v>12.067039106145252</v>
      </c>
      <c r="M237" s="7">
        <f t="shared" si="778"/>
        <v>12.067039106145252</v>
      </c>
      <c r="N237" s="7">
        <v>305</v>
      </c>
      <c r="O237" s="7">
        <v>76</v>
      </c>
      <c r="P237" s="7">
        <v>76</v>
      </c>
      <c r="Q237" s="7">
        <f t="shared" si="687"/>
        <v>81.400000000000006</v>
      </c>
      <c r="R237" s="7">
        <v>2</v>
      </c>
      <c r="S237" s="7">
        <f t="shared" si="684"/>
        <v>280</v>
      </c>
      <c r="T237" s="7">
        <f t="shared" si="685"/>
        <v>1.6368715083798884</v>
      </c>
      <c r="U237" s="7">
        <f t="shared" si="702"/>
        <v>2.6229050279329611</v>
      </c>
      <c r="V237" s="7">
        <f>2970/(K237^2*PI()/4)-1</f>
        <v>1.9505332604034158</v>
      </c>
      <c r="W237" s="7">
        <f>2970/(K237^2*PI()/4)-1</f>
        <v>1.9505332604034158</v>
      </c>
      <c r="X237" s="7">
        <f t="shared" si="738"/>
        <v>2.9505332604034158</v>
      </c>
      <c r="Y237" s="7">
        <f t="shared" si="739"/>
        <v>61.494076526633307</v>
      </c>
      <c r="Z237" s="7">
        <f t="shared" si="703"/>
        <v>556</v>
      </c>
      <c r="AA237" s="7">
        <v>25</v>
      </c>
      <c r="AB237" s="7">
        <f>495*1000/(K237^2*PI()/4)</f>
        <v>491.75554340056931</v>
      </c>
      <c r="AC237" s="7"/>
      <c r="AD237" s="4">
        <f t="shared" si="740"/>
        <v>1.3244193650535829</v>
      </c>
      <c r="AE237" s="7">
        <v>0</v>
      </c>
      <c r="AF237" s="7">
        <v>0</v>
      </c>
      <c r="AG237" s="7">
        <f>I237</f>
        <v>432</v>
      </c>
      <c r="AH237" s="7"/>
      <c r="AI237" s="7"/>
      <c r="AJ237" s="7">
        <f t="shared" si="741"/>
        <v>11.058020477815699</v>
      </c>
      <c r="AK237" s="4">
        <f t="shared" si="655"/>
        <v>432</v>
      </c>
      <c r="AL237" s="4">
        <f t="shared" si="779"/>
        <v>0.2353395061728395</v>
      </c>
      <c r="AM237" s="4">
        <f t="shared" si="780"/>
        <v>249.92201512888658</v>
      </c>
      <c r="AN237" s="4">
        <f t="shared" si="781"/>
        <v>0.7434722222222222</v>
      </c>
      <c r="AO237" s="4">
        <v>1.25</v>
      </c>
      <c r="AP237" s="4">
        <f t="shared" si="688"/>
        <v>2.5</v>
      </c>
      <c r="AQ237" s="38">
        <f t="shared" si="782"/>
        <v>136.65141100233745</v>
      </c>
      <c r="AR237" s="38">
        <f t="shared" si="783"/>
        <v>136.65141100233745</v>
      </c>
      <c r="AS237" s="38">
        <f t="shared" si="784"/>
        <v>2.9858937754367516</v>
      </c>
      <c r="AT237" s="38">
        <f t="shared" si="691"/>
        <v>136.65141100233737</v>
      </c>
      <c r="AU237" s="38">
        <f t="shared" si="674"/>
        <v>1.0000000000000007</v>
      </c>
      <c r="AV237" s="38">
        <f t="shared" si="692"/>
        <v>1.3037461743448588</v>
      </c>
      <c r="AW237" s="4">
        <f t="shared" si="693"/>
        <v>0</v>
      </c>
      <c r="AX237" s="4">
        <f t="shared" si="742"/>
        <v>355.88685173094154</v>
      </c>
      <c r="AY237" s="4">
        <f t="shared" si="743"/>
        <v>1.2409556313993173</v>
      </c>
      <c r="AZ237" s="38">
        <f t="shared" si="701"/>
        <v>178.15875431312429</v>
      </c>
      <c r="BA237" s="4">
        <f t="shared" si="744"/>
        <v>0.72692534354352178</v>
      </c>
      <c r="BB237" s="4">
        <f t="shared" si="745"/>
        <v>135.17240734760412</v>
      </c>
      <c r="BC237" s="4">
        <f t="shared" si="746"/>
        <v>313.33116166072841</v>
      </c>
      <c r="BE237" s="4">
        <f t="shared" si="689"/>
        <v>1.2807262569832403</v>
      </c>
      <c r="BF237" s="4">
        <f t="shared" si="690"/>
        <v>475.10156036521124</v>
      </c>
      <c r="BH237" s="4">
        <f t="shared" si="704"/>
        <v>170.87603278222466</v>
      </c>
      <c r="BI237" s="4">
        <f t="shared" si="705"/>
        <v>39749.280546165857</v>
      </c>
      <c r="BJ237" s="4">
        <f t="shared" si="706"/>
        <v>232.62057234688308</v>
      </c>
      <c r="BK237" s="4">
        <f t="shared" si="785"/>
        <v>47.1</v>
      </c>
      <c r="BL237" s="4">
        <f t="shared" si="786"/>
        <v>47.1</v>
      </c>
      <c r="BM237" s="4">
        <f t="shared" si="787"/>
        <v>280</v>
      </c>
      <c r="BN237" s="4">
        <f t="shared" si="788"/>
        <v>65</v>
      </c>
      <c r="BO237" s="4">
        <f t="shared" si="789"/>
        <v>1.25</v>
      </c>
      <c r="BP237" s="25">
        <f t="shared" si="790"/>
        <v>2.2695530726256985</v>
      </c>
      <c r="BR237" s="4">
        <f t="shared" si="747"/>
        <v>40.700000000000003</v>
      </c>
      <c r="BV237" s="9"/>
      <c r="BX237" s="9"/>
      <c r="BY237" s="9"/>
      <c r="BZ237" s="9">
        <f t="shared" si="748"/>
        <v>40.700000000000003</v>
      </c>
      <c r="CA237" s="9">
        <f t="shared" si="749"/>
        <v>76</v>
      </c>
      <c r="CB237" s="9">
        <f t="shared" si="694"/>
        <v>1.1709505872794554</v>
      </c>
      <c r="CC237" s="9">
        <v>0</v>
      </c>
      <c r="CD237" s="9">
        <f t="shared" si="750"/>
        <v>0</v>
      </c>
      <c r="CE237" s="9">
        <f t="shared" si="751"/>
        <v>0</v>
      </c>
      <c r="CF237" s="9">
        <f t="shared" si="752"/>
        <v>0.89787751228078194</v>
      </c>
      <c r="CG237" s="9">
        <f t="shared" si="753"/>
        <v>0.91600000000000004</v>
      </c>
      <c r="CH237" s="9">
        <f t="shared" si="695"/>
        <v>1.6130411125805293</v>
      </c>
      <c r="CI237" s="9">
        <f t="shared" si="696"/>
        <v>1.8887914380820769</v>
      </c>
      <c r="CJ237" s="9">
        <v>1</v>
      </c>
      <c r="CK237" s="9">
        <f t="shared" si="697"/>
        <v>204.49596687167963</v>
      </c>
      <c r="CM237" s="4">
        <f t="shared" si="796"/>
        <v>1.3817749686699512</v>
      </c>
      <c r="CN237" s="4">
        <f t="shared" si="797"/>
        <v>1.5694434629296043</v>
      </c>
      <c r="CO237" s="4">
        <f t="shared" si="798"/>
        <v>1.0350535220775872</v>
      </c>
      <c r="CP237" s="4">
        <f t="shared" si="799"/>
        <v>2.40472000951072</v>
      </c>
      <c r="CQ237" s="4">
        <f t="shared" si="800"/>
        <v>1.3244193650535829</v>
      </c>
      <c r="CR237" s="4">
        <f t="shared" si="801"/>
        <v>1.4709966291791812</v>
      </c>
      <c r="CS237" s="4">
        <f t="shared" si="802"/>
        <v>1.5091778057773073</v>
      </c>
      <c r="CU237" s="4">
        <f t="shared" si="729"/>
        <v>1.3817749686699512</v>
      </c>
      <c r="CV237" s="4">
        <f t="shared" si="729"/>
        <v>1.5694434629296043</v>
      </c>
      <c r="CW237" s="4">
        <f t="shared" si="730"/>
        <v>2.40472000951072</v>
      </c>
      <c r="CX237" s="4">
        <f t="shared" ref="CX237:CX241" si="812">CS237</f>
        <v>1.5091778057773073</v>
      </c>
      <c r="CY237" s="4">
        <f t="shared" si="732"/>
        <v>1.3244193650535829</v>
      </c>
      <c r="CZ237" s="4">
        <f t="shared" si="732"/>
        <v>1.4709966291791812</v>
      </c>
      <c r="DH237" s="4">
        <f t="shared" si="754"/>
        <v>0</v>
      </c>
      <c r="DI237" s="4">
        <f t="shared" si="755"/>
        <v>432</v>
      </c>
      <c r="DL237" s="4">
        <f t="shared" si="756"/>
        <v>2.176343699186269E-5</v>
      </c>
      <c r="DM237" s="4">
        <f t="shared" si="757"/>
        <v>5.4914001825716072</v>
      </c>
      <c r="DN237" s="4">
        <f t="shared" si="758"/>
        <v>0.53386478251404901</v>
      </c>
      <c r="DO237" s="4">
        <f t="shared" si="759"/>
        <v>4.2722396162260505</v>
      </c>
      <c r="DP237" s="4">
        <f t="shared" si="760"/>
        <v>4.9197893483158488</v>
      </c>
      <c r="DQ237" s="4">
        <f t="shared" si="761"/>
        <v>5.0546699885538677</v>
      </c>
      <c r="DR237" s="38">
        <f t="shared" si="791"/>
        <v>371.29896796750177</v>
      </c>
      <c r="DS237" s="4">
        <f t="shared" si="762"/>
        <v>1.0001467782873257</v>
      </c>
      <c r="DT237" s="4">
        <f t="shared" si="763"/>
        <v>1.7177116348221595</v>
      </c>
      <c r="DU237" s="4">
        <f t="shared" si="764"/>
        <v>136.65141100233737</v>
      </c>
      <c r="DY237" s="4">
        <f t="shared" si="765"/>
        <v>0.85</v>
      </c>
      <c r="DZ237" s="4">
        <f t="shared" si="766"/>
        <v>0.98631284916201112</v>
      </c>
      <c r="EA237" s="4">
        <f t="shared" si="792"/>
        <v>1</v>
      </c>
      <c r="EB237" s="4">
        <f t="shared" si="767"/>
        <v>0.98631284916201112</v>
      </c>
      <c r="ED237" s="4">
        <f t="shared" si="793"/>
        <v>334.30093152216796</v>
      </c>
      <c r="EE237" s="25">
        <f t="shared" si="794"/>
        <v>135.50610927041362</v>
      </c>
      <c r="EG237" s="4">
        <f t="shared" si="683"/>
        <v>0.83836592178770941</v>
      </c>
      <c r="EH237" s="4">
        <f t="shared" si="795"/>
        <v>5.4914001825716072</v>
      </c>
      <c r="EK237" s="4">
        <f t="shared" si="768"/>
        <v>61.494076526633307</v>
      </c>
      <c r="EL237" s="4">
        <f t="shared" si="769"/>
        <v>1.7177116348221595</v>
      </c>
      <c r="EM237" s="4">
        <f t="shared" si="770"/>
        <v>0.16358043626468974</v>
      </c>
      <c r="EP237" s="4">
        <f t="shared" si="771"/>
        <v>0.16358043626468974</v>
      </c>
      <c r="EQ237" s="4">
        <f t="shared" si="698"/>
        <v>0.53297386169090288</v>
      </c>
      <c r="ER237" s="4">
        <f t="shared" si="772"/>
        <v>4.2693863585298581</v>
      </c>
      <c r="ES237" s="4">
        <f t="shared" si="773"/>
        <v>4.9185513312243492</v>
      </c>
      <c r="ET237" s="4">
        <f t="shared" si="774"/>
        <v>262.50592347336669</v>
      </c>
      <c r="EU237" s="4">
        <f t="shared" si="775"/>
        <v>108</v>
      </c>
      <c r="EV237" s="4">
        <f t="shared" si="699"/>
        <v>2.176343699186269E-5</v>
      </c>
      <c r="EW237" s="4">
        <f t="shared" si="776"/>
        <v>5.0547880824553584</v>
      </c>
      <c r="EX237" s="4">
        <f t="shared" si="707"/>
        <v>371.24447733893885</v>
      </c>
      <c r="FG237" s="23">
        <f t="shared" si="804"/>
        <v>1.4</v>
      </c>
      <c r="FH237" s="23">
        <f t="shared" si="804"/>
        <v>1.6</v>
      </c>
      <c r="FI237" s="23">
        <f t="shared" si="805"/>
        <v>1.6</v>
      </c>
      <c r="FJ237" s="23">
        <f t="shared" si="806"/>
        <v>2.2000000000000002</v>
      </c>
      <c r="FK237" s="23">
        <f t="shared" si="806"/>
        <v>1.4</v>
      </c>
      <c r="FL237" s="23">
        <f t="shared" si="806"/>
        <v>1.6</v>
      </c>
      <c r="FM237" s="23">
        <f t="shared" si="807"/>
        <v>0</v>
      </c>
      <c r="FN237" s="23"/>
      <c r="FX237" s="4">
        <f t="shared" si="676"/>
        <v>1</v>
      </c>
      <c r="FY237" s="4">
        <f t="shared" si="716"/>
        <v>0.73631284916201123</v>
      </c>
      <c r="FZ237" s="4">
        <f t="shared" si="677"/>
        <v>0</v>
      </c>
      <c r="GA237" s="4">
        <f t="shared" si="678"/>
        <v>325.84334431507818</v>
      </c>
    </row>
    <row r="238" spans="1:183" ht="12" customHeight="1" x14ac:dyDescent="0.3">
      <c r="A238" s="25">
        <v>220</v>
      </c>
      <c r="B238" s="24" t="s">
        <v>182</v>
      </c>
      <c r="C238" s="4">
        <v>1996</v>
      </c>
      <c r="D238" s="24" t="s">
        <v>309</v>
      </c>
      <c r="E238" s="24"/>
      <c r="F238" s="4" t="s">
        <v>354</v>
      </c>
      <c r="G238" s="7">
        <v>556</v>
      </c>
      <c r="H238" s="7">
        <f>305-P238-25</f>
        <v>204</v>
      </c>
      <c r="I238" s="7">
        <f t="shared" si="737"/>
        <v>204</v>
      </c>
      <c r="J238" s="7">
        <v>31.4</v>
      </c>
      <c r="K238" s="7">
        <v>35.799999999999997</v>
      </c>
      <c r="L238" s="7">
        <f t="shared" si="777"/>
        <v>5.6983240223463696</v>
      </c>
      <c r="M238" s="7">
        <f t="shared" si="778"/>
        <v>5.6983240223463696</v>
      </c>
      <c r="N238" s="7">
        <v>305</v>
      </c>
      <c r="O238" s="7">
        <v>76</v>
      </c>
      <c r="P238" s="7">
        <v>76</v>
      </c>
      <c r="Q238" s="7">
        <f t="shared" si="687"/>
        <v>81.400000000000006</v>
      </c>
      <c r="R238" s="7">
        <v>2</v>
      </c>
      <c r="S238" s="7">
        <f t="shared" si="684"/>
        <v>280</v>
      </c>
      <c r="T238" s="7">
        <f t="shared" si="685"/>
        <v>1.6368715083798884</v>
      </c>
      <c r="U238" s="7">
        <f t="shared" si="702"/>
        <v>2.6229050279329611</v>
      </c>
      <c r="V238" s="7">
        <f>3025/(K238^2*PI()/4)-1</f>
        <v>2.0051727652257014</v>
      </c>
      <c r="W238" s="7">
        <f>3025/(K238^2*PI()/4)-1</f>
        <v>2.0051727652257014</v>
      </c>
      <c r="X238" s="7">
        <f t="shared" si="738"/>
        <v>3.0051727652257014</v>
      </c>
      <c r="Y238" s="7">
        <f t="shared" si="739"/>
        <v>62.060854190253195</v>
      </c>
      <c r="Z238" s="7">
        <f t="shared" si="703"/>
        <v>556</v>
      </c>
      <c r="AA238" s="7">
        <v>25</v>
      </c>
      <c r="AB238" s="7">
        <f>198*1000/(K238^2*PI()/4)</f>
        <v>196.70221736022771</v>
      </c>
      <c r="AC238" s="7"/>
      <c r="AD238" s="4">
        <f t="shared" si="740"/>
        <v>0.96172270015417394</v>
      </c>
      <c r="AE238" s="7">
        <v>0</v>
      </c>
      <c r="AF238" s="7">
        <v>0</v>
      </c>
      <c r="AG238" s="7">
        <f t="shared" ref="AG238:AG243" si="813">I238</f>
        <v>204</v>
      </c>
      <c r="AH238" s="7"/>
      <c r="AI238" s="7"/>
      <c r="AJ238" s="7">
        <f t="shared" si="741"/>
        <v>5.2218430034129693</v>
      </c>
      <c r="AK238" s="4">
        <f t="shared" si="655"/>
        <v>204</v>
      </c>
      <c r="AL238" s="4">
        <f t="shared" si="779"/>
        <v>0.49836601307189543</v>
      </c>
      <c r="AM238" s="4">
        <f t="shared" si="780"/>
        <v>81.100614496488049</v>
      </c>
      <c r="AN238" s="4">
        <f t="shared" si="781"/>
        <v>0.7920588235294117</v>
      </c>
      <c r="AO238" s="4">
        <v>1.25</v>
      </c>
      <c r="AP238" s="4">
        <f t="shared" si="688"/>
        <v>2.5</v>
      </c>
      <c r="AQ238" s="38">
        <f t="shared" si="782"/>
        <v>100.04145975392262</v>
      </c>
      <c r="AR238" s="38">
        <f t="shared" si="783"/>
        <v>100.04145975392262</v>
      </c>
      <c r="AS238" s="38">
        <f t="shared" si="784"/>
        <v>2.9858937754367516</v>
      </c>
      <c r="AT238" s="38">
        <f t="shared" si="691"/>
        <v>100.04145975392271</v>
      </c>
      <c r="AU238" s="38">
        <f t="shared" si="674"/>
        <v>0.99999999999999911</v>
      </c>
      <c r="AV238" s="38">
        <f t="shared" si="692"/>
        <v>1.8056200385347467</v>
      </c>
      <c r="AW238" s="4">
        <f t="shared" si="693"/>
        <v>0</v>
      </c>
      <c r="AX238" s="4">
        <f t="shared" si="742"/>
        <v>168.05767998405574</v>
      </c>
      <c r="AY238" s="4">
        <f t="shared" si="743"/>
        <v>1.2409556313993173</v>
      </c>
      <c r="AZ238" s="38">
        <f t="shared" si="701"/>
        <v>180.63686441595024</v>
      </c>
      <c r="BA238" s="4">
        <f t="shared" si="744"/>
        <v>0.71927581286840181</v>
      </c>
      <c r="BB238" s="4">
        <f t="shared" si="745"/>
        <v>63.159708238189161</v>
      </c>
      <c r="BC238" s="4">
        <f t="shared" si="746"/>
        <v>243.7965726541394</v>
      </c>
      <c r="BE238" s="4">
        <f t="shared" si="689"/>
        <v>1.2807262569832403</v>
      </c>
      <c r="BF238" s="4">
        <f t="shared" si="690"/>
        <v>337.98364167752999</v>
      </c>
      <c r="BH238" s="4">
        <f t="shared" si="704"/>
        <v>173.2528434239527</v>
      </c>
      <c r="BI238" s="4">
        <f t="shared" si="705"/>
        <v>30569.451870773988</v>
      </c>
      <c r="BJ238" s="4">
        <f t="shared" si="706"/>
        <v>176.44415679787727</v>
      </c>
      <c r="BK238" s="4">
        <f t="shared" si="785"/>
        <v>47.1</v>
      </c>
      <c r="BL238" s="4">
        <f t="shared" si="786"/>
        <v>47.1</v>
      </c>
      <c r="BM238" s="4">
        <f t="shared" si="787"/>
        <v>280</v>
      </c>
      <c r="BN238" s="4">
        <f t="shared" si="788"/>
        <v>65</v>
      </c>
      <c r="BO238" s="4">
        <f t="shared" si="789"/>
        <v>1.25</v>
      </c>
      <c r="BP238" s="25">
        <f t="shared" si="790"/>
        <v>2.2695530726256985</v>
      </c>
      <c r="BR238" s="4">
        <f t="shared" si="747"/>
        <v>40.700000000000003</v>
      </c>
      <c r="BV238" s="9"/>
      <c r="BX238" s="9"/>
      <c r="BY238" s="9"/>
      <c r="BZ238" s="9">
        <f t="shared" si="748"/>
        <v>40.700000000000003</v>
      </c>
      <c r="CA238" s="9">
        <f t="shared" si="749"/>
        <v>76</v>
      </c>
      <c r="CB238" s="9">
        <f t="shared" si="694"/>
        <v>1.1709505872794554</v>
      </c>
      <c r="CC238" s="9">
        <v>0</v>
      </c>
      <c r="CD238" s="9">
        <f t="shared" si="750"/>
        <v>0</v>
      </c>
      <c r="CE238" s="9">
        <f t="shared" si="751"/>
        <v>0</v>
      </c>
      <c r="CF238" s="9">
        <f t="shared" si="752"/>
        <v>0.89787751228078194</v>
      </c>
      <c r="CG238" s="9">
        <f t="shared" si="753"/>
        <v>0.91600000000000004</v>
      </c>
      <c r="CH238" s="9">
        <f t="shared" si="695"/>
        <v>1.6130411125805293</v>
      </c>
      <c r="CI238" s="9">
        <f t="shared" si="696"/>
        <v>1.8887914380820769</v>
      </c>
      <c r="CJ238" s="9">
        <v>1</v>
      </c>
      <c r="CK238" s="9">
        <f t="shared" si="697"/>
        <v>156.37926878422559</v>
      </c>
      <c r="CM238" s="4">
        <f t="shared" si="796"/>
        <v>1.1704446793439585</v>
      </c>
      <c r="CN238" s="4">
        <f t="shared" si="797"/>
        <v>0.80682929714224561</v>
      </c>
      <c r="CO238" s="4">
        <f t="shared" si="798"/>
        <v>0.58198738963793162</v>
      </c>
      <c r="CP238" s="4">
        <f t="shared" si="799"/>
        <v>1.2578535434363767</v>
      </c>
      <c r="CQ238" s="4">
        <f t="shared" si="800"/>
        <v>0.96172270015417394</v>
      </c>
      <c r="CR238" s="4">
        <f t="shared" si="801"/>
        <v>1.024630490427666</v>
      </c>
      <c r="CS238" s="4">
        <f t="shared" si="802"/>
        <v>1.2783623766584251</v>
      </c>
      <c r="CU238" s="4">
        <f t="shared" si="729"/>
        <v>1.1704446793439585</v>
      </c>
      <c r="CV238" s="4">
        <f t="shared" si="729"/>
        <v>0.80682929714224561</v>
      </c>
      <c r="CW238" s="4">
        <f t="shared" si="730"/>
        <v>1.2578535434363767</v>
      </c>
      <c r="CX238" s="4">
        <f t="shared" si="812"/>
        <v>1.2783623766584251</v>
      </c>
      <c r="CY238" s="4">
        <f t="shared" si="732"/>
        <v>0.96172270015417394</v>
      </c>
      <c r="CZ238" s="4">
        <f t="shared" si="732"/>
        <v>1.024630490427666</v>
      </c>
      <c r="DH238" s="4">
        <f t="shared" si="754"/>
        <v>0</v>
      </c>
      <c r="DI238" s="4">
        <f t="shared" si="755"/>
        <v>204</v>
      </c>
      <c r="DL238" s="4">
        <f t="shared" si="756"/>
        <v>1.0277178579490715E-5</v>
      </c>
      <c r="DM238" s="4">
        <f t="shared" si="757"/>
        <v>5.4914001825716072</v>
      </c>
      <c r="DN238" s="4">
        <f t="shared" si="758"/>
        <v>0.38369240287346035</v>
      </c>
      <c r="DO238" s="4">
        <f t="shared" si="759"/>
        <v>3.7434873846016892</v>
      </c>
      <c r="DP238" s="4">
        <f t="shared" si="760"/>
        <v>4.6997085450668452</v>
      </c>
      <c r="DQ238" s="4">
        <f t="shared" si="761"/>
        <v>5.4013905886816325</v>
      </c>
      <c r="DR238" s="38">
        <f t="shared" si="791"/>
        <v>204.53111622372472</v>
      </c>
      <c r="DS238" s="4">
        <f t="shared" si="762"/>
        <v>1.0001333760827469</v>
      </c>
      <c r="DT238" s="4">
        <f t="shared" si="763"/>
        <v>1.7335434131355643</v>
      </c>
      <c r="DU238" s="4">
        <f t="shared" si="764"/>
        <v>100.04145975392271</v>
      </c>
      <c r="DY238" s="4">
        <f t="shared" si="765"/>
        <v>0.85</v>
      </c>
      <c r="DZ238" s="4">
        <f t="shared" si="766"/>
        <v>0.98631284916201112</v>
      </c>
      <c r="EA238" s="4">
        <f t="shared" si="792"/>
        <v>1</v>
      </c>
      <c r="EB238" s="4">
        <f t="shared" si="767"/>
        <v>0.98631284916201112</v>
      </c>
      <c r="ED238" s="4">
        <f t="shared" si="793"/>
        <v>191.97380831223074</v>
      </c>
      <c r="EE238" s="25">
        <f t="shared" si="794"/>
        <v>98.098475582235665</v>
      </c>
      <c r="EG238" s="4">
        <f t="shared" si="683"/>
        <v>0.83836592178770941</v>
      </c>
      <c r="EH238" s="4">
        <f t="shared" si="795"/>
        <v>5.4914001825716072</v>
      </c>
      <c r="EK238" s="4">
        <f t="shared" si="768"/>
        <v>62.060854190253195</v>
      </c>
      <c r="EL238" s="4">
        <f t="shared" si="769"/>
        <v>1.7335434131355643</v>
      </c>
      <c r="EM238" s="4">
        <f t="shared" si="770"/>
        <v>0.11756641889341342</v>
      </c>
      <c r="EP238" s="4">
        <f t="shared" si="771"/>
        <v>0.11756641889341342</v>
      </c>
      <c r="EQ238" s="4">
        <f t="shared" si="698"/>
        <v>0.38305209176360744</v>
      </c>
      <c r="ER238" s="4">
        <f t="shared" si="772"/>
        <v>3.7409872593394851</v>
      </c>
      <c r="ES238" s="4">
        <f t="shared" si="773"/>
        <v>4.6987148155807104</v>
      </c>
      <c r="ET238" s="4">
        <f t="shared" si="774"/>
        <v>90.939145809746805</v>
      </c>
      <c r="EU238" s="4">
        <f t="shared" si="775"/>
        <v>51</v>
      </c>
      <c r="EV238" s="4">
        <f t="shared" si="699"/>
        <v>1.0277178579490715E-5</v>
      </c>
      <c r="EW238" s="4">
        <f t="shared" si="776"/>
        <v>5.4014182225230103</v>
      </c>
      <c r="EX238" s="4">
        <f t="shared" si="707"/>
        <v>204.50384030259846</v>
      </c>
      <c r="FG238" s="23">
        <f t="shared" si="804"/>
        <v>1.2</v>
      </c>
      <c r="FH238" s="23">
        <f t="shared" si="804"/>
        <v>1</v>
      </c>
      <c r="FI238" s="23">
        <f t="shared" si="805"/>
        <v>1.4</v>
      </c>
      <c r="FJ238" s="23">
        <f t="shared" si="806"/>
        <v>1.4</v>
      </c>
      <c r="FK238" s="23">
        <f t="shared" si="806"/>
        <v>1</v>
      </c>
      <c r="FL238" s="23">
        <f t="shared" si="806"/>
        <v>1.2</v>
      </c>
      <c r="FM238" s="23">
        <f t="shared" si="807"/>
        <v>0</v>
      </c>
      <c r="FN238" s="23"/>
      <c r="FX238" s="4">
        <f t="shared" si="676"/>
        <v>1</v>
      </c>
      <c r="FY238" s="4">
        <f t="shared" si="716"/>
        <v>0.73631284916201123</v>
      </c>
      <c r="FZ238" s="4">
        <f t="shared" si="677"/>
        <v>0</v>
      </c>
      <c r="GA238" s="4">
        <f t="shared" si="678"/>
        <v>153.8704681487869</v>
      </c>
    </row>
    <row r="239" spans="1:183" ht="12" customHeight="1" x14ac:dyDescent="0.3">
      <c r="A239" s="25">
        <v>221</v>
      </c>
      <c r="B239" s="24" t="s">
        <v>182</v>
      </c>
      <c r="C239" s="4">
        <v>1996</v>
      </c>
      <c r="D239" s="24" t="s">
        <v>309</v>
      </c>
      <c r="E239" s="24"/>
      <c r="F239" s="4" t="s">
        <v>355</v>
      </c>
      <c r="G239" s="7">
        <v>556</v>
      </c>
      <c r="H239" s="7">
        <f>381-P239-20</f>
        <v>285</v>
      </c>
      <c r="I239" s="7">
        <f t="shared" si="737"/>
        <v>285</v>
      </c>
      <c r="J239" s="7">
        <v>33.299999999999997</v>
      </c>
      <c r="K239" s="7">
        <v>35.799999999999997</v>
      </c>
      <c r="L239" s="7">
        <f t="shared" si="777"/>
        <v>7.9608938547486039</v>
      </c>
      <c r="M239" s="7">
        <f t="shared" si="778"/>
        <v>7.9608938547486039</v>
      </c>
      <c r="N239" s="7">
        <v>305</v>
      </c>
      <c r="O239" s="7">
        <v>76</v>
      </c>
      <c r="P239" s="7">
        <v>76</v>
      </c>
      <c r="Q239" s="7">
        <f t="shared" si="687"/>
        <v>81.400000000000006</v>
      </c>
      <c r="R239" s="7">
        <v>2</v>
      </c>
      <c r="S239" s="7">
        <f t="shared" si="684"/>
        <v>280</v>
      </c>
      <c r="T239" s="7">
        <f t="shared" si="685"/>
        <v>1.6368715083798884</v>
      </c>
      <c r="U239" s="7">
        <f t="shared" si="702"/>
        <v>2.6229050279329611</v>
      </c>
      <c r="V239" s="7">
        <f>8100/(K239^2*PI()/4)-1</f>
        <v>7.0469088920093164</v>
      </c>
      <c r="W239" s="7">
        <f>8100/(K239^2*PI()/4)-1</f>
        <v>7.0469088920093164</v>
      </c>
      <c r="X239" s="7">
        <f t="shared" si="738"/>
        <v>8.0469088920093164</v>
      </c>
      <c r="Y239" s="7">
        <f t="shared" si="739"/>
        <v>101.55412503859614</v>
      </c>
      <c r="Z239" s="7">
        <f t="shared" si="703"/>
        <v>556</v>
      </c>
      <c r="AA239" s="7">
        <v>20</v>
      </c>
      <c r="AB239" s="7">
        <f>432*1000/(K239^2*PI()/4)</f>
        <v>429.16847424049683</v>
      </c>
      <c r="AC239" s="7"/>
      <c r="AD239" s="4">
        <f t="shared" si="740"/>
        <v>1.7054171816068107</v>
      </c>
      <c r="AE239" s="7">
        <v>0</v>
      </c>
      <c r="AF239" s="7">
        <v>0</v>
      </c>
      <c r="AG239" s="7">
        <f t="shared" si="813"/>
        <v>285</v>
      </c>
      <c r="AH239" s="7"/>
      <c r="AI239" s="7"/>
      <c r="AJ239" s="7">
        <f t="shared" si="741"/>
        <v>7.2952218430034126</v>
      </c>
      <c r="AK239" s="4">
        <f t="shared" si="655"/>
        <v>285</v>
      </c>
      <c r="AL239" s="4">
        <f t="shared" si="779"/>
        <v>0.35672514619883039</v>
      </c>
      <c r="AM239" s="4">
        <f t="shared" si="780"/>
        <v>137.91245086192728</v>
      </c>
      <c r="AN239" s="4">
        <f t="shared" si="781"/>
        <v>0.76589473684210518</v>
      </c>
      <c r="AO239" s="4">
        <v>1.25</v>
      </c>
      <c r="AP239" s="4">
        <f t="shared" si="688"/>
        <v>2.5</v>
      </c>
      <c r="AQ239" s="38">
        <f t="shared" si="782"/>
        <v>117.74875065549853</v>
      </c>
      <c r="AR239" s="38">
        <f t="shared" si="783"/>
        <v>117.74875065549853</v>
      </c>
      <c r="AS239" s="38">
        <f t="shared" si="784"/>
        <v>3.1051606722149665</v>
      </c>
      <c r="AT239" s="38">
        <f t="shared" si="691"/>
        <v>117.74875065549857</v>
      </c>
      <c r="AU239" s="38">
        <f t="shared" si="674"/>
        <v>0.99999999999999967</v>
      </c>
      <c r="AV239" s="38">
        <f t="shared" si="692"/>
        <v>3.0499175093332469</v>
      </c>
      <c r="AW239" s="4">
        <f t="shared" si="693"/>
        <v>0</v>
      </c>
      <c r="AX239" s="4">
        <f t="shared" si="742"/>
        <v>241.78555384782416</v>
      </c>
      <c r="AY239" s="4">
        <f t="shared" si="743"/>
        <v>1.2409556313993173</v>
      </c>
      <c r="AZ239" s="38">
        <f t="shared" si="701"/>
        <v>359.12397632631973</v>
      </c>
      <c r="BA239" s="4">
        <f t="shared" si="744"/>
        <v>0.3</v>
      </c>
      <c r="BB239" s="4">
        <f t="shared" si="745"/>
        <v>37.899885565646429</v>
      </c>
      <c r="BC239" s="4">
        <f t="shared" si="746"/>
        <v>397.02386189196613</v>
      </c>
      <c r="BE239" s="4">
        <f t="shared" si="689"/>
        <v>1.2807262569832403</v>
      </c>
      <c r="BF239" s="4">
        <f t="shared" si="690"/>
        <v>398.22418408057655</v>
      </c>
      <c r="BH239" s="4">
        <f t="shared" si="704"/>
        <v>344.44381129745312</v>
      </c>
      <c r="BI239" s="4">
        <f t="shared" si="705"/>
        <v>490.43773856597932</v>
      </c>
      <c r="BJ239" s="4">
        <f t="shared" si="706"/>
        <v>1.4238541163465686</v>
      </c>
      <c r="BK239" s="4">
        <f t="shared" si="785"/>
        <v>47.1</v>
      </c>
      <c r="BL239" s="4">
        <f t="shared" si="786"/>
        <v>47.1</v>
      </c>
      <c r="BM239" s="4">
        <f t="shared" si="787"/>
        <v>280</v>
      </c>
      <c r="BN239" s="4">
        <f t="shared" si="788"/>
        <v>65</v>
      </c>
      <c r="BO239" s="4">
        <f t="shared" si="789"/>
        <v>1.25</v>
      </c>
      <c r="BP239" s="25">
        <f t="shared" si="790"/>
        <v>2.2695530726256985</v>
      </c>
      <c r="BR239" s="4">
        <f t="shared" si="747"/>
        <v>40.700000000000003</v>
      </c>
      <c r="BV239" s="9"/>
      <c r="BX239" s="9"/>
      <c r="BY239" s="9"/>
      <c r="BZ239" s="9">
        <f t="shared" si="748"/>
        <v>40.700000000000003</v>
      </c>
      <c r="CA239" s="9">
        <f t="shared" si="749"/>
        <v>76</v>
      </c>
      <c r="CB239" s="9">
        <f t="shared" si="694"/>
        <v>1.1709505872794554</v>
      </c>
      <c r="CC239" s="9">
        <v>0</v>
      </c>
      <c r="CD239" s="9">
        <f t="shared" si="750"/>
        <v>0</v>
      </c>
      <c r="CE239" s="9">
        <f t="shared" si="751"/>
        <v>0</v>
      </c>
      <c r="CF239" s="9">
        <f t="shared" si="752"/>
        <v>0.89787751228078194</v>
      </c>
      <c r="CG239" s="9">
        <f t="shared" si="753"/>
        <v>0.91600000000000004</v>
      </c>
      <c r="CH239" s="9">
        <f t="shared" si="695"/>
        <v>1.661126587131682</v>
      </c>
      <c r="CI239" s="9">
        <f t="shared" si="696"/>
        <v>1.9450971527473606</v>
      </c>
      <c r="CJ239" s="9">
        <v>1</v>
      </c>
      <c r="CK239" s="9">
        <f t="shared" si="697"/>
        <v>178.6446770456235</v>
      </c>
      <c r="CM239" s="4">
        <f t="shared" si="796"/>
        <v>1.7749963445318506</v>
      </c>
      <c r="CN239" s="4">
        <f t="shared" si="797"/>
        <v>1.0809639304684351</v>
      </c>
      <c r="CO239" s="4">
        <f t="shared" si="798"/>
        <v>1.0777057029606696</v>
      </c>
      <c r="CP239" s="4">
        <f t="shared" si="799"/>
        <v>2.4023580290102506</v>
      </c>
      <c r="CQ239" s="4">
        <f t="shared" si="800"/>
        <v>1.7054171816068107</v>
      </c>
      <c r="CR239" s="4">
        <f t="shared" si="801"/>
        <v>1.7084704294313242</v>
      </c>
      <c r="CS239" s="4">
        <f t="shared" si="802"/>
        <v>1.9673389851519778</v>
      </c>
      <c r="CU239" s="4">
        <f t="shared" si="729"/>
        <v>1.7749963445318506</v>
      </c>
      <c r="CV239" s="4">
        <f t="shared" si="729"/>
        <v>1.0809639304684351</v>
      </c>
      <c r="CW239" s="4">
        <f t="shared" si="730"/>
        <v>2.4023580290102506</v>
      </c>
      <c r="CX239" s="4">
        <f t="shared" si="812"/>
        <v>1.9673389851519778</v>
      </c>
      <c r="CY239" s="4">
        <f t="shared" si="732"/>
        <v>1.7054171816068107</v>
      </c>
      <c r="CZ239" s="4">
        <f t="shared" si="732"/>
        <v>1.7084704294313242</v>
      </c>
      <c r="DH239" s="4">
        <f t="shared" si="754"/>
        <v>0</v>
      </c>
      <c r="DI239" s="4">
        <f t="shared" si="755"/>
        <v>285</v>
      </c>
      <c r="DL239" s="4">
        <f t="shared" si="756"/>
        <v>1.4549897915862038E-5</v>
      </c>
      <c r="DM239" s="4">
        <f t="shared" si="757"/>
        <v>5.6551012697105509</v>
      </c>
      <c r="DN239" s="4">
        <f t="shared" si="758"/>
        <v>0.19827952194134693</v>
      </c>
      <c r="DO239" s="4">
        <f t="shared" si="759"/>
        <v>2.960407745355111</v>
      </c>
      <c r="DP239" s="4">
        <f t="shared" si="760"/>
        <v>4.5153901390049072</v>
      </c>
      <c r="DQ239" s="4">
        <f t="shared" si="761"/>
        <v>5.4900726728617038</v>
      </c>
      <c r="DR239" s="38">
        <f t="shared" si="791"/>
        <v>251.65014101484701</v>
      </c>
      <c r="DS239" s="4">
        <f t="shared" si="762"/>
        <v>1.0001197282404417</v>
      </c>
      <c r="DT239" s="4">
        <f t="shared" si="763"/>
        <v>2.8367074033127415</v>
      </c>
      <c r="DU239" s="4">
        <f t="shared" si="764"/>
        <v>117.74875065549857</v>
      </c>
      <c r="DY239" s="4">
        <f t="shared" si="765"/>
        <v>0.85</v>
      </c>
      <c r="DZ239" s="4">
        <f t="shared" si="766"/>
        <v>0.98631284916201112</v>
      </c>
      <c r="EA239" s="4">
        <f t="shared" si="792"/>
        <v>1</v>
      </c>
      <c r="EB239" s="4">
        <f t="shared" si="767"/>
        <v>0.98631284916201112</v>
      </c>
      <c r="ED239" s="4">
        <f t="shared" si="793"/>
        <v>251.2004111088703</v>
      </c>
      <c r="EE239" s="25">
        <f t="shared" si="794"/>
        <v>116.14142827081106</v>
      </c>
      <c r="EG239" s="4">
        <f t="shared" si="683"/>
        <v>0.83836592178770941</v>
      </c>
      <c r="EH239" s="4">
        <f t="shared" si="795"/>
        <v>5.6551012697105509</v>
      </c>
      <c r="EK239" s="4">
        <f t="shared" si="768"/>
        <v>101.55412503859614</v>
      </c>
      <c r="EL239" s="4">
        <f t="shared" si="769"/>
        <v>2.8367074033127415</v>
      </c>
      <c r="EM239" s="4">
        <f t="shared" si="770"/>
        <v>6.2565546914000694E-2</v>
      </c>
      <c r="EP239" s="4">
        <f t="shared" si="771"/>
        <v>6.2565546914000694E-2</v>
      </c>
      <c r="EQ239" s="4">
        <f t="shared" si="698"/>
        <v>0.19794863037350618</v>
      </c>
      <c r="ER239" s="4">
        <f t="shared" si="772"/>
        <v>2.9584306076142348</v>
      </c>
      <c r="ES239" s="4">
        <f t="shared" si="773"/>
        <v>4.51474821301841</v>
      </c>
      <c r="ET239" s="4">
        <f t="shared" si="774"/>
        <v>112.19587496140386</v>
      </c>
      <c r="EU239" s="4">
        <f t="shared" si="775"/>
        <v>71.25</v>
      </c>
      <c r="EV239" s="4">
        <f t="shared" si="699"/>
        <v>1.4549897915862038E-5</v>
      </c>
      <c r="EW239" s="4">
        <f t="shared" si="776"/>
        <v>5.4901173051039267</v>
      </c>
      <c r="EX239" s="4">
        <f t="shared" si="707"/>
        <v>251.62001499319194</v>
      </c>
      <c r="FG239" s="23">
        <f t="shared" si="804"/>
        <v>1.8</v>
      </c>
      <c r="FH239" s="23">
        <f t="shared" si="804"/>
        <v>1.2</v>
      </c>
      <c r="FI239" s="23">
        <f t="shared" si="805"/>
        <v>2</v>
      </c>
      <c r="FJ239" s="23">
        <f t="shared" si="806"/>
        <v>2.2000000000000002</v>
      </c>
      <c r="FK239" s="23">
        <f t="shared" si="806"/>
        <v>1.8</v>
      </c>
      <c r="FL239" s="23">
        <f t="shared" si="806"/>
        <v>1.8</v>
      </c>
      <c r="FM239" s="23">
        <f t="shared" si="807"/>
        <v>0</v>
      </c>
      <c r="FN239" s="23"/>
      <c r="FX239" s="4">
        <f t="shared" si="676"/>
        <v>1</v>
      </c>
      <c r="FY239" s="4">
        <f t="shared" si="716"/>
        <v>0.73631284916201123</v>
      </c>
      <c r="FZ239" s="4">
        <f t="shared" si="677"/>
        <v>0</v>
      </c>
      <c r="GA239" s="4">
        <f t="shared" si="678"/>
        <v>218.14668314893549</v>
      </c>
    </row>
    <row r="240" spans="1:183" ht="12" customHeight="1" x14ac:dyDescent="0.3">
      <c r="A240" s="25">
        <v>222</v>
      </c>
      <c r="B240" s="24" t="s">
        <v>182</v>
      </c>
      <c r="C240" s="4">
        <v>1996</v>
      </c>
      <c r="D240" s="24" t="s">
        <v>309</v>
      </c>
      <c r="E240" s="24"/>
      <c r="F240" s="4" t="s">
        <v>356</v>
      </c>
      <c r="G240" s="7">
        <v>556</v>
      </c>
      <c r="H240" s="7">
        <f>381-P240-25</f>
        <v>280</v>
      </c>
      <c r="I240" s="7">
        <f t="shared" si="737"/>
        <v>280</v>
      </c>
      <c r="J240" s="7">
        <v>33.299999999999997</v>
      </c>
      <c r="K240" s="7">
        <v>35.799999999999997</v>
      </c>
      <c r="L240" s="7">
        <f t="shared" si="777"/>
        <v>7.8212290502793298</v>
      </c>
      <c r="M240" s="7">
        <f t="shared" si="778"/>
        <v>7.8212290502793298</v>
      </c>
      <c r="N240" s="7">
        <v>305</v>
      </c>
      <c r="O240" s="7">
        <v>76</v>
      </c>
      <c r="P240" s="7">
        <v>76</v>
      </c>
      <c r="Q240" s="7">
        <f t="shared" si="687"/>
        <v>81.400000000000006</v>
      </c>
      <c r="R240" s="7">
        <v>2</v>
      </c>
      <c r="S240" s="7">
        <f t="shared" si="684"/>
        <v>280</v>
      </c>
      <c r="T240" s="7">
        <f t="shared" si="685"/>
        <v>1.6368715083798884</v>
      </c>
      <c r="U240" s="7">
        <f t="shared" si="702"/>
        <v>2.6229050279329611</v>
      </c>
      <c r="V240" s="7">
        <f>5500/(K240^2*PI()/4)-1</f>
        <v>4.4639504822285474</v>
      </c>
      <c r="W240" s="7">
        <f t="shared" si="686"/>
        <v>4.4639504822285474</v>
      </c>
      <c r="X240" s="7">
        <f t="shared" si="738"/>
        <v>5.4639504822285474</v>
      </c>
      <c r="Y240" s="7">
        <f t="shared" si="739"/>
        <v>83.682838718840046</v>
      </c>
      <c r="Z240" s="7">
        <f t="shared" si="703"/>
        <v>556</v>
      </c>
      <c r="AA240" s="7">
        <v>25</v>
      </c>
      <c r="AB240" s="7">
        <f>385*1000/(K240^2*PI()/4)</f>
        <v>382.47653375599833</v>
      </c>
      <c r="AC240" s="7"/>
      <c r="AD240" s="4">
        <f t="shared" si="740"/>
        <v>1.4957640290850434</v>
      </c>
      <c r="AE240" s="7">
        <v>0</v>
      </c>
      <c r="AF240" s="7">
        <v>0</v>
      </c>
      <c r="AG240" s="7">
        <f t="shared" si="813"/>
        <v>280</v>
      </c>
      <c r="AH240" s="7"/>
      <c r="AI240" s="7"/>
      <c r="AJ240" s="7">
        <f t="shared" si="741"/>
        <v>7.1672354948805461</v>
      </c>
      <c r="AK240" s="4">
        <f t="shared" si="655"/>
        <v>280</v>
      </c>
      <c r="AL240" s="4">
        <f t="shared" si="779"/>
        <v>0.36309523809523808</v>
      </c>
      <c r="AM240" s="4">
        <f t="shared" si="780"/>
        <v>134.2991405645605</v>
      </c>
      <c r="AN240" s="4">
        <f t="shared" si="781"/>
        <v>0.76707142857142852</v>
      </c>
      <c r="AO240" s="4">
        <v>1.25</v>
      </c>
      <c r="AP240" s="4">
        <f t="shared" si="688"/>
        <v>2.5</v>
      </c>
      <c r="AQ240" s="38">
        <f t="shared" si="782"/>
        <v>116.8906073313825</v>
      </c>
      <c r="AR240" s="38">
        <f t="shared" si="783"/>
        <v>116.8906073313825</v>
      </c>
      <c r="AS240" s="38">
        <f t="shared" si="784"/>
        <v>3.1051606722149665</v>
      </c>
      <c r="AT240" s="38">
        <f t="shared" si="691"/>
        <v>116.89060733138254</v>
      </c>
      <c r="AU240" s="38">
        <f t="shared" si="674"/>
        <v>0.99999999999999967</v>
      </c>
      <c r="AV240" s="38">
        <f t="shared" si="692"/>
        <v>2.4452605528078042</v>
      </c>
      <c r="AW240" s="4">
        <f t="shared" si="693"/>
        <v>0</v>
      </c>
      <c r="AX240" s="4">
        <f t="shared" si="742"/>
        <v>237.5437020259325</v>
      </c>
      <c r="AY240" s="4">
        <f t="shared" si="743"/>
        <v>1.2409556313993173</v>
      </c>
      <c r="AZ240" s="38">
        <f t="shared" si="701"/>
        <v>285.82799110117645</v>
      </c>
      <c r="BA240" s="4">
        <f t="shared" si="744"/>
        <v>0.37504693248800336</v>
      </c>
      <c r="BB240" s="4">
        <f t="shared" si="745"/>
        <v>46.549544215810222</v>
      </c>
      <c r="BC240" s="4">
        <f t="shared" si="746"/>
        <v>332.37753531698667</v>
      </c>
      <c r="BE240" s="4">
        <f t="shared" si="689"/>
        <v>1.2807262569832403</v>
      </c>
      <c r="BF240" s="4">
        <f t="shared" si="690"/>
        <v>395.12757300685513</v>
      </c>
      <c r="BH240" s="4">
        <f t="shared" si="704"/>
        <v>274.14399795162973</v>
      </c>
      <c r="BI240" s="4">
        <f>8/3*Z240*AA240^2/(Y240-K240-22)/K240*(Y240^2-K240^2)/(Y240^2-(K240+22)^2)</f>
        <v>1562.4220485187734</v>
      </c>
      <c r="BJ240" s="4">
        <f t="shared" si="706"/>
        <v>5.6992750532311449</v>
      </c>
      <c r="BK240" s="4">
        <f t="shared" si="785"/>
        <v>47.1</v>
      </c>
      <c r="BL240" s="4">
        <f t="shared" si="786"/>
        <v>47.1</v>
      </c>
      <c r="BM240" s="4">
        <f t="shared" si="787"/>
        <v>280</v>
      </c>
      <c r="BN240" s="4">
        <f t="shared" si="788"/>
        <v>65</v>
      </c>
      <c r="BO240" s="4">
        <f t="shared" si="789"/>
        <v>1.25</v>
      </c>
      <c r="BP240" s="25">
        <f t="shared" si="790"/>
        <v>2.2695530726256985</v>
      </c>
      <c r="BR240" s="4">
        <f t="shared" si="747"/>
        <v>40.700000000000003</v>
      </c>
      <c r="BV240" s="9"/>
      <c r="BX240" s="9"/>
      <c r="BY240" s="9"/>
      <c r="BZ240" s="9">
        <f t="shared" si="748"/>
        <v>40.700000000000003</v>
      </c>
      <c r="CA240" s="9">
        <f t="shared" si="749"/>
        <v>76</v>
      </c>
      <c r="CB240" s="9">
        <f t="shared" si="694"/>
        <v>1.1709505872794554</v>
      </c>
      <c r="CC240" s="9">
        <v>0</v>
      </c>
      <c r="CD240" s="9">
        <f t="shared" si="750"/>
        <v>0</v>
      </c>
      <c r="CE240" s="9">
        <f t="shared" si="751"/>
        <v>0</v>
      </c>
      <c r="CF240" s="9">
        <f t="shared" si="752"/>
        <v>0.89787751228078194</v>
      </c>
      <c r="CG240" s="9">
        <f t="shared" si="753"/>
        <v>0.91600000000000004</v>
      </c>
      <c r="CH240" s="9">
        <f t="shared" si="695"/>
        <v>1.661126587131682</v>
      </c>
      <c r="CI240" s="9">
        <f t="shared" si="696"/>
        <v>1.9450971527473606</v>
      </c>
      <c r="CJ240" s="9">
        <v>1</v>
      </c>
      <c r="CK240" s="9">
        <f t="shared" si="697"/>
        <v>177.55803059157469</v>
      </c>
      <c r="CM240" s="4">
        <f t="shared" si="796"/>
        <v>1.6101312326699513</v>
      </c>
      <c r="CN240" s="4">
        <f t="shared" si="797"/>
        <v>1.150729195314697</v>
      </c>
      <c r="CO240" s="4">
        <f t="shared" si="798"/>
        <v>0.96798239324432744</v>
      </c>
      <c r="CP240" s="4">
        <f t="shared" si="799"/>
        <v>2.1540931293374417</v>
      </c>
      <c r="CQ240" s="4">
        <f t="shared" si="800"/>
        <v>1.4957640290850434</v>
      </c>
      <c r="CR240" s="4">
        <f t="shared" si="801"/>
        <v>1.5425351929470028</v>
      </c>
      <c r="CS240" s="4">
        <f t="shared" si="802"/>
        <v>1.7846087148297018</v>
      </c>
      <c r="CU240" s="4">
        <f t="shared" si="729"/>
        <v>1.6101312326699513</v>
      </c>
      <c r="CV240" s="4">
        <f t="shared" si="729"/>
        <v>1.150729195314697</v>
      </c>
      <c r="CW240" s="4">
        <f t="shared" si="730"/>
        <v>2.1540931293374417</v>
      </c>
      <c r="CX240" s="4">
        <f t="shared" si="812"/>
        <v>1.7846087148297018</v>
      </c>
      <c r="CY240" s="4">
        <f t="shared" si="732"/>
        <v>1.4957640290850434</v>
      </c>
      <c r="CZ240" s="4">
        <f t="shared" si="732"/>
        <v>1.5425351929470028</v>
      </c>
      <c r="DH240" s="4">
        <f t="shared" si="754"/>
        <v>0</v>
      </c>
      <c r="DI240" s="4">
        <f t="shared" si="755"/>
        <v>280</v>
      </c>
      <c r="DL240" s="4">
        <f t="shared" si="756"/>
        <v>1.4294636548917093E-5</v>
      </c>
      <c r="DM240" s="4">
        <f t="shared" si="757"/>
        <v>5.6551012697105509</v>
      </c>
      <c r="DN240" s="4">
        <f t="shared" si="758"/>
        <v>0.25604676546069649</v>
      </c>
      <c r="DO240" s="4">
        <f t="shared" si="759"/>
        <v>3.2792015010621469</v>
      </c>
      <c r="DP240" s="4">
        <f t="shared" si="760"/>
        <v>4.6234399349920459</v>
      </c>
      <c r="DQ240" s="4">
        <f t="shared" si="761"/>
        <v>5.485274803656603</v>
      </c>
      <c r="DR240" s="38">
        <f t="shared" si="791"/>
        <v>255.70646593898817</v>
      </c>
      <c r="DS240" s="4">
        <f t="shared" si="762"/>
        <v>1.0001213385863128</v>
      </c>
      <c r="DT240" s="4">
        <f t="shared" si="763"/>
        <v>2.3375094614201131</v>
      </c>
      <c r="DU240" s="4">
        <f t="shared" si="764"/>
        <v>116.89060733138254</v>
      </c>
      <c r="DY240" s="4">
        <f t="shared" si="765"/>
        <v>0.85</v>
      </c>
      <c r="DZ240" s="4">
        <f t="shared" si="766"/>
        <v>0.98631284916201112</v>
      </c>
      <c r="EA240" s="4">
        <f t="shared" si="792"/>
        <v>1</v>
      </c>
      <c r="EB240" s="4">
        <f t="shared" si="767"/>
        <v>0.98631284916201112</v>
      </c>
      <c r="ED240" s="4">
        <f t="shared" si="793"/>
        <v>247.95319776482995</v>
      </c>
      <c r="EE240" s="25">
        <f t="shared" si="794"/>
        <v>115.26367076603489</v>
      </c>
      <c r="EG240" s="4">
        <f t="shared" si="683"/>
        <v>0.83836592178770941</v>
      </c>
      <c r="EH240" s="4">
        <f t="shared" si="795"/>
        <v>5.6551012697105509</v>
      </c>
      <c r="EK240" s="4">
        <f t="shared" si="768"/>
        <v>83.682838718840046</v>
      </c>
      <c r="EL240" s="4">
        <f t="shared" si="769"/>
        <v>2.3375094614201131</v>
      </c>
      <c r="EM240" s="4">
        <f t="shared" si="770"/>
        <v>8.0793547209318639E-2</v>
      </c>
      <c r="EP240" s="4">
        <f t="shared" si="771"/>
        <v>8.0793547209318639E-2</v>
      </c>
      <c r="EQ240" s="4">
        <f t="shared" si="698"/>
        <v>0.25561947112977262</v>
      </c>
      <c r="ER240" s="4">
        <f t="shared" si="772"/>
        <v>3.2770114537425306</v>
      </c>
      <c r="ES240" s="4">
        <f t="shared" si="773"/>
        <v>4.6226676777134283</v>
      </c>
      <c r="ET240" s="4">
        <f t="shared" si="774"/>
        <v>126.31716128115995</v>
      </c>
      <c r="EU240" s="4">
        <f t="shared" si="775"/>
        <v>69.999999999999986</v>
      </c>
      <c r="EV240" s="4">
        <f t="shared" si="699"/>
        <v>1.4294636548917086E-5</v>
      </c>
      <c r="EW240" s="4">
        <f t="shared" si="776"/>
        <v>5.4853199496251825</v>
      </c>
      <c r="EX240" s="4">
        <f t="shared" si="707"/>
        <v>255.67544264222309</v>
      </c>
      <c r="FG240" s="23">
        <f t="shared" si="804"/>
        <v>1.8</v>
      </c>
      <c r="FH240" s="23">
        <f t="shared" si="804"/>
        <v>1.2</v>
      </c>
      <c r="FI240" s="23">
        <f t="shared" si="805"/>
        <v>1.8</v>
      </c>
      <c r="FJ240" s="23">
        <f t="shared" si="806"/>
        <v>2.2000000000000002</v>
      </c>
      <c r="FK240" s="23">
        <f t="shared" si="806"/>
        <v>1.6</v>
      </c>
      <c r="FL240" s="23">
        <f t="shared" si="806"/>
        <v>1.6</v>
      </c>
      <c r="FM240" s="23">
        <f t="shared" si="807"/>
        <v>0</v>
      </c>
      <c r="FN240" s="23"/>
      <c r="FX240" s="4">
        <f t="shared" si="676"/>
        <v>1</v>
      </c>
      <c r="FY240" s="4">
        <f t="shared" si="716"/>
        <v>0.73631284916201123</v>
      </c>
      <c r="FZ240" s="4">
        <f t="shared" si="677"/>
        <v>0</v>
      </c>
      <c r="GA240" s="4">
        <f t="shared" si="678"/>
        <v>214.31954835684894</v>
      </c>
    </row>
    <row r="241" spans="1:183" ht="12" customHeight="1" x14ac:dyDescent="0.3">
      <c r="A241" s="25">
        <v>223</v>
      </c>
      <c r="B241" s="24" t="s">
        <v>182</v>
      </c>
      <c r="C241" s="4">
        <v>1996</v>
      </c>
      <c r="D241" s="24" t="s">
        <v>309</v>
      </c>
      <c r="E241" s="24"/>
      <c r="F241" s="4" t="s">
        <v>357</v>
      </c>
      <c r="G241" s="7">
        <v>578</v>
      </c>
      <c r="H241" s="7">
        <f>381-P241-18</f>
        <v>287</v>
      </c>
      <c r="I241" s="7">
        <f t="shared" si="737"/>
        <v>287</v>
      </c>
      <c r="J241" s="7">
        <v>22.1</v>
      </c>
      <c r="K241" s="7">
        <v>25.4</v>
      </c>
      <c r="L241" s="7">
        <f t="shared" si="777"/>
        <v>11.299212598425198</v>
      </c>
      <c r="M241" s="7">
        <f t="shared" si="778"/>
        <v>11.299212598425198</v>
      </c>
      <c r="N241" s="7">
        <v>305</v>
      </c>
      <c r="O241" s="7">
        <v>76</v>
      </c>
      <c r="P241" s="7">
        <v>76</v>
      </c>
      <c r="Q241" s="7">
        <f t="shared" si="687"/>
        <v>102.19999999999999</v>
      </c>
      <c r="R241" s="7">
        <v>2</v>
      </c>
      <c r="S241" s="7">
        <f t="shared" si="684"/>
        <v>280</v>
      </c>
      <c r="T241" s="7">
        <f t="shared" si="685"/>
        <v>2.5118110236220472</v>
      </c>
      <c r="U241" s="7">
        <f t="shared" si="702"/>
        <v>3.4921259842519685</v>
      </c>
      <c r="V241" s="7">
        <f>3200/(K241^2*PI()/4)-1</f>
        <v>5.3152807724479523</v>
      </c>
      <c r="W241" s="7">
        <f>3200/(K241^2*PI()/4)-1</f>
        <v>5.3152807724479523</v>
      </c>
      <c r="X241" s="7">
        <f t="shared" si="738"/>
        <v>6.3152807724479523</v>
      </c>
      <c r="Y241" s="7">
        <f t="shared" si="739"/>
        <v>63.830764864229231</v>
      </c>
      <c r="Z241" s="7">
        <f t="shared" si="703"/>
        <v>578</v>
      </c>
      <c r="AA241" s="7">
        <v>18</v>
      </c>
      <c r="AB241" s="7">
        <f>279*1000/(K241^2*PI()/4)</f>
        <v>550.61354234780583</v>
      </c>
      <c r="AC241" s="7"/>
      <c r="AD241" s="4">
        <f t="shared" si="740"/>
        <v>1.3582301682762954</v>
      </c>
      <c r="AE241" s="7">
        <v>0</v>
      </c>
      <c r="AF241" s="7">
        <v>0</v>
      </c>
      <c r="AG241" s="7">
        <f t="shared" si="813"/>
        <v>287</v>
      </c>
      <c r="AH241" s="7"/>
      <c r="AI241" s="7"/>
      <c r="AJ241" s="7">
        <f t="shared" si="741"/>
        <v>6.7476489028213171</v>
      </c>
      <c r="AK241" s="4">
        <f t="shared" si="655"/>
        <v>287</v>
      </c>
      <c r="AL241" s="4">
        <f t="shared" si="779"/>
        <v>0.35423925667828104</v>
      </c>
      <c r="AM241" s="4">
        <f t="shared" si="780"/>
        <v>225.54420427456137</v>
      </c>
      <c r="AN241" s="4">
        <f t="shared" si="781"/>
        <v>0.76181184668989543</v>
      </c>
      <c r="AO241" s="4">
        <v>1.25</v>
      </c>
      <c r="AP241" s="4">
        <f t="shared" si="688"/>
        <v>2.5</v>
      </c>
      <c r="AQ241" s="38">
        <f t="shared" si="782"/>
        <v>190.20682805032305</v>
      </c>
      <c r="AR241" s="38">
        <f t="shared" si="783"/>
        <v>190.20682805032305</v>
      </c>
      <c r="AS241" s="38">
        <f t="shared" si="784"/>
        <v>2.3625595852948513</v>
      </c>
      <c r="AT241" s="38">
        <f t="shared" si="691"/>
        <v>190.20682805032291</v>
      </c>
      <c r="AU241" s="38">
        <f t="shared" si="674"/>
        <v>1.0000000000000007</v>
      </c>
      <c r="AV241" s="38">
        <f t="shared" si="692"/>
        <v>1.5557738334432083</v>
      </c>
      <c r="AW241" s="4">
        <f t="shared" si="693"/>
        <v>0</v>
      </c>
      <c r="AX241" s="4">
        <f t="shared" si="742"/>
        <v>279.57009627077383</v>
      </c>
      <c r="AY241" s="4">
        <f t="shared" si="743"/>
        <v>1.1561128526645768</v>
      </c>
      <c r="AZ241" s="38">
        <f t="shared" si="701"/>
        <v>295.91880602292406</v>
      </c>
      <c r="BA241" s="4">
        <f t="shared" si="744"/>
        <v>0.3</v>
      </c>
      <c r="BB241" s="4">
        <f t="shared" si="745"/>
        <v>43.822612590443811</v>
      </c>
      <c r="BC241" s="4">
        <f t="shared" si="746"/>
        <v>339.74141861336784</v>
      </c>
      <c r="BE241" s="4">
        <f t="shared" si="689"/>
        <v>1.4980314960629921</v>
      </c>
      <c r="BF241" s="4">
        <f t="shared" si="690"/>
        <v>449.98898650663324</v>
      </c>
      <c r="BH241" s="4">
        <f t="shared" si="704"/>
        <v>283.82232348783879</v>
      </c>
      <c r="BI241" s="4">
        <f>8/3*Z241*AA241^2/(Y241-K241-22)/K241*(Y241^2-K241^2)/(Y241^2-(K241+22)^2)</f>
        <v>2245.2309649218914</v>
      </c>
      <c r="BJ241" s="4">
        <f t="shared" si="706"/>
        <v>7.9106919333570147</v>
      </c>
      <c r="BK241" s="4">
        <f t="shared" si="785"/>
        <v>57.499999999999993</v>
      </c>
      <c r="BL241" s="4">
        <f t="shared" si="786"/>
        <v>57.499999999999993</v>
      </c>
      <c r="BM241" s="4">
        <f t="shared" si="787"/>
        <v>280</v>
      </c>
      <c r="BN241" s="4">
        <f t="shared" si="788"/>
        <v>70.199999999999989</v>
      </c>
      <c r="BO241" s="4">
        <f t="shared" si="789"/>
        <v>1.25</v>
      </c>
      <c r="BP241" s="25">
        <f t="shared" si="790"/>
        <v>3.4547244094488185</v>
      </c>
      <c r="BR241" s="4">
        <f t="shared" si="747"/>
        <v>51.099999999999994</v>
      </c>
      <c r="BV241" s="9"/>
      <c r="BX241" s="9"/>
      <c r="BY241" s="9"/>
      <c r="BZ241" s="9">
        <f t="shared" si="748"/>
        <v>51.099999999999994</v>
      </c>
      <c r="CA241" s="9">
        <f t="shared" si="749"/>
        <v>76</v>
      </c>
      <c r="CB241" s="9">
        <f t="shared" si="694"/>
        <v>1.5054020239149992</v>
      </c>
      <c r="CC241" s="9">
        <v>0</v>
      </c>
      <c r="CD241" s="9">
        <f t="shared" si="750"/>
        <v>0</v>
      </c>
      <c r="CE241" s="9">
        <f t="shared" si="751"/>
        <v>0</v>
      </c>
      <c r="CF241" s="9">
        <f t="shared" si="752"/>
        <v>0.99524931562137331</v>
      </c>
      <c r="CG241" s="9">
        <f t="shared" si="753"/>
        <v>0.88300000000000001</v>
      </c>
      <c r="CH241" s="9">
        <f t="shared" si="695"/>
        <v>1.4459616423243864</v>
      </c>
      <c r="CI241" s="9">
        <f t="shared" si="696"/>
        <v>2.1767535828585873</v>
      </c>
      <c r="CJ241" s="9">
        <v>1</v>
      </c>
      <c r="CK241" s="9">
        <f t="shared" si="697"/>
        <v>228.987620999927</v>
      </c>
      <c r="CM241" s="4">
        <f t="shared" si="796"/>
        <v>1.9695008503860747</v>
      </c>
      <c r="CN241" s="4">
        <f t="shared" si="797"/>
        <v>1.6206841797361613</v>
      </c>
      <c r="CO241" s="4">
        <f t="shared" si="798"/>
        <v>1.223615596955703</v>
      </c>
      <c r="CP241" s="4">
        <f t="shared" si="799"/>
        <v>2.4045559316413061</v>
      </c>
      <c r="CQ241" s="4">
        <f t="shared" si="800"/>
        <v>1.3582301682762954</v>
      </c>
      <c r="CR241" s="4">
        <f t="shared" si="801"/>
        <v>1.4530735737887628</v>
      </c>
      <c r="CS241" s="4">
        <f t="shared" si="802"/>
        <v>1.4623838231453203</v>
      </c>
      <c r="CU241" s="4">
        <f t="shared" si="729"/>
        <v>1.9695008503860747</v>
      </c>
      <c r="CV241" s="4">
        <f t="shared" si="729"/>
        <v>1.6206841797361613</v>
      </c>
      <c r="CW241" s="4">
        <f t="shared" si="730"/>
        <v>2.4045559316413061</v>
      </c>
      <c r="CX241" s="4">
        <f t="shared" si="812"/>
        <v>1.4623838231453203</v>
      </c>
      <c r="CY241" s="4">
        <f t="shared" si="732"/>
        <v>1.3582301682762954</v>
      </c>
      <c r="CZ241" s="4">
        <f t="shared" si="732"/>
        <v>1.4530735737887628</v>
      </c>
      <c r="DH241" s="4">
        <f t="shared" si="754"/>
        <v>0</v>
      </c>
      <c r="DI241" s="4">
        <f t="shared" si="755"/>
        <v>287</v>
      </c>
      <c r="DL241" s="4">
        <f t="shared" si="756"/>
        <v>1.9021932517031272E-5</v>
      </c>
      <c r="DM241" s="4">
        <f t="shared" si="757"/>
        <v>5.6171289413727514</v>
      </c>
      <c r="DN241" s="4">
        <f t="shared" si="758"/>
        <v>0.40216525231214639</v>
      </c>
      <c r="DO241" s="4">
        <f t="shared" si="759"/>
        <v>3.9019006831634799</v>
      </c>
      <c r="DP241" s="4">
        <f t="shared" si="760"/>
        <v>4.8364058609445459</v>
      </c>
      <c r="DQ241" s="4">
        <f t="shared" si="761"/>
        <v>5.3662694517765832</v>
      </c>
      <c r="DR241" s="38">
        <f t="shared" si="791"/>
        <v>405.39045237566711</v>
      </c>
      <c r="DS241" s="4">
        <f t="shared" si="762"/>
        <v>1.0001244351707343</v>
      </c>
      <c r="DT241" s="4">
        <f t="shared" si="763"/>
        <v>2.5130222387491825</v>
      </c>
      <c r="DU241" s="4">
        <f t="shared" si="764"/>
        <v>190.20682805032291</v>
      </c>
      <c r="DY241" s="4">
        <f t="shared" si="765"/>
        <v>0.85</v>
      </c>
      <c r="DZ241" s="4">
        <f t="shared" si="766"/>
        <v>0.89881889763779532</v>
      </c>
      <c r="EA241" s="4">
        <f t="shared" si="792"/>
        <v>1</v>
      </c>
      <c r="EB241" s="4">
        <f t="shared" si="767"/>
        <v>0.89881889763779532</v>
      </c>
      <c r="ED241" s="4">
        <f t="shared" si="793"/>
        <v>378.93025671929945</v>
      </c>
      <c r="EE241" s="25">
        <f t="shared" si="794"/>
        <v>188.52285441528608</v>
      </c>
      <c r="EG241" s="4">
        <f t="shared" si="683"/>
        <v>0.76399606299212597</v>
      </c>
      <c r="EH241" s="4">
        <f t="shared" si="795"/>
        <v>5.6171289413727514</v>
      </c>
      <c r="EK241" s="4">
        <f t="shared" si="768"/>
        <v>63.830764864229231</v>
      </c>
      <c r="EL241" s="4">
        <f t="shared" si="769"/>
        <v>2.5130222387491825</v>
      </c>
      <c r="EM241" s="4">
        <f t="shared" si="770"/>
        <v>0.10337986159960641</v>
      </c>
      <c r="EP241" s="4">
        <f t="shared" si="771"/>
        <v>0.10337986159960641</v>
      </c>
      <c r="EQ241" s="4">
        <f t="shared" si="698"/>
        <v>0.40149411345945146</v>
      </c>
      <c r="ER241" s="4">
        <f t="shared" si="772"/>
        <v>3.8992947600051124</v>
      </c>
      <c r="ES241" s="4">
        <f t="shared" si="773"/>
        <v>4.8353564860443772</v>
      </c>
      <c r="ET241" s="4">
        <f t="shared" si="774"/>
        <v>151.41923513577078</v>
      </c>
      <c r="EU241" s="4">
        <f t="shared" si="775"/>
        <v>71.75</v>
      </c>
      <c r="EV241" s="4">
        <f t="shared" si="699"/>
        <v>1.9021932517031272E-5</v>
      </c>
      <c r="EW241" s="4">
        <f t="shared" si="776"/>
        <v>5.3663384245478616</v>
      </c>
      <c r="EX241" s="4">
        <f t="shared" si="707"/>
        <v>405.34001382184169</v>
      </c>
      <c r="FG241" s="23">
        <f t="shared" si="804"/>
        <v>2</v>
      </c>
      <c r="FH241" s="23">
        <f t="shared" si="804"/>
        <v>1.8</v>
      </c>
      <c r="FI241" s="23">
        <f t="shared" si="805"/>
        <v>1.6</v>
      </c>
      <c r="FJ241" s="23">
        <f t="shared" si="806"/>
        <v>2.2000000000000002</v>
      </c>
      <c r="FK241" s="23">
        <f t="shared" si="806"/>
        <v>1.4</v>
      </c>
      <c r="FL241" s="23">
        <f t="shared" si="806"/>
        <v>1.6</v>
      </c>
      <c r="FM241" s="23">
        <f t="shared" si="807"/>
        <v>0</v>
      </c>
      <c r="FN241" s="23"/>
      <c r="FX241" s="4">
        <f t="shared" si="676"/>
        <v>1</v>
      </c>
      <c r="FY241" s="4">
        <f t="shared" si="716"/>
        <v>0.64881889763779532</v>
      </c>
      <c r="FZ241" s="4">
        <f t="shared" si="677"/>
        <v>0</v>
      </c>
      <c r="GA241" s="4">
        <f t="shared" si="678"/>
        <v>376.51780171059107</v>
      </c>
    </row>
    <row r="242" spans="1:183" ht="12" customHeight="1" x14ac:dyDescent="0.3">
      <c r="A242" s="25">
        <v>224</v>
      </c>
      <c r="B242" s="24" t="s">
        <v>182</v>
      </c>
      <c r="C242" s="4">
        <v>1996</v>
      </c>
      <c r="D242" s="24" t="s">
        <v>309</v>
      </c>
      <c r="E242" s="24"/>
      <c r="F242" s="4" t="s">
        <v>358</v>
      </c>
      <c r="G242" s="7">
        <v>556</v>
      </c>
      <c r="H242" s="7">
        <f>305-P242-20</f>
        <v>209</v>
      </c>
      <c r="I242" s="7">
        <f t="shared" si="737"/>
        <v>209</v>
      </c>
      <c r="J242" s="7">
        <v>33.299999999999997</v>
      </c>
      <c r="K242" s="7">
        <v>35.799999999999997</v>
      </c>
      <c r="L242" s="7">
        <f t="shared" si="777"/>
        <v>5.8379888268156428</v>
      </c>
      <c r="M242" s="7">
        <f t="shared" si="778"/>
        <v>5.8379888268156428</v>
      </c>
      <c r="N242" s="7">
        <v>305</v>
      </c>
      <c r="O242" s="7">
        <v>76</v>
      </c>
      <c r="P242" s="7">
        <v>76</v>
      </c>
      <c r="Q242" s="7">
        <f t="shared" si="687"/>
        <v>81.400000000000006</v>
      </c>
      <c r="R242" s="7">
        <v>2</v>
      </c>
      <c r="S242" s="7">
        <f t="shared" si="684"/>
        <v>280</v>
      </c>
      <c r="T242" s="7">
        <f t="shared" si="685"/>
        <v>1.6368715083798884</v>
      </c>
      <c r="U242" s="7">
        <f>O242/K242+0.5</f>
        <v>2.6229050279329611</v>
      </c>
      <c r="V242" s="7">
        <f>3844/(K242^2*PI()/4)-1</f>
        <v>2.8188046643066431</v>
      </c>
      <c r="W242" s="7">
        <f>3844/(K242^2*PI()/4)-1</f>
        <v>2.8188046643066431</v>
      </c>
      <c r="X242" s="7">
        <f t="shared" si="738"/>
        <v>3.8188046643066431</v>
      </c>
      <c r="Y242" s="7">
        <f t="shared" si="739"/>
        <v>69.95950835992177</v>
      </c>
      <c r="Z242" s="7">
        <f t="shared" si="703"/>
        <v>556</v>
      </c>
      <c r="AA242" s="7">
        <v>20</v>
      </c>
      <c r="AB242" s="7"/>
      <c r="AC242" s="32" t="s">
        <v>183</v>
      </c>
      <c r="AD242" s="4">
        <f t="shared" si="740"/>
        <v>0</v>
      </c>
      <c r="AE242" s="7">
        <v>0</v>
      </c>
      <c r="AF242" s="7">
        <v>0</v>
      </c>
      <c r="AG242" s="7">
        <f t="shared" si="813"/>
        <v>209</v>
      </c>
      <c r="AH242" s="7"/>
      <c r="AI242" s="7"/>
      <c r="AJ242" s="7">
        <f t="shared" si="741"/>
        <v>5.3498293515358357</v>
      </c>
      <c r="AK242" s="4">
        <f t="shared" si="655"/>
        <v>209</v>
      </c>
      <c r="AL242" s="4">
        <f t="shared" si="779"/>
        <v>0.48644338118022329</v>
      </c>
      <c r="AM242" s="4">
        <f t="shared" si="780"/>
        <v>86.607522555408934</v>
      </c>
      <c r="AN242" s="4">
        <f t="shared" si="781"/>
        <v>0.78985645933014348</v>
      </c>
      <c r="AO242" s="4">
        <v>1.25</v>
      </c>
      <c r="AP242" s="4">
        <f t="shared" si="688"/>
        <v>2.5</v>
      </c>
      <c r="AQ242" s="38">
        <f t="shared" si="782"/>
        <v>103.98869064332192</v>
      </c>
      <c r="AR242" s="38">
        <f t="shared" si="783"/>
        <v>103.98869064332192</v>
      </c>
      <c r="AS242" s="38">
        <f t="shared" si="784"/>
        <v>3.1051606722149665</v>
      </c>
      <c r="AT242" s="38">
        <f t="shared" si="691"/>
        <v>103.98869064332189</v>
      </c>
      <c r="AU242" s="38">
        <f t="shared" si="674"/>
        <v>1.0000000000000002</v>
      </c>
      <c r="AV242" s="38">
        <f t="shared" si="692"/>
        <v>2.1841952262281148</v>
      </c>
      <c r="AW242" s="4">
        <f t="shared" si="693"/>
        <v>0</v>
      </c>
      <c r="AX242" s="4">
        <f t="shared" si="742"/>
        <v>177.30940615507106</v>
      </c>
      <c r="AY242" s="4">
        <f t="shared" si="743"/>
        <v>1.2409556313993173</v>
      </c>
      <c r="AZ242" s="38">
        <f t="shared" si="701"/>
        <v>227.13160168485589</v>
      </c>
      <c r="BA242" s="4">
        <f t="shared" si="744"/>
        <v>0.60536734699706995</v>
      </c>
      <c r="BB242" s="4">
        <f t="shared" si="745"/>
        <v>56.083752208899391</v>
      </c>
      <c r="BC242" s="4">
        <f t="shared" si="746"/>
        <v>283.21535389375526</v>
      </c>
      <c r="BE242" s="4">
        <f t="shared" si="689"/>
        <v>1.2807262569832403</v>
      </c>
      <c r="BF242" s="4">
        <f t="shared" si="690"/>
        <v>351.1556957600107</v>
      </c>
      <c r="BH242" s="4">
        <f t="shared" si="704"/>
        <v>217.84698240069329</v>
      </c>
      <c r="BI242" s="4">
        <f t="shared" si="705"/>
        <v>3168.2997281821408</v>
      </c>
      <c r="BJ242" s="4">
        <f t="shared" si="706"/>
        <v>14.543693436866526</v>
      </c>
      <c r="BK242" s="4">
        <f t="shared" si="785"/>
        <v>47.1</v>
      </c>
      <c r="BL242" s="4">
        <f t="shared" si="786"/>
        <v>47.1</v>
      </c>
      <c r="BM242" s="4">
        <f t="shared" si="787"/>
        <v>280</v>
      </c>
      <c r="BN242" s="4">
        <f t="shared" si="788"/>
        <v>65</v>
      </c>
      <c r="BO242" s="4">
        <f t="shared" si="789"/>
        <v>1.25</v>
      </c>
      <c r="BP242" s="25">
        <f t="shared" si="790"/>
        <v>2.2695530726256985</v>
      </c>
      <c r="BR242" s="4">
        <f t="shared" si="747"/>
        <v>40.700000000000003</v>
      </c>
      <c r="BV242" s="9"/>
      <c r="BX242" s="9"/>
      <c r="BY242" s="9"/>
      <c r="BZ242" s="9">
        <f t="shared" si="748"/>
        <v>40.700000000000003</v>
      </c>
      <c r="CA242" s="9">
        <f t="shared" si="749"/>
        <v>76</v>
      </c>
      <c r="CB242" s="9">
        <f t="shared" si="694"/>
        <v>1.1709505872794554</v>
      </c>
      <c r="CC242" s="9">
        <v>0</v>
      </c>
      <c r="CD242" s="9">
        <f t="shared" si="750"/>
        <v>0</v>
      </c>
      <c r="CE242" s="9">
        <f t="shared" si="751"/>
        <v>0</v>
      </c>
      <c r="CF242" s="9">
        <f t="shared" si="752"/>
        <v>0.89787751228078194</v>
      </c>
      <c r="CG242" s="9">
        <f t="shared" si="753"/>
        <v>0.91600000000000004</v>
      </c>
      <c r="CH242" s="9">
        <f t="shared" si="695"/>
        <v>1.661126587131682</v>
      </c>
      <c r="CI242" s="9">
        <f t="shared" si="696"/>
        <v>1.9450971527473606</v>
      </c>
      <c r="CJ242" s="9">
        <v>1</v>
      </c>
      <c r="CK242" s="9">
        <f t="shared" si="697"/>
        <v>162.12765094408167</v>
      </c>
      <c r="DH242" s="4">
        <f t="shared" si="754"/>
        <v>0</v>
      </c>
      <c r="DI242" s="4">
        <f t="shared" si="755"/>
        <v>209</v>
      </c>
      <c r="DL242" s="4">
        <f t="shared" si="756"/>
        <v>1.0669925138298828E-5</v>
      </c>
      <c r="DM242" s="4">
        <f t="shared" si="757"/>
        <v>5.6551012697105509</v>
      </c>
      <c r="DN242" s="4">
        <f t="shared" si="758"/>
        <v>0.30157165572085265</v>
      </c>
      <c r="DO242" s="4">
        <f t="shared" si="759"/>
        <v>3.5010361467581061</v>
      </c>
      <c r="DP242" s="4">
        <f t="shared" si="760"/>
        <v>4.7037119022476839</v>
      </c>
      <c r="DQ242" s="4">
        <f t="shared" si="761"/>
        <v>5.5587522742613205</v>
      </c>
      <c r="DR242" s="38">
        <f t="shared" si="791"/>
        <v>209.42031549662136</v>
      </c>
      <c r="DS242" s="4">
        <f t="shared" si="762"/>
        <v>1.0001266283648229</v>
      </c>
      <c r="DT242" s="4">
        <f t="shared" si="763"/>
        <v>1.9541762111709993</v>
      </c>
      <c r="DU242" s="4">
        <f t="shared" si="764"/>
        <v>103.98869064332189</v>
      </c>
      <c r="DY242" s="4">
        <f t="shared" si="765"/>
        <v>0.85</v>
      </c>
      <c r="DZ242" s="4">
        <f t="shared" si="766"/>
        <v>0.98631284916201112</v>
      </c>
      <c r="EA242" s="4">
        <f t="shared" si="792"/>
        <v>1</v>
      </c>
      <c r="EB242" s="4">
        <f t="shared" si="767"/>
        <v>0.98631284916201112</v>
      </c>
      <c r="ED242" s="4">
        <f t="shared" si="793"/>
        <v>201.06128380235231</v>
      </c>
      <c r="EE242" s="25">
        <f t="shared" si="794"/>
        <v>102.01802972110887</v>
      </c>
      <c r="EG242" s="4">
        <f t="shared" si="683"/>
        <v>0.83836592178770941</v>
      </c>
      <c r="EH242" s="4">
        <f t="shared" si="795"/>
        <v>5.6551012697105509</v>
      </c>
      <c r="EK242" s="4">
        <f t="shared" si="768"/>
        <v>69.95950835992177</v>
      </c>
      <c r="EL242" s="4">
        <f t="shared" si="769"/>
        <v>1.9541762111709995</v>
      </c>
      <c r="EM242" s="4">
        <f t="shared" si="770"/>
        <v>9.5158569020139236E-2</v>
      </c>
      <c r="EP242" s="4">
        <f t="shared" si="771"/>
        <v>9.5158569020139236E-2</v>
      </c>
      <c r="EQ242" s="4">
        <f t="shared" si="698"/>
        <v>0.30106838883277071</v>
      </c>
      <c r="ER242" s="4">
        <f t="shared" si="772"/>
        <v>3.4986979449651985</v>
      </c>
      <c r="ES242" s="4">
        <f t="shared" si="773"/>
        <v>4.7028450718644867</v>
      </c>
      <c r="ET242" s="4">
        <f t="shared" si="774"/>
        <v>86.79049164007823</v>
      </c>
      <c r="EU242" s="4">
        <f t="shared" si="775"/>
        <v>52.250000000000014</v>
      </c>
      <c r="EV242" s="4">
        <f t="shared" si="699"/>
        <v>1.0669925138298833E-5</v>
      </c>
      <c r="EW242" s="4">
        <f t="shared" si="776"/>
        <v>5.5587810032929781</v>
      </c>
      <c r="EX242" s="4">
        <f t="shared" si="707"/>
        <v>209.39380030208503</v>
      </c>
      <c r="FG242" s="23"/>
      <c r="FH242" s="23"/>
      <c r="FI242" s="23"/>
      <c r="FJ242" s="23"/>
      <c r="FK242" s="23"/>
      <c r="FL242" s="23"/>
      <c r="FM242" s="23"/>
      <c r="FN242" s="23"/>
      <c r="FX242" s="4">
        <f t="shared" si="676"/>
        <v>1</v>
      </c>
      <c r="FY242" s="4">
        <f t="shared" si="716"/>
        <v>0.73631284916201123</v>
      </c>
      <c r="FZ242" s="4">
        <f t="shared" si="677"/>
        <v>0</v>
      </c>
      <c r="GA242" s="4">
        <f t="shared" si="678"/>
        <v>159.97423430921936</v>
      </c>
    </row>
    <row r="243" spans="1:183" ht="12" customHeight="1" x14ac:dyDescent="0.3">
      <c r="A243" s="25">
        <v>225</v>
      </c>
      <c r="B243" s="24" t="s">
        <v>182</v>
      </c>
      <c r="C243" s="4">
        <v>1996</v>
      </c>
      <c r="D243" s="24" t="s">
        <v>309</v>
      </c>
      <c r="E243" s="24"/>
      <c r="F243" s="4" t="s">
        <v>359</v>
      </c>
      <c r="G243" s="7">
        <v>578</v>
      </c>
      <c r="H243" s="7">
        <f>305-P243-25</f>
        <v>204</v>
      </c>
      <c r="I243" s="7">
        <f t="shared" si="737"/>
        <v>204</v>
      </c>
      <c r="J243" s="7">
        <v>33.299999999999997</v>
      </c>
      <c r="K243" s="7">
        <v>25.4</v>
      </c>
      <c r="L243" s="7">
        <f t="shared" si="777"/>
        <v>8.0314960629921259</v>
      </c>
      <c r="M243" s="7">
        <f t="shared" si="778"/>
        <v>8.0314960629921259</v>
      </c>
      <c r="N243" s="7">
        <v>305</v>
      </c>
      <c r="O243" s="7">
        <v>76</v>
      </c>
      <c r="P243" s="7">
        <v>76</v>
      </c>
      <c r="Q243" s="7">
        <f t="shared" si="687"/>
        <v>102.19999999999999</v>
      </c>
      <c r="R243" s="7">
        <v>2</v>
      </c>
      <c r="S243" s="7">
        <f t="shared" si="684"/>
        <v>280</v>
      </c>
      <c r="T243" s="7">
        <f t="shared" si="685"/>
        <v>2.5118110236220472</v>
      </c>
      <c r="U243" s="7">
        <f t="shared" si="702"/>
        <v>3.4921259842519685</v>
      </c>
      <c r="V243" s="7">
        <f>3800/(K243^2*PI()/4)-1</f>
        <v>6.4993959172819435</v>
      </c>
      <c r="W243" s="7">
        <f>3800/(K243^2*PI()/4)-1</f>
        <v>6.4993959172819435</v>
      </c>
      <c r="X243" s="7">
        <f t="shared" si="738"/>
        <v>7.4993959172819435</v>
      </c>
      <c r="Y243" s="7">
        <f t="shared" si="739"/>
        <v>69.557963383020478</v>
      </c>
      <c r="Z243" s="7">
        <f t="shared" si="703"/>
        <v>578</v>
      </c>
      <c r="AA243" s="7">
        <v>25</v>
      </c>
      <c r="AB243" s="7">
        <f>216*1000/(K243^2*PI()/4)</f>
        <v>426.28145214023681</v>
      </c>
      <c r="AC243" s="7"/>
      <c r="AD243" s="4">
        <f t="shared" si="740"/>
        <v>1.1369631936734077</v>
      </c>
      <c r="AE243" s="7">
        <v>0</v>
      </c>
      <c r="AF243" s="7">
        <v>0</v>
      </c>
      <c r="AG243" s="7">
        <f t="shared" si="813"/>
        <v>204</v>
      </c>
      <c r="AH243" s="7"/>
      <c r="AI243" s="7"/>
      <c r="AJ243" s="7">
        <f t="shared" si="741"/>
        <v>4.7962382445141065</v>
      </c>
      <c r="AK243" s="4">
        <f t="shared" si="655"/>
        <v>204</v>
      </c>
      <c r="AL243" s="4">
        <f t="shared" si="779"/>
        <v>0.49836601307189543</v>
      </c>
      <c r="AM243" s="4">
        <f t="shared" si="780"/>
        <v>165.91286301077704</v>
      </c>
      <c r="AN243" s="4">
        <f t="shared" si="781"/>
        <v>0.7869607843137254</v>
      </c>
      <c r="AO243" s="4">
        <v>1.25</v>
      </c>
      <c r="AP243" s="4">
        <f t="shared" si="688"/>
        <v>2.5</v>
      </c>
      <c r="AQ243" s="38">
        <f t="shared" si="782"/>
        <v>203.34410551890588</v>
      </c>
      <c r="AR243" s="38">
        <f t="shared" si="783"/>
        <v>203.34410551890588</v>
      </c>
      <c r="AS243" s="38">
        <f t="shared" si="784"/>
        <v>3.1051606722149665</v>
      </c>
      <c r="AT243" s="38">
        <f t="shared" si="691"/>
        <v>203.34410551890599</v>
      </c>
      <c r="AU243" s="38">
        <f t="shared" si="674"/>
        <v>0.99999999999999944</v>
      </c>
      <c r="AV243" s="38">
        <f t="shared" si="692"/>
        <v>2.4247464351615653</v>
      </c>
      <c r="AW243" s="4">
        <f t="shared" si="693"/>
        <v>0</v>
      </c>
      <c r="AX243" s="4">
        <f t="shared" si="742"/>
        <v>243.92986004440246</v>
      </c>
      <c r="AY243" s="4">
        <f t="shared" si="743"/>
        <v>1.1561128526645768</v>
      </c>
      <c r="AZ243" s="38">
        <f t="shared" si="701"/>
        <v>493.05789496808444</v>
      </c>
      <c r="BA243" s="4">
        <f t="shared" si="744"/>
        <v>0.3</v>
      </c>
      <c r="BB243" s="4">
        <f t="shared" si="745"/>
        <v>38.236005561960084</v>
      </c>
      <c r="BC243" s="4">
        <f t="shared" si="746"/>
        <v>531.29390053004454</v>
      </c>
      <c r="BE243" s="4">
        <f t="shared" si="689"/>
        <v>1.4980314960629921</v>
      </c>
      <c r="BF243" s="4">
        <f t="shared" si="690"/>
        <v>467.62322998001468</v>
      </c>
      <c r="BH243" s="4">
        <f t="shared" si="704"/>
        <v>472.90281832586072</v>
      </c>
      <c r="BI243" s="4">
        <f t="shared" si="705"/>
        <v>2769.4518574340823</v>
      </c>
      <c r="BJ243" s="4">
        <f t="shared" si="706"/>
        <v>5.8562811430016692</v>
      </c>
      <c r="BK243" s="4">
        <f t="shared" si="785"/>
        <v>57.499999999999993</v>
      </c>
      <c r="BL243" s="4">
        <f t="shared" si="786"/>
        <v>57.499999999999993</v>
      </c>
      <c r="BM243" s="4">
        <f t="shared" si="787"/>
        <v>280</v>
      </c>
      <c r="BN243" s="4">
        <f t="shared" si="788"/>
        <v>70.199999999999989</v>
      </c>
      <c r="BO243" s="4">
        <f t="shared" si="789"/>
        <v>1.25</v>
      </c>
      <c r="BP243" s="25">
        <f t="shared" si="790"/>
        <v>3.4547244094488185</v>
      </c>
      <c r="BR243" s="4">
        <f t="shared" si="747"/>
        <v>51.099999999999994</v>
      </c>
      <c r="BV243" s="9"/>
      <c r="BX243" s="9"/>
      <c r="BY243" s="9"/>
      <c r="BZ243" s="9">
        <f t="shared" si="748"/>
        <v>51.099999999999994</v>
      </c>
      <c r="CA243" s="9">
        <f t="shared" si="749"/>
        <v>76</v>
      </c>
      <c r="CB243" s="9">
        <f t="shared" si="694"/>
        <v>1.5054020239149992</v>
      </c>
      <c r="CC243" s="9">
        <v>0</v>
      </c>
      <c r="CD243" s="9">
        <f t="shared" si="750"/>
        <v>0</v>
      </c>
      <c r="CE243" s="9">
        <f t="shared" si="751"/>
        <v>0</v>
      </c>
      <c r="CF243" s="9">
        <f t="shared" si="752"/>
        <v>0.99524931562137331</v>
      </c>
      <c r="CG243" s="9">
        <f t="shared" si="753"/>
        <v>0.88300000000000001</v>
      </c>
      <c r="CH243" s="9">
        <f t="shared" si="695"/>
        <v>1.7749362217430373</v>
      </c>
      <c r="CI243" s="9">
        <f t="shared" si="696"/>
        <v>2.6719925805320104</v>
      </c>
      <c r="CJ243" s="9">
        <v>1</v>
      </c>
      <c r="CK243" s="9">
        <f t="shared" si="697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814">AB243/BF243</f>
        <v>0.91159169350602032</v>
      </c>
      <c r="CP243" s="4">
        <f>AB243/CK243</f>
        <v>1.7317254832977322</v>
      </c>
      <c r="CQ243" s="4">
        <f t="shared" si="800"/>
        <v>1.1369631936734077</v>
      </c>
      <c r="CR243" s="4">
        <f t="shared" si="801"/>
        <v>1.162098744070923</v>
      </c>
      <c r="CS243" s="4">
        <f t="shared" ref="CS243:CS306" si="815">AB243/GA243</f>
        <v>1.4376383901517891</v>
      </c>
      <c r="CU243" s="4">
        <f t="shared" si="729"/>
        <v>1.7475574825592937</v>
      </c>
      <c r="CV243" s="4">
        <f t="shared" si="729"/>
        <v>0.8023458423199622</v>
      </c>
      <c r="CW243" s="4">
        <f t="shared" si="730"/>
        <v>1.7317254832977322</v>
      </c>
      <c r="CX243" s="4">
        <f t="shared" ref="CX243" si="816">CS243</f>
        <v>1.4376383901517891</v>
      </c>
      <c r="CY243" s="4">
        <f t="shared" si="732"/>
        <v>1.1369631936734077</v>
      </c>
      <c r="CZ243" s="4">
        <f t="shared" si="732"/>
        <v>1.162098744070923</v>
      </c>
      <c r="DH243" s="4">
        <f t="shared" si="754"/>
        <v>0</v>
      </c>
      <c r="DI243" s="4">
        <f t="shared" si="755"/>
        <v>204</v>
      </c>
      <c r="DL243" s="4">
        <f t="shared" si="756"/>
        <v>1.4678935551750747E-5</v>
      </c>
      <c r="DM243" s="4">
        <f t="shared" si="757"/>
        <v>6.8950968880590437</v>
      </c>
      <c r="DN243" s="4">
        <f t="shared" si="758"/>
        <v>0.25428930524237559</v>
      </c>
      <c r="DO243" s="4">
        <f t="shared" si="759"/>
        <v>3.9872329649554095</v>
      </c>
      <c r="DP243" s="4">
        <f t="shared" si="760"/>
        <v>5.6333472301811316</v>
      </c>
      <c r="DQ243" s="4">
        <f t="shared" si="761"/>
        <v>6.7091720926999621</v>
      </c>
      <c r="DR243" s="38">
        <f t="shared" si="791"/>
        <v>374.92986097726396</v>
      </c>
      <c r="DS243" s="4">
        <f t="shared" si="762"/>
        <v>1.0001095148019092</v>
      </c>
      <c r="DT243" s="4">
        <f t="shared" si="763"/>
        <v>2.7385024953945072</v>
      </c>
      <c r="DU243" s="4">
        <f t="shared" si="764"/>
        <v>203.34410551890599</v>
      </c>
      <c r="DY243" s="4">
        <f t="shared" si="765"/>
        <v>0.85</v>
      </c>
      <c r="DZ243" s="4">
        <f t="shared" si="766"/>
        <v>0.89881889763779532</v>
      </c>
      <c r="EA243" s="4">
        <f t="shared" si="792"/>
        <v>1</v>
      </c>
      <c r="EB243" s="4">
        <f t="shared" si="767"/>
        <v>0.89881889763779532</v>
      </c>
      <c r="ED243" s="4">
        <f t="shared" si="793"/>
        <v>366.82033632266007</v>
      </c>
      <c r="EE243" s="25">
        <f t="shared" si="794"/>
        <v>200.68650579147365</v>
      </c>
      <c r="EG243" s="4">
        <f t="shared" si="683"/>
        <v>0.76399606299212597</v>
      </c>
      <c r="EH243" s="4">
        <f t="shared" si="795"/>
        <v>6.8950968880590437</v>
      </c>
      <c r="EK243" s="4">
        <f t="shared" si="768"/>
        <v>69.557963383020478</v>
      </c>
      <c r="EL243" s="4">
        <f t="shared" si="769"/>
        <v>2.7385024953945072</v>
      </c>
      <c r="EM243" s="4">
        <f t="shared" si="770"/>
        <v>8.0238994431188704E-2</v>
      </c>
      <c r="EP243" s="4">
        <f t="shared" si="771"/>
        <v>8.0238994431188704E-2</v>
      </c>
      <c r="EQ243" s="4">
        <f t="shared" si="698"/>
        <v>0.25386494378501001</v>
      </c>
      <c r="ER243" s="4">
        <f t="shared" si="772"/>
        <v>3.9845700517843952</v>
      </c>
      <c r="ES243" s="4">
        <f t="shared" si="773"/>
        <v>5.6324102518589836</v>
      </c>
      <c r="ET243" s="4">
        <f t="shared" si="774"/>
        <v>83.442036616979522</v>
      </c>
      <c r="EU243" s="4">
        <f t="shared" si="775"/>
        <v>51</v>
      </c>
      <c r="EV243" s="4">
        <f t="shared" si="699"/>
        <v>1.4678935551750747E-5</v>
      </c>
      <c r="EW243" s="4">
        <f t="shared" si="776"/>
        <v>6.7092251397843503</v>
      </c>
      <c r="EX243" s="4">
        <f t="shared" si="707"/>
        <v>374.88880510403499</v>
      </c>
      <c r="FG243" s="23">
        <f t="shared" ref="FG243:FH258" si="817">IF(CM243&lt;0.6,0.6,IF(CM243&lt;0.8,0.8,IF(CM243&lt;1,1,IF(CM243&lt;1.2,1.2,IF(CM243&lt;1.4,1.4,IF(CM243&lt;1.6,1.6,IF(CM243&lt;1.8,1.8,IF(CM243&lt;2,2,2.2))))))))</f>
        <v>1.8</v>
      </c>
      <c r="FH243" s="23">
        <f t="shared" si="817"/>
        <v>1</v>
      </c>
      <c r="FI243" s="23">
        <f t="shared" ref="FI243:FI306" si="818">IF(CS243&lt;0.6,0.6,IF(CS243&lt;0.8,0.8,IF(CS243&lt;1,1,IF(CS243&lt;1.2,1.2,IF(CS243&lt;1.4,1.4,IF(CS243&lt;1.6,1.6,IF(CS243&lt;1.8,1.8,IF(CS243&lt;2,2,2.2))))))))</f>
        <v>1.6</v>
      </c>
      <c r="FJ243" s="23">
        <f t="shared" ref="FJ243:FL258" si="819">IF(CP243&lt;0.6,0.6,IF(CP243&lt;0.8,0.8,IF(CP243&lt;1,1,IF(CP243&lt;1.2,1.2,IF(CP243&lt;1.4,1.4,IF(CP243&lt;1.6,1.6,IF(CP243&lt;1.8,1.8,IF(CP243&lt;2,2,2.2))))))))</f>
        <v>1.8</v>
      </c>
      <c r="FK243" s="23">
        <f t="shared" si="819"/>
        <v>1.2</v>
      </c>
      <c r="FL243" s="23">
        <f t="shared" si="819"/>
        <v>1.2</v>
      </c>
      <c r="FM243" s="23">
        <f t="shared" si="807"/>
        <v>0</v>
      </c>
      <c r="FN243" s="23"/>
      <c r="FX243" s="4">
        <f t="shared" si="676"/>
        <v>1</v>
      </c>
      <c r="FY243" s="4">
        <f t="shared" si="716"/>
        <v>0.64881889763779532</v>
      </c>
      <c r="FZ243" s="4">
        <f t="shared" si="677"/>
        <v>0</v>
      </c>
      <c r="GA243" s="4">
        <f t="shared" si="678"/>
        <v>296.51507295602272</v>
      </c>
    </row>
    <row r="244" spans="1:183" ht="12" customHeight="1" x14ac:dyDescent="0.3">
      <c r="A244" s="25">
        <v>226</v>
      </c>
      <c r="B244" s="24" t="s">
        <v>660</v>
      </c>
      <c r="C244" s="24">
        <v>2002</v>
      </c>
      <c r="D244" s="24" t="s">
        <v>309</v>
      </c>
      <c r="E244" s="24"/>
      <c r="F244" s="7" t="s">
        <v>361</v>
      </c>
      <c r="G244" s="7">
        <v>506</v>
      </c>
      <c r="H244" s="7">
        <v>190</v>
      </c>
      <c r="I244" s="7">
        <f>H244</f>
        <v>190</v>
      </c>
      <c r="J244" s="7">
        <v>27.1</v>
      </c>
      <c r="K244" s="7">
        <v>19.100000000000001</v>
      </c>
      <c r="L244" s="7">
        <f>H244/K244</f>
        <v>9.9476439790575917</v>
      </c>
      <c r="M244" s="7">
        <f>I244/K244</f>
        <v>9.9476439790575917</v>
      </c>
      <c r="N244" s="7">
        <v>240</v>
      </c>
      <c r="O244" s="7">
        <f>63-K244/2</f>
        <v>53.45</v>
      </c>
      <c r="P244" s="7">
        <f>400-K244-I244</f>
        <v>190.89999999999998</v>
      </c>
      <c r="Q244" s="7">
        <f>114-K244</f>
        <v>94.9</v>
      </c>
      <c r="R244" s="7">
        <v>2</v>
      </c>
      <c r="S244" s="7"/>
      <c r="T244" s="7">
        <f t="shared" si="685"/>
        <v>2.9842931937172774</v>
      </c>
      <c r="U244" s="7">
        <f t="shared" si="702"/>
        <v>3.2984293193717278</v>
      </c>
      <c r="V244" s="7">
        <f>32^2/(PI()/4*K244^2)-1</f>
        <v>2.5739077706444626</v>
      </c>
      <c r="W244" s="7">
        <f>32^2/(PI()/4*K244^2)-1</f>
        <v>2.5739077706444626</v>
      </c>
      <c r="X244" s="7">
        <f>W244+1</f>
        <v>3.5739077706444626</v>
      </c>
      <c r="Y244" s="7">
        <f>K244*X244^0.5</f>
        <v>36.108133347056402</v>
      </c>
      <c r="Z244" s="7"/>
      <c r="AA244" s="7"/>
      <c r="AB244" s="7">
        <f>290/(PI()/4*K244^2)*1000/R244</f>
        <v>506.0709245541475</v>
      </c>
      <c r="AC244" s="7"/>
      <c r="AD244" s="4">
        <f t="shared" si="740"/>
        <v>1</v>
      </c>
      <c r="AE244" s="7">
        <v>9.5</v>
      </c>
      <c r="AF244" s="10">
        <v>3</v>
      </c>
      <c r="AG244" s="7">
        <v>57</v>
      </c>
      <c r="AH244" s="7">
        <v>4</v>
      </c>
      <c r="AI244" s="7">
        <f t="shared" ref="AI244:AI247" si="820">AF244</f>
        <v>3</v>
      </c>
      <c r="AJ244" s="7"/>
      <c r="AK244" s="4">
        <f>H244</f>
        <v>190</v>
      </c>
      <c r="AL244" s="4">
        <f t="shared" si="779"/>
        <v>0.42105263157894735</v>
      </c>
      <c r="AM244" s="4">
        <f t="shared" si="780"/>
        <v>237.91862175035638</v>
      </c>
      <c r="AN244" s="4">
        <f t="shared" si="781"/>
        <v>0.76631578947368417</v>
      </c>
      <c r="AO244" s="4">
        <v>1.25</v>
      </c>
      <c r="AP244" s="4">
        <f t="shared" si="688"/>
        <v>2.5</v>
      </c>
      <c r="AQ244" s="38">
        <f>AL244*AN244*AO244*AP244*AM244</f>
        <v>239.89578481199368</v>
      </c>
      <c r="AR244" s="38">
        <f t="shared" si="783"/>
        <v>239.89578481199368</v>
      </c>
      <c r="AS244" s="38">
        <f t="shared" si="784"/>
        <v>2.7066625581997639</v>
      </c>
      <c r="AT244" s="38">
        <f t="shared" si="691"/>
        <v>239.89578481199356</v>
      </c>
      <c r="AU244" s="38">
        <f t="shared" si="674"/>
        <v>1.0000000000000004</v>
      </c>
      <c r="AV244" s="38">
        <f t="shared" si="692"/>
        <v>1.1272655573426391</v>
      </c>
      <c r="AW244" s="4">
        <f t="shared" si="693"/>
        <v>0</v>
      </c>
      <c r="AX244" s="4">
        <f>I244/K244*J244^0.5/0.19</f>
        <v>272.55319549362031</v>
      </c>
      <c r="AY244" s="4">
        <f>MIN(0.6+0.4*(U244/T244),2)</f>
        <v>1.0421052631578949</v>
      </c>
      <c r="AZ244" s="38">
        <f t="shared" si="701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89"/>
        <v>1.5</v>
      </c>
      <c r="BF244" s="4">
        <f t="shared" si="690"/>
        <v>467.29245367381208</v>
      </c>
      <c r="BH244" s="4">
        <f t="shared" si="704"/>
        <v>259.37185006794141</v>
      </c>
      <c r="BI244" s="4">
        <f t="shared" si="705"/>
        <v>0</v>
      </c>
      <c r="BJ244" s="4">
        <f t="shared" si="706"/>
        <v>0</v>
      </c>
      <c r="BK244" s="4">
        <f t="shared" si="785"/>
        <v>53.45</v>
      </c>
      <c r="BL244" s="4">
        <f t="shared" si="786"/>
        <v>53.45</v>
      </c>
      <c r="BM244" s="4">
        <f t="shared" si="787"/>
        <v>53.45</v>
      </c>
      <c r="BN244" s="4">
        <f t="shared" si="788"/>
        <v>63</v>
      </c>
      <c r="BO244" s="4">
        <f t="shared" si="789"/>
        <v>1</v>
      </c>
      <c r="BP244" s="25">
        <f t="shared" si="790"/>
        <v>4</v>
      </c>
      <c r="BR244" s="4">
        <f>IF(Q244=0,O244,MIN(Q244/2,O244))</f>
        <v>47.45</v>
      </c>
      <c r="BV244" s="9"/>
      <c r="BX244" s="9"/>
      <c r="BY244" s="9"/>
      <c r="BZ244" s="9">
        <f>IF(Q244=0,MIN(O244,P244),MIN(Q244/2,O244,P244))</f>
        <v>47.45</v>
      </c>
      <c r="CA244" s="9">
        <f>MAX(Q244/2,O244)</f>
        <v>53.45</v>
      </c>
      <c r="CB244" s="9">
        <f t="shared" si="694"/>
        <v>1.6045680808545388</v>
      </c>
      <c r="CC244" s="9">
        <v>20</v>
      </c>
      <c r="CD244" s="9">
        <f>MIN(PI()*AE244^2/4*AF244*2/R244/K244/MAX(0.01,AG244),0.05)</f>
        <v>0.05</v>
      </c>
      <c r="CE244" s="9">
        <f>MAX(0,CC244*(CD244-0.5/50))</f>
        <v>0.8</v>
      </c>
      <c r="CF244" s="9">
        <f>MIN(1,(25/K244)^0.3)</f>
        <v>1</v>
      </c>
      <c r="CG244" s="9">
        <f>IF(G244&gt;=800,0.68,IF(G244&gt;=700,0.75-(G244-700)*0.07/100,IF(G244&gt;=600,0.85-(G244-600)*0.1/100,IF(G244&gt;=500,1-(G244-500)*0.15/100,1.2-(G244-400)*0.2/100))))</f>
        <v>0.99099999999999999</v>
      </c>
      <c r="CH244" s="9">
        <f t="shared" si="695"/>
        <v>1.8056199488679785</v>
      </c>
      <c r="CI244" s="9">
        <f t="shared" si="696"/>
        <v>4.3417360952021458</v>
      </c>
      <c r="CJ244" s="9">
        <v>1</v>
      </c>
      <c r="CK244" s="9">
        <f t="shared" si="697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814"/>
        <v>1.0829854421475513</v>
      </c>
      <c r="CP244" s="4">
        <f>AB244/CK244</f>
        <v>1.1680419353862352</v>
      </c>
      <c r="CQ244" s="4">
        <f t="shared" si="800"/>
        <v>1</v>
      </c>
      <c r="CR244" s="4">
        <f t="shared" si="801"/>
        <v>1.0129564999845371</v>
      </c>
      <c r="CS244" s="4">
        <f t="shared" si="815"/>
        <v>1.2269966870795557</v>
      </c>
      <c r="DA244" s="4">
        <f t="shared" si="808"/>
        <v>1.856778540561977</v>
      </c>
      <c r="DB244" s="4">
        <f t="shared" si="808"/>
        <v>1.3998474838990453</v>
      </c>
      <c r="DC244" s="4">
        <f t="shared" si="809"/>
        <v>1.1680419353862352</v>
      </c>
      <c r="DD244" s="4">
        <f t="shared" ref="DD244:DD247" si="821">CS244</f>
        <v>1.2269966870795557</v>
      </c>
      <c r="DE244" s="4">
        <f t="shared" si="811"/>
        <v>1</v>
      </c>
      <c r="DF244" s="4">
        <f t="shared" si="811"/>
        <v>1.0129564999845371</v>
      </c>
      <c r="DH244" s="4">
        <f t="shared" si="754"/>
        <v>3</v>
      </c>
      <c r="DI244" s="4">
        <f>I244</f>
        <v>190</v>
      </c>
      <c r="DL244" s="4">
        <f t="shared" si="756"/>
        <v>1.7394186230005775E-5</v>
      </c>
      <c r="DM244" s="4">
        <f t="shared" si="757"/>
        <v>8.7855659228692318</v>
      </c>
      <c r="DN244" s="4">
        <f t="shared" si="758"/>
        <v>0.48320593455916955</v>
      </c>
      <c r="DO244" s="4">
        <f t="shared" si="759"/>
        <v>6.567841229558697</v>
      </c>
      <c r="DP244" s="4">
        <f t="shared" si="760"/>
        <v>7.7565381852510118</v>
      </c>
      <c r="DQ244" s="4">
        <f t="shared" si="761"/>
        <v>8.3998898005854343</v>
      </c>
      <c r="DR244" s="38">
        <f t="shared" si="791"/>
        <v>506.0709245541475</v>
      </c>
      <c r="DS244" s="4">
        <f t="shared" si="762"/>
        <v>1</v>
      </c>
      <c r="DT244" s="4">
        <f t="shared" si="763"/>
        <v>1.8904781857097592</v>
      </c>
      <c r="DU244" s="4">
        <f t="shared" si="764"/>
        <v>239.89578481199356</v>
      </c>
      <c r="DY244" s="4">
        <f t="shared" si="765"/>
        <v>0.85</v>
      </c>
      <c r="DZ244" s="4">
        <f t="shared" si="766"/>
        <v>0.85157068062827224</v>
      </c>
      <c r="EA244" s="4">
        <f t="shared" si="792"/>
        <v>0.7</v>
      </c>
      <c r="EB244" s="4">
        <f t="shared" si="767"/>
        <v>0.7</v>
      </c>
      <c r="ED244" s="4">
        <f t="shared" si="793"/>
        <v>499.59788457043589</v>
      </c>
      <c r="EE244" s="25">
        <f t="shared" si="794"/>
        <v>237.4108387047049</v>
      </c>
      <c r="EG244" s="4">
        <f t="shared" si="683"/>
        <v>0.59499999999999997</v>
      </c>
      <c r="EH244" s="4">
        <f t="shared" si="795"/>
        <v>8.7855659228692318</v>
      </c>
      <c r="EK244" s="4">
        <f t="shared" si="768"/>
        <v>36.108133347056402</v>
      </c>
      <c r="EL244" s="4">
        <f t="shared" si="769"/>
        <v>1.8904781857097592</v>
      </c>
      <c r="EM244" s="4">
        <f t="shared" si="770"/>
        <v>0.1375473318448516</v>
      </c>
      <c r="EP244" s="4">
        <f>EM244</f>
        <v>0.1375473318448516</v>
      </c>
      <c r="EQ244" s="4">
        <f t="shared" si="698"/>
        <v>0.48239955391173428</v>
      </c>
      <c r="ER244" s="4">
        <f t="shared" si="772"/>
        <v>6.5634548315054522</v>
      </c>
      <c r="ES244" s="4">
        <f>EH244/1.4*(1-EQ244^1.4)/(1-EQ244)</f>
        <v>7.7546828729423405</v>
      </c>
      <c r="ET244" s="4">
        <f t="shared" si="774"/>
        <v>106.39186665294361</v>
      </c>
      <c r="EU244" s="4">
        <f t="shared" si="775"/>
        <v>47.5</v>
      </c>
      <c r="EV244" s="4">
        <f t="shared" si="699"/>
        <v>1.7394186230005775E-5</v>
      </c>
      <c r="EW244" s="4">
        <f>MAX(0.5*EH244, (1-2*EV244*(EK244*ER244+ET244*ES244))/(1/EH244+EV244*EU244))</f>
        <v>8.3999977543842039</v>
      </c>
      <c r="EX244" s="4">
        <f t="shared" si="707"/>
        <v>506.0709245541475</v>
      </c>
      <c r="FG244" s="23">
        <f t="shared" si="817"/>
        <v>2</v>
      </c>
      <c r="FH244" s="23">
        <f t="shared" si="817"/>
        <v>1.4</v>
      </c>
      <c r="FI244" s="23">
        <f t="shared" si="818"/>
        <v>1.4</v>
      </c>
      <c r="FJ244" s="23">
        <f t="shared" si="819"/>
        <v>1.2</v>
      </c>
      <c r="FK244" s="23">
        <f t="shared" si="819"/>
        <v>1.2</v>
      </c>
      <c r="FL244" s="23">
        <f t="shared" si="819"/>
        <v>1.2</v>
      </c>
      <c r="FM244" s="23">
        <f t="shared" si="807"/>
        <v>0</v>
      </c>
      <c r="FN244" s="23"/>
      <c r="FX244" s="4">
        <f t="shared" si="676"/>
        <v>1.25</v>
      </c>
      <c r="FY244" s="4">
        <f t="shared" si="716"/>
        <v>0.50622953362009215</v>
      </c>
      <c r="FZ244" s="4">
        <f t="shared" si="677"/>
        <v>0.3</v>
      </c>
      <c r="GA244" s="4">
        <f t="shared" si="678"/>
        <v>412.44685489630422</v>
      </c>
    </row>
    <row r="245" spans="1:183" ht="12" customHeight="1" x14ac:dyDescent="0.3">
      <c r="A245" s="25">
        <v>227</v>
      </c>
      <c r="B245" s="24" t="s">
        <v>660</v>
      </c>
      <c r="C245" s="24">
        <v>2002</v>
      </c>
      <c r="D245" s="24" t="s">
        <v>309</v>
      </c>
      <c r="E245" s="24"/>
      <c r="F245" s="7" t="s">
        <v>362</v>
      </c>
      <c r="G245" s="7">
        <v>506</v>
      </c>
      <c r="H245" s="7">
        <v>190</v>
      </c>
      <c r="I245" s="7">
        <f>H245</f>
        <v>190</v>
      </c>
      <c r="J245" s="7">
        <v>27.1</v>
      </c>
      <c r="K245" s="7">
        <v>19.100000000000001</v>
      </c>
      <c r="L245" s="7">
        <f>H245/K245</f>
        <v>9.9476439790575917</v>
      </c>
      <c r="M245" s="7">
        <f>I245/K245</f>
        <v>9.9476439790575917</v>
      </c>
      <c r="N245" s="7">
        <v>240</v>
      </c>
      <c r="O245" s="7">
        <f t="shared" ref="O245:O247" si="822">63-K245/2</f>
        <v>53.45</v>
      </c>
      <c r="P245" s="7">
        <f>400-K245-I245</f>
        <v>190.89999999999998</v>
      </c>
      <c r="Q245" s="7">
        <f t="shared" ref="Q245:Q247" si="823">114-K245</f>
        <v>94.9</v>
      </c>
      <c r="R245" s="7">
        <v>2</v>
      </c>
      <c r="S245" s="7"/>
      <c r="T245" s="7">
        <f>MIN(O245/K245+0.5, Q245/2/K245+0.5)</f>
        <v>2.9842931937172774</v>
      </c>
      <c r="U245" s="7">
        <f t="shared" si="702"/>
        <v>3.2984293193717278</v>
      </c>
      <c r="V245" s="7">
        <f t="shared" ref="V245:V247" si="824">32^2/(PI()/4*K245^2)-1</f>
        <v>2.5739077706444626</v>
      </c>
      <c r="W245" s="7">
        <f t="shared" ref="W245:W247" si="825">32^2/(PI()/4*K245^2)-1</f>
        <v>2.5739077706444626</v>
      </c>
      <c r="X245" s="7">
        <f>W245+1</f>
        <v>3.5739077706444626</v>
      </c>
      <c r="Y245" s="7">
        <f>K245*X245^0.5</f>
        <v>36.108133347056402</v>
      </c>
      <c r="Z245" s="7"/>
      <c r="AA245" s="7"/>
      <c r="AB245" s="7">
        <f>302/(PI()/4*K245^2)*1000/R245</f>
        <v>527.0117903977673</v>
      </c>
      <c r="AC245" s="7"/>
      <c r="AD245" s="4">
        <f t="shared" si="740"/>
        <v>1</v>
      </c>
      <c r="AE245" s="7">
        <v>9.5</v>
      </c>
      <c r="AF245" s="10">
        <v>3</v>
      </c>
      <c r="AG245" s="7">
        <v>57</v>
      </c>
      <c r="AH245" s="7">
        <v>4</v>
      </c>
      <c r="AI245" s="7">
        <f t="shared" si="820"/>
        <v>3</v>
      </c>
      <c r="AJ245" s="7"/>
      <c r="AK245" s="4">
        <f>H245</f>
        <v>190</v>
      </c>
      <c r="AL245" s="4">
        <f t="shared" si="779"/>
        <v>0.42105263157894735</v>
      </c>
      <c r="AM245" s="4">
        <f t="shared" si="780"/>
        <v>237.91862175035638</v>
      </c>
      <c r="AN245" s="4">
        <f t="shared" si="781"/>
        <v>0.76631578947368417</v>
      </c>
      <c r="AO245" s="4">
        <v>1.25</v>
      </c>
      <c r="AP245" s="4">
        <f t="shared" si="688"/>
        <v>2.5</v>
      </c>
      <c r="AQ245" s="38">
        <f>AL245*AN245*AO245*AP245*AM245</f>
        <v>239.89578481199368</v>
      </c>
      <c r="AR245" s="38">
        <f t="shared" si="783"/>
        <v>239.89578481199368</v>
      </c>
      <c r="AS245" s="38">
        <f t="shared" si="784"/>
        <v>2.7066625581997639</v>
      </c>
      <c r="AT245" s="38">
        <f t="shared" si="691"/>
        <v>239.89578481199356</v>
      </c>
      <c r="AU245" s="38">
        <f t="shared" si="674"/>
        <v>1.0000000000000004</v>
      </c>
      <c r="AV245" s="38">
        <f t="shared" si="692"/>
        <v>1.1272655573426391</v>
      </c>
      <c r="AW245" s="4">
        <f t="shared" si="693"/>
        <v>0</v>
      </c>
      <c r="AX245" s="4">
        <f>I245/K245*J245^0.5/0.19</f>
        <v>272.55319549362031</v>
      </c>
      <c r="AY245" s="4">
        <f>MIN(0.6+0.4*(U245/T245),2)</f>
        <v>1.0421052631578949</v>
      </c>
      <c r="AZ245" s="38">
        <f t="shared" si="701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89"/>
        <v>1.5</v>
      </c>
      <c r="BF245" s="4">
        <f t="shared" si="690"/>
        <v>467.29245367381208</v>
      </c>
      <c r="BH245" s="4">
        <f t="shared" si="704"/>
        <v>259.37185006794141</v>
      </c>
      <c r="BI245" s="4">
        <f t="shared" si="705"/>
        <v>0</v>
      </c>
      <c r="BJ245" s="4">
        <f t="shared" si="706"/>
        <v>0</v>
      </c>
      <c r="BK245" s="4">
        <f t="shared" si="785"/>
        <v>53.45</v>
      </c>
      <c r="BL245" s="4">
        <f t="shared" si="786"/>
        <v>53.45</v>
      </c>
      <c r="BM245" s="4">
        <f t="shared" si="787"/>
        <v>53.45</v>
      </c>
      <c r="BN245" s="4">
        <f t="shared" si="788"/>
        <v>63</v>
      </c>
      <c r="BO245" s="4">
        <f t="shared" si="789"/>
        <v>1</v>
      </c>
      <c r="BP245" s="25">
        <f t="shared" si="790"/>
        <v>4</v>
      </c>
      <c r="BR245" s="4">
        <f>IF(Q245=0,O245,MIN(Q245/2,O245))</f>
        <v>47.45</v>
      </c>
      <c r="BV245" s="9"/>
      <c r="BX245" s="9"/>
      <c r="BY245" s="9"/>
      <c r="BZ245" s="9">
        <f>IF(Q245=0,MIN(O245,P245),MIN(Q245/2,O245,P245))</f>
        <v>47.45</v>
      </c>
      <c r="CA245" s="9">
        <f>MAX(Q245/2,O245)</f>
        <v>53.45</v>
      </c>
      <c r="CB245" s="9">
        <f t="shared" si="694"/>
        <v>1.6045680808545388</v>
      </c>
      <c r="CC245" s="9">
        <v>20</v>
      </c>
      <c r="CD245" s="9">
        <f>MIN(PI()*AE245^2/4*AF245*2/R245/K245/MAX(0.01,AG245),0.05)</f>
        <v>0.05</v>
      </c>
      <c r="CE245" s="9">
        <f>MAX(0,CC245*(CD245-0.5/50))</f>
        <v>0.8</v>
      </c>
      <c r="CF245" s="9">
        <f>MIN(1,(25/K245)^0.3)</f>
        <v>1</v>
      </c>
      <c r="CG245" s="9">
        <f>IF(G245&gt;=800,0.68,IF(G245&gt;=700,0.75-(G245-700)*0.07/100,IF(G245&gt;=600,0.85-(G245-600)*0.1/100,IF(G245&gt;=500,1-(G245-500)*0.15/100,1.2-(G245-400)*0.2/100))))</f>
        <v>0.99099999999999999</v>
      </c>
      <c r="CH245" s="9">
        <f t="shared" si="695"/>
        <v>1.8056199488679785</v>
      </c>
      <c r="CI245" s="9">
        <f t="shared" si="696"/>
        <v>4.3417360952021458</v>
      </c>
      <c r="CJ245" s="9">
        <v>1</v>
      </c>
      <c r="CK245" s="9">
        <f t="shared" si="697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814"/>
        <v>1.127798632857105</v>
      </c>
      <c r="CP245" s="4">
        <f>AB245/CK245</f>
        <v>1.2163747051263551</v>
      </c>
      <c r="CQ245" s="4">
        <f t="shared" si="800"/>
        <v>1</v>
      </c>
      <c r="CR245" s="4">
        <f t="shared" si="801"/>
        <v>1.0548719413632073</v>
      </c>
      <c r="CS245" s="4">
        <f t="shared" si="815"/>
        <v>1.2777689637862957</v>
      </c>
      <c r="DA245" s="4">
        <f t="shared" si="808"/>
        <v>1.9336107560335067</v>
      </c>
      <c r="DB245" s="4">
        <f t="shared" si="808"/>
        <v>1.4577722073707298</v>
      </c>
      <c r="DC245" s="4">
        <f t="shared" si="809"/>
        <v>1.2163747051263551</v>
      </c>
      <c r="DD245" s="4">
        <f t="shared" si="821"/>
        <v>1.2777689637862957</v>
      </c>
      <c r="DE245" s="4">
        <f t="shared" si="811"/>
        <v>1</v>
      </c>
      <c r="DF245" s="4">
        <f t="shared" si="811"/>
        <v>1.0548719413632073</v>
      </c>
      <c r="DH245" s="4">
        <f t="shared" si="754"/>
        <v>3</v>
      </c>
      <c r="DI245" s="4">
        <f>I245</f>
        <v>190</v>
      </c>
      <c r="DL245" s="4">
        <f t="shared" si="756"/>
        <v>1.7394186230005775E-5</v>
      </c>
      <c r="DM245" s="4">
        <f t="shared" si="757"/>
        <v>8.7855659228692318</v>
      </c>
      <c r="DN245" s="4">
        <f t="shared" si="758"/>
        <v>0.48320593455916955</v>
      </c>
      <c r="DO245" s="4">
        <f t="shared" si="759"/>
        <v>6.567841229558697</v>
      </c>
      <c r="DP245" s="4">
        <f t="shared" si="760"/>
        <v>7.7565381852510118</v>
      </c>
      <c r="DQ245" s="4">
        <f t="shared" si="761"/>
        <v>8.3998898005854343</v>
      </c>
      <c r="DR245" s="38">
        <f t="shared" si="791"/>
        <v>527.0117903977673</v>
      </c>
      <c r="DS245" s="4">
        <f t="shared" si="762"/>
        <v>1</v>
      </c>
      <c r="DT245" s="4">
        <f t="shared" si="763"/>
        <v>1.8904781857097592</v>
      </c>
      <c r="DU245" s="4">
        <f t="shared" si="764"/>
        <v>239.89578481199356</v>
      </c>
      <c r="DY245" s="4">
        <f t="shared" si="765"/>
        <v>0.85</v>
      </c>
      <c r="DZ245" s="4">
        <f t="shared" si="766"/>
        <v>0.85157068062827224</v>
      </c>
      <c r="EA245" s="4">
        <f t="shared" si="792"/>
        <v>0.7</v>
      </c>
      <c r="EB245" s="4">
        <f t="shared" si="767"/>
        <v>0.7</v>
      </c>
      <c r="ED245" s="4">
        <f t="shared" si="793"/>
        <v>499.59788457043589</v>
      </c>
      <c r="EE245" s="25">
        <f t="shared" si="794"/>
        <v>237.4108387047049</v>
      </c>
      <c r="EG245" s="4">
        <f t="shared" si="683"/>
        <v>0.59499999999999997</v>
      </c>
      <c r="EH245" s="4">
        <f t="shared" si="795"/>
        <v>8.7855659228692318</v>
      </c>
      <c r="EK245" s="4">
        <f t="shared" si="768"/>
        <v>36.108133347056402</v>
      </c>
      <c r="EL245" s="4">
        <f t="shared" si="769"/>
        <v>1.8904781857097592</v>
      </c>
      <c r="EM245" s="4">
        <f t="shared" si="770"/>
        <v>0.1375473318448516</v>
      </c>
      <c r="EP245" s="4">
        <f>EM245</f>
        <v>0.1375473318448516</v>
      </c>
      <c r="EQ245" s="4">
        <f t="shared" si="698"/>
        <v>0.48239955391173428</v>
      </c>
      <c r="ER245" s="4">
        <f t="shared" si="772"/>
        <v>6.5634548315054522</v>
      </c>
      <c r="ES245" s="4">
        <f>EH245/1.4*(1-EQ245^1.4)/(1-EQ245)</f>
        <v>7.7546828729423405</v>
      </c>
      <c r="ET245" s="4">
        <f t="shared" si="774"/>
        <v>106.39186665294361</v>
      </c>
      <c r="EU245" s="4">
        <f t="shared" si="775"/>
        <v>47.5</v>
      </c>
      <c r="EV245" s="4">
        <f t="shared" si="699"/>
        <v>1.7394186230005775E-5</v>
      </c>
      <c r="EW245" s="4">
        <f>MAX(0.5*EH245, (1-2*EV245*(EK245*ER245+ET245*ES245))/(1/EH245+EV245*EU245))</f>
        <v>8.3999977543842039</v>
      </c>
      <c r="EX245" s="4">
        <f t="shared" si="707"/>
        <v>527.0117903977673</v>
      </c>
      <c r="FG245" s="23">
        <f t="shared" si="817"/>
        <v>2</v>
      </c>
      <c r="FH245" s="23">
        <f t="shared" si="817"/>
        <v>1.6</v>
      </c>
      <c r="FI245" s="23">
        <f t="shared" si="818"/>
        <v>1.4</v>
      </c>
      <c r="FJ245" s="23">
        <f t="shared" si="819"/>
        <v>1.4</v>
      </c>
      <c r="FK245" s="23">
        <f t="shared" si="819"/>
        <v>1.2</v>
      </c>
      <c r="FL245" s="23">
        <f t="shared" si="819"/>
        <v>1.2</v>
      </c>
      <c r="FM245" s="23">
        <f t="shared" si="807"/>
        <v>0</v>
      </c>
      <c r="FN245" s="23"/>
      <c r="FX245" s="4">
        <f t="shared" si="676"/>
        <v>1.25</v>
      </c>
      <c r="FY245" s="4">
        <f t="shared" si="716"/>
        <v>0.50622953362009215</v>
      </c>
      <c r="FZ245" s="4">
        <f t="shared" si="677"/>
        <v>0.3</v>
      </c>
      <c r="GA245" s="4">
        <f t="shared" si="678"/>
        <v>412.44685489630422</v>
      </c>
    </row>
    <row r="246" spans="1:183" ht="12" customHeight="1" x14ac:dyDescent="0.3">
      <c r="A246" s="25">
        <v>228</v>
      </c>
      <c r="B246" s="24" t="s">
        <v>660</v>
      </c>
      <c r="C246" s="24">
        <v>2002</v>
      </c>
      <c r="D246" s="24" t="s">
        <v>309</v>
      </c>
      <c r="E246" s="24"/>
      <c r="F246" s="7" t="s">
        <v>127</v>
      </c>
      <c r="G246" s="7">
        <v>506</v>
      </c>
      <c r="H246" s="7">
        <v>190</v>
      </c>
      <c r="I246" s="7">
        <f>H246</f>
        <v>190</v>
      </c>
      <c r="J246" s="7">
        <v>27.1</v>
      </c>
      <c r="K246" s="7">
        <v>19.100000000000001</v>
      </c>
      <c r="L246" s="7">
        <f>H246/K246</f>
        <v>9.9476439790575917</v>
      </c>
      <c r="M246" s="7">
        <f>I246/K246</f>
        <v>9.9476439790575917</v>
      </c>
      <c r="N246" s="7">
        <v>240</v>
      </c>
      <c r="O246" s="7">
        <f t="shared" si="822"/>
        <v>53.45</v>
      </c>
      <c r="P246" s="7">
        <f>400-K246-I246</f>
        <v>190.89999999999998</v>
      </c>
      <c r="Q246" s="7">
        <f t="shared" si="823"/>
        <v>94.9</v>
      </c>
      <c r="R246" s="7">
        <v>2</v>
      </c>
      <c r="S246" s="7"/>
      <c r="T246" s="7">
        <f t="shared" si="685"/>
        <v>2.9842931937172774</v>
      </c>
      <c r="U246" s="7">
        <f t="shared" si="702"/>
        <v>3.2984293193717278</v>
      </c>
      <c r="V246" s="7">
        <f t="shared" si="824"/>
        <v>2.5739077706444626</v>
      </c>
      <c r="W246" s="7">
        <f t="shared" si="825"/>
        <v>2.5739077706444626</v>
      </c>
      <c r="X246" s="7">
        <f>W246+1</f>
        <v>3.5739077706444626</v>
      </c>
      <c r="Y246" s="7">
        <f>K246*X246^0.5</f>
        <v>36.108133347056402</v>
      </c>
      <c r="Z246" s="7"/>
      <c r="AA246" s="7"/>
      <c r="AB246" s="7">
        <f>284/(PI()/4*K246^2)*1000/R246</f>
        <v>495.60049163233754</v>
      </c>
      <c r="AC246" s="7"/>
      <c r="AD246" s="4">
        <f t="shared" si="740"/>
        <v>0.97944761192161567</v>
      </c>
      <c r="AE246" s="7">
        <v>9.5</v>
      </c>
      <c r="AF246" s="10">
        <v>2</v>
      </c>
      <c r="AG246" s="7">
        <v>114</v>
      </c>
      <c r="AH246" s="7">
        <v>2</v>
      </c>
      <c r="AI246" s="7">
        <f t="shared" si="820"/>
        <v>2</v>
      </c>
      <c r="AJ246" s="7"/>
      <c r="AK246" s="4">
        <f>H246</f>
        <v>190</v>
      </c>
      <c r="AL246" s="4">
        <f t="shared" si="779"/>
        <v>0.42105263157894735</v>
      </c>
      <c r="AM246" s="4">
        <f t="shared" si="780"/>
        <v>237.91862175035638</v>
      </c>
      <c r="AN246" s="4">
        <f t="shared" si="781"/>
        <v>0.76631578947368417</v>
      </c>
      <c r="AO246" s="4">
        <v>1.25</v>
      </c>
      <c r="AP246" s="4">
        <f t="shared" si="688"/>
        <v>2.5</v>
      </c>
      <c r="AQ246" s="38">
        <f>AL246*AN246*AO246*AP246*AM246</f>
        <v>239.89578481199368</v>
      </c>
      <c r="AR246" s="38">
        <f t="shared" si="783"/>
        <v>239.89578481199368</v>
      </c>
      <c r="AS246" s="38">
        <f t="shared" si="784"/>
        <v>2.7066625581997639</v>
      </c>
      <c r="AT246" s="38">
        <f t="shared" si="691"/>
        <v>239.89578481199356</v>
      </c>
      <c r="AU246" s="38">
        <f t="shared" si="674"/>
        <v>1.0000000000000004</v>
      </c>
      <c r="AV246" s="38">
        <f t="shared" si="692"/>
        <v>1.1272655573426391</v>
      </c>
      <c r="AW246" s="4">
        <f t="shared" si="693"/>
        <v>0</v>
      </c>
      <c r="AX246" s="4">
        <f>I246/K246*J246^0.5/0.19</f>
        <v>272.55319549362031</v>
      </c>
      <c r="AY246" s="4">
        <f>MIN(0.6+0.4*(U246/T246),2)</f>
        <v>1.0421052631578949</v>
      </c>
      <c r="AZ246" s="38">
        <f t="shared" si="701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89"/>
        <v>1.5</v>
      </c>
      <c r="BF246" s="4">
        <f t="shared" si="690"/>
        <v>467.29245367381208</v>
      </c>
      <c r="BH246" s="4">
        <f t="shared" si="704"/>
        <v>259.37185006794141</v>
      </c>
      <c r="BI246" s="4">
        <f t="shared" si="705"/>
        <v>0</v>
      </c>
      <c r="BJ246" s="4">
        <f t="shared" si="706"/>
        <v>0</v>
      </c>
      <c r="BK246" s="4">
        <f t="shared" si="785"/>
        <v>53.45</v>
      </c>
      <c r="BL246" s="4">
        <f t="shared" si="786"/>
        <v>53.45</v>
      </c>
      <c r="BM246" s="4">
        <f t="shared" si="787"/>
        <v>53.45</v>
      </c>
      <c r="BN246" s="4">
        <f t="shared" si="788"/>
        <v>63</v>
      </c>
      <c r="BO246" s="4">
        <f t="shared" si="789"/>
        <v>1</v>
      </c>
      <c r="BP246" s="25">
        <f t="shared" si="790"/>
        <v>4</v>
      </c>
      <c r="BR246" s="4">
        <f>IF(Q246=0,O246,MIN(Q246/2,O246))</f>
        <v>47.45</v>
      </c>
      <c r="BV246" s="9"/>
      <c r="BX246" s="9"/>
      <c r="BY246" s="9"/>
      <c r="BZ246" s="9">
        <f>IF(Q246=0,MIN(O246,P246),MIN(Q246/2,O246,P246))</f>
        <v>47.45</v>
      </c>
      <c r="CA246" s="9">
        <f>MAX(Q246/2,O246)</f>
        <v>53.45</v>
      </c>
      <c r="CB246" s="9">
        <f t="shared" si="694"/>
        <v>1.6045680808545388</v>
      </c>
      <c r="CC246" s="9">
        <v>20</v>
      </c>
      <c r="CD246" s="9">
        <f>MIN(PI()*AE246^2/4*AF246*2/R246/K246/MAX(0.01,AG246),0.05)</f>
        <v>0.05</v>
      </c>
      <c r="CE246" s="9">
        <f>MAX(0,CC246*(CD246-0.5/50))</f>
        <v>0.8</v>
      </c>
      <c r="CF246" s="9">
        <f>MIN(1,(25/K246)^0.3)</f>
        <v>1</v>
      </c>
      <c r="CG246" s="9">
        <f>IF(G246&gt;=800,0.68,IF(G246&gt;=700,0.75-(G246-700)*0.07/100,IF(G246&gt;=600,0.85-(G246-600)*0.1/100,IF(G246&gt;=500,1-(G246-500)*0.15/100,1.2-(G246-400)*0.2/100))))</f>
        <v>0.99099999999999999</v>
      </c>
      <c r="CH246" s="9">
        <f t="shared" si="695"/>
        <v>1.8056199488679785</v>
      </c>
      <c r="CI246" s="9">
        <f t="shared" si="696"/>
        <v>4.3417360952021458</v>
      </c>
      <c r="CJ246" s="9">
        <v>1</v>
      </c>
      <c r="CK246" s="9">
        <f t="shared" si="697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814"/>
        <v>1.0605788467927744</v>
      </c>
      <c r="CP246" s="4">
        <f>AB246/CK246</f>
        <v>1.1438755505161751</v>
      </c>
      <c r="CQ246" s="4">
        <f t="shared" si="800"/>
        <v>0.97944761192161567</v>
      </c>
      <c r="CR246" s="4">
        <f t="shared" si="801"/>
        <v>0.99199877929520175</v>
      </c>
      <c r="CS246" s="4">
        <f t="shared" si="815"/>
        <v>1.2016105487261854</v>
      </c>
      <c r="DA246" s="4">
        <f t="shared" si="808"/>
        <v>1.8183624328262118</v>
      </c>
      <c r="DB246" s="4">
        <f t="shared" si="808"/>
        <v>1.370885122163203</v>
      </c>
      <c r="DC246" s="4">
        <f t="shared" si="809"/>
        <v>1.1438755505161751</v>
      </c>
      <c r="DD246" s="4">
        <f t="shared" si="821"/>
        <v>1.2016105487261854</v>
      </c>
      <c r="DE246" s="4">
        <f t="shared" si="811"/>
        <v>0.97944761192161567</v>
      </c>
      <c r="DF246" s="4">
        <f t="shared" si="811"/>
        <v>0.99199877929520175</v>
      </c>
      <c r="DH246" s="4">
        <f t="shared" si="754"/>
        <v>2</v>
      </c>
      <c r="DI246" s="4">
        <f>I246</f>
        <v>190</v>
      </c>
      <c r="DL246" s="4">
        <f t="shared" si="756"/>
        <v>1.7394186230005775E-5</v>
      </c>
      <c r="DM246" s="4">
        <f t="shared" si="757"/>
        <v>8.7855659228692318</v>
      </c>
      <c r="DN246" s="4">
        <f t="shared" si="758"/>
        <v>0.48320593455916955</v>
      </c>
      <c r="DO246" s="4">
        <f t="shared" si="759"/>
        <v>6.567841229558697</v>
      </c>
      <c r="DP246" s="4">
        <f t="shared" si="760"/>
        <v>7.7565381852510118</v>
      </c>
      <c r="DQ246" s="4">
        <f t="shared" si="761"/>
        <v>8.3998898005854343</v>
      </c>
      <c r="DR246" s="38">
        <f t="shared" si="791"/>
        <v>506</v>
      </c>
      <c r="DS246" s="4">
        <f t="shared" si="762"/>
        <v>1</v>
      </c>
      <c r="DT246" s="4">
        <f t="shared" si="763"/>
        <v>1.8904781857097592</v>
      </c>
      <c r="DU246" s="4">
        <f t="shared" si="764"/>
        <v>239.89578481199356</v>
      </c>
      <c r="DY246" s="4">
        <f t="shared" si="765"/>
        <v>0.85</v>
      </c>
      <c r="DZ246" s="4">
        <f t="shared" si="766"/>
        <v>0.85157068062827224</v>
      </c>
      <c r="EA246" s="4">
        <f t="shared" si="792"/>
        <v>0.77813313779775783</v>
      </c>
      <c r="EB246" s="4">
        <f t="shared" si="767"/>
        <v>0.7</v>
      </c>
      <c r="ED246" s="4">
        <f t="shared" si="793"/>
        <v>499.59788457043589</v>
      </c>
      <c r="EE246" s="25">
        <f t="shared" si="794"/>
        <v>237.4108387047049</v>
      </c>
      <c r="EG246" s="4">
        <f t="shared" si="683"/>
        <v>0.59499999999999997</v>
      </c>
      <c r="EH246" s="4">
        <f t="shared" si="795"/>
        <v>8.7855659228692318</v>
      </c>
      <c r="EK246" s="4">
        <f t="shared" si="768"/>
        <v>36.108133347056402</v>
      </c>
      <c r="EL246" s="4">
        <f t="shared" si="769"/>
        <v>1.8904781857097592</v>
      </c>
      <c r="EM246" s="4">
        <f t="shared" si="770"/>
        <v>0.1375473318448516</v>
      </c>
      <c r="EP246" s="4">
        <f>EM246</f>
        <v>0.1375473318448516</v>
      </c>
      <c r="EQ246" s="4">
        <f t="shared" si="698"/>
        <v>0.48239955391173428</v>
      </c>
      <c r="ER246" s="4">
        <f t="shared" si="772"/>
        <v>6.5634548315054522</v>
      </c>
      <c r="ES246" s="4">
        <f>EH246/1.4*(1-EQ246^1.4)/(1-EQ246)</f>
        <v>7.7546828729423405</v>
      </c>
      <c r="ET246" s="4">
        <f t="shared" si="774"/>
        <v>106.39186665294361</v>
      </c>
      <c r="EU246" s="4">
        <f t="shared" si="775"/>
        <v>47.5</v>
      </c>
      <c r="EV246" s="4">
        <f t="shared" si="699"/>
        <v>1.7394186230005775E-5</v>
      </c>
      <c r="EW246" s="4">
        <f>MAX(0.5*EH246, (1-2*EV246*(EK246*ER246+ET246*ES246))/(1/EH246+EV246*EU246))</f>
        <v>8.3999977543842039</v>
      </c>
      <c r="EX246" s="4">
        <f t="shared" si="707"/>
        <v>506</v>
      </c>
      <c r="FG246" s="23">
        <f t="shared" si="817"/>
        <v>2</v>
      </c>
      <c r="FH246" s="23">
        <f t="shared" si="817"/>
        <v>1.4</v>
      </c>
      <c r="FI246" s="23">
        <f t="shared" si="818"/>
        <v>1.4</v>
      </c>
      <c r="FJ246" s="23">
        <f t="shared" si="819"/>
        <v>1.2</v>
      </c>
      <c r="FK246" s="23">
        <f t="shared" si="819"/>
        <v>1</v>
      </c>
      <c r="FL246" s="23">
        <f t="shared" si="819"/>
        <v>1</v>
      </c>
      <c r="FM246" s="23">
        <f t="shared" si="807"/>
        <v>0</v>
      </c>
      <c r="FN246" s="23"/>
      <c r="FX246" s="4">
        <f t="shared" si="676"/>
        <v>1.25</v>
      </c>
      <c r="FY246" s="4">
        <f t="shared" si="716"/>
        <v>0.50622953362009215</v>
      </c>
      <c r="FZ246" s="4">
        <f t="shared" si="677"/>
        <v>0.3</v>
      </c>
      <c r="GA246" s="4">
        <f t="shared" si="678"/>
        <v>412.44685489630422</v>
      </c>
    </row>
    <row r="247" spans="1:183" ht="12" customHeight="1" x14ac:dyDescent="0.3">
      <c r="A247" s="25">
        <v>229</v>
      </c>
      <c r="B247" s="24" t="s">
        <v>660</v>
      </c>
      <c r="C247" s="24">
        <v>2002</v>
      </c>
      <c r="D247" s="24" t="s">
        <v>309</v>
      </c>
      <c r="E247" s="24"/>
      <c r="F247" s="7" t="s">
        <v>364</v>
      </c>
      <c r="G247" s="7">
        <v>506</v>
      </c>
      <c r="H247" s="7">
        <v>190</v>
      </c>
      <c r="I247" s="7">
        <f>H247</f>
        <v>190</v>
      </c>
      <c r="J247" s="7">
        <v>27.1</v>
      </c>
      <c r="K247" s="7">
        <v>19.100000000000001</v>
      </c>
      <c r="L247" s="7">
        <f>H247/K247</f>
        <v>9.9476439790575917</v>
      </c>
      <c r="M247" s="7">
        <f>I247/K247</f>
        <v>9.9476439790575917</v>
      </c>
      <c r="N247" s="7">
        <v>240</v>
      </c>
      <c r="O247" s="7">
        <f t="shared" si="822"/>
        <v>53.45</v>
      </c>
      <c r="P247" s="7">
        <f>400-K247-I247</f>
        <v>190.89999999999998</v>
      </c>
      <c r="Q247" s="7">
        <f t="shared" si="823"/>
        <v>94.9</v>
      </c>
      <c r="R247" s="7">
        <v>2</v>
      </c>
      <c r="S247" s="7"/>
      <c r="T247" s="7">
        <f t="shared" si="685"/>
        <v>2.9842931937172774</v>
      </c>
      <c r="U247" s="7">
        <f t="shared" si="702"/>
        <v>3.2984293193717278</v>
      </c>
      <c r="V247" s="7">
        <f t="shared" si="824"/>
        <v>2.5739077706444626</v>
      </c>
      <c r="W247" s="7">
        <f t="shared" si="825"/>
        <v>2.5739077706444626</v>
      </c>
      <c r="X247" s="7">
        <f>W247+1</f>
        <v>3.5739077706444626</v>
      </c>
      <c r="Y247" s="7">
        <f>K247*X247^0.5</f>
        <v>36.108133347056402</v>
      </c>
      <c r="Z247" s="7"/>
      <c r="AA247" s="7"/>
      <c r="AB247" s="7">
        <f>287/(PI()/4*K247^2)*1000/R247</f>
        <v>500.83570809324249</v>
      </c>
      <c r="AC247" s="7"/>
      <c r="AD247" s="4">
        <f t="shared" si="740"/>
        <v>0.98979388951233693</v>
      </c>
      <c r="AE247" s="7">
        <v>9.5</v>
      </c>
      <c r="AF247" s="10">
        <v>2</v>
      </c>
      <c r="AG247" s="7">
        <v>114</v>
      </c>
      <c r="AH247" s="7">
        <v>2</v>
      </c>
      <c r="AI247" s="7">
        <f t="shared" si="820"/>
        <v>2</v>
      </c>
      <c r="AJ247" s="7"/>
      <c r="AK247" s="4">
        <f>H247</f>
        <v>190</v>
      </c>
      <c r="AL247" s="4">
        <f t="shared" si="779"/>
        <v>0.42105263157894735</v>
      </c>
      <c r="AM247" s="4">
        <f t="shared" si="780"/>
        <v>237.91862175035638</v>
      </c>
      <c r="AN247" s="4">
        <f t="shared" si="781"/>
        <v>0.76631578947368417</v>
      </c>
      <c r="AO247" s="4">
        <v>1.25</v>
      </c>
      <c r="AP247" s="4">
        <f t="shared" si="688"/>
        <v>2.5</v>
      </c>
      <c r="AQ247" s="38">
        <f>AL247*AN247*AO247*AP247*AM247</f>
        <v>239.89578481199368</v>
      </c>
      <c r="AR247" s="38">
        <f t="shared" si="783"/>
        <v>239.89578481199368</v>
      </c>
      <c r="AS247" s="38">
        <f t="shared" si="784"/>
        <v>2.7066625581997639</v>
      </c>
      <c r="AT247" s="38">
        <f t="shared" si="691"/>
        <v>239.89578481199356</v>
      </c>
      <c r="AU247" s="38">
        <f t="shared" si="674"/>
        <v>1.0000000000000004</v>
      </c>
      <c r="AV247" s="38">
        <f t="shared" si="692"/>
        <v>1.1272655573426391</v>
      </c>
      <c r="AW247" s="4">
        <f t="shared" si="693"/>
        <v>0</v>
      </c>
      <c r="AX247" s="4">
        <f>I247/K247*J247^0.5/0.19</f>
        <v>272.55319549362031</v>
      </c>
      <c r="AY247" s="4">
        <f>MIN(0.6+0.4*(U247/T247),2)</f>
        <v>1.0421052631578949</v>
      </c>
      <c r="AZ247" s="38">
        <f t="shared" si="701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89"/>
        <v>1.5</v>
      </c>
      <c r="BF247" s="4">
        <f t="shared" si="690"/>
        <v>467.29245367381208</v>
      </c>
      <c r="BH247" s="4">
        <f t="shared" si="704"/>
        <v>259.37185006794141</v>
      </c>
      <c r="BI247" s="4">
        <f t="shared" si="705"/>
        <v>0</v>
      </c>
      <c r="BJ247" s="4">
        <f t="shared" si="706"/>
        <v>0</v>
      </c>
      <c r="BK247" s="4">
        <f t="shared" si="785"/>
        <v>53.45</v>
      </c>
      <c r="BL247" s="4">
        <f t="shared" si="786"/>
        <v>53.45</v>
      </c>
      <c r="BM247" s="4">
        <f t="shared" si="787"/>
        <v>53.45</v>
      </c>
      <c r="BN247" s="4">
        <f t="shared" si="788"/>
        <v>63</v>
      </c>
      <c r="BO247" s="4">
        <f t="shared" si="789"/>
        <v>1</v>
      </c>
      <c r="BP247" s="25">
        <f t="shared" si="790"/>
        <v>4</v>
      </c>
      <c r="BR247" s="4">
        <f>IF(Q247=0,O247,MIN(Q247/2,O247))</f>
        <v>47.45</v>
      </c>
      <c r="BV247" s="9"/>
      <c r="BX247" s="9"/>
      <c r="BY247" s="9"/>
      <c r="BZ247" s="9">
        <f>IF(Q247=0,MIN(O247,P247),MIN(Q247/2,O247,P247))</f>
        <v>47.45</v>
      </c>
      <c r="CA247" s="9">
        <f>MAX(Q247/2,O247)</f>
        <v>53.45</v>
      </c>
      <c r="CB247" s="9">
        <f t="shared" si="694"/>
        <v>1.6045680808545388</v>
      </c>
      <c r="CC247" s="9">
        <v>20</v>
      </c>
      <c r="CD247" s="9">
        <f>MIN(PI()*AE247^2/4*AF247*2/R247/K247/MAX(0.01,AG247),0.05)</f>
        <v>0.05</v>
      </c>
      <c r="CE247" s="9">
        <f>MAX(0,CC247*(CD247-0.5/50))</f>
        <v>0.8</v>
      </c>
      <c r="CF247" s="9">
        <f>MIN(1,(25/K247)^0.3)</f>
        <v>1</v>
      </c>
      <c r="CG247" s="9">
        <f>IF(G247&gt;=800,0.68,IF(G247&gt;=700,0.75-(G247-700)*0.07/100,IF(G247&gt;=600,0.85-(G247-600)*0.1/100,IF(G247&gt;=500,1-(G247-500)*0.15/100,1.2-(G247-400)*0.2/100))))</f>
        <v>0.99099999999999999</v>
      </c>
      <c r="CH247" s="9">
        <f t="shared" si="695"/>
        <v>1.8056199488679785</v>
      </c>
      <c r="CI247" s="9">
        <f t="shared" si="696"/>
        <v>4.3417360952021458</v>
      </c>
      <c r="CJ247" s="9">
        <v>1</v>
      </c>
      <c r="CK247" s="9">
        <f t="shared" si="697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814"/>
        <v>1.0717821444701627</v>
      </c>
      <c r="CP247" s="4">
        <f>AB247/CK247</f>
        <v>1.155958742951205</v>
      </c>
      <c r="CQ247" s="4">
        <f t="shared" si="800"/>
        <v>0.98979388951233693</v>
      </c>
      <c r="CR247" s="4">
        <f t="shared" si="801"/>
        <v>1.0024776396398694</v>
      </c>
      <c r="CS247" s="4">
        <f t="shared" si="815"/>
        <v>1.2143036179028706</v>
      </c>
      <c r="DA247" s="4">
        <f t="shared" si="808"/>
        <v>1.8375704866940943</v>
      </c>
      <c r="DB247" s="4">
        <f t="shared" si="808"/>
        <v>1.3853663030311241</v>
      </c>
      <c r="DC247" s="4">
        <f t="shared" si="809"/>
        <v>1.155958742951205</v>
      </c>
      <c r="DD247" s="4">
        <f t="shared" si="821"/>
        <v>1.2143036179028706</v>
      </c>
      <c r="DE247" s="4">
        <f t="shared" si="811"/>
        <v>0.98979388951233693</v>
      </c>
      <c r="DF247" s="4">
        <f t="shared" si="811"/>
        <v>1.0024776396398694</v>
      </c>
      <c r="DH247" s="4">
        <f t="shared" si="754"/>
        <v>2</v>
      </c>
      <c r="DI247" s="4">
        <f>I247</f>
        <v>190</v>
      </c>
      <c r="DL247" s="4">
        <f t="shared" si="756"/>
        <v>1.7394186230005775E-5</v>
      </c>
      <c r="DM247" s="4">
        <f t="shared" si="757"/>
        <v>8.7855659228692318</v>
      </c>
      <c r="DN247" s="4">
        <f t="shared" si="758"/>
        <v>0.48320593455916955</v>
      </c>
      <c r="DO247" s="4">
        <f t="shared" si="759"/>
        <v>6.567841229558697</v>
      </c>
      <c r="DP247" s="4">
        <f t="shared" si="760"/>
        <v>7.7565381852510118</v>
      </c>
      <c r="DQ247" s="4">
        <f t="shared" si="761"/>
        <v>8.3998898005854343</v>
      </c>
      <c r="DR247" s="38">
        <f t="shared" si="791"/>
        <v>506</v>
      </c>
      <c r="DS247" s="4">
        <f t="shared" si="762"/>
        <v>1</v>
      </c>
      <c r="DT247" s="4">
        <f t="shared" si="763"/>
        <v>1.8904781857097592</v>
      </c>
      <c r="DU247" s="4">
        <f t="shared" si="764"/>
        <v>239.89578481199356</v>
      </c>
      <c r="DY247" s="4">
        <f t="shared" si="765"/>
        <v>0.85</v>
      </c>
      <c r="DZ247" s="4">
        <f t="shared" si="766"/>
        <v>0.85157068062827224</v>
      </c>
      <c r="EA247" s="4">
        <f t="shared" si="792"/>
        <v>0.77813313779775783</v>
      </c>
      <c r="EB247" s="4">
        <f t="shared" si="767"/>
        <v>0.7</v>
      </c>
      <c r="ED247" s="4">
        <f t="shared" si="793"/>
        <v>499.59788457043589</v>
      </c>
      <c r="EE247" s="25">
        <f t="shared" si="794"/>
        <v>237.4108387047049</v>
      </c>
      <c r="EG247" s="4">
        <f t="shared" si="683"/>
        <v>0.59499999999999997</v>
      </c>
      <c r="EH247" s="4">
        <f t="shared" si="795"/>
        <v>8.7855659228692318</v>
      </c>
      <c r="EK247" s="4">
        <f t="shared" si="768"/>
        <v>36.108133347056402</v>
      </c>
      <c r="EL247" s="4">
        <f t="shared" si="769"/>
        <v>1.8904781857097592</v>
      </c>
      <c r="EM247" s="4">
        <f t="shared" si="770"/>
        <v>0.1375473318448516</v>
      </c>
      <c r="EP247" s="4">
        <f>EM247</f>
        <v>0.1375473318448516</v>
      </c>
      <c r="EQ247" s="4">
        <f t="shared" si="698"/>
        <v>0.48239955391173428</v>
      </c>
      <c r="ER247" s="4">
        <f t="shared" si="772"/>
        <v>6.5634548315054522</v>
      </c>
      <c r="ES247" s="4">
        <f>EH247/1.4*(1-EQ247^1.4)/(1-EQ247)</f>
        <v>7.7546828729423405</v>
      </c>
      <c r="ET247" s="4">
        <f t="shared" si="774"/>
        <v>106.39186665294361</v>
      </c>
      <c r="EU247" s="4">
        <f t="shared" si="775"/>
        <v>47.5</v>
      </c>
      <c r="EV247" s="4">
        <f t="shared" si="699"/>
        <v>1.7394186230005775E-5</v>
      </c>
      <c r="EW247" s="4">
        <f>MAX(0.5*EH247, (1-2*EV247*(EK247*ER247+ET247*ES247))/(1/EH247+EV247*EU247))</f>
        <v>8.3999977543842039</v>
      </c>
      <c r="EX247" s="4">
        <f t="shared" si="707"/>
        <v>506</v>
      </c>
      <c r="FG247" s="23">
        <f t="shared" si="817"/>
        <v>2</v>
      </c>
      <c r="FH247" s="23">
        <f t="shared" si="817"/>
        <v>1.4</v>
      </c>
      <c r="FI247" s="23">
        <f t="shared" si="818"/>
        <v>1.4</v>
      </c>
      <c r="FJ247" s="23">
        <f t="shared" si="819"/>
        <v>1.2</v>
      </c>
      <c r="FK247" s="23">
        <f t="shared" si="819"/>
        <v>1</v>
      </c>
      <c r="FL247" s="23">
        <f t="shared" si="819"/>
        <v>1.2</v>
      </c>
      <c r="FM247" s="23">
        <f t="shared" si="807"/>
        <v>0</v>
      </c>
      <c r="FN247" s="23"/>
      <c r="FX247" s="4">
        <f t="shared" si="676"/>
        <v>1.25</v>
      </c>
      <c r="FY247" s="4">
        <f t="shared" si="716"/>
        <v>0.50622953362009215</v>
      </c>
      <c r="FZ247" s="4">
        <f t="shared" si="677"/>
        <v>0.3</v>
      </c>
      <c r="GA247" s="4">
        <f t="shared" si="678"/>
        <v>412.44685489630422</v>
      </c>
    </row>
    <row r="248" spans="1:183" ht="12" customHeight="1" x14ac:dyDescent="0.3">
      <c r="A248" s="25">
        <v>230</v>
      </c>
      <c r="B248" s="4" t="s">
        <v>605</v>
      </c>
      <c r="C248" s="4">
        <v>2016</v>
      </c>
      <c r="D248" s="4" t="s">
        <v>309</v>
      </c>
      <c r="E248" s="24" t="s">
        <v>661</v>
      </c>
      <c r="F248" s="4" t="s">
        <v>383</v>
      </c>
      <c r="G248" s="38">
        <f>120/0.145</f>
        <v>827.58620689655174</v>
      </c>
      <c r="H248" s="38">
        <f>15.75*25.4</f>
        <v>400.04999999999995</v>
      </c>
      <c r="I248" s="4">
        <f>H248</f>
        <v>400.04999999999995</v>
      </c>
      <c r="J248" s="38">
        <f>4850/145</f>
        <v>33.448275862068968</v>
      </c>
      <c r="K248" s="38">
        <f>1*25.4</f>
        <v>25.4</v>
      </c>
      <c r="L248" s="7">
        <f>H248/K248</f>
        <v>15.749999999999998</v>
      </c>
      <c r="M248" s="7">
        <f>I248/K248</f>
        <v>15.749999999999998</v>
      </c>
      <c r="N248" s="38">
        <f>17.9*25.4</f>
        <v>454.65999999999991</v>
      </c>
      <c r="O248" s="38">
        <f>2.95*25.4</f>
        <v>74.930000000000007</v>
      </c>
      <c r="P248" s="39">
        <f>3.05*25.4</f>
        <v>77.469999999999985</v>
      </c>
      <c r="Q248" s="7">
        <f>(N248-R248*K248-2*O248)/(R248-1)</f>
        <v>253.99999999999989</v>
      </c>
      <c r="R248" s="38">
        <v>2</v>
      </c>
      <c r="S248" s="4">
        <f t="shared" ref="S248:S311" si="826">10.25*25.4</f>
        <v>260.34999999999997</v>
      </c>
      <c r="T248" s="7">
        <f>MIN(O248/K248+0.5, Q248/2/K248+0.5)</f>
        <v>3.4500000000000006</v>
      </c>
      <c r="U248" s="7">
        <f t="shared" si="702"/>
        <v>3.4500000000000006</v>
      </c>
      <c r="V248" s="38">
        <v>4</v>
      </c>
      <c r="W248" s="4">
        <f>V248</f>
        <v>4</v>
      </c>
      <c r="X248" s="4">
        <f>W248+1</f>
        <v>5</v>
      </c>
      <c r="Y248" s="7">
        <f>K248*X248^0.5</f>
        <v>56.796126628494655</v>
      </c>
      <c r="AB248" s="38">
        <f>101.8/0.145</f>
        <v>702.06896551724139</v>
      </c>
      <c r="AD248" s="4">
        <f t="shared" si="740"/>
        <v>0.84833333333333338</v>
      </c>
      <c r="AE248" s="38">
        <v>0</v>
      </c>
      <c r="AF248" s="38">
        <v>0</v>
      </c>
      <c r="AG248" s="39">
        <f>I248</f>
        <v>400.04999999999995</v>
      </c>
      <c r="AH248" s="39"/>
      <c r="AI248" s="39"/>
      <c r="AK248" s="4">
        <f>H248</f>
        <v>400.04999999999995</v>
      </c>
      <c r="AL248" s="4">
        <f t="shared" si="779"/>
        <v>0.37883597883597875</v>
      </c>
      <c r="AM248" s="4">
        <f t="shared" si="780"/>
        <v>456.63686520766981</v>
      </c>
      <c r="AN248" s="4">
        <f t="shared" si="781"/>
        <v>0.74380952380952381</v>
      </c>
      <c r="AO248" s="4">
        <v>1.25</v>
      </c>
      <c r="AP248" s="4">
        <f t="shared" si="688"/>
        <v>2.5</v>
      </c>
      <c r="AQ248" s="38">
        <f t="shared" ref="AQ248:AQ311" si="827">AL248*AN248*AO248*AP248*AM248</f>
        <v>402.09988107311045</v>
      </c>
      <c r="AR248" s="38">
        <f t="shared" si="783"/>
        <v>402.09988107311045</v>
      </c>
      <c r="AS248" s="38">
        <f t="shared" si="784"/>
        <v>3.1143714702560636</v>
      </c>
      <c r="AT248" s="38">
        <f t="shared" si="691"/>
        <v>402.09988107311091</v>
      </c>
      <c r="AU248" s="38">
        <f t="shared" si="674"/>
        <v>0.99999999999999889</v>
      </c>
      <c r="AV248" s="38">
        <f t="shared" si="692"/>
        <v>1.1479391778597043</v>
      </c>
      <c r="AW248" s="4">
        <f t="shared" si="693"/>
        <v>0</v>
      </c>
      <c r="AX248" s="4">
        <f>I248/K248*J248^0.5/0.19</f>
        <v>479.41743650185254</v>
      </c>
      <c r="AY248" s="4">
        <f t="shared" ref="AY248:AY311" si="828">MIN(0.6+0.4*(U248/T248),2)</f>
        <v>1</v>
      </c>
      <c r="AZ248" s="38">
        <f t="shared" si="701"/>
        <v>461.58620689655186</v>
      </c>
      <c r="BA248" s="4">
        <f t="shared" ref="BA248:BA311" si="829">MAX(1-0.7*W248/5,0.3)</f>
        <v>0.44000000000000006</v>
      </c>
      <c r="BB248" s="4">
        <f t="shared" ref="BB248:BB311" si="830">BA248*G248*I248/(G248*K248/2.75/J248^0.5)</f>
        <v>110.21806865177589</v>
      </c>
      <c r="BC248" s="4">
        <f t="shared" ref="BC248:BC311" si="831">AZ248+BB248</f>
        <v>571.80427554832772</v>
      </c>
      <c r="BE248" s="4">
        <f t="shared" si="689"/>
        <v>1.4875000000000003</v>
      </c>
      <c r="BF248" s="4">
        <f t="shared" si="690"/>
        <v>664.57244562417236</v>
      </c>
      <c r="BH248" s="4">
        <f t="shared" si="704"/>
        <v>442.7176207286019</v>
      </c>
      <c r="BI248" s="4">
        <f t="shared" si="705"/>
        <v>0</v>
      </c>
      <c r="BJ248" s="4">
        <f t="shared" si="706"/>
        <v>0</v>
      </c>
      <c r="BK248" s="4">
        <f t="shared" si="785"/>
        <v>74.930000000000007</v>
      </c>
      <c r="BL248" s="4">
        <f t="shared" si="786"/>
        <v>74.930000000000007</v>
      </c>
      <c r="BM248" s="4">
        <f t="shared" si="787"/>
        <v>260.34999999999997</v>
      </c>
      <c r="BN248" s="4">
        <f t="shared" si="788"/>
        <v>87.63000000000001</v>
      </c>
      <c r="BO248" s="4">
        <f t="shared" si="789"/>
        <v>1.2474576271186439</v>
      </c>
      <c r="BP248" s="25">
        <f t="shared" si="790"/>
        <v>4</v>
      </c>
      <c r="BR248" s="4">
        <f t="shared" ref="BR248:BR311" si="832">IF(Q248=0,O248,MIN(Q248/2,O248))</f>
        <v>74.930000000000007</v>
      </c>
      <c r="BZ248" s="9">
        <f t="shared" ref="BZ248:BZ311" si="833">IF(Q248=0,MIN(O248,P248),MIN(Q248/2,O248,P248))</f>
        <v>74.930000000000007</v>
      </c>
      <c r="CA248" s="9">
        <f t="shared" ref="CA248:CA311" si="834">MAX(Q248/2,O248)</f>
        <v>126.99999999999994</v>
      </c>
      <c r="CB248" s="9">
        <f t="shared" si="694"/>
        <v>1.8590163364970096</v>
      </c>
      <c r="CC248" s="40">
        <f>IF(AG248&gt;1,20,0)</f>
        <v>20</v>
      </c>
      <c r="CD248" s="9">
        <f t="shared" ref="CD248:CD311" si="835">MIN(PI()*AE248^2/4*AF248*2/R248/K248/MAX(0.01,AG248),0.05)</f>
        <v>0</v>
      </c>
      <c r="CE248" s="9">
        <f t="shared" ref="CE248:CE311" si="836">MAX(0,CC248*(CD248-0.5/50))</f>
        <v>0</v>
      </c>
      <c r="CF248" s="9">
        <f t="shared" ref="CF248:CF311" si="837">MIN(1,(25/K248)^0.3)</f>
        <v>0.99524931562137331</v>
      </c>
      <c r="CG248" s="9">
        <f t="shared" ref="CG248:CG311" si="838">IF(G248&gt;=800,0.68,IF(G248&gt;=700,0.75-(G248-700)*0.07/100,IF(G248&gt;=600,0.85-(G248-600)*0.1/100,IF(G248&gt;=500,1-(G248-500)*0.15/100,1.2-(G248-400)*0.2/100))))</f>
        <v>0.68</v>
      </c>
      <c r="CH248" s="9">
        <f t="shared" si="695"/>
        <v>1.3699215983187671</v>
      </c>
      <c r="CI248" s="9">
        <f t="shared" si="696"/>
        <v>2.5467066309946826</v>
      </c>
      <c r="CJ248" s="40">
        <v>1</v>
      </c>
      <c r="CK248" s="9">
        <f t="shared" si="697"/>
        <v>313.24491561234595</v>
      </c>
      <c r="CM248" s="4">
        <f t="shared" ref="CM248:CM311" si="839">AB248/AX248</f>
        <v>1.4644210077964666</v>
      </c>
      <c r="CN248" s="4">
        <f t="shared" ref="CN248:CN311" si="840">AB248/BC248</f>
        <v>1.2278134241721037</v>
      </c>
      <c r="CO248" s="4">
        <f t="shared" si="814"/>
        <v>1.0564220201122723</v>
      </c>
      <c r="CP248" s="4">
        <f t="shared" ref="CP248:CP311" si="841">AB248/CK248</f>
        <v>2.2412780879293885</v>
      </c>
      <c r="CQ248" s="4">
        <f t="shared" si="800"/>
        <v>0.84833333333333338</v>
      </c>
      <c r="CR248" s="4">
        <f t="shared" si="801"/>
        <v>0.91851247644247092</v>
      </c>
      <c r="CS248" s="4">
        <f t="shared" si="815"/>
        <v>0.92942217759542134</v>
      </c>
      <c r="CT248" s="4">
        <f>AF248</f>
        <v>0</v>
      </c>
      <c r="CU248" s="4">
        <f t="shared" ref="CU248:CV249" si="842">CM248</f>
        <v>1.4644210077964666</v>
      </c>
      <c r="CV248" s="4">
        <f t="shared" si="842"/>
        <v>1.2278134241721037</v>
      </c>
      <c r="CW248" s="4">
        <f t="shared" ref="CW248:CW249" si="843">CP248</f>
        <v>2.2412780879293885</v>
      </c>
      <c r="CX248" s="4">
        <f t="shared" ref="CX248:CX249" si="844">CS248</f>
        <v>0.92942217759542134</v>
      </c>
      <c r="CY248" s="4">
        <f t="shared" ref="CY248:CZ249" si="845">CQ248</f>
        <v>0.84833333333333338</v>
      </c>
      <c r="CZ248" s="4">
        <f t="shared" si="845"/>
        <v>0.91851247644247092</v>
      </c>
      <c r="DI248" s="4">
        <f t="shared" ref="DI248:DI311" si="846">I248</f>
        <v>400.04999999999995</v>
      </c>
      <c r="DL248" s="4">
        <f t="shared" si="756"/>
        <v>2.8815439209600622E-5</v>
      </c>
      <c r="DM248" s="4">
        <f t="shared" si="757"/>
        <v>7.7158084787289836</v>
      </c>
      <c r="DN248" s="4">
        <f t="shared" si="758"/>
        <v>0.66418002839985602</v>
      </c>
      <c r="DO248" s="4">
        <f t="shared" si="759"/>
        <v>6.5508214746578313</v>
      </c>
      <c r="DP248" s="4">
        <f t="shared" si="760"/>
        <v>7.157073879314968</v>
      </c>
      <c r="DQ248" s="4">
        <f t="shared" si="761"/>
        <v>6.628841658831333</v>
      </c>
      <c r="DR248" s="38">
        <f t="shared" si="791"/>
        <v>827.58620689655174</v>
      </c>
      <c r="DS248" s="4">
        <f t="shared" si="762"/>
        <v>1</v>
      </c>
      <c r="DT248" s="4">
        <f t="shared" si="763"/>
        <v>2.2360679774997898</v>
      </c>
      <c r="DU248" s="4">
        <f t="shared" si="764"/>
        <v>402.09988107311091</v>
      </c>
      <c r="DY248" s="4">
        <f t="shared" si="765"/>
        <v>0.85</v>
      </c>
      <c r="DZ248" s="4">
        <f t="shared" si="766"/>
        <v>0.80499999999999994</v>
      </c>
      <c r="EA248" s="4">
        <f t="shared" si="792"/>
        <v>1</v>
      </c>
      <c r="EB248" s="4">
        <f t="shared" si="767"/>
        <v>0.80499999999999994</v>
      </c>
      <c r="ED248" s="4">
        <f t="shared" si="793"/>
        <v>764.35430494798948</v>
      </c>
      <c r="EE248" s="25">
        <f t="shared" si="794"/>
        <v>399.78235432804496</v>
      </c>
      <c r="EG248" s="4">
        <f t="shared" si="683"/>
        <v>0.68424999999999991</v>
      </c>
      <c r="EH248" s="4">
        <f t="shared" si="795"/>
        <v>7.7158084787289836</v>
      </c>
      <c r="EK248" s="4">
        <f t="shared" si="768"/>
        <v>56.796126628494655</v>
      </c>
      <c r="EL248" s="4">
        <f t="shared" si="769"/>
        <v>2.2360679774997898</v>
      </c>
      <c r="EM248" s="4">
        <f t="shared" si="770"/>
        <v>0.21004287106042069</v>
      </c>
      <c r="EP248" s="4">
        <f>EM248</f>
        <v>0.21004287106042069</v>
      </c>
      <c r="EQ248" s="4">
        <f t="shared" si="698"/>
        <v>0.66307163571878669</v>
      </c>
      <c r="ER248" s="4">
        <f t="shared" si="772"/>
        <v>6.5464464434170813</v>
      </c>
      <c r="ES248" s="4">
        <f t="shared" ref="ES248:ES311" si="847">EH248/1.4*(1-EQ248^1.4)/(1-EQ248)</f>
        <v>7.1550722967204541</v>
      </c>
      <c r="ET248" s="4">
        <f t="shared" si="774"/>
        <v>243.24137337150532</v>
      </c>
      <c r="EU248" s="4">
        <f t="shared" si="775"/>
        <v>100.01249999999996</v>
      </c>
      <c r="EV248" s="4">
        <f t="shared" si="699"/>
        <v>2.8815439209600615E-5</v>
      </c>
      <c r="EW248" s="4">
        <f t="shared" ref="EW248:EW311" si="848">MAX(0.5*EH248, (1-2*EV248*(EK248*ER248+ET248*ES248))/(1/EH248+EV248*EU248))</f>
        <v>6.6291615343498345</v>
      </c>
      <c r="EX248" s="4">
        <f t="shared" si="707"/>
        <v>827.58620689655174</v>
      </c>
      <c r="FG248" s="23">
        <f t="shared" si="817"/>
        <v>1.6</v>
      </c>
      <c r="FH248" s="23">
        <f t="shared" si="817"/>
        <v>1.4</v>
      </c>
      <c r="FI248" s="23">
        <f t="shared" si="818"/>
        <v>1</v>
      </c>
      <c r="FJ248" s="23">
        <f t="shared" si="819"/>
        <v>2.2000000000000002</v>
      </c>
      <c r="FK248" s="23">
        <f t="shared" si="819"/>
        <v>1</v>
      </c>
      <c r="FL248" s="23">
        <f t="shared" si="819"/>
        <v>1</v>
      </c>
      <c r="FM248" s="23">
        <f t="shared" si="807"/>
        <v>0</v>
      </c>
      <c r="FX248" s="4">
        <f t="shared" si="676"/>
        <v>1</v>
      </c>
      <c r="FY248" s="4">
        <f t="shared" si="716"/>
        <v>0.5</v>
      </c>
      <c r="FZ248" s="4">
        <f t="shared" si="677"/>
        <v>0</v>
      </c>
      <c r="GA248" s="4">
        <f t="shared" si="678"/>
        <v>755.38219599366278</v>
      </c>
    </row>
    <row r="249" spans="1:183" ht="12" customHeight="1" x14ac:dyDescent="0.3">
      <c r="A249" s="25">
        <v>231</v>
      </c>
      <c r="B249" s="4" t="s">
        <v>605</v>
      </c>
      <c r="C249" s="4">
        <v>2016</v>
      </c>
      <c r="D249" s="4" t="s">
        <v>309</v>
      </c>
      <c r="E249" s="24" t="s">
        <v>661</v>
      </c>
      <c r="F249" s="4" t="s">
        <v>384</v>
      </c>
      <c r="G249" s="38">
        <f t="shared" ref="G249:G265" si="849">120/0.145</f>
        <v>827.58620689655174</v>
      </c>
      <c r="H249" s="38">
        <f>15.28*25.4</f>
        <v>388.11199999999997</v>
      </c>
      <c r="I249" s="4">
        <f t="shared" ref="I249:I312" si="850">H249</f>
        <v>388.11199999999997</v>
      </c>
      <c r="J249" s="38">
        <f>5070/145</f>
        <v>34.96551724137931</v>
      </c>
      <c r="K249" s="38">
        <f t="shared" ref="K249:K312" si="851">1*25.4</f>
        <v>25.4</v>
      </c>
      <c r="L249" s="7">
        <f t="shared" ref="L249:L312" si="852">H249/K249</f>
        <v>15.28</v>
      </c>
      <c r="M249" s="7">
        <f t="shared" ref="M249:M312" si="853">I249/K249</f>
        <v>15.28</v>
      </c>
      <c r="N249" s="38">
        <f>19.6*25.4</f>
        <v>497.84000000000003</v>
      </c>
      <c r="O249" s="38">
        <f>3.85*25.4</f>
        <v>97.789999999999992</v>
      </c>
      <c r="P249" s="39">
        <f>3.5*25.4</f>
        <v>88.899999999999991</v>
      </c>
      <c r="Q249" s="7">
        <f t="shared" ref="Q249:Q312" si="854">(N249-R249*K249-2*O249)/(R249-1)</f>
        <v>251.46000000000004</v>
      </c>
      <c r="R249" s="38">
        <v>2</v>
      </c>
      <c r="S249" s="4">
        <f t="shared" si="826"/>
        <v>260.34999999999997</v>
      </c>
      <c r="T249" s="7">
        <f t="shared" ref="T249:T312" si="855">MIN(O249/K249+0.5, Q249/2/K249+0.5)</f>
        <v>4.3499999999999996</v>
      </c>
      <c r="U249" s="7">
        <f t="shared" si="702"/>
        <v>4.3499999999999996</v>
      </c>
      <c r="V249" s="38">
        <v>4</v>
      </c>
      <c r="W249" s="4">
        <f t="shared" ref="W249:W312" si="856">V249</f>
        <v>4</v>
      </c>
      <c r="X249" s="4">
        <f t="shared" ref="X249:X312" si="857">W249+1</f>
        <v>5</v>
      </c>
      <c r="Y249" s="7">
        <f t="shared" ref="Y249:Y312" si="858">K249*X249^0.5</f>
        <v>56.796126628494655</v>
      </c>
      <c r="AB249" s="38">
        <f>120.8/0.145</f>
        <v>833.10344827586209</v>
      </c>
      <c r="AD249" s="4">
        <f t="shared" si="740"/>
        <v>1</v>
      </c>
      <c r="AE249" s="38">
        <v>0</v>
      </c>
      <c r="AF249" s="38">
        <v>0</v>
      </c>
      <c r="AG249" s="39">
        <f>I249</f>
        <v>388.11199999999997</v>
      </c>
      <c r="AH249" s="39"/>
      <c r="AI249" s="39"/>
      <c r="AK249" s="4">
        <f t="shared" ref="AK249:AK312" si="859">H249</f>
        <v>388.11199999999997</v>
      </c>
      <c r="AL249" s="4">
        <f t="shared" si="779"/>
        <v>0.42757417102966838</v>
      </c>
      <c r="AM249" s="4">
        <f t="shared" si="780"/>
        <v>446.1370328547896</v>
      </c>
      <c r="AN249" s="4">
        <f t="shared" si="781"/>
        <v>0.75693717277486905</v>
      </c>
      <c r="AO249" s="4">
        <v>1.25</v>
      </c>
      <c r="AP249" s="4">
        <f t="shared" si="688"/>
        <v>2.5</v>
      </c>
      <c r="AQ249" s="38">
        <f t="shared" si="827"/>
        <v>451.22129994667296</v>
      </c>
      <c r="AR249" s="38">
        <f t="shared" si="783"/>
        <v>451.22129994667296</v>
      </c>
      <c r="AS249" s="38">
        <f t="shared" si="784"/>
        <v>3.2078537456295186</v>
      </c>
      <c r="AT249" s="38">
        <f t="shared" si="691"/>
        <v>451.22129994667353</v>
      </c>
      <c r="AU249" s="38">
        <f t="shared" si="674"/>
        <v>0.99999999999999878</v>
      </c>
      <c r="AV249" s="38">
        <f t="shared" si="692"/>
        <v>1.3483406037611749</v>
      </c>
      <c r="AW249" s="4">
        <f t="shared" si="693"/>
        <v>0</v>
      </c>
      <c r="AX249" s="4">
        <f t="shared" ref="AX249:AX312" si="860">I249/K249*J249^0.5/0.19</f>
        <v>475.54293276793692</v>
      </c>
      <c r="AY249" s="4">
        <f t="shared" si="828"/>
        <v>1</v>
      </c>
      <c r="AZ249" s="38">
        <f t="shared" si="701"/>
        <v>608.4</v>
      </c>
      <c r="BA249" s="4">
        <f t="shared" si="829"/>
        <v>0.44000000000000006</v>
      </c>
      <c r="BB249" s="4">
        <f t="shared" si="830"/>
        <v>109.32732024334872</v>
      </c>
      <c r="BC249" s="4">
        <f t="shared" si="831"/>
        <v>717.72732024334869</v>
      </c>
      <c r="BE249" s="4">
        <f t="shared" si="689"/>
        <v>1.5</v>
      </c>
      <c r="BF249" s="4">
        <f t="shared" si="690"/>
        <v>672.68162081278126</v>
      </c>
      <c r="BH249" s="4">
        <f t="shared" si="704"/>
        <v>583.53000247177329</v>
      </c>
      <c r="BI249" s="4">
        <f t="shared" si="705"/>
        <v>0</v>
      </c>
      <c r="BJ249" s="4">
        <f t="shared" si="706"/>
        <v>0</v>
      </c>
      <c r="BK249" s="4">
        <f t="shared" si="785"/>
        <v>97.789999999999992</v>
      </c>
      <c r="BL249" s="4">
        <f t="shared" si="786"/>
        <v>97.789999999999992</v>
      </c>
      <c r="BM249" s="4">
        <f t="shared" si="787"/>
        <v>260.34999999999997</v>
      </c>
      <c r="BN249" s="4">
        <f t="shared" si="788"/>
        <v>110.49</v>
      </c>
      <c r="BO249" s="4">
        <f t="shared" si="789"/>
        <v>1.1662337662337663</v>
      </c>
      <c r="BP249" s="25">
        <f t="shared" si="790"/>
        <v>4</v>
      </c>
      <c r="BR249" s="4">
        <f t="shared" si="832"/>
        <v>97.789999999999992</v>
      </c>
      <c r="BZ249" s="9">
        <f t="shared" si="833"/>
        <v>88.899999999999991</v>
      </c>
      <c r="CA249" s="9">
        <f t="shared" si="834"/>
        <v>125.73000000000002</v>
      </c>
      <c r="CB249" s="9">
        <f t="shared" si="694"/>
        <v>1.9706731314151338</v>
      </c>
      <c r="CC249" s="40">
        <f t="shared" ref="CC249:CC312" si="861">IF(AG249&gt;1,20,0)</f>
        <v>20</v>
      </c>
      <c r="CD249" s="9">
        <f t="shared" si="835"/>
        <v>0</v>
      </c>
      <c r="CE249" s="9">
        <f t="shared" si="836"/>
        <v>0</v>
      </c>
      <c r="CF249" s="9">
        <f t="shared" si="837"/>
        <v>0.99524931562137331</v>
      </c>
      <c r="CG249" s="9">
        <f t="shared" si="838"/>
        <v>0.68</v>
      </c>
      <c r="CH249" s="9">
        <f t="shared" si="695"/>
        <v>1.4006474122126336</v>
      </c>
      <c r="CI249" s="9">
        <f t="shared" si="696"/>
        <v>2.7602182218335742</v>
      </c>
      <c r="CJ249" s="40">
        <v>1</v>
      </c>
      <c r="CK249" s="9">
        <f t="shared" si="697"/>
        <v>334.31763102848254</v>
      </c>
      <c r="CM249" s="4">
        <f t="shared" si="839"/>
        <v>1.7518995465387628</v>
      </c>
      <c r="CN249" s="4">
        <f t="shared" si="840"/>
        <v>1.1607520360147285</v>
      </c>
      <c r="CO249" s="4">
        <f t="shared" si="814"/>
        <v>1.2384810622137228</v>
      </c>
      <c r="CP249" s="4">
        <f t="shared" si="841"/>
        <v>2.4919518773596629</v>
      </c>
      <c r="CQ249" s="4">
        <f t="shared" si="800"/>
        <v>1</v>
      </c>
      <c r="CR249" s="4">
        <f t="shared" si="801"/>
        <v>1</v>
      </c>
      <c r="CS249" s="4">
        <f t="shared" si="815"/>
        <v>1.1242757318376362</v>
      </c>
      <c r="CT249" s="4">
        <f t="shared" ref="CT249:CT312" si="862">AF249</f>
        <v>0</v>
      </c>
      <c r="CU249" s="4">
        <f t="shared" si="842"/>
        <v>1.7518995465387628</v>
      </c>
      <c r="CV249" s="4">
        <f t="shared" si="842"/>
        <v>1.1607520360147285</v>
      </c>
      <c r="CW249" s="4">
        <f t="shared" si="843"/>
        <v>2.4919518773596629</v>
      </c>
      <c r="CX249" s="4">
        <f t="shared" si="844"/>
        <v>1.1242757318376362</v>
      </c>
      <c r="CY249" s="4">
        <f t="shared" si="845"/>
        <v>1</v>
      </c>
      <c r="CZ249" s="4">
        <f t="shared" si="845"/>
        <v>1</v>
      </c>
      <c r="DI249" s="4">
        <f t="shared" si="846"/>
        <v>388.11199999999997</v>
      </c>
      <c r="DL249" s="4">
        <f t="shared" si="756"/>
        <v>2.824931335368085E-5</v>
      </c>
      <c r="DM249" s="4">
        <f t="shared" si="757"/>
        <v>8.8818695030737906</v>
      </c>
      <c r="DN249" s="4">
        <f t="shared" si="758"/>
        <v>0.71297653914085279</v>
      </c>
      <c r="DO249" s="4">
        <f t="shared" si="759"/>
        <v>7.757726845919704</v>
      </c>
      <c r="DP249" s="4">
        <f t="shared" si="760"/>
        <v>8.3387714689642198</v>
      </c>
      <c r="DQ249" s="4">
        <f t="shared" si="761"/>
        <v>7.4978516818718992</v>
      </c>
      <c r="DR249" s="38">
        <f t="shared" si="791"/>
        <v>833.10344827586209</v>
      </c>
      <c r="DS249" s="4">
        <f t="shared" si="762"/>
        <v>1</v>
      </c>
      <c r="DT249" s="4">
        <f t="shared" si="763"/>
        <v>2.2360679774997898</v>
      </c>
      <c r="DU249" s="4">
        <f t="shared" si="764"/>
        <v>451.22129994667353</v>
      </c>
      <c r="DY249" s="4">
        <f t="shared" si="765"/>
        <v>0.85</v>
      </c>
      <c r="DZ249" s="4">
        <f t="shared" si="766"/>
        <v>0.71500000000000008</v>
      </c>
      <c r="EA249" s="4">
        <f t="shared" si="792"/>
        <v>1</v>
      </c>
      <c r="EB249" s="4">
        <f t="shared" si="767"/>
        <v>0.71500000000000008</v>
      </c>
      <c r="ED249" s="4">
        <f t="shared" si="793"/>
        <v>833.10344827586209</v>
      </c>
      <c r="EE249" s="25">
        <f t="shared" si="794"/>
        <v>448.57090093705455</v>
      </c>
      <c r="EG249" s="4">
        <f t="shared" si="683"/>
        <v>0.60775000000000001</v>
      </c>
      <c r="EH249" s="4">
        <f t="shared" si="795"/>
        <v>8.8818695030737906</v>
      </c>
      <c r="EK249" s="4">
        <f t="shared" si="768"/>
        <v>56.796126628494655</v>
      </c>
      <c r="EL249" s="4">
        <f t="shared" si="769"/>
        <v>2.2360679774997898</v>
      </c>
      <c r="EM249" s="4">
        <f t="shared" si="770"/>
        <v>0.23053161000640462</v>
      </c>
      <c r="EP249" s="4">
        <f t="shared" ref="EP249:EP312" si="863">EM249</f>
        <v>0.23053161000640462</v>
      </c>
      <c r="EQ249" s="4">
        <f t="shared" si="698"/>
        <v>0.71178671417779027</v>
      </c>
      <c r="ER249" s="4">
        <f t="shared" si="772"/>
        <v>7.7525457709294319</v>
      </c>
      <c r="ES249" s="4">
        <f t="shared" si="847"/>
        <v>8.3363620617554428</v>
      </c>
      <c r="ET249" s="4">
        <f t="shared" si="774"/>
        <v>234.2878733715053</v>
      </c>
      <c r="EU249" s="4">
        <f t="shared" si="775"/>
        <v>97.027999999999992</v>
      </c>
      <c r="EV249" s="4">
        <f t="shared" si="699"/>
        <v>2.824931335368085E-5</v>
      </c>
      <c r="EW249" s="4">
        <f t="shared" si="848"/>
        <v>7.4982723772933024</v>
      </c>
      <c r="EX249" s="4">
        <f t="shared" si="707"/>
        <v>833.10344827586209</v>
      </c>
      <c r="FG249" s="23">
        <f t="shared" si="817"/>
        <v>1.8</v>
      </c>
      <c r="FH249" s="23">
        <f t="shared" si="817"/>
        <v>1.2</v>
      </c>
      <c r="FI249" s="23">
        <f t="shared" si="818"/>
        <v>1.2</v>
      </c>
      <c r="FJ249" s="23">
        <f t="shared" si="819"/>
        <v>2.2000000000000002</v>
      </c>
      <c r="FK249" s="23">
        <f t="shared" si="819"/>
        <v>1.2</v>
      </c>
      <c r="FL249" s="23">
        <f t="shared" si="819"/>
        <v>1.2</v>
      </c>
      <c r="FM249" s="23">
        <f t="shared" si="807"/>
        <v>0</v>
      </c>
      <c r="FX249" s="4">
        <f t="shared" si="676"/>
        <v>1</v>
      </c>
      <c r="FY249" s="4">
        <f t="shared" si="716"/>
        <v>0.5</v>
      </c>
      <c r="FZ249" s="4">
        <f t="shared" si="677"/>
        <v>0</v>
      </c>
      <c r="GA249" s="4">
        <f t="shared" si="678"/>
        <v>741.0134584281642</v>
      </c>
    </row>
    <row r="250" spans="1:183" ht="12" customHeight="1" x14ac:dyDescent="0.3">
      <c r="A250" s="25">
        <v>232</v>
      </c>
      <c r="B250" s="4" t="s">
        <v>605</v>
      </c>
      <c r="C250" s="4">
        <v>2016</v>
      </c>
      <c r="D250" s="4" t="s">
        <v>309</v>
      </c>
      <c r="E250" s="24" t="s">
        <v>661</v>
      </c>
      <c r="F250" s="4" t="s">
        <v>385</v>
      </c>
      <c r="G250" s="38">
        <f t="shared" si="849"/>
        <v>827.58620689655174</v>
      </c>
      <c r="H250" s="38">
        <f>12.38*25.4</f>
        <v>314.452</v>
      </c>
      <c r="I250" s="4">
        <f t="shared" si="850"/>
        <v>314.452</v>
      </c>
      <c r="J250" s="38">
        <f>5070/145</f>
        <v>34.96551724137931</v>
      </c>
      <c r="K250" s="38">
        <f t="shared" si="851"/>
        <v>25.4</v>
      </c>
      <c r="L250" s="7">
        <f t="shared" si="852"/>
        <v>12.38</v>
      </c>
      <c r="M250" s="7">
        <f t="shared" si="853"/>
        <v>12.38</v>
      </c>
      <c r="N250" s="38">
        <f>17.6*25.4</f>
        <v>447.04</v>
      </c>
      <c r="O250" s="38">
        <f>2.9*25.4</f>
        <v>73.66</v>
      </c>
      <c r="P250" s="39">
        <f>3.5*25.4</f>
        <v>88.899999999999991</v>
      </c>
      <c r="Q250" s="7">
        <f t="shared" si="854"/>
        <v>248.92000000000002</v>
      </c>
      <c r="R250" s="38">
        <v>2</v>
      </c>
      <c r="S250" s="4">
        <f t="shared" si="826"/>
        <v>260.34999999999997</v>
      </c>
      <c r="T250" s="7">
        <f t="shared" si="855"/>
        <v>3.4</v>
      </c>
      <c r="U250" s="7">
        <f t="shared" si="702"/>
        <v>3.4</v>
      </c>
      <c r="V250" s="38">
        <v>4</v>
      </c>
      <c r="W250" s="4">
        <f t="shared" si="856"/>
        <v>4</v>
      </c>
      <c r="X250" s="4">
        <f t="shared" si="857"/>
        <v>5</v>
      </c>
      <c r="Y250" s="7">
        <f t="shared" si="858"/>
        <v>56.796126628494655</v>
      </c>
      <c r="AB250" s="38">
        <f>110.8/0.145</f>
        <v>764.13793103448279</v>
      </c>
      <c r="AD250" s="4">
        <f t="shared" si="740"/>
        <v>1.0732340453544049</v>
      </c>
      <c r="AE250" s="38">
        <f>0.375*25.4</f>
        <v>9.5249999999999986</v>
      </c>
      <c r="AF250" s="38">
        <v>8</v>
      </c>
      <c r="AG250" s="39">
        <f>3*25.4</f>
        <v>76.199999999999989</v>
      </c>
      <c r="AH250" s="39">
        <v>3</v>
      </c>
      <c r="AI250" s="39">
        <v>1</v>
      </c>
      <c r="AK250" s="4">
        <f t="shared" si="859"/>
        <v>314.452</v>
      </c>
      <c r="AL250" s="4">
        <f t="shared" si="779"/>
        <v>0.47388260635433493</v>
      </c>
      <c r="AM250" s="4">
        <f t="shared" si="780"/>
        <v>325.36003808676742</v>
      </c>
      <c r="AN250" s="4">
        <f t="shared" si="781"/>
        <v>0.75492730210016146</v>
      </c>
      <c r="AO250" s="4">
        <v>1.25</v>
      </c>
      <c r="AP250" s="4">
        <f t="shared" si="688"/>
        <v>2.5</v>
      </c>
      <c r="AQ250" s="38">
        <f>AL250*AN250*AO250*AP250*AM250</f>
        <v>363.73922097530163</v>
      </c>
      <c r="AR250" s="38">
        <f t="shared" si="783"/>
        <v>363.73922097530163</v>
      </c>
      <c r="AS250" s="38">
        <f t="shared" si="784"/>
        <v>3.2078537456295186</v>
      </c>
      <c r="AT250" s="38">
        <f t="shared" si="691"/>
        <v>363.73922097530118</v>
      </c>
      <c r="AU250" s="38">
        <f t="shared" si="674"/>
        <v>1.0000000000000013</v>
      </c>
      <c r="AV250" s="38">
        <f t="shared" si="692"/>
        <v>1.3073405535089337</v>
      </c>
      <c r="AW250" s="4">
        <f t="shared" si="693"/>
        <v>0</v>
      </c>
      <c r="AX250" s="4">
        <f t="shared" si="860"/>
        <v>385.289365685017</v>
      </c>
      <c r="AY250" s="4">
        <f t="shared" si="828"/>
        <v>1</v>
      </c>
      <c r="AZ250" s="38">
        <f t="shared" si="701"/>
        <v>475.53103448275857</v>
      </c>
      <c r="BA250" s="4">
        <f t="shared" si="829"/>
        <v>0.44000000000000006</v>
      </c>
      <c r="BB250" s="4">
        <f t="shared" si="830"/>
        <v>88.578025170985427</v>
      </c>
      <c r="BC250" s="4">
        <f t="shared" si="831"/>
        <v>564.109059653744</v>
      </c>
      <c r="BE250" s="4">
        <f t="shared" si="689"/>
        <v>1.5</v>
      </c>
      <c r="BF250" s="4">
        <f t="shared" si="690"/>
        <v>595.51482095688459</v>
      </c>
      <c r="BH250" s="4">
        <f t="shared" si="704"/>
        <v>456.0924157250642</v>
      </c>
      <c r="BI250" s="4">
        <f t="shared" si="705"/>
        <v>0</v>
      </c>
      <c r="BJ250" s="4">
        <f t="shared" si="706"/>
        <v>0</v>
      </c>
      <c r="BK250" s="4">
        <f t="shared" si="785"/>
        <v>73.66</v>
      </c>
      <c r="BL250" s="4">
        <f t="shared" si="786"/>
        <v>73.66</v>
      </c>
      <c r="BM250" s="4">
        <f t="shared" si="787"/>
        <v>260.34999999999997</v>
      </c>
      <c r="BN250" s="4">
        <f t="shared" si="788"/>
        <v>86.36</v>
      </c>
      <c r="BO250" s="4">
        <f t="shared" si="789"/>
        <v>1.25</v>
      </c>
      <c r="BP250" s="25">
        <f t="shared" si="790"/>
        <v>4</v>
      </c>
      <c r="BR250" s="4">
        <f t="shared" si="832"/>
        <v>73.66</v>
      </c>
      <c r="BZ250" s="9">
        <f t="shared" si="833"/>
        <v>73.66</v>
      </c>
      <c r="CA250" s="9">
        <f t="shared" si="834"/>
        <v>124.46000000000001</v>
      </c>
      <c r="CB250" s="9">
        <f t="shared" si="694"/>
        <v>1.842335460367019</v>
      </c>
      <c r="CC250" s="40">
        <f t="shared" si="861"/>
        <v>20</v>
      </c>
      <c r="CD250" s="9">
        <f t="shared" si="835"/>
        <v>0.05</v>
      </c>
      <c r="CE250" s="9">
        <f t="shared" si="836"/>
        <v>0.8</v>
      </c>
      <c r="CF250" s="9">
        <f t="shared" si="837"/>
        <v>0.99524931562137331</v>
      </c>
      <c r="CG250" s="9">
        <f t="shared" si="838"/>
        <v>0.68</v>
      </c>
      <c r="CH250" s="9">
        <f t="shared" si="695"/>
        <v>1.4006474122126336</v>
      </c>
      <c r="CI250" s="9">
        <f t="shared" si="696"/>
        <v>3.5016185305315837</v>
      </c>
      <c r="CJ250" s="40">
        <v>1</v>
      </c>
      <c r="CK250" s="9">
        <f t="shared" si="697"/>
        <v>383.49726146381903</v>
      </c>
      <c r="CM250" s="4">
        <f t="shared" si="839"/>
        <v>1.9832832128026687</v>
      </c>
      <c r="CN250" s="4">
        <f t="shared" si="840"/>
        <v>1.3545925525527256</v>
      </c>
      <c r="CO250" s="4">
        <f t="shared" si="814"/>
        <v>1.2831551863086319</v>
      </c>
      <c r="CP250" s="4">
        <f t="shared" si="841"/>
        <v>1.9925512065399069</v>
      </c>
      <c r="CQ250" s="4">
        <f t="shared" si="800"/>
        <v>1.0732340453544049</v>
      </c>
      <c r="CR250" s="4">
        <f t="shared" si="801"/>
        <v>1.1669913938500407</v>
      </c>
      <c r="CS250" s="4">
        <f t="shared" si="815"/>
        <v>1.1200335813374223</v>
      </c>
      <c r="CT250" s="4">
        <f t="shared" si="862"/>
        <v>8</v>
      </c>
      <c r="DA250" s="4">
        <f t="shared" ref="DA250:DB253" si="864">CM250</f>
        <v>1.9832832128026687</v>
      </c>
      <c r="DB250" s="4">
        <f t="shared" si="864"/>
        <v>1.3545925525527256</v>
      </c>
      <c r="DC250" s="4">
        <f t="shared" ref="DC250:DC253" si="865">CP250</f>
        <v>1.9925512065399069</v>
      </c>
      <c r="DD250" s="4">
        <f t="shared" ref="DD250:DD253" si="866">CS250</f>
        <v>1.1200335813374223</v>
      </c>
      <c r="DE250" s="4">
        <f t="shared" ref="DE250:DF253" si="867">CQ250</f>
        <v>1.0732340453544049</v>
      </c>
      <c r="DF250" s="4">
        <f t="shared" si="867"/>
        <v>1.1669913938500407</v>
      </c>
      <c r="DI250" s="4">
        <f t="shared" si="846"/>
        <v>314.452</v>
      </c>
      <c r="DL250" s="4">
        <f t="shared" si="756"/>
        <v>2.288785990304771E-5</v>
      </c>
      <c r="DM250" s="4">
        <f t="shared" si="757"/>
        <v>7.9143659395695911</v>
      </c>
      <c r="DN250" s="4">
        <f t="shared" si="758"/>
        <v>0.57474576433206792</v>
      </c>
      <c r="DO250" s="4">
        <f t="shared" si="759"/>
        <v>6.3417108831781732</v>
      </c>
      <c r="DP250" s="4">
        <f t="shared" si="760"/>
        <v>7.1713310578929521</v>
      </c>
      <c r="DQ250" s="4">
        <f t="shared" si="761"/>
        <v>7.2159534770603102</v>
      </c>
      <c r="DR250" s="38">
        <f t="shared" si="791"/>
        <v>711.9956120867821</v>
      </c>
      <c r="DS250" s="4">
        <f t="shared" si="762"/>
        <v>1.0001237680321675</v>
      </c>
      <c r="DT250" s="4">
        <f t="shared" si="763"/>
        <v>2.2360679774997898</v>
      </c>
      <c r="DU250" s="4">
        <f t="shared" si="764"/>
        <v>363.73922097530118</v>
      </c>
      <c r="DY250" s="4">
        <f t="shared" si="765"/>
        <v>0.85</v>
      </c>
      <c r="DZ250" s="4">
        <f t="shared" si="766"/>
        <v>0.80999999999999994</v>
      </c>
      <c r="EA250" s="4">
        <f t="shared" si="792"/>
        <v>0.99062499999999998</v>
      </c>
      <c r="EB250" s="4">
        <f t="shared" si="767"/>
        <v>0.80240624999999988</v>
      </c>
      <c r="ED250" s="4">
        <f t="shared" si="793"/>
        <v>654.79311592307693</v>
      </c>
      <c r="EE250" s="25">
        <f t="shared" si="794"/>
        <v>360.85356492746229</v>
      </c>
      <c r="EG250" s="4">
        <f t="shared" si="683"/>
        <v>0.68204531249999989</v>
      </c>
      <c r="EH250" s="4">
        <f t="shared" si="795"/>
        <v>7.9143659395695911</v>
      </c>
      <c r="EK250" s="4">
        <f t="shared" si="768"/>
        <v>56.796126628494655</v>
      </c>
      <c r="EL250" s="4">
        <f t="shared" si="769"/>
        <v>2.2360679774997898</v>
      </c>
      <c r="EM250" s="4">
        <f t="shared" si="770"/>
        <v>0.18583650249627301</v>
      </c>
      <c r="EP250" s="4">
        <f t="shared" si="863"/>
        <v>0.18583650249627301</v>
      </c>
      <c r="EQ250" s="4">
        <f t="shared" si="698"/>
        <v>0.57378662076944675</v>
      </c>
      <c r="ER250" s="4">
        <f t="shared" si="772"/>
        <v>6.3374755085246219</v>
      </c>
      <c r="ES250" s="4">
        <f t="shared" si="847"/>
        <v>7.169459329515119</v>
      </c>
      <c r="ET250" s="4">
        <f t="shared" si="774"/>
        <v>179.04287337150535</v>
      </c>
      <c r="EU250" s="4">
        <f t="shared" si="775"/>
        <v>78.612999999999971</v>
      </c>
      <c r="EV250" s="4">
        <f t="shared" si="699"/>
        <v>2.28878599030477E-5</v>
      </c>
      <c r="EW250" s="4">
        <f t="shared" si="848"/>
        <v>7.2161591068256854</v>
      </c>
      <c r="EX250" s="4">
        <f t="shared" si="707"/>
        <v>711.90750069633555</v>
      </c>
      <c r="FG250" s="23">
        <f t="shared" si="817"/>
        <v>2</v>
      </c>
      <c r="FH250" s="23">
        <f t="shared" si="817"/>
        <v>1.4</v>
      </c>
      <c r="FI250" s="23">
        <f t="shared" si="818"/>
        <v>1.2</v>
      </c>
      <c r="FJ250" s="23">
        <f t="shared" si="819"/>
        <v>2</v>
      </c>
      <c r="FK250" s="23">
        <f t="shared" si="819"/>
        <v>1.2</v>
      </c>
      <c r="FL250" s="23">
        <f t="shared" si="819"/>
        <v>1.2</v>
      </c>
      <c r="FM250" s="23">
        <f t="shared" si="807"/>
        <v>0</v>
      </c>
      <c r="FX250" s="4">
        <f t="shared" si="676"/>
        <v>1</v>
      </c>
      <c r="FY250" s="4">
        <f t="shared" si="716"/>
        <v>0.44</v>
      </c>
      <c r="FZ250" s="4">
        <f t="shared" si="677"/>
        <v>0.3</v>
      </c>
      <c r="GA250" s="4">
        <f t="shared" si="678"/>
        <v>682.24555385386964</v>
      </c>
    </row>
    <row r="251" spans="1:183" ht="12" customHeight="1" x14ac:dyDescent="0.3">
      <c r="A251" s="25">
        <v>233</v>
      </c>
      <c r="B251" s="4" t="s">
        <v>605</v>
      </c>
      <c r="C251" s="4">
        <v>2016</v>
      </c>
      <c r="D251" s="4" t="s">
        <v>309</v>
      </c>
      <c r="E251" s="24" t="s">
        <v>661</v>
      </c>
      <c r="F251" s="7" t="s">
        <v>386</v>
      </c>
      <c r="G251" s="38">
        <f t="shared" si="849"/>
        <v>827.58620689655174</v>
      </c>
      <c r="H251" s="38">
        <f>12.06*25.4</f>
        <v>306.32400000000001</v>
      </c>
      <c r="I251" s="4">
        <f t="shared" si="850"/>
        <v>306.32400000000001</v>
      </c>
      <c r="J251" s="38">
        <f>5380/145</f>
        <v>37.103448275862071</v>
      </c>
      <c r="K251" s="38">
        <f t="shared" si="851"/>
        <v>25.4</v>
      </c>
      <c r="L251" s="7">
        <f t="shared" si="852"/>
        <v>12.06</v>
      </c>
      <c r="M251" s="7">
        <f t="shared" si="853"/>
        <v>12.06</v>
      </c>
      <c r="N251" s="38">
        <f>20*25.4</f>
        <v>508</v>
      </c>
      <c r="O251" s="38">
        <f>4*25.4</f>
        <v>101.6</v>
      </c>
      <c r="P251" s="39">
        <f>3.75*25.4</f>
        <v>95.25</v>
      </c>
      <c r="Q251" s="7">
        <f t="shared" si="854"/>
        <v>254</v>
      </c>
      <c r="R251" s="38">
        <v>2</v>
      </c>
      <c r="S251" s="4">
        <f t="shared" si="826"/>
        <v>260.34999999999997</v>
      </c>
      <c r="T251" s="7">
        <f t="shared" si="855"/>
        <v>4.5</v>
      </c>
      <c r="U251" s="7">
        <f t="shared" si="702"/>
        <v>4.5</v>
      </c>
      <c r="V251" s="38">
        <v>4</v>
      </c>
      <c r="W251" s="4">
        <f t="shared" si="856"/>
        <v>4</v>
      </c>
      <c r="X251" s="4">
        <f t="shared" si="857"/>
        <v>5</v>
      </c>
      <c r="Y251" s="7">
        <f t="shared" si="858"/>
        <v>56.796126628494655</v>
      </c>
      <c r="AB251" s="38">
        <f>121.7/0.145</f>
        <v>839.31034482758628</v>
      </c>
      <c r="AD251" s="4">
        <f t="shared" si="740"/>
        <v>1.0025154962900582</v>
      </c>
      <c r="AE251" s="38">
        <f t="shared" ref="AE251:AE253" si="868">0.375*25.4</f>
        <v>9.5249999999999986</v>
      </c>
      <c r="AF251" s="38">
        <v>8</v>
      </c>
      <c r="AG251" s="39">
        <f>3*25.4</f>
        <v>76.199999999999989</v>
      </c>
      <c r="AH251" s="39">
        <v>3</v>
      </c>
      <c r="AI251" s="39">
        <v>1</v>
      </c>
      <c r="AJ251" s="7"/>
      <c r="AK251" s="4">
        <f t="shared" si="859"/>
        <v>306.32400000000001</v>
      </c>
      <c r="AL251" s="4">
        <f t="shared" si="779"/>
        <v>0.55279159756771701</v>
      </c>
      <c r="AM251" s="4">
        <f t="shared" si="780"/>
        <v>322.24884028531784</v>
      </c>
      <c r="AN251" s="4">
        <f t="shared" si="781"/>
        <v>0.77462686567164174</v>
      </c>
      <c r="AO251" s="4">
        <v>1.25</v>
      </c>
      <c r="AP251" s="4">
        <f t="shared" si="688"/>
        <v>2.5</v>
      </c>
      <c r="AQ251" s="38">
        <f t="shared" si="827"/>
        <v>431.21650275797623</v>
      </c>
      <c r="AR251" s="38">
        <f t="shared" si="783"/>
        <v>431.21650275797623</v>
      </c>
      <c r="AS251" s="38">
        <f t="shared" si="784"/>
        <v>3.3373168177886376</v>
      </c>
      <c r="AT251" s="38">
        <f t="shared" si="691"/>
        <v>431.21650275797634</v>
      </c>
      <c r="AU251" s="38">
        <f t="shared" si="674"/>
        <v>0.99999999999999978</v>
      </c>
      <c r="AV251" s="38">
        <f t="shared" si="692"/>
        <v>1.5487859687512009</v>
      </c>
      <c r="AW251" s="4">
        <f t="shared" si="693"/>
        <v>0</v>
      </c>
      <c r="AX251" s="4">
        <f t="shared" si="860"/>
        <v>386.63471310203067</v>
      </c>
      <c r="AY251" s="4">
        <f t="shared" si="828"/>
        <v>1</v>
      </c>
      <c r="AZ251" s="38">
        <f t="shared" si="701"/>
        <v>667.86206896551732</v>
      </c>
      <c r="BA251" s="4">
        <f t="shared" si="829"/>
        <v>0.44000000000000006</v>
      </c>
      <c r="BB251" s="4">
        <f t="shared" si="830"/>
        <v>88.887320542156857</v>
      </c>
      <c r="BC251" s="4">
        <f t="shared" si="831"/>
        <v>756.74938950767421</v>
      </c>
      <c r="BE251" s="4">
        <f t="shared" si="689"/>
        <v>1.5</v>
      </c>
      <c r="BF251" s="4">
        <f t="shared" si="690"/>
        <v>604.67937928949675</v>
      </c>
      <c r="BH251" s="4">
        <f t="shared" si="704"/>
        <v>640.56139834689668</v>
      </c>
      <c r="BI251" s="4">
        <f t="shared" si="705"/>
        <v>0</v>
      </c>
      <c r="BJ251" s="4">
        <f t="shared" si="706"/>
        <v>0</v>
      </c>
      <c r="BK251" s="4">
        <f t="shared" si="785"/>
        <v>101.6</v>
      </c>
      <c r="BL251" s="4">
        <f t="shared" si="786"/>
        <v>101.6</v>
      </c>
      <c r="BM251" s="4">
        <f t="shared" si="787"/>
        <v>260.34999999999997</v>
      </c>
      <c r="BN251" s="4">
        <f t="shared" si="788"/>
        <v>114.3</v>
      </c>
      <c r="BO251" s="4">
        <f t="shared" si="789"/>
        <v>1.15625</v>
      </c>
      <c r="BP251" s="25">
        <f t="shared" si="790"/>
        <v>4</v>
      </c>
      <c r="BR251" s="4">
        <f t="shared" si="832"/>
        <v>101.6</v>
      </c>
      <c r="BV251" s="9"/>
      <c r="BX251" s="9"/>
      <c r="BY251" s="9"/>
      <c r="BZ251" s="9">
        <f t="shared" si="833"/>
        <v>95.25</v>
      </c>
      <c r="CA251" s="9">
        <f t="shared" si="834"/>
        <v>127</v>
      </c>
      <c r="CB251" s="9">
        <f t="shared" si="694"/>
        <v>2.0218849722190098</v>
      </c>
      <c r="CC251" s="40">
        <f t="shared" si="861"/>
        <v>20</v>
      </c>
      <c r="CD251" s="9">
        <f t="shared" si="835"/>
        <v>0.05</v>
      </c>
      <c r="CE251" s="9">
        <f t="shared" si="836"/>
        <v>0.8</v>
      </c>
      <c r="CF251" s="9">
        <f t="shared" si="837"/>
        <v>0.99524931562137331</v>
      </c>
      <c r="CG251" s="9">
        <f t="shared" si="838"/>
        <v>0.68</v>
      </c>
      <c r="CH251" s="9">
        <f t="shared" si="695"/>
        <v>1.4428327162401366</v>
      </c>
      <c r="CI251" s="9">
        <f t="shared" si="696"/>
        <v>3.6070817906003416</v>
      </c>
      <c r="CJ251" s="40">
        <v>1</v>
      </c>
      <c r="CK251" s="9">
        <f t="shared" si="697"/>
        <v>390.43053301458099</v>
      </c>
      <c r="CM251" s="4">
        <f t="shared" si="839"/>
        <v>2.1708095946524519</v>
      </c>
      <c r="CN251" s="4">
        <f t="shared" si="840"/>
        <v>1.1090994673594974</v>
      </c>
      <c r="CO251" s="4">
        <f t="shared" si="814"/>
        <v>1.3880254124322593</v>
      </c>
      <c r="CP251" s="4">
        <f t="shared" si="841"/>
        <v>2.1497046820266013</v>
      </c>
      <c r="CQ251" s="4">
        <f t="shared" si="800"/>
        <v>1.0025154962900582</v>
      </c>
      <c r="CR251" s="4">
        <f t="shared" si="801"/>
        <v>1.0958321519136152</v>
      </c>
      <c r="CS251" s="4">
        <f t="shared" si="815"/>
        <v>1.2442613749021638</v>
      </c>
      <c r="CT251" s="4">
        <f t="shared" si="862"/>
        <v>8</v>
      </c>
      <c r="DA251" s="4">
        <f t="shared" si="864"/>
        <v>2.1708095946524519</v>
      </c>
      <c r="DB251" s="4">
        <f t="shared" si="864"/>
        <v>1.1090994673594974</v>
      </c>
      <c r="DC251" s="4">
        <f t="shared" si="865"/>
        <v>2.1497046820266013</v>
      </c>
      <c r="DD251" s="4">
        <f t="shared" si="866"/>
        <v>1.2442613749021638</v>
      </c>
      <c r="DE251" s="4">
        <f t="shared" si="867"/>
        <v>1.0025154962900582</v>
      </c>
      <c r="DF251" s="4">
        <f t="shared" si="867"/>
        <v>1.0958321519136152</v>
      </c>
      <c r="DI251" s="4">
        <f t="shared" si="846"/>
        <v>306.32400000000001</v>
      </c>
      <c r="DL251" s="4">
        <f t="shared" si="756"/>
        <v>2.2622636639966186E-5</v>
      </c>
      <c r="DM251" s="4">
        <f t="shared" si="757"/>
        <v>9.3454355759249683</v>
      </c>
      <c r="DN251" s="4">
        <f t="shared" si="758"/>
        <v>0.6421059640052692</v>
      </c>
      <c r="DO251" s="4">
        <f t="shared" si="759"/>
        <v>7.827845214538236</v>
      </c>
      <c r="DP251" s="4">
        <f t="shared" si="760"/>
        <v>8.6201282342357342</v>
      </c>
      <c r="DQ251" s="4">
        <f t="shared" si="761"/>
        <v>8.3912116791286806</v>
      </c>
      <c r="DR251" s="38">
        <f t="shared" si="791"/>
        <v>837.20436036506749</v>
      </c>
      <c r="DS251" s="4">
        <f t="shared" si="762"/>
        <v>1.0001288226971616</v>
      </c>
      <c r="DT251" s="4">
        <f t="shared" si="763"/>
        <v>2.2360679774997898</v>
      </c>
      <c r="DU251" s="4">
        <f t="shared" si="764"/>
        <v>431.21650275797634</v>
      </c>
      <c r="DY251" s="4">
        <f t="shared" si="765"/>
        <v>0.85</v>
      </c>
      <c r="DZ251" s="4">
        <f t="shared" si="766"/>
        <v>0.7</v>
      </c>
      <c r="EA251" s="4">
        <f t="shared" si="792"/>
        <v>0.99062499999999998</v>
      </c>
      <c r="EB251" s="4">
        <f t="shared" si="767"/>
        <v>0.7</v>
      </c>
      <c r="ED251" s="4">
        <f t="shared" si="793"/>
        <v>765.91140656160405</v>
      </c>
      <c r="EE251" s="25">
        <f t="shared" si="794"/>
        <v>427.79354742463875</v>
      </c>
      <c r="EG251" s="4">
        <f t="shared" si="683"/>
        <v>0.59499999999999997</v>
      </c>
      <c r="EH251" s="4">
        <f t="shared" si="795"/>
        <v>9.3454355759249683</v>
      </c>
      <c r="EK251" s="4">
        <f t="shared" si="768"/>
        <v>56.796126628494655</v>
      </c>
      <c r="EL251" s="4">
        <f t="shared" si="769"/>
        <v>2.2360679774997898</v>
      </c>
      <c r="EM251" s="4">
        <f t="shared" si="770"/>
        <v>0.21386962397516138</v>
      </c>
      <c r="EP251" s="4">
        <f t="shared" si="863"/>
        <v>0.21386962397516138</v>
      </c>
      <c r="EQ251" s="4">
        <f t="shared" si="698"/>
        <v>0.64103440882362794</v>
      </c>
      <c r="ER251" s="4">
        <f t="shared" si="772"/>
        <v>7.8226173102984617</v>
      </c>
      <c r="ES251" s="4">
        <f t="shared" si="847"/>
        <v>8.6177553730976868</v>
      </c>
      <c r="ET251" s="4">
        <f t="shared" si="774"/>
        <v>172.94687337150535</v>
      </c>
      <c r="EU251" s="4">
        <f t="shared" si="775"/>
        <v>76.581000000000017</v>
      </c>
      <c r="EV251" s="4">
        <f t="shared" si="699"/>
        <v>2.262263663996619E-5</v>
      </c>
      <c r="EW251" s="4">
        <f t="shared" si="848"/>
        <v>8.3915059880731953</v>
      </c>
      <c r="EX251" s="4">
        <f t="shared" si="707"/>
        <v>837.09652333314716</v>
      </c>
      <c r="FG251" s="23">
        <f t="shared" si="817"/>
        <v>2.2000000000000002</v>
      </c>
      <c r="FH251" s="23">
        <f t="shared" si="817"/>
        <v>1.2</v>
      </c>
      <c r="FI251" s="23">
        <f t="shared" si="818"/>
        <v>1.4</v>
      </c>
      <c r="FJ251" s="23">
        <f t="shared" si="819"/>
        <v>2.2000000000000002</v>
      </c>
      <c r="FK251" s="23">
        <f t="shared" si="819"/>
        <v>1.2</v>
      </c>
      <c r="FL251" s="23">
        <f t="shared" si="819"/>
        <v>1.2</v>
      </c>
      <c r="FM251" s="23">
        <f t="shared" si="807"/>
        <v>0</v>
      </c>
      <c r="FN251" s="23"/>
      <c r="FX251" s="4">
        <f t="shared" si="676"/>
        <v>1</v>
      </c>
      <c r="FY251" s="4">
        <f t="shared" si="716"/>
        <v>0.44</v>
      </c>
      <c r="FZ251" s="4">
        <f t="shared" si="677"/>
        <v>0.3</v>
      </c>
      <c r="GA251" s="4">
        <f t="shared" si="678"/>
        <v>674.54504476085754</v>
      </c>
    </row>
    <row r="252" spans="1:183" ht="12" customHeight="1" x14ac:dyDescent="0.3">
      <c r="A252" s="25">
        <v>234</v>
      </c>
      <c r="B252" s="4" t="s">
        <v>605</v>
      </c>
      <c r="C252" s="4">
        <v>2016</v>
      </c>
      <c r="D252" s="4" t="s">
        <v>309</v>
      </c>
      <c r="E252" s="24" t="s">
        <v>661</v>
      </c>
      <c r="F252" s="7" t="s">
        <v>387</v>
      </c>
      <c r="G252" s="38">
        <f t="shared" si="849"/>
        <v>827.58620689655174</v>
      </c>
      <c r="H252" s="38">
        <f>12.44*25.4</f>
        <v>315.97599999999994</v>
      </c>
      <c r="I252" s="4">
        <f t="shared" si="850"/>
        <v>315.97599999999994</v>
      </c>
      <c r="J252" s="38">
        <f>5070/145</f>
        <v>34.96551724137931</v>
      </c>
      <c r="K252" s="38">
        <f t="shared" si="851"/>
        <v>25.4</v>
      </c>
      <c r="L252" s="7">
        <f t="shared" si="852"/>
        <v>12.439999999999998</v>
      </c>
      <c r="M252" s="7">
        <f t="shared" si="853"/>
        <v>12.439999999999998</v>
      </c>
      <c r="N252" s="38">
        <f>17.5*25.4</f>
        <v>444.5</v>
      </c>
      <c r="O252" s="38">
        <f>2.95*25.4</f>
        <v>74.930000000000007</v>
      </c>
      <c r="P252" s="39">
        <f>3.3*25.4</f>
        <v>83.82</v>
      </c>
      <c r="Q252" s="7">
        <f t="shared" si="854"/>
        <v>243.83999999999997</v>
      </c>
      <c r="R252" s="38">
        <v>2</v>
      </c>
      <c r="S252" s="4">
        <f t="shared" si="826"/>
        <v>260.34999999999997</v>
      </c>
      <c r="T252" s="7">
        <f t="shared" si="855"/>
        <v>3.4500000000000006</v>
      </c>
      <c r="U252" s="7">
        <f t="shared" si="702"/>
        <v>3.4500000000000006</v>
      </c>
      <c r="V252" s="38">
        <v>4</v>
      </c>
      <c r="W252" s="4">
        <f t="shared" si="856"/>
        <v>4</v>
      </c>
      <c r="X252" s="4">
        <f t="shared" si="857"/>
        <v>5</v>
      </c>
      <c r="Y252" s="7">
        <f t="shared" si="858"/>
        <v>56.796126628494655</v>
      </c>
      <c r="AB252" s="38">
        <f>138/0.145</f>
        <v>951.72413793103453</v>
      </c>
      <c r="AD252" s="4">
        <f t="shared" si="740"/>
        <v>1.3316690082587483</v>
      </c>
      <c r="AE252" s="38">
        <f t="shared" si="868"/>
        <v>9.5249999999999986</v>
      </c>
      <c r="AF252" s="38">
        <v>8</v>
      </c>
      <c r="AG252" s="39">
        <f>4*25.4</f>
        <v>101.6</v>
      </c>
      <c r="AH252" s="39">
        <v>2</v>
      </c>
      <c r="AI252" s="39">
        <v>1</v>
      </c>
      <c r="AJ252" s="7"/>
      <c r="AK252" s="4">
        <f t="shared" si="859"/>
        <v>315.97599999999994</v>
      </c>
      <c r="AL252" s="4">
        <f t="shared" si="779"/>
        <v>0.46891747052518773</v>
      </c>
      <c r="AM252" s="4">
        <f t="shared" si="780"/>
        <v>327.72820079341074</v>
      </c>
      <c r="AN252" s="4">
        <f t="shared" si="781"/>
        <v>0.7554662379421222</v>
      </c>
      <c r="AO252" s="4">
        <v>1.25</v>
      </c>
      <c r="AP252" s="4">
        <f t="shared" si="688"/>
        <v>2.5</v>
      </c>
      <c r="AQ252" s="38">
        <f t="shared" si="827"/>
        <v>362.80670896272306</v>
      </c>
      <c r="AR252" s="38">
        <f t="shared" si="783"/>
        <v>362.80670896272306</v>
      </c>
      <c r="AS252" s="38">
        <f t="shared" si="784"/>
        <v>3.2078537456295186</v>
      </c>
      <c r="AT252" s="38">
        <f t="shared" si="691"/>
        <v>362.80670896272267</v>
      </c>
      <c r="AU252" s="38">
        <f t="shared" si="674"/>
        <v>1.0000000000000011</v>
      </c>
      <c r="AV252" s="38">
        <f t="shared" si="692"/>
        <v>1.329975786033804</v>
      </c>
      <c r="AW252" s="4">
        <f t="shared" si="693"/>
        <v>0</v>
      </c>
      <c r="AX252" s="4">
        <f t="shared" si="860"/>
        <v>387.15668086604285</v>
      </c>
      <c r="AY252" s="4">
        <f t="shared" si="828"/>
        <v>1</v>
      </c>
      <c r="AZ252" s="38">
        <f t="shared" si="701"/>
        <v>482.5241379310346</v>
      </c>
      <c r="BA252" s="4">
        <f t="shared" si="829"/>
        <v>0.44000000000000006</v>
      </c>
      <c r="BB252" s="4">
        <f t="shared" si="830"/>
        <v>89.007320931103266</v>
      </c>
      <c r="BC252" s="4">
        <f t="shared" si="831"/>
        <v>571.53145886213792</v>
      </c>
      <c r="BE252" s="4">
        <f t="shared" si="689"/>
        <v>1.5</v>
      </c>
      <c r="BF252" s="4">
        <f t="shared" si="690"/>
        <v>597.11137543666166</v>
      </c>
      <c r="BH252" s="4">
        <f t="shared" si="704"/>
        <v>462.79965713278585</v>
      </c>
      <c r="BI252" s="4">
        <f t="shared" si="705"/>
        <v>0</v>
      </c>
      <c r="BJ252" s="4">
        <f t="shared" si="706"/>
        <v>0</v>
      </c>
      <c r="BK252" s="4">
        <f t="shared" si="785"/>
        <v>74.930000000000007</v>
      </c>
      <c r="BL252" s="4">
        <f t="shared" si="786"/>
        <v>74.930000000000007</v>
      </c>
      <c r="BM252" s="4">
        <f t="shared" si="787"/>
        <v>260.34999999999997</v>
      </c>
      <c r="BN252" s="4">
        <f t="shared" si="788"/>
        <v>87.63000000000001</v>
      </c>
      <c r="BO252" s="4">
        <f t="shared" si="789"/>
        <v>1.2474576271186439</v>
      </c>
      <c r="BP252" s="25">
        <f t="shared" si="790"/>
        <v>4</v>
      </c>
      <c r="BR252" s="4">
        <f t="shared" si="832"/>
        <v>74.930000000000007</v>
      </c>
      <c r="BV252" s="9"/>
      <c r="BX252" s="9"/>
      <c r="BY252" s="9"/>
      <c r="BZ252" s="9">
        <f t="shared" si="833"/>
        <v>74.930000000000007</v>
      </c>
      <c r="CA252" s="9">
        <f t="shared" si="834"/>
        <v>121.91999999999999</v>
      </c>
      <c r="CB252" s="9">
        <f t="shared" si="694"/>
        <v>1.8476678039809094</v>
      </c>
      <c r="CC252" s="40">
        <f t="shared" si="861"/>
        <v>20</v>
      </c>
      <c r="CD252" s="9">
        <f t="shared" si="835"/>
        <v>0.05</v>
      </c>
      <c r="CE252" s="9">
        <f t="shared" si="836"/>
        <v>0.8</v>
      </c>
      <c r="CF252" s="9">
        <f t="shared" si="837"/>
        <v>0.99524931562137331</v>
      </c>
      <c r="CG252" s="9">
        <f t="shared" si="838"/>
        <v>0.68</v>
      </c>
      <c r="CH252" s="9">
        <f t="shared" si="695"/>
        <v>1.4006474122126336</v>
      </c>
      <c r="CI252" s="9">
        <f t="shared" si="696"/>
        <v>3.5016185305315837</v>
      </c>
      <c r="CJ252" s="40">
        <v>1</v>
      </c>
      <c r="CK252" s="9">
        <f t="shared" si="697"/>
        <v>384.33764991114657</v>
      </c>
      <c r="CM252" s="4">
        <f t="shared" si="839"/>
        <v>2.4582402550876643</v>
      </c>
      <c r="CN252" s="4">
        <f t="shared" si="840"/>
        <v>1.6652174139737159</v>
      </c>
      <c r="CO252" s="4">
        <f t="shared" si="814"/>
        <v>1.5938804335037966</v>
      </c>
      <c r="CP252" s="4">
        <f t="shared" si="841"/>
        <v>2.4762708991717561</v>
      </c>
      <c r="CQ252" s="4">
        <f t="shared" si="800"/>
        <v>1.3316690082587483</v>
      </c>
      <c r="CR252" s="4">
        <f t="shared" si="801"/>
        <v>1.4482630142707176</v>
      </c>
      <c r="CS252" s="4">
        <f t="shared" si="815"/>
        <v>1.400091193706031</v>
      </c>
      <c r="CT252" s="4">
        <f t="shared" si="862"/>
        <v>8</v>
      </c>
      <c r="DA252" s="4">
        <f t="shared" si="864"/>
        <v>2.4582402550876643</v>
      </c>
      <c r="DB252" s="4">
        <f t="shared" si="864"/>
        <v>1.6652174139737159</v>
      </c>
      <c r="DC252" s="4">
        <f t="shared" si="865"/>
        <v>2.4762708991717561</v>
      </c>
      <c r="DD252" s="4">
        <f t="shared" si="866"/>
        <v>1.400091193706031</v>
      </c>
      <c r="DE252" s="4">
        <f t="shared" si="867"/>
        <v>1.3316690082587483</v>
      </c>
      <c r="DF252" s="4">
        <f t="shared" si="867"/>
        <v>1.4482630142707176</v>
      </c>
      <c r="DI252" s="4">
        <f t="shared" si="846"/>
        <v>315.97599999999994</v>
      </c>
      <c r="DL252" s="4">
        <f t="shared" si="756"/>
        <v>2.2998786526164252E-5</v>
      </c>
      <c r="DM252" s="4">
        <f t="shared" si="757"/>
        <v>7.9635234919892781</v>
      </c>
      <c r="DN252" s="4">
        <f t="shared" si="758"/>
        <v>0.57327229845730976</v>
      </c>
      <c r="DO252" s="4">
        <f t="shared" si="759"/>
        <v>6.3745517050009441</v>
      </c>
      <c r="DP252" s="4">
        <f t="shared" si="760"/>
        <v>7.212979760780323</v>
      </c>
      <c r="DQ252" s="4">
        <f t="shared" si="761"/>
        <v>7.2499372750174791</v>
      </c>
      <c r="DR252" s="38">
        <f t="shared" si="791"/>
        <v>714.68520482839904</v>
      </c>
      <c r="DS252" s="4">
        <f t="shared" si="762"/>
        <v>1.0001242990621564</v>
      </c>
      <c r="DT252" s="4">
        <f t="shared" si="763"/>
        <v>2.2360679774997898</v>
      </c>
      <c r="DU252" s="4">
        <f t="shared" si="764"/>
        <v>362.80670896272267</v>
      </c>
      <c r="DY252" s="4">
        <f t="shared" si="765"/>
        <v>0.85</v>
      </c>
      <c r="DZ252" s="4">
        <f t="shared" si="766"/>
        <v>0.80499999999999994</v>
      </c>
      <c r="EA252" s="4">
        <f t="shared" si="792"/>
        <v>0.99062499999999998</v>
      </c>
      <c r="EB252" s="4">
        <f t="shared" si="767"/>
        <v>0.79745312499999987</v>
      </c>
      <c r="ED252" s="4">
        <f t="shared" si="793"/>
        <v>657.1486867737774</v>
      </c>
      <c r="EE252" s="25">
        <f t="shared" si="794"/>
        <v>359.94999005273769</v>
      </c>
      <c r="EG252" s="4">
        <f t="shared" si="683"/>
        <v>0.6778351562499999</v>
      </c>
      <c r="EH252" s="4">
        <f t="shared" si="795"/>
        <v>7.9635234919892781</v>
      </c>
      <c r="EK252" s="4">
        <f t="shared" si="768"/>
        <v>56.796126628494655</v>
      </c>
      <c r="EL252" s="4">
        <f t="shared" si="769"/>
        <v>2.2360679774997898</v>
      </c>
      <c r="EM252" s="4">
        <f t="shared" si="770"/>
        <v>0.18536007663686557</v>
      </c>
      <c r="EP252" s="4">
        <f t="shared" si="863"/>
        <v>0.18536007663686557</v>
      </c>
      <c r="EQ252" s="4">
        <f t="shared" si="698"/>
        <v>0.57231561383461671</v>
      </c>
      <c r="ER252" s="4">
        <f t="shared" si="772"/>
        <v>6.3702943972780819</v>
      </c>
      <c r="ES252" s="4">
        <f t="shared" si="847"/>
        <v>7.2110995253438732</v>
      </c>
      <c r="ET252" s="4">
        <f t="shared" si="774"/>
        <v>180.18587337150532</v>
      </c>
      <c r="EU252" s="4">
        <f t="shared" si="775"/>
        <v>78.993999999999943</v>
      </c>
      <c r="EV252" s="4">
        <f t="shared" si="699"/>
        <v>2.2998786526164242E-5</v>
      </c>
      <c r="EW252" s="4">
        <f t="shared" si="848"/>
        <v>7.2501469138734471</v>
      </c>
      <c r="EX252" s="4">
        <f t="shared" si="707"/>
        <v>714.59638116839949</v>
      </c>
      <c r="FG252" s="23">
        <f t="shared" si="817"/>
        <v>2.2000000000000002</v>
      </c>
      <c r="FH252" s="23">
        <f t="shared" si="817"/>
        <v>1.8</v>
      </c>
      <c r="FI252" s="23">
        <f t="shared" si="818"/>
        <v>1.6</v>
      </c>
      <c r="FJ252" s="23">
        <f t="shared" si="819"/>
        <v>2.2000000000000002</v>
      </c>
      <c r="FK252" s="23">
        <f t="shared" si="819"/>
        <v>1.4</v>
      </c>
      <c r="FL252" s="23">
        <f t="shared" si="819"/>
        <v>1.6</v>
      </c>
      <c r="FM252" s="23">
        <f t="shared" si="807"/>
        <v>0</v>
      </c>
      <c r="FN252" s="23"/>
      <c r="FX252" s="4">
        <f t="shared" si="676"/>
        <v>1</v>
      </c>
      <c r="FY252" s="4">
        <f t="shared" si="716"/>
        <v>0.44374999999999998</v>
      </c>
      <c r="FZ252" s="4">
        <f t="shared" si="677"/>
        <v>0.28124999999999994</v>
      </c>
      <c r="GA252" s="4">
        <f t="shared" si="678"/>
        <v>679.75867729860352</v>
      </c>
    </row>
    <row r="253" spans="1:183" ht="12" customHeight="1" x14ac:dyDescent="0.3">
      <c r="A253" s="25">
        <v>235</v>
      </c>
      <c r="B253" s="4" t="s">
        <v>605</v>
      </c>
      <c r="C253" s="4">
        <v>2016</v>
      </c>
      <c r="D253" s="4" t="s">
        <v>309</v>
      </c>
      <c r="E253" s="24" t="s">
        <v>661</v>
      </c>
      <c r="F253" s="7" t="s">
        <v>388</v>
      </c>
      <c r="G253" s="38">
        <f t="shared" si="849"/>
        <v>827.58620689655174</v>
      </c>
      <c r="H253" s="38">
        <f>12.19*25.4</f>
        <v>309.62599999999998</v>
      </c>
      <c r="I253" s="4">
        <f t="shared" si="850"/>
        <v>309.62599999999998</v>
      </c>
      <c r="J253" s="38">
        <f>4850/145</f>
        <v>33.448275862068968</v>
      </c>
      <c r="K253" s="38">
        <f t="shared" si="851"/>
        <v>25.4</v>
      </c>
      <c r="L253" s="7">
        <f t="shared" si="852"/>
        <v>12.19</v>
      </c>
      <c r="M253" s="7">
        <f t="shared" si="853"/>
        <v>12.19</v>
      </c>
      <c r="N253" s="38">
        <f>20.1*25.4</f>
        <v>510.54</v>
      </c>
      <c r="O253" s="38">
        <f>4*25.4</f>
        <v>101.6</v>
      </c>
      <c r="P253" s="39">
        <f>3.55*25.4</f>
        <v>90.169999999999987</v>
      </c>
      <c r="Q253" s="7">
        <f t="shared" si="854"/>
        <v>256.54000000000002</v>
      </c>
      <c r="R253" s="38">
        <v>2</v>
      </c>
      <c r="S253" s="4">
        <f t="shared" si="826"/>
        <v>260.34999999999997</v>
      </c>
      <c r="T253" s="7">
        <f t="shared" si="855"/>
        <v>4.5</v>
      </c>
      <c r="U253" s="7">
        <f t="shared" si="702"/>
        <v>4.5</v>
      </c>
      <c r="V253" s="38">
        <v>4</v>
      </c>
      <c r="W253" s="4">
        <f t="shared" si="856"/>
        <v>4</v>
      </c>
      <c r="X253" s="4">
        <f t="shared" si="857"/>
        <v>5</v>
      </c>
      <c r="Y253" s="7">
        <f t="shared" si="858"/>
        <v>56.796126628494655</v>
      </c>
      <c r="AB253" s="38">
        <f>128.5/0.145</f>
        <v>886.20689655172418</v>
      </c>
      <c r="AD253" s="4">
        <f t="shared" si="740"/>
        <v>1.097611405753202</v>
      </c>
      <c r="AE253" s="38">
        <f t="shared" si="868"/>
        <v>9.5249999999999986</v>
      </c>
      <c r="AF253" s="38">
        <v>8</v>
      </c>
      <c r="AG253" s="39">
        <f>4*25.4</f>
        <v>101.6</v>
      </c>
      <c r="AH253" s="39">
        <v>2</v>
      </c>
      <c r="AI253" s="39">
        <v>1</v>
      </c>
      <c r="AJ253" s="7"/>
      <c r="AK253" s="4">
        <f t="shared" si="859"/>
        <v>309.62599999999998</v>
      </c>
      <c r="AL253" s="4">
        <f t="shared" si="779"/>
        <v>0.54963084495488113</v>
      </c>
      <c r="AM253" s="4">
        <f t="shared" si="780"/>
        <v>310.92503455862817</v>
      </c>
      <c r="AN253" s="4">
        <f t="shared" si="781"/>
        <v>0.77383100902378998</v>
      </c>
      <c r="AO253" s="4">
        <v>1.25</v>
      </c>
      <c r="AP253" s="4">
        <f t="shared" si="688"/>
        <v>2.5</v>
      </c>
      <c r="AQ253" s="38">
        <f t="shared" si="827"/>
        <v>413.25958844233031</v>
      </c>
      <c r="AR253" s="38">
        <f t="shared" si="783"/>
        <v>413.25958844233031</v>
      </c>
      <c r="AS253" s="38">
        <f t="shared" si="784"/>
        <v>3.1143714702560636</v>
      </c>
      <c r="AT253" s="38">
        <f t="shared" si="691"/>
        <v>413.25958844233008</v>
      </c>
      <c r="AU253" s="38">
        <f t="shared" si="674"/>
        <v>1.0000000000000004</v>
      </c>
      <c r="AV253" s="38">
        <f t="shared" si="692"/>
        <v>1.4568783940055137</v>
      </c>
      <c r="AW253" s="4">
        <f t="shared" si="693"/>
        <v>0</v>
      </c>
      <c r="AX253" s="4">
        <f t="shared" si="860"/>
        <v>371.05387625127508</v>
      </c>
      <c r="AY253" s="4">
        <f t="shared" si="828"/>
        <v>1</v>
      </c>
      <c r="AZ253" s="38">
        <f t="shared" si="701"/>
        <v>602.06896551724139</v>
      </c>
      <c r="BA253" s="4">
        <f t="shared" si="829"/>
        <v>0.44000000000000006</v>
      </c>
      <c r="BB253" s="4">
        <f t="shared" si="830"/>
        <v>85.305286150168143</v>
      </c>
      <c r="BC253" s="4">
        <f t="shared" si="831"/>
        <v>687.37425166740957</v>
      </c>
      <c r="BE253" s="4">
        <f t="shared" si="689"/>
        <v>1.5</v>
      </c>
      <c r="BF253" s="4">
        <f t="shared" si="690"/>
        <v>577.50624401013158</v>
      </c>
      <c r="BH253" s="4">
        <f t="shared" si="704"/>
        <v>577.45776616774151</v>
      </c>
      <c r="BI253" s="4">
        <f t="shared" si="705"/>
        <v>0</v>
      </c>
      <c r="BJ253" s="4">
        <f t="shared" si="706"/>
        <v>0</v>
      </c>
      <c r="BK253" s="4">
        <f t="shared" si="785"/>
        <v>101.6</v>
      </c>
      <c r="BL253" s="4">
        <f t="shared" si="786"/>
        <v>101.6</v>
      </c>
      <c r="BM253" s="4">
        <f t="shared" si="787"/>
        <v>260.34999999999997</v>
      </c>
      <c r="BN253" s="4">
        <f t="shared" si="788"/>
        <v>114.3</v>
      </c>
      <c r="BO253" s="4">
        <f t="shared" si="789"/>
        <v>1.15625</v>
      </c>
      <c r="BP253" s="25">
        <f t="shared" si="790"/>
        <v>4</v>
      </c>
      <c r="BR253" s="4">
        <f t="shared" si="832"/>
        <v>101.6</v>
      </c>
      <c r="BV253" s="9"/>
      <c r="BX253" s="9"/>
      <c r="BY253" s="9"/>
      <c r="BZ253" s="9">
        <f t="shared" si="833"/>
        <v>90.169999999999987</v>
      </c>
      <c r="CA253" s="9">
        <f t="shared" si="834"/>
        <v>128.27000000000001</v>
      </c>
      <c r="CB253" s="9">
        <f t="shared" si="694"/>
        <v>1.9864316684380796</v>
      </c>
      <c r="CC253" s="40">
        <f t="shared" si="861"/>
        <v>20</v>
      </c>
      <c r="CD253" s="9">
        <f t="shared" si="835"/>
        <v>0.05</v>
      </c>
      <c r="CE253" s="9">
        <f t="shared" si="836"/>
        <v>0.8</v>
      </c>
      <c r="CF253" s="9">
        <f t="shared" si="837"/>
        <v>0.99524931562137331</v>
      </c>
      <c r="CG253" s="9">
        <f t="shared" si="838"/>
        <v>0.68</v>
      </c>
      <c r="CH253" s="9">
        <f t="shared" si="695"/>
        <v>1.3699215983187671</v>
      </c>
      <c r="CI253" s="9">
        <f t="shared" si="696"/>
        <v>3.4248039957969176</v>
      </c>
      <c r="CJ253" s="40">
        <v>1</v>
      </c>
      <c r="CK253" s="9">
        <f t="shared" si="697"/>
        <v>372.48168258287274</v>
      </c>
      <c r="CM253" s="4">
        <f t="shared" si="839"/>
        <v>2.3883510004126491</v>
      </c>
      <c r="CN253" s="4">
        <f t="shared" si="840"/>
        <v>1.2892640281505934</v>
      </c>
      <c r="CO253" s="4">
        <f t="shared" si="814"/>
        <v>1.5345408049582523</v>
      </c>
      <c r="CP253" s="4">
        <f t="shared" si="841"/>
        <v>2.3791959121494619</v>
      </c>
      <c r="CQ253" s="4">
        <f t="shared" si="800"/>
        <v>1.097611405753202</v>
      </c>
      <c r="CR253" s="4">
        <f t="shared" si="801"/>
        <v>1.2065212017848979</v>
      </c>
      <c r="CS253" s="4">
        <f t="shared" si="815"/>
        <v>1.3452828172806048</v>
      </c>
      <c r="CT253" s="4">
        <f t="shared" si="862"/>
        <v>8</v>
      </c>
      <c r="DA253" s="4">
        <f t="shared" si="864"/>
        <v>2.3883510004126491</v>
      </c>
      <c r="DB253" s="4">
        <f t="shared" si="864"/>
        <v>1.2892640281505934</v>
      </c>
      <c r="DC253" s="4">
        <f t="shared" si="865"/>
        <v>2.3791959121494619</v>
      </c>
      <c r="DD253" s="4">
        <f t="shared" si="866"/>
        <v>1.3452828172806048</v>
      </c>
      <c r="DE253" s="4">
        <f t="shared" si="867"/>
        <v>1.097611405753202</v>
      </c>
      <c r="DF253" s="4">
        <f t="shared" si="867"/>
        <v>1.2065212017848979</v>
      </c>
      <c r="DI253" s="4">
        <f t="shared" si="846"/>
        <v>309.62599999999998</v>
      </c>
      <c r="DL253" s="4">
        <f t="shared" si="756"/>
        <v>2.2302235172382959E-5</v>
      </c>
      <c r="DM253" s="4">
        <f t="shared" si="757"/>
        <v>8.8731797505383305</v>
      </c>
      <c r="DN253" s="4">
        <f t="shared" si="758"/>
        <v>0.68261339559618783</v>
      </c>
      <c r="DO253" s="4">
        <f t="shared" si="759"/>
        <v>7.6163904897469754</v>
      </c>
      <c r="DP253" s="4">
        <f t="shared" si="760"/>
        <v>8.2687115091235786</v>
      </c>
      <c r="DQ253" s="4">
        <f t="shared" si="761"/>
        <v>8.0052518981639746</v>
      </c>
      <c r="DR253" s="38">
        <f t="shared" si="791"/>
        <v>807.39585239968596</v>
      </c>
      <c r="DS253" s="4">
        <f t="shared" si="762"/>
        <v>1.0001323830681572</v>
      </c>
      <c r="DT253" s="4">
        <f t="shared" si="763"/>
        <v>2.2360679774997898</v>
      </c>
      <c r="DU253" s="4">
        <f t="shared" si="764"/>
        <v>413.25958844233008</v>
      </c>
      <c r="DY253" s="4">
        <f t="shared" si="765"/>
        <v>0.85</v>
      </c>
      <c r="DZ253" s="4">
        <f t="shared" si="766"/>
        <v>0.7</v>
      </c>
      <c r="EA253" s="4">
        <f t="shared" si="792"/>
        <v>0.99062499999999998</v>
      </c>
      <c r="EB253" s="4">
        <f t="shared" si="767"/>
        <v>0.7</v>
      </c>
      <c r="ED253" s="4">
        <f t="shared" si="793"/>
        <v>734.51415129770737</v>
      </c>
      <c r="EE253" s="25">
        <f t="shared" si="794"/>
        <v>410.02196782052062</v>
      </c>
      <c r="EG253" s="4">
        <f t="shared" si="683"/>
        <v>0.59499999999999997</v>
      </c>
      <c r="EH253" s="4">
        <f t="shared" si="795"/>
        <v>8.8731797505383305</v>
      </c>
      <c r="EK253" s="4">
        <f t="shared" si="768"/>
        <v>56.796126628494655</v>
      </c>
      <c r="EL253" s="4">
        <f t="shared" si="769"/>
        <v>2.2360679774997898</v>
      </c>
      <c r="EM253" s="4">
        <f t="shared" si="770"/>
        <v>0.21587231067569562</v>
      </c>
      <c r="EP253" s="4">
        <f t="shared" si="863"/>
        <v>0.21587231067569562</v>
      </c>
      <c r="EQ253" s="4">
        <f t="shared" si="698"/>
        <v>0.68147424106078058</v>
      </c>
      <c r="ER253" s="4">
        <f t="shared" si="772"/>
        <v>7.6113038076471362</v>
      </c>
      <c r="ES253" s="4">
        <f t="shared" si="847"/>
        <v>8.2663694968956261</v>
      </c>
      <c r="ET253" s="4">
        <f t="shared" si="774"/>
        <v>175.42337337150533</v>
      </c>
      <c r="EU253" s="4">
        <f t="shared" si="775"/>
        <v>77.406499999999994</v>
      </c>
      <c r="EV253" s="4">
        <f t="shared" si="699"/>
        <v>2.2302235172382959E-5</v>
      </c>
      <c r="EW253" s="4">
        <f t="shared" si="848"/>
        <v>8.0055246683541501</v>
      </c>
      <c r="EX253" s="4">
        <f t="shared" si="707"/>
        <v>807.28898100749075</v>
      </c>
      <c r="FG253" s="23">
        <f t="shared" si="817"/>
        <v>2.2000000000000002</v>
      </c>
      <c r="FH253" s="23">
        <f t="shared" si="817"/>
        <v>1.4</v>
      </c>
      <c r="FI253" s="23">
        <f t="shared" si="818"/>
        <v>1.4</v>
      </c>
      <c r="FJ253" s="23">
        <f t="shared" si="819"/>
        <v>2.2000000000000002</v>
      </c>
      <c r="FK253" s="23">
        <f t="shared" si="819"/>
        <v>1.2</v>
      </c>
      <c r="FL253" s="23">
        <f t="shared" si="819"/>
        <v>1.4</v>
      </c>
      <c r="FM253" s="23">
        <f t="shared" si="807"/>
        <v>0</v>
      </c>
      <c r="FN253" s="23"/>
      <c r="FX253" s="4">
        <f t="shared" si="676"/>
        <v>1</v>
      </c>
      <c r="FY253" s="4">
        <f t="shared" si="716"/>
        <v>0.44374999999999998</v>
      </c>
      <c r="FZ253" s="4">
        <f t="shared" si="677"/>
        <v>0.28124999999999994</v>
      </c>
      <c r="GA253" s="4">
        <f t="shared" si="678"/>
        <v>658.75136823878381</v>
      </c>
    </row>
    <row r="254" spans="1:183" ht="12" customHeight="1" x14ac:dyDescent="0.3">
      <c r="A254" s="25">
        <v>236</v>
      </c>
      <c r="B254" s="4" t="s">
        <v>605</v>
      </c>
      <c r="C254" s="4">
        <v>2016</v>
      </c>
      <c r="D254" s="4" t="s">
        <v>309</v>
      </c>
      <c r="E254" s="24" t="s">
        <v>404</v>
      </c>
      <c r="F254" s="7" t="s">
        <v>389</v>
      </c>
      <c r="G254" s="38">
        <f t="shared" si="849"/>
        <v>827.58620689655174</v>
      </c>
      <c r="H254" s="38">
        <f>12.56*25.4</f>
        <v>319.024</v>
      </c>
      <c r="I254" s="4">
        <f t="shared" si="850"/>
        <v>319.024</v>
      </c>
      <c r="J254" s="38">
        <f>5910/145</f>
        <v>40.758620689655174</v>
      </c>
      <c r="K254" s="38">
        <f t="shared" si="851"/>
        <v>25.4</v>
      </c>
      <c r="L254" s="7">
        <f t="shared" si="852"/>
        <v>12.56</v>
      </c>
      <c r="M254" s="7">
        <f t="shared" si="853"/>
        <v>12.56</v>
      </c>
      <c r="N254" s="38">
        <f>16.8*25.4</f>
        <v>426.71999999999997</v>
      </c>
      <c r="O254" s="38">
        <f>2.5*25.4</f>
        <v>63.5</v>
      </c>
      <c r="P254" s="39">
        <f>3.15*25.4</f>
        <v>80.009999999999991</v>
      </c>
      <c r="Q254" s="7">
        <f t="shared" si="854"/>
        <v>248.91999999999996</v>
      </c>
      <c r="R254" s="38">
        <v>2</v>
      </c>
      <c r="S254" s="4">
        <f t="shared" si="826"/>
        <v>260.34999999999997</v>
      </c>
      <c r="T254" s="7">
        <f t="shared" si="855"/>
        <v>3</v>
      </c>
      <c r="U254" s="7">
        <f t="shared" si="702"/>
        <v>3</v>
      </c>
      <c r="V254" s="38">
        <v>4</v>
      </c>
      <c r="W254" s="4">
        <f t="shared" si="856"/>
        <v>4</v>
      </c>
      <c r="X254" s="4">
        <f t="shared" si="857"/>
        <v>5</v>
      </c>
      <c r="Y254" s="7">
        <f t="shared" si="858"/>
        <v>56.796126628494655</v>
      </c>
      <c r="AB254" s="38">
        <f>123.7/0.145</f>
        <v>853.10344827586209</v>
      </c>
      <c r="AD254" s="4">
        <f t="shared" si="740"/>
        <v>1.1737171323264513</v>
      </c>
      <c r="AE254" s="38">
        <v>0</v>
      </c>
      <c r="AF254" s="38">
        <v>0</v>
      </c>
      <c r="AG254" s="39">
        <f>I254</f>
        <v>319.024</v>
      </c>
      <c r="AH254" s="39"/>
      <c r="AI254" s="39"/>
      <c r="AJ254" s="7"/>
      <c r="AK254" s="4">
        <f t="shared" si="859"/>
        <v>319.024</v>
      </c>
      <c r="AL254" s="4">
        <f t="shared" si="779"/>
        <v>0.44585987261146492</v>
      </c>
      <c r="AM254" s="4">
        <f t="shared" si="780"/>
        <v>358.96942805546695</v>
      </c>
      <c r="AN254" s="4">
        <f t="shared" si="781"/>
        <v>0.74777070063694262</v>
      </c>
      <c r="AO254" s="4">
        <v>1.25</v>
      </c>
      <c r="AP254" s="4">
        <f t="shared" si="688"/>
        <v>2.5</v>
      </c>
      <c r="AQ254" s="38">
        <f t="shared" si="827"/>
        <v>374.00233779258627</v>
      </c>
      <c r="AR254" s="38">
        <f t="shared" si="783"/>
        <v>374.00233779258627</v>
      </c>
      <c r="AS254" s="38">
        <f t="shared" si="784"/>
        <v>3.5530466297176955</v>
      </c>
      <c r="AT254" s="38">
        <f t="shared" si="691"/>
        <v>374.0023377925865</v>
      </c>
      <c r="AU254" s="38">
        <f t="shared" si="674"/>
        <v>0.99999999999999944</v>
      </c>
      <c r="AV254" s="38">
        <f t="shared" si="692"/>
        <v>1.3077550561919431</v>
      </c>
      <c r="AW254" s="4">
        <f t="shared" si="693"/>
        <v>0</v>
      </c>
      <c r="AX254" s="4">
        <f t="shared" si="860"/>
        <v>422.03238460067695</v>
      </c>
      <c r="AY254" s="4">
        <f t="shared" si="828"/>
        <v>1</v>
      </c>
      <c r="AZ254" s="38">
        <f t="shared" si="701"/>
        <v>489.10344827586204</v>
      </c>
      <c r="BA254" s="4">
        <f t="shared" si="829"/>
        <v>0.44000000000000006</v>
      </c>
      <c r="BB254" s="4">
        <f t="shared" si="830"/>
        <v>97.025245219695648</v>
      </c>
      <c r="BC254" s="4">
        <f t="shared" si="831"/>
        <v>586.12869349555763</v>
      </c>
      <c r="BE254" s="4">
        <f t="shared" si="689"/>
        <v>1.375</v>
      </c>
      <c r="BF254" s="4">
        <f t="shared" si="690"/>
        <v>594.11810549987342</v>
      </c>
      <c r="BH254" s="4">
        <f t="shared" si="704"/>
        <v>469.11002035070135</v>
      </c>
      <c r="BI254" s="4">
        <f t="shared" si="705"/>
        <v>0</v>
      </c>
      <c r="BJ254" s="4">
        <f t="shared" si="706"/>
        <v>0</v>
      </c>
      <c r="BK254" s="4">
        <f t="shared" si="785"/>
        <v>63.5</v>
      </c>
      <c r="BL254" s="4">
        <f t="shared" si="786"/>
        <v>63.5</v>
      </c>
      <c r="BM254" s="4">
        <f t="shared" si="787"/>
        <v>260.34999999999997</v>
      </c>
      <c r="BN254" s="4">
        <f t="shared" si="788"/>
        <v>76.2</v>
      </c>
      <c r="BO254" s="4">
        <f t="shared" si="789"/>
        <v>1.25</v>
      </c>
      <c r="BP254" s="25">
        <f t="shared" si="790"/>
        <v>3.75</v>
      </c>
      <c r="BR254" s="4">
        <f t="shared" si="832"/>
        <v>63.5</v>
      </c>
      <c r="BV254" s="9"/>
      <c r="BX254" s="9"/>
      <c r="BY254" s="9"/>
      <c r="BZ254" s="9">
        <f t="shared" si="833"/>
        <v>63.5</v>
      </c>
      <c r="CA254" s="9">
        <f t="shared" si="834"/>
        <v>124.45999999999998</v>
      </c>
      <c r="CB254" s="9">
        <f t="shared" si="694"/>
        <v>1.7490749303163509</v>
      </c>
      <c r="CC254" s="40">
        <f t="shared" si="861"/>
        <v>20</v>
      </c>
      <c r="CD254" s="9">
        <f t="shared" si="835"/>
        <v>0</v>
      </c>
      <c r="CE254" s="9">
        <f t="shared" si="836"/>
        <v>0</v>
      </c>
      <c r="CF254" s="9">
        <f t="shared" si="837"/>
        <v>0.99524931562137331</v>
      </c>
      <c r="CG254" s="9">
        <f t="shared" si="838"/>
        <v>0.68</v>
      </c>
      <c r="CH254" s="9">
        <f t="shared" si="695"/>
        <v>1.5122325576992237</v>
      </c>
      <c r="CI254" s="9">
        <f t="shared" si="696"/>
        <v>2.6450080554798867</v>
      </c>
      <c r="CJ254" s="40">
        <v>1</v>
      </c>
      <c r="CK254" s="9">
        <f t="shared" si="697"/>
        <v>291.58568803610274</v>
      </c>
      <c r="CM254" s="4">
        <f t="shared" si="839"/>
        <v>2.0214170272337286</v>
      </c>
      <c r="CN254" s="4">
        <f t="shared" si="840"/>
        <v>1.4554882873727251</v>
      </c>
      <c r="CO254" s="4">
        <f t="shared" si="814"/>
        <v>1.4359155871172888</v>
      </c>
      <c r="CP254" s="4">
        <f t="shared" si="841"/>
        <v>2.925738413369023</v>
      </c>
      <c r="CQ254" s="4">
        <f t="shared" si="800"/>
        <v>1.1737171323264513</v>
      </c>
      <c r="CR254" s="4">
        <f t="shared" si="801"/>
        <v>1.2638608456589822</v>
      </c>
      <c r="CS254" s="4">
        <f t="shared" si="815"/>
        <v>1.3479209893794599</v>
      </c>
      <c r="CT254" s="4">
        <f t="shared" si="862"/>
        <v>0</v>
      </c>
      <c r="CU254" s="4">
        <f t="shared" ref="CU254:CV255" si="869">CM254</f>
        <v>2.0214170272337286</v>
      </c>
      <c r="CV254" s="4">
        <f t="shared" si="869"/>
        <v>1.4554882873727251</v>
      </c>
      <c r="CW254" s="4">
        <f t="shared" ref="CW254:CW255" si="870">CP254</f>
        <v>2.925738413369023</v>
      </c>
      <c r="CX254" s="4">
        <f t="shared" ref="CX254:CX255" si="871">CS254</f>
        <v>1.3479209893794599</v>
      </c>
      <c r="CY254" s="4">
        <f t="shared" ref="CY254:CZ255" si="872">CQ254</f>
        <v>1.1737171323264513</v>
      </c>
      <c r="CZ254" s="4">
        <f t="shared" si="872"/>
        <v>1.2638608456589822</v>
      </c>
      <c r="DI254" s="4">
        <f t="shared" si="846"/>
        <v>319.024</v>
      </c>
      <c r="DL254" s="4">
        <f t="shared" si="756"/>
        <v>2.4141948123623064E-5</v>
      </c>
      <c r="DM254" s="4">
        <f t="shared" si="757"/>
        <v>8.0664280589525461</v>
      </c>
      <c r="DN254" s="4">
        <f t="shared" si="758"/>
        <v>0.50696787740392724</v>
      </c>
      <c r="DO254" s="4">
        <f t="shared" si="759"/>
        <v>6.1471447785115361</v>
      </c>
      <c r="DP254" s="4">
        <f t="shared" si="760"/>
        <v>7.1714004765210388</v>
      </c>
      <c r="DQ254" s="4">
        <f t="shared" si="761"/>
        <v>7.3072902982542649</v>
      </c>
      <c r="DR254" s="38">
        <f t="shared" si="791"/>
        <v>726.83905242560991</v>
      </c>
      <c r="DS254" s="4">
        <f t="shared" si="762"/>
        <v>1.0001163696362081</v>
      </c>
      <c r="DT254" s="4">
        <f t="shared" si="763"/>
        <v>2.2360679774997898</v>
      </c>
      <c r="DU254" s="4">
        <f t="shared" si="764"/>
        <v>374.0023377925865</v>
      </c>
      <c r="DY254" s="4">
        <f t="shared" si="765"/>
        <v>0.85</v>
      </c>
      <c r="DZ254" s="4">
        <f t="shared" si="766"/>
        <v>0.85</v>
      </c>
      <c r="EA254" s="4">
        <f t="shared" si="792"/>
        <v>1</v>
      </c>
      <c r="EB254" s="4">
        <f t="shared" si="767"/>
        <v>0.85</v>
      </c>
      <c r="ED254" s="4">
        <f t="shared" si="793"/>
        <v>674.99792497413</v>
      </c>
      <c r="EE254" s="25">
        <f t="shared" si="794"/>
        <v>371.05491571279799</v>
      </c>
      <c r="EG254" s="4">
        <f t="shared" si="683"/>
        <v>0.72249999999999992</v>
      </c>
      <c r="EH254" s="4">
        <f t="shared" si="795"/>
        <v>8.0664280589525461</v>
      </c>
      <c r="EK254" s="4">
        <f t="shared" si="768"/>
        <v>56.796126628494655</v>
      </c>
      <c r="EL254" s="4">
        <f t="shared" si="769"/>
        <v>2.2360679774997898</v>
      </c>
      <c r="EM254" s="4">
        <f t="shared" si="770"/>
        <v>0.17698051196033657</v>
      </c>
      <c r="EP254" s="4">
        <f t="shared" si="863"/>
        <v>0.17698051196033657</v>
      </c>
      <c r="EQ254" s="4">
        <f t="shared" si="698"/>
        <v>0.50612184250250825</v>
      </c>
      <c r="ER254" s="4">
        <f t="shared" si="772"/>
        <v>6.1430393467650841</v>
      </c>
      <c r="ES254" s="4">
        <f t="shared" si="847"/>
        <v>7.1696423658726474</v>
      </c>
      <c r="ET254" s="4">
        <f t="shared" si="774"/>
        <v>182.47187337150535</v>
      </c>
      <c r="EU254" s="4">
        <f t="shared" si="775"/>
        <v>79.755999999999972</v>
      </c>
      <c r="EV254" s="4">
        <f t="shared" si="699"/>
        <v>2.4141948123623051E-5</v>
      </c>
      <c r="EW254" s="4">
        <f t="shared" si="848"/>
        <v>7.3075027610656313</v>
      </c>
      <c r="EX254" s="4">
        <f t="shared" si="707"/>
        <v>726.75448027112816</v>
      </c>
      <c r="FG254" s="23">
        <f t="shared" si="817"/>
        <v>2.2000000000000002</v>
      </c>
      <c r="FH254" s="23">
        <f t="shared" si="817"/>
        <v>1.6</v>
      </c>
      <c r="FI254" s="23">
        <f t="shared" si="818"/>
        <v>1.4</v>
      </c>
      <c r="FJ254" s="23">
        <f t="shared" si="819"/>
        <v>2.2000000000000002</v>
      </c>
      <c r="FK254" s="23">
        <f t="shared" si="819"/>
        <v>1.2</v>
      </c>
      <c r="FL254" s="23">
        <f t="shared" si="819"/>
        <v>1.4</v>
      </c>
      <c r="FM254" s="23">
        <f t="shared" si="807"/>
        <v>0</v>
      </c>
      <c r="FN254" s="23"/>
      <c r="FX254" s="4">
        <f t="shared" si="676"/>
        <v>1</v>
      </c>
      <c r="FY254" s="4">
        <f t="shared" si="716"/>
        <v>0.5</v>
      </c>
      <c r="FZ254" s="4">
        <f t="shared" si="677"/>
        <v>0</v>
      </c>
      <c r="GA254" s="4">
        <f t="shared" si="678"/>
        <v>632.90315604374098</v>
      </c>
    </row>
    <row r="255" spans="1:183" ht="12" customHeight="1" x14ac:dyDescent="0.3">
      <c r="A255" s="25">
        <v>237</v>
      </c>
      <c r="B255" s="4" t="s">
        <v>605</v>
      </c>
      <c r="C255" s="4">
        <v>2016</v>
      </c>
      <c r="D255" s="4" t="s">
        <v>309</v>
      </c>
      <c r="E255" s="24" t="s">
        <v>404</v>
      </c>
      <c r="F255" s="7" t="s">
        <v>390</v>
      </c>
      <c r="G255" s="38">
        <f t="shared" si="849"/>
        <v>827.58620689655174</v>
      </c>
      <c r="H255" s="38">
        <f>12.5*25.4</f>
        <v>317.5</v>
      </c>
      <c r="I255" s="4">
        <f t="shared" si="850"/>
        <v>317.5</v>
      </c>
      <c r="J255" s="38">
        <f>6320/145</f>
        <v>43.586206896551722</v>
      </c>
      <c r="K255" s="38">
        <f t="shared" si="851"/>
        <v>25.4</v>
      </c>
      <c r="L255" s="7">
        <f t="shared" si="852"/>
        <v>12.5</v>
      </c>
      <c r="M255" s="7">
        <f t="shared" si="853"/>
        <v>12.5</v>
      </c>
      <c r="N255" s="38">
        <f>18.7*25.4</f>
        <v>474.97999999999996</v>
      </c>
      <c r="O255" s="38">
        <f>3.35*25.4</f>
        <v>85.09</v>
      </c>
      <c r="P255" s="39">
        <f>3.15*25.4</f>
        <v>80.009999999999991</v>
      </c>
      <c r="Q255" s="7">
        <f t="shared" si="854"/>
        <v>253.99999999999994</v>
      </c>
      <c r="R255" s="38">
        <v>2</v>
      </c>
      <c r="S255" s="4">
        <f t="shared" si="826"/>
        <v>260.34999999999997</v>
      </c>
      <c r="T255" s="7">
        <f t="shared" si="855"/>
        <v>3.8500000000000005</v>
      </c>
      <c r="U255" s="7">
        <f t="shared" si="702"/>
        <v>3.8500000000000005</v>
      </c>
      <c r="V255" s="38">
        <v>4</v>
      </c>
      <c r="W255" s="4">
        <f t="shared" si="856"/>
        <v>4</v>
      </c>
      <c r="X255" s="4">
        <f t="shared" si="857"/>
        <v>5</v>
      </c>
      <c r="Y255" s="7">
        <f t="shared" si="858"/>
        <v>56.796126628494655</v>
      </c>
      <c r="AB255" s="38">
        <f>118.2/0.145</f>
        <v>815.17241379310349</v>
      </c>
      <c r="AD255" s="4">
        <f t="shared" si="740"/>
        <v>0.98499999999999999</v>
      </c>
      <c r="AE255" s="38">
        <v>0</v>
      </c>
      <c r="AF255" s="38">
        <v>0</v>
      </c>
      <c r="AG255" s="39">
        <f>I255</f>
        <v>317.5</v>
      </c>
      <c r="AH255" s="39"/>
      <c r="AI255" s="39"/>
      <c r="AJ255" s="7"/>
      <c r="AK255" s="4">
        <f t="shared" si="859"/>
        <v>317.5</v>
      </c>
      <c r="AL255" s="4">
        <f t="shared" si="779"/>
        <v>0.49866666666666659</v>
      </c>
      <c r="AM255" s="4">
        <f t="shared" si="780"/>
        <v>368.55543684532665</v>
      </c>
      <c r="AN255" s="4">
        <f t="shared" si="781"/>
        <v>0.76159999999999994</v>
      </c>
      <c r="AO255" s="4">
        <v>1.25</v>
      </c>
      <c r="AP255" s="4">
        <f t="shared" si="688"/>
        <v>2.5</v>
      </c>
      <c r="AQ255" s="38">
        <f t="shared" si="827"/>
        <v>437.41142059301609</v>
      </c>
      <c r="AR255" s="38">
        <f t="shared" si="783"/>
        <v>437.41142059301609</v>
      </c>
      <c r="AS255" s="38">
        <f t="shared" si="784"/>
        <v>3.7155288579258352</v>
      </c>
      <c r="AT255" s="38">
        <f t="shared" si="691"/>
        <v>437.41142059301598</v>
      </c>
      <c r="AU255" s="38">
        <f t="shared" si="674"/>
        <v>1.0000000000000002</v>
      </c>
      <c r="AV255" s="38">
        <f t="shared" si="692"/>
        <v>1.5345451778485499</v>
      </c>
      <c r="AW255" s="4">
        <f t="shared" si="693"/>
        <v>0</v>
      </c>
      <c r="AX255" s="4">
        <f t="shared" si="860"/>
        <v>434.34112318600074</v>
      </c>
      <c r="AY255" s="4">
        <f t="shared" si="828"/>
        <v>1</v>
      </c>
      <c r="AZ255" s="38">
        <f t="shared" si="701"/>
        <v>671.2275862068966</v>
      </c>
      <c r="BA255" s="4">
        <f t="shared" si="829"/>
        <v>0.44000000000000006</v>
      </c>
      <c r="BB255" s="4">
        <f t="shared" si="830"/>
        <v>99.855024220461587</v>
      </c>
      <c r="BC255" s="4">
        <f t="shared" si="831"/>
        <v>771.08261042735819</v>
      </c>
      <c r="BE255" s="4">
        <f t="shared" si="689"/>
        <v>1.5</v>
      </c>
      <c r="BF255" s="4">
        <f t="shared" si="690"/>
        <v>668.45098858325514</v>
      </c>
      <c r="BH255" s="4">
        <f t="shared" si="704"/>
        <v>643.78934095731893</v>
      </c>
      <c r="BI255" s="4">
        <f t="shared" si="705"/>
        <v>0</v>
      </c>
      <c r="BJ255" s="4">
        <f t="shared" si="706"/>
        <v>0</v>
      </c>
      <c r="BK255" s="4">
        <f t="shared" si="785"/>
        <v>85.09</v>
      </c>
      <c r="BL255" s="4">
        <f t="shared" si="786"/>
        <v>85.09</v>
      </c>
      <c r="BM255" s="4">
        <f t="shared" si="787"/>
        <v>260.34999999999997</v>
      </c>
      <c r="BN255" s="4">
        <f t="shared" si="788"/>
        <v>97.79</v>
      </c>
      <c r="BO255" s="4">
        <f t="shared" si="789"/>
        <v>1.2059701492537314</v>
      </c>
      <c r="BP255" s="25">
        <f t="shared" si="790"/>
        <v>4</v>
      </c>
      <c r="BR255" s="4">
        <f t="shared" si="832"/>
        <v>85.09</v>
      </c>
      <c r="BV255" s="9"/>
      <c r="BX255" s="9"/>
      <c r="BY255" s="9"/>
      <c r="BZ255" s="9">
        <f t="shared" si="833"/>
        <v>80.009999999999991</v>
      </c>
      <c r="CA255" s="9">
        <f t="shared" si="834"/>
        <v>126.99999999999997</v>
      </c>
      <c r="CB255" s="9">
        <f t="shared" si="694"/>
        <v>1.9021913151302714</v>
      </c>
      <c r="CC255" s="40">
        <f t="shared" si="861"/>
        <v>20</v>
      </c>
      <c r="CD255" s="9">
        <f t="shared" si="835"/>
        <v>0</v>
      </c>
      <c r="CE255" s="9">
        <f t="shared" si="836"/>
        <v>0</v>
      </c>
      <c r="CF255" s="9">
        <f t="shared" si="837"/>
        <v>0.99524931562137331</v>
      </c>
      <c r="CG255" s="9">
        <f t="shared" si="838"/>
        <v>0.68</v>
      </c>
      <c r="CH255" s="9">
        <f t="shared" si="695"/>
        <v>1.5638078277680176</v>
      </c>
      <c r="CI255" s="9">
        <f t="shared" si="696"/>
        <v>2.9746616685130585</v>
      </c>
      <c r="CJ255" s="40">
        <v>1</v>
      </c>
      <c r="CK255" s="9">
        <f t="shared" si="697"/>
        <v>327.2127835364364</v>
      </c>
      <c r="CM255" s="4">
        <f t="shared" si="839"/>
        <v>1.8768022880578519</v>
      </c>
      <c r="CN255" s="4">
        <f t="shared" si="840"/>
        <v>1.0571790917983603</v>
      </c>
      <c r="CO255" s="4">
        <f t="shared" si="814"/>
        <v>1.2194946641051669</v>
      </c>
      <c r="CP255" s="4">
        <f t="shared" si="841"/>
        <v>2.4912609005764317</v>
      </c>
      <c r="CQ255" s="4">
        <f t="shared" si="800"/>
        <v>0.98499999999999999</v>
      </c>
      <c r="CR255" s="4">
        <f t="shared" si="801"/>
        <v>1.0429653107588621</v>
      </c>
      <c r="CS255" s="4">
        <f t="shared" si="815"/>
        <v>1.2726513426267121</v>
      </c>
      <c r="CT255" s="4">
        <f t="shared" si="862"/>
        <v>0</v>
      </c>
      <c r="CU255" s="4">
        <f t="shared" si="869"/>
        <v>1.8768022880578519</v>
      </c>
      <c r="CV255" s="4">
        <f t="shared" si="869"/>
        <v>1.0571790917983603</v>
      </c>
      <c r="CW255" s="4">
        <f t="shared" si="870"/>
        <v>2.4912609005764317</v>
      </c>
      <c r="CX255" s="4">
        <f t="shared" si="871"/>
        <v>1.2726513426267121</v>
      </c>
      <c r="CY255" s="4">
        <f t="shared" si="872"/>
        <v>0.98499999999999999</v>
      </c>
      <c r="CZ255" s="4">
        <f t="shared" si="872"/>
        <v>1.0429653107588621</v>
      </c>
      <c r="DI255" s="4">
        <f t="shared" si="846"/>
        <v>317.5</v>
      </c>
      <c r="DL255" s="4">
        <f t="shared" si="756"/>
        <v>2.4475465892892514E-5</v>
      </c>
      <c r="DM255" s="4">
        <f t="shared" si="757"/>
        <v>9.2683740829956722</v>
      </c>
      <c r="DN255" s="4">
        <f t="shared" si="758"/>
        <v>0.55445543650397222</v>
      </c>
      <c r="DO255" s="4">
        <f t="shared" si="759"/>
        <v>7.3206595886437924</v>
      </c>
      <c r="DP255" s="4">
        <f t="shared" si="760"/>
        <v>8.3515689115375462</v>
      </c>
      <c r="DQ255" s="4">
        <f t="shared" si="761"/>
        <v>8.2442207183689185</v>
      </c>
      <c r="DR255" s="38">
        <f t="shared" si="791"/>
        <v>827.58620689655174</v>
      </c>
      <c r="DS255" s="4">
        <f t="shared" si="762"/>
        <v>1</v>
      </c>
      <c r="DT255" s="4">
        <f t="shared" si="763"/>
        <v>2.2360679774997898</v>
      </c>
      <c r="DU255" s="4">
        <f t="shared" si="764"/>
        <v>437.41142059301598</v>
      </c>
      <c r="DY255" s="4">
        <f t="shared" si="765"/>
        <v>0.85</v>
      </c>
      <c r="DZ255" s="4">
        <f t="shared" si="766"/>
        <v>0.7649999999999999</v>
      </c>
      <c r="EA255" s="4">
        <f t="shared" si="792"/>
        <v>1</v>
      </c>
      <c r="EB255" s="4">
        <f t="shared" si="767"/>
        <v>0.7649999999999999</v>
      </c>
      <c r="ED255" s="4">
        <f t="shared" si="793"/>
        <v>781.59110891232194</v>
      </c>
      <c r="EE255" s="25">
        <f t="shared" si="794"/>
        <v>434.02708079998422</v>
      </c>
      <c r="EG255" s="4">
        <f t="shared" si="683"/>
        <v>0.65024999999999988</v>
      </c>
      <c r="EH255" s="4">
        <f t="shared" si="795"/>
        <v>9.2683740829956722</v>
      </c>
      <c r="EK255" s="4">
        <f t="shared" si="768"/>
        <v>56.796126628494655</v>
      </c>
      <c r="EL255" s="4">
        <f t="shared" si="769"/>
        <v>2.2360679774997898</v>
      </c>
      <c r="EM255" s="4">
        <f t="shared" si="770"/>
        <v>0.20015961157174716</v>
      </c>
      <c r="EP255" s="4">
        <f t="shared" si="863"/>
        <v>0.20015961157174716</v>
      </c>
      <c r="EQ255" s="4">
        <f t="shared" si="698"/>
        <v>0.55353015371689307</v>
      </c>
      <c r="ER255" s="4">
        <f t="shared" si="772"/>
        <v>7.3157704133659873</v>
      </c>
      <c r="ES255" s="4">
        <f t="shared" si="847"/>
        <v>8.3494273465101507</v>
      </c>
      <c r="ET255" s="4">
        <f t="shared" si="774"/>
        <v>181.32887337150535</v>
      </c>
      <c r="EU255" s="4">
        <f t="shared" si="775"/>
        <v>79.374999999999972</v>
      </c>
      <c r="EV255" s="4">
        <f t="shared" si="699"/>
        <v>2.4475465892892504E-5</v>
      </c>
      <c r="EW255" s="4">
        <f t="shared" si="848"/>
        <v>8.244517541255485</v>
      </c>
      <c r="EX255" s="4">
        <f t="shared" si="707"/>
        <v>827.58620689655174</v>
      </c>
      <c r="FG255" s="23">
        <f t="shared" si="817"/>
        <v>2</v>
      </c>
      <c r="FH255" s="23">
        <f t="shared" si="817"/>
        <v>1.2</v>
      </c>
      <c r="FI255" s="23">
        <f t="shared" si="818"/>
        <v>1.4</v>
      </c>
      <c r="FJ255" s="23">
        <f t="shared" si="819"/>
        <v>2.2000000000000002</v>
      </c>
      <c r="FK255" s="23">
        <f t="shared" si="819"/>
        <v>1</v>
      </c>
      <c r="FL255" s="23">
        <f t="shared" si="819"/>
        <v>1.2</v>
      </c>
      <c r="FM255" s="23">
        <f t="shared" si="807"/>
        <v>0</v>
      </c>
      <c r="FN255" s="23"/>
      <c r="FX255" s="4">
        <f t="shared" si="676"/>
        <v>1</v>
      </c>
      <c r="FY255" s="4">
        <f t="shared" si="716"/>
        <v>0.5</v>
      </c>
      <c r="FZ255" s="4">
        <f t="shared" si="677"/>
        <v>0</v>
      </c>
      <c r="GA255" s="4">
        <f t="shared" si="678"/>
        <v>640.53082449951569</v>
      </c>
    </row>
    <row r="256" spans="1:183" ht="12" customHeight="1" x14ac:dyDescent="0.3">
      <c r="A256" s="25">
        <v>238</v>
      </c>
      <c r="B256" s="4" t="s">
        <v>605</v>
      </c>
      <c r="C256" s="4">
        <v>2016</v>
      </c>
      <c r="D256" s="4" t="s">
        <v>309</v>
      </c>
      <c r="E256" s="24" t="s">
        <v>662</v>
      </c>
      <c r="F256" s="7" t="s">
        <v>391</v>
      </c>
      <c r="G256" s="38">
        <f t="shared" si="849"/>
        <v>827.58620689655174</v>
      </c>
      <c r="H256" s="38">
        <f>9.56*25.4</f>
        <v>242.82400000000001</v>
      </c>
      <c r="I256" s="4">
        <f t="shared" si="850"/>
        <v>242.82400000000001</v>
      </c>
      <c r="J256" s="38">
        <f>5090/145</f>
        <v>35.103448275862071</v>
      </c>
      <c r="K256" s="38">
        <f t="shared" si="851"/>
        <v>25.4</v>
      </c>
      <c r="L256" s="7">
        <f t="shared" si="852"/>
        <v>9.56</v>
      </c>
      <c r="M256" s="7">
        <f t="shared" si="853"/>
        <v>9.56</v>
      </c>
      <c r="N256" s="38">
        <f>17.3*25.4</f>
        <v>439.42</v>
      </c>
      <c r="O256" s="38">
        <f>2.8*25.4</f>
        <v>71.11999999999999</v>
      </c>
      <c r="P256" s="39">
        <f>3.05*25.4</f>
        <v>77.469999999999985</v>
      </c>
      <c r="Q256" s="7">
        <f t="shared" si="854"/>
        <v>246.38000000000002</v>
      </c>
      <c r="R256" s="38">
        <v>2</v>
      </c>
      <c r="S256" s="4">
        <f t="shared" si="826"/>
        <v>260.34999999999997</v>
      </c>
      <c r="T256" s="7">
        <f t="shared" si="855"/>
        <v>3.3</v>
      </c>
      <c r="U256" s="7">
        <f t="shared" si="702"/>
        <v>3.3</v>
      </c>
      <c r="V256" s="38">
        <v>4</v>
      </c>
      <c r="W256" s="4">
        <f t="shared" si="856"/>
        <v>4</v>
      </c>
      <c r="X256" s="4">
        <f t="shared" si="857"/>
        <v>5</v>
      </c>
      <c r="Y256" s="7">
        <f t="shared" si="858"/>
        <v>56.796126628494655</v>
      </c>
      <c r="AB256" s="38">
        <f>99.6/0.145</f>
        <v>686.89655172413791</v>
      </c>
      <c r="AD256" s="4">
        <f t="shared" si="740"/>
        <v>1.1793748514869569</v>
      </c>
      <c r="AE256" s="38">
        <f>0.375*25.4</f>
        <v>9.5249999999999986</v>
      </c>
      <c r="AF256" s="38">
        <v>10</v>
      </c>
      <c r="AG256" s="39">
        <f>3*25.4</f>
        <v>76.199999999999989</v>
      </c>
      <c r="AH256" s="39">
        <v>3</v>
      </c>
      <c r="AI256" s="39">
        <v>1</v>
      </c>
      <c r="AJ256" s="7"/>
      <c r="AK256" s="4">
        <f t="shared" si="859"/>
        <v>242.82400000000001</v>
      </c>
      <c r="AL256" s="4">
        <f t="shared" si="779"/>
        <v>0.60320781032078097</v>
      </c>
      <c r="AM256" s="4">
        <f t="shared" si="780"/>
        <v>221.2203082426764</v>
      </c>
      <c r="AN256" s="4">
        <f t="shared" si="781"/>
        <v>0.76903765690376569</v>
      </c>
      <c r="AO256" s="4">
        <v>1.25</v>
      </c>
      <c r="AP256" s="4">
        <f t="shared" si="688"/>
        <v>2.5</v>
      </c>
      <c r="AQ256" s="38">
        <f t="shared" si="827"/>
        <v>320.69307138372187</v>
      </c>
      <c r="AR256" s="38">
        <f t="shared" si="783"/>
        <v>320.69307138372187</v>
      </c>
      <c r="AS256" s="38">
        <f t="shared" si="784"/>
        <v>3.2162843791396258</v>
      </c>
      <c r="AT256" s="38">
        <f t="shared" si="691"/>
        <v>320.69307138372176</v>
      </c>
      <c r="AU256" s="38">
        <f t="shared" si="674"/>
        <v>1.0000000000000004</v>
      </c>
      <c r="AV256" s="38">
        <f t="shared" si="692"/>
        <v>1.4448878338470383</v>
      </c>
      <c r="AW256" s="4">
        <f t="shared" si="693"/>
        <v>0</v>
      </c>
      <c r="AX256" s="4">
        <f t="shared" si="860"/>
        <v>298.11180999096536</v>
      </c>
      <c r="AY256" s="4">
        <f t="shared" si="828"/>
        <v>1</v>
      </c>
      <c r="AZ256" s="38">
        <f t="shared" si="701"/>
        <v>463.36551724137934</v>
      </c>
      <c r="BA256" s="4">
        <f t="shared" si="829"/>
        <v>0.44000000000000006</v>
      </c>
      <c r="BB256" s="4">
        <f t="shared" si="830"/>
        <v>68.535905116922933</v>
      </c>
      <c r="BC256" s="4">
        <f t="shared" si="831"/>
        <v>531.90142235830228</v>
      </c>
      <c r="BE256" s="4">
        <f t="shared" si="689"/>
        <v>1.5</v>
      </c>
      <c r="BF256" s="4">
        <f t="shared" si="690"/>
        <v>521.50233137310727</v>
      </c>
      <c r="BH256" s="4">
        <f t="shared" si="704"/>
        <v>444.42419694476757</v>
      </c>
      <c r="BI256" s="4">
        <f t="shared" si="705"/>
        <v>0</v>
      </c>
      <c r="BJ256" s="4">
        <f t="shared" si="706"/>
        <v>0</v>
      </c>
      <c r="BK256" s="4">
        <f t="shared" si="785"/>
        <v>71.11999999999999</v>
      </c>
      <c r="BL256" s="4">
        <f t="shared" si="786"/>
        <v>71.11999999999999</v>
      </c>
      <c r="BM256" s="4">
        <f t="shared" si="787"/>
        <v>260.34999999999997</v>
      </c>
      <c r="BN256" s="4">
        <f t="shared" si="788"/>
        <v>83.82</v>
      </c>
      <c r="BO256" s="4">
        <f t="shared" si="789"/>
        <v>1.25</v>
      </c>
      <c r="BP256" s="25">
        <f t="shared" si="790"/>
        <v>4</v>
      </c>
      <c r="BR256" s="4">
        <f t="shared" si="832"/>
        <v>71.11999999999999</v>
      </c>
      <c r="BV256" s="9"/>
      <c r="BX256" s="9"/>
      <c r="BY256" s="9"/>
      <c r="BZ256" s="9">
        <f t="shared" si="833"/>
        <v>71.11999999999999</v>
      </c>
      <c r="CA256" s="9">
        <f t="shared" si="834"/>
        <v>123.19000000000001</v>
      </c>
      <c r="CB256" s="9">
        <f t="shared" si="694"/>
        <v>1.8170487186781425</v>
      </c>
      <c r="CC256" s="40">
        <f t="shared" si="861"/>
        <v>20</v>
      </c>
      <c r="CD256" s="9">
        <f t="shared" si="835"/>
        <v>0.05</v>
      </c>
      <c r="CE256" s="9">
        <f t="shared" si="836"/>
        <v>0.8</v>
      </c>
      <c r="CF256" s="9">
        <f t="shared" si="837"/>
        <v>0.99524931562137331</v>
      </c>
      <c r="CG256" s="9">
        <f t="shared" si="838"/>
        <v>0.68</v>
      </c>
      <c r="CH256" s="9">
        <f t="shared" si="695"/>
        <v>1.4034073112676719</v>
      </c>
      <c r="CI256" s="9">
        <f t="shared" si="696"/>
        <v>3.5085182781691797</v>
      </c>
      <c r="CJ256" s="40">
        <v>1</v>
      </c>
      <c r="CK256" s="9">
        <f t="shared" si="697"/>
        <v>344.67683564734023</v>
      </c>
      <c r="CM256" s="4">
        <f t="shared" si="839"/>
        <v>2.3041574627484738</v>
      </c>
      <c r="CN256" s="4">
        <f t="shared" si="840"/>
        <v>1.291398223149377</v>
      </c>
      <c r="CO256" s="4">
        <f t="shared" si="814"/>
        <v>1.317149532036703</v>
      </c>
      <c r="CP256" s="4">
        <f t="shared" si="841"/>
        <v>1.9928712367167702</v>
      </c>
      <c r="CQ256" s="4">
        <f t="shared" si="800"/>
        <v>1.1793748514869569</v>
      </c>
      <c r="CR256" s="4">
        <f t="shared" si="801"/>
        <v>1.267632927019867</v>
      </c>
      <c r="CS256" s="4">
        <f t="shared" si="815"/>
        <v>1.3025245533720942</v>
      </c>
      <c r="CT256" s="4">
        <f t="shared" si="862"/>
        <v>10</v>
      </c>
      <c r="DA256" s="4">
        <f t="shared" ref="DA256:DB259" si="873">CM256</f>
        <v>2.3041574627484738</v>
      </c>
      <c r="DB256" s="4">
        <f t="shared" si="873"/>
        <v>1.291398223149377</v>
      </c>
      <c r="DC256" s="4">
        <f t="shared" ref="DC256:DC259" si="874">CP256</f>
        <v>1.9928712367167702</v>
      </c>
      <c r="DD256" s="4">
        <f t="shared" ref="DD256:DD259" si="875">CS256</f>
        <v>1.3025245533720942</v>
      </c>
      <c r="DE256" s="4">
        <f t="shared" ref="DE256:DF259" si="876">CQ256</f>
        <v>1.1793748514869569</v>
      </c>
      <c r="DF256" s="4">
        <f t="shared" si="876"/>
        <v>1.267632927019867</v>
      </c>
      <c r="DI256" s="4">
        <f t="shared" si="846"/>
        <v>242.82400000000001</v>
      </c>
      <c r="DL256" s="4">
        <f t="shared" si="756"/>
        <v>1.7691006908959997E-5</v>
      </c>
      <c r="DM256" s="4">
        <f t="shared" si="757"/>
        <v>7.8332539258345992</v>
      </c>
      <c r="DN256" s="4">
        <f t="shared" si="758"/>
        <v>0.50473730099887937</v>
      </c>
      <c r="DO256" s="4">
        <f t="shared" si="759"/>
        <v>5.958931120908705</v>
      </c>
      <c r="DP256" s="4">
        <f t="shared" si="760"/>
        <v>6.9595952738984037</v>
      </c>
      <c r="DQ256" s="4">
        <f t="shared" si="761"/>
        <v>7.4351706042633126</v>
      </c>
      <c r="DR256" s="38">
        <f t="shared" si="791"/>
        <v>582.42428254095648</v>
      </c>
      <c r="DS256" s="4">
        <f t="shared" si="762"/>
        <v>1.0001168332714179</v>
      </c>
      <c r="DT256" s="4">
        <f t="shared" si="763"/>
        <v>2.2360679774997898</v>
      </c>
      <c r="DU256" s="4">
        <f t="shared" si="764"/>
        <v>320.69307138372176</v>
      </c>
      <c r="DY256" s="4">
        <f t="shared" si="765"/>
        <v>0.85</v>
      </c>
      <c r="DZ256" s="4">
        <f t="shared" si="766"/>
        <v>0.82000000000000006</v>
      </c>
      <c r="EA256" s="4">
        <f t="shared" si="792"/>
        <v>0.99062499999999998</v>
      </c>
      <c r="EB256" s="4">
        <f t="shared" si="767"/>
        <v>0.81231249999999999</v>
      </c>
      <c r="ED256" s="4">
        <f t="shared" si="793"/>
        <v>541.87339022424476</v>
      </c>
      <c r="EE256" s="25">
        <f t="shared" si="794"/>
        <v>317.21566763130841</v>
      </c>
      <c r="EG256" s="4">
        <f t="shared" si="683"/>
        <v>0.69046562499999997</v>
      </c>
      <c r="EH256" s="4">
        <f t="shared" si="795"/>
        <v>7.8332539258345992</v>
      </c>
      <c r="EK256" s="4">
        <f t="shared" si="768"/>
        <v>56.796126628494655</v>
      </c>
      <c r="EL256" s="4">
        <f t="shared" si="769"/>
        <v>2.2360679774997898</v>
      </c>
      <c r="EM256" s="4">
        <f t="shared" si="770"/>
        <v>0.16352176138615632</v>
      </c>
      <c r="EP256" s="4">
        <f t="shared" si="863"/>
        <v>0.16352176138615632</v>
      </c>
      <c r="EQ256" s="4">
        <f t="shared" si="698"/>
        <v>0.50389498851375736</v>
      </c>
      <c r="ER256" s="4">
        <f t="shared" si="772"/>
        <v>5.9549513895244344</v>
      </c>
      <c r="ES256" s="4">
        <f t="shared" si="847"/>
        <v>6.9578929171418729</v>
      </c>
      <c r="ET256" s="4">
        <f t="shared" si="774"/>
        <v>125.32187337150535</v>
      </c>
      <c r="EU256" s="4">
        <f t="shared" si="775"/>
        <v>60.706000000000017</v>
      </c>
      <c r="EV256" s="4">
        <f t="shared" si="699"/>
        <v>1.7691006908960001E-5</v>
      </c>
      <c r="EW256" s="4">
        <f t="shared" si="848"/>
        <v>7.4352913641562788</v>
      </c>
      <c r="EX256" s="4">
        <f t="shared" si="707"/>
        <v>582.35624395584443</v>
      </c>
      <c r="FG256" s="23">
        <f t="shared" si="817"/>
        <v>2.2000000000000002</v>
      </c>
      <c r="FH256" s="23">
        <f t="shared" si="817"/>
        <v>1.4</v>
      </c>
      <c r="FI256" s="23">
        <f t="shared" si="818"/>
        <v>1.4</v>
      </c>
      <c r="FJ256" s="23">
        <f t="shared" si="819"/>
        <v>2</v>
      </c>
      <c r="FK256" s="23">
        <f t="shared" si="819"/>
        <v>1.2</v>
      </c>
      <c r="FL256" s="23">
        <f t="shared" si="819"/>
        <v>1.4</v>
      </c>
      <c r="FM256" s="23">
        <f t="shared" si="807"/>
        <v>0</v>
      </c>
      <c r="FN256" s="23"/>
      <c r="FX256" s="4">
        <f t="shared" si="676"/>
        <v>1</v>
      </c>
      <c r="FY256" s="4">
        <f t="shared" si="716"/>
        <v>0.44</v>
      </c>
      <c r="FZ256" s="4">
        <f t="shared" si="677"/>
        <v>0.3</v>
      </c>
      <c r="GA256" s="4">
        <f t="shared" si="678"/>
        <v>527.35785282959739</v>
      </c>
    </row>
    <row r="257" spans="1:183" ht="12" customHeight="1" x14ac:dyDescent="0.3">
      <c r="A257" s="25">
        <v>239</v>
      </c>
      <c r="B257" s="4" t="s">
        <v>605</v>
      </c>
      <c r="C257" s="4">
        <v>2016</v>
      </c>
      <c r="D257" s="4" t="s">
        <v>309</v>
      </c>
      <c r="E257" s="24" t="s">
        <v>662</v>
      </c>
      <c r="F257" s="7" t="s">
        <v>392</v>
      </c>
      <c r="G257" s="38">
        <f t="shared" si="849"/>
        <v>827.58620689655174</v>
      </c>
      <c r="H257" s="38">
        <f>9.56*25.4</f>
        <v>242.82400000000001</v>
      </c>
      <c r="I257" s="4">
        <f t="shared" si="850"/>
        <v>242.82400000000001</v>
      </c>
      <c r="J257" s="38">
        <f>5910/145</f>
        <v>40.758620689655174</v>
      </c>
      <c r="K257" s="38">
        <f t="shared" si="851"/>
        <v>25.4</v>
      </c>
      <c r="L257" s="7">
        <f t="shared" si="852"/>
        <v>9.56</v>
      </c>
      <c r="M257" s="7">
        <f t="shared" si="853"/>
        <v>9.56</v>
      </c>
      <c r="N257" s="38">
        <f>18.9*25.4</f>
        <v>480.05999999999995</v>
      </c>
      <c r="O257" s="38">
        <f>3.35*25.4</f>
        <v>85.09</v>
      </c>
      <c r="P257" s="39">
        <f>3.15*25.4</f>
        <v>80.009999999999991</v>
      </c>
      <c r="Q257" s="7">
        <f t="shared" si="854"/>
        <v>259.07999999999993</v>
      </c>
      <c r="R257" s="38">
        <v>2</v>
      </c>
      <c r="S257" s="4">
        <f t="shared" si="826"/>
        <v>260.34999999999997</v>
      </c>
      <c r="T257" s="7">
        <f t="shared" si="855"/>
        <v>3.8500000000000005</v>
      </c>
      <c r="U257" s="7">
        <f t="shared" si="702"/>
        <v>3.8500000000000005</v>
      </c>
      <c r="V257" s="38">
        <v>4</v>
      </c>
      <c r="W257" s="4">
        <f t="shared" si="856"/>
        <v>4</v>
      </c>
      <c r="X257" s="4">
        <f t="shared" si="857"/>
        <v>5</v>
      </c>
      <c r="Y257" s="7">
        <f t="shared" si="858"/>
        <v>56.796126628494655</v>
      </c>
      <c r="AB257" s="38">
        <f>100.6/0.145</f>
        <v>693.79310344827582</v>
      </c>
      <c r="AD257" s="4">
        <f t="shared" si="740"/>
        <v>1.0114255979953197</v>
      </c>
      <c r="AE257" s="38">
        <f t="shared" ref="AE257" si="877">0.375*25.4</f>
        <v>9.5249999999999986</v>
      </c>
      <c r="AF257" s="38">
        <v>10</v>
      </c>
      <c r="AG257" s="39">
        <f>3*25.4</f>
        <v>76.199999999999989</v>
      </c>
      <c r="AH257" s="39">
        <v>3</v>
      </c>
      <c r="AI257" s="39">
        <v>1</v>
      </c>
      <c r="AJ257" s="7"/>
      <c r="AK257" s="4">
        <f t="shared" si="859"/>
        <v>242.82400000000001</v>
      </c>
      <c r="AL257" s="4">
        <f t="shared" si="779"/>
        <v>0.65899581589958145</v>
      </c>
      <c r="AM257" s="4">
        <f t="shared" si="780"/>
        <v>238.37452595758</v>
      </c>
      <c r="AN257" s="4">
        <f t="shared" si="781"/>
        <v>0.78054393305439329</v>
      </c>
      <c r="AO257" s="4">
        <v>1.25</v>
      </c>
      <c r="AP257" s="4">
        <f t="shared" si="688"/>
        <v>2.5</v>
      </c>
      <c r="AQ257" s="38">
        <f t="shared" si="827"/>
        <v>383.16856602860486</v>
      </c>
      <c r="AR257" s="38">
        <f t="shared" si="783"/>
        <v>383.16856602860486</v>
      </c>
      <c r="AS257" s="38">
        <f t="shared" si="784"/>
        <v>3.5530466297176955</v>
      </c>
      <c r="AT257" s="38">
        <f t="shared" si="691"/>
        <v>383.16856602860469</v>
      </c>
      <c r="AU257" s="38">
        <f t="shared" si="674"/>
        <v>1.0000000000000004</v>
      </c>
      <c r="AV257" s="38">
        <f t="shared" si="692"/>
        <v>1.6381374002736733</v>
      </c>
      <c r="AW257" s="4">
        <f t="shared" si="693"/>
        <v>0</v>
      </c>
      <c r="AX257" s="4">
        <f t="shared" si="860"/>
        <v>321.22847108140701</v>
      </c>
      <c r="AY257" s="4">
        <f t="shared" si="828"/>
        <v>1</v>
      </c>
      <c r="AZ257" s="38">
        <f t="shared" si="701"/>
        <v>627.68275862068981</v>
      </c>
      <c r="BA257" s="4">
        <f t="shared" si="829"/>
        <v>0.44000000000000006</v>
      </c>
      <c r="BB257" s="4">
        <f t="shared" si="830"/>
        <v>73.850425501615476</v>
      </c>
      <c r="BC257" s="4">
        <f t="shared" si="831"/>
        <v>701.53318412230533</v>
      </c>
      <c r="BE257" s="4">
        <f t="shared" si="689"/>
        <v>1.5</v>
      </c>
      <c r="BF257" s="4">
        <f t="shared" si="690"/>
        <v>561.94149630452239</v>
      </c>
      <c r="BH257" s="4">
        <f t="shared" si="704"/>
        <v>602.02452611673345</v>
      </c>
      <c r="BI257" s="4">
        <f t="shared" si="705"/>
        <v>0</v>
      </c>
      <c r="BJ257" s="4">
        <f t="shared" si="706"/>
        <v>0</v>
      </c>
      <c r="BK257" s="4">
        <f t="shared" si="785"/>
        <v>85.09</v>
      </c>
      <c r="BL257" s="4">
        <f t="shared" si="786"/>
        <v>85.09</v>
      </c>
      <c r="BM257" s="4">
        <f t="shared" si="787"/>
        <v>260.34999999999997</v>
      </c>
      <c r="BN257" s="4">
        <f t="shared" si="788"/>
        <v>97.79</v>
      </c>
      <c r="BO257" s="4">
        <f t="shared" si="789"/>
        <v>1.2059701492537314</v>
      </c>
      <c r="BP257" s="25">
        <f t="shared" si="790"/>
        <v>4</v>
      </c>
      <c r="BR257" s="4">
        <f t="shared" si="832"/>
        <v>85.09</v>
      </c>
      <c r="BV257" s="9"/>
      <c r="BX257" s="9"/>
      <c r="BY257" s="9"/>
      <c r="BZ257" s="9">
        <f t="shared" si="833"/>
        <v>80.009999999999991</v>
      </c>
      <c r="CA257" s="9">
        <f t="shared" si="834"/>
        <v>129.53999999999996</v>
      </c>
      <c r="CB257" s="9">
        <f t="shared" si="694"/>
        <v>1.9078499730405829</v>
      </c>
      <c r="CC257" s="40">
        <f t="shared" si="861"/>
        <v>20</v>
      </c>
      <c r="CD257" s="9">
        <f t="shared" si="835"/>
        <v>0.05</v>
      </c>
      <c r="CE257" s="9">
        <f t="shared" si="836"/>
        <v>0.8</v>
      </c>
      <c r="CF257" s="9">
        <f t="shared" si="837"/>
        <v>0.99524931562137331</v>
      </c>
      <c r="CG257" s="9">
        <f t="shared" si="838"/>
        <v>0.68</v>
      </c>
      <c r="CH257" s="9">
        <f t="shared" si="695"/>
        <v>1.5122325576992237</v>
      </c>
      <c r="CI257" s="9">
        <f t="shared" si="696"/>
        <v>3.7805813942480593</v>
      </c>
      <c r="CJ257" s="40">
        <v>1</v>
      </c>
      <c r="CK257" s="9">
        <f t="shared" si="697"/>
        <v>371.40431617092935</v>
      </c>
      <c r="CM257" s="4">
        <f t="shared" si="839"/>
        <v>2.1598119902405912</v>
      </c>
      <c r="CN257" s="4">
        <f t="shared" si="840"/>
        <v>0.98896690726937853</v>
      </c>
      <c r="CO257" s="4">
        <f t="shared" si="814"/>
        <v>1.2346358259905077</v>
      </c>
      <c r="CP257" s="4">
        <f t="shared" si="841"/>
        <v>1.8680264963021465</v>
      </c>
      <c r="CQ257" s="4">
        <f t="shared" si="800"/>
        <v>1.0114255979953197</v>
      </c>
      <c r="CR257" s="4">
        <f t="shared" si="801"/>
        <v>1.0864732280294513</v>
      </c>
      <c r="CS257" s="4">
        <f t="shared" si="815"/>
        <v>1.2673808375373148</v>
      </c>
      <c r="CT257" s="4">
        <f t="shared" si="862"/>
        <v>10</v>
      </c>
      <c r="DA257" s="4">
        <f t="shared" si="873"/>
        <v>2.1598119902405912</v>
      </c>
      <c r="DB257" s="4">
        <f t="shared" si="873"/>
        <v>0.98896690726937853</v>
      </c>
      <c r="DC257" s="4">
        <f t="shared" si="874"/>
        <v>1.8680264963021465</v>
      </c>
      <c r="DD257" s="4">
        <f t="shared" si="875"/>
        <v>1.2673808375373148</v>
      </c>
      <c r="DE257" s="4">
        <f t="shared" si="876"/>
        <v>1.0114255979953197</v>
      </c>
      <c r="DF257" s="4">
        <f t="shared" si="876"/>
        <v>1.0864732280294513</v>
      </c>
      <c r="DI257" s="4">
        <f t="shared" si="846"/>
        <v>242.82400000000001</v>
      </c>
      <c r="DL257" s="4">
        <f t="shared" si="756"/>
        <v>1.8375559240592081E-5</v>
      </c>
      <c r="DM257" s="4">
        <f t="shared" si="757"/>
        <v>9.0475183276018765</v>
      </c>
      <c r="DN257" s="4">
        <f t="shared" si="758"/>
        <v>0.5193928887020951</v>
      </c>
      <c r="DO257" s="4">
        <f t="shared" si="759"/>
        <v>6.9619014486186845</v>
      </c>
      <c r="DP257" s="4">
        <f t="shared" si="760"/>
        <v>8.0724627777507614</v>
      </c>
      <c r="DQ257" s="4">
        <f t="shared" si="761"/>
        <v>8.4939345141555673</v>
      </c>
      <c r="DR257" s="38">
        <f t="shared" si="791"/>
        <v>685.95564994933648</v>
      </c>
      <c r="DS257" s="4">
        <f t="shared" si="762"/>
        <v>1.0001159184527728</v>
      </c>
      <c r="DT257" s="4">
        <f t="shared" si="763"/>
        <v>2.2360679774997898</v>
      </c>
      <c r="DU257" s="4">
        <f t="shared" si="764"/>
        <v>383.16856602860469</v>
      </c>
      <c r="DY257" s="4">
        <f t="shared" si="765"/>
        <v>0.85</v>
      </c>
      <c r="DZ257" s="4">
        <f t="shared" si="766"/>
        <v>0.7649999999999999</v>
      </c>
      <c r="EA257" s="4">
        <f t="shared" si="792"/>
        <v>0.99062499999999998</v>
      </c>
      <c r="EB257" s="4">
        <f t="shared" si="767"/>
        <v>0.75782812499999985</v>
      </c>
      <c r="ED257" s="4">
        <f t="shared" si="793"/>
        <v>638.57358428114799</v>
      </c>
      <c r="EE257" s="25">
        <f t="shared" si="794"/>
        <v>379.09075864552608</v>
      </c>
      <c r="EG257" s="4">
        <f t="shared" si="683"/>
        <v>0.64415390624999991</v>
      </c>
      <c r="EH257" s="4">
        <f t="shared" si="795"/>
        <v>9.0475183276018765</v>
      </c>
      <c r="EK257" s="4">
        <f t="shared" si="768"/>
        <v>56.796126628494655</v>
      </c>
      <c r="EL257" s="4">
        <f t="shared" si="769"/>
        <v>2.2360679774997898</v>
      </c>
      <c r="EM257" s="4">
        <f t="shared" si="770"/>
        <v>0.18131803502377647</v>
      </c>
      <c r="EP257" s="4">
        <f t="shared" si="863"/>
        <v>0.18131803502377647</v>
      </c>
      <c r="EQ257" s="4">
        <f t="shared" si="698"/>
        <v>0.51852611877252675</v>
      </c>
      <c r="ER257" s="4">
        <f t="shared" si="772"/>
        <v>6.9572518735309554</v>
      </c>
      <c r="ES257" s="4">
        <f t="shared" si="847"/>
        <v>8.0704593131350855</v>
      </c>
      <c r="ET257" s="4">
        <f t="shared" si="774"/>
        <v>125.32187337150535</v>
      </c>
      <c r="EU257" s="4">
        <f t="shared" si="775"/>
        <v>60.706000000000017</v>
      </c>
      <c r="EV257" s="4">
        <f t="shared" si="699"/>
        <v>1.8375559240592081E-5</v>
      </c>
      <c r="EW257" s="4">
        <f t="shared" si="848"/>
        <v>8.4941040952547997</v>
      </c>
      <c r="EX257" s="4">
        <f t="shared" si="707"/>
        <v>685.87614424790149</v>
      </c>
      <c r="FG257" s="23">
        <f t="shared" si="817"/>
        <v>2.2000000000000002</v>
      </c>
      <c r="FH257" s="23">
        <f t="shared" si="817"/>
        <v>1</v>
      </c>
      <c r="FI257" s="23">
        <f t="shared" si="818"/>
        <v>1.4</v>
      </c>
      <c r="FJ257" s="23">
        <f t="shared" si="819"/>
        <v>2</v>
      </c>
      <c r="FK257" s="23">
        <f t="shared" si="819"/>
        <v>1.2</v>
      </c>
      <c r="FL257" s="23">
        <f t="shared" si="819"/>
        <v>1.2</v>
      </c>
      <c r="FM257" s="23">
        <f t="shared" si="807"/>
        <v>0</v>
      </c>
      <c r="FN257" s="23"/>
      <c r="FX257" s="4">
        <f t="shared" si="676"/>
        <v>1</v>
      </c>
      <c r="FY257" s="4">
        <f t="shared" si="716"/>
        <v>0.44</v>
      </c>
      <c r="FZ257" s="4">
        <f t="shared" si="677"/>
        <v>0.3</v>
      </c>
      <c r="GA257" s="4">
        <f t="shared" si="678"/>
        <v>547.4227500523092</v>
      </c>
    </row>
    <row r="258" spans="1:183" ht="12" customHeight="1" x14ac:dyDescent="0.3">
      <c r="A258" s="25">
        <v>240</v>
      </c>
      <c r="B258" s="4" t="s">
        <v>605</v>
      </c>
      <c r="C258" s="4">
        <v>2016</v>
      </c>
      <c r="D258" s="4" t="s">
        <v>309</v>
      </c>
      <c r="E258" s="24" t="s">
        <v>662</v>
      </c>
      <c r="F258" s="7" t="s">
        <v>393</v>
      </c>
      <c r="G258" s="38">
        <f t="shared" si="849"/>
        <v>827.58620689655174</v>
      </c>
      <c r="H258" s="38">
        <f>9.19*25.4</f>
        <v>233.42599999999999</v>
      </c>
      <c r="I258" s="4">
        <f t="shared" si="850"/>
        <v>233.42599999999999</v>
      </c>
      <c r="J258" s="38">
        <f>5180/145</f>
        <v>35.724137931034484</v>
      </c>
      <c r="K258" s="38">
        <f t="shared" si="851"/>
        <v>25.4</v>
      </c>
      <c r="L258" s="7">
        <f t="shared" si="852"/>
        <v>9.19</v>
      </c>
      <c r="M258" s="7">
        <f t="shared" si="853"/>
        <v>9.19</v>
      </c>
      <c r="N258" s="38">
        <f>16.5*25.4</f>
        <v>419.09999999999997</v>
      </c>
      <c r="O258" s="38">
        <f>2.5*25.4</f>
        <v>63.5</v>
      </c>
      <c r="P258" s="39">
        <f>3.45*25.4</f>
        <v>87.63</v>
      </c>
      <c r="Q258" s="7">
        <f t="shared" si="854"/>
        <v>241.29999999999995</v>
      </c>
      <c r="R258" s="38">
        <v>2</v>
      </c>
      <c r="S258" s="4">
        <f t="shared" si="826"/>
        <v>260.34999999999997</v>
      </c>
      <c r="T258" s="7">
        <f t="shared" si="855"/>
        <v>3</v>
      </c>
      <c r="U258" s="7">
        <f t="shared" si="702"/>
        <v>3</v>
      </c>
      <c r="V258" s="38">
        <v>4</v>
      </c>
      <c r="W258" s="4">
        <f t="shared" si="856"/>
        <v>4</v>
      </c>
      <c r="X258" s="4">
        <f t="shared" si="857"/>
        <v>5</v>
      </c>
      <c r="Y258" s="7">
        <f t="shared" si="858"/>
        <v>56.796126628494655</v>
      </c>
      <c r="AB258" s="38">
        <f>114.8/0.145</f>
        <v>791.72413793103453</v>
      </c>
      <c r="AD258" s="4">
        <f t="shared" si="740"/>
        <v>1.4143463626576895</v>
      </c>
      <c r="AE258" s="38">
        <f>0.5*25.4</f>
        <v>12.7</v>
      </c>
      <c r="AF258" s="38">
        <v>8</v>
      </c>
      <c r="AG258" s="39">
        <f>4*25.4</f>
        <v>101.6</v>
      </c>
      <c r="AH258" s="39">
        <v>2</v>
      </c>
      <c r="AI258" s="39">
        <v>1</v>
      </c>
      <c r="AJ258" s="7"/>
      <c r="AK258" s="4">
        <f t="shared" si="859"/>
        <v>233.42599999999999</v>
      </c>
      <c r="AL258" s="4">
        <f t="shared" si="779"/>
        <v>0.59847660500544075</v>
      </c>
      <c r="AM258" s="4">
        <f t="shared" si="780"/>
        <v>210.33784035951044</v>
      </c>
      <c r="AN258" s="4">
        <f t="shared" si="781"/>
        <v>0.76528835690968444</v>
      </c>
      <c r="AO258" s="4">
        <v>1.25</v>
      </c>
      <c r="AP258" s="4">
        <f t="shared" si="688"/>
        <v>2.5</v>
      </c>
      <c r="AQ258" s="38">
        <f t="shared" si="827"/>
        <v>301.05075195376668</v>
      </c>
      <c r="AR258" s="38">
        <f t="shared" si="783"/>
        <v>301.05075195376668</v>
      </c>
      <c r="AS258" s="38">
        <f t="shared" si="784"/>
        <v>3.2540864993004175</v>
      </c>
      <c r="AT258" s="38">
        <f t="shared" si="691"/>
        <v>301.05075195376651</v>
      </c>
      <c r="AU258" s="38">
        <f t="shared" si="674"/>
        <v>1.0000000000000007</v>
      </c>
      <c r="AV258" s="38">
        <f t="shared" si="692"/>
        <v>1.4239780249353082</v>
      </c>
      <c r="AW258" s="4">
        <f t="shared" si="693"/>
        <v>0</v>
      </c>
      <c r="AX258" s="4">
        <f t="shared" si="860"/>
        <v>289.09647027921568</v>
      </c>
      <c r="AY258" s="4">
        <f t="shared" si="828"/>
        <v>1</v>
      </c>
      <c r="AZ258" s="38">
        <f t="shared" si="701"/>
        <v>428.68965517241384</v>
      </c>
      <c r="BA258" s="4">
        <f t="shared" si="829"/>
        <v>0.44000000000000006</v>
      </c>
      <c r="BB258" s="4">
        <f t="shared" si="830"/>
        <v>66.463278517191682</v>
      </c>
      <c r="BC258" s="4">
        <f t="shared" si="831"/>
        <v>495.1529336896055</v>
      </c>
      <c r="BE258" s="4">
        <f t="shared" si="689"/>
        <v>1.5</v>
      </c>
      <c r="BF258" s="4">
        <f t="shared" si="690"/>
        <v>516.14100993283103</v>
      </c>
      <c r="BH258" s="4">
        <f t="shared" si="704"/>
        <v>411.16580463902415</v>
      </c>
      <c r="BI258" s="4">
        <f t="shared" si="705"/>
        <v>0</v>
      </c>
      <c r="BJ258" s="4">
        <f t="shared" si="706"/>
        <v>0</v>
      </c>
      <c r="BK258" s="4">
        <f t="shared" si="785"/>
        <v>63.5</v>
      </c>
      <c r="BL258" s="4">
        <f t="shared" si="786"/>
        <v>63.5</v>
      </c>
      <c r="BM258" s="4">
        <f t="shared" si="787"/>
        <v>260.34999999999997</v>
      </c>
      <c r="BN258" s="4">
        <f t="shared" si="788"/>
        <v>76.2</v>
      </c>
      <c r="BO258" s="4">
        <f t="shared" si="789"/>
        <v>1.25</v>
      </c>
      <c r="BP258" s="25">
        <f t="shared" si="790"/>
        <v>4</v>
      </c>
      <c r="BR258" s="4">
        <f t="shared" si="832"/>
        <v>63.5</v>
      </c>
      <c r="BV258" s="9"/>
      <c r="BX258" s="9"/>
      <c r="BY258" s="9"/>
      <c r="BZ258" s="9">
        <f t="shared" si="833"/>
        <v>63.5</v>
      </c>
      <c r="CA258" s="9">
        <f t="shared" si="834"/>
        <v>120.64999999999998</v>
      </c>
      <c r="CB258" s="9">
        <f t="shared" si="694"/>
        <v>1.7409369561833321</v>
      </c>
      <c r="CC258" s="40">
        <f t="shared" si="861"/>
        <v>20</v>
      </c>
      <c r="CD258" s="9">
        <f t="shared" si="835"/>
        <v>0.05</v>
      </c>
      <c r="CE258" s="9">
        <f t="shared" si="836"/>
        <v>0.8</v>
      </c>
      <c r="CF258" s="9">
        <f t="shared" si="837"/>
        <v>0.99524931562137331</v>
      </c>
      <c r="CG258" s="9">
        <f t="shared" si="838"/>
        <v>0.68</v>
      </c>
      <c r="CH258" s="9">
        <f t="shared" si="695"/>
        <v>1.4157602788737922</v>
      </c>
      <c r="CI258" s="9">
        <f t="shared" si="696"/>
        <v>3.5394006971844805</v>
      </c>
      <c r="CJ258" s="40">
        <v>1</v>
      </c>
      <c r="CK258" s="9">
        <f t="shared" si="697"/>
        <v>342.47241145957031</v>
      </c>
      <c r="CM258" s="4">
        <f t="shared" si="839"/>
        <v>2.7386157194045646</v>
      </c>
      <c r="CN258" s="4">
        <f t="shared" si="840"/>
        <v>1.5989486965805586</v>
      </c>
      <c r="CO258" s="4">
        <f t="shared" si="814"/>
        <v>1.5339299197210992</v>
      </c>
      <c r="CP258" s="4">
        <f t="shared" si="841"/>
        <v>2.3117895381902884</v>
      </c>
      <c r="CQ258" s="4">
        <f t="shared" si="800"/>
        <v>1.4143463626576895</v>
      </c>
      <c r="CR258" s="4">
        <f t="shared" si="801"/>
        <v>1.5147236131087898</v>
      </c>
      <c r="CS258" s="4">
        <f t="shared" si="815"/>
        <v>1.5549193028146699</v>
      </c>
      <c r="CT258" s="4">
        <f t="shared" si="862"/>
        <v>8</v>
      </c>
      <c r="DA258" s="4">
        <f t="shared" si="873"/>
        <v>2.7386157194045646</v>
      </c>
      <c r="DB258" s="4">
        <f t="shared" si="873"/>
        <v>1.5989486965805586</v>
      </c>
      <c r="DC258" s="4">
        <f t="shared" si="874"/>
        <v>2.3117895381902884</v>
      </c>
      <c r="DD258" s="4">
        <f t="shared" si="875"/>
        <v>1.5549193028146699</v>
      </c>
      <c r="DE258" s="4">
        <f t="shared" si="876"/>
        <v>1.4143463626576895</v>
      </c>
      <c r="DF258" s="4">
        <f t="shared" si="876"/>
        <v>1.5147236131087898</v>
      </c>
      <c r="DI258" s="4">
        <f t="shared" si="846"/>
        <v>233.42599999999999</v>
      </c>
      <c r="DL258" s="4">
        <f t="shared" si="756"/>
        <v>1.7078533262925979E-5</v>
      </c>
      <c r="DM258" s="4">
        <f t="shared" si="757"/>
        <v>8.1641442880324373</v>
      </c>
      <c r="DN258" s="4">
        <f t="shared" si="758"/>
        <v>0.46558991318142223</v>
      </c>
      <c r="DO258" s="4">
        <f t="shared" si="759"/>
        <v>6.0132892782925138</v>
      </c>
      <c r="DP258" s="4">
        <f t="shared" si="760"/>
        <v>7.1700120340069331</v>
      </c>
      <c r="DQ258" s="4">
        <f t="shared" si="761"/>
        <v>7.769205682379722</v>
      </c>
      <c r="DR258" s="38">
        <f t="shared" si="791"/>
        <v>559.78094110081395</v>
      </c>
      <c r="DS258" s="4">
        <f t="shared" si="762"/>
        <v>1.0001182170996981</v>
      </c>
      <c r="DT258" s="4">
        <f t="shared" si="763"/>
        <v>2.2360679774997898</v>
      </c>
      <c r="DU258" s="4">
        <f t="shared" si="764"/>
        <v>301.05075195376651</v>
      </c>
      <c r="DY258" s="4">
        <f t="shared" si="765"/>
        <v>0.85</v>
      </c>
      <c r="DZ258" s="4">
        <f t="shared" si="766"/>
        <v>0.85</v>
      </c>
      <c r="EA258" s="4">
        <f t="shared" si="792"/>
        <v>0.92500000000000004</v>
      </c>
      <c r="EB258" s="4">
        <f t="shared" si="767"/>
        <v>0.78625</v>
      </c>
      <c r="ED258" s="4">
        <f t="shared" si="793"/>
        <v>522.68554545480083</v>
      </c>
      <c r="EE258" s="25">
        <f t="shared" si="794"/>
        <v>297.60008743374652</v>
      </c>
      <c r="EG258" s="4">
        <f t="shared" si="683"/>
        <v>0.66831249999999998</v>
      </c>
      <c r="EH258" s="4">
        <f t="shared" si="795"/>
        <v>8.1641442880324373</v>
      </c>
      <c r="EK258" s="4">
        <f t="shared" si="768"/>
        <v>56.796126628494655</v>
      </c>
      <c r="EL258" s="4">
        <f t="shared" si="769"/>
        <v>2.2360679774997898</v>
      </c>
      <c r="EM258" s="4">
        <f t="shared" si="770"/>
        <v>0.15216672970932105</v>
      </c>
      <c r="EP258" s="4">
        <f t="shared" si="863"/>
        <v>0.15216672970932105</v>
      </c>
      <c r="EQ258" s="4">
        <f t="shared" si="698"/>
        <v>0.46481293039048616</v>
      </c>
      <c r="ER258" s="4">
        <f t="shared" si="772"/>
        <v>6.0092732432724834</v>
      </c>
      <c r="ES258" s="4">
        <f t="shared" si="847"/>
        <v>7.1683297930473469</v>
      </c>
      <c r="ET258" s="4">
        <f t="shared" si="774"/>
        <v>118.27337337150536</v>
      </c>
      <c r="EU258" s="4">
        <f t="shared" si="775"/>
        <v>58.356499999999983</v>
      </c>
      <c r="EV258" s="4">
        <f t="shared" si="699"/>
        <v>1.7078533262925975E-5</v>
      </c>
      <c r="EW258" s="4">
        <f t="shared" si="848"/>
        <v>7.7693238123866122</v>
      </c>
      <c r="EX258" s="4">
        <f t="shared" si="707"/>
        <v>559.71477324366288</v>
      </c>
      <c r="FG258" s="23">
        <f t="shared" si="817"/>
        <v>2.2000000000000002</v>
      </c>
      <c r="FH258" s="23">
        <f t="shared" si="817"/>
        <v>1.6</v>
      </c>
      <c r="FI258" s="23">
        <f t="shared" si="818"/>
        <v>1.6</v>
      </c>
      <c r="FJ258" s="23">
        <f t="shared" si="819"/>
        <v>2.2000000000000002</v>
      </c>
      <c r="FK258" s="23">
        <f t="shared" si="819"/>
        <v>1.6</v>
      </c>
      <c r="FL258" s="23">
        <f t="shared" si="819"/>
        <v>1.6</v>
      </c>
      <c r="FM258" s="23">
        <f t="shared" si="807"/>
        <v>0</v>
      </c>
      <c r="FN258" s="23"/>
      <c r="FX258" s="4">
        <f t="shared" si="676"/>
        <v>1</v>
      </c>
      <c r="FY258" s="4">
        <f t="shared" si="716"/>
        <v>0.44</v>
      </c>
      <c r="FZ258" s="4">
        <f t="shared" si="677"/>
        <v>0.3</v>
      </c>
      <c r="GA258" s="4">
        <f t="shared" si="678"/>
        <v>509.17377930666783</v>
      </c>
    </row>
    <row r="259" spans="1:183" ht="12" customHeight="1" x14ac:dyDescent="0.3">
      <c r="A259" s="25">
        <v>241</v>
      </c>
      <c r="B259" s="4" t="s">
        <v>605</v>
      </c>
      <c r="C259" s="4">
        <v>2016</v>
      </c>
      <c r="D259" s="4" t="s">
        <v>309</v>
      </c>
      <c r="E259" s="24" t="s">
        <v>662</v>
      </c>
      <c r="F259" s="7" t="s">
        <v>394</v>
      </c>
      <c r="G259" s="38">
        <f t="shared" si="849"/>
        <v>827.58620689655174</v>
      </c>
      <c r="H259" s="38">
        <f>9.5*25.4</f>
        <v>241.29999999999998</v>
      </c>
      <c r="I259" s="4">
        <f t="shared" si="850"/>
        <v>241.29999999999998</v>
      </c>
      <c r="J259" s="38">
        <f>5910/145</f>
        <v>40.758620689655174</v>
      </c>
      <c r="K259" s="38">
        <f t="shared" si="851"/>
        <v>25.4</v>
      </c>
      <c r="L259" s="7">
        <f t="shared" si="852"/>
        <v>9.5</v>
      </c>
      <c r="M259" s="7">
        <f t="shared" si="853"/>
        <v>9.5</v>
      </c>
      <c r="N259" s="38">
        <f>19*25.4</f>
        <v>482.59999999999997</v>
      </c>
      <c r="O259" s="38">
        <f>3.9*25.4</f>
        <v>99.059999999999988</v>
      </c>
      <c r="P259" s="39">
        <f>3.25*25.4</f>
        <v>82.55</v>
      </c>
      <c r="Q259" s="7">
        <f t="shared" si="854"/>
        <v>233.67999999999998</v>
      </c>
      <c r="R259" s="38">
        <v>2</v>
      </c>
      <c r="S259" s="4">
        <f t="shared" si="826"/>
        <v>260.34999999999997</v>
      </c>
      <c r="T259" s="7">
        <f t="shared" si="855"/>
        <v>4.4000000000000004</v>
      </c>
      <c r="U259" s="7">
        <f t="shared" si="702"/>
        <v>4.4000000000000004</v>
      </c>
      <c r="V259" s="38">
        <v>4</v>
      </c>
      <c r="W259" s="4">
        <f t="shared" si="856"/>
        <v>4</v>
      </c>
      <c r="X259" s="4">
        <f t="shared" si="857"/>
        <v>5</v>
      </c>
      <c r="Y259" s="7">
        <f t="shared" si="858"/>
        <v>56.796126628494655</v>
      </c>
      <c r="AB259" s="38">
        <f>122.4/0.145</f>
        <v>844.1379310344829</v>
      </c>
      <c r="AD259" s="4">
        <f t="shared" si="740"/>
        <v>1.1787643163301271</v>
      </c>
      <c r="AE259" s="38">
        <f>0.5*25.4</f>
        <v>12.7</v>
      </c>
      <c r="AF259" s="38">
        <v>8</v>
      </c>
      <c r="AG259" s="39">
        <f>4*25.4</f>
        <v>101.6</v>
      </c>
      <c r="AH259" s="39">
        <v>2</v>
      </c>
      <c r="AI259" s="39">
        <v>1</v>
      </c>
      <c r="AJ259" s="7"/>
      <c r="AK259" s="4">
        <f t="shared" si="859"/>
        <v>241.29999999999998</v>
      </c>
      <c r="AL259" s="4">
        <f t="shared" si="779"/>
        <v>0.66666666666666663</v>
      </c>
      <c r="AM259" s="4">
        <f t="shared" si="780"/>
        <v>236.13393909906492</v>
      </c>
      <c r="AN259" s="4">
        <f t="shared" si="781"/>
        <v>0.79263157894736835</v>
      </c>
      <c r="AO259" s="4">
        <v>1.25</v>
      </c>
      <c r="AP259" s="4">
        <f t="shared" si="688"/>
        <v>2.5</v>
      </c>
      <c r="AQ259" s="38">
        <f t="shared" si="827"/>
        <v>389.93170206490322</v>
      </c>
      <c r="AR259" s="38">
        <f t="shared" si="783"/>
        <v>389.93170206490322</v>
      </c>
      <c r="AS259" s="38">
        <f t="shared" si="784"/>
        <v>3.5530466297176955</v>
      </c>
      <c r="AT259" s="38">
        <f t="shared" si="691"/>
        <v>389.93170206490333</v>
      </c>
      <c r="AU259" s="38">
        <f t="shared" si="674"/>
        <v>0.99999999999999967</v>
      </c>
      <c r="AV259" s="38">
        <f t="shared" si="692"/>
        <v>1.8396855663162504</v>
      </c>
      <c r="AW259" s="4">
        <f t="shared" si="693"/>
        <v>0</v>
      </c>
      <c r="AX259" s="4">
        <f t="shared" si="860"/>
        <v>319.21239281102157</v>
      </c>
      <c r="AY259" s="4">
        <f t="shared" si="828"/>
        <v>1</v>
      </c>
      <c r="AZ259" s="38">
        <f t="shared" si="701"/>
        <v>717.35172413793111</v>
      </c>
      <c r="BA259" s="4">
        <f t="shared" si="829"/>
        <v>0.44000000000000006</v>
      </c>
      <c r="BB259" s="4">
        <f t="shared" si="830"/>
        <v>73.386929107253877</v>
      </c>
      <c r="BC259" s="4">
        <f t="shared" si="831"/>
        <v>790.73865324518499</v>
      </c>
      <c r="BE259" s="4">
        <f t="shared" si="689"/>
        <v>1.5</v>
      </c>
      <c r="BF259" s="4">
        <f t="shared" si="690"/>
        <v>560.21774938334283</v>
      </c>
      <c r="BH259" s="4">
        <f t="shared" si="704"/>
        <v>688.02802984769528</v>
      </c>
      <c r="BI259" s="4">
        <f t="shared" si="705"/>
        <v>0</v>
      </c>
      <c r="BJ259" s="4">
        <f t="shared" si="706"/>
        <v>0</v>
      </c>
      <c r="BK259" s="4">
        <f t="shared" si="785"/>
        <v>99.059999999999988</v>
      </c>
      <c r="BL259" s="4">
        <f t="shared" si="786"/>
        <v>99.059999999999988</v>
      </c>
      <c r="BM259" s="4">
        <f t="shared" si="787"/>
        <v>260.34999999999997</v>
      </c>
      <c r="BN259" s="4">
        <f t="shared" si="788"/>
        <v>111.75999999999999</v>
      </c>
      <c r="BO259" s="4">
        <f t="shared" si="789"/>
        <v>1.1628205128205129</v>
      </c>
      <c r="BP259" s="25">
        <f t="shared" si="790"/>
        <v>4</v>
      </c>
      <c r="BR259" s="4">
        <f t="shared" si="832"/>
        <v>99.059999999999988</v>
      </c>
      <c r="BV259" s="9"/>
      <c r="BX259" s="9"/>
      <c r="BY259" s="9"/>
      <c r="BZ259" s="9">
        <f t="shared" si="833"/>
        <v>82.55</v>
      </c>
      <c r="CA259" s="9">
        <f t="shared" si="834"/>
        <v>116.83999999999999</v>
      </c>
      <c r="CB259" s="9">
        <f t="shared" si="694"/>
        <v>1.8992093998678425</v>
      </c>
      <c r="CC259" s="40">
        <f t="shared" si="861"/>
        <v>20</v>
      </c>
      <c r="CD259" s="9">
        <f t="shared" si="835"/>
        <v>0.05</v>
      </c>
      <c r="CE259" s="9">
        <f t="shared" si="836"/>
        <v>0.8</v>
      </c>
      <c r="CF259" s="9">
        <f t="shared" si="837"/>
        <v>0.99524931562137331</v>
      </c>
      <c r="CG259" s="9">
        <f t="shared" si="838"/>
        <v>0.68</v>
      </c>
      <c r="CH259" s="9">
        <f t="shared" si="695"/>
        <v>1.5122325576992237</v>
      </c>
      <c r="CI259" s="9">
        <f t="shared" si="696"/>
        <v>3.7805813942480593</v>
      </c>
      <c r="CJ259" s="40">
        <v>1</v>
      </c>
      <c r="CK259" s="9">
        <f t="shared" si="697"/>
        <v>370.4969766363098</v>
      </c>
      <c r="CM259" s="4">
        <f t="shared" si="839"/>
        <v>2.6444397211552655</v>
      </c>
      <c r="CN259" s="4">
        <f t="shared" si="840"/>
        <v>1.0675308808670825</v>
      </c>
      <c r="CO259" s="4">
        <f t="shared" si="814"/>
        <v>1.5068032599175301</v>
      </c>
      <c r="CP259" s="4">
        <f t="shared" si="841"/>
        <v>2.2783935747554356</v>
      </c>
      <c r="CQ259" s="4">
        <f t="shared" si="800"/>
        <v>1.1787643163301271</v>
      </c>
      <c r="CR259" s="4">
        <f t="shared" si="801"/>
        <v>1.2694084672363284</v>
      </c>
      <c r="CS259" s="4">
        <f t="shared" si="815"/>
        <v>1.5517610994655895</v>
      </c>
      <c r="CT259" s="4">
        <f t="shared" si="862"/>
        <v>8</v>
      </c>
      <c r="DA259" s="4">
        <f t="shared" si="873"/>
        <v>2.6444397211552655</v>
      </c>
      <c r="DB259" s="4">
        <f t="shared" si="873"/>
        <v>1.0675308808670825</v>
      </c>
      <c r="DC259" s="4">
        <f t="shared" si="874"/>
        <v>2.2783935747554356</v>
      </c>
      <c r="DD259" s="4">
        <f t="shared" si="875"/>
        <v>1.5517610994655895</v>
      </c>
      <c r="DE259" s="4">
        <f t="shared" si="876"/>
        <v>1.1787643163301271</v>
      </c>
      <c r="DF259" s="4">
        <f t="shared" si="876"/>
        <v>1.2694084672363284</v>
      </c>
      <c r="DI259" s="4">
        <f t="shared" si="846"/>
        <v>241.29999999999998</v>
      </c>
      <c r="DL259" s="4">
        <f t="shared" si="756"/>
        <v>1.8260231462931454E-5</v>
      </c>
      <c r="DM259" s="4">
        <f t="shared" si="757"/>
        <v>9.7949483572995213</v>
      </c>
      <c r="DN259" s="4">
        <f t="shared" si="758"/>
        <v>0.5285604589936419</v>
      </c>
      <c r="DO259" s="4">
        <f t="shared" si="759"/>
        <v>7.5899692945005892</v>
      </c>
      <c r="DP259" s="4">
        <f t="shared" si="760"/>
        <v>8.7622062704031336</v>
      </c>
      <c r="DQ259" s="4">
        <f t="shared" si="761"/>
        <v>9.1527650475891438</v>
      </c>
      <c r="DR259" s="38">
        <f t="shared" si="791"/>
        <v>716.12104246806189</v>
      </c>
      <c r="DS259" s="4">
        <f t="shared" si="762"/>
        <v>1.0001206064320898</v>
      </c>
      <c r="DT259" s="4">
        <f t="shared" si="763"/>
        <v>2.2360679774997898</v>
      </c>
      <c r="DU259" s="4">
        <f t="shared" si="764"/>
        <v>389.93170206490333</v>
      </c>
      <c r="DY259" s="4">
        <f t="shared" si="765"/>
        <v>0.85</v>
      </c>
      <c r="DZ259" s="4">
        <f t="shared" si="766"/>
        <v>0.71</v>
      </c>
      <c r="EA259" s="4">
        <f t="shared" si="792"/>
        <v>0.92500000000000004</v>
      </c>
      <c r="EB259" s="4">
        <f t="shared" si="767"/>
        <v>0.7</v>
      </c>
      <c r="ED259" s="4">
        <f t="shared" si="793"/>
        <v>664.98526898302782</v>
      </c>
      <c r="EE259" s="25">
        <f t="shared" si="794"/>
        <v>385.82924079999151</v>
      </c>
      <c r="EG259" s="4">
        <f t="shared" si="683"/>
        <v>0.59499999999999997</v>
      </c>
      <c r="EH259" s="4">
        <f t="shared" si="795"/>
        <v>9.7949483572995213</v>
      </c>
      <c r="EK259" s="4">
        <f t="shared" si="768"/>
        <v>56.796126628494655</v>
      </c>
      <c r="EL259" s="4">
        <f t="shared" si="769"/>
        <v>2.2360679774997898</v>
      </c>
      <c r="EM259" s="4">
        <f t="shared" si="770"/>
        <v>0.18451839811569204</v>
      </c>
      <c r="EP259" s="4">
        <f t="shared" si="863"/>
        <v>0.18451839811569204</v>
      </c>
      <c r="EQ259" s="4">
        <f t="shared" si="698"/>
        <v>0.52767839009785966</v>
      </c>
      <c r="ER259" s="4">
        <f t="shared" si="772"/>
        <v>7.584900258058636</v>
      </c>
      <c r="ES259" s="4">
        <f t="shared" si="847"/>
        <v>8.7600123648110575</v>
      </c>
      <c r="ET259" s="4">
        <f t="shared" si="774"/>
        <v>124.17887337150535</v>
      </c>
      <c r="EU259" s="4">
        <f t="shared" si="775"/>
        <v>60.324999999999989</v>
      </c>
      <c r="EV259" s="4">
        <f t="shared" si="699"/>
        <v>1.8260231462931451E-5</v>
      </c>
      <c r="EW259" s="4">
        <f t="shared" si="848"/>
        <v>9.1529633500073277</v>
      </c>
      <c r="EX259" s="4">
        <f t="shared" si="707"/>
        <v>716.03468407956245</v>
      </c>
      <c r="FG259" s="23">
        <f t="shared" ref="FG259:FH322" si="878">IF(CM259&lt;0.6,0.6,IF(CM259&lt;0.8,0.8,IF(CM259&lt;1,1,IF(CM259&lt;1.2,1.2,IF(CM259&lt;1.4,1.4,IF(CM259&lt;1.6,1.6,IF(CM259&lt;1.8,1.8,IF(CM259&lt;2,2,2.2))))))))</f>
        <v>2.2000000000000002</v>
      </c>
      <c r="FH259" s="23">
        <f t="shared" si="878"/>
        <v>1.2</v>
      </c>
      <c r="FI259" s="23">
        <f t="shared" si="818"/>
        <v>1.6</v>
      </c>
      <c r="FJ259" s="23">
        <f t="shared" ref="FJ259:FL322" si="879">IF(CP259&lt;0.6,0.6,IF(CP259&lt;0.8,0.8,IF(CP259&lt;1,1,IF(CP259&lt;1.2,1.2,IF(CP259&lt;1.4,1.4,IF(CP259&lt;1.6,1.6,IF(CP259&lt;1.8,1.8,IF(CP259&lt;2,2,2.2))))))))</f>
        <v>2.2000000000000002</v>
      </c>
      <c r="FK259" s="23">
        <f t="shared" si="879"/>
        <v>1.2</v>
      </c>
      <c r="FL259" s="23">
        <f t="shared" si="879"/>
        <v>1.4</v>
      </c>
      <c r="FM259" s="23">
        <f t="shared" si="807"/>
        <v>0</v>
      </c>
      <c r="FN259" s="23"/>
      <c r="FX259" s="4">
        <f t="shared" si="676"/>
        <v>1</v>
      </c>
      <c r="FY259" s="4">
        <f t="shared" si="716"/>
        <v>0.44</v>
      </c>
      <c r="FZ259" s="4">
        <f t="shared" si="677"/>
        <v>0.3</v>
      </c>
      <c r="GA259" s="4">
        <f t="shared" si="678"/>
        <v>543.98704241599773</v>
      </c>
    </row>
    <row r="260" spans="1:183" ht="12" customHeight="1" x14ac:dyDescent="0.3">
      <c r="A260" s="25">
        <v>242</v>
      </c>
      <c r="B260" s="4" t="s">
        <v>605</v>
      </c>
      <c r="C260" s="4">
        <v>2016</v>
      </c>
      <c r="D260" s="4" t="s">
        <v>309</v>
      </c>
      <c r="E260" s="24" t="s">
        <v>405</v>
      </c>
      <c r="F260" s="7" t="s">
        <v>395</v>
      </c>
      <c r="G260" s="38">
        <f t="shared" si="849"/>
        <v>827.58620689655174</v>
      </c>
      <c r="H260" s="38">
        <f>12.59*25.4</f>
        <v>319.786</v>
      </c>
      <c r="I260" s="4">
        <f t="shared" si="850"/>
        <v>319.786</v>
      </c>
      <c r="J260" s="38">
        <f>6210/145</f>
        <v>42.827586206896555</v>
      </c>
      <c r="K260" s="38">
        <f t="shared" si="851"/>
        <v>25.4</v>
      </c>
      <c r="L260" s="7">
        <f t="shared" si="852"/>
        <v>12.590000000000002</v>
      </c>
      <c r="M260" s="7">
        <f t="shared" si="853"/>
        <v>12.590000000000002</v>
      </c>
      <c r="N260" s="38">
        <f>16.6*25.4</f>
        <v>421.64</v>
      </c>
      <c r="O260" s="38">
        <f>2.45*25.4</f>
        <v>62.230000000000004</v>
      </c>
      <c r="P260" s="39">
        <f>3.1*25.4</f>
        <v>78.739999999999995</v>
      </c>
      <c r="Q260" s="7">
        <f t="shared" si="854"/>
        <v>246.37999999999997</v>
      </c>
      <c r="R260" s="38">
        <v>2</v>
      </c>
      <c r="S260" s="4">
        <f t="shared" si="826"/>
        <v>260.34999999999997</v>
      </c>
      <c r="T260" s="7">
        <f t="shared" si="855"/>
        <v>2.95</v>
      </c>
      <c r="U260" s="7">
        <f t="shared" si="702"/>
        <v>2.95</v>
      </c>
      <c r="V260" s="38">
        <v>4</v>
      </c>
      <c r="W260" s="4">
        <f t="shared" si="856"/>
        <v>4</v>
      </c>
      <c r="X260" s="4">
        <f t="shared" si="857"/>
        <v>5</v>
      </c>
      <c r="Y260" s="7">
        <f t="shared" si="858"/>
        <v>56.796126628494655</v>
      </c>
      <c r="AB260" s="38">
        <f>AC260/0.145</f>
        <v>726.89655172413802</v>
      </c>
      <c r="AC260" s="4">
        <v>105.4</v>
      </c>
      <c r="AD260" s="4">
        <f t="shared" si="740"/>
        <v>0.98628051473021827</v>
      </c>
      <c r="AE260" s="38">
        <v>0</v>
      </c>
      <c r="AF260" s="38">
        <v>0</v>
      </c>
      <c r="AG260" s="39">
        <f>I260</f>
        <v>319.786</v>
      </c>
      <c r="AH260" s="39"/>
      <c r="AI260" s="39"/>
      <c r="AJ260" s="7"/>
      <c r="AK260" s="4">
        <f t="shared" si="859"/>
        <v>319.786</v>
      </c>
      <c r="AL260" s="4">
        <f t="shared" si="779"/>
        <v>0.43950225046333069</v>
      </c>
      <c r="AM260" s="4">
        <f t="shared" si="780"/>
        <v>369.2866933162444</v>
      </c>
      <c r="AN260" s="4">
        <f t="shared" si="781"/>
        <v>0.74686258935663219</v>
      </c>
      <c r="AO260" s="4">
        <v>1.25</v>
      </c>
      <c r="AP260" s="4">
        <f t="shared" si="688"/>
        <v>2.5</v>
      </c>
      <c r="AQ260" s="38">
        <f t="shared" si="827"/>
        <v>378.80481411776645</v>
      </c>
      <c r="AR260" s="38">
        <f t="shared" si="783"/>
        <v>378.80481411776645</v>
      </c>
      <c r="AS260" s="38">
        <f t="shared" si="784"/>
        <v>3.6722901407859458</v>
      </c>
      <c r="AT260" s="38">
        <f t="shared" si="691"/>
        <v>378.80481411776617</v>
      </c>
      <c r="AU260" s="38">
        <f t="shared" si="674"/>
        <v>1.0000000000000007</v>
      </c>
      <c r="AV260" s="38">
        <f t="shared" si="692"/>
        <v>1.3341053186411378</v>
      </c>
      <c r="AW260" s="4">
        <f t="shared" si="693"/>
        <v>0</v>
      </c>
      <c r="AX260" s="4">
        <f t="shared" si="860"/>
        <v>433.64458548030063</v>
      </c>
      <c r="AY260" s="4">
        <f t="shared" si="828"/>
        <v>1</v>
      </c>
      <c r="AZ260" s="38">
        <f t="shared" si="701"/>
        <v>505.36551724137939</v>
      </c>
      <c r="BA260" s="4">
        <f t="shared" si="829"/>
        <v>0.44000000000000006</v>
      </c>
      <c r="BB260" s="4">
        <f t="shared" si="830"/>
        <v>99.694890201921126</v>
      </c>
      <c r="BC260" s="4">
        <f t="shared" si="831"/>
        <v>605.06040744330051</v>
      </c>
      <c r="BE260" s="4">
        <f t="shared" si="689"/>
        <v>1.3625</v>
      </c>
      <c r="BF260" s="4">
        <f t="shared" si="690"/>
        <v>604.27662587984457</v>
      </c>
      <c r="BH260" s="4">
        <f t="shared" si="704"/>
        <v>484.70733321007748</v>
      </c>
      <c r="BI260" s="4">
        <f t="shared" ref="BI260:BI268" si="880">8/3*AC260*AA260^2/(Y260-K260-22)/K260*(Y260^2-K260^2)/(Y260^2-(K260+22)^2)</f>
        <v>0</v>
      </c>
      <c r="BJ260" s="4">
        <f t="shared" si="706"/>
        <v>0</v>
      </c>
      <c r="BK260" s="4">
        <f t="shared" si="785"/>
        <v>62.230000000000004</v>
      </c>
      <c r="BL260" s="4">
        <f t="shared" si="786"/>
        <v>62.230000000000004</v>
      </c>
      <c r="BM260" s="4">
        <f t="shared" si="787"/>
        <v>260.34999999999997</v>
      </c>
      <c r="BN260" s="4">
        <f t="shared" si="788"/>
        <v>74.930000000000007</v>
      </c>
      <c r="BO260" s="4">
        <f t="shared" si="789"/>
        <v>1.25</v>
      </c>
      <c r="BP260" s="25">
        <f t="shared" si="790"/>
        <v>3.6875000000000004</v>
      </c>
      <c r="BR260" s="4">
        <f t="shared" si="832"/>
        <v>62.230000000000004</v>
      </c>
      <c r="BV260" s="9"/>
      <c r="BX260" s="9"/>
      <c r="BY260" s="9"/>
      <c r="BZ260" s="9">
        <f t="shared" si="833"/>
        <v>62.230000000000004</v>
      </c>
      <c r="CA260" s="9">
        <f t="shared" si="834"/>
        <v>123.18999999999998</v>
      </c>
      <c r="CB260" s="9">
        <f t="shared" si="694"/>
        <v>1.7340810420811554</v>
      </c>
      <c r="CC260" s="40">
        <f t="shared" si="861"/>
        <v>20</v>
      </c>
      <c r="CD260" s="9">
        <f t="shared" si="835"/>
        <v>0</v>
      </c>
      <c r="CE260" s="9">
        <f t="shared" si="836"/>
        <v>0</v>
      </c>
      <c r="CF260" s="9">
        <f t="shared" si="837"/>
        <v>0.99524931562137331</v>
      </c>
      <c r="CG260" s="9">
        <f t="shared" si="838"/>
        <v>0.68</v>
      </c>
      <c r="CH260" s="9">
        <f t="shared" si="695"/>
        <v>1.5501390028928617</v>
      </c>
      <c r="CI260" s="9">
        <f t="shared" si="696"/>
        <v>2.6880666575070968</v>
      </c>
      <c r="CJ260" s="40">
        <v>1</v>
      </c>
      <c r="CK260" s="9">
        <f t="shared" si="697"/>
        <v>296.65503632248323</v>
      </c>
      <c r="CM260" s="4">
        <f t="shared" si="839"/>
        <v>1.6762495741046421</v>
      </c>
      <c r="CN260" s="4">
        <f t="shared" si="840"/>
        <v>1.20136195127303</v>
      </c>
      <c r="CO260" s="4">
        <f t="shared" si="814"/>
        <v>1.2029201868693087</v>
      </c>
      <c r="CP260" s="4">
        <f t="shared" si="841"/>
        <v>2.4503091561673487</v>
      </c>
      <c r="CQ260" s="4">
        <f t="shared" si="800"/>
        <v>0.98628051473021827</v>
      </c>
      <c r="CR260" s="4">
        <f t="shared" si="801"/>
        <v>1.0591467407093387</v>
      </c>
      <c r="CS260" s="4">
        <f t="shared" si="815"/>
        <v>1.4145986516145845</v>
      </c>
      <c r="CT260" s="4">
        <f t="shared" si="862"/>
        <v>0</v>
      </c>
      <c r="CU260" s="4">
        <f t="shared" ref="CU260:CV261" si="881">CM260</f>
        <v>1.6762495741046421</v>
      </c>
      <c r="CV260" s="4">
        <f t="shared" si="881"/>
        <v>1.20136195127303</v>
      </c>
      <c r="CW260" s="4">
        <f t="shared" ref="CW260:CW261" si="882">CP260</f>
        <v>2.4503091561673487</v>
      </c>
      <c r="CX260" s="4">
        <f t="shared" ref="CX260:CX261" si="883">CS260</f>
        <v>1.4145986516145845</v>
      </c>
      <c r="CY260" s="4">
        <f t="shared" ref="CY260:CZ261" si="884">CQ260</f>
        <v>0.98628051473021827</v>
      </c>
      <c r="CZ260" s="4">
        <f t="shared" si="884"/>
        <v>1.0591467407093387</v>
      </c>
      <c r="DI260" s="4">
        <f t="shared" si="846"/>
        <v>319.786</v>
      </c>
      <c r="DL260" s="4">
        <f t="shared" si="756"/>
        <v>2.4530239757040505E-5</v>
      </c>
      <c r="DM260" s="4">
        <f t="shared" si="757"/>
        <v>8.2202710041526839</v>
      </c>
      <c r="DN260" s="4">
        <f t="shared" si="758"/>
        <v>0.48867204545931681</v>
      </c>
      <c r="DO260" s="4">
        <f t="shared" si="759"/>
        <v>6.1729553243941799</v>
      </c>
      <c r="DP260" s="4">
        <f t="shared" si="760"/>
        <v>7.2691959003750313</v>
      </c>
      <c r="DQ260" s="4">
        <f t="shared" si="761"/>
        <v>7.4226093372503703</v>
      </c>
      <c r="DR260" s="38">
        <f t="shared" si="791"/>
        <v>737.00792104056654</v>
      </c>
      <c r="DS260" s="4">
        <f t="shared" si="762"/>
        <v>1.0001146887971195</v>
      </c>
      <c r="DT260" s="4">
        <f t="shared" si="763"/>
        <v>2.2360679774997898</v>
      </c>
      <c r="DU260" s="4">
        <f t="shared" si="764"/>
        <v>378.80481411776617</v>
      </c>
      <c r="DY260" s="4">
        <f t="shared" si="765"/>
        <v>0.85</v>
      </c>
      <c r="DZ260" s="4">
        <f t="shared" si="766"/>
        <v>0.85499999999999998</v>
      </c>
      <c r="EA260" s="4">
        <f t="shared" si="792"/>
        <v>1</v>
      </c>
      <c r="EB260" s="4">
        <f t="shared" si="767"/>
        <v>0.85499999999999998</v>
      </c>
      <c r="ED260" s="4">
        <f t="shared" si="793"/>
        <v>686.30391218247632</v>
      </c>
      <c r="EE260" s="25">
        <f t="shared" si="794"/>
        <v>375.82427635562937</v>
      </c>
      <c r="EG260" s="4">
        <f t="shared" si="683"/>
        <v>0.72675000000000001</v>
      </c>
      <c r="EH260" s="4">
        <f t="shared" si="795"/>
        <v>8.2202710041526839</v>
      </c>
      <c r="EK260" s="4">
        <f t="shared" si="768"/>
        <v>56.796126628494655</v>
      </c>
      <c r="EL260" s="4">
        <f t="shared" si="769"/>
        <v>2.2360679774997898</v>
      </c>
      <c r="EM260" s="4">
        <f t="shared" si="770"/>
        <v>0.17486969809104916</v>
      </c>
      <c r="EP260" s="4">
        <f t="shared" si="863"/>
        <v>0.17486969809104916</v>
      </c>
      <c r="EQ260" s="4">
        <f t="shared" si="698"/>
        <v>0.48785654289153363</v>
      </c>
      <c r="ER260" s="4">
        <f t="shared" si="772"/>
        <v>6.1688326548180887</v>
      </c>
      <c r="ES260" s="4">
        <f t="shared" si="847"/>
        <v>7.2674470393181627</v>
      </c>
      <c r="ET260" s="4">
        <f t="shared" si="774"/>
        <v>183.04337337150534</v>
      </c>
      <c r="EU260" s="4">
        <f t="shared" si="775"/>
        <v>79.946499999999986</v>
      </c>
      <c r="EV260" s="4">
        <f t="shared" si="699"/>
        <v>2.4530239757040502E-5</v>
      </c>
      <c r="EW260" s="4">
        <f t="shared" si="848"/>
        <v>7.4228293223322925</v>
      </c>
      <c r="EX260" s="4">
        <f t="shared" si="707"/>
        <v>736.92340418177173</v>
      </c>
      <c r="FG260" s="23">
        <f t="shared" si="878"/>
        <v>1.8</v>
      </c>
      <c r="FH260" s="23">
        <f t="shared" si="878"/>
        <v>1.4</v>
      </c>
      <c r="FI260" s="23">
        <f t="shared" si="818"/>
        <v>1.6</v>
      </c>
      <c r="FJ260" s="23">
        <f t="shared" si="879"/>
        <v>2.2000000000000002</v>
      </c>
      <c r="FK260" s="23">
        <f t="shared" si="879"/>
        <v>1</v>
      </c>
      <c r="FL260" s="23">
        <f t="shared" si="879"/>
        <v>1.2</v>
      </c>
      <c r="FM260" s="23">
        <f t="shared" si="807"/>
        <v>0</v>
      </c>
      <c r="FN260" s="23"/>
      <c r="FX260" s="4">
        <f t="shared" si="676"/>
        <v>1.25</v>
      </c>
      <c r="FY260" s="4">
        <f t="shared" si="716"/>
        <v>0.5</v>
      </c>
      <c r="FZ260" s="4">
        <f t="shared" si="677"/>
        <v>0</v>
      </c>
      <c r="GA260" s="4">
        <f t="shared" si="678"/>
        <v>513.85355902501249</v>
      </c>
    </row>
    <row r="261" spans="1:183" ht="12" customHeight="1" x14ac:dyDescent="0.3">
      <c r="A261" s="25">
        <v>243</v>
      </c>
      <c r="B261" s="4" t="s">
        <v>605</v>
      </c>
      <c r="C261" s="4">
        <v>2016</v>
      </c>
      <c r="D261" s="4" t="s">
        <v>309</v>
      </c>
      <c r="E261" s="24" t="s">
        <v>405</v>
      </c>
      <c r="F261" s="7" t="s">
        <v>396</v>
      </c>
      <c r="G261" s="38">
        <f t="shared" si="849"/>
        <v>827.58620689655174</v>
      </c>
      <c r="H261" s="38">
        <f>12.66*25.4</f>
        <v>321.56399999999996</v>
      </c>
      <c r="I261" s="4">
        <f t="shared" si="850"/>
        <v>321.56399999999996</v>
      </c>
      <c r="J261" s="38">
        <f>6440/145</f>
        <v>44.413793103448278</v>
      </c>
      <c r="K261" s="38">
        <f t="shared" si="851"/>
        <v>25.4</v>
      </c>
      <c r="L261" s="7">
        <f t="shared" si="852"/>
        <v>12.66</v>
      </c>
      <c r="M261" s="7">
        <f t="shared" si="853"/>
        <v>12.66</v>
      </c>
      <c r="N261" s="38">
        <f>18.5*25.4</f>
        <v>469.9</v>
      </c>
      <c r="O261" s="38">
        <f>3.55*25.4</f>
        <v>90.169999999999987</v>
      </c>
      <c r="P261" s="39">
        <f>3.05*25.4</f>
        <v>77.469999999999985</v>
      </c>
      <c r="Q261" s="7">
        <f t="shared" si="854"/>
        <v>238.76</v>
      </c>
      <c r="R261" s="38">
        <v>2</v>
      </c>
      <c r="S261" s="4">
        <f t="shared" si="826"/>
        <v>260.34999999999997</v>
      </c>
      <c r="T261" s="7">
        <f t="shared" si="855"/>
        <v>4.05</v>
      </c>
      <c r="U261" s="7">
        <f t="shared" si="702"/>
        <v>4.05</v>
      </c>
      <c r="V261" s="38">
        <v>4</v>
      </c>
      <c r="W261" s="4">
        <f t="shared" si="856"/>
        <v>4</v>
      </c>
      <c r="X261" s="4">
        <f t="shared" si="857"/>
        <v>5</v>
      </c>
      <c r="Y261" s="7">
        <f t="shared" si="858"/>
        <v>56.796126628494655</v>
      </c>
      <c r="AB261" s="38">
        <f t="shared" ref="AB261:AB324" si="885">AC261/0.145</f>
        <v>802.06896551724139</v>
      </c>
      <c r="AC261" s="4">
        <v>116.3</v>
      </c>
      <c r="AD261" s="4">
        <f t="shared" si="740"/>
        <v>0.96916666666666662</v>
      </c>
      <c r="AE261" s="38">
        <v>0</v>
      </c>
      <c r="AF261" s="38">
        <v>0</v>
      </c>
      <c r="AG261" s="39">
        <f>I261</f>
        <v>321.56399999999996</v>
      </c>
      <c r="AH261" s="39"/>
      <c r="AI261" s="39"/>
      <c r="AJ261" s="7"/>
      <c r="AK261" s="4">
        <f t="shared" si="859"/>
        <v>321.56399999999996</v>
      </c>
      <c r="AL261" s="4">
        <f t="shared" si="779"/>
        <v>0.48709847288046343</v>
      </c>
      <c r="AM261" s="4">
        <f t="shared" si="780"/>
        <v>379.20386548000778</v>
      </c>
      <c r="AN261" s="4">
        <f t="shared" si="781"/>
        <v>0.76398104265402833</v>
      </c>
      <c r="AO261" s="4">
        <v>1.25</v>
      </c>
      <c r="AP261" s="4">
        <f t="shared" si="688"/>
        <v>2.5</v>
      </c>
      <c r="AQ261" s="38">
        <f t="shared" si="827"/>
        <v>440.98328427505464</v>
      </c>
      <c r="AR261" s="38">
        <f t="shared" si="783"/>
        <v>440.98328427505464</v>
      </c>
      <c r="AS261" s="38">
        <f t="shared" si="784"/>
        <v>3.7624132755662103</v>
      </c>
      <c r="AT261" s="38">
        <f t="shared" si="691"/>
        <v>440.98328427505481</v>
      </c>
      <c r="AU261" s="38">
        <f t="shared" si="674"/>
        <v>0.99999999999999967</v>
      </c>
      <c r="AV261" s="38">
        <f t="shared" si="692"/>
        <v>1.6315889375686305</v>
      </c>
      <c r="AW261" s="4">
        <f t="shared" si="693"/>
        <v>0</v>
      </c>
      <c r="AX261" s="4">
        <f t="shared" si="860"/>
        <v>444.05732385345885</v>
      </c>
      <c r="AY261" s="4">
        <f t="shared" si="828"/>
        <v>1</v>
      </c>
      <c r="AZ261" s="38">
        <f t="shared" si="701"/>
        <v>719.50344827586207</v>
      </c>
      <c r="BA261" s="4">
        <f t="shared" si="829"/>
        <v>0.44000000000000006</v>
      </c>
      <c r="BB261" s="4">
        <f t="shared" si="830"/>
        <v>102.08877875391019</v>
      </c>
      <c r="BC261" s="4">
        <f t="shared" si="831"/>
        <v>821.59222702977229</v>
      </c>
      <c r="BE261" s="4">
        <f t="shared" si="689"/>
        <v>1.5</v>
      </c>
      <c r="BF261" s="4">
        <f t="shared" si="690"/>
        <v>679.56554577678264</v>
      </c>
      <c r="BH261" s="4">
        <f t="shared" si="704"/>
        <v>690.09179643468656</v>
      </c>
      <c r="BI261" s="4">
        <f t="shared" si="880"/>
        <v>0</v>
      </c>
      <c r="BJ261" s="4">
        <f t="shared" si="706"/>
        <v>0</v>
      </c>
      <c r="BK261" s="4">
        <f t="shared" si="785"/>
        <v>90.169999999999987</v>
      </c>
      <c r="BL261" s="4">
        <f t="shared" si="786"/>
        <v>90.169999999999987</v>
      </c>
      <c r="BM261" s="4">
        <f t="shared" si="787"/>
        <v>260.34999999999997</v>
      </c>
      <c r="BN261" s="4">
        <f t="shared" si="788"/>
        <v>102.86999999999999</v>
      </c>
      <c r="BO261" s="4">
        <f t="shared" si="789"/>
        <v>1.1887323943661972</v>
      </c>
      <c r="BP261" s="25">
        <f t="shared" si="790"/>
        <v>4</v>
      </c>
      <c r="BR261" s="4">
        <f t="shared" si="832"/>
        <v>90.169999999999987</v>
      </c>
      <c r="BV261" s="9"/>
      <c r="BX261" s="9"/>
      <c r="BY261" s="9"/>
      <c r="BZ261" s="9">
        <f t="shared" si="833"/>
        <v>77.469999999999985</v>
      </c>
      <c r="CA261" s="9">
        <f t="shared" si="834"/>
        <v>119.38</v>
      </c>
      <c r="CB261" s="9">
        <f t="shared" si="694"/>
        <v>1.8634580588395866</v>
      </c>
      <c r="CC261" s="40">
        <f t="shared" si="861"/>
        <v>20</v>
      </c>
      <c r="CD261" s="9">
        <f t="shared" si="835"/>
        <v>0</v>
      </c>
      <c r="CE261" s="9">
        <f t="shared" si="836"/>
        <v>0</v>
      </c>
      <c r="CF261" s="9">
        <f t="shared" si="837"/>
        <v>0.99524931562137331</v>
      </c>
      <c r="CG261" s="9">
        <f t="shared" si="838"/>
        <v>0.68</v>
      </c>
      <c r="CH261" s="9">
        <f t="shared" si="695"/>
        <v>1.5785842929910907</v>
      </c>
      <c r="CI261" s="9">
        <f t="shared" si="696"/>
        <v>2.9416256223318391</v>
      </c>
      <c r="CJ261" s="40">
        <v>1</v>
      </c>
      <c r="CK261" s="9">
        <f t="shared" si="697"/>
        <v>325.46145885479467</v>
      </c>
      <c r="CM261" s="4">
        <f t="shared" si="839"/>
        <v>1.8062284359078113</v>
      </c>
      <c r="CN261" s="4">
        <f t="shared" si="840"/>
        <v>0.97623728551679267</v>
      </c>
      <c r="CO261" s="4">
        <f t="shared" si="814"/>
        <v>1.1802672611961667</v>
      </c>
      <c r="CP261" s="4">
        <f t="shared" si="841"/>
        <v>2.464405365659859</v>
      </c>
      <c r="CQ261" s="4">
        <f t="shared" si="800"/>
        <v>0.96916666666666662</v>
      </c>
      <c r="CR261" s="4">
        <f t="shared" si="801"/>
        <v>0.99943469121787187</v>
      </c>
      <c r="CS261" s="4">
        <f t="shared" si="815"/>
        <v>1.2305684841268119</v>
      </c>
      <c r="CT261" s="4">
        <f t="shared" si="862"/>
        <v>0</v>
      </c>
      <c r="CU261" s="4">
        <f t="shared" si="881"/>
        <v>1.8062284359078113</v>
      </c>
      <c r="CV261" s="4">
        <f t="shared" si="881"/>
        <v>0.97623728551679267</v>
      </c>
      <c r="CW261" s="4">
        <f t="shared" si="882"/>
        <v>2.464405365659859</v>
      </c>
      <c r="CX261" s="4">
        <f t="shared" si="883"/>
        <v>1.2305684841268119</v>
      </c>
      <c r="CY261" s="4">
        <f t="shared" si="884"/>
        <v>0.96916666666666662</v>
      </c>
      <c r="CZ261" s="4">
        <f t="shared" si="884"/>
        <v>0.99943469121787187</v>
      </c>
      <c r="DI261" s="4">
        <f t="shared" si="846"/>
        <v>321.56399999999996</v>
      </c>
      <c r="DL261" s="4">
        <f t="shared" si="756"/>
        <v>2.4922140426979919E-5</v>
      </c>
      <c r="DM261" s="4">
        <f t="shared" si="757"/>
        <v>9.607117692376189</v>
      </c>
      <c r="DN261" s="4">
        <f t="shared" si="758"/>
        <v>0.54856723782787586</v>
      </c>
      <c r="DO261" s="4">
        <f t="shared" si="759"/>
        <v>7.5558800997634963</v>
      </c>
      <c r="DP261" s="4">
        <f t="shared" si="760"/>
        <v>8.6426561865068745</v>
      </c>
      <c r="DQ261" s="4">
        <f t="shared" si="761"/>
        <v>8.4754165416165588</v>
      </c>
      <c r="DR261" s="38">
        <f t="shared" si="791"/>
        <v>827.58620689655174</v>
      </c>
      <c r="DS261" s="4">
        <f t="shared" si="762"/>
        <v>1</v>
      </c>
      <c r="DT261" s="4">
        <f t="shared" si="763"/>
        <v>2.2360679774997898</v>
      </c>
      <c r="DU261" s="4">
        <f t="shared" si="764"/>
        <v>440.98328427505481</v>
      </c>
      <c r="DY261" s="4">
        <f t="shared" si="765"/>
        <v>0.85</v>
      </c>
      <c r="DZ261" s="4">
        <f t="shared" si="766"/>
        <v>0.74500000000000011</v>
      </c>
      <c r="EA261" s="4">
        <f t="shared" si="792"/>
        <v>1</v>
      </c>
      <c r="EB261" s="4">
        <f t="shared" si="767"/>
        <v>0.74500000000000011</v>
      </c>
      <c r="ED261" s="4">
        <f t="shared" si="793"/>
        <v>802.5226386127058</v>
      </c>
      <c r="EE261" s="25">
        <f t="shared" si="794"/>
        <v>437.64430865625809</v>
      </c>
      <c r="EG261" s="4">
        <f t="shared" si="683"/>
        <v>0.63325000000000009</v>
      </c>
      <c r="EH261" s="4">
        <f t="shared" si="795"/>
        <v>9.607117692376189</v>
      </c>
      <c r="EK261" s="4">
        <f t="shared" si="768"/>
        <v>56.796126628494655</v>
      </c>
      <c r="EL261" s="4">
        <f t="shared" si="769"/>
        <v>2.2360679774997898</v>
      </c>
      <c r="EM261" s="4">
        <f t="shared" si="770"/>
        <v>0.19990518770232588</v>
      </c>
      <c r="EP261" s="4">
        <f t="shared" si="863"/>
        <v>0.19990518770232588</v>
      </c>
      <c r="EQ261" s="4">
        <f t="shared" si="698"/>
        <v>0.54765178134697612</v>
      </c>
      <c r="ER261" s="4">
        <f t="shared" si="772"/>
        <v>7.5508338301291147</v>
      </c>
      <c r="ES261" s="4">
        <f t="shared" si="847"/>
        <v>8.6404516776680875</v>
      </c>
      <c r="ET261" s="4">
        <f t="shared" si="774"/>
        <v>184.37687337150533</v>
      </c>
      <c r="EU261" s="4">
        <f t="shared" si="775"/>
        <v>80.390999999999963</v>
      </c>
      <c r="EV261" s="4">
        <f t="shared" si="699"/>
        <v>2.4922140426979916E-5</v>
      </c>
      <c r="EW261" s="4">
        <f t="shared" si="848"/>
        <v>8.4757421571063887</v>
      </c>
      <c r="EX261" s="4">
        <f t="shared" si="707"/>
        <v>827.58620689655174</v>
      </c>
      <c r="FG261" s="23">
        <f t="shared" si="878"/>
        <v>2</v>
      </c>
      <c r="FH261" s="23">
        <f t="shared" si="878"/>
        <v>1</v>
      </c>
      <c r="FI261" s="23">
        <f t="shared" si="818"/>
        <v>1.4</v>
      </c>
      <c r="FJ261" s="23">
        <f t="shared" si="879"/>
        <v>2.2000000000000002</v>
      </c>
      <c r="FK261" s="23">
        <f t="shared" si="879"/>
        <v>1</v>
      </c>
      <c r="FL261" s="23">
        <f t="shared" si="879"/>
        <v>1</v>
      </c>
      <c r="FM261" s="23">
        <f t="shared" si="807"/>
        <v>0</v>
      </c>
      <c r="FN261" s="23"/>
      <c r="FX261" s="4">
        <f t="shared" si="676"/>
        <v>1</v>
      </c>
      <c r="FY261" s="4">
        <f t="shared" si="716"/>
        <v>0.5</v>
      </c>
      <c r="FZ261" s="4">
        <f t="shared" si="677"/>
        <v>0</v>
      </c>
      <c r="GA261" s="4">
        <f t="shared" si="678"/>
        <v>651.78734533119007</v>
      </c>
    </row>
    <row r="262" spans="1:183" ht="12" customHeight="1" x14ac:dyDescent="0.3">
      <c r="A262" s="25">
        <v>244</v>
      </c>
      <c r="B262" s="4" t="s">
        <v>605</v>
      </c>
      <c r="C262" s="4">
        <v>2016</v>
      </c>
      <c r="D262" s="4" t="s">
        <v>309</v>
      </c>
      <c r="E262" s="24" t="s">
        <v>405</v>
      </c>
      <c r="F262" s="7" t="s">
        <v>397</v>
      </c>
      <c r="G262" s="38">
        <f t="shared" si="849"/>
        <v>827.58620689655174</v>
      </c>
      <c r="H262" s="38">
        <f>9.31*25.4</f>
        <v>236.47399999999999</v>
      </c>
      <c r="I262" s="4">
        <f t="shared" si="850"/>
        <v>236.47399999999999</v>
      </c>
      <c r="J262" s="38">
        <f>5960/145</f>
        <v>41.103448275862071</v>
      </c>
      <c r="K262" s="38">
        <f t="shared" si="851"/>
        <v>25.4</v>
      </c>
      <c r="L262" s="7">
        <f t="shared" si="852"/>
        <v>9.31</v>
      </c>
      <c r="M262" s="7">
        <f t="shared" si="853"/>
        <v>9.31</v>
      </c>
      <c r="N262" s="38">
        <f>16.5*25.4</f>
        <v>419.09999999999997</v>
      </c>
      <c r="O262" s="38">
        <f>2.5*25.4</f>
        <v>63.5</v>
      </c>
      <c r="P262" s="39">
        <f>3.45*25.4</f>
        <v>87.63</v>
      </c>
      <c r="Q262" s="7">
        <f t="shared" si="854"/>
        <v>241.29999999999995</v>
      </c>
      <c r="R262" s="38">
        <v>2</v>
      </c>
      <c r="S262" s="4">
        <f t="shared" si="826"/>
        <v>260.34999999999997</v>
      </c>
      <c r="T262" s="7">
        <f t="shared" si="855"/>
        <v>3</v>
      </c>
      <c r="U262" s="7">
        <f t="shared" si="702"/>
        <v>3</v>
      </c>
      <c r="V262" s="38">
        <v>4</v>
      </c>
      <c r="W262" s="4">
        <f t="shared" si="856"/>
        <v>4</v>
      </c>
      <c r="X262" s="4">
        <f t="shared" si="857"/>
        <v>5</v>
      </c>
      <c r="Y262" s="7">
        <f t="shared" si="858"/>
        <v>56.796126628494655</v>
      </c>
      <c r="AB262" s="38">
        <f t="shared" si="885"/>
        <v>647.58620689655186</v>
      </c>
      <c r="AC262" s="4">
        <v>93.9</v>
      </c>
      <c r="AD262" s="4">
        <f t="shared" si="740"/>
        <v>1.1078590441518625</v>
      </c>
      <c r="AE262" s="38">
        <f>0.375*25.4</f>
        <v>9.5249999999999986</v>
      </c>
      <c r="AF262" s="38">
        <v>10</v>
      </c>
      <c r="AG262" s="39">
        <f>3*25.4</f>
        <v>76.199999999999989</v>
      </c>
      <c r="AH262" s="39">
        <v>3</v>
      </c>
      <c r="AI262" s="39">
        <v>1</v>
      </c>
      <c r="AJ262" s="7"/>
      <c r="AK262" s="4">
        <f t="shared" si="859"/>
        <v>236.47399999999999</v>
      </c>
      <c r="AL262" s="4">
        <f t="shared" si="779"/>
        <v>0.59076262083780873</v>
      </c>
      <c r="AM262" s="4">
        <f t="shared" si="780"/>
        <v>230.0524776158949</v>
      </c>
      <c r="AN262" s="4">
        <f t="shared" si="781"/>
        <v>0.76444683136412461</v>
      </c>
      <c r="AO262" s="4">
        <v>1.25</v>
      </c>
      <c r="AP262" s="4">
        <f t="shared" si="688"/>
        <v>2.5</v>
      </c>
      <c r="AQ262" s="38">
        <f t="shared" si="827"/>
        <v>324.66631363626266</v>
      </c>
      <c r="AR262" s="38">
        <f t="shared" si="783"/>
        <v>324.66631363626266</v>
      </c>
      <c r="AS262" s="38">
        <f t="shared" si="784"/>
        <v>3.5730582227190051</v>
      </c>
      <c r="AT262" s="38">
        <f t="shared" si="691"/>
        <v>324.66631363626226</v>
      </c>
      <c r="AU262" s="38">
        <f t="shared" si="674"/>
        <v>1.0000000000000013</v>
      </c>
      <c r="AV262" s="38">
        <f t="shared" si="692"/>
        <v>1.519225612863996</v>
      </c>
      <c r="AW262" s="4">
        <f t="shared" si="693"/>
        <v>0</v>
      </c>
      <c r="AX262" s="4">
        <f t="shared" si="860"/>
        <v>314.1486579795382</v>
      </c>
      <c r="AY262" s="4">
        <f t="shared" si="828"/>
        <v>1</v>
      </c>
      <c r="AZ262" s="38">
        <f t="shared" si="701"/>
        <v>493.24137931034488</v>
      </c>
      <c r="BA262" s="4">
        <f t="shared" si="829"/>
        <v>0.44000000000000006</v>
      </c>
      <c r="BB262" s="4">
        <f t="shared" si="830"/>
        <v>72.222776469495813</v>
      </c>
      <c r="BC262" s="4">
        <f t="shared" si="831"/>
        <v>565.46415577984067</v>
      </c>
      <c r="BE262" s="4">
        <f t="shared" si="689"/>
        <v>1.5</v>
      </c>
      <c r="BF262" s="4">
        <f t="shared" si="690"/>
        <v>557.10097214555037</v>
      </c>
      <c r="BH262" s="4">
        <f t="shared" si="704"/>
        <v>473.07880224876135</v>
      </c>
      <c r="BI262" s="4">
        <f t="shared" si="880"/>
        <v>0</v>
      </c>
      <c r="BJ262" s="4">
        <f t="shared" si="706"/>
        <v>0</v>
      </c>
      <c r="BK262" s="4">
        <f t="shared" si="785"/>
        <v>63.5</v>
      </c>
      <c r="BL262" s="4">
        <f t="shared" si="786"/>
        <v>63.5</v>
      </c>
      <c r="BM262" s="4">
        <f t="shared" si="787"/>
        <v>260.34999999999997</v>
      </c>
      <c r="BN262" s="4">
        <f t="shared" si="788"/>
        <v>76.2</v>
      </c>
      <c r="BO262" s="4">
        <f t="shared" si="789"/>
        <v>1.25</v>
      </c>
      <c r="BP262" s="25">
        <f t="shared" si="790"/>
        <v>4</v>
      </c>
      <c r="BR262" s="4">
        <f t="shared" si="832"/>
        <v>63.5</v>
      </c>
      <c r="BV262" s="9"/>
      <c r="BX262" s="9"/>
      <c r="BY262" s="9"/>
      <c r="BZ262" s="9">
        <f t="shared" si="833"/>
        <v>63.5</v>
      </c>
      <c r="CA262" s="9">
        <f t="shared" si="834"/>
        <v>120.64999999999998</v>
      </c>
      <c r="CB262" s="9">
        <f t="shared" si="694"/>
        <v>1.7409369561833321</v>
      </c>
      <c r="CC262" s="40">
        <f t="shared" si="861"/>
        <v>20</v>
      </c>
      <c r="CD262" s="9">
        <f t="shared" si="835"/>
        <v>0.05</v>
      </c>
      <c r="CE262" s="9">
        <f t="shared" si="836"/>
        <v>0.8</v>
      </c>
      <c r="CF262" s="9">
        <f t="shared" si="837"/>
        <v>0.99524931562137331</v>
      </c>
      <c r="CG262" s="9">
        <f t="shared" si="838"/>
        <v>0.68</v>
      </c>
      <c r="CH262" s="9">
        <f t="shared" si="695"/>
        <v>1.5186160075936113</v>
      </c>
      <c r="CI262" s="9">
        <f t="shared" si="696"/>
        <v>3.7965400189840279</v>
      </c>
      <c r="CJ262" s="40">
        <v>1</v>
      </c>
      <c r="CK262" s="9">
        <f t="shared" si="697"/>
        <v>369.17555144600692</v>
      </c>
      <c r="CM262" s="4">
        <f t="shared" si="839"/>
        <v>2.0614005199370671</v>
      </c>
      <c r="CN262" s="4">
        <f t="shared" si="840"/>
        <v>1.1452294549129385</v>
      </c>
      <c r="CO262" s="4">
        <f t="shared" si="814"/>
        <v>1.162421606270974</v>
      </c>
      <c r="CP262" s="4">
        <f t="shared" si="841"/>
        <v>1.7541416390117137</v>
      </c>
      <c r="CQ262" s="4">
        <f t="shared" si="800"/>
        <v>1.1078590441518625</v>
      </c>
      <c r="CR262" s="4">
        <f t="shared" si="801"/>
        <v>1.1787430355325779</v>
      </c>
      <c r="CS262" s="4">
        <f t="shared" si="815"/>
        <v>1.2121832107334114</v>
      </c>
      <c r="CT262" s="4">
        <f t="shared" si="862"/>
        <v>10</v>
      </c>
      <c r="DA262" s="4">
        <f t="shared" ref="DA262:DB265" si="886">CM262</f>
        <v>2.0614005199370671</v>
      </c>
      <c r="DB262" s="4">
        <f t="shared" si="886"/>
        <v>1.1452294549129385</v>
      </c>
      <c r="DC262" s="4">
        <f t="shared" ref="DC262:DC265" si="887">CP262</f>
        <v>1.7541416390117137</v>
      </c>
      <c r="DD262" s="4">
        <f t="shared" ref="DD262:DD265" si="888">CS262</f>
        <v>1.2121832107334114</v>
      </c>
      <c r="DE262" s="4">
        <f t="shared" ref="DE262:DF265" si="889">CQ262</f>
        <v>1.1078590441518625</v>
      </c>
      <c r="DF262" s="4">
        <f t="shared" si="889"/>
        <v>1.1787430355325779</v>
      </c>
      <c r="DI262" s="4">
        <f t="shared" si="846"/>
        <v>236.47399999999999</v>
      </c>
      <c r="DL262" s="4">
        <f t="shared" si="756"/>
        <v>1.7935736647377375E-5</v>
      </c>
      <c r="DM262" s="4">
        <f t="shared" si="757"/>
        <v>8.1771388151947182</v>
      </c>
      <c r="DN262" s="4">
        <f t="shared" si="758"/>
        <v>0.43639983382852249</v>
      </c>
      <c r="DO262" s="4">
        <f t="shared" si="759"/>
        <v>5.8688796130071648</v>
      </c>
      <c r="DP262" s="4">
        <f t="shared" si="760"/>
        <v>7.1174580141854262</v>
      </c>
      <c r="DQ262" s="4">
        <f t="shared" si="761"/>
        <v>7.7603820959198675</v>
      </c>
      <c r="DR262" s="38">
        <f t="shared" si="791"/>
        <v>584.53844856438468</v>
      </c>
      <c r="DS262" s="4">
        <f t="shared" si="762"/>
        <v>1.0001104721941727</v>
      </c>
      <c r="DT262" s="4">
        <f t="shared" si="763"/>
        <v>2.2360679774997898</v>
      </c>
      <c r="DU262" s="4">
        <f t="shared" si="764"/>
        <v>324.66631363626226</v>
      </c>
      <c r="DY262" s="4">
        <f t="shared" si="765"/>
        <v>0.85</v>
      </c>
      <c r="DZ262" s="4">
        <f t="shared" si="766"/>
        <v>0.85</v>
      </c>
      <c r="EA262" s="4">
        <f t="shared" si="792"/>
        <v>0.99062499999999998</v>
      </c>
      <c r="EB262" s="4">
        <f t="shared" si="767"/>
        <v>0.84203125000000001</v>
      </c>
      <c r="ED262" s="4">
        <f t="shared" si="793"/>
        <v>549.38709063418594</v>
      </c>
      <c r="EE262" s="25">
        <f t="shared" si="794"/>
        <v>320.9996035257974</v>
      </c>
      <c r="EG262" s="4">
        <f t="shared" si="683"/>
        <v>0.7157265625</v>
      </c>
      <c r="EH262" s="4">
        <f t="shared" si="795"/>
        <v>8.1771388151947182</v>
      </c>
      <c r="EK262" s="4">
        <f t="shared" si="768"/>
        <v>56.796126628494655</v>
      </c>
      <c r="EL262" s="4">
        <f t="shared" si="769"/>
        <v>2.2360679774997898</v>
      </c>
      <c r="EM262" s="4">
        <f t="shared" si="770"/>
        <v>0.15298856487151113</v>
      </c>
      <c r="EP262" s="4">
        <f t="shared" si="863"/>
        <v>0.15298856487151113</v>
      </c>
      <c r="EQ262" s="4">
        <f t="shared" si="698"/>
        <v>0.43567156383973532</v>
      </c>
      <c r="ER262" s="4">
        <f t="shared" si="772"/>
        <v>5.8649600234176082</v>
      </c>
      <c r="ES262" s="4">
        <f t="shared" si="847"/>
        <v>7.1158441858875401</v>
      </c>
      <c r="ET262" s="4">
        <f t="shared" si="774"/>
        <v>120.55937337150536</v>
      </c>
      <c r="EU262" s="4">
        <f t="shared" si="775"/>
        <v>59.118499999999983</v>
      </c>
      <c r="EV262" s="4">
        <f t="shared" si="699"/>
        <v>1.7935736647377372E-5</v>
      </c>
      <c r="EW262" s="4">
        <f t="shared" si="848"/>
        <v>7.7605034136751785</v>
      </c>
      <c r="EX262" s="4">
        <f t="shared" si="707"/>
        <v>584.47388045237449</v>
      </c>
      <c r="FG262" s="23">
        <f t="shared" si="878"/>
        <v>2.2000000000000002</v>
      </c>
      <c r="FH262" s="23">
        <f t="shared" si="878"/>
        <v>1.2</v>
      </c>
      <c r="FI262" s="23">
        <f t="shared" si="818"/>
        <v>1.4</v>
      </c>
      <c r="FJ262" s="23">
        <f t="shared" si="879"/>
        <v>1.8</v>
      </c>
      <c r="FK262" s="23">
        <f t="shared" si="879"/>
        <v>1.2</v>
      </c>
      <c r="FL262" s="23">
        <f t="shared" si="879"/>
        <v>1.2</v>
      </c>
      <c r="FM262" s="23">
        <f t="shared" si="807"/>
        <v>0</v>
      </c>
      <c r="FN262" s="23"/>
      <c r="FX262" s="4">
        <f t="shared" si="676"/>
        <v>1</v>
      </c>
      <c r="FY262" s="4">
        <f t="shared" si="716"/>
        <v>0.44</v>
      </c>
      <c r="FZ262" s="4">
        <f t="shared" si="677"/>
        <v>0.3</v>
      </c>
      <c r="GA262" s="4">
        <f t="shared" si="678"/>
        <v>534.23129537055752</v>
      </c>
    </row>
    <row r="263" spans="1:183" ht="12" customHeight="1" x14ac:dyDescent="0.3">
      <c r="A263" s="25">
        <v>245</v>
      </c>
      <c r="B263" s="4" t="s">
        <v>605</v>
      </c>
      <c r="C263" s="4">
        <v>2016</v>
      </c>
      <c r="D263" s="4" t="s">
        <v>309</v>
      </c>
      <c r="E263" s="24" t="s">
        <v>663</v>
      </c>
      <c r="F263" s="7" t="s">
        <v>398</v>
      </c>
      <c r="G263" s="38">
        <f t="shared" si="849"/>
        <v>827.58620689655174</v>
      </c>
      <c r="H263" s="38">
        <f>9.06*25.4</f>
        <v>230.124</v>
      </c>
      <c r="I263" s="4">
        <f t="shared" si="850"/>
        <v>230.124</v>
      </c>
      <c r="J263" s="38">
        <f>6440/145</f>
        <v>44.413793103448278</v>
      </c>
      <c r="K263" s="38">
        <f t="shared" si="851"/>
        <v>25.4</v>
      </c>
      <c r="L263" s="7">
        <f t="shared" si="852"/>
        <v>9.06</v>
      </c>
      <c r="M263" s="7">
        <f t="shared" si="853"/>
        <v>9.06</v>
      </c>
      <c r="N263" s="38">
        <f>18.6*25.4</f>
        <v>472.44</v>
      </c>
      <c r="O263" s="38">
        <f>3.45*25.4</f>
        <v>87.63</v>
      </c>
      <c r="P263" s="39">
        <f>3.7*25.4</f>
        <v>93.98</v>
      </c>
      <c r="Q263" s="7">
        <f t="shared" si="854"/>
        <v>246.38</v>
      </c>
      <c r="R263" s="38">
        <v>2</v>
      </c>
      <c r="S263" s="4">
        <f t="shared" si="826"/>
        <v>260.34999999999997</v>
      </c>
      <c r="T263" s="7">
        <f t="shared" si="855"/>
        <v>3.95</v>
      </c>
      <c r="U263" s="7">
        <f t="shared" si="702"/>
        <v>3.95</v>
      </c>
      <c r="V263" s="38">
        <v>4</v>
      </c>
      <c r="W263" s="4">
        <f t="shared" si="856"/>
        <v>4</v>
      </c>
      <c r="X263" s="4">
        <f t="shared" si="857"/>
        <v>5</v>
      </c>
      <c r="Y263" s="7">
        <f t="shared" si="858"/>
        <v>56.796126628494655</v>
      </c>
      <c r="AB263" s="38">
        <f t="shared" si="885"/>
        <v>703.44827586206907</v>
      </c>
      <c r="AC263" s="4">
        <v>102</v>
      </c>
      <c r="AD263" s="4">
        <f t="shared" si="740"/>
        <v>1.0255837865554474</v>
      </c>
      <c r="AE263" s="38">
        <f t="shared" ref="AE263" si="890">0.375*25.4</f>
        <v>9.5249999999999986</v>
      </c>
      <c r="AF263" s="38">
        <v>10</v>
      </c>
      <c r="AG263" s="39">
        <f>3*25.4</f>
        <v>76.199999999999989</v>
      </c>
      <c r="AH263" s="39">
        <v>3</v>
      </c>
      <c r="AI263" s="39">
        <v>1</v>
      </c>
      <c r="AJ263" s="7"/>
      <c r="AK263" s="4">
        <f t="shared" si="859"/>
        <v>230.124</v>
      </c>
      <c r="AL263" s="4">
        <f t="shared" si="779"/>
        <v>0.6843267108167771</v>
      </c>
      <c r="AM263" s="4">
        <f t="shared" si="780"/>
        <v>229.56966143640747</v>
      </c>
      <c r="AN263" s="4">
        <f t="shared" si="781"/>
        <v>0.78719646799116993</v>
      </c>
      <c r="AO263" s="4">
        <v>1.25</v>
      </c>
      <c r="AP263" s="4">
        <f t="shared" si="688"/>
        <v>2.5</v>
      </c>
      <c r="AQ263" s="38">
        <f t="shared" si="827"/>
        <v>386.46586822990668</v>
      </c>
      <c r="AR263" s="38">
        <f t="shared" si="783"/>
        <v>386.46586822990668</v>
      </c>
      <c r="AS263" s="38">
        <f t="shared" si="784"/>
        <v>3.7624132755662103</v>
      </c>
      <c r="AT263" s="38">
        <f t="shared" si="691"/>
        <v>386.46586822990719</v>
      </c>
      <c r="AU263" s="38">
        <f t="shared" si="674"/>
        <v>0.99999999999999867</v>
      </c>
      <c r="AV263" s="38">
        <f t="shared" si="692"/>
        <v>1.8157824240691325</v>
      </c>
      <c r="AW263" s="4">
        <f t="shared" si="693"/>
        <v>0</v>
      </c>
      <c r="AX263" s="4">
        <f t="shared" si="860"/>
        <v>317.78509906100612</v>
      </c>
      <c r="AY263" s="4">
        <f t="shared" si="828"/>
        <v>1</v>
      </c>
      <c r="AZ263" s="38">
        <f t="shared" si="701"/>
        <v>701.73793103448281</v>
      </c>
      <c r="BA263" s="4">
        <f t="shared" si="829"/>
        <v>0.44000000000000006</v>
      </c>
      <c r="BB263" s="4">
        <f t="shared" si="830"/>
        <v>73.058794274125319</v>
      </c>
      <c r="BC263" s="4">
        <f t="shared" si="831"/>
        <v>774.79672530860807</v>
      </c>
      <c r="BE263" s="4">
        <f t="shared" si="689"/>
        <v>1.5</v>
      </c>
      <c r="BF263" s="4">
        <f t="shared" si="690"/>
        <v>571.60279357923548</v>
      </c>
      <c r="BH263" s="4">
        <f t="shared" si="704"/>
        <v>673.05249281901524</v>
      </c>
      <c r="BI263" s="4">
        <f t="shared" si="880"/>
        <v>0</v>
      </c>
      <c r="BJ263" s="4">
        <f t="shared" si="706"/>
        <v>0</v>
      </c>
      <c r="BK263" s="4">
        <f t="shared" si="785"/>
        <v>87.63</v>
      </c>
      <c r="BL263" s="4">
        <f t="shared" si="786"/>
        <v>87.63</v>
      </c>
      <c r="BM263" s="4">
        <f t="shared" si="787"/>
        <v>260.34999999999997</v>
      </c>
      <c r="BN263" s="4">
        <f t="shared" si="788"/>
        <v>100.33</v>
      </c>
      <c r="BO263" s="4">
        <f t="shared" si="789"/>
        <v>1.1971014492753622</v>
      </c>
      <c r="BP263" s="25">
        <f t="shared" si="790"/>
        <v>4</v>
      </c>
      <c r="BR263" s="4">
        <f t="shared" si="832"/>
        <v>87.63</v>
      </c>
      <c r="BV263" s="9"/>
      <c r="BX263" s="9"/>
      <c r="BY263" s="9"/>
      <c r="BZ263" s="9">
        <f t="shared" si="833"/>
        <v>87.63</v>
      </c>
      <c r="CA263" s="9">
        <f t="shared" si="834"/>
        <v>123.19</v>
      </c>
      <c r="CB263" s="9">
        <f t="shared" si="694"/>
        <v>1.9547802569983255</v>
      </c>
      <c r="CC263" s="40">
        <f t="shared" si="861"/>
        <v>20</v>
      </c>
      <c r="CD263" s="9">
        <f t="shared" si="835"/>
        <v>0.05</v>
      </c>
      <c r="CE263" s="9">
        <f t="shared" si="836"/>
        <v>0.8</v>
      </c>
      <c r="CF263" s="9">
        <f t="shared" si="837"/>
        <v>0.99524931562137331</v>
      </c>
      <c r="CG263" s="9">
        <f t="shared" si="838"/>
        <v>0.68</v>
      </c>
      <c r="CH263" s="9">
        <f t="shared" si="695"/>
        <v>1.5785842929910907</v>
      </c>
      <c r="CI263" s="9">
        <f t="shared" si="696"/>
        <v>3.9464607324777266</v>
      </c>
      <c r="CJ263" s="40">
        <v>1</v>
      </c>
      <c r="CK263" s="9">
        <f t="shared" si="697"/>
        <v>379.80738089365639</v>
      </c>
      <c r="CM263" s="4">
        <f t="shared" si="839"/>
        <v>2.2135974214669707</v>
      </c>
      <c r="CN263" s="4">
        <f t="shared" si="840"/>
        <v>0.90791333117970996</v>
      </c>
      <c r="CO263" s="4">
        <f t="shared" si="814"/>
        <v>1.2306592685757356</v>
      </c>
      <c r="CP263" s="4">
        <f t="shared" si="841"/>
        <v>1.8521184980842436</v>
      </c>
      <c r="CQ263" s="4">
        <f t="shared" si="800"/>
        <v>1.0255837865554474</v>
      </c>
      <c r="CR263" s="4">
        <f t="shared" si="801"/>
        <v>1.0953486974677027</v>
      </c>
      <c r="CS263" s="4">
        <f t="shared" si="815"/>
        <v>1.327132930109501</v>
      </c>
      <c r="CT263" s="4">
        <f t="shared" si="862"/>
        <v>10</v>
      </c>
      <c r="DA263" s="4">
        <f t="shared" si="886"/>
        <v>2.2135974214669707</v>
      </c>
      <c r="DB263" s="4">
        <f t="shared" si="886"/>
        <v>0.90791333117970996</v>
      </c>
      <c r="DC263" s="4">
        <f t="shared" si="887"/>
        <v>1.8521184980842436</v>
      </c>
      <c r="DD263" s="4">
        <f t="shared" si="888"/>
        <v>1.327132930109501</v>
      </c>
      <c r="DE263" s="4">
        <f t="shared" si="889"/>
        <v>1.0255837865554474</v>
      </c>
      <c r="DF263" s="4">
        <f t="shared" si="889"/>
        <v>1.0953486974677027</v>
      </c>
      <c r="DI263" s="4">
        <f t="shared" si="846"/>
        <v>230.124</v>
      </c>
      <c r="DL263" s="4">
        <f t="shared" si="756"/>
        <v>1.7835275850587528E-5</v>
      </c>
      <c r="DM263" s="4">
        <f t="shared" si="757"/>
        <v>9.5695859688824623</v>
      </c>
      <c r="DN263" s="4">
        <f t="shared" si="758"/>
        <v>0.48074954631931027</v>
      </c>
      <c r="DO263" s="4">
        <f t="shared" si="759"/>
        <v>7.1393833409390375</v>
      </c>
      <c r="DP263" s="4">
        <f t="shared" si="760"/>
        <v>8.4425686834085472</v>
      </c>
      <c r="DQ263" s="4">
        <f t="shared" si="761"/>
        <v>9.0089963326407201</v>
      </c>
      <c r="DR263" s="38">
        <f t="shared" si="791"/>
        <v>685.90034776650373</v>
      </c>
      <c r="DS263" s="4">
        <f t="shared" si="762"/>
        <v>1.0001134871288546</v>
      </c>
      <c r="DT263" s="4">
        <f t="shared" si="763"/>
        <v>2.2360679774997898</v>
      </c>
      <c r="DU263" s="4">
        <f t="shared" si="764"/>
        <v>386.46586822990719</v>
      </c>
      <c r="DY263" s="4">
        <f t="shared" si="765"/>
        <v>0.85</v>
      </c>
      <c r="DZ263" s="4">
        <f t="shared" si="766"/>
        <v>0.755</v>
      </c>
      <c r="EA263" s="4">
        <f t="shared" si="792"/>
        <v>0.99062499999999998</v>
      </c>
      <c r="EB263" s="4">
        <f t="shared" si="767"/>
        <v>0.74792187499999996</v>
      </c>
      <c r="ED263" s="4">
        <f t="shared" si="793"/>
        <v>642.21400681659259</v>
      </c>
      <c r="EE263" s="25">
        <f t="shared" si="794"/>
        <v>382.11266018236722</v>
      </c>
      <c r="EG263" s="4">
        <f t="shared" si="683"/>
        <v>0.63573359374999994</v>
      </c>
      <c r="EH263" s="4">
        <f t="shared" si="795"/>
        <v>9.5695859688824623</v>
      </c>
      <c r="EK263" s="4">
        <f t="shared" si="768"/>
        <v>56.796126628494655</v>
      </c>
      <c r="EL263" s="4">
        <f t="shared" si="769"/>
        <v>2.2360679774997898</v>
      </c>
      <c r="EM263" s="4">
        <f t="shared" si="770"/>
        <v>0.17519152014128195</v>
      </c>
      <c r="EP263" s="4">
        <f t="shared" si="863"/>
        <v>0.17519152014128195</v>
      </c>
      <c r="EQ263" s="4">
        <f t="shared" si="698"/>
        <v>0.47994726492603873</v>
      </c>
      <c r="ER263" s="4">
        <f t="shared" si="772"/>
        <v>7.1346152328052508</v>
      </c>
      <c r="ES263" s="4">
        <f t="shared" si="847"/>
        <v>8.4405545920590228</v>
      </c>
      <c r="ET263" s="4">
        <f t="shared" si="774"/>
        <v>115.79687337150534</v>
      </c>
      <c r="EU263" s="4">
        <f t="shared" si="775"/>
        <v>57.531000000000006</v>
      </c>
      <c r="EV263" s="4">
        <f t="shared" si="699"/>
        <v>1.7835275850587531E-5</v>
      </c>
      <c r="EW263" s="4">
        <f t="shared" si="848"/>
        <v>9.0091667133943858</v>
      </c>
      <c r="EX263" s="4">
        <f t="shared" si="707"/>
        <v>685.82251573828876</v>
      </c>
      <c r="FG263" s="23">
        <f t="shared" si="878"/>
        <v>2.2000000000000002</v>
      </c>
      <c r="FH263" s="23">
        <f t="shared" si="878"/>
        <v>1</v>
      </c>
      <c r="FI263" s="23">
        <f t="shared" si="818"/>
        <v>1.4</v>
      </c>
      <c r="FJ263" s="23">
        <f t="shared" si="879"/>
        <v>2</v>
      </c>
      <c r="FK263" s="23">
        <f t="shared" si="879"/>
        <v>1.2</v>
      </c>
      <c r="FL263" s="23">
        <f t="shared" si="879"/>
        <v>1.2</v>
      </c>
      <c r="FM263" s="23">
        <f t="shared" si="807"/>
        <v>0</v>
      </c>
      <c r="FN263" s="23"/>
      <c r="FX263" s="4">
        <f t="shared" si="676"/>
        <v>1</v>
      </c>
      <c r="FY263" s="4">
        <f t="shared" si="716"/>
        <v>0.44</v>
      </c>
      <c r="FZ263" s="4">
        <f t="shared" si="677"/>
        <v>0.3</v>
      </c>
      <c r="GA263" s="4">
        <f t="shared" si="678"/>
        <v>530.05110483094404</v>
      </c>
    </row>
    <row r="264" spans="1:183" ht="12" customHeight="1" x14ac:dyDescent="0.3">
      <c r="A264" s="25">
        <v>246</v>
      </c>
      <c r="B264" s="4" t="s">
        <v>605</v>
      </c>
      <c r="C264" s="4">
        <v>2016</v>
      </c>
      <c r="D264" s="4" t="s">
        <v>309</v>
      </c>
      <c r="E264" s="24" t="s">
        <v>663</v>
      </c>
      <c r="F264" s="7" t="s">
        <v>399</v>
      </c>
      <c r="G264" s="38">
        <f t="shared" si="849"/>
        <v>827.58620689655174</v>
      </c>
      <c r="H264" s="38">
        <f>9.25*25.4</f>
        <v>234.95</v>
      </c>
      <c r="I264" s="4">
        <f t="shared" si="850"/>
        <v>234.95</v>
      </c>
      <c r="J264" s="38">
        <f>6440/145</f>
        <v>44.413793103448278</v>
      </c>
      <c r="K264" s="38">
        <f t="shared" si="851"/>
        <v>25.4</v>
      </c>
      <c r="L264" s="7">
        <f t="shared" si="852"/>
        <v>9.25</v>
      </c>
      <c r="M264" s="7">
        <f t="shared" si="853"/>
        <v>9.25</v>
      </c>
      <c r="N264" s="38">
        <f>16.6*25.4</f>
        <v>421.64</v>
      </c>
      <c r="O264" s="38">
        <f>2.55*25.4</f>
        <v>64.77</v>
      </c>
      <c r="P264" s="39">
        <f>3.35*25.4</f>
        <v>85.09</v>
      </c>
      <c r="Q264" s="7">
        <f t="shared" si="854"/>
        <v>241.29999999999998</v>
      </c>
      <c r="R264" s="38">
        <v>2</v>
      </c>
      <c r="S264" s="4">
        <f t="shared" si="826"/>
        <v>260.34999999999997</v>
      </c>
      <c r="T264" s="7">
        <f t="shared" si="855"/>
        <v>3.05</v>
      </c>
      <c r="U264" s="7">
        <f t="shared" si="702"/>
        <v>3.05</v>
      </c>
      <c r="V264" s="38">
        <v>4</v>
      </c>
      <c r="W264" s="4">
        <f t="shared" si="856"/>
        <v>4</v>
      </c>
      <c r="X264" s="4">
        <f t="shared" si="857"/>
        <v>5</v>
      </c>
      <c r="Y264" s="7">
        <f t="shared" si="858"/>
        <v>56.796126628494655</v>
      </c>
      <c r="AB264" s="38">
        <f t="shared" si="885"/>
        <v>790.34482758620686</v>
      </c>
      <c r="AC264" s="4">
        <v>114.6</v>
      </c>
      <c r="AD264" s="4">
        <f t="shared" si="740"/>
        <v>1.2622199993298189</v>
      </c>
      <c r="AE264" s="38">
        <f>0.5*25.4</f>
        <v>12.7</v>
      </c>
      <c r="AF264" s="38">
        <v>8</v>
      </c>
      <c r="AG264" s="39">
        <f>4*25.4</f>
        <v>101.6</v>
      </c>
      <c r="AH264" s="39">
        <v>2</v>
      </c>
      <c r="AI264" s="39">
        <v>1</v>
      </c>
      <c r="AJ264" s="7"/>
      <c r="AK264" s="4">
        <f t="shared" si="859"/>
        <v>234.95</v>
      </c>
      <c r="AL264" s="4">
        <f t="shared" si="779"/>
        <v>0.59819819819819819</v>
      </c>
      <c r="AM264" s="4">
        <f t="shared" si="780"/>
        <v>236.82895372126541</v>
      </c>
      <c r="AN264" s="4">
        <f t="shared" si="781"/>
        <v>0.76594594594594589</v>
      </c>
      <c r="AO264" s="4">
        <v>1.25</v>
      </c>
      <c r="AP264" s="4">
        <f t="shared" si="688"/>
        <v>2.5</v>
      </c>
      <c r="AQ264" s="38">
        <f t="shared" si="827"/>
        <v>339.10019571599395</v>
      </c>
      <c r="AR264" s="38">
        <f t="shared" si="783"/>
        <v>339.10019571599395</v>
      </c>
      <c r="AS264" s="38">
        <f t="shared" si="784"/>
        <v>3.7624132755662103</v>
      </c>
      <c r="AT264" s="38">
        <f t="shared" si="691"/>
        <v>339.10019571599406</v>
      </c>
      <c r="AU264" s="38">
        <f t="shared" si="674"/>
        <v>0.99999999999999967</v>
      </c>
      <c r="AV264" s="38">
        <f t="shared" si="692"/>
        <v>1.5979002156515476</v>
      </c>
      <c r="AW264" s="4">
        <f t="shared" si="693"/>
        <v>0</v>
      </c>
      <c r="AX264" s="4">
        <f t="shared" si="860"/>
        <v>324.44946648060778</v>
      </c>
      <c r="AY264" s="4">
        <f t="shared" si="828"/>
        <v>1</v>
      </c>
      <c r="AZ264" s="38">
        <f t="shared" si="701"/>
        <v>541.84827586206893</v>
      </c>
      <c r="BA264" s="4">
        <f t="shared" si="829"/>
        <v>0.44000000000000006</v>
      </c>
      <c r="BB264" s="4">
        <f t="shared" si="830"/>
        <v>74.590932343891737</v>
      </c>
      <c r="BC264" s="4">
        <f t="shared" si="831"/>
        <v>616.43920820596065</v>
      </c>
      <c r="BE264" s="4">
        <f t="shared" si="689"/>
        <v>1.5</v>
      </c>
      <c r="BF264" s="4">
        <f t="shared" si="690"/>
        <v>577.300827722995</v>
      </c>
      <c r="BH264" s="4">
        <f t="shared" si="704"/>
        <v>519.69876027797375</v>
      </c>
      <c r="BI264" s="4">
        <f t="shared" si="880"/>
        <v>0</v>
      </c>
      <c r="BJ264" s="4">
        <f t="shared" si="706"/>
        <v>0</v>
      </c>
      <c r="BK264" s="4">
        <f t="shared" si="785"/>
        <v>64.77</v>
      </c>
      <c r="BL264" s="4">
        <f t="shared" si="786"/>
        <v>64.77</v>
      </c>
      <c r="BM264" s="4">
        <f t="shared" si="787"/>
        <v>260.34999999999997</v>
      </c>
      <c r="BN264" s="4">
        <f t="shared" si="788"/>
        <v>77.47</v>
      </c>
      <c r="BO264" s="4">
        <f t="shared" si="789"/>
        <v>1.25</v>
      </c>
      <c r="BP264" s="25">
        <f t="shared" si="790"/>
        <v>4</v>
      </c>
      <c r="BR264" s="4">
        <f t="shared" si="832"/>
        <v>64.77</v>
      </c>
      <c r="BV264" s="9"/>
      <c r="BX264" s="9"/>
      <c r="BY264" s="9"/>
      <c r="BZ264" s="9">
        <f t="shared" si="833"/>
        <v>64.77</v>
      </c>
      <c r="CA264" s="9">
        <f t="shared" si="834"/>
        <v>120.64999999999999</v>
      </c>
      <c r="CB264" s="9">
        <f t="shared" si="694"/>
        <v>1.753045162204804</v>
      </c>
      <c r="CC264" s="40">
        <f t="shared" si="861"/>
        <v>20</v>
      </c>
      <c r="CD264" s="9">
        <f t="shared" si="835"/>
        <v>0.05</v>
      </c>
      <c r="CE264" s="9">
        <f t="shared" si="836"/>
        <v>0.8</v>
      </c>
      <c r="CF264" s="9">
        <f t="shared" si="837"/>
        <v>0.99524931562137331</v>
      </c>
      <c r="CG264" s="9">
        <f t="shared" si="838"/>
        <v>0.68</v>
      </c>
      <c r="CH264" s="9">
        <f t="shared" si="695"/>
        <v>1.5785842929910907</v>
      </c>
      <c r="CI264" s="9">
        <f t="shared" si="696"/>
        <v>3.9464607324777266</v>
      </c>
      <c r="CJ264" s="40">
        <v>1</v>
      </c>
      <c r="CK264" s="9">
        <f t="shared" si="697"/>
        <v>382.80669105033951</v>
      </c>
      <c r="CM264" s="4">
        <f t="shared" si="839"/>
        <v>2.4359566257244731</v>
      </c>
      <c r="CN264" s="4">
        <f t="shared" si="840"/>
        <v>1.2821131703909106</v>
      </c>
      <c r="CO264" s="4">
        <f t="shared" si="814"/>
        <v>1.36903463434048</v>
      </c>
      <c r="CP264" s="4">
        <f t="shared" si="841"/>
        <v>2.0646055726394699</v>
      </c>
      <c r="CQ264" s="4">
        <f t="shared" si="800"/>
        <v>1.2622199993298189</v>
      </c>
      <c r="CR264" s="4">
        <f t="shared" si="801"/>
        <v>1.3410351127446876</v>
      </c>
      <c r="CS264" s="4">
        <f t="shared" si="815"/>
        <v>1.4604454373528053</v>
      </c>
      <c r="CT264" s="4">
        <f t="shared" si="862"/>
        <v>8</v>
      </c>
      <c r="DA264" s="4">
        <f t="shared" si="886"/>
        <v>2.4359566257244731</v>
      </c>
      <c r="DB264" s="4">
        <f t="shared" si="886"/>
        <v>1.2821131703909106</v>
      </c>
      <c r="DC264" s="4">
        <f t="shared" si="887"/>
        <v>2.0646055726394699</v>
      </c>
      <c r="DD264" s="4">
        <f t="shared" si="888"/>
        <v>1.4604454373528053</v>
      </c>
      <c r="DE264" s="4">
        <f t="shared" si="889"/>
        <v>1.2622199993298189</v>
      </c>
      <c r="DF264" s="4">
        <f t="shared" si="889"/>
        <v>1.3410351127446876</v>
      </c>
      <c r="DI264" s="4">
        <f t="shared" si="846"/>
        <v>234.95</v>
      </c>
      <c r="DL264" s="4">
        <f t="shared" si="756"/>
        <v>1.8209304814341571E-5</v>
      </c>
      <c r="DM264" s="4">
        <f t="shared" si="757"/>
        <v>9.1569520944446019</v>
      </c>
      <c r="DN264" s="4">
        <f t="shared" si="758"/>
        <v>0.42182836480212033</v>
      </c>
      <c r="DO264" s="4">
        <f t="shared" si="759"/>
        <v>6.4834363846303589</v>
      </c>
      <c r="DP264" s="4">
        <f t="shared" si="760"/>
        <v>7.9339449877808761</v>
      </c>
      <c r="DQ264" s="4">
        <f t="shared" si="761"/>
        <v>8.6336377842407881</v>
      </c>
      <c r="DR264" s="38">
        <f t="shared" si="791"/>
        <v>626.15457527676938</v>
      </c>
      <c r="DS264" s="4">
        <f t="shared" si="762"/>
        <v>1.0001126918088037</v>
      </c>
      <c r="DT264" s="4">
        <f t="shared" si="763"/>
        <v>2.2360679774997898</v>
      </c>
      <c r="DU264" s="4">
        <f t="shared" si="764"/>
        <v>339.10019571599406</v>
      </c>
      <c r="DY264" s="4">
        <f t="shared" si="765"/>
        <v>0.85</v>
      </c>
      <c r="DZ264" s="4">
        <f t="shared" si="766"/>
        <v>0.84499999999999997</v>
      </c>
      <c r="EA264" s="4">
        <f t="shared" si="792"/>
        <v>0.92500000000000004</v>
      </c>
      <c r="EB264" s="4">
        <f t="shared" si="767"/>
        <v>0.78162500000000001</v>
      </c>
      <c r="ED264" s="4">
        <f t="shared" si="793"/>
        <v>589.35431300423852</v>
      </c>
      <c r="EE264" s="25">
        <f t="shared" si="794"/>
        <v>335.24889238340086</v>
      </c>
      <c r="EG264" s="4">
        <f t="shared" si="683"/>
        <v>0.66438125000000003</v>
      </c>
      <c r="EH264" s="4">
        <f t="shared" si="795"/>
        <v>9.1569520944446019</v>
      </c>
      <c r="EK264" s="4">
        <f t="shared" si="768"/>
        <v>56.796126628494655</v>
      </c>
      <c r="EL264" s="4">
        <f t="shared" si="769"/>
        <v>2.2360679774997898</v>
      </c>
      <c r="EM264" s="4">
        <f t="shared" si="770"/>
        <v>0.15371985898726231</v>
      </c>
      <c r="EP264" s="4">
        <f t="shared" si="863"/>
        <v>0.15371985898726231</v>
      </c>
      <c r="EQ264" s="4">
        <f t="shared" si="698"/>
        <v>0.42112441187938565</v>
      </c>
      <c r="ER264" s="4">
        <f t="shared" si="772"/>
        <v>6.4791063571918306</v>
      </c>
      <c r="ES264" s="4">
        <f t="shared" si="847"/>
        <v>7.9321784362025918</v>
      </c>
      <c r="ET264" s="4">
        <f t="shared" si="774"/>
        <v>119.41637337150533</v>
      </c>
      <c r="EU264" s="4">
        <f t="shared" si="775"/>
        <v>58.737500000000011</v>
      </c>
      <c r="EV264" s="4">
        <f t="shared" si="699"/>
        <v>1.8209304814341575E-5</v>
      </c>
      <c r="EW264" s="4">
        <f t="shared" si="848"/>
        <v>8.6337886697182409</v>
      </c>
      <c r="EX264" s="4">
        <f t="shared" si="707"/>
        <v>626.08402073600962</v>
      </c>
      <c r="FG264" s="23">
        <f t="shared" si="878"/>
        <v>2.2000000000000002</v>
      </c>
      <c r="FH264" s="23">
        <f t="shared" si="878"/>
        <v>1.4</v>
      </c>
      <c r="FI264" s="23">
        <f t="shared" si="818"/>
        <v>1.6</v>
      </c>
      <c r="FJ264" s="23">
        <f t="shared" si="879"/>
        <v>2.2000000000000002</v>
      </c>
      <c r="FK264" s="23">
        <f t="shared" si="879"/>
        <v>1.4</v>
      </c>
      <c r="FL264" s="23">
        <f t="shared" si="879"/>
        <v>1.4</v>
      </c>
      <c r="FM264" s="23">
        <f t="shared" si="807"/>
        <v>0</v>
      </c>
      <c r="FN264" s="23"/>
      <c r="FX264" s="4">
        <f t="shared" si="676"/>
        <v>1</v>
      </c>
      <c r="FY264" s="4">
        <f t="shared" si="716"/>
        <v>0.44</v>
      </c>
      <c r="FZ264" s="4">
        <f t="shared" si="677"/>
        <v>0.3</v>
      </c>
      <c r="GA264" s="4">
        <f t="shared" si="678"/>
        <v>541.16696685278509</v>
      </c>
    </row>
    <row r="265" spans="1:183" ht="12" customHeight="1" x14ac:dyDescent="0.3">
      <c r="A265" s="25">
        <v>247</v>
      </c>
      <c r="B265" s="4" t="s">
        <v>605</v>
      </c>
      <c r="C265" s="4">
        <v>2016</v>
      </c>
      <c r="D265" s="4" t="s">
        <v>309</v>
      </c>
      <c r="E265" s="24" t="s">
        <v>663</v>
      </c>
      <c r="F265" s="7" t="s">
        <v>400</v>
      </c>
      <c r="G265" s="38">
        <f t="shared" si="849"/>
        <v>827.58620689655174</v>
      </c>
      <c r="H265" s="38">
        <f>9.25*25.4</f>
        <v>234.95</v>
      </c>
      <c r="I265" s="4">
        <f t="shared" si="850"/>
        <v>234.95</v>
      </c>
      <c r="J265" s="38">
        <f>6210/145</f>
        <v>42.827586206896555</v>
      </c>
      <c r="K265" s="38">
        <f t="shared" si="851"/>
        <v>25.4</v>
      </c>
      <c r="L265" s="7">
        <f t="shared" si="852"/>
        <v>9.25</v>
      </c>
      <c r="M265" s="7">
        <f t="shared" si="853"/>
        <v>9.25</v>
      </c>
      <c r="N265" s="38">
        <f>18.6*25.4</f>
        <v>472.44</v>
      </c>
      <c r="O265" s="38">
        <f>3.45*25.4</f>
        <v>87.63</v>
      </c>
      <c r="P265" s="39">
        <f>3.45*25.4</f>
        <v>87.63</v>
      </c>
      <c r="Q265" s="7">
        <f t="shared" si="854"/>
        <v>246.38</v>
      </c>
      <c r="R265" s="38">
        <v>2</v>
      </c>
      <c r="S265" s="4">
        <f t="shared" si="826"/>
        <v>260.34999999999997</v>
      </c>
      <c r="T265" s="7">
        <f t="shared" si="855"/>
        <v>3.95</v>
      </c>
      <c r="U265" s="7">
        <f t="shared" si="702"/>
        <v>3.95</v>
      </c>
      <c r="V265" s="38">
        <v>4</v>
      </c>
      <c r="W265" s="4">
        <f t="shared" si="856"/>
        <v>4</v>
      </c>
      <c r="X265" s="4">
        <f t="shared" si="857"/>
        <v>5</v>
      </c>
      <c r="Y265" s="7">
        <f t="shared" si="858"/>
        <v>56.796126628494655</v>
      </c>
      <c r="AB265" s="38">
        <f t="shared" si="885"/>
        <v>747.58620689655186</v>
      </c>
      <c r="AC265" s="4">
        <v>108.4</v>
      </c>
      <c r="AD265" s="4">
        <f t="shared" si="740"/>
        <v>1.0612133921380551</v>
      </c>
      <c r="AE265" s="38">
        <f>0.5*25.4</f>
        <v>12.7</v>
      </c>
      <c r="AF265" s="38">
        <v>8</v>
      </c>
      <c r="AG265" s="39">
        <f>4*25.4</f>
        <v>101.6</v>
      </c>
      <c r="AH265" s="39">
        <v>2</v>
      </c>
      <c r="AI265" s="39">
        <v>1</v>
      </c>
      <c r="AJ265" s="7"/>
      <c r="AK265" s="4">
        <f t="shared" si="859"/>
        <v>234.95</v>
      </c>
      <c r="AL265" s="4">
        <f t="shared" si="779"/>
        <v>0.67027027027027031</v>
      </c>
      <c r="AM265" s="4">
        <f t="shared" si="780"/>
        <v>232.56141582533411</v>
      </c>
      <c r="AN265" s="4">
        <f t="shared" si="781"/>
        <v>0.78540540540540538</v>
      </c>
      <c r="AO265" s="4">
        <v>1.25</v>
      </c>
      <c r="AP265" s="4">
        <f t="shared" si="688"/>
        <v>2.5</v>
      </c>
      <c r="AQ265" s="38">
        <f t="shared" si="827"/>
        <v>382.58816117679049</v>
      </c>
      <c r="AR265" s="38">
        <f t="shared" si="783"/>
        <v>382.58816117679049</v>
      </c>
      <c r="AS265" s="38">
        <f t="shared" si="784"/>
        <v>3.6722901407859458</v>
      </c>
      <c r="AT265" s="38">
        <f t="shared" si="691"/>
        <v>382.58816117679044</v>
      </c>
      <c r="AU265" s="38">
        <f t="shared" si="674"/>
        <v>1.0000000000000002</v>
      </c>
      <c r="AV265" s="38">
        <f t="shared" si="692"/>
        <v>1.7686795639143678</v>
      </c>
      <c r="AW265" s="4">
        <f t="shared" si="693"/>
        <v>0</v>
      </c>
      <c r="AX265" s="4">
        <f t="shared" si="860"/>
        <v>318.6030512861621</v>
      </c>
      <c r="AY265" s="4">
        <f t="shared" si="828"/>
        <v>1</v>
      </c>
      <c r="AZ265" s="38">
        <f t="shared" si="701"/>
        <v>676.67586206896556</v>
      </c>
      <c r="BA265" s="4">
        <f t="shared" si="829"/>
        <v>0.44000000000000006</v>
      </c>
      <c r="BB265" s="4">
        <f t="shared" si="830"/>
        <v>73.246841490688666</v>
      </c>
      <c r="BC265" s="4">
        <f t="shared" si="831"/>
        <v>749.92270355965422</v>
      </c>
      <c r="BE265" s="4">
        <f t="shared" si="689"/>
        <v>1.5</v>
      </c>
      <c r="BF265" s="4">
        <f t="shared" si="690"/>
        <v>566.89815895741845</v>
      </c>
      <c r="BH265" s="4">
        <f t="shared" si="704"/>
        <v>649.01490378976473</v>
      </c>
      <c r="BI265" s="4">
        <f t="shared" si="880"/>
        <v>0</v>
      </c>
      <c r="BJ265" s="4">
        <f t="shared" si="706"/>
        <v>0</v>
      </c>
      <c r="BK265" s="4">
        <f t="shared" si="785"/>
        <v>87.63</v>
      </c>
      <c r="BL265" s="4">
        <f t="shared" si="786"/>
        <v>87.63</v>
      </c>
      <c r="BM265" s="4">
        <f t="shared" si="787"/>
        <v>260.34999999999997</v>
      </c>
      <c r="BN265" s="4">
        <f t="shared" si="788"/>
        <v>100.33</v>
      </c>
      <c r="BO265" s="4">
        <f t="shared" si="789"/>
        <v>1.1971014492753622</v>
      </c>
      <c r="BP265" s="25">
        <f t="shared" si="790"/>
        <v>4</v>
      </c>
      <c r="BR265" s="4">
        <f t="shared" si="832"/>
        <v>87.63</v>
      </c>
      <c r="BV265" s="9"/>
      <c r="BX265" s="9"/>
      <c r="BY265" s="9"/>
      <c r="BZ265" s="9">
        <f t="shared" si="833"/>
        <v>87.63</v>
      </c>
      <c r="CA265" s="9">
        <f t="shared" si="834"/>
        <v>123.19</v>
      </c>
      <c r="CB265" s="9">
        <f t="shared" si="694"/>
        <v>1.9547802569983255</v>
      </c>
      <c r="CC265" s="40">
        <f t="shared" si="861"/>
        <v>20</v>
      </c>
      <c r="CD265" s="9">
        <f t="shared" si="835"/>
        <v>0.05</v>
      </c>
      <c r="CE265" s="9">
        <f t="shared" si="836"/>
        <v>0.8</v>
      </c>
      <c r="CF265" s="9">
        <f t="shared" si="837"/>
        <v>0.99524931562137331</v>
      </c>
      <c r="CG265" s="9">
        <f t="shared" si="838"/>
        <v>0.68</v>
      </c>
      <c r="CH265" s="9">
        <f t="shared" si="695"/>
        <v>1.5501390028928617</v>
      </c>
      <c r="CI265" s="9">
        <f t="shared" si="696"/>
        <v>3.8753475072321542</v>
      </c>
      <c r="CJ265" s="40">
        <v>1</v>
      </c>
      <c r="CK265" s="9">
        <f t="shared" si="697"/>
        <v>375.90870820151895</v>
      </c>
      <c r="CM265" s="4">
        <f t="shared" si="839"/>
        <v>2.3464502423270477</v>
      </c>
      <c r="CN265" s="4">
        <f t="shared" si="840"/>
        <v>0.99688435001099218</v>
      </c>
      <c r="CO265" s="4">
        <f t="shared" si="814"/>
        <v>1.3187310543950901</v>
      </c>
      <c r="CP265" s="4">
        <f t="shared" si="841"/>
        <v>1.9887440503128282</v>
      </c>
      <c r="CQ265" s="4">
        <f t="shared" si="800"/>
        <v>1.0612133921380551</v>
      </c>
      <c r="CR265" s="4">
        <f t="shared" si="801"/>
        <v>1.1378780950693508</v>
      </c>
      <c r="CS265" s="4">
        <f t="shared" si="815"/>
        <v>1.3940506960947452</v>
      </c>
      <c r="CT265" s="4">
        <f t="shared" si="862"/>
        <v>8</v>
      </c>
      <c r="DA265" s="4">
        <f t="shared" si="886"/>
        <v>2.3464502423270477</v>
      </c>
      <c r="DB265" s="4">
        <f t="shared" si="886"/>
        <v>0.99688435001099218</v>
      </c>
      <c r="DC265" s="4">
        <f t="shared" si="887"/>
        <v>1.9887440503128282</v>
      </c>
      <c r="DD265" s="4">
        <f t="shared" si="888"/>
        <v>1.3940506960947452</v>
      </c>
      <c r="DE265" s="4">
        <f t="shared" si="889"/>
        <v>1.0612133921380551</v>
      </c>
      <c r="DF265" s="4">
        <f t="shared" si="889"/>
        <v>1.1378780950693508</v>
      </c>
      <c r="DI265" s="4">
        <f t="shared" si="846"/>
        <v>234.95</v>
      </c>
      <c r="DL265" s="4">
        <f t="shared" si="756"/>
        <v>1.8022614595125072E-5</v>
      </c>
      <c r="DM265" s="4">
        <f t="shared" si="757"/>
        <v>10.040473869357923</v>
      </c>
      <c r="DN265" s="4">
        <f t="shared" si="758"/>
        <v>0.49355270134623253</v>
      </c>
      <c r="DO265" s="4">
        <f t="shared" si="759"/>
        <v>7.5698560949832281</v>
      </c>
      <c r="DP265" s="4">
        <f t="shared" si="760"/>
        <v>8.8915625174409794</v>
      </c>
      <c r="DQ265" s="4">
        <f t="shared" si="761"/>
        <v>9.400679013749011</v>
      </c>
      <c r="DR265" s="38">
        <f t="shared" si="791"/>
        <v>704.4636002853016</v>
      </c>
      <c r="DS265" s="4">
        <f t="shared" si="762"/>
        <v>1.0001190436330836</v>
      </c>
      <c r="DT265" s="4">
        <f t="shared" si="763"/>
        <v>2.2360679774997898</v>
      </c>
      <c r="DU265" s="4">
        <f t="shared" si="764"/>
        <v>382.58816117679044</v>
      </c>
      <c r="DY265" s="4">
        <f t="shared" si="765"/>
        <v>0.85</v>
      </c>
      <c r="DZ265" s="4">
        <f t="shared" si="766"/>
        <v>0.755</v>
      </c>
      <c r="EA265" s="4">
        <f t="shared" si="792"/>
        <v>0.92500000000000004</v>
      </c>
      <c r="EB265" s="4">
        <f t="shared" si="767"/>
        <v>0.7</v>
      </c>
      <c r="ED265" s="4">
        <f t="shared" si="793"/>
        <v>657.00026227413082</v>
      </c>
      <c r="EE265" s="25">
        <f t="shared" si="794"/>
        <v>378.37711239944844</v>
      </c>
      <c r="EG265" s="4">
        <f t="shared" si="683"/>
        <v>0.59499999999999997</v>
      </c>
      <c r="EH265" s="4">
        <f t="shared" si="795"/>
        <v>10.040473869357923</v>
      </c>
      <c r="EK265" s="4">
        <f t="shared" si="768"/>
        <v>56.796126628494655</v>
      </c>
      <c r="EL265" s="4">
        <f t="shared" si="769"/>
        <v>2.2360679774997898</v>
      </c>
      <c r="EM265" s="4">
        <f t="shared" si="770"/>
        <v>0.17661622488619055</v>
      </c>
      <c r="EP265" s="4">
        <f t="shared" si="863"/>
        <v>0.17661622488619055</v>
      </c>
      <c r="EQ265" s="4">
        <f t="shared" si="698"/>
        <v>0.49272905387340471</v>
      </c>
      <c r="ER265" s="4">
        <f t="shared" si="772"/>
        <v>7.5648004913415097</v>
      </c>
      <c r="ES265" s="4">
        <f t="shared" si="847"/>
        <v>8.8894123808466254</v>
      </c>
      <c r="ET265" s="4">
        <f t="shared" si="774"/>
        <v>119.41637337150533</v>
      </c>
      <c r="EU265" s="4">
        <f t="shared" si="775"/>
        <v>58.737500000000011</v>
      </c>
      <c r="EV265" s="4">
        <f t="shared" si="699"/>
        <v>1.8022614595125075E-5</v>
      </c>
      <c r="EW265" s="4">
        <f t="shared" si="848"/>
        <v>9.4008737870976802</v>
      </c>
      <c r="EX265" s="4">
        <f t="shared" si="707"/>
        <v>704.37974836098624</v>
      </c>
      <c r="FG265" s="23">
        <f t="shared" si="878"/>
        <v>2.2000000000000002</v>
      </c>
      <c r="FH265" s="23">
        <f t="shared" si="878"/>
        <v>1</v>
      </c>
      <c r="FI265" s="23">
        <f t="shared" si="818"/>
        <v>1.4</v>
      </c>
      <c r="FJ265" s="23">
        <f t="shared" si="879"/>
        <v>2</v>
      </c>
      <c r="FK265" s="23">
        <f t="shared" si="879"/>
        <v>1.2</v>
      </c>
      <c r="FL265" s="23">
        <f t="shared" si="879"/>
        <v>1.2</v>
      </c>
      <c r="FM265" s="23">
        <f t="shared" si="807"/>
        <v>0</v>
      </c>
      <c r="FN265" s="23"/>
      <c r="FX265" s="4">
        <f t="shared" si="676"/>
        <v>1</v>
      </c>
      <c r="FY265" s="4">
        <f t="shared" si="716"/>
        <v>0.44</v>
      </c>
      <c r="FZ265" s="4">
        <f t="shared" si="677"/>
        <v>0.3</v>
      </c>
      <c r="GA265" s="4">
        <f t="shared" si="678"/>
        <v>536.269024498764</v>
      </c>
    </row>
    <row r="266" spans="1:183" ht="12" customHeight="1" x14ac:dyDescent="0.3">
      <c r="A266" s="25">
        <v>248</v>
      </c>
      <c r="B266" s="4" t="s">
        <v>605</v>
      </c>
      <c r="C266" s="4">
        <v>2016</v>
      </c>
      <c r="D266" s="4" t="s">
        <v>309</v>
      </c>
      <c r="E266" s="24" t="s">
        <v>406</v>
      </c>
      <c r="F266" s="7" t="s">
        <v>401</v>
      </c>
      <c r="G266" s="38">
        <f>129/0.145</f>
        <v>889.65517241379314</v>
      </c>
      <c r="H266" s="38">
        <f>10.5*25.4</f>
        <v>266.7</v>
      </c>
      <c r="I266" s="4">
        <f t="shared" si="850"/>
        <v>266.7</v>
      </c>
      <c r="J266" s="38">
        <f>8450/145</f>
        <v>58.275862068965516</v>
      </c>
      <c r="K266" s="38">
        <f t="shared" si="851"/>
        <v>25.4</v>
      </c>
      <c r="L266" s="7">
        <f t="shared" si="852"/>
        <v>10.5</v>
      </c>
      <c r="M266" s="7">
        <f t="shared" si="853"/>
        <v>10.5</v>
      </c>
      <c r="N266" s="38">
        <f>16.8*25.4</f>
        <v>426.71999999999997</v>
      </c>
      <c r="O266" s="38">
        <f>2.45*25.4</f>
        <v>62.230000000000004</v>
      </c>
      <c r="P266" s="39">
        <f>3.25*25.4</f>
        <v>82.55</v>
      </c>
      <c r="Q266" s="7">
        <f t="shared" si="854"/>
        <v>251.45999999999995</v>
      </c>
      <c r="R266" s="38">
        <v>2</v>
      </c>
      <c r="S266" s="4">
        <f t="shared" si="826"/>
        <v>260.34999999999997</v>
      </c>
      <c r="T266" s="7">
        <f t="shared" si="855"/>
        <v>2.95</v>
      </c>
      <c r="U266" s="7">
        <f t="shared" si="702"/>
        <v>2.95</v>
      </c>
      <c r="V266" s="38">
        <v>4.0999999999999996</v>
      </c>
      <c r="W266" s="4">
        <f t="shared" si="856"/>
        <v>4.0999999999999996</v>
      </c>
      <c r="X266" s="4">
        <f t="shared" si="857"/>
        <v>5.0999999999999996</v>
      </c>
      <c r="Y266" s="7">
        <f t="shared" si="858"/>
        <v>57.361276136431961</v>
      </c>
      <c r="AB266" s="38">
        <f t="shared" si="885"/>
        <v>673.10344827586209</v>
      </c>
      <c r="AC266" s="4">
        <v>97.6</v>
      </c>
      <c r="AD266" s="4">
        <f t="shared" si="740"/>
        <v>0.89800579941581282</v>
      </c>
      <c r="AE266" s="38">
        <v>0</v>
      </c>
      <c r="AF266" s="38">
        <v>0</v>
      </c>
      <c r="AG266" s="39">
        <f>I266</f>
        <v>266.7</v>
      </c>
      <c r="AH266" s="39"/>
      <c r="AI266" s="39"/>
      <c r="AJ266" s="7"/>
      <c r="AK266" s="4">
        <f t="shared" si="859"/>
        <v>266.7</v>
      </c>
      <c r="AL266" s="4">
        <f t="shared" si="779"/>
        <v>0.53333333333333321</v>
      </c>
      <c r="AM266" s="4">
        <f t="shared" si="780"/>
        <v>328.0889220335178</v>
      </c>
      <c r="AN266" s="4">
        <f t="shared" si="781"/>
        <v>0.75619047619047619</v>
      </c>
      <c r="AO266" s="4">
        <v>1.25</v>
      </c>
      <c r="AP266" s="4">
        <f t="shared" si="688"/>
        <v>2.5</v>
      </c>
      <c r="AQ266" s="38">
        <f t="shared" si="827"/>
        <v>413.49619697557625</v>
      </c>
      <c r="AR266" s="38">
        <f t="shared" si="783"/>
        <v>413.49619697557625</v>
      </c>
      <c r="AS266" s="38">
        <f t="shared" si="784"/>
        <v>4.3073554520828159</v>
      </c>
      <c r="AT266" s="38">
        <f t="shared" si="691"/>
        <v>413.49619697557631</v>
      </c>
      <c r="AU266" s="38">
        <f t="shared" si="674"/>
        <v>0.99999999999999989</v>
      </c>
      <c r="AV266" s="38">
        <f t="shared" si="692"/>
        <v>1.6836861023789744</v>
      </c>
      <c r="AW266" s="4">
        <f t="shared" si="693"/>
        <v>0</v>
      </c>
      <c r="AX266" s="4">
        <f t="shared" si="860"/>
        <v>421.87136823030016</v>
      </c>
      <c r="AY266" s="4">
        <f t="shared" si="828"/>
        <v>1</v>
      </c>
      <c r="AZ266" s="38">
        <f t="shared" si="701"/>
        <v>696.1978002343368</v>
      </c>
      <c r="BA266" s="4">
        <f t="shared" si="829"/>
        <v>0.42600000000000005</v>
      </c>
      <c r="BB266" s="4">
        <f t="shared" si="830"/>
        <v>93.902238497541347</v>
      </c>
      <c r="BC266" s="4">
        <f t="shared" si="831"/>
        <v>790.10003873187816</v>
      </c>
      <c r="BE266" s="4">
        <f t="shared" si="689"/>
        <v>1.3625</v>
      </c>
      <c r="BF266" s="4">
        <f t="shared" si="690"/>
        <v>639.66999549648244</v>
      </c>
      <c r="BH266" s="4">
        <f t="shared" si="704"/>
        <v>667.73882986782667</v>
      </c>
      <c r="BI266" s="4">
        <f t="shared" si="880"/>
        <v>0</v>
      </c>
      <c r="BJ266" s="4">
        <f t="shared" si="706"/>
        <v>0</v>
      </c>
      <c r="BK266" s="4">
        <f t="shared" si="785"/>
        <v>62.230000000000004</v>
      </c>
      <c r="BL266" s="4">
        <f t="shared" si="786"/>
        <v>62.230000000000004</v>
      </c>
      <c r="BM266" s="4">
        <f t="shared" si="787"/>
        <v>260.34999999999997</v>
      </c>
      <c r="BN266" s="4">
        <f t="shared" si="788"/>
        <v>74.930000000000007</v>
      </c>
      <c r="BO266" s="4">
        <f t="shared" si="789"/>
        <v>1.25</v>
      </c>
      <c r="BP266" s="25">
        <f t="shared" si="790"/>
        <v>3.6875000000000004</v>
      </c>
      <c r="BR266" s="4">
        <f t="shared" si="832"/>
        <v>62.230000000000004</v>
      </c>
      <c r="BV266" s="9"/>
      <c r="BX266" s="9"/>
      <c r="BY266" s="9"/>
      <c r="BZ266" s="9">
        <f t="shared" si="833"/>
        <v>62.230000000000004</v>
      </c>
      <c r="CA266" s="9">
        <f t="shared" si="834"/>
        <v>125.72999999999998</v>
      </c>
      <c r="CB266" s="9">
        <f t="shared" si="694"/>
        <v>1.7393977716706714</v>
      </c>
      <c r="CC266" s="40">
        <f t="shared" si="861"/>
        <v>20</v>
      </c>
      <c r="CD266" s="9">
        <f t="shared" si="835"/>
        <v>0</v>
      </c>
      <c r="CE266" s="9">
        <f t="shared" si="836"/>
        <v>0</v>
      </c>
      <c r="CF266" s="9">
        <f t="shared" si="837"/>
        <v>0.99524931562137331</v>
      </c>
      <c r="CG266" s="9">
        <f t="shared" si="838"/>
        <v>0.68</v>
      </c>
      <c r="CH266" s="9">
        <f t="shared" si="695"/>
        <v>1.8082280338026815</v>
      </c>
      <c r="CI266" s="9">
        <f t="shared" si="696"/>
        <v>3.1452278126688236</v>
      </c>
      <c r="CJ266" s="40">
        <v>1</v>
      </c>
      <c r="CK266" s="9">
        <f t="shared" si="697"/>
        <v>320.81323689222</v>
      </c>
      <c r="CM266" s="4">
        <f t="shared" si="839"/>
        <v>1.5955182052279357</v>
      </c>
      <c r="CN266" s="4">
        <f t="shared" si="840"/>
        <v>0.85192180139138174</v>
      </c>
      <c r="CO266" s="4">
        <f t="shared" si="814"/>
        <v>1.0522667203632556</v>
      </c>
      <c r="CP266" s="4">
        <f t="shared" si="841"/>
        <v>2.0981161961904866</v>
      </c>
      <c r="CQ266" s="4">
        <f t="shared" si="800"/>
        <v>0.89800579941581282</v>
      </c>
      <c r="CR266" s="4">
        <f t="shared" si="801"/>
        <v>0.94606036381909953</v>
      </c>
      <c r="CS266" s="4">
        <f t="shared" si="815"/>
        <v>1.4542450707802723</v>
      </c>
      <c r="CT266" s="4">
        <f t="shared" si="862"/>
        <v>0</v>
      </c>
      <c r="CU266" s="4">
        <f t="shared" ref="CU266:CV266" si="891">CM266</f>
        <v>1.5955182052279357</v>
      </c>
      <c r="CV266" s="4">
        <f t="shared" si="891"/>
        <v>0.85192180139138174</v>
      </c>
      <c r="CW266" s="4">
        <f t="shared" ref="CW266" si="892">CP266</f>
        <v>2.0981161961904866</v>
      </c>
      <c r="CX266" s="4">
        <f t="shared" ref="CX266" si="893">CS266</f>
        <v>1.4542450707802723</v>
      </c>
      <c r="CY266" s="4">
        <f t="shared" ref="CY266:CZ266" si="894">CQ266</f>
        <v>0.89800579941581282</v>
      </c>
      <c r="CZ266" s="4">
        <f t="shared" si="894"/>
        <v>0.94606036381909953</v>
      </c>
      <c r="DI266" s="4">
        <f t="shared" si="846"/>
        <v>266.7</v>
      </c>
      <c r="DL266" s="4">
        <f t="shared" si="756"/>
        <v>2.255634789357827E-5</v>
      </c>
      <c r="DM266" s="4">
        <f t="shared" si="757"/>
        <v>9.5888978004068353</v>
      </c>
      <c r="DN266" s="4">
        <f t="shared" si="758"/>
        <v>0.38626435926056812</v>
      </c>
      <c r="DO266" s="4">
        <f t="shared" si="759"/>
        <v>6.5542430902842153</v>
      </c>
      <c r="DP266" s="4">
        <f t="shared" si="760"/>
        <v>8.2134331184835929</v>
      </c>
      <c r="DQ266" s="4">
        <f t="shared" si="761"/>
        <v>8.7925846918253416</v>
      </c>
      <c r="DR266" s="38">
        <f t="shared" si="791"/>
        <v>749.5535649254623</v>
      </c>
      <c r="DS266" s="4">
        <f t="shared" si="762"/>
        <v>1.0001020253405035</v>
      </c>
      <c r="DT266" s="4">
        <f t="shared" si="763"/>
        <v>2.2583179581272428</v>
      </c>
      <c r="DU266" s="4">
        <f t="shared" si="764"/>
        <v>413.49619697557631</v>
      </c>
      <c r="DY266" s="4">
        <f t="shared" si="765"/>
        <v>0.85</v>
      </c>
      <c r="DZ266" s="4">
        <f t="shared" si="766"/>
        <v>0.85499999999999998</v>
      </c>
      <c r="EA266" s="4">
        <f t="shared" si="792"/>
        <v>1</v>
      </c>
      <c r="EB266" s="4">
        <f t="shared" si="767"/>
        <v>0.85499999999999998</v>
      </c>
      <c r="ED266" s="4">
        <f t="shared" si="793"/>
        <v>711.48044460783399</v>
      </c>
      <c r="EE266" s="25">
        <f t="shared" si="794"/>
        <v>409.43016389501861</v>
      </c>
      <c r="EG266" s="4">
        <f t="shared" si="683"/>
        <v>0.72675000000000001</v>
      </c>
      <c r="EH266" s="4">
        <f t="shared" si="795"/>
        <v>9.5888978004068353</v>
      </c>
      <c r="EK266" s="4">
        <f t="shared" si="768"/>
        <v>57.361276136431961</v>
      </c>
      <c r="EL266" s="4">
        <f t="shared" si="769"/>
        <v>2.2583179581272428</v>
      </c>
      <c r="EM266" s="4">
        <f t="shared" si="770"/>
        <v>0.16123683190916255</v>
      </c>
      <c r="EP266" s="4">
        <f t="shared" si="863"/>
        <v>0.16123683190916255</v>
      </c>
      <c r="EQ266" s="4">
        <f t="shared" si="698"/>
        <v>0.38561975603485255</v>
      </c>
      <c r="ER266" s="4">
        <f t="shared" si="772"/>
        <v>6.5498657738834565</v>
      </c>
      <c r="ES266" s="4">
        <f t="shared" si="847"/>
        <v>8.21169001258904</v>
      </c>
      <c r="ET266" s="4">
        <f t="shared" si="774"/>
        <v>142.66372386356801</v>
      </c>
      <c r="EU266" s="4">
        <f t="shared" si="775"/>
        <v>66.675000000000011</v>
      </c>
      <c r="EV266" s="4">
        <f t="shared" si="699"/>
        <v>2.2556347893578273E-5</v>
      </c>
      <c r="EW266" s="4">
        <f t="shared" si="848"/>
        <v>8.7927978079198628</v>
      </c>
      <c r="EX266" s="4">
        <f t="shared" si="707"/>
        <v>749.47709926920982</v>
      </c>
      <c r="FG266" s="23">
        <f t="shared" si="878"/>
        <v>1.6</v>
      </c>
      <c r="FH266" s="23">
        <f t="shared" si="878"/>
        <v>1</v>
      </c>
      <c r="FI266" s="23">
        <f t="shared" si="818"/>
        <v>1.6</v>
      </c>
      <c r="FJ266" s="23">
        <f t="shared" si="879"/>
        <v>2.2000000000000002</v>
      </c>
      <c r="FK266" s="23">
        <f t="shared" si="879"/>
        <v>1</v>
      </c>
      <c r="FL266" s="23">
        <f t="shared" si="879"/>
        <v>1</v>
      </c>
      <c r="FM266" s="23">
        <f t="shared" si="807"/>
        <v>0</v>
      </c>
      <c r="FN266" s="23"/>
      <c r="FX266" s="4">
        <f t="shared" si="676"/>
        <v>1.25</v>
      </c>
      <c r="FY266" s="4">
        <f t="shared" si="716"/>
        <v>0.5</v>
      </c>
      <c r="FZ266" s="4">
        <f t="shared" si="677"/>
        <v>0</v>
      </c>
      <c r="GA266" s="4">
        <f t="shared" si="678"/>
        <v>462.8542064885321</v>
      </c>
    </row>
    <row r="267" spans="1:183" ht="12" customHeight="1" x14ac:dyDescent="0.3">
      <c r="A267" s="25">
        <v>249</v>
      </c>
      <c r="B267" s="4" t="s">
        <v>605</v>
      </c>
      <c r="C267" s="4">
        <v>2016</v>
      </c>
      <c r="D267" s="4" t="s">
        <v>309</v>
      </c>
      <c r="E267" s="24" t="s">
        <v>406</v>
      </c>
      <c r="F267" s="7" t="s">
        <v>402</v>
      </c>
      <c r="G267" s="38">
        <f>129/0.145</f>
        <v>889.65517241379314</v>
      </c>
      <c r="H267" s="38">
        <f>9.88*25.4</f>
        <v>250.952</v>
      </c>
      <c r="I267" s="4">
        <f t="shared" si="850"/>
        <v>250.952</v>
      </c>
      <c r="J267" s="38">
        <f>8450/145</f>
        <v>58.275862068965516</v>
      </c>
      <c r="K267" s="38">
        <f t="shared" si="851"/>
        <v>25.4</v>
      </c>
      <c r="L267" s="7">
        <f t="shared" si="852"/>
        <v>9.8800000000000008</v>
      </c>
      <c r="M267" s="7">
        <f t="shared" si="853"/>
        <v>9.8800000000000008</v>
      </c>
      <c r="N267" s="38">
        <f>17*25.4</f>
        <v>431.79999999999995</v>
      </c>
      <c r="O267" s="38">
        <f>2.45*25.4</f>
        <v>62.230000000000004</v>
      </c>
      <c r="P267" s="39">
        <f>3.2*25.4</f>
        <v>81.28</v>
      </c>
      <c r="Q267" s="7">
        <f t="shared" si="854"/>
        <v>256.53999999999996</v>
      </c>
      <c r="R267" s="38">
        <v>2</v>
      </c>
      <c r="S267" s="4">
        <f t="shared" si="826"/>
        <v>260.34999999999997</v>
      </c>
      <c r="T267" s="7">
        <f t="shared" si="855"/>
        <v>2.95</v>
      </c>
      <c r="U267" s="7">
        <f t="shared" si="702"/>
        <v>2.95</v>
      </c>
      <c r="V267" s="38">
        <v>4.0999999999999996</v>
      </c>
      <c r="W267" s="4">
        <f t="shared" si="856"/>
        <v>4.0999999999999996</v>
      </c>
      <c r="X267" s="4">
        <f t="shared" si="857"/>
        <v>5.0999999999999996</v>
      </c>
      <c r="Y267" s="7">
        <f t="shared" si="858"/>
        <v>57.361276136431961</v>
      </c>
      <c r="AB267" s="38">
        <f t="shared" si="885"/>
        <v>640.68965517241384</v>
      </c>
      <c r="AC267" s="4">
        <v>92.9</v>
      </c>
      <c r="AD267" s="4">
        <f t="shared" si="740"/>
        <v>0.88210240843168164</v>
      </c>
      <c r="AE267" s="38">
        <f>0.375*25.4</f>
        <v>9.5249999999999986</v>
      </c>
      <c r="AF267" s="38">
        <v>4</v>
      </c>
      <c r="AG267" s="39">
        <f>5*25.4</f>
        <v>127</v>
      </c>
      <c r="AH267" s="39">
        <v>2</v>
      </c>
      <c r="AI267" s="39">
        <v>1</v>
      </c>
      <c r="AJ267" s="7"/>
      <c r="AK267" s="4">
        <f t="shared" si="859"/>
        <v>250.952</v>
      </c>
      <c r="AL267" s="4">
        <f t="shared" si="779"/>
        <v>0.57354925775978405</v>
      </c>
      <c r="AM267" s="4">
        <f t="shared" si="780"/>
        <v>299.46290614995218</v>
      </c>
      <c r="AN267" s="4">
        <f t="shared" si="781"/>
        <v>0.75971659919028334</v>
      </c>
      <c r="AO267" s="4">
        <v>1.25</v>
      </c>
      <c r="AP267" s="4">
        <f t="shared" si="688"/>
        <v>2.5</v>
      </c>
      <c r="AQ267" s="38">
        <f t="shared" si="827"/>
        <v>407.77011544217817</v>
      </c>
      <c r="AR267" s="38">
        <f t="shared" si="783"/>
        <v>407.77011544217817</v>
      </c>
      <c r="AS267" s="38">
        <f t="shared" si="784"/>
        <v>4.3073554520828159</v>
      </c>
      <c r="AT267" s="38">
        <f t="shared" si="691"/>
        <v>407.77011544217788</v>
      </c>
      <c r="AU267" s="38">
        <f t="shared" si="674"/>
        <v>1.0000000000000007</v>
      </c>
      <c r="AV267" s="38">
        <f t="shared" si="692"/>
        <v>1.7073291393102548</v>
      </c>
      <c r="AW267" s="4">
        <f t="shared" si="693"/>
        <v>0</v>
      </c>
      <c r="AX267" s="4">
        <f t="shared" si="860"/>
        <v>396.96086839193953</v>
      </c>
      <c r="AY267" s="4">
        <f t="shared" si="828"/>
        <v>1</v>
      </c>
      <c r="AZ267" s="38">
        <f t="shared" si="701"/>
        <v>696.1978002343368</v>
      </c>
      <c r="BA267" s="4">
        <f t="shared" si="829"/>
        <v>0.42600000000000005</v>
      </c>
      <c r="BB267" s="4">
        <f t="shared" si="830"/>
        <v>88.357534891019867</v>
      </c>
      <c r="BC267" s="4">
        <f t="shared" si="831"/>
        <v>784.55533512535669</v>
      </c>
      <c r="BE267" s="4">
        <f t="shared" si="689"/>
        <v>1.5</v>
      </c>
      <c r="BF267" s="4">
        <f t="shared" si="690"/>
        <v>682.92537089120992</v>
      </c>
      <c r="BH267" s="4">
        <f t="shared" si="704"/>
        <v>667.73882986782667</v>
      </c>
      <c r="BI267" s="4">
        <f t="shared" si="880"/>
        <v>0</v>
      </c>
      <c r="BJ267" s="4">
        <f t="shared" si="706"/>
        <v>0</v>
      </c>
      <c r="BK267" s="4">
        <f t="shared" si="785"/>
        <v>62.230000000000004</v>
      </c>
      <c r="BL267" s="4">
        <f t="shared" si="786"/>
        <v>62.230000000000004</v>
      </c>
      <c r="BM267" s="4">
        <f t="shared" si="787"/>
        <v>260.34999999999997</v>
      </c>
      <c r="BN267" s="4">
        <f t="shared" si="788"/>
        <v>74.930000000000007</v>
      </c>
      <c r="BO267" s="4">
        <f t="shared" si="789"/>
        <v>1.25</v>
      </c>
      <c r="BP267" s="25">
        <f t="shared" si="790"/>
        <v>4</v>
      </c>
      <c r="BR267" s="4">
        <f t="shared" si="832"/>
        <v>62.230000000000004</v>
      </c>
      <c r="BV267" s="9"/>
      <c r="BX267" s="9"/>
      <c r="BY267" s="9"/>
      <c r="BZ267" s="9">
        <f t="shared" si="833"/>
        <v>62.230000000000004</v>
      </c>
      <c r="CA267" s="9">
        <f t="shared" si="834"/>
        <v>128.26999999999998</v>
      </c>
      <c r="CB267" s="9">
        <f t="shared" si="694"/>
        <v>1.7446239745816772</v>
      </c>
      <c r="CC267" s="40">
        <f t="shared" si="861"/>
        <v>20</v>
      </c>
      <c r="CD267" s="9">
        <f t="shared" si="835"/>
        <v>0.05</v>
      </c>
      <c r="CE267" s="9">
        <f t="shared" si="836"/>
        <v>0.8</v>
      </c>
      <c r="CF267" s="9">
        <f t="shared" si="837"/>
        <v>0.99524931562137331</v>
      </c>
      <c r="CG267" s="9">
        <f t="shared" si="838"/>
        <v>0.68</v>
      </c>
      <c r="CH267" s="9">
        <f t="shared" si="695"/>
        <v>1.8082280338026815</v>
      </c>
      <c r="CI267" s="9">
        <f t="shared" si="696"/>
        <v>4.5205700845067041</v>
      </c>
      <c r="CJ267" s="40">
        <v>1</v>
      </c>
      <c r="CK267" s="9">
        <f t="shared" si="697"/>
        <v>449.88713481010723</v>
      </c>
      <c r="CM267" s="4">
        <f t="shared" si="839"/>
        <v>1.6139869347016558</v>
      </c>
      <c r="CN267" s="4">
        <f t="shared" si="840"/>
        <v>0.81662774630172397</v>
      </c>
      <c r="CO267" s="4">
        <f t="shared" si="814"/>
        <v>0.93815471277091533</v>
      </c>
      <c r="CP267" s="4">
        <f t="shared" si="841"/>
        <v>1.4241119729792726</v>
      </c>
      <c r="CQ267" s="4">
        <f t="shared" si="800"/>
        <v>0.88210240843168164</v>
      </c>
      <c r="CR267" s="4">
        <f t="shared" si="801"/>
        <v>0.9280417512964777</v>
      </c>
      <c r="CS267" s="4">
        <f t="shared" si="815"/>
        <v>1.3171284334108457</v>
      </c>
      <c r="CT267" s="4">
        <f t="shared" si="862"/>
        <v>4</v>
      </c>
      <c r="DA267" s="4">
        <f t="shared" ref="DA267:DB267" si="895">CM267</f>
        <v>1.6139869347016558</v>
      </c>
      <c r="DB267" s="4">
        <f t="shared" si="895"/>
        <v>0.81662774630172397</v>
      </c>
      <c r="DC267" s="4">
        <f t="shared" ref="DC267" si="896">CP267</f>
        <v>1.4241119729792726</v>
      </c>
      <c r="DD267" s="4">
        <f t="shared" ref="DD267" si="897">CS267</f>
        <v>1.3171284334108457</v>
      </c>
      <c r="DE267" s="4">
        <f t="shared" ref="DE267:DF267" si="898">CQ267</f>
        <v>0.88210240843168164</v>
      </c>
      <c r="DF267" s="4">
        <f t="shared" si="898"/>
        <v>0.9280417512964777</v>
      </c>
      <c r="DI267" s="4">
        <f t="shared" si="846"/>
        <v>250.952</v>
      </c>
      <c r="DL267" s="4">
        <f t="shared" si="756"/>
        <v>2.1224449256052693E-5</v>
      </c>
      <c r="DM267" s="4">
        <f t="shared" si="757"/>
        <v>9.6796444672876554</v>
      </c>
      <c r="DN267" s="4">
        <f t="shared" si="758"/>
        <v>0.38091538330686042</v>
      </c>
      <c r="DO267" s="4">
        <f t="shared" si="759"/>
        <v>6.5794684815608173</v>
      </c>
      <c r="DP267" s="4">
        <f t="shared" si="760"/>
        <v>8.276532705653139</v>
      </c>
      <c r="DQ267" s="4">
        <f t="shared" si="761"/>
        <v>8.9640353926650587</v>
      </c>
      <c r="DR267" s="38">
        <f t="shared" si="791"/>
        <v>726.32117206381588</v>
      </c>
      <c r="DS267" s="4">
        <f t="shared" si="762"/>
        <v>1.0001014628399951</v>
      </c>
      <c r="DT267" s="4">
        <f t="shared" si="763"/>
        <v>2.2583179581272428</v>
      </c>
      <c r="DU267" s="4">
        <f t="shared" si="764"/>
        <v>407.77011544217788</v>
      </c>
      <c r="DY267" s="4">
        <f t="shared" si="765"/>
        <v>0.85</v>
      </c>
      <c r="DZ267" s="4">
        <f t="shared" si="766"/>
        <v>0.85499999999999998</v>
      </c>
      <c r="EA267" s="4">
        <f t="shared" si="792"/>
        <v>0.99062499999999998</v>
      </c>
      <c r="EB267" s="4">
        <f t="shared" si="767"/>
        <v>0.84698437500000001</v>
      </c>
      <c r="ED267" s="4">
        <f t="shared" si="793"/>
        <v>690.36727526252787</v>
      </c>
      <c r="EE267" s="25">
        <f t="shared" si="794"/>
        <v>403.46261325212174</v>
      </c>
      <c r="EG267" s="4">
        <f t="shared" si="683"/>
        <v>0.71993671874999998</v>
      </c>
      <c r="EH267" s="4">
        <f t="shared" si="795"/>
        <v>9.6796444672876554</v>
      </c>
      <c r="EK267" s="4">
        <f t="shared" si="768"/>
        <v>57.361276136431961</v>
      </c>
      <c r="EL267" s="4">
        <f t="shared" si="769"/>
        <v>2.2583179581272428</v>
      </c>
      <c r="EM267" s="4">
        <f t="shared" si="770"/>
        <v>0.15900402964289828</v>
      </c>
      <c r="EP267" s="4">
        <f t="shared" si="863"/>
        <v>0.15900402964289828</v>
      </c>
      <c r="EQ267" s="4">
        <f t="shared" si="698"/>
        <v>0.38027970652509807</v>
      </c>
      <c r="ER267" s="4">
        <f t="shared" si="772"/>
        <v>6.5750743181317404</v>
      </c>
      <c r="ES267" s="4">
        <f t="shared" si="847"/>
        <v>8.274789692335105</v>
      </c>
      <c r="ET267" s="4">
        <f t="shared" si="774"/>
        <v>130.85272386356803</v>
      </c>
      <c r="EU267" s="4">
        <f t="shared" si="775"/>
        <v>62.738</v>
      </c>
      <c r="EV267" s="4">
        <f t="shared" si="699"/>
        <v>2.1224449256052693E-5</v>
      </c>
      <c r="EW267" s="4">
        <f t="shared" si="848"/>
        <v>8.9642301641233377</v>
      </c>
      <c r="EX267" s="4">
        <f t="shared" si="707"/>
        <v>726.24748493145535</v>
      </c>
      <c r="FG267" s="23">
        <f t="shared" si="878"/>
        <v>1.8</v>
      </c>
      <c r="FH267" s="23">
        <f t="shared" si="878"/>
        <v>1</v>
      </c>
      <c r="FI267" s="23">
        <f t="shared" si="818"/>
        <v>1.4</v>
      </c>
      <c r="FJ267" s="23">
        <f t="shared" si="879"/>
        <v>1.6</v>
      </c>
      <c r="FK267" s="23">
        <f t="shared" si="879"/>
        <v>1</v>
      </c>
      <c r="FL267" s="23">
        <f t="shared" si="879"/>
        <v>1</v>
      </c>
      <c r="FM267" s="23">
        <f t="shared" si="807"/>
        <v>0</v>
      </c>
      <c r="FN267" s="23"/>
      <c r="FX267" s="4">
        <f t="shared" si="676"/>
        <v>1.25</v>
      </c>
      <c r="FY267" s="4">
        <f t="shared" si="716"/>
        <v>0.44767441860465118</v>
      </c>
      <c r="FZ267" s="4">
        <f t="shared" si="677"/>
        <v>0.28124999999999994</v>
      </c>
      <c r="GA267" s="4">
        <f t="shared" si="678"/>
        <v>486.42914306638954</v>
      </c>
    </row>
    <row r="268" spans="1:183" ht="12" customHeight="1" x14ac:dyDescent="0.3">
      <c r="A268" s="25">
        <v>250</v>
      </c>
      <c r="B268" s="4" t="s">
        <v>605</v>
      </c>
      <c r="C268" s="4">
        <v>2016</v>
      </c>
      <c r="D268" s="4" t="s">
        <v>309</v>
      </c>
      <c r="E268" s="24" t="s">
        <v>664</v>
      </c>
      <c r="F268" s="7" t="s">
        <v>403</v>
      </c>
      <c r="G268" s="38">
        <f>129/0.145</f>
        <v>889.65517241379314</v>
      </c>
      <c r="H268" s="38">
        <f>10.58*25.4</f>
        <v>268.73199999999997</v>
      </c>
      <c r="I268" s="4">
        <f t="shared" si="850"/>
        <v>268.73199999999997</v>
      </c>
      <c r="J268" s="38">
        <f>8450/145</f>
        <v>58.275862068965516</v>
      </c>
      <c r="K268" s="38">
        <f t="shared" si="851"/>
        <v>25.4</v>
      </c>
      <c r="L268" s="7">
        <f t="shared" si="852"/>
        <v>10.58</v>
      </c>
      <c r="M268" s="7">
        <f t="shared" si="853"/>
        <v>10.58</v>
      </c>
      <c r="N268" s="38">
        <f>11.9*25.4</f>
        <v>302.26</v>
      </c>
      <c r="O268" s="38">
        <f>2.45*25.4</f>
        <v>62.230000000000004</v>
      </c>
      <c r="P268" s="39">
        <f>3*25.4</f>
        <v>76.199999999999989</v>
      </c>
      <c r="Q268" s="7">
        <f t="shared" si="854"/>
        <v>50.8</v>
      </c>
      <c r="R268" s="38">
        <v>3</v>
      </c>
      <c r="S268" s="4">
        <f t="shared" si="826"/>
        <v>260.34999999999997</v>
      </c>
      <c r="T268" s="7">
        <f>MIN(O268/K268+0.5, Q268/2/K268+0.5)</f>
        <v>1.5</v>
      </c>
      <c r="U268" s="7">
        <f t="shared" si="702"/>
        <v>2.95</v>
      </c>
      <c r="V268" s="38">
        <v>4.0999999999999996</v>
      </c>
      <c r="W268" s="4">
        <f t="shared" si="856"/>
        <v>4.0999999999999996</v>
      </c>
      <c r="X268" s="4">
        <f t="shared" si="857"/>
        <v>5.0999999999999996</v>
      </c>
      <c r="Y268" s="7">
        <f t="shared" si="858"/>
        <v>57.361276136431961</v>
      </c>
      <c r="AB268" s="38">
        <f t="shared" si="885"/>
        <v>478.6206896551725</v>
      </c>
      <c r="AC268" s="4">
        <v>69.400000000000006</v>
      </c>
      <c r="AD268" s="4">
        <f t="shared" si="740"/>
        <v>1.0355623876435345</v>
      </c>
      <c r="AE268" s="38">
        <v>0</v>
      </c>
      <c r="AF268" s="38">
        <v>0</v>
      </c>
      <c r="AG268" s="39">
        <f>I268</f>
        <v>268.73199999999997</v>
      </c>
      <c r="AH268" s="39"/>
      <c r="AI268" s="39"/>
      <c r="AJ268" s="7"/>
      <c r="AK268" s="4">
        <f t="shared" si="859"/>
        <v>268.73199999999997</v>
      </c>
      <c r="AL268" s="4">
        <f t="shared" si="779"/>
        <v>0.37492123503465657</v>
      </c>
      <c r="AM268" s="4">
        <f t="shared" si="780"/>
        <v>221.23042849479285</v>
      </c>
      <c r="AN268" s="4">
        <f t="shared" si="781"/>
        <v>0.75576559546313793</v>
      </c>
      <c r="AO268" s="4">
        <v>1.25</v>
      </c>
      <c r="AP268" s="4">
        <f t="shared" si="688"/>
        <v>2.5</v>
      </c>
      <c r="AQ268" s="38">
        <f t="shared" si="827"/>
        <v>195.8944080476719</v>
      </c>
      <c r="AR268" s="38">
        <f t="shared" si="783"/>
        <v>195.8944080476719</v>
      </c>
      <c r="AS268" s="38">
        <f t="shared" si="784"/>
        <v>4.3073554520828159</v>
      </c>
      <c r="AT268" s="38">
        <f t="shared" si="691"/>
        <v>195.89440804767207</v>
      </c>
      <c r="AU268" s="38">
        <f t="shared" si="674"/>
        <v>0.99999999999999911</v>
      </c>
      <c r="AV268" s="38">
        <f t="shared" si="692"/>
        <v>2.5058318604956216</v>
      </c>
      <c r="AW268" s="4">
        <f t="shared" si="693"/>
        <v>0</v>
      </c>
      <c r="AX268" s="4">
        <f t="shared" si="860"/>
        <v>425.08562627395958</v>
      </c>
      <c r="AY268" s="4">
        <f t="shared" si="828"/>
        <v>1.3866666666666667</v>
      </c>
      <c r="AZ268" s="38">
        <f t="shared" si="701"/>
        <v>490.87844897878659</v>
      </c>
      <c r="BA268" s="4">
        <f t="shared" si="829"/>
        <v>0.42600000000000005</v>
      </c>
      <c r="BB268" s="4">
        <f t="shared" si="830"/>
        <v>94.617684124189267</v>
      </c>
      <c r="BC268" s="4">
        <f t="shared" si="831"/>
        <v>585.49613310297582</v>
      </c>
      <c r="BE268" s="4">
        <f t="shared" si="689"/>
        <v>1.3625</v>
      </c>
      <c r="BF268" s="4">
        <f t="shared" si="690"/>
        <v>642.16626864963939</v>
      </c>
      <c r="BH268" s="4">
        <f t="shared" si="704"/>
        <v>470.81246309324723</v>
      </c>
      <c r="BI268" s="4">
        <f t="shared" si="880"/>
        <v>0</v>
      </c>
      <c r="BJ268" s="4">
        <f t="shared" si="706"/>
        <v>0</v>
      </c>
      <c r="BK268" s="4">
        <f t="shared" si="785"/>
        <v>31.799999999999997</v>
      </c>
      <c r="BL268" s="4">
        <f t="shared" si="786"/>
        <v>31.799999999999997</v>
      </c>
      <c r="BM268" s="4">
        <f t="shared" si="787"/>
        <v>260.34999999999997</v>
      </c>
      <c r="BN268" s="4">
        <f t="shared" si="788"/>
        <v>44.5</v>
      </c>
      <c r="BO268" s="4">
        <f t="shared" si="789"/>
        <v>1.25</v>
      </c>
      <c r="BP268" s="25">
        <f t="shared" si="790"/>
        <v>2.1899606299212602</v>
      </c>
      <c r="BR268" s="4">
        <f t="shared" si="832"/>
        <v>25.4</v>
      </c>
      <c r="BV268" s="9"/>
      <c r="BX268" s="9"/>
      <c r="BY268" s="9"/>
      <c r="BZ268" s="9">
        <f t="shared" si="833"/>
        <v>25.4</v>
      </c>
      <c r="CA268" s="9">
        <f t="shared" si="834"/>
        <v>62.230000000000004</v>
      </c>
      <c r="CB268" s="9">
        <f t="shared" si="694"/>
        <v>1.1438653713927442</v>
      </c>
      <c r="CC268" s="40">
        <f t="shared" si="861"/>
        <v>20</v>
      </c>
      <c r="CD268" s="9">
        <f t="shared" si="835"/>
        <v>0</v>
      </c>
      <c r="CE268" s="9">
        <f t="shared" si="836"/>
        <v>0</v>
      </c>
      <c r="CF268" s="9">
        <f t="shared" si="837"/>
        <v>0.99524931562137331</v>
      </c>
      <c r="CG268" s="9">
        <f t="shared" si="838"/>
        <v>0.68</v>
      </c>
      <c r="CH268" s="9">
        <f t="shared" si="695"/>
        <v>1.8082280338026815</v>
      </c>
      <c r="CI268" s="9">
        <f t="shared" si="696"/>
        <v>2.0683694314484757</v>
      </c>
      <c r="CJ268" s="40">
        <v>1</v>
      </c>
      <c r="CK268" s="9">
        <f t="shared" si="697"/>
        <v>211.63556022580804</v>
      </c>
      <c r="CM268" s="4">
        <f t="shared" si="839"/>
        <v>1.1259394815356814</v>
      </c>
      <c r="CN268" s="4">
        <f t="shared" si="840"/>
        <v>0.81746174328873611</v>
      </c>
      <c r="CO268" s="4">
        <f t="shared" si="814"/>
        <v>0.74532206536108792</v>
      </c>
      <c r="CP268" s="4">
        <f t="shared" si="841"/>
        <v>2.2615324624297557</v>
      </c>
      <c r="CQ268" s="4">
        <f t="shared" si="800"/>
        <v>1.0355623876435345</v>
      </c>
      <c r="CR268" s="4">
        <f t="shared" si="801"/>
        <v>1.0537522781326267</v>
      </c>
      <c r="CS268" s="4">
        <f t="shared" si="815"/>
        <v>1.5393668987809279</v>
      </c>
      <c r="CT268" s="4">
        <f t="shared" si="862"/>
        <v>0</v>
      </c>
      <c r="CU268" s="4">
        <f t="shared" ref="CU268:CV268" si="899">CM268</f>
        <v>1.1259394815356814</v>
      </c>
      <c r="CV268" s="4">
        <f t="shared" si="899"/>
        <v>0.81746174328873611</v>
      </c>
      <c r="CW268" s="4">
        <f t="shared" ref="CW268" si="900">CP268</f>
        <v>2.2615324624297557</v>
      </c>
      <c r="CX268" s="4">
        <f t="shared" ref="CX268" si="901">CS268</f>
        <v>1.5393668987809279</v>
      </c>
      <c r="CY268" s="4">
        <f t="shared" ref="CY268:CZ268" si="902">CQ268</f>
        <v>1.0355623876435345</v>
      </c>
      <c r="CZ268" s="4">
        <f t="shared" si="902"/>
        <v>1.0537522781326267</v>
      </c>
      <c r="DI268" s="4">
        <f t="shared" si="846"/>
        <v>268.73199999999997</v>
      </c>
      <c r="DL268" s="4">
        <f t="shared" si="756"/>
        <v>2.2728205782291242E-5</v>
      </c>
      <c r="DM268" s="4">
        <f t="shared" si="757"/>
        <v>8.1985076193478434</v>
      </c>
      <c r="DN268" s="4">
        <f t="shared" si="758"/>
        <v>0.18299328642128165</v>
      </c>
      <c r="DO268" s="4">
        <f t="shared" si="759"/>
        <v>4.1563189503887896</v>
      </c>
      <c r="DP268" s="4">
        <f t="shared" si="760"/>
        <v>6.5027697461111531</v>
      </c>
      <c r="DQ268" s="4">
        <f t="shared" si="761"/>
        <v>7.664283561396096</v>
      </c>
      <c r="DR268" s="38">
        <f t="shared" si="791"/>
        <v>462.18431198944364</v>
      </c>
      <c r="DS268" s="4">
        <f t="shared" si="762"/>
        <v>1.0000949533164578</v>
      </c>
      <c r="DT268" s="4">
        <f t="shared" si="763"/>
        <v>2.2583179581272428</v>
      </c>
      <c r="DU268" s="4">
        <f t="shared" si="764"/>
        <v>195.89440804767207</v>
      </c>
      <c r="DY268" s="4">
        <f t="shared" si="765"/>
        <v>0.85</v>
      </c>
      <c r="DZ268" s="4">
        <f t="shared" si="766"/>
        <v>1</v>
      </c>
      <c r="EA268" s="4">
        <f t="shared" si="792"/>
        <v>1</v>
      </c>
      <c r="EB268" s="4">
        <f t="shared" si="767"/>
        <v>1</v>
      </c>
      <c r="ED268" s="4">
        <f t="shared" si="793"/>
        <v>454.20607820971429</v>
      </c>
      <c r="EE268" s="25">
        <f t="shared" si="794"/>
        <v>193.98544637161379</v>
      </c>
      <c r="EG268" s="4">
        <f t="shared" si="683"/>
        <v>0.85</v>
      </c>
      <c r="EH268" s="4">
        <f t="shared" si="795"/>
        <v>8.1985076193478434</v>
      </c>
      <c r="EK268" s="4">
        <f t="shared" si="768"/>
        <v>57.361276136431961</v>
      </c>
      <c r="EL268" s="4">
        <f t="shared" si="769"/>
        <v>2.2583179581272428</v>
      </c>
      <c r="EM268" s="4">
        <f t="shared" si="770"/>
        <v>7.6386177124122462E-2</v>
      </c>
      <c r="EP268" s="4">
        <f t="shared" si="863"/>
        <v>7.6386177124122462E-2</v>
      </c>
      <c r="EQ268" s="4">
        <f t="shared" si="698"/>
        <v>0.18268790473155688</v>
      </c>
      <c r="ER268" s="4">
        <f t="shared" si="772"/>
        <v>4.1535431114615937</v>
      </c>
      <c r="ES268" s="4">
        <f t="shared" si="847"/>
        <v>6.5018924962975211</v>
      </c>
      <c r="ET268" s="4">
        <f t="shared" si="774"/>
        <v>144.18772386356801</v>
      </c>
      <c r="EU268" s="4">
        <f t="shared" si="775"/>
        <v>67.182999999999993</v>
      </c>
      <c r="EV268" s="4">
        <f t="shared" si="699"/>
        <v>2.2728205782291242E-5</v>
      </c>
      <c r="EW268" s="4">
        <f t="shared" si="848"/>
        <v>7.6643887234118671</v>
      </c>
      <c r="EX268" s="4">
        <f t="shared" si="707"/>
        <v>462.14043022292475</v>
      </c>
      <c r="FG268" s="23">
        <f t="shared" si="878"/>
        <v>1.2</v>
      </c>
      <c r="FH268" s="23">
        <f t="shared" si="878"/>
        <v>1</v>
      </c>
      <c r="FI268" s="23">
        <f t="shared" si="818"/>
        <v>1.6</v>
      </c>
      <c r="FJ268" s="23">
        <f t="shared" si="879"/>
        <v>2.2000000000000002</v>
      </c>
      <c r="FK268" s="23">
        <f t="shared" si="879"/>
        <v>1.2</v>
      </c>
      <c r="FL268" s="23">
        <f t="shared" si="879"/>
        <v>1.2</v>
      </c>
      <c r="FM268" s="23">
        <f t="shared" si="807"/>
        <v>0</v>
      </c>
      <c r="FN268" s="23"/>
      <c r="FX268" s="4">
        <f t="shared" si="676"/>
        <v>1.25</v>
      </c>
      <c r="FY268" s="4">
        <f t="shared" si="716"/>
        <v>0.75</v>
      </c>
      <c r="FZ268" s="4">
        <f t="shared" si="677"/>
        <v>0</v>
      </c>
      <c r="GA268" s="4">
        <f t="shared" si="678"/>
        <v>310.92047648562988</v>
      </c>
    </row>
    <row r="269" spans="1:183" ht="12" customHeight="1" x14ac:dyDescent="0.3">
      <c r="A269" s="25">
        <v>251</v>
      </c>
      <c r="B269" s="4" t="s">
        <v>605</v>
      </c>
      <c r="C269" s="4">
        <v>2016</v>
      </c>
      <c r="D269" s="4" t="s">
        <v>309</v>
      </c>
      <c r="E269" s="24" t="s">
        <v>664</v>
      </c>
      <c r="F269" s="7" t="s">
        <v>407</v>
      </c>
      <c r="G269" s="38">
        <f t="shared" ref="G269:G286" si="903">129/0.145</f>
        <v>889.65517241379314</v>
      </c>
      <c r="H269" s="38">
        <f>10.33*25.4</f>
        <v>262.38200000000001</v>
      </c>
      <c r="I269" s="4">
        <f t="shared" si="850"/>
        <v>262.38200000000001</v>
      </c>
      <c r="J269" s="38">
        <f>8450/145</f>
        <v>58.275862068965516</v>
      </c>
      <c r="K269" s="38">
        <f t="shared" si="851"/>
        <v>25.4</v>
      </c>
      <c r="L269" s="7">
        <f t="shared" si="852"/>
        <v>10.33</v>
      </c>
      <c r="M269" s="7">
        <f t="shared" si="853"/>
        <v>10.33</v>
      </c>
      <c r="N269" s="38">
        <f>11.8*25.4</f>
        <v>299.72000000000003</v>
      </c>
      <c r="O269" s="38">
        <f>2.5*25.4</f>
        <v>63.5</v>
      </c>
      <c r="P269" s="39">
        <f>3.2*25.4</f>
        <v>81.28</v>
      </c>
      <c r="Q269" s="7">
        <f t="shared" si="854"/>
        <v>48.260000000000019</v>
      </c>
      <c r="R269" s="38">
        <v>3</v>
      </c>
      <c r="S269" s="4">
        <f t="shared" si="826"/>
        <v>260.34999999999997</v>
      </c>
      <c r="T269" s="7">
        <f t="shared" si="855"/>
        <v>1.4500000000000004</v>
      </c>
      <c r="U269" s="7">
        <f t="shared" si="702"/>
        <v>3</v>
      </c>
      <c r="V269" s="38">
        <v>4.0999999999999996</v>
      </c>
      <c r="W269" s="4">
        <f t="shared" si="856"/>
        <v>4.0999999999999996</v>
      </c>
      <c r="X269" s="4">
        <f t="shared" si="857"/>
        <v>5.0999999999999996</v>
      </c>
      <c r="Y269" s="7">
        <f t="shared" si="858"/>
        <v>57.361276136431961</v>
      </c>
      <c r="AB269" s="38">
        <f t="shared" si="885"/>
        <v>440.68965517241384</v>
      </c>
      <c r="AC269" s="4">
        <v>63.9</v>
      </c>
      <c r="AD269" s="4">
        <f t="shared" si="740"/>
        <v>0.97531366488201143</v>
      </c>
      <c r="AE269" s="38">
        <f t="shared" ref="AE269:AE271" si="904">0.375*25.4</f>
        <v>9.5249999999999986</v>
      </c>
      <c r="AF269" s="38">
        <v>2</v>
      </c>
      <c r="AG269" s="39">
        <f>3*25.4</f>
        <v>76.199999999999989</v>
      </c>
      <c r="AH269" s="39">
        <v>2</v>
      </c>
      <c r="AI269" s="39"/>
      <c r="AJ269" s="7"/>
      <c r="AK269" s="4">
        <f t="shared" si="859"/>
        <v>262.38200000000001</v>
      </c>
      <c r="AL269" s="4">
        <f t="shared" si="779"/>
        <v>0.38076798967408843</v>
      </c>
      <c r="AM269" s="4">
        <f t="shared" si="780"/>
        <v>213.43559112635208</v>
      </c>
      <c r="AN269" s="4">
        <f t="shared" si="781"/>
        <v>0.75808325266214904</v>
      </c>
      <c r="AO269" s="4">
        <v>1.25</v>
      </c>
      <c r="AP269" s="4">
        <f t="shared" si="688"/>
        <v>2.5</v>
      </c>
      <c r="AQ269" s="38">
        <f t="shared" si="827"/>
        <v>192.52813169855349</v>
      </c>
      <c r="AR269" s="38">
        <f t="shared" si="783"/>
        <v>192.52813169855349</v>
      </c>
      <c r="AS269" s="38">
        <f t="shared" si="784"/>
        <v>4.3073554520828159</v>
      </c>
      <c r="AT269" s="38">
        <f t="shared" si="691"/>
        <v>192.52813169855358</v>
      </c>
      <c r="AU269" s="38">
        <f t="shared" si="674"/>
        <v>0.99999999999999956</v>
      </c>
      <c r="AV269" s="38">
        <f t="shared" si="692"/>
        <v>2.5373874047690124</v>
      </c>
      <c r="AW269" s="4">
        <f t="shared" si="693"/>
        <v>0</v>
      </c>
      <c r="AX269" s="4">
        <f t="shared" si="860"/>
        <v>415.04106988752386</v>
      </c>
      <c r="AY269" s="4">
        <f t="shared" si="828"/>
        <v>1.4275862068965515</v>
      </c>
      <c r="AZ269" s="38">
        <f t="shared" si="701"/>
        <v>488.5184564356195</v>
      </c>
      <c r="BA269" s="4">
        <f t="shared" si="829"/>
        <v>0.42600000000000005</v>
      </c>
      <c r="BB269" s="4">
        <f t="shared" si="830"/>
        <v>92.381916540914503</v>
      </c>
      <c r="BC269" s="4">
        <f t="shared" si="831"/>
        <v>580.90037297653396</v>
      </c>
      <c r="BE269" s="4">
        <f t="shared" si="689"/>
        <v>1.5</v>
      </c>
      <c r="BF269" s="4">
        <f t="shared" si="690"/>
        <v>698.38394316993435</v>
      </c>
      <c r="BH269" s="4">
        <f t="shared" si="704"/>
        <v>468.54894163606815</v>
      </c>
      <c r="BI269" s="4">
        <f t="shared" ref="BI269:BI332" si="905">8/3*Z269*AA269^2/(Y269-K269-22)/K269*(Y269^2-K269^2)/(Y269^2-(K269+22)^2)</f>
        <v>0</v>
      </c>
      <c r="BJ269" s="4">
        <f t="shared" si="706"/>
        <v>0</v>
      </c>
      <c r="BK269" s="4">
        <f t="shared" si="785"/>
        <v>30.530000000000008</v>
      </c>
      <c r="BL269" s="4">
        <f t="shared" si="786"/>
        <v>30.530000000000008</v>
      </c>
      <c r="BM269" s="4">
        <f t="shared" si="787"/>
        <v>260.34999999999997</v>
      </c>
      <c r="BN269" s="4">
        <f t="shared" si="788"/>
        <v>43.230000000000004</v>
      </c>
      <c r="BO269" s="4">
        <f t="shared" si="789"/>
        <v>1.25</v>
      </c>
      <c r="BP269" s="25">
        <f t="shared" si="790"/>
        <v>3.2314045057991079</v>
      </c>
      <c r="BR269" s="4">
        <f t="shared" si="832"/>
        <v>24.13000000000001</v>
      </c>
      <c r="BV269" s="9"/>
      <c r="BX269" s="9"/>
      <c r="BY269" s="9"/>
      <c r="BZ269" s="9">
        <f t="shared" si="833"/>
        <v>24.13000000000001</v>
      </c>
      <c r="CA269" s="9">
        <f t="shared" si="834"/>
        <v>63.5</v>
      </c>
      <c r="CB269" s="9">
        <f t="shared" si="694"/>
        <v>1.1269230529691339</v>
      </c>
      <c r="CC269" s="40">
        <f t="shared" si="861"/>
        <v>20</v>
      </c>
      <c r="CD269" s="9">
        <f t="shared" si="835"/>
        <v>4.9087385212340517E-2</v>
      </c>
      <c r="CE269" s="9">
        <f t="shared" si="836"/>
        <v>0.78174770424681028</v>
      </c>
      <c r="CF269" s="9">
        <f t="shared" si="837"/>
        <v>0.99524931562137331</v>
      </c>
      <c r="CG269" s="9">
        <f t="shared" si="838"/>
        <v>0.68</v>
      </c>
      <c r="CH269" s="9">
        <f t="shared" si="695"/>
        <v>1.8082280338026815</v>
      </c>
      <c r="CI269" s="9">
        <f t="shared" si="696"/>
        <v>3.4513119704972617</v>
      </c>
      <c r="CJ269" s="40">
        <v>1</v>
      </c>
      <c r="CK269" s="9">
        <f t="shared" si="697"/>
        <v>349.68692885078258</v>
      </c>
      <c r="CM269" s="4">
        <f t="shared" si="839"/>
        <v>1.0617977042412712</v>
      </c>
      <c r="CN269" s="4">
        <f t="shared" si="840"/>
        <v>0.7586320747468619</v>
      </c>
      <c r="CO269" s="4">
        <f t="shared" si="814"/>
        <v>0.63101344107675594</v>
      </c>
      <c r="CP269" s="4">
        <f t="shared" si="841"/>
        <v>1.2602405718186387</v>
      </c>
      <c r="CQ269" s="4">
        <f t="shared" si="800"/>
        <v>0.97531366488201143</v>
      </c>
      <c r="CR269" s="4">
        <f t="shared" si="801"/>
        <v>0.99104241411838778</v>
      </c>
      <c r="CS269" s="4">
        <f t="shared" si="815"/>
        <v>1.0875170850034528</v>
      </c>
      <c r="CT269" s="4">
        <f>AF269</f>
        <v>2</v>
      </c>
      <c r="DA269" s="4">
        <f t="shared" ref="DA269:DB271" si="906">CM269</f>
        <v>1.0617977042412712</v>
      </c>
      <c r="DB269" s="4">
        <f t="shared" si="906"/>
        <v>0.7586320747468619</v>
      </c>
      <c r="DC269" s="4">
        <f t="shared" ref="DC269:DC271" si="907">CP269</f>
        <v>1.2602405718186387</v>
      </c>
      <c r="DD269" s="4">
        <f t="shared" ref="DD269:DD271" si="908">CS269</f>
        <v>1.0875170850034528</v>
      </c>
      <c r="DE269" s="4">
        <f t="shared" ref="DE269:DF271" si="909">CQ269</f>
        <v>0.97531366488201143</v>
      </c>
      <c r="DF269" s="4">
        <f t="shared" si="909"/>
        <v>0.99104241411838778</v>
      </c>
      <c r="DI269" s="4">
        <f t="shared" si="846"/>
        <v>262.38200000000001</v>
      </c>
      <c r="DL269" s="4">
        <f t="shared" si="756"/>
        <v>2.2191149880063189E-5</v>
      </c>
      <c r="DM269" s="4">
        <f t="shared" si="757"/>
        <v>8.1985076193478434</v>
      </c>
      <c r="DN269" s="4">
        <f t="shared" si="758"/>
        <v>0.17984870471388795</v>
      </c>
      <c r="DO269" s="4">
        <f t="shared" si="759"/>
        <v>4.1276012029721132</v>
      </c>
      <c r="DP269" s="4">
        <f t="shared" si="760"/>
        <v>6.4937181471209255</v>
      </c>
      <c r="DQ269" s="4">
        <f t="shared" si="761"/>
        <v>7.6911276613412358</v>
      </c>
      <c r="DR269" s="38">
        <f t="shared" si="791"/>
        <v>451.84402827548433</v>
      </c>
      <c r="DS269" s="4">
        <f t="shared" si="762"/>
        <v>1.0000949129412946</v>
      </c>
      <c r="DT269" s="4">
        <f t="shared" si="763"/>
        <v>2.2583179581272428</v>
      </c>
      <c r="DU269" s="4">
        <f t="shared" si="764"/>
        <v>192.52813169855358</v>
      </c>
      <c r="DY269" s="4">
        <f t="shared" si="765"/>
        <v>0.85</v>
      </c>
      <c r="DZ269" s="4">
        <f t="shared" si="766"/>
        <v>1</v>
      </c>
      <c r="EA269" s="4">
        <f t="shared" si="792"/>
        <v>1</v>
      </c>
      <c r="EB269" s="4">
        <f t="shared" si="767"/>
        <v>1</v>
      </c>
      <c r="ED269" s="4">
        <f t="shared" si="793"/>
        <v>444.67285041926573</v>
      </c>
      <c r="EE269" s="25">
        <f t="shared" si="794"/>
        <v>190.60109929567602</v>
      </c>
      <c r="EG269" s="4">
        <f t="shared" si="683"/>
        <v>0.85</v>
      </c>
      <c r="EH269" s="4">
        <f t="shared" si="795"/>
        <v>8.1985076193478434</v>
      </c>
      <c r="EK269" s="4">
        <f t="shared" si="768"/>
        <v>57.361276136431961</v>
      </c>
      <c r="EL269" s="4">
        <f t="shared" si="769"/>
        <v>2.2583179581272428</v>
      </c>
      <c r="EM269" s="4">
        <f t="shared" si="770"/>
        <v>7.5073546590075091E-2</v>
      </c>
      <c r="EP269" s="4">
        <f t="shared" si="863"/>
        <v>7.5073546590075091E-2</v>
      </c>
      <c r="EQ269" s="4">
        <f t="shared" si="698"/>
        <v>0.17954857074496247</v>
      </c>
      <c r="ER269" s="4">
        <f t="shared" si="772"/>
        <v>4.1248445434779999</v>
      </c>
      <c r="ES269" s="4">
        <f t="shared" si="847"/>
        <v>6.4928520803940772</v>
      </c>
      <c r="ET269" s="4">
        <f t="shared" si="774"/>
        <v>139.42522386356802</v>
      </c>
      <c r="EU269" s="4">
        <f t="shared" si="775"/>
        <v>65.595500000000015</v>
      </c>
      <c r="EV269" s="4">
        <f t="shared" si="699"/>
        <v>2.2191149880063196E-5</v>
      </c>
      <c r="EW269" s="4">
        <f t="shared" si="848"/>
        <v>7.6912279392271685</v>
      </c>
      <c r="EX269" s="4">
        <f t="shared" si="707"/>
        <v>451.80114649978975</v>
      </c>
      <c r="FG269" s="23">
        <f t="shared" si="878"/>
        <v>1.2</v>
      </c>
      <c r="FH269" s="23">
        <f t="shared" si="878"/>
        <v>0.8</v>
      </c>
      <c r="FI269" s="23">
        <f t="shared" si="818"/>
        <v>1.2</v>
      </c>
      <c r="FJ269" s="23">
        <f t="shared" si="879"/>
        <v>1.4</v>
      </c>
      <c r="FK269" s="23">
        <f t="shared" si="879"/>
        <v>1</v>
      </c>
      <c r="FL269" s="23">
        <f t="shared" si="879"/>
        <v>1</v>
      </c>
      <c r="FM269" s="23">
        <f t="shared" si="807"/>
        <v>0</v>
      </c>
      <c r="FN269" s="23"/>
      <c r="FX269" s="4">
        <f t="shared" si="676"/>
        <v>1</v>
      </c>
      <c r="FY269" s="4">
        <f t="shared" si="716"/>
        <v>0.70232558139534873</v>
      </c>
      <c r="FZ269" s="4">
        <f t="shared" si="677"/>
        <v>0.18749999999999997</v>
      </c>
      <c r="GA269" s="4">
        <f t="shared" si="678"/>
        <v>405.2255005915743</v>
      </c>
    </row>
    <row r="270" spans="1:183" ht="12" customHeight="1" x14ac:dyDescent="0.3">
      <c r="A270" s="25">
        <v>252</v>
      </c>
      <c r="B270" s="4" t="s">
        <v>605</v>
      </c>
      <c r="C270" s="4">
        <v>2016</v>
      </c>
      <c r="D270" s="4" t="s">
        <v>309</v>
      </c>
      <c r="E270" s="24" t="s">
        <v>664</v>
      </c>
      <c r="F270" s="7" t="s">
        <v>408</v>
      </c>
      <c r="G270" s="38">
        <f t="shared" si="903"/>
        <v>889.65517241379314</v>
      </c>
      <c r="H270" s="38">
        <f>10.08*25.4</f>
        <v>256.03199999999998</v>
      </c>
      <c r="I270" s="4">
        <f t="shared" si="850"/>
        <v>256.03199999999998</v>
      </c>
      <c r="J270" s="38">
        <f>8260/145</f>
        <v>56.96551724137931</v>
      </c>
      <c r="K270" s="38">
        <f t="shared" si="851"/>
        <v>25.4</v>
      </c>
      <c r="L270" s="7">
        <f t="shared" si="852"/>
        <v>10.08</v>
      </c>
      <c r="M270" s="7">
        <f t="shared" si="853"/>
        <v>10.08</v>
      </c>
      <c r="N270" s="38">
        <f>11.8*25.4</f>
        <v>299.72000000000003</v>
      </c>
      <c r="O270" s="38">
        <f>2.45*25.4</f>
        <v>62.230000000000004</v>
      </c>
      <c r="P270" s="39">
        <f>3.13*25.4</f>
        <v>79.501999999999995</v>
      </c>
      <c r="Q270" s="7">
        <f t="shared" si="854"/>
        <v>49.530000000000015</v>
      </c>
      <c r="R270" s="38">
        <v>3</v>
      </c>
      <c r="S270" s="4">
        <f t="shared" si="826"/>
        <v>260.34999999999997</v>
      </c>
      <c r="T270" s="7">
        <f t="shared" si="855"/>
        <v>1.4750000000000003</v>
      </c>
      <c r="U270" s="7">
        <f t="shared" si="702"/>
        <v>2.95</v>
      </c>
      <c r="V270" s="38">
        <v>4.0999999999999996</v>
      </c>
      <c r="W270" s="4">
        <f t="shared" si="856"/>
        <v>4.0999999999999996</v>
      </c>
      <c r="X270" s="4">
        <f t="shared" si="857"/>
        <v>5.0999999999999996</v>
      </c>
      <c r="Y270" s="7">
        <f t="shared" si="858"/>
        <v>57.361276136431961</v>
      </c>
      <c r="AB270" s="38">
        <f t="shared" si="885"/>
        <v>540.68965517241384</v>
      </c>
      <c r="AC270" s="4">
        <v>78.400000000000006</v>
      </c>
      <c r="AD270" s="4">
        <f t="shared" si="740"/>
        <v>1.2275313013278444</v>
      </c>
      <c r="AE270" s="38">
        <f t="shared" si="904"/>
        <v>9.5249999999999986</v>
      </c>
      <c r="AF270" s="38">
        <v>4</v>
      </c>
      <c r="AG270" s="39">
        <f>5*25.4</f>
        <v>127</v>
      </c>
      <c r="AH270" s="39">
        <v>2</v>
      </c>
      <c r="AI270" s="39">
        <v>1</v>
      </c>
      <c r="AJ270" s="7"/>
      <c r="AK270" s="4">
        <f t="shared" si="859"/>
        <v>256.03199999999998</v>
      </c>
      <c r="AL270" s="4">
        <f t="shared" si="779"/>
        <v>0.39021164021164034</v>
      </c>
      <c r="AM270" s="4">
        <f t="shared" si="780"/>
        <v>203.40837312963279</v>
      </c>
      <c r="AN270" s="4">
        <f t="shared" si="781"/>
        <v>0.758531746031746</v>
      </c>
      <c r="AO270" s="4">
        <v>1.25</v>
      </c>
      <c r="AP270" s="4">
        <f t="shared" si="688"/>
        <v>2.5</v>
      </c>
      <c r="AQ270" s="38">
        <f t="shared" si="827"/>
        <v>188.14506442671836</v>
      </c>
      <c r="AR270" s="38">
        <f t="shared" si="783"/>
        <v>188.14506442671836</v>
      </c>
      <c r="AS270" s="38">
        <f t="shared" si="784"/>
        <v>4.2706194667653463</v>
      </c>
      <c r="AT270" s="38">
        <f t="shared" si="691"/>
        <v>188.14506442671828</v>
      </c>
      <c r="AU270" s="38">
        <f t="shared" si="674"/>
        <v>1.0000000000000004</v>
      </c>
      <c r="AV270" s="38">
        <f t="shared" si="692"/>
        <v>2.5319853880339886</v>
      </c>
      <c r="AW270" s="4">
        <f t="shared" si="693"/>
        <v>0</v>
      </c>
      <c r="AX270" s="4">
        <f t="shared" si="860"/>
        <v>400.41741140059798</v>
      </c>
      <c r="AY270" s="4">
        <f t="shared" si="828"/>
        <v>1.4</v>
      </c>
      <c r="AZ270" s="38">
        <f t="shared" si="701"/>
        <v>476.38055395916405</v>
      </c>
      <c r="BA270" s="4">
        <f t="shared" si="829"/>
        <v>0.42600000000000005</v>
      </c>
      <c r="BB270" s="4">
        <f t="shared" si="830"/>
        <v>89.126909516602112</v>
      </c>
      <c r="BC270" s="4">
        <f t="shared" si="831"/>
        <v>565.50746347576614</v>
      </c>
      <c r="BE270" s="4">
        <f t="shared" si="689"/>
        <v>1.5</v>
      </c>
      <c r="BF270" s="4">
        <f t="shared" si="690"/>
        <v>681.99665534623284</v>
      </c>
      <c r="BH270" s="4">
        <f t="shared" si="704"/>
        <v>456.90720879239922</v>
      </c>
      <c r="BI270" s="4">
        <f t="shared" si="905"/>
        <v>0</v>
      </c>
      <c r="BJ270" s="4">
        <f t="shared" si="706"/>
        <v>0</v>
      </c>
      <c r="BK270" s="4">
        <f t="shared" si="785"/>
        <v>31.165000000000006</v>
      </c>
      <c r="BL270" s="4">
        <f t="shared" si="786"/>
        <v>31.165000000000006</v>
      </c>
      <c r="BM270" s="4">
        <f t="shared" si="787"/>
        <v>260.34999999999997</v>
      </c>
      <c r="BN270" s="4">
        <f t="shared" si="788"/>
        <v>43.865000000000009</v>
      </c>
      <c r="BO270" s="4">
        <f t="shared" si="789"/>
        <v>1.25</v>
      </c>
      <c r="BP270" s="25">
        <f t="shared" si="790"/>
        <v>2.8135878958353482</v>
      </c>
      <c r="BR270" s="4">
        <f t="shared" si="832"/>
        <v>24.765000000000008</v>
      </c>
      <c r="BV270" s="9"/>
      <c r="BX270" s="9"/>
      <c r="BY270" s="9"/>
      <c r="BZ270" s="9">
        <f t="shared" si="833"/>
        <v>24.765000000000008</v>
      </c>
      <c r="CA270" s="9">
        <f t="shared" si="834"/>
        <v>62.230000000000004</v>
      </c>
      <c r="CB270" s="9">
        <f t="shared" si="694"/>
        <v>1.1337740906768172</v>
      </c>
      <c r="CC270" s="40">
        <f t="shared" si="861"/>
        <v>20</v>
      </c>
      <c r="CD270" s="9">
        <f t="shared" si="835"/>
        <v>0.05</v>
      </c>
      <c r="CE270" s="9">
        <f t="shared" si="836"/>
        <v>0.8</v>
      </c>
      <c r="CF270" s="9">
        <f t="shared" si="837"/>
        <v>0.99524931562137331</v>
      </c>
      <c r="CG270" s="9">
        <f t="shared" si="838"/>
        <v>0.68</v>
      </c>
      <c r="CH270" s="9">
        <f t="shared" si="695"/>
        <v>1.7877832632633699</v>
      </c>
      <c r="CI270" s="9">
        <f t="shared" si="696"/>
        <v>3.4571689542443562</v>
      </c>
      <c r="CJ270" s="40">
        <v>1</v>
      </c>
      <c r="CK270" s="9">
        <f t="shared" si="697"/>
        <v>346.82318948979378</v>
      </c>
      <c r="CM270" s="4">
        <f t="shared" si="839"/>
        <v>1.3503150456948545</v>
      </c>
      <c r="CN270" s="4">
        <f t="shared" si="840"/>
        <v>0.95611409237498801</v>
      </c>
      <c r="CO270" s="4">
        <f t="shared" si="814"/>
        <v>0.79280396895483174</v>
      </c>
      <c r="CP270" s="4">
        <f t="shared" si="841"/>
        <v>1.558977806437378</v>
      </c>
      <c r="CQ270" s="4">
        <f t="shared" si="800"/>
        <v>1.2275313013278444</v>
      </c>
      <c r="CR270" s="4">
        <f t="shared" si="801"/>
        <v>1.246854111705707</v>
      </c>
      <c r="CS270" s="4">
        <f t="shared" si="815"/>
        <v>1.7132857924449365</v>
      </c>
      <c r="CT270" s="4">
        <f t="shared" si="862"/>
        <v>4</v>
      </c>
      <c r="DA270" s="4">
        <f t="shared" si="906"/>
        <v>1.3503150456948545</v>
      </c>
      <c r="DB270" s="4">
        <f t="shared" si="906"/>
        <v>0.95611409237498801</v>
      </c>
      <c r="DC270" s="4">
        <f t="shared" si="907"/>
        <v>1.558977806437378</v>
      </c>
      <c r="DD270" s="4">
        <f t="shared" si="908"/>
        <v>1.7132857924449365</v>
      </c>
      <c r="DE270" s="4">
        <f t="shared" si="909"/>
        <v>1.2275313013278444</v>
      </c>
      <c r="DF270" s="4">
        <f t="shared" si="909"/>
        <v>1.246854111705707</v>
      </c>
      <c r="DI270" s="4">
        <f t="shared" si="846"/>
        <v>256.03199999999998</v>
      </c>
      <c r="DL270" s="4">
        <f t="shared" si="756"/>
        <v>2.1479580373570616E-5</v>
      </c>
      <c r="DM270" s="4">
        <f t="shared" si="757"/>
        <v>8.182522155550533</v>
      </c>
      <c r="DN270" s="4">
        <f t="shared" si="758"/>
        <v>0.17979706977117263</v>
      </c>
      <c r="DO270" s="4">
        <f t="shared" si="759"/>
        <v>4.1190800655574753</v>
      </c>
      <c r="DP270" s="4">
        <f t="shared" si="760"/>
        <v>6.4809080040143563</v>
      </c>
      <c r="DQ270" s="4">
        <f t="shared" si="761"/>
        <v>7.7059970380125735</v>
      </c>
      <c r="DR270" s="38">
        <f t="shared" si="791"/>
        <v>440.4691388215839</v>
      </c>
      <c r="DS270" s="4">
        <f t="shared" si="762"/>
        <v>1.0000958531675284</v>
      </c>
      <c r="DT270" s="4">
        <f t="shared" si="763"/>
        <v>2.2583179581272428</v>
      </c>
      <c r="DU270" s="4">
        <f t="shared" si="764"/>
        <v>188.14506442671828</v>
      </c>
      <c r="DY270" s="4">
        <f t="shared" si="765"/>
        <v>0.85</v>
      </c>
      <c r="DZ270" s="4">
        <f t="shared" si="766"/>
        <v>1</v>
      </c>
      <c r="EA270" s="4">
        <f t="shared" si="792"/>
        <v>0.99062499999999998</v>
      </c>
      <c r="EB270" s="4">
        <f t="shared" si="767"/>
        <v>0.99062499999999998</v>
      </c>
      <c r="ED270" s="4">
        <f t="shared" si="793"/>
        <v>433.64307828503354</v>
      </c>
      <c r="EE270" s="25">
        <f t="shared" si="794"/>
        <v>186.20360830118545</v>
      </c>
      <c r="EG270" s="4">
        <f t="shared" si="683"/>
        <v>0.84203125000000001</v>
      </c>
      <c r="EH270" s="4">
        <f t="shared" si="795"/>
        <v>8.182522155550533</v>
      </c>
      <c r="EK270" s="4">
        <f t="shared" si="768"/>
        <v>57.361276136431961</v>
      </c>
      <c r="EL270" s="4">
        <f t="shared" si="769"/>
        <v>2.2583179581272428</v>
      </c>
      <c r="EM270" s="4">
        <f t="shared" si="770"/>
        <v>7.4203415787966812E-2</v>
      </c>
      <c r="EP270" s="4">
        <f t="shared" si="863"/>
        <v>7.4203415787966812E-2</v>
      </c>
      <c r="EQ270" s="4">
        <f t="shared" si="698"/>
        <v>0.1794970219713431</v>
      </c>
      <c r="ER270" s="4">
        <f t="shared" si="772"/>
        <v>4.1163290969896895</v>
      </c>
      <c r="ES270" s="4">
        <f t="shared" si="847"/>
        <v>6.4800438098095814</v>
      </c>
      <c r="ET270" s="4">
        <f t="shared" si="774"/>
        <v>134.66272386356803</v>
      </c>
      <c r="EU270" s="4">
        <f t="shared" si="775"/>
        <v>64.007999999999981</v>
      </c>
      <c r="EV270" s="4">
        <f t="shared" si="699"/>
        <v>2.1479580373570609E-5</v>
      </c>
      <c r="EW270" s="4">
        <f t="shared" si="848"/>
        <v>7.7060923418690388</v>
      </c>
      <c r="EX270" s="4">
        <f t="shared" si="707"/>
        <v>440.42692250599691</v>
      </c>
      <c r="FG270" s="23">
        <f t="shared" si="878"/>
        <v>1.4</v>
      </c>
      <c r="FH270" s="23">
        <f t="shared" si="878"/>
        <v>1</v>
      </c>
      <c r="FI270" s="23">
        <f t="shared" si="818"/>
        <v>1.8</v>
      </c>
      <c r="FJ270" s="23">
        <f t="shared" si="879"/>
        <v>1.6</v>
      </c>
      <c r="FK270" s="23">
        <f t="shared" si="879"/>
        <v>1.4</v>
      </c>
      <c r="FL270" s="23">
        <f t="shared" si="879"/>
        <v>1.4</v>
      </c>
      <c r="FM270" s="23">
        <f t="shared" si="807"/>
        <v>0</v>
      </c>
      <c r="FN270" s="23"/>
      <c r="FX270" s="4">
        <f t="shared" si="676"/>
        <v>1.25</v>
      </c>
      <c r="FY270" s="4">
        <f t="shared" si="716"/>
        <v>0.7</v>
      </c>
      <c r="FZ270" s="4">
        <f t="shared" si="677"/>
        <v>0.18749999999999997</v>
      </c>
      <c r="GA270" s="4">
        <f t="shared" si="678"/>
        <v>315.58637651505018</v>
      </c>
    </row>
    <row r="271" spans="1:183" ht="12" customHeight="1" x14ac:dyDescent="0.3">
      <c r="A271" s="25">
        <v>253</v>
      </c>
      <c r="B271" s="4" t="s">
        <v>605</v>
      </c>
      <c r="C271" s="4">
        <v>2016</v>
      </c>
      <c r="D271" s="4" t="s">
        <v>309</v>
      </c>
      <c r="E271" s="24" t="s">
        <v>664</v>
      </c>
      <c r="F271" s="7" t="s">
        <v>409</v>
      </c>
      <c r="G271" s="38">
        <f t="shared" si="903"/>
        <v>889.65517241379314</v>
      </c>
      <c r="H271" s="38">
        <f>10.29*25.4</f>
        <v>261.36599999999999</v>
      </c>
      <c r="I271" s="4">
        <f t="shared" si="850"/>
        <v>261.36599999999999</v>
      </c>
      <c r="J271" s="38">
        <f>8260/145</f>
        <v>56.96551724137931</v>
      </c>
      <c r="K271" s="38">
        <f t="shared" si="851"/>
        <v>25.4</v>
      </c>
      <c r="L271" s="7">
        <f t="shared" si="852"/>
        <v>10.29</v>
      </c>
      <c r="M271" s="7">
        <f t="shared" si="853"/>
        <v>10.29</v>
      </c>
      <c r="N271" s="38">
        <f>12.1*25.4</f>
        <v>307.33999999999997</v>
      </c>
      <c r="O271" s="38">
        <f>2.55*25.4</f>
        <v>64.77</v>
      </c>
      <c r="P271" s="39">
        <f>(2.8+2.9+2.5)/3*25.4</f>
        <v>69.426666666666648</v>
      </c>
      <c r="Q271" s="7">
        <f t="shared" si="854"/>
        <v>50.8</v>
      </c>
      <c r="R271" s="38">
        <v>3</v>
      </c>
      <c r="S271" s="4">
        <f t="shared" si="826"/>
        <v>260.34999999999997</v>
      </c>
      <c r="T271" s="7">
        <f t="shared" si="855"/>
        <v>1.5</v>
      </c>
      <c r="U271" s="7">
        <f t="shared" si="702"/>
        <v>3.05</v>
      </c>
      <c r="V271" s="38">
        <v>4.0999999999999996</v>
      </c>
      <c r="W271" s="4">
        <f t="shared" si="856"/>
        <v>4.0999999999999996</v>
      </c>
      <c r="X271" s="4">
        <f t="shared" si="857"/>
        <v>5.0999999999999996</v>
      </c>
      <c r="Y271" s="7">
        <f t="shared" si="858"/>
        <v>57.361276136431961</v>
      </c>
      <c r="AB271" s="38">
        <f t="shared" si="885"/>
        <v>495.17241379310349</v>
      </c>
      <c r="AC271" s="4">
        <v>71.8</v>
      </c>
      <c r="AD271" s="4">
        <f t="shared" si="740"/>
        <v>1.0909962422431996</v>
      </c>
      <c r="AE271" s="38">
        <f t="shared" si="904"/>
        <v>9.5249999999999986</v>
      </c>
      <c r="AF271" s="38">
        <v>4</v>
      </c>
      <c r="AG271" s="39">
        <f>5*25.4</f>
        <v>127</v>
      </c>
      <c r="AH271" s="39">
        <f>2+2</f>
        <v>4</v>
      </c>
      <c r="AI271" s="39">
        <v>1</v>
      </c>
      <c r="AJ271" s="7"/>
      <c r="AK271" s="4">
        <f t="shared" si="859"/>
        <v>261.36599999999999</v>
      </c>
      <c r="AL271" s="4">
        <f t="shared" si="779"/>
        <v>0.39196631033365731</v>
      </c>
      <c r="AM271" s="4">
        <f t="shared" si="780"/>
        <v>209.79787755605903</v>
      </c>
      <c r="AN271" s="4">
        <f t="shared" si="781"/>
        <v>0.7592808551992225</v>
      </c>
      <c r="AO271" s="4">
        <v>1.25</v>
      </c>
      <c r="AP271" s="4">
        <f t="shared" si="688"/>
        <v>2.5</v>
      </c>
      <c r="AQ271" s="38">
        <f t="shared" si="827"/>
        <v>195.12023140042214</v>
      </c>
      <c r="AR271" s="38">
        <f t="shared" si="783"/>
        <v>195.12023140042214</v>
      </c>
      <c r="AS271" s="38">
        <f t="shared" si="784"/>
        <v>4.2706194667653463</v>
      </c>
      <c r="AT271" s="38">
        <f t="shared" si="691"/>
        <v>195.12023140042217</v>
      </c>
      <c r="AU271" s="38">
        <f t="shared" si="674"/>
        <v>0.99999999999999989</v>
      </c>
      <c r="AV271" s="38">
        <f t="shared" si="692"/>
        <v>2.5064989538523901</v>
      </c>
      <c r="AW271" s="4">
        <f t="shared" si="693"/>
        <v>0</v>
      </c>
      <c r="AX271" s="4">
        <f t="shared" si="860"/>
        <v>408.75944080477711</v>
      </c>
      <c r="AY271" s="4">
        <f t="shared" si="828"/>
        <v>1.4133333333333333</v>
      </c>
      <c r="AZ271" s="38">
        <f t="shared" si="701"/>
        <v>489.06865588059446</v>
      </c>
      <c r="BA271" s="4">
        <f t="shared" si="829"/>
        <v>0.42600000000000005</v>
      </c>
      <c r="BB271" s="4">
        <f t="shared" si="830"/>
        <v>90.983720131531314</v>
      </c>
      <c r="BC271" s="4">
        <f t="shared" si="831"/>
        <v>580.05237601212582</v>
      </c>
      <c r="BE271" s="4">
        <f t="shared" si="689"/>
        <v>1.5</v>
      </c>
      <c r="BF271" s="4">
        <f t="shared" si="690"/>
        <v>689.12909048680592</v>
      </c>
      <c r="BH271" s="4">
        <f t="shared" si="704"/>
        <v>469.07665018880698</v>
      </c>
      <c r="BI271" s="4">
        <f t="shared" si="905"/>
        <v>0</v>
      </c>
      <c r="BJ271" s="4">
        <f t="shared" si="706"/>
        <v>0</v>
      </c>
      <c r="BK271" s="4">
        <f t="shared" si="785"/>
        <v>31.799999999999997</v>
      </c>
      <c r="BL271" s="4">
        <f t="shared" si="786"/>
        <v>31.799999999999997</v>
      </c>
      <c r="BM271" s="4">
        <f t="shared" si="787"/>
        <v>260.34999999999997</v>
      </c>
      <c r="BN271" s="4">
        <f t="shared" si="788"/>
        <v>44.5</v>
      </c>
      <c r="BO271" s="4">
        <f t="shared" si="789"/>
        <v>1.25</v>
      </c>
      <c r="BP271" s="25">
        <f t="shared" si="790"/>
        <v>2.8448378958353477</v>
      </c>
      <c r="BR271" s="4">
        <f t="shared" si="832"/>
        <v>25.4</v>
      </c>
      <c r="BV271" s="9"/>
      <c r="BX271" s="9"/>
      <c r="BY271" s="9"/>
      <c r="BZ271" s="9">
        <f t="shared" si="833"/>
        <v>25.4</v>
      </c>
      <c r="CA271" s="9">
        <f t="shared" si="834"/>
        <v>64.77</v>
      </c>
      <c r="CB271" s="9">
        <f t="shared" si="694"/>
        <v>1.150750115259513</v>
      </c>
      <c r="CC271" s="40">
        <f t="shared" si="861"/>
        <v>20</v>
      </c>
      <c r="CD271" s="9">
        <f t="shared" si="835"/>
        <v>0.05</v>
      </c>
      <c r="CE271" s="9">
        <f t="shared" si="836"/>
        <v>0.8</v>
      </c>
      <c r="CF271" s="9">
        <f t="shared" si="837"/>
        <v>0.99524931562137331</v>
      </c>
      <c r="CG271" s="9">
        <f t="shared" si="838"/>
        <v>0.68</v>
      </c>
      <c r="CH271" s="9">
        <f t="shared" si="695"/>
        <v>1.7877832632633699</v>
      </c>
      <c r="CI271" s="9">
        <f t="shared" si="696"/>
        <v>3.4875184068700471</v>
      </c>
      <c r="CJ271" s="40">
        <v>1</v>
      </c>
      <c r="CK271" s="9">
        <f t="shared" si="697"/>
        <v>352.79736203897397</v>
      </c>
      <c r="CM271" s="4">
        <f t="shared" si="839"/>
        <v>1.2114030022601903</v>
      </c>
      <c r="CN271" s="4">
        <f t="shared" si="840"/>
        <v>0.85366845179986306</v>
      </c>
      <c r="CO271" s="4">
        <f t="shared" si="814"/>
        <v>0.71854812201195861</v>
      </c>
      <c r="CP271" s="4">
        <f t="shared" si="841"/>
        <v>1.403560420438748</v>
      </c>
      <c r="CQ271" s="4">
        <f t="shared" si="800"/>
        <v>1.0909962422431996</v>
      </c>
      <c r="CR271" s="4">
        <f t="shared" si="801"/>
        <v>1.1108598911062268</v>
      </c>
      <c r="CS271" s="4">
        <f t="shared" si="815"/>
        <v>1.1703923382083732</v>
      </c>
      <c r="CT271" s="4">
        <f t="shared" si="862"/>
        <v>4</v>
      </c>
      <c r="DA271" s="4">
        <f t="shared" si="906"/>
        <v>1.2114030022601903</v>
      </c>
      <c r="DB271" s="4">
        <f t="shared" si="906"/>
        <v>0.85366845179986306</v>
      </c>
      <c r="DC271" s="4">
        <f t="shared" si="907"/>
        <v>1.403560420438748</v>
      </c>
      <c r="DD271" s="4">
        <f t="shared" si="908"/>
        <v>1.1703923382083732</v>
      </c>
      <c r="DE271" s="4">
        <f t="shared" si="909"/>
        <v>1.0909962422431996</v>
      </c>
      <c r="DF271" s="4">
        <f t="shared" si="909"/>
        <v>1.1108598911062268</v>
      </c>
      <c r="DI271" s="4">
        <f t="shared" si="846"/>
        <v>261.36599999999999</v>
      </c>
      <c r="DL271" s="4">
        <f t="shared" si="756"/>
        <v>2.1927071631353337E-5</v>
      </c>
      <c r="DM271" s="4">
        <f t="shared" si="757"/>
        <v>8.182522155550533</v>
      </c>
      <c r="DN271" s="4">
        <f t="shared" si="758"/>
        <v>0.18646274865495269</v>
      </c>
      <c r="DO271" s="4">
        <f t="shared" si="759"/>
        <v>4.1794970464391463</v>
      </c>
      <c r="DP271" s="4">
        <f t="shared" si="760"/>
        <v>6.5000111163899925</v>
      </c>
      <c r="DQ271" s="4">
        <f t="shared" si="761"/>
        <v>7.6829977221807759</v>
      </c>
      <c r="DR271" s="38">
        <f t="shared" si="791"/>
        <v>453.87178673959363</v>
      </c>
      <c r="DS271" s="4">
        <f t="shared" si="762"/>
        <v>1.0000959992100831</v>
      </c>
      <c r="DT271" s="4">
        <f t="shared" si="763"/>
        <v>2.2583179581272428</v>
      </c>
      <c r="DU271" s="4">
        <f t="shared" si="764"/>
        <v>195.12023140042217</v>
      </c>
      <c r="DY271" s="4">
        <f t="shared" si="765"/>
        <v>0.85</v>
      </c>
      <c r="DZ271" s="4">
        <f t="shared" si="766"/>
        <v>1</v>
      </c>
      <c r="EA271" s="4">
        <f t="shared" si="792"/>
        <v>0.99062499999999998</v>
      </c>
      <c r="EB271" s="4">
        <f t="shared" si="767"/>
        <v>0.99062499999999998</v>
      </c>
      <c r="ED271" s="4">
        <f t="shared" si="793"/>
        <v>445.75595694610621</v>
      </c>
      <c r="EE271" s="25">
        <f t="shared" si="794"/>
        <v>193.16149800426129</v>
      </c>
      <c r="EG271" s="4">
        <f t="shared" si="683"/>
        <v>0.84203125000000001</v>
      </c>
      <c r="EH271" s="4">
        <f t="shared" si="795"/>
        <v>8.182522155550533</v>
      </c>
      <c r="EK271" s="4">
        <f t="shared" si="768"/>
        <v>57.361276136431961</v>
      </c>
      <c r="EL271" s="4">
        <f t="shared" si="769"/>
        <v>2.2583179581272428</v>
      </c>
      <c r="EM271" s="4">
        <f t="shared" si="770"/>
        <v>7.6954384657213118E-2</v>
      </c>
      <c r="EP271" s="4">
        <f t="shared" si="863"/>
        <v>7.6954384657213118E-2</v>
      </c>
      <c r="EQ271" s="4">
        <f t="shared" si="698"/>
        <v>0.18615157707937979</v>
      </c>
      <c r="ER271" s="4">
        <f t="shared" si="772"/>
        <v>4.1767057277900994</v>
      </c>
      <c r="ES271" s="4">
        <f t="shared" si="847"/>
        <v>6.4991233439056897</v>
      </c>
      <c r="ET271" s="4">
        <f t="shared" si="774"/>
        <v>138.66322386356802</v>
      </c>
      <c r="EU271" s="4">
        <f t="shared" si="775"/>
        <v>65.341499999999996</v>
      </c>
      <c r="EV271" s="4">
        <f t="shared" si="699"/>
        <v>2.1927071631353337E-5</v>
      </c>
      <c r="EW271" s="4">
        <f t="shared" si="848"/>
        <v>7.683098172710257</v>
      </c>
      <c r="EX271" s="4">
        <f t="shared" si="707"/>
        <v>453.82821958899967</v>
      </c>
      <c r="FG271" s="23">
        <f t="shared" si="878"/>
        <v>1.4</v>
      </c>
      <c r="FH271" s="23">
        <f t="shared" si="878"/>
        <v>1</v>
      </c>
      <c r="FI271" s="23">
        <f t="shared" si="818"/>
        <v>1.2</v>
      </c>
      <c r="FJ271" s="23">
        <f t="shared" si="879"/>
        <v>1.6</v>
      </c>
      <c r="FK271" s="23">
        <f t="shared" si="879"/>
        <v>1.2</v>
      </c>
      <c r="FL271" s="23">
        <f t="shared" si="879"/>
        <v>1.2</v>
      </c>
      <c r="FM271" s="23">
        <f t="shared" si="807"/>
        <v>0</v>
      </c>
      <c r="FN271" s="23"/>
      <c r="FX271" s="4">
        <f t="shared" si="676"/>
        <v>1</v>
      </c>
      <c r="FY271" s="4">
        <f t="shared" si="716"/>
        <v>0.66627906976744189</v>
      </c>
      <c r="FZ271" s="4">
        <f t="shared" si="677"/>
        <v>0.3</v>
      </c>
      <c r="GA271" s="4">
        <f t="shared" si="678"/>
        <v>423.08241230552591</v>
      </c>
    </row>
    <row r="272" spans="1:183" ht="12" customHeight="1" x14ac:dyDescent="0.3">
      <c r="A272" s="25">
        <v>254</v>
      </c>
      <c r="B272" s="4" t="s">
        <v>605</v>
      </c>
      <c r="C272" s="4">
        <v>2016</v>
      </c>
      <c r="D272" s="4" t="s">
        <v>309</v>
      </c>
      <c r="E272" s="24" t="s">
        <v>664</v>
      </c>
      <c r="F272" s="7" t="s">
        <v>410</v>
      </c>
      <c r="G272" s="38">
        <f t="shared" si="903"/>
        <v>889.65517241379314</v>
      </c>
      <c r="H272" s="38">
        <f>10.83*25.4</f>
        <v>275.08199999999999</v>
      </c>
      <c r="I272" s="4">
        <f t="shared" si="850"/>
        <v>275.08199999999999</v>
      </c>
      <c r="J272" s="38">
        <f>8450/145</f>
        <v>58.275862068965516</v>
      </c>
      <c r="K272" s="38">
        <f t="shared" si="851"/>
        <v>25.4</v>
      </c>
      <c r="L272" s="7">
        <f t="shared" si="852"/>
        <v>10.83</v>
      </c>
      <c r="M272" s="7">
        <f t="shared" si="853"/>
        <v>10.83</v>
      </c>
      <c r="N272" s="38">
        <f>13.9*25.4</f>
        <v>353.06</v>
      </c>
      <c r="O272" s="38">
        <f>2.5*25.4</f>
        <v>63.5</v>
      </c>
      <c r="P272" s="39">
        <f>(2.8+3+2.8)/3*25.4</f>
        <v>72.813333333333333</v>
      </c>
      <c r="Q272" s="7">
        <f t="shared" si="854"/>
        <v>74.930000000000007</v>
      </c>
      <c r="R272" s="38">
        <v>3</v>
      </c>
      <c r="S272" s="4">
        <f t="shared" si="826"/>
        <v>260.34999999999997</v>
      </c>
      <c r="T272" s="7">
        <f t="shared" si="855"/>
        <v>1.9750000000000003</v>
      </c>
      <c r="U272" s="7">
        <f t="shared" si="702"/>
        <v>3</v>
      </c>
      <c r="V272" s="38">
        <v>4.0999999999999996</v>
      </c>
      <c r="W272" s="4">
        <f t="shared" si="856"/>
        <v>4.0999999999999996</v>
      </c>
      <c r="X272" s="4">
        <f t="shared" si="857"/>
        <v>5.0999999999999996</v>
      </c>
      <c r="Y272" s="7">
        <f t="shared" si="858"/>
        <v>57.361276136431961</v>
      </c>
      <c r="AB272" s="38">
        <f t="shared" si="885"/>
        <v>512.41379310344826</v>
      </c>
      <c r="AC272" s="4">
        <v>74.3</v>
      </c>
      <c r="AD272" s="4">
        <f t="shared" si="740"/>
        <v>0.98097068748379734</v>
      </c>
      <c r="AE272" s="38">
        <v>0</v>
      </c>
      <c r="AF272" s="38">
        <v>0</v>
      </c>
      <c r="AG272" s="39">
        <f>I272</f>
        <v>275.08199999999999</v>
      </c>
      <c r="AH272" s="39"/>
      <c r="AI272" s="39"/>
      <c r="AJ272" s="7"/>
      <c r="AK272" s="4">
        <f t="shared" si="859"/>
        <v>275.08199999999999</v>
      </c>
      <c r="AL272" s="4">
        <f t="shared" si="779"/>
        <v>0.42782394582948602</v>
      </c>
      <c r="AM272" s="4">
        <f t="shared" si="780"/>
        <v>229.11791256513948</v>
      </c>
      <c r="AN272" s="4">
        <f t="shared" si="781"/>
        <v>0.75540166204986148</v>
      </c>
      <c r="AO272" s="4">
        <v>1.25</v>
      </c>
      <c r="AP272" s="4">
        <f t="shared" si="688"/>
        <v>2.5</v>
      </c>
      <c r="AQ272" s="38">
        <f t="shared" si="827"/>
        <v>231.39399836523808</v>
      </c>
      <c r="AR272" s="38">
        <f t="shared" si="783"/>
        <v>231.39399836523808</v>
      </c>
      <c r="AS272" s="38">
        <f t="shared" si="784"/>
        <v>4.3073554520828159</v>
      </c>
      <c r="AT272" s="38">
        <f t="shared" si="691"/>
        <v>231.39399836523816</v>
      </c>
      <c r="AU272" s="38">
        <f t="shared" ref="AU272:AU335" si="910">AQ272/AT272</f>
        <v>0.99999999999999967</v>
      </c>
      <c r="AV272" s="38">
        <f t="shared" si="692"/>
        <v>2.4324668121122044</v>
      </c>
      <c r="AW272" s="4">
        <f t="shared" si="693"/>
        <v>0</v>
      </c>
      <c r="AX272" s="4">
        <f t="shared" si="860"/>
        <v>435.13018266039529</v>
      </c>
      <c r="AY272" s="4">
        <f t="shared" si="828"/>
        <v>1.2075949367088605</v>
      </c>
      <c r="AZ272" s="38">
        <f t="shared" si="701"/>
        <v>562.85822154538755</v>
      </c>
      <c r="BA272" s="4">
        <f t="shared" si="829"/>
        <v>0.42600000000000005</v>
      </c>
      <c r="BB272" s="4">
        <f t="shared" si="830"/>
        <v>96.853451707464089</v>
      </c>
      <c r="BC272" s="4">
        <f t="shared" si="831"/>
        <v>659.7116732528516</v>
      </c>
      <c r="BE272" s="4">
        <f t="shared" si="689"/>
        <v>1.375</v>
      </c>
      <c r="BF272" s="4">
        <f t="shared" si="690"/>
        <v>655.93012337484447</v>
      </c>
      <c r="BH272" s="4">
        <f t="shared" si="704"/>
        <v>539.84986753720898</v>
      </c>
      <c r="BI272" s="4">
        <f t="shared" si="905"/>
        <v>0</v>
      </c>
      <c r="BJ272" s="4">
        <f t="shared" si="706"/>
        <v>0</v>
      </c>
      <c r="BK272" s="4">
        <f t="shared" si="785"/>
        <v>43.865000000000002</v>
      </c>
      <c r="BL272" s="4">
        <f t="shared" si="786"/>
        <v>43.865000000000002</v>
      </c>
      <c r="BM272" s="4">
        <f t="shared" si="787"/>
        <v>260.34999999999997</v>
      </c>
      <c r="BN272" s="4">
        <f t="shared" si="788"/>
        <v>56.564999999999998</v>
      </c>
      <c r="BO272" s="4">
        <f t="shared" si="789"/>
        <v>1.25</v>
      </c>
      <c r="BP272" s="25">
        <f t="shared" si="790"/>
        <v>2.7837106299212597</v>
      </c>
      <c r="BR272" s="4">
        <f t="shared" si="832"/>
        <v>37.465000000000003</v>
      </c>
      <c r="BV272" s="9"/>
      <c r="BX272" s="9"/>
      <c r="BY272" s="9"/>
      <c r="BZ272" s="9">
        <f t="shared" si="833"/>
        <v>37.465000000000003</v>
      </c>
      <c r="CA272" s="9">
        <f t="shared" si="834"/>
        <v>63.5</v>
      </c>
      <c r="CB272" s="9">
        <f t="shared" si="694"/>
        <v>1.3145230578736085</v>
      </c>
      <c r="CC272" s="40">
        <f t="shared" si="861"/>
        <v>20</v>
      </c>
      <c r="CD272" s="9">
        <f t="shared" si="835"/>
        <v>0</v>
      </c>
      <c r="CE272" s="9">
        <f t="shared" si="836"/>
        <v>0</v>
      </c>
      <c r="CF272" s="9">
        <f t="shared" si="837"/>
        <v>0.99524931562137331</v>
      </c>
      <c r="CG272" s="9">
        <f t="shared" si="838"/>
        <v>0.68</v>
      </c>
      <c r="CH272" s="9">
        <f t="shared" si="695"/>
        <v>1.8082280338026815</v>
      </c>
      <c r="CI272" s="9">
        <f t="shared" si="696"/>
        <v>2.3769574443270836</v>
      </c>
      <c r="CJ272" s="40">
        <v>1</v>
      </c>
      <c r="CK272" s="9">
        <f t="shared" si="697"/>
        <v>245.58724314787429</v>
      </c>
      <c r="CM272" s="4">
        <f t="shared" si="839"/>
        <v>1.1776103187568816</v>
      </c>
      <c r="CN272" s="4">
        <f t="shared" si="840"/>
        <v>0.77672385358421936</v>
      </c>
      <c r="CO272" s="4">
        <f t="shared" si="814"/>
        <v>0.78120180007439466</v>
      </c>
      <c r="CP272" s="4">
        <f t="shared" si="841"/>
        <v>2.086483754349207</v>
      </c>
      <c r="CQ272" s="4">
        <f t="shared" si="800"/>
        <v>0.98097068748379734</v>
      </c>
      <c r="CR272" s="4">
        <f t="shared" si="801"/>
        <v>1.0069882788145434</v>
      </c>
      <c r="CS272" s="4">
        <f t="shared" si="815"/>
        <v>1.2064345058631663</v>
      </c>
      <c r="CT272" s="4">
        <f t="shared" si="862"/>
        <v>0</v>
      </c>
      <c r="CU272" s="4">
        <f t="shared" ref="CU272:CV272" si="911">CM272</f>
        <v>1.1776103187568816</v>
      </c>
      <c r="CV272" s="4">
        <f t="shared" si="911"/>
        <v>0.77672385358421936</v>
      </c>
      <c r="CW272" s="4">
        <f t="shared" ref="CW272" si="912">CP272</f>
        <v>2.086483754349207</v>
      </c>
      <c r="CX272" s="4">
        <f t="shared" ref="CX272" si="913">CS272</f>
        <v>1.2064345058631663</v>
      </c>
      <c r="CY272" s="4">
        <f t="shared" ref="CY272:CZ272" si="914">CQ272</f>
        <v>0.98097068748379734</v>
      </c>
      <c r="CZ272" s="4">
        <f t="shared" si="914"/>
        <v>1.0069882788145434</v>
      </c>
      <c r="DI272" s="4">
        <f t="shared" si="846"/>
        <v>275.08199999999999</v>
      </c>
      <c r="DL272" s="4">
        <f t="shared" si="756"/>
        <v>2.3265261684519301E-5</v>
      </c>
      <c r="DM272" s="4">
        <f t="shared" si="757"/>
        <v>8.6073570806801509</v>
      </c>
      <c r="DN272" s="4">
        <f t="shared" si="758"/>
        <v>0.21615496144591859</v>
      </c>
      <c r="DO272" s="4">
        <f t="shared" si="759"/>
        <v>4.6641864575427334</v>
      </c>
      <c r="DP272" s="4">
        <f t="shared" si="760"/>
        <v>6.9248108117237273</v>
      </c>
      <c r="DQ272" s="4">
        <f t="shared" si="761"/>
        <v>7.9772446899415055</v>
      </c>
      <c r="DR272" s="38">
        <f t="shared" si="791"/>
        <v>522.35382732770165</v>
      </c>
      <c r="DS272" s="4">
        <f t="shared" si="762"/>
        <v>1.0000978733813339</v>
      </c>
      <c r="DT272" s="4">
        <f t="shared" si="763"/>
        <v>2.2583179581272428</v>
      </c>
      <c r="DU272" s="4">
        <f t="shared" si="764"/>
        <v>231.39399836523816</v>
      </c>
      <c r="DY272" s="4">
        <f t="shared" si="765"/>
        <v>0.85</v>
      </c>
      <c r="DZ272" s="4">
        <f t="shared" si="766"/>
        <v>0.95250000000000001</v>
      </c>
      <c r="EA272" s="4">
        <f t="shared" si="792"/>
        <v>1</v>
      </c>
      <c r="EB272" s="4">
        <f t="shared" si="767"/>
        <v>0.95250000000000001</v>
      </c>
      <c r="ED272" s="4">
        <f t="shared" si="793"/>
        <v>508.85775324681737</v>
      </c>
      <c r="EE272" s="25">
        <f t="shared" si="794"/>
        <v>229.20472169551925</v>
      </c>
      <c r="EG272" s="4">
        <f t="shared" si="683"/>
        <v>0.80962500000000004</v>
      </c>
      <c r="EH272" s="4">
        <f t="shared" si="795"/>
        <v>8.6073570806801509</v>
      </c>
      <c r="EK272" s="4">
        <f t="shared" si="768"/>
        <v>57.361276136431961</v>
      </c>
      <c r="EL272" s="4">
        <f t="shared" si="769"/>
        <v>2.2583179581272428</v>
      </c>
      <c r="EM272" s="4">
        <f t="shared" si="770"/>
        <v>9.0228726387557703E-2</v>
      </c>
      <c r="EP272" s="4">
        <f t="shared" si="863"/>
        <v>9.0228726387557703E-2</v>
      </c>
      <c r="EQ272" s="4">
        <f t="shared" si="698"/>
        <v>0.21579423910107379</v>
      </c>
      <c r="ER272" s="4">
        <f t="shared" si="772"/>
        <v>4.6610714342523911</v>
      </c>
      <c r="ES272" s="4">
        <f t="shared" si="847"/>
        <v>6.9237702436815676</v>
      </c>
      <c r="ET272" s="4">
        <f t="shared" si="774"/>
        <v>148.95022386356803</v>
      </c>
      <c r="EU272" s="4">
        <f t="shared" si="775"/>
        <v>68.770499999999998</v>
      </c>
      <c r="EV272" s="4">
        <f t="shared" si="699"/>
        <v>2.3265261684519301E-5</v>
      </c>
      <c r="EW272" s="4">
        <f t="shared" si="848"/>
        <v>7.9773765128186334</v>
      </c>
      <c r="EX272" s="4">
        <f t="shared" si="707"/>
        <v>522.30270779560988</v>
      </c>
      <c r="FG272" s="23">
        <f t="shared" si="878"/>
        <v>1.2</v>
      </c>
      <c r="FH272" s="23">
        <f t="shared" si="878"/>
        <v>0.8</v>
      </c>
      <c r="FI272" s="23">
        <f t="shared" si="818"/>
        <v>1.4</v>
      </c>
      <c r="FJ272" s="23">
        <f t="shared" si="879"/>
        <v>2.2000000000000002</v>
      </c>
      <c r="FK272" s="23">
        <f t="shared" si="879"/>
        <v>1</v>
      </c>
      <c r="FL272" s="23">
        <f t="shared" si="879"/>
        <v>1.2</v>
      </c>
      <c r="FM272" s="23">
        <f t="shared" si="807"/>
        <v>0</v>
      </c>
      <c r="FN272" s="23"/>
      <c r="FX272" s="4">
        <f t="shared" ref="FX272:FX335" si="915">IF(O272&gt;=2.5*25.4,1,1.25)</f>
        <v>1</v>
      </c>
      <c r="FY272" s="4">
        <f t="shared" si="716"/>
        <v>0.70250000000000001</v>
      </c>
      <c r="FZ272" s="4">
        <f t="shared" ref="FZ272:FZ335" si="916">MIN(0.3, AE272^2*PI()/4*2*AH272/(K272^2*PI()/4*R272))</f>
        <v>0</v>
      </c>
      <c r="GA272" s="4">
        <f t="shared" ref="GA272:GA335" si="917">(H272/25.4)/(K272/25.4)^1.5/0.0024*(J272*145)^0.25/FX272/FY272/145</f>
        <v>424.73403289872925</v>
      </c>
    </row>
    <row r="273" spans="1:183" ht="12" customHeight="1" x14ac:dyDescent="0.3">
      <c r="A273" s="25">
        <v>255</v>
      </c>
      <c r="B273" s="4" t="s">
        <v>605</v>
      </c>
      <c r="C273" s="4">
        <v>2016</v>
      </c>
      <c r="D273" s="4" t="s">
        <v>309</v>
      </c>
      <c r="E273" s="24" t="s">
        <v>664</v>
      </c>
      <c r="F273" s="7" t="s">
        <v>411</v>
      </c>
      <c r="G273" s="38">
        <f t="shared" si="903"/>
        <v>889.65517241379314</v>
      </c>
      <c r="H273" s="38">
        <f>9.88*25.4</f>
        <v>250.952</v>
      </c>
      <c r="I273" s="4">
        <f t="shared" si="850"/>
        <v>250.952</v>
      </c>
      <c r="J273" s="38">
        <f>8050/145</f>
        <v>55.517241379310342</v>
      </c>
      <c r="K273" s="38">
        <f t="shared" si="851"/>
        <v>25.4</v>
      </c>
      <c r="L273" s="7">
        <f t="shared" si="852"/>
        <v>9.8800000000000008</v>
      </c>
      <c r="M273" s="7">
        <f t="shared" si="853"/>
        <v>9.8800000000000008</v>
      </c>
      <c r="N273" s="38">
        <f>13.8*25.4</f>
        <v>350.52</v>
      </c>
      <c r="O273" s="38">
        <f>2.4*25.4</f>
        <v>60.959999999999994</v>
      </c>
      <c r="P273" s="39">
        <f>(3.4+3.5+2.9)/3*25.4</f>
        <v>82.973333333333343</v>
      </c>
      <c r="Q273" s="7">
        <f t="shared" si="854"/>
        <v>76.2</v>
      </c>
      <c r="R273" s="38">
        <v>3</v>
      </c>
      <c r="S273" s="4">
        <f t="shared" si="826"/>
        <v>260.34999999999997</v>
      </c>
      <c r="T273" s="7">
        <f t="shared" si="855"/>
        <v>2</v>
      </c>
      <c r="U273" s="7">
        <f t="shared" si="702"/>
        <v>2.9</v>
      </c>
      <c r="V273" s="38">
        <v>4.0999999999999996</v>
      </c>
      <c r="W273" s="4">
        <f t="shared" si="856"/>
        <v>4.0999999999999996</v>
      </c>
      <c r="X273" s="4">
        <f t="shared" si="857"/>
        <v>5.0999999999999996</v>
      </c>
      <c r="Y273" s="7">
        <f t="shared" si="858"/>
        <v>57.361276136431961</v>
      </c>
      <c r="AB273" s="38">
        <f t="shared" si="885"/>
        <v>484.82758620689657</v>
      </c>
      <c r="AC273" s="4">
        <v>70.3</v>
      </c>
      <c r="AD273" s="4">
        <f t="shared" si="740"/>
        <v>1.0184221931806774</v>
      </c>
      <c r="AE273" s="38">
        <f t="shared" ref="AE273:AE274" si="918">0.375*25.4</f>
        <v>9.5249999999999986</v>
      </c>
      <c r="AF273" s="38">
        <v>4</v>
      </c>
      <c r="AG273" s="39">
        <f>5*25.4</f>
        <v>127</v>
      </c>
      <c r="AH273" s="39">
        <v>2</v>
      </c>
      <c r="AI273" s="39">
        <v>1</v>
      </c>
      <c r="AJ273" s="7"/>
      <c r="AK273" s="4">
        <f t="shared" si="859"/>
        <v>250.952</v>
      </c>
      <c r="AL273" s="4">
        <f t="shared" si="779"/>
        <v>0.46558704453441296</v>
      </c>
      <c r="AM273" s="4">
        <f t="shared" si="780"/>
        <v>194.8594002652321</v>
      </c>
      <c r="AN273" s="4">
        <f t="shared" si="781"/>
        <v>0.75870445344129545</v>
      </c>
      <c r="AO273" s="4">
        <v>1.25</v>
      </c>
      <c r="AP273" s="4">
        <f t="shared" si="688"/>
        <v>2.5</v>
      </c>
      <c r="AQ273" s="38">
        <f t="shared" si="827"/>
        <v>215.10222544604159</v>
      </c>
      <c r="AR273" s="38">
        <f t="shared" si="783"/>
        <v>215.10222544604159</v>
      </c>
      <c r="AS273" s="38">
        <f t="shared" si="784"/>
        <v>4.2292619080870573</v>
      </c>
      <c r="AT273" s="38">
        <f t="shared" si="691"/>
        <v>215.10222544604153</v>
      </c>
      <c r="AU273" s="38">
        <f t="shared" si="910"/>
        <v>1.0000000000000002</v>
      </c>
      <c r="AV273" s="38">
        <f t="shared" si="692"/>
        <v>2.4667032243750677</v>
      </c>
      <c r="AW273" s="4">
        <f t="shared" si="693"/>
        <v>0</v>
      </c>
      <c r="AX273" s="4">
        <f t="shared" si="860"/>
        <v>387.45144300886943</v>
      </c>
      <c r="AY273" s="4">
        <f t="shared" si="828"/>
        <v>1.18</v>
      </c>
      <c r="AZ273" s="38">
        <f t="shared" si="701"/>
        <v>530.59335307800336</v>
      </c>
      <c r="BA273" s="4">
        <f t="shared" si="829"/>
        <v>0.42600000000000005</v>
      </c>
      <c r="BB273" s="4">
        <f t="shared" si="830"/>
        <v>86.240879442129199</v>
      </c>
      <c r="BC273" s="4">
        <f t="shared" si="831"/>
        <v>616.83423252013256</v>
      </c>
      <c r="BE273" s="4">
        <f t="shared" si="689"/>
        <v>1.5</v>
      </c>
      <c r="BF273" s="4">
        <f t="shared" si="690"/>
        <v>666.56550176102803</v>
      </c>
      <c r="BH273" s="4">
        <f t="shared" si="704"/>
        <v>508.90391294068667</v>
      </c>
      <c r="BI273" s="4">
        <f t="shared" si="905"/>
        <v>0</v>
      </c>
      <c r="BJ273" s="4">
        <f t="shared" si="706"/>
        <v>0</v>
      </c>
      <c r="BK273" s="4">
        <f t="shared" si="785"/>
        <v>44.5</v>
      </c>
      <c r="BL273" s="4">
        <f t="shared" si="786"/>
        <v>44.5</v>
      </c>
      <c r="BM273" s="4">
        <f t="shared" si="787"/>
        <v>260.34999999999997</v>
      </c>
      <c r="BN273" s="4">
        <f t="shared" si="788"/>
        <v>57.2</v>
      </c>
      <c r="BO273" s="4">
        <f t="shared" si="789"/>
        <v>1.25</v>
      </c>
      <c r="BP273" s="25">
        <f t="shared" si="790"/>
        <v>3.4614595900465113</v>
      </c>
      <c r="BR273" s="4">
        <f t="shared" si="832"/>
        <v>38.1</v>
      </c>
      <c r="BV273" s="9"/>
      <c r="BX273" s="9"/>
      <c r="BY273" s="9"/>
      <c r="BZ273" s="9">
        <f t="shared" si="833"/>
        <v>38.1</v>
      </c>
      <c r="CA273" s="9">
        <f t="shared" si="834"/>
        <v>60.959999999999994</v>
      </c>
      <c r="CB273" s="9">
        <f t="shared" si="694"/>
        <v>1.3142065486214438</v>
      </c>
      <c r="CC273" s="40">
        <f t="shared" si="861"/>
        <v>20</v>
      </c>
      <c r="CD273" s="9">
        <f t="shared" si="835"/>
        <v>0.05</v>
      </c>
      <c r="CE273" s="9">
        <f t="shared" si="836"/>
        <v>0.8</v>
      </c>
      <c r="CF273" s="9">
        <f t="shared" si="837"/>
        <v>0.99524931562137331</v>
      </c>
      <c r="CG273" s="9">
        <f t="shared" si="838"/>
        <v>0.68</v>
      </c>
      <c r="CH273" s="9">
        <f t="shared" si="695"/>
        <v>1.7649108936707618</v>
      </c>
      <c r="CI273" s="9">
        <f t="shared" si="696"/>
        <v>3.7313861691320489</v>
      </c>
      <c r="CJ273" s="40">
        <v>1</v>
      </c>
      <c r="CK273" s="9">
        <f t="shared" si="697"/>
        <v>371.34755155202151</v>
      </c>
      <c r="CM273" s="4">
        <f t="shared" si="839"/>
        <v>1.2513247658643978</v>
      </c>
      <c r="CN273" s="4">
        <f t="shared" si="840"/>
        <v>0.7859933198358483</v>
      </c>
      <c r="CO273" s="4">
        <f t="shared" si="814"/>
        <v>0.72735175301753507</v>
      </c>
      <c r="CP273" s="4">
        <f t="shared" si="841"/>
        <v>1.3055898286674923</v>
      </c>
      <c r="CQ273" s="4">
        <f t="shared" si="800"/>
        <v>1.0184221931806774</v>
      </c>
      <c r="CR273" s="4">
        <f t="shared" si="801"/>
        <v>1.0429659273597731</v>
      </c>
      <c r="CS273" s="4">
        <f t="shared" si="815"/>
        <v>1.4674396207834461</v>
      </c>
      <c r="CT273" s="4">
        <f t="shared" si="862"/>
        <v>4</v>
      </c>
      <c r="DA273" s="4">
        <f t="shared" ref="DA273:DB274" si="919">CM273</f>
        <v>1.2513247658643978</v>
      </c>
      <c r="DB273" s="4">
        <f t="shared" si="919"/>
        <v>0.7859933198358483</v>
      </c>
      <c r="DC273" s="4">
        <f t="shared" ref="DC273:DC274" si="920">CP273</f>
        <v>1.3055898286674923</v>
      </c>
      <c r="DD273" s="4">
        <f t="shared" ref="DD273:DD274" si="921">CS273</f>
        <v>1.4674396207834461</v>
      </c>
      <c r="DE273" s="4">
        <f t="shared" ref="DE273:DF274" si="922">CQ273</f>
        <v>1.0184221931806774</v>
      </c>
      <c r="DF273" s="4">
        <f t="shared" si="922"/>
        <v>1.0429659273597731</v>
      </c>
      <c r="DI273" s="4">
        <f t="shared" si="846"/>
        <v>250.952</v>
      </c>
      <c r="DL273" s="4">
        <f t="shared" si="756"/>
        <v>2.0865275046333813E-5</v>
      </c>
      <c r="DM273" s="4">
        <f t="shared" si="757"/>
        <v>8.5029867268035648</v>
      </c>
      <c r="DN273" s="4">
        <f t="shared" si="758"/>
        <v>0.21092052812996231</v>
      </c>
      <c r="DO273" s="4">
        <f t="shared" si="759"/>
        <v>4.562669811822742</v>
      </c>
      <c r="DP273" s="4">
        <f t="shared" si="760"/>
        <v>6.8258795481024821</v>
      </c>
      <c r="DQ273" s="4">
        <f t="shared" si="761"/>
        <v>8.0040946708095877</v>
      </c>
      <c r="DR273" s="38">
        <f t="shared" si="791"/>
        <v>476.05756183760201</v>
      </c>
      <c r="DS273" s="4">
        <f t="shared" si="762"/>
        <v>1.0000993058875141</v>
      </c>
      <c r="DT273" s="4">
        <f t="shared" si="763"/>
        <v>2.2583179581272428</v>
      </c>
      <c r="DU273" s="4">
        <f t="shared" si="764"/>
        <v>215.10222544604153</v>
      </c>
      <c r="DY273" s="4">
        <f t="shared" si="765"/>
        <v>0.85</v>
      </c>
      <c r="DZ273" s="4">
        <f t="shared" si="766"/>
        <v>0.95</v>
      </c>
      <c r="EA273" s="4">
        <f t="shared" si="792"/>
        <v>0.99062499999999998</v>
      </c>
      <c r="EB273" s="4">
        <f t="shared" si="767"/>
        <v>0.94109374999999995</v>
      </c>
      <c r="ED273" s="4">
        <f t="shared" si="793"/>
        <v>464.85467404886219</v>
      </c>
      <c r="EE273" s="25">
        <f t="shared" si="794"/>
        <v>212.82614746640451</v>
      </c>
      <c r="EG273" s="4">
        <f t="shared" si="683"/>
        <v>0.79992968749999993</v>
      </c>
      <c r="EH273" s="4">
        <f t="shared" si="795"/>
        <v>8.5029867268035648</v>
      </c>
      <c r="EK273" s="4">
        <f t="shared" si="768"/>
        <v>57.361276136431961</v>
      </c>
      <c r="EL273" s="4">
        <f t="shared" si="769"/>
        <v>2.2583179581272428</v>
      </c>
      <c r="EM273" s="4">
        <f t="shared" si="770"/>
        <v>8.5934598964507822E-2</v>
      </c>
      <c r="EP273" s="4">
        <f t="shared" si="863"/>
        <v>8.5934598964507822E-2</v>
      </c>
      <c r="EQ273" s="4">
        <f t="shared" si="698"/>
        <v>0.21056854107875611</v>
      </c>
      <c r="ER273" s="4">
        <f t="shared" si="772"/>
        <v>4.5596225874333776</v>
      </c>
      <c r="ES273" s="4">
        <f t="shared" si="847"/>
        <v>6.8248697622439156</v>
      </c>
      <c r="ET273" s="4">
        <f t="shared" si="774"/>
        <v>130.85272386356803</v>
      </c>
      <c r="EU273" s="4">
        <f t="shared" si="775"/>
        <v>62.738</v>
      </c>
      <c r="EV273" s="4">
        <f t="shared" si="699"/>
        <v>2.0865275046333813E-5</v>
      </c>
      <c r="EW273" s="4">
        <f t="shared" si="848"/>
        <v>8.0042023797674791</v>
      </c>
      <c r="EX273" s="4">
        <f t="shared" si="707"/>
        <v>476.01029121316731</v>
      </c>
      <c r="FG273" s="23">
        <f t="shared" si="878"/>
        <v>1.4</v>
      </c>
      <c r="FH273" s="23">
        <f t="shared" si="878"/>
        <v>0.8</v>
      </c>
      <c r="FI273" s="23">
        <f t="shared" si="818"/>
        <v>1.6</v>
      </c>
      <c r="FJ273" s="23">
        <f t="shared" si="879"/>
        <v>1.4</v>
      </c>
      <c r="FK273" s="23">
        <f t="shared" si="879"/>
        <v>1.2</v>
      </c>
      <c r="FL273" s="23">
        <f t="shared" si="879"/>
        <v>1.2</v>
      </c>
      <c r="FM273" s="23">
        <f t="shared" si="807"/>
        <v>0</v>
      </c>
      <c r="FN273" s="23"/>
      <c r="FX273" s="4">
        <f t="shared" si="915"/>
        <v>1.25</v>
      </c>
      <c r="FY273" s="4">
        <f t="shared" si="716"/>
        <v>0.65116279069767447</v>
      </c>
      <c r="FZ273" s="4">
        <f t="shared" si="916"/>
        <v>0.18749999999999997</v>
      </c>
      <c r="GA273" s="4">
        <f t="shared" si="917"/>
        <v>330.39014303570031</v>
      </c>
    </row>
    <row r="274" spans="1:183" ht="12" customHeight="1" x14ac:dyDescent="0.3">
      <c r="A274" s="25">
        <v>256</v>
      </c>
      <c r="B274" s="4" t="s">
        <v>605</v>
      </c>
      <c r="C274" s="4">
        <v>2016</v>
      </c>
      <c r="D274" s="4" t="s">
        <v>309</v>
      </c>
      <c r="E274" s="24" t="s">
        <v>664</v>
      </c>
      <c r="F274" s="7" t="s">
        <v>412</v>
      </c>
      <c r="G274" s="38">
        <f t="shared" si="903"/>
        <v>889.65517241379314</v>
      </c>
      <c r="H274" s="38">
        <f>10.33*25.4</f>
        <v>262.38200000000001</v>
      </c>
      <c r="I274" s="4">
        <f t="shared" si="850"/>
        <v>262.38200000000001</v>
      </c>
      <c r="J274" s="38">
        <f>8050/145</f>
        <v>55.517241379310342</v>
      </c>
      <c r="K274" s="38">
        <f t="shared" si="851"/>
        <v>25.4</v>
      </c>
      <c r="L274" s="7">
        <f t="shared" si="852"/>
        <v>10.33</v>
      </c>
      <c r="M274" s="7">
        <f t="shared" si="853"/>
        <v>10.33</v>
      </c>
      <c r="N274" s="38">
        <f>14.3*25.4</f>
        <v>363.21999999999997</v>
      </c>
      <c r="O274" s="38">
        <f>2.5*25.4</f>
        <v>63.5</v>
      </c>
      <c r="P274" s="39">
        <f>(3.8+3+3.5)/3*25.4</f>
        <v>87.206666666666663</v>
      </c>
      <c r="Q274" s="7">
        <f t="shared" si="854"/>
        <v>80.009999999999991</v>
      </c>
      <c r="R274" s="38">
        <v>3</v>
      </c>
      <c r="S274" s="4">
        <f t="shared" si="826"/>
        <v>260.34999999999997</v>
      </c>
      <c r="T274" s="7">
        <f t="shared" si="855"/>
        <v>2.0750000000000002</v>
      </c>
      <c r="U274" s="7">
        <f t="shared" si="702"/>
        <v>3</v>
      </c>
      <c r="V274" s="38">
        <v>4.0999999999999996</v>
      </c>
      <c r="W274" s="4">
        <f t="shared" si="856"/>
        <v>4.0999999999999996</v>
      </c>
      <c r="X274" s="4">
        <f t="shared" si="857"/>
        <v>5.0999999999999996</v>
      </c>
      <c r="Y274" s="7">
        <f t="shared" si="858"/>
        <v>57.361276136431961</v>
      </c>
      <c r="AB274" s="38">
        <f t="shared" si="885"/>
        <v>609.65517241379314</v>
      </c>
      <c r="AC274" s="4">
        <v>88.4</v>
      </c>
      <c r="AD274" s="4">
        <f t="shared" si="740"/>
        <v>1.2076437156812905</v>
      </c>
      <c r="AE274" s="38">
        <f t="shared" si="918"/>
        <v>9.5249999999999986</v>
      </c>
      <c r="AF274" s="38">
        <v>4</v>
      </c>
      <c r="AG274" s="39">
        <f>5*25.4</f>
        <v>127</v>
      </c>
      <c r="AH274" s="39">
        <f>2+2</f>
        <v>4</v>
      </c>
      <c r="AI274" s="39">
        <v>1</v>
      </c>
      <c r="AJ274" s="7"/>
      <c r="AK274" s="4">
        <f t="shared" si="859"/>
        <v>262.38200000000001</v>
      </c>
      <c r="AL274" s="4">
        <f t="shared" si="779"/>
        <v>0.46143917392707318</v>
      </c>
      <c r="AM274" s="4">
        <f t="shared" si="780"/>
        <v>208.32261906910756</v>
      </c>
      <c r="AN274" s="4">
        <f t="shared" si="781"/>
        <v>0.75808325266214904</v>
      </c>
      <c r="AO274" s="4">
        <v>1.25</v>
      </c>
      <c r="AP274" s="4">
        <f t="shared" si="688"/>
        <v>2.5</v>
      </c>
      <c r="AQ274" s="38">
        <f t="shared" si="827"/>
        <v>227.72872377563311</v>
      </c>
      <c r="AR274" s="38">
        <f t="shared" si="783"/>
        <v>227.72872377563311</v>
      </c>
      <c r="AS274" s="38">
        <f t="shared" si="784"/>
        <v>4.2292619080870573</v>
      </c>
      <c r="AT274" s="38">
        <f t="shared" si="691"/>
        <v>227.72872377563314</v>
      </c>
      <c r="AU274" s="38">
        <f t="shared" si="910"/>
        <v>0.99999999999999989</v>
      </c>
      <c r="AV274" s="38">
        <f t="shared" si="692"/>
        <v>2.4138531924417204</v>
      </c>
      <c r="AW274" s="4">
        <f t="shared" si="693"/>
        <v>0</v>
      </c>
      <c r="AX274" s="4">
        <f t="shared" si="860"/>
        <v>405.09852290299807</v>
      </c>
      <c r="AY274" s="4">
        <f t="shared" si="828"/>
        <v>1.1783132530120481</v>
      </c>
      <c r="AZ274" s="38">
        <f t="shared" si="701"/>
        <v>549.70370689649076</v>
      </c>
      <c r="BA274" s="4">
        <f t="shared" si="829"/>
        <v>0.42600000000000005</v>
      </c>
      <c r="BB274" s="4">
        <f t="shared" si="830"/>
        <v>90.168854720363839</v>
      </c>
      <c r="BC274" s="4">
        <f t="shared" si="831"/>
        <v>639.87256161685457</v>
      </c>
      <c r="BE274" s="4">
        <f t="shared" si="689"/>
        <v>1.5</v>
      </c>
      <c r="BF274" s="4">
        <f t="shared" si="690"/>
        <v>681.65375507050805</v>
      </c>
      <c r="BH274" s="4">
        <f t="shared" si="704"/>
        <v>527.23307929660132</v>
      </c>
      <c r="BI274" s="4">
        <f t="shared" si="905"/>
        <v>0</v>
      </c>
      <c r="BJ274" s="4">
        <f t="shared" si="706"/>
        <v>0</v>
      </c>
      <c r="BK274" s="4">
        <f t="shared" si="785"/>
        <v>46.404999999999994</v>
      </c>
      <c r="BL274" s="4">
        <f t="shared" si="786"/>
        <v>46.404999999999994</v>
      </c>
      <c r="BM274" s="4">
        <f t="shared" si="787"/>
        <v>260.34999999999997</v>
      </c>
      <c r="BN274" s="4">
        <f t="shared" si="788"/>
        <v>59.10499999999999</v>
      </c>
      <c r="BO274" s="4">
        <f t="shared" si="789"/>
        <v>1.25</v>
      </c>
      <c r="BP274" s="25">
        <f t="shared" si="790"/>
        <v>3.5552095900465113</v>
      </c>
      <c r="BR274" s="4">
        <f t="shared" si="832"/>
        <v>40.004999999999995</v>
      </c>
      <c r="BV274" s="9"/>
      <c r="BX274" s="9"/>
      <c r="BY274" s="9"/>
      <c r="BZ274" s="9">
        <f t="shared" si="833"/>
        <v>40.004999999999995</v>
      </c>
      <c r="CA274" s="9">
        <f t="shared" si="834"/>
        <v>63.5</v>
      </c>
      <c r="CB274" s="9">
        <f t="shared" si="694"/>
        <v>1.3450523780427719</v>
      </c>
      <c r="CC274" s="40">
        <f t="shared" si="861"/>
        <v>20</v>
      </c>
      <c r="CD274" s="9">
        <f t="shared" si="835"/>
        <v>0.05</v>
      </c>
      <c r="CE274" s="9">
        <f t="shared" si="836"/>
        <v>0.8</v>
      </c>
      <c r="CF274" s="9">
        <f t="shared" si="837"/>
        <v>0.99524931562137331</v>
      </c>
      <c r="CG274" s="9">
        <f t="shared" si="838"/>
        <v>0.68</v>
      </c>
      <c r="CH274" s="9">
        <f t="shared" si="695"/>
        <v>1.7649108936707618</v>
      </c>
      <c r="CI274" s="9">
        <f t="shared" si="696"/>
        <v>3.7858263095020614</v>
      </c>
      <c r="CJ274" s="40">
        <v>1</v>
      </c>
      <c r="CK274" s="9">
        <f t="shared" si="697"/>
        <v>383.57992167874886</v>
      </c>
      <c r="CM274" s="4">
        <f t="shared" si="839"/>
        <v>1.5049553082665195</v>
      </c>
      <c r="CN274" s="4">
        <f t="shared" si="840"/>
        <v>0.95277592599578431</v>
      </c>
      <c r="CO274" s="4">
        <f t="shared" si="814"/>
        <v>0.89437660671396491</v>
      </c>
      <c r="CP274" s="4">
        <f t="shared" si="841"/>
        <v>1.5893823893222023</v>
      </c>
      <c r="CQ274" s="4">
        <f t="shared" si="800"/>
        <v>1.2076437156812905</v>
      </c>
      <c r="CR274" s="4">
        <f t="shared" si="801"/>
        <v>1.2415241895472264</v>
      </c>
      <c r="CS274" s="4">
        <f t="shared" si="815"/>
        <v>1.3339172849165912</v>
      </c>
      <c r="CT274" s="4">
        <f t="shared" si="862"/>
        <v>4</v>
      </c>
      <c r="DA274" s="4">
        <f t="shared" si="919"/>
        <v>1.5049553082665195</v>
      </c>
      <c r="DB274" s="4">
        <f t="shared" si="919"/>
        <v>0.95277592599578431</v>
      </c>
      <c r="DC274" s="4">
        <f t="shared" si="920"/>
        <v>1.5893823893222023</v>
      </c>
      <c r="DD274" s="4">
        <f t="shared" si="921"/>
        <v>1.3339172849165912</v>
      </c>
      <c r="DE274" s="4">
        <f t="shared" si="922"/>
        <v>1.2076437156812905</v>
      </c>
      <c r="DF274" s="4">
        <f t="shared" si="922"/>
        <v>1.2415241895472264</v>
      </c>
      <c r="DI274" s="4">
        <f t="shared" si="846"/>
        <v>262.38200000000001</v>
      </c>
      <c r="DL274" s="4">
        <f t="shared" si="756"/>
        <v>2.1815616521116227E-5</v>
      </c>
      <c r="DM274" s="4">
        <f t="shared" si="757"/>
        <v>8.5706497511547859</v>
      </c>
      <c r="DN274" s="4">
        <f t="shared" si="758"/>
        <v>0.22330156087189282</v>
      </c>
      <c r="DO274" s="4">
        <f t="shared" si="759"/>
        <v>4.7051172574974487</v>
      </c>
      <c r="DP274" s="4">
        <f t="shared" si="760"/>
        <v>6.9157100883065903</v>
      </c>
      <c r="DQ274" s="4">
        <f t="shared" si="761"/>
        <v>8.0109035794534709</v>
      </c>
      <c r="DR274" s="38">
        <f t="shared" si="791"/>
        <v>504.83032743631429</v>
      </c>
      <c r="DS274" s="4">
        <f t="shared" si="762"/>
        <v>1.0000998978203688</v>
      </c>
      <c r="DT274" s="4">
        <f t="shared" si="763"/>
        <v>2.2583179581272428</v>
      </c>
      <c r="DU274" s="4">
        <f t="shared" si="764"/>
        <v>227.72872377563314</v>
      </c>
      <c r="DY274" s="4">
        <f t="shared" si="765"/>
        <v>0.85</v>
      </c>
      <c r="DZ274" s="4">
        <f t="shared" si="766"/>
        <v>0.9425</v>
      </c>
      <c r="EA274" s="4">
        <f t="shared" si="792"/>
        <v>0.99062499999999998</v>
      </c>
      <c r="EB274" s="4">
        <f t="shared" si="767"/>
        <v>0.9336640625</v>
      </c>
      <c r="ED274" s="4">
        <f t="shared" si="793"/>
        <v>491.05380108311005</v>
      </c>
      <c r="EE274" s="25">
        <f t="shared" si="794"/>
        <v>225.44936529482322</v>
      </c>
      <c r="EG274" s="4">
        <f t="shared" si="683"/>
        <v>0.79361445312500001</v>
      </c>
      <c r="EH274" s="4">
        <f t="shared" si="795"/>
        <v>8.5706497511547859</v>
      </c>
      <c r="EK274" s="4">
        <f t="shared" si="768"/>
        <v>57.361276136431961</v>
      </c>
      <c r="EL274" s="4">
        <f t="shared" si="769"/>
        <v>2.2583179581272428</v>
      </c>
      <c r="EM274" s="4">
        <f t="shared" si="770"/>
        <v>9.097895900322657E-2</v>
      </c>
      <c r="EP274" s="4">
        <f t="shared" si="863"/>
        <v>9.097895900322657E-2</v>
      </c>
      <c r="EQ274" s="4">
        <f t="shared" si="698"/>
        <v>0.22292891218455113</v>
      </c>
      <c r="ER274" s="4">
        <f t="shared" si="772"/>
        <v>4.7019748981654814</v>
      </c>
      <c r="ES274" s="4">
        <f t="shared" si="847"/>
        <v>6.9146492330903513</v>
      </c>
      <c r="ET274" s="4">
        <f t="shared" si="774"/>
        <v>139.42522386356802</v>
      </c>
      <c r="EU274" s="4">
        <f t="shared" si="775"/>
        <v>65.595500000000015</v>
      </c>
      <c r="EV274" s="4">
        <f t="shared" si="699"/>
        <v>2.1815616521116233E-5</v>
      </c>
      <c r="EW274" s="4">
        <f t="shared" si="848"/>
        <v>8.0110248073112391</v>
      </c>
      <c r="EX274" s="4">
        <f t="shared" si="707"/>
        <v>504.77990102443596</v>
      </c>
      <c r="FG274" s="23">
        <f t="shared" si="878"/>
        <v>1.6</v>
      </c>
      <c r="FH274" s="23">
        <f t="shared" si="878"/>
        <v>1</v>
      </c>
      <c r="FI274" s="23">
        <f t="shared" si="818"/>
        <v>1.4</v>
      </c>
      <c r="FJ274" s="23">
        <f t="shared" si="879"/>
        <v>1.6</v>
      </c>
      <c r="FK274" s="23">
        <f t="shared" si="879"/>
        <v>1.4</v>
      </c>
      <c r="FL274" s="23">
        <f t="shared" si="879"/>
        <v>1.4</v>
      </c>
      <c r="FM274" s="23">
        <f t="shared" si="807"/>
        <v>0</v>
      </c>
      <c r="FN274" s="23"/>
      <c r="FX274" s="4">
        <f t="shared" si="915"/>
        <v>1</v>
      </c>
      <c r="FY274" s="4">
        <f t="shared" si="716"/>
        <v>0.61519767441860462</v>
      </c>
      <c r="FZ274" s="4">
        <f t="shared" si="916"/>
        <v>0.3</v>
      </c>
      <c r="GA274" s="4">
        <f t="shared" si="917"/>
        <v>457.04121185588684</v>
      </c>
    </row>
    <row r="275" spans="1:183" ht="12" customHeight="1" x14ac:dyDescent="0.3">
      <c r="A275" s="25">
        <v>257</v>
      </c>
      <c r="B275" s="4" t="s">
        <v>605</v>
      </c>
      <c r="C275" s="4">
        <v>2016</v>
      </c>
      <c r="D275" s="4" t="s">
        <v>309</v>
      </c>
      <c r="E275" s="24" t="s">
        <v>664</v>
      </c>
      <c r="F275" s="7" t="s">
        <v>413</v>
      </c>
      <c r="G275" s="38">
        <f t="shared" si="903"/>
        <v>889.65517241379314</v>
      </c>
      <c r="H275" s="38">
        <f>10.35*25.4</f>
        <v>262.89</v>
      </c>
      <c r="I275" s="4">
        <f t="shared" si="850"/>
        <v>262.89</v>
      </c>
      <c r="J275" s="38">
        <f>8050/145</f>
        <v>55.517241379310342</v>
      </c>
      <c r="K275" s="38">
        <f t="shared" si="851"/>
        <v>25.4</v>
      </c>
      <c r="L275" s="7">
        <f t="shared" si="852"/>
        <v>10.35</v>
      </c>
      <c r="M275" s="7">
        <f t="shared" si="853"/>
        <v>10.35</v>
      </c>
      <c r="N275" s="38">
        <f>15.9*25.4</f>
        <v>403.86</v>
      </c>
      <c r="O275" s="38">
        <f>2.45*25.4</f>
        <v>62.230000000000004</v>
      </c>
      <c r="P275" s="39">
        <f>(3.2+3.3+3.5)/3*25.4</f>
        <v>84.666666666666671</v>
      </c>
      <c r="Q275" s="7">
        <f t="shared" si="854"/>
        <v>101.60000000000001</v>
      </c>
      <c r="R275" s="38">
        <v>3</v>
      </c>
      <c r="S275" s="4">
        <f t="shared" si="826"/>
        <v>260.34999999999997</v>
      </c>
      <c r="T275" s="7">
        <f t="shared" si="855"/>
        <v>2.5000000000000004</v>
      </c>
      <c r="U275" s="7">
        <f t="shared" si="702"/>
        <v>2.95</v>
      </c>
      <c r="V275" s="38">
        <v>4.0999999999999996</v>
      </c>
      <c r="W275" s="4">
        <f t="shared" si="856"/>
        <v>4.0999999999999996</v>
      </c>
      <c r="X275" s="4">
        <f t="shared" si="857"/>
        <v>5.0999999999999996</v>
      </c>
      <c r="Y275" s="7">
        <f t="shared" si="858"/>
        <v>57.361276136431961</v>
      </c>
      <c r="AB275" s="38">
        <f t="shared" si="885"/>
        <v>558.62068965517244</v>
      </c>
      <c r="AC275" s="4">
        <v>81</v>
      </c>
      <c r="AD275" s="4">
        <f t="shared" si="740"/>
        <v>1.026278911927931</v>
      </c>
      <c r="AE275" s="38">
        <v>0</v>
      </c>
      <c r="AF275" s="38">
        <v>0</v>
      </c>
      <c r="AG275" s="39">
        <f>I275</f>
        <v>262.89</v>
      </c>
      <c r="AH275" s="39"/>
      <c r="AI275" s="39"/>
      <c r="AJ275" s="7"/>
      <c r="AK275" s="4">
        <f t="shared" si="859"/>
        <v>262.89</v>
      </c>
      <c r="AL275" s="4">
        <f t="shared" si="779"/>
        <v>0.5120772946859905</v>
      </c>
      <c r="AM275" s="4">
        <f t="shared" si="780"/>
        <v>208.92791457835131</v>
      </c>
      <c r="AN275" s="4">
        <f t="shared" si="781"/>
        <v>0.75700483091787441</v>
      </c>
      <c r="AO275" s="4">
        <v>1.25</v>
      </c>
      <c r="AP275" s="4">
        <f t="shared" si="688"/>
        <v>2.5</v>
      </c>
      <c r="AQ275" s="38">
        <f t="shared" si="827"/>
        <v>253.09330780249627</v>
      </c>
      <c r="AR275" s="38">
        <f t="shared" si="783"/>
        <v>253.09330780249627</v>
      </c>
      <c r="AS275" s="38">
        <f t="shared" si="784"/>
        <v>4.2292619080870573</v>
      </c>
      <c r="AT275" s="38">
        <f t="shared" si="691"/>
        <v>253.0933078024959</v>
      </c>
      <c r="AU275" s="38">
        <f t="shared" si="910"/>
        <v>1.0000000000000016</v>
      </c>
      <c r="AV275" s="38">
        <f t="shared" si="692"/>
        <v>2.3806959565383146</v>
      </c>
      <c r="AW275" s="4">
        <f t="shared" si="693"/>
        <v>0</v>
      </c>
      <c r="AX275" s="4">
        <f t="shared" si="860"/>
        <v>405.88283756495929</v>
      </c>
      <c r="AY275" s="4">
        <f t="shared" si="828"/>
        <v>1.0720000000000001</v>
      </c>
      <c r="AZ275" s="38">
        <f t="shared" si="701"/>
        <v>602.53821451230908</v>
      </c>
      <c r="BA275" s="4">
        <f t="shared" si="829"/>
        <v>0.42600000000000005</v>
      </c>
      <c r="BB275" s="4">
        <f t="shared" si="830"/>
        <v>90.343431399396465</v>
      </c>
      <c r="BC275" s="4">
        <f t="shared" si="831"/>
        <v>692.8816459117055</v>
      </c>
      <c r="BE275" s="4">
        <f t="shared" si="689"/>
        <v>1.3625</v>
      </c>
      <c r="BF275" s="4">
        <f t="shared" si="690"/>
        <v>619.77794589672374</v>
      </c>
      <c r="BH275" s="4">
        <f t="shared" si="704"/>
        <v>577.90783333942409</v>
      </c>
      <c r="BI275" s="4">
        <f t="shared" si="905"/>
        <v>0</v>
      </c>
      <c r="BJ275" s="4">
        <f t="shared" si="706"/>
        <v>0</v>
      </c>
      <c r="BK275" s="4">
        <f t="shared" si="785"/>
        <v>57.2</v>
      </c>
      <c r="BL275" s="4">
        <f t="shared" si="786"/>
        <v>57.2</v>
      </c>
      <c r="BM275" s="4">
        <f t="shared" si="787"/>
        <v>260.34999999999997</v>
      </c>
      <c r="BN275" s="4">
        <f t="shared" si="788"/>
        <v>69.900000000000006</v>
      </c>
      <c r="BO275" s="4">
        <f t="shared" si="789"/>
        <v>1.25</v>
      </c>
      <c r="BP275" s="25">
        <f t="shared" si="790"/>
        <v>3.4399606299212602</v>
      </c>
      <c r="BR275" s="4">
        <f t="shared" si="832"/>
        <v>50.800000000000004</v>
      </c>
      <c r="BV275" s="9"/>
      <c r="BX275" s="9"/>
      <c r="BY275" s="9"/>
      <c r="BZ275" s="9">
        <f t="shared" si="833"/>
        <v>50.800000000000004</v>
      </c>
      <c r="CA275" s="9">
        <f t="shared" si="834"/>
        <v>62.230000000000004</v>
      </c>
      <c r="CB275" s="9">
        <f t="shared" si="694"/>
        <v>1.4579257653311168</v>
      </c>
      <c r="CC275" s="40">
        <f t="shared" si="861"/>
        <v>20</v>
      </c>
      <c r="CD275" s="9">
        <f t="shared" si="835"/>
        <v>0</v>
      </c>
      <c r="CE275" s="9">
        <f t="shared" si="836"/>
        <v>0</v>
      </c>
      <c r="CF275" s="9">
        <f t="shared" si="837"/>
        <v>0.99524931562137331</v>
      </c>
      <c r="CG275" s="9">
        <f t="shared" si="838"/>
        <v>0.68</v>
      </c>
      <c r="CH275" s="9">
        <f t="shared" si="695"/>
        <v>1.7649108936707618</v>
      </c>
      <c r="CI275" s="9">
        <f t="shared" si="696"/>
        <v>2.5731090653961708</v>
      </c>
      <c r="CJ275" s="40">
        <v>1</v>
      </c>
      <c r="CK275" s="9">
        <f t="shared" si="697"/>
        <v>260.91325923117171</v>
      </c>
      <c r="CM275" s="4">
        <f t="shared" si="839"/>
        <v>1.3763102007627221</v>
      </c>
      <c r="CN275" s="4">
        <f t="shared" si="840"/>
        <v>0.80622815303489503</v>
      </c>
      <c r="CO275" s="4">
        <f t="shared" si="814"/>
        <v>0.90132392311400156</v>
      </c>
      <c r="CP275" s="4">
        <f t="shared" si="841"/>
        <v>2.1410207028238033</v>
      </c>
      <c r="CQ275" s="4">
        <f t="shared" si="800"/>
        <v>1.026278911927931</v>
      </c>
      <c r="CR275" s="4">
        <f t="shared" si="801"/>
        <v>1.0607370982090985</v>
      </c>
      <c r="CS275" s="4">
        <f t="shared" si="815"/>
        <v>1.6111289830132571</v>
      </c>
      <c r="CT275" s="4">
        <f t="shared" si="862"/>
        <v>0</v>
      </c>
      <c r="CU275" s="4">
        <f t="shared" ref="CU275:CV275" si="923">CM275</f>
        <v>1.3763102007627221</v>
      </c>
      <c r="CV275" s="4">
        <f t="shared" si="923"/>
        <v>0.80622815303489503</v>
      </c>
      <c r="CW275" s="4">
        <f t="shared" ref="CW275" si="924">CP275</f>
        <v>2.1410207028238033</v>
      </c>
      <c r="CX275" s="4">
        <f t="shared" ref="CX275" si="925">CS275</f>
        <v>1.6111289830132571</v>
      </c>
      <c r="CY275" s="4">
        <f t="shared" ref="CY275:CZ275" si="926">CQ275</f>
        <v>1.026278911927931</v>
      </c>
      <c r="CZ275" s="4">
        <f t="shared" si="926"/>
        <v>1.0607370982090985</v>
      </c>
      <c r="DI275" s="4">
        <f t="shared" si="846"/>
        <v>262.89</v>
      </c>
      <c r="DL275" s="4">
        <f t="shared" si="756"/>
        <v>2.1857853919995441E-5</v>
      </c>
      <c r="DM275" s="4">
        <f t="shared" si="757"/>
        <v>8.8912307388086589</v>
      </c>
      <c r="DN275" s="4">
        <f t="shared" si="758"/>
        <v>0.24817304440791377</v>
      </c>
      <c r="DO275" s="4">
        <f t="shared" si="759"/>
        <v>5.0917107494561256</v>
      </c>
      <c r="DP275" s="4">
        <f t="shared" si="760"/>
        <v>7.2467334633868781</v>
      </c>
      <c r="DQ275" s="4">
        <f t="shared" si="761"/>
        <v>8.2781801676860916</v>
      </c>
      <c r="DR275" s="38">
        <f t="shared" si="791"/>
        <v>544.31664059604179</v>
      </c>
      <c r="DS275" s="4">
        <f t="shared" si="762"/>
        <v>1.0001018384037037</v>
      </c>
      <c r="DT275" s="4">
        <f t="shared" si="763"/>
        <v>2.2583179581272428</v>
      </c>
      <c r="DU275" s="4">
        <f t="shared" si="764"/>
        <v>253.0933078024959</v>
      </c>
      <c r="DY275" s="4">
        <f t="shared" si="765"/>
        <v>0.85</v>
      </c>
      <c r="DZ275" s="4">
        <f t="shared" si="766"/>
        <v>0.89999999999999991</v>
      </c>
      <c r="EA275" s="4">
        <f t="shared" si="792"/>
        <v>1</v>
      </c>
      <c r="EB275" s="4">
        <f t="shared" si="767"/>
        <v>0.89999999999999991</v>
      </c>
      <c r="ED275" s="4">
        <f t="shared" si="793"/>
        <v>526.63444184079435</v>
      </c>
      <c r="EE275" s="25">
        <f t="shared" si="794"/>
        <v>250.56172740078549</v>
      </c>
      <c r="EG275" s="4">
        <f t="shared" si="683"/>
        <v>0.7649999999999999</v>
      </c>
      <c r="EH275" s="4">
        <f t="shared" si="795"/>
        <v>8.8912307388086589</v>
      </c>
      <c r="EK275" s="4">
        <f t="shared" si="768"/>
        <v>57.361276136431961</v>
      </c>
      <c r="EL275" s="4">
        <f t="shared" si="769"/>
        <v>2.2583179581272428</v>
      </c>
      <c r="EM275" s="4">
        <f t="shared" si="770"/>
        <v>0.10111225888764264</v>
      </c>
      <c r="EP275" s="4">
        <f t="shared" si="863"/>
        <v>0.10111225888764264</v>
      </c>
      <c r="EQ275" s="4">
        <f t="shared" si="698"/>
        <v>0.24775888984996491</v>
      </c>
      <c r="ER275" s="4">
        <f t="shared" si="772"/>
        <v>5.0883101998175952</v>
      </c>
      <c r="ES275" s="4">
        <f t="shared" si="847"/>
        <v>7.2455460561495464</v>
      </c>
      <c r="ET275" s="4">
        <f t="shared" si="774"/>
        <v>139.80622386356802</v>
      </c>
      <c r="EU275" s="4">
        <f t="shared" si="775"/>
        <v>65.722499999999997</v>
      </c>
      <c r="EV275" s="4">
        <f t="shared" si="699"/>
        <v>2.1857853919995441E-5</v>
      </c>
      <c r="EW275" s="4">
        <f t="shared" si="848"/>
        <v>8.2783187395132902</v>
      </c>
      <c r="EX275" s="4">
        <f t="shared" si="707"/>
        <v>544.26121390282003</v>
      </c>
      <c r="FG275" s="23">
        <f t="shared" si="878"/>
        <v>1.4</v>
      </c>
      <c r="FH275" s="23">
        <f t="shared" si="878"/>
        <v>1</v>
      </c>
      <c r="FI275" s="23">
        <f t="shared" si="818"/>
        <v>1.8</v>
      </c>
      <c r="FJ275" s="23">
        <f t="shared" si="879"/>
        <v>2.2000000000000002</v>
      </c>
      <c r="FK275" s="23">
        <f t="shared" si="879"/>
        <v>1.2</v>
      </c>
      <c r="FL275" s="23">
        <f t="shared" si="879"/>
        <v>1.2</v>
      </c>
      <c r="FM275" s="23">
        <f t="shared" si="807"/>
        <v>0</v>
      </c>
      <c r="FN275" s="23"/>
      <c r="FX275" s="4">
        <f t="shared" si="915"/>
        <v>1.25</v>
      </c>
      <c r="FY275" s="4">
        <f t="shared" si="716"/>
        <v>0.65</v>
      </c>
      <c r="FZ275" s="4">
        <f t="shared" si="916"/>
        <v>0</v>
      </c>
      <c r="GA275" s="4">
        <f t="shared" si="917"/>
        <v>346.72623703311274</v>
      </c>
    </row>
    <row r="276" spans="1:183" ht="12" customHeight="1" x14ac:dyDescent="0.3">
      <c r="A276" s="25">
        <v>258</v>
      </c>
      <c r="B276" s="4" t="s">
        <v>605</v>
      </c>
      <c r="C276" s="4">
        <v>2016</v>
      </c>
      <c r="D276" s="4" t="s">
        <v>309</v>
      </c>
      <c r="E276" s="24" t="s">
        <v>664</v>
      </c>
      <c r="F276" s="7" t="s">
        <v>414</v>
      </c>
      <c r="G276" s="38">
        <f t="shared" si="903"/>
        <v>889.65517241379314</v>
      </c>
      <c r="H276" s="38">
        <f>10.25*25.4</f>
        <v>260.34999999999997</v>
      </c>
      <c r="I276" s="4">
        <f t="shared" si="850"/>
        <v>260.34999999999997</v>
      </c>
      <c r="J276" s="38">
        <f>8260/145</f>
        <v>56.96551724137931</v>
      </c>
      <c r="K276" s="38">
        <f t="shared" si="851"/>
        <v>25.4</v>
      </c>
      <c r="L276" s="7">
        <f t="shared" si="852"/>
        <v>10.25</v>
      </c>
      <c r="M276" s="7">
        <f t="shared" si="853"/>
        <v>10.25</v>
      </c>
      <c r="N276" s="38">
        <f>16*25.4</f>
        <v>406.4</v>
      </c>
      <c r="O276" s="38">
        <f>2.45*25.4</f>
        <v>62.230000000000004</v>
      </c>
      <c r="P276" s="39">
        <f>(4+3.3+3.3)/3*25.4</f>
        <v>89.746666666666655</v>
      </c>
      <c r="Q276" s="7">
        <f t="shared" si="854"/>
        <v>102.86999999999999</v>
      </c>
      <c r="R276" s="38">
        <v>3</v>
      </c>
      <c r="S276" s="4">
        <f t="shared" si="826"/>
        <v>260.34999999999997</v>
      </c>
      <c r="T276" s="7">
        <f t="shared" si="855"/>
        <v>2.5249999999999999</v>
      </c>
      <c r="U276" s="7">
        <f t="shared" si="702"/>
        <v>2.95</v>
      </c>
      <c r="V276" s="38">
        <v>4.0999999999999996</v>
      </c>
      <c r="W276" s="4">
        <f t="shared" si="856"/>
        <v>4.0999999999999996</v>
      </c>
      <c r="X276" s="4">
        <f t="shared" si="857"/>
        <v>5.0999999999999996</v>
      </c>
      <c r="Y276" s="7">
        <f t="shared" si="858"/>
        <v>57.361276136431961</v>
      </c>
      <c r="AB276" s="38">
        <f t="shared" si="885"/>
        <v>522.75862068965523</v>
      </c>
      <c r="AC276" s="4">
        <v>75.8</v>
      </c>
      <c r="AD276" s="4">
        <f t="shared" si="740"/>
        <v>0.95166687424883689</v>
      </c>
      <c r="AE276" s="38">
        <f t="shared" ref="AE276:AE286" si="927">0.375*25.4</f>
        <v>9.5249999999999986</v>
      </c>
      <c r="AF276" s="38">
        <v>2</v>
      </c>
      <c r="AG276" s="39">
        <f>3*25.4</f>
        <v>76.199999999999989</v>
      </c>
      <c r="AH276" s="39">
        <v>2</v>
      </c>
      <c r="AI276" s="39"/>
      <c r="AJ276" s="7"/>
      <c r="AK276" s="4">
        <f t="shared" si="859"/>
        <v>260.34999999999997</v>
      </c>
      <c r="AL276" s="4">
        <f t="shared" si="779"/>
        <v>0.52032520325203269</v>
      </c>
      <c r="AM276" s="4">
        <f t="shared" si="780"/>
        <v>208.575755923034</v>
      </c>
      <c r="AN276" s="4">
        <f t="shared" si="781"/>
        <v>0.7575609756097561</v>
      </c>
      <c r="AO276" s="4">
        <v>1.25</v>
      </c>
      <c r="AP276" s="4">
        <f t="shared" si="688"/>
        <v>2.5</v>
      </c>
      <c r="AQ276" s="38">
        <f t="shared" si="827"/>
        <v>256.92496446438383</v>
      </c>
      <c r="AR276" s="38">
        <f t="shared" si="783"/>
        <v>256.92496446438383</v>
      </c>
      <c r="AS276" s="38">
        <f t="shared" si="784"/>
        <v>4.2706194667653463</v>
      </c>
      <c r="AT276" s="38">
        <f t="shared" si="691"/>
        <v>256.92496446438389</v>
      </c>
      <c r="AU276" s="38">
        <f t="shared" si="910"/>
        <v>0.99999999999999978</v>
      </c>
      <c r="AV276" s="38">
        <f t="shared" si="692"/>
        <v>2.4198387861849078</v>
      </c>
      <c r="AW276" s="4">
        <f t="shared" si="693"/>
        <v>0</v>
      </c>
      <c r="AX276" s="4">
        <f t="shared" si="860"/>
        <v>407.17048282302869</v>
      </c>
      <c r="AY276" s="4">
        <f t="shared" si="828"/>
        <v>1.0673267326732674</v>
      </c>
      <c r="AZ276" s="38">
        <f t="shared" si="701"/>
        <v>621.71699415009527</v>
      </c>
      <c r="BA276" s="4">
        <f t="shared" si="829"/>
        <v>0.42600000000000005</v>
      </c>
      <c r="BB276" s="4">
        <f t="shared" si="830"/>
        <v>90.630041919163844</v>
      </c>
      <c r="BC276" s="4">
        <f t="shared" si="831"/>
        <v>712.34703606925916</v>
      </c>
      <c r="BE276" s="4">
        <f t="shared" si="689"/>
        <v>1.5</v>
      </c>
      <c r="BF276" s="4">
        <f t="shared" si="690"/>
        <v>687.77053141241106</v>
      </c>
      <c r="BH276" s="4">
        <f t="shared" si="704"/>
        <v>596.30262842397872</v>
      </c>
      <c r="BI276" s="4">
        <f t="shared" si="905"/>
        <v>0</v>
      </c>
      <c r="BJ276" s="4">
        <f t="shared" si="706"/>
        <v>0</v>
      </c>
      <c r="BK276" s="4">
        <f t="shared" si="785"/>
        <v>57.834999999999994</v>
      </c>
      <c r="BL276" s="4">
        <f t="shared" si="786"/>
        <v>57.834999999999994</v>
      </c>
      <c r="BM276" s="4">
        <f t="shared" si="787"/>
        <v>260.34999999999997</v>
      </c>
      <c r="BN276" s="4">
        <f t="shared" si="788"/>
        <v>70.534999999999997</v>
      </c>
      <c r="BO276" s="4">
        <f t="shared" si="789"/>
        <v>1.25</v>
      </c>
      <c r="BP276" s="25">
        <f t="shared" si="790"/>
        <v>4</v>
      </c>
      <c r="BR276" s="4">
        <f t="shared" si="832"/>
        <v>51.434999999999995</v>
      </c>
      <c r="BV276" s="9"/>
      <c r="BX276" s="9"/>
      <c r="BY276" s="9"/>
      <c r="BZ276" s="9">
        <f t="shared" si="833"/>
        <v>51.434999999999995</v>
      </c>
      <c r="CA276" s="9">
        <f t="shared" si="834"/>
        <v>62.230000000000004</v>
      </c>
      <c r="CB276" s="9">
        <f t="shared" si="694"/>
        <v>1.4642784548874435</v>
      </c>
      <c r="CC276" s="40">
        <f t="shared" si="861"/>
        <v>20</v>
      </c>
      <c r="CD276" s="9">
        <f t="shared" si="835"/>
        <v>4.9087385212340517E-2</v>
      </c>
      <c r="CE276" s="9">
        <f t="shared" si="836"/>
        <v>0.78174770424681028</v>
      </c>
      <c r="CF276" s="9">
        <f t="shared" si="837"/>
        <v>0.99524931562137331</v>
      </c>
      <c r="CG276" s="9">
        <f t="shared" si="838"/>
        <v>0.68</v>
      </c>
      <c r="CH276" s="9">
        <f t="shared" si="695"/>
        <v>1.7877832632633699</v>
      </c>
      <c r="CI276" s="9">
        <f t="shared" si="696"/>
        <v>4.0154079761519297</v>
      </c>
      <c r="CJ276" s="40">
        <v>1</v>
      </c>
      <c r="CK276" s="9">
        <f t="shared" si="697"/>
        <v>405.55620559134491</v>
      </c>
      <c r="CM276" s="4">
        <f t="shared" si="839"/>
        <v>1.2838814274188568</v>
      </c>
      <c r="CN276" s="4">
        <f t="shared" si="840"/>
        <v>0.73385385804964465</v>
      </c>
      <c r="CO276" s="4">
        <f t="shared" si="814"/>
        <v>0.76007708503607152</v>
      </c>
      <c r="CP276" s="4">
        <f t="shared" si="841"/>
        <v>1.2889917932026622</v>
      </c>
      <c r="CQ276" s="4">
        <f t="shared" si="800"/>
        <v>0.95166687424883689</v>
      </c>
      <c r="CR276" s="4">
        <f t="shared" si="801"/>
        <v>0.98254513569119484</v>
      </c>
      <c r="CS276" s="4">
        <f t="shared" si="815"/>
        <v>1.4016929584772584</v>
      </c>
      <c r="CT276" s="4">
        <f t="shared" si="862"/>
        <v>2</v>
      </c>
      <c r="DA276" s="4">
        <f t="shared" ref="DA276:DB278" si="928">CM276</f>
        <v>1.2838814274188568</v>
      </c>
      <c r="DB276" s="4">
        <f t="shared" si="928"/>
        <v>0.73385385804964465</v>
      </c>
      <c r="DC276" s="4">
        <f t="shared" ref="DC276:DC278" si="929">CP276</f>
        <v>1.2889917932026622</v>
      </c>
      <c r="DD276" s="4">
        <f t="shared" ref="DD276:DD278" si="930">CS276</f>
        <v>1.4016929584772584</v>
      </c>
      <c r="DE276" s="4">
        <f t="shared" ref="DE276:DF278" si="931">CQ276</f>
        <v>0.95166687424883689</v>
      </c>
      <c r="DF276" s="4">
        <f t="shared" si="931"/>
        <v>0.98254513569119484</v>
      </c>
      <c r="DI276" s="4">
        <f t="shared" si="846"/>
        <v>260.34999999999997</v>
      </c>
      <c r="DL276" s="4">
        <f t="shared" si="756"/>
        <v>2.1841835201299478E-5</v>
      </c>
      <c r="DM276" s="4">
        <f t="shared" si="757"/>
        <v>9.0315443012169894</v>
      </c>
      <c r="DN276" s="4">
        <f t="shared" si="758"/>
        <v>0.24552520632159011</v>
      </c>
      <c r="DO276" s="4">
        <f t="shared" si="759"/>
        <v>5.1499196176140778</v>
      </c>
      <c r="DP276" s="4">
        <f t="shared" si="760"/>
        <v>7.3533737732352842</v>
      </c>
      <c r="DQ276" s="4">
        <f t="shared" si="761"/>
        <v>8.4069859193153622</v>
      </c>
      <c r="DR276" s="38">
        <f t="shared" si="791"/>
        <v>549.3084133061534</v>
      </c>
      <c r="DS276" s="4">
        <f t="shared" si="762"/>
        <v>1.0001012571546577</v>
      </c>
      <c r="DT276" s="4">
        <f t="shared" si="763"/>
        <v>2.2583179581272428</v>
      </c>
      <c r="DU276" s="4">
        <f t="shared" si="764"/>
        <v>256.92496446438389</v>
      </c>
      <c r="DY276" s="4">
        <f t="shared" si="765"/>
        <v>0.85</v>
      </c>
      <c r="DZ276" s="4">
        <f t="shared" si="766"/>
        <v>0.89749999999999996</v>
      </c>
      <c r="EA276" s="4">
        <f t="shared" si="792"/>
        <v>1</v>
      </c>
      <c r="EB276" s="4">
        <f t="shared" si="767"/>
        <v>0.89749999999999996</v>
      </c>
      <c r="ED276" s="4">
        <f t="shared" si="793"/>
        <v>532.04540096970527</v>
      </c>
      <c r="EE276" s="25">
        <f t="shared" si="794"/>
        <v>254.32541370728282</v>
      </c>
      <c r="EG276" s="4">
        <f t="shared" ref="EG276:EG339" si="932">DY276*EB276</f>
        <v>0.76287499999999997</v>
      </c>
      <c r="EH276" s="4">
        <f t="shared" si="795"/>
        <v>9.0315443012169894</v>
      </c>
      <c r="EK276" s="4">
        <f t="shared" si="768"/>
        <v>57.361276136431961</v>
      </c>
      <c r="EL276" s="4">
        <f t="shared" si="769"/>
        <v>2.2583179581272428</v>
      </c>
      <c r="EM276" s="4">
        <f t="shared" si="770"/>
        <v>0.10132984366371672</v>
      </c>
      <c r="EP276" s="4">
        <f t="shared" si="863"/>
        <v>0.10132984366371672</v>
      </c>
      <c r="EQ276" s="4">
        <f t="shared" si="698"/>
        <v>0.24511547051191737</v>
      </c>
      <c r="ER276" s="4">
        <f t="shared" si="772"/>
        <v>5.1464801926043178</v>
      </c>
      <c r="ES276" s="4">
        <f t="shared" si="847"/>
        <v>7.3521768503320528</v>
      </c>
      <c r="ET276" s="4">
        <f t="shared" si="774"/>
        <v>137.90122386356802</v>
      </c>
      <c r="EU276" s="4">
        <f t="shared" si="775"/>
        <v>65.087499999999977</v>
      </c>
      <c r="EV276" s="4">
        <f t="shared" si="699"/>
        <v>2.1841835201299478E-5</v>
      </c>
      <c r="EW276" s="4">
        <f t="shared" si="848"/>
        <v>8.40712706418579</v>
      </c>
      <c r="EX276" s="4">
        <f t="shared" si="707"/>
        <v>549.25279753068764</v>
      </c>
      <c r="FG276" s="23">
        <f t="shared" si="878"/>
        <v>1.4</v>
      </c>
      <c r="FH276" s="23">
        <f t="shared" si="878"/>
        <v>0.8</v>
      </c>
      <c r="FI276" s="23">
        <f t="shared" si="818"/>
        <v>1.6</v>
      </c>
      <c r="FJ276" s="23">
        <f t="shared" si="879"/>
        <v>1.4</v>
      </c>
      <c r="FK276" s="23">
        <f t="shared" si="879"/>
        <v>1</v>
      </c>
      <c r="FL276" s="23">
        <f t="shared" si="879"/>
        <v>1</v>
      </c>
      <c r="FM276" s="23">
        <f t="shared" si="807"/>
        <v>0</v>
      </c>
      <c r="FN276" s="23"/>
      <c r="FX276" s="4">
        <f t="shared" si="915"/>
        <v>1.25</v>
      </c>
      <c r="FY276" s="4">
        <f t="shared" si="716"/>
        <v>0.60232558139534875</v>
      </c>
      <c r="FZ276" s="4">
        <f t="shared" si="916"/>
        <v>0.18749999999999997</v>
      </c>
      <c r="GA276" s="4">
        <f t="shared" si="917"/>
        <v>372.94802512067884</v>
      </c>
    </row>
    <row r="277" spans="1:183" ht="12" customHeight="1" x14ac:dyDescent="0.3">
      <c r="A277" s="25">
        <v>259</v>
      </c>
      <c r="B277" s="4" t="s">
        <v>605</v>
      </c>
      <c r="C277" s="4">
        <v>2016</v>
      </c>
      <c r="D277" s="4" t="s">
        <v>309</v>
      </c>
      <c r="E277" s="24" t="s">
        <v>664</v>
      </c>
      <c r="F277" s="7" t="s">
        <v>415</v>
      </c>
      <c r="G277" s="38">
        <f t="shared" si="903"/>
        <v>889.65517241379314</v>
      </c>
      <c r="H277" s="38">
        <f>9.79*25.4</f>
        <v>248.66599999999997</v>
      </c>
      <c r="I277" s="4">
        <f t="shared" si="850"/>
        <v>248.66599999999997</v>
      </c>
      <c r="J277" s="38">
        <f>8260/145</f>
        <v>56.96551724137931</v>
      </c>
      <c r="K277" s="38">
        <f t="shared" si="851"/>
        <v>25.4</v>
      </c>
      <c r="L277" s="7">
        <f t="shared" si="852"/>
        <v>9.7899999999999991</v>
      </c>
      <c r="M277" s="7">
        <f t="shared" si="853"/>
        <v>9.7899999999999991</v>
      </c>
      <c r="N277" s="38">
        <f>15.3*25.4</f>
        <v>388.62</v>
      </c>
      <c r="O277" s="38">
        <f>2.4*25.4</f>
        <v>60.959999999999994</v>
      </c>
      <c r="P277" s="39">
        <f>(3.6+3.4+3.2)/3*25.4</f>
        <v>86.36</v>
      </c>
      <c r="Q277" s="7">
        <f t="shared" si="854"/>
        <v>95.250000000000014</v>
      </c>
      <c r="R277" s="38">
        <v>3</v>
      </c>
      <c r="S277" s="4">
        <f t="shared" si="826"/>
        <v>260.34999999999997</v>
      </c>
      <c r="T277" s="7">
        <f t="shared" si="855"/>
        <v>2.3750000000000004</v>
      </c>
      <c r="U277" s="7">
        <f t="shared" si="702"/>
        <v>2.9</v>
      </c>
      <c r="V277" s="38">
        <v>4.0999999999999996</v>
      </c>
      <c r="W277" s="4">
        <f t="shared" si="856"/>
        <v>4.0999999999999996</v>
      </c>
      <c r="X277" s="4">
        <f t="shared" si="857"/>
        <v>5.0999999999999996</v>
      </c>
      <c r="Y277" s="7">
        <f t="shared" si="858"/>
        <v>57.361276136431961</v>
      </c>
      <c r="AB277" s="38">
        <f t="shared" si="885"/>
        <v>489.65517241379314</v>
      </c>
      <c r="AC277" s="4">
        <v>71</v>
      </c>
      <c r="AD277" s="4">
        <f t="shared" si="740"/>
        <v>0.94979047422646845</v>
      </c>
      <c r="AE277" s="38">
        <f t="shared" si="927"/>
        <v>9.5249999999999986</v>
      </c>
      <c r="AF277" s="38">
        <v>4</v>
      </c>
      <c r="AG277" s="39">
        <f>5*25.4</f>
        <v>127</v>
      </c>
      <c r="AH277" s="39">
        <v>2</v>
      </c>
      <c r="AI277" s="39">
        <v>1</v>
      </c>
      <c r="AJ277" s="7"/>
      <c r="AK277" s="4">
        <f t="shared" si="859"/>
        <v>248.66599999999997</v>
      </c>
      <c r="AL277" s="4">
        <f t="shared" si="779"/>
        <v>0.52093973442288066</v>
      </c>
      <c r="AM277" s="4">
        <f t="shared" si="780"/>
        <v>194.69377496943841</v>
      </c>
      <c r="AN277" s="4">
        <f t="shared" si="781"/>
        <v>0.75924412665985697</v>
      </c>
      <c r="AO277" s="4">
        <v>1.25</v>
      </c>
      <c r="AP277" s="4">
        <f t="shared" si="688"/>
        <v>2.5</v>
      </c>
      <c r="AQ277" s="38">
        <f t="shared" si="827"/>
        <v>240.64176973575979</v>
      </c>
      <c r="AR277" s="38">
        <f t="shared" si="783"/>
        <v>240.64176973575979</v>
      </c>
      <c r="AS277" s="38">
        <f t="shared" si="784"/>
        <v>4.2706194667653463</v>
      </c>
      <c r="AT277" s="38">
        <f t="shared" si="691"/>
        <v>240.64176973575968</v>
      </c>
      <c r="AU277" s="38">
        <f t="shared" si="910"/>
        <v>1.0000000000000004</v>
      </c>
      <c r="AV277" s="38">
        <f t="shared" si="692"/>
        <v>2.478126681673158</v>
      </c>
      <c r="AW277" s="4">
        <f t="shared" si="693"/>
        <v>0</v>
      </c>
      <c r="AX277" s="4">
        <f t="shared" si="860"/>
        <v>388.89746603292207</v>
      </c>
      <c r="AY277" s="4">
        <f t="shared" si="828"/>
        <v>1.088421052631579</v>
      </c>
      <c r="AZ277" s="38">
        <f t="shared" si="701"/>
        <v>596.34079030723433</v>
      </c>
      <c r="BA277" s="4">
        <f t="shared" si="829"/>
        <v>0.42600000000000005</v>
      </c>
      <c r="BB277" s="4">
        <f t="shared" si="830"/>
        <v>86.562742476937942</v>
      </c>
      <c r="BC277" s="4">
        <f t="shared" si="831"/>
        <v>682.90353278417228</v>
      </c>
      <c r="BE277" s="4">
        <f t="shared" si="689"/>
        <v>1.5</v>
      </c>
      <c r="BF277" s="4">
        <f t="shared" si="690"/>
        <v>672.14710205686981</v>
      </c>
      <c r="BH277" s="4">
        <f t="shared" si="704"/>
        <v>571.96374563116331</v>
      </c>
      <c r="BI277" s="4">
        <f t="shared" si="905"/>
        <v>0</v>
      </c>
      <c r="BJ277" s="4">
        <f t="shared" si="706"/>
        <v>0</v>
      </c>
      <c r="BK277" s="4">
        <f t="shared" si="785"/>
        <v>54.025000000000006</v>
      </c>
      <c r="BL277" s="4">
        <f t="shared" si="786"/>
        <v>54.025000000000006</v>
      </c>
      <c r="BM277" s="4">
        <f t="shared" si="787"/>
        <v>260.34999999999997</v>
      </c>
      <c r="BN277" s="4">
        <f t="shared" si="788"/>
        <v>66.725000000000009</v>
      </c>
      <c r="BO277" s="4">
        <f t="shared" si="789"/>
        <v>1.25</v>
      </c>
      <c r="BP277" s="25">
        <f t="shared" si="790"/>
        <v>3.9385878958353486</v>
      </c>
      <c r="BR277" s="4">
        <f t="shared" si="832"/>
        <v>47.625000000000007</v>
      </c>
      <c r="BV277" s="9"/>
      <c r="BX277" s="9"/>
      <c r="BY277" s="9"/>
      <c r="BZ277" s="9">
        <f t="shared" si="833"/>
        <v>47.625000000000007</v>
      </c>
      <c r="CA277" s="9">
        <f t="shared" si="834"/>
        <v>60.959999999999994</v>
      </c>
      <c r="CB277" s="9">
        <f t="shared" si="694"/>
        <v>1.4209609120759505</v>
      </c>
      <c r="CC277" s="40">
        <f t="shared" si="861"/>
        <v>20</v>
      </c>
      <c r="CD277" s="9">
        <f t="shared" si="835"/>
        <v>0.05</v>
      </c>
      <c r="CE277" s="9">
        <f t="shared" si="836"/>
        <v>0.8</v>
      </c>
      <c r="CF277" s="9">
        <f t="shared" si="837"/>
        <v>0.99524931562137331</v>
      </c>
      <c r="CG277" s="9">
        <f t="shared" si="838"/>
        <v>0.68</v>
      </c>
      <c r="CH277" s="9">
        <f t="shared" si="695"/>
        <v>1.7877832632633699</v>
      </c>
      <c r="CI277" s="9">
        <f t="shared" si="696"/>
        <v>3.9705967469715331</v>
      </c>
      <c r="CJ277" s="40">
        <v>1</v>
      </c>
      <c r="CK277" s="9">
        <f t="shared" si="697"/>
        <v>393.72437342969721</v>
      </c>
      <c r="CM277" s="4">
        <f t="shared" si="839"/>
        <v>1.2590855307150328</v>
      </c>
      <c r="CN277" s="4">
        <f t="shared" si="840"/>
        <v>0.71701953337023638</v>
      </c>
      <c r="CO277" s="4">
        <f t="shared" si="814"/>
        <v>0.72849406166503683</v>
      </c>
      <c r="CP277" s="4">
        <f t="shared" si="841"/>
        <v>1.2436496327327959</v>
      </c>
      <c r="CQ277" s="4">
        <f t="shared" si="800"/>
        <v>0.94979047422646845</v>
      </c>
      <c r="CR277" s="4">
        <f t="shared" si="801"/>
        <v>0.97651110382324768</v>
      </c>
      <c r="CS277" s="4">
        <f t="shared" si="815"/>
        <v>1.4064662597202062</v>
      </c>
      <c r="CT277" s="4">
        <f t="shared" si="862"/>
        <v>4</v>
      </c>
      <c r="DA277" s="4">
        <f t="shared" si="928"/>
        <v>1.2590855307150328</v>
      </c>
      <c r="DB277" s="4">
        <f t="shared" si="928"/>
        <v>0.71701953337023638</v>
      </c>
      <c r="DC277" s="4">
        <f t="shared" si="929"/>
        <v>1.2436496327327959</v>
      </c>
      <c r="DD277" s="4">
        <f t="shared" si="930"/>
        <v>1.4064662597202062</v>
      </c>
      <c r="DE277" s="4">
        <f t="shared" si="931"/>
        <v>0.94979047422646845</v>
      </c>
      <c r="DF277" s="4">
        <f t="shared" si="931"/>
        <v>0.97651110382324768</v>
      </c>
      <c r="DI277" s="4">
        <f t="shared" si="846"/>
        <v>248.66599999999997</v>
      </c>
      <c r="DL277" s="4">
        <f t="shared" si="756"/>
        <v>2.0861616255680189E-5</v>
      </c>
      <c r="DM277" s="4">
        <f t="shared" si="757"/>
        <v>8.9671475677266113</v>
      </c>
      <c r="DN277" s="4">
        <f t="shared" si="758"/>
        <v>0.22996449678269945</v>
      </c>
      <c r="DO277" s="4">
        <f t="shared" si="759"/>
        <v>4.9810239934527845</v>
      </c>
      <c r="DP277" s="4">
        <f t="shared" si="760"/>
        <v>7.2554065540111337</v>
      </c>
      <c r="DQ277" s="4">
        <f t="shared" si="761"/>
        <v>8.4118750908213116</v>
      </c>
      <c r="DR277" s="38">
        <f t="shared" si="791"/>
        <v>515.54020144556591</v>
      </c>
      <c r="DS277" s="4">
        <f t="shared" si="762"/>
        <v>1.000100654738947</v>
      </c>
      <c r="DT277" s="4">
        <f t="shared" si="763"/>
        <v>2.2583179581272428</v>
      </c>
      <c r="DU277" s="4">
        <f t="shared" si="764"/>
        <v>240.64176973575968</v>
      </c>
      <c r="DY277" s="4">
        <f t="shared" si="765"/>
        <v>0.85</v>
      </c>
      <c r="DZ277" s="4">
        <f t="shared" si="766"/>
        <v>0.91249999999999998</v>
      </c>
      <c r="EA277" s="4">
        <f t="shared" si="792"/>
        <v>0.99062499999999998</v>
      </c>
      <c r="EB277" s="4">
        <f t="shared" si="767"/>
        <v>0.90394531249999999</v>
      </c>
      <c r="ED277" s="4">
        <f t="shared" si="793"/>
        <v>501.43328682765559</v>
      </c>
      <c r="EE277" s="25">
        <f t="shared" si="794"/>
        <v>238.06816276352504</v>
      </c>
      <c r="EG277" s="4">
        <f t="shared" si="932"/>
        <v>0.76835351562499998</v>
      </c>
      <c r="EH277" s="4">
        <f t="shared" si="795"/>
        <v>8.9671475677266113</v>
      </c>
      <c r="EK277" s="4">
        <f t="shared" si="768"/>
        <v>57.361276136431961</v>
      </c>
      <c r="EL277" s="4">
        <f t="shared" si="769"/>
        <v>2.2583179581272428</v>
      </c>
      <c r="EM277" s="4">
        <f t="shared" si="770"/>
        <v>9.4907838002892445E-2</v>
      </c>
      <c r="EP277" s="4">
        <f t="shared" si="863"/>
        <v>9.4907838002892445E-2</v>
      </c>
      <c r="EQ277" s="4">
        <f t="shared" si="698"/>
        <v>0.22958072889712505</v>
      </c>
      <c r="ER277" s="4">
        <f t="shared" si="772"/>
        <v>4.9776973670645397</v>
      </c>
      <c r="ES277" s="4">
        <f t="shared" si="847"/>
        <v>7.2542727905675264</v>
      </c>
      <c r="ET277" s="4">
        <f t="shared" si="774"/>
        <v>129.13822386356802</v>
      </c>
      <c r="EU277" s="4">
        <f t="shared" si="775"/>
        <v>62.166499999999985</v>
      </c>
      <c r="EV277" s="4">
        <f t="shared" si="699"/>
        <v>2.0861616255680189E-5</v>
      </c>
      <c r="EW277" s="4">
        <f t="shared" si="848"/>
        <v>8.4119998117224384</v>
      </c>
      <c r="EX277" s="4">
        <f t="shared" si="707"/>
        <v>515.48831510377886</v>
      </c>
      <c r="FG277" s="23">
        <f t="shared" si="878"/>
        <v>1.4</v>
      </c>
      <c r="FH277" s="23">
        <f t="shared" si="878"/>
        <v>0.8</v>
      </c>
      <c r="FI277" s="23">
        <f t="shared" si="818"/>
        <v>1.6</v>
      </c>
      <c r="FJ277" s="23">
        <f t="shared" si="879"/>
        <v>1.4</v>
      </c>
      <c r="FK277" s="23">
        <f t="shared" si="879"/>
        <v>1</v>
      </c>
      <c r="FL277" s="23">
        <f t="shared" si="879"/>
        <v>1</v>
      </c>
      <c r="FM277" s="23">
        <f t="shared" si="807"/>
        <v>0</v>
      </c>
      <c r="FN277" s="23"/>
      <c r="FX277" s="4">
        <f t="shared" si="915"/>
        <v>1.25</v>
      </c>
      <c r="FY277" s="4">
        <f t="shared" si="716"/>
        <v>0.61627906976744196</v>
      </c>
      <c r="FZ277" s="4">
        <f t="shared" si="916"/>
        <v>0.18749999999999997</v>
      </c>
      <c r="GA277" s="4">
        <f t="shared" si="917"/>
        <v>348.14569423883808</v>
      </c>
    </row>
    <row r="278" spans="1:183" ht="12" customHeight="1" x14ac:dyDescent="0.3">
      <c r="A278" s="25">
        <v>260</v>
      </c>
      <c r="B278" s="4" t="s">
        <v>605</v>
      </c>
      <c r="C278" s="4">
        <v>2016</v>
      </c>
      <c r="D278" s="4" t="s">
        <v>309</v>
      </c>
      <c r="E278" s="24" t="s">
        <v>664</v>
      </c>
      <c r="F278" s="7" t="s">
        <v>416</v>
      </c>
      <c r="G278" s="38">
        <f t="shared" si="903"/>
        <v>889.65517241379314</v>
      </c>
      <c r="H278" s="38">
        <f>10*25.4</f>
        <v>254</v>
      </c>
      <c r="I278" s="4">
        <f t="shared" si="850"/>
        <v>254</v>
      </c>
      <c r="J278" s="38">
        <f>8260/145</f>
        <v>56.96551724137931</v>
      </c>
      <c r="K278" s="38">
        <f t="shared" si="851"/>
        <v>25.4</v>
      </c>
      <c r="L278" s="7">
        <f t="shared" si="852"/>
        <v>10</v>
      </c>
      <c r="M278" s="7">
        <f t="shared" si="853"/>
        <v>10</v>
      </c>
      <c r="N278" s="38">
        <f>16*25.4</f>
        <v>406.4</v>
      </c>
      <c r="O278" s="38">
        <f>2.45*25.4</f>
        <v>62.230000000000004</v>
      </c>
      <c r="P278" s="39">
        <f>(3.2+3.1+2.9)/3*25.4</f>
        <v>77.893333333333331</v>
      </c>
      <c r="Q278" s="7">
        <f t="shared" si="854"/>
        <v>102.86999999999999</v>
      </c>
      <c r="R278" s="38">
        <v>3</v>
      </c>
      <c r="S278" s="4">
        <f t="shared" si="826"/>
        <v>260.34999999999997</v>
      </c>
      <c r="T278" s="7">
        <f t="shared" si="855"/>
        <v>2.5249999999999999</v>
      </c>
      <c r="U278" s="7">
        <f t="shared" si="702"/>
        <v>2.95</v>
      </c>
      <c r="V278" s="38">
        <v>4.0999999999999996</v>
      </c>
      <c r="W278" s="4">
        <f t="shared" si="856"/>
        <v>4.0999999999999996</v>
      </c>
      <c r="X278" s="4">
        <f t="shared" si="857"/>
        <v>5.0999999999999996</v>
      </c>
      <c r="Y278" s="7">
        <f t="shared" si="858"/>
        <v>57.361276136431961</v>
      </c>
      <c r="AB278" s="38">
        <f t="shared" si="885"/>
        <v>571.72413793103453</v>
      </c>
      <c r="AC278" s="4">
        <v>82.9</v>
      </c>
      <c r="AD278" s="4">
        <f t="shared" si="740"/>
        <v>1.0555684263285166</v>
      </c>
      <c r="AE278" s="38">
        <f t="shared" si="927"/>
        <v>9.5249999999999986</v>
      </c>
      <c r="AF278" s="38">
        <v>4</v>
      </c>
      <c r="AG278" s="39">
        <f>5*25.4</f>
        <v>127</v>
      </c>
      <c r="AH278" s="39">
        <f>2+2</f>
        <v>4</v>
      </c>
      <c r="AI278" s="39">
        <v>1</v>
      </c>
      <c r="AJ278" s="7"/>
      <c r="AK278" s="4">
        <f t="shared" si="859"/>
        <v>254</v>
      </c>
      <c r="AL278" s="4">
        <f t="shared" si="779"/>
        <v>0.53333333333333333</v>
      </c>
      <c r="AM278" s="4">
        <f t="shared" si="780"/>
        <v>200.9916558719431</v>
      </c>
      <c r="AN278" s="4">
        <f t="shared" si="781"/>
        <v>0.75900000000000001</v>
      </c>
      <c r="AO278" s="4">
        <v>1.25</v>
      </c>
      <c r="AP278" s="4">
        <f t="shared" ref="AP278:AP341" si="933">AP277</f>
        <v>2.5</v>
      </c>
      <c r="AQ278" s="38">
        <f t="shared" si="827"/>
        <v>254.25444467800804</v>
      </c>
      <c r="AR278" s="38">
        <f t="shared" si="783"/>
        <v>254.25444467800804</v>
      </c>
      <c r="AS278" s="38">
        <f t="shared" si="784"/>
        <v>4.2706194667653463</v>
      </c>
      <c r="AT278" s="38">
        <f t="shared" si="691"/>
        <v>254.25444467800801</v>
      </c>
      <c r="AU278" s="38">
        <f t="shared" si="910"/>
        <v>1.0000000000000002</v>
      </c>
      <c r="AV278" s="38">
        <f t="shared" si="692"/>
        <v>2.4452551653028047</v>
      </c>
      <c r="AW278" s="4">
        <f t="shared" si="693"/>
        <v>0</v>
      </c>
      <c r="AX278" s="4">
        <f t="shared" si="860"/>
        <v>397.2394954371012</v>
      </c>
      <c r="AY278" s="4">
        <f t="shared" si="828"/>
        <v>1.0673267326732674</v>
      </c>
      <c r="AZ278" s="38">
        <f t="shared" si="701"/>
        <v>621.71699415009527</v>
      </c>
      <c r="BA278" s="4">
        <f t="shared" si="829"/>
        <v>0.42600000000000005</v>
      </c>
      <c r="BB278" s="4">
        <f t="shared" si="830"/>
        <v>88.419553091867186</v>
      </c>
      <c r="BC278" s="4">
        <f t="shared" si="831"/>
        <v>710.13654724196249</v>
      </c>
      <c r="BE278" s="4">
        <f t="shared" ref="BE278:BE341" si="934">MIN(1.5, 0.75+0.25*MIN(3,MAX(1,O278/K278))+0.4*MIN(1,(40*2*PI()*AE278^2/4/AG278/R278)/K278))</f>
        <v>1.5</v>
      </c>
      <c r="BF278" s="4">
        <f t="shared" si="690"/>
        <v>679.27953719744312</v>
      </c>
      <c r="BH278" s="4">
        <f t="shared" si="704"/>
        <v>596.30262842397872</v>
      </c>
      <c r="BI278" s="4">
        <f t="shared" si="905"/>
        <v>0</v>
      </c>
      <c r="BJ278" s="4">
        <f t="shared" si="706"/>
        <v>0</v>
      </c>
      <c r="BK278" s="4">
        <f t="shared" si="785"/>
        <v>57.834999999999994</v>
      </c>
      <c r="BL278" s="4">
        <f t="shared" si="786"/>
        <v>57.834999999999994</v>
      </c>
      <c r="BM278" s="4">
        <f t="shared" si="787"/>
        <v>260.34999999999997</v>
      </c>
      <c r="BN278" s="4">
        <f t="shared" si="788"/>
        <v>70.534999999999997</v>
      </c>
      <c r="BO278" s="4">
        <f t="shared" si="789"/>
        <v>1.25</v>
      </c>
      <c r="BP278" s="25">
        <f t="shared" si="790"/>
        <v>4</v>
      </c>
      <c r="BR278" s="4">
        <f t="shared" si="832"/>
        <v>51.434999999999995</v>
      </c>
      <c r="BV278" s="9"/>
      <c r="BX278" s="9"/>
      <c r="BY278" s="9"/>
      <c r="BZ278" s="9">
        <f t="shared" si="833"/>
        <v>51.434999999999995</v>
      </c>
      <c r="CA278" s="9">
        <f t="shared" si="834"/>
        <v>62.230000000000004</v>
      </c>
      <c r="CB278" s="9">
        <f t="shared" si="694"/>
        <v>1.4642784548874435</v>
      </c>
      <c r="CC278" s="40">
        <f t="shared" si="861"/>
        <v>20</v>
      </c>
      <c r="CD278" s="9">
        <f t="shared" si="835"/>
        <v>0.05</v>
      </c>
      <c r="CE278" s="9">
        <f t="shared" si="836"/>
        <v>0.8</v>
      </c>
      <c r="CF278" s="9">
        <f t="shared" si="837"/>
        <v>0.99524931562137331</v>
      </c>
      <c r="CG278" s="9">
        <f t="shared" si="838"/>
        <v>0.68</v>
      </c>
      <c r="CH278" s="9">
        <f t="shared" si="695"/>
        <v>1.7877832632633699</v>
      </c>
      <c r="CI278" s="9">
        <f t="shared" si="696"/>
        <v>4.048039125015614</v>
      </c>
      <c r="CJ278" s="40">
        <v>1</v>
      </c>
      <c r="CK278" s="9">
        <f t="shared" si="697"/>
        <v>404.8039125015614</v>
      </c>
      <c r="CM278" s="4">
        <f t="shared" si="839"/>
        <v>1.43924293656133</v>
      </c>
      <c r="CN278" s="4">
        <f t="shared" si="840"/>
        <v>0.80509042965258459</v>
      </c>
      <c r="CO278" s="4">
        <f t="shared" si="814"/>
        <v>0.84166253600077767</v>
      </c>
      <c r="CP278" s="4">
        <f t="shared" si="841"/>
        <v>1.4123483500887095</v>
      </c>
      <c r="CQ278" s="4">
        <f t="shared" si="800"/>
        <v>1.0555684263285166</v>
      </c>
      <c r="CR278" s="4">
        <f t="shared" si="801"/>
        <v>1.0887563493315389</v>
      </c>
      <c r="CS278" s="4">
        <f t="shared" si="815"/>
        <v>1.500601767058964</v>
      </c>
      <c r="CT278" s="4">
        <f t="shared" si="862"/>
        <v>4</v>
      </c>
      <c r="DA278" s="4">
        <f t="shared" si="928"/>
        <v>1.43924293656133</v>
      </c>
      <c r="DB278" s="4">
        <f t="shared" si="928"/>
        <v>0.80509042965258459</v>
      </c>
      <c r="DC278" s="4">
        <f t="shared" si="929"/>
        <v>1.4123483500887095</v>
      </c>
      <c r="DD278" s="4">
        <f t="shared" si="930"/>
        <v>1.500601767058964</v>
      </c>
      <c r="DE278" s="4">
        <f t="shared" si="931"/>
        <v>1.0555684263285166</v>
      </c>
      <c r="DF278" s="4">
        <f t="shared" si="931"/>
        <v>1.0887563493315389</v>
      </c>
      <c r="DI278" s="4">
        <f t="shared" si="846"/>
        <v>254</v>
      </c>
      <c r="DL278" s="4">
        <f t="shared" si="756"/>
        <v>2.1309107513462914E-5</v>
      </c>
      <c r="DM278" s="4">
        <f t="shared" si="757"/>
        <v>9.1170163293042155</v>
      </c>
      <c r="DN278" s="4">
        <f t="shared" si="758"/>
        <v>0.24297317747183342</v>
      </c>
      <c r="DO278" s="4">
        <f t="shared" si="759"/>
        <v>5.1769749783827637</v>
      </c>
      <c r="DP278" s="4">
        <f t="shared" si="760"/>
        <v>7.4154291454372627</v>
      </c>
      <c r="DQ278" s="4">
        <f t="shared" si="761"/>
        <v>8.5130035511370519</v>
      </c>
      <c r="DR278" s="38">
        <f t="shared" si="791"/>
        <v>541.6267895768807</v>
      </c>
      <c r="DS278" s="4">
        <f t="shared" si="762"/>
        <v>1.0001015610075588</v>
      </c>
      <c r="DT278" s="4">
        <f t="shared" si="763"/>
        <v>2.2583179581272428</v>
      </c>
      <c r="DU278" s="4">
        <f t="shared" si="764"/>
        <v>254.25444467800801</v>
      </c>
      <c r="DY278" s="4">
        <f t="shared" si="765"/>
        <v>0.85</v>
      </c>
      <c r="DZ278" s="4">
        <f t="shared" si="766"/>
        <v>0.89749999999999996</v>
      </c>
      <c r="EA278" s="4">
        <f t="shared" si="792"/>
        <v>0.99062499999999998</v>
      </c>
      <c r="EB278" s="4">
        <f t="shared" si="767"/>
        <v>0.88908593749999998</v>
      </c>
      <c r="ED278" s="4">
        <f t="shared" si="793"/>
        <v>525.11669693779936</v>
      </c>
      <c r="EE278" s="25">
        <f t="shared" si="794"/>
        <v>251.60620705867285</v>
      </c>
      <c r="EG278" s="4">
        <f t="shared" si="932"/>
        <v>0.75572304687499992</v>
      </c>
      <c r="EH278" s="4">
        <f t="shared" si="795"/>
        <v>9.1170163293042155</v>
      </c>
      <c r="EK278" s="4">
        <f t="shared" si="768"/>
        <v>57.361276136431961</v>
      </c>
      <c r="EL278" s="4">
        <f t="shared" si="769"/>
        <v>2.2583179581272428</v>
      </c>
      <c r="EM278" s="4">
        <f t="shared" si="770"/>
        <v>0.10027660482015607</v>
      </c>
      <c r="EP278" s="4">
        <f t="shared" si="863"/>
        <v>0.10027660482015607</v>
      </c>
      <c r="EQ278" s="4">
        <f t="shared" si="698"/>
        <v>0.2425677005226774</v>
      </c>
      <c r="ER278" s="4">
        <f t="shared" si="772"/>
        <v>5.1735174841813691</v>
      </c>
      <c r="ES278" s="4">
        <f t="shared" si="847"/>
        <v>7.4142299063539356</v>
      </c>
      <c r="ET278" s="4">
        <f t="shared" si="774"/>
        <v>133.13872386356803</v>
      </c>
      <c r="EU278" s="4">
        <f t="shared" si="775"/>
        <v>63.5</v>
      </c>
      <c r="EV278" s="4">
        <f t="shared" si="699"/>
        <v>2.1309107513462914E-5</v>
      </c>
      <c r="EW278" s="4">
        <f t="shared" si="848"/>
        <v>8.513140953986575</v>
      </c>
      <c r="EX278" s="4">
        <f t="shared" si="707"/>
        <v>541.57178700052748</v>
      </c>
      <c r="FG278" s="23">
        <f t="shared" si="878"/>
        <v>1.6</v>
      </c>
      <c r="FH278" s="23">
        <f t="shared" si="878"/>
        <v>1</v>
      </c>
      <c r="FI278" s="23">
        <f t="shared" si="818"/>
        <v>1.6</v>
      </c>
      <c r="FJ278" s="23">
        <f t="shared" si="879"/>
        <v>1.6</v>
      </c>
      <c r="FK278" s="23">
        <f t="shared" si="879"/>
        <v>1.2</v>
      </c>
      <c r="FL278" s="23">
        <f t="shared" si="879"/>
        <v>1.2</v>
      </c>
      <c r="FM278" s="23">
        <f t="shared" si="807"/>
        <v>0</v>
      </c>
      <c r="FN278" s="23"/>
      <c r="FX278" s="4">
        <f t="shared" si="915"/>
        <v>1.25</v>
      </c>
      <c r="FY278" s="4">
        <f t="shared" si="716"/>
        <v>0.57522093023255816</v>
      </c>
      <c r="FZ278" s="4">
        <f t="shared" si="916"/>
        <v>0.3</v>
      </c>
      <c r="GA278" s="4">
        <f t="shared" si="917"/>
        <v>380.99657782728002</v>
      </c>
    </row>
    <row r="279" spans="1:183" ht="12" customHeight="1" x14ac:dyDescent="0.3">
      <c r="A279" s="25">
        <v>261</v>
      </c>
      <c r="B279" s="4" t="s">
        <v>605</v>
      </c>
      <c r="C279" s="4">
        <v>2016</v>
      </c>
      <c r="D279" s="4" t="s">
        <v>309</v>
      </c>
      <c r="E279" s="24" t="s">
        <v>417</v>
      </c>
      <c r="F279" s="7" t="s">
        <v>418</v>
      </c>
      <c r="G279" s="38">
        <f t="shared" si="903"/>
        <v>889.65517241379314</v>
      </c>
      <c r="H279" s="38">
        <f>9.69*25.4</f>
        <v>246.12599999999998</v>
      </c>
      <c r="I279" s="4">
        <f t="shared" si="850"/>
        <v>246.12599999999998</v>
      </c>
      <c r="J279" s="38">
        <f>11760/145</f>
        <v>81.103448275862064</v>
      </c>
      <c r="K279" s="38">
        <f t="shared" si="851"/>
        <v>25.4</v>
      </c>
      <c r="L279" s="7">
        <f t="shared" si="852"/>
        <v>9.69</v>
      </c>
      <c r="M279" s="7">
        <f t="shared" si="853"/>
        <v>9.69</v>
      </c>
      <c r="N279" s="38">
        <f>16.9*25.4</f>
        <v>429.25999999999993</v>
      </c>
      <c r="O279" s="38">
        <f>2.5*25.4</f>
        <v>63.5</v>
      </c>
      <c r="P279" s="39">
        <f>3.45*25.4</f>
        <v>87.63</v>
      </c>
      <c r="Q279" s="7">
        <f t="shared" si="854"/>
        <v>251.45999999999992</v>
      </c>
      <c r="R279" s="38">
        <v>2</v>
      </c>
      <c r="S279" s="4">
        <f t="shared" si="826"/>
        <v>260.34999999999997</v>
      </c>
      <c r="T279" s="7">
        <f t="shared" si="855"/>
        <v>3</v>
      </c>
      <c r="U279" s="7">
        <f t="shared" si="702"/>
        <v>3</v>
      </c>
      <c r="V279" s="38">
        <v>4.0999999999999996</v>
      </c>
      <c r="W279" s="4">
        <f t="shared" si="856"/>
        <v>4.0999999999999996</v>
      </c>
      <c r="X279" s="4">
        <f t="shared" si="857"/>
        <v>5.0999999999999996</v>
      </c>
      <c r="Y279" s="7">
        <f t="shared" si="858"/>
        <v>57.361276136431961</v>
      </c>
      <c r="AB279" s="38">
        <f t="shared" si="885"/>
        <v>626.89655172413802</v>
      </c>
      <c r="AC279" s="4">
        <v>90.9</v>
      </c>
      <c r="AD279" s="4">
        <f t="shared" si="740"/>
        <v>0.75449639049580097</v>
      </c>
      <c r="AE279" s="38">
        <v>0</v>
      </c>
      <c r="AF279" s="38">
        <v>0</v>
      </c>
      <c r="AG279" s="39">
        <f>I279</f>
        <v>246.12599999999998</v>
      </c>
      <c r="AH279" s="39"/>
      <c r="AI279" s="39"/>
      <c r="AJ279" s="7"/>
      <c r="AK279" s="4">
        <f t="shared" si="859"/>
        <v>246.12599999999998</v>
      </c>
      <c r="AL279" s="4">
        <f t="shared" si="779"/>
        <v>0.58135534915720666</v>
      </c>
      <c r="AM279" s="4">
        <f t="shared" si="780"/>
        <v>343.13782172231606</v>
      </c>
      <c r="AN279" s="4">
        <f t="shared" si="781"/>
        <v>0.76191950464396285</v>
      </c>
      <c r="AO279" s="4">
        <v>1.25</v>
      </c>
      <c r="AP279" s="4">
        <f t="shared" si="933"/>
        <v>2.5</v>
      </c>
      <c r="AQ279" s="38">
        <f t="shared" si="827"/>
        <v>474.9734956201147</v>
      </c>
      <c r="AR279" s="38">
        <f t="shared" si="783"/>
        <v>474.9734956201147</v>
      </c>
      <c r="AS279" s="38">
        <f t="shared" si="784"/>
        <v>4.8623877845559145</v>
      </c>
      <c r="AT279" s="38">
        <f t="shared" si="691"/>
        <v>474.97349562011482</v>
      </c>
      <c r="AU279" s="38">
        <f t="shared" si="910"/>
        <v>0.99999999999999978</v>
      </c>
      <c r="AV279" s="38">
        <f t="shared" si="692"/>
        <v>2.0744984867380696</v>
      </c>
      <c r="AW279" s="4">
        <f t="shared" si="693"/>
        <v>0</v>
      </c>
      <c r="AX279" s="4">
        <f t="shared" si="860"/>
        <v>459.29300992451124</v>
      </c>
      <c r="AY279" s="4">
        <f t="shared" si="828"/>
        <v>1</v>
      </c>
      <c r="AZ279" s="38">
        <f t="shared" si="701"/>
        <v>985.33179790461941</v>
      </c>
      <c r="BA279" s="4">
        <f t="shared" si="829"/>
        <v>0.42600000000000005</v>
      </c>
      <c r="BB279" s="4">
        <f t="shared" si="830"/>
        <v>102.23173461404734</v>
      </c>
      <c r="BC279" s="4">
        <f t="shared" si="831"/>
        <v>1087.5635325186668</v>
      </c>
      <c r="BE279" s="4">
        <f t="shared" si="934"/>
        <v>1.375</v>
      </c>
      <c r="BF279" s="4">
        <f t="shared" ref="BF279:BF342" si="935">(3*M279+30)*BE279*J279^0.5</f>
        <v>731.45788984963156</v>
      </c>
      <c r="BH279" s="4">
        <f t="shared" si="704"/>
        <v>945.05369241748747</v>
      </c>
      <c r="BI279" s="4">
        <f t="shared" si="905"/>
        <v>0</v>
      </c>
      <c r="BJ279" s="4">
        <f t="shared" si="706"/>
        <v>0</v>
      </c>
      <c r="BK279" s="4">
        <f t="shared" si="785"/>
        <v>63.5</v>
      </c>
      <c r="BL279" s="4">
        <f t="shared" si="786"/>
        <v>63.5</v>
      </c>
      <c r="BM279" s="4">
        <f t="shared" si="787"/>
        <v>260.34999999999997</v>
      </c>
      <c r="BN279" s="4">
        <f t="shared" si="788"/>
        <v>76.2</v>
      </c>
      <c r="BO279" s="4">
        <f t="shared" si="789"/>
        <v>1.25</v>
      </c>
      <c r="BP279" s="25">
        <f t="shared" si="790"/>
        <v>3.75</v>
      </c>
      <c r="BR279" s="4">
        <f t="shared" si="832"/>
        <v>63.5</v>
      </c>
      <c r="BV279" s="9"/>
      <c r="BX279" s="9"/>
      <c r="BY279" s="9"/>
      <c r="BZ279" s="9">
        <f t="shared" si="833"/>
        <v>63.5</v>
      </c>
      <c r="CA279" s="9">
        <f t="shared" si="834"/>
        <v>125.72999999999996</v>
      </c>
      <c r="CB279" s="9">
        <f t="shared" si="694"/>
        <v>1.7517405482385959</v>
      </c>
      <c r="CC279" s="40">
        <f t="shared" si="861"/>
        <v>20</v>
      </c>
      <c r="CD279" s="9">
        <f t="shared" si="835"/>
        <v>0</v>
      </c>
      <c r="CE279" s="9">
        <f t="shared" si="836"/>
        <v>0</v>
      </c>
      <c r="CF279" s="9">
        <f t="shared" si="837"/>
        <v>0.99524931562137331</v>
      </c>
      <c r="CG279" s="9">
        <f t="shared" si="838"/>
        <v>0.68</v>
      </c>
      <c r="CH279" s="9">
        <f t="shared" si="695"/>
        <v>2.1331849177195688</v>
      </c>
      <c r="CI279" s="9">
        <f t="shared" si="696"/>
        <v>3.7367865172603816</v>
      </c>
      <c r="CJ279" s="40">
        <v>1</v>
      </c>
      <c r="CK279" s="9">
        <f t="shared" si="697"/>
        <v>369.04503644463523</v>
      </c>
      <c r="CM279" s="4">
        <f t="shared" si="839"/>
        <v>1.3649163783859324</v>
      </c>
      <c r="CN279" s="4">
        <f t="shared" si="840"/>
        <v>0.57642292425190167</v>
      </c>
      <c r="CO279" s="4">
        <f t="shared" si="814"/>
        <v>0.85705077547664621</v>
      </c>
      <c r="CP279" s="4">
        <f t="shared" si="841"/>
        <v>1.69869931801179</v>
      </c>
      <c r="CQ279" s="4">
        <f t="shared" si="800"/>
        <v>0.75449639049580097</v>
      </c>
      <c r="CR279" s="4">
        <f t="shared" si="801"/>
        <v>0.78300596637240216</v>
      </c>
      <c r="CS279" s="4">
        <f t="shared" si="815"/>
        <v>1.0809846369960703</v>
      </c>
      <c r="CT279" s="4">
        <f t="shared" si="862"/>
        <v>0</v>
      </c>
      <c r="CU279" s="4">
        <f t="shared" ref="CU279:CV279" si="936">CM279</f>
        <v>1.3649163783859324</v>
      </c>
      <c r="CV279" s="4">
        <f t="shared" si="936"/>
        <v>0.57642292425190167</v>
      </c>
      <c r="CW279" s="4">
        <f t="shared" ref="CW279" si="937">CP279</f>
        <v>1.69869931801179</v>
      </c>
      <c r="CX279" s="4">
        <f t="shared" ref="CX279" si="938">CS279</f>
        <v>1.0809846369960703</v>
      </c>
      <c r="CY279" s="4">
        <f t="shared" ref="CY279:CZ279" si="939">CQ279</f>
        <v>0.75449639049580097</v>
      </c>
      <c r="CZ279" s="4">
        <f t="shared" si="939"/>
        <v>0.78300596637240216</v>
      </c>
      <c r="DI279" s="4">
        <f t="shared" si="846"/>
        <v>246.12599999999998</v>
      </c>
      <c r="DL279" s="4">
        <f t="shared" si="756"/>
        <v>2.3903025500369944E-5</v>
      </c>
      <c r="DM279" s="4">
        <f t="shared" si="757"/>
        <v>11.378661693018476</v>
      </c>
      <c r="DN279" s="4">
        <f t="shared" si="758"/>
        <v>0.31880996013755275</v>
      </c>
      <c r="DO279" s="4">
        <f t="shared" si="759"/>
        <v>7.2028428194447898</v>
      </c>
      <c r="DP279" s="4">
        <f t="shared" si="760"/>
        <v>9.5235891070744145</v>
      </c>
      <c r="DQ279" s="4">
        <f t="shared" si="761"/>
        <v>10.322031386165987</v>
      </c>
      <c r="DR279" s="38">
        <f t="shared" si="791"/>
        <v>830.88078302427198</v>
      </c>
      <c r="DS279" s="4">
        <f t="shared" si="762"/>
        <v>1.0000928686500341</v>
      </c>
      <c r="DT279" s="4">
        <f t="shared" si="763"/>
        <v>2.2583179581272428</v>
      </c>
      <c r="DU279" s="4">
        <f t="shared" si="764"/>
        <v>474.97349562011482</v>
      </c>
      <c r="DY279" s="4">
        <f t="shared" si="765"/>
        <v>0.85</v>
      </c>
      <c r="DZ279" s="4">
        <f t="shared" si="766"/>
        <v>0.85</v>
      </c>
      <c r="EA279" s="4">
        <f t="shared" si="792"/>
        <v>1</v>
      </c>
      <c r="EB279" s="4">
        <f t="shared" si="767"/>
        <v>0.85</v>
      </c>
      <c r="ED279" s="4">
        <f t="shared" si="793"/>
        <v>800.62806497949771</v>
      </c>
      <c r="EE279" s="25">
        <f t="shared" si="794"/>
        <v>469.85036956345061</v>
      </c>
      <c r="EG279" s="4">
        <f t="shared" si="932"/>
        <v>0.72249999999999992</v>
      </c>
      <c r="EH279" s="4">
        <f t="shared" si="795"/>
        <v>11.378661693018476</v>
      </c>
      <c r="EK279" s="4">
        <f t="shared" si="768"/>
        <v>57.361276136431961</v>
      </c>
      <c r="EL279" s="4">
        <f t="shared" si="769"/>
        <v>2.2583179581272428</v>
      </c>
      <c r="EM279" s="4">
        <f t="shared" si="770"/>
        <v>0.15699535606871484</v>
      </c>
      <c r="EP279" s="4">
        <f t="shared" si="863"/>
        <v>0.15699535606871484</v>
      </c>
      <c r="EQ279" s="4">
        <f t="shared" si="698"/>
        <v>0.31827792573218255</v>
      </c>
      <c r="ER279" s="4">
        <f t="shared" si="772"/>
        <v>7.1980323292674591</v>
      </c>
      <c r="ES279" s="4">
        <f t="shared" si="847"/>
        <v>9.5217760568927989</v>
      </c>
      <c r="ET279" s="4">
        <f t="shared" si="774"/>
        <v>127.23322386356801</v>
      </c>
      <c r="EU279" s="4">
        <f t="shared" si="775"/>
        <v>61.531499999999994</v>
      </c>
      <c r="EV279" s="4">
        <f t="shared" si="699"/>
        <v>2.3903025500369944E-5</v>
      </c>
      <c r="EW279" s="4">
        <f t="shared" si="848"/>
        <v>10.322302433404497</v>
      </c>
      <c r="EX279" s="4">
        <f t="shared" si="707"/>
        <v>830.80362741295062</v>
      </c>
      <c r="FG279" s="23">
        <f t="shared" si="878"/>
        <v>1.4</v>
      </c>
      <c r="FH279" s="23">
        <f t="shared" si="878"/>
        <v>0.6</v>
      </c>
      <c r="FI279" s="23">
        <f t="shared" si="818"/>
        <v>1.2</v>
      </c>
      <c r="FJ279" s="23">
        <f t="shared" si="879"/>
        <v>1.8</v>
      </c>
      <c r="FK279" s="23">
        <f t="shared" si="879"/>
        <v>0.8</v>
      </c>
      <c r="FL279" s="23">
        <f t="shared" si="879"/>
        <v>0.8</v>
      </c>
      <c r="FM279" s="23">
        <f t="shared" si="807"/>
        <v>1</v>
      </c>
      <c r="FN279" s="23"/>
      <c r="FX279" s="4">
        <f t="shared" si="915"/>
        <v>1</v>
      </c>
      <c r="FY279" s="4">
        <f t="shared" si="716"/>
        <v>0.5</v>
      </c>
      <c r="FZ279" s="4">
        <f t="shared" si="916"/>
        <v>0</v>
      </c>
      <c r="GA279" s="4">
        <f t="shared" si="917"/>
        <v>579.93104644503558</v>
      </c>
    </row>
    <row r="280" spans="1:183" ht="12" customHeight="1" x14ac:dyDescent="0.3">
      <c r="A280" s="25">
        <v>262</v>
      </c>
      <c r="B280" s="4" t="s">
        <v>605</v>
      </c>
      <c r="C280" s="4">
        <v>2016</v>
      </c>
      <c r="D280" s="4" t="s">
        <v>309</v>
      </c>
      <c r="E280" s="24" t="s">
        <v>417</v>
      </c>
      <c r="F280" s="7" t="s">
        <v>419</v>
      </c>
      <c r="G280" s="38">
        <f t="shared" si="903"/>
        <v>889.65517241379314</v>
      </c>
      <c r="H280" s="38">
        <f>10*25.4</f>
        <v>254</v>
      </c>
      <c r="I280" s="4">
        <f t="shared" si="850"/>
        <v>254</v>
      </c>
      <c r="J280" s="38">
        <f>11760/145</f>
        <v>81.103448275862064</v>
      </c>
      <c r="K280" s="38">
        <f t="shared" si="851"/>
        <v>25.4</v>
      </c>
      <c r="L280" s="7">
        <f t="shared" si="852"/>
        <v>10</v>
      </c>
      <c r="M280" s="7">
        <f t="shared" si="853"/>
        <v>10</v>
      </c>
      <c r="N280" s="38">
        <f>17*25.4</f>
        <v>431.79999999999995</v>
      </c>
      <c r="O280" s="38">
        <f>2.5*25.4</f>
        <v>63.5</v>
      </c>
      <c r="P280" s="39">
        <f>3.2*25.4</f>
        <v>81.28</v>
      </c>
      <c r="Q280" s="7">
        <f t="shared" si="854"/>
        <v>253.99999999999994</v>
      </c>
      <c r="R280" s="38">
        <v>2</v>
      </c>
      <c r="S280" s="4">
        <f t="shared" si="826"/>
        <v>260.34999999999997</v>
      </c>
      <c r="T280" s="7">
        <f t="shared" si="855"/>
        <v>3</v>
      </c>
      <c r="U280" s="7">
        <f t="shared" si="702"/>
        <v>3</v>
      </c>
      <c r="V280" s="38">
        <v>4.0999999999999996</v>
      </c>
      <c r="W280" s="4">
        <f t="shared" si="856"/>
        <v>4.0999999999999996</v>
      </c>
      <c r="X280" s="4">
        <f t="shared" si="857"/>
        <v>5.0999999999999996</v>
      </c>
      <c r="Y280" s="7">
        <f t="shared" si="858"/>
        <v>57.361276136431961</v>
      </c>
      <c r="AB280" s="38">
        <f t="shared" si="885"/>
        <v>761.37931034482767</v>
      </c>
      <c r="AC280" s="4">
        <v>110.4</v>
      </c>
      <c r="AD280" s="4">
        <f t="shared" si="740"/>
        <v>0.85631332847185648</v>
      </c>
      <c r="AE280" s="38">
        <f t="shared" si="927"/>
        <v>9.5249999999999986</v>
      </c>
      <c r="AF280" s="38">
        <v>10</v>
      </c>
      <c r="AG280" s="39">
        <f>3*25.4</f>
        <v>76.199999999999989</v>
      </c>
      <c r="AH280" s="39">
        <v>3</v>
      </c>
      <c r="AI280" s="39">
        <v>2</v>
      </c>
      <c r="AJ280" s="7"/>
      <c r="AK280" s="4">
        <f t="shared" si="859"/>
        <v>254</v>
      </c>
      <c r="AL280" s="4">
        <f t="shared" si="779"/>
        <v>0.56666666666666665</v>
      </c>
      <c r="AM280" s="4">
        <f t="shared" si="780"/>
        <v>359.73519081184224</v>
      </c>
      <c r="AN280" s="4">
        <f t="shared" si="781"/>
        <v>0.76</v>
      </c>
      <c r="AO280" s="4">
        <v>1.25</v>
      </c>
      <c r="AP280" s="4">
        <f t="shared" si="933"/>
        <v>2.5</v>
      </c>
      <c r="AQ280" s="38">
        <f t="shared" si="827"/>
        <v>484.14361096760433</v>
      </c>
      <c r="AR280" s="38">
        <f t="shared" si="783"/>
        <v>484.14361096760433</v>
      </c>
      <c r="AS280" s="38">
        <f t="shared" si="784"/>
        <v>4.8623877845559145</v>
      </c>
      <c r="AT280" s="38">
        <f t="shared" ref="AT280:AT343" si="940">AP280* (J280^0.5/AK280^0.5)/(PI()/4*K280^2)/R280/0.72 *(0.7+(MIN(O280,S280)+0.5*K280)/5/H280) *(3*N280*H280)</f>
        <v>484.14361096760422</v>
      </c>
      <c r="AU280" s="38">
        <f t="shared" si="910"/>
        <v>1.0000000000000002</v>
      </c>
      <c r="AV280" s="38">
        <f t="shared" ref="AV280:AV343" si="941">AZ280/AT280</f>
        <v>2.0352056199509603</v>
      </c>
      <c r="AW280" s="4">
        <f t="shared" ref="AW280:AW343" si="942">IF(AV280&lt;1,1,0)</f>
        <v>0</v>
      </c>
      <c r="AX280" s="4">
        <f t="shared" si="860"/>
        <v>473.98659434934086</v>
      </c>
      <c r="AY280" s="4">
        <f t="shared" si="828"/>
        <v>1</v>
      </c>
      <c r="AZ280" s="38">
        <f t="shared" si="701"/>
        <v>985.33179790461941</v>
      </c>
      <c r="BA280" s="4">
        <f t="shared" si="829"/>
        <v>0.42600000000000005</v>
      </c>
      <c r="BB280" s="4">
        <f t="shared" si="830"/>
        <v>105.50230610324805</v>
      </c>
      <c r="BC280" s="4">
        <f t="shared" si="831"/>
        <v>1090.8341040078674</v>
      </c>
      <c r="BE280" s="4">
        <f t="shared" si="934"/>
        <v>1.5</v>
      </c>
      <c r="BF280" s="4">
        <f t="shared" si="935"/>
        <v>810.51707633737283</v>
      </c>
      <c r="BH280" s="4">
        <f t="shared" si="704"/>
        <v>945.05369241748747</v>
      </c>
      <c r="BI280" s="4">
        <f t="shared" si="905"/>
        <v>0</v>
      </c>
      <c r="BJ280" s="4">
        <f t="shared" si="706"/>
        <v>0</v>
      </c>
      <c r="BK280" s="4">
        <f t="shared" si="785"/>
        <v>63.5</v>
      </c>
      <c r="BL280" s="4">
        <f t="shared" si="786"/>
        <v>63.5</v>
      </c>
      <c r="BM280" s="4">
        <f t="shared" si="787"/>
        <v>260.34999999999997</v>
      </c>
      <c r="BN280" s="4">
        <f t="shared" si="788"/>
        <v>76.2</v>
      </c>
      <c r="BO280" s="4">
        <f t="shared" si="789"/>
        <v>1.25</v>
      </c>
      <c r="BP280" s="25">
        <f t="shared" si="790"/>
        <v>4</v>
      </c>
      <c r="BR280" s="4">
        <f t="shared" si="832"/>
        <v>63.5</v>
      </c>
      <c r="BV280" s="9"/>
      <c r="BX280" s="9"/>
      <c r="BY280" s="9"/>
      <c r="BZ280" s="9">
        <f t="shared" si="833"/>
        <v>63.5</v>
      </c>
      <c r="CA280" s="9">
        <f t="shared" si="834"/>
        <v>126.99999999999997</v>
      </c>
      <c r="CB280" s="9">
        <f t="shared" ref="CB280:CB343" si="943">(BZ280/K280)^0.5*(CA280/BZ280)^0.15</f>
        <v>1.7543833769624846</v>
      </c>
      <c r="CC280" s="40">
        <f t="shared" si="861"/>
        <v>20</v>
      </c>
      <c r="CD280" s="9">
        <f t="shared" si="835"/>
        <v>0.05</v>
      </c>
      <c r="CE280" s="9">
        <f t="shared" si="836"/>
        <v>0.8</v>
      </c>
      <c r="CF280" s="9">
        <f t="shared" si="837"/>
        <v>0.99524931562137331</v>
      </c>
      <c r="CG280" s="9">
        <f t="shared" si="838"/>
        <v>0.68</v>
      </c>
      <c r="CH280" s="9">
        <f t="shared" ref="CH280:CH343" si="944">1.75*CF280*CG280*(J280/25)^0.5</f>
        <v>2.1331849177195688</v>
      </c>
      <c r="CI280" s="9">
        <f t="shared" ref="CI280:CI343" si="945">MIN((CB280+CE280)*CH280,2.5*CH280,J280^0.5)</f>
        <v>5.3329622942989214</v>
      </c>
      <c r="CJ280" s="40">
        <v>1</v>
      </c>
      <c r="CK280" s="9">
        <f t="shared" ref="CK280:CK343" si="946">4*CI280*M280+60*CI280</f>
        <v>533.29622942989215</v>
      </c>
      <c r="CM280" s="4">
        <f t="shared" si="839"/>
        <v>1.6063308950541133</v>
      </c>
      <c r="CN280" s="4">
        <f t="shared" si="840"/>
        <v>0.69797901215906277</v>
      </c>
      <c r="CO280" s="4">
        <f t="shared" si="814"/>
        <v>0.9393747924293061</v>
      </c>
      <c r="CP280" s="4">
        <f t="shared" si="841"/>
        <v>1.4276855307204448</v>
      </c>
      <c r="CQ280" s="4">
        <f t="shared" si="800"/>
        <v>0.85631332847185648</v>
      </c>
      <c r="CR280" s="4">
        <f t="shared" si="801"/>
        <v>0.88968810745173232</v>
      </c>
      <c r="CS280" s="4">
        <f t="shared" si="815"/>
        <v>1.130169014844719</v>
      </c>
      <c r="CT280" s="4">
        <f t="shared" si="862"/>
        <v>10</v>
      </c>
      <c r="DA280" s="4">
        <f t="shared" ref="DA280:DB280" si="947">CM280</f>
        <v>1.6063308950541133</v>
      </c>
      <c r="DB280" s="4">
        <f t="shared" si="947"/>
        <v>0.69797901215906277</v>
      </c>
      <c r="DC280" s="4">
        <f t="shared" ref="DC280" si="948">CP280</f>
        <v>1.4276855307204448</v>
      </c>
      <c r="DD280" s="4">
        <f t="shared" ref="DD280" si="949">CS280</f>
        <v>1.130169014844719</v>
      </c>
      <c r="DE280" s="4">
        <f t="shared" ref="DE280:DF280" si="950">CQ280</f>
        <v>0.85631332847185648</v>
      </c>
      <c r="DF280" s="4">
        <f t="shared" si="950"/>
        <v>0.88968810745173232</v>
      </c>
      <c r="DI280" s="4">
        <f t="shared" si="846"/>
        <v>254</v>
      </c>
      <c r="DL280" s="4">
        <f t="shared" si="756"/>
        <v>2.4667724974581991E-5</v>
      </c>
      <c r="DM280" s="4">
        <f t="shared" si="757"/>
        <v>12.555764626779007</v>
      </c>
      <c r="DN280" s="4">
        <f t="shared" si="758"/>
        <v>0.32496509118243971</v>
      </c>
      <c r="DO280" s="4">
        <f t="shared" si="759"/>
        <v>8.0089918141589269</v>
      </c>
      <c r="DP280" s="4">
        <f t="shared" si="760"/>
        <v>10.531859423226024</v>
      </c>
      <c r="DQ280" s="4">
        <f t="shared" si="761"/>
        <v>11.18267087619982</v>
      </c>
      <c r="DR280" s="38">
        <f t="shared" si="791"/>
        <v>889.13635351624816</v>
      </c>
      <c r="DS280" s="4">
        <f t="shared" si="762"/>
        <v>1.0000982181242293</v>
      </c>
      <c r="DT280" s="4">
        <f t="shared" si="763"/>
        <v>2.2583179581272428</v>
      </c>
      <c r="DU280" s="4">
        <f t="shared" si="764"/>
        <v>484.14361096760422</v>
      </c>
      <c r="DY280" s="4">
        <f t="shared" si="765"/>
        <v>0.85</v>
      </c>
      <c r="DZ280" s="4">
        <f t="shared" si="766"/>
        <v>0.85</v>
      </c>
      <c r="EA280" s="4">
        <f t="shared" si="792"/>
        <v>0.90625</v>
      </c>
      <c r="EB280" s="4">
        <f t="shared" si="767"/>
        <v>0.77031249999999996</v>
      </c>
      <c r="ED280" s="4">
        <f t="shared" si="793"/>
        <v>855.78227242532216</v>
      </c>
      <c r="EE280" s="25">
        <f t="shared" si="794"/>
        <v>479.10933362195192</v>
      </c>
      <c r="EG280" s="4">
        <f t="shared" si="932"/>
        <v>0.65476562499999991</v>
      </c>
      <c r="EH280" s="4">
        <f t="shared" si="795"/>
        <v>12.555764626779007</v>
      </c>
      <c r="EK280" s="4">
        <f t="shared" si="768"/>
        <v>57.361276136431961</v>
      </c>
      <c r="EL280" s="4">
        <f t="shared" si="769"/>
        <v>2.2583179581272428</v>
      </c>
      <c r="EM280" s="4">
        <f t="shared" si="770"/>
        <v>0.16002639998473522</v>
      </c>
      <c r="EP280" s="4">
        <f t="shared" si="863"/>
        <v>0.16002639998473522</v>
      </c>
      <c r="EQ280" s="4">
        <f t="shared" ref="EQ280:EQ343" si="951">MIN(0.999, EP280/(0.3*(J280/30)^0.5))</f>
        <v>0.32442278501051608</v>
      </c>
      <c r="ER280" s="4">
        <f t="shared" si="772"/>
        <v>8.0036429293618987</v>
      </c>
      <c r="ES280" s="4">
        <f t="shared" si="847"/>
        <v>10.529832094936477</v>
      </c>
      <c r="ET280" s="4">
        <f t="shared" si="774"/>
        <v>133.13872386356803</v>
      </c>
      <c r="EU280" s="4">
        <f t="shared" si="775"/>
        <v>63.5</v>
      </c>
      <c r="EV280" s="4">
        <f t="shared" ref="EV280:EV343" si="952">EU280/(1-0.3*(J280/30)^0.5)/200000/K280</f>
        <v>2.4667724974581991E-5</v>
      </c>
      <c r="EW280" s="4">
        <f t="shared" si="848"/>
        <v>11.183021240517544</v>
      </c>
      <c r="EX280" s="4">
        <f t="shared" si="707"/>
        <v>889.04903278789982</v>
      </c>
      <c r="FG280" s="23">
        <f t="shared" si="878"/>
        <v>1.8</v>
      </c>
      <c r="FH280" s="23">
        <f t="shared" si="878"/>
        <v>0.8</v>
      </c>
      <c r="FI280" s="23">
        <f t="shared" si="818"/>
        <v>1.2</v>
      </c>
      <c r="FJ280" s="23">
        <f t="shared" si="879"/>
        <v>1.6</v>
      </c>
      <c r="FK280" s="23">
        <f t="shared" si="879"/>
        <v>1</v>
      </c>
      <c r="FL280" s="23">
        <f t="shared" si="879"/>
        <v>1</v>
      </c>
      <c r="FM280" s="23">
        <f t="shared" si="807"/>
        <v>0</v>
      </c>
      <c r="FN280" s="23"/>
      <c r="FX280" s="4">
        <f t="shared" si="915"/>
        <v>1</v>
      </c>
      <c r="FY280" s="4">
        <f t="shared" si="716"/>
        <v>0.44418604651162791</v>
      </c>
      <c r="FZ280" s="4">
        <f t="shared" si="916"/>
        <v>0.3</v>
      </c>
      <c r="GA280" s="4">
        <f t="shared" si="917"/>
        <v>673.6862366107589</v>
      </c>
    </row>
    <row r="281" spans="1:183" ht="12" customHeight="1" x14ac:dyDescent="0.3">
      <c r="A281" s="25">
        <v>263</v>
      </c>
      <c r="B281" s="4" t="s">
        <v>605</v>
      </c>
      <c r="C281" s="4">
        <v>2016</v>
      </c>
      <c r="D281" s="4" t="s">
        <v>309</v>
      </c>
      <c r="E281" s="24" t="s">
        <v>417</v>
      </c>
      <c r="F281" s="7" t="s">
        <v>420</v>
      </c>
      <c r="G281" s="38">
        <f t="shared" si="903"/>
        <v>889.65517241379314</v>
      </c>
      <c r="H281" s="38">
        <f>9.9*25.4</f>
        <v>251.46</v>
      </c>
      <c r="I281" s="4">
        <f t="shared" si="850"/>
        <v>251.46</v>
      </c>
      <c r="J281" s="38">
        <f>11040/145</f>
        <v>76.137931034482762</v>
      </c>
      <c r="K281" s="38">
        <f t="shared" si="851"/>
        <v>25.4</v>
      </c>
      <c r="L281" s="7">
        <f t="shared" si="852"/>
        <v>9.9</v>
      </c>
      <c r="M281" s="7">
        <f t="shared" si="853"/>
        <v>9.9</v>
      </c>
      <c r="N281" s="38">
        <f>12*25.4</f>
        <v>304.79999999999995</v>
      </c>
      <c r="O281" s="38">
        <f>2.45*25.4</f>
        <v>62.230000000000004</v>
      </c>
      <c r="P281" s="39">
        <f>(3.3+3.2+3.3)/3*25.4</f>
        <v>82.973333333333343</v>
      </c>
      <c r="Q281" s="7">
        <f t="shared" si="854"/>
        <v>52.069999999999979</v>
      </c>
      <c r="R281" s="38">
        <v>3</v>
      </c>
      <c r="S281" s="4">
        <f t="shared" si="826"/>
        <v>260.34999999999997</v>
      </c>
      <c r="T281" s="7">
        <f t="shared" si="855"/>
        <v>1.5249999999999997</v>
      </c>
      <c r="U281" s="7">
        <f t="shared" si="702"/>
        <v>2.95</v>
      </c>
      <c r="V281" s="38">
        <v>4.0999999999999996</v>
      </c>
      <c r="W281" s="4">
        <f t="shared" si="856"/>
        <v>4.0999999999999996</v>
      </c>
      <c r="X281" s="4">
        <f t="shared" si="857"/>
        <v>5.0999999999999996</v>
      </c>
      <c r="Y281" s="7">
        <f t="shared" si="858"/>
        <v>57.361276136431961</v>
      </c>
      <c r="AB281" s="38">
        <f t="shared" si="885"/>
        <v>368.27586206896552</v>
      </c>
      <c r="AC281" s="4">
        <v>53.4</v>
      </c>
      <c r="AD281" s="4">
        <f t="shared" si="740"/>
        <v>0.73864862864762737</v>
      </c>
      <c r="AE281" s="38">
        <v>0</v>
      </c>
      <c r="AF281" s="38">
        <v>0</v>
      </c>
      <c r="AG281" s="39">
        <f>I281</f>
        <v>251.46</v>
      </c>
      <c r="AH281" s="39"/>
      <c r="AI281" s="39"/>
      <c r="AJ281" s="7"/>
      <c r="AK281" s="4">
        <f t="shared" si="859"/>
        <v>251.46</v>
      </c>
      <c r="AL281" s="4">
        <f t="shared" si="779"/>
        <v>0.40404040404040398</v>
      </c>
      <c r="AM281" s="4">
        <f t="shared" si="780"/>
        <v>228.88921678455287</v>
      </c>
      <c r="AN281" s="4">
        <f t="shared" si="781"/>
        <v>0.7595959595959596</v>
      </c>
      <c r="AO281" s="4">
        <v>1.25</v>
      </c>
      <c r="AP281" s="4">
        <f t="shared" si="933"/>
        <v>2.5</v>
      </c>
      <c r="AQ281" s="38">
        <f t="shared" si="827"/>
        <v>219.52439932402783</v>
      </c>
      <c r="AR281" s="38">
        <f t="shared" si="783"/>
        <v>219.52439932402783</v>
      </c>
      <c r="AS281" s="38">
        <f t="shared" si="784"/>
        <v>4.75341304622079</v>
      </c>
      <c r="AT281" s="38">
        <f t="shared" si="940"/>
        <v>219.52439932402797</v>
      </c>
      <c r="AU281" s="38">
        <f t="shared" si="910"/>
        <v>0.99999999999999933</v>
      </c>
      <c r="AV281" s="38">
        <f t="shared" si="941"/>
        <v>2.9425525330927655</v>
      </c>
      <c r="AW281" s="4">
        <f t="shared" si="942"/>
        <v>0</v>
      </c>
      <c r="AX281" s="4">
        <f t="shared" si="860"/>
        <v>454.65516507863128</v>
      </c>
      <c r="AY281" s="4">
        <f t="shared" si="828"/>
        <v>1.3737704918032789</v>
      </c>
      <c r="AZ281" s="38">
        <f t="shared" ref="AZ281:AZ344" si="953">2*J281*T281*V281^0.5*AY281*0.7/0.7</f>
        <v>645.96207730658625</v>
      </c>
      <c r="BA281" s="4">
        <f t="shared" si="829"/>
        <v>0.42600000000000005</v>
      </c>
      <c r="BB281" s="4">
        <f t="shared" si="830"/>
        <v>101.19941991902715</v>
      </c>
      <c r="BC281" s="4">
        <f t="shared" si="831"/>
        <v>747.1614972256134</v>
      </c>
      <c r="BE281" s="4">
        <f t="shared" si="934"/>
        <v>1.3625</v>
      </c>
      <c r="BF281" s="4">
        <f t="shared" si="935"/>
        <v>709.75976715413344</v>
      </c>
      <c r="BH281" s="4">
        <f t="shared" si="704"/>
        <v>619.55662815151902</v>
      </c>
      <c r="BI281" s="4">
        <f t="shared" si="905"/>
        <v>0</v>
      </c>
      <c r="BJ281" s="4">
        <f t="shared" si="706"/>
        <v>0</v>
      </c>
      <c r="BK281" s="4">
        <f t="shared" si="785"/>
        <v>32.434999999999988</v>
      </c>
      <c r="BL281" s="4">
        <f t="shared" si="786"/>
        <v>32.434999999999988</v>
      </c>
      <c r="BM281" s="4">
        <f t="shared" si="787"/>
        <v>260.34999999999997</v>
      </c>
      <c r="BN281" s="4">
        <f t="shared" si="788"/>
        <v>45.134999999999991</v>
      </c>
      <c r="BO281" s="4">
        <f t="shared" si="789"/>
        <v>1.25</v>
      </c>
      <c r="BP281" s="25">
        <f t="shared" si="790"/>
        <v>2.2212106299212597</v>
      </c>
      <c r="BR281" s="4">
        <f t="shared" si="832"/>
        <v>26.034999999999989</v>
      </c>
      <c r="BV281" s="9"/>
      <c r="BX281" s="9"/>
      <c r="BY281" s="9"/>
      <c r="BZ281" s="9">
        <f t="shared" si="833"/>
        <v>26.034999999999989</v>
      </c>
      <c r="CA281" s="9">
        <f t="shared" si="834"/>
        <v>62.230000000000004</v>
      </c>
      <c r="CB281" s="9">
        <f t="shared" si="943"/>
        <v>1.1537939716985905</v>
      </c>
      <c r="CC281" s="40">
        <f t="shared" si="861"/>
        <v>20</v>
      </c>
      <c r="CD281" s="9">
        <f t="shared" si="835"/>
        <v>0</v>
      </c>
      <c r="CE281" s="9">
        <f t="shared" si="836"/>
        <v>0</v>
      </c>
      <c r="CF281" s="9">
        <f t="shared" si="837"/>
        <v>0.99524931562137331</v>
      </c>
      <c r="CG281" s="9">
        <f t="shared" si="838"/>
        <v>0.68</v>
      </c>
      <c r="CH281" s="9">
        <f t="shared" si="944"/>
        <v>2.0668520038571487</v>
      </c>
      <c r="CI281" s="9">
        <f t="shared" si="945"/>
        <v>2.38472138244353</v>
      </c>
      <c r="CJ281" s="40">
        <v>1</v>
      </c>
      <c r="CK281" s="9">
        <f t="shared" si="946"/>
        <v>237.51824969137562</v>
      </c>
      <c r="CM281" s="4">
        <f t="shared" si="839"/>
        <v>0.81001138963256536</v>
      </c>
      <c r="CN281" s="4">
        <f t="shared" si="840"/>
        <v>0.4928999465797696</v>
      </c>
      <c r="CO281" s="4">
        <f t="shared" si="814"/>
        <v>0.51887396146108922</v>
      </c>
      <c r="CP281" s="4">
        <f t="shared" si="841"/>
        <v>1.5505160658075436</v>
      </c>
      <c r="CQ281" s="4">
        <f t="shared" si="800"/>
        <v>0.73864862864762737</v>
      </c>
      <c r="CR281" s="4">
        <f t="shared" si="801"/>
        <v>0.74214693971252432</v>
      </c>
      <c r="CS281" s="4">
        <f t="shared" si="815"/>
        <v>1.1800386873366524</v>
      </c>
      <c r="CT281" s="4">
        <f t="shared" si="862"/>
        <v>0</v>
      </c>
      <c r="CU281" s="4">
        <f t="shared" ref="CU281:CV281" si="954">CM281</f>
        <v>0.81001138963256536</v>
      </c>
      <c r="CV281" s="4">
        <f t="shared" si="954"/>
        <v>0.4928999465797696</v>
      </c>
      <c r="CW281" s="4">
        <f t="shared" ref="CW281" si="955">CP281</f>
        <v>1.5505160658075436</v>
      </c>
      <c r="CX281" s="4">
        <f t="shared" ref="CX281" si="956">CS281</f>
        <v>1.1800386873366524</v>
      </c>
      <c r="CY281" s="4">
        <f t="shared" ref="CY281:CZ281" si="957">CQ281</f>
        <v>0.73864862864762737</v>
      </c>
      <c r="CZ281" s="4">
        <f t="shared" si="957"/>
        <v>0.74214693971252432</v>
      </c>
      <c r="DI281" s="4">
        <f t="shared" si="846"/>
        <v>251.46</v>
      </c>
      <c r="DL281" s="4">
        <f t="shared" si="756"/>
        <v>2.3703561532428188E-5</v>
      </c>
      <c r="DM281" s="4">
        <f t="shared" si="757"/>
        <v>9.3945954333173542</v>
      </c>
      <c r="DN281" s="4">
        <f t="shared" si="758"/>
        <v>0.15695803424964713</v>
      </c>
      <c r="DO281" s="4">
        <f t="shared" si="759"/>
        <v>4.4791076762040252</v>
      </c>
      <c r="DP281" s="4">
        <f t="shared" si="760"/>
        <v>7.3641169634775325</v>
      </c>
      <c r="DQ281" s="4">
        <f t="shared" si="761"/>
        <v>8.727573788747403</v>
      </c>
      <c r="DR281" s="38">
        <f t="shared" si="791"/>
        <v>498.58058051665546</v>
      </c>
      <c r="DS281" s="4">
        <f t="shared" si="762"/>
        <v>1.0000888470978735</v>
      </c>
      <c r="DT281" s="4">
        <f t="shared" si="763"/>
        <v>2.2583179581272428</v>
      </c>
      <c r="DU281" s="4">
        <f t="shared" si="764"/>
        <v>219.52439932402797</v>
      </c>
      <c r="DY281" s="4">
        <f t="shared" si="765"/>
        <v>0.85</v>
      </c>
      <c r="DZ281" s="4">
        <f t="shared" si="766"/>
        <v>0.99750000000000005</v>
      </c>
      <c r="EA281" s="4">
        <f t="shared" si="792"/>
        <v>1</v>
      </c>
      <c r="EB281" s="4">
        <f t="shared" si="767"/>
        <v>0.99750000000000005</v>
      </c>
      <c r="ED281" s="4">
        <f t="shared" si="793"/>
        <v>496.23038560479642</v>
      </c>
      <c r="EE281" s="25">
        <f t="shared" si="794"/>
        <v>217.210901235271</v>
      </c>
      <c r="EG281" s="4">
        <f t="shared" si="932"/>
        <v>0.84787500000000005</v>
      </c>
      <c r="EH281" s="4">
        <f t="shared" si="795"/>
        <v>9.3945954333173542</v>
      </c>
      <c r="EK281" s="4">
        <f t="shared" si="768"/>
        <v>57.361276136431961</v>
      </c>
      <c r="EL281" s="4">
        <f t="shared" si="769"/>
        <v>2.2583179581272428</v>
      </c>
      <c r="EM281" s="4">
        <f t="shared" si="770"/>
        <v>7.4889227699808214E-2</v>
      </c>
      <c r="EP281" s="4">
        <f t="shared" si="863"/>
        <v>7.4889227699808214E-2</v>
      </c>
      <c r="EQ281" s="4">
        <f t="shared" si="951"/>
        <v>0.15669610054348546</v>
      </c>
      <c r="ER281" s="4">
        <f t="shared" si="772"/>
        <v>4.476116259617589</v>
      </c>
      <c r="ES281" s="4">
        <f t="shared" si="847"/>
        <v>7.3632204030722086</v>
      </c>
      <c r="ET281" s="4">
        <f t="shared" si="774"/>
        <v>131.23372386356803</v>
      </c>
      <c r="EU281" s="4">
        <f t="shared" si="775"/>
        <v>62.865000000000009</v>
      </c>
      <c r="EV281" s="4">
        <f t="shared" si="952"/>
        <v>2.3703561532428195E-5</v>
      </c>
      <c r="EW281" s="4">
        <f t="shared" si="848"/>
        <v>8.7277008339076421</v>
      </c>
      <c r="EX281" s="4">
        <f t="shared" si="707"/>
        <v>498.53628701436963</v>
      </c>
      <c r="FG281" s="23">
        <f t="shared" si="878"/>
        <v>1</v>
      </c>
      <c r="FH281" s="23">
        <f t="shared" si="878"/>
        <v>0.6</v>
      </c>
      <c r="FI281" s="23">
        <f t="shared" si="818"/>
        <v>1.2</v>
      </c>
      <c r="FJ281" s="23">
        <f t="shared" si="879"/>
        <v>1.6</v>
      </c>
      <c r="FK281" s="23">
        <f t="shared" si="879"/>
        <v>0.8</v>
      </c>
      <c r="FL281" s="23">
        <f t="shared" si="879"/>
        <v>0.8</v>
      </c>
      <c r="FM281" s="23">
        <f t="shared" si="807"/>
        <v>1</v>
      </c>
      <c r="FN281" s="23"/>
      <c r="FX281" s="4">
        <f t="shared" si="915"/>
        <v>1.25</v>
      </c>
      <c r="FY281" s="4">
        <f t="shared" si="716"/>
        <v>0.74750000000000005</v>
      </c>
      <c r="FZ281" s="4">
        <f t="shared" si="916"/>
        <v>0</v>
      </c>
      <c r="GA281" s="4">
        <f t="shared" si="917"/>
        <v>312.08795611622213</v>
      </c>
    </row>
    <row r="282" spans="1:183" ht="12" customHeight="1" x14ac:dyDescent="0.3">
      <c r="A282" s="25">
        <v>264</v>
      </c>
      <c r="B282" s="4" t="s">
        <v>605</v>
      </c>
      <c r="C282" s="4">
        <v>2016</v>
      </c>
      <c r="D282" s="4" t="s">
        <v>309</v>
      </c>
      <c r="E282" s="24" t="s">
        <v>665</v>
      </c>
      <c r="F282" s="7" t="s">
        <v>421</v>
      </c>
      <c r="G282" s="38">
        <f t="shared" si="903"/>
        <v>889.65517241379314</v>
      </c>
      <c r="H282" s="38">
        <f>10*25.4</f>
        <v>254</v>
      </c>
      <c r="I282" s="4">
        <f t="shared" si="850"/>
        <v>254</v>
      </c>
      <c r="J282" s="38">
        <f>11040/145</f>
        <v>76.137931034482762</v>
      </c>
      <c r="K282" s="38">
        <f t="shared" si="851"/>
        <v>25.4</v>
      </c>
      <c r="L282" s="7">
        <f t="shared" si="852"/>
        <v>10</v>
      </c>
      <c r="M282" s="7">
        <f t="shared" si="853"/>
        <v>10</v>
      </c>
      <c r="N282" s="38">
        <f>12*25.4</f>
        <v>304.79999999999995</v>
      </c>
      <c r="O282" s="38">
        <f>2.4*25.4</f>
        <v>60.959999999999994</v>
      </c>
      <c r="P282" s="39">
        <f>(2.9+2.8+3.1)/3*25.4</f>
        <v>74.506666666666661</v>
      </c>
      <c r="Q282" s="7">
        <f t="shared" si="854"/>
        <v>53.339999999999989</v>
      </c>
      <c r="R282" s="38">
        <v>3</v>
      </c>
      <c r="S282" s="4">
        <f t="shared" si="826"/>
        <v>260.34999999999997</v>
      </c>
      <c r="T282" s="7">
        <f t="shared" si="855"/>
        <v>1.5499999999999998</v>
      </c>
      <c r="U282" s="7">
        <f t="shared" ref="U282:U345" si="958">O282/K282+0.5</f>
        <v>2.9</v>
      </c>
      <c r="V282" s="38">
        <v>4.0999999999999996</v>
      </c>
      <c r="W282" s="4">
        <f t="shared" si="856"/>
        <v>4.0999999999999996</v>
      </c>
      <c r="X282" s="4">
        <f t="shared" si="857"/>
        <v>5.0999999999999996</v>
      </c>
      <c r="Y282" s="7">
        <f t="shared" si="858"/>
        <v>57.361276136431961</v>
      </c>
      <c r="AB282" s="38">
        <f t="shared" si="885"/>
        <v>537.93103448275861</v>
      </c>
      <c r="AC282" s="4">
        <v>78</v>
      </c>
      <c r="AD282" s="4">
        <f t="shared" si="740"/>
        <v>1.0122595831277816</v>
      </c>
      <c r="AE282" s="38">
        <f t="shared" si="927"/>
        <v>9.5249999999999986</v>
      </c>
      <c r="AF282" s="38">
        <v>10</v>
      </c>
      <c r="AG282" s="39">
        <f>3*25.4</f>
        <v>76.199999999999989</v>
      </c>
      <c r="AH282" s="39">
        <v>3</v>
      </c>
      <c r="AI282" s="39">
        <v>2</v>
      </c>
      <c r="AJ282" s="7"/>
      <c r="AK282" s="4">
        <f t="shared" si="859"/>
        <v>254</v>
      </c>
      <c r="AL282" s="4">
        <f t="shared" si="779"/>
        <v>0.39999999999999997</v>
      </c>
      <c r="AM282" s="4">
        <f t="shared" si="780"/>
        <v>232.36597815509018</v>
      </c>
      <c r="AN282" s="4">
        <f t="shared" si="781"/>
        <v>0.75800000000000001</v>
      </c>
      <c r="AO282" s="4">
        <v>1.25</v>
      </c>
      <c r="AP282" s="4">
        <f t="shared" si="933"/>
        <v>2.5</v>
      </c>
      <c r="AQ282" s="38">
        <f t="shared" si="827"/>
        <v>220.16676430194792</v>
      </c>
      <c r="AR282" s="38">
        <f t="shared" si="783"/>
        <v>220.16676430194792</v>
      </c>
      <c r="AS282" s="38">
        <f t="shared" si="784"/>
        <v>4.75341304622079</v>
      </c>
      <c r="AT282" s="38">
        <f t="shared" si="940"/>
        <v>220.16676430194792</v>
      </c>
      <c r="AU282" s="38">
        <f t="shared" si="910"/>
        <v>1</v>
      </c>
      <c r="AV282" s="38">
        <f t="shared" si="941"/>
        <v>2.9269649474460713</v>
      </c>
      <c r="AW282" s="4">
        <f t="shared" si="942"/>
        <v>0</v>
      </c>
      <c r="AX282" s="4">
        <f t="shared" si="860"/>
        <v>459.24764149356696</v>
      </c>
      <c r="AY282" s="4">
        <f t="shared" si="828"/>
        <v>1.3483870967741938</v>
      </c>
      <c r="AZ282" s="38">
        <f t="shared" si="953"/>
        <v>644.4204017044226</v>
      </c>
      <c r="BA282" s="4">
        <f t="shared" si="829"/>
        <v>0.42600000000000005</v>
      </c>
      <c r="BB282" s="4">
        <f t="shared" si="830"/>
        <v>102.22163628184562</v>
      </c>
      <c r="BC282" s="4">
        <f t="shared" si="831"/>
        <v>746.64203798626818</v>
      </c>
      <c r="BE282" s="4">
        <f t="shared" si="934"/>
        <v>1.5</v>
      </c>
      <c r="BF282" s="4">
        <f t="shared" si="935"/>
        <v>785.31346695399941</v>
      </c>
      <c r="BH282" s="4">
        <f t="shared" ref="BH282:BH345" si="959">3.4/PI()^0.5*J282*T282*W282^0.5*AY282</f>
        <v>618.07797271440324</v>
      </c>
      <c r="BI282" s="4">
        <f t="shared" si="905"/>
        <v>0</v>
      </c>
      <c r="BJ282" s="4">
        <f t="shared" ref="BJ282:BJ345" si="960">BI282/BH282</f>
        <v>0</v>
      </c>
      <c r="BK282" s="4">
        <f t="shared" si="785"/>
        <v>33.069999999999993</v>
      </c>
      <c r="BL282" s="4">
        <f t="shared" si="786"/>
        <v>33.069999999999993</v>
      </c>
      <c r="BM282" s="4">
        <f t="shared" si="787"/>
        <v>260.34999999999997</v>
      </c>
      <c r="BN282" s="4">
        <f t="shared" si="788"/>
        <v>45.769999999999996</v>
      </c>
      <c r="BO282" s="4">
        <f t="shared" si="789"/>
        <v>1.25</v>
      </c>
      <c r="BP282" s="25">
        <f t="shared" si="790"/>
        <v>3.514297394616027</v>
      </c>
      <c r="BR282" s="4">
        <f t="shared" si="832"/>
        <v>26.669999999999995</v>
      </c>
      <c r="BV282" s="9"/>
      <c r="BX282" s="9"/>
      <c r="BY282" s="9"/>
      <c r="BZ282" s="9">
        <f t="shared" si="833"/>
        <v>26.669999999999995</v>
      </c>
      <c r="CA282" s="9">
        <f t="shared" si="834"/>
        <v>60.959999999999994</v>
      </c>
      <c r="CB282" s="9">
        <f t="shared" si="943"/>
        <v>1.1599731613256561</v>
      </c>
      <c r="CC282" s="40">
        <f t="shared" si="861"/>
        <v>20</v>
      </c>
      <c r="CD282" s="9">
        <f t="shared" si="835"/>
        <v>0.05</v>
      </c>
      <c r="CE282" s="9">
        <f t="shared" si="836"/>
        <v>0.8</v>
      </c>
      <c r="CF282" s="9">
        <f t="shared" si="837"/>
        <v>0.99524931562137331</v>
      </c>
      <c r="CG282" s="9">
        <f t="shared" si="838"/>
        <v>0.68</v>
      </c>
      <c r="CH282" s="9">
        <f t="shared" si="944"/>
        <v>2.0668520038571487</v>
      </c>
      <c r="CI282" s="9">
        <f t="shared" si="945"/>
        <v>4.0509744559921632</v>
      </c>
      <c r="CJ282" s="40">
        <v>1</v>
      </c>
      <c r="CK282" s="9">
        <f t="shared" si="946"/>
        <v>405.09744559921631</v>
      </c>
      <c r="CM282" s="4">
        <f t="shared" si="839"/>
        <v>1.1713310769181029</v>
      </c>
      <c r="CN282" s="4">
        <f t="shared" si="840"/>
        <v>0.72046711424605314</v>
      </c>
      <c r="CO282" s="4">
        <f t="shared" si="814"/>
        <v>0.68498893387023563</v>
      </c>
      <c r="CP282" s="4">
        <f t="shared" si="841"/>
        <v>1.327905273969467</v>
      </c>
      <c r="CQ282" s="4">
        <f t="shared" si="800"/>
        <v>1.0122595831277816</v>
      </c>
      <c r="CR282" s="4">
        <f t="shared" si="801"/>
        <v>1.015645214075779</v>
      </c>
      <c r="CS282" s="4">
        <f t="shared" si="815"/>
        <v>1.5227273061218662</v>
      </c>
      <c r="CT282" s="4">
        <f t="shared" si="862"/>
        <v>10</v>
      </c>
      <c r="DA282" s="4">
        <f t="shared" ref="DA282:DB282" si="961">CM282</f>
        <v>1.1713310769181029</v>
      </c>
      <c r="DB282" s="4">
        <f t="shared" si="961"/>
        <v>0.72046711424605314</v>
      </c>
      <c r="DC282" s="4">
        <f t="shared" ref="DC282" si="962">CP282</f>
        <v>1.327905273969467</v>
      </c>
      <c r="DD282" s="4">
        <f t="shared" ref="DD282" si="963">CS282</f>
        <v>1.5227273061218662</v>
      </c>
      <c r="DE282" s="4">
        <f t="shared" ref="DE282:DF282" si="964">CQ282</f>
        <v>1.0122595831277816</v>
      </c>
      <c r="DF282" s="4">
        <f t="shared" si="964"/>
        <v>1.015645214075779</v>
      </c>
      <c r="DI282" s="4">
        <f t="shared" si="846"/>
        <v>254</v>
      </c>
      <c r="DL282" s="4">
        <f t="shared" si="756"/>
        <v>2.3942991446897161E-5</v>
      </c>
      <c r="DM282" s="4">
        <f t="shared" si="757"/>
        <v>10.392496490434585</v>
      </c>
      <c r="DN282" s="4">
        <f t="shared" si="758"/>
        <v>0.15741731961617406</v>
      </c>
      <c r="DO282" s="4">
        <f t="shared" si="759"/>
        <v>4.9606763339604125</v>
      </c>
      <c r="DP282" s="4">
        <f t="shared" si="760"/>
        <v>8.1480771156069896</v>
      </c>
      <c r="DQ282" s="4">
        <f t="shared" si="761"/>
        <v>9.5599674624018807</v>
      </c>
      <c r="DR282" s="38">
        <f t="shared" si="791"/>
        <v>531.41609469441141</v>
      </c>
      <c r="DS282" s="4">
        <f t="shared" si="762"/>
        <v>1.0000925698694281</v>
      </c>
      <c r="DT282" s="4">
        <f t="shared" si="763"/>
        <v>2.2583179581272428</v>
      </c>
      <c r="DU282" s="4">
        <f t="shared" si="764"/>
        <v>220.16676430194792</v>
      </c>
      <c r="DY282" s="4">
        <f t="shared" si="765"/>
        <v>0.85</v>
      </c>
      <c r="DZ282" s="4">
        <f t="shared" si="766"/>
        <v>0.995</v>
      </c>
      <c r="EA282" s="4">
        <f t="shared" si="792"/>
        <v>0.90625</v>
      </c>
      <c r="EB282" s="4">
        <f t="shared" si="767"/>
        <v>0.90171875000000001</v>
      </c>
      <c r="ED282" s="4">
        <f t="shared" si="793"/>
        <v>529.64463084903844</v>
      </c>
      <c r="EE282" s="25">
        <f t="shared" si="794"/>
        <v>217.86973613600091</v>
      </c>
      <c r="EG282" s="4">
        <f t="shared" si="932"/>
        <v>0.76646093749999999</v>
      </c>
      <c r="EH282" s="4">
        <f t="shared" si="795"/>
        <v>10.392496490434585</v>
      </c>
      <c r="EK282" s="4">
        <f t="shared" si="768"/>
        <v>57.361276136431961</v>
      </c>
      <c r="EL282" s="4">
        <f t="shared" si="769"/>
        <v>2.2583179581272428</v>
      </c>
      <c r="EM282" s="4">
        <f t="shared" si="770"/>
        <v>7.5108366060946924E-2</v>
      </c>
      <c r="EP282" s="4">
        <f t="shared" si="863"/>
        <v>7.5108366060946924E-2</v>
      </c>
      <c r="EQ282" s="4">
        <f t="shared" si="951"/>
        <v>0.15715461944833478</v>
      </c>
      <c r="ER282" s="4">
        <f t="shared" si="772"/>
        <v>4.9573632969588264</v>
      </c>
      <c r="ES282" s="4">
        <f t="shared" si="847"/>
        <v>8.1470831422939138</v>
      </c>
      <c r="ET282" s="4">
        <f t="shared" si="774"/>
        <v>133.13872386356803</v>
      </c>
      <c r="EU282" s="4">
        <f t="shared" si="775"/>
        <v>63.5</v>
      </c>
      <c r="EV282" s="4">
        <f t="shared" si="952"/>
        <v>2.3942991446897161E-5</v>
      </c>
      <c r="EW282" s="4">
        <f t="shared" si="848"/>
        <v>9.5601253990987622</v>
      </c>
      <c r="EX282" s="4">
        <f t="shared" ref="EX282:EX345" si="965">MIN(4/K282*(1*ER282*EK282+ES282*ET282+EU282*EW282)+DU282,MAX(G282,AB282))</f>
        <v>531.3669061292926</v>
      </c>
      <c r="FG282" s="23">
        <f t="shared" si="878"/>
        <v>1.2</v>
      </c>
      <c r="FH282" s="23">
        <f t="shared" si="878"/>
        <v>0.8</v>
      </c>
      <c r="FI282" s="23">
        <f t="shared" si="818"/>
        <v>1.6</v>
      </c>
      <c r="FJ282" s="23">
        <f t="shared" si="879"/>
        <v>1.4</v>
      </c>
      <c r="FK282" s="23">
        <f t="shared" si="879"/>
        <v>1.2</v>
      </c>
      <c r="FL282" s="23">
        <f t="shared" si="879"/>
        <v>1.2</v>
      </c>
      <c r="FM282" s="23">
        <f t="shared" si="807"/>
        <v>0</v>
      </c>
      <c r="FN282" s="23"/>
      <c r="FX282" s="4">
        <f t="shared" si="915"/>
        <v>1.25</v>
      </c>
      <c r="FY282" s="4">
        <f t="shared" si="716"/>
        <v>0.66703488372093034</v>
      </c>
      <c r="FZ282" s="4">
        <f t="shared" si="916"/>
        <v>0.28124999999999994</v>
      </c>
      <c r="GA282" s="4">
        <f t="shared" si="917"/>
        <v>353.26813430093381</v>
      </c>
    </row>
    <row r="283" spans="1:183" ht="12" customHeight="1" x14ac:dyDescent="0.3">
      <c r="A283" s="25">
        <v>265</v>
      </c>
      <c r="B283" s="4" t="s">
        <v>605</v>
      </c>
      <c r="C283" s="4">
        <v>2016</v>
      </c>
      <c r="D283" s="4" t="s">
        <v>309</v>
      </c>
      <c r="E283" s="24" t="s">
        <v>665</v>
      </c>
      <c r="F283" s="7" t="s">
        <v>422</v>
      </c>
      <c r="G283" s="38">
        <f t="shared" si="903"/>
        <v>889.65517241379314</v>
      </c>
      <c r="H283" s="38">
        <f>9.92*25.4</f>
        <v>251.96799999999999</v>
      </c>
      <c r="I283" s="4">
        <f t="shared" si="850"/>
        <v>251.96799999999999</v>
      </c>
      <c r="J283" s="38">
        <f>11440/145</f>
        <v>78.896551724137936</v>
      </c>
      <c r="K283" s="38">
        <f t="shared" si="851"/>
        <v>25.4</v>
      </c>
      <c r="L283" s="7">
        <f t="shared" si="852"/>
        <v>9.92</v>
      </c>
      <c r="M283" s="7">
        <f t="shared" si="853"/>
        <v>9.92</v>
      </c>
      <c r="N283" s="38">
        <f>14*25.4</f>
        <v>355.59999999999997</v>
      </c>
      <c r="O283" s="38">
        <f>2.5*25.4</f>
        <v>63.5</v>
      </c>
      <c r="P283" s="39">
        <f>(3+3.3+3)/3*25.4</f>
        <v>78.739999999999995</v>
      </c>
      <c r="Q283" s="7">
        <f t="shared" si="854"/>
        <v>76.199999999999989</v>
      </c>
      <c r="R283" s="38">
        <v>3</v>
      </c>
      <c r="S283" s="4">
        <f t="shared" si="826"/>
        <v>260.34999999999997</v>
      </c>
      <c r="T283" s="7">
        <f t="shared" si="855"/>
        <v>1.9999999999999998</v>
      </c>
      <c r="U283" s="7">
        <f t="shared" si="958"/>
        <v>3</v>
      </c>
      <c r="V283" s="38">
        <v>4.0999999999999996</v>
      </c>
      <c r="W283" s="4">
        <f t="shared" si="856"/>
        <v>4.0999999999999996</v>
      </c>
      <c r="X283" s="4">
        <f t="shared" si="857"/>
        <v>5.0999999999999996</v>
      </c>
      <c r="Y283" s="7">
        <f t="shared" si="858"/>
        <v>57.361276136431961</v>
      </c>
      <c r="AB283" s="38">
        <f t="shared" si="885"/>
        <v>426.89655172413796</v>
      </c>
      <c r="AC283" s="4">
        <v>61.9</v>
      </c>
      <c r="AD283" s="4">
        <f t="shared" si="740"/>
        <v>0.75738494469674067</v>
      </c>
      <c r="AE283" s="38">
        <v>0</v>
      </c>
      <c r="AF283" s="38">
        <v>0</v>
      </c>
      <c r="AG283" s="39">
        <f>I283</f>
        <v>251.96799999999999</v>
      </c>
      <c r="AH283" s="39"/>
      <c r="AI283" s="39"/>
      <c r="AJ283" s="7"/>
      <c r="AK283" s="4">
        <f t="shared" si="859"/>
        <v>251.96799999999999</v>
      </c>
      <c r="AL283" s="4">
        <f t="shared" si="779"/>
        <v>0.47043010752688169</v>
      </c>
      <c r="AM283" s="4">
        <f t="shared" si="780"/>
        <v>233.70528033380882</v>
      </c>
      <c r="AN283" s="4">
        <f t="shared" si="781"/>
        <v>0.76048387096774195</v>
      </c>
      <c r="AO283" s="4">
        <v>1.25</v>
      </c>
      <c r="AP283" s="4">
        <f t="shared" si="933"/>
        <v>2.5</v>
      </c>
      <c r="AQ283" s="38">
        <f t="shared" si="827"/>
        <v>261.27849331674088</v>
      </c>
      <c r="AR283" s="38">
        <f t="shared" si="783"/>
        <v>261.27849331674088</v>
      </c>
      <c r="AS283" s="38">
        <f t="shared" si="784"/>
        <v>4.8146447394162166</v>
      </c>
      <c r="AT283" s="38">
        <f t="shared" si="940"/>
        <v>261.27849331674076</v>
      </c>
      <c r="AU283" s="38">
        <f t="shared" si="910"/>
        <v>1.0000000000000004</v>
      </c>
      <c r="AV283" s="38">
        <f t="shared" si="941"/>
        <v>2.9348609175873812</v>
      </c>
      <c r="AW283" s="4">
        <f t="shared" si="942"/>
        <v>0</v>
      </c>
      <c r="AX283" s="4">
        <f t="shared" si="860"/>
        <v>463.7533740037855</v>
      </c>
      <c r="AY283" s="4">
        <f t="shared" si="828"/>
        <v>1.2000000000000002</v>
      </c>
      <c r="AZ283" s="38">
        <f t="shared" si="953"/>
        <v>766.81603864141823</v>
      </c>
      <c r="BA283" s="4">
        <f t="shared" si="829"/>
        <v>0.42600000000000005</v>
      </c>
      <c r="BB283" s="4">
        <f t="shared" si="830"/>
        <v>103.2245447526326</v>
      </c>
      <c r="BC283" s="4">
        <f t="shared" si="831"/>
        <v>870.04058339405083</v>
      </c>
      <c r="BE283" s="4">
        <f t="shared" si="934"/>
        <v>1.375</v>
      </c>
      <c r="BF283" s="4">
        <f t="shared" si="935"/>
        <v>729.86459687089723</v>
      </c>
      <c r="BH283" s="4">
        <f t="shared" si="959"/>
        <v>735.4703565480313</v>
      </c>
      <c r="BI283" s="4">
        <f t="shared" si="905"/>
        <v>0</v>
      </c>
      <c r="BJ283" s="4">
        <f t="shared" si="960"/>
        <v>0</v>
      </c>
      <c r="BK283" s="4">
        <f t="shared" si="785"/>
        <v>44.499999999999993</v>
      </c>
      <c r="BL283" s="4">
        <f t="shared" si="786"/>
        <v>44.499999999999993</v>
      </c>
      <c r="BM283" s="4">
        <f t="shared" si="787"/>
        <v>260.34999999999997</v>
      </c>
      <c r="BN283" s="4">
        <f t="shared" si="788"/>
        <v>57.199999999999989</v>
      </c>
      <c r="BO283" s="4">
        <f t="shared" si="789"/>
        <v>1.25</v>
      </c>
      <c r="BP283" s="25">
        <f t="shared" si="790"/>
        <v>2.8149606299212593</v>
      </c>
      <c r="BR283" s="4">
        <f t="shared" si="832"/>
        <v>38.099999999999994</v>
      </c>
      <c r="BV283" s="9"/>
      <c r="BX283" s="9"/>
      <c r="BY283" s="9"/>
      <c r="BZ283" s="9">
        <f t="shared" si="833"/>
        <v>38.099999999999994</v>
      </c>
      <c r="CA283" s="9">
        <f t="shared" si="834"/>
        <v>63.5</v>
      </c>
      <c r="CB283" s="9">
        <f t="shared" si="943"/>
        <v>1.3222785168171165</v>
      </c>
      <c r="CC283" s="40">
        <f t="shared" si="861"/>
        <v>20</v>
      </c>
      <c r="CD283" s="9">
        <f t="shared" si="835"/>
        <v>0</v>
      </c>
      <c r="CE283" s="9">
        <f t="shared" si="836"/>
        <v>0</v>
      </c>
      <c r="CF283" s="9">
        <f t="shared" si="837"/>
        <v>0.99524931562137331</v>
      </c>
      <c r="CG283" s="9">
        <f t="shared" si="838"/>
        <v>0.68</v>
      </c>
      <c r="CH283" s="9">
        <f t="shared" si="944"/>
        <v>2.1039618260511515</v>
      </c>
      <c r="CI283" s="9">
        <f t="shared" si="945"/>
        <v>2.7820235227907486</v>
      </c>
      <c r="CJ283" s="40">
        <v>1</v>
      </c>
      <c r="CK283" s="9">
        <f t="shared" si="946"/>
        <v>277.31210475178182</v>
      </c>
      <c r="CM283" s="4">
        <f t="shared" si="839"/>
        <v>0.92052495066192941</v>
      </c>
      <c r="CN283" s="4">
        <f t="shared" si="840"/>
        <v>0.49066280340487506</v>
      </c>
      <c r="CO283" s="4">
        <f t="shared" si="814"/>
        <v>0.58489828600310911</v>
      </c>
      <c r="CP283" s="4">
        <f t="shared" si="841"/>
        <v>1.5394082854992828</v>
      </c>
      <c r="CQ283" s="4">
        <f t="shared" si="800"/>
        <v>0.75738494469674067</v>
      </c>
      <c r="CR283" s="4">
        <f t="shared" si="801"/>
        <v>0.76591341717817985</v>
      </c>
      <c r="CS283" s="4">
        <f t="shared" si="815"/>
        <v>1.0136353606109705</v>
      </c>
      <c r="CT283" s="4">
        <f t="shared" si="862"/>
        <v>0</v>
      </c>
      <c r="CU283" s="4">
        <f t="shared" ref="CU283:CV283" si="966">CM283</f>
        <v>0.92052495066192941</v>
      </c>
      <c r="CV283" s="4">
        <f t="shared" si="966"/>
        <v>0.49066280340487506</v>
      </c>
      <c r="CW283" s="4">
        <f t="shared" ref="CW283" si="967">CP283</f>
        <v>1.5394082854992828</v>
      </c>
      <c r="CX283" s="4">
        <f t="shared" ref="CX283" si="968">CS283</f>
        <v>1.0136353606109705</v>
      </c>
      <c r="CY283" s="4">
        <f t="shared" ref="CY283:CZ283" si="969">CQ283</f>
        <v>0.75738494469674067</v>
      </c>
      <c r="CZ283" s="4">
        <f t="shared" si="969"/>
        <v>0.76591341717817985</v>
      </c>
      <c r="DI283" s="4">
        <f t="shared" si="846"/>
        <v>251.96799999999999</v>
      </c>
      <c r="DL283" s="4">
        <f t="shared" si="756"/>
        <v>2.4148361798518977E-5</v>
      </c>
      <c r="DM283" s="4">
        <f t="shared" si="757"/>
        <v>10.04143675130468</v>
      </c>
      <c r="DN283" s="4">
        <f t="shared" si="758"/>
        <v>0.18027996513199299</v>
      </c>
      <c r="DO283" s="4">
        <f t="shared" si="759"/>
        <v>5.0602834368430525</v>
      </c>
      <c r="DP283" s="4">
        <f t="shared" si="760"/>
        <v>7.9549538182287627</v>
      </c>
      <c r="DQ283" s="4">
        <f t="shared" si="761"/>
        <v>9.2515968559547055</v>
      </c>
      <c r="DR283" s="38">
        <f t="shared" si="791"/>
        <v>563.6454153377299</v>
      </c>
      <c r="DS283" s="4">
        <f t="shared" si="762"/>
        <v>1.0000904410420515</v>
      </c>
      <c r="DT283" s="4">
        <f t="shared" si="763"/>
        <v>2.2583179581272428</v>
      </c>
      <c r="DU283" s="4">
        <f t="shared" si="764"/>
        <v>261.27849331674076</v>
      </c>
      <c r="DY283" s="4">
        <f t="shared" si="765"/>
        <v>0.85</v>
      </c>
      <c r="DZ283" s="4">
        <f t="shared" si="766"/>
        <v>0.95</v>
      </c>
      <c r="EA283" s="4">
        <f t="shared" si="792"/>
        <v>1</v>
      </c>
      <c r="EB283" s="4">
        <f t="shared" si="767"/>
        <v>0.95</v>
      </c>
      <c r="ED283" s="4">
        <f t="shared" si="793"/>
        <v>557.36920407653076</v>
      </c>
      <c r="EE283" s="25">
        <f t="shared" si="794"/>
        <v>258.53604635770347</v>
      </c>
      <c r="EG283" s="4">
        <f t="shared" si="932"/>
        <v>0.8075</v>
      </c>
      <c r="EH283" s="4">
        <f t="shared" si="795"/>
        <v>10.04143675130468</v>
      </c>
      <c r="EK283" s="4">
        <f t="shared" si="768"/>
        <v>57.361276136431961</v>
      </c>
      <c r="EL283" s="4">
        <f t="shared" si="769"/>
        <v>2.2583179581272428</v>
      </c>
      <c r="EM283" s="4">
        <f t="shared" si="770"/>
        <v>8.7561207479214337E-2</v>
      </c>
      <c r="EP283" s="4">
        <f t="shared" si="863"/>
        <v>8.7561207479214337E-2</v>
      </c>
      <c r="EQ283" s="4">
        <f t="shared" si="951"/>
        <v>0.17997911146980572</v>
      </c>
      <c r="ER283" s="4">
        <f t="shared" si="772"/>
        <v>5.056903876247655</v>
      </c>
      <c r="ES283" s="4">
        <f t="shared" si="847"/>
        <v>7.9538911861800736</v>
      </c>
      <c r="ET283" s="4">
        <f t="shared" si="774"/>
        <v>131.61472386356803</v>
      </c>
      <c r="EU283" s="4">
        <f t="shared" si="775"/>
        <v>62.99199999999999</v>
      </c>
      <c r="EV283" s="4">
        <f t="shared" si="952"/>
        <v>2.414836179851897E-5</v>
      </c>
      <c r="EW283" s="4">
        <f t="shared" si="848"/>
        <v>9.2517562618422335</v>
      </c>
      <c r="EX283" s="4">
        <f t="shared" si="965"/>
        <v>563.5944432689862</v>
      </c>
      <c r="FG283" s="23">
        <f t="shared" si="878"/>
        <v>1</v>
      </c>
      <c r="FH283" s="23">
        <f t="shared" si="878"/>
        <v>0.6</v>
      </c>
      <c r="FI283" s="23">
        <f t="shared" si="818"/>
        <v>1.2</v>
      </c>
      <c r="FJ283" s="23">
        <f t="shared" si="879"/>
        <v>1.6</v>
      </c>
      <c r="FK283" s="23">
        <f t="shared" si="879"/>
        <v>0.8</v>
      </c>
      <c r="FL283" s="23">
        <f t="shared" si="879"/>
        <v>0.8</v>
      </c>
      <c r="FM283" s="23">
        <f t="shared" si="807"/>
        <v>1</v>
      </c>
      <c r="FN283" s="23"/>
      <c r="FX283" s="4">
        <f t="shared" si="915"/>
        <v>1</v>
      </c>
      <c r="FY283" s="4">
        <f t="shared" si="716"/>
        <v>0.70000000000000007</v>
      </c>
      <c r="FZ283" s="4">
        <f t="shared" si="916"/>
        <v>0</v>
      </c>
      <c r="GA283" s="4">
        <f t="shared" si="917"/>
        <v>421.15396553137742</v>
      </c>
    </row>
    <row r="284" spans="1:183" ht="12" customHeight="1" x14ac:dyDescent="0.3">
      <c r="A284" s="25">
        <v>266</v>
      </c>
      <c r="B284" s="4" t="s">
        <v>605</v>
      </c>
      <c r="C284" s="4">
        <v>2016</v>
      </c>
      <c r="D284" s="4" t="s">
        <v>309</v>
      </c>
      <c r="E284" s="24" t="s">
        <v>665</v>
      </c>
      <c r="F284" s="7" t="s">
        <v>423</v>
      </c>
      <c r="G284" s="38">
        <f t="shared" si="903"/>
        <v>889.65517241379314</v>
      </c>
      <c r="H284" s="38">
        <f>9.77*25.4</f>
        <v>248.15799999999999</v>
      </c>
      <c r="I284" s="4">
        <f t="shared" si="850"/>
        <v>248.15799999999999</v>
      </c>
      <c r="J284" s="38">
        <f t="shared" ref="J284" si="970">11440/145</f>
        <v>78.896551724137936</v>
      </c>
      <c r="K284" s="38">
        <f t="shared" si="851"/>
        <v>25.4</v>
      </c>
      <c r="L284" s="7">
        <f t="shared" si="852"/>
        <v>9.77</v>
      </c>
      <c r="M284" s="7">
        <f t="shared" si="853"/>
        <v>9.77</v>
      </c>
      <c r="N284" s="38">
        <f>13.8*25.4</f>
        <v>350.52</v>
      </c>
      <c r="O284" s="38">
        <f>2.45*25.4</f>
        <v>62.230000000000004</v>
      </c>
      <c r="P284" s="39">
        <f>(3.2+3.1+3.3)/3*25.4</f>
        <v>81.280000000000015</v>
      </c>
      <c r="Q284" s="7">
        <f t="shared" si="854"/>
        <v>74.929999999999993</v>
      </c>
      <c r="R284" s="38">
        <v>3</v>
      </c>
      <c r="S284" s="4">
        <f t="shared" si="826"/>
        <v>260.34999999999997</v>
      </c>
      <c r="T284" s="7">
        <f t="shared" si="855"/>
        <v>1.9749999999999999</v>
      </c>
      <c r="U284" s="7">
        <f t="shared" si="958"/>
        <v>2.95</v>
      </c>
      <c r="V284" s="38">
        <v>4.0999999999999996</v>
      </c>
      <c r="W284" s="4">
        <f t="shared" si="856"/>
        <v>4.0999999999999996</v>
      </c>
      <c r="X284" s="4">
        <f t="shared" si="857"/>
        <v>5.0999999999999996</v>
      </c>
      <c r="Y284" s="7">
        <f t="shared" si="858"/>
        <v>57.361276136431961</v>
      </c>
      <c r="AB284" s="38">
        <f t="shared" si="885"/>
        <v>573.79310344827593</v>
      </c>
      <c r="AC284" s="4">
        <v>83.2</v>
      </c>
      <c r="AD284" s="4">
        <f t="shared" si="740"/>
        <v>0.98660780016235983</v>
      </c>
      <c r="AE284" s="38">
        <f t="shared" si="927"/>
        <v>9.5249999999999986</v>
      </c>
      <c r="AF284" s="38">
        <v>10</v>
      </c>
      <c r="AG284" s="39">
        <f>3*25.4</f>
        <v>76.199999999999989</v>
      </c>
      <c r="AH284" s="39">
        <v>3</v>
      </c>
      <c r="AI284" s="39">
        <v>2</v>
      </c>
      <c r="AJ284" s="7"/>
      <c r="AK284" s="4">
        <f t="shared" si="859"/>
        <v>248.15799999999999</v>
      </c>
      <c r="AL284" s="4">
        <f t="shared" si="779"/>
        <v>0.47082906857727741</v>
      </c>
      <c r="AM284" s="4">
        <f t="shared" si="780"/>
        <v>228.42459432627268</v>
      </c>
      <c r="AN284" s="4">
        <f t="shared" si="781"/>
        <v>0.76038894575230298</v>
      </c>
      <c r="AO284" s="4">
        <v>1.25</v>
      </c>
      <c r="AP284" s="4">
        <f t="shared" si="933"/>
        <v>2.5</v>
      </c>
      <c r="AQ284" s="38">
        <f t="shared" si="827"/>
        <v>255.55945104042959</v>
      </c>
      <c r="AR284" s="38">
        <f t="shared" si="783"/>
        <v>255.55945104042959</v>
      </c>
      <c r="AS284" s="38">
        <f t="shared" si="784"/>
        <v>4.8146447394162166</v>
      </c>
      <c r="AT284" s="38">
        <f t="shared" si="940"/>
        <v>255.55945104042956</v>
      </c>
      <c r="AU284" s="38">
        <f t="shared" si="910"/>
        <v>1.0000000000000002</v>
      </c>
      <c r="AV284" s="38">
        <f t="shared" si="941"/>
        <v>2.9567809042797739</v>
      </c>
      <c r="AW284" s="4">
        <f t="shared" si="942"/>
        <v>0</v>
      </c>
      <c r="AX284" s="4">
        <f t="shared" si="860"/>
        <v>456.74097419526049</v>
      </c>
      <c r="AY284" s="4">
        <f t="shared" si="828"/>
        <v>1.1974683544303799</v>
      </c>
      <c r="AZ284" s="38">
        <f t="shared" si="953"/>
        <v>755.63330474456393</v>
      </c>
      <c r="BA284" s="4">
        <f t="shared" si="829"/>
        <v>0.42600000000000005</v>
      </c>
      <c r="BB284" s="4">
        <f t="shared" si="830"/>
        <v>101.66368974125207</v>
      </c>
      <c r="BC284" s="4">
        <f t="shared" si="831"/>
        <v>857.29699448581596</v>
      </c>
      <c r="BE284" s="4">
        <f t="shared" si="934"/>
        <v>1.5</v>
      </c>
      <c r="BF284" s="4">
        <f t="shared" si="935"/>
        <v>790.22032202287176</v>
      </c>
      <c r="BH284" s="4">
        <f t="shared" si="959"/>
        <v>724.74474718170586</v>
      </c>
      <c r="BI284" s="4">
        <f t="shared" si="905"/>
        <v>0</v>
      </c>
      <c r="BJ284" s="4">
        <f t="shared" si="960"/>
        <v>0</v>
      </c>
      <c r="BK284" s="4">
        <f t="shared" si="785"/>
        <v>43.864999999999995</v>
      </c>
      <c r="BL284" s="4">
        <f t="shared" si="786"/>
        <v>43.864999999999995</v>
      </c>
      <c r="BM284" s="4">
        <f t="shared" si="787"/>
        <v>260.34999999999997</v>
      </c>
      <c r="BN284" s="4">
        <f t="shared" si="788"/>
        <v>56.564999999999998</v>
      </c>
      <c r="BO284" s="4">
        <f t="shared" si="789"/>
        <v>1.25</v>
      </c>
      <c r="BP284" s="25">
        <f t="shared" si="790"/>
        <v>4</v>
      </c>
      <c r="BR284" s="4">
        <f t="shared" si="832"/>
        <v>37.464999999999996</v>
      </c>
      <c r="BV284" s="9"/>
      <c r="BX284" s="9"/>
      <c r="BY284" s="9"/>
      <c r="BZ284" s="9">
        <f t="shared" si="833"/>
        <v>37.464999999999996</v>
      </c>
      <c r="CA284" s="9">
        <f t="shared" si="834"/>
        <v>62.230000000000004</v>
      </c>
      <c r="CB284" s="9">
        <f t="shared" si="943"/>
        <v>1.3105455489610944</v>
      </c>
      <c r="CC284" s="40">
        <f t="shared" si="861"/>
        <v>20</v>
      </c>
      <c r="CD284" s="9">
        <f t="shared" si="835"/>
        <v>0.05</v>
      </c>
      <c r="CE284" s="9">
        <f t="shared" si="836"/>
        <v>0.8</v>
      </c>
      <c r="CF284" s="9">
        <f t="shared" si="837"/>
        <v>0.99524931562137331</v>
      </c>
      <c r="CG284" s="9">
        <f t="shared" si="838"/>
        <v>0.68</v>
      </c>
      <c r="CH284" s="9">
        <f t="shared" si="944"/>
        <v>2.1039618260511515</v>
      </c>
      <c r="CI284" s="9">
        <f t="shared" si="945"/>
        <v>4.4405072671563142</v>
      </c>
      <c r="CJ284" s="40">
        <v>1</v>
      </c>
      <c r="CK284" s="9">
        <f t="shared" si="946"/>
        <v>439.96546002984758</v>
      </c>
      <c r="CM284" s="4">
        <f t="shared" si="839"/>
        <v>1.2562768305586147</v>
      </c>
      <c r="CN284" s="4">
        <f t="shared" si="840"/>
        <v>0.669304928325827</v>
      </c>
      <c r="CO284" s="4">
        <f t="shared" si="814"/>
        <v>0.72611787808674999</v>
      </c>
      <c r="CP284" s="4">
        <f t="shared" si="841"/>
        <v>1.3041776129638663</v>
      </c>
      <c r="CQ284" s="4">
        <f t="shared" si="800"/>
        <v>0.98660780016235983</v>
      </c>
      <c r="CR284" s="4">
        <f t="shared" si="801"/>
        <v>0.99490267950518141</v>
      </c>
      <c r="CS284" s="4">
        <f t="shared" si="815"/>
        <v>1.5537534775920558</v>
      </c>
      <c r="CT284" s="4">
        <f t="shared" si="862"/>
        <v>10</v>
      </c>
      <c r="DA284" s="4">
        <f t="shared" ref="DA284:DB284" si="971">CM284</f>
        <v>1.2562768305586147</v>
      </c>
      <c r="DB284" s="4">
        <f t="shared" si="971"/>
        <v>0.669304928325827</v>
      </c>
      <c r="DC284" s="4">
        <f t="shared" ref="DC284" si="972">CP284</f>
        <v>1.3041776129638663</v>
      </c>
      <c r="DD284" s="4">
        <f t="shared" ref="DD284" si="973">CS284</f>
        <v>1.5537534775920558</v>
      </c>
      <c r="DE284" s="4">
        <f t="shared" ref="DE284:DF284" si="974">CQ284</f>
        <v>0.98660780016235983</v>
      </c>
      <c r="DF284" s="4">
        <f t="shared" si="974"/>
        <v>0.99490267950518141</v>
      </c>
      <c r="DI284" s="4">
        <f t="shared" si="846"/>
        <v>248.15799999999999</v>
      </c>
      <c r="DL284" s="4">
        <f t="shared" si="756"/>
        <v>2.3783215198742983E-5</v>
      </c>
      <c r="DM284" s="4">
        <f t="shared" si="757"/>
        <v>11.051124164708563</v>
      </c>
      <c r="DN284" s="4">
        <f t="shared" si="758"/>
        <v>0.17633387401261452</v>
      </c>
      <c r="DO284" s="4">
        <f t="shared" si="759"/>
        <v>5.5200213571306262</v>
      </c>
      <c r="DP284" s="4">
        <f t="shared" si="760"/>
        <v>8.739461203836381</v>
      </c>
      <c r="DQ284" s="4">
        <f t="shared" si="761"/>
        <v>10.128022414968948</v>
      </c>
      <c r="DR284" s="38">
        <f t="shared" si="791"/>
        <v>581.58176263541645</v>
      </c>
      <c r="DS284" s="4">
        <f t="shared" si="762"/>
        <v>1.0000942556269328</v>
      </c>
      <c r="DT284" s="4">
        <f t="shared" si="763"/>
        <v>2.2583179581272428</v>
      </c>
      <c r="DU284" s="4">
        <f t="shared" si="764"/>
        <v>255.55945104042956</v>
      </c>
      <c r="DY284" s="4">
        <f t="shared" si="765"/>
        <v>0.85</v>
      </c>
      <c r="DZ284" s="4">
        <f t="shared" si="766"/>
        <v>0.95250000000000001</v>
      </c>
      <c r="EA284" s="4">
        <f t="shared" si="792"/>
        <v>0.90625</v>
      </c>
      <c r="EB284" s="4">
        <f t="shared" si="767"/>
        <v>0.86320312499999996</v>
      </c>
      <c r="ED284" s="4">
        <f t="shared" si="793"/>
        <v>576.73289585837085</v>
      </c>
      <c r="EE284" s="25">
        <f t="shared" si="794"/>
        <v>252.82444659076288</v>
      </c>
      <c r="EG284" s="4">
        <f t="shared" si="932"/>
        <v>0.73372265624999999</v>
      </c>
      <c r="EH284" s="4">
        <f t="shared" si="795"/>
        <v>11.051124164708563</v>
      </c>
      <c r="EK284" s="4">
        <f t="shared" si="768"/>
        <v>57.361276136431961</v>
      </c>
      <c r="EL284" s="4">
        <f t="shared" si="769"/>
        <v>2.2583179581272428</v>
      </c>
      <c r="EM284" s="4">
        <f t="shared" si="770"/>
        <v>8.5644607911520801E-2</v>
      </c>
      <c r="EP284" s="4">
        <f t="shared" si="863"/>
        <v>8.5644607911520801E-2</v>
      </c>
      <c r="EQ284" s="4">
        <f t="shared" si="951"/>
        <v>0.17603960564105409</v>
      </c>
      <c r="ER284" s="4">
        <f t="shared" si="772"/>
        <v>5.5163347559951079</v>
      </c>
      <c r="ES284" s="4">
        <f t="shared" si="847"/>
        <v>8.7383107581814947</v>
      </c>
      <c r="ET284" s="4">
        <f t="shared" si="774"/>
        <v>128.75722386356802</v>
      </c>
      <c r="EU284" s="4">
        <f t="shared" si="775"/>
        <v>62.039500000000004</v>
      </c>
      <c r="EV284" s="4">
        <f t="shared" si="952"/>
        <v>2.3783215198742983E-5</v>
      </c>
      <c r="EW284" s="4">
        <f t="shared" si="848"/>
        <v>10.12820840849178</v>
      </c>
      <c r="EX284" s="4">
        <f t="shared" si="965"/>
        <v>581.52695044812367</v>
      </c>
      <c r="FG284" s="23">
        <f t="shared" si="878"/>
        <v>1.4</v>
      </c>
      <c r="FH284" s="23">
        <f t="shared" si="878"/>
        <v>0.8</v>
      </c>
      <c r="FI284" s="23">
        <f t="shared" si="818"/>
        <v>1.6</v>
      </c>
      <c r="FJ284" s="23">
        <f t="shared" si="879"/>
        <v>1.4</v>
      </c>
      <c r="FK284" s="23">
        <f t="shared" si="879"/>
        <v>1</v>
      </c>
      <c r="FL284" s="23">
        <f t="shared" si="879"/>
        <v>1</v>
      </c>
      <c r="FM284" s="23">
        <f t="shared" si="807"/>
        <v>0</v>
      </c>
      <c r="FN284" s="23"/>
      <c r="FX284" s="4">
        <f t="shared" si="915"/>
        <v>1.25</v>
      </c>
      <c r="FY284" s="4">
        <f t="shared" ref="FY284:FY347" si="975">IF(AG284&gt;1, 0.05*(18-MIN(8,(Q284+K284)/K284))*(1-48000/MAX(60000,(G284*145))*(K284/25.4)^0.75*FZ284), 1/12*(14-MIN(8,(Q284+K284)/K284)))</f>
        <v>0.62898255813953508</v>
      </c>
      <c r="FZ284" s="4">
        <f t="shared" si="916"/>
        <v>0.28124999999999994</v>
      </c>
      <c r="GA284" s="4">
        <f t="shared" si="917"/>
        <v>369.29481524798723</v>
      </c>
    </row>
    <row r="285" spans="1:183" ht="12" customHeight="1" x14ac:dyDescent="0.3">
      <c r="A285" s="25">
        <v>267</v>
      </c>
      <c r="B285" s="4" t="s">
        <v>605</v>
      </c>
      <c r="C285" s="4">
        <v>2016</v>
      </c>
      <c r="D285" s="4" t="s">
        <v>309</v>
      </c>
      <c r="E285" s="24" t="s">
        <v>665</v>
      </c>
      <c r="F285" s="7" t="s">
        <v>424</v>
      </c>
      <c r="G285" s="38">
        <f t="shared" si="903"/>
        <v>889.65517241379314</v>
      </c>
      <c r="H285" s="38">
        <f>9.92*25.4</f>
        <v>251.96799999999999</v>
      </c>
      <c r="I285" s="4">
        <f t="shared" si="850"/>
        <v>251.96799999999999</v>
      </c>
      <c r="J285" s="38">
        <f>11460/145</f>
        <v>79.034482758620683</v>
      </c>
      <c r="K285" s="38">
        <f t="shared" si="851"/>
        <v>25.4</v>
      </c>
      <c r="L285" s="7">
        <f t="shared" si="852"/>
        <v>9.92</v>
      </c>
      <c r="M285" s="7">
        <f t="shared" si="853"/>
        <v>9.92</v>
      </c>
      <c r="N285" s="38">
        <f>16.1*25.4</f>
        <v>408.94</v>
      </c>
      <c r="O285" s="38">
        <f>2.5*25.4</f>
        <v>63.5</v>
      </c>
      <c r="P285" s="39">
        <f>(3.2+3+3.3)/3*25.4</f>
        <v>80.433333333333323</v>
      </c>
      <c r="Q285" s="7">
        <f t="shared" si="854"/>
        <v>102.87</v>
      </c>
      <c r="R285" s="38">
        <v>3</v>
      </c>
      <c r="S285" s="4">
        <f t="shared" si="826"/>
        <v>260.34999999999997</v>
      </c>
      <c r="T285" s="7">
        <f t="shared" si="855"/>
        <v>2.5250000000000004</v>
      </c>
      <c r="U285" s="7">
        <f t="shared" si="958"/>
        <v>3</v>
      </c>
      <c r="V285" s="38">
        <v>4.0999999999999996</v>
      </c>
      <c r="W285" s="4">
        <f t="shared" si="856"/>
        <v>4.0999999999999996</v>
      </c>
      <c r="X285" s="4">
        <f t="shared" si="857"/>
        <v>5.0999999999999996</v>
      </c>
      <c r="Y285" s="7">
        <f t="shared" si="858"/>
        <v>57.361276136431961</v>
      </c>
      <c r="AB285" s="38">
        <f t="shared" si="885"/>
        <v>480.68965517241384</v>
      </c>
      <c r="AC285" s="4">
        <v>69.7</v>
      </c>
      <c r="AD285" s="4">
        <f t="shared" si="740"/>
        <v>0.7688185795271586</v>
      </c>
      <c r="AE285" s="38">
        <v>0</v>
      </c>
      <c r="AF285" s="38">
        <v>0</v>
      </c>
      <c r="AG285" s="39">
        <f>I285</f>
        <v>251.96799999999999</v>
      </c>
      <c r="AH285" s="39"/>
      <c r="AI285" s="39"/>
      <c r="AJ285" s="7"/>
      <c r="AK285" s="4">
        <f t="shared" si="859"/>
        <v>251.96799999999999</v>
      </c>
      <c r="AL285" s="4">
        <f t="shared" si="779"/>
        <v>0.540994623655914</v>
      </c>
      <c r="AM285" s="4">
        <f t="shared" si="780"/>
        <v>233.90947895759095</v>
      </c>
      <c r="AN285" s="4">
        <f t="shared" si="781"/>
        <v>0.76048387096774195</v>
      </c>
      <c r="AO285" s="4">
        <v>1.25</v>
      </c>
      <c r="AP285" s="4">
        <f t="shared" si="933"/>
        <v>2.5</v>
      </c>
      <c r="AQ285" s="38">
        <f t="shared" si="827"/>
        <v>300.73280145548068</v>
      </c>
      <c r="AR285" s="38">
        <f t="shared" si="783"/>
        <v>300.73280145548068</v>
      </c>
      <c r="AS285" s="38">
        <f t="shared" si="784"/>
        <v>4.8176603871508874</v>
      </c>
      <c r="AT285" s="38">
        <f t="shared" si="940"/>
        <v>300.73280145548046</v>
      </c>
      <c r="AU285" s="38">
        <f t="shared" si="910"/>
        <v>1.0000000000000007</v>
      </c>
      <c r="AV285" s="38">
        <f t="shared" si="941"/>
        <v>2.8895324324262508</v>
      </c>
      <c r="AW285" s="4">
        <f t="shared" si="942"/>
        <v>0</v>
      </c>
      <c r="AX285" s="4">
        <f t="shared" si="860"/>
        <v>464.15857580586129</v>
      </c>
      <c r="AY285" s="4">
        <f t="shared" si="828"/>
        <v>1.0752475247524751</v>
      </c>
      <c r="AZ285" s="38">
        <f t="shared" si="953"/>
        <v>868.97718330001521</v>
      </c>
      <c r="BA285" s="4">
        <f t="shared" si="829"/>
        <v>0.42600000000000005</v>
      </c>
      <c r="BB285" s="4">
        <f t="shared" si="830"/>
        <v>103.31473659574765</v>
      </c>
      <c r="BC285" s="4">
        <f t="shared" si="831"/>
        <v>972.29191989576282</v>
      </c>
      <c r="BE285" s="4">
        <f t="shared" si="934"/>
        <v>1.375</v>
      </c>
      <c r="BF285" s="4">
        <f t="shared" si="935"/>
        <v>730.50231179978312</v>
      </c>
      <c r="BH285" s="4">
        <f t="shared" si="959"/>
        <v>833.45538776951423</v>
      </c>
      <c r="BI285" s="4">
        <f t="shared" si="905"/>
        <v>0</v>
      </c>
      <c r="BJ285" s="4">
        <f t="shared" si="960"/>
        <v>0</v>
      </c>
      <c r="BK285" s="4">
        <f t="shared" si="785"/>
        <v>57.835000000000001</v>
      </c>
      <c r="BL285" s="4">
        <f t="shared" si="786"/>
        <v>57.835000000000001</v>
      </c>
      <c r="BM285" s="4">
        <f t="shared" si="787"/>
        <v>260.34999999999997</v>
      </c>
      <c r="BN285" s="4">
        <f t="shared" si="788"/>
        <v>70.534999999999997</v>
      </c>
      <c r="BO285" s="4">
        <f t="shared" si="789"/>
        <v>1.25</v>
      </c>
      <c r="BP285" s="25">
        <f t="shared" si="790"/>
        <v>3.4712106299212597</v>
      </c>
      <c r="BR285" s="4">
        <f t="shared" si="832"/>
        <v>51.435000000000002</v>
      </c>
      <c r="BV285" s="9"/>
      <c r="BX285" s="9"/>
      <c r="BY285" s="9"/>
      <c r="BZ285" s="9">
        <f t="shared" si="833"/>
        <v>51.435000000000002</v>
      </c>
      <c r="CA285" s="9">
        <f t="shared" si="834"/>
        <v>63.5</v>
      </c>
      <c r="CB285" s="9">
        <f t="shared" si="943"/>
        <v>1.4687225435414653</v>
      </c>
      <c r="CC285" s="40">
        <f t="shared" si="861"/>
        <v>20</v>
      </c>
      <c r="CD285" s="9">
        <f t="shared" si="835"/>
        <v>0</v>
      </c>
      <c r="CE285" s="9">
        <f t="shared" si="836"/>
        <v>0</v>
      </c>
      <c r="CF285" s="9">
        <f t="shared" si="837"/>
        <v>0.99524931562137331</v>
      </c>
      <c r="CG285" s="9">
        <f t="shared" si="838"/>
        <v>0.68</v>
      </c>
      <c r="CH285" s="9">
        <f t="shared" si="944"/>
        <v>2.1058001504088901</v>
      </c>
      <c r="CI285" s="9">
        <f t="shared" si="945"/>
        <v>3.0928361530985451</v>
      </c>
      <c r="CJ285" s="40">
        <v>1</v>
      </c>
      <c r="CK285" s="9">
        <f t="shared" si="946"/>
        <v>308.29390774086301</v>
      </c>
      <c r="CM285" s="4">
        <f t="shared" si="839"/>
        <v>1.0356151544498595</v>
      </c>
      <c r="CN285" s="4">
        <f t="shared" si="840"/>
        <v>0.49438820310668369</v>
      </c>
      <c r="CO285" s="4">
        <f t="shared" si="814"/>
        <v>0.65802619294675391</v>
      </c>
      <c r="CP285" s="4">
        <f t="shared" si="841"/>
        <v>1.5591928452133359</v>
      </c>
      <c r="CQ285" s="4">
        <f t="shared" si="800"/>
        <v>0.7688185795271586</v>
      </c>
      <c r="CR285" s="4">
        <f t="shared" si="801"/>
        <v>0.782670244439856</v>
      </c>
      <c r="CS285" s="4">
        <f t="shared" si="815"/>
        <v>1.0553000677007287</v>
      </c>
      <c r="CT285" s="4">
        <f t="shared" si="862"/>
        <v>0</v>
      </c>
      <c r="CU285" s="4">
        <f t="shared" ref="CU285:CV285" si="976">CM285</f>
        <v>1.0356151544498595</v>
      </c>
      <c r="CV285" s="4">
        <f t="shared" si="976"/>
        <v>0.49438820310668369</v>
      </c>
      <c r="CW285" s="4">
        <f t="shared" ref="CW285" si="977">CP285</f>
        <v>1.5591928452133359</v>
      </c>
      <c r="CX285" s="4">
        <f t="shared" ref="CX285" si="978">CS285</f>
        <v>1.0553000677007287</v>
      </c>
      <c r="CY285" s="4">
        <f t="shared" ref="CY285:CZ285" si="979">CQ285</f>
        <v>0.7688185795271586</v>
      </c>
      <c r="CZ285" s="4">
        <f t="shared" si="979"/>
        <v>0.782670244439856</v>
      </c>
      <c r="DI285" s="4">
        <f t="shared" si="846"/>
        <v>251.96799999999999</v>
      </c>
      <c r="DL285" s="4">
        <f t="shared" si="756"/>
        <v>2.4168369041980222E-5</v>
      </c>
      <c r="DM285" s="4">
        <f t="shared" si="757"/>
        <v>10.638105713782785</v>
      </c>
      <c r="DN285" s="4">
        <f t="shared" si="758"/>
        <v>0.20714097168754586</v>
      </c>
      <c r="DO285" s="4">
        <f t="shared" si="759"/>
        <v>5.6672282629254962</v>
      </c>
      <c r="DP285" s="4">
        <f t="shared" si="760"/>
        <v>8.5262775120215917</v>
      </c>
      <c r="DQ285" s="4">
        <f t="shared" si="761"/>
        <v>9.7362226598816992</v>
      </c>
      <c r="DR285" s="38">
        <f t="shared" si="791"/>
        <v>625.23157994965368</v>
      </c>
      <c r="DS285" s="4">
        <f t="shared" si="762"/>
        <v>1.0000929642221095</v>
      </c>
      <c r="DT285" s="4">
        <f t="shared" si="763"/>
        <v>2.2583179581272428</v>
      </c>
      <c r="DU285" s="4">
        <f t="shared" si="764"/>
        <v>300.73280145548046</v>
      </c>
      <c r="DY285" s="4">
        <f t="shared" si="765"/>
        <v>0.85</v>
      </c>
      <c r="DZ285" s="4">
        <f t="shared" si="766"/>
        <v>0.89749999999999996</v>
      </c>
      <c r="EA285" s="4">
        <f t="shared" si="792"/>
        <v>1</v>
      </c>
      <c r="EB285" s="4">
        <f t="shared" si="767"/>
        <v>0.89749999999999996</v>
      </c>
      <c r="ED285" s="4">
        <f t="shared" si="793"/>
        <v>614.16625786819759</v>
      </c>
      <c r="EE285" s="25">
        <f t="shared" si="794"/>
        <v>297.5762318260218</v>
      </c>
      <c r="EG285" s="4">
        <f t="shared" si="932"/>
        <v>0.76287499999999997</v>
      </c>
      <c r="EH285" s="4">
        <f t="shared" si="795"/>
        <v>10.638105713782785</v>
      </c>
      <c r="EK285" s="4">
        <f t="shared" si="768"/>
        <v>57.361276136431961</v>
      </c>
      <c r="EL285" s="4">
        <f t="shared" si="769"/>
        <v>2.2583179581272428</v>
      </c>
      <c r="EM285" s="4">
        <f t="shared" si="770"/>
        <v>0.10069538860109649</v>
      </c>
      <c r="EP285" s="4">
        <f t="shared" si="863"/>
        <v>0.10069538860109649</v>
      </c>
      <c r="EQ285" s="4">
        <f t="shared" si="951"/>
        <v>0.2067952920116285</v>
      </c>
      <c r="ER285" s="4">
        <f t="shared" si="772"/>
        <v>5.6634433481946225</v>
      </c>
      <c r="ES285" s="4">
        <f t="shared" si="847"/>
        <v>8.5250307099253781</v>
      </c>
      <c r="ET285" s="4">
        <f t="shared" si="774"/>
        <v>131.61472386356803</v>
      </c>
      <c r="EU285" s="4">
        <f t="shared" si="775"/>
        <v>62.99199999999999</v>
      </c>
      <c r="EV285" s="4">
        <f t="shared" si="952"/>
        <v>2.4168369041980216E-5</v>
      </c>
      <c r="EW285" s="4">
        <f t="shared" si="848"/>
        <v>9.7364155557739451</v>
      </c>
      <c r="EX285" s="4">
        <f t="shared" si="965"/>
        <v>625.17346118515115</v>
      </c>
      <c r="FG285" s="23">
        <f t="shared" si="878"/>
        <v>1.2</v>
      </c>
      <c r="FH285" s="23">
        <f t="shared" si="878"/>
        <v>0.6</v>
      </c>
      <c r="FI285" s="23">
        <f t="shared" si="818"/>
        <v>1.2</v>
      </c>
      <c r="FJ285" s="23">
        <f t="shared" si="879"/>
        <v>1.6</v>
      </c>
      <c r="FK285" s="23">
        <f t="shared" si="879"/>
        <v>0.8</v>
      </c>
      <c r="FL285" s="23">
        <f t="shared" si="879"/>
        <v>0.8</v>
      </c>
      <c r="FM285" s="23">
        <f t="shared" si="807"/>
        <v>1</v>
      </c>
      <c r="FN285" s="23"/>
      <c r="FX285" s="4">
        <f t="shared" si="915"/>
        <v>1</v>
      </c>
      <c r="FY285" s="4">
        <f t="shared" si="975"/>
        <v>0.64749999999999996</v>
      </c>
      <c r="FZ285" s="4">
        <f t="shared" si="916"/>
        <v>0</v>
      </c>
      <c r="GA285" s="4">
        <f t="shared" si="917"/>
        <v>455.50044947853831</v>
      </c>
    </row>
    <row r="286" spans="1:183" ht="12" customHeight="1" x14ac:dyDescent="0.3">
      <c r="A286" s="25">
        <v>268</v>
      </c>
      <c r="B286" s="4" t="s">
        <v>605</v>
      </c>
      <c r="C286" s="4">
        <v>2016</v>
      </c>
      <c r="D286" s="4" t="s">
        <v>309</v>
      </c>
      <c r="E286" s="24" t="s">
        <v>665</v>
      </c>
      <c r="F286" s="7" t="s">
        <v>425</v>
      </c>
      <c r="G286" s="38">
        <f t="shared" si="903"/>
        <v>889.65517241379314</v>
      </c>
      <c r="H286" s="38">
        <f>9.6*25.4</f>
        <v>243.83999999999997</v>
      </c>
      <c r="I286" s="4">
        <f t="shared" si="850"/>
        <v>243.83999999999997</v>
      </c>
      <c r="J286" s="38">
        <f>11460/145</f>
        <v>79.034482758620683</v>
      </c>
      <c r="K286" s="38">
        <f t="shared" si="851"/>
        <v>25.4</v>
      </c>
      <c r="L286" s="7">
        <f t="shared" si="852"/>
        <v>9.6</v>
      </c>
      <c r="M286" s="7">
        <f t="shared" si="853"/>
        <v>9.6</v>
      </c>
      <c r="N286" s="38">
        <f>16.3*25.4</f>
        <v>414.02</v>
      </c>
      <c r="O286" s="38">
        <f t="shared" ref="O286:O293" si="980">2.5*25.4</f>
        <v>63.5</v>
      </c>
      <c r="P286" s="39">
        <f>(3.5+3.9+3.6)/3*25.4</f>
        <v>93.133333333333326</v>
      </c>
      <c r="Q286" s="7">
        <f t="shared" si="854"/>
        <v>105.41</v>
      </c>
      <c r="R286" s="38">
        <v>3</v>
      </c>
      <c r="S286" s="4">
        <f t="shared" si="826"/>
        <v>260.34999999999997</v>
      </c>
      <c r="T286" s="7">
        <f t="shared" si="855"/>
        <v>2.5750000000000002</v>
      </c>
      <c r="U286" s="7">
        <f t="shared" si="958"/>
        <v>3</v>
      </c>
      <c r="V286" s="38">
        <v>4.0999999999999996</v>
      </c>
      <c r="W286" s="4">
        <f t="shared" si="856"/>
        <v>4.0999999999999996</v>
      </c>
      <c r="X286" s="4">
        <f t="shared" si="857"/>
        <v>5.0999999999999996</v>
      </c>
      <c r="Y286" s="7">
        <f t="shared" si="858"/>
        <v>57.361276136431961</v>
      </c>
      <c r="AB286" s="38">
        <f t="shared" si="885"/>
        <v>608.27586206896558</v>
      </c>
      <c r="AC286" s="4">
        <v>88.2</v>
      </c>
      <c r="AD286" s="4">
        <f t="shared" si="740"/>
        <v>0.93949066396852476</v>
      </c>
      <c r="AE286" s="38">
        <f t="shared" si="927"/>
        <v>9.5249999999999986</v>
      </c>
      <c r="AF286" s="38">
        <v>10</v>
      </c>
      <c r="AG286" s="39">
        <f>3*25.4</f>
        <v>76.199999999999989</v>
      </c>
      <c r="AH286" s="39">
        <v>3</v>
      </c>
      <c r="AI286" s="39">
        <v>2</v>
      </c>
      <c r="AJ286" s="7"/>
      <c r="AK286" s="4">
        <f t="shared" si="859"/>
        <v>243.83999999999997</v>
      </c>
      <c r="AL286" s="4">
        <f t="shared" si="779"/>
        <v>0.56597222222222232</v>
      </c>
      <c r="AM286" s="4">
        <f t="shared" si="780"/>
        <v>222.68305093812236</v>
      </c>
      <c r="AN286" s="4">
        <f t="shared" si="781"/>
        <v>0.76249999999999996</v>
      </c>
      <c r="AO286" s="4">
        <v>1.25</v>
      </c>
      <c r="AP286" s="4">
        <f t="shared" si="933"/>
        <v>2.5</v>
      </c>
      <c r="AQ286" s="38">
        <f t="shared" si="827"/>
        <v>300.31162861840153</v>
      </c>
      <c r="AR286" s="38">
        <f t="shared" si="783"/>
        <v>300.31162861840153</v>
      </c>
      <c r="AS286" s="38">
        <f t="shared" si="784"/>
        <v>4.8176603871508874</v>
      </c>
      <c r="AT286" s="38">
        <f t="shared" si="940"/>
        <v>300.31162861840153</v>
      </c>
      <c r="AU286" s="38">
        <f t="shared" si="910"/>
        <v>1</v>
      </c>
      <c r="AV286" s="38">
        <f t="shared" si="941"/>
        <v>2.9255581782446503</v>
      </c>
      <c r="AW286" s="4">
        <f t="shared" si="942"/>
        <v>0</v>
      </c>
      <c r="AX286" s="4">
        <f t="shared" si="860"/>
        <v>449.18571852180122</v>
      </c>
      <c r="AY286" s="4">
        <f t="shared" si="828"/>
        <v>1.066019417475728</v>
      </c>
      <c r="AZ286" s="38">
        <f t="shared" si="953"/>
        <v>878.57914112653475</v>
      </c>
      <c r="BA286" s="4">
        <f t="shared" si="829"/>
        <v>0.42600000000000005</v>
      </c>
      <c r="BB286" s="4">
        <f t="shared" si="830"/>
        <v>99.982003157175143</v>
      </c>
      <c r="BC286" s="4">
        <f t="shared" si="831"/>
        <v>978.56114428370984</v>
      </c>
      <c r="BE286" s="4">
        <f t="shared" si="934"/>
        <v>1.5</v>
      </c>
      <c r="BF286" s="4">
        <f t="shared" si="935"/>
        <v>784.10981989461925</v>
      </c>
      <c r="BH286" s="4">
        <f t="shared" si="959"/>
        <v>842.66483956807247</v>
      </c>
      <c r="BI286" s="4">
        <f t="shared" si="905"/>
        <v>0</v>
      </c>
      <c r="BJ286" s="4">
        <f t="shared" si="960"/>
        <v>0</v>
      </c>
      <c r="BK286" s="4">
        <f t="shared" si="785"/>
        <v>59.104999999999997</v>
      </c>
      <c r="BL286" s="4">
        <f t="shared" si="786"/>
        <v>59.104999999999997</v>
      </c>
      <c r="BM286" s="4">
        <f t="shared" si="787"/>
        <v>260.34999999999997</v>
      </c>
      <c r="BN286" s="4">
        <f t="shared" si="788"/>
        <v>71.804999999999993</v>
      </c>
      <c r="BO286" s="4">
        <f t="shared" si="789"/>
        <v>1.25</v>
      </c>
      <c r="BP286" s="25">
        <f t="shared" si="790"/>
        <v>4</v>
      </c>
      <c r="BR286" s="4">
        <f t="shared" si="832"/>
        <v>52.704999999999998</v>
      </c>
      <c r="BV286" s="9"/>
      <c r="BX286" s="9"/>
      <c r="BY286" s="9"/>
      <c r="BZ286" s="9">
        <f t="shared" si="833"/>
        <v>52.704999999999998</v>
      </c>
      <c r="CA286" s="9">
        <f t="shared" si="834"/>
        <v>63.5</v>
      </c>
      <c r="CB286" s="9">
        <f t="shared" si="943"/>
        <v>1.4813147137729235</v>
      </c>
      <c r="CC286" s="40">
        <f t="shared" si="861"/>
        <v>20</v>
      </c>
      <c r="CD286" s="9">
        <f t="shared" si="835"/>
        <v>0.05</v>
      </c>
      <c r="CE286" s="9">
        <f t="shared" si="836"/>
        <v>0.8</v>
      </c>
      <c r="CF286" s="9">
        <f t="shared" si="837"/>
        <v>0.99524931562137331</v>
      </c>
      <c r="CG286" s="9">
        <f t="shared" si="838"/>
        <v>0.68</v>
      </c>
      <c r="CH286" s="9">
        <f t="shared" si="944"/>
        <v>2.1058001504088901</v>
      </c>
      <c r="CI286" s="9">
        <f t="shared" si="945"/>
        <v>4.8039928673930365</v>
      </c>
      <c r="CJ286" s="40">
        <v>1</v>
      </c>
      <c r="CK286" s="9">
        <f t="shared" si="946"/>
        <v>472.7128981514748</v>
      </c>
      <c r="CM286" s="4">
        <f t="shared" si="839"/>
        <v>1.3541745362490702</v>
      </c>
      <c r="CN286" s="4">
        <f t="shared" si="840"/>
        <v>0.62160230418122031</v>
      </c>
      <c r="CO286" s="4">
        <f t="shared" si="814"/>
        <v>0.77575340422431527</v>
      </c>
      <c r="CP286" s="4">
        <f t="shared" si="841"/>
        <v>1.2867765285178476</v>
      </c>
      <c r="CQ286" s="4">
        <f t="shared" si="800"/>
        <v>0.93949066396852476</v>
      </c>
      <c r="CR286" s="4">
        <f t="shared" si="801"/>
        <v>0.95490274844904621</v>
      </c>
      <c r="CS286" s="4">
        <f t="shared" si="815"/>
        <v>1.225964360942069</v>
      </c>
      <c r="CT286" s="4">
        <f t="shared" si="862"/>
        <v>10</v>
      </c>
      <c r="DA286" s="4">
        <f t="shared" ref="DA286:DB286" si="981">CM286</f>
        <v>1.3541745362490702</v>
      </c>
      <c r="DB286" s="4">
        <f t="shared" si="981"/>
        <v>0.62160230418122031</v>
      </c>
      <c r="DC286" s="4">
        <f t="shared" ref="DC286" si="982">CP286</f>
        <v>1.2867765285178476</v>
      </c>
      <c r="DD286" s="4">
        <f t="shared" ref="DD286" si="983">CS286</f>
        <v>1.225964360942069</v>
      </c>
      <c r="DE286" s="4">
        <f t="shared" ref="DE286:DF286" si="984">CQ286</f>
        <v>0.93949066396852476</v>
      </c>
      <c r="DF286" s="4">
        <f t="shared" si="984"/>
        <v>0.95490274844904621</v>
      </c>
      <c r="DI286" s="4">
        <f t="shared" si="846"/>
        <v>243.83999999999997</v>
      </c>
      <c r="DL286" s="4">
        <f t="shared" si="756"/>
        <v>2.338874423417441E-5</v>
      </c>
      <c r="DM286" s="4">
        <f t="shared" si="757"/>
        <v>11.804361869983254</v>
      </c>
      <c r="DN286" s="4">
        <f t="shared" si="758"/>
        <v>0.20685087313395045</v>
      </c>
      <c r="DO286" s="4">
        <f t="shared" si="759"/>
        <v>6.2850025462405528</v>
      </c>
      <c r="DP286" s="4">
        <f t="shared" si="760"/>
        <v>9.459852819454456</v>
      </c>
      <c r="DQ286" s="4">
        <f t="shared" si="761"/>
        <v>10.76840592779776</v>
      </c>
      <c r="DR286" s="38">
        <f t="shared" si="791"/>
        <v>647.45280118009168</v>
      </c>
      <c r="DS286" s="4">
        <f t="shared" si="762"/>
        <v>1.0000974323638177</v>
      </c>
      <c r="DT286" s="4">
        <f t="shared" si="763"/>
        <v>2.2583179581272428</v>
      </c>
      <c r="DU286" s="4">
        <f t="shared" si="764"/>
        <v>300.31162861840153</v>
      </c>
      <c r="DY286" s="4">
        <f t="shared" si="765"/>
        <v>0.85</v>
      </c>
      <c r="DZ286" s="4">
        <f t="shared" si="766"/>
        <v>0.89249999999999996</v>
      </c>
      <c r="EA286" s="4">
        <f t="shared" si="792"/>
        <v>0.90625</v>
      </c>
      <c r="EB286" s="4">
        <f t="shared" si="767"/>
        <v>0.80882812500000001</v>
      </c>
      <c r="ED286" s="4">
        <f t="shared" si="793"/>
        <v>637.00294407669026</v>
      </c>
      <c r="EE286" s="25">
        <f t="shared" si="794"/>
        <v>297.03732222117264</v>
      </c>
      <c r="EG286" s="4">
        <f t="shared" si="932"/>
        <v>0.68750390625000002</v>
      </c>
      <c r="EH286" s="4">
        <f t="shared" si="795"/>
        <v>11.804361869983254</v>
      </c>
      <c r="EK286" s="4">
        <f t="shared" si="768"/>
        <v>57.361276136431961</v>
      </c>
      <c r="EL286" s="4">
        <f t="shared" si="769"/>
        <v>2.2583179581272428</v>
      </c>
      <c r="EM286" s="4">
        <f t="shared" si="770"/>
        <v>0.1005543658649911</v>
      </c>
      <c r="EP286" s="4">
        <f t="shared" si="863"/>
        <v>0.1005543658649911</v>
      </c>
      <c r="EQ286" s="4">
        <f t="shared" si="951"/>
        <v>0.20650567757845198</v>
      </c>
      <c r="ER286" s="4">
        <f t="shared" si="772"/>
        <v>6.2808050448135386</v>
      </c>
      <c r="ES286" s="4">
        <f t="shared" si="847"/>
        <v>9.4584707445849645</v>
      </c>
      <c r="ET286" s="4">
        <f t="shared" si="774"/>
        <v>125.51872386356803</v>
      </c>
      <c r="EU286" s="4">
        <f t="shared" si="775"/>
        <v>60.95999999999998</v>
      </c>
      <c r="EV286" s="4">
        <f t="shared" si="952"/>
        <v>2.33887442341744E-5</v>
      </c>
      <c r="EW286" s="4">
        <f t="shared" si="848"/>
        <v>10.768630881807505</v>
      </c>
      <c r="EX286" s="4">
        <f t="shared" si="965"/>
        <v>647.38972446892535</v>
      </c>
      <c r="FG286" s="23">
        <f t="shared" si="878"/>
        <v>1.4</v>
      </c>
      <c r="FH286" s="23">
        <f t="shared" si="878"/>
        <v>0.8</v>
      </c>
      <c r="FI286" s="23">
        <f t="shared" si="818"/>
        <v>1.4</v>
      </c>
      <c r="FJ286" s="23">
        <f t="shared" si="879"/>
        <v>1.4</v>
      </c>
      <c r="FK286" s="23">
        <f t="shared" si="879"/>
        <v>1</v>
      </c>
      <c r="FL286" s="23">
        <f t="shared" si="879"/>
        <v>1</v>
      </c>
      <c r="FM286" s="23">
        <f t="shared" si="807"/>
        <v>0</v>
      </c>
      <c r="FN286" s="23"/>
      <c r="FX286" s="4">
        <f t="shared" si="915"/>
        <v>1</v>
      </c>
      <c r="FY286" s="4">
        <f t="shared" si="975"/>
        <v>0.57526162790697688</v>
      </c>
      <c r="FZ286" s="4">
        <f t="shared" si="916"/>
        <v>0.28124999999999994</v>
      </c>
      <c r="GA286" s="4">
        <f t="shared" si="917"/>
        <v>496.16112951403221</v>
      </c>
    </row>
    <row r="287" spans="1:183" ht="12" customHeight="1" x14ac:dyDescent="0.3">
      <c r="A287" s="25">
        <v>269</v>
      </c>
      <c r="B287" s="4" t="s">
        <v>605</v>
      </c>
      <c r="C287" s="4">
        <v>2016</v>
      </c>
      <c r="D287" s="4" t="s">
        <v>309</v>
      </c>
      <c r="E287" s="24" t="s">
        <v>426</v>
      </c>
      <c r="F287" s="7" t="s">
        <v>427</v>
      </c>
      <c r="G287" s="38">
        <f>115.9/0.145</f>
        <v>799.31034482758628</v>
      </c>
      <c r="H287" s="38">
        <f>11.06*25.4</f>
        <v>280.92399999999998</v>
      </c>
      <c r="I287" s="4">
        <f t="shared" si="850"/>
        <v>280.92399999999998</v>
      </c>
      <c r="J287" s="38">
        <f>5500/145</f>
        <v>37.931034482758619</v>
      </c>
      <c r="K287" s="38">
        <f t="shared" si="851"/>
        <v>25.4</v>
      </c>
      <c r="L287" s="7">
        <f t="shared" si="852"/>
        <v>11.06</v>
      </c>
      <c r="M287" s="7">
        <f t="shared" si="853"/>
        <v>11.06</v>
      </c>
      <c r="N287" s="38">
        <f>16.8*25.4</f>
        <v>426.71999999999997</v>
      </c>
      <c r="O287" s="38">
        <f t="shared" si="980"/>
        <v>63.5</v>
      </c>
      <c r="P287" s="39">
        <f>3.35*25.4</f>
        <v>85.09</v>
      </c>
      <c r="Q287" s="7">
        <f t="shared" si="854"/>
        <v>248.91999999999996</v>
      </c>
      <c r="R287" s="38">
        <v>2</v>
      </c>
      <c r="S287" s="4">
        <f t="shared" si="826"/>
        <v>260.34999999999997</v>
      </c>
      <c r="T287" s="7">
        <f t="shared" si="855"/>
        <v>3</v>
      </c>
      <c r="U287" s="7">
        <f t="shared" si="958"/>
        <v>3</v>
      </c>
      <c r="V287" s="38">
        <v>6.5</v>
      </c>
      <c r="W287" s="4">
        <f t="shared" si="856"/>
        <v>6.5</v>
      </c>
      <c r="X287" s="4">
        <f t="shared" si="857"/>
        <v>7.5</v>
      </c>
      <c r="Y287" s="7">
        <f t="shared" si="858"/>
        <v>69.56076480315609</v>
      </c>
      <c r="AB287" s="38">
        <f t="shared" si="885"/>
        <v>659.31034482758616</v>
      </c>
      <c r="AC287" s="4">
        <v>95.6</v>
      </c>
      <c r="AD287" s="4">
        <f t="shared" si="740"/>
        <v>1.051317145691999</v>
      </c>
      <c r="AE287" s="38">
        <v>0</v>
      </c>
      <c r="AF287" s="38">
        <v>0</v>
      </c>
      <c r="AG287" s="39">
        <f>I287</f>
        <v>280.92399999999998</v>
      </c>
      <c r="AH287" s="39"/>
      <c r="AI287" s="39"/>
      <c r="AJ287" s="7"/>
      <c r="AK287" s="4">
        <f t="shared" si="859"/>
        <v>280.92399999999998</v>
      </c>
      <c r="AL287" s="4">
        <f t="shared" si="779"/>
        <v>0.50632911392405056</v>
      </c>
      <c r="AM287" s="4">
        <f t="shared" si="780"/>
        <v>286.14970251246518</v>
      </c>
      <c r="AN287" s="4">
        <f t="shared" si="781"/>
        <v>0.75424954792043397</v>
      </c>
      <c r="AO287" s="4">
        <v>1.25</v>
      </c>
      <c r="AP287" s="4">
        <f t="shared" si="933"/>
        <v>2.5</v>
      </c>
      <c r="AQ287" s="38">
        <f t="shared" si="827"/>
        <v>341.500448983534</v>
      </c>
      <c r="AR287" s="38">
        <f t="shared" si="783"/>
        <v>341.500448983534</v>
      </c>
      <c r="AS287" s="38">
        <f t="shared" si="784"/>
        <v>3.3867596705239982</v>
      </c>
      <c r="AT287" s="38">
        <f t="shared" si="940"/>
        <v>341.50044898353462</v>
      </c>
      <c r="AU287" s="38">
        <f t="shared" si="910"/>
        <v>0.99999999999999822</v>
      </c>
      <c r="AV287" s="38">
        <f t="shared" si="941"/>
        <v>1.6990702551697576</v>
      </c>
      <c r="AW287" s="4">
        <f t="shared" si="942"/>
        <v>0</v>
      </c>
      <c r="AX287" s="4">
        <f t="shared" si="860"/>
        <v>358.50801517310128</v>
      </c>
      <c r="AY287" s="4">
        <f t="shared" si="828"/>
        <v>1</v>
      </c>
      <c r="AZ287" s="38">
        <f t="shared" si="953"/>
        <v>580.23325499504097</v>
      </c>
      <c r="BA287" s="4">
        <f t="shared" si="829"/>
        <v>0.3</v>
      </c>
      <c r="BB287" s="4">
        <f t="shared" si="830"/>
        <v>56.196131378383619</v>
      </c>
      <c r="BC287" s="4">
        <f t="shared" si="831"/>
        <v>636.42938637342456</v>
      </c>
      <c r="BE287" s="4">
        <f t="shared" si="934"/>
        <v>1.375</v>
      </c>
      <c r="BF287" s="4">
        <f t="shared" si="935"/>
        <v>535.03188373813703</v>
      </c>
      <c r="BH287" s="4">
        <f t="shared" si="959"/>
        <v>556.51464944355905</v>
      </c>
      <c r="BI287" s="4">
        <f t="shared" si="905"/>
        <v>0</v>
      </c>
      <c r="BJ287" s="4">
        <f t="shared" si="960"/>
        <v>0</v>
      </c>
      <c r="BK287" s="4">
        <f t="shared" si="785"/>
        <v>63.5</v>
      </c>
      <c r="BL287" s="4">
        <f t="shared" si="786"/>
        <v>63.5</v>
      </c>
      <c r="BM287" s="4">
        <f t="shared" si="787"/>
        <v>260.34999999999997</v>
      </c>
      <c r="BN287" s="4">
        <f t="shared" si="788"/>
        <v>76.2</v>
      </c>
      <c r="BO287" s="4">
        <f t="shared" si="789"/>
        <v>1.25</v>
      </c>
      <c r="BP287" s="25">
        <f t="shared" si="790"/>
        <v>3.75</v>
      </c>
      <c r="BR287" s="4">
        <f t="shared" si="832"/>
        <v>63.5</v>
      </c>
      <c r="BV287" s="9"/>
      <c r="BX287" s="9"/>
      <c r="BY287" s="9"/>
      <c r="BZ287" s="9">
        <f t="shared" si="833"/>
        <v>63.5</v>
      </c>
      <c r="CA287" s="9">
        <f t="shared" si="834"/>
        <v>124.45999999999998</v>
      </c>
      <c r="CB287" s="9">
        <f t="shared" si="943"/>
        <v>1.7490749303163509</v>
      </c>
      <c r="CC287" s="40">
        <f t="shared" si="861"/>
        <v>20</v>
      </c>
      <c r="CD287" s="9">
        <f t="shared" si="835"/>
        <v>0</v>
      </c>
      <c r="CE287" s="9">
        <f t="shared" si="836"/>
        <v>0</v>
      </c>
      <c r="CF287" s="9">
        <f t="shared" si="837"/>
        <v>0.99524931562137331</v>
      </c>
      <c r="CG287" s="9">
        <f t="shared" si="838"/>
        <v>0.68048275862068963</v>
      </c>
      <c r="CH287" s="9">
        <f t="shared" si="944"/>
        <v>1.4598707313117956</v>
      </c>
      <c r="CI287" s="9">
        <f t="shared" si="945"/>
        <v>2.5534232976400588</v>
      </c>
      <c r="CJ287" s="40">
        <v>1</v>
      </c>
      <c r="CK287" s="9">
        <f t="shared" si="946"/>
        <v>266.16884454599972</v>
      </c>
      <c r="CM287" s="4">
        <f t="shared" si="839"/>
        <v>1.8390393434000243</v>
      </c>
      <c r="CN287" s="4">
        <f t="shared" si="840"/>
        <v>1.0359520772360065</v>
      </c>
      <c r="CO287" s="4">
        <f t="shared" si="814"/>
        <v>1.2322823459064642</v>
      </c>
      <c r="CP287" s="4">
        <f t="shared" si="841"/>
        <v>2.4770380092837767</v>
      </c>
      <c r="CQ287" s="4">
        <f t="shared" si="800"/>
        <v>1.051317145691999</v>
      </c>
      <c r="CR287" s="4">
        <f t="shared" si="801"/>
        <v>1.10521720654621</v>
      </c>
      <c r="CS287" s="4">
        <f t="shared" si="815"/>
        <v>1.2044626549109341</v>
      </c>
      <c r="CT287" s="4">
        <f t="shared" si="862"/>
        <v>0</v>
      </c>
      <c r="CU287" s="4">
        <f t="shared" ref="CU287:CV290" si="985">CM287</f>
        <v>1.8390393434000243</v>
      </c>
      <c r="CV287" s="4">
        <f t="shared" si="985"/>
        <v>1.0359520772360065</v>
      </c>
      <c r="CW287" s="4">
        <f t="shared" ref="CW287:CW290" si="986">CP287</f>
        <v>2.4770380092837767</v>
      </c>
      <c r="CX287" s="4">
        <f t="shared" ref="CX287:CX290" si="987">CS287</f>
        <v>1.2044626549109341</v>
      </c>
      <c r="CY287" s="4">
        <f t="shared" ref="CY287:CZ290" si="988">CQ287</f>
        <v>1.051317145691999</v>
      </c>
      <c r="CZ287" s="4">
        <f t="shared" si="988"/>
        <v>1.10521720654621</v>
      </c>
      <c r="DI287" s="4">
        <f t="shared" si="846"/>
        <v>280.92399999999998</v>
      </c>
      <c r="DL287" s="4">
        <f t="shared" si="756"/>
        <v>2.0862644589160908E-5</v>
      </c>
      <c r="DM287" s="4">
        <f t="shared" si="757"/>
        <v>7.7815993963460848</v>
      </c>
      <c r="DN287" s="4">
        <f t="shared" si="758"/>
        <v>0.37489915373489696</v>
      </c>
      <c r="DO287" s="4">
        <f t="shared" si="759"/>
        <v>5.2557494461216852</v>
      </c>
      <c r="DP287" s="4">
        <f t="shared" si="760"/>
        <v>6.6403267014248541</v>
      </c>
      <c r="DQ287" s="4">
        <f t="shared" si="761"/>
        <v>7.2756532072125752</v>
      </c>
      <c r="DR287" s="38">
        <f t="shared" si="791"/>
        <v>627.12792950181961</v>
      </c>
      <c r="DS287" s="4">
        <f t="shared" si="762"/>
        <v>1.000107959834613</v>
      </c>
      <c r="DT287" s="4">
        <f t="shared" si="763"/>
        <v>2.7386127875258306</v>
      </c>
      <c r="DU287" s="4">
        <f t="shared" si="764"/>
        <v>341.50044898353462</v>
      </c>
      <c r="DY287" s="4">
        <f t="shared" si="765"/>
        <v>0.85</v>
      </c>
      <c r="DZ287" s="4">
        <f t="shared" si="766"/>
        <v>0.85</v>
      </c>
      <c r="EA287" s="4">
        <f t="shared" si="792"/>
        <v>1</v>
      </c>
      <c r="EB287" s="4">
        <f t="shared" si="767"/>
        <v>0.85</v>
      </c>
      <c r="ED287" s="4">
        <f t="shared" si="793"/>
        <v>596.54368473679733</v>
      </c>
      <c r="EE287" s="25">
        <f t="shared" si="794"/>
        <v>338.35021676603429</v>
      </c>
      <c r="EG287" s="4">
        <f t="shared" si="932"/>
        <v>0.72249999999999992</v>
      </c>
      <c r="EH287" s="4">
        <f t="shared" si="795"/>
        <v>7.7815993963460848</v>
      </c>
      <c r="EK287" s="4">
        <f t="shared" si="768"/>
        <v>69.56076480315609</v>
      </c>
      <c r="EL287" s="4">
        <f t="shared" si="769"/>
        <v>2.7386127875258306</v>
      </c>
      <c r="EM287" s="4">
        <f t="shared" si="770"/>
        <v>0.12625455895365398</v>
      </c>
      <c r="EP287" s="4">
        <f t="shared" si="863"/>
        <v>0.12625455895365398</v>
      </c>
      <c r="EQ287" s="4">
        <f t="shared" si="951"/>
        <v>0.37427351691901739</v>
      </c>
      <c r="ER287" s="4">
        <f t="shared" si="772"/>
        <v>5.2522393416089468</v>
      </c>
      <c r="ES287" s="4">
        <f t="shared" si="847"/>
        <v>6.6389405680731253</v>
      </c>
      <c r="ET287" s="4">
        <f t="shared" si="774"/>
        <v>141.13223519684391</v>
      </c>
      <c r="EU287" s="4">
        <f t="shared" si="775"/>
        <v>70.230999999999995</v>
      </c>
      <c r="EV287" s="4">
        <f t="shared" si="952"/>
        <v>2.0862644589160908E-5</v>
      </c>
      <c r="EW287" s="4">
        <f t="shared" si="848"/>
        <v>7.2757943938291234</v>
      </c>
      <c r="EX287" s="4">
        <f t="shared" si="965"/>
        <v>627.06023218286077</v>
      </c>
      <c r="FG287" s="23">
        <f t="shared" si="878"/>
        <v>2</v>
      </c>
      <c r="FH287" s="23">
        <f t="shared" si="878"/>
        <v>1.2</v>
      </c>
      <c r="FI287" s="23">
        <f t="shared" si="818"/>
        <v>1.4</v>
      </c>
      <c r="FJ287" s="23">
        <f t="shared" si="879"/>
        <v>2.2000000000000002</v>
      </c>
      <c r="FK287" s="23">
        <f t="shared" si="879"/>
        <v>1.2</v>
      </c>
      <c r="FL287" s="23">
        <f t="shared" si="879"/>
        <v>1.2</v>
      </c>
      <c r="FM287" s="23">
        <f t="shared" si="807"/>
        <v>0</v>
      </c>
      <c r="FN287" s="23"/>
      <c r="FX287" s="4">
        <f t="shared" si="915"/>
        <v>1</v>
      </c>
      <c r="FY287" s="4">
        <f t="shared" si="975"/>
        <v>0.5</v>
      </c>
      <c r="FZ287" s="4">
        <f t="shared" si="916"/>
        <v>0</v>
      </c>
      <c r="GA287" s="4">
        <f t="shared" si="917"/>
        <v>547.38961157441611</v>
      </c>
    </row>
    <row r="288" spans="1:183" ht="12" customHeight="1" x14ac:dyDescent="0.3">
      <c r="A288" s="25">
        <v>270</v>
      </c>
      <c r="B288" s="4" t="s">
        <v>605</v>
      </c>
      <c r="C288" s="4">
        <v>2016</v>
      </c>
      <c r="D288" s="4" t="s">
        <v>309</v>
      </c>
      <c r="E288" s="24" t="s">
        <v>426</v>
      </c>
      <c r="F288" s="7" t="s">
        <v>428</v>
      </c>
      <c r="G288" s="38">
        <f t="shared" ref="G288:G298" si="989">115.9/0.145</f>
        <v>799.31034482758628</v>
      </c>
      <c r="H288" s="38">
        <f>14.25*25.4</f>
        <v>361.95</v>
      </c>
      <c r="I288" s="4">
        <f t="shared" si="850"/>
        <v>361.95</v>
      </c>
      <c r="J288" s="38">
        <f t="shared" ref="J288:J290" si="990">5500/145</f>
        <v>37.931034482758619</v>
      </c>
      <c r="K288" s="38">
        <f t="shared" si="851"/>
        <v>25.4</v>
      </c>
      <c r="L288" s="7">
        <f t="shared" si="852"/>
        <v>14.25</v>
      </c>
      <c r="M288" s="7">
        <f t="shared" si="853"/>
        <v>14.25</v>
      </c>
      <c r="N288" s="38">
        <f>16.3*25.4</f>
        <v>414.02</v>
      </c>
      <c r="O288" s="38">
        <f>2.35*25.4</f>
        <v>59.69</v>
      </c>
      <c r="P288" s="39">
        <f>3.15*25.4</f>
        <v>80.009999999999991</v>
      </c>
      <c r="Q288" s="7">
        <f t="shared" si="854"/>
        <v>243.83999999999997</v>
      </c>
      <c r="R288" s="38">
        <v>2</v>
      </c>
      <c r="S288" s="4">
        <f t="shared" si="826"/>
        <v>260.34999999999997</v>
      </c>
      <c r="T288" s="7">
        <f t="shared" si="855"/>
        <v>2.85</v>
      </c>
      <c r="U288" s="7">
        <f t="shared" si="958"/>
        <v>2.85</v>
      </c>
      <c r="V288" s="38">
        <v>6.5</v>
      </c>
      <c r="W288" s="4">
        <f t="shared" si="856"/>
        <v>6.5</v>
      </c>
      <c r="X288" s="4">
        <f t="shared" si="857"/>
        <v>7.5</v>
      </c>
      <c r="Y288" s="7">
        <f t="shared" si="858"/>
        <v>69.56076480315609</v>
      </c>
      <c r="AB288" s="38">
        <f t="shared" si="885"/>
        <v>765.51724137931035</v>
      </c>
      <c r="AC288" s="4">
        <v>111</v>
      </c>
      <c r="AD288" s="4">
        <f t="shared" si="740"/>
        <v>1.0428358329621183</v>
      </c>
      <c r="AE288" s="38">
        <v>0</v>
      </c>
      <c r="AF288" s="38">
        <v>0</v>
      </c>
      <c r="AG288" s="39">
        <f t="shared" ref="AG288:AG290" si="991">I288</f>
        <v>361.95</v>
      </c>
      <c r="AH288" s="39"/>
      <c r="AI288" s="39"/>
      <c r="AJ288" s="7"/>
      <c r="AK288" s="4">
        <f t="shared" si="859"/>
        <v>361.95</v>
      </c>
      <c r="AL288" s="4">
        <f t="shared" si="779"/>
        <v>0.38128654970760234</v>
      </c>
      <c r="AM288" s="4">
        <f t="shared" si="780"/>
        <v>418.48789934570812</v>
      </c>
      <c r="AN288" s="4">
        <f t="shared" si="781"/>
        <v>0.74</v>
      </c>
      <c r="AO288" s="4">
        <v>1.25</v>
      </c>
      <c r="AP288" s="4">
        <f t="shared" si="933"/>
        <v>2.5</v>
      </c>
      <c r="AQ288" s="38">
        <f t="shared" si="827"/>
        <v>368.99130423303592</v>
      </c>
      <c r="AR288" s="38">
        <f t="shared" si="783"/>
        <v>368.99130423303592</v>
      </c>
      <c r="AS288" s="38">
        <f t="shared" si="784"/>
        <v>3.3867596705239982</v>
      </c>
      <c r="AT288" s="38">
        <f t="shared" si="940"/>
        <v>368.99130423303569</v>
      </c>
      <c r="AU288" s="38">
        <f t="shared" si="910"/>
        <v>1.0000000000000007</v>
      </c>
      <c r="AV288" s="38">
        <f t="shared" si="941"/>
        <v>1.4938606572071575</v>
      </c>
      <c r="AW288" s="4">
        <f t="shared" si="942"/>
        <v>0</v>
      </c>
      <c r="AX288" s="4">
        <f t="shared" si="860"/>
        <v>461.91132153857978</v>
      </c>
      <c r="AY288" s="4">
        <f t="shared" si="828"/>
        <v>1</v>
      </c>
      <c r="AZ288" s="38">
        <f t="shared" si="953"/>
        <v>551.22159224528889</v>
      </c>
      <c r="BA288" s="4">
        <f t="shared" si="829"/>
        <v>0.3</v>
      </c>
      <c r="BB288" s="4">
        <f t="shared" si="830"/>
        <v>72.404599651172376</v>
      </c>
      <c r="BC288" s="4">
        <f t="shared" si="831"/>
        <v>623.62619189646125</v>
      </c>
      <c r="BE288" s="4">
        <f t="shared" si="934"/>
        <v>1.3374999999999999</v>
      </c>
      <c r="BF288" s="4">
        <f t="shared" si="935"/>
        <v>599.27220078111498</v>
      </c>
      <c r="BH288" s="4">
        <f t="shared" si="959"/>
        <v>528.68891697138122</v>
      </c>
      <c r="BI288" s="4">
        <f t="shared" si="905"/>
        <v>0</v>
      </c>
      <c r="BJ288" s="4">
        <f t="shared" si="960"/>
        <v>0</v>
      </c>
      <c r="BK288" s="4">
        <f t="shared" si="785"/>
        <v>59.69</v>
      </c>
      <c r="BL288" s="4">
        <f t="shared" si="786"/>
        <v>59.69</v>
      </c>
      <c r="BM288" s="4">
        <f t="shared" si="787"/>
        <v>260.34999999999997</v>
      </c>
      <c r="BN288" s="4">
        <f t="shared" si="788"/>
        <v>72.39</v>
      </c>
      <c r="BO288" s="4">
        <f t="shared" si="789"/>
        <v>1.25</v>
      </c>
      <c r="BP288" s="25">
        <f t="shared" si="790"/>
        <v>3.5625</v>
      </c>
      <c r="BR288" s="4">
        <f t="shared" si="832"/>
        <v>59.69</v>
      </c>
      <c r="BV288" s="9"/>
      <c r="BX288" s="9"/>
      <c r="BY288" s="9"/>
      <c r="BZ288" s="9">
        <f t="shared" si="833"/>
        <v>59.69</v>
      </c>
      <c r="CA288" s="9">
        <f t="shared" si="834"/>
        <v>121.91999999999999</v>
      </c>
      <c r="CB288" s="9">
        <f t="shared" si="943"/>
        <v>1.7063178633321976</v>
      </c>
      <c r="CC288" s="40">
        <f t="shared" si="861"/>
        <v>20</v>
      </c>
      <c r="CD288" s="9">
        <f t="shared" si="835"/>
        <v>0</v>
      </c>
      <c r="CE288" s="9">
        <f t="shared" si="836"/>
        <v>0</v>
      </c>
      <c r="CF288" s="9">
        <f t="shared" si="837"/>
        <v>0.99524931562137331</v>
      </c>
      <c r="CG288" s="9">
        <f t="shared" si="838"/>
        <v>0.68048275862068963</v>
      </c>
      <c r="CH288" s="9">
        <f t="shared" si="944"/>
        <v>1.4598707313117956</v>
      </c>
      <c r="CI288" s="9">
        <f t="shared" si="945"/>
        <v>2.4910035069931555</v>
      </c>
      <c r="CJ288" s="40">
        <v>1</v>
      </c>
      <c r="CK288" s="9">
        <f t="shared" si="946"/>
        <v>291.44741031819922</v>
      </c>
      <c r="CM288" s="4">
        <f t="shared" si="839"/>
        <v>1.6572818324293288</v>
      </c>
      <c r="CN288" s="4">
        <f t="shared" si="840"/>
        <v>1.2275258020375239</v>
      </c>
      <c r="CO288" s="4">
        <f t="shared" si="814"/>
        <v>1.277411567533927</v>
      </c>
      <c r="CP288" s="4">
        <f t="shared" si="841"/>
        <v>2.6266050555862779</v>
      </c>
      <c r="CQ288" s="4">
        <f t="shared" si="800"/>
        <v>1.0428358329621183</v>
      </c>
      <c r="CR288" s="4">
        <f t="shared" si="801"/>
        <v>1.1039912468916053</v>
      </c>
      <c r="CS288" s="4">
        <f t="shared" si="815"/>
        <v>1.3567777131762069</v>
      </c>
      <c r="CT288" s="4">
        <f t="shared" si="862"/>
        <v>0</v>
      </c>
      <c r="CU288" s="4">
        <f t="shared" si="985"/>
        <v>1.6572818324293288</v>
      </c>
      <c r="CV288" s="4">
        <f t="shared" si="985"/>
        <v>1.2275258020375239</v>
      </c>
      <c r="CW288" s="4">
        <f t="shared" si="986"/>
        <v>2.6266050555862779</v>
      </c>
      <c r="CX288" s="4">
        <f t="shared" si="987"/>
        <v>1.3567777131762069</v>
      </c>
      <c r="CY288" s="4">
        <f t="shared" si="988"/>
        <v>1.0428358329621183</v>
      </c>
      <c r="CZ288" s="4">
        <f t="shared" si="988"/>
        <v>1.1039912468916053</v>
      </c>
      <c r="DI288" s="4">
        <f t="shared" si="846"/>
        <v>361.95</v>
      </c>
      <c r="DL288" s="4">
        <f t="shared" si="756"/>
        <v>2.6879989637933361E-5</v>
      </c>
      <c r="DM288" s="4">
        <f t="shared" si="757"/>
        <v>7.6466583663516436</v>
      </c>
      <c r="DN288" s="4">
        <f t="shared" si="758"/>
        <v>0.40507861147547347</v>
      </c>
      <c r="DO288" s="4">
        <f t="shared" si="759"/>
        <v>5.3270578424525894</v>
      </c>
      <c r="DP288" s="4">
        <f t="shared" si="760"/>
        <v>6.5900437533847063</v>
      </c>
      <c r="DQ288" s="4">
        <f t="shared" si="761"/>
        <v>6.8205102906273032</v>
      </c>
      <c r="DR288" s="38">
        <f t="shared" si="791"/>
        <v>734.07262886709634</v>
      </c>
      <c r="DS288" s="4">
        <f t="shared" si="762"/>
        <v>1.0001110715160444</v>
      </c>
      <c r="DT288" s="4">
        <f t="shared" si="763"/>
        <v>2.7386127875258306</v>
      </c>
      <c r="DU288" s="4">
        <f t="shared" si="764"/>
        <v>368.99130423303569</v>
      </c>
      <c r="DY288" s="4">
        <f t="shared" si="765"/>
        <v>0.85</v>
      </c>
      <c r="DZ288" s="4">
        <f t="shared" si="766"/>
        <v>0.86499999999999999</v>
      </c>
      <c r="EA288" s="4">
        <f t="shared" si="792"/>
        <v>1</v>
      </c>
      <c r="EB288" s="4">
        <f t="shared" si="767"/>
        <v>0.86499999999999999</v>
      </c>
      <c r="ED288" s="4">
        <f t="shared" si="793"/>
        <v>693.40879607034799</v>
      </c>
      <c r="EE288" s="25">
        <f t="shared" si="794"/>
        <v>366.51415090881522</v>
      </c>
      <c r="EG288" s="4">
        <f t="shared" si="932"/>
        <v>0.73524999999999996</v>
      </c>
      <c r="EH288" s="4">
        <f t="shared" si="795"/>
        <v>7.6466583663516436</v>
      </c>
      <c r="EK288" s="4">
        <f t="shared" si="768"/>
        <v>69.56076480315609</v>
      </c>
      <c r="EL288" s="4">
        <f t="shared" si="769"/>
        <v>2.7386127875258306</v>
      </c>
      <c r="EM288" s="4">
        <f t="shared" si="770"/>
        <v>0.13641807649840498</v>
      </c>
      <c r="EP288" s="4">
        <f t="shared" si="863"/>
        <v>0.13641807649840498</v>
      </c>
      <c r="EQ288" s="4">
        <f t="shared" si="951"/>
        <v>0.40440261076931122</v>
      </c>
      <c r="ER288" s="4">
        <f t="shared" si="772"/>
        <v>5.3235001139185165</v>
      </c>
      <c r="ES288" s="4">
        <f t="shared" si="847"/>
        <v>6.5886082506511858</v>
      </c>
      <c r="ET288" s="4">
        <f t="shared" si="774"/>
        <v>201.9017351968439</v>
      </c>
      <c r="EU288" s="4">
        <f t="shared" si="775"/>
        <v>90.487500000000011</v>
      </c>
      <c r="EV288" s="4">
        <f t="shared" si="952"/>
        <v>2.6879989637933364E-5</v>
      </c>
      <c r="EW288" s="4">
        <f t="shared" si="848"/>
        <v>6.8207271366698272</v>
      </c>
      <c r="EX288" s="4">
        <f t="shared" si="965"/>
        <v>733.9911033624827</v>
      </c>
      <c r="FG288" s="23">
        <f t="shared" si="878"/>
        <v>1.8</v>
      </c>
      <c r="FH288" s="23">
        <f t="shared" si="878"/>
        <v>1.4</v>
      </c>
      <c r="FI288" s="23">
        <f t="shared" si="818"/>
        <v>1.4</v>
      </c>
      <c r="FJ288" s="23">
        <f t="shared" si="879"/>
        <v>2.2000000000000002</v>
      </c>
      <c r="FK288" s="23">
        <f t="shared" si="879"/>
        <v>1.2</v>
      </c>
      <c r="FL288" s="23">
        <f t="shared" si="879"/>
        <v>1.2</v>
      </c>
      <c r="FM288" s="23">
        <f t="shared" si="807"/>
        <v>0</v>
      </c>
      <c r="FN288" s="23"/>
      <c r="FX288" s="4">
        <f t="shared" si="915"/>
        <v>1.25</v>
      </c>
      <c r="FY288" s="4">
        <f t="shared" si="975"/>
        <v>0.5</v>
      </c>
      <c r="FZ288" s="4">
        <f t="shared" si="916"/>
        <v>0</v>
      </c>
      <c r="GA288" s="4">
        <f t="shared" si="917"/>
        <v>564.21714032082673</v>
      </c>
    </row>
    <row r="289" spans="1:183" ht="12" customHeight="1" x14ac:dyDescent="0.3">
      <c r="A289" s="25">
        <v>271</v>
      </c>
      <c r="B289" s="4" t="s">
        <v>605</v>
      </c>
      <c r="C289" s="4">
        <v>2016</v>
      </c>
      <c r="D289" s="4" t="s">
        <v>309</v>
      </c>
      <c r="E289" s="24" t="s">
        <v>666</v>
      </c>
      <c r="F289" s="48" t="s">
        <v>429</v>
      </c>
      <c r="G289" s="38">
        <f t="shared" si="989"/>
        <v>799.31034482758628</v>
      </c>
      <c r="H289" s="38">
        <f>11.25*25.4</f>
        <v>285.75</v>
      </c>
      <c r="I289" s="4">
        <f t="shared" si="850"/>
        <v>285.75</v>
      </c>
      <c r="J289" s="38">
        <f t="shared" si="990"/>
        <v>37.931034482758619</v>
      </c>
      <c r="K289" s="38">
        <f t="shared" si="851"/>
        <v>25.4</v>
      </c>
      <c r="L289" s="7">
        <f t="shared" si="852"/>
        <v>11.25</v>
      </c>
      <c r="M289" s="7">
        <f t="shared" si="853"/>
        <v>11.25</v>
      </c>
      <c r="N289" s="38">
        <f>16.9*25.4</f>
        <v>429.25999999999993</v>
      </c>
      <c r="O289" s="38">
        <f t="shared" si="980"/>
        <v>63.5</v>
      </c>
      <c r="P289" s="39">
        <f>3.25*25.4</f>
        <v>82.55</v>
      </c>
      <c r="Q289" s="7">
        <f t="shared" si="854"/>
        <v>251.45999999999992</v>
      </c>
      <c r="R289" s="38">
        <v>2</v>
      </c>
      <c r="S289" s="4">
        <f t="shared" si="826"/>
        <v>260.34999999999997</v>
      </c>
      <c r="T289" s="7">
        <f t="shared" si="855"/>
        <v>3</v>
      </c>
      <c r="U289" s="7">
        <f t="shared" si="958"/>
        <v>3</v>
      </c>
      <c r="V289" s="38">
        <v>4.5</v>
      </c>
      <c r="W289" s="4">
        <f t="shared" si="856"/>
        <v>4.5</v>
      </c>
      <c r="X289" s="4">
        <f t="shared" si="857"/>
        <v>5.5</v>
      </c>
      <c r="Y289" s="7">
        <f t="shared" si="858"/>
        <v>59.568280149757555</v>
      </c>
      <c r="AB289" s="38">
        <f t="shared" si="885"/>
        <v>588.27586206896558</v>
      </c>
      <c r="AC289" s="4">
        <v>85.3</v>
      </c>
      <c r="AD289" s="4">
        <f t="shared" si="740"/>
        <v>0.90762534595970545</v>
      </c>
      <c r="AE289" s="38">
        <v>0</v>
      </c>
      <c r="AF289" s="38">
        <v>0</v>
      </c>
      <c r="AG289" s="39">
        <f t="shared" si="991"/>
        <v>285.75</v>
      </c>
      <c r="AH289" s="39"/>
      <c r="AI289" s="39"/>
      <c r="AJ289" s="7"/>
      <c r="AK289" s="4">
        <f t="shared" si="859"/>
        <v>285.75</v>
      </c>
      <c r="AL289" s="4">
        <f t="shared" si="779"/>
        <v>0.50074074074074071</v>
      </c>
      <c r="AM289" s="4">
        <f t="shared" si="780"/>
        <v>293.55493918404102</v>
      </c>
      <c r="AN289" s="4">
        <f t="shared" si="781"/>
        <v>0.7533333333333333</v>
      </c>
      <c r="AO289" s="4">
        <v>1.25</v>
      </c>
      <c r="AP289" s="4">
        <f t="shared" si="933"/>
        <v>2.5</v>
      </c>
      <c r="AQ289" s="38">
        <f t="shared" si="827"/>
        <v>346.05053540726112</v>
      </c>
      <c r="AR289" s="38">
        <f t="shared" si="783"/>
        <v>346.05053540726112</v>
      </c>
      <c r="AS289" s="38">
        <f t="shared" si="784"/>
        <v>3.3867596705239982</v>
      </c>
      <c r="AT289" s="38">
        <f t="shared" si="940"/>
        <v>346.05053540726101</v>
      </c>
      <c r="AU289" s="38">
        <f t="shared" si="910"/>
        <v>1.0000000000000002</v>
      </c>
      <c r="AV289" s="38">
        <f t="shared" si="941"/>
        <v>1.3951235475912487</v>
      </c>
      <c r="AW289" s="4">
        <f t="shared" si="942"/>
        <v>0</v>
      </c>
      <c r="AX289" s="4">
        <f t="shared" si="860"/>
        <v>364.66683279361564</v>
      </c>
      <c r="AY289" s="4">
        <f t="shared" si="828"/>
        <v>1</v>
      </c>
      <c r="AZ289" s="38">
        <f t="shared" si="953"/>
        <v>482.78325060322902</v>
      </c>
      <c r="BA289" s="4">
        <f t="shared" si="829"/>
        <v>0.37</v>
      </c>
      <c r="BB289" s="4">
        <f t="shared" si="830"/>
        <v>70.499215449825741</v>
      </c>
      <c r="BC289" s="4">
        <f t="shared" si="831"/>
        <v>553.2824660530548</v>
      </c>
      <c r="BE289" s="4">
        <f t="shared" si="934"/>
        <v>1.375</v>
      </c>
      <c r="BF289" s="4">
        <f t="shared" si="935"/>
        <v>539.8588570482151</v>
      </c>
      <c r="BH289" s="4">
        <f t="shared" si="959"/>
        <v>463.04817787283525</v>
      </c>
      <c r="BI289" s="4">
        <f t="shared" si="905"/>
        <v>0</v>
      </c>
      <c r="BJ289" s="4">
        <f t="shared" si="960"/>
        <v>0</v>
      </c>
      <c r="BK289" s="4">
        <f t="shared" si="785"/>
        <v>63.5</v>
      </c>
      <c r="BL289" s="4">
        <f t="shared" si="786"/>
        <v>63.5</v>
      </c>
      <c r="BM289" s="4">
        <f t="shared" si="787"/>
        <v>260.34999999999997</v>
      </c>
      <c r="BN289" s="4">
        <f t="shared" si="788"/>
        <v>76.2</v>
      </c>
      <c r="BO289" s="4">
        <f t="shared" si="789"/>
        <v>1.25</v>
      </c>
      <c r="BP289" s="25">
        <f t="shared" si="790"/>
        <v>3.75</v>
      </c>
      <c r="BR289" s="4">
        <f t="shared" si="832"/>
        <v>63.5</v>
      </c>
      <c r="BV289" s="9"/>
      <c r="BX289" s="9"/>
      <c r="BY289" s="9"/>
      <c r="BZ289" s="9">
        <f t="shared" si="833"/>
        <v>63.5</v>
      </c>
      <c r="CA289" s="9">
        <f t="shared" si="834"/>
        <v>125.72999999999996</v>
      </c>
      <c r="CB289" s="9">
        <f t="shared" si="943"/>
        <v>1.7517405482385959</v>
      </c>
      <c r="CC289" s="40">
        <f t="shared" si="861"/>
        <v>20</v>
      </c>
      <c r="CD289" s="9">
        <f t="shared" si="835"/>
        <v>0</v>
      </c>
      <c r="CE289" s="9">
        <f t="shared" si="836"/>
        <v>0</v>
      </c>
      <c r="CF289" s="9">
        <f t="shared" si="837"/>
        <v>0.99524931562137331</v>
      </c>
      <c r="CG289" s="9">
        <f t="shared" si="838"/>
        <v>0.68048275862068963</v>
      </c>
      <c r="CH289" s="9">
        <f t="shared" si="944"/>
        <v>1.4598707313117956</v>
      </c>
      <c r="CI289" s="9">
        <f t="shared" si="945"/>
        <v>2.5573147552256046</v>
      </c>
      <c r="CJ289" s="40">
        <v>1</v>
      </c>
      <c r="CK289" s="9">
        <f t="shared" si="946"/>
        <v>268.51804929868848</v>
      </c>
      <c r="CM289" s="4">
        <f t="shared" si="839"/>
        <v>1.6131871866776055</v>
      </c>
      <c r="CN289" s="4">
        <f t="shared" si="840"/>
        <v>1.0632468913492648</v>
      </c>
      <c r="CO289" s="4">
        <f t="shared" si="814"/>
        <v>1.0896845617861677</v>
      </c>
      <c r="CP289" s="4">
        <f t="shared" si="841"/>
        <v>2.1908242801756375</v>
      </c>
      <c r="CQ289" s="4">
        <f t="shared" si="800"/>
        <v>0.90762534595970545</v>
      </c>
      <c r="CR289" s="4">
        <f t="shared" si="801"/>
        <v>0.97146948096887209</v>
      </c>
      <c r="CS289" s="4">
        <f t="shared" si="815"/>
        <v>1.0565427698472931</v>
      </c>
      <c r="CT289" s="4">
        <f t="shared" si="862"/>
        <v>0</v>
      </c>
      <c r="CU289" s="4">
        <f t="shared" si="985"/>
        <v>1.6131871866776055</v>
      </c>
      <c r="CV289" s="4">
        <f t="shared" si="985"/>
        <v>1.0632468913492648</v>
      </c>
      <c r="CW289" s="4">
        <f t="shared" si="986"/>
        <v>2.1908242801756375</v>
      </c>
      <c r="CX289" s="4">
        <f t="shared" si="987"/>
        <v>1.0565427698472931</v>
      </c>
      <c r="CY289" s="4">
        <f t="shared" si="988"/>
        <v>0.90762534595970545</v>
      </c>
      <c r="CZ289" s="4">
        <f t="shared" si="988"/>
        <v>0.97146948096887209</v>
      </c>
      <c r="DI289" s="4">
        <f t="shared" si="846"/>
        <v>285.75</v>
      </c>
      <c r="DL289" s="4">
        <f t="shared" si="756"/>
        <v>2.1221044451000022E-5</v>
      </c>
      <c r="DM289" s="4">
        <f t="shared" si="757"/>
        <v>7.7815993963460848</v>
      </c>
      <c r="DN289" s="4">
        <f t="shared" si="758"/>
        <v>0.4699095404899471</v>
      </c>
      <c r="DO289" s="4">
        <f t="shared" si="759"/>
        <v>5.7527377219882574</v>
      </c>
      <c r="DP289" s="4">
        <f t="shared" si="760"/>
        <v>6.8429466892191968</v>
      </c>
      <c r="DQ289" s="4">
        <f t="shared" si="761"/>
        <v>7.2333707816262507</v>
      </c>
      <c r="DR289" s="38">
        <f t="shared" si="791"/>
        <v>648.14834081890262</v>
      </c>
      <c r="DS289" s="4">
        <f t="shared" si="762"/>
        <v>1.0001135640764247</v>
      </c>
      <c r="DT289" s="4">
        <f t="shared" si="763"/>
        <v>2.3452078799117149</v>
      </c>
      <c r="DU289" s="4">
        <f t="shared" si="764"/>
        <v>346.05053540726101</v>
      </c>
      <c r="DY289" s="4">
        <f t="shared" si="765"/>
        <v>0.85</v>
      </c>
      <c r="DZ289" s="4">
        <f t="shared" si="766"/>
        <v>0.85</v>
      </c>
      <c r="EA289" s="4">
        <f t="shared" si="792"/>
        <v>1</v>
      </c>
      <c r="EB289" s="4">
        <f t="shared" si="767"/>
        <v>0.85</v>
      </c>
      <c r="ED289" s="4">
        <f t="shared" si="793"/>
        <v>605.55259181406564</v>
      </c>
      <c r="EE289" s="25">
        <f t="shared" si="794"/>
        <v>342.92361218738517</v>
      </c>
      <c r="EG289" s="4">
        <f t="shared" si="932"/>
        <v>0.72249999999999992</v>
      </c>
      <c r="EH289" s="4">
        <f t="shared" si="795"/>
        <v>7.7815993963460848</v>
      </c>
      <c r="EK289" s="4">
        <f t="shared" si="768"/>
        <v>59.568280149757555</v>
      </c>
      <c r="EL289" s="4">
        <f t="shared" si="769"/>
        <v>2.3452078799117149</v>
      </c>
      <c r="EM289" s="4">
        <f t="shared" si="770"/>
        <v>0.15825114885328698</v>
      </c>
      <c r="EP289" s="4">
        <f t="shared" si="863"/>
        <v>0.15825114885328698</v>
      </c>
      <c r="EQ289" s="4">
        <f t="shared" si="951"/>
        <v>0.46912534904610242</v>
      </c>
      <c r="ER289" s="4">
        <f t="shared" si="772"/>
        <v>5.7488956989151347</v>
      </c>
      <c r="ES289" s="4">
        <f t="shared" si="847"/>
        <v>6.8413334294190342</v>
      </c>
      <c r="ET289" s="4">
        <f t="shared" si="774"/>
        <v>154.74421985024244</v>
      </c>
      <c r="EU289" s="4">
        <f t="shared" si="775"/>
        <v>71.4375</v>
      </c>
      <c r="EV289" s="4">
        <f t="shared" si="952"/>
        <v>2.1221044451000022E-5</v>
      </c>
      <c r="EW289" s="4">
        <f t="shared" si="848"/>
        <v>7.233526973750263</v>
      </c>
      <c r="EX289" s="4">
        <f t="shared" si="965"/>
        <v>648.07474280928136</v>
      </c>
      <c r="FA289" s="4">
        <f>5.25*25.4</f>
        <v>133.35</v>
      </c>
      <c r="FG289" s="23">
        <f t="shared" si="878"/>
        <v>1.8</v>
      </c>
      <c r="FH289" s="23">
        <f t="shared" si="878"/>
        <v>1.2</v>
      </c>
      <c r="FI289" s="23">
        <f t="shared" si="818"/>
        <v>1.2</v>
      </c>
      <c r="FJ289" s="23">
        <f t="shared" si="879"/>
        <v>2.2000000000000002</v>
      </c>
      <c r="FK289" s="23">
        <f t="shared" si="879"/>
        <v>1</v>
      </c>
      <c r="FL289" s="23">
        <f t="shared" si="879"/>
        <v>1</v>
      </c>
      <c r="FM289" s="23">
        <f t="shared" si="807"/>
        <v>0</v>
      </c>
      <c r="FN289" s="23"/>
      <c r="FX289" s="4">
        <f t="shared" si="915"/>
        <v>1</v>
      </c>
      <c r="FY289" s="4">
        <f t="shared" si="975"/>
        <v>0.5</v>
      </c>
      <c r="FZ289" s="4">
        <f t="shared" si="916"/>
        <v>0</v>
      </c>
      <c r="GA289" s="4">
        <f t="shared" si="917"/>
        <v>556.79323057976319</v>
      </c>
    </row>
    <row r="290" spans="1:183" ht="12" customHeight="1" x14ac:dyDescent="0.3">
      <c r="A290" s="25">
        <v>272</v>
      </c>
      <c r="B290" s="4" t="s">
        <v>605</v>
      </c>
      <c r="C290" s="4">
        <v>2016</v>
      </c>
      <c r="D290" s="4" t="s">
        <v>309</v>
      </c>
      <c r="E290" s="24" t="s">
        <v>666</v>
      </c>
      <c r="F290" s="48" t="s">
        <v>430</v>
      </c>
      <c r="G290" s="38">
        <f t="shared" si="989"/>
        <v>799.31034482758628</v>
      </c>
      <c r="H290" s="38">
        <f>14.13*25.4</f>
        <v>358.90199999999999</v>
      </c>
      <c r="I290" s="4">
        <f t="shared" si="850"/>
        <v>358.90199999999999</v>
      </c>
      <c r="J290" s="38">
        <f t="shared" si="990"/>
        <v>37.931034482758619</v>
      </c>
      <c r="K290" s="38">
        <f t="shared" si="851"/>
        <v>25.4</v>
      </c>
      <c r="L290" s="7">
        <f t="shared" si="852"/>
        <v>14.13</v>
      </c>
      <c r="M290" s="7">
        <f t="shared" si="853"/>
        <v>14.13</v>
      </c>
      <c r="N290" s="38">
        <f>17*25.4</f>
        <v>431.79999999999995</v>
      </c>
      <c r="O290" s="38">
        <f t="shared" si="980"/>
        <v>63.5</v>
      </c>
      <c r="P290" s="39">
        <f>3.35*25.4</f>
        <v>85.09</v>
      </c>
      <c r="Q290" s="7">
        <f t="shared" si="854"/>
        <v>253.99999999999994</v>
      </c>
      <c r="R290" s="38">
        <v>2</v>
      </c>
      <c r="S290" s="4">
        <f t="shared" si="826"/>
        <v>260.34999999999997</v>
      </c>
      <c r="T290" s="7">
        <f t="shared" si="855"/>
        <v>3</v>
      </c>
      <c r="U290" s="7">
        <f t="shared" si="958"/>
        <v>3</v>
      </c>
      <c r="V290" s="38">
        <v>4.5</v>
      </c>
      <c r="W290" s="4">
        <f t="shared" si="856"/>
        <v>4.5</v>
      </c>
      <c r="X290" s="4">
        <f t="shared" si="857"/>
        <v>5.5</v>
      </c>
      <c r="Y290" s="7">
        <f t="shared" si="858"/>
        <v>59.568280149757555</v>
      </c>
      <c r="AB290" s="38">
        <f t="shared" si="885"/>
        <v>742.06896551724139</v>
      </c>
      <c r="AC290" s="4">
        <v>107.6</v>
      </c>
      <c r="AD290" s="4">
        <f t="shared" si="740"/>
        <v>0.96668345094347008</v>
      </c>
      <c r="AE290" s="38">
        <v>0</v>
      </c>
      <c r="AF290" s="38">
        <v>0</v>
      </c>
      <c r="AG290" s="39">
        <f t="shared" si="991"/>
        <v>358.90199999999999</v>
      </c>
      <c r="AH290" s="39"/>
      <c r="AI290" s="39"/>
      <c r="AJ290" s="7"/>
      <c r="AK290" s="4">
        <f t="shared" si="859"/>
        <v>358.90199999999999</v>
      </c>
      <c r="AL290" s="4">
        <f t="shared" si="779"/>
        <v>0.40103798065581497</v>
      </c>
      <c r="AM290" s="4">
        <f t="shared" si="780"/>
        <v>413.21288083953738</v>
      </c>
      <c r="AN290" s="4">
        <f t="shared" si="781"/>
        <v>0.74246284501061566</v>
      </c>
      <c r="AO290" s="4">
        <v>1.25</v>
      </c>
      <c r="AP290" s="4">
        <f t="shared" si="933"/>
        <v>2.5</v>
      </c>
      <c r="AQ290" s="38">
        <f t="shared" si="827"/>
        <v>384.48916229901221</v>
      </c>
      <c r="AR290" s="38">
        <f t="shared" si="783"/>
        <v>384.48916229901221</v>
      </c>
      <c r="AS290" s="38">
        <f t="shared" si="784"/>
        <v>3.3867596705239982</v>
      </c>
      <c r="AT290" s="38">
        <f t="shared" si="940"/>
        <v>384.48916229901232</v>
      </c>
      <c r="AU290" s="38">
        <f t="shared" si="910"/>
        <v>0.99999999999999967</v>
      </c>
      <c r="AV290" s="38">
        <f t="shared" si="941"/>
        <v>1.2556485278192955</v>
      </c>
      <c r="AW290" s="4">
        <f t="shared" si="942"/>
        <v>0</v>
      </c>
      <c r="AX290" s="4">
        <f t="shared" si="860"/>
        <v>458.02154198878122</v>
      </c>
      <c r="AY290" s="4">
        <f t="shared" si="828"/>
        <v>1</v>
      </c>
      <c r="AZ290" s="38">
        <f t="shared" si="953"/>
        <v>482.78325060322902</v>
      </c>
      <c r="BA290" s="4">
        <f t="shared" si="829"/>
        <v>0.37</v>
      </c>
      <c r="BB290" s="4">
        <f t="shared" si="830"/>
        <v>88.547014604981115</v>
      </c>
      <c r="BC290" s="4">
        <f t="shared" si="831"/>
        <v>571.33026520821011</v>
      </c>
      <c r="BE290" s="4">
        <f t="shared" si="934"/>
        <v>1.375</v>
      </c>
      <c r="BF290" s="4">
        <f t="shared" si="935"/>
        <v>613.02561037992609</v>
      </c>
      <c r="BH290" s="4">
        <f t="shared" si="959"/>
        <v>463.04817787283525</v>
      </c>
      <c r="BI290" s="4">
        <f t="shared" si="905"/>
        <v>0</v>
      </c>
      <c r="BJ290" s="4">
        <f t="shared" si="960"/>
        <v>0</v>
      </c>
      <c r="BK290" s="4">
        <f t="shared" si="785"/>
        <v>63.5</v>
      </c>
      <c r="BL290" s="4">
        <f t="shared" si="786"/>
        <v>63.5</v>
      </c>
      <c r="BM290" s="4">
        <f t="shared" si="787"/>
        <v>260.34999999999997</v>
      </c>
      <c r="BN290" s="4">
        <f t="shared" si="788"/>
        <v>76.2</v>
      </c>
      <c r="BO290" s="4">
        <f t="shared" si="789"/>
        <v>1.25</v>
      </c>
      <c r="BP290" s="25">
        <f t="shared" si="790"/>
        <v>3.75</v>
      </c>
      <c r="BR290" s="4">
        <f t="shared" si="832"/>
        <v>63.5</v>
      </c>
      <c r="BV290" s="9"/>
      <c r="BX290" s="9"/>
      <c r="BY290" s="9"/>
      <c r="BZ290" s="9">
        <f t="shared" si="833"/>
        <v>63.5</v>
      </c>
      <c r="CA290" s="9">
        <f t="shared" si="834"/>
        <v>126.99999999999997</v>
      </c>
      <c r="CB290" s="9">
        <f t="shared" si="943"/>
        <v>1.7543833769624846</v>
      </c>
      <c r="CC290" s="40">
        <f t="shared" si="861"/>
        <v>20</v>
      </c>
      <c r="CD290" s="9">
        <f t="shared" si="835"/>
        <v>0</v>
      </c>
      <c r="CE290" s="9">
        <f t="shared" si="836"/>
        <v>0</v>
      </c>
      <c r="CF290" s="9">
        <f t="shared" si="837"/>
        <v>0.99524931562137331</v>
      </c>
      <c r="CG290" s="9">
        <f t="shared" si="838"/>
        <v>0.68048275862068963</v>
      </c>
      <c r="CH290" s="9">
        <f t="shared" si="944"/>
        <v>1.4598707313117956</v>
      </c>
      <c r="CI290" s="9">
        <f t="shared" si="945"/>
        <v>2.5611729435274797</v>
      </c>
      <c r="CJ290" s="40">
        <v>1</v>
      </c>
      <c r="CK290" s="9">
        <f t="shared" si="946"/>
        <v>298.42787137982191</v>
      </c>
      <c r="CM290" s="4">
        <f t="shared" si="839"/>
        <v>1.6201617118162046</v>
      </c>
      <c r="CN290" s="4">
        <f t="shared" si="840"/>
        <v>1.2988441374566582</v>
      </c>
      <c r="CO290" s="4">
        <f t="shared" si="814"/>
        <v>1.2105023884032184</v>
      </c>
      <c r="CP290" s="4">
        <f t="shared" si="841"/>
        <v>2.4865940372331328</v>
      </c>
      <c r="CQ290" s="4">
        <f t="shared" si="800"/>
        <v>0.96668345094347008</v>
      </c>
      <c r="CR290" s="4">
        <f t="shared" si="801"/>
        <v>1.0425960964081298</v>
      </c>
      <c r="CS290" s="4">
        <f t="shared" si="815"/>
        <v>1.0611106737887328</v>
      </c>
      <c r="CT290" s="4">
        <f t="shared" si="862"/>
        <v>0</v>
      </c>
      <c r="CU290" s="4">
        <f t="shared" si="985"/>
        <v>1.6201617118162046</v>
      </c>
      <c r="CV290" s="4">
        <f t="shared" si="985"/>
        <v>1.2988441374566582</v>
      </c>
      <c r="CW290" s="4">
        <f t="shared" si="986"/>
        <v>2.4865940372331328</v>
      </c>
      <c r="CX290" s="4">
        <f t="shared" si="987"/>
        <v>1.0611106737887328</v>
      </c>
      <c r="CY290" s="4">
        <f t="shared" si="988"/>
        <v>0.96668345094347008</v>
      </c>
      <c r="CZ290" s="4">
        <f t="shared" si="988"/>
        <v>1.0425960964081298</v>
      </c>
      <c r="DI290" s="4">
        <f t="shared" si="846"/>
        <v>358.90199999999999</v>
      </c>
      <c r="DL290" s="4">
        <f t="shared" si="756"/>
        <v>2.6653631830456028E-5</v>
      </c>
      <c r="DM290" s="4">
        <f t="shared" si="757"/>
        <v>7.7815993963460848</v>
      </c>
      <c r="DN290" s="4">
        <f t="shared" si="758"/>
        <v>0.52210618708235812</v>
      </c>
      <c r="DO290" s="4">
        <f t="shared" si="759"/>
        <v>6.0002922699225048</v>
      </c>
      <c r="DP290" s="4">
        <f t="shared" si="760"/>
        <v>6.948360182979834</v>
      </c>
      <c r="DQ290" s="4">
        <f t="shared" si="761"/>
        <v>6.900759858455694</v>
      </c>
      <c r="DR290" s="38">
        <f t="shared" si="791"/>
        <v>767.64422189393235</v>
      </c>
      <c r="DS290" s="4">
        <f t="shared" si="762"/>
        <v>1.0001188280509947</v>
      </c>
      <c r="DT290" s="4">
        <f t="shared" si="763"/>
        <v>2.3452078799117149</v>
      </c>
      <c r="DU290" s="4">
        <f t="shared" si="764"/>
        <v>384.48916229901232</v>
      </c>
      <c r="DY290" s="4">
        <f t="shared" si="765"/>
        <v>0.85</v>
      </c>
      <c r="DZ290" s="4">
        <f t="shared" si="766"/>
        <v>0.85</v>
      </c>
      <c r="EA290" s="4">
        <f t="shared" si="792"/>
        <v>1</v>
      </c>
      <c r="EB290" s="4">
        <f t="shared" si="767"/>
        <v>0.85</v>
      </c>
      <c r="ED290" s="4">
        <f t="shared" si="793"/>
        <v>711.75114512106757</v>
      </c>
      <c r="EE290" s="25">
        <f t="shared" si="794"/>
        <v>381.889146709957</v>
      </c>
      <c r="EG290" s="4">
        <f t="shared" si="932"/>
        <v>0.72249999999999992</v>
      </c>
      <c r="EH290" s="4">
        <f t="shared" si="795"/>
        <v>7.7815993963460848</v>
      </c>
      <c r="EK290" s="4">
        <f t="shared" si="768"/>
        <v>59.568280149757555</v>
      </c>
      <c r="EL290" s="4">
        <f t="shared" si="769"/>
        <v>2.3452078799117149</v>
      </c>
      <c r="EM290" s="4">
        <f t="shared" si="770"/>
        <v>0.1758293816359745</v>
      </c>
      <c r="EP290" s="4">
        <f t="shared" si="863"/>
        <v>0.1758293816359745</v>
      </c>
      <c r="EQ290" s="4">
        <f t="shared" si="951"/>
        <v>0.52123488916348304</v>
      </c>
      <c r="ER290" s="4">
        <f t="shared" si="772"/>
        <v>5.9962849150837112</v>
      </c>
      <c r="ES290" s="4">
        <f t="shared" si="847"/>
        <v>6.9466311616095533</v>
      </c>
      <c r="ET290" s="4">
        <f t="shared" si="774"/>
        <v>209.60821985024242</v>
      </c>
      <c r="EU290" s="4">
        <f t="shared" si="775"/>
        <v>89.725500000000039</v>
      </c>
      <c r="EV290" s="4">
        <f t="shared" si="952"/>
        <v>2.6653631830456038E-5</v>
      </c>
      <c r="EW290" s="4">
        <f t="shared" si="848"/>
        <v>6.9010046602592654</v>
      </c>
      <c r="EX290" s="4">
        <f t="shared" si="965"/>
        <v>767.55301506511705</v>
      </c>
      <c r="FA290" s="4">
        <f>5.25*25.4</f>
        <v>133.35</v>
      </c>
      <c r="FG290" s="23">
        <f t="shared" si="878"/>
        <v>1.8</v>
      </c>
      <c r="FH290" s="23">
        <f t="shared" si="878"/>
        <v>1.4</v>
      </c>
      <c r="FI290" s="23">
        <f t="shared" si="818"/>
        <v>1.2</v>
      </c>
      <c r="FJ290" s="23">
        <f t="shared" si="879"/>
        <v>2.2000000000000002</v>
      </c>
      <c r="FK290" s="23">
        <f t="shared" si="879"/>
        <v>1</v>
      </c>
      <c r="FL290" s="23">
        <f t="shared" si="879"/>
        <v>1.2</v>
      </c>
      <c r="FM290" s="23">
        <f t="shared" si="807"/>
        <v>0</v>
      </c>
      <c r="FN290" s="23"/>
      <c r="FX290" s="4">
        <f t="shared" si="915"/>
        <v>1</v>
      </c>
      <c r="FY290" s="4">
        <f t="shared" si="975"/>
        <v>0.5</v>
      </c>
      <c r="FZ290" s="4">
        <f t="shared" si="916"/>
        <v>0</v>
      </c>
      <c r="GA290" s="4">
        <f t="shared" si="917"/>
        <v>699.33229760818267</v>
      </c>
    </row>
    <row r="291" spans="1:183" ht="12" customHeight="1" x14ac:dyDescent="0.3">
      <c r="A291" s="25">
        <v>273</v>
      </c>
      <c r="B291" s="4" t="s">
        <v>605</v>
      </c>
      <c r="C291" s="4">
        <v>2016</v>
      </c>
      <c r="D291" s="4" t="s">
        <v>309</v>
      </c>
      <c r="E291" s="24" t="s">
        <v>666</v>
      </c>
      <c r="F291" s="7" t="s">
        <v>431</v>
      </c>
      <c r="G291" s="38">
        <f t="shared" si="989"/>
        <v>799.31034482758628</v>
      </c>
      <c r="H291" s="38">
        <f>9.13*25.4</f>
        <v>231.90200000000002</v>
      </c>
      <c r="I291" s="4">
        <f t="shared" si="850"/>
        <v>231.90200000000002</v>
      </c>
      <c r="J291" s="38">
        <f>5750/145</f>
        <v>39.655172413793103</v>
      </c>
      <c r="K291" s="38">
        <f t="shared" si="851"/>
        <v>25.4</v>
      </c>
      <c r="L291" s="7">
        <f t="shared" si="852"/>
        <v>9.1300000000000008</v>
      </c>
      <c r="M291" s="7">
        <f t="shared" si="853"/>
        <v>9.1300000000000008</v>
      </c>
      <c r="N291" s="38">
        <f>17.5*25.4</f>
        <v>444.5</v>
      </c>
      <c r="O291" s="38">
        <f>2.65*25.4</f>
        <v>67.309999999999988</v>
      </c>
      <c r="P291" s="39">
        <f>3.15*25.4</f>
        <v>80.009999999999991</v>
      </c>
      <c r="Q291" s="7">
        <f t="shared" si="854"/>
        <v>259.08000000000004</v>
      </c>
      <c r="R291" s="38">
        <v>2</v>
      </c>
      <c r="S291" s="4">
        <f t="shared" si="826"/>
        <v>260.34999999999997</v>
      </c>
      <c r="T291" s="7">
        <f t="shared" si="855"/>
        <v>3.1499999999999995</v>
      </c>
      <c r="U291" s="7">
        <f t="shared" si="958"/>
        <v>3.1499999999999995</v>
      </c>
      <c r="V291" s="38">
        <v>6.5</v>
      </c>
      <c r="W291" s="4">
        <f t="shared" si="856"/>
        <v>6.5</v>
      </c>
      <c r="X291" s="4">
        <f t="shared" si="857"/>
        <v>7.5</v>
      </c>
      <c r="Y291" s="7">
        <f t="shared" si="858"/>
        <v>69.56076480315609</v>
      </c>
      <c r="AB291" s="38">
        <f t="shared" si="885"/>
        <v>553.10344827586209</v>
      </c>
      <c r="AC291" s="4">
        <v>80.2</v>
      </c>
      <c r="AD291" s="4">
        <f t="shared" si="740"/>
        <v>0.92467198904083814</v>
      </c>
      <c r="AE291" s="38">
        <f>0.5*25.4</f>
        <v>12.7</v>
      </c>
      <c r="AF291" s="38">
        <v>4</v>
      </c>
      <c r="AG291" s="39">
        <f>5.5*25.4</f>
        <v>139.69999999999999</v>
      </c>
      <c r="AH291" s="39">
        <v>1</v>
      </c>
      <c r="AI291" s="39">
        <v>1</v>
      </c>
      <c r="AJ291" s="7"/>
      <c r="AK291" s="4">
        <f t="shared" si="859"/>
        <v>231.90200000000002</v>
      </c>
      <c r="AL291" s="4">
        <f t="shared" si="779"/>
        <v>0.63891931361810872</v>
      </c>
      <c r="AM291" s="4">
        <f t="shared" si="780"/>
        <v>219.44179758495289</v>
      </c>
      <c r="AN291" s="4">
        <f t="shared" si="781"/>
        <v>0.76900328587075573</v>
      </c>
      <c r="AO291" s="4">
        <v>1.25</v>
      </c>
      <c r="AP291" s="4">
        <f t="shared" si="933"/>
        <v>2.5</v>
      </c>
      <c r="AQ291" s="38">
        <f t="shared" si="827"/>
        <v>336.933028649113</v>
      </c>
      <c r="AR291" s="38">
        <f t="shared" si="783"/>
        <v>336.933028649113</v>
      </c>
      <c r="AS291" s="38">
        <f t="shared" si="784"/>
        <v>3.4886265610899732</v>
      </c>
      <c r="AT291" s="38">
        <f t="shared" si="940"/>
        <v>336.93302864911328</v>
      </c>
      <c r="AU291" s="38">
        <f t="shared" si="910"/>
        <v>0.99999999999999911</v>
      </c>
      <c r="AV291" s="38">
        <f t="shared" si="941"/>
        <v>1.8903990241179067</v>
      </c>
      <c r="AW291" s="4">
        <f t="shared" si="942"/>
        <v>0</v>
      </c>
      <c r="AX291" s="4">
        <f t="shared" si="860"/>
        <v>302.59872779955452</v>
      </c>
      <c r="AY291" s="4">
        <f t="shared" si="828"/>
        <v>1</v>
      </c>
      <c r="AZ291" s="38">
        <f t="shared" si="953"/>
        <v>636.93786855137444</v>
      </c>
      <c r="BA291" s="4">
        <f t="shared" si="829"/>
        <v>0.3</v>
      </c>
      <c r="BB291" s="4">
        <f t="shared" si="830"/>
        <v>47.432350582580163</v>
      </c>
      <c r="BC291" s="4">
        <f t="shared" si="831"/>
        <v>684.37021913395461</v>
      </c>
      <c r="BE291" s="4">
        <f t="shared" si="934"/>
        <v>1.5</v>
      </c>
      <c r="BF291" s="4">
        <f t="shared" si="935"/>
        <v>542.09750073370026</v>
      </c>
      <c r="BH291" s="4">
        <f t="shared" si="959"/>
        <v>610.90130836645233</v>
      </c>
      <c r="BI291" s="4">
        <f t="shared" si="905"/>
        <v>0</v>
      </c>
      <c r="BJ291" s="4">
        <f t="shared" si="960"/>
        <v>0</v>
      </c>
      <c r="BK291" s="4">
        <f t="shared" si="785"/>
        <v>67.309999999999988</v>
      </c>
      <c r="BL291" s="4">
        <f t="shared" si="786"/>
        <v>67.309999999999988</v>
      </c>
      <c r="BM291" s="4">
        <f t="shared" si="787"/>
        <v>260.34999999999997</v>
      </c>
      <c r="BN291" s="4">
        <f t="shared" si="788"/>
        <v>80.009999999999991</v>
      </c>
      <c r="BO291" s="4">
        <f t="shared" si="789"/>
        <v>1.25</v>
      </c>
      <c r="BP291" s="25">
        <f t="shared" si="790"/>
        <v>4</v>
      </c>
      <c r="BR291" s="4">
        <f t="shared" si="832"/>
        <v>67.309999999999988</v>
      </c>
      <c r="BV291" s="9"/>
      <c r="BX291" s="9"/>
      <c r="BY291" s="9"/>
      <c r="BZ291" s="9">
        <f t="shared" si="833"/>
        <v>67.309999999999988</v>
      </c>
      <c r="CA291" s="9">
        <f t="shared" si="834"/>
        <v>129.54000000000002</v>
      </c>
      <c r="CB291" s="9">
        <f t="shared" si="943"/>
        <v>1.7958562989508591</v>
      </c>
      <c r="CC291" s="40">
        <f t="shared" si="861"/>
        <v>20</v>
      </c>
      <c r="CD291" s="9">
        <f t="shared" si="835"/>
        <v>0.05</v>
      </c>
      <c r="CE291" s="9">
        <f t="shared" si="836"/>
        <v>0.8</v>
      </c>
      <c r="CF291" s="9">
        <f t="shared" si="837"/>
        <v>0.99524931562137331</v>
      </c>
      <c r="CG291" s="9">
        <f t="shared" si="838"/>
        <v>0.68048275862068963</v>
      </c>
      <c r="CH291" s="9">
        <f t="shared" si="944"/>
        <v>1.4926809118196944</v>
      </c>
      <c r="CI291" s="9">
        <f t="shared" si="945"/>
        <v>3.7317022795492361</v>
      </c>
      <c r="CJ291" s="40">
        <v>1</v>
      </c>
      <c r="CK291" s="9">
        <f t="shared" si="946"/>
        <v>360.18390402209229</v>
      </c>
      <c r="CM291" s="4">
        <f t="shared" si="839"/>
        <v>1.82784459240108</v>
      </c>
      <c r="CN291" s="4">
        <f t="shared" si="840"/>
        <v>0.80819333280719641</v>
      </c>
      <c r="CO291" s="4">
        <f t="shared" si="814"/>
        <v>1.0203025240427521</v>
      </c>
      <c r="CP291" s="4">
        <f t="shared" si="841"/>
        <v>1.5356140074541944</v>
      </c>
      <c r="CQ291" s="4">
        <f t="shared" si="800"/>
        <v>0.92467198904083814</v>
      </c>
      <c r="CR291" s="4">
        <f t="shared" si="801"/>
        <v>0.96545639129394512</v>
      </c>
      <c r="CS291" s="4">
        <f t="shared" si="815"/>
        <v>1.085175517695939</v>
      </c>
      <c r="CT291" s="4">
        <f t="shared" si="862"/>
        <v>4</v>
      </c>
      <c r="DA291" s="4">
        <f t="shared" ref="DA291:DB298" si="992">CM291</f>
        <v>1.82784459240108</v>
      </c>
      <c r="DB291" s="4">
        <f t="shared" si="992"/>
        <v>0.80819333280719641</v>
      </c>
      <c r="DC291" s="4">
        <f t="shared" ref="DC291:DC298" si="993">CP291</f>
        <v>1.5356140074541944</v>
      </c>
      <c r="DD291" s="4">
        <f t="shared" ref="DD291:DD298" si="994">CS291</f>
        <v>1.085175517695939</v>
      </c>
      <c r="DE291" s="4">
        <f t="shared" ref="DE291:DF298" si="995">CQ291</f>
        <v>0.92467198904083814</v>
      </c>
      <c r="DF291" s="4">
        <f t="shared" si="995"/>
        <v>0.96545639129394512</v>
      </c>
      <c r="DI291" s="4">
        <f t="shared" si="846"/>
        <v>231.90200000000002</v>
      </c>
      <c r="DL291" s="4">
        <f t="shared" si="756"/>
        <v>1.7421370946555192E-5</v>
      </c>
      <c r="DM291" s="4">
        <f t="shared" si="757"/>
        <v>8.7561292633881198</v>
      </c>
      <c r="DN291" s="4">
        <f t="shared" si="758"/>
        <v>0.35380308194526749</v>
      </c>
      <c r="DO291" s="4">
        <f t="shared" si="759"/>
        <v>5.7785225040000663</v>
      </c>
      <c r="DP291" s="4">
        <f t="shared" si="760"/>
        <v>7.4188687743172457</v>
      </c>
      <c r="DQ291" s="4">
        <f t="shared" si="761"/>
        <v>8.3236620530493592</v>
      </c>
      <c r="DR291" s="38">
        <f t="shared" si="791"/>
        <v>598.16178583455962</v>
      </c>
      <c r="DS291" s="4">
        <f t="shared" si="762"/>
        <v>1.0001099197196661</v>
      </c>
      <c r="DT291" s="4">
        <f t="shared" si="763"/>
        <v>2.7386127875258306</v>
      </c>
      <c r="DU291" s="4">
        <f t="shared" si="764"/>
        <v>336.93302864911328</v>
      </c>
      <c r="DY291" s="4">
        <f t="shared" si="765"/>
        <v>0.85</v>
      </c>
      <c r="DZ291" s="4">
        <f t="shared" si="766"/>
        <v>0.83499999999999996</v>
      </c>
      <c r="EA291" s="4">
        <f t="shared" si="792"/>
        <v>0.92500000000000004</v>
      </c>
      <c r="EB291" s="4">
        <f t="shared" si="767"/>
        <v>0.77237500000000003</v>
      </c>
      <c r="ED291" s="4">
        <f t="shared" si="793"/>
        <v>572.89324848175659</v>
      </c>
      <c r="EE291" s="25">
        <f t="shared" si="794"/>
        <v>333.06286795755597</v>
      </c>
      <c r="EG291" s="4">
        <f t="shared" si="932"/>
        <v>0.65651875000000004</v>
      </c>
      <c r="EH291" s="4">
        <f t="shared" si="795"/>
        <v>8.7561292633881198</v>
      </c>
      <c r="EK291" s="4">
        <f t="shared" si="768"/>
        <v>69.56076480315609</v>
      </c>
      <c r="EL291" s="4">
        <f t="shared" si="769"/>
        <v>2.7386127875258306</v>
      </c>
      <c r="EM291" s="4">
        <f t="shared" si="770"/>
        <v>0.12182791126514832</v>
      </c>
      <c r="EP291" s="4">
        <f t="shared" si="863"/>
        <v>0.12182791126514832</v>
      </c>
      <c r="EQ291" s="4">
        <f t="shared" si="951"/>
        <v>0.35321265054143147</v>
      </c>
      <c r="ER291" s="4">
        <f t="shared" si="772"/>
        <v>5.7746632603039609</v>
      </c>
      <c r="ES291" s="4">
        <f t="shared" si="847"/>
        <v>7.4173695936807951</v>
      </c>
      <c r="ET291" s="4">
        <f t="shared" si="774"/>
        <v>104.36573519684391</v>
      </c>
      <c r="EU291" s="4">
        <f t="shared" si="775"/>
        <v>57.975499999999997</v>
      </c>
      <c r="EV291" s="4">
        <f t="shared" si="952"/>
        <v>1.7421370946555189E-5</v>
      </c>
      <c r="EW291" s="4">
        <f t="shared" si="848"/>
        <v>8.3237905529090828</v>
      </c>
      <c r="EX291" s="4">
        <f t="shared" si="965"/>
        <v>598.09604328514831</v>
      </c>
      <c r="FG291" s="23">
        <f t="shared" si="878"/>
        <v>2</v>
      </c>
      <c r="FH291" s="23">
        <f t="shared" si="878"/>
        <v>1</v>
      </c>
      <c r="FI291" s="23">
        <f t="shared" si="818"/>
        <v>1.2</v>
      </c>
      <c r="FJ291" s="23">
        <f t="shared" si="879"/>
        <v>1.6</v>
      </c>
      <c r="FK291" s="23">
        <f t="shared" si="879"/>
        <v>1</v>
      </c>
      <c r="FL291" s="23">
        <f t="shared" si="879"/>
        <v>1</v>
      </c>
      <c r="FM291" s="23">
        <f t="shared" si="807"/>
        <v>0</v>
      </c>
      <c r="FN291" s="23"/>
      <c r="FX291" s="4">
        <f t="shared" si="915"/>
        <v>1</v>
      </c>
      <c r="FY291" s="4">
        <f t="shared" si="975"/>
        <v>0.4482312338222606</v>
      </c>
      <c r="FZ291" s="4">
        <f t="shared" si="916"/>
        <v>0.25</v>
      </c>
      <c r="GA291" s="4">
        <f t="shared" si="917"/>
        <v>509.69031207985563</v>
      </c>
    </row>
    <row r="292" spans="1:183" ht="12" customHeight="1" x14ac:dyDescent="0.3">
      <c r="A292" s="25">
        <v>274</v>
      </c>
      <c r="B292" s="4" t="s">
        <v>605</v>
      </c>
      <c r="C292" s="4">
        <v>2016</v>
      </c>
      <c r="D292" s="4" t="s">
        <v>309</v>
      </c>
      <c r="E292" s="24" t="s">
        <v>666</v>
      </c>
      <c r="F292" s="7" t="s">
        <v>432</v>
      </c>
      <c r="G292" s="38">
        <f t="shared" si="989"/>
        <v>799.31034482758628</v>
      </c>
      <c r="H292" s="38">
        <f>12.31*25.4</f>
        <v>312.67399999999998</v>
      </c>
      <c r="I292" s="4">
        <f t="shared" si="850"/>
        <v>312.67399999999998</v>
      </c>
      <c r="J292" s="38">
        <f>5750/145</f>
        <v>39.655172413793103</v>
      </c>
      <c r="K292" s="38">
        <f t="shared" si="851"/>
        <v>25.4</v>
      </c>
      <c r="L292" s="7">
        <f t="shared" si="852"/>
        <v>12.31</v>
      </c>
      <c r="M292" s="7">
        <f t="shared" si="853"/>
        <v>12.31</v>
      </c>
      <c r="N292" s="38">
        <f>16.9*25.4</f>
        <v>429.25999999999993</v>
      </c>
      <c r="O292" s="38">
        <f>2.45*25.4</f>
        <v>62.230000000000004</v>
      </c>
      <c r="P292" s="39">
        <f>3*25.4</f>
        <v>76.199999999999989</v>
      </c>
      <c r="Q292" s="7">
        <f t="shared" si="854"/>
        <v>253.99999999999991</v>
      </c>
      <c r="R292" s="38">
        <v>2</v>
      </c>
      <c r="S292" s="4">
        <f t="shared" si="826"/>
        <v>260.34999999999997</v>
      </c>
      <c r="T292" s="7">
        <f t="shared" si="855"/>
        <v>2.95</v>
      </c>
      <c r="U292" s="7">
        <f t="shared" si="958"/>
        <v>2.95</v>
      </c>
      <c r="V292" s="38">
        <v>6.5</v>
      </c>
      <c r="W292" s="4">
        <f t="shared" si="856"/>
        <v>6.5</v>
      </c>
      <c r="X292" s="4">
        <f t="shared" si="857"/>
        <v>7.5</v>
      </c>
      <c r="Y292" s="7">
        <f t="shared" si="858"/>
        <v>69.56076480315609</v>
      </c>
      <c r="AB292" s="38">
        <f t="shared" si="885"/>
        <v>750.34482758620697</v>
      </c>
      <c r="AC292" s="4">
        <v>108.8</v>
      </c>
      <c r="AD292" s="4">
        <f t="shared" si="740"/>
        <v>1.0457977173215069</v>
      </c>
      <c r="AE292" s="38">
        <f t="shared" ref="AE292:AE298" si="996">0.5*25.4</f>
        <v>12.7</v>
      </c>
      <c r="AF292" s="38">
        <v>4</v>
      </c>
      <c r="AG292" s="39">
        <f t="shared" ref="AG292:AG294" si="997">5.5*25.4</f>
        <v>139.69999999999999</v>
      </c>
      <c r="AH292" s="39">
        <v>1</v>
      </c>
      <c r="AI292" s="39">
        <v>1</v>
      </c>
      <c r="AJ292" s="7"/>
      <c r="AK292" s="4">
        <f t="shared" si="859"/>
        <v>312.67399999999998</v>
      </c>
      <c r="AL292" s="4">
        <f t="shared" si="779"/>
        <v>0.45762252910912532</v>
      </c>
      <c r="AM292" s="4">
        <f t="shared" si="780"/>
        <v>343.55815775866921</v>
      </c>
      <c r="AN292" s="4">
        <f t="shared" si="781"/>
        <v>0.74792851340373678</v>
      </c>
      <c r="AO292" s="4">
        <v>1.25</v>
      </c>
      <c r="AP292" s="4">
        <f t="shared" si="933"/>
        <v>2.5</v>
      </c>
      <c r="AQ292" s="38">
        <f t="shared" si="827"/>
        <v>367.46651800558806</v>
      </c>
      <c r="AR292" s="38">
        <f t="shared" si="783"/>
        <v>367.46651800558806</v>
      </c>
      <c r="AS292" s="38">
        <f t="shared" si="784"/>
        <v>3.4886265610899732</v>
      </c>
      <c r="AT292" s="38">
        <f t="shared" si="940"/>
        <v>367.46651800558817</v>
      </c>
      <c r="AU292" s="38">
        <f t="shared" si="910"/>
        <v>0.99999999999999967</v>
      </c>
      <c r="AV292" s="38">
        <f t="shared" si="941"/>
        <v>1.6232699844281868</v>
      </c>
      <c r="AW292" s="4">
        <f t="shared" si="942"/>
        <v>0</v>
      </c>
      <c r="AX292" s="4">
        <f t="shared" si="860"/>
        <v>407.99456070235658</v>
      </c>
      <c r="AY292" s="4">
        <f t="shared" si="828"/>
        <v>1</v>
      </c>
      <c r="AZ292" s="38">
        <f t="shared" si="953"/>
        <v>596.49736896081117</v>
      </c>
      <c r="BA292" s="4">
        <f t="shared" si="829"/>
        <v>0.3</v>
      </c>
      <c r="BB292" s="4">
        <f t="shared" si="830"/>
        <v>63.953147390094387</v>
      </c>
      <c r="BC292" s="4">
        <f t="shared" si="831"/>
        <v>660.45051635090556</v>
      </c>
      <c r="BE292" s="4">
        <f t="shared" si="934"/>
        <v>1.5</v>
      </c>
      <c r="BF292" s="4">
        <f t="shared" si="935"/>
        <v>632.21093786559618</v>
      </c>
      <c r="BH292" s="4">
        <f t="shared" si="959"/>
        <v>572.11392370826502</v>
      </c>
      <c r="BI292" s="4">
        <f t="shared" si="905"/>
        <v>0</v>
      </c>
      <c r="BJ292" s="4">
        <f t="shared" si="960"/>
        <v>0</v>
      </c>
      <c r="BK292" s="4">
        <f t="shared" si="785"/>
        <v>62.230000000000004</v>
      </c>
      <c r="BL292" s="4">
        <f t="shared" si="786"/>
        <v>62.230000000000004</v>
      </c>
      <c r="BM292" s="4">
        <f t="shared" si="787"/>
        <v>260.34999999999997</v>
      </c>
      <c r="BN292" s="4">
        <f t="shared" si="788"/>
        <v>74.930000000000007</v>
      </c>
      <c r="BO292" s="4">
        <f t="shared" si="789"/>
        <v>1.25</v>
      </c>
      <c r="BP292" s="25">
        <f t="shared" si="790"/>
        <v>4</v>
      </c>
      <c r="BR292" s="4">
        <f t="shared" si="832"/>
        <v>62.230000000000004</v>
      </c>
      <c r="BV292" s="9"/>
      <c r="BX292" s="9"/>
      <c r="BY292" s="9"/>
      <c r="BZ292" s="9">
        <f t="shared" si="833"/>
        <v>62.230000000000004</v>
      </c>
      <c r="CA292" s="9">
        <f t="shared" si="834"/>
        <v>126.99999999999996</v>
      </c>
      <c r="CB292" s="9">
        <f t="shared" si="943"/>
        <v>1.7420219790042637</v>
      </c>
      <c r="CC292" s="40">
        <f t="shared" si="861"/>
        <v>20</v>
      </c>
      <c r="CD292" s="9">
        <f t="shared" si="835"/>
        <v>0.05</v>
      </c>
      <c r="CE292" s="9">
        <f t="shared" si="836"/>
        <v>0.8</v>
      </c>
      <c r="CF292" s="9">
        <f t="shared" si="837"/>
        <v>0.99524931562137331</v>
      </c>
      <c r="CG292" s="9">
        <f t="shared" si="838"/>
        <v>0.68048275862068963</v>
      </c>
      <c r="CH292" s="9">
        <f t="shared" si="944"/>
        <v>1.4926809118196944</v>
      </c>
      <c r="CI292" s="9">
        <f t="shared" si="945"/>
        <v>3.7317022795492361</v>
      </c>
      <c r="CJ292" s="40">
        <v>1</v>
      </c>
      <c r="CK292" s="9">
        <f t="shared" si="946"/>
        <v>407.65115701795855</v>
      </c>
      <c r="CM292" s="4">
        <f t="shared" si="839"/>
        <v>1.8391049780038722</v>
      </c>
      <c r="CN292" s="4">
        <f t="shared" si="840"/>
        <v>1.1361105927087192</v>
      </c>
      <c r="CO292" s="4">
        <f t="shared" si="814"/>
        <v>1.1868583452849486</v>
      </c>
      <c r="CP292" s="4">
        <f t="shared" si="841"/>
        <v>1.8406542325921853</v>
      </c>
      <c r="CQ292" s="4">
        <f t="shared" si="800"/>
        <v>1.0457977173215069</v>
      </c>
      <c r="CR292" s="4">
        <f t="shared" si="801"/>
        <v>1.1029753689711439</v>
      </c>
      <c r="CS292" s="4">
        <f t="shared" si="815"/>
        <v>1.3648258889866054</v>
      </c>
      <c r="CT292" s="4">
        <f t="shared" si="862"/>
        <v>4</v>
      </c>
      <c r="DA292" s="4">
        <f t="shared" si="992"/>
        <v>1.8391049780038722</v>
      </c>
      <c r="DB292" s="4">
        <f t="shared" si="992"/>
        <v>1.1361105927087192</v>
      </c>
      <c r="DC292" s="4">
        <f t="shared" si="993"/>
        <v>1.8406542325921853</v>
      </c>
      <c r="DD292" s="4">
        <f t="shared" si="994"/>
        <v>1.3648258889866054</v>
      </c>
      <c r="DE292" s="4">
        <f t="shared" si="995"/>
        <v>1.0457977173215069</v>
      </c>
      <c r="DF292" s="4">
        <f t="shared" si="995"/>
        <v>1.1029753689711439</v>
      </c>
      <c r="DI292" s="4">
        <f t="shared" si="846"/>
        <v>312.67399999999998</v>
      </c>
      <c r="DL292" s="4">
        <f t="shared" si="756"/>
        <v>2.3489274518301684E-5</v>
      </c>
      <c r="DM292" s="4">
        <f t="shared" si="757"/>
        <v>8.5513075262328435</v>
      </c>
      <c r="DN292" s="4">
        <f t="shared" si="758"/>
        <v>0.38586536648939879</v>
      </c>
      <c r="DO292" s="4">
        <f t="shared" si="759"/>
        <v>5.8426092916185413</v>
      </c>
      <c r="DP292" s="4">
        <f t="shared" si="760"/>
        <v>7.3237162936001994</v>
      </c>
      <c r="DQ292" s="4">
        <f t="shared" si="761"/>
        <v>7.7805830526388018</v>
      </c>
      <c r="DR292" s="38">
        <f t="shared" si="791"/>
        <v>717.48562380494309</v>
      </c>
      <c r="DS292" s="4">
        <f t="shared" si="762"/>
        <v>1.0001122463285002</v>
      </c>
      <c r="DT292" s="4">
        <f t="shared" si="763"/>
        <v>2.7386127875258306</v>
      </c>
      <c r="DU292" s="4">
        <f t="shared" si="764"/>
        <v>367.46651800558817</v>
      </c>
      <c r="DY292" s="4">
        <f t="shared" si="765"/>
        <v>0.85</v>
      </c>
      <c r="DZ292" s="4">
        <f t="shared" si="766"/>
        <v>0.85499999999999998</v>
      </c>
      <c r="EA292" s="4">
        <f t="shared" si="792"/>
        <v>0.92500000000000004</v>
      </c>
      <c r="EB292" s="4">
        <f t="shared" si="767"/>
        <v>0.79087499999999999</v>
      </c>
      <c r="ED292" s="4">
        <f t="shared" si="793"/>
        <v>680.29155382329986</v>
      </c>
      <c r="EE292" s="25">
        <f t="shared" si="794"/>
        <v>364.49176687952098</v>
      </c>
      <c r="EG292" s="4">
        <f t="shared" si="932"/>
        <v>0.67224375000000003</v>
      </c>
      <c r="EH292" s="4">
        <f t="shared" si="795"/>
        <v>8.5513075262328435</v>
      </c>
      <c r="EK292" s="4">
        <f t="shared" si="768"/>
        <v>69.56076480315609</v>
      </c>
      <c r="EL292" s="4">
        <f t="shared" si="769"/>
        <v>2.7386127875258306</v>
      </c>
      <c r="EM292" s="4">
        <f t="shared" si="770"/>
        <v>0.13286818014840418</v>
      </c>
      <c r="EP292" s="4">
        <f t="shared" si="863"/>
        <v>0.13286818014840418</v>
      </c>
      <c r="EQ292" s="4">
        <f t="shared" si="951"/>
        <v>0.38522142910825607</v>
      </c>
      <c r="ER292" s="4">
        <f t="shared" si="772"/>
        <v>5.8387072469242662</v>
      </c>
      <c r="ES292" s="4">
        <f t="shared" si="847"/>
        <v>7.3221628948064694</v>
      </c>
      <c r="ET292" s="4">
        <f t="shared" si="774"/>
        <v>164.94473519684391</v>
      </c>
      <c r="EU292" s="4">
        <f t="shared" si="775"/>
        <v>78.168499999999995</v>
      </c>
      <c r="EV292" s="4">
        <f t="shared" si="952"/>
        <v>2.3489274518301684E-5</v>
      </c>
      <c r="EW292" s="4">
        <f t="shared" si="848"/>
        <v>7.7807917493059744</v>
      </c>
      <c r="EX292" s="4">
        <f t="shared" si="965"/>
        <v>717.40509771667712</v>
      </c>
      <c r="FG292" s="23">
        <f t="shared" si="878"/>
        <v>2</v>
      </c>
      <c r="FH292" s="23">
        <f t="shared" si="878"/>
        <v>1.2</v>
      </c>
      <c r="FI292" s="23">
        <f t="shared" si="818"/>
        <v>1.4</v>
      </c>
      <c r="FJ292" s="23">
        <f t="shared" si="879"/>
        <v>2</v>
      </c>
      <c r="FK292" s="23">
        <f t="shared" si="879"/>
        <v>1.2</v>
      </c>
      <c r="FL292" s="23">
        <f t="shared" si="879"/>
        <v>1.2</v>
      </c>
      <c r="FM292" s="23">
        <f t="shared" si="807"/>
        <v>0</v>
      </c>
      <c r="FN292" s="23"/>
      <c r="FX292" s="4">
        <f t="shared" si="915"/>
        <v>1.25</v>
      </c>
      <c r="FY292" s="4">
        <f t="shared" si="975"/>
        <v>0.4482312338222606</v>
      </c>
      <c r="FZ292" s="4">
        <f t="shared" si="916"/>
        <v>0.25</v>
      </c>
      <c r="GA292" s="4">
        <f t="shared" si="917"/>
        <v>549.77329609665026</v>
      </c>
    </row>
    <row r="293" spans="1:183" ht="12" customHeight="1" x14ac:dyDescent="0.3">
      <c r="A293" s="25">
        <v>275</v>
      </c>
      <c r="B293" s="4" t="s">
        <v>605</v>
      </c>
      <c r="C293" s="4">
        <v>2016</v>
      </c>
      <c r="D293" s="4" t="s">
        <v>309</v>
      </c>
      <c r="E293" s="24" t="s">
        <v>666</v>
      </c>
      <c r="F293" s="48" t="s">
        <v>433</v>
      </c>
      <c r="G293" s="38">
        <f t="shared" si="989"/>
        <v>799.31034482758628</v>
      </c>
      <c r="H293" s="38">
        <f>9.38*25.4</f>
        <v>238.25200000000001</v>
      </c>
      <c r="I293" s="4">
        <f t="shared" si="850"/>
        <v>238.25200000000001</v>
      </c>
      <c r="J293" s="38">
        <f>5750/145</f>
        <v>39.655172413793103</v>
      </c>
      <c r="K293" s="38">
        <f t="shared" si="851"/>
        <v>25.4</v>
      </c>
      <c r="L293" s="7">
        <f t="shared" si="852"/>
        <v>9.3800000000000008</v>
      </c>
      <c r="M293" s="7">
        <f t="shared" si="853"/>
        <v>9.3800000000000008</v>
      </c>
      <c r="N293" s="38">
        <f>17*25.4</f>
        <v>431.79999999999995</v>
      </c>
      <c r="O293" s="38">
        <f t="shared" si="980"/>
        <v>63.5</v>
      </c>
      <c r="P293" s="39">
        <f>3.1*25.4</f>
        <v>78.739999999999995</v>
      </c>
      <c r="Q293" s="7">
        <f t="shared" si="854"/>
        <v>253.99999999999994</v>
      </c>
      <c r="R293" s="38">
        <v>2</v>
      </c>
      <c r="S293" s="4">
        <f t="shared" si="826"/>
        <v>260.34999999999997</v>
      </c>
      <c r="T293" s="7">
        <f t="shared" si="855"/>
        <v>3</v>
      </c>
      <c r="U293" s="7">
        <f t="shared" si="958"/>
        <v>3</v>
      </c>
      <c r="V293" s="38">
        <v>4.5</v>
      </c>
      <c r="W293" s="4">
        <f t="shared" si="856"/>
        <v>4.5</v>
      </c>
      <c r="X293" s="4">
        <f t="shared" si="857"/>
        <v>5.5</v>
      </c>
      <c r="Y293" s="7">
        <f t="shared" si="858"/>
        <v>59.568280149757555</v>
      </c>
      <c r="AB293" s="38">
        <f t="shared" si="885"/>
        <v>593.10344827586209</v>
      </c>
      <c r="AC293" s="4">
        <v>86</v>
      </c>
      <c r="AD293" s="4">
        <f t="shared" ref="AD293:AD356" si="998">CQ293</f>
        <v>0.98277763354811387</v>
      </c>
      <c r="AE293" s="38">
        <f t="shared" si="996"/>
        <v>12.7</v>
      </c>
      <c r="AF293" s="38">
        <v>4</v>
      </c>
      <c r="AG293" s="39">
        <f t="shared" si="997"/>
        <v>139.69999999999999</v>
      </c>
      <c r="AH293" s="39">
        <v>1</v>
      </c>
      <c r="AI293" s="39">
        <v>1</v>
      </c>
      <c r="AJ293" s="7"/>
      <c r="AK293" s="4">
        <f t="shared" si="859"/>
        <v>238.25200000000001</v>
      </c>
      <c r="AL293" s="4">
        <f t="shared" si="779"/>
        <v>0.60412224591329067</v>
      </c>
      <c r="AM293" s="4">
        <f t="shared" si="780"/>
        <v>228.51643672654887</v>
      </c>
      <c r="AN293" s="4">
        <f t="shared" si="781"/>
        <v>0.76396588486140726</v>
      </c>
      <c r="AO293" s="4">
        <v>1.25</v>
      </c>
      <c r="AP293" s="4">
        <f t="shared" si="933"/>
        <v>2.5</v>
      </c>
      <c r="AQ293" s="38">
        <f t="shared" si="827"/>
        <v>329.58410519011557</v>
      </c>
      <c r="AR293" s="38">
        <f t="shared" si="783"/>
        <v>329.58410519011557</v>
      </c>
      <c r="AS293" s="38">
        <f t="shared" si="784"/>
        <v>3.4886265610899732</v>
      </c>
      <c r="AT293" s="38">
        <f t="shared" si="940"/>
        <v>329.58410519011528</v>
      </c>
      <c r="AU293" s="38">
        <f t="shared" si="910"/>
        <v>1.0000000000000009</v>
      </c>
      <c r="AV293" s="38">
        <f t="shared" si="941"/>
        <v>1.531408632468251</v>
      </c>
      <c r="AW293" s="4">
        <f t="shared" si="942"/>
        <v>0</v>
      </c>
      <c r="AX293" s="4">
        <f t="shared" si="860"/>
        <v>310.88456371958614</v>
      </c>
      <c r="AY293" s="4">
        <f t="shared" si="828"/>
        <v>1</v>
      </c>
      <c r="AZ293" s="38">
        <f t="shared" si="953"/>
        <v>504.72794381246661</v>
      </c>
      <c r="BA293" s="4">
        <f t="shared" si="829"/>
        <v>0.37</v>
      </c>
      <c r="BB293" s="4">
        <f t="shared" si="830"/>
        <v>60.101758281088976</v>
      </c>
      <c r="BC293" s="4">
        <f t="shared" si="831"/>
        <v>564.82970209355562</v>
      </c>
      <c r="BE293" s="4">
        <f t="shared" si="934"/>
        <v>1.5</v>
      </c>
      <c r="BF293" s="4">
        <f t="shared" si="935"/>
        <v>549.18189044532733</v>
      </c>
      <c r="BH293" s="4">
        <f t="shared" si="959"/>
        <v>484.09582232160056</v>
      </c>
      <c r="BI293" s="4">
        <f t="shared" si="905"/>
        <v>0</v>
      </c>
      <c r="BJ293" s="4">
        <f t="shared" si="960"/>
        <v>0</v>
      </c>
      <c r="BK293" s="4">
        <f t="shared" si="785"/>
        <v>63.5</v>
      </c>
      <c r="BL293" s="4">
        <f t="shared" si="786"/>
        <v>63.5</v>
      </c>
      <c r="BM293" s="4">
        <f t="shared" si="787"/>
        <v>260.34999999999997</v>
      </c>
      <c r="BN293" s="4">
        <f t="shared" si="788"/>
        <v>76.2</v>
      </c>
      <c r="BO293" s="4">
        <f t="shared" si="789"/>
        <v>1.25</v>
      </c>
      <c r="BP293" s="25">
        <f t="shared" si="790"/>
        <v>4</v>
      </c>
      <c r="BR293" s="4">
        <f t="shared" si="832"/>
        <v>63.5</v>
      </c>
      <c r="BV293" s="9"/>
      <c r="BX293" s="9"/>
      <c r="BY293" s="9"/>
      <c r="BZ293" s="9">
        <f t="shared" si="833"/>
        <v>63.5</v>
      </c>
      <c r="CA293" s="9">
        <f t="shared" si="834"/>
        <v>126.99999999999997</v>
      </c>
      <c r="CB293" s="9">
        <f t="shared" si="943"/>
        <v>1.7543833769624846</v>
      </c>
      <c r="CC293" s="40">
        <f t="shared" si="861"/>
        <v>20</v>
      </c>
      <c r="CD293" s="9">
        <f t="shared" si="835"/>
        <v>0.05</v>
      </c>
      <c r="CE293" s="9">
        <f t="shared" si="836"/>
        <v>0.8</v>
      </c>
      <c r="CF293" s="9">
        <f t="shared" si="837"/>
        <v>0.99524931562137331</v>
      </c>
      <c r="CG293" s="9">
        <f t="shared" si="838"/>
        <v>0.68048275862068963</v>
      </c>
      <c r="CH293" s="9">
        <f t="shared" si="944"/>
        <v>1.4926809118196944</v>
      </c>
      <c r="CI293" s="9">
        <f t="shared" si="945"/>
        <v>3.7317022795492361</v>
      </c>
      <c r="CJ293" s="40">
        <v>1</v>
      </c>
      <c r="CK293" s="9">
        <f t="shared" si="946"/>
        <v>363.9156063016415</v>
      </c>
      <c r="CM293" s="4">
        <f t="shared" si="839"/>
        <v>1.9077931730661086</v>
      </c>
      <c r="CN293" s="4">
        <f t="shared" si="840"/>
        <v>1.0500571164680419</v>
      </c>
      <c r="CO293" s="4">
        <f t="shared" si="814"/>
        <v>1.0799763404341667</v>
      </c>
      <c r="CP293" s="4">
        <f t="shared" si="841"/>
        <v>1.6297829441924288</v>
      </c>
      <c r="CQ293" s="4">
        <f t="shared" si="800"/>
        <v>0.98277763354811387</v>
      </c>
      <c r="CR293" s="4">
        <f t="shared" si="801"/>
        <v>1.0443012016693149</v>
      </c>
      <c r="CS293" s="4">
        <f t="shared" si="815"/>
        <v>1.1326402982209955</v>
      </c>
      <c r="CT293" s="4">
        <f t="shared" si="862"/>
        <v>4</v>
      </c>
      <c r="DA293" s="4">
        <f t="shared" si="992"/>
        <v>1.9077931730661086</v>
      </c>
      <c r="DB293" s="4">
        <f t="shared" si="992"/>
        <v>1.0500571164680419</v>
      </c>
      <c r="DC293" s="4">
        <f t="shared" si="993"/>
        <v>1.6297829441924288</v>
      </c>
      <c r="DD293" s="4">
        <f t="shared" si="994"/>
        <v>1.1326402982209955</v>
      </c>
      <c r="DE293" s="4">
        <f t="shared" si="995"/>
        <v>0.98277763354811387</v>
      </c>
      <c r="DF293" s="4">
        <f t="shared" si="995"/>
        <v>1.0443012016693149</v>
      </c>
      <c r="DI293" s="4">
        <f t="shared" si="846"/>
        <v>238.25200000000001</v>
      </c>
      <c r="DL293" s="4">
        <f t="shared" ref="DL293:DL356" si="999">H293/4/(1-0.3*(J293/30)^0.5)/200000/K293</f>
        <v>1.7898407390874884E-5</v>
      </c>
      <c r="DM293" s="4">
        <f t="shared" ref="DM293:DM356" si="1000">EH293</f>
        <v>8.6016093352106822</v>
      </c>
      <c r="DN293" s="4">
        <f t="shared" ref="DN293:DN356" si="1001">DU293*Y293/257/J293/V293</f>
        <v>0.42809074683004311</v>
      </c>
      <c r="DO293" s="4">
        <f t="shared" ref="DO293:DO356" si="1002">DM293*DN293^0.4</f>
        <v>6.1262406163308114</v>
      </c>
      <c r="DP293" s="4">
        <f t="shared" ref="DP293:DP356" si="1003">MIN(DM293, DM293/1.4*(1-DN293^1.4)/(1-DN293))</f>
        <v>7.4674964120678524</v>
      </c>
      <c r="DQ293" s="4">
        <f t="shared" ref="DQ293:DQ356" si="1004">MAX(DM293/2, (4-DL293*(8*Y293*(DO293-DP293)+6*H293*DP293))/(4+DL293*H293*DM293)*DM293)</f>
        <v>8.1406968914674351</v>
      </c>
      <c r="DR293" s="38">
        <f t="shared" si="791"/>
        <v>603.49709642311018</v>
      </c>
      <c r="DS293" s="4">
        <f t="shared" ref="DS293:DS356" si="1005">DR293/EX293</f>
        <v>1.0001136025152375</v>
      </c>
      <c r="DT293" s="4">
        <f t="shared" ref="DT293:DT356" si="1006">Y293/K293</f>
        <v>2.3452078799117149</v>
      </c>
      <c r="DU293" s="4">
        <f t="shared" ref="DU293:DU356" si="1007">MIN(DT$10*AT293)</f>
        <v>329.58410519011528</v>
      </c>
      <c r="DY293" s="4">
        <f t="shared" ref="DY293:DY356" si="1008">IF(P293&gt;1*K293,0.85,1)</f>
        <v>0.85</v>
      </c>
      <c r="DZ293" s="4">
        <f t="shared" ref="DZ293:DZ356" si="1009">MIN(1,MAX(0.7,(1-0.1*(BR293-1*K293)/K293)))</f>
        <v>0.85</v>
      </c>
      <c r="EA293" s="4">
        <f t="shared" si="792"/>
        <v>0.92500000000000004</v>
      </c>
      <c r="EB293" s="4">
        <f t="shared" ref="EB293:EB356" si="1010">IF(DZ293*EA293&lt;0.7,0.7,DZ293*EA293)</f>
        <v>0.78625</v>
      </c>
      <c r="ED293" s="4">
        <f t="shared" si="793"/>
        <v>567.94289552457326</v>
      </c>
      <c r="EE293" s="25">
        <f t="shared" si="794"/>
        <v>325.8936088317447</v>
      </c>
      <c r="EG293" s="4">
        <f t="shared" si="932"/>
        <v>0.66831249999999998</v>
      </c>
      <c r="EH293" s="4">
        <f t="shared" si="795"/>
        <v>8.6016093352106822</v>
      </c>
      <c r="EK293" s="4">
        <f t="shared" ref="EK293:EK356" si="1011">EL293*K293</f>
        <v>59.568280149757555</v>
      </c>
      <c r="EL293" s="4">
        <f t="shared" ref="EL293:EL356" si="1012">X293^0.5</f>
        <v>2.3452078799117149</v>
      </c>
      <c r="EM293" s="4">
        <f t="shared" ref="EM293:EM356" si="1013">MIN(DU293)/(4700*J293^0.5)/W293*EK293</f>
        <v>0.1474079909974034</v>
      </c>
      <c r="EP293" s="4">
        <f t="shared" si="863"/>
        <v>0.1474079909974034</v>
      </c>
      <c r="EQ293" s="4">
        <f t="shared" si="951"/>
        <v>0.42737634315885298</v>
      </c>
      <c r="ER293" s="4">
        <f t="shared" ref="ER293:ER356" si="1014">EH293/1*EQ293^0.4</f>
        <v>6.1221491456368717</v>
      </c>
      <c r="ES293" s="4">
        <f t="shared" si="847"/>
        <v>7.4658205132645818</v>
      </c>
      <c r="ET293" s="4">
        <f t="shared" ref="ET293:ET356" si="1015">MAX(0,DI293*ET$9-EK293)</f>
        <v>119.12071985024247</v>
      </c>
      <c r="EU293" s="4">
        <f t="shared" ref="EU293:EU356" si="1016">MAX(0,DI293-EK293-ET293)</f>
        <v>59.562999999999988</v>
      </c>
      <c r="EV293" s="4">
        <f t="shared" si="952"/>
        <v>1.789840739087488E-5</v>
      </c>
      <c r="EW293" s="4">
        <f t="shared" si="848"/>
        <v>8.1408321648925881</v>
      </c>
      <c r="EX293" s="4">
        <f t="shared" si="965"/>
        <v>603.42854542258408</v>
      </c>
      <c r="FA293" s="4">
        <f t="shared" ref="FA293:FA294" si="1017">5.25*25.4</f>
        <v>133.35</v>
      </c>
      <c r="FG293" s="23">
        <f t="shared" si="878"/>
        <v>2</v>
      </c>
      <c r="FH293" s="23">
        <f t="shared" si="878"/>
        <v>1.2</v>
      </c>
      <c r="FI293" s="23">
        <f t="shared" si="818"/>
        <v>1.2</v>
      </c>
      <c r="FJ293" s="23">
        <f t="shared" si="879"/>
        <v>1.8</v>
      </c>
      <c r="FK293" s="23">
        <f t="shared" si="879"/>
        <v>1</v>
      </c>
      <c r="FL293" s="23">
        <f t="shared" si="879"/>
        <v>1.2</v>
      </c>
      <c r="FM293" s="23">
        <f t="shared" si="807"/>
        <v>0</v>
      </c>
      <c r="FN293" s="23"/>
      <c r="FX293" s="4">
        <f t="shared" si="915"/>
        <v>1</v>
      </c>
      <c r="FY293" s="4">
        <f t="shared" si="975"/>
        <v>0.4482312338222606</v>
      </c>
      <c r="FZ293" s="4">
        <f t="shared" si="916"/>
        <v>0.25</v>
      </c>
      <c r="GA293" s="4">
        <f t="shared" si="917"/>
        <v>523.64678283779244</v>
      </c>
    </row>
    <row r="294" spans="1:183" ht="12" customHeight="1" x14ac:dyDescent="0.3">
      <c r="A294" s="25">
        <v>276</v>
      </c>
      <c r="B294" s="4" t="s">
        <v>605</v>
      </c>
      <c r="C294" s="4">
        <v>2016</v>
      </c>
      <c r="D294" s="4" t="s">
        <v>309</v>
      </c>
      <c r="E294" s="24" t="s">
        <v>666</v>
      </c>
      <c r="F294" s="48" t="s">
        <v>434</v>
      </c>
      <c r="G294" s="38">
        <f t="shared" si="989"/>
        <v>799.31034482758628</v>
      </c>
      <c r="H294" s="38">
        <f>12*25.4</f>
        <v>304.79999999999995</v>
      </c>
      <c r="I294" s="4">
        <f t="shared" si="850"/>
        <v>304.79999999999995</v>
      </c>
      <c r="J294" s="38">
        <f>5750/145</f>
        <v>39.655172413793103</v>
      </c>
      <c r="K294" s="38">
        <f t="shared" si="851"/>
        <v>25.4</v>
      </c>
      <c r="L294" s="7">
        <f t="shared" si="852"/>
        <v>11.999999999999998</v>
      </c>
      <c r="M294" s="7">
        <f t="shared" si="853"/>
        <v>11.999999999999998</v>
      </c>
      <c r="N294" s="38">
        <f>16.6*25.4</f>
        <v>421.64</v>
      </c>
      <c r="O294" s="38">
        <f>2.45*25.4</f>
        <v>62.230000000000004</v>
      </c>
      <c r="P294" s="39">
        <f>3.3*25.4</f>
        <v>83.82</v>
      </c>
      <c r="Q294" s="7">
        <f t="shared" si="854"/>
        <v>246.37999999999997</v>
      </c>
      <c r="R294" s="38">
        <v>2</v>
      </c>
      <c r="S294" s="4">
        <f t="shared" si="826"/>
        <v>260.34999999999997</v>
      </c>
      <c r="T294" s="7">
        <f t="shared" si="855"/>
        <v>2.95</v>
      </c>
      <c r="U294" s="7">
        <f t="shared" si="958"/>
        <v>2.95</v>
      </c>
      <c r="V294" s="38">
        <v>4.5</v>
      </c>
      <c r="W294" s="4">
        <f t="shared" si="856"/>
        <v>4.5</v>
      </c>
      <c r="X294" s="4">
        <f t="shared" si="857"/>
        <v>5.5</v>
      </c>
      <c r="Y294" s="7">
        <f t="shared" si="858"/>
        <v>59.568280149757555</v>
      </c>
      <c r="AB294" s="38">
        <f t="shared" si="885"/>
        <v>685.51724137931046</v>
      </c>
      <c r="AC294" s="4">
        <v>99.4</v>
      </c>
      <c r="AD294" s="4">
        <f t="shared" si="998"/>
        <v>0.96655501262970034</v>
      </c>
      <c r="AE294" s="38">
        <f t="shared" si="996"/>
        <v>12.7</v>
      </c>
      <c r="AF294" s="38">
        <v>4</v>
      </c>
      <c r="AG294" s="39">
        <f t="shared" si="997"/>
        <v>139.69999999999999</v>
      </c>
      <c r="AH294" s="39">
        <v>1</v>
      </c>
      <c r="AI294" s="39">
        <v>1</v>
      </c>
      <c r="AJ294" s="7"/>
      <c r="AK294" s="4">
        <f t="shared" si="859"/>
        <v>304.79999999999995</v>
      </c>
      <c r="AL294" s="4">
        <f t="shared" ref="AL294:AL357" si="1018">IF(H294*3&gt;Q294+K294, N294, (O294+K294/2)*2+1.5*H294*(2*R294-2))*(3*H294)/(9*H294^2)</f>
        <v>0.46111111111111108</v>
      </c>
      <c r="AM294" s="4">
        <f t="shared" ref="AM294:AM357" si="1019">MIN(10*J294^0.5*H294^1.5,100*3.9*J294^0.5*H294^(5/3))/(PI()/4*K294^2)/R294</f>
        <v>330.66258376635705</v>
      </c>
      <c r="AN294" s="4">
        <f t="shared" ref="AN294:AN357" si="1020">MIN(0.7+0.3*(MIN(O294,S294)+0.5*K294)/1.5/H294,1)</f>
        <v>0.74916666666666665</v>
      </c>
      <c r="AO294" s="4">
        <v>1.25</v>
      </c>
      <c r="AP294" s="4">
        <f t="shared" si="933"/>
        <v>2.5</v>
      </c>
      <c r="AQ294" s="38">
        <f t="shared" si="827"/>
        <v>356.95963560321565</v>
      </c>
      <c r="AR294" s="38">
        <f t="shared" ref="AR294:AR357" si="1021">AQ294</f>
        <v>356.95963560321565</v>
      </c>
      <c r="AS294" s="38">
        <f t="shared" ref="AS294:AS357" si="1022">IF(J294&lt;50, 0.3*J294^(2/3), 2.12*LN(1+0.1*(J294+8)))</f>
        <v>3.4886265610899732</v>
      </c>
      <c r="AT294" s="38">
        <f t="shared" si="940"/>
        <v>356.95963560321547</v>
      </c>
      <c r="AU294" s="38">
        <f t="shared" si="910"/>
        <v>1.0000000000000004</v>
      </c>
      <c r="AV294" s="38">
        <f t="shared" si="941"/>
        <v>1.3903975741595627</v>
      </c>
      <c r="AW294" s="4">
        <f t="shared" si="942"/>
        <v>0</v>
      </c>
      <c r="AX294" s="4">
        <f t="shared" si="860"/>
        <v>397.72012416151739</v>
      </c>
      <c r="AY294" s="4">
        <f t="shared" si="828"/>
        <v>1</v>
      </c>
      <c r="AZ294" s="38">
        <f t="shared" si="953"/>
        <v>496.31581141559224</v>
      </c>
      <c r="BA294" s="4">
        <f t="shared" si="829"/>
        <v>0.37</v>
      </c>
      <c r="BB294" s="4">
        <f t="shared" si="830"/>
        <v>76.889243003525337</v>
      </c>
      <c r="BC294" s="4">
        <f t="shared" si="831"/>
        <v>573.20505441911757</v>
      </c>
      <c r="BE294" s="4">
        <f t="shared" si="934"/>
        <v>1.5</v>
      </c>
      <c r="BF294" s="4">
        <f t="shared" si="935"/>
        <v>623.42629462317859</v>
      </c>
      <c r="BH294" s="4">
        <f t="shared" si="959"/>
        <v>476.02755861624058</v>
      </c>
      <c r="BI294" s="4">
        <f t="shared" si="905"/>
        <v>0</v>
      </c>
      <c r="BJ294" s="4">
        <f t="shared" si="960"/>
        <v>0</v>
      </c>
      <c r="BK294" s="4">
        <f t="shared" ref="BK294:BK357" si="1023">IF(R294=1,O294,MIN(O294,Q294/2+6.4))</f>
        <v>62.230000000000004</v>
      </c>
      <c r="BL294" s="4">
        <f t="shared" ref="BL294:BL357" si="1024">MIN(S294,BK294)</f>
        <v>62.230000000000004</v>
      </c>
      <c r="BM294" s="4">
        <f t="shared" ref="BM294:BM357" si="1025">MAX(S294,BK294)</f>
        <v>260.34999999999997</v>
      </c>
      <c r="BN294" s="4">
        <f t="shared" ref="BN294:BN357" si="1026">BL294+K294/2</f>
        <v>74.930000000000007</v>
      </c>
      <c r="BO294" s="4">
        <f t="shared" ref="BO294:BO357" si="1027">MIN(1.25, 0.1*BM294/BL294+0.9)</f>
        <v>1.25</v>
      </c>
      <c r="BP294" s="25">
        <f t="shared" ref="BP294:BP357" si="1028">MIN(4, (BN294*BO294+(6*J294^0.5*(0.03*K294+0.22)*(AE294^2/4*PI())*2/AG294/R294))/K294)</f>
        <v>4</v>
      </c>
      <c r="BR294" s="4">
        <f t="shared" si="832"/>
        <v>62.230000000000004</v>
      </c>
      <c r="BV294" s="9"/>
      <c r="BX294" s="9"/>
      <c r="BY294" s="9"/>
      <c r="BZ294" s="9">
        <f t="shared" si="833"/>
        <v>62.230000000000004</v>
      </c>
      <c r="CA294" s="9">
        <f t="shared" si="834"/>
        <v>123.18999999999998</v>
      </c>
      <c r="CB294" s="9">
        <f t="shared" si="943"/>
        <v>1.7340810420811554</v>
      </c>
      <c r="CC294" s="40">
        <f t="shared" si="861"/>
        <v>20</v>
      </c>
      <c r="CD294" s="9">
        <f t="shared" si="835"/>
        <v>0.05</v>
      </c>
      <c r="CE294" s="9">
        <f t="shared" si="836"/>
        <v>0.8</v>
      </c>
      <c r="CF294" s="9">
        <f t="shared" si="837"/>
        <v>0.99524931562137331</v>
      </c>
      <c r="CG294" s="9">
        <f t="shared" si="838"/>
        <v>0.68048275862068963</v>
      </c>
      <c r="CH294" s="9">
        <f t="shared" si="944"/>
        <v>1.4926809118196944</v>
      </c>
      <c r="CI294" s="9">
        <f t="shared" si="945"/>
        <v>3.7317022795492361</v>
      </c>
      <c r="CJ294" s="40">
        <v>1</v>
      </c>
      <c r="CK294" s="9">
        <f t="shared" si="946"/>
        <v>403.02384619131749</v>
      </c>
      <c r="CM294" s="4">
        <f t="shared" si="839"/>
        <v>1.7236171863934053</v>
      </c>
      <c r="CN294" s="4">
        <f t="shared" si="840"/>
        <v>1.1959371887849268</v>
      </c>
      <c r="CO294" s="4">
        <f t="shared" si="814"/>
        <v>1.0995962911600672</v>
      </c>
      <c r="CP294" s="4">
        <f t="shared" si="841"/>
        <v>1.7009346912288954</v>
      </c>
      <c r="CQ294" s="4">
        <f t="shared" si="800"/>
        <v>0.96655501262970034</v>
      </c>
      <c r="CR294" s="4">
        <f t="shared" si="801"/>
        <v>1.035801217585661</v>
      </c>
      <c r="CS294" s="4">
        <f t="shared" si="815"/>
        <v>1.279120760819896</v>
      </c>
      <c r="CT294" s="4">
        <f t="shared" si="862"/>
        <v>4</v>
      </c>
      <c r="DA294" s="4">
        <f t="shared" si="992"/>
        <v>1.7236171863934053</v>
      </c>
      <c r="DB294" s="4">
        <f t="shared" si="992"/>
        <v>1.1959371887849268</v>
      </c>
      <c r="DC294" s="4">
        <f t="shared" si="993"/>
        <v>1.7009346912288954</v>
      </c>
      <c r="DD294" s="4">
        <f t="shared" si="994"/>
        <v>1.279120760819896</v>
      </c>
      <c r="DE294" s="4">
        <f t="shared" si="995"/>
        <v>0.96655501262970034</v>
      </c>
      <c r="DF294" s="4">
        <f t="shared" si="995"/>
        <v>1.035801217585661</v>
      </c>
      <c r="DI294" s="4">
        <f t="shared" si="846"/>
        <v>304.79999999999995</v>
      </c>
      <c r="DL294" s="4">
        <f t="shared" si="999"/>
        <v>2.2897749327345264E-5</v>
      </c>
      <c r="DM294" s="4">
        <f t="shared" si="1000"/>
        <v>8.5513075262328435</v>
      </c>
      <c r="DN294" s="4">
        <f t="shared" si="1001"/>
        <v>0.46364832098141967</v>
      </c>
      <c r="DO294" s="4">
        <f t="shared" si="1002"/>
        <v>6.2879343910670871</v>
      </c>
      <c r="DP294" s="4">
        <f t="shared" si="1003"/>
        <v>7.5056262041751376</v>
      </c>
      <c r="DQ294" s="4">
        <f t="shared" si="1004"/>
        <v>7.7915391372453886</v>
      </c>
      <c r="DR294" s="38">
        <f t="shared" ref="DR294:DR357" si="1029">MIN(1/K294*(4*Y294*(DO294-DP294)+(3*DP294+DQ294)*H294)+DU294 -FB294,MAX(G294,AB294))</f>
        <v>709.23768685884511</v>
      </c>
      <c r="DS294" s="4">
        <f t="shared" si="1005"/>
        <v>1.0001179355899652</v>
      </c>
      <c r="DT294" s="4">
        <f t="shared" si="1006"/>
        <v>2.3452078799117149</v>
      </c>
      <c r="DU294" s="4">
        <f t="shared" si="1007"/>
        <v>356.95963560321547</v>
      </c>
      <c r="DY294" s="4">
        <f t="shared" si="1008"/>
        <v>0.85</v>
      </c>
      <c r="DZ294" s="4">
        <f t="shared" si="1009"/>
        <v>0.85499999999999998</v>
      </c>
      <c r="EA294" s="4">
        <f t="shared" ref="EA294:EA357" si="1030">MIN(1,MAX(0.7,1-0.3*(PI()*AE294^2/4*AI294*2-0.25*PI()/4*K294^2)/(PI()/4*K294^2)))</f>
        <v>0.92500000000000004</v>
      </c>
      <c r="EB294" s="4">
        <f t="shared" si="1010"/>
        <v>0.79087499999999999</v>
      </c>
      <c r="ED294" s="4">
        <f t="shared" ref="ED294:ED357" si="1031">MIN(DM294/K294*3*H294+EE294-FB294,MAX(G294,AB294))</f>
        <v>661.8231662028511</v>
      </c>
      <c r="EE294" s="25">
        <f t="shared" ref="EE294:EE357" si="1032">13.3*N294*H294^0.5*J294^0.5/R294/K294^2*(0.7+O294/5/H294)</f>
        <v>353.97609525846872</v>
      </c>
      <c r="EG294" s="4">
        <f t="shared" si="932"/>
        <v>0.67224375000000003</v>
      </c>
      <c r="EH294" s="4">
        <f t="shared" ref="EH294:EH357" si="1033">IF(K294&lt;22.2,1.1*5*(J294/30)^0.5,IF(K294&gt;=31.8,0.9*5*(J294/30)^0.5,1*5*(J294/30)^0.5))/DY294/EB294</f>
        <v>8.5513075262328435</v>
      </c>
      <c r="EK294" s="4">
        <f t="shared" si="1011"/>
        <v>59.568280149757555</v>
      </c>
      <c r="EL294" s="4">
        <f t="shared" si="1012"/>
        <v>2.3452078799117149</v>
      </c>
      <c r="EM294" s="4">
        <f t="shared" si="1013"/>
        <v>0.1596518215618527</v>
      </c>
      <c r="EP294" s="4">
        <f t="shared" si="863"/>
        <v>0.1596518215618527</v>
      </c>
      <c r="EQ294" s="4">
        <f t="shared" si="951"/>
        <v>0.46287457834600176</v>
      </c>
      <c r="ER294" s="4">
        <f t="shared" si="1014"/>
        <v>6.2837349315783593</v>
      </c>
      <c r="ES294" s="4">
        <f t="shared" si="847"/>
        <v>7.5038690643831485</v>
      </c>
      <c r="ET294" s="4">
        <f t="shared" si="1015"/>
        <v>169.03171985024241</v>
      </c>
      <c r="EU294" s="4">
        <f t="shared" si="1016"/>
        <v>76.199999999999989</v>
      </c>
      <c r="EV294" s="4">
        <f t="shared" si="952"/>
        <v>2.2897749327345264E-5</v>
      </c>
      <c r="EW294" s="4">
        <f t="shared" si="848"/>
        <v>7.7917502639589689</v>
      </c>
      <c r="EX294" s="4">
        <f t="shared" si="965"/>
        <v>709.15405235730418</v>
      </c>
      <c r="FA294" s="4">
        <f t="shared" si="1017"/>
        <v>133.35</v>
      </c>
      <c r="FG294" s="23">
        <f t="shared" si="878"/>
        <v>1.8</v>
      </c>
      <c r="FH294" s="23">
        <f t="shared" si="878"/>
        <v>1.2</v>
      </c>
      <c r="FI294" s="23">
        <f t="shared" si="818"/>
        <v>1.4</v>
      </c>
      <c r="FJ294" s="23">
        <f t="shared" si="879"/>
        <v>1.8</v>
      </c>
      <c r="FK294" s="23">
        <f t="shared" si="879"/>
        <v>1</v>
      </c>
      <c r="FL294" s="23">
        <f t="shared" si="879"/>
        <v>1.2</v>
      </c>
      <c r="FM294" s="23">
        <f t="shared" si="807"/>
        <v>0</v>
      </c>
      <c r="FN294" s="23"/>
      <c r="FX294" s="4">
        <f t="shared" si="915"/>
        <v>1.25</v>
      </c>
      <c r="FY294" s="4">
        <f t="shared" si="975"/>
        <v>0.4482312338222606</v>
      </c>
      <c r="FZ294" s="4">
        <f t="shared" si="916"/>
        <v>0.25</v>
      </c>
      <c r="GA294" s="4">
        <f t="shared" si="917"/>
        <v>535.9284771047769</v>
      </c>
    </row>
    <row r="295" spans="1:183" ht="12" customHeight="1" x14ac:dyDescent="0.3">
      <c r="A295" s="25">
        <v>277</v>
      </c>
      <c r="B295" s="4" t="s">
        <v>605</v>
      </c>
      <c r="C295" s="4">
        <v>2016</v>
      </c>
      <c r="D295" s="4" t="s">
        <v>309</v>
      </c>
      <c r="E295" s="24" t="s">
        <v>666</v>
      </c>
      <c r="F295" s="7" t="s">
        <v>435</v>
      </c>
      <c r="G295" s="38">
        <f t="shared" si="989"/>
        <v>799.31034482758628</v>
      </c>
      <c r="H295" s="38">
        <f>8.31*25.4</f>
        <v>211.07400000000001</v>
      </c>
      <c r="I295" s="4">
        <f t="shared" si="850"/>
        <v>211.07400000000001</v>
      </c>
      <c r="J295" s="38">
        <f>5900/145</f>
        <v>40.689655172413794</v>
      </c>
      <c r="K295" s="38">
        <f t="shared" si="851"/>
        <v>25.4</v>
      </c>
      <c r="L295" s="7">
        <f t="shared" si="852"/>
        <v>8.31</v>
      </c>
      <c r="M295" s="7">
        <f t="shared" si="853"/>
        <v>8.31</v>
      </c>
      <c r="N295" s="38">
        <f>16.9*25.4</f>
        <v>429.25999999999993</v>
      </c>
      <c r="O295" s="38">
        <f>2.45*25.4</f>
        <v>62.230000000000004</v>
      </c>
      <c r="P295" s="39">
        <f>3.05*25.4</f>
        <v>77.469999999999985</v>
      </c>
      <c r="Q295" s="7">
        <f t="shared" si="854"/>
        <v>253.99999999999991</v>
      </c>
      <c r="R295" s="38">
        <v>2</v>
      </c>
      <c r="S295" s="4">
        <f t="shared" si="826"/>
        <v>260.34999999999997</v>
      </c>
      <c r="T295" s="7">
        <f t="shared" si="855"/>
        <v>2.95</v>
      </c>
      <c r="U295" s="7">
        <f t="shared" si="958"/>
        <v>2.95</v>
      </c>
      <c r="V295" s="38">
        <v>6.5</v>
      </c>
      <c r="W295" s="4">
        <f t="shared" si="856"/>
        <v>6.5</v>
      </c>
      <c r="X295" s="4">
        <f t="shared" si="857"/>
        <v>7.5</v>
      </c>
      <c r="Y295" s="7">
        <f t="shared" si="858"/>
        <v>69.56076480315609</v>
      </c>
      <c r="AB295" s="38">
        <f t="shared" si="885"/>
        <v>541.37931034482767</v>
      </c>
      <c r="AC295" s="4">
        <v>78.5</v>
      </c>
      <c r="AD295" s="4">
        <f t="shared" si="998"/>
        <v>0.94029242605845686</v>
      </c>
      <c r="AE295" s="38">
        <f t="shared" si="996"/>
        <v>12.7</v>
      </c>
      <c r="AF295" s="38">
        <v>10</v>
      </c>
      <c r="AG295" s="39">
        <f t="shared" ref="AG295:AG298" si="1034">3*25.4</f>
        <v>76.199999999999989</v>
      </c>
      <c r="AH295" s="39">
        <v>3</v>
      </c>
      <c r="AI295" s="39">
        <v>2</v>
      </c>
      <c r="AJ295" s="7"/>
      <c r="AK295" s="4">
        <f t="shared" si="859"/>
        <v>211.07400000000001</v>
      </c>
      <c r="AL295" s="4">
        <f t="shared" si="1018"/>
        <v>0.67789811472121919</v>
      </c>
      <c r="AM295" s="4">
        <f t="shared" si="1019"/>
        <v>193.02199723672265</v>
      </c>
      <c r="AN295" s="4">
        <f t="shared" si="1020"/>
        <v>0.77099879663056559</v>
      </c>
      <c r="AO295" s="4">
        <v>1.25</v>
      </c>
      <c r="AP295" s="4">
        <f t="shared" si="933"/>
        <v>2.5</v>
      </c>
      <c r="AQ295" s="38">
        <f t="shared" si="827"/>
        <v>315.26441490139024</v>
      </c>
      <c r="AR295" s="38">
        <f t="shared" si="1021"/>
        <v>315.26441490139024</v>
      </c>
      <c r="AS295" s="38">
        <f t="shared" si="1022"/>
        <v>3.5490375497727622</v>
      </c>
      <c r="AT295" s="38">
        <f t="shared" si="940"/>
        <v>315.26441490139041</v>
      </c>
      <c r="AU295" s="38">
        <f t="shared" si="910"/>
        <v>0.99999999999999944</v>
      </c>
      <c r="AV295" s="38">
        <f t="shared" si="941"/>
        <v>1.9414121637599517</v>
      </c>
      <c r="AW295" s="4">
        <f t="shared" si="942"/>
        <v>0</v>
      </c>
      <c r="AX295" s="4">
        <f t="shared" si="860"/>
        <v>278.99050791306132</v>
      </c>
      <c r="AY295" s="4">
        <f t="shared" si="828"/>
        <v>1</v>
      </c>
      <c r="AZ295" s="38">
        <f t="shared" si="953"/>
        <v>612.05816989022355</v>
      </c>
      <c r="BA295" s="4">
        <f t="shared" si="829"/>
        <v>0.3</v>
      </c>
      <c r="BB295" s="4">
        <f t="shared" si="830"/>
        <v>43.731762115372362</v>
      </c>
      <c r="BC295" s="4">
        <f t="shared" si="831"/>
        <v>655.78993200559592</v>
      </c>
      <c r="BE295" s="4">
        <f t="shared" si="934"/>
        <v>1.5</v>
      </c>
      <c r="BF295" s="4">
        <f t="shared" si="935"/>
        <v>525.58487977188565</v>
      </c>
      <c r="BH295" s="4">
        <f t="shared" si="959"/>
        <v>587.03863476152412</v>
      </c>
      <c r="BI295" s="4">
        <f t="shared" si="905"/>
        <v>0</v>
      </c>
      <c r="BJ295" s="4">
        <f t="shared" si="960"/>
        <v>0</v>
      </c>
      <c r="BK295" s="4">
        <f t="shared" si="1023"/>
        <v>62.230000000000004</v>
      </c>
      <c r="BL295" s="4">
        <f t="shared" si="1024"/>
        <v>62.230000000000004</v>
      </c>
      <c r="BM295" s="4">
        <f t="shared" si="1025"/>
        <v>260.34999999999997</v>
      </c>
      <c r="BN295" s="4">
        <f t="shared" si="1026"/>
        <v>74.930000000000007</v>
      </c>
      <c r="BO295" s="4">
        <f t="shared" si="1027"/>
        <v>1.25</v>
      </c>
      <c r="BP295" s="25">
        <f t="shared" si="1028"/>
        <v>4</v>
      </c>
      <c r="BR295" s="4">
        <f t="shared" si="832"/>
        <v>62.230000000000004</v>
      </c>
      <c r="BV295" s="9"/>
      <c r="BX295" s="9"/>
      <c r="BY295" s="9"/>
      <c r="BZ295" s="9">
        <f t="shared" si="833"/>
        <v>62.230000000000004</v>
      </c>
      <c r="CA295" s="9">
        <f t="shared" si="834"/>
        <v>126.99999999999996</v>
      </c>
      <c r="CB295" s="9">
        <f t="shared" si="943"/>
        <v>1.7420219790042637</v>
      </c>
      <c r="CC295" s="40">
        <f t="shared" si="861"/>
        <v>20</v>
      </c>
      <c r="CD295" s="9">
        <f t="shared" si="835"/>
        <v>0.05</v>
      </c>
      <c r="CE295" s="9">
        <f t="shared" si="836"/>
        <v>0.8</v>
      </c>
      <c r="CF295" s="9">
        <f t="shared" si="837"/>
        <v>0.99524931562137331</v>
      </c>
      <c r="CG295" s="9">
        <f t="shared" si="838"/>
        <v>0.68048275862068963</v>
      </c>
      <c r="CH295" s="9">
        <f t="shared" si="944"/>
        <v>1.51202531590344</v>
      </c>
      <c r="CI295" s="9">
        <f t="shared" si="945"/>
        <v>3.7800632897586</v>
      </c>
      <c r="CJ295" s="40">
        <v>1</v>
      </c>
      <c r="CK295" s="9">
        <f t="shared" si="946"/>
        <v>352.45310113709183</v>
      </c>
      <c r="CM295" s="4">
        <f t="shared" si="839"/>
        <v>1.9404936547645257</v>
      </c>
      <c r="CN295" s="4">
        <f t="shared" si="840"/>
        <v>0.82553769724572112</v>
      </c>
      <c r="CO295" s="4">
        <f t="shared" si="814"/>
        <v>1.0300511509764076</v>
      </c>
      <c r="CP295" s="4">
        <f t="shared" si="841"/>
        <v>1.5360321943493134</v>
      </c>
      <c r="CQ295" s="4">
        <f t="shared" ref="CQ295:CQ358" si="1035">AB295/DR295</f>
        <v>0.94029242605845686</v>
      </c>
      <c r="CR295" s="4">
        <f t="shared" ref="CR295:CR358" si="1036">AB295/ED295</f>
        <v>0.97511909646297612</v>
      </c>
      <c r="CS295" s="4">
        <f t="shared" si="815"/>
        <v>1.4158899377768372</v>
      </c>
      <c r="CT295" s="4">
        <f t="shared" si="862"/>
        <v>10</v>
      </c>
      <c r="DA295" s="4">
        <f t="shared" si="992"/>
        <v>1.9404936547645257</v>
      </c>
      <c r="DB295" s="4">
        <f t="shared" si="992"/>
        <v>0.82553769724572112</v>
      </c>
      <c r="DC295" s="4">
        <f t="shared" si="993"/>
        <v>1.5360321943493134</v>
      </c>
      <c r="DD295" s="4">
        <f t="shared" si="994"/>
        <v>1.4158899377768372</v>
      </c>
      <c r="DE295" s="4">
        <f t="shared" si="995"/>
        <v>0.94029242605845686</v>
      </c>
      <c r="DF295" s="4">
        <f t="shared" si="995"/>
        <v>0.97511909646297612</v>
      </c>
      <c r="DI295" s="4">
        <f t="shared" si="846"/>
        <v>211.07400000000001</v>
      </c>
      <c r="DL295" s="4">
        <f t="shared" si="999"/>
        <v>1.5965631204689113E-5</v>
      </c>
      <c r="DM295" s="4">
        <f t="shared" si="1000"/>
        <v>9.7866580905942957</v>
      </c>
      <c r="DN295" s="4">
        <f t="shared" si="1001"/>
        <v>0.32263301896673924</v>
      </c>
      <c r="DO295" s="4">
        <f t="shared" si="1002"/>
        <v>6.2246930532920937</v>
      </c>
      <c r="DP295" s="4">
        <f t="shared" si="1003"/>
        <v>8.2023131968225798</v>
      </c>
      <c r="DQ295" s="4">
        <f t="shared" si="1004"/>
        <v>9.3468091415899224</v>
      </c>
      <c r="DR295" s="38">
        <f t="shared" si="1029"/>
        <v>575.75632360902455</v>
      </c>
      <c r="DS295" s="4">
        <f t="shared" si="1005"/>
        <v>1.0001153575858188</v>
      </c>
      <c r="DT295" s="4">
        <f t="shared" si="1006"/>
        <v>2.7386127875258306</v>
      </c>
      <c r="DU295" s="4">
        <f t="shared" si="1007"/>
        <v>315.26441490139041</v>
      </c>
      <c r="DY295" s="4">
        <f t="shared" si="1008"/>
        <v>0.85</v>
      </c>
      <c r="DZ295" s="4">
        <f t="shared" si="1009"/>
        <v>0.85499999999999998</v>
      </c>
      <c r="EA295" s="4">
        <f t="shared" si="1030"/>
        <v>0.77500000000000002</v>
      </c>
      <c r="EB295" s="4">
        <f t="shared" si="1010"/>
        <v>0.7</v>
      </c>
      <c r="ED295" s="4">
        <f t="shared" si="1031"/>
        <v>555.19301417494398</v>
      </c>
      <c r="EE295" s="25">
        <f t="shared" si="1032"/>
        <v>311.21162797642813</v>
      </c>
      <c r="EG295" s="4">
        <f t="shared" si="932"/>
        <v>0.59499999999999997</v>
      </c>
      <c r="EH295" s="4">
        <f t="shared" si="1033"/>
        <v>9.7866580905942957</v>
      </c>
      <c r="EK295" s="4">
        <f t="shared" si="1011"/>
        <v>69.56076480315609</v>
      </c>
      <c r="EL295" s="4">
        <f t="shared" si="1012"/>
        <v>2.7386127875258306</v>
      </c>
      <c r="EM295" s="4">
        <f t="shared" si="1013"/>
        <v>0.11253460271527289</v>
      </c>
      <c r="EP295" s="4">
        <f t="shared" si="863"/>
        <v>0.11253460271527289</v>
      </c>
      <c r="EQ295" s="4">
        <f t="shared" si="951"/>
        <v>0.32209460458870448</v>
      </c>
      <c r="ER295" s="4">
        <f t="shared" si="1014"/>
        <v>6.2205358301594567</v>
      </c>
      <c r="ES295" s="4">
        <f t="shared" si="847"/>
        <v>8.2007408563541091</v>
      </c>
      <c r="ET295" s="4">
        <f t="shared" si="1015"/>
        <v>88.744735196843905</v>
      </c>
      <c r="EU295" s="4">
        <f t="shared" si="1016"/>
        <v>52.768500000000031</v>
      </c>
      <c r="EV295" s="4">
        <f t="shared" si="952"/>
        <v>1.5965631204689123E-5</v>
      </c>
      <c r="EW295" s="4">
        <f t="shared" si="848"/>
        <v>9.3469420200689974</v>
      </c>
      <c r="EX295" s="4">
        <f t="shared" si="965"/>
        <v>575.68991341043329</v>
      </c>
      <c r="FG295" s="23">
        <f t="shared" si="878"/>
        <v>2</v>
      </c>
      <c r="FH295" s="23">
        <f t="shared" si="878"/>
        <v>1</v>
      </c>
      <c r="FI295" s="23">
        <f t="shared" si="818"/>
        <v>1.6</v>
      </c>
      <c r="FJ295" s="23">
        <f t="shared" si="879"/>
        <v>1.6</v>
      </c>
      <c r="FK295" s="23">
        <f t="shared" si="879"/>
        <v>1</v>
      </c>
      <c r="FL295" s="23">
        <f t="shared" si="879"/>
        <v>1</v>
      </c>
      <c r="FM295" s="23">
        <f t="shared" ref="FM295:FM358" si="1037">IF(FK295&lt;1,1,0)</f>
        <v>0</v>
      </c>
      <c r="FN295" s="23"/>
      <c r="FX295" s="4">
        <f t="shared" si="915"/>
        <v>1.25</v>
      </c>
      <c r="FY295" s="4">
        <f t="shared" si="975"/>
        <v>0.43787748058671272</v>
      </c>
      <c r="FZ295" s="4">
        <f t="shared" si="916"/>
        <v>0.3</v>
      </c>
      <c r="GA295" s="4">
        <f t="shared" si="917"/>
        <v>382.35974131921273</v>
      </c>
    </row>
    <row r="296" spans="1:183" ht="12" customHeight="1" x14ac:dyDescent="0.3">
      <c r="A296" s="25">
        <v>278</v>
      </c>
      <c r="B296" s="4" t="s">
        <v>605</v>
      </c>
      <c r="C296" s="4">
        <v>2016</v>
      </c>
      <c r="D296" s="4" t="s">
        <v>309</v>
      </c>
      <c r="E296" s="24" t="s">
        <v>666</v>
      </c>
      <c r="F296" s="7" t="s">
        <v>436</v>
      </c>
      <c r="G296" s="38">
        <f t="shared" si="989"/>
        <v>799.31034482758628</v>
      </c>
      <c r="H296" s="38">
        <f>10.94*25.4</f>
        <v>277.87599999999998</v>
      </c>
      <c r="I296" s="4">
        <f t="shared" si="850"/>
        <v>277.87599999999998</v>
      </c>
      <c r="J296" s="38">
        <f>5900/145</f>
        <v>40.689655172413794</v>
      </c>
      <c r="K296" s="38">
        <f t="shared" si="851"/>
        <v>25.4</v>
      </c>
      <c r="L296" s="7">
        <f t="shared" si="852"/>
        <v>10.94</v>
      </c>
      <c r="M296" s="7">
        <f t="shared" si="853"/>
        <v>10.94</v>
      </c>
      <c r="N296" s="38">
        <f>17.6*25.4</f>
        <v>447.04</v>
      </c>
      <c r="O296" s="38">
        <f>2.45*25.4</f>
        <v>62.230000000000004</v>
      </c>
      <c r="P296" s="39">
        <f>3.35*25.4</f>
        <v>85.09</v>
      </c>
      <c r="Q296" s="7">
        <f t="shared" si="854"/>
        <v>271.77999999999997</v>
      </c>
      <c r="R296" s="38">
        <v>2</v>
      </c>
      <c r="S296" s="4">
        <f t="shared" si="826"/>
        <v>260.34999999999997</v>
      </c>
      <c r="T296" s="7">
        <f t="shared" si="855"/>
        <v>2.95</v>
      </c>
      <c r="U296" s="7">
        <f t="shared" si="958"/>
        <v>2.95</v>
      </c>
      <c r="V296" s="38">
        <v>6.5</v>
      </c>
      <c r="W296" s="4">
        <f t="shared" si="856"/>
        <v>6.5</v>
      </c>
      <c r="X296" s="4">
        <f t="shared" si="857"/>
        <v>7.5</v>
      </c>
      <c r="Y296" s="7">
        <f t="shared" si="858"/>
        <v>69.56076480315609</v>
      </c>
      <c r="AB296" s="38">
        <f t="shared" si="885"/>
        <v>737.24137931034488</v>
      </c>
      <c r="AC296" s="4">
        <v>106.9</v>
      </c>
      <c r="AD296" s="4">
        <f t="shared" si="998"/>
        <v>1.0210557999824699</v>
      </c>
      <c r="AE296" s="38">
        <f t="shared" si="996"/>
        <v>12.7</v>
      </c>
      <c r="AF296" s="38">
        <v>10</v>
      </c>
      <c r="AG296" s="39">
        <f t="shared" si="1034"/>
        <v>76.199999999999989</v>
      </c>
      <c r="AH296" s="39">
        <v>3</v>
      </c>
      <c r="AI296" s="39">
        <v>2</v>
      </c>
      <c r="AJ296" s="7"/>
      <c r="AK296" s="4">
        <f t="shared" si="859"/>
        <v>277.87599999999998</v>
      </c>
      <c r="AL296" s="4">
        <f t="shared" si="1018"/>
        <v>0.53625837903717255</v>
      </c>
      <c r="AM296" s="4">
        <f t="shared" si="1019"/>
        <v>291.56222268863934</v>
      </c>
      <c r="AN296" s="4">
        <f t="shared" si="1020"/>
        <v>0.75393053016453382</v>
      </c>
      <c r="AO296" s="4">
        <v>1.25</v>
      </c>
      <c r="AP296" s="4">
        <f t="shared" si="933"/>
        <v>2.5</v>
      </c>
      <c r="AQ296" s="38">
        <f t="shared" si="827"/>
        <v>368.37207075008428</v>
      </c>
      <c r="AR296" s="38">
        <f t="shared" si="1021"/>
        <v>368.37207075008428</v>
      </c>
      <c r="AS296" s="38">
        <f t="shared" si="1022"/>
        <v>3.5490375497727622</v>
      </c>
      <c r="AT296" s="38">
        <f t="shared" si="940"/>
        <v>368.37207075008428</v>
      </c>
      <c r="AU296" s="38">
        <f t="shared" si="910"/>
        <v>1</v>
      </c>
      <c r="AV296" s="38">
        <f t="shared" si="941"/>
        <v>1.6615216475123706</v>
      </c>
      <c r="AW296" s="4">
        <f t="shared" si="942"/>
        <v>0</v>
      </c>
      <c r="AX296" s="4">
        <f t="shared" si="860"/>
        <v>367.28714278807342</v>
      </c>
      <c r="AY296" s="4">
        <f t="shared" si="828"/>
        <v>1</v>
      </c>
      <c r="AZ296" s="38">
        <f t="shared" si="953"/>
        <v>612.05816989022355</v>
      </c>
      <c r="BA296" s="4">
        <f t="shared" si="829"/>
        <v>0.3</v>
      </c>
      <c r="BB296" s="4">
        <f t="shared" si="830"/>
        <v>57.572259632030509</v>
      </c>
      <c r="BC296" s="4">
        <f t="shared" si="831"/>
        <v>669.63042952225408</v>
      </c>
      <c r="BE296" s="4">
        <f t="shared" si="934"/>
        <v>1.5</v>
      </c>
      <c r="BF296" s="4">
        <f t="shared" si="935"/>
        <v>601.07850259002112</v>
      </c>
      <c r="BH296" s="4">
        <f t="shared" si="959"/>
        <v>587.03863476152412</v>
      </c>
      <c r="BI296" s="4">
        <f t="shared" si="905"/>
        <v>0</v>
      </c>
      <c r="BJ296" s="4">
        <f t="shared" si="960"/>
        <v>0</v>
      </c>
      <c r="BK296" s="4">
        <f t="shared" si="1023"/>
        <v>62.230000000000004</v>
      </c>
      <c r="BL296" s="4">
        <f t="shared" si="1024"/>
        <v>62.230000000000004</v>
      </c>
      <c r="BM296" s="4">
        <f t="shared" si="1025"/>
        <v>260.34999999999997</v>
      </c>
      <c r="BN296" s="4">
        <f t="shared" si="1026"/>
        <v>74.930000000000007</v>
      </c>
      <c r="BO296" s="4">
        <f t="shared" si="1027"/>
        <v>1.25</v>
      </c>
      <c r="BP296" s="25">
        <f t="shared" si="1028"/>
        <v>4</v>
      </c>
      <c r="BR296" s="4">
        <f t="shared" si="832"/>
        <v>62.230000000000004</v>
      </c>
      <c r="BV296" s="9"/>
      <c r="BX296" s="9"/>
      <c r="BY296" s="9"/>
      <c r="BZ296" s="9">
        <f t="shared" si="833"/>
        <v>62.230000000000004</v>
      </c>
      <c r="CA296" s="9">
        <f t="shared" si="834"/>
        <v>135.88999999999999</v>
      </c>
      <c r="CB296" s="9">
        <f t="shared" si="943"/>
        <v>1.7597914236385663</v>
      </c>
      <c r="CC296" s="40">
        <f t="shared" si="861"/>
        <v>20</v>
      </c>
      <c r="CD296" s="9">
        <f t="shared" si="835"/>
        <v>0.05</v>
      </c>
      <c r="CE296" s="9">
        <f t="shared" si="836"/>
        <v>0.8</v>
      </c>
      <c r="CF296" s="9">
        <f t="shared" si="837"/>
        <v>0.99524931562137331</v>
      </c>
      <c r="CG296" s="9">
        <f t="shared" si="838"/>
        <v>0.68048275862068963</v>
      </c>
      <c r="CH296" s="9">
        <f t="shared" si="944"/>
        <v>1.51202531590344</v>
      </c>
      <c r="CI296" s="9">
        <f t="shared" si="945"/>
        <v>3.7800632897586</v>
      </c>
      <c r="CJ296" s="40">
        <v>1</v>
      </c>
      <c r="CK296" s="9">
        <f t="shared" si="946"/>
        <v>392.21936694535231</v>
      </c>
      <c r="CM296" s="4">
        <f t="shared" si="839"/>
        <v>2.0072616038610884</v>
      </c>
      <c r="CN296" s="4">
        <f t="shared" si="840"/>
        <v>1.1009675588314105</v>
      </c>
      <c r="CO296" s="4">
        <f t="shared" si="814"/>
        <v>1.2265309375291311</v>
      </c>
      <c r="CP296" s="4">
        <f t="shared" si="841"/>
        <v>1.8796659253520858</v>
      </c>
      <c r="CQ296" s="4">
        <f t="shared" si="1035"/>
        <v>1.0210557999824699</v>
      </c>
      <c r="CR296" s="4">
        <f t="shared" si="1036"/>
        <v>1.0745054096439952</v>
      </c>
      <c r="CS296" s="4">
        <f t="shared" si="815"/>
        <v>1.4646074726472567</v>
      </c>
      <c r="CT296" s="4">
        <f t="shared" si="862"/>
        <v>10</v>
      </c>
      <c r="DA296" s="4">
        <f t="shared" si="992"/>
        <v>2.0072616038610884</v>
      </c>
      <c r="DB296" s="4">
        <f t="shared" si="992"/>
        <v>1.1009675588314105</v>
      </c>
      <c r="DC296" s="4">
        <f t="shared" si="993"/>
        <v>1.8796659253520858</v>
      </c>
      <c r="DD296" s="4">
        <f t="shared" si="994"/>
        <v>1.4646074726472567</v>
      </c>
      <c r="DE296" s="4">
        <f t="shared" si="995"/>
        <v>1.0210557999824699</v>
      </c>
      <c r="DF296" s="4">
        <f t="shared" si="995"/>
        <v>1.0745054096439952</v>
      </c>
      <c r="DI296" s="4">
        <f t="shared" si="846"/>
        <v>277.87599999999998</v>
      </c>
      <c r="DL296" s="4">
        <f t="shared" si="999"/>
        <v>2.1018532536618391E-5</v>
      </c>
      <c r="DM296" s="4">
        <f t="shared" si="1000"/>
        <v>9.7866580905942957</v>
      </c>
      <c r="DN296" s="4">
        <f t="shared" si="1001"/>
        <v>0.37698194807778418</v>
      </c>
      <c r="DO296" s="4">
        <f t="shared" si="1002"/>
        <v>6.6246454169545199</v>
      </c>
      <c r="DP296" s="4">
        <f t="shared" si="1003"/>
        <v>8.3571143650726452</v>
      </c>
      <c r="DQ296" s="4">
        <f t="shared" si="1004"/>
        <v>8.9912219231036268</v>
      </c>
      <c r="DR296" s="38">
        <f t="shared" si="1029"/>
        <v>722.03828558929126</v>
      </c>
      <c r="DS296" s="4">
        <f t="shared" si="1005"/>
        <v>1.000116745064352</v>
      </c>
      <c r="DT296" s="4">
        <f t="shared" si="1006"/>
        <v>2.7386127875258306</v>
      </c>
      <c r="DU296" s="4">
        <f t="shared" si="1007"/>
        <v>368.37207075008428</v>
      </c>
      <c r="DY296" s="4">
        <f t="shared" si="1008"/>
        <v>0.85</v>
      </c>
      <c r="DZ296" s="4">
        <f t="shared" si="1009"/>
        <v>0.85499999999999998</v>
      </c>
      <c r="EA296" s="4">
        <f t="shared" si="1030"/>
        <v>0.77500000000000002</v>
      </c>
      <c r="EB296" s="4">
        <f t="shared" si="1010"/>
        <v>0.7</v>
      </c>
      <c r="ED296" s="4">
        <f t="shared" si="1031"/>
        <v>686.12160785175342</v>
      </c>
      <c r="EE296" s="25">
        <f t="shared" si="1032"/>
        <v>364.92348931844867</v>
      </c>
      <c r="EG296" s="4">
        <f t="shared" si="932"/>
        <v>0.59499999999999997</v>
      </c>
      <c r="EH296" s="4">
        <f t="shared" si="1033"/>
        <v>9.7866580905942957</v>
      </c>
      <c r="EK296" s="4">
        <f t="shared" si="1011"/>
        <v>69.56076480315609</v>
      </c>
      <c r="EL296" s="4">
        <f t="shared" si="1012"/>
        <v>2.7386127875258306</v>
      </c>
      <c r="EM296" s="4">
        <f t="shared" si="1013"/>
        <v>0.13149154384020617</v>
      </c>
      <c r="EP296" s="4">
        <f t="shared" si="863"/>
        <v>0.13149154384020617</v>
      </c>
      <c r="EQ296" s="4">
        <f t="shared" si="951"/>
        <v>0.37635283546632642</v>
      </c>
      <c r="ER296" s="4">
        <f t="shared" si="1014"/>
        <v>6.6202210816600546</v>
      </c>
      <c r="ES296" s="4">
        <f t="shared" si="847"/>
        <v>8.3553644821317707</v>
      </c>
      <c r="ET296" s="4">
        <f t="shared" si="1015"/>
        <v>138.84623519684391</v>
      </c>
      <c r="EU296" s="4">
        <f t="shared" si="1016"/>
        <v>69.468999999999994</v>
      </c>
      <c r="EV296" s="4">
        <f t="shared" si="952"/>
        <v>2.1018532536618391E-5</v>
      </c>
      <c r="EW296" s="4">
        <f t="shared" si="848"/>
        <v>8.9914453005690351</v>
      </c>
      <c r="EX296" s="4">
        <f t="shared" si="965"/>
        <v>721.95400102298265</v>
      </c>
      <c r="FG296" s="23">
        <f t="shared" si="878"/>
        <v>2.2000000000000002</v>
      </c>
      <c r="FH296" s="23">
        <f t="shared" si="878"/>
        <v>1.2</v>
      </c>
      <c r="FI296" s="23">
        <f t="shared" si="818"/>
        <v>1.6</v>
      </c>
      <c r="FJ296" s="23">
        <f t="shared" si="879"/>
        <v>2</v>
      </c>
      <c r="FK296" s="23">
        <f t="shared" si="879"/>
        <v>1.2</v>
      </c>
      <c r="FL296" s="23">
        <f t="shared" si="879"/>
        <v>1.2</v>
      </c>
      <c r="FM296" s="23">
        <f t="shared" si="1037"/>
        <v>0</v>
      </c>
      <c r="FN296" s="23"/>
      <c r="FX296" s="4">
        <f t="shared" si="915"/>
        <v>1.25</v>
      </c>
      <c r="FY296" s="4">
        <f t="shared" si="975"/>
        <v>0.43787748058671272</v>
      </c>
      <c r="FZ296" s="4">
        <f t="shared" si="916"/>
        <v>0.3</v>
      </c>
      <c r="GA296" s="4">
        <f t="shared" si="917"/>
        <v>503.37130806644853</v>
      </c>
    </row>
    <row r="297" spans="1:183" ht="12" customHeight="1" x14ac:dyDescent="0.3">
      <c r="A297" s="25">
        <v>279</v>
      </c>
      <c r="B297" s="4" t="s">
        <v>605</v>
      </c>
      <c r="C297" s="4">
        <v>2016</v>
      </c>
      <c r="D297" s="4" t="s">
        <v>309</v>
      </c>
      <c r="E297" s="24" t="s">
        <v>666</v>
      </c>
      <c r="F297" s="48" t="s">
        <v>437</v>
      </c>
      <c r="G297" s="38">
        <f t="shared" si="989"/>
        <v>799.31034482758628</v>
      </c>
      <c r="H297" s="38">
        <f>8*25.4</f>
        <v>203.2</v>
      </c>
      <c r="I297" s="4">
        <f t="shared" si="850"/>
        <v>203.2</v>
      </c>
      <c r="J297" s="38">
        <f>5900/145</f>
        <v>40.689655172413794</v>
      </c>
      <c r="K297" s="38">
        <f t="shared" si="851"/>
        <v>25.4</v>
      </c>
      <c r="L297" s="7">
        <f t="shared" si="852"/>
        <v>8</v>
      </c>
      <c r="M297" s="7">
        <f t="shared" si="853"/>
        <v>8</v>
      </c>
      <c r="N297" s="38">
        <f>17.3*25.4</f>
        <v>439.42</v>
      </c>
      <c r="O297" s="38">
        <f>2.65*25.4</f>
        <v>67.309999999999988</v>
      </c>
      <c r="P297" s="39">
        <f>3.4*25.4</f>
        <v>86.36</v>
      </c>
      <c r="Q297" s="7">
        <f t="shared" si="854"/>
        <v>254.00000000000003</v>
      </c>
      <c r="R297" s="38">
        <v>2</v>
      </c>
      <c r="S297" s="4">
        <f t="shared" si="826"/>
        <v>260.34999999999997</v>
      </c>
      <c r="T297" s="7">
        <f t="shared" si="855"/>
        <v>3.1499999999999995</v>
      </c>
      <c r="U297" s="7">
        <f t="shared" si="958"/>
        <v>3.1499999999999995</v>
      </c>
      <c r="V297" s="38">
        <v>4.5</v>
      </c>
      <c r="W297" s="4">
        <f t="shared" si="856"/>
        <v>4.5</v>
      </c>
      <c r="X297" s="4">
        <f t="shared" si="857"/>
        <v>5.5</v>
      </c>
      <c r="Y297" s="7">
        <f t="shared" si="858"/>
        <v>59.568280149757555</v>
      </c>
      <c r="AB297" s="38">
        <f t="shared" si="885"/>
        <v>597.24137931034488</v>
      </c>
      <c r="AC297" s="4">
        <v>86.6</v>
      </c>
      <c r="AD297" s="4">
        <f t="shared" si="998"/>
        <v>1.0263095681968797</v>
      </c>
      <c r="AE297" s="38">
        <f t="shared" si="996"/>
        <v>12.7</v>
      </c>
      <c r="AF297" s="38">
        <v>10</v>
      </c>
      <c r="AG297" s="39">
        <f t="shared" si="1034"/>
        <v>76.199999999999989</v>
      </c>
      <c r="AH297" s="39">
        <v>3</v>
      </c>
      <c r="AI297" s="39">
        <v>2</v>
      </c>
      <c r="AJ297" s="7"/>
      <c r="AK297" s="4">
        <f t="shared" si="859"/>
        <v>203.2</v>
      </c>
      <c r="AL297" s="4">
        <f t="shared" si="1018"/>
        <v>0.72083333333333333</v>
      </c>
      <c r="AM297" s="4">
        <f t="shared" si="1019"/>
        <v>182.32249269813812</v>
      </c>
      <c r="AN297" s="4">
        <f t="shared" si="1020"/>
        <v>0.77874999999999994</v>
      </c>
      <c r="AO297" s="4">
        <v>1.25</v>
      </c>
      <c r="AP297" s="4">
        <f t="shared" si="933"/>
        <v>2.5</v>
      </c>
      <c r="AQ297" s="38">
        <f t="shared" si="827"/>
        <v>319.83294174011439</v>
      </c>
      <c r="AR297" s="38">
        <f t="shared" si="1021"/>
        <v>319.83294174011439</v>
      </c>
      <c r="AS297" s="38">
        <f t="shared" si="1022"/>
        <v>3.5490375497727622</v>
      </c>
      <c r="AT297" s="38">
        <f t="shared" si="940"/>
        <v>319.83294174011451</v>
      </c>
      <c r="AU297" s="38">
        <f t="shared" si="910"/>
        <v>0.99999999999999967</v>
      </c>
      <c r="AV297" s="38">
        <f t="shared" si="941"/>
        <v>1.7002297973633207</v>
      </c>
      <c r="AW297" s="4">
        <f t="shared" si="942"/>
        <v>0</v>
      </c>
      <c r="AX297" s="4">
        <f t="shared" si="860"/>
        <v>268.58291977190015</v>
      </c>
      <c r="AY297" s="4">
        <f t="shared" si="828"/>
        <v>1</v>
      </c>
      <c r="AZ297" s="38">
        <f t="shared" si="953"/>
        <v>543.78949772490967</v>
      </c>
      <c r="BA297" s="4">
        <f t="shared" si="829"/>
        <v>0.37</v>
      </c>
      <c r="BB297" s="4">
        <f t="shared" si="830"/>
        <v>51.923792964902589</v>
      </c>
      <c r="BC297" s="4">
        <f t="shared" si="831"/>
        <v>595.71329068981231</v>
      </c>
      <c r="BE297" s="4">
        <f t="shared" si="934"/>
        <v>1.5</v>
      </c>
      <c r="BF297" s="4">
        <f t="shared" si="935"/>
        <v>516.68639191119291</v>
      </c>
      <c r="BH297" s="4">
        <f t="shared" si="959"/>
        <v>521.56062944040264</v>
      </c>
      <c r="BI297" s="4">
        <f t="shared" si="905"/>
        <v>0</v>
      </c>
      <c r="BJ297" s="4">
        <f t="shared" si="960"/>
        <v>0</v>
      </c>
      <c r="BK297" s="4">
        <f t="shared" si="1023"/>
        <v>67.309999999999988</v>
      </c>
      <c r="BL297" s="4">
        <f t="shared" si="1024"/>
        <v>67.309999999999988</v>
      </c>
      <c r="BM297" s="4">
        <f t="shared" si="1025"/>
        <v>260.34999999999997</v>
      </c>
      <c r="BN297" s="4">
        <f t="shared" si="1026"/>
        <v>80.009999999999991</v>
      </c>
      <c r="BO297" s="4">
        <f t="shared" si="1027"/>
        <v>1.25</v>
      </c>
      <c r="BP297" s="25">
        <f t="shared" si="1028"/>
        <v>4</v>
      </c>
      <c r="BR297" s="4">
        <f t="shared" si="832"/>
        <v>67.309999999999988</v>
      </c>
      <c r="BV297" s="9"/>
      <c r="BX297" s="9"/>
      <c r="BY297" s="9"/>
      <c r="BZ297" s="9">
        <f t="shared" si="833"/>
        <v>67.309999999999988</v>
      </c>
      <c r="CA297" s="9">
        <f t="shared" si="834"/>
        <v>127.00000000000001</v>
      </c>
      <c r="CB297" s="9">
        <f t="shared" si="943"/>
        <v>1.7905298128039189</v>
      </c>
      <c r="CC297" s="40">
        <f t="shared" si="861"/>
        <v>20</v>
      </c>
      <c r="CD297" s="9">
        <f t="shared" si="835"/>
        <v>0.05</v>
      </c>
      <c r="CE297" s="9">
        <f t="shared" si="836"/>
        <v>0.8</v>
      </c>
      <c r="CF297" s="9">
        <f t="shared" si="837"/>
        <v>0.99524931562137331</v>
      </c>
      <c r="CG297" s="9">
        <f t="shared" si="838"/>
        <v>0.68048275862068963</v>
      </c>
      <c r="CH297" s="9">
        <f t="shared" si="944"/>
        <v>1.51202531590344</v>
      </c>
      <c r="CI297" s="9">
        <f t="shared" si="945"/>
        <v>3.7800632897586</v>
      </c>
      <c r="CJ297" s="40">
        <v>1</v>
      </c>
      <c r="CK297" s="9">
        <f t="shared" si="946"/>
        <v>347.7658226577912</v>
      </c>
      <c r="CM297" s="4">
        <f t="shared" si="839"/>
        <v>2.2236759501220891</v>
      </c>
      <c r="CN297" s="4">
        <f t="shared" si="840"/>
        <v>1.0025651410576439</v>
      </c>
      <c r="CO297" s="4">
        <f t="shared" si="814"/>
        <v>1.1559069266391626</v>
      </c>
      <c r="CP297" s="4">
        <f t="shared" si="841"/>
        <v>1.7173665161974321</v>
      </c>
      <c r="CQ297" s="4">
        <f t="shared" si="1035"/>
        <v>1.0263095681968797</v>
      </c>
      <c r="CR297" s="4">
        <f t="shared" si="1036"/>
        <v>1.0849879495526928</v>
      </c>
      <c r="CS297" s="4">
        <f t="shared" si="815"/>
        <v>1.2980121403329294</v>
      </c>
      <c r="CT297" s="4">
        <f t="shared" si="862"/>
        <v>10</v>
      </c>
      <c r="DA297" s="4">
        <f t="shared" si="992"/>
        <v>2.2236759501220891</v>
      </c>
      <c r="DB297" s="4">
        <f t="shared" si="992"/>
        <v>1.0025651410576439</v>
      </c>
      <c r="DC297" s="4">
        <f t="shared" si="993"/>
        <v>1.7173665161974321</v>
      </c>
      <c r="DD297" s="4">
        <f t="shared" si="994"/>
        <v>1.2980121403329294</v>
      </c>
      <c r="DE297" s="4">
        <f t="shared" si="995"/>
        <v>1.0263095681968797</v>
      </c>
      <c r="DF297" s="4">
        <f t="shared" si="995"/>
        <v>1.0849879495526928</v>
      </c>
      <c r="DI297" s="4">
        <f t="shared" si="846"/>
        <v>203.2</v>
      </c>
      <c r="DL297" s="4">
        <f t="shared" si="999"/>
        <v>1.5370042074309613E-5</v>
      </c>
      <c r="DM297" s="4">
        <f t="shared" si="1000"/>
        <v>9.7866580905942957</v>
      </c>
      <c r="DN297" s="4">
        <f t="shared" si="1001"/>
        <v>0.40486348345474776</v>
      </c>
      <c r="DO297" s="4">
        <f t="shared" si="1002"/>
        <v>6.8164438083910133</v>
      </c>
      <c r="DP297" s="4">
        <f t="shared" si="1003"/>
        <v>8.4337539253618328</v>
      </c>
      <c r="DQ297" s="4">
        <f t="shared" si="1004"/>
        <v>9.3574628859365134</v>
      </c>
      <c r="DR297" s="38">
        <f t="shared" si="1029"/>
        <v>581.93102531396698</v>
      </c>
      <c r="DS297" s="4">
        <f t="shared" si="1005"/>
        <v>1.0001177253884419</v>
      </c>
      <c r="DT297" s="4">
        <f t="shared" si="1006"/>
        <v>2.3452078799117149</v>
      </c>
      <c r="DU297" s="4">
        <f t="shared" si="1007"/>
        <v>319.83294174011451</v>
      </c>
      <c r="DY297" s="4">
        <f t="shared" si="1008"/>
        <v>0.85</v>
      </c>
      <c r="DZ297" s="4">
        <f t="shared" si="1009"/>
        <v>0.83499999999999996</v>
      </c>
      <c r="EA297" s="4">
        <f t="shared" si="1030"/>
        <v>0.77500000000000002</v>
      </c>
      <c r="EB297" s="4">
        <f t="shared" si="1010"/>
        <v>0.7</v>
      </c>
      <c r="ED297" s="4">
        <f t="shared" si="1031"/>
        <v>550.45899777649061</v>
      </c>
      <c r="EE297" s="25">
        <f t="shared" si="1032"/>
        <v>315.57920360222749</v>
      </c>
      <c r="EG297" s="4">
        <f t="shared" si="932"/>
        <v>0.59499999999999997</v>
      </c>
      <c r="EH297" s="4">
        <f t="shared" si="1033"/>
        <v>9.7866580905942957</v>
      </c>
      <c r="EK297" s="4">
        <f t="shared" si="1011"/>
        <v>59.568280149757555</v>
      </c>
      <c r="EL297" s="4">
        <f t="shared" si="1012"/>
        <v>2.3452078799117149</v>
      </c>
      <c r="EM297" s="4">
        <f t="shared" si="1013"/>
        <v>0.14121664115599541</v>
      </c>
      <c r="EP297" s="4">
        <f t="shared" si="863"/>
        <v>0.14121664115599541</v>
      </c>
      <c r="EQ297" s="4">
        <f t="shared" si="951"/>
        <v>0.40418784175715761</v>
      </c>
      <c r="ER297" s="4">
        <f t="shared" si="1014"/>
        <v>6.8118913786342432</v>
      </c>
      <c r="ES297" s="4">
        <f t="shared" si="847"/>
        <v>8.4319173401450929</v>
      </c>
      <c r="ET297" s="4">
        <f t="shared" si="1015"/>
        <v>92.831719850242422</v>
      </c>
      <c r="EU297" s="4">
        <f t="shared" si="1016"/>
        <v>50.800000000000011</v>
      </c>
      <c r="EV297" s="4">
        <f t="shared" si="952"/>
        <v>1.537004207430962E-5</v>
      </c>
      <c r="EW297" s="4">
        <f t="shared" si="848"/>
        <v>9.3575947526180077</v>
      </c>
      <c r="EX297" s="4">
        <f t="shared" si="965"/>
        <v>581.8625253221536</v>
      </c>
      <c r="FA297" s="4">
        <f t="shared" ref="FA297:FA298" si="1038">5.25*25.4</f>
        <v>133.35</v>
      </c>
      <c r="FG297" s="23">
        <f t="shared" si="878"/>
        <v>2.2000000000000002</v>
      </c>
      <c r="FH297" s="23">
        <f t="shared" si="878"/>
        <v>1.2</v>
      </c>
      <c r="FI297" s="23">
        <f t="shared" si="818"/>
        <v>1.4</v>
      </c>
      <c r="FJ297" s="23">
        <f t="shared" si="879"/>
        <v>1.8</v>
      </c>
      <c r="FK297" s="23">
        <f t="shared" si="879"/>
        <v>1.2</v>
      </c>
      <c r="FL297" s="23">
        <f t="shared" si="879"/>
        <v>1.2</v>
      </c>
      <c r="FM297" s="23">
        <f t="shared" si="1037"/>
        <v>0</v>
      </c>
      <c r="FN297" s="23"/>
      <c r="FX297" s="4">
        <f t="shared" si="915"/>
        <v>1</v>
      </c>
      <c r="FY297" s="4">
        <f t="shared" si="975"/>
        <v>0.43787748058671272</v>
      </c>
      <c r="FZ297" s="4">
        <f t="shared" si="916"/>
        <v>0.3</v>
      </c>
      <c r="GA297" s="4">
        <f t="shared" si="917"/>
        <v>460.12002565488899</v>
      </c>
    </row>
    <row r="298" spans="1:183" ht="12" customHeight="1" x14ac:dyDescent="0.3">
      <c r="A298" s="25">
        <v>280</v>
      </c>
      <c r="B298" s="4" t="s">
        <v>605</v>
      </c>
      <c r="C298" s="4">
        <v>2016</v>
      </c>
      <c r="D298" s="4" t="s">
        <v>309</v>
      </c>
      <c r="E298" s="24" t="s">
        <v>666</v>
      </c>
      <c r="F298" s="48" t="s">
        <v>438</v>
      </c>
      <c r="G298" s="38">
        <f t="shared" si="989"/>
        <v>799.31034482758628</v>
      </c>
      <c r="H298" s="38">
        <f>11.13*25.4</f>
        <v>282.702</v>
      </c>
      <c r="I298" s="4">
        <f t="shared" si="850"/>
        <v>282.702</v>
      </c>
      <c r="J298" s="38">
        <f>5900/145</f>
        <v>40.689655172413794</v>
      </c>
      <c r="K298" s="38">
        <f t="shared" si="851"/>
        <v>25.4</v>
      </c>
      <c r="L298" s="7">
        <f t="shared" si="852"/>
        <v>11.13</v>
      </c>
      <c r="M298" s="7">
        <f t="shared" si="853"/>
        <v>11.13</v>
      </c>
      <c r="N298" s="38">
        <f>16.6*25.4</f>
        <v>421.64</v>
      </c>
      <c r="O298" s="38">
        <f>2.45*25.4</f>
        <v>62.230000000000004</v>
      </c>
      <c r="P298" s="39">
        <f>3.15*25.4</f>
        <v>80.009999999999991</v>
      </c>
      <c r="Q298" s="7">
        <f t="shared" si="854"/>
        <v>246.37999999999997</v>
      </c>
      <c r="R298" s="38">
        <v>2</v>
      </c>
      <c r="S298" s="4">
        <f t="shared" si="826"/>
        <v>260.34999999999997</v>
      </c>
      <c r="T298" s="7">
        <f t="shared" si="855"/>
        <v>2.95</v>
      </c>
      <c r="U298" s="7">
        <f t="shared" si="958"/>
        <v>2.95</v>
      </c>
      <c r="V298" s="38">
        <v>4.5</v>
      </c>
      <c r="W298" s="4">
        <f t="shared" si="856"/>
        <v>4.5</v>
      </c>
      <c r="X298" s="4">
        <f t="shared" si="857"/>
        <v>5.5</v>
      </c>
      <c r="Y298" s="7">
        <f t="shared" si="858"/>
        <v>59.568280149757555</v>
      </c>
      <c r="AB298" s="38">
        <f t="shared" si="885"/>
        <v>717.93103448275861</v>
      </c>
      <c r="AC298" s="4">
        <v>104.1</v>
      </c>
      <c r="AD298" s="4">
        <f t="shared" si="998"/>
        <v>0.99617785069192466</v>
      </c>
      <c r="AE298" s="38">
        <f t="shared" si="996"/>
        <v>12.7</v>
      </c>
      <c r="AF298" s="38">
        <v>10</v>
      </c>
      <c r="AG298" s="39">
        <f t="shared" si="1034"/>
        <v>76.199999999999989</v>
      </c>
      <c r="AH298" s="39">
        <v>3</v>
      </c>
      <c r="AI298" s="39">
        <v>2</v>
      </c>
      <c r="AJ298" s="7"/>
      <c r="AK298" s="4">
        <f t="shared" si="859"/>
        <v>282.702</v>
      </c>
      <c r="AL298" s="4">
        <f t="shared" si="1018"/>
        <v>0.49715483677747829</v>
      </c>
      <c r="AM298" s="4">
        <f t="shared" si="1019"/>
        <v>299.19064902706572</v>
      </c>
      <c r="AN298" s="4">
        <f t="shared" si="1020"/>
        <v>0.75300988319856244</v>
      </c>
      <c r="AO298" s="4">
        <v>1.25</v>
      </c>
      <c r="AP298" s="4">
        <f t="shared" si="933"/>
        <v>2.5</v>
      </c>
      <c r="AQ298" s="38">
        <f t="shared" si="827"/>
        <v>350.01800316845885</v>
      </c>
      <c r="AR298" s="38">
        <f t="shared" si="1021"/>
        <v>350.01800316845885</v>
      </c>
      <c r="AS298" s="38">
        <f t="shared" si="1022"/>
        <v>3.5490375497727622</v>
      </c>
      <c r="AT298" s="38">
        <f t="shared" si="940"/>
        <v>350.01800316845902</v>
      </c>
      <c r="AU298" s="38">
        <f t="shared" si="910"/>
        <v>0.99999999999999956</v>
      </c>
      <c r="AV298" s="38">
        <f t="shared" si="941"/>
        <v>1.4549628184809134</v>
      </c>
      <c r="AW298" s="4">
        <f t="shared" si="942"/>
        <v>0</v>
      </c>
      <c r="AX298" s="4">
        <f t="shared" si="860"/>
        <v>373.66598713265614</v>
      </c>
      <c r="AY298" s="4">
        <f t="shared" si="828"/>
        <v>1</v>
      </c>
      <c r="AZ298" s="38">
        <f t="shared" si="953"/>
        <v>509.26318040904238</v>
      </c>
      <c r="BA298" s="4">
        <f t="shared" si="829"/>
        <v>0.37</v>
      </c>
      <c r="BB298" s="4">
        <f t="shared" si="830"/>
        <v>72.238976962420736</v>
      </c>
      <c r="BC298" s="4">
        <f t="shared" si="831"/>
        <v>581.50215737146311</v>
      </c>
      <c r="BE298" s="4">
        <f t="shared" si="934"/>
        <v>1.5</v>
      </c>
      <c r="BF298" s="4">
        <f t="shared" si="935"/>
        <v>606.53241450463929</v>
      </c>
      <c r="BH298" s="4">
        <f t="shared" si="959"/>
        <v>488.44566884101204</v>
      </c>
      <c r="BI298" s="4">
        <f t="shared" si="905"/>
        <v>0</v>
      </c>
      <c r="BJ298" s="4">
        <f t="shared" si="960"/>
        <v>0</v>
      </c>
      <c r="BK298" s="4">
        <f t="shared" si="1023"/>
        <v>62.230000000000004</v>
      </c>
      <c r="BL298" s="4">
        <f t="shared" si="1024"/>
        <v>62.230000000000004</v>
      </c>
      <c r="BM298" s="4">
        <f t="shared" si="1025"/>
        <v>260.34999999999997</v>
      </c>
      <c r="BN298" s="4">
        <f t="shared" si="1026"/>
        <v>74.930000000000007</v>
      </c>
      <c r="BO298" s="4">
        <f t="shared" si="1027"/>
        <v>1.25</v>
      </c>
      <c r="BP298" s="25">
        <f t="shared" si="1028"/>
        <v>4</v>
      </c>
      <c r="BR298" s="4">
        <f t="shared" si="832"/>
        <v>62.230000000000004</v>
      </c>
      <c r="BV298" s="9"/>
      <c r="BX298" s="9"/>
      <c r="BY298" s="9"/>
      <c r="BZ298" s="9">
        <f t="shared" si="833"/>
        <v>62.230000000000004</v>
      </c>
      <c r="CA298" s="9">
        <f t="shared" si="834"/>
        <v>123.18999999999998</v>
      </c>
      <c r="CB298" s="9">
        <f t="shared" si="943"/>
        <v>1.7340810420811554</v>
      </c>
      <c r="CC298" s="40">
        <f t="shared" si="861"/>
        <v>20</v>
      </c>
      <c r="CD298" s="9">
        <f t="shared" si="835"/>
        <v>0.05</v>
      </c>
      <c r="CE298" s="9">
        <f t="shared" si="836"/>
        <v>0.8</v>
      </c>
      <c r="CF298" s="9">
        <f t="shared" si="837"/>
        <v>0.99524931562137331</v>
      </c>
      <c r="CG298" s="9">
        <f t="shared" si="838"/>
        <v>0.68048275862068963</v>
      </c>
      <c r="CH298" s="9">
        <f t="shared" si="944"/>
        <v>1.51202531590344</v>
      </c>
      <c r="CI298" s="9">
        <f t="shared" si="945"/>
        <v>3.7800632897586</v>
      </c>
      <c r="CJ298" s="40">
        <v>1</v>
      </c>
      <c r="CK298" s="9">
        <f t="shared" si="946"/>
        <v>395.09221504556888</v>
      </c>
      <c r="CM298" s="4">
        <f t="shared" si="839"/>
        <v>1.9213175916594305</v>
      </c>
      <c r="CN298" s="4">
        <f t="shared" si="840"/>
        <v>1.234614567429962</v>
      </c>
      <c r="CO298" s="4">
        <f t="shared" si="814"/>
        <v>1.1836647429125442</v>
      </c>
      <c r="CP298" s="4">
        <f t="shared" si="841"/>
        <v>1.8171227048853755</v>
      </c>
      <c r="CQ298" s="4">
        <f t="shared" si="1035"/>
        <v>0.99617785069192466</v>
      </c>
      <c r="CR298" s="4">
        <f t="shared" si="1036"/>
        <v>1.0658353776281775</v>
      </c>
      <c r="CS298" s="4">
        <f t="shared" si="815"/>
        <v>1.4018980369375771</v>
      </c>
      <c r="CT298" s="4">
        <f t="shared" si="862"/>
        <v>10</v>
      </c>
      <c r="DA298" s="4">
        <f t="shared" si="992"/>
        <v>1.9213175916594305</v>
      </c>
      <c r="DB298" s="4">
        <f t="shared" si="992"/>
        <v>1.234614567429962</v>
      </c>
      <c r="DC298" s="4">
        <f t="shared" si="993"/>
        <v>1.8171227048853755</v>
      </c>
      <c r="DD298" s="4">
        <f t="shared" si="994"/>
        <v>1.4018980369375771</v>
      </c>
      <c r="DE298" s="4">
        <f t="shared" si="995"/>
        <v>0.99617785069192466</v>
      </c>
      <c r="DF298" s="4">
        <f t="shared" si="995"/>
        <v>1.0658353776281775</v>
      </c>
      <c r="DI298" s="4">
        <f t="shared" si="846"/>
        <v>282.702</v>
      </c>
      <c r="DL298" s="4">
        <f t="shared" si="999"/>
        <v>2.138357103588325E-5</v>
      </c>
      <c r="DM298" s="4">
        <f t="shared" si="1000"/>
        <v>9.7866580905942957</v>
      </c>
      <c r="DN298" s="4">
        <f t="shared" si="1001"/>
        <v>0.44307352226965302</v>
      </c>
      <c r="DO298" s="4">
        <f t="shared" si="1002"/>
        <v>7.0668314807790713</v>
      </c>
      <c r="DP298" s="4">
        <f t="shared" si="1003"/>
        <v>8.5360487312986368</v>
      </c>
      <c r="DQ298" s="4">
        <f t="shared" si="1004"/>
        <v>8.9336398603685065</v>
      </c>
      <c r="DR298" s="38">
        <f t="shared" si="1029"/>
        <v>720.68560245953915</v>
      </c>
      <c r="DS298" s="4">
        <f t="shared" si="1005"/>
        <v>1.0001227646015325</v>
      </c>
      <c r="DT298" s="4">
        <f t="shared" si="1006"/>
        <v>2.3452078799117149</v>
      </c>
      <c r="DU298" s="4">
        <f t="shared" si="1007"/>
        <v>350.01800316845902</v>
      </c>
      <c r="DY298" s="4">
        <f t="shared" si="1008"/>
        <v>0.85</v>
      </c>
      <c r="DZ298" s="4">
        <f t="shared" si="1009"/>
        <v>0.85499999999999998</v>
      </c>
      <c r="EA298" s="4">
        <f t="shared" si="1030"/>
        <v>0.77500000000000002</v>
      </c>
      <c r="EB298" s="4">
        <f t="shared" si="1010"/>
        <v>0.7</v>
      </c>
      <c r="ED298" s="4">
        <f t="shared" si="1031"/>
        <v>673.58529239326185</v>
      </c>
      <c r="EE298" s="25">
        <f t="shared" si="1032"/>
        <v>346.80877874831833</v>
      </c>
      <c r="EG298" s="4">
        <f t="shared" si="932"/>
        <v>0.59499999999999997</v>
      </c>
      <c r="EH298" s="4">
        <f t="shared" si="1033"/>
        <v>9.7866580905942957</v>
      </c>
      <c r="EK298" s="4">
        <f t="shared" si="1011"/>
        <v>59.568280149757555</v>
      </c>
      <c r="EL298" s="4">
        <f t="shared" si="1012"/>
        <v>2.3452078799117149</v>
      </c>
      <c r="EM298" s="4">
        <f t="shared" si="1013"/>
        <v>0.15454432705603594</v>
      </c>
      <c r="EP298" s="4">
        <f t="shared" si="863"/>
        <v>0.15454432705603594</v>
      </c>
      <c r="EQ298" s="4">
        <f t="shared" si="951"/>
        <v>0.44233411513866389</v>
      </c>
      <c r="ER298" s="4">
        <f t="shared" si="1014"/>
        <v>7.0621118271262979</v>
      </c>
      <c r="ES298" s="4">
        <f t="shared" si="847"/>
        <v>8.5340975732255</v>
      </c>
      <c r="ET298" s="4">
        <f t="shared" si="1015"/>
        <v>152.45821985024244</v>
      </c>
      <c r="EU298" s="4">
        <f t="shared" si="1016"/>
        <v>70.6755</v>
      </c>
      <c r="EV298" s="4">
        <f t="shared" si="952"/>
        <v>2.138357103588325E-5</v>
      </c>
      <c r="EW298" s="4">
        <f t="shared" si="848"/>
        <v>8.9338785070951161</v>
      </c>
      <c r="EX298" s="4">
        <f t="shared" si="965"/>
        <v>720.59713863894876</v>
      </c>
      <c r="FA298" s="4">
        <f t="shared" si="1038"/>
        <v>133.35</v>
      </c>
      <c r="FG298" s="23">
        <f t="shared" si="878"/>
        <v>2</v>
      </c>
      <c r="FH298" s="23">
        <f t="shared" si="878"/>
        <v>1.4</v>
      </c>
      <c r="FI298" s="23">
        <f t="shared" si="818"/>
        <v>1.6</v>
      </c>
      <c r="FJ298" s="23">
        <f t="shared" si="879"/>
        <v>2</v>
      </c>
      <c r="FK298" s="23">
        <f t="shared" si="879"/>
        <v>1</v>
      </c>
      <c r="FL298" s="23">
        <f t="shared" si="879"/>
        <v>1.2</v>
      </c>
      <c r="FM298" s="23">
        <f t="shared" si="1037"/>
        <v>0</v>
      </c>
      <c r="FN298" s="23"/>
      <c r="FX298" s="4">
        <f t="shared" si="915"/>
        <v>1.25</v>
      </c>
      <c r="FY298" s="4">
        <f t="shared" si="975"/>
        <v>0.43787748058671272</v>
      </c>
      <c r="FZ298" s="4">
        <f t="shared" si="916"/>
        <v>0.3</v>
      </c>
      <c r="GA298" s="4">
        <f t="shared" si="917"/>
        <v>512.11358855389153</v>
      </c>
    </row>
    <row r="299" spans="1:183" ht="12" customHeight="1" x14ac:dyDescent="0.3">
      <c r="A299" s="25">
        <v>281</v>
      </c>
      <c r="B299" s="4" t="s">
        <v>605</v>
      </c>
      <c r="C299" s="4">
        <v>2016</v>
      </c>
      <c r="D299" s="4" t="s">
        <v>309</v>
      </c>
      <c r="E299" s="24" t="s">
        <v>439</v>
      </c>
      <c r="F299" s="7" t="s">
        <v>440</v>
      </c>
      <c r="G299" s="38">
        <f>120/0.145</f>
        <v>827.58620689655174</v>
      </c>
      <c r="H299" s="38">
        <f>14.38*25.4</f>
        <v>365.25200000000001</v>
      </c>
      <c r="I299" s="4">
        <f t="shared" si="850"/>
        <v>365.25200000000001</v>
      </c>
      <c r="J299" s="38">
        <f>4970/145</f>
        <v>34.275862068965516</v>
      </c>
      <c r="K299" s="38">
        <f t="shared" si="851"/>
        <v>25.4</v>
      </c>
      <c r="L299" s="7">
        <f t="shared" si="852"/>
        <v>14.38</v>
      </c>
      <c r="M299" s="7">
        <f t="shared" si="853"/>
        <v>14.38</v>
      </c>
      <c r="N299" s="38">
        <f>17*25.4</f>
        <v>431.79999999999995</v>
      </c>
      <c r="O299" s="38">
        <f>2.55*25.4</f>
        <v>64.77</v>
      </c>
      <c r="P299" s="39">
        <f>3.25*25.4</f>
        <v>82.55</v>
      </c>
      <c r="Q299" s="7">
        <f t="shared" si="854"/>
        <v>251.45999999999995</v>
      </c>
      <c r="R299" s="38">
        <v>2</v>
      </c>
      <c r="S299" s="4">
        <f t="shared" si="826"/>
        <v>260.34999999999997</v>
      </c>
      <c r="T299" s="7">
        <f t="shared" si="855"/>
        <v>3.05</v>
      </c>
      <c r="U299" s="7">
        <f t="shared" si="958"/>
        <v>3.05</v>
      </c>
      <c r="V299" s="38">
        <v>9.5</v>
      </c>
      <c r="W299" s="4">
        <f t="shared" si="856"/>
        <v>9.5</v>
      </c>
      <c r="X299" s="4">
        <f t="shared" si="857"/>
        <v>10.5</v>
      </c>
      <c r="Y299" s="7">
        <f t="shared" si="858"/>
        <v>82.305406869779816</v>
      </c>
      <c r="AB299" s="38">
        <f t="shared" si="885"/>
        <v>800</v>
      </c>
      <c r="AC299" s="4">
        <v>116</v>
      </c>
      <c r="AD299" s="4">
        <f t="shared" si="998"/>
        <v>1.1112596892664182</v>
      </c>
      <c r="AE299" s="38">
        <v>0</v>
      </c>
      <c r="AF299" s="38">
        <v>0</v>
      </c>
      <c r="AG299" s="39">
        <f t="shared" ref="AG299:AG300" si="1039">I299</f>
        <v>365.25200000000001</v>
      </c>
      <c r="AH299" s="39"/>
      <c r="AI299" s="39"/>
      <c r="AJ299" s="7"/>
      <c r="AK299" s="4">
        <f t="shared" si="859"/>
        <v>365.25200000000001</v>
      </c>
      <c r="AL299" s="4">
        <f t="shared" si="1018"/>
        <v>0.39406583217431618</v>
      </c>
      <c r="AM299" s="4">
        <f t="shared" si="1019"/>
        <v>403.26988090113554</v>
      </c>
      <c r="AN299" s="4">
        <f t="shared" si="1020"/>
        <v>0.74242002781641159</v>
      </c>
      <c r="AO299" s="4">
        <v>1.25</v>
      </c>
      <c r="AP299" s="4">
        <f t="shared" si="933"/>
        <v>2.5</v>
      </c>
      <c r="AQ299" s="38">
        <f t="shared" si="827"/>
        <v>368.69247039684859</v>
      </c>
      <c r="AR299" s="38">
        <f t="shared" si="1021"/>
        <v>368.69247039684859</v>
      </c>
      <c r="AS299" s="38">
        <f t="shared" si="1022"/>
        <v>3.1655330029957871</v>
      </c>
      <c r="AT299" s="38">
        <f t="shared" si="940"/>
        <v>368.69247039684876</v>
      </c>
      <c r="AU299" s="38">
        <f t="shared" si="910"/>
        <v>0.99999999999999956</v>
      </c>
      <c r="AV299" s="38">
        <f t="shared" si="941"/>
        <v>1.7478966733894243</v>
      </c>
      <c r="AW299" s="4">
        <f t="shared" si="942"/>
        <v>0</v>
      </c>
      <c r="AX299" s="4">
        <f t="shared" si="860"/>
        <v>443.0976822581481</v>
      </c>
      <c r="AY299" s="4">
        <f t="shared" si="828"/>
        <v>1</v>
      </c>
      <c r="AZ299" s="38">
        <f t="shared" si="953"/>
        <v>644.43634251038077</v>
      </c>
      <c r="BA299" s="4">
        <f t="shared" si="829"/>
        <v>0.3</v>
      </c>
      <c r="BB299" s="4">
        <f t="shared" si="830"/>
        <v>69.455561693964725</v>
      </c>
      <c r="BC299" s="4">
        <f t="shared" si="831"/>
        <v>713.89190420434545</v>
      </c>
      <c r="BE299" s="4">
        <f t="shared" si="934"/>
        <v>1.3875</v>
      </c>
      <c r="BF299" s="4">
        <f t="shared" si="935"/>
        <v>594.1309013306784</v>
      </c>
      <c r="BH299" s="4">
        <f t="shared" si="959"/>
        <v>618.09326189675073</v>
      </c>
      <c r="BI299" s="4">
        <f t="shared" si="905"/>
        <v>0</v>
      </c>
      <c r="BJ299" s="4">
        <f t="shared" si="960"/>
        <v>0</v>
      </c>
      <c r="BK299" s="4">
        <f t="shared" si="1023"/>
        <v>64.77</v>
      </c>
      <c r="BL299" s="4">
        <f t="shared" si="1024"/>
        <v>64.77</v>
      </c>
      <c r="BM299" s="4">
        <f t="shared" si="1025"/>
        <v>260.34999999999997</v>
      </c>
      <c r="BN299" s="4">
        <f t="shared" si="1026"/>
        <v>77.47</v>
      </c>
      <c r="BO299" s="4">
        <f t="shared" si="1027"/>
        <v>1.25</v>
      </c>
      <c r="BP299" s="25">
        <f t="shared" si="1028"/>
        <v>3.8125000000000004</v>
      </c>
      <c r="BR299" s="4">
        <f t="shared" si="832"/>
        <v>64.77</v>
      </c>
      <c r="BV299" s="9"/>
      <c r="BX299" s="9"/>
      <c r="BY299" s="9"/>
      <c r="BZ299" s="9">
        <f t="shared" si="833"/>
        <v>64.77</v>
      </c>
      <c r="CA299" s="9">
        <f t="shared" si="834"/>
        <v>125.72999999999998</v>
      </c>
      <c r="CB299" s="9">
        <f t="shared" si="943"/>
        <v>1.7639238931775985</v>
      </c>
      <c r="CC299" s="40">
        <f t="shared" si="861"/>
        <v>20</v>
      </c>
      <c r="CD299" s="9">
        <f t="shared" si="835"/>
        <v>0</v>
      </c>
      <c r="CE299" s="9">
        <f t="shared" si="836"/>
        <v>0</v>
      </c>
      <c r="CF299" s="9">
        <f t="shared" si="837"/>
        <v>0.99524931562137331</v>
      </c>
      <c r="CG299" s="9">
        <f t="shared" si="838"/>
        <v>0.68</v>
      </c>
      <c r="CH299" s="9">
        <f t="shared" si="944"/>
        <v>1.3867655293631655</v>
      </c>
      <c r="CI299" s="9">
        <f t="shared" si="945"/>
        <v>2.4461488514787684</v>
      </c>
      <c r="CJ299" s="40">
        <v>1</v>
      </c>
      <c r="CK299" s="9">
        <f t="shared" si="946"/>
        <v>287.47141302578484</v>
      </c>
      <c r="CM299" s="4">
        <f t="shared" si="839"/>
        <v>1.8054709650544303</v>
      </c>
      <c r="CN299" s="4">
        <f t="shared" si="840"/>
        <v>1.120617834841011</v>
      </c>
      <c r="CO299" s="4">
        <f t="shared" si="814"/>
        <v>1.3465046140644013</v>
      </c>
      <c r="CP299" s="4">
        <f t="shared" si="841"/>
        <v>2.7828854061681736</v>
      </c>
      <c r="CQ299" s="4">
        <f t="shared" si="1035"/>
        <v>1.1112596892664182</v>
      </c>
      <c r="CR299" s="4">
        <f t="shared" si="1036"/>
        <v>1.164038324517964</v>
      </c>
      <c r="CS299" s="4">
        <f t="shared" si="815"/>
        <v>1.15289897228001</v>
      </c>
      <c r="CT299" s="4">
        <f t="shared" si="862"/>
        <v>0</v>
      </c>
      <c r="CU299" s="4">
        <f t="shared" ref="CU299:CV300" si="1040">CM299</f>
        <v>1.8054709650544303</v>
      </c>
      <c r="CV299" s="4">
        <f t="shared" si="1040"/>
        <v>1.120617834841011</v>
      </c>
      <c r="CW299" s="4">
        <f t="shared" ref="CW299:CW300" si="1041">CP299</f>
        <v>2.7828854061681736</v>
      </c>
      <c r="CX299" s="4">
        <f t="shared" ref="CX299:CX300" si="1042">CS299</f>
        <v>1.15289897228001</v>
      </c>
      <c r="CY299" s="4">
        <f t="shared" ref="CY299:CZ300" si="1043">CQ299</f>
        <v>1.1112596892664182</v>
      </c>
      <c r="CZ299" s="4">
        <f t="shared" si="1043"/>
        <v>1.164038324517964</v>
      </c>
      <c r="DI299" s="4">
        <f t="shared" si="846"/>
        <v>365.25200000000001</v>
      </c>
      <c r="DL299" s="4">
        <f t="shared" si="999"/>
        <v>2.6459793328600653E-5</v>
      </c>
      <c r="DM299" s="4">
        <f t="shared" si="1000"/>
        <v>7.4409422777504419</v>
      </c>
      <c r="DN299" s="4">
        <f t="shared" si="1001"/>
        <v>0.36261646462402092</v>
      </c>
      <c r="DO299" s="4">
        <f t="shared" si="1002"/>
        <v>4.9591465591001365</v>
      </c>
      <c r="DP299" s="4">
        <f t="shared" si="1003"/>
        <v>6.3234791386058333</v>
      </c>
      <c r="DQ299" s="4">
        <f t="shared" si="1004"/>
        <v>6.6829030000056342</v>
      </c>
      <c r="DR299" s="38">
        <f t="shared" si="1029"/>
        <v>719.90373422805283</v>
      </c>
      <c r="DS299" s="4">
        <f t="shared" si="1005"/>
        <v>1.0001099325718286</v>
      </c>
      <c r="DT299" s="4">
        <f t="shared" si="1006"/>
        <v>3.2403703492039297</v>
      </c>
      <c r="DU299" s="4">
        <f t="shared" si="1007"/>
        <v>368.69247039684876</v>
      </c>
      <c r="DY299" s="4">
        <f t="shared" si="1008"/>
        <v>0.85</v>
      </c>
      <c r="DZ299" s="4">
        <f t="shared" si="1009"/>
        <v>0.84499999999999997</v>
      </c>
      <c r="EA299" s="4">
        <f t="shared" si="1030"/>
        <v>1</v>
      </c>
      <c r="EB299" s="4">
        <f t="shared" si="1010"/>
        <v>0.84499999999999997</v>
      </c>
      <c r="ED299" s="4">
        <f t="shared" si="1031"/>
        <v>687.26259535422537</v>
      </c>
      <c r="EE299" s="25">
        <f t="shared" si="1032"/>
        <v>366.26034549207128</v>
      </c>
      <c r="EG299" s="4">
        <f t="shared" si="932"/>
        <v>0.71824999999999994</v>
      </c>
      <c r="EH299" s="4">
        <f t="shared" si="1033"/>
        <v>7.4409422777504419</v>
      </c>
      <c r="EK299" s="4">
        <f t="shared" si="1011"/>
        <v>82.305406869779816</v>
      </c>
      <c r="EL299" s="4">
        <f t="shared" si="1012"/>
        <v>3.2403703492039302</v>
      </c>
      <c r="EM299" s="4">
        <f t="shared" si="1013"/>
        <v>0.11608523316367027</v>
      </c>
      <c r="EP299" s="4">
        <f t="shared" si="863"/>
        <v>0.11608523316367027</v>
      </c>
      <c r="EQ299" s="4">
        <f t="shared" si="951"/>
        <v>0.3620113253270853</v>
      </c>
      <c r="ER299" s="4">
        <f t="shared" si="1014"/>
        <v>4.9558345437738964</v>
      </c>
      <c r="ES299" s="4">
        <f t="shared" si="847"/>
        <v>6.3221834836221298</v>
      </c>
      <c r="ET299" s="4">
        <f t="shared" si="1015"/>
        <v>191.63359313022022</v>
      </c>
      <c r="EU299" s="4">
        <f t="shared" si="1016"/>
        <v>91.312999999999988</v>
      </c>
      <c r="EV299" s="4">
        <f t="shared" si="952"/>
        <v>2.6459793328600646E-5</v>
      </c>
      <c r="EW299" s="4">
        <f t="shared" si="848"/>
        <v>6.6831044884128916</v>
      </c>
      <c r="EX299" s="4">
        <f t="shared" si="965"/>
        <v>719.82460205828306</v>
      </c>
      <c r="FG299" s="23">
        <f t="shared" si="878"/>
        <v>2</v>
      </c>
      <c r="FH299" s="23">
        <f t="shared" si="878"/>
        <v>1.2</v>
      </c>
      <c r="FI299" s="23">
        <f t="shared" si="818"/>
        <v>1.2</v>
      </c>
      <c r="FJ299" s="23">
        <f t="shared" si="879"/>
        <v>2.2000000000000002</v>
      </c>
      <c r="FK299" s="23">
        <f t="shared" si="879"/>
        <v>1.2</v>
      </c>
      <c r="FL299" s="23">
        <f t="shared" si="879"/>
        <v>1.2</v>
      </c>
      <c r="FM299" s="23">
        <f t="shared" si="1037"/>
        <v>0</v>
      </c>
      <c r="FN299" s="23"/>
      <c r="FX299" s="4">
        <f t="shared" si="915"/>
        <v>1</v>
      </c>
      <c r="FY299" s="4">
        <f t="shared" si="975"/>
        <v>0.5</v>
      </c>
      <c r="FZ299" s="4">
        <f t="shared" si="916"/>
        <v>0</v>
      </c>
      <c r="GA299" s="4">
        <f t="shared" si="917"/>
        <v>693.90295180669159</v>
      </c>
    </row>
    <row r="300" spans="1:183" ht="12" customHeight="1" x14ac:dyDescent="0.3">
      <c r="A300" s="25">
        <v>282</v>
      </c>
      <c r="B300" s="4" t="s">
        <v>605</v>
      </c>
      <c r="C300" s="4">
        <v>2016</v>
      </c>
      <c r="D300" s="4" t="s">
        <v>309</v>
      </c>
      <c r="E300" s="24" t="s">
        <v>439</v>
      </c>
      <c r="F300" s="48" t="s">
        <v>441</v>
      </c>
      <c r="G300" s="38">
        <f>115.9/0.145</f>
        <v>799.31034482758628</v>
      </c>
      <c r="H300" s="38">
        <f>14.38*25.4</f>
        <v>365.25200000000001</v>
      </c>
      <c r="I300" s="4">
        <f t="shared" si="850"/>
        <v>365.25200000000001</v>
      </c>
      <c r="J300" s="38">
        <f>4970/145</f>
        <v>34.275862068965516</v>
      </c>
      <c r="K300" s="38">
        <f t="shared" si="851"/>
        <v>25.4</v>
      </c>
      <c r="L300" s="7">
        <f t="shared" si="852"/>
        <v>14.38</v>
      </c>
      <c r="M300" s="7">
        <f t="shared" si="853"/>
        <v>14.38</v>
      </c>
      <c r="N300" s="38">
        <f>17.3*25.4</f>
        <v>439.42</v>
      </c>
      <c r="O300" s="38">
        <f>2.65*25.4</f>
        <v>67.309999999999988</v>
      </c>
      <c r="P300" s="39">
        <f>3.2*25.4</f>
        <v>81.28</v>
      </c>
      <c r="Q300" s="7">
        <f t="shared" si="854"/>
        <v>254.00000000000003</v>
      </c>
      <c r="R300" s="38">
        <v>2</v>
      </c>
      <c r="S300" s="4">
        <f t="shared" si="826"/>
        <v>260.34999999999997</v>
      </c>
      <c r="T300" s="7">
        <f t="shared" si="855"/>
        <v>3.1499999999999995</v>
      </c>
      <c r="U300" s="7">
        <f t="shared" si="958"/>
        <v>3.1499999999999995</v>
      </c>
      <c r="V300" s="38">
        <v>9.1</v>
      </c>
      <c r="W300" s="4">
        <f t="shared" si="856"/>
        <v>9.1</v>
      </c>
      <c r="X300" s="4">
        <f t="shared" si="857"/>
        <v>10.1</v>
      </c>
      <c r="Y300" s="7">
        <f t="shared" si="858"/>
        <v>80.72246279691916</v>
      </c>
      <c r="AB300" s="38">
        <f t="shared" si="885"/>
        <v>827.58620689655174</v>
      </c>
      <c r="AC300" s="4">
        <v>120</v>
      </c>
      <c r="AD300" s="4">
        <f t="shared" si="998"/>
        <v>1.1281282791225913</v>
      </c>
      <c r="AE300" s="38">
        <v>0</v>
      </c>
      <c r="AF300" s="38">
        <v>0</v>
      </c>
      <c r="AG300" s="39">
        <f t="shared" si="1039"/>
        <v>365.25200000000001</v>
      </c>
      <c r="AH300" s="39"/>
      <c r="AI300" s="39"/>
      <c r="AJ300" s="7"/>
      <c r="AK300" s="4">
        <f t="shared" si="859"/>
        <v>365.25200000000001</v>
      </c>
      <c r="AL300" s="4">
        <f t="shared" si="1018"/>
        <v>0.40101993509503947</v>
      </c>
      <c r="AM300" s="4">
        <f t="shared" si="1019"/>
        <v>403.26988090113554</v>
      </c>
      <c r="AN300" s="4">
        <f t="shared" si="1020"/>
        <v>0.74381084840055633</v>
      </c>
      <c r="AO300" s="4">
        <v>1.25</v>
      </c>
      <c r="AP300" s="4">
        <f t="shared" si="933"/>
        <v>2.5</v>
      </c>
      <c r="AQ300" s="38">
        <f t="shared" si="827"/>
        <v>375.90169085254001</v>
      </c>
      <c r="AR300" s="38">
        <f t="shared" si="1021"/>
        <v>375.90169085254001</v>
      </c>
      <c r="AS300" s="38">
        <f t="shared" si="1022"/>
        <v>3.1655330029957871</v>
      </c>
      <c r="AT300" s="38">
        <f t="shared" si="940"/>
        <v>375.90169085254018</v>
      </c>
      <c r="AU300" s="38">
        <f t="shared" si="910"/>
        <v>0.99999999999999956</v>
      </c>
      <c r="AV300" s="38">
        <f t="shared" si="941"/>
        <v>1.7329073864332836</v>
      </c>
      <c r="AW300" s="4">
        <f t="shared" si="942"/>
        <v>0</v>
      </c>
      <c r="AX300" s="4">
        <f t="shared" si="860"/>
        <v>443.0976822581481</v>
      </c>
      <c r="AY300" s="4">
        <f t="shared" si="828"/>
        <v>1</v>
      </c>
      <c r="AZ300" s="38">
        <f t="shared" si="953"/>
        <v>651.40281665112752</v>
      </c>
      <c r="BA300" s="4">
        <f t="shared" si="829"/>
        <v>0.3</v>
      </c>
      <c r="BB300" s="4">
        <f t="shared" si="830"/>
        <v>69.455561693964711</v>
      </c>
      <c r="BC300" s="4">
        <f t="shared" si="831"/>
        <v>720.85837834509221</v>
      </c>
      <c r="BE300" s="4">
        <f t="shared" si="934"/>
        <v>1.4124999999999999</v>
      </c>
      <c r="BF300" s="4">
        <f t="shared" si="935"/>
        <v>604.83596261591583</v>
      </c>
      <c r="BH300" s="4">
        <f t="shared" si="959"/>
        <v>624.77496254199968</v>
      </c>
      <c r="BI300" s="4">
        <f t="shared" si="905"/>
        <v>0</v>
      </c>
      <c r="BJ300" s="4">
        <f t="shared" si="960"/>
        <v>0</v>
      </c>
      <c r="BK300" s="4">
        <f t="shared" si="1023"/>
        <v>67.309999999999988</v>
      </c>
      <c r="BL300" s="4">
        <f t="shared" si="1024"/>
        <v>67.309999999999988</v>
      </c>
      <c r="BM300" s="4">
        <f t="shared" si="1025"/>
        <v>260.34999999999997</v>
      </c>
      <c r="BN300" s="4">
        <f t="shared" si="1026"/>
        <v>80.009999999999991</v>
      </c>
      <c r="BO300" s="4">
        <f t="shared" si="1027"/>
        <v>1.25</v>
      </c>
      <c r="BP300" s="25">
        <f t="shared" si="1028"/>
        <v>3.9374999999999996</v>
      </c>
      <c r="BR300" s="4">
        <f t="shared" si="832"/>
        <v>67.309999999999988</v>
      </c>
      <c r="BV300" s="9"/>
      <c r="BX300" s="9"/>
      <c r="BY300" s="9"/>
      <c r="BZ300" s="9">
        <f t="shared" si="833"/>
        <v>67.309999999999988</v>
      </c>
      <c r="CA300" s="9">
        <f t="shared" si="834"/>
        <v>127.00000000000001</v>
      </c>
      <c r="CB300" s="9">
        <f t="shared" si="943"/>
        <v>1.7905298128039189</v>
      </c>
      <c r="CC300" s="40">
        <f t="shared" si="861"/>
        <v>20</v>
      </c>
      <c r="CD300" s="9">
        <f t="shared" si="835"/>
        <v>0</v>
      </c>
      <c r="CE300" s="9">
        <f t="shared" si="836"/>
        <v>0</v>
      </c>
      <c r="CF300" s="9">
        <f t="shared" si="837"/>
        <v>0.99524931562137331</v>
      </c>
      <c r="CG300" s="9">
        <f t="shared" si="838"/>
        <v>0.68048275862068963</v>
      </c>
      <c r="CH300" s="9">
        <f t="shared" si="944"/>
        <v>1.3877500485016585</v>
      </c>
      <c r="CI300" s="9">
        <f t="shared" si="945"/>
        <v>2.4848078345623041</v>
      </c>
      <c r="CJ300" s="40">
        <v>1</v>
      </c>
      <c r="CK300" s="9">
        <f t="shared" si="946"/>
        <v>292.01461671776201</v>
      </c>
      <c r="CM300" s="4">
        <f t="shared" si="839"/>
        <v>1.8677285845390659</v>
      </c>
      <c r="CN300" s="4">
        <f t="shared" si="840"/>
        <v>1.1480565833145751</v>
      </c>
      <c r="CO300" s="4">
        <f t="shared" si="814"/>
        <v>1.3682820765439294</v>
      </c>
      <c r="CP300" s="4">
        <f t="shared" si="841"/>
        <v>2.8340574735559572</v>
      </c>
      <c r="CQ300" s="4">
        <f t="shared" si="1035"/>
        <v>1.1281282791225913</v>
      </c>
      <c r="CR300" s="4">
        <f t="shared" si="1036"/>
        <v>1.1851863092498804</v>
      </c>
      <c r="CS300" s="4">
        <f t="shared" si="815"/>
        <v>1.1926541092551828</v>
      </c>
      <c r="CT300" s="4">
        <f t="shared" si="862"/>
        <v>0</v>
      </c>
      <c r="CU300" s="4">
        <f t="shared" si="1040"/>
        <v>1.8677285845390659</v>
      </c>
      <c r="CV300" s="4">
        <f t="shared" si="1040"/>
        <v>1.1480565833145751</v>
      </c>
      <c r="CW300" s="4">
        <f t="shared" si="1041"/>
        <v>2.8340574735559572</v>
      </c>
      <c r="CX300" s="4">
        <f t="shared" si="1042"/>
        <v>1.1926541092551828</v>
      </c>
      <c r="CY300" s="4">
        <f t="shared" si="1043"/>
        <v>1.1281282791225913</v>
      </c>
      <c r="CZ300" s="4">
        <f t="shared" si="1043"/>
        <v>1.1851863092498804</v>
      </c>
      <c r="DI300" s="4">
        <f t="shared" si="846"/>
        <v>365.25200000000001</v>
      </c>
      <c r="DL300" s="4">
        <f t="shared" si="999"/>
        <v>2.6459793328600653E-5</v>
      </c>
      <c r="DM300" s="4">
        <f t="shared" si="1000"/>
        <v>7.5300553589211061</v>
      </c>
      <c r="DN300" s="4">
        <f t="shared" si="1001"/>
        <v>0.37853477275297237</v>
      </c>
      <c r="DO300" s="4">
        <f t="shared" si="1002"/>
        <v>5.1055258715715546</v>
      </c>
      <c r="DP300" s="4">
        <f t="shared" si="1003"/>
        <v>6.4334553222331889</v>
      </c>
      <c r="DQ300" s="4">
        <f t="shared" si="1004"/>
        <v>6.74772177292507</v>
      </c>
      <c r="DR300" s="38">
        <f t="shared" si="1029"/>
        <v>733.59228929196956</v>
      </c>
      <c r="DS300" s="4">
        <f t="shared" si="1005"/>
        <v>1.0001109883692636</v>
      </c>
      <c r="DT300" s="4">
        <f t="shared" si="1006"/>
        <v>3.1780497164141401</v>
      </c>
      <c r="DU300" s="4">
        <f t="shared" si="1007"/>
        <v>375.90169085254018</v>
      </c>
      <c r="DY300" s="4">
        <f t="shared" si="1008"/>
        <v>0.85</v>
      </c>
      <c r="DZ300" s="4">
        <f t="shared" si="1009"/>
        <v>0.83499999999999996</v>
      </c>
      <c r="EA300" s="4">
        <f t="shared" si="1030"/>
        <v>1</v>
      </c>
      <c r="EB300" s="4">
        <f t="shared" si="1010"/>
        <v>0.83499999999999996</v>
      </c>
      <c r="ED300" s="4">
        <f t="shared" si="1031"/>
        <v>698.27519980410648</v>
      </c>
      <c r="EE300" s="25">
        <f t="shared" si="1032"/>
        <v>373.42861162024997</v>
      </c>
      <c r="EG300" s="4">
        <f t="shared" si="932"/>
        <v>0.70974999999999999</v>
      </c>
      <c r="EH300" s="4">
        <f t="shared" si="1033"/>
        <v>7.5300553589211061</v>
      </c>
      <c r="EK300" s="4">
        <f t="shared" si="1011"/>
        <v>80.72246279691916</v>
      </c>
      <c r="EL300" s="4">
        <f t="shared" si="1012"/>
        <v>3.1780497164141406</v>
      </c>
      <c r="EM300" s="4">
        <f t="shared" si="1013"/>
        <v>0.12118119733241386</v>
      </c>
      <c r="EP300" s="4">
        <f t="shared" si="863"/>
        <v>0.12118119733241386</v>
      </c>
      <c r="EQ300" s="4">
        <f t="shared" si="951"/>
        <v>0.37790306876653901</v>
      </c>
      <c r="ER300" s="4">
        <f t="shared" si="1014"/>
        <v>5.1021160953663882</v>
      </c>
      <c r="ES300" s="4">
        <f t="shared" si="847"/>
        <v>6.4321051546142112</v>
      </c>
      <c r="ET300" s="4">
        <f t="shared" si="1015"/>
        <v>193.21653720308086</v>
      </c>
      <c r="EU300" s="4">
        <f t="shared" si="1016"/>
        <v>91.312999999999988</v>
      </c>
      <c r="EV300" s="4">
        <f t="shared" si="952"/>
        <v>2.6459793328600646E-5</v>
      </c>
      <c r="EW300" s="4">
        <f t="shared" si="848"/>
        <v>6.7479315927314953</v>
      </c>
      <c r="EX300" s="4">
        <f t="shared" si="965"/>
        <v>733.51087811577031</v>
      </c>
      <c r="FA300" s="4">
        <f>5.25*25.4</f>
        <v>133.35</v>
      </c>
      <c r="FG300" s="23">
        <f t="shared" si="878"/>
        <v>2</v>
      </c>
      <c r="FH300" s="23">
        <f t="shared" si="878"/>
        <v>1.2</v>
      </c>
      <c r="FI300" s="23">
        <f t="shared" si="818"/>
        <v>1.2</v>
      </c>
      <c r="FJ300" s="23">
        <f t="shared" si="879"/>
        <v>2.2000000000000002</v>
      </c>
      <c r="FK300" s="23">
        <f t="shared" si="879"/>
        <v>1.2</v>
      </c>
      <c r="FL300" s="23">
        <f t="shared" si="879"/>
        <v>1.2</v>
      </c>
      <c r="FM300" s="23">
        <f t="shared" si="1037"/>
        <v>0</v>
      </c>
      <c r="FN300" s="23"/>
      <c r="FX300" s="4">
        <f t="shared" si="915"/>
        <v>1</v>
      </c>
      <c r="FY300" s="4">
        <f t="shared" si="975"/>
        <v>0.5</v>
      </c>
      <c r="FZ300" s="4">
        <f t="shared" si="916"/>
        <v>0</v>
      </c>
      <c r="GA300" s="4">
        <f t="shared" si="917"/>
        <v>693.90295180669159</v>
      </c>
    </row>
    <row r="301" spans="1:183" ht="12" customHeight="1" x14ac:dyDescent="0.3">
      <c r="A301" s="25">
        <v>283</v>
      </c>
      <c r="B301" s="4" t="s">
        <v>605</v>
      </c>
      <c r="C301" s="4">
        <v>2016</v>
      </c>
      <c r="D301" s="4" t="s">
        <v>309</v>
      </c>
      <c r="E301" s="24" t="s">
        <v>667</v>
      </c>
      <c r="F301" s="7" t="s">
        <v>442</v>
      </c>
      <c r="G301" s="38">
        <f>120/0.145</f>
        <v>827.58620689655174</v>
      </c>
      <c r="H301" s="38">
        <f>14.38*25.4</f>
        <v>365.25200000000001</v>
      </c>
      <c r="I301" s="4">
        <f t="shared" si="850"/>
        <v>365.25200000000001</v>
      </c>
      <c r="J301" s="38">
        <f>5420/145</f>
        <v>37.379310344827587</v>
      </c>
      <c r="K301" s="38">
        <f t="shared" si="851"/>
        <v>25.4</v>
      </c>
      <c r="L301" s="7">
        <f t="shared" si="852"/>
        <v>14.38</v>
      </c>
      <c r="M301" s="7">
        <f t="shared" si="853"/>
        <v>14.38</v>
      </c>
      <c r="N301" s="38">
        <f>17.1*25.4</f>
        <v>434.34000000000003</v>
      </c>
      <c r="O301" s="38">
        <f>2.55*25.4</f>
        <v>64.77</v>
      </c>
      <c r="P301" s="39">
        <f>3.35*25.4</f>
        <v>85.09</v>
      </c>
      <c r="Q301" s="7">
        <f t="shared" si="854"/>
        <v>254.00000000000003</v>
      </c>
      <c r="R301" s="38">
        <v>2</v>
      </c>
      <c r="S301" s="4">
        <f t="shared" si="826"/>
        <v>260.34999999999997</v>
      </c>
      <c r="T301" s="7">
        <f t="shared" si="855"/>
        <v>3.05</v>
      </c>
      <c r="U301" s="7">
        <f t="shared" si="958"/>
        <v>3.05</v>
      </c>
      <c r="V301" s="38">
        <v>9.5</v>
      </c>
      <c r="W301" s="4">
        <f t="shared" si="856"/>
        <v>9.5</v>
      </c>
      <c r="X301" s="4">
        <f t="shared" si="857"/>
        <v>10.5</v>
      </c>
      <c r="Y301" s="7">
        <f t="shared" si="858"/>
        <v>82.305406869779816</v>
      </c>
      <c r="AB301" s="38">
        <f t="shared" si="885"/>
        <v>1056.5517241379309</v>
      </c>
      <c r="AC301" s="4">
        <v>153.19999999999999</v>
      </c>
      <c r="AD301" s="4">
        <f t="shared" si="998"/>
        <v>1.3411331667214759</v>
      </c>
      <c r="AE301" s="38">
        <f>0.375*25.4</f>
        <v>9.5249999999999986</v>
      </c>
      <c r="AF301" s="38">
        <v>10</v>
      </c>
      <c r="AG301" s="39">
        <f t="shared" ref="AG301:AG302" si="1044">3*25.4</f>
        <v>76.199999999999989</v>
      </c>
      <c r="AH301" s="39">
        <v>3</v>
      </c>
      <c r="AI301" s="39">
        <v>2</v>
      </c>
      <c r="AJ301" s="7"/>
      <c r="AK301" s="4">
        <f t="shared" si="859"/>
        <v>365.25200000000001</v>
      </c>
      <c r="AL301" s="4">
        <f t="shared" si="1018"/>
        <v>0.39638386648122398</v>
      </c>
      <c r="AM301" s="4">
        <f t="shared" si="1019"/>
        <v>421.13102356726256</v>
      </c>
      <c r="AN301" s="4">
        <f t="shared" si="1020"/>
        <v>0.74242002781641159</v>
      </c>
      <c r="AO301" s="4">
        <v>1.25</v>
      </c>
      <c r="AP301" s="4">
        <f t="shared" si="933"/>
        <v>2.5</v>
      </c>
      <c r="AQ301" s="38">
        <f t="shared" si="827"/>
        <v>387.28698833397465</v>
      </c>
      <c r="AR301" s="38">
        <f t="shared" si="1021"/>
        <v>387.28698833397465</v>
      </c>
      <c r="AS301" s="38">
        <f t="shared" si="1022"/>
        <v>3.3538382302464851</v>
      </c>
      <c r="AT301" s="38">
        <f t="shared" si="940"/>
        <v>387.2869883339747</v>
      </c>
      <c r="AU301" s="38">
        <f t="shared" si="910"/>
        <v>0.99999999999999989</v>
      </c>
      <c r="AV301" s="38">
        <f t="shared" si="941"/>
        <v>1.8146380609421366</v>
      </c>
      <c r="AW301" s="4">
        <f t="shared" si="942"/>
        <v>0</v>
      </c>
      <c r="AX301" s="4">
        <f t="shared" si="860"/>
        <v>462.72282981481186</v>
      </c>
      <c r="AY301" s="4">
        <f t="shared" si="828"/>
        <v>1</v>
      </c>
      <c r="AZ301" s="38">
        <f t="shared" si="953"/>
        <v>702.78570953848373</v>
      </c>
      <c r="BA301" s="4">
        <f t="shared" si="829"/>
        <v>0.3</v>
      </c>
      <c r="BB301" s="4">
        <f t="shared" si="830"/>
        <v>72.531803573471763</v>
      </c>
      <c r="BC301" s="4">
        <f t="shared" si="831"/>
        <v>775.31751311195546</v>
      </c>
      <c r="BE301" s="4">
        <f t="shared" si="934"/>
        <v>1.5</v>
      </c>
      <c r="BF301" s="4">
        <f t="shared" si="935"/>
        <v>670.75181607835691</v>
      </c>
      <c r="BH301" s="4">
        <f t="shared" si="959"/>
        <v>674.05744053931357</v>
      </c>
      <c r="BI301" s="4">
        <f t="shared" si="905"/>
        <v>0</v>
      </c>
      <c r="BJ301" s="4">
        <f t="shared" si="960"/>
        <v>0</v>
      </c>
      <c r="BK301" s="4">
        <f t="shared" si="1023"/>
        <v>64.77</v>
      </c>
      <c r="BL301" s="4">
        <f t="shared" si="1024"/>
        <v>64.77</v>
      </c>
      <c r="BM301" s="4">
        <f t="shared" si="1025"/>
        <v>260.34999999999997</v>
      </c>
      <c r="BN301" s="4">
        <f t="shared" si="1026"/>
        <v>77.47</v>
      </c>
      <c r="BO301" s="4">
        <f t="shared" si="1027"/>
        <v>1.25</v>
      </c>
      <c r="BP301" s="25">
        <f t="shared" si="1028"/>
        <v>4</v>
      </c>
      <c r="BR301" s="4">
        <f t="shared" si="832"/>
        <v>64.77</v>
      </c>
      <c r="BV301" s="9"/>
      <c r="BX301" s="9"/>
      <c r="BY301" s="9"/>
      <c r="BZ301" s="9">
        <f t="shared" si="833"/>
        <v>64.77</v>
      </c>
      <c r="CA301" s="9">
        <f t="shared" si="834"/>
        <v>127.00000000000001</v>
      </c>
      <c r="CB301" s="9">
        <f t="shared" si="943"/>
        <v>1.7665851027593089</v>
      </c>
      <c r="CC301" s="40">
        <f t="shared" si="861"/>
        <v>20</v>
      </c>
      <c r="CD301" s="9">
        <f t="shared" si="835"/>
        <v>0.05</v>
      </c>
      <c r="CE301" s="9">
        <f t="shared" si="836"/>
        <v>0.8</v>
      </c>
      <c r="CF301" s="9">
        <f t="shared" si="837"/>
        <v>0.99524931562137331</v>
      </c>
      <c r="CG301" s="9">
        <f t="shared" si="838"/>
        <v>0.68</v>
      </c>
      <c r="CH301" s="9">
        <f t="shared" si="944"/>
        <v>1.4481864738410275</v>
      </c>
      <c r="CI301" s="9">
        <f t="shared" si="945"/>
        <v>3.6204661846025687</v>
      </c>
      <c r="CJ301" s="40">
        <v>1</v>
      </c>
      <c r="CK301" s="9">
        <f t="shared" si="946"/>
        <v>425.4771860144939</v>
      </c>
      <c r="CM301" s="4">
        <f t="shared" si="839"/>
        <v>2.2833360622400622</v>
      </c>
      <c r="CN301" s="4">
        <f t="shared" si="840"/>
        <v>1.3627342427712779</v>
      </c>
      <c r="CO301" s="4">
        <f t="shared" si="814"/>
        <v>1.5751753462483433</v>
      </c>
      <c r="CP301" s="4">
        <f t="shared" si="841"/>
        <v>2.4832159252410291</v>
      </c>
      <c r="CQ301" s="4">
        <f t="shared" si="1035"/>
        <v>1.3411331667214759</v>
      </c>
      <c r="CR301" s="4">
        <f t="shared" si="1036"/>
        <v>1.4000927741086981</v>
      </c>
      <c r="CS301" s="4">
        <f t="shared" si="815"/>
        <v>1.3111850107642649</v>
      </c>
      <c r="CT301" s="4">
        <f t="shared" si="862"/>
        <v>10</v>
      </c>
      <c r="DA301" s="4">
        <f t="shared" ref="DA301:DB302" si="1045">CM301</f>
        <v>2.2833360622400622</v>
      </c>
      <c r="DB301" s="4">
        <f t="shared" si="1045"/>
        <v>1.3627342427712779</v>
      </c>
      <c r="DC301" s="4">
        <f t="shared" ref="DC301:DC302" si="1046">CP301</f>
        <v>2.4832159252410291</v>
      </c>
      <c r="DD301" s="4">
        <f t="shared" ref="DD301:DD302" si="1047">CS301</f>
        <v>1.3111850107642649</v>
      </c>
      <c r="DE301" s="4">
        <f t="shared" ref="DE301:DF302" si="1048">CQ301</f>
        <v>1.3411331667214759</v>
      </c>
      <c r="DF301" s="4">
        <f t="shared" si="1048"/>
        <v>1.4000927741086981</v>
      </c>
      <c r="DI301" s="4">
        <f t="shared" si="846"/>
        <v>365.25200000000001</v>
      </c>
      <c r="DL301" s="4">
        <f t="shared" si="999"/>
        <v>2.702479300338717E-5</v>
      </c>
      <c r="DM301" s="4">
        <f t="shared" si="1000"/>
        <v>8.5743531134837028</v>
      </c>
      <c r="DN301" s="4">
        <f t="shared" si="1001"/>
        <v>0.34927963094937564</v>
      </c>
      <c r="DO301" s="4">
        <f t="shared" si="1002"/>
        <v>5.6295109559776204</v>
      </c>
      <c r="DP301" s="4">
        <f t="shared" si="1003"/>
        <v>7.253587077871102</v>
      </c>
      <c r="DQ301" s="4">
        <f t="shared" si="1004"/>
        <v>7.5555583110769451</v>
      </c>
      <c r="DR301" s="38">
        <f t="shared" si="1029"/>
        <v>787.80523094568559</v>
      </c>
      <c r="DS301" s="4">
        <f t="shared" si="1005"/>
        <v>1.0001127390428277</v>
      </c>
      <c r="DT301" s="4">
        <f t="shared" si="1006"/>
        <v>3.2403703492039297</v>
      </c>
      <c r="DU301" s="4">
        <f t="shared" si="1007"/>
        <v>387.2869883339747</v>
      </c>
      <c r="DY301" s="4">
        <f t="shared" si="1008"/>
        <v>0.85</v>
      </c>
      <c r="DZ301" s="4">
        <f t="shared" si="1009"/>
        <v>0.84499999999999997</v>
      </c>
      <c r="EA301" s="4">
        <f t="shared" si="1030"/>
        <v>0.90625</v>
      </c>
      <c r="EB301" s="4">
        <f t="shared" si="1010"/>
        <v>0.76578124999999997</v>
      </c>
      <c r="ED301" s="4">
        <f t="shared" si="1031"/>
        <v>754.62979573659595</v>
      </c>
      <c r="EE301" s="25">
        <f t="shared" si="1032"/>
        <v>384.732202420909</v>
      </c>
      <c r="EG301" s="4">
        <f t="shared" si="932"/>
        <v>0.65091406249999995</v>
      </c>
      <c r="EH301" s="4">
        <f t="shared" si="1033"/>
        <v>8.5743531134837028</v>
      </c>
      <c r="EK301" s="4">
        <f t="shared" si="1011"/>
        <v>82.305406869779816</v>
      </c>
      <c r="EL301" s="4">
        <f t="shared" si="1012"/>
        <v>3.2403703492039302</v>
      </c>
      <c r="EM301" s="4">
        <f t="shared" si="1013"/>
        <v>0.11676808747639772</v>
      </c>
      <c r="EP301" s="4">
        <f t="shared" si="863"/>
        <v>0.11676808747639772</v>
      </c>
      <c r="EQ301" s="4">
        <f t="shared" si="951"/>
        <v>0.34869674834219516</v>
      </c>
      <c r="ER301" s="4">
        <f t="shared" si="1014"/>
        <v>5.6257512311251228</v>
      </c>
      <c r="ES301" s="4">
        <f t="shared" si="847"/>
        <v>7.2521319319342803</v>
      </c>
      <c r="ET301" s="4">
        <f t="shared" si="1015"/>
        <v>191.63359313022022</v>
      </c>
      <c r="EU301" s="4">
        <f t="shared" si="1016"/>
        <v>91.312999999999988</v>
      </c>
      <c r="EV301" s="4">
        <f t="shared" si="952"/>
        <v>2.7024793003387166E-5</v>
      </c>
      <c r="EW301" s="4">
        <f t="shared" si="848"/>
        <v>7.5558253038957233</v>
      </c>
      <c r="EX301" s="4">
        <f t="shared" si="965"/>
        <v>787.71642454996208</v>
      </c>
      <c r="FG301" s="23">
        <f t="shared" si="878"/>
        <v>2.2000000000000002</v>
      </c>
      <c r="FH301" s="23">
        <f t="shared" si="878"/>
        <v>1.4</v>
      </c>
      <c r="FI301" s="23">
        <f t="shared" si="818"/>
        <v>1.4</v>
      </c>
      <c r="FJ301" s="23">
        <f t="shared" si="879"/>
        <v>2.2000000000000002</v>
      </c>
      <c r="FK301" s="23">
        <f t="shared" si="879"/>
        <v>1.4</v>
      </c>
      <c r="FL301" s="23">
        <f t="shared" si="879"/>
        <v>1.6</v>
      </c>
      <c r="FM301" s="23">
        <f t="shared" si="1037"/>
        <v>0</v>
      </c>
      <c r="FN301" s="23"/>
      <c r="FX301" s="4">
        <f t="shared" si="915"/>
        <v>1</v>
      </c>
      <c r="FY301" s="4">
        <f t="shared" si="975"/>
        <v>0.44</v>
      </c>
      <c r="FZ301" s="4">
        <f t="shared" si="916"/>
        <v>0.3</v>
      </c>
      <c r="GA301" s="4">
        <f t="shared" si="917"/>
        <v>805.7991171833844</v>
      </c>
    </row>
    <row r="302" spans="1:183" ht="12" customHeight="1" x14ac:dyDescent="0.3">
      <c r="A302" s="25">
        <v>284</v>
      </c>
      <c r="B302" s="4" t="s">
        <v>605</v>
      </c>
      <c r="C302" s="4">
        <v>2016</v>
      </c>
      <c r="D302" s="4" t="s">
        <v>309</v>
      </c>
      <c r="E302" s="24" t="s">
        <v>667</v>
      </c>
      <c r="F302" s="48" t="s">
        <v>443</v>
      </c>
      <c r="G302" s="38">
        <f>115.9/0.145</f>
        <v>799.31034482758628</v>
      </c>
      <c r="H302" s="38">
        <f>14.09*25.4</f>
        <v>357.88599999999997</v>
      </c>
      <c r="I302" s="4">
        <f t="shared" si="850"/>
        <v>357.88599999999997</v>
      </c>
      <c r="J302" s="38">
        <f>4970/145</f>
        <v>34.275862068965516</v>
      </c>
      <c r="K302" s="38">
        <f t="shared" si="851"/>
        <v>25.4</v>
      </c>
      <c r="L302" s="7">
        <f t="shared" si="852"/>
        <v>14.09</v>
      </c>
      <c r="M302" s="7">
        <f t="shared" si="853"/>
        <v>14.09</v>
      </c>
      <c r="N302" s="38">
        <f>17*25.4</f>
        <v>431.79999999999995</v>
      </c>
      <c r="O302" s="38">
        <f>2.5*25.4</f>
        <v>63.5</v>
      </c>
      <c r="P302" s="39">
        <f>3.45*25.4</f>
        <v>87.63</v>
      </c>
      <c r="Q302" s="7">
        <f t="shared" si="854"/>
        <v>253.99999999999994</v>
      </c>
      <c r="R302" s="38">
        <v>2</v>
      </c>
      <c r="S302" s="4">
        <f t="shared" si="826"/>
        <v>260.34999999999997</v>
      </c>
      <c r="T302" s="7">
        <f t="shared" si="855"/>
        <v>3</v>
      </c>
      <c r="U302" s="7">
        <f t="shared" si="958"/>
        <v>3</v>
      </c>
      <c r="V302" s="38">
        <v>9.1</v>
      </c>
      <c r="W302" s="4">
        <f t="shared" si="856"/>
        <v>9.1</v>
      </c>
      <c r="X302" s="4">
        <f t="shared" si="857"/>
        <v>10.1</v>
      </c>
      <c r="Y302" s="7">
        <f t="shared" si="858"/>
        <v>80.72246279691916</v>
      </c>
      <c r="AB302" s="38">
        <f t="shared" si="885"/>
        <v>1040.6896551724139</v>
      </c>
      <c r="AC302" s="4">
        <v>150.9</v>
      </c>
      <c r="AD302" s="4">
        <f t="shared" si="998"/>
        <v>1.4014181325909159</v>
      </c>
      <c r="AE302" s="38">
        <f>0.375*25.4</f>
        <v>9.5249999999999986</v>
      </c>
      <c r="AF302" s="38">
        <v>10</v>
      </c>
      <c r="AG302" s="39">
        <f t="shared" si="1044"/>
        <v>76.199999999999989</v>
      </c>
      <c r="AH302" s="39">
        <v>3</v>
      </c>
      <c r="AI302" s="39">
        <v>2</v>
      </c>
      <c r="AJ302" s="7"/>
      <c r="AK302" s="4">
        <f t="shared" si="859"/>
        <v>357.88599999999997</v>
      </c>
      <c r="AL302" s="4">
        <f t="shared" si="1018"/>
        <v>0.4021764845043766</v>
      </c>
      <c r="AM302" s="4">
        <f t="shared" si="1019"/>
        <v>391.13253936070686</v>
      </c>
      <c r="AN302" s="4">
        <f t="shared" si="1020"/>
        <v>0.74258339247693395</v>
      </c>
      <c r="AO302" s="4">
        <v>1.25</v>
      </c>
      <c r="AP302" s="4">
        <f t="shared" si="933"/>
        <v>2.5</v>
      </c>
      <c r="AQ302" s="38">
        <f t="shared" si="827"/>
        <v>365.03614973474515</v>
      </c>
      <c r="AR302" s="38">
        <f t="shared" si="1021"/>
        <v>365.03614973474515</v>
      </c>
      <c r="AS302" s="38">
        <f t="shared" si="1022"/>
        <v>3.1655330029957871</v>
      </c>
      <c r="AT302" s="38">
        <f t="shared" si="940"/>
        <v>365.03614973474498</v>
      </c>
      <c r="AU302" s="38">
        <f t="shared" si="910"/>
        <v>1.0000000000000004</v>
      </c>
      <c r="AV302" s="38">
        <f t="shared" si="941"/>
        <v>1.6995128711406806</v>
      </c>
      <c r="AW302" s="4">
        <f t="shared" si="942"/>
        <v>0</v>
      </c>
      <c r="AX302" s="4">
        <f t="shared" si="860"/>
        <v>434.16177628771254</v>
      </c>
      <c r="AY302" s="4">
        <f t="shared" si="828"/>
        <v>1</v>
      </c>
      <c r="AZ302" s="38">
        <f t="shared" si="953"/>
        <v>620.38363490583583</v>
      </c>
      <c r="BA302" s="4">
        <f t="shared" si="829"/>
        <v>0.3</v>
      </c>
      <c r="BB302" s="4">
        <f t="shared" si="830"/>
        <v>68.054858433098943</v>
      </c>
      <c r="BC302" s="4">
        <f t="shared" si="831"/>
        <v>688.43849333893479</v>
      </c>
      <c r="BE302" s="4">
        <f t="shared" si="934"/>
        <v>1.5</v>
      </c>
      <c r="BF302" s="4">
        <f t="shared" si="935"/>
        <v>634.66347750952457</v>
      </c>
      <c r="BH302" s="4">
        <f t="shared" si="959"/>
        <v>595.02377384952354</v>
      </c>
      <c r="BI302" s="4">
        <f t="shared" si="905"/>
        <v>0</v>
      </c>
      <c r="BJ302" s="4">
        <f t="shared" si="960"/>
        <v>0</v>
      </c>
      <c r="BK302" s="4">
        <f t="shared" si="1023"/>
        <v>63.5</v>
      </c>
      <c r="BL302" s="4">
        <f t="shared" si="1024"/>
        <v>63.5</v>
      </c>
      <c r="BM302" s="4">
        <f t="shared" si="1025"/>
        <v>260.34999999999997</v>
      </c>
      <c r="BN302" s="4">
        <f t="shared" si="1026"/>
        <v>76.2</v>
      </c>
      <c r="BO302" s="4">
        <f t="shared" si="1027"/>
        <v>1.25</v>
      </c>
      <c r="BP302" s="25">
        <f t="shared" si="1028"/>
        <v>4</v>
      </c>
      <c r="BR302" s="4">
        <f t="shared" si="832"/>
        <v>63.5</v>
      </c>
      <c r="BV302" s="9"/>
      <c r="BX302" s="9"/>
      <c r="BY302" s="9"/>
      <c r="BZ302" s="9">
        <f t="shared" si="833"/>
        <v>63.5</v>
      </c>
      <c r="CA302" s="9">
        <f t="shared" si="834"/>
        <v>126.99999999999997</v>
      </c>
      <c r="CB302" s="9">
        <f t="shared" si="943"/>
        <v>1.7543833769624846</v>
      </c>
      <c r="CC302" s="40">
        <f t="shared" si="861"/>
        <v>20</v>
      </c>
      <c r="CD302" s="9">
        <f t="shared" si="835"/>
        <v>0.05</v>
      </c>
      <c r="CE302" s="9">
        <f t="shared" si="836"/>
        <v>0.8</v>
      </c>
      <c r="CF302" s="9">
        <f t="shared" si="837"/>
        <v>0.99524931562137331</v>
      </c>
      <c r="CG302" s="9">
        <f t="shared" si="838"/>
        <v>0.68048275862068963</v>
      </c>
      <c r="CH302" s="9">
        <f t="shared" si="944"/>
        <v>1.3877500485016585</v>
      </c>
      <c r="CI302" s="9">
        <f t="shared" si="945"/>
        <v>3.4693751212541462</v>
      </c>
      <c r="CJ302" s="40">
        <v>1</v>
      </c>
      <c r="CK302" s="9">
        <f t="shared" si="946"/>
        <v>403.69648910913247</v>
      </c>
      <c r="CM302" s="47">
        <f t="shared" si="839"/>
        <v>2.3970089307971794</v>
      </c>
      <c r="CN302" s="47">
        <f t="shared" si="840"/>
        <v>1.5116668594823293</v>
      </c>
      <c r="CO302" s="47">
        <f t="shared" si="814"/>
        <v>1.6397503433727931</v>
      </c>
      <c r="CP302" s="47">
        <f t="shared" si="841"/>
        <v>2.5779011788509294</v>
      </c>
      <c r="CQ302" s="47">
        <f t="shared" si="1035"/>
        <v>1.4014181325909159</v>
      </c>
      <c r="CR302" s="47">
        <f t="shared" si="1036"/>
        <v>1.4707672066107018</v>
      </c>
      <c r="CS302" s="47">
        <f t="shared" si="815"/>
        <v>1.3404573544493805</v>
      </c>
      <c r="CT302" s="4">
        <f t="shared" si="862"/>
        <v>10</v>
      </c>
      <c r="DA302" s="4">
        <f t="shared" si="1045"/>
        <v>2.3970089307971794</v>
      </c>
      <c r="DB302" s="4">
        <f t="shared" si="1045"/>
        <v>1.5116668594823293</v>
      </c>
      <c r="DC302" s="4">
        <f t="shared" si="1046"/>
        <v>2.5779011788509294</v>
      </c>
      <c r="DD302" s="4">
        <f t="shared" si="1047"/>
        <v>1.3404573544493805</v>
      </c>
      <c r="DE302" s="4">
        <f t="shared" si="1048"/>
        <v>1.4014181325909159</v>
      </c>
      <c r="DF302" s="4">
        <f t="shared" si="1048"/>
        <v>1.4707672066107018</v>
      </c>
      <c r="DI302" s="4">
        <f t="shared" si="846"/>
        <v>357.88599999999997</v>
      </c>
      <c r="DL302" s="4">
        <f t="shared" si="999"/>
        <v>2.5926181363003004E-5</v>
      </c>
      <c r="DM302" s="4">
        <f t="shared" si="1000"/>
        <v>8.1623967217189435</v>
      </c>
      <c r="DN302" s="4">
        <f t="shared" si="1001"/>
        <v>0.3675931216831555</v>
      </c>
      <c r="DO302" s="4">
        <f t="shared" si="1002"/>
        <v>5.4697143929160559</v>
      </c>
      <c r="DP302" s="4">
        <f t="shared" si="1003"/>
        <v>6.9482475198388309</v>
      </c>
      <c r="DQ302" s="4">
        <f t="shared" si="1004"/>
        <v>7.2856190833639527</v>
      </c>
      <c r="DR302" s="38">
        <f t="shared" si="1029"/>
        <v>742.59753814402711</v>
      </c>
      <c r="DS302" s="4">
        <f t="shared" si="1005"/>
        <v>1.0001152022194493</v>
      </c>
      <c r="DT302" s="4">
        <f t="shared" si="1006"/>
        <v>3.1780497164141401</v>
      </c>
      <c r="DU302" s="4">
        <f t="shared" si="1007"/>
        <v>365.03614973474498</v>
      </c>
      <c r="DY302" s="4">
        <f t="shared" si="1008"/>
        <v>0.85</v>
      </c>
      <c r="DZ302" s="4">
        <f t="shared" si="1009"/>
        <v>0.85</v>
      </c>
      <c r="EA302" s="4">
        <f t="shared" si="1030"/>
        <v>0.90625</v>
      </c>
      <c r="EB302" s="4">
        <f t="shared" si="1010"/>
        <v>0.77031249999999996</v>
      </c>
      <c r="ED302" s="4">
        <f t="shared" si="1031"/>
        <v>707.5828523336628</v>
      </c>
      <c r="EE302" s="25">
        <f t="shared" si="1032"/>
        <v>362.55834290660306</v>
      </c>
      <c r="EG302" s="4">
        <f t="shared" si="932"/>
        <v>0.65476562499999991</v>
      </c>
      <c r="EH302" s="4">
        <f t="shared" si="1033"/>
        <v>8.1623967217189435</v>
      </c>
      <c r="EK302" s="4">
        <f t="shared" si="1011"/>
        <v>80.72246279691916</v>
      </c>
      <c r="EL302" s="4">
        <f t="shared" si="1012"/>
        <v>3.1780497164141406</v>
      </c>
      <c r="EM302" s="4">
        <f t="shared" si="1013"/>
        <v>0.11767842170154946</v>
      </c>
      <c r="EP302" s="4">
        <f t="shared" si="863"/>
        <v>0.11767842170154946</v>
      </c>
      <c r="EQ302" s="4">
        <f t="shared" si="951"/>
        <v>0.36697967727311104</v>
      </c>
      <c r="ER302" s="4">
        <f t="shared" si="1014"/>
        <v>5.4660613897866686</v>
      </c>
      <c r="ES302" s="4">
        <f t="shared" si="847"/>
        <v>6.9468129400643628</v>
      </c>
      <c r="ET302" s="4">
        <f t="shared" si="1015"/>
        <v>187.69203720308082</v>
      </c>
      <c r="EU302" s="4">
        <f t="shared" si="1016"/>
        <v>89.471499999999992</v>
      </c>
      <c r="EV302" s="4">
        <f t="shared" si="952"/>
        <v>2.5926181363003004E-5</v>
      </c>
      <c r="EW302" s="4">
        <f t="shared" si="848"/>
        <v>7.2858534123672989</v>
      </c>
      <c r="EX302" s="4">
        <f t="shared" si="965"/>
        <v>742.51199911376148</v>
      </c>
      <c r="FA302" s="4">
        <f>5.25*25.4</f>
        <v>133.35</v>
      </c>
      <c r="FG302" s="23">
        <f t="shared" si="878"/>
        <v>2.2000000000000002</v>
      </c>
      <c r="FH302" s="23">
        <f t="shared" si="878"/>
        <v>1.6</v>
      </c>
      <c r="FI302" s="23">
        <f t="shared" si="818"/>
        <v>1.4</v>
      </c>
      <c r="FJ302" s="23">
        <f t="shared" si="879"/>
        <v>2.2000000000000002</v>
      </c>
      <c r="FK302" s="23">
        <f t="shared" si="879"/>
        <v>1.6</v>
      </c>
      <c r="FL302" s="23">
        <f t="shared" si="879"/>
        <v>1.6</v>
      </c>
      <c r="FM302" s="23">
        <f t="shared" si="1037"/>
        <v>0</v>
      </c>
      <c r="FN302" s="23"/>
      <c r="FX302" s="4">
        <f t="shared" si="915"/>
        <v>1</v>
      </c>
      <c r="FY302" s="4">
        <f t="shared" si="975"/>
        <v>0.43787748058671272</v>
      </c>
      <c r="FZ302" s="4">
        <f t="shared" si="916"/>
        <v>0.3</v>
      </c>
      <c r="GA302" s="4">
        <f t="shared" si="917"/>
        <v>776.36908904117877</v>
      </c>
    </row>
    <row r="303" spans="1:183" ht="12" customHeight="1" x14ac:dyDescent="0.3">
      <c r="A303" s="25">
        <v>285</v>
      </c>
      <c r="B303" s="4" t="s">
        <v>605</v>
      </c>
      <c r="C303" s="4">
        <v>2016</v>
      </c>
      <c r="D303" s="4" t="s">
        <v>309</v>
      </c>
      <c r="E303" s="24" t="s">
        <v>667</v>
      </c>
      <c r="F303" s="7" t="s">
        <v>444</v>
      </c>
      <c r="G303" s="38">
        <f>120/0.145</f>
        <v>827.58620689655174</v>
      </c>
      <c r="H303" s="38">
        <f>14.25*25.4</f>
        <v>361.95</v>
      </c>
      <c r="I303" s="4">
        <f t="shared" si="850"/>
        <v>361.95</v>
      </c>
      <c r="J303" s="38">
        <f>4960/145</f>
        <v>34.206896551724135</v>
      </c>
      <c r="K303" s="38">
        <f t="shared" si="851"/>
        <v>25.4</v>
      </c>
      <c r="L303" s="7">
        <f t="shared" si="852"/>
        <v>14.25</v>
      </c>
      <c r="M303" s="7">
        <f t="shared" si="853"/>
        <v>14.25</v>
      </c>
      <c r="N303" s="38">
        <f>16.9*25.4</f>
        <v>429.25999999999993</v>
      </c>
      <c r="O303" s="38">
        <f>2.45*25.4</f>
        <v>62.230000000000004</v>
      </c>
      <c r="P303" s="39">
        <f>3.4*25.4</f>
        <v>86.36</v>
      </c>
      <c r="Q303" s="7">
        <f t="shared" si="854"/>
        <v>114.29999999999997</v>
      </c>
      <c r="R303" s="38">
        <v>3</v>
      </c>
      <c r="S303" s="4">
        <f t="shared" si="826"/>
        <v>260.34999999999997</v>
      </c>
      <c r="T303" s="7">
        <f t="shared" si="855"/>
        <v>2.7499999999999996</v>
      </c>
      <c r="U303" s="7">
        <f t="shared" si="958"/>
        <v>2.95</v>
      </c>
      <c r="V303" s="38">
        <v>9.5</v>
      </c>
      <c r="W303" s="4">
        <f t="shared" si="856"/>
        <v>9.5</v>
      </c>
      <c r="X303" s="4">
        <f t="shared" si="857"/>
        <v>10.5</v>
      </c>
      <c r="Y303" s="7">
        <f t="shared" si="858"/>
        <v>82.305406869779816</v>
      </c>
      <c r="AB303" s="38">
        <f t="shared" si="885"/>
        <v>640.68965517241384</v>
      </c>
      <c r="AC303" s="4">
        <v>92.9</v>
      </c>
      <c r="AD303" s="4">
        <f t="shared" si="998"/>
        <v>1.1403447227271795</v>
      </c>
      <c r="AE303" s="38">
        <v>0</v>
      </c>
      <c r="AF303" s="38">
        <v>0</v>
      </c>
      <c r="AG303" s="39">
        <f t="shared" ref="AG303:AG304" si="1049">I303</f>
        <v>361.95</v>
      </c>
      <c r="AH303" s="39"/>
      <c r="AI303" s="39"/>
      <c r="AJ303" s="7"/>
      <c r="AK303" s="4">
        <f t="shared" si="859"/>
        <v>361.95</v>
      </c>
      <c r="AL303" s="4">
        <f t="shared" si="1018"/>
        <v>0.39532163742690052</v>
      </c>
      <c r="AM303" s="4">
        <f t="shared" si="1019"/>
        <v>264.94220061382879</v>
      </c>
      <c r="AN303" s="4">
        <f t="shared" si="1020"/>
        <v>0.74140350877192973</v>
      </c>
      <c r="AO303" s="4">
        <v>1.25</v>
      </c>
      <c r="AP303" s="4">
        <f t="shared" si="933"/>
        <v>2.5</v>
      </c>
      <c r="AQ303" s="38">
        <f t="shared" si="827"/>
        <v>242.66457631218935</v>
      </c>
      <c r="AR303" s="38">
        <f t="shared" si="1021"/>
        <v>242.66457631218935</v>
      </c>
      <c r="AS303" s="38">
        <f t="shared" si="1022"/>
        <v>3.1612853899839108</v>
      </c>
      <c r="AT303" s="38">
        <f t="shared" si="940"/>
        <v>242.66457631218921</v>
      </c>
      <c r="AU303" s="38">
        <f t="shared" si="910"/>
        <v>1.0000000000000007</v>
      </c>
      <c r="AV303" s="38">
        <f t="shared" si="941"/>
        <v>2.4591528566563099</v>
      </c>
      <c r="AW303" s="4">
        <f t="shared" si="942"/>
        <v>0</v>
      </c>
      <c r="AX303" s="4">
        <f t="shared" si="860"/>
        <v>438.64996649201771</v>
      </c>
      <c r="AY303" s="4">
        <f t="shared" si="828"/>
        <v>1.0290909090909093</v>
      </c>
      <c r="AZ303" s="38">
        <f t="shared" si="953"/>
        <v>596.74928604741319</v>
      </c>
      <c r="BA303" s="4">
        <f t="shared" si="829"/>
        <v>0.3</v>
      </c>
      <c r="BB303" s="4">
        <f t="shared" si="830"/>
        <v>68.758382247623786</v>
      </c>
      <c r="BC303" s="4">
        <f t="shared" si="831"/>
        <v>665.50766829503698</v>
      </c>
      <c r="BE303" s="4">
        <f t="shared" si="934"/>
        <v>1.3625</v>
      </c>
      <c r="BF303" s="4">
        <f t="shared" si="935"/>
        <v>579.7307619650129</v>
      </c>
      <c r="BH303" s="4">
        <f t="shared" si="959"/>
        <v>572.35554300176852</v>
      </c>
      <c r="BI303" s="4">
        <f t="shared" si="905"/>
        <v>0</v>
      </c>
      <c r="BJ303" s="4">
        <f t="shared" si="960"/>
        <v>0</v>
      </c>
      <c r="BK303" s="4">
        <f t="shared" si="1023"/>
        <v>62.230000000000004</v>
      </c>
      <c r="BL303" s="4">
        <f t="shared" si="1024"/>
        <v>62.230000000000004</v>
      </c>
      <c r="BM303" s="4">
        <f t="shared" si="1025"/>
        <v>260.34999999999997</v>
      </c>
      <c r="BN303" s="4">
        <f t="shared" si="1026"/>
        <v>74.930000000000007</v>
      </c>
      <c r="BO303" s="4">
        <f t="shared" si="1027"/>
        <v>1.25</v>
      </c>
      <c r="BP303" s="25">
        <f t="shared" si="1028"/>
        <v>3.6875000000000004</v>
      </c>
      <c r="BR303" s="4">
        <f t="shared" si="832"/>
        <v>57.149999999999984</v>
      </c>
      <c r="BV303" s="9"/>
      <c r="BX303" s="9"/>
      <c r="BY303" s="9"/>
      <c r="BZ303" s="9">
        <f t="shared" si="833"/>
        <v>57.149999999999984</v>
      </c>
      <c r="CA303" s="9">
        <f t="shared" si="834"/>
        <v>62.230000000000004</v>
      </c>
      <c r="CB303" s="9">
        <f t="shared" si="943"/>
        <v>1.5192834046120851</v>
      </c>
      <c r="CC303" s="40">
        <f t="shared" si="861"/>
        <v>20</v>
      </c>
      <c r="CD303" s="9">
        <f t="shared" si="835"/>
        <v>0</v>
      </c>
      <c r="CE303" s="9">
        <f t="shared" si="836"/>
        <v>0</v>
      </c>
      <c r="CF303" s="9">
        <f t="shared" si="837"/>
        <v>0.99524931562137331</v>
      </c>
      <c r="CG303" s="9">
        <f t="shared" si="838"/>
        <v>0.68</v>
      </c>
      <c r="CH303" s="9">
        <f t="shared" si="944"/>
        <v>1.3853696905299668</v>
      </c>
      <c r="CI303" s="9">
        <f t="shared" si="945"/>
        <v>2.1047691800747588</v>
      </c>
      <c r="CJ303" s="40">
        <v>1</v>
      </c>
      <c r="CK303" s="9">
        <f t="shared" si="946"/>
        <v>246.25799406874677</v>
      </c>
      <c r="CM303" s="4">
        <f t="shared" si="839"/>
        <v>1.4605943328712707</v>
      </c>
      <c r="CN303" s="4">
        <f t="shared" si="840"/>
        <v>0.96270814852336062</v>
      </c>
      <c r="CO303" s="4">
        <f t="shared" si="814"/>
        <v>1.1051503511747058</v>
      </c>
      <c r="CP303" s="4">
        <f t="shared" si="841"/>
        <v>2.6017009421166457</v>
      </c>
      <c r="CQ303" s="4">
        <f t="shared" si="1035"/>
        <v>1.1403447227271795</v>
      </c>
      <c r="CR303" s="4">
        <f t="shared" si="1036"/>
        <v>1.1693024959062237</v>
      </c>
      <c r="CS303" s="4">
        <f t="shared" si="815"/>
        <v>1.4565711461993656</v>
      </c>
      <c r="CT303" s="4">
        <f t="shared" si="862"/>
        <v>0</v>
      </c>
      <c r="CU303" s="4">
        <f t="shared" ref="CU303:CV304" si="1050">CM303</f>
        <v>1.4605943328712707</v>
      </c>
      <c r="CV303" s="4">
        <f t="shared" si="1050"/>
        <v>0.96270814852336062</v>
      </c>
      <c r="CW303" s="4">
        <f t="shared" ref="CW303:CW304" si="1051">CP303</f>
        <v>2.6017009421166457</v>
      </c>
      <c r="CX303" s="4">
        <f t="shared" ref="CX303:CX304" si="1052">CS303</f>
        <v>1.4565711461993656</v>
      </c>
      <c r="CY303" s="4">
        <f t="shared" ref="CY303:CZ304" si="1053">CQ303</f>
        <v>1.1403447227271795</v>
      </c>
      <c r="CZ303" s="4">
        <f t="shared" si="1053"/>
        <v>1.1693024959062237</v>
      </c>
      <c r="DI303" s="4">
        <f t="shared" si="846"/>
        <v>361.95</v>
      </c>
      <c r="DL303" s="4">
        <f t="shared" si="999"/>
        <v>2.6208135918027901E-5</v>
      </c>
      <c r="DM303" s="4">
        <f t="shared" si="1000"/>
        <v>7.1785914172642658</v>
      </c>
      <c r="DN303" s="4">
        <f t="shared" si="1001"/>
        <v>0.2391466748947412</v>
      </c>
      <c r="DO303" s="4">
        <f t="shared" si="1002"/>
        <v>4.0504658421393991</v>
      </c>
      <c r="DP303" s="4">
        <f t="shared" si="1003"/>
        <v>5.8298602507377382</v>
      </c>
      <c r="DQ303" s="4">
        <f t="shared" si="1004"/>
        <v>6.5270920350110737</v>
      </c>
      <c r="DR303" s="38">
        <f t="shared" si="1029"/>
        <v>561.83857600549004</v>
      </c>
      <c r="DS303" s="4">
        <f t="shared" si="1005"/>
        <v>1.0001081698258725</v>
      </c>
      <c r="DT303" s="4">
        <f t="shared" si="1006"/>
        <v>3.2403703492039297</v>
      </c>
      <c r="DU303" s="4">
        <f t="shared" si="1007"/>
        <v>242.66457631218921</v>
      </c>
      <c r="DY303" s="4">
        <f t="shared" si="1008"/>
        <v>0.85</v>
      </c>
      <c r="DZ303" s="4">
        <f t="shared" si="1009"/>
        <v>0.875</v>
      </c>
      <c r="EA303" s="4">
        <f t="shared" si="1030"/>
        <v>1</v>
      </c>
      <c r="EB303" s="4">
        <f t="shared" si="1010"/>
        <v>0.875</v>
      </c>
      <c r="ED303" s="4">
        <f t="shared" si="1031"/>
        <v>547.92464517564508</v>
      </c>
      <c r="EE303" s="25">
        <f t="shared" si="1032"/>
        <v>241.03986208759761</v>
      </c>
      <c r="EG303" s="4">
        <f t="shared" si="932"/>
        <v>0.74375000000000002</v>
      </c>
      <c r="EH303" s="4">
        <f t="shared" si="1033"/>
        <v>7.1785914172642658</v>
      </c>
      <c r="EK303" s="4">
        <f t="shared" si="1011"/>
        <v>82.305406869779816</v>
      </c>
      <c r="EL303" s="4">
        <f t="shared" si="1012"/>
        <v>3.2403703492039302</v>
      </c>
      <c r="EM303" s="4">
        <f t="shared" si="1013"/>
        <v>7.6481509216506982E-2</v>
      </c>
      <c r="EP303" s="4">
        <f t="shared" si="863"/>
        <v>7.6481509216506982E-2</v>
      </c>
      <c r="EQ303" s="4">
        <f t="shared" si="951"/>
        <v>0.2387475836652232</v>
      </c>
      <c r="ER303" s="4">
        <f t="shared" si="1014"/>
        <v>4.0477606982627874</v>
      </c>
      <c r="ES303" s="4">
        <f t="shared" si="847"/>
        <v>5.828926683373596</v>
      </c>
      <c r="ET303" s="4">
        <f t="shared" si="1015"/>
        <v>189.15709313022018</v>
      </c>
      <c r="EU303" s="4">
        <f t="shared" si="1016"/>
        <v>90.487500000000011</v>
      </c>
      <c r="EV303" s="4">
        <f t="shared" si="952"/>
        <v>2.6208135918027901E-5</v>
      </c>
      <c r="EW303" s="4">
        <f t="shared" si="848"/>
        <v>6.5272397439999459</v>
      </c>
      <c r="EX303" s="4">
        <f t="shared" si="965"/>
        <v>561.77780859775498</v>
      </c>
      <c r="FG303" s="23">
        <f t="shared" si="878"/>
        <v>1.6</v>
      </c>
      <c r="FH303" s="23">
        <f t="shared" si="878"/>
        <v>1</v>
      </c>
      <c r="FI303" s="23">
        <f t="shared" si="818"/>
        <v>1.6</v>
      </c>
      <c r="FJ303" s="23">
        <f t="shared" si="879"/>
        <v>2.2000000000000002</v>
      </c>
      <c r="FK303" s="23">
        <f t="shared" si="879"/>
        <v>1.2</v>
      </c>
      <c r="FL303" s="23">
        <f t="shared" si="879"/>
        <v>1.2</v>
      </c>
      <c r="FM303" s="23">
        <f t="shared" si="1037"/>
        <v>0</v>
      </c>
      <c r="FN303" s="23"/>
      <c r="FX303" s="4">
        <f t="shared" si="915"/>
        <v>1.25</v>
      </c>
      <c r="FY303" s="4">
        <f t="shared" si="975"/>
        <v>0.625</v>
      </c>
      <c r="FZ303" s="4">
        <f t="shared" si="916"/>
        <v>0</v>
      </c>
      <c r="GA303" s="4">
        <f t="shared" si="917"/>
        <v>439.86155900737623</v>
      </c>
    </row>
    <row r="304" spans="1:183" ht="12" customHeight="1" x14ac:dyDescent="0.3">
      <c r="A304" s="25">
        <v>286</v>
      </c>
      <c r="B304" s="4" t="s">
        <v>605</v>
      </c>
      <c r="C304" s="4">
        <v>2016</v>
      </c>
      <c r="D304" s="4" t="s">
        <v>309</v>
      </c>
      <c r="E304" s="24" t="s">
        <v>667</v>
      </c>
      <c r="F304" s="48" t="s">
        <v>445</v>
      </c>
      <c r="G304" s="38">
        <f>115.9/0.145</f>
        <v>799.31034482758628</v>
      </c>
      <c r="H304" s="38">
        <f>14.35*25.4</f>
        <v>364.48999999999995</v>
      </c>
      <c r="I304" s="4">
        <f t="shared" si="850"/>
        <v>364.48999999999995</v>
      </c>
      <c r="J304" s="38">
        <f t="shared" ref="J304" si="1054">4960/145</f>
        <v>34.206896551724135</v>
      </c>
      <c r="K304" s="38">
        <f t="shared" si="851"/>
        <v>25.4</v>
      </c>
      <c r="L304" s="7">
        <f t="shared" si="852"/>
        <v>14.35</v>
      </c>
      <c r="M304" s="7">
        <f t="shared" si="853"/>
        <v>14.35</v>
      </c>
      <c r="N304" s="38">
        <f t="shared" ref="N304" si="1055">16.9*25.4</f>
        <v>429.25999999999993</v>
      </c>
      <c r="O304" s="38">
        <f>2.45*25.4</f>
        <v>62.230000000000004</v>
      </c>
      <c r="P304" s="39">
        <f>3.2*25.4</f>
        <v>81.28</v>
      </c>
      <c r="Q304" s="7">
        <f t="shared" si="854"/>
        <v>114.29999999999997</v>
      </c>
      <c r="R304" s="38">
        <v>3</v>
      </c>
      <c r="S304" s="4">
        <f t="shared" si="826"/>
        <v>260.34999999999997</v>
      </c>
      <c r="T304" s="7">
        <f t="shared" si="855"/>
        <v>2.7499999999999996</v>
      </c>
      <c r="U304" s="7">
        <f t="shared" si="958"/>
        <v>2.95</v>
      </c>
      <c r="V304" s="38">
        <v>9.1</v>
      </c>
      <c r="W304" s="4">
        <f t="shared" si="856"/>
        <v>9.1</v>
      </c>
      <c r="X304" s="4">
        <f t="shared" si="857"/>
        <v>10.1</v>
      </c>
      <c r="Y304" s="7">
        <f t="shared" si="858"/>
        <v>80.72246279691916</v>
      </c>
      <c r="AB304" s="38">
        <f t="shared" si="885"/>
        <v>660.68965517241384</v>
      </c>
      <c r="AC304" s="4">
        <v>95.8</v>
      </c>
      <c r="AD304" s="4">
        <f t="shared" si="998"/>
        <v>1.1667495807153807</v>
      </c>
      <c r="AE304" s="38">
        <v>0</v>
      </c>
      <c r="AF304" s="38">
        <v>0</v>
      </c>
      <c r="AG304" s="39">
        <f t="shared" si="1049"/>
        <v>364.48999999999995</v>
      </c>
      <c r="AH304" s="39"/>
      <c r="AI304" s="39"/>
      <c r="AJ304" s="7"/>
      <c r="AK304" s="4">
        <f t="shared" si="859"/>
        <v>364.48999999999995</v>
      </c>
      <c r="AL304" s="4">
        <f t="shared" si="1018"/>
        <v>0.39256678281068519</v>
      </c>
      <c r="AM304" s="4">
        <f t="shared" si="1019"/>
        <v>267.73595292203152</v>
      </c>
      <c r="AN304" s="4">
        <f t="shared" si="1020"/>
        <v>0.74111498257839714</v>
      </c>
      <c r="AO304" s="4">
        <v>1.25</v>
      </c>
      <c r="AP304" s="4">
        <f t="shared" si="933"/>
        <v>2.5</v>
      </c>
      <c r="AQ304" s="38">
        <f t="shared" si="827"/>
        <v>243.41977575810324</v>
      </c>
      <c r="AR304" s="38">
        <f t="shared" si="1021"/>
        <v>243.41977575810324</v>
      </c>
      <c r="AS304" s="38">
        <f t="shared" si="1022"/>
        <v>3.1612853899839108</v>
      </c>
      <c r="AT304" s="38">
        <f t="shared" si="940"/>
        <v>243.41977575810327</v>
      </c>
      <c r="AU304" s="38">
        <f t="shared" si="910"/>
        <v>0.99999999999999989</v>
      </c>
      <c r="AV304" s="38">
        <f t="shared" si="941"/>
        <v>2.3993573988971941</v>
      </c>
      <c r="AW304" s="4">
        <f t="shared" si="942"/>
        <v>0</v>
      </c>
      <c r="AX304" s="4">
        <f t="shared" si="860"/>
        <v>441.72821187090909</v>
      </c>
      <c r="AY304" s="4">
        <f t="shared" si="828"/>
        <v>1.0290909090909093</v>
      </c>
      <c r="AZ304" s="38">
        <f t="shared" si="953"/>
        <v>584.05104000310098</v>
      </c>
      <c r="BA304" s="4">
        <f t="shared" si="829"/>
        <v>0.3</v>
      </c>
      <c r="BB304" s="4">
        <f t="shared" si="830"/>
        <v>69.240897210764984</v>
      </c>
      <c r="BC304" s="4">
        <f t="shared" si="831"/>
        <v>653.29193721386594</v>
      </c>
      <c r="BE304" s="4">
        <f t="shared" si="934"/>
        <v>1.3625</v>
      </c>
      <c r="BF304" s="4">
        <f t="shared" si="935"/>
        <v>582.12140428239445</v>
      </c>
      <c r="BH304" s="4">
        <f t="shared" si="959"/>
        <v>560.17637215097193</v>
      </c>
      <c r="BI304" s="4">
        <f t="shared" si="905"/>
        <v>0</v>
      </c>
      <c r="BJ304" s="4">
        <f t="shared" si="960"/>
        <v>0</v>
      </c>
      <c r="BK304" s="4">
        <f t="shared" si="1023"/>
        <v>62.230000000000004</v>
      </c>
      <c r="BL304" s="4">
        <f t="shared" si="1024"/>
        <v>62.230000000000004</v>
      </c>
      <c r="BM304" s="4">
        <f t="shared" si="1025"/>
        <v>260.34999999999997</v>
      </c>
      <c r="BN304" s="4">
        <f t="shared" si="1026"/>
        <v>74.930000000000007</v>
      </c>
      <c r="BO304" s="4">
        <f t="shared" si="1027"/>
        <v>1.25</v>
      </c>
      <c r="BP304" s="25">
        <f t="shared" si="1028"/>
        <v>3.6875000000000004</v>
      </c>
      <c r="BR304" s="4">
        <f t="shared" si="832"/>
        <v>57.149999999999984</v>
      </c>
      <c r="BV304" s="9"/>
      <c r="BX304" s="9"/>
      <c r="BY304" s="9"/>
      <c r="BZ304" s="9">
        <f t="shared" si="833"/>
        <v>57.149999999999984</v>
      </c>
      <c r="CA304" s="9">
        <f t="shared" si="834"/>
        <v>62.230000000000004</v>
      </c>
      <c r="CB304" s="9">
        <f t="shared" si="943"/>
        <v>1.5192834046120851</v>
      </c>
      <c r="CC304" s="40">
        <f t="shared" si="861"/>
        <v>20</v>
      </c>
      <c r="CD304" s="9">
        <f t="shared" si="835"/>
        <v>0</v>
      </c>
      <c r="CE304" s="9">
        <f t="shared" si="836"/>
        <v>0</v>
      </c>
      <c r="CF304" s="9">
        <f t="shared" si="837"/>
        <v>0.99524931562137331</v>
      </c>
      <c r="CG304" s="9">
        <f t="shared" si="838"/>
        <v>0.68048275862068963</v>
      </c>
      <c r="CH304" s="9">
        <f t="shared" si="944"/>
        <v>1.3863532187078278</v>
      </c>
      <c r="CI304" s="9">
        <f t="shared" si="945"/>
        <v>2.1062634381133511</v>
      </c>
      <c r="CJ304" s="40">
        <v>1</v>
      </c>
      <c r="CK304" s="9">
        <f t="shared" si="946"/>
        <v>247.27532763450742</v>
      </c>
      <c r="CM304" s="4">
        <f t="shared" si="839"/>
        <v>1.4956926848165499</v>
      </c>
      <c r="CN304" s="4">
        <f t="shared" si="840"/>
        <v>1.0113237551807197</v>
      </c>
      <c r="CO304" s="4">
        <f t="shared" si="814"/>
        <v>1.1349688403690872</v>
      </c>
      <c r="CP304" s="4">
        <f t="shared" si="841"/>
        <v>2.6718785957852038</v>
      </c>
      <c r="CQ304" s="4">
        <f t="shared" si="1035"/>
        <v>1.1667495807153807</v>
      </c>
      <c r="CR304" s="4">
        <f t="shared" si="1036"/>
        <v>1.1994142932326093</v>
      </c>
      <c r="CS304" s="4">
        <f t="shared" si="815"/>
        <v>1.4915728202248597</v>
      </c>
      <c r="CT304" s="4">
        <f t="shared" si="862"/>
        <v>0</v>
      </c>
      <c r="CU304" s="4">
        <f t="shared" si="1050"/>
        <v>1.4956926848165499</v>
      </c>
      <c r="CV304" s="4">
        <f t="shared" si="1050"/>
        <v>1.0113237551807197</v>
      </c>
      <c r="CW304" s="4">
        <f t="shared" si="1051"/>
        <v>2.6718785957852038</v>
      </c>
      <c r="CX304" s="4">
        <f t="shared" si="1052"/>
        <v>1.4915728202248597</v>
      </c>
      <c r="CY304" s="4">
        <f t="shared" si="1053"/>
        <v>1.1667495807153807</v>
      </c>
      <c r="CZ304" s="4">
        <f t="shared" si="1053"/>
        <v>1.1994142932326093</v>
      </c>
      <c r="DI304" s="4">
        <f t="shared" si="846"/>
        <v>364.48999999999995</v>
      </c>
      <c r="DL304" s="4">
        <f t="shared" si="999"/>
        <v>2.6392052661312303E-5</v>
      </c>
      <c r="DM304" s="4">
        <f t="shared" si="1000"/>
        <v>7.1785914172642658</v>
      </c>
      <c r="DN304" s="4">
        <f t="shared" si="1001"/>
        <v>0.24561906376309534</v>
      </c>
      <c r="DO304" s="4">
        <f t="shared" si="1002"/>
        <v>4.0939644205144168</v>
      </c>
      <c r="DP304" s="4">
        <f t="shared" si="1003"/>
        <v>5.8449398825812473</v>
      </c>
      <c r="DQ304" s="4">
        <f t="shared" si="1004"/>
        <v>6.5142498463012739</v>
      </c>
      <c r="DR304" s="38">
        <f t="shared" si="1029"/>
        <v>566.26517471497073</v>
      </c>
      <c r="DS304" s="4">
        <f t="shared" si="1005"/>
        <v>1.0001085615754768</v>
      </c>
      <c r="DT304" s="4">
        <f t="shared" si="1006"/>
        <v>3.1780497164141401</v>
      </c>
      <c r="DU304" s="4">
        <f t="shared" si="1007"/>
        <v>243.41977575810327</v>
      </c>
      <c r="DY304" s="4">
        <f t="shared" si="1008"/>
        <v>0.85</v>
      </c>
      <c r="DZ304" s="4">
        <f t="shared" si="1009"/>
        <v>0.875</v>
      </c>
      <c r="EA304" s="4">
        <f t="shared" si="1030"/>
        <v>1</v>
      </c>
      <c r="EB304" s="4">
        <f t="shared" si="1010"/>
        <v>0.875</v>
      </c>
      <c r="ED304" s="4">
        <f t="shared" si="1031"/>
        <v>550.84357331756632</v>
      </c>
      <c r="EE304" s="25">
        <f t="shared" si="1032"/>
        <v>241.80521280433967</v>
      </c>
      <c r="EG304" s="4">
        <f t="shared" si="932"/>
        <v>0.74375000000000002</v>
      </c>
      <c r="EH304" s="4">
        <f t="shared" si="1033"/>
        <v>7.1785914172642658</v>
      </c>
      <c r="EK304" s="4">
        <f t="shared" si="1011"/>
        <v>80.72246279691916</v>
      </c>
      <c r="EL304" s="4">
        <f t="shared" si="1012"/>
        <v>3.1780497164141406</v>
      </c>
      <c r="EM304" s="4">
        <f t="shared" si="1013"/>
        <v>7.8551444201409956E-2</v>
      </c>
      <c r="EP304" s="4">
        <f t="shared" si="863"/>
        <v>7.8551444201409956E-2</v>
      </c>
      <c r="EQ304" s="4">
        <f t="shared" si="951"/>
        <v>0.24520917132284534</v>
      </c>
      <c r="ER304" s="4">
        <f t="shared" si="1014"/>
        <v>4.0912302256798361</v>
      </c>
      <c r="ES304" s="4">
        <f t="shared" si="847"/>
        <v>5.8439882654616717</v>
      </c>
      <c r="ET304" s="4">
        <f t="shared" si="1015"/>
        <v>192.64503720308079</v>
      </c>
      <c r="EU304" s="4">
        <f t="shared" si="1016"/>
        <v>91.122500000000002</v>
      </c>
      <c r="EV304" s="4">
        <f t="shared" si="952"/>
        <v>2.6392052661312303E-5</v>
      </c>
      <c r="EW304" s="4">
        <f t="shared" si="848"/>
        <v>6.5144003433715776</v>
      </c>
      <c r="EX304" s="4">
        <f t="shared" si="965"/>
        <v>566.20370674852529</v>
      </c>
      <c r="FA304" s="4">
        <f>5.25*25.4</f>
        <v>133.35</v>
      </c>
      <c r="FG304" s="23">
        <f t="shared" si="878"/>
        <v>1.6</v>
      </c>
      <c r="FH304" s="23">
        <f t="shared" si="878"/>
        <v>1.2</v>
      </c>
      <c r="FI304" s="23">
        <f t="shared" si="818"/>
        <v>1.6</v>
      </c>
      <c r="FJ304" s="23">
        <f t="shared" si="879"/>
        <v>2.2000000000000002</v>
      </c>
      <c r="FK304" s="23">
        <f t="shared" si="879"/>
        <v>1.2</v>
      </c>
      <c r="FL304" s="23">
        <f t="shared" si="879"/>
        <v>1.2</v>
      </c>
      <c r="FM304" s="23">
        <f t="shared" si="1037"/>
        <v>0</v>
      </c>
      <c r="FN304" s="23"/>
      <c r="FX304" s="4">
        <f t="shared" si="915"/>
        <v>1.25</v>
      </c>
      <c r="FY304" s="4">
        <f t="shared" si="975"/>
        <v>0.625</v>
      </c>
      <c r="FZ304" s="4">
        <f t="shared" si="916"/>
        <v>0</v>
      </c>
      <c r="GA304" s="4">
        <f t="shared" si="917"/>
        <v>442.9483067898841</v>
      </c>
    </row>
    <row r="305" spans="1:183" ht="12" customHeight="1" x14ac:dyDescent="0.3">
      <c r="A305" s="25">
        <v>287</v>
      </c>
      <c r="B305" s="4" t="s">
        <v>605</v>
      </c>
      <c r="C305" s="4">
        <v>2016</v>
      </c>
      <c r="D305" s="4" t="s">
        <v>309</v>
      </c>
      <c r="E305" s="24" t="s">
        <v>667</v>
      </c>
      <c r="F305" s="7" t="s">
        <v>446</v>
      </c>
      <c r="G305" s="38">
        <f>120/0.145</f>
        <v>827.58620689655174</v>
      </c>
      <c r="H305" s="38">
        <f>14.42*25.4</f>
        <v>366.26799999999997</v>
      </c>
      <c r="I305" s="4">
        <f t="shared" si="850"/>
        <v>366.26799999999997</v>
      </c>
      <c r="J305" s="38">
        <f>5370/145</f>
        <v>37.03448275862069</v>
      </c>
      <c r="K305" s="38">
        <f t="shared" si="851"/>
        <v>25.4</v>
      </c>
      <c r="L305" s="7">
        <f t="shared" si="852"/>
        <v>14.42</v>
      </c>
      <c r="M305" s="7">
        <f t="shared" si="853"/>
        <v>14.42</v>
      </c>
      <c r="N305" s="38">
        <f>17.4*25.4</f>
        <v>441.95999999999992</v>
      </c>
      <c r="O305" s="38">
        <f>2.65*25.4</f>
        <v>67.309999999999988</v>
      </c>
      <c r="P305" s="39">
        <f>3.2*25.4</f>
        <v>81.28</v>
      </c>
      <c r="Q305" s="7">
        <f t="shared" si="854"/>
        <v>115.56999999999998</v>
      </c>
      <c r="R305" s="38">
        <v>3</v>
      </c>
      <c r="S305" s="4">
        <f t="shared" si="826"/>
        <v>260.34999999999997</v>
      </c>
      <c r="T305" s="7">
        <f t="shared" si="855"/>
        <v>2.7749999999999999</v>
      </c>
      <c r="U305" s="7">
        <f t="shared" si="958"/>
        <v>3.1499999999999995</v>
      </c>
      <c r="V305" s="38">
        <v>9.5</v>
      </c>
      <c r="W305" s="4">
        <f t="shared" si="856"/>
        <v>9.5</v>
      </c>
      <c r="X305" s="4">
        <f t="shared" si="857"/>
        <v>10.5</v>
      </c>
      <c r="Y305" s="7">
        <f t="shared" si="858"/>
        <v>82.305406869779816</v>
      </c>
      <c r="AB305" s="38">
        <f t="shared" si="885"/>
        <v>825.51724137931046</v>
      </c>
      <c r="AC305" s="4">
        <v>119.7</v>
      </c>
      <c r="AD305" s="4">
        <f t="shared" si="998"/>
        <v>1.3055599870590859</v>
      </c>
      <c r="AE305" s="38">
        <f>0.375*25.4</f>
        <v>9.5249999999999986</v>
      </c>
      <c r="AF305" s="38">
        <v>10</v>
      </c>
      <c r="AG305" s="39">
        <f t="shared" ref="AG305:AG306" si="1056">3*25.4</f>
        <v>76.199999999999989</v>
      </c>
      <c r="AH305" s="39">
        <v>3</v>
      </c>
      <c r="AI305" s="39">
        <v>2</v>
      </c>
      <c r="AJ305" s="7"/>
      <c r="AK305" s="4">
        <f t="shared" si="859"/>
        <v>366.26799999999997</v>
      </c>
      <c r="AL305" s="4">
        <f t="shared" si="1018"/>
        <v>0.40221914008321769</v>
      </c>
      <c r="AM305" s="4">
        <f t="shared" si="1019"/>
        <v>280.62285446564027</v>
      </c>
      <c r="AN305" s="4">
        <f t="shared" si="1020"/>
        <v>0.74368932038834945</v>
      </c>
      <c r="AO305" s="4">
        <v>1.25</v>
      </c>
      <c r="AP305" s="4">
        <f t="shared" si="933"/>
        <v>2.5</v>
      </c>
      <c r="AQ305" s="38">
        <f t="shared" si="827"/>
        <v>262.31754411263563</v>
      </c>
      <c r="AR305" s="38">
        <f t="shared" si="1021"/>
        <v>262.31754411263563</v>
      </c>
      <c r="AS305" s="38">
        <f t="shared" si="1022"/>
        <v>3.3331800748667266</v>
      </c>
      <c r="AT305" s="38">
        <f t="shared" si="940"/>
        <v>262.31754411263586</v>
      </c>
      <c r="AU305" s="38">
        <f t="shared" si="910"/>
        <v>0.99999999999999911</v>
      </c>
      <c r="AV305" s="38">
        <f t="shared" si="941"/>
        <v>2.5456378195386229</v>
      </c>
      <c r="AW305" s="4">
        <f t="shared" si="942"/>
        <v>0</v>
      </c>
      <c r="AX305" s="4">
        <f t="shared" si="860"/>
        <v>461.86473240986345</v>
      </c>
      <c r="AY305" s="4">
        <f t="shared" si="828"/>
        <v>1.0540540540540539</v>
      </c>
      <c r="AZ305" s="38">
        <f t="shared" si="953"/>
        <v>667.76546102161683</v>
      </c>
      <c r="BA305" s="4">
        <f t="shared" si="829"/>
        <v>0.3</v>
      </c>
      <c r="BB305" s="4">
        <f t="shared" si="830"/>
        <v>72.397296805246114</v>
      </c>
      <c r="BC305" s="4">
        <f t="shared" si="831"/>
        <v>740.16275782686296</v>
      </c>
      <c r="BE305" s="4">
        <f t="shared" si="934"/>
        <v>1.5</v>
      </c>
      <c r="BF305" s="4">
        <f t="shared" si="935"/>
        <v>668.74618130782108</v>
      </c>
      <c r="BH305" s="4">
        <f t="shared" si="959"/>
        <v>640.46873951431451</v>
      </c>
      <c r="BI305" s="4">
        <f t="shared" si="905"/>
        <v>0</v>
      </c>
      <c r="BJ305" s="4">
        <f t="shared" si="960"/>
        <v>0</v>
      </c>
      <c r="BK305" s="4">
        <f t="shared" si="1023"/>
        <v>64.184999999999988</v>
      </c>
      <c r="BL305" s="4">
        <f t="shared" si="1024"/>
        <v>64.184999999999988</v>
      </c>
      <c r="BM305" s="4">
        <f t="shared" si="1025"/>
        <v>260.34999999999997</v>
      </c>
      <c r="BN305" s="4">
        <f t="shared" si="1026"/>
        <v>76.884999999999991</v>
      </c>
      <c r="BO305" s="4">
        <f t="shared" si="1027"/>
        <v>1.25</v>
      </c>
      <c r="BP305" s="25">
        <f t="shared" si="1028"/>
        <v>4</v>
      </c>
      <c r="BR305" s="4">
        <f t="shared" si="832"/>
        <v>57.784999999999989</v>
      </c>
      <c r="BV305" s="9"/>
      <c r="BX305" s="9"/>
      <c r="BY305" s="9"/>
      <c r="BZ305" s="9">
        <f t="shared" si="833"/>
        <v>57.784999999999989</v>
      </c>
      <c r="CA305" s="9">
        <f t="shared" si="834"/>
        <v>67.309999999999988</v>
      </c>
      <c r="CB305" s="9">
        <f t="shared" si="943"/>
        <v>1.5432289842400166</v>
      </c>
      <c r="CC305" s="40">
        <f t="shared" si="861"/>
        <v>20</v>
      </c>
      <c r="CD305" s="9">
        <f t="shared" si="835"/>
        <v>0.05</v>
      </c>
      <c r="CE305" s="9">
        <f t="shared" si="836"/>
        <v>0.8</v>
      </c>
      <c r="CF305" s="9">
        <f t="shared" si="837"/>
        <v>0.99524931562137331</v>
      </c>
      <c r="CG305" s="9">
        <f t="shared" si="838"/>
        <v>0.68</v>
      </c>
      <c r="CH305" s="9">
        <f t="shared" si="944"/>
        <v>1.441491169956336</v>
      </c>
      <c r="CI305" s="9">
        <f t="shared" si="945"/>
        <v>3.3777438899677379</v>
      </c>
      <c r="CJ305" s="40">
        <v>1</v>
      </c>
      <c r="CK305" s="9">
        <f t="shared" si="946"/>
        <v>397.4929009714034</v>
      </c>
      <c r="CM305" s="4">
        <f t="shared" si="839"/>
        <v>1.7873571707283726</v>
      </c>
      <c r="CN305" s="4">
        <f t="shared" si="840"/>
        <v>1.1153185331872824</v>
      </c>
      <c r="CO305" s="4">
        <f t="shared" si="814"/>
        <v>1.2344253536743985</v>
      </c>
      <c r="CP305" s="4">
        <f t="shared" si="841"/>
        <v>2.07681002443538</v>
      </c>
      <c r="CQ305" s="4">
        <f t="shared" si="1035"/>
        <v>1.3055599870590859</v>
      </c>
      <c r="CR305" s="4">
        <f t="shared" si="1036"/>
        <v>1.3354151143487145</v>
      </c>
      <c r="CS305" s="4">
        <f t="shared" si="815"/>
        <v>1.2857433234217517</v>
      </c>
      <c r="CT305" s="4">
        <f t="shared" si="862"/>
        <v>10</v>
      </c>
      <c r="DA305" s="4">
        <f t="shared" ref="DA305:DB306" si="1057">CM305</f>
        <v>1.7873571707283726</v>
      </c>
      <c r="DB305" s="4">
        <f t="shared" si="1057"/>
        <v>1.1153185331872824</v>
      </c>
      <c r="DC305" s="4">
        <f t="shared" ref="DC305:DC306" si="1058">CP305</f>
        <v>2.07681002443538</v>
      </c>
      <c r="DD305" s="4">
        <f t="shared" ref="DD305:DD306" si="1059">CS305</f>
        <v>1.2857433234217517</v>
      </c>
      <c r="DE305" s="4">
        <f t="shared" ref="DE305:DF306" si="1060">CQ305</f>
        <v>1.3055599870590859</v>
      </c>
      <c r="DF305" s="4">
        <f t="shared" si="1060"/>
        <v>1.3354151143487145</v>
      </c>
      <c r="DI305" s="4">
        <f t="shared" si="846"/>
        <v>366.26799999999997</v>
      </c>
      <c r="DL305" s="4">
        <f t="shared" si="999"/>
        <v>2.7037033836206757E-5</v>
      </c>
      <c r="DM305" s="4">
        <f t="shared" si="1000"/>
        <v>8.2657094987768289</v>
      </c>
      <c r="DN305" s="4">
        <f t="shared" si="1001"/>
        <v>0.23877711015829453</v>
      </c>
      <c r="DO305" s="4">
        <f t="shared" si="1002"/>
        <v>4.6609797326345435</v>
      </c>
      <c r="DP305" s="4">
        <f t="shared" si="1003"/>
        <v>6.7117325510641495</v>
      </c>
      <c r="DQ305" s="4">
        <f t="shared" si="1004"/>
        <v>7.3663406701590528</v>
      </c>
      <c r="DR305" s="38">
        <f t="shared" si="1029"/>
        <v>632.30893222982172</v>
      </c>
      <c r="DS305" s="4">
        <f t="shared" si="1005"/>
        <v>1.0001106507304649</v>
      </c>
      <c r="DT305" s="4">
        <f t="shared" si="1006"/>
        <v>3.2403703492039297</v>
      </c>
      <c r="DU305" s="4">
        <f t="shared" si="1007"/>
        <v>262.31754411263586</v>
      </c>
      <c r="DY305" s="4">
        <f t="shared" si="1008"/>
        <v>0.85</v>
      </c>
      <c r="DZ305" s="4">
        <f t="shared" si="1009"/>
        <v>0.87250000000000005</v>
      </c>
      <c r="EA305" s="4">
        <f t="shared" si="1030"/>
        <v>0.90625</v>
      </c>
      <c r="EB305" s="4">
        <f t="shared" si="1010"/>
        <v>0.79070312500000006</v>
      </c>
      <c r="ED305" s="4">
        <f t="shared" si="1031"/>
        <v>618.17275580403884</v>
      </c>
      <c r="EE305" s="25">
        <f t="shared" si="1032"/>
        <v>260.59816288695316</v>
      </c>
      <c r="EG305" s="4">
        <f t="shared" si="932"/>
        <v>0.67209765625000006</v>
      </c>
      <c r="EH305" s="4">
        <f t="shared" si="1033"/>
        <v>8.2657094987768289</v>
      </c>
      <c r="EK305" s="4">
        <f t="shared" si="1011"/>
        <v>82.305406869779816</v>
      </c>
      <c r="EL305" s="4">
        <f t="shared" si="1012"/>
        <v>3.2403703492039302</v>
      </c>
      <c r="EM305" s="4">
        <f t="shared" si="1013"/>
        <v>7.9456805189587323E-2</v>
      </c>
      <c r="EP305" s="4">
        <f t="shared" si="863"/>
        <v>7.9456805189587323E-2</v>
      </c>
      <c r="EQ305" s="4">
        <f t="shared" si="951"/>
        <v>0.23837863566344408</v>
      </c>
      <c r="ER305" s="4">
        <f t="shared" si="1014"/>
        <v>4.6578668509873076</v>
      </c>
      <c r="ES305" s="4">
        <f t="shared" si="847"/>
        <v>6.7106587986327391</v>
      </c>
      <c r="ET305" s="4">
        <f t="shared" si="1015"/>
        <v>192.39559313022016</v>
      </c>
      <c r="EU305" s="4">
        <f t="shared" si="1016"/>
        <v>91.567000000000007</v>
      </c>
      <c r="EV305" s="4">
        <f t="shared" si="952"/>
        <v>2.7037033836206764E-5</v>
      </c>
      <c r="EW305" s="4">
        <f t="shared" si="848"/>
        <v>7.366543372046694</v>
      </c>
      <c r="EX305" s="4">
        <f t="shared" si="965"/>
        <v>632.23897452546214</v>
      </c>
      <c r="FG305" s="23">
        <f t="shared" si="878"/>
        <v>1.8</v>
      </c>
      <c r="FH305" s="23">
        <f t="shared" si="878"/>
        <v>1.2</v>
      </c>
      <c r="FI305" s="23">
        <f t="shared" si="818"/>
        <v>1.4</v>
      </c>
      <c r="FJ305" s="23">
        <f t="shared" si="879"/>
        <v>2.2000000000000002</v>
      </c>
      <c r="FK305" s="23">
        <f t="shared" si="879"/>
        <v>1.4</v>
      </c>
      <c r="FL305" s="23">
        <f t="shared" si="879"/>
        <v>1.4</v>
      </c>
      <c r="FM305" s="23">
        <f t="shared" si="1037"/>
        <v>0</v>
      </c>
      <c r="FN305" s="23"/>
      <c r="FX305" s="4">
        <f t="shared" si="915"/>
        <v>1</v>
      </c>
      <c r="FY305" s="4">
        <f t="shared" si="975"/>
        <v>0.55246875000000006</v>
      </c>
      <c r="FZ305" s="4">
        <f t="shared" si="916"/>
        <v>0.28124999999999994</v>
      </c>
      <c r="GA305" s="4">
        <f t="shared" si="917"/>
        <v>642.05446479189914</v>
      </c>
    </row>
    <row r="306" spans="1:183" ht="12" customHeight="1" x14ac:dyDescent="0.3">
      <c r="A306" s="25">
        <v>288</v>
      </c>
      <c r="B306" s="4" t="s">
        <v>605</v>
      </c>
      <c r="C306" s="4">
        <v>2016</v>
      </c>
      <c r="D306" s="4" t="s">
        <v>309</v>
      </c>
      <c r="E306" s="24" t="s">
        <v>667</v>
      </c>
      <c r="F306" s="48" t="s">
        <v>447</v>
      </c>
      <c r="G306" s="38">
        <f>115.9/0.145</f>
        <v>799.31034482758628</v>
      </c>
      <c r="H306" s="38">
        <f>14.27*25.4</f>
        <v>362.45799999999997</v>
      </c>
      <c r="I306" s="4">
        <f t="shared" si="850"/>
        <v>362.45799999999997</v>
      </c>
      <c r="J306" s="38">
        <f>5420/145</f>
        <v>37.379310344827587</v>
      </c>
      <c r="K306" s="38">
        <f t="shared" si="851"/>
        <v>25.4</v>
      </c>
      <c r="L306" s="7">
        <f t="shared" si="852"/>
        <v>14.27</v>
      </c>
      <c r="M306" s="7">
        <f t="shared" si="853"/>
        <v>14.27</v>
      </c>
      <c r="N306" s="38">
        <f>17.3*25.4</f>
        <v>439.42</v>
      </c>
      <c r="O306" s="38">
        <f>2.5*25.4</f>
        <v>63.5</v>
      </c>
      <c r="P306" s="39">
        <f>3.3*25.4</f>
        <v>83.82</v>
      </c>
      <c r="Q306" s="7">
        <f t="shared" si="854"/>
        <v>118.11000000000001</v>
      </c>
      <c r="R306" s="38">
        <v>3</v>
      </c>
      <c r="S306" s="4">
        <f t="shared" si="826"/>
        <v>260.34999999999997</v>
      </c>
      <c r="T306" s="7">
        <f t="shared" si="855"/>
        <v>2.8250000000000002</v>
      </c>
      <c r="U306" s="7">
        <f t="shared" si="958"/>
        <v>3</v>
      </c>
      <c r="V306" s="38">
        <v>9.1</v>
      </c>
      <c r="W306" s="4">
        <f t="shared" si="856"/>
        <v>9.1</v>
      </c>
      <c r="X306" s="4">
        <f t="shared" si="857"/>
        <v>10.1</v>
      </c>
      <c r="Y306" s="7">
        <f t="shared" si="858"/>
        <v>80.72246279691916</v>
      </c>
      <c r="AB306" s="38">
        <f t="shared" si="885"/>
        <v>892.41379310344837</v>
      </c>
      <c r="AC306" s="4">
        <v>129.4</v>
      </c>
      <c r="AD306" s="4">
        <f t="shared" si="998"/>
        <v>1.4151480032461179</v>
      </c>
      <c r="AE306" s="38">
        <f>0.375*25.4</f>
        <v>9.5249999999999986</v>
      </c>
      <c r="AF306" s="38">
        <v>10</v>
      </c>
      <c r="AG306" s="39">
        <f t="shared" si="1056"/>
        <v>76.199999999999989</v>
      </c>
      <c r="AH306" s="39">
        <v>3</v>
      </c>
      <c r="AI306" s="39">
        <v>2</v>
      </c>
      <c r="AJ306" s="7"/>
      <c r="AK306" s="4">
        <f t="shared" si="859"/>
        <v>362.45799999999997</v>
      </c>
      <c r="AL306" s="4">
        <f t="shared" si="1018"/>
        <v>0.40411118897453868</v>
      </c>
      <c r="AM306" s="4">
        <f t="shared" si="1019"/>
        <v>277.53873688530547</v>
      </c>
      <c r="AN306" s="4">
        <f t="shared" si="1020"/>
        <v>0.74204625087596354</v>
      </c>
      <c r="AO306" s="4">
        <v>1.25</v>
      </c>
      <c r="AP306" s="4">
        <f t="shared" si="933"/>
        <v>2.5</v>
      </c>
      <c r="AQ306" s="38">
        <f t="shared" si="827"/>
        <v>260.07911555343611</v>
      </c>
      <c r="AR306" s="38">
        <f t="shared" si="1021"/>
        <v>260.07911555343611</v>
      </c>
      <c r="AS306" s="38">
        <f t="shared" si="1022"/>
        <v>3.3538382302464851</v>
      </c>
      <c r="AT306" s="38">
        <f t="shared" si="940"/>
        <v>260.07911555343571</v>
      </c>
      <c r="AU306" s="38">
        <f t="shared" si="910"/>
        <v>1.0000000000000016</v>
      </c>
      <c r="AV306" s="38">
        <f t="shared" si="941"/>
        <v>2.5102967545027099</v>
      </c>
      <c r="AW306" s="4">
        <f t="shared" si="942"/>
        <v>0</v>
      </c>
      <c r="AX306" s="4">
        <f t="shared" si="860"/>
        <v>459.18322541428131</v>
      </c>
      <c r="AY306" s="4">
        <f t="shared" si="828"/>
        <v>1.0247787610619468</v>
      </c>
      <c r="AZ306" s="38">
        <f t="shared" si="953"/>
        <v>652.87575968772489</v>
      </c>
      <c r="BA306" s="4">
        <f t="shared" si="829"/>
        <v>0.3</v>
      </c>
      <c r="BB306" s="4">
        <f t="shared" si="830"/>
        <v>71.976970583688583</v>
      </c>
      <c r="BC306" s="4">
        <f t="shared" si="831"/>
        <v>724.85273027141352</v>
      </c>
      <c r="BE306" s="4">
        <f t="shared" si="934"/>
        <v>1.5</v>
      </c>
      <c r="BF306" s="4">
        <f t="shared" si="935"/>
        <v>667.72545431590322</v>
      </c>
      <c r="BH306" s="4">
        <f t="shared" si="959"/>
        <v>626.18769504329236</v>
      </c>
      <c r="BI306" s="4">
        <f t="shared" si="905"/>
        <v>0</v>
      </c>
      <c r="BJ306" s="4">
        <f t="shared" si="960"/>
        <v>0</v>
      </c>
      <c r="BK306" s="4">
        <f t="shared" si="1023"/>
        <v>63.5</v>
      </c>
      <c r="BL306" s="4">
        <f t="shared" si="1024"/>
        <v>63.5</v>
      </c>
      <c r="BM306" s="4">
        <f t="shared" si="1025"/>
        <v>260.34999999999997</v>
      </c>
      <c r="BN306" s="4">
        <f t="shared" si="1026"/>
        <v>76.2</v>
      </c>
      <c r="BO306" s="4">
        <f t="shared" si="1027"/>
        <v>1.25</v>
      </c>
      <c r="BP306" s="25">
        <f t="shared" si="1028"/>
        <v>4</v>
      </c>
      <c r="BR306" s="4">
        <f t="shared" si="832"/>
        <v>59.055000000000007</v>
      </c>
      <c r="BV306" s="9"/>
      <c r="BX306" s="9"/>
      <c r="BY306" s="9"/>
      <c r="BZ306" s="9">
        <f t="shared" si="833"/>
        <v>59.055000000000007</v>
      </c>
      <c r="CA306" s="9">
        <f t="shared" si="834"/>
        <v>63.5</v>
      </c>
      <c r="CB306" s="9">
        <f t="shared" si="943"/>
        <v>1.5414840534203929</v>
      </c>
      <c r="CC306" s="40">
        <f t="shared" si="861"/>
        <v>20</v>
      </c>
      <c r="CD306" s="9">
        <f t="shared" si="835"/>
        <v>0.05</v>
      </c>
      <c r="CE306" s="9">
        <f t="shared" si="836"/>
        <v>0.8</v>
      </c>
      <c r="CF306" s="9">
        <f t="shared" si="837"/>
        <v>0.99524931562137331</v>
      </c>
      <c r="CG306" s="9">
        <f t="shared" si="838"/>
        <v>0.68048275862068963</v>
      </c>
      <c r="CH306" s="9">
        <f t="shared" si="944"/>
        <v>1.4492145981125171</v>
      </c>
      <c r="CI306" s="9">
        <f t="shared" si="945"/>
        <v>3.3933128714645022</v>
      </c>
      <c r="CJ306" s="40">
        <v>1</v>
      </c>
      <c r="CK306" s="9">
        <f t="shared" si="946"/>
        <v>397.28907099106391</v>
      </c>
      <c r="CM306" s="47">
        <f t="shared" si="839"/>
        <v>1.94348082358257</v>
      </c>
      <c r="CN306" s="47">
        <f t="shared" si="840"/>
        <v>1.2311656641884943</v>
      </c>
      <c r="CO306" s="47">
        <f t="shared" si="814"/>
        <v>1.3364980881517277</v>
      </c>
      <c r="CP306" s="47">
        <f t="shared" si="841"/>
        <v>2.2462580983596228</v>
      </c>
      <c r="CQ306" s="47">
        <f t="shared" si="1035"/>
        <v>1.4151480032461179</v>
      </c>
      <c r="CR306" s="47">
        <f t="shared" si="1036"/>
        <v>1.4489801776685771</v>
      </c>
      <c r="CS306" s="47">
        <f t="shared" si="815"/>
        <v>1.3838059891279431</v>
      </c>
      <c r="CT306" s="4">
        <f t="shared" si="862"/>
        <v>10</v>
      </c>
      <c r="DA306" s="4">
        <f t="shared" si="1057"/>
        <v>1.94348082358257</v>
      </c>
      <c r="DB306" s="4">
        <f t="shared" si="1057"/>
        <v>1.2311656641884943</v>
      </c>
      <c r="DC306" s="4">
        <f t="shared" si="1058"/>
        <v>2.2462580983596228</v>
      </c>
      <c r="DD306" s="4">
        <f t="shared" si="1059"/>
        <v>1.3838059891279431</v>
      </c>
      <c r="DE306" s="4">
        <f t="shared" si="1060"/>
        <v>1.4151480032461179</v>
      </c>
      <c r="DF306" s="4">
        <f t="shared" si="1060"/>
        <v>1.4489801776685771</v>
      </c>
      <c r="DI306" s="4">
        <f t="shared" si="846"/>
        <v>362.45799999999997</v>
      </c>
      <c r="DL306" s="4">
        <f t="shared" si="999"/>
        <v>2.6818066492234688E-5</v>
      </c>
      <c r="DM306" s="4">
        <f t="shared" si="1000"/>
        <v>8.3519635514625126</v>
      </c>
      <c r="DN306" s="4">
        <f t="shared" si="1001"/>
        <v>0.2401563548629998</v>
      </c>
      <c r="DO306" s="4">
        <f t="shared" si="1002"/>
        <v>4.7204806706567792</v>
      </c>
      <c r="DP306" s="4">
        <f t="shared" si="1003"/>
        <v>6.785522039015639</v>
      </c>
      <c r="DQ306" s="4">
        <f t="shared" si="1004"/>
        <v>7.4491288425213469</v>
      </c>
      <c r="DR306" s="38">
        <f t="shared" si="1029"/>
        <v>630.6151660860894</v>
      </c>
      <c r="DS306" s="4">
        <f t="shared" si="1005"/>
        <v>1.0001109641222563</v>
      </c>
      <c r="DT306" s="4">
        <f t="shared" si="1006"/>
        <v>3.1780497164141401</v>
      </c>
      <c r="DU306" s="4">
        <f t="shared" si="1007"/>
        <v>260.07911555343571</v>
      </c>
      <c r="DY306" s="4">
        <f t="shared" si="1008"/>
        <v>0.85</v>
      </c>
      <c r="DZ306" s="4">
        <f t="shared" si="1009"/>
        <v>0.86749999999999994</v>
      </c>
      <c r="EA306" s="4">
        <f t="shared" si="1030"/>
        <v>0.90625</v>
      </c>
      <c r="EB306" s="4">
        <f t="shared" si="1010"/>
        <v>0.78617187499999996</v>
      </c>
      <c r="ED306" s="4">
        <f t="shared" si="1031"/>
        <v>615.89096031620716</v>
      </c>
      <c r="EE306" s="25">
        <f t="shared" si="1032"/>
        <v>258.34340067809694</v>
      </c>
      <c r="EG306" s="4">
        <f t="shared" si="932"/>
        <v>0.66824609374999999</v>
      </c>
      <c r="EH306" s="4">
        <f t="shared" si="1033"/>
        <v>8.3519635514625126</v>
      </c>
      <c r="EK306" s="4">
        <f t="shared" si="1011"/>
        <v>80.72246279691916</v>
      </c>
      <c r="EL306" s="4">
        <f t="shared" si="1012"/>
        <v>3.1780497164141406</v>
      </c>
      <c r="EM306" s="4">
        <f t="shared" si="1013"/>
        <v>8.0286955687719583E-2</v>
      </c>
      <c r="EP306" s="4">
        <f t="shared" si="863"/>
        <v>8.0286955687719583E-2</v>
      </c>
      <c r="EQ306" s="4">
        <f t="shared" si="951"/>
        <v>0.2397555786657935</v>
      </c>
      <c r="ER306" s="4">
        <f t="shared" si="1014"/>
        <v>4.7173280507166124</v>
      </c>
      <c r="ES306" s="4">
        <f t="shared" si="847"/>
        <v>6.7844325853538408</v>
      </c>
      <c r="ET306" s="4">
        <f t="shared" si="1015"/>
        <v>191.12103720308079</v>
      </c>
      <c r="EU306" s="4">
        <f t="shared" si="1016"/>
        <v>90.614500000000021</v>
      </c>
      <c r="EV306" s="4">
        <f t="shared" si="952"/>
        <v>2.6818066492234702E-5</v>
      </c>
      <c r="EW306" s="4">
        <f t="shared" si="848"/>
        <v>7.4493319957676505</v>
      </c>
      <c r="EX306" s="4">
        <f t="shared" si="965"/>
        <v>630.54519819162908</v>
      </c>
      <c r="FA306" s="4">
        <f>5.25*25.4</f>
        <v>133.35</v>
      </c>
      <c r="FG306" s="23">
        <f t="shared" si="878"/>
        <v>2</v>
      </c>
      <c r="FH306" s="23">
        <f t="shared" si="878"/>
        <v>1.4</v>
      </c>
      <c r="FI306" s="23">
        <f t="shared" si="818"/>
        <v>1.4</v>
      </c>
      <c r="FJ306" s="23">
        <f t="shared" si="879"/>
        <v>2.2000000000000002</v>
      </c>
      <c r="FK306" s="23">
        <f t="shared" si="879"/>
        <v>1.6</v>
      </c>
      <c r="FL306" s="23">
        <f t="shared" si="879"/>
        <v>1.6</v>
      </c>
      <c r="FM306" s="23">
        <f t="shared" si="1037"/>
        <v>0</v>
      </c>
      <c r="FN306" s="23"/>
      <c r="FX306" s="4">
        <f t="shared" si="915"/>
        <v>1</v>
      </c>
      <c r="FY306" s="4">
        <f t="shared" si="975"/>
        <v>0.54557377049180322</v>
      </c>
      <c r="FZ306" s="4">
        <f t="shared" si="916"/>
        <v>0.28124999999999994</v>
      </c>
      <c r="GA306" s="4">
        <f t="shared" si="917"/>
        <v>644.89805660245497</v>
      </c>
    </row>
    <row r="307" spans="1:183" ht="12" customHeight="1" x14ac:dyDescent="0.3">
      <c r="A307" s="25">
        <v>289</v>
      </c>
      <c r="B307" s="4" t="s">
        <v>605</v>
      </c>
      <c r="C307" s="4">
        <v>2016</v>
      </c>
      <c r="D307" s="4" t="s">
        <v>309</v>
      </c>
      <c r="E307" s="24" t="s">
        <v>667</v>
      </c>
      <c r="F307" s="7" t="s">
        <v>448</v>
      </c>
      <c r="G307" s="38">
        <f>120/0.145</f>
        <v>827.58620689655174</v>
      </c>
      <c r="H307" s="38">
        <f>14.3*25.4</f>
        <v>363.21999999999997</v>
      </c>
      <c r="I307" s="4">
        <f t="shared" si="850"/>
        <v>363.21999999999997</v>
      </c>
      <c r="J307" s="38">
        <f>5570/145</f>
        <v>38.413793103448278</v>
      </c>
      <c r="K307" s="38">
        <f t="shared" si="851"/>
        <v>25.4</v>
      </c>
      <c r="L307" s="7">
        <f t="shared" si="852"/>
        <v>14.299999999999999</v>
      </c>
      <c r="M307" s="7">
        <f t="shared" si="853"/>
        <v>14.299999999999999</v>
      </c>
      <c r="N307" s="38">
        <f>17.3*25.4</f>
        <v>439.42</v>
      </c>
      <c r="O307" s="38">
        <f>2.5*25.4</f>
        <v>63.5</v>
      </c>
      <c r="P307" s="39">
        <f>3.4*25.4</f>
        <v>86.36</v>
      </c>
      <c r="Q307" s="7">
        <f t="shared" si="854"/>
        <v>70.273333333333355</v>
      </c>
      <c r="R307" s="38">
        <v>4</v>
      </c>
      <c r="S307" s="4">
        <f t="shared" si="826"/>
        <v>260.34999999999997</v>
      </c>
      <c r="T307" s="7">
        <f t="shared" si="855"/>
        <v>1.8833333333333337</v>
      </c>
      <c r="U307" s="7">
        <f t="shared" si="958"/>
        <v>3</v>
      </c>
      <c r="V307" s="38">
        <v>9.5</v>
      </c>
      <c r="W307" s="4">
        <f t="shared" si="856"/>
        <v>9.5</v>
      </c>
      <c r="X307" s="4">
        <f t="shared" si="857"/>
        <v>10.5</v>
      </c>
      <c r="Y307" s="7">
        <f t="shared" si="858"/>
        <v>82.305406869779816</v>
      </c>
      <c r="AB307" s="38">
        <f t="shared" si="885"/>
        <v>531.0344827586207</v>
      </c>
      <c r="AC307" s="4">
        <v>77</v>
      </c>
      <c r="AD307" s="4">
        <f t="shared" si="998"/>
        <v>1.0695354015578697</v>
      </c>
      <c r="AE307" s="38">
        <v>0</v>
      </c>
      <c r="AF307" s="38">
        <v>0</v>
      </c>
      <c r="AG307" s="39">
        <f t="shared" ref="AG307:AG308" si="1061">I307</f>
        <v>363.21999999999997</v>
      </c>
      <c r="AH307" s="39"/>
      <c r="AI307" s="39"/>
      <c r="AJ307" s="7"/>
      <c r="AK307" s="4">
        <f t="shared" si="859"/>
        <v>363.21999999999997</v>
      </c>
      <c r="AL307" s="4">
        <f t="shared" si="1018"/>
        <v>0.40326340326340332</v>
      </c>
      <c r="AM307" s="4">
        <f t="shared" si="1019"/>
        <v>211.68053362794402</v>
      </c>
      <c r="AN307" s="4">
        <f t="shared" si="1020"/>
        <v>0.74195804195804194</v>
      </c>
      <c r="AO307" s="4">
        <v>1.25</v>
      </c>
      <c r="AP307" s="4">
        <f t="shared" si="933"/>
        <v>2.5</v>
      </c>
      <c r="AQ307" s="38">
        <f t="shared" si="827"/>
        <v>197.92429228920125</v>
      </c>
      <c r="AR307" s="38">
        <f t="shared" si="1021"/>
        <v>197.92429228920125</v>
      </c>
      <c r="AS307" s="38">
        <f t="shared" si="1022"/>
        <v>3.4154351999890475</v>
      </c>
      <c r="AT307" s="38">
        <f t="shared" si="940"/>
        <v>197.92429228920113</v>
      </c>
      <c r="AU307" s="38">
        <f t="shared" si="910"/>
        <v>1.0000000000000007</v>
      </c>
      <c r="AV307" s="38">
        <f t="shared" si="941"/>
        <v>2.7876343767825564</v>
      </c>
      <c r="AW307" s="4">
        <f t="shared" si="942"/>
        <v>0</v>
      </c>
      <c r="AX307" s="4">
        <f t="shared" si="860"/>
        <v>466.47248619845737</v>
      </c>
      <c r="AY307" s="4">
        <f t="shared" si="828"/>
        <v>1.2371681415929201</v>
      </c>
      <c r="AZ307" s="38">
        <f t="shared" si="953"/>
        <v>551.74056118573571</v>
      </c>
      <c r="BA307" s="4">
        <f t="shared" si="829"/>
        <v>0.3</v>
      </c>
      <c r="BB307" s="4">
        <f t="shared" si="830"/>
        <v>73.119562211608198</v>
      </c>
      <c r="BC307" s="4">
        <f t="shared" si="831"/>
        <v>624.86012339734395</v>
      </c>
      <c r="BE307" s="4">
        <f t="shared" si="934"/>
        <v>1.375</v>
      </c>
      <c r="BF307" s="4">
        <f t="shared" si="935"/>
        <v>621.26061599373406</v>
      </c>
      <c r="BH307" s="4">
        <f t="shared" si="959"/>
        <v>529.18667165103545</v>
      </c>
      <c r="BI307" s="4">
        <f t="shared" si="905"/>
        <v>0</v>
      </c>
      <c r="BJ307" s="4">
        <f t="shared" si="960"/>
        <v>0</v>
      </c>
      <c r="BK307" s="4">
        <f t="shared" si="1023"/>
        <v>41.536666666666676</v>
      </c>
      <c r="BL307" s="4">
        <f t="shared" si="1024"/>
        <v>41.536666666666676</v>
      </c>
      <c r="BM307" s="4">
        <f t="shared" si="1025"/>
        <v>260.34999999999997</v>
      </c>
      <c r="BN307" s="4">
        <f t="shared" si="1026"/>
        <v>54.236666666666679</v>
      </c>
      <c r="BO307" s="4">
        <f t="shared" si="1027"/>
        <v>1.25</v>
      </c>
      <c r="BP307" s="25">
        <f t="shared" si="1028"/>
        <v>2.6691272965879271</v>
      </c>
      <c r="BR307" s="4">
        <f t="shared" si="832"/>
        <v>35.136666666666677</v>
      </c>
      <c r="BV307" s="9"/>
      <c r="BX307" s="9"/>
      <c r="BY307" s="9"/>
      <c r="BZ307" s="9">
        <f t="shared" si="833"/>
        <v>35.136666666666677</v>
      </c>
      <c r="CA307" s="9">
        <f t="shared" si="834"/>
        <v>63.5</v>
      </c>
      <c r="CB307" s="9">
        <f t="shared" si="943"/>
        <v>1.2853322249291921</v>
      </c>
      <c r="CC307" s="40">
        <f t="shared" si="861"/>
        <v>20</v>
      </c>
      <c r="CD307" s="9">
        <f t="shared" si="835"/>
        <v>0</v>
      </c>
      <c r="CE307" s="9">
        <f t="shared" si="836"/>
        <v>0</v>
      </c>
      <c r="CF307" s="9">
        <f t="shared" si="837"/>
        <v>0.99524931562137331</v>
      </c>
      <c r="CG307" s="9">
        <f t="shared" si="838"/>
        <v>0.68</v>
      </c>
      <c r="CH307" s="9">
        <f t="shared" si="944"/>
        <v>1.4680891910501142</v>
      </c>
      <c r="CI307" s="9">
        <f t="shared" si="945"/>
        <v>1.8869823463269411</v>
      </c>
      <c r="CJ307" s="40">
        <v>1</v>
      </c>
      <c r="CK307" s="9">
        <f t="shared" si="946"/>
        <v>221.15433098951746</v>
      </c>
      <c r="CM307" s="4">
        <f t="shared" si="839"/>
        <v>1.138404725831345</v>
      </c>
      <c r="CN307" s="4">
        <f t="shared" si="840"/>
        <v>0.84984536998681193</v>
      </c>
      <c r="CO307" s="4">
        <f t="shared" ref="CO307:CO370" si="1062">AB307/BF307</f>
        <v>0.85476926926907693</v>
      </c>
      <c r="CP307" s="4">
        <f t="shared" si="841"/>
        <v>2.4011941361609206</v>
      </c>
      <c r="CQ307" s="4">
        <f t="shared" si="1035"/>
        <v>1.0695354015578697</v>
      </c>
      <c r="CR307" s="4">
        <f t="shared" si="1036"/>
        <v>1.0759579072343315</v>
      </c>
      <c r="CS307" s="4">
        <f t="shared" ref="CS307:CS370" si="1063">AB307/GA307</f>
        <v>1.0645811088058519</v>
      </c>
      <c r="CT307" s="4">
        <f t="shared" si="862"/>
        <v>0</v>
      </c>
      <c r="CU307" s="4">
        <f t="shared" ref="CU307:CV308" si="1064">CM307</f>
        <v>1.138404725831345</v>
      </c>
      <c r="CV307" s="4">
        <f t="shared" si="1064"/>
        <v>0.84984536998681193</v>
      </c>
      <c r="CW307" s="4">
        <f t="shared" ref="CW307:CW308" si="1065">CP307</f>
        <v>2.4011941361609206</v>
      </c>
      <c r="CX307" s="4">
        <f t="shared" ref="CX307:CX308" si="1066">CS307</f>
        <v>1.0645811088058519</v>
      </c>
      <c r="CY307" s="4">
        <f t="shared" ref="CY307:CZ308" si="1067">CQ307</f>
        <v>1.0695354015578697</v>
      </c>
      <c r="CZ307" s="4">
        <f t="shared" si="1067"/>
        <v>1.0759579072343315</v>
      </c>
      <c r="DI307" s="4">
        <f t="shared" si="846"/>
        <v>363.21999999999997</v>
      </c>
      <c r="DL307" s="4">
        <f t="shared" si="999"/>
        <v>2.7061692465979089E-5</v>
      </c>
      <c r="DM307" s="4">
        <f t="shared" si="1000"/>
        <v>6.9216476088847125</v>
      </c>
      <c r="DN307" s="4">
        <f t="shared" si="1001"/>
        <v>0.17369349153752631</v>
      </c>
      <c r="DO307" s="4">
        <f t="shared" si="1002"/>
        <v>3.4365518677646003</v>
      </c>
      <c r="DP307" s="4">
        <f t="shared" si="1003"/>
        <v>5.4673078774981922</v>
      </c>
      <c r="DQ307" s="4">
        <f t="shared" si="1004"/>
        <v>6.3188322805754371</v>
      </c>
      <c r="DR307" s="38">
        <f t="shared" si="1029"/>
        <v>496.50949560446861</v>
      </c>
      <c r="DS307" s="4">
        <f t="shared" si="1005"/>
        <v>1.000099447596386</v>
      </c>
      <c r="DT307" s="4">
        <f t="shared" si="1006"/>
        <v>3.2403703492039297</v>
      </c>
      <c r="DU307" s="4">
        <f t="shared" si="1007"/>
        <v>197.92429228920113</v>
      </c>
      <c r="DY307" s="4">
        <f t="shared" si="1008"/>
        <v>0.85</v>
      </c>
      <c r="DZ307" s="4">
        <f t="shared" si="1009"/>
        <v>0.96166666666666667</v>
      </c>
      <c r="EA307" s="4">
        <f t="shared" si="1030"/>
        <v>1</v>
      </c>
      <c r="EB307" s="4">
        <f t="shared" si="1010"/>
        <v>0.96166666666666667</v>
      </c>
      <c r="ED307" s="4">
        <f t="shared" si="1031"/>
        <v>493.54577831358176</v>
      </c>
      <c r="EE307" s="25">
        <f t="shared" si="1032"/>
        <v>196.60709589242757</v>
      </c>
      <c r="EG307" s="4">
        <f t="shared" si="932"/>
        <v>0.81741666666666668</v>
      </c>
      <c r="EH307" s="4">
        <f t="shared" si="1033"/>
        <v>6.9216476088847125</v>
      </c>
      <c r="EK307" s="4">
        <f t="shared" si="1011"/>
        <v>82.305406869779816</v>
      </c>
      <c r="EL307" s="4">
        <f t="shared" si="1012"/>
        <v>3.2403703492039302</v>
      </c>
      <c r="EM307" s="4">
        <f t="shared" si="1013"/>
        <v>5.886571279488545E-2</v>
      </c>
      <c r="EP307" s="4">
        <f t="shared" si="863"/>
        <v>5.886571279488545E-2</v>
      </c>
      <c r="EQ307" s="4">
        <f t="shared" si="951"/>
        <v>0.17340362947221644</v>
      </c>
      <c r="ER307" s="4">
        <f t="shared" si="1014"/>
        <v>3.4342567324384294</v>
      </c>
      <c r="ES307" s="4">
        <f t="shared" si="847"/>
        <v>5.466595351127526</v>
      </c>
      <c r="ET307" s="4">
        <f t="shared" si="1015"/>
        <v>190.10959313022016</v>
      </c>
      <c r="EU307" s="4">
        <f t="shared" si="1016"/>
        <v>90.805000000000007</v>
      </c>
      <c r="EV307" s="4">
        <f t="shared" si="952"/>
        <v>2.7061692465979093E-5</v>
      </c>
      <c r="EW307" s="4">
        <f t="shared" si="848"/>
        <v>6.3189517611222605</v>
      </c>
      <c r="EX307" s="4">
        <f t="shared" si="965"/>
        <v>496.46012383845141</v>
      </c>
      <c r="FG307" s="23">
        <f t="shared" si="878"/>
        <v>1.2</v>
      </c>
      <c r="FH307" s="23">
        <f t="shared" si="878"/>
        <v>1</v>
      </c>
      <c r="FI307" s="23">
        <f t="shared" ref="FI307:FI370" si="1068">IF(CS307&lt;0.6,0.6,IF(CS307&lt;0.8,0.8,IF(CS307&lt;1,1,IF(CS307&lt;1.2,1.2,IF(CS307&lt;1.4,1.4,IF(CS307&lt;1.6,1.6,IF(CS307&lt;1.8,1.8,IF(CS307&lt;2,2,2.2))))))))</f>
        <v>1.2</v>
      </c>
      <c r="FJ307" s="23">
        <f t="shared" si="879"/>
        <v>2.2000000000000002</v>
      </c>
      <c r="FK307" s="23">
        <f t="shared" si="879"/>
        <v>1.2</v>
      </c>
      <c r="FL307" s="23">
        <f t="shared" si="879"/>
        <v>1.2</v>
      </c>
      <c r="FM307" s="23">
        <f t="shared" si="1037"/>
        <v>0</v>
      </c>
      <c r="FN307" s="23"/>
      <c r="FX307" s="4">
        <f t="shared" si="915"/>
        <v>1</v>
      </c>
      <c r="FY307" s="4">
        <f t="shared" si="975"/>
        <v>0.71166666666666667</v>
      </c>
      <c r="FZ307" s="4">
        <f t="shared" si="916"/>
        <v>0</v>
      </c>
      <c r="GA307" s="4">
        <f t="shared" si="917"/>
        <v>498.82012593130247</v>
      </c>
    </row>
    <row r="308" spans="1:183" ht="12" customHeight="1" x14ac:dyDescent="0.3">
      <c r="A308" s="25">
        <v>290</v>
      </c>
      <c r="B308" s="4" t="s">
        <v>605</v>
      </c>
      <c r="C308" s="4">
        <v>2016</v>
      </c>
      <c r="D308" s="4" t="s">
        <v>309</v>
      </c>
      <c r="E308" s="24" t="s">
        <v>667</v>
      </c>
      <c r="F308" s="48" t="s">
        <v>449</v>
      </c>
      <c r="G308" s="38">
        <f>115.9/0.145</f>
        <v>799.31034482758628</v>
      </c>
      <c r="H308" s="38">
        <f>14.06*25.4</f>
        <v>357.12399999999997</v>
      </c>
      <c r="I308" s="4">
        <f t="shared" si="850"/>
        <v>357.12399999999997</v>
      </c>
      <c r="J308" s="38">
        <f>5570/145</f>
        <v>38.413793103448278</v>
      </c>
      <c r="K308" s="38">
        <f t="shared" si="851"/>
        <v>25.4</v>
      </c>
      <c r="L308" s="7">
        <f t="shared" si="852"/>
        <v>14.059999999999999</v>
      </c>
      <c r="M308" s="7">
        <f t="shared" si="853"/>
        <v>14.059999999999999</v>
      </c>
      <c r="N308" s="38">
        <f>16.8*25.4</f>
        <v>426.71999999999997</v>
      </c>
      <c r="O308" s="38">
        <f>2.45*25.4</f>
        <v>62.230000000000004</v>
      </c>
      <c r="P308" s="39">
        <f t="shared" ref="P308" si="1069">3.4*25.4</f>
        <v>86.36</v>
      </c>
      <c r="Q308" s="7">
        <f t="shared" si="854"/>
        <v>66.88666666666667</v>
      </c>
      <c r="R308" s="38">
        <v>4</v>
      </c>
      <c r="S308" s="4">
        <f t="shared" si="826"/>
        <v>260.34999999999997</v>
      </c>
      <c r="T308" s="7">
        <f t="shared" si="855"/>
        <v>1.8166666666666669</v>
      </c>
      <c r="U308" s="7">
        <f t="shared" si="958"/>
        <v>2.95</v>
      </c>
      <c r="V308" s="38">
        <v>9.1</v>
      </c>
      <c r="W308" s="4">
        <f t="shared" si="856"/>
        <v>9.1</v>
      </c>
      <c r="X308" s="4">
        <f t="shared" si="857"/>
        <v>10.1</v>
      </c>
      <c r="Y308" s="7">
        <f t="shared" si="858"/>
        <v>80.72246279691916</v>
      </c>
      <c r="AB308" s="38">
        <f t="shared" si="885"/>
        <v>534.48275862068965</v>
      </c>
      <c r="AC308" s="4">
        <v>77.5</v>
      </c>
      <c r="AD308" s="4">
        <f t="shared" si="998"/>
        <v>1.1086028706787405</v>
      </c>
      <c r="AE308" s="38">
        <v>0</v>
      </c>
      <c r="AF308" s="38">
        <v>0</v>
      </c>
      <c r="AG308" s="39">
        <f t="shared" si="1061"/>
        <v>357.12399999999997</v>
      </c>
      <c r="AH308" s="39"/>
      <c r="AI308" s="39"/>
      <c r="AJ308" s="7"/>
      <c r="AK308" s="4">
        <f t="shared" si="859"/>
        <v>357.12399999999997</v>
      </c>
      <c r="AL308" s="4">
        <f t="shared" si="1018"/>
        <v>0.39829302987197723</v>
      </c>
      <c r="AM308" s="4">
        <f t="shared" si="1019"/>
        <v>206.37393566831358</v>
      </c>
      <c r="AN308" s="4">
        <f t="shared" si="1020"/>
        <v>0.74196301564722611</v>
      </c>
      <c r="AO308" s="4">
        <v>1.25</v>
      </c>
      <c r="AP308" s="4">
        <f t="shared" si="933"/>
        <v>2.5</v>
      </c>
      <c r="AQ308" s="38">
        <f t="shared" si="827"/>
        <v>190.58548961880157</v>
      </c>
      <c r="AR308" s="38">
        <f t="shared" si="1021"/>
        <v>190.58548961880157</v>
      </c>
      <c r="AS308" s="38">
        <f t="shared" si="1022"/>
        <v>3.4154351999890475</v>
      </c>
      <c r="AT308" s="38">
        <f t="shared" si="940"/>
        <v>190.58548961880146</v>
      </c>
      <c r="AU308" s="38">
        <f t="shared" si="910"/>
        <v>1.0000000000000007</v>
      </c>
      <c r="AV308" s="38">
        <f t="shared" si="941"/>
        <v>2.7604120194863326</v>
      </c>
      <c r="AW308" s="4">
        <f t="shared" si="942"/>
        <v>0</v>
      </c>
      <c r="AX308" s="4">
        <f t="shared" si="860"/>
        <v>458.64357733918251</v>
      </c>
      <c r="AY308" s="4">
        <f t="shared" si="828"/>
        <v>1.2495412844036697</v>
      </c>
      <c r="AZ308" s="38">
        <f t="shared" si="953"/>
        <v>526.09447628342718</v>
      </c>
      <c r="BA308" s="4">
        <f t="shared" si="829"/>
        <v>0.3</v>
      </c>
      <c r="BB308" s="4">
        <f t="shared" si="830"/>
        <v>71.89238074791686</v>
      </c>
      <c r="BC308" s="4">
        <f t="shared" si="831"/>
        <v>597.98685703134402</v>
      </c>
      <c r="BE308" s="4">
        <f t="shared" si="934"/>
        <v>1.3625</v>
      </c>
      <c r="BF308" s="4">
        <f t="shared" si="935"/>
        <v>609.53266586913844</v>
      </c>
      <c r="BH308" s="4">
        <f t="shared" si="959"/>
        <v>504.58893991790706</v>
      </c>
      <c r="BI308" s="4">
        <f t="shared" si="905"/>
        <v>0</v>
      </c>
      <c r="BJ308" s="4">
        <f t="shared" si="960"/>
        <v>0</v>
      </c>
      <c r="BK308" s="4">
        <f t="shared" si="1023"/>
        <v>39.843333333333334</v>
      </c>
      <c r="BL308" s="4">
        <f t="shared" si="1024"/>
        <v>39.843333333333334</v>
      </c>
      <c r="BM308" s="4">
        <f t="shared" si="1025"/>
        <v>260.34999999999997</v>
      </c>
      <c r="BN308" s="4">
        <f t="shared" si="1026"/>
        <v>52.543333333333337</v>
      </c>
      <c r="BO308" s="4">
        <f t="shared" si="1027"/>
        <v>1.25</v>
      </c>
      <c r="BP308" s="25">
        <f t="shared" si="1028"/>
        <v>2.5857939632545937</v>
      </c>
      <c r="BR308" s="4">
        <f t="shared" si="832"/>
        <v>33.443333333333335</v>
      </c>
      <c r="BV308" s="9"/>
      <c r="BX308" s="9"/>
      <c r="BY308" s="9"/>
      <c r="BZ308" s="9">
        <f t="shared" si="833"/>
        <v>33.443333333333335</v>
      </c>
      <c r="CA308" s="9">
        <f t="shared" si="834"/>
        <v>62.230000000000004</v>
      </c>
      <c r="CB308" s="9">
        <f t="shared" si="943"/>
        <v>1.2594805263392668</v>
      </c>
      <c r="CC308" s="40">
        <f t="shared" si="861"/>
        <v>20</v>
      </c>
      <c r="CD308" s="9">
        <f t="shared" si="835"/>
        <v>0</v>
      </c>
      <c r="CE308" s="9">
        <f t="shared" si="836"/>
        <v>0</v>
      </c>
      <c r="CF308" s="9">
        <f t="shared" si="837"/>
        <v>0.99524931562137331</v>
      </c>
      <c r="CG308" s="9">
        <f t="shared" si="838"/>
        <v>0.68048275862068963</v>
      </c>
      <c r="CH308" s="9">
        <f t="shared" si="944"/>
        <v>1.4691314450397035</v>
      </c>
      <c r="CI308" s="9">
        <f t="shared" si="945"/>
        <v>1.8503424456601734</v>
      </c>
      <c r="CJ308" s="40">
        <v>1</v>
      </c>
      <c r="CK308" s="9">
        <f t="shared" si="946"/>
        <v>215.08380588353853</v>
      </c>
      <c r="CM308" s="4">
        <f t="shared" si="839"/>
        <v>1.1653553762193458</v>
      </c>
      <c r="CN308" s="4">
        <f t="shared" si="840"/>
        <v>0.89380352149223619</v>
      </c>
      <c r="CO308" s="4">
        <f t="shared" si="1062"/>
        <v>0.87687303494811975</v>
      </c>
      <c r="CP308" s="4">
        <f t="shared" si="841"/>
        <v>2.4849976799745499</v>
      </c>
      <c r="CQ308" s="4">
        <f t="shared" si="1035"/>
        <v>1.1086028706787405</v>
      </c>
      <c r="CR308" s="4">
        <f t="shared" si="1036"/>
        <v>1.1152914305964363</v>
      </c>
      <c r="CS308" s="4">
        <f t="shared" si="1063"/>
        <v>1.3749910064068995</v>
      </c>
      <c r="CT308" s="4">
        <f t="shared" si="862"/>
        <v>0</v>
      </c>
      <c r="CU308" s="4">
        <f t="shared" si="1064"/>
        <v>1.1653553762193458</v>
      </c>
      <c r="CV308" s="4">
        <f t="shared" si="1064"/>
        <v>0.89380352149223619</v>
      </c>
      <c r="CW308" s="4">
        <f t="shared" si="1065"/>
        <v>2.4849976799745499</v>
      </c>
      <c r="CX308" s="4">
        <f t="shared" si="1066"/>
        <v>1.3749910064068995</v>
      </c>
      <c r="CY308" s="4">
        <f t="shared" si="1067"/>
        <v>1.1086028706787405</v>
      </c>
      <c r="CZ308" s="4">
        <f t="shared" si="1067"/>
        <v>1.1152914305964363</v>
      </c>
      <c r="DI308" s="4">
        <f t="shared" si="846"/>
        <v>357.12399999999997</v>
      </c>
      <c r="DL308" s="4">
        <f t="shared" si="999"/>
        <v>2.6607510214801819E-5</v>
      </c>
      <c r="DM308" s="4">
        <f t="shared" si="1000"/>
        <v>6.8739942690645091</v>
      </c>
      <c r="DN308" s="4">
        <f t="shared" si="1001"/>
        <v>0.17124682457055751</v>
      </c>
      <c r="DO308" s="4">
        <f t="shared" si="1002"/>
        <v>3.3935806633934544</v>
      </c>
      <c r="DP308" s="4">
        <f t="shared" si="1003"/>
        <v>5.4236847619002306</v>
      </c>
      <c r="DQ308" s="4">
        <f t="shared" si="1004"/>
        <v>6.299673463001727</v>
      </c>
      <c r="DR308" s="38">
        <f t="shared" si="1029"/>
        <v>482.12283474735489</v>
      </c>
      <c r="DS308" s="4">
        <f t="shared" si="1005"/>
        <v>1.0000992700339788</v>
      </c>
      <c r="DT308" s="4">
        <f t="shared" si="1006"/>
        <v>3.1780497164141401</v>
      </c>
      <c r="DU308" s="4">
        <f t="shared" si="1007"/>
        <v>190.58548961880146</v>
      </c>
      <c r="DY308" s="4">
        <f t="shared" si="1008"/>
        <v>0.85</v>
      </c>
      <c r="DZ308" s="4">
        <f t="shared" si="1009"/>
        <v>0.96833333333333327</v>
      </c>
      <c r="EA308" s="4">
        <f t="shared" si="1030"/>
        <v>1</v>
      </c>
      <c r="EB308" s="4">
        <f t="shared" si="1010"/>
        <v>0.96833333333333327</v>
      </c>
      <c r="ED308" s="4">
        <f t="shared" si="1031"/>
        <v>479.23147614866775</v>
      </c>
      <c r="EE308" s="25">
        <f t="shared" si="1032"/>
        <v>189.28639787952685</v>
      </c>
      <c r="EG308" s="4">
        <f t="shared" si="932"/>
        <v>0.82308333333333328</v>
      </c>
      <c r="EH308" s="4">
        <f t="shared" si="1033"/>
        <v>6.8739942690645091</v>
      </c>
      <c r="EK308" s="4">
        <f t="shared" si="1011"/>
        <v>80.72246279691916</v>
      </c>
      <c r="EL308" s="4">
        <f t="shared" si="1012"/>
        <v>3.1780497164141406</v>
      </c>
      <c r="EM308" s="4">
        <f t="shared" si="1013"/>
        <v>5.8036523435471804E-2</v>
      </c>
      <c r="EP308" s="4">
        <f t="shared" si="863"/>
        <v>5.8036523435471804E-2</v>
      </c>
      <c r="EQ308" s="4">
        <f t="shared" si="951"/>
        <v>0.17096104553641872</v>
      </c>
      <c r="ER308" s="4">
        <f t="shared" si="1014"/>
        <v>3.391314226813281</v>
      </c>
      <c r="ES308" s="4">
        <f t="shared" si="847"/>
        <v>5.4229845716603329</v>
      </c>
      <c r="ET308" s="4">
        <f t="shared" si="1015"/>
        <v>187.1205372030808</v>
      </c>
      <c r="EU308" s="4">
        <f t="shared" si="1016"/>
        <v>89.281000000000006</v>
      </c>
      <c r="EV308" s="4">
        <f t="shared" si="952"/>
        <v>2.6607510214801826E-5</v>
      </c>
      <c r="EW308" s="4">
        <f t="shared" si="848"/>
        <v>6.2997864686709182</v>
      </c>
      <c r="EX308" s="4">
        <f t="shared" si="965"/>
        <v>482.07497914779458</v>
      </c>
      <c r="FA308" s="4">
        <f>5.25*25.4</f>
        <v>133.35</v>
      </c>
      <c r="FG308" s="23">
        <f t="shared" si="878"/>
        <v>1.2</v>
      </c>
      <c r="FH308" s="23">
        <f t="shared" si="878"/>
        <v>1</v>
      </c>
      <c r="FI308" s="23">
        <f t="shared" si="1068"/>
        <v>1.4</v>
      </c>
      <c r="FJ308" s="23">
        <f t="shared" si="879"/>
        <v>2.2000000000000002</v>
      </c>
      <c r="FK308" s="23">
        <f t="shared" si="879"/>
        <v>1.2</v>
      </c>
      <c r="FL308" s="23">
        <f t="shared" si="879"/>
        <v>1.2</v>
      </c>
      <c r="FM308" s="23">
        <f t="shared" si="1037"/>
        <v>0</v>
      </c>
      <c r="FN308" s="23"/>
      <c r="FX308" s="4">
        <f t="shared" si="915"/>
        <v>1.25</v>
      </c>
      <c r="FY308" s="4">
        <f t="shared" si="975"/>
        <v>0.71833333333333338</v>
      </c>
      <c r="FZ308" s="4">
        <f t="shared" si="916"/>
        <v>0</v>
      </c>
      <c r="GA308" s="4">
        <f t="shared" si="917"/>
        <v>388.71727606232849</v>
      </c>
    </row>
    <row r="309" spans="1:183" ht="12" customHeight="1" x14ac:dyDescent="0.3">
      <c r="A309" s="25">
        <v>291</v>
      </c>
      <c r="B309" s="4" t="s">
        <v>605</v>
      </c>
      <c r="C309" s="4">
        <v>2016</v>
      </c>
      <c r="D309" s="4" t="s">
        <v>309</v>
      </c>
      <c r="E309" s="24" t="s">
        <v>667</v>
      </c>
      <c r="F309" s="7" t="s">
        <v>450</v>
      </c>
      <c r="G309" s="38">
        <f>120/0.145</f>
        <v>827.58620689655174</v>
      </c>
      <c r="H309" s="38">
        <f>14.5*25.4</f>
        <v>368.29999999999995</v>
      </c>
      <c r="I309" s="4">
        <f t="shared" si="850"/>
        <v>368.29999999999995</v>
      </c>
      <c r="J309" s="38">
        <f>5570/145</f>
        <v>38.413793103448278</v>
      </c>
      <c r="K309" s="38">
        <f t="shared" si="851"/>
        <v>25.4</v>
      </c>
      <c r="L309" s="7">
        <f t="shared" si="852"/>
        <v>14.499999999999998</v>
      </c>
      <c r="M309" s="7">
        <f t="shared" si="853"/>
        <v>14.499999999999998</v>
      </c>
      <c r="N309" s="38">
        <f>17.1*25.4</f>
        <v>434.34000000000003</v>
      </c>
      <c r="O309" s="38">
        <f>2.45*25.4</f>
        <v>62.230000000000004</v>
      </c>
      <c r="P309" s="39">
        <f>3.1*25.4</f>
        <v>78.739999999999995</v>
      </c>
      <c r="Q309" s="7">
        <f t="shared" si="854"/>
        <v>69.426666666666662</v>
      </c>
      <c r="R309" s="38">
        <v>4</v>
      </c>
      <c r="S309" s="4">
        <f t="shared" si="826"/>
        <v>260.34999999999997</v>
      </c>
      <c r="T309" s="7">
        <f t="shared" si="855"/>
        <v>1.8666666666666667</v>
      </c>
      <c r="U309" s="7">
        <f t="shared" si="958"/>
        <v>2.95</v>
      </c>
      <c r="V309" s="38">
        <v>9.5</v>
      </c>
      <c r="W309" s="4">
        <f t="shared" si="856"/>
        <v>9.5</v>
      </c>
      <c r="X309" s="4">
        <f t="shared" si="857"/>
        <v>10.5</v>
      </c>
      <c r="Y309" s="7">
        <f t="shared" si="858"/>
        <v>82.305406869779816</v>
      </c>
      <c r="AB309" s="38">
        <f t="shared" si="885"/>
        <v>671.0344827586207</v>
      </c>
      <c r="AC309" s="4">
        <v>97.3</v>
      </c>
      <c r="AD309" s="4">
        <f t="shared" si="998"/>
        <v>1.2682678827222702</v>
      </c>
      <c r="AE309" s="38">
        <f>0.375*25.4</f>
        <v>9.5249999999999986</v>
      </c>
      <c r="AF309" s="38">
        <v>10</v>
      </c>
      <c r="AG309" s="39">
        <f t="shared" ref="AG309:AG310" si="1070">3*25.4</f>
        <v>76.199999999999989</v>
      </c>
      <c r="AH309" s="39">
        <v>3</v>
      </c>
      <c r="AI309" s="39">
        <f>AH309-1</f>
        <v>2</v>
      </c>
      <c r="AJ309" s="7"/>
      <c r="AK309" s="4">
        <f t="shared" si="859"/>
        <v>368.29999999999995</v>
      </c>
      <c r="AL309" s="4">
        <f t="shared" si="1018"/>
        <v>0.39310344827586224</v>
      </c>
      <c r="AM309" s="4">
        <f t="shared" si="1019"/>
        <v>216.13687542656675</v>
      </c>
      <c r="AN309" s="4">
        <f t="shared" si="1020"/>
        <v>0.74068965517241381</v>
      </c>
      <c r="AO309" s="4">
        <v>1.25</v>
      </c>
      <c r="AP309" s="4">
        <f t="shared" si="933"/>
        <v>2.5</v>
      </c>
      <c r="AQ309" s="38">
        <f t="shared" si="827"/>
        <v>196.66271165076645</v>
      </c>
      <c r="AR309" s="38">
        <f t="shared" si="1021"/>
        <v>196.66271165076645</v>
      </c>
      <c r="AS309" s="38">
        <f t="shared" si="1022"/>
        <v>3.4154351999890475</v>
      </c>
      <c r="AT309" s="38">
        <f t="shared" si="940"/>
        <v>196.66271165076645</v>
      </c>
      <c r="AU309" s="38">
        <f t="shared" si="910"/>
        <v>1</v>
      </c>
      <c r="AV309" s="38">
        <f t="shared" si="941"/>
        <v>2.7693943650562476</v>
      </c>
      <c r="AW309" s="4">
        <f t="shared" si="942"/>
        <v>0</v>
      </c>
      <c r="AX309" s="4">
        <f t="shared" si="860"/>
        <v>472.99657691451972</v>
      </c>
      <c r="AY309" s="4">
        <f t="shared" si="828"/>
        <v>1.2321428571428572</v>
      </c>
      <c r="AZ309" s="38">
        <f t="shared" si="953"/>
        <v>544.63660546231426</v>
      </c>
      <c r="BA309" s="4">
        <f t="shared" si="829"/>
        <v>0.3</v>
      </c>
      <c r="BB309" s="4">
        <f t="shared" si="830"/>
        <v>74.142213431350967</v>
      </c>
      <c r="BC309" s="4">
        <f t="shared" si="831"/>
        <v>618.77881889366517</v>
      </c>
      <c r="BE309" s="4">
        <f t="shared" si="934"/>
        <v>1.5</v>
      </c>
      <c r="BF309" s="4">
        <f t="shared" si="935"/>
        <v>683.3169513735794</v>
      </c>
      <c r="BH309" s="4">
        <f t="shared" si="959"/>
        <v>522.37310935509947</v>
      </c>
      <c r="BI309" s="4">
        <f t="shared" si="905"/>
        <v>0</v>
      </c>
      <c r="BJ309" s="4">
        <f t="shared" si="960"/>
        <v>0</v>
      </c>
      <c r="BK309" s="4">
        <f t="shared" si="1023"/>
        <v>41.11333333333333</v>
      </c>
      <c r="BL309" s="4">
        <f t="shared" si="1024"/>
        <v>41.11333333333333</v>
      </c>
      <c r="BM309" s="4">
        <f t="shared" si="1025"/>
        <v>260.34999999999997</v>
      </c>
      <c r="BN309" s="4">
        <f t="shared" si="1026"/>
        <v>53.813333333333333</v>
      </c>
      <c r="BO309" s="4">
        <f t="shared" si="1027"/>
        <v>1.25</v>
      </c>
      <c r="BP309" s="25">
        <f t="shared" si="1028"/>
        <v>3.320507882657481</v>
      </c>
      <c r="BR309" s="4">
        <f t="shared" si="832"/>
        <v>34.713333333333331</v>
      </c>
      <c r="BV309" s="9"/>
      <c r="BX309" s="9"/>
      <c r="BY309" s="9"/>
      <c r="BZ309" s="9">
        <f t="shared" si="833"/>
        <v>34.713333333333331</v>
      </c>
      <c r="CA309" s="9">
        <f t="shared" si="834"/>
        <v>62.230000000000004</v>
      </c>
      <c r="CB309" s="9">
        <f t="shared" si="943"/>
        <v>1.2760180664066267</v>
      </c>
      <c r="CC309" s="40">
        <f t="shared" si="861"/>
        <v>20</v>
      </c>
      <c r="CD309" s="9">
        <f t="shared" si="835"/>
        <v>0.05</v>
      </c>
      <c r="CE309" s="9">
        <f t="shared" si="836"/>
        <v>0.8</v>
      </c>
      <c r="CF309" s="9">
        <f t="shared" si="837"/>
        <v>0.99524931562137331</v>
      </c>
      <c r="CG309" s="9">
        <f t="shared" si="838"/>
        <v>0.68</v>
      </c>
      <c r="CH309" s="9">
        <f t="shared" si="944"/>
        <v>1.4680891910501142</v>
      </c>
      <c r="CI309" s="9">
        <f t="shared" si="945"/>
        <v>3.0477796837163269</v>
      </c>
      <c r="CJ309" s="40">
        <v>1</v>
      </c>
      <c r="CK309" s="9">
        <f t="shared" si="946"/>
        <v>359.63800267852656</v>
      </c>
      <c r="CM309" s="4">
        <f t="shared" si="839"/>
        <v>1.4186878203980968</v>
      </c>
      <c r="CN309" s="4">
        <f t="shared" si="840"/>
        <v>1.0844496648388597</v>
      </c>
      <c r="CO309" s="4">
        <f t="shared" si="1062"/>
        <v>0.98202522476536125</v>
      </c>
      <c r="CP309" s="4">
        <f t="shared" si="841"/>
        <v>1.8658608872278868</v>
      </c>
      <c r="CQ309" s="4">
        <f t="shared" si="1035"/>
        <v>1.2682678827222702</v>
      </c>
      <c r="CR309" s="4">
        <f t="shared" si="1036"/>
        <v>1.2732119156908908</v>
      </c>
      <c r="CS309" s="4">
        <f t="shared" si="1063"/>
        <v>1.5219922977142373</v>
      </c>
      <c r="CT309" s="4">
        <f t="shared" si="862"/>
        <v>10</v>
      </c>
      <c r="DA309" s="4">
        <f t="shared" ref="DA309:DB310" si="1071">CM309</f>
        <v>1.4186878203980968</v>
      </c>
      <c r="DB309" s="4">
        <f t="shared" si="1071"/>
        <v>1.0844496648388597</v>
      </c>
      <c r="DC309" s="4">
        <f t="shared" ref="DC309:DC310" si="1072">CP309</f>
        <v>1.8658608872278868</v>
      </c>
      <c r="DD309" s="4">
        <f t="shared" ref="DD309:DD310" si="1073">CS309</f>
        <v>1.5219922977142373</v>
      </c>
      <c r="DE309" s="4">
        <f t="shared" ref="DE309:DF310" si="1074">CQ309</f>
        <v>1.2682678827222702</v>
      </c>
      <c r="DF309" s="4">
        <f t="shared" si="1074"/>
        <v>1.2732119156908908</v>
      </c>
      <c r="DI309" s="4">
        <f t="shared" si="846"/>
        <v>368.29999999999995</v>
      </c>
      <c r="DL309" s="4">
        <f t="shared" si="999"/>
        <v>2.7440177675293479E-5</v>
      </c>
      <c r="DM309" s="4">
        <f t="shared" si="1000"/>
        <v>7.6244661407020242</v>
      </c>
      <c r="DN309" s="4">
        <f t="shared" si="1001"/>
        <v>0.17258635939416275</v>
      </c>
      <c r="DO309" s="4">
        <f t="shared" si="1002"/>
        <v>3.7758264740485674</v>
      </c>
      <c r="DP309" s="4">
        <f t="shared" si="1003"/>
        <v>6.0194542657185099</v>
      </c>
      <c r="DQ309" s="4">
        <f t="shared" si="1004"/>
        <v>6.8735858098061433</v>
      </c>
      <c r="DR309" s="38">
        <f t="shared" si="1029"/>
        <v>529.09522656860202</v>
      </c>
      <c r="DS309" s="4">
        <f t="shared" si="1005"/>
        <v>1.0001028338364397</v>
      </c>
      <c r="DT309" s="4">
        <f t="shared" si="1006"/>
        <v>3.2403703492039297</v>
      </c>
      <c r="DU309" s="4">
        <f t="shared" si="1007"/>
        <v>196.66271165076645</v>
      </c>
      <c r="DY309" s="4">
        <f t="shared" si="1008"/>
        <v>0.85</v>
      </c>
      <c r="DZ309" s="4">
        <f t="shared" si="1009"/>
        <v>0.96333333333333337</v>
      </c>
      <c r="EA309" s="4">
        <f t="shared" si="1030"/>
        <v>0.90625</v>
      </c>
      <c r="EB309" s="4">
        <f t="shared" si="1010"/>
        <v>0.87302083333333336</v>
      </c>
      <c r="ED309" s="4">
        <f t="shared" si="1031"/>
        <v>527.04068701280823</v>
      </c>
      <c r="EE309" s="25">
        <f t="shared" si="1032"/>
        <v>195.37640989227023</v>
      </c>
      <c r="EG309" s="4">
        <f t="shared" si="932"/>
        <v>0.74206770833333335</v>
      </c>
      <c r="EH309" s="4">
        <f t="shared" si="1033"/>
        <v>7.6244661407020242</v>
      </c>
      <c r="EK309" s="4">
        <f t="shared" si="1011"/>
        <v>82.305406869779816</v>
      </c>
      <c r="EL309" s="4">
        <f t="shared" si="1012"/>
        <v>3.2403703492039302</v>
      </c>
      <c r="EM309" s="4">
        <f t="shared" si="1013"/>
        <v>5.8490499410662894E-2</v>
      </c>
      <c r="EP309" s="4">
        <f t="shared" si="863"/>
        <v>5.8490499410662894E-2</v>
      </c>
      <c r="EQ309" s="4">
        <f t="shared" si="951"/>
        <v>0.17229834492605872</v>
      </c>
      <c r="ER309" s="4">
        <f t="shared" si="1014"/>
        <v>3.7733047508040065</v>
      </c>
      <c r="ES309" s="4">
        <f t="shared" si="847"/>
        <v>6.0186731142651881</v>
      </c>
      <c r="ET309" s="4">
        <f t="shared" si="1015"/>
        <v>193.91959313022016</v>
      </c>
      <c r="EU309" s="4">
        <f t="shared" si="1016"/>
        <v>92.074999999999989</v>
      </c>
      <c r="EV309" s="4">
        <f t="shared" si="952"/>
        <v>2.7440177675293479E-5</v>
      </c>
      <c r="EW309" s="4">
        <f t="shared" si="848"/>
        <v>6.8737332015041632</v>
      </c>
      <c r="EX309" s="4">
        <f t="shared" si="965"/>
        <v>529.04082327111178</v>
      </c>
      <c r="FG309" s="23">
        <f t="shared" si="878"/>
        <v>1.6</v>
      </c>
      <c r="FH309" s="23">
        <f t="shared" si="878"/>
        <v>1.2</v>
      </c>
      <c r="FI309" s="23">
        <f t="shared" si="1068"/>
        <v>1.6</v>
      </c>
      <c r="FJ309" s="23">
        <f t="shared" si="879"/>
        <v>2</v>
      </c>
      <c r="FK309" s="23">
        <f t="shared" si="879"/>
        <v>1.4</v>
      </c>
      <c r="FL309" s="23">
        <f t="shared" si="879"/>
        <v>1.4</v>
      </c>
      <c r="FM309" s="23">
        <f t="shared" si="1037"/>
        <v>0</v>
      </c>
      <c r="FN309" s="23"/>
      <c r="FX309" s="4">
        <f t="shared" si="915"/>
        <v>1.25</v>
      </c>
      <c r="FY309" s="4">
        <f t="shared" si="975"/>
        <v>0.65314583333333343</v>
      </c>
      <c r="FZ309" s="4">
        <f t="shared" si="916"/>
        <v>0.21093749999999997</v>
      </c>
      <c r="GA309" s="4">
        <f t="shared" si="917"/>
        <v>440.892167303603</v>
      </c>
    </row>
    <row r="310" spans="1:183" ht="12" customHeight="1" x14ac:dyDescent="0.3">
      <c r="A310" s="25">
        <v>292</v>
      </c>
      <c r="B310" s="4" t="s">
        <v>605</v>
      </c>
      <c r="C310" s="4">
        <v>2016</v>
      </c>
      <c r="D310" s="4" t="s">
        <v>309</v>
      </c>
      <c r="E310" s="24" t="s">
        <v>667</v>
      </c>
      <c r="F310" s="48" t="s">
        <v>451</v>
      </c>
      <c r="G310" s="38">
        <f>115.9/0.145</f>
        <v>799.31034482758628</v>
      </c>
      <c r="H310" s="38">
        <f>14.5*25.4</f>
        <v>368.29999999999995</v>
      </c>
      <c r="I310" s="4">
        <f t="shared" si="850"/>
        <v>368.29999999999995</v>
      </c>
      <c r="J310" s="38">
        <f>5570/145</f>
        <v>38.413793103448278</v>
      </c>
      <c r="K310" s="38">
        <f t="shared" si="851"/>
        <v>25.4</v>
      </c>
      <c r="L310" s="7">
        <f t="shared" si="852"/>
        <v>14.499999999999998</v>
      </c>
      <c r="M310" s="7">
        <f t="shared" si="853"/>
        <v>14.499999999999998</v>
      </c>
      <c r="N310" s="38">
        <f>16.9*25.4</f>
        <v>429.25999999999993</v>
      </c>
      <c r="O310" s="38">
        <f>2.5*25.4</f>
        <v>63.5</v>
      </c>
      <c r="P310" s="39">
        <f>3*25.4</f>
        <v>76.199999999999989</v>
      </c>
      <c r="Q310" s="7">
        <f t="shared" si="854"/>
        <v>66.886666666666656</v>
      </c>
      <c r="R310" s="38">
        <v>4</v>
      </c>
      <c r="S310" s="4">
        <f t="shared" si="826"/>
        <v>260.34999999999997</v>
      </c>
      <c r="T310" s="7">
        <f t="shared" si="855"/>
        <v>1.8166666666666664</v>
      </c>
      <c r="U310" s="7">
        <f t="shared" si="958"/>
        <v>3</v>
      </c>
      <c r="V310" s="38">
        <v>9.1</v>
      </c>
      <c r="W310" s="4">
        <f t="shared" si="856"/>
        <v>9.1</v>
      </c>
      <c r="X310" s="4">
        <f t="shared" si="857"/>
        <v>10.1</v>
      </c>
      <c r="Y310" s="7">
        <f t="shared" si="858"/>
        <v>80.72246279691916</v>
      </c>
      <c r="AB310" s="38">
        <f t="shared" si="885"/>
        <v>777.93103448275861</v>
      </c>
      <c r="AC310" s="4">
        <v>112.8</v>
      </c>
      <c r="AD310" s="4">
        <f t="shared" si="998"/>
        <v>1.4782200012625968</v>
      </c>
      <c r="AE310" s="38">
        <f>0.375*25.4</f>
        <v>9.5249999999999986</v>
      </c>
      <c r="AF310" s="38">
        <v>10</v>
      </c>
      <c r="AG310" s="39">
        <f t="shared" si="1070"/>
        <v>76.199999999999989</v>
      </c>
      <c r="AH310" s="39">
        <v>3</v>
      </c>
      <c r="AI310" s="39">
        <f>AH310-1</f>
        <v>2</v>
      </c>
      <c r="AJ310" s="7"/>
      <c r="AK310" s="4">
        <f t="shared" si="859"/>
        <v>368.29999999999995</v>
      </c>
      <c r="AL310" s="4">
        <f t="shared" si="1018"/>
        <v>0.38850574712643682</v>
      </c>
      <c r="AM310" s="4">
        <f t="shared" si="1019"/>
        <v>216.13687542656675</v>
      </c>
      <c r="AN310" s="4">
        <f t="shared" si="1020"/>
        <v>0.74137931034482751</v>
      </c>
      <c r="AO310" s="4">
        <v>1.25</v>
      </c>
      <c r="AP310" s="4">
        <f t="shared" si="933"/>
        <v>2.5</v>
      </c>
      <c r="AQ310" s="38">
        <f t="shared" si="827"/>
        <v>194.54353370551681</v>
      </c>
      <c r="AR310" s="38">
        <f t="shared" si="1021"/>
        <v>194.54353370551681</v>
      </c>
      <c r="AS310" s="38">
        <f t="shared" si="1022"/>
        <v>3.4154351999890475</v>
      </c>
      <c r="AT310" s="38">
        <f t="shared" si="940"/>
        <v>194.54353370551681</v>
      </c>
      <c r="AU310" s="38">
        <f t="shared" si="910"/>
        <v>1</v>
      </c>
      <c r="AV310" s="38">
        <f t="shared" si="941"/>
        <v>2.7280766407298964</v>
      </c>
      <c r="AW310" s="4">
        <f t="shared" si="942"/>
        <v>0</v>
      </c>
      <c r="AX310" s="4">
        <f t="shared" si="860"/>
        <v>472.99657691451972</v>
      </c>
      <c r="AY310" s="4">
        <f t="shared" si="828"/>
        <v>1.2605504587155965</v>
      </c>
      <c r="AZ310" s="38">
        <f t="shared" si="953"/>
        <v>530.72966990706971</v>
      </c>
      <c r="BA310" s="4">
        <f t="shared" si="829"/>
        <v>0.3</v>
      </c>
      <c r="BB310" s="4">
        <f t="shared" si="830"/>
        <v>74.142213431350953</v>
      </c>
      <c r="BC310" s="4">
        <f t="shared" si="831"/>
        <v>604.87188333842062</v>
      </c>
      <c r="BE310" s="4">
        <f t="shared" si="934"/>
        <v>1.5</v>
      </c>
      <c r="BF310" s="4">
        <f t="shared" si="935"/>
        <v>683.3169513735794</v>
      </c>
      <c r="BH310" s="4">
        <f t="shared" si="959"/>
        <v>509.03465745022322</v>
      </c>
      <c r="BI310" s="4">
        <f t="shared" si="905"/>
        <v>0</v>
      </c>
      <c r="BJ310" s="4">
        <f t="shared" si="960"/>
        <v>0</v>
      </c>
      <c r="BK310" s="4">
        <f t="shared" si="1023"/>
        <v>39.843333333333327</v>
      </c>
      <c r="BL310" s="4">
        <f t="shared" si="1024"/>
        <v>39.843333333333327</v>
      </c>
      <c r="BM310" s="4">
        <f t="shared" si="1025"/>
        <v>260.34999999999997</v>
      </c>
      <c r="BN310" s="4">
        <f t="shared" si="1026"/>
        <v>52.543333333333322</v>
      </c>
      <c r="BO310" s="4">
        <f t="shared" si="1027"/>
        <v>1.25</v>
      </c>
      <c r="BP310" s="25">
        <f t="shared" si="1028"/>
        <v>3.2580078826574801</v>
      </c>
      <c r="BR310" s="4">
        <f t="shared" si="832"/>
        <v>33.443333333333328</v>
      </c>
      <c r="BV310" s="9"/>
      <c r="BX310" s="9"/>
      <c r="BY310" s="9"/>
      <c r="BZ310" s="9">
        <f t="shared" si="833"/>
        <v>33.443333333333328</v>
      </c>
      <c r="CA310" s="9">
        <f t="shared" si="834"/>
        <v>63.5</v>
      </c>
      <c r="CB310" s="9">
        <f t="shared" si="943"/>
        <v>1.2633030527845497</v>
      </c>
      <c r="CC310" s="40">
        <f t="shared" si="861"/>
        <v>20</v>
      </c>
      <c r="CD310" s="9">
        <f t="shared" si="835"/>
        <v>0.05</v>
      </c>
      <c r="CE310" s="9">
        <f t="shared" si="836"/>
        <v>0.8</v>
      </c>
      <c r="CF310" s="9">
        <f t="shared" si="837"/>
        <v>0.99524931562137331</v>
      </c>
      <c r="CG310" s="9">
        <f t="shared" si="838"/>
        <v>0.68048275862068963</v>
      </c>
      <c r="CH310" s="9">
        <f t="shared" si="944"/>
        <v>1.4691314450397035</v>
      </c>
      <c r="CI310" s="9">
        <f t="shared" si="945"/>
        <v>3.0312633954921968</v>
      </c>
      <c r="CJ310" s="40">
        <v>1</v>
      </c>
      <c r="CK310" s="9">
        <f t="shared" si="946"/>
        <v>357.68908066807921</v>
      </c>
      <c r="CM310" s="47">
        <f t="shared" si="839"/>
        <v>1.6446863940483587</v>
      </c>
      <c r="CN310" s="47">
        <f t="shared" si="840"/>
        <v>1.286108770983347</v>
      </c>
      <c r="CO310" s="47">
        <f t="shared" si="1062"/>
        <v>1.1384629532737178</v>
      </c>
      <c r="CP310" s="47">
        <f t="shared" si="841"/>
        <v>2.1748805779303244</v>
      </c>
      <c r="CQ310" s="47">
        <f t="shared" si="1035"/>
        <v>1.4782200012625968</v>
      </c>
      <c r="CR310" s="47">
        <f t="shared" si="1036"/>
        <v>1.486801599498017</v>
      </c>
      <c r="CS310" s="47">
        <f t="shared" si="1063"/>
        <v>1.4168183015224551</v>
      </c>
      <c r="CT310" s="4">
        <f t="shared" si="862"/>
        <v>10</v>
      </c>
      <c r="DA310" s="4">
        <f t="shared" si="1071"/>
        <v>1.6446863940483587</v>
      </c>
      <c r="DB310" s="4">
        <f t="shared" si="1071"/>
        <v>1.286108770983347</v>
      </c>
      <c r="DC310" s="4">
        <f t="shared" si="1072"/>
        <v>2.1748805779303244</v>
      </c>
      <c r="DD310" s="4">
        <f t="shared" si="1073"/>
        <v>1.4168183015224551</v>
      </c>
      <c r="DE310" s="4">
        <f t="shared" si="1074"/>
        <v>1.4782200012625968</v>
      </c>
      <c r="DF310" s="4">
        <f t="shared" si="1074"/>
        <v>1.486801599498017</v>
      </c>
      <c r="DI310" s="4">
        <f t="shared" si="846"/>
        <v>368.29999999999995</v>
      </c>
      <c r="DL310" s="4">
        <f t="shared" si="999"/>
        <v>2.7440177675293479E-5</v>
      </c>
      <c r="DM310" s="4">
        <f t="shared" si="1000"/>
        <v>7.5850971244849745</v>
      </c>
      <c r="DN310" s="4">
        <f t="shared" si="1001"/>
        <v>0.17480324684969312</v>
      </c>
      <c r="DO310" s="4">
        <f t="shared" si="1002"/>
        <v>3.7755562431213261</v>
      </c>
      <c r="DP310" s="4">
        <f t="shared" si="1003"/>
        <v>5.9943432608094538</v>
      </c>
      <c r="DQ310" s="4">
        <f t="shared" si="1004"/>
        <v>6.8393248213148761</v>
      </c>
      <c r="DR310" s="38">
        <f t="shared" si="1029"/>
        <v>526.26201365040515</v>
      </c>
      <c r="DS310" s="4">
        <f t="shared" si="1005"/>
        <v>1.0001028004220163</v>
      </c>
      <c r="DT310" s="4">
        <f t="shared" si="1006"/>
        <v>3.1780497164141401</v>
      </c>
      <c r="DU310" s="4">
        <f t="shared" si="1007"/>
        <v>194.54353370551681</v>
      </c>
      <c r="DY310" s="4">
        <f t="shared" si="1008"/>
        <v>0.85</v>
      </c>
      <c r="DZ310" s="4">
        <f t="shared" si="1009"/>
        <v>0.96833333333333338</v>
      </c>
      <c r="EA310" s="4">
        <f t="shared" si="1030"/>
        <v>0.90625</v>
      </c>
      <c r="EB310" s="4">
        <f t="shared" si="1010"/>
        <v>0.87755208333333334</v>
      </c>
      <c r="ED310" s="4">
        <f t="shared" si="1031"/>
        <v>523.22450738915563</v>
      </c>
      <c r="EE310" s="25">
        <f t="shared" si="1032"/>
        <v>193.27278247405926</v>
      </c>
      <c r="EG310" s="4">
        <f t="shared" si="932"/>
        <v>0.74591927083333331</v>
      </c>
      <c r="EH310" s="4">
        <f t="shared" si="1033"/>
        <v>7.5850971244849745</v>
      </c>
      <c r="EK310" s="4">
        <f t="shared" si="1011"/>
        <v>80.72246279691916</v>
      </c>
      <c r="EL310" s="4">
        <f t="shared" si="1012"/>
        <v>3.1780497164141406</v>
      </c>
      <c r="EM310" s="4">
        <f t="shared" si="1013"/>
        <v>5.9241815185944208E-2</v>
      </c>
      <c r="EP310" s="4">
        <f t="shared" si="863"/>
        <v>5.9241815185944208E-2</v>
      </c>
      <c r="EQ310" s="4">
        <f t="shared" si="951"/>
        <v>0.17451153280959747</v>
      </c>
      <c r="ER310" s="4">
        <f t="shared" si="1014"/>
        <v>3.7730347003531768</v>
      </c>
      <c r="ES310" s="4">
        <f t="shared" si="847"/>
        <v>5.9935587325282373</v>
      </c>
      <c r="ET310" s="4">
        <f t="shared" si="1015"/>
        <v>195.50253720308081</v>
      </c>
      <c r="EU310" s="4">
        <f t="shared" si="1016"/>
        <v>92.074999999999989</v>
      </c>
      <c r="EV310" s="4">
        <f t="shared" si="952"/>
        <v>2.7440177675293479E-5</v>
      </c>
      <c r="EW310" s="4">
        <f t="shared" si="848"/>
        <v>6.8394706046014724</v>
      </c>
      <c r="EX310" s="4">
        <f t="shared" si="965"/>
        <v>526.20791925423748</v>
      </c>
      <c r="FA310" s="4">
        <f>5.25*25.4</f>
        <v>133.35</v>
      </c>
      <c r="FG310" s="23">
        <f t="shared" si="878"/>
        <v>1.8</v>
      </c>
      <c r="FH310" s="23">
        <f t="shared" si="878"/>
        <v>1.4</v>
      </c>
      <c r="FI310" s="23">
        <f t="shared" si="1068"/>
        <v>1.6</v>
      </c>
      <c r="FJ310" s="23">
        <f t="shared" si="879"/>
        <v>2.2000000000000002</v>
      </c>
      <c r="FK310" s="23">
        <f t="shared" si="879"/>
        <v>1.6</v>
      </c>
      <c r="FL310" s="23">
        <f t="shared" si="879"/>
        <v>1.6</v>
      </c>
      <c r="FM310" s="23">
        <f t="shared" si="1037"/>
        <v>0</v>
      </c>
      <c r="FN310" s="23"/>
      <c r="FX310" s="4">
        <f t="shared" si="915"/>
        <v>1</v>
      </c>
      <c r="FY310" s="4">
        <f t="shared" si="975"/>
        <v>0.65557988208225493</v>
      </c>
      <c r="FZ310" s="4">
        <f t="shared" si="916"/>
        <v>0.21093749999999997</v>
      </c>
      <c r="GA310" s="4">
        <f t="shared" si="917"/>
        <v>549.0690186926762</v>
      </c>
    </row>
    <row r="311" spans="1:183" ht="12" customHeight="1" x14ac:dyDescent="0.3">
      <c r="A311" s="25">
        <v>293</v>
      </c>
      <c r="B311" s="4" t="s">
        <v>605</v>
      </c>
      <c r="C311" s="4">
        <v>2016</v>
      </c>
      <c r="D311" s="4" t="s">
        <v>309</v>
      </c>
      <c r="E311" s="24" t="s">
        <v>452</v>
      </c>
      <c r="F311" s="7" t="s">
        <v>453</v>
      </c>
      <c r="G311" s="38">
        <f>120/0.145</f>
        <v>827.58620689655174</v>
      </c>
      <c r="H311" s="38">
        <f>9.5*25.4</f>
        <v>241.29999999999998</v>
      </c>
      <c r="I311" s="4">
        <f t="shared" si="850"/>
        <v>241.29999999999998</v>
      </c>
      <c r="J311" s="38">
        <f>16030/145</f>
        <v>110.55172413793103</v>
      </c>
      <c r="K311" s="38">
        <f t="shared" si="851"/>
        <v>25.4</v>
      </c>
      <c r="L311" s="7">
        <f t="shared" si="852"/>
        <v>9.5</v>
      </c>
      <c r="M311" s="7">
        <f t="shared" si="853"/>
        <v>9.5</v>
      </c>
      <c r="N311" s="38">
        <f>17*25.4</f>
        <v>431.79999999999995</v>
      </c>
      <c r="O311" s="38">
        <f>2.5*25.4</f>
        <v>63.5</v>
      </c>
      <c r="P311" s="39">
        <f>4.5*25.4</f>
        <v>114.3</v>
      </c>
      <c r="Q311" s="7">
        <f t="shared" si="854"/>
        <v>253.99999999999994</v>
      </c>
      <c r="R311" s="38">
        <v>2</v>
      </c>
      <c r="S311" s="4">
        <f t="shared" si="826"/>
        <v>260.34999999999997</v>
      </c>
      <c r="T311" s="7">
        <f t="shared" si="855"/>
        <v>3</v>
      </c>
      <c r="U311" s="7">
        <f t="shared" si="958"/>
        <v>3</v>
      </c>
      <c r="V311" s="38">
        <v>4</v>
      </c>
      <c r="W311" s="4">
        <f t="shared" si="856"/>
        <v>4</v>
      </c>
      <c r="X311" s="4">
        <f t="shared" si="857"/>
        <v>5</v>
      </c>
      <c r="Y311" s="7">
        <f t="shared" si="858"/>
        <v>56.796126628494655</v>
      </c>
      <c r="AB311" s="38">
        <f t="shared" si="885"/>
        <v>726.89655172413802</v>
      </c>
      <c r="AC311" s="4">
        <v>105.4</v>
      </c>
      <c r="AD311" s="4">
        <f t="shared" si="998"/>
        <v>0.87833333333333341</v>
      </c>
      <c r="AE311" s="38">
        <v>0</v>
      </c>
      <c r="AF311" s="38">
        <v>0</v>
      </c>
      <c r="AG311" s="39">
        <f t="shared" ref="AG311:AG313" si="1075">I311</f>
        <v>241.29999999999998</v>
      </c>
      <c r="AH311" s="39"/>
      <c r="AI311" s="39"/>
      <c r="AJ311" s="7"/>
      <c r="AK311" s="4">
        <f t="shared" si="859"/>
        <v>241.29999999999998</v>
      </c>
      <c r="AL311" s="4">
        <f t="shared" si="1018"/>
        <v>0.59649122807017541</v>
      </c>
      <c r="AM311" s="4">
        <f t="shared" si="1019"/>
        <v>388.89417005620368</v>
      </c>
      <c r="AN311" s="4">
        <f t="shared" si="1020"/>
        <v>0.76315789473684204</v>
      </c>
      <c r="AO311" s="4">
        <v>1.25</v>
      </c>
      <c r="AP311" s="4">
        <f t="shared" si="933"/>
        <v>2.5</v>
      </c>
      <c r="AQ311" s="38">
        <f t="shared" si="827"/>
        <v>553.22260456402466</v>
      </c>
      <c r="AR311" s="38">
        <f t="shared" si="1021"/>
        <v>553.22260456402466</v>
      </c>
      <c r="AS311" s="38">
        <f t="shared" si="1022"/>
        <v>5.4139420559889198</v>
      </c>
      <c r="AT311" s="38">
        <f t="shared" si="940"/>
        <v>553.22260456402478</v>
      </c>
      <c r="AU311" s="38">
        <f t="shared" si="910"/>
        <v>0.99999999999999978</v>
      </c>
      <c r="AV311" s="38">
        <f t="shared" si="941"/>
        <v>2.3979871370235051</v>
      </c>
      <c r="AW311" s="4">
        <f t="shared" si="942"/>
        <v>0</v>
      </c>
      <c r="AX311" s="4">
        <f t="shared" si="860"/>
        <v>525.71789996615826</v>
      </c>
      <c r="AY311" s="4">
        <f t="shared" si="828"/>
        <v>1</v>
      </c>
      <c r="AZ311" s="38">
        <f t="shared" si="953"/>
        <v>1326.6206896551723</v>
      </c>
      <c r="BA311" s="4">
        <f t="shared" si="829"/>
        <v>0.44000000000000006</v>
      </c>
      <c r="BB311" s="4">
        <f t="shared" si="830"/>
        <v>120.86254520221979</v>
      </c>
      <c r="BC311" s="4">
        <f t="shared" si="831"/>
        <v>1447.4832348573921</v>
      </c>
      <c r="BE311" s="4">
        <f t="shared" si="934"/>
        <v>1.375</v>
      </c>
      <c r="BF311" s="4">
        <f t="shared" si="935"/>
        <v>845.74867157055712</v>
      </c>
      <c r="BH311" s="4">
        <f t="shared" si="959"/>
        <v>1272.3914765180612</v>
      </c>
      <c r="BI311" s="4">
        <f t="shared" si="905"/>
        <v>0</v>
      </c>
      <c r="BJ311" s="4">
        <f t="shared" si="960"/>
        <v>0</v>
      </c>
      <c r="BK311" s="4">
        <f t="shared" si="1023"/>
        <v>63.5</v>
      </c>
      <c r="BL311" s="4">
        <f t="shared" si="1024"/>
        <v>63.5</v>
      </c>
      <c r="BM311" s="4">
        <f t="shared" si="1025"/>
        <v>260.34999999999997</v>
      </c>
      <c r="BN311" s="4">
        <f t="shared" si="1026"/>
        <v>76.2</v>
      </c>
      <c r="BO311" s="4">
        <f t="shared" si="1027"/>
        <v>1.25</v>
      </c>
      <c r="BP311" s="25">
        <f t="shared" si="1028"/>
        <v>3.75</v>
      </c>
      <c r="BR311" s="4">
        <f t="shared" si="832"/>
        <v>63.5</v>
      </c>
      <c r="BV311" s="9"/>
      <c r="BX311" s="9"/>
      <c r="BY311" s="9"/>
      <c r="BZ311" s="9">
        <f t="shared" si="833"/>
        <v>63.5</v>
      </c>
      <c r="CA311" s="9">
        <f t="shared" si="834"/>
        <v>126.99999999999997</v>
      </c>
      <c r="CB311" s="9">
        <f t="shared" si="943"/>
        <v>1.7543833769624846</v>
      </c>
      <c r="CC311" s="40">
        <f t="shared" si="861"/>
        <v>20</v>
      </c>
      <c r="CD311" s="9">
        <f t="shared" si="835"/>
        <v>0</v>
      </c>
      <c r="CE311" s="9">
        <f t="shared" si="836"/>
        <v>0</v>
      </c>
      <c r="CF311" s="9">
        <f t="shared" si="837"/>
        <v>0.99524931562137331</v>
      </c>
      <c r="CG311" s="9">
        <f t="shared" si="838"/>
        <v>0.68</v>
      </c>
      <c r="CH311" s="9">
        <f t="shared" si="944"/>
        <v>2.4905290095198289</v>
      </c>
      <c r="CI311" s="9">
        <f t="shared" si="945"/>
        <v>4.3693426941444296</v>
      </c>
      <c r="CJ311" s="40">
        <v>1</v>
      </c>
      <c r="CK311" s="9">
        <f t="shared" si="946"/>
        <v>428.19558402615405</v>
      </c>
      <c r="CM311" s="4">
        <f t="shared" si="839"/>
        <v>1.3826741523751238</v>
      </c>
      <c r="CN311" s="4">
        <f t="shared" si="840"/>
        <v>0.50217959988721583</v>
      </c>
      <c r="CO311" s="4">
        <f t="shared" si="1062"/>
        <v>0.85947111258748954</v>
      </c>
      <c r="CP311" s="4">
        <f t="shared" si="841"/>
        <v>1.6975806823821411</v>
      </c>
      <c r="CQ311" s="4">
        <f t="shared" si="1035"/>
        <v>0.87833333333333341</v>
      </c>
      <c r="CR311" s="4">
        <f t="shared" si="1036"/>
        <v>0.87833333333333341</v>
      </c>
      <c r="CS311" s="4">
        <f t="shared" si="1063"/>
        <v>1.1832182811484149</v>
      </c>
      <c r="CT311" s="4">
        <f t="shared" si="862"/>
        <v>0</v>
      </c>
      <c r="CU311" s="4">
        <f t="shared" ref="CU311:CV313" si="1076">CM311</f>
        <v>1.3826741523751238</v>
      </c>
      <c r="CV311" s="4">
        <f t="shared" si="1076"/>
        <v>0.50217959988721583</v>
      </c>
      <c r="CW311" s="4">
        <f t="shared" ref="CW311:CW313" si="1077">CP311</f>
        <v>1.6975806823821411</v>
      </c>
      <c r="CX311" s="4">
        <f t="shared" ref="CX311:CX313" si="1078">CS311</f>
        <v>1.1832182811484149</v>
      </c>
      <c r="CY311" s="4">
        <f t="shared" ref="CY311:CZ313" si="1079">CQ311</f>
        <v>0.87833333333333341</v>
      </c>
      <c r="CZ311" s="4">
        <f t="shared" si="1079"/>
        <v>0.87833333333333341</v>
      </c>
      <c r="DI311" s="4">
        <f t="shared" si="846"/>
        <v>241.29999999999998</v>
      </c>
      <c r="DL311" s="4">
        <f t="shared" si="999"/>
        <v>2.8000148432523461E-5</v>
      </c>
      <c r="DM311" s="4">
        <f t="shared" si="1000"/>
        <v>13.284777517679784</v>
      </c>
      <c r="DN311" s="4">
        <f t="shared" si="1001"/>
        <v>0.27647763191291236</v>
      </c>
      <c r="DO311" s="4">
        <f t="shared" si="1002"/>
        <v>7.9436168068407298</v>
      </c>
      <c r="DP311" s="4">
        <f t="shared" si="1003"/>
        <v>10.946986223421044</v>
      </c>
      <c r="DQ311" s="4">
        <f t="shared" si="1004"/>
        <v>11.675816604746906</v>
      </c>
      <c r="DR311" s="38">
        <f t="shared" si="1029"/>
        <v>827.58620689655174</v>
      </c>
      <c r="DS311" s="4">
        <f t="shared" si="1005"/>
        <v>1</v>
      </c>
      <c r="DT311" s="4">
        <f t="shared" si="1006"/>
        <v>2.2360679774997898</v>
      </c>
      <c r="DU311" s="4">
        <f t="shared" si="1007"/>
        <v>553.22260456402478</v>
      </c>
      <c r="DY311" s="4">
        <f t="shared" si="1008"/>
        <v>0.85</v>
      </c>
      <c r="DZ311" s="4">
        <f t="shared" si="1009"/>
        <v>0.85</v>
      </c>
      <c r="EA311" s="4">
        <f t="shared" si="1030"/>
        <v>1</v>
      </c>
      <c r="EB311" s="4">
        <f t="shared" si="1010"/>
        <v>0.85</v>
      </c>
      <c r="ED311" s="4">
        <f t="shared" si="1031"/>
        <v>827.58620689655174</v>
      </c>
      <c r="EE311" s="25">
        <f t="shared" si="1032"/>
        <v>547.11762764690559</v>
      </c>
      <c r="EG311" s="4">
        <f t="shared" si="932"/>
        <v>0.72249999999999992</v>
      </c>
      <c r="EH311" s="4">
        <f t="shared" si="1033"/>
        <v>13.284777517679784</v>
      </c>
      <c r="EK311" s="4">
        <f t="shared" si="1011"/>
        <v>56.796126628494655</v>
      </c>
      <c r="EL311" s="4">
        <f t="shared" si="1012"/>
        <v>2.2360679774997898</v>
      </c>
      <c r="EM311" s="4">
        <f t="shared" si="1013"/>
        <v>0.15895640293394173</v>
      </c>
      <c r="EP311" s="4">
        <f t="shared" si="863"/>
        <v>0.15895640293394173</v>
      </c>
      <c r="EQ311" s="4">
        <f t="shared" si="951"/>
        <v>0.2760162422736756</v>
      </c>
      <c r="ER311" s="4">
        <f t="shared" si="1014"/>
        <v>7.9383115833922018</v>
      </c>
      <c r="ES311" s="4">
        <f t="shared" si="847"/>
        <v>10.945070507495156</v>
      </c>
      <c r="ET311" s="4">
        <f t="shared" si="1015"/>
        <v>124.17887337150535</v>
      </c>
      <c r="EU311" s="4">
        <f t="shared" si="1016"/>
        <v>60.324999999999989</v>
      </c>
      <c r="EV311" s="4">
        <f t="shared" si="952"/>
        <v>2.8000148432523457E-5</v>
      </c>
      <c r="EW311" s="4">
        <f t="shared" si="848"/>
        <v>11.676208945135416</v>
      </c>
      <c r="EX311" s="4">
        <f t="shared" si="965"/>
        <v>827.58620689655174</v>
      </c>
      <c r="FG311" s="23">
        <f t="shared" si="878"/>
        <v>1.4</v>
      </c>
      <c r="FH311" s="23">
        <f t="shared" si="878"/>
        <v>0.6</v>
      </c>
      <c r="FI311" s="23">
        <f t="shared" si="1068"/>
        <v>1.2</v>
      </c>
      <c r="FJ311" s="23">
        <f t="shared" si="879"/>
        <v>1.8</v>
      </c>
      <c r="FK311" s="23">
        <f t="shared" si="879"/>
        <v>1</v>
      </c>
      <c r="FL311" s="23">
        <f t="shared" si="879"/>
        <v>1</v>
      </c>
      <c r="FM311" s="23">
        <f t="shared" si="1037"/>
        <v>0</v>
      </c>
      <c r="FN311" s="23"/>
      <c r="FX311" s="4">
        <f t="shared" si="915"/>
        <v>1</v>
      </c>
      <c r="FY311" s="4">
        <f t="shared" si="975"/>
        <v>0.5</v>
      </c>
      <c r="FZ311" s="4">
        <f t="shared" si="916"/>
        <v>0</v>
      </c>
      <c r="GA311" s="4">
        <f t="shared" si="917"/>
        <v>614.33850651683861</v>
      </c>
    </row>
    <row r="312" spans="1:183" ht="12" customHeight="1" x14ac:dyDescent="0.3">
      <c r="A312" s="25">
        <v>294</v>
      </c>
      <c r="B312" s="4" t="s">
        <v>605</v>
      </c>
      <c r="C312" s="4">
        <v>2016</v>
      </c>
      <c r="D312" s="4" t="s">
        <v>309</v>
      </c>
      <c r="E312" s="24" t="s">
        <v>452</v>
      </c>
      <c r="F312" s="7" t="s">
        <v>454</v>
      </c>
      <c r="G312" s="38">
        <f>115.9/0.145</f>
        <v>799.31034482758628</v>
      </c>
      <c r="H312" s="38">
        <f>9.5*25.4</f>
        <v>241.29999999999998</v>
      </c>
      <c r="I312" s="4">
        <f t="shared" si="850"/>
        <v>241.29999999999998</v>
      </c>
      <c r="J312" s="38">
        <f t="shared" ref="J312:J319" si="1080">16030/145</f>
        <v>110.55172413793103</v>
      </c>
      <c r="K312" s="38">
        <f t="shared" si="851"/>
        <v>25.4</v>
      </c>
      <c r="L312" s="7">
        <f t="shared" si="852"/>
        <v>9.5</v>
      </c>
      <c r="M312" s="7">
        <f t="shared" si="853"/>
        <v>9.5</v>
      </c>
      <c r="N312" s="38">
        <f>17.3*25.4</f>
        <v>439.42</v>
      </c>
      <c r="O312" s="38">
        <f>2.65*25.4</f>
        <v>67.309999999999988</v>
      </c>
      <c r="P312" s="39">
        <f>2.9*25.4</f>
        <v>73.66</v>
      </c>
      <c r="Q312" s="7">
        <f t="shared" si="854"/>
        <v>254.00000000000003</v>
      </c>
      <c r="R312" s="38">
        <v>2</v>
      </c>
      <c r="S312" s="4">
        <f t="shared" ref="S312:S373" si="1081">10.25*25.4</f>
        <v>260.34999999999997</v>
      </c>
      <c r="T312" s="7">
        <f t="shared" si="855"/>
        <v>3.1499999999999995</v>
      </c>
      <c r="U312" s="7">
        <f t="shared" si="958"/>
        <v>3.1499999999999995</v>
      </c>
      <c r="V312" s="38">
        <v>9.5</v>
      </c>
      <c r="W312" s="4">
        <f t="shared" si="856"/>
        <v>9.5</v>
      </c>
      <c r="X312" s="4">
        <f t="shared" si="857"/>
        <v>10.5</v>
      </c>
      <c r="Y312" s="7">
        <f t="shared" si="858"/>
        <v>82.305406869779816</v>
      </c>
      <c r="AB312" s="38">
        <f t="shared" si="885"/>
        <v>713.10344827586221</v>
      </c>
      <c r="AC312" s="4">
        <v>103.4</v>
      </c>
      <c r="AD312" s="4">
        <f t="shared" si="998"/>
        <v>0.89214840379637628</v>
      </c>
      <c r="AE312" s="38">
        <v>0</v>
      </c>
      <c r="AF312" s="38">
        <v>0</v>
      </c>
      <c r="AG312" s="39">
        <f t="shared" si="1075"/>
        <v>241.29999999999998</v>
      </c>
      <c r="AH312" s="39"/>
      <c r="AI312" s="39"/>
      <c r="AJ312" s="7"/>
      <c r="AK312" s="4">
        <f t="shared" si="859"/>
        <v>241.29999999999998</v>
      </c>
      <c r="AL312" s="4">
        <f t="shared" si="1018"/>
        <v>0.60701754385964912</v>
      </c>
      <c r="AM312" s="4">
        <f t="shared" si="1019"/>
        <v>388.89417005620368</v>
      </c>
      <c r="AN312" s="4">
        <f t="shared" si="1020"/>
        <v>0.76631578947368417</v>
      </c>
      <c r="AO312" s="4">
        <v>1.25</v>
      </c>
      <c r="AP312" s="4">
        <f t="shared" si="933"/>
        <v>2.5</v>
      </c>
      <c r="AQ312" s="38">
        <f t="shared" ref="AQ312:AQ375" si="1082">AL312*AN312*AO312*AP312*AM312</f>
        <v>565.31495098751748</v>
      </c>
      <c r="AR312" s="38">
        <f t="shared" si="1021"/>
        <v>565.31495098751748</v>
      </c>
      <c r="AS312" s="38">
        <f t="shared" si="1022"/>
        <v>5.4139420559889198</v>
      </c>
      <c r="AT312" s="38">
        <f t="shared" si="940"/>
        <v>565.31495098751748</v>
      </c>
      <c r="AU312" s="38">
        <f t="shared" si="910"/>
        <v>1</v>
      </c>
      <c r="AV312" s="38">
        <f t="shared" si="941"/>
        <v>3.7973217844035227</v>
      </c>
      <c r="AW312" s="4">
        <f t="shared" si="942"/>
        <v>0</v>
      </c>
      <c r="AX312" s="4">
        <f t="shared" si="860"/>
        <v>525.71789996615826</v>
      </c>
      <c r="AY312" s="4">
        <f t="shared" ref="AY312:AY375" si="1083">MIN(0.6+0.4*(U312/T312),2)</f>
        <v>1</v>
      </c>
      <c r="AZ312" s="38">
        <f t="shared" si="953"/>
        <v>2146.6827784339098</v>
      </c>
      <c r="BA312" s="4">
        <f t="shared" ref="BA312:BA375" si="1084">MAX(1-0.7*W312/5,0.3)</f>
        <v>0.3</v>
      </c>
      <c r="BB312" s="4">
        <f t="shared" ref="BB312:BB375" si="1085">BA312*G312*I312/(G312*K312/2.75/J312^0.5)</f>
        <v>82.406280819695297</v>
      </c>
      <c r="BC312" s="4">
        <f t="shared" ref="BC312:BC375" si="1086">AZ312+BB312</f>
        <v>2229.0890592536052</v>
      </c>
      <c r="BE312" s="4">
        <f t="shared" si="934"/>
        <v>1.4124999999999999</v>
      </c>
      <c r="BF312" s="4">
        <f t="shared" si="935"/>
        <v>868.81454443157224</v>
      </c>
      <c r="BH312" s="4">
        <f t="shared" si="959"/>
        <v>2058.9313067154058</v>
      </c>
      <c r="BI312" s="4">
        <f t="shared" si="905"/>
        <v>0</v>
      </c>
      <c r="BJ312" s="4">
        <f t="shared" si="960"/>
        <v>0</v>
      </c>
      <c r="BK312" s="4">
        <f t="shared" si="1023"/>
        <v>67.309999999999988</v>
      </c>
      <c r="BL312" s="4">
        <f t="shared" si="1024"/>
        <v>67.309999999999988</v>
      </c>
      <c r="BM312" s="4">
        <f t="shared" si="1025"/>
        <v>260.34999999999997</v>
      </c>
      <c r="BN312" s="4">
        <f t="shared" si="1026"/>
        <v>80.009999999999991</v>
      </c>
      <c r="BO312" s="4">
        <f t="shared" si="1027"/>
        <v>1.25</v>
      </c>
      <c r="BP312" s="25">
        <f t="shared" si="1028"/>
        <v>3.9374999999999996</v>
      </c>
      <c r="BR312" s="4">
        <f t="shared" ref="BR312:BR375" si="1087">IF(Q312=0,O312,MIN(Q312/2,O312))</f>
        <v>67.309999999999988</v>
      </c>
      <c r="BV312" s="9"/>
      <c r="BX312" s="9"/>
      <c r="BY312" s="9"/>
      <c r="BZ312" s="9">
        <f t="shared" ref="BZ312:BZ375" si="1088">IF(Q312=0,MIN(O312,P312),MIN(Q312/2,O312,P312))</f>
        <v>67.309999999999988</v>
      </c>
      <c r="CA312" s="9">
        <f t="shared" ref="CA312:CA375" si="1089">MAX(Q312/2,O312)</f>
        <v>127.00000000000001</v>
      </c>
      <c r="CB312" s="9">
        <f t="shared" si="943"/>
        <v>1.7905298128039189</v>
      </c>
      <c r="CC312" s="40">
        <f t="shared" si="861"/>
        <v>20</v>
      </c>
      <c r="CD312" s="9">
        <f t="shared" ref="CD312:CD375" si="1090">MIN(PI()*AE312^2/4*AF312*2/R312/K312/MAX(0.01,AG312),0.05)</f>
        <v>0</v>
      </c>
      <c r="CE312" s="9">
        <f t="shared" ref="CE312:CE375" si="1091">MAX(0,CC312*(CD312-0.5/50))</f>
        <v>0</v>
      </c>
      <c r="CF312" s="9">
        <f t="shared" ref="CF312:CF375" si="1092">MIN(1,(25/K312)^0.3)</f>
        <v>0.99524931562137331</v>
      </c>
      <c r="CG312" s="9">
        <f t="shared" ref="CG312:CG375" si="1093">IF(G312&gt;=800,0.68,IF(G312&gt;=700,0.75-(G312-700)*0.07/100,IF(G312&gt;=600,0.85-(G312-600)*0.1/100,IF(G312&gt;=500,1-(G312-500)*0.15/100,1.2-(G312-400)*0.2/100))))</f>
        <v>0.68048275862068963</v>
      </c>
      <c r="CH312" s="9">
        <f t="shared" si="944"/>
        <v>2.4922971335630986</v>
      </c>
      <c r="CI312" s="9">
        <f t="shared" si="945"/>
        <v>4.4625323200104781</v>
      </c>
      <c r="CJ312" s="40">
        <v>1</v>
      </c>
      <c r="CK312" s="9">
        <f t="shared" si="946"/>
        <v>437.32816736102683</v>
      </c>
      <c r="CM312" s="4">
        <f t="shared" ref="CM312:CM375" si="1094">AB312/AX312</f>
        <v>1.3564374511915354</v>
      </c>
      <c r="CN312" s="4">
        <f t="shared" ref="CN312:CN375" si="1095">AB312/BC312</f>
        <v>0.31990801144331121</v>
      </c>
      <c r="CO312" s="4">
        <f t="shared" si="1062"/>
        <v>0.82077752133214454</v>
      </c>
      <c r="CP312" s="4">
        <f t="shared" ref="CP312:CP375" si="1096">AB312/CK312</f>
        <v>1.6305911704223137</v>
      </c>
      <c r="CQ312" s="4">
        <f t="shared" si="1035"/>
        <v>0.89214840379637628</v>
      </c>
      <c r="CR312" s="4">
        <f t="shared" si="1036"/>
        <v>0.89214840379637628</v>
      </c>
      <c r="CS312" s="4">
        <f t="shared" si="1063"/>
        <v>1.1607663213543273</v>
      </c>
      <c r="CT312" s="4">
        <f t="shared" si="862"/>
        <v>0</v>
      </c>
      <c r="CU312" s="4">
        <f t="shared" si="1076"/>
        <v>1.3564374511915354</v>
      </c>
      <c r="CV312" s="4">
        <f t="shared" si="1076"/>
        <v>0.31990801144331121</v>
      </c>
      <c r="CW312" s="4">
        <f t="shared" si="1077"/>
        <v>1.6305911704223137</v>
      </c>
      <c r="CX312" s="4">
        <f t="shared" si="1078"/>
        <v>1.1607663213543273</v>
      </c>
      <c r="CY312" s="4">
        <f t="shared" si="1079"/>
        <v>0.89214840379637628</v>
      </c>
      <c r="CZ312" s="4">
        <f t="shared" si="1079"/>
        <v>0.89214840379637628</v>
      </c>
      <c r="DI312" s="4">
        <f t="shared" ref="DI312:DI375" si="1097">I312</f>
        <v>241.29999999999998</v>
      </c>
      <c r="DL312" s="4">
        <f t="shared" si="999"/>
        <v>2.8000148432523461E-5</v>
      </c>
      <c r="DM312" s="4">
        <f t="shared" si="1000"/>
        <v>13.523426215602175</v>
      </c>
      <c r="DN312" s="4">
        <f t="shared" si="1001"/>
        <v>0.17238385513177032</v>
      </c>
      <c r="DO312" s="4">
        <f t="shared" si="1002"/>
        <v>6.6939948114044903</v>
      </c>
      <c r="DP312" s="4">
        <f t="shared" si="1003"/>
        <v>10.675661364855177</v>
      </c>
      <c r="DQ312" s="4">
        <f t="shared" si="1004"/>
        <v>12.03357545451744</v>
      </c>
      <c r="DR312" s="38">
        <f t="shared" si="1029"/>
        <v>799.31034482758628</v>
      </c>
      <c r="DS312" s="4">
        <f t="shared" si="1005"/>
        <v>1</v>
      </c>
      <c r="DT312" s="4">
        <f t="shared" si="1006"/>
        <v>3.2403703492039297</v>
      </c>
      <c r="DU312" s="4">
        <f t="shared" si="1007"/>
        <v>565.31495098751748</v>
      </c>
      <c r="DY312" s="4">
        <f t="shared" si="1008"/>
        <v>0.85</v>
      </c>
      <c r="DZ312" s="4">
        <f t="shared" si="1009"/>
        <v>0.83499999999999996</v>
      </c>
      <c r="EA312" s="4">
        <f t="shared" si="1030"/>
        <v>1</v>
      </c>
      <c r="EB312" s="4">
        <f t="shared" si="1010"/>
        <v>0.83499999999999996</v>
      </c>
      <c r="ED312" s="4">
        <f t="shared" si="1031"/>
        <v>799.31034482758628</v>
      </c>
      <c r="EE312" s="25">
        <f t="shared" si="1032"/>
        <v>559.10875360372461</v>
      </c>
      <c r="EG312" s="4">
        <f t="shared" si="932"/>
        <v>0.70974999999999999</v>
      </c>
      <c r="EH312" s="4">
        <f t="shared" si="1033"/>
        <v>13.523426215602175</v>
      </c>
      <c r="EK312" s="4">
        <f t="shared" si="1011"/>
        <v>82.305406869779816</v>
      </c>
      <c r="EL312" s="4">
        <f t="shared" si="1012"/>
        <v>3.2403703492039302</v>
      </c>
      <c r="EM312" s="4">
        <f t="shared" si="1013"/>
        <v>9.9109346915497026E-2</v>
      </c>
      <c r="EP312" s="4">
        <f t="shared" si="863"/>
        <v>9.9109346915497026E-2</v>
      </c>
      <c r="EQ312" s="4">
        <f t="shared" si="951"/>
        <v>0.17209617860553858</v>
      </c>
      <c r="ER312" s="4">
        <f t="shared" si="1014"/>
        <v>6.6895241604275695</v>
      </c>
      <c r="ES312" s="4">
        <f t="shared" ref="ES312:ES375" si="1098">EH312/1.4*(1-EQ312^1.4)/(1-EQ312)</f>
        <v>10.674277055571464</v>
      </c>
      <c r="ET312" s="4">
        <f t="shared" si="1015"/>
        <v>98.669593130220179</v>
      </c>
      <c r="EU312" s="4">
        <f t="shared" si="1016"/>
        <v>60.324999999999974</v>
      </c>
      <c r="EV312" s="4">
        <f t="shared" si="952"/>
        <v>2.8000148432523447E-5</v>
      </c>
      <c r="EW312" s="4">
        <f t="shared" ref="EW312:EW375" si="1099">MAX(0.5*EH312, (1-2*EV312*(EK312*ER312+ET312*ES312))/(1/EH312+EV312*EU312))</f>
        <v>12.033949023453868</v>
      </c>
      <c r="EX312" s="4">
        <f t="shared" si="965"/>
        <v>799.31034482758628</v>
      </c>
      <c r="FG312" s="23">
        <f t="shared" si="878"/>
        <v>1.4</v>
      </c>
      <c r="FH312" s="23">
        <f t="shared" si="878"/>
        <v>0.6</v>
      </c>
      <c r="FI312" s="23">
        <f t="shared" si="1068"/>
        <v>1.2</v>
      </c>
      <c r="FJ312" s="23">
        <f t="shared" si="879"/>
        <v>1.8</v>
      </c>
      <c r="FK312" s="23">
        <f t="shared" si="879"/>
        <v>1</v>
      </c>
      <c r="FL312" s="23">
        <f t="shared" si="879"/>
        <v>1</v>
      </c>
      <c r="FM312" s="23">
        <f t="shared" si="1037"/>
        <v>0</v>
      </c>
      <c r="FN312" s="23"/>
      <c r="FX312" s="4">
        <f t="shared" si="915"/>
        <v>1</v>
      </c>
      <c r="FY312" s="4">
        <f t="shared" si="975"/>
        <v>0.5</v>
      </c>
      <c r="FZ312" s="4">
        <f t="shared" si="916"/>
        <v>0</v>
      </c>
      <c r="GA312" s="4">
        <f t="shared" si="917"/>
        <v>614.33850651683861</v>
      </c>
    </row>
    <row r="313" spans="1:183" ht="12" customHeight="1" x14ac:dyDescent="0.3">
      <c r="A313" s="25">
        <v>295</v>
      </c>
      <c r="B313" s="4" t="s">
        <v>605</v>
      </c>
      <c r="C313" s="4">
        <v>2016</v>
      </c>
      <c r="D313" s="4" t="s">
        <v>309</v>
      </c>
      <c r="E313" s="24" t="s">
        <v>668</v>
      </c>
      <c r="F313" s="7" t="s">
        <v>455</v>
      </c>
      <c r="G313" s="38">
        <f>115.9/0.145</f>
        <v>799.31034482758628</v>
      </c>
      <c r="H313" s="38">
        <f>9.69*25.4</f>
        <v>246.12599999999998</v>
      </c>
      <c r="I313" s="4">
        <f t="shared" ref="I313:I376" si="1100">H313</f>
        <v>246.12599999999998</v>
      </c>
      <c r="J313" s="38">
        <f t="shared" si="1080"/>
        <v>110.55172413793103</v>
      </c>
      <c r="K313" s="38">
        <f t="shared" ref="K313:K373" si="1101">1*25.4</f>
        <v>25.4</v>
      </c>
      <c r="L313" s="7">
        <f t="shared" ref="L313:L376" si="1102">H313/K313</f>
        <v>9.69</v>
      </c>
      <c r="M313" s="7">
        <f t="shared" ref="M313:M376" si="1103">I313/K313</f>
        <v>9.69</v>
      </c>
      <c r="N313" s="38">
        <f>16.8*25.4</f>
        <v>426.71999999999997</v>
      </c>
      <c r="O313" s="38">
        <f>2.5*25.4</f>
        <v>63.5</v>
      </c>
      <c r="P313" s="39">
        <f>2.85*25.4</f>
        <v>72.39</v>
      </c>
      <c r="Q313" s="7">
        <f t="shared" ref="Q313:Q376" si="1104">(N313-R313*K313-2*O313)/(R313-1)</f>
        <v>248.91999999999996</v>
      </c>
      <c r="R313" s="38">
        <v>2</v>
      </c>
      <c r="S313" s="4">
        <f t="shared" si="1081"/>
        <v>260.34999999999997</v>
      </c>
      <c r="T313" s="7">
        <f t="shared" ref="T313:T376" si="1105">MIN(O313/K313+0.5, Q313/2/K313+0.5)</f>
        <v>3</v>
      </c>
      <c r="U313" s="7">
        <f t="shared" si="958"/>
        <v>3</v>
      </c>
      <c r="V313" s="38">
        <v>14.9</v>
      </c>
      <c r="W313" s="4">
        <f t="shared" ref="W313:W376" si="1106">V313</f>
        <v>14.9</v>
      </c>
      <c r="X313" s="4">
        <f t="shared" ref="X313:X376" si="1107">W313+1</f>
        <v>15.9</v>
      </c>
      <c r="Y313" s="7">
        <f t="shared" ref="Y313:Y376" si="1108">K313*X313^0.5</f>
        <v>101.28200234987457</v>
      </c>
      <c r="AB313" s="38">
        <f t="shared" si="885"/>
        <v>760.68965517241384</v>
      </c>
      <c r="AC313" s="4">
        <v>110.3</v>
      </c>
      <c r="AD313" s="4">
        <f t="shared" si="998"/>
        <v>0.95168248490077645</v>
      </c>
      <c r="AE313" s="38">
        <v>0</v>
      </c>
      <c r="AF313" s="38">
        <v>0</v>
      </c>
      <c r="AG313" s="39">
        <f t="shared" si="1075"/>
        <v>246.12599999999998</v>
      </c>
      <c r="AH313" s="39"/>
      <c r="AI313" s="39"/>
      <c r="AJ313" s="7"/>
      <c r="AK313" s="4">
        <f t="shared" ref="AK313:AK376" si="1109">H313</f>
        <v>246.12599999999998</v>
      </c>
      <c r="AL313" s="4">
        <f t="shared" si="1018"/>
        <v>0.57791537667698656</v>
      </c>
      <c r="AM313" s="4">
        <f t="shared" si="1019"/>
        <v>400.61913628025081</v>
      </c>
      <c r="AN313" s="4">
        <f t="shared" si="1020"/>
        <v>0.76191950464396285</v>
      </c>
      <c r="AO313" s="4">
        <v>1.25</v>
      </c>
      <c r="AP313" s="4">
        <f t="shared" si="933"/>
        <v>2.5</v>
      </c>
      <c r="AQ313" s="38">
        <f t="shared" si="1082"/>
        <v>551.25818809566204</v>
      </c>
      <c r="AR313" s="38">
        <f t="shared" si="1021"/>
        <v>551.25818809566204</v>
      </c>
      <c r="AS313" s="38">
        <f t="shared" si="1022"/>
        <v>5.4139420559889198</v>
      </c>
      <c r="AT313" s="38">
        <f t="shared" si="940"/>
        <v>551.25818809566215</v>
      </c>
      <c r="AU313" s="38">
        <f t="shared" si="910"/>
        <v>0.99999999999999978</v>
      </c>
      <c r="AV313" s="38">
        <f t="shared" si="941"/>
        <v>4.6446698743115062</v>
      </c>
      <c r="AW313" s="4">
        <f t="shared" si="942"/>
        <v>0</v>
      </c>
      <c r="AX313" s="4">
        <f t="shared" ref="AX313:AX376" si="1110">I313/K313*J313^0.5/0.19</f>
        <v>536.23225796548138</v>
      </c>
      <c r="AY313" s="4">
        <f t="shared" si="1083"/>
        <v>1</v>
      </c>
      <c r="AZ313" s="38">
        <f t="shared" si="953"/>
        <v>2560.412299215468</v>
      </c>
      <c r="BA313" s="4">
        <f t="shared" si="1084"/>
        <v>0.3</v>
      </c>
      <c r="BB313" s="4">
        <f t="shared" si="1085"/>
        <v>84.054406436089209</v>
      </c>
      <c r="BC313" s="4">
        <f t="shared" si="1086"/>
        <v>2644.4667056515573</v>
      </c>
      <c r="BE313" s="4">
        <f t="shared" si="934"/>
        <v>1.375</v>
      </c>
      <c r="BF313" s="4">
        <f t="shared" si="935"/>
        <v>853.9892996525266</v>
      </c>
      <c r="BH313" s="4">
        <f t="shared" si="959"/>
        <v>2455.7485129683778</v>
      </c>
      <c r="BI313" s="4">
        <f t="shared" si="905"/>
        <v>0</v>
      </c>
      <c r="BJ313" s="4">
        <f t="shared" si="960"/>
        <v>0</v>
      </c>
      <c r="BK313" s="4">
        <f t="shared" si="1023"/>
        <v>63.5</v>
      </c>
      <c r="BL313" s="4">
        <f t="shared" si="1024"/>
        <v>63.5</v>
      </c>
      <c r="BM313" s="4">
        <f t="shared" si="1025"/>
        <v>260.34999999999997</v>
      </c>
      <c r="BN313" s="4">
        <f t="shared" si="1026"/>
        <v>76.2</v>
      </c>
      <c r="BO313" s="4">
        <f t="shared" si="1027"/>
        <v>1.25</v>
      </c>
      <c r="BP313" s="25">
        <f t="shared" si="1028"/>
        <v>3.75</v>
      </c>
      <c r="BR313" s="4">
        <f t="shared" si="1087"/>
        <v>63.5</v>
      </c>
      <c r="BV313" s="9"/>
      <c r="BX313" s="9"/>
      <c r="BY313" s="9"/>
      <c r="BZ313" s="9">
        <f t="shared" si="1088"/>
        <v>63.5</v>
      </c>
      <c r="CA313" s="9">
        <f t="shared" si="1089"/>
        <v>124.45999999999998</v>
      </c>
      <c r="CB313" s="9">
        <f t="shared" si="943"/>
        <v>1.7490749303163509</v>
      </c>
      <c r="CC313" s="40">
        <f t="shared" ref="CC313:CC376" si="1111">IF(AG313&gt;1,20,0)</f>
        <v>20</v>
      </c>
      <c r="CD313" s="9">
        <f t="shared" si="1090"/>
        <v>0</v>
      </c>
      <c r="CE313" s="9">
        <f t="shared" si="1091"/>
        <v>0</v>
      </c>
      <c r="CF313" s="9">
        <f t="shared" si="1092"/>
        <v>0.99524931562137331</v>
      </c>
      <c r="CG313" s="9">
        <f t="shared" si="1093"/>
        <v>0.68048275862068963</v>
      </c>
      <c r="CH313" s="9">
        <f t="shared" si="944"/>
        <v>2.4922971335630986</v>
      </c>
      <c r="CI313" s="9">
        <f t="shared" si="945"/>
        <v>4.3592144352145175</v>
      </c>
      <c r="CJ313" s="40">
        <v>1</v>
      </c>
      <c r="CK313" s="9">
        <f t="shared" si="946"/>
        <v>430.51601762178575</v>
      </c>
      <c r="CM313" s="4">
        <f t="shared" si="1094"/>
        <v>1.4185824218381531</v>
      </c>
      <c r="CN313" s="4">
        <f t="shared" si="1095"/>
        <v>0.28765333046043823</v>
      </c>
      <c r="CO313" s="4">
        <f t="shared" si="1062"/>
        <v>0.89074846193263224</v>
      </c>
      <c r="CP313" s="4">
        <f t="shared" si="1096"/>
        <v>1.766925326900822</v>
      </c>
      <c r="CQ313" s="4">
        <f t="shared" si="1035"/>
        <v>0.95168248490077645</v>
      </c>
      <c r="CR313" s="4">
        <f t="shared" si="1036"/>
        <v>0.95168248490077645</v>
      </c>
      <c r="CS313" s="4">
        <f t="shared" si="1063"/>
        <v>1.213946649650911</v>
      </c>
      <c r="CT313" s="4">
        <f t="shared" ref="CT313:CT376" si="1112">AF313</f>
        <v>0</v>
      </c>
      <c r="CU313" s="4">
        <f t="shared" si="1076"/>
        <v>1.4185824218381531</v>
      </c>
      <c r="CV313" s="4">
        <f t="shared" si="1076"/>
        <v>0.28765333046043823</v>
      </c>
      <c r="CW313" s="4">
        <f t="shared" si="1077"/>
        <v>1.766925326900822</v>
      </c>
      <c r="CX313" s="4">
        <f t="shared" si="1078"/>
        <v>1.213946649650911</v>
      </c>
      <c r="CY313" s="4">
        <f t="shared" si="1079"/>
        <v>0.95168248490077645</v>
      </c>
      <c r="CZ313" s="4">
        <f t="shared" si="1079"/>
        <v>0.95168248490077645</v>
      </c>
      <c r="DI313" s="4">
        <f t="shared" si="1097"/>
        <v>246.12599999999998</v>
      </c>
      <c r="DL313" s="4">
        <f t="shared" si="999"/>
        <v>2.8560151401173934E-5</v>
      </c>
      <c r="DM313" s="4">
        <f t="shared" si="1000"/>
        <v>13.284777517679784</v>
      </c>
      <c r="DN313" s="4">
        <f t="shared" si="1001"/>
        <v>0.13188713077629979</v>
      </c>
      <c r="DO313" s="4">
        <f t="shared" si="1002"/>
        <v>5.907928813162874</v>
      </c>
      <c r="DP313" s="4">
        <f t="shared" si="1003"/>
        <v>10.289641047041734</v>
      </c>
      <c r="DQ313" s="4">
        <f t="shared" si="1004"/>
        <v>11.902334914317441</v>
      </c>
      <c r="DR313" s="38">
        <f t="shared" si="1029"/>
        <v>799.31034482758628</v>
      </c>
      <c r="DS313" s="4">
        <f t="shared" si="1005"/>
        <v>1</v>
      </c>
      <c r="DT313" s="4">
        <f t="shared" si="1006"/>
        <v>3.9874804074753771</v>
      </c>
      <c r="DU313" s="4">
        <f t="shared" si="1007"/>
        <v>551.25818809566215</v>
      </c>
      <c r="DY313" s="4">
        <f t="shared" si="1008"/>
        <v>0.85</v>
      </c>
      <c r="DZ313" s="4">
        <f t="shared" si="1009"/>
        <v>0.85</v>
      </c>
      <c r="EA313" s="4">
        <f t="shared" si="1030"/>
        <v>1</v>
      </c>
      <c r="EB313" s="4">
        <f t="shared" si="1010"/>
        <v>0.85</v>
      </c>
      <c r="ED313" s="4">
        <f t="shared" si="1031"/>
        <v>799.31034482758628</v>
      </c>
      <c r="EE313" s="25">
        <f t="shared" si="1032"/>
        <v>545.31224539901723</v>
      </c>
      <c r="EG313" s="4">
        <f t="shared" si="932"/>
        <v>0.72249999999999992</v>
      </c>
      <c r="EH313" s="4">
        <f t="shared" si="1033"/>
        <v>13.284777517679784</v>
      </c>
      <c r="EK313" s="4">
        <f t="shared" si="1011"/>
        <v>101.28200234987457</v>
      </c>
      <c r="EL313" s="4">
        <f t="shared" si="1012"/>
        <v>3.9874804074753771</v>
      </c>
      <c r="EM313" s="4">
        <f t="shared" si="1013"/>
        <v>7.5826401421444881E-2</v>
      </c>
      <c r="EP313" s="4">
        <f t="shared" ref="EP313:EP376" si="1113">EM313</f>
        <v>7.5826401421444881E-2</v>
      </c>
      <c r="EQ313" s="4">
        <f t="shared" si="951"/>
        <v>0.13166703573545388</v>
      </c>
      <c r="ER313" s="4">
        <f t="shared" si="1014"/>
        <v>5.9039831441768227</v>
      </c>
      <c r="ES313" s="4">
        <f t="shared" si="1098"/>
        <v>10.288529921112668</v>
      </c>
      <c r="ET313" s="4">
        <f t="shared" si="1015"/>
        <v>83.312497650125408</v>
      </c>
      <c r="EU313" s="4">
        <f t="shared" si="1016"/>
        <v>61.531499999999994</v>
      </c>
      <c r="EV313" s="4">
        <f t="shared" si="952"/>
        <v>2.8560151401173934E-5</v>
      </c>
      <c r="EW313" s="4">
        <f t="shared" si="1099"/>
        <v>11.902699886961971</v>
      </c>
      <c r="EX313" s="4">
        <f t="shared" si="965"/>
        <v>799.31034482758628</v>
      </c>
      <c r="FG313" s="23">
        <f t="shared" si="878"/>
        <v>1.6</v>
      </c>
      <c r="FH313" s="23">
        <f t="shared" si="878"/>
        <v>0.6</v>
      </c>
      <c r="FI313" s="23">
        <f t="shared" si="1068"/>
        <v>1.4</v>
      </c>
      <c r="FJ313" s="23">
        <f t="shared" si="879"/>
        <v>1.8</v>
      </c>
      <c r="FK313" s="23">
        <f t="shared" si="879"/>
        <v>1</v>
      </c>
      <c r="FL313" s="23">
        <f t="shared" si="879"/>
        <v>1</v>
      </c>
      <c r="FM313" s="23">
        <f t="shared" si="1037"/>
        <v>0</v>
      </c>
      <c r="FN313" s="23"/>
      <c r="FX313" s="4">
        <f t="shared" si="915"/>
        <v>1</v>
      </c>
      <c r="FY313" s="4">
        <f t="shared" si="975"/>
        <v>0.5</v>
      </c>
      <c r="FZ313" s="4">
        <f t="shared" si="916"/>
        <v>0</v>
      </c>
      <c r="GA313" s="4">
        <f t="shared" si="917"/>
        <v>626.62527664717538</v>
      </c>
    </row>
    <row r="314" spans="1:183" ht="12" customHeight="1" x14ac:dyDescent="0.3">
      <c r="A314" s="25">
        <v>296</v>
      </c>
      <c r="B314" s="4" t="s">
        <v>605</v>
      </c>
      <c r="C314" s="4">
        <v>2016</v>
      </c>
      <c r="D314" s="4" t="s">
        <v>309</v>
      </c>
      <c r="E314" s="24" t="s">
        <v>668</v>
      </c>
      <c r="F314" s="7" t="s">
        <v>456</v>
      </c>
      <c r="G314" s="38">
        <f>120/0.145</f>
        <v>827.58620689655174</v>
      </c>
      <c r="H314" s="38">
        <f>7.06*25.4</f>
        <v>179.32399999999998</v>
      </c>
      <c r="I314" s="4">
        <f t="shared" si="1100"/>
        <v>179.32399999999998</v>
      </c>
      <c r="J314" s="38">
        <f t="shared" si="1080"/>
        <v>110.55172413793103</v>
      </c>
      <c r="K314" s="38">
        <f t="shared" si="1101"/>
        <v>25.4</v>
      </c>
      <c r="L314" s="7">
        <f t="shared" si="1102"/>
        <v>7.06</v>
      </c>
      <c r="M314" s="7">
        <f t="shared" si="1103"/>
        <v>7.06</v>
      </c>
      <c r="N314" s="38">
        <f>17*25.4</f>
        <v>431.79999999999995</v>
      </c>
      <c r="O314" s="38">
        <f t="shared" ref="O314:O359" si="1114">2.5*25.4</f>
        <v>63.5</v>
      </c>
      <c r="P314" s="39">
        <f>4.55*25.4</f>
        <v>115.57</v>
      </c>
      <c r="Q314" s="7">
        <f t="shared" si="1104"/>
        <v>253.99999999999994</v>
      </c>
      <c r="R314" s="38">
        <v>2</v>
      </c>
      <c r="S314" s="4">
        <f t="shared" si="1081"/>
        <v>260.34999999999997</v>
      </c>
      <c r="T314" s="7">
        <f t="shared" si="1105"/>
        <v>3</v>
      </c>
      <c r="U314" s="7">
        <f t="shared" si="958"/>
        <v>3</v>
      </c>
      <c r="V314" s="38">
        <v>4</v>
      </c>
      <c r="W314" s="4">
        <f t="shared" si="1106"/>
        <v>4</v>
      </c>
      <c r="X314" s="4">
        <f t="shared" si="1107"/>
        <v>5</v>
      </c>
      <c r="Y314" s="7">
        <f t="shared" si="1108"/>
        <v>56.796126628494655</v>
      </c>
      <c r="AB314" s="38">
        <f t="shared" si="885"/>
        <v>515.17241379310349</v>
      </c>
      <c r="AC314" s="4">
        <v>74.7</v>
      </c>
      <c r="AD314" s="4">
        <f t="shared" si="998"/>
        <v>0.64304013454181963</v>
      </c>
      <c r="AE314" s="38">
        <f>0.5*25.4</f>
        <v>12.7</v>
      </c>
      <c r="AF314" s="38">
        <v>4</v>
      </c>
      <c r="AG314" s="39">
        <f>5.5*25.4</f>
        <v>139.69999999999999</v>
      </c>
      <c r="AH314" s="39">
        <v>1</v>
      </c>
      <c r="AI314" s="39">
        <v>1</v>
      </c>
      <c r="AJ314" s="7"/>
      <c r="AK314" s="4">
        <f t="shared" si="1109"/>
        <v>179.32399999999998</v>
      </c>
      <c r="AL314" s="4">
        <f t="shared" si="1018"/>
        <v>0.80264400377714828</v>
      </c>
      <c r="AM314" s="4">
        <f t="shared" si="1019"/>
        <v>249.14551653979098</v>
      </c>
      <c r="AN314" s="4">
        <f t="shared" si="1020"/>
        <v>0.784985835694051</v>
      </c>
      <c r="AO314" s="4">
        <v>1.25</v>
      </c>
      <c r="AP314" s="4">
        <f t="shared" si="933"/>
        <v>2.5</v>
      </c>
      <c r="AQ314" s="38">
        <f t="shared" si="1082"/>
        <v>490.55520031825944</v>
      </c>
      <c r="AR314" s="38">
        <f t="shared" si="1021"/>
        <v>490.55520031825944</v>
      </c>
      <c r="AS314" s="38">
        <f t="shared" si="1022"/>
        <v>5.4139420559889198</v>
      </c>
      <c r="AT314" s="38">
        <f t="shared" si="940"/>
        <v>490.55520031825927</v>
      </c>
      <c r="AU314" s="38">
        <f t="shared" si="910"/>
        <v>1.0000000000000004</v>
      </c>
      <c r="AV314" s="38">
        <f t="shared" si="941"/>
        <v>2.7043249950148236</v>
      </c>
      <c r="AW314" s="4">
        <f t="shared" si="942"/>
        <v>0</v>
      </c>
      <c r="AX314" s="4">
        <f t="shared" si="1110"/>
        <v>390.69140776432391</v>
      </c>
      <c r="AY314" s="4">
        <f t="shared" si="1083"/>
        <v>1</v>
      </c>
      <c r="AZ314" s="38">
        <f t="shared" si="953"/>
        <v>1326.6206896551723</v>
      </c>
      <c r="BA314" s="4">
        <f t="shared" si="1084"/>
        <v>0.44000000000000006</v>
      </c>
      <c r="BB314" s="4">
        <f t="shared" si="1085"/>
        <v>89.819954645018072</v>
      </c>
      <c r="BC314" s="4">
        <f t="shared" si="1086"/>
        <v>1416.4406443001903</v>
      </c>
      <c r="BE314" s="4">
        <f t="shared" si="934"/>
        <v>1.5</v>
      </c>
      <c r="BF314" s="4">
        <f t="shared" si="935"/>
        <v>807.1872636080393</v>
      </c>
      <c r="BH314" s="4">
        <f t="shared" si="959"/>
        <v>1272.3914765180612</v>
      </c>
      <c r="BI314" s="4">
        <f t="shared" si="905"/>
        <v>0</v>
      </c>
      <c r="BJ314" s="4">
        <f t="shared" si="960"/>
        <v>0</v>
      </c>
      <c r="BK314" s="4">
        <f t="shared" si="1023"/>
        <v>63.5</v>
      </c>
      <c r="BL314" s="4">
        <f t="shared" si="1024"/>
        <v>63.5</v>
      </c>
      <c r="BM314" s="4">
        <f t="shared" si="1025"/>
        <v>260.34999999999997</v>
      </c>
      <c r="BN314" s="4">
        <f t="shared" si="1026"/>
        <v>76.2</v>
      </c>
      <c r="BO314" s="4">
        <f t="shared" si="1027"/>
        <v>1.25</v>
      </c>
      <c r="BP314" s="25">
        <f t="shared" si="1028"/>
        <v>4</v>
      </c>
      <c r="BR314" s="4">
        <f t="shared" si="1087"/>
        <v>63.5</v>
      </c>
      <c r="BV314" s="9"/>
      <c r="BX314" s="9"/>
      <c r="BY314" s="9"/>
      <c r="BZ314" s="9">
        <f t="shared" si="1088"/>
        <v>63.5</v>
      </c>
      <c r="CA314" s="9">
        <f t="shared" si="1089"/>
        <v>126.99999999999997</v>
      </c>
      <c r="CB314" s="9">
        <f t="shared" si="943"/>
        <v>1.7543833769624846</v>
      </c>
      <c r="CC314" s="40">
        <f t="shared" si="1111"/>
        <v>20</v>
      </c>
      <c r="CD314" s="9">
        <f t="shared" si="1090"/>
        <v>0.05</v>
      </c>
      <c r="CE314" s="9">
        <f t="shared" si="1091"/>
        <v>0.8</v>
      </c>
      <c r="CF314" s="9">
        <f t="shared" si="1092"/>
        <v>0.99524931562137331</v>
      </c>
      <c r="CG314" s="9">
        <f t="shared" si="1093"/>
        <v>0.68</v>
      </c>
      <c r="CH314" s="9">
        <f t="shared" si="944"/>
        <v>2.4905290095198289</v>
      </c>
      <c r="CI314" s="9">
        <f t="shared" si="945"/>
        <v>6.2263225237995723</v>
      </c>
      <c r="CJ314" s="40">
        <v>1</v>
      </c>
      <c r="CK314" s="9">
        <f t="shared" si="946"/>
        <v>549.41069950007432</v>
      </c>
      <c r="CM314" s="4">
        <f t="shared" si="1094"/>
        <v>1.3186172092729258</v>
      </c>
      <c r="CN314" s="4">
        <f t="shared" si="1095"/>
        <v>0.36370914366668056</v>
      </c>
      <c r="CO314" s="4">
        <f t="shared" si="1062"/>
        <v>0.63823159385634853</v>
      </c>
      <c r="CP314" s="4">
        <f t="shared" si="1096"/>
        <v>0.9376818002668581</v>
      </c>
      <c r="CQ314" s="4">
        <f t="shared" si="1035"/>
        <v>0.64304013454181963</v>
      </c>
      <c r="CR314" s="4">
        <f t="shared" si="1036"/>
        <v>0.65440646347147291</v>
      </c>
      <c r="CS314" s="4">
        <f t="shared" si="1063"/>
        <v>1.0155616105585565</v>
      </c>
      <c r="CT314" s="4">
        <f t="shared" si="1112"/>
        <v>4</v>
      </c>
      <c r="DA314" s="4">
        <f t="shared" ref="DA314:DB319" si="1115">CM314</f>
        <v>1.3186172092729258</v>
      </c>
      <c r="DB314" s="4">
        <f t="shared" si="1115"/>
        <v>0.36370914366668056</v>
      </c>
      <c r="DC314" s="4">
        <f t="shared" ref="DC314:DC319" si="1116">CP314</f>
        <v>0.9376818002668581</v>
      </c>
      <c r="DD314" s="4">
        <f t="shared" ref="DD314:DD319" si="1117">CS314</f>
        <v>1.0155616105585565</v>
      </c>
      <c r="DE314" s="4">
        <f t="shared" ref="DE314:DF319" si="1118">CQ314</f>
        <v>0.64304013454181963</v>
      </c>
      <c r="DF314" s="4">
        <f t="shared" si="1118"/>
        <v>0.65440646347147291</v>
      </c>
      <c r="DI314" s="4">
        <f t="shared" si="1097"/>
        <v>179.32399999999998</v>
      </c>
      <c r="DL314" s="4">
        <f t="shared" si="999"/>
        <v>2.0808531361433225E-5</v>
      </c>
      <c r="DM314" s="4">
        <f t="shared" si="1000"/>
        <v>14.3619216407349</v>
      </c>
      <c r="DN314" s="4">
        <f t="shared" si="1001"/>
        <v>0.2451590715701864</v>
      </c>
      <c r="DO314" s="4">
        <f t="shared" si="1002"/>
        <v>8.1844922173160235</v>
      </c>
      <c r="DP314" s="4">
        <f t="shared" si="1003"/>
        <v>11.69160156050123</v>
      </c>
      <c r="DQ314" s="4">
        <f t="shared" si="1004"/>
        <v>13.362107346029541</v>
      </c>
      <c r="DR314" s="38">
        <f t="shared" si="1029"/>
        <v>801.1512596490968</v>
      </c>
      <c r="DS314" s="4">
        <f t="shared" si="1005"/>
        <v>1.0000876893610211</v>
      </c>
      <c r="DT314" s="4">
        <f t="shared" si="1006"/>
        <v>2.2360679774997898</v>
      </c>
      <c r="DU314" s="4">
        <f t="shared" si="1007"/>
        <v>490.55520031825927</v>
      </c>
      <c r="DY314" s="4">
        <f t="shared" si="1008"/>
        <v>0.85</v>
      </c>
      <c r="DZ314" s="4">
        <f t="shared" si="1009"/>
        <v>0.85</v>
      </c>
      <c r="EA314" s="4">
        <f t="shared" si="1030"/>
        <v>0.92500000000000004</v>
      </c>
      <c r="EB314" s="4">
        <f t="shared" si="1010"/>
        <v>0.78625</v>
      </c>
      <c r="ED314" s="4">
        <f t="shared" si="1031"/>
        <v>787.23613312166049</v>
      </c>
      <c r="EE314" s="25">
        <f t="shared" si="1032"/>
        <v>483.05063277089533</v>
      </c>
      <c r="EG314" s="4">
        <f t="shared" si="932"/>
        <v>0.66831249999999998</v>
      </c>
      <c r="EH314" s="4">
        <f t="shared" si="1033"/>
        <v>14.3619216407349</v>
      </c>
      <c r="EK314" s="4">
        <f t="shared" si="1011"/>
        <v>56.796126628494655</v>
      </c>
      <c r="EL314" s="4">
        <f t="shared" si="1012"/>
        <v>2.2360679774997898</v>
      </c>
      <c r="EM314" s="4">
        <f t="shared" si="1013"/>
        <v>0.14095029639033016</v>
      </c>
      <c r="EP314" s="4">
        <f t="shared" si="1113"/>
        <v>0.14095029639033016</v>
      </c>
      <c r="EQ314" s="4">
        <f t="shared" si="951"/>
        <v>0.24474994677117545</v>
      </c>
      <c r="ER314" s="4">
        <f t="shared" si="1014"/>
        <v>8.1790261228301695</v>
      </c>
      <c r="ES314" s="4">
        <f t="shared" si="1098"/>
        <v>11.689700251961565</v>
      </c>
      <c r="ET314" s="4">
        <f t="shared" si="1015"/>
        <v>77.696873371505347</v>
      </c>
      <c r="EU314" s="4">
        <f t="shared" si="1016"/>
        <v>44.830999999999989</v>
      </c>
      <c r="EV314" s="4">
        <f t="shared" si="952"/>
        <v>2.0808531361433218E-5</v>
      </c>
      <c r="EW314" s="4">
        <f t="shared" si="1099"/>
        <v>13.362377579384423</v>
      </c>
      <c r="EX314" s="4">
        <f t="shared" si="965"/>
        <v>801.08101336690856</v>
      </c>
      <c r="FG314" s="23">
        <f t="shared" si="878"/>
        <v>1.4</v>
      </c>
      <c r="FH314" s="23">
        <f t="shared" si="878"/>
        <v>0.6</v>
      </c>
      <c r="FI314" s="23">
        <f t="shared" si="1068"/>
        <v>1.2</v>
      </c>
      <c r="FJ314" s="23">
        <f t="shared" si="879"/>
        <v>1</v>
      </c>
      <c r="FK314" s="23">
        <f t="shared" si="879"/>
        <v>0.8</v>
      </c>
      <c r="FL314" s="23">
        <f t="shared" si="879"/>
        <v>0.8</v>
      </c>
      <c r="FM314" s="23">
        <f t="shared" si="1037"/>
        <v>1</v>
      </c>
      <c r="FN314" s="23"/>
      <c r="FX314" s="4">
        <f t="shared" si="915"/>
        <v>1</v>
      </c>
      <c r="FY314" s="4">
        <f t="shared" si="975"/>
        <v>0.45</v>
      </c>
      <c r="FZ314" s="4">
        <f t="shared" si="916"/>
        <v>0.25</v>
      </c>
      <c r="GA314" s="4">
        <f t="shared" si="917"/>
        <v>507.27834573203279</v>
      </c>
    </row>
    <row r="315" spans="1:183" ht="12" customHeight="1" x14ac:dyDescent="0.3">
      <c r="A315" s="25">
        <v>297</v>
      </c>
      <c r="B315" s="4" t="s">
        <v>605</v>
      </c>
      <c r="C315" s="4">
        <v>2016</v>
      </c>
      <c r="D315" s="4" t="s">
        <v>309</v>
      </c>
      <c r="E315" s="24" t="s">
        <v>668</v>
      </c>
      <c r="F315" s="7" t="s">
        <v>457</v>
      </c>
      <c r="G315" s="38">
        <f t="shared" ref="G315:G316" si="1119">115.9/0.145</f>
        <v>799.31034482758628</v>
      </c>
      <c r="H315" s="38">
        <f>7.06*25.4</f>
        <v>179.32399999999998</v>
      </c>
      <c r="I315" s="4">
        <f t="shared" si="1100"/>
        <v>179.32399999999998</v>
      </c>
      <c r="J315" s="38">
        <f t="shared" si="1080"/>
        <v>110.55172413793103</v>
      </c>
      <c r="K315" s="38">
        <f t="shared" si="1101"/>
        <v>25.4</v>
      </c>
      <c r="L315" s="7">
        <f t="shared" si="1102"/>
        <v>7.06</v>
      </c>
      <c r="M315" s="7">
        <f t="shared" si="1103"/>
        <v>7.06</v>
      </c>
      <c r="N315" s="38">
        <f>16.9*25.4</f>
        <v>429.25999999999993</v>
      </c>
      <c r="O315" s="38">
        <f t="shared" si="1114"/>
        <v>63.5</v>
      </c>
      <c r="P315" s="39">
        <f>3.25*25.4</f>
        <v>82.55</v>
      </c>
      <c r="Q315" s="7">
        <f t="shared" si="1104"/>
        <v>251.45999999999992</v>
      </c>
      <c r="R315" s="38">
        <v>2</v>
      </c>
      <c r="S315" s="4">
        <f t="shared" si="1081"/>
        <v>260.34999999999997</v>
      </c>
      <c r="T315" s="7">
        <f t="shared" si="1105"/>
        <v>3</v>
      </c>
      <c r="U315" s="7">
        <f t="shared" si="958"/>
        <v>3</v>
      </c>
      <c r="V315" s="38">
        <v>9.5</v>
      </c>
      <c r="W315" s="4">
        <f t="shared" si="1106"/>
        <v>9.5</v>
      </c>
      <c r="X315" s="4">
        <f t="shared" si="1107"/>
        <v>10.5</v>
      </c>
      <c r="Y315" s="7">
        <f t="shared" si="1108"/>
        <v>82.305406869779816</v>
      </c>
      <c r="AB315" s="38">
        <f t="shared" si="885"/>
        <v>585.51724137931046</v>
      </c>
      <c r="AC315" s="4">
        <v>84.9</v>
      </c>
      <c r="AD315" s="4">
        <f t="shared" si="998"/>
        <v>0.76838286120630295</v>
      </c>
      <c r="AE315" s="38">
        <f t="shared" ref="AE315:AE319" si="1120">0.5*25.4</f>
        <v>12.7</v>
      </c>
      <c r="AF315" s="38">
        <v>4</v>
      </c>
      <c r="AG315" s="39">
        <f>5.5*25.4</f>
        <v>139.69999999999999</v>
      </c>
      <c r="AH315" s="39">
        <v>1</v>
      </c>
      <c r="AI315" s="39">
        <v>1</v>
      </c>
      <c r="AJ315" s="7"/>
      <c r="AK315" s="4">
        <f t="shared" si="1109"/>
        <v>179.32399999999998</v>
      </c>
      <c r="AL315" s="4">
        <f t="shared" si="1018"/>
        <v>0.79792256846081211</v>
      </c>
      <c r="AM315" s="4">
        <f t="shared" si="1019"/>
        <v>249.14551653979098</v>
      </c>
      <c r="AN315" s="4">
        <f t="shared" si="1020"/>
        <v>0.784985835694051</v>
      </c>
      <c r="AO315" s="4">
        <v>1.25</v>
      </c>
      <c r="AP315" s="4">
        <f t="shared" si="933"/>
        <v>2.5</v>
      </c>
      <c r="AQ315" s="38">
        <f t="shared" si="1082"/>
        <v>487.6695814928579</v>
      </c>
      <c r="AR315" s="38">
        <f t="shared" si="1021"/>
        <v>487.6695814928579</v>
      </c>
      <c r="AS315" s="38">
        <f t="shared" si="1022"/>
        <v>5.4139420559889198</v>
      </c>
      <c r="AT315" s="38">
        <f t="shared" si="940"/>
        <v>487.66958149285767</v>
      </c>
      <c r="AU315" s="38">
        <f t="shared" si="910"/>
        <v>1.0000000000000004</v>
      </c>
      <c r="AV315" s="38">
        <f t="shared" si="941"/>
        <v>4.1923053365890919</v>
      </c>
      <c r="AW315" s="4">
        <f t="shared" si="942"/>
        <v>0</v>
      </c>
      <c r="AX315" s="4">
        <f t="shared" si="1110"/>
        <v>390.69140776432391</v>
      </c>
      <c r="AY315" s="4">
        <f t="shared" si="1083"/>
        <v>1</v>
      </c>
      <c r="AZ315" s="38">
        <f t="shared" si="953"/>
        <v>2044.4597889846762</v>
      </c>
      <c r="BA315" s="4">
        <f t="shared" si="1084"/>
        <v>0.3</v>
      </c>
      <c r="BB315" s="4">
        <f t="shared" si="1085"/>
        <v>61.240878167057772</v>
      </c>
      <c r="BC315" s="4">
        <f t="shared" si="1086"/>
        <v>2105.7006671517338</v>
      </c>
      <c r="BE315" s="4">
        <f t="shared" si="934"/>
        <v>1.5</v>
      </c>
      <c r="BF315" s="4">
        <f t="shared" si="935"/>
        <v>807.1872636080393</v>
      </c>
      <c r="BH315" s="4">
        <f t="shared" si="959"/>
        <v>1960.8869587765769</v>
      </c>
      <c r="BI315" s="4">
        <f t="shared" si="905"/>
        <v>0</v>
      </c>
      <c r="BJ315" s="4">
        <f t="shared" si="960"/>
        <v>0</v>
      </c>
      <c r="BK315" s="4">
        <f t="shared" si="1023"/>
        <v>63.5</v>
      </c>
      <c r="BL315" s="4">
        <f t="shared" si="1024"/>
        <v>63.5</v>
      </c>
      <c r="BM315" s="4">
        <f t="shared" si="1025"/>
        <v>260.34999999999997</v>
      </c>
      <c r="BN315" s="4">
        <f t="shared" si="1026"/>
        <v>76.2</v>
      </c>
      <c r="BO315" s="4">
        <f t="shared" si="1027"/>
        <v>1.25</v>
      </c>
      <c r="BP315" s="25">
        <f t="shared" si="1028"/>
        <v>4</v>
      </c>
      <c r="BR315" s="4">
        <f t="shared" si="1087"/>
        <v>63.5</v>
      </c>
      <c r="BV315" s="9"/>
      <c r="BX315" s="9"/>
      <c r="BY315" s="9"/>
      <c r="BZ315" s="9">
        <f t="shared" si="1088"/>
        <v>63.5</v>
      </c>
      <c r="CA315" s="9">
        <f t="shared" si="1089"/>
        <v>125.72999999999996</v>
      </c>
      <c r="CB315" s="9">
        <f t="shared" si="943"/>
        <v>1.7517405482385959</v>
      </c>
      <c r="CC315" s="40">
        <f t="shared" si="1111"/>
        <v>20</v>
      </c>
      <c r="CD315" s="9">
        <f t="shared" si="1090"/>
        <v>0.05</v>
      </c>
      <c r="CE315" s="9">
        <f t="shared" si="1091"/>
        <v>0.8</v>
      </c>
      <c r="CF315" s="9">
        <f t="shared" si="1092"/>
        <v>0.99524931562137331</v>
      </c>
      <c r="CG315" s="9">
        <f t="shared" si="1093"/>
        <v>0.68048275862068963</v>
      </c>
      <c r="CH315" s="9">
        <f t="shared" si="944"/>
        <v>2.4922971335630986</v>
      </c>
      <c r="CI315" s="9">
        <f t="shared" si="945"/>
        <v>6.2307428339077466</v>
      </c>
      <c r="CJ315" s="40">
        <v>1</v>
      </c>
      <c r="CK315" s="9">
        <f t="shared" si="946"/>
        <v>549.80074766401958</v>
      </c>
      <c r="CM315" s="4">
        <f t="shared" si="1094"/>
        <v>1.4986693583302733</v>
      </c>
      <c r="CN315" s="4">
        <f t="shared" si="1095"/>
        <v>0.27806290348537888</v>
      </c>
      <c r="CO315" s="4">
        <f t="shared" si="1062"/>
        <v>0.72537968297729583</v>
      </c>
      <c r="CP315" s="4">
        <f t="shared" si="1096"/>
        <v>1.064962613941582</v>
      </c>
      <c r="CQ315" s="4">
        <f t="shared" si="1035"/>
        <v>0.76838286120630295</v>
      </c>
      <c r="CR315" s="4">
        <f t="shared" si="1036"/>
        <v>0.74645745582544709</v>
      </c>
      <c r="CS315" s="4">
        <f t="shared" si="1063"/>
        <v>1.1496958567038023</v>
      </c>
      <c r="CT315" s="4">
        <f t="shared" si="1112"/>
        <v>4</v>
      </c>
      <c r="DA315" s="4">
        <f t="shared" si="1115"/>
        <v>1.4986693583302733</v>
      </c>
      <c r="DB315" s="4">
        <f t="shared" si="1115"/>
        <v>0.27806290348537888</v>
      </c>
      <c r="DC315" s="4">
        <f t="shared" si="1116"/>
        <v>1.064962613941582</v>
      </c>
      <c r="DD315" s="4">
        <f t="shared" si="1117"/>
        <v>1.1496958567038023</v>
      </c>
      <c r="DE315" s="4">
        <f t="shared" si="1118"/>
        <v>0.76838286120630295</v>
      </c>
      <c r="DF315" s="4">
        <f t="shared" si="1118"/>
        <v>0.74645745582544709</v>
      </c>
      <c r="DI315" s="4">
        <f t="shared" si="1097"/>
        <v>179.32399999999998</v>
      </c>
      <c r="DL315" s="4">
        <f t="shared" si="999"/>
        <v>2.0808531361433225E-5</v>
      </c>
      <c r="DM315" s="4">
        <f t="shared" si="1000"/>
        <v>14.3619216407349</v>
      </c>
      <c r="DN315" s="4">
        <f t="shared" si="1001"/>
        <v>0.14870712748952589</v>
      </c>
      <c r="DO315" s="4">
        <f t="shared" si="1002"/>
        <v>6.7010871591731629</v>
      </c>
      <c r="DP315" s="4">
        <f t="shared" si="1003"/>
        <v>11.214389858252142</v>
      </c>
      <c r="DQ315" s="4">
        <f t="shared" si="1004"/>
        <v>13.501571585500448</v>
      </c>
      <c r="DR315" s="38">
        <f t="shared" si="1029"/>
        <v>762.01236511196089</v>
      </c>
      <c r="DS315" s="4">
        <f t="shared" si="1005"/>
        <v>1.0000879369559945</v>
      </c>
      <c r="DT315" s="4">
        <f t="shared" si="1006"/>
        <v>3.2403703492039297</v>
      </c>
      <c r="DU315" s="4">
        <f t="shared" si="1007"/>
        <v>487.66958149285767</v>
      </c>
      <c r="DY315" s="4">
        <f t="shared" si="1008"/>
        <v>0.85</v>
      </c>
      <c r="DZ315" s="4">
        <f t="shared" si="1009"/>
        <v>0.85</v>
      </c>
      <c r="EA315" s="4">
        <f t="shared" si="1030"/>
        <v>0.92500000000000004</v>
      </c>
      <c r="EB315" s="4">
        <f t="shared" si="1010"/>
        <v>0.78625</v>
      </c>
      <c r="ED315" s="4">
        <f t="shared" si="1031"/>
        <v>784.39465881124352</v>
      </c>
      <c r="EE315" s="25">
        <f t="shared" si="1032"/>
        <v>480.20915846047836</v>
      </c>
      <c r="EG315" s="4">
        <f t="shared" si="932"/>
        <v>0.66831249999999998</v>
      </c>
      <c r="EH315" s="4">
        <f t="shared" si="1033"/>
        <v>14.3619216407349</v>
      </c>
      <c r="EK315" s="4">
        <f t="shared" si="1011"/>
        <v>82.305406869779816</v>
      </c>
      <c r="EL315" s="4">
        <f t="shared" si="1012"/>
        <v>3.2403703492039302</v>
      </c>
      <c r="EM315" s="4">
        <f t="shared" si="1013"/>
        <v>8.5496790148361215E-2</v>
      </c>
      <c r="EP315" s="4">
        <f t="shared" si="1113"/>
        <v>8.5496790148361215E-2</v>
      </c>
      <c r="EQ315" s="4">
        <f t="shared" si="951"/>
        <v>0.14845896300898689</v>
      </c>
      <c r="ER315" s="4">
        <f t="shared" si="1014"/>
        <v>6.6966117715012832</v>
      </c>
      <c r="ES315" s="4">
        <f t="shared" si="1098"/>
        <v>11.213073895081219</v>
      </c>
      <c r="ET315" s="4">
        <f t="shared" si="1015"/>
        <v>52.187593130220179</v>
      </c>
      <c r="EU315" s="4">
        <f t="shared" si="1016"/>
        <v>44.830999999999989</v>
      </c>
      <c r="EV315" s="4">
        <f t="shared" si="952"/>
        <v>2.0808531361433218E-5</v>
      </c>
      <c r="EW315" s="4">
        <f t="shared" si="1099"/>
        <v>13.501829342736929</v>
      </c>
      <c r="EX315" s="4">
        <f t="shared" si="965"/>
        <v>761.94536195619639</v>
      </c>
      <c r="FG315" s="23">
        <f t="shared" si="878"/>
        <v>1.6</v>
      </c>
      <c r="FH315" s="23">
        <f t="shared" si="878"/>
        <v>0.6</v>
      </c>
      <c r="FI315" s="23">
        <f t="shared" si="1068"/>
        <v>1.2</v>
      </c>
      <c r="FJ315" s="23">
        <f t="shared" si="879"/>
        <v>1.2</v>
      </c>
      <c r="FK315" s="23">
        <f t="shared" si="879"/>
        <v>0.8</v>
      </c>
      <c r="FL315" s="23">
        <f t="shared" si="879"/>
        <v>0.8</v>
      </c>
      <c r="FM315" s="23">
        <f t="shared" si="1037"/>
        <v>1</v>
      </c>
      <c r="FN315" s="23"/>
      <c r="FX315" s="4">
        <f t="shared" si="915"/>
        <v>1</v>
      </c>
      <c r="FY315" s="4">
        <f t="shared" si="975"/>
        <v>0.4482312338222606</v>
      </c>
      <c r="FZ315" s="4">
        <f t="shared" si="916"/>
        <v>0.25</v>
      </c>
      <c r="GA315" s="4">
        <f t="shared" si="917"/>
        <v>509.28011783742392</v>
      </c>
    </row>
    <row r="316" spans="1:183" ht="12" customHeight="1" x14ac:dyDescent="0.3">
      <c r="A316" s="25">
        <v>298</v>
      </c>
      <c r="B316" s="4" t="s">
        <v>605</v>
      </c>
      <c r="C316" s="4">
        <v>2016</v>
      </c>
      <c r="D316" s="4" t="s">
        <v>309</v>
      </c>
      <c r="E316" s="24" t="s">
        <v>668</v>
      </c>
      <c r="F316" s="7" t="s">
        <v>458</v>
      </c>
      <c r="G316" s="38">
        <f t="shared" si="1119"/>
        <v>799.31034482758628</v>
      </c>
      <c r="H316" s="38">
        <f>7*25.4</f>
        <v>177.79999999999998</v>
      </c>
      <c r="I316" s="4">
        <f t="shared" si="1100"/>
        <v>177.79999999999998</v>
      </c>
      <c r="J316" s="38">
        <f t="shared" si="1080"/>
        <v>110.55172413793103</v>
      </c>
      <c r="K316" s="38">
        <f t="shared" si="1101"/>
        <v>25.4</v>
      </c>
      <c r="L316" s="7">
        <f t="shared" si="1102"/>
        <v>7</v>
      </c>
      <c r="M316" s="7">
        <f t="shared" si="1103"/>
        <v>7</v>
      </c>
      <c r="N316" s="38">
        <f>17.6*25.4</f>
        <v>447.04</v>
      </c>
      <c r="O316" s="38">
        <f>2.85*25.4</f>
        <v>72.39</v>
      </c>
      <c r="P316" s="39">
        <f>3.3*25.4</f>
        <v>83.82</v>
      </c>
      <c r="Q316" s="7">
        <f t="shared" si="1104"/>
        <v>251.46</v>
      </c>
      <c r="R316" s="38">
        <v>2</v>
      </c>
      <c r="S316" s="4">
        <f t="shared" si="1081"/>
        <v>260.34999999999997</v>
      </c>
      <c r="T316" s="7">
        <f t="shared" si="1105"/>
        <v>3.35</v>
      </c>
      <c r="U316" s="7">
        <f t="shared" si="958"/>
        <v>3.35</v>
      </c>
      <c r="V316" s="38">
        <v>14.9</v>
      </c>
      <c r="W316" s="4">
        <f t="shared" si="1106"/>
        <v>14.9</v>
      </c>
      <c r="X316" s="4">
        <f t="shared" si="1107"/>
        <v>15.9</v>
      </c>
      <c r="Y316" s="7">
        <f t="shared" si="1108"/>
        <v>101.28200234987457</v>
      </c>
      <c r="AB316" s="38">
        <f t="shared" si="885"/>
        <v>692.41379310344837</v>
      </c>
      <c r="AC316" s="4">
        <v>100.4</v>
      </c>
      <c r="AD316" s="4">
        <f t="shared" si="998"/>
        <v>0.89552419733717004</v>
      </c>
      <c r="AE316" s="38">
        <f t="shared" si="1120"/>
        <v>12.7</v>
      </c>
      <c r="AF316" s="38">
        <v>4</v>
      </c>
      <c r="AG316" s="39">
        <f>5.5*25.4</f>
        <v>139.69999999999999</v>
      </c>
      <c r="AH316" s="39">
        <v>1</v>
      </c>
      <c r="AI316" s="39">
        <v>1</v>
      </c>
      <c r="AJ316" s="7"/>
      <c r="AK316" s="4">
        <f t="shared" si="1109"/>
        <v>177.79999999999998</v>
      </c>
      <c r="AL316" s="4">
        <f t="shared" si="1018"/>
        <v>0.83809523809523823</v>
      </c>
      <c r="AM316" s="4">
        <f t="shared" si="1019"/>
        <v>245.97619817542986</v>
      </c>
      <c r="AN316" s="4">
        <f t="shared" si="1020"/>
        <v>0.79571428571428571</v>
      </c>
      <c r="AO316" s="4">
        <v>1.25</v>
      </c>
      <c r="AP316" s="4">
        <f t="shared" si="933"/>
        <v>2.5</v>
      </c>
      <c r="AQ316" s="38">
        <f t="shared" si="1082"/>
        <v>512.61774361253697</v>
      </c>
      <c r="AR316" s="38">
        <f t="shared" si="1021"/>
        <v>512.61774361253697</v>
      </c>
      <c r="AS316" s="38">
        <f t="shared" si="1022"/>
        <v>5.4139420559889198</v>
      </c>
      <c r="AT316" s="38">
        <f t="shared" si="940"/>
        <v>512.6177436125372</v>
      </c>
      <c r="AU316" s="38">
        <f t="shared" si="910"/>
        <v>0.99999999999999956</v>
      </c>
      <c r="AV316" s="38">
        <f t="shared" si="941"/>
        <v>5.5775031260298089</v>
      </c>
      <c r="AW316" s="4">
        <f t="shared" si="942"/>
        <v>0</v>
      </c>
      <c r="AX316" s="4">
        <f t="shared" si="1110"/>
        <v>387.37108418559029</v>
      </c>
      <c r="AY316" s="4">
        <f t="shared" si="1083"/>
        <v>1</v>
      </c>
      <c r="AZ316" s="38">
        <f t="shared" si="953"/>
        <v>2859.1270674572734</v>
      </c>
      <c r="BA316" s="4">
        <f t="shared" si="1084"/>
        <v>0.3</v>
      </c>
      <c r="BB316" s="4">
        <f t="shared" si="1085"/>
        <v>60.720417446091268</v>
      </c>
      <c r="BC316" s="4">
        <f t="shared" si="1086"/>
        <v>2919.8474849033646</v>
      </c>
      <c r="BE316" s="4">
        <f t="shared" si="934"/>
        <v>1.5</v>
      </c>
      <c r="BF316" s="4">
        <f t="shared" si="935"/>
        <v>804.34838694822213</v>
      </c>
      <c r="BH316" s="4">
        <f t="shared" si="959"/>
        <v>2742.2525061480219</v>
      </c>
      <c r="BI316" s="4">
        <f t="shared" si="905"/>
        <v>0</v>
      </c>
      <c r="BJ316" s="4">
        <f t="shared" si="960"/>
        <v>0</v>
      </c>
      <c r="BK316" s="4">
        <f t="shared" si="1023"/>
        <v>72.39</v>
      </c>
      <c r="BL316" s="4">
        <f t="shared" si="1024"/>
        <v>72.39</v>
      </c>
      <c r="BM316" s="4">
        <f t="shared" si="1025"/>
        <v>260.34999999999997</v>
      </c>
      <c r="BN316" s="4">
        <f t="shared" si="1026"/>
        <v>85.09</v>
      </c>
      <c r="BO316" s="4">
        <f t="shared" si="1027"/>
        <v>1.25</v>
      </c>
      <c r="BP316" s="25">
        <f t="shared" si="1028"/>
        <v>4</v>
      </c>
      <c r="BR316" s="4">
        <f t="shared" si="1087"/>
        <v>72.39</v>
      </c>
      <c r="BV316" s="9"/>
      <c r="BX316" s="9"/>
      <c r="BY316" s="9"/>
      <c r="BZ316" s="9">
        <f t="shared" si="1088"/>
        <v>72.39</v>
      </c>
      <c r="CA316" s="9">
        <f t="shared" si="1089"/>
        <v>125.73</v>
      </c>
      <c r="CB316" s="9">
        <f t="shared" si="943"/>
        <v>1.8339457339368097</v>
      </c>
      <c r="CC316" s="40">
        <f t="shared" si="1111"/>
        <v>20</v>
      </c>
      <c r="CD316" s="9">
        <f t="shared" si="1090"/>
        <v>0.05</v>
      </c>
      <c r="CE316" s="9">
        <f t="shared" si="1091"/>
        <v>0.8</v>
      </c>
      <c r="CF316" s="9">
        <f t="shared" si="1092"/>
        <v>0.99524931562137331</v>
      </c>
      <c r="CG316" s="9">
        <f t="shared" si="1093"/>
        <v>0.68048275862068963</v>
      </c>
      <c r="CH316" s="9">
        <f t="shared" si="944"/>
        <v>2.4922971335630986</v>
      </c>
      <c r="CI316" s="9">
        <f t="shared" si="945"/>
        <v>6.2307428339077466</v>
      </c>
      <c r="CJ316" s="40">
        <v>1</v>
      </c>
      <c r="CK316" s="9">
        <f t="shared" si="946"/>
        <v>548.30536938388173</v>
      </c>
      <c r="CM316" s="4">
        <f t="shared" si="1094"/>
        <v>1.7874689706362066</v>
      </c>
      <c r="CN316" s="4">
        <f t="shared" si="1095"/>
        <v>0.23714039746372731</v>
      </c>
      <c r="CO316" s="4">
        <f t="shared" si="1062"/>
        <v>0.8608381695530406</v>
      </c>
      <c r="CP316" s="4">
        <f t="shared" si="1096"/>
        <v>1.2628251185675932</v>
      </c>
      <c r="CQ316" s="4">
        <f t="shared" si="1035"/>
        <v>0.89552419733717004</v>
      </c>
      <c r="CR316" s="4">
        <f t="shared" si="1036"/>
        <v>0.86626402070750652</v>
      </c>
      <c r="CS316" s="4">
        <f t="shared" si="1063"/>
        <v>1.3712468718361366</v>
      </c>
      <c r="CT316" s="4">
        <f t="shared" si="1112"/>
        <v>4</v>
      </c>
      <c r="DA316" s="4">
        <f t="shared" si="1115"/>
        <v>1.7874689706362066</v>
      </c>
      <c r="DB316" s="4">
        <f t="shared" si="1115"/>
        <v>0.23714039746372731</v>
      </c>
      <c r="DC316" s="4">
        <f t="shared" si="1116"/>
        <v>1.2628251185675932</v>
      </c>
      <c r="DD316" s="4">
        <f t="shared" si="1117"/>
        <v>1.3712468718361366</v>
      </c>
      <c r="DE316" s="4">
        <f t="shared" si="1118"/>
        <v>0.89552419733717004</v>
      </c>
      <c r="DF316" s="4">
        <f t="shared" si="1118"/>
        <v>0.86626402070750652</v>
      </c>
      <c r="DI316" s="4">
        <f t="shared" si="1097"/>
        <v>177.79999999999998</v>
      </c>
      <c r="DL316" s="4">
        <f t="shared" si="999"/>
        <v>2.0631688318701494E-5</v>
      </c>
      <c r="DM316" s="4">
        <f t="shared" si="1000"/>
        <v>14.978691281748057</v>
      </c>
      <c r="DN316" s="4">
        <f t="shared" si="1001"/>
        <v>0.12264250191662669</v>
      </c>
      <c r="DO316" s="4">
        <f t="shared" si="1002"/>
        <v>6.4703872005676581</v>
      </c>
      <c r="DP316" s="4">
        <f t="shared" si="1003"/>
        <v>11.548596486030259</v>
      </c>
      <c r="DQ316" s="4">
        <f t="shared" si="1004"/>
        <v>14.150372924751665</v>
      </c>
      <c r="DR316" s="38">
        <f t="shared" si="1029"/>
        <v>773.19384016906758</v>
      </c>
      <c r="DS316" s="4">
        <f t="shared" si="1005"/>
        <v>1.0000942648505955</v>
      </c>
      <c r="DT316" s="4">
        <f t="shared" si="1006"/>
        <v>3.9874804074753771</v>
      </c>
      <c r="DU316" s="4">
        <f t="shared" si="1007"/>
        <v>512.6177436125372</v>
      </c>
      <c r="DY316" s="4">
        <f t="shared" si="1008"/>
        <v>0.85</v>
      </c>
      <c r="DZ316" s="4">
        <f t="shared" si="1009"/>
        <v>0.81499999999999995</v>
      </c>
      <c r="EA316" s="4">
        <f t="shared" si="1030"/>
        <v>0.92500000000000004</v>
      </c>
      <c r="EB316" s="4">
        <f t="shared" si="1010"/>
        <v>0.75387499999999996</v>
      </c>
      <c r="ED316" s="4">
        <f t="shared" si="1031"/>
        <v>799.31034482758628</v>
      </c>
      <c r="EE316" s="25">
        <f t="shared" si="1032"/>
        <v>504.82228840667528</v>
      </c>
      <c r="EG316" s="4">
        <f t="shared" si="932"/>
        <v>0.64079374999999994</v>
      </c>
      <c r="EH316" s="4">
        <f t="shared" si="1033"/>
        <v>14.978691281748057</v>
      </c>
      <c r="EK316" s="4">
        <f t="shared" si="1011"/>
        <v>101.28200234987457</v>
      </c>
      <c r="EL316" s="4">
        <f t="shared" si="1012"/>
        <v>3.9874804074753771</v>
      </c>
      <c r="EM316" s="4">
        <f t="shared" si="1013"/>
        <v>7.0511349567789622E-2</v>
      </c>
      <c r="EP316" s="4">
        <f t="shared" si="1113"/>
        <v>7.0511349567789622E-2</v>
      </c>
      <c r="EQ316" s="4">
        <f t="shared" si="951"/>
        <v>0.12243783443838298</v>
      </c>
      <c r="ER316" s="4">
        <f t="shared" si="1014"/>
        <v>6.4660658881564208</v>
      </c>
      <c r="ES316" s="4">
        <f t="shared" si="1098"/>
        <v>11.547411628168957</v>
      </c>
      <c r="ET316" s="4">
        <f t="shared" si="1015"/>
        <v>32.06799765012542</v>
      </c>
      <c r="EU316" s="4">
        <f t="shared" si="1016"/>
        <v>44.449999999999989</v>
      </c>
      <c r="EV316" s="4">
        <f t="shared" si="952"/>
        <v>2.0631688318701491E-5</v>
      </c>
      <c r="EW316" s="4">
        <f t="shared" si="1099"/>
        <v>14.150662937233925</v>
      </c>
      <c r="EX316" s="4">
        <f t="shared" si="965"/>
        <v>773.12096203708893</v>
      </c>
      <c r="FG316" s="23">
        <f t="shared" si="878"/>
        <v>1.8</v>
      </c>
      <c r="FH316" s="23">
        <f t="shared" si="878"/>
        <v>0.6</v>
      </c>
      <c r="FI316" s="23">
        <f t="shared" si="1068"/>
        <v>1.4</v>
      </c>
      <c r="FJ316" s="23">
        <f t="shared" si="879"/>
        <v>1.4</v>
      </c>
      <c r="FK316" s="23">
        <f t="shared" si="879"/>
        <v>1</v>
      </c>
      <c r="FL316" s="23">
        <f t="shared" si="879"/>
        <v>1</v>
      </c>
      <c r="FM316" s="23">
        <f t="shared" si="1037"/>
        <v>0</v>
      </c>
      <c r="FN316" s="23"/>
      <c r="FX316" s="4">
        <f t="shared" si="915"/>
        <v>1</v>
      </c>
      <c r="FY316" s="4">
        <f t="shared" si="975"/>
        <v>0.4482312338222606</v>
      </c>
      <c r="FZ316" s="4">
        <f t="shared" si="916"/>
        <v>0.25</v>
      </c>
      <c r="GA316" s="4">
        <f t="shared" si="917"/>
        <v>504.95195819574604</v>
      </c>
    </row>
    <row r="317" spans="1:183" ht="12" customHeight="1" x14ac:dyDescent="0.3">
      <c r="A317" s="25">
        <v>299</v>
      </c>
      <c r="B317" s="4" t="s">
        <v>605</v>
      </c>
      <c r="C317" s="4">
        <v>2016</v>
      </c>
      <c r="D317" s="4" t="s">
        <v>309</v>
      </c>
      <c r="E317" s="24" t="s">
        <v>668</v>
      </c>
      <c r="F317" s="7" t="s">
        <v>459</v>
      </c>
      <c r="G317" s="38">
        <f>120/0.145</f>
        <v>827.58620689655174</v>
      </c>
      <c r="H317" s="38">
        <f>5.5*25.4</f>
        <v>139.69999999999999</v>
      </c>
      <c r="I317" s="4">
        <f t="shared" si="1100"/>
        <v>139.69999999999999</v>
      </c>
      <c r="J317" s="38">
        <f t="shared" si="1080"/>
        <v>110.55172413793103</v>
      </c>
      <c r="K317" s="38">
        <f t="shared" si="1101"/>
        <v>25.4</v>
      </c>
      <c r="L317" s="7">
        <f t="shared" si="1102"/>
        <v>5.5</v>
      </c>
      <c r="M317" s="7">
        <f t="shared" si="1103"/>
        <v>5.5</v>
      </c>
      <c r="N317" s="38">
        <f>16.9*25.4</f>
        <v>429.25999999999993</v>
      </c>
      <c r="O317" s="38">
        <f>2.45*25.4</f>
        <v>62.230000000000004</v>
      </c>
      <c r="P317" s="39">
        <f>4.7*25.4</f>
        <v>119.38</v>
      </c>
      <c r="Q317" s="7">
        <f t="shared" si="1104"/>
        <v>253.99999999999991</v>
      </c>
      <c r="R317" s="38">
        <v>2</v>
      </c>
      <c r="S317" s="4">
        <f t="shared" si="1081"/>
        <v>260.34999999999997</v>
      </c>
      <c r="T317" s="7">
        <f t="shared" si="1105"/>
        <v>2.95</v>
      </c>
      <c r="U317" s="7">
        <f t="shared" si="958"/>
        <v>2.95</v>
      </c>
      <c r="V317" s="38">
        <v>4</v>
      </c>
      <c r="W317" s="4">
        <f t="shared" si="1106"/>
        <v>4</v>
      </c>
      <c r="X317" s="4">
        <f t="shared" si="1107"/>
        <v>5</v>
      </c>
      <c r="Y317" s="7">
        <f t="shared" si="1108"/>
        <v>56.796126628494655</v>
      </c>
      <c r="AB317" s="38">
        <f t="shared" si="885"/>
        <v>552.41379310344826</v>
      </c>
      <c r="AC317" s="4">
        <v>80.099999999999994</v>
      </c>
      <c r="AD317" s="4">
        <f t="shared" si="998"/>
        <v>0.7840718743477787</v>
      </c>
      <c r="AE317" s="38">
        <f t="shared" si="1120"/>
        <v>12.7</v>
      </c>
      <c r="AF317" s="38">
        <v>10</v>
      </c>
      <c r="AG317" s="39">
        <f t="shared" ref="AG317:AG319" si="1121">3*25.4</f>
        <v>76.199999999999989</v>
      </c>
      <c r="AH317" s="39">
        <v>3</v>
      </c>
      <c r="AI317" s="39">
        <f t="shared" ref="AI317:AI319" si="1122">AH317-1</f>
        <v>2</v>
      </c>
      <c r="AJ317" s="7"/>
      <c r="AK317" s="4">
        <f t="shared" si="1109"/>
        <v>139.69999999999999</v>
      </c>
      <c r="AL317" s="4">
        <f t="shared" si="1018"/>
        <v>1.0242424242424242</v>
      </c>
      <c r="AM317" s="4">
        <f t="shared" si="1019"/>
        <v>171.31289685931245</v>
      </c>
      <c r="AN317" s="4">
        <f t="shared" si="1020"/>
        <v>0.80727272727272725</v>
      </c>
      <c r="AO317" s="4">
        <v>1.25</v>
      </c>
      <c r="AP317" s="4">
        <f t="shared" si="933"/>
        <v>2.5</v>
      </c>
      <c r="AQ317" s="38">
        <f t="shared" si="1082"/>
        <v>442.65270415755396</v>
      </c>
      <c r="AR317" s="38">
        <f t="shared" si="1021"/>
        <v>442.65270415755396</v>
      </c>
      <c r="AS317" s="38">
        <f t="shared" si="1022"/>
        <v>5.4139420559889198</v>
      </c>
      <c r="AT317" s="38">
        <f t="shared" si="940"/>
        <v>442.65270415755384</v>
      </c>
      <c r="AU317" s="38">
        <f t="shared" si="910"/>
        <v>1.0000000000000002</v>
      </c>
      <c r="AV317" s="38">
        <f t="shared" si="941"/>
        <v>2.9470289745779361</v>
      </c>
      <c r="AW317" s="4">
        <f t="shared" si="942"/>
        <v>0</v>
      </c>
      <c r="AX317" s="4">
        <f t="shared" si="1110"/>
        <v>304.36299471724953</v>
      </c>
      <c r="AY317" s="4">
        <f t="shared" si="1083"/>
        <v>1</v>
      </c>
      <c r="AZ317" s="38">
        <f t="shared" si="953"/>
        <v>1304.5103448275863</v>
      </c>
      <c r="BA317" s="4">
        <f t="shared" si="1084"/>
        <v>0.44000000000000006</v>
      </c>
      <c r="BB317" s="4">
        <f t="shared" si="1085"/>
        <v>69.973052485495671</v>
      </c>
      <c r="BC317" s="4">
        <f t="shared" si="1086"/>
        <v>1374.4833973130819</v>
      </c>
      <c r="BE317" s="4">
        <f t="shared" si="934"/>
        <v>1.5</v>
      </c>
      <c r="BF317" s="4">
        <f t="shared" si="935"/>
        <v>733.37647045279073</v>
      </c>
      <c r="BH317" s="4">
        <f t="shared" si="959"/>
        <v>1251.1849519094269</v>
      </c>
      <c r="BI317" s="4">
        <f t="shared" si="905"/>
        <v>0</v>
      </c>
      <c r="BJ317" s="4">
        <f t="shared" si="960"/>
        <v>0</v>
      </c>
      <c r="BK317" s="4">
        <f t="shared" si="1023"/>
        <v>62.230000000000004</v>
      </c>
      <c r="BL317" s="4">
        <f t="shared" si="1024"/>
        <v>62.230000000000004</v>
      </c>
      <c r="BM317" s="4">
        <f t="shared" si="1025"/>
        <v>260.34999999999997</v>
      </c>
      <c r="BN317" s="4">
        <f t="shared" si="1026"/>
        <v>74.930000000000007</v>
      </c>
      <c r="BO317" s="4">
        <f t="shared" si="1027"/>
        <v>1.25</v>
      </c>
      <c r="BP317" s="25">
        <f t="shared" si="1028"/>
        <v>4</v>
      </c>
      <c r="BR317" s="4">
        <f t="shared" si="1087"/>
        <v>62.230000000000004</v>
      </c>
      <c r="BV317" s="9"/>
      <c r="BX317" s="9"/>
      <c r="BY317" s="9"/>
      <c r="BZ317" s="9">
        <f t="shared" si="1088"/>
        <v>62.230000000000004</v>
      </c>
      <c r="CA317" s="9">
        <f t="shared" si="1089"/>
        <v>126.99999999999996</v>
      </c>
      <c r="CB317" s="9">
        <f t="shared" si="943"/>
        <v>1.7420219790042637</v>
      </c>
      <c r="CC317" s="40">
        <f t="shared" si="1111"/>
        <v>20</v>
      </c>
      <c r="CD317" s="9">
        <f t="shared" si="1090"/>
        <v>0.05</v>
      </c>
      <c r="CE317" s="9">
        <f t="shared" si="1091"/>
        <v>0.8</v>
      </c>
      <c r="CF317" s="9">
        <f t="shared" si="1092"/>
        <v>0.99524931562137331</v>
      </c>
      <c r="CG317" s="9">
        <f t="shared" si="1093"/>
        <v>0.68</v>
      </c>
      <c r="CH317" s="9">
        <f t="shared" si="944"/>
        <v>2.4905290095198289</v>
      </c>
      <c r="CI317" s="9">
        <f t="shared" si="945"/>
        <v>6.2263225237995723</v>
      </c>
      <c r="CJ317" s="40">
        <v>1</v>
      </c>
      <c r="CK317" s="9">
        <f t="shared" si="946"/>
        <v>510.55844695156497</v>
      </c>
      <c r="CM317" s="4">
        <f t="shared" si="1094"/>
        <v>1.8149834332410735</v>
      </c>
      <c r="CN317" s="4">
        <f t="shared" si="1095"/>
        <v>0.40190648659950207</v>
      </c>
      <c r="CO317" s="4">
        <f t="shared" si="1062"/>
        <v>0.75324722752883644</v>
      </c>
      <c r="CP317" s="4">
        <f t="shared" si="1096"/>
        <v>1.0819795390748945</v>
      </c>
      <c r="CQ317" s="4">
        <f t="shared" si="1035"/>
        <v>0.7840718743477787</v>
      </c>
      <c r="CR317" s="4">
        <f t="shared" si="1036"/>
        <v>0.78909154398737613</v>
      </c>
      <c r="CS317" s="4">
        <f t="shared" si="1063"/>
        <v>1.7084818805310933</v>
      </c>
      <c r="CT317" s="4">
        <f t="shared" si="1112"/>
        <v>10</v>
      </c>
      <c r="DA317" s="4">
        <f t="shared" si="1115"/>
        <v>1.8149834332410735</v>
      </c>
      <c r="DB317" s="4">
        <f t="shared" si="1115"/>
        <v>0.40190648659950207</v>
      </c>
      <c r="DC317" s="4">
        <f t="shared" si="1116"/>
        <v>1.0819795390748945</v>
      </c>
      <c r="DD317" s="4">
        <f t="shared" si="1117"/>
        <v>1.7084818805310933</v>
      </c>
      <c r="DE317" s="4">
        <f t="shared" si="1118"/>
        <v>0.7840718743477787</v>
      </c>
      <c r="DF317" s="4">
        <f t="shared" si="1118"/>
        <v>0.78909154398737613</v>
      </c>
      <c r="DI317" s="4">
        <f t="shared" si="1097"/>
        <v>139.69999999999999</v>
      </c>
      <c r="DL317" s="4">
        <f t="shared" si="999"/>
        <v>1.6210612250408316E-5</v>
      </c>
      <c r="DM317" s="4">
        <f t="shared" si="1000"/>
        <v>16.131515557182595</v>
      </c>
      <c r="DN317" s="4">
        <f t="shared" si="1001"/>
        <v>0.22121939775359259</v>
      </c>
      <c r="DO317" s="4">
        <f t="shared" si="1002"/>
        <v>8.8227597567894236</v>
      </c>
      <c r="DP317" s="4">
        <f t="shared" si="1003"/>
        <v>13.005450825815979</v>
      </c>
      <c r="DQ317" s="4">
        <f t="shared" si="1004"/>
        <v>15.402422409568091</v>
      </c>
      <c r="DR317" s="38">
        <f t="shared" si="1029"/>
        <v>704.54483979924339</v>
      </c>
      <c r="DS317" s="4">
        <f t="shared" si="1005"/>
        <v>1.0000943427827089</v>
      </c>
      <c r="DT317" s="4">
        <f t="shared" si="1006"/>
        <v>2.2360679774997898</v>
      </c>
      <c r="DU317" s="4">
        <f t="shared" si="1007"/>
        <v>442.65270415755384</v>
      </c>
      <c r="DY317" s="4">
        <f t="shared" si="1008"/>
        <v>0.85</v>
      </c>
      <c r="DZ317" s="4">
        <f t="shared" si="1009"/>
        <v>0.85499999999999998</v>
      </c>
      <c r="EA317" s="4">
        <f t="shared" si="1030"/>
        <v>0.77500000000000002</v>
      </c>
      <c r="EB317" s="4">
        <f t="shared" si="1010"/>
        <v>0.7</v>
      </c>
      <c r="ED317" s="4">
        <f t="shared" si="1031"/>
        <v>700.06299942340502</v>
      </c>
      <c r="EE317" s="25">
        <f t="shared" si="1032"/>
        <v>433.89299272989223</v>
      </c>
      <c r="EG317" s="4">
        <f t="shared" si="932"/>
        <v>0.59499999999999997</v>
      </c>
      <c r="EH317" s="4">
        <f t="shared" si="1033"/>
        <v>16.131515557182595</v>
      </c>
      <c r="EK317" s="4">
        <f t="shared" si="1011"/>
        <v>56.796126628494655</v>
      </c>
      <c r="EL317" s="4">
        <f t="shared" si="1012"/>
        <v>2.2360679774997898</v>
      </c>
      <c r="EM317" s="4">
        <f t="shared" si="1013"/>
        <v>0.12718656291587582</v>
      </c>
      <c r="EP317" s="4">
        <f t="shared" si="1113"/>
        <v>0.12718656291587582</v>
      </c>
      <c r="EQ317" s="4">
        <f t="shared" si="951"/>
        <v>0.22085022380843289</v>
      </c>
      <c r="ER317" s="4">
        <f t="shared" si="1014"/>
        <v>8.8168673889825904</v>
      </c>
      <c r="ES317" s="4">
        <f t="shared" si="1098"/>
        <v>13.003467602457354</v>
      </c>
      <c r="ET317" s="4">
        <f t="shared" si="1015"/>
        <v>47.978873371505337</v>
      </c>
      <c r="EU317" s="4">
        <f t="shared" si="1016"/>
        <v>34.925000000000004</v>
      </c>
      <c r="EV317" s="4">
        <f t="shared" si="952"/>
        <v>1.6210612250408323E-5</v>
      </c>
      <c r="EW317" s="4">
        <f t="shared" si="1099"/>
        <v>15.402645170626316</v>
      </c>
      <c r="EX317" s="4">
        <f t="shared" si="965"/>
        <v>704.47837734876612</v>
      </c>
      <c r="FG317" s="23">
        <f t="shared" si="878"/>
        <v>2</v>
      </c>
      <c r="FH317" s="23">
        <f t="shared" si="878"/>
        <v>0.6</v>
      </c>
      <c r="FI317" s="23">
        <f t="shared" si="1068"/>
        <v>1.8</v>
      </c>
      <c r="FJ317" s="23">
        <f t="shared" si="879"/>
        <v>1.2</v>
      </c>
      <c r="FK317" s="23">
        <f t="shared" si="879"/>
        <v>0.8</v>
      </c>
      <c r="FL317" s="23">
        <f t="shared" si="879"/>
        <v>0.8</v>
      </c>
      <c r="FM317" s="23">
        <f t="shared" si="1037"/>
        <v>1</v>
      </c>
      <c r="FN317" s="23"/>
      <c r="FX317" s="4">
        <f t="shared" si="915"/>
        <v>1.25</v>
      </c>
      <c r="FY317" s="4">
        <f t="shared" si="975"/>
        <v>0.44</v>
      </c>
      <c r="FZ317" s="4">
        <f t="shared" si="916"/>
        <v>0.3</v>
      </c>
      <c r="GA317" s="4">
        <f t="shared" si="917"/>
        <v>323.33605606149399</v>
      </c>
    </row>
    <row r="318" spans="1:183" ht="12" customHeight="1" x14ac:dyDescent="0.3">
      <c r="A318" s="25">
        <v>300</v>
      </c>
      <c r="B318" s="4" t="s">
        <v>605</v>
      </c>
      <c r="C318" s="4">
        <v>2016</v>
      </c>
      <c r="D318" s="4" t="s">
        <v>309</v>
      </c>
      <c r="E318" s="24" t="s">
        <v>668</v>
      </c>
      <c r="F318" s="7" t="s">
        <v>460</v>
      </c>
      <c r="G318" s="38">
        <f t="shared" ref="G318:G319" si="1123">115.9/0.145</f>
        <v>799.31034482758628</v>
      </c>
      <c r="H318" s="38">
        <f>5.63*25.4</f>
        <v>143.00199999999998</v>
      </c>
      <c r="I318" s="4">
        <f t="shared" si="1100"/>
        <v>143.00199999999998</v>
      </c>
      <c r="J318" s="38">
        <f t="shared" si="1080"/>
        <v>110.55172413793103</v>
      </c>
      <c r="K318" s="38">
        <f t="shared" si="1101"/>
        <v>25.4</v>
      </c>
      <c r="L318" s="7">
        <f t="shared" si="1102"/>
        <v>5.63</v>
      </c>
      <c r="M318" s="7">
        <f t="shared" si="1103"/>
        <v>5.63</v>
      </c>
      <c r="N318" s="38">
        <f>16.8*25.4</f>
        <v>426.71999999999997</v>
      </c>
      <c r="O318" s="38">
        <f>2.35*25.4</f>
        <v>59.69</v>
      </c>
      <c r="P318" s="39">
        <f>3.15*25.4</f>
        <v>80.009999999999991</v>
      </c>
      <c r="Q318" s="7">
        <f t="shared" si="1104"/>
        <v>256.53999999999996</v>
      </c>
      <c r="R318" s="38">
        <v>2</v>
      </c>
      <c r="S318" s="4">
        <f t="shared" si="1081"/>
        <v>260.34999999999997</v>
      </c>
      <c r="T318" s="7">
        <f t="shared" si="1105"/>
        <v>2.85</v>
      </c>
      <c r="U318" s="7">
        <f t="shared" si="958"/>
        <v>2.85</v>
      </c>
      <c r="V318" s="38">
        <v>9.5</v>
      </c>
      <c r="W318" s="4">
        <f t="shared" si="1106"/>
        <v>9.5</v>
      </c>
      <c r="X318" s="4">
        <f t="shared" si="1107"/>
        <v>10.5</v>
      </c>
      <c r="Y318" s="7">
        <f t="shared" si="1108"/>
        <v>82.305406869779816</v>
      </c>
      <c r="AB318" s="38">
        <f t="shared" si="885"/>
        <v>661.37931034482767</v>
      </c>
      <c r="AC318" s="4">
        <v>95.9</v>
      </c>
      <c r="AD318" s="4">
        <f t="shared" si="998"/>
        <v>0.98409766607899973</v>
      </c>
      <c r="AE318" s="38">
        <f t="shared" si="1120"/>
        <v>12.7</v>
      </c>
      <c r="AF318" s="38">
        <v>10</v>
      </c>
      <c r="AG318" s="39">
        <f t="shared" si="1121"/>
        <v>76.199999999999989</v>
      </c>
      <c r="AH318" s="39">
        <v>3</v>
      </c>
      <c r="AI318" s="39">
        <f t="shared" si="1122"/>
        <v>2</v>
      </c>
      <c r="AJ318" s="7"/>
      <c r="AK318" s="4">
        <f t="shared" si="1109"/>
        <v>143.00199999999998</v>
      </c>
      <c r="AL318" s="4">
        <f t="shared" si="1018"/>
        <v>0.99467140319715819</v>
      </c>
      <c r="AM318" s="4">
        <f t="shared" si="1019"/>
        <v>177.42246835851654</v>
      </c>
      <c r="AN318" s="4">
        <f t="shared" si="1020"/>
        <v>0.80124333925399638</v>
      </c>
      <c r="AO318" s="4">
        <v>1.25</v>
      </c>
      <c r="AP318" s="4">
        <f t="shared" si="933"/>
        <v>2.5</v>
      </c>
      <c r="AQ318" s="38">
        <f t="shared" si="1082"/>
        <v>441.87832906032429</v>
      </c>
      <c r="AR318" s="38">
        <f t="shared" si="1021"/>
        <v>441.87832906032429</v>
      </c>
      <c r="AS318" s="38">
        <f t="shared" si="1022"/>
        <v>5.4139420559889198</v>
      </c>
      <c r="AT318" s="38">
        <f t="shared" si="940"/>
        <v>441.87832906032429</v>
      </c>
      <c r="AU318" s="38">
        <f t="shared" si="910"/>
        <v>1</v>
      </c>
      <c r="AV318" s="38">
        <f t="shared" si="941"/>
        <v>4.3954108445772917</v>
      </c>
      <c r="AW318" s="4">
        <f t="shared" si="942"/>
        <v>0</v>
      </c>
      <c r="AX318" s="4">
        <f t="shared" si="1110"/>
        <v>311.55702913783904</v>
      </c>
      <c r="AY318" s="4">
        <f t="shared" si="1083"/>
        <v>1</v>
      </c>
      <c r="AZ318" s="38">
        <f t="shared" si="953"/>
        <v>1942.2367995354425</v>
      </c>
      <c r="BA318" s="4">
        <f t="shared" si="1084"/>
        <v>0.3</v>
      </c>
      <c r="BB318" s="4">
        <f t="shared" si="1085"/>
        <v>48.836564317356263</v>
      </c>
      <c r="BC318" s="4">
        <f t="shared" si="1086"/>
        <v>1991.0733638527988</v>
      </c>
      <c r="BE318" s="4">
        <f t="shared" si="934"/>
        <v>1.5</v>
      </c>
      <c r="BF318" s="4">
        <f t="shared" si="935"/>
        <v>739.52736988239485</v>
      </c>
      <c r="BH318" s="4">
        <f t="shared" si="959"/>
        <v>1862.842610837748</v>
      </c>
      <c r="BI318" s="4">
        <f t="shared" si="905"/>
        <v>0</v>
      </c>
      <c r="BJ318" s="4">
        <f t="shared" si="960"/>
        <v>0</v>
      </c>
      <c r="BK318" s="4">
        <f t="shared" si="1023"/>
        <v>59.69</v>
      </c>
      <c r="BL318" s="4">
        <f t="shared" si="1024"/>
        <v>59.69</v>
      </c>
      <c r="BM318" s="4">
        <f t="shared" si="1025"/>
        <v>260.34999999999997</v>
      </c>
      <c r="BN318" s="4">
        <f t="shared" si="1026"/>
        <v>72.39</v>
      </c>
      <c r="BO318" s="4">
        <f t="shared" si="1027"/>
        <v>1.25</v>
      </c>
      <c r="BP318" s="25">
        <f t="shared" si="1028"/>
        <v>4</v>
      </c>
      <c r="BR318" s="4">
        <f t="shared" si="1087"/>
        <v>59.69</v>
      </c>
      <c r="BV318" s="9"/>
      <c r="BX318" s="9"/>
      <c r="BY318" s="9"/>
      <c r="BZ318" s="9">
        <f t="shared" si="1088"/>
        <v>59.69</v>
      </c>
      <c r="CA318" s="9">
        <f t="shared" si="1089"/>
        <v>128.26999999999998</v>
      </c>
      <c r="CB318" s="9">
        <f t="shared" si="943"/>
        <v>1.7193625322570376</v>
      </c>
      <c r="CC318" s="40">
        <f t="shared" si="1111"/>
        <v>20</v>
      </c>
      <c r="CD318" s="9">
        <f t="shared" si="1090"/>
        <v>0.05</v>
      </c>
      <c r="CE318" s="9">
        <f t="shared" si="1091"/>
        <v>0.8</v>
      </c>
      <c r="CF318" s="9">
        <f t="shared" si="1092"/>
        <v>0.99524931562137331</v>
      </c>
      <c r="CG318" s="9">
        <f t="shared" si="1093"/>
        <v>0.68048275862068963</v>
      </c>
      <c r="CH318" s="9">
        <f t="shared" si="944"/>
        <v>2.4922971335630986</v>
      </c>
      <c r="CI318" s="9">
        <f t="shared" si="945"/>
        <v>6.2307428339077466</v>
      </c>
      <c r="CJ318" s="40">
        <v>1</v>
      </c>
      <c r="CK318" s="9">
        <f t="shared" si="946"/>
        <v>514.1608986540673</v>
      </c>
      <c r="CM318" s="4">
        <f t="shared" si="1094"/>
        <v>2.1228194150362767</v>
      </c>
      <c r="CN318" s="4">
        <f t="shared" si="1095"/>
        <v>0.33217224555956837</v>
      </c>
      <c r="CO318" s="4">
        <f t="shared" si="1062"/>
        <v>0.89432702193294766</v>
      </c>
      <c r="CP318" s="4">
        <f t="shared" si="1096"/>
        <v>1.2863275135782164</v>
      </c>
      <c r="CQ318" s="4">
        <f t="shared" si="1035"/>
        <v>0.98409766607899973</v>
      </c>
      <c r="CR318" s="4">
        <f t="shared" si="1036"/>
        <v>0.93712665612600687</v>
      </c>
      <c r="CS318" s="4">
        <f t="shared" si="1063"/>
        <v>1.9886149364652124</v>
      </c>
      <c r="CT318" s="4">
        <f t="shared" si="1112"/>
        <v>10</v>
      </c>
      <c r="DA318" s="4">
        <f t="shared" si="1115"/>
        <v>2.1228194150362767</v>
      </c>
      <c r="DB318" s="4">
        <f t="shared" si="1115"/>
        <v>0.33217224555956837</v>
      </c>
      <c r="DC318" s="4">
        <f t="shared" si="1116"/>
        <v>1.2863275135782164</v>
      </c>
      <c r="DD318" s="4">
        <f t="shared" si="1117"/>
        <v>1.9886149364652124</v>
      </c>
      <c r="DE318" s="4">
        <f t="shared" si="1118"/>
        <v>0.98409766607899973</v>
      </c>
      <c r="DF318" s="4">
        <f t="shared" si="1118"/>
        <v>0.93712665612600687</v>
      </c>
      <c r="DI318" s="4">
        <f t="shared" si="1097"/>
        <v>143.00199999999998</v>
      </c>
      <c r="DL318" s="4">
        <f t="shared" si="999"/>
        <v>1.6593772176327059E-5</v>
      </c>
      <c r="DM318" s="4">
        <f t="shared" si="1000"/>
        <v>16.131515557182595</v>
      </c>
      <c r="DN318" s="4">
        <f t="shared" si="1001"/>
        <v>0.13474380914487016</v>
      </c>
      <c r="DO318" s="4">
        <f t="shared" si="1002"/>
        <v>7.2356691320008064</v>
      </c>
      <c r="DP318" s="4">
        <f t="shared" si="1003"/>
        <v>12.512028309248651</v>
      </c>
      <c r="DQ318" s="4">
        <f t="shared" si="1004"/>
        <v>15.497279605289791</v>
      </c>
      <c r="DR318" s="38">
        <f t="shared" si="1029"/>
        <v>672.06674006249966</v>
      </c>
      <c r="DS318" s="4">
        <f t="shared" si="1005"/>
        <v>1.0000993058976226</v>
      </c>
      <c r="DT318" s="4">
        <f t="shared" si="1006"/>
        <v>3.2403703492039297</v>
      </c>
      <c r="DU318" s="4">
        <f t="shared" si="1007"/>
        <v>441.87832906032429</v>
      </c>
      <c r="DY318" s="4">
        <f t="shared" si="1008"/>
        <v>0.85</v>
      </c>
      <c r="DZ318" s="4">
        <f t="shared" si="1009"/>
        <v>0.86499999999999999</v>
      </c>
      <c r="EA318" s="4">
        <f t="shared" si="1030"/>
        <v>0.77500000000000002</v>
      </c>
      <c r="EB318" s="4">
        <f t="shared" si="1010"/>
        <v>0.7</v>
      </c>
      <c r="ED318" s="4">
        <f t="shared" si="1031"/>
        <v>705.75231855948618</v>
      </c>
      <c r="EE318" s="25">
        <f t="shared" si="1032"/>
        <v>433.29102079867221</v>
      </c>
      <c r="EG318" s="4">
        <f t="shared" si="932"/>
        <v>0.59499999999999997</v>
      </c>
      <c r="EH318" s="4">
        <f t="shared" si="1033"/>
        <v>16.131515557182595</v>
      </c>
      <c r="EK318" s="4">
        <f t="shared" si="1011"/>
        <v>82.305406869779816</v>
      </c>
      <c r="EL318" s="4">
        <f t="shared" si="1012"/>
        <v>3.2403703492039302</v>
      </c>
      <c r="EM318" s="4">
        <f t="shared" si="1013"/>
        <v>7.7468803067702416E-2</v>
      </c>
      <c r="EP318" s="4">
        <f t="shared" si="1113"/>
        <v>7.7468803067702416E-2</v>
      </c>
      <c r="EQ318" s="4">
        <f t="shared" si="951"/>
        <v>0.1345189468402396</v>
      </c>
      <c r="ER318" s="4">
        <f t="shared" si="1014"/>
        <v>7.2308367184443254</v>
      </c>
      <c r="ES318" s="4">
        <f t="shared" si="1098"/>
        <v>12.510656820521772</v>
      </c>
      <c r="ET318" s="4">
        <f t="shared" si="1015"/>
        <v>24.946093130220177</v>
      </c>
      <c r="EU318" s="4">
        <f t="shared" si="1016"/>
        <v>35.750499999999988</v>
      </c>
      <c r="EV318" s="4">
        <f t="shared" si="952"/>
        <v>1.6593772176327059E-5</v>
      </c>
      <c r="EW318" s="4">
        <f t="shared" si="1099"/>
        <v>15.497508662757619</v>
      </c>
      <c r="EX318" s="4">
        <f t="shared" si="965"/>
        <v>672.00000649865194</v>
      </c>
      <c r="FG318" s="23">
        <f t="shared" si="878"/>
        <v>2.2000000000000002</v>
      </c>
      <c r="FH318" s="23">
        <f t="shared" si="878"/>
        <v>0.6</v>
      </c>
      <c r="FI318" s="23">
        <f t="shared" si="1068"/>
        <v>2</v>
      </c>
      <c r="FJ318" s="23">
        <f t="shared" si="879"/>
        <v>1.4</v>
      </c>
      <c r="FK318" s="23">
        <f t="shared" si="879"/>
        <v>1</v>
      </c>
      <c r="FL318" s="23">
        <f t="shared" si="879"/>
        <v>1</v>
      </c>
      <c r="FM318" s="23">
        <f t="shared" si="1037"/>
        <v>0</v>
      </c>
      <c r="FN318" s="23"/>
      <c r="FX318" s="4">
        <f t="shared" si="915"/>
        <v>1.25</v>
      </c>
      <c r="FY318" s="4">
        <f t="shared" si="975"/>
        <v>0.43787748058671272</v>
      </c>
      <c r="FZ318" s="4">
        <f t="shared" si="916"/>
        <v>0.3</v>
      </c>
      <c r="GA318" s="4">
        <f t="shared" si="917"/>
        <v>332.58289386100938</v>
      </c>
    </row>
    <row r="319" spans="1:183" ht="12" customHeight="1" x14ac:dyDescent="0.3">
      <c r="A319" s="25">
        <v>301</v>
      </c>
      <c r="B319" s="4" t="s">
        <v>605</v>
      </c>
      <c r="C319" s="4">
        <v>2016</v>
      </c>
      <c r="D319" s="4" t="s">
        <v>309</v>
      </c>
      <c r="E319" s="24" t="s">
        <v>668</v>
      </c>
      <c r="F319" s="7" t="s">
        <v>461</v>
      </c>
      <c r="G319" s="38">
        <f t="shared" si="1123"/>
        <v>799.31034482758628</v>
      </c>
      <c r="H319" s="38">
        <f>5.5*25.4</f>
        <v>139.69999999999999</v>
      </c>
      <c r="I319" s="4">
        <f t="shared" si="1100"/>
        <v>139.69999999999999</v>
      </c>
      <c r="J319" s="38">
        <f t="shared" si="1080"/>
        <v>110.55172413793103</v>
      </c>
      <c r="K319" s="38">
        <f t="shared" si="1101"/>
        <v>25.4</v>
      </c>
      <c r="L319" s="7">
        <f t="shared" si="1102"/>
        <v>5.5</v>
      </c>
      <c r="M319" s="7">
        <f t="shared" si="1103"/>
        <v>5.5</v>
      </c>
      <c r="N319" s="38">
        <f>17*25.4</f>
        <v>431.79999999999995</v>
      </c>
      <c r="O319" s="38">
        <f t="shared" si="1114"/>
        <v>63.5</v>
      </c>
      <c r="P319" s="39">
        <f>3.8*25.4</f>
        <v>96.52</v>
      </c>
      <c r="Q319" s="7">
        <f t="shared" si="1104"/>
        <v>253.99999999999994</v>
      </c>
      <c r="R319" s="38">
        <v>2</v>
      </c>
      <c r="S319" s="4">
        <f t="shared" si="1081"/>
        <v>260.34999999999997</v>
      </c>
      <c r="T319" s="7">
        <f t="shared" si="1105"/>
        <v>3</v>
      </c>
      <c r="U319" s="7">
        <f t="shared" si="958"/>
        <v>3</v>
      </c>
      <c r="V319" s="38">
        <v>14.9</v>
      </c>
      <c r="W319" s="4">
        <f t="shared" si="1106"/>
        <v>14.9</v>
      </c>
      <c r="X319" s="4">
        <f t="shared" si="1107"/>
        <v>15.9</v>
      </c>
      <c r="Y319" s="7">
        <f t="shared" si="1108"/>
        <v>101.28200234987457</v>
      </c>
      <c r="AB319" s="38">
        <f t="shared" si="885"/>
        <v>710.34482758620697</v>
      </c>
      <c r="AC319" s="4">
        <v>103</v>
      </c>
      <c r="AD319" s="4">
        <f t="shared" si="998"/>
        <v>1.1028377286200142</v>
      </c>
      <c r="AE319" s="38">
        <f t="shared" si="1120"/>
        <v>12.7</v>
      </c>
      <c r="AF319" s="38">
        <v>10</v>
      </c>
      <c r="AG319" s="39">
        <f t="shared" si="1121"/>
        <v>76.199999999999989</v>
      </c>
      <c r="AH319" s="39">
        <v>3</v>
      </c>
      <c r="AI319" s="39">
        <f t="shared" si="1122"/>
        <v>2</v>
      </c>
      <c r="AJ319" s="7"/>
      <c r="AK319" s="4">
        <f t="shared" si="1109"/>
        <v>139.69999999999999</v>
      </c>
      <c r="AL319" s="4">
        <f t="shared" si="1018"/>
        <v>1.0303030303030303</v>
      </c>
      <c r="AM319" s="4">
        <f t="shared" si="1019"/>
        <v>171.31289685931245</v>
      </c>
      <c r="AN319" s="4">
        <f t="shared" si="1020"/>
        <v>0.80909090909090908</v>
      </c>
      <c r="AO319" s="4">
        <v>1.25</v>
      </c>
      <c r="AP319" s="4">
        <f t="shared" si="933"/>
        <v>2.5</v>
      </c>
      <c r="AQ319" s="38">
        <f t="shared" si="1082"/>
        <v>446.27481568205872</v>
      </c>
      <c r="AR319" s="38">
        <f t="shared" si="1021"/>
        <v>446.27481568205872</v>
      </c>
      <c r="AS319" s="38">
        <f t="shared" si="1022"/>
        <v>5.4139420559889198</v>
      </c>
      <c r="AT319" s="38">
        <f t="shared" si="940"/>
        <v>446.2748156820586</v>
      </c>
      <c r="AU319" s="38">
        <f t="shared" si="910"/>
        <v>1.0000000000000002</v>
      </c>
      <c r="AV319" s="38">
        <f t="shared" si="941"/>
        <v>5.7372995500592916</v>
      </c>
      <c r="AW319" s="4">
        <f t="shared" si="942"/>
        <v>0</v>
      </c>
      <c r="AX319" s="4">
        <f t="shared" si="1110"/>
        <v>304.36299471724953</v>
      </c>
      <c r="AY319" s="4">
        <f t="shared" si="1083"/>
        <v>1</v>
      </c>
      <c r="AZ319" s="38">
        <f t="shared" si="953"/>
        <v>2560.412299215468</v>
      </c>
      <c r="BA319" s="4">
        <f t="shared" si="1084"/>
        <v>0.3</v>
      </c>
      <c r="BB319" s="4">
        <f t="shared" si="1085"/>
        <v>47.708899421928855</v>
      </c>
      <c r="BC319" s="4">
        <f t="shared" si="1086"/>
        <v>2608.1211986373969</v>
      </c>
      <c r="BE319" s="4">
        <f t="shared" si="934"/>
        <v>1.5</v>
      </c>
      <c r="BF319" s="4">
        <f t="shared" si="935"/>
        <v>733.37647045279073</v>
      </c>
      <c r="BH319" s="4">
        <f t="shared" si="959"/>
        <v>2455.7485129683778</v>
      </c>
      <c r="BI319" s="4">
        <f t="shared" si="905"/>
        <v>0</v>
      </c>
      <c r="BJ319" s="4">
        <f t="shared" si="960"/>
        <v>0</v>
      </c>
      <c r="BK319" s="4">
        <f t="shared" si="1023"/>
        <v>63.5</v>
      </c>
      <c r="BL319" s="4">
        <f t="shared" si="1024"/>
        <v>63.5</v>
      </c>
      <c r="BM319" s="4">
        <f t="shared" si="1025"/>
        <v>260.34999999999997</v>
      </c>
      <c r="BN319" s="4">
        <f t="shared" si="1026"/>
        <v>76.2</v>
      </c>
      <c r="BO319" s="4">
        <f t="shared" si="1027"/>
        <v>1.25</v>
      </c>
      <c r="BP319" s="25">
        <f t="shared" si="1028"/>
        <v>4</v>
      </c>
      <c r="BR319" s="4">
        <f t="shared" si="1087"/>
        <v>63.5</v>
      </c>
      <c r="BV319" s="9"/>
      <c r="BX319" s="9"/>
      <c r="BY319" s="9"/>
      <c r="BZ319" s="9">
        <f t="shared" si="1088"/>
        <v>63.5</v>
      </c>
      <c r="CA319" s="9">
        <f t="shared" si="1089"/>
        <v>126.99999999999997</v>
      </c>
      <c r="CB319" s="9">
        <f t="shared" si="943"/>
        <v>1.7543833769624846</v>
      </c>
      <c r="CC319" s="40">
        <f t="shared" si="1111"/>
        <v>20</v>
      </c>
      <c r="CD319" s="9">
        <f t="shared" si="1090"/>
        <v>0.05</v>
      </c>
      <c r="CE319" s="9">
        <f t="shared" si="1091"/>
        <v>0.8</v>
      </c>
      <c r="CF319" s="9">
        <f t="shared" si="1092"/>
        <v>0.99524931562137331</v>
      </c>
      <c r="CG319" s="9">
        <f t="shared" si="1093"/>
        <v>0.68048275862068963</v>
      </c>
      <c r="CH319" s="9">
        <f t="shared" si="944"/>
        <v>2.4922971335630986</v>
      </c>
      <c r="CI319" s="9">
        <f t="shared" si="945"/>
        <v>6.2307428339077466</v>
      </c>
      <c r="CJ319" s="40">
        <v>1</v>
      </c>
      <c r="CK319" s="9">
        <f t="shared" si="946"/>
        <v>510.92091238043525</v>
      </c>
      <c r="CM319" s="4">
        <f t="shared" si="1094"/>
        <v>2.3338738280128664</v>
      </c>
      <c r="CN319" s="4">
        <f t="shared" si="1095"/>
        <v>0.27235882594617306</v>
      </c>
      <c r="CO319" s="4">
        <f t="shared" si="1062"/>
        <v>0.96859506161635667</v>
      </c>
      <c r="CP319" s="4">
        <f t="shared" si="1096"/>
        <v>1.3903224753056873</v>
      </c>
      <c r="CQ319" s="4">
        <f t="shared" si="1035"/>
        <v>1.1028377286200142</v>
      </c>
      <c r="CR319" s="4">
        <f t="shared" si="1036"/>
        <v>1.0095343957325076</v>
      </c>
      <c r="CS319" s="4">
        <f t="shared" si="1063"/>
        <v>1.7490612046742806</v>
      </c>
      <c r="CT319" s="4">
        <f t="shared" si="1112"/>
        <v>10</v>
      </c>
      <c r="DA319" s="4">
        <f t="shared" si="1115"/>
        <v>2.3338738280128664</v>
      </c>
      <c r="DB319" s="4">
        <f t="shared" si="1115"/>
        <v>0.27235882594617306</v>
      </c>
      <c r="DC319" s="4">
        <f t="shared" si="1116"/>
        <v>1.3903224753056873</v>
      </c>
      <c r="DD319" s="4">
        <f t="shared" si="1117"/>
        <v>1.7490612046742806</v>
      </c>
      <c r="DE319" s="4">
        <f t="shared" si="1118"/>
        <v>1.1028377286200142</v>
      </c>
      <c r="DF319" s="4">
        <f t="shared" si="1118"/>
        <v>1.0095343957325076</v>
      </c>
      <c r="DI319" s="4">
        <f t="shared" si="1097"/>
        <v>139.69999999999999</v>
      </c>
      <c r="DL319" s="4">
        <f t="shared" si="999"/>
        <v>1.6210612250408316E-5</v>
      </c>
      <c r="DM319" s="4">
        <f t="shared" si="1000"/>
        <v>16.131515557182595</v>
      </c>
      <c r="DN319" s="4">
        <f t="shared" si="1001"/>
        <v>0.10677012378057389</v>
      </c>
      <c r="DO319" s="4">
        <f t="shared" si="1002"/>
        <v>6.5925748569216696</v>
      </c>
      <c r="DP319" s="4">
        <f t="shared" si="1003"/>
        <v>12.336950218853458</v>
      </c>
      <c r="DQ319" s="4">
        <f t="shared" si="1004"/>
        <v>15.617133098683848</v>
      </c>
      <c r="DR319" s="38">
        <f t="shared" si="1029"/>
        <v>644.10638950035263</v>
      </c>
      <c r="DS319" s="4">
        <f t="shared" si="1005"/>
        <v>1.0001080280884926</v>
      </c>
      <c r="DT319" s="4">
        <f t="shared" si="1006"/>
        <v>3.9874804074753771</v>
      </c>
      <c r="DU319" s="4">
        <f t="shared" si="1007"/>
        <v>446.2748156820586</v>
      </c>
      <c r="DY319" s="4">
        <f t="shared" si="1008"/>
        <v>0.85</v>
      </c>
      <c r="DZ319" s="4">
        <f t="shared" si="1009"/>
        <v>0.85</v>
      </c>
      <c r="EA319" s="4">
        <f t="shared" si="1030"/>
        <v>0.77500000000000002</v>
      </c>
      <c r="EB319" s="4">
        <f t="shared" si="1010"/>
        <v>0.7</v>
      </c>
      <c r="ED319" s="4">
        <f t="shared" si="1031"/>
        <v>703.63608272186525</v>
      </c>
      <c r="EE319" s="25">
        <f t="shared" si="1032"/>
        <v>437.46607602835246</v>
      </c>
      <c r="EG319" s="4">
        <f t="shared" si="932"/>
        <v>0.59499999999999997</v>
      </c>
      <c r="EH319" s="4">
        <f t="shared" si="1033"/>
        <v>16.131515557182595</v>
      </c>
      <c r="EK319" s="4">
        <f t="shared" si="1011"/>
        <v>101.28200234987457</v>
      </c>
      <c r="EL319" s="4">
        <f t="shared" si="1012"/>
        <v>3.9874804074753771</v>
      </c>
      <c r="EM319" s="4">
        <f t="shared" si="1013"/>
        <v>6.1385779021420728E-2</v>
      </c>
      <c r="EP319" s="4">
        <f t="shared" si="1113"/>
        <v>6.1385779021420728E-2</v>
      </c>
      <c r="EQ319" s="4">
        <f t="shared" si="951"/>
        <v>0.10659194434323012</v>
      </c>
      <c r="ER319" s="4">
        <f t="shared" si="1014"/>
        <v>6.5881719402695227</v>
      </c>
      <c r="ES319" s="4">
        <f t="shared" si="1098"/>
        <v>12.335804133643581</v>
      </c>
      <c r="ET319" s="4">
        <f t="shared" si="1015"/>
        <v>3.4929976501254174</v>
      </c>
      <c r="EU319" s="4">
        <f t="shared" si="1016"/>
        <v>34.924999999999997</v>
      </c>
      <c r="EV319" s="4">
        <f t="shared" si="952"/>
        <v>1.6210612250408316E-5</v>
      </c>
      <c r="EW319" s="4">
        <f t="shared" si="1099"/>
        <v>15.61736628889089</v>
      </c>
      <c r="EX319" s="4">
        <f t="shared" si="965"/>
        <v>644.03681543426239</v>
      </c>
      <c r="FG319" s="23">
        <f t="shared" si="878"/>
        <v>2.2000000000000002</v>
      </c>
      <c r="FH319" s="23">
        <f t="shared" si="878"/>
        <v>0.6</v>
      </c>
      <c r="FI319" s="23">
        <f t="shared" si="1068"/>
        <v>1.8</v>
      </c>
      <c r="FJ319" s="23">
        <f t="shared" si="879"/>
        <v>1.4</v>
      </c>
      <c r="FK319" s="23">
        <f t="shared" si="879"/>
        <v>1.2</v>
      </c>
      <c r="FL319" s="23">
        <f t="shared" si="879"/>
        <v>1.2</v>
      </c>
      <c r="FM319" s="23">
        <f t="shared" si="1037"/>
        <v>0</v>
      </c>
      <c r="FN319" s="23"/>
      <c r="FX319" s="4">
        <f t="shared" si="915"/>
        <v>1</v>
      </c>
      <c r="FY319" s="4">
        <f t="shared" si="975"/>
        <v>0.43787748058671272</v>
      </c>
      <c r="FZ319" s="4">
        <f t="shared" si="916"/>
        <v>0.3</v>
      </c>
      <c r="GA319" s="4">
        <f t="shared" si="917"/>
        <v>406.12919987467853</v>
      </c>
    </row>
    <row r="320" spans="1:183" ht="12" customHeight="1" x14ac:dyDescent="0.3">
      <c r="A320" s="25">
        <v>302</v>
      </c>
      <c r="B320" s="4" t="s">
        <v>605</v>
      </c>
      <c r="C320" s="4">
        <v>2016</v>
      </c>
      <c r="D320" s="4" t="s">
        <v>309</v>
      </c>
      <c r="E320" s="24" t="s">
        <v>462</v>
      </c>
      <c r="F320" s="7" t="s">
        <v>463</v>
      </c>
      <c r="G320" s="38">
        <f>120/0.145</f>
        <v>827.58620689655174</v>
      </c>
      <c r="H320" s="38">
        <f>9.38*25.4</f>
        <v>238.25200000000001</v>
      </c>
      <c r="I320" s="4">
        <f t="shared" si="1100"/>
        <v>238.25200000000001</v>
      </c>
      <c r="J320" s="38">
        <f>9040/145</f>
        <v>62.344827586206897</v>
      </c>
      <c r="K320" s="38">
        <f t="shared" si="1101"/>
        <v>25.4</v>
      </c>
      <c r="L320" s="7">
        <f t="shared" si="1102"/>
        <v>9.3800000000000008</v>
      </c>
      <c r="M320" s="7">
        <f t="shared" si="1103"/>
        <v>9.3800000000000008</v>
      </c>
      <c r="N320" s="38">
        <f t="shared" ref="N320:N321" si="1124">17*25.4</f>
        <v>431.79999999999995</v>
      </c>
      <c r="O320" s="38">
        <f>2.5*25.4</f>
        <v>63.5</v>
      </c>
      <c r="P320" s="39">
        <f>3.4*25.4</f>
        <v>86.36</v>
      </c>
      <c r="Q320" s="7">
        <f t="shared" si="1104"/>
        <v>253.99999999999994</v>
      </c>
      <c r="R320" s="38">
        <v>2</v>
      </c>
      <c r="S320" s="4">
        <f t="shared" si="1081"/>
        <v>260.34999999999997</v>
      </c>
      <c r="T320" s="7">
        <f t="shared" si="1105"/>
        <v>3</v>
      </c>
      <c r="U320" s="7">
        <f t="shared" si="958"/>
        <v>3</v>
      </c>
      <c r="V320" s="38">
        <v>9.5</v>
      </c>
      <c r="W320" s="4">
        <f t="shared" si="1106"/>
        <v>9.5</v>
      </c>
      <c r="X320" s="4">
        <f t="shared" si="1107"/>
        <v>10.5</v>
      </c>
      <c r="Y320" s="7">
        <f t="shared" si="1108"/>
        <v>82.305406869779816</v>
      </c>
      <c r="AB320" s="38">
        <f t="shared" si="885"/>
        <v>568.9655172413793</v>
      </c>
      <c r="AC320" s="4">
        <v>82.5</v>
      </c>
      <c r="AD320" s="4">
        <f t="shared" si="998"/>
        <v>0.81958454427477145</v>
      </c>
      <c r="AE320" s="38">
        <v>0</v>
      </c>
      <c r="AF320" s="38">
        <v>0</v>
      </c>
      <c r="AG320" s="39">
        <f t="shared" ref="AG320" si="1125">I320</f>
        <v>238.25200000000001</v>
      </c>
      <c r="AH320" s="39"/>
      <c r="AI320" s="39"/>
      <c r="AJ320" s="7"/>
      <c r="AK320" s="4">
        <f t="shared" si="1109"/>
        <v>238.25200000000001</v>
      </c>
      <c r="AL320" s="4">
        <f t="shared" si="1018"/>
        <v>0.60412224591329067</v>
      </c>
      <c r="AM320" s="4">
        <f t="shared" si="1019"/>
        <v>286.52844070443393</v>
      </c>
      <c r="AN320" s="4">
        <f t="shared" si="1020"/>
        <v>0.76396588486140726</v>
      </c>
      <c r="AO320" s="4">
        <v>1.25</v>
      </c>
      <c r="AP320" s="4">
        <f t="shared" si="933"/>
        <v>2.5</v>
      </c>
      <c r="AQ320" s="38">
        <f t="shared" si="1082"/>
        <v>413.25351074896452</v>
      </c>
      <c r="AR320" s="38">
        <f t="shared" si="1021"/>
        <v>413.25351074896452</v>
      </c>
      <c r="AS320" s="38">
        <f t="shared" si="1022"/>
        <v>4.4175343619879603</v>
      </c>
      <c r="AT320" s="38">
        <f t="shared" si="940"/>
        <v>413.25351074896435</v>
      </c>
      <c r="AU320" s="38">
        <f t="shared" si="910"/>
        <v>1.0000000000000004</v>
      </c>
      <c r="AV320" s="38">
        <f t="shared" si="941"/>
        <v>2.7899532721832792</v>
      </c>
      <c r="AW320" s="4">
        <f t="shared" si="942"/>
        <v>0</v>
      </c>
      <c r="AX320" s="4">
        <f t="shared" si="1110"/>
        <v>389.8068364694675</v>
      </c>
      <c r="AY320" s="4">
        <f t="shared" si="1083"/>
        <v>1</v>
      </c>
      <c r="AZ320" s="38">
        <f t="shared" si="953"/>
        <v>1152.957984555301</v>
      </c>
      <c r="BA320" s="4">
        <f t="shared" si="1084"/>
        <v>0.3</v>
      </c>
      <c r="BB320" s="4">
        <f t="shared" si="1085"/>
        <v>61.102221616589034</v>
      </c>
      <c r="BC320" s="4">
        <f t="shared" si="1086"/>
        <v>1214.0602061718901</v>
      </c>
      <c r="BE320" s="4">
        <f t="shared" si="934"/>
        <v>1.375</v>
      </c>
      <c r="BF320" s="4">
        <f t="shared" si="935"/>
        <v>631.21591414152192</v>
      </c>
      <c r="BH320" s="4">
        <f t="shared" si="959"/>
        <v>1105.8277047623367</v>
      </c>
      <c r="BI320" s="4">
        <f t="shared" si="905"/>
        <v>0</v>
      </c>
      <c r="BJ320" s="4">
        <f t="shared" si="960"/>
        <v>0</v>
      </c>
      <c r="BK320" s="4">
        <f t="shared" si="1023"/>
        <v>63.5</v>
      </c>
      <c r="BL320" s="4">
        <f t="shared" si="1024"/>
        <v>63.5</v>
      </c>
      <c r="BM320" s="4">
        <f t="shared" si="1025"/>
        <v>260.34999999999997</v>
      </c>
      <c r="BN320" s="4">
        <f t="shared" si="1026"/>
        <v>76.2</v>
      </c>
      <c r="BO320" s="4">
        <f t="shared" si="1027"/>
        <v>1.25</v>
      </c>
      <c r="BP320" s="25">
        <f t="shared" si="1028"/>
        <v>3.75</v>
      </c>
      <c r="BR320" s="4">
        <f t="shared" si="1087"/>
        <v>63.5</v>
      </c>
      <c r="BV320" s="9"/>
      <c r="BX320" s="9"/>
      <c r="BY320" s="9"/>
      <c r="BZ320" s="9">
        <f t="shared" si="1088"/>
        <v>63.5</v>
      </c>
      <c r="CA320" s="9">
        <f t="shared" si="1089"/>
        <v>126.99999999999997</v>
      </c>
      <c r="CB320" s="9">
        <f t="shared" si="943"/>
        <v>1.7543833769624846</v>
      </c>
      <c r="CC320" s="40">
        <f t="shared" si="1111"/>
        <v>20</v>
      </c>
      <c r="CD320" s="9">
        <f t="shared" si="1090"/>
        <v>0</v>
      </c>
      <c r="CE320" s="9">
        <f t="shared" si="1091"/>
        <v>0</v>
      </c>
      <c r="CF320" s="9">
        <f t="shared" si="1092"/>
        <v>0.99524931562137331</v>
      </c>
      <c r="CG320" s="9">
        <f t="shared" si="1093"/>
        <v>0.68</v>
      </c>
      <c r="CH320" s="9">
        <f t="shared" si="944"/>
        <v>1.8702904607807274</v>
      </c>
      <c r="CI320" s="9">
        <f t="shared" si="945"/>
        <v>3.2812064944852137</v>
      </c>
      <c r="CJ320" s="40">
        <v>1</v>
      </c>
      <c r="CK320" s="9">
        <f t="shared" si="946"/>
        <v>319.98325734219804</v>
      </c>
      <c r="CM320" s="4">
        <f t="shared" si="1094"/>
        <v>1.4596088729345433</v>
      </c>
      <c r="CN320" s="4">
        <f t="shared" si="1095"/>
        <v>0.46864687134043465</v>
      </c>
      <c r="CO320" s="4">
        <f t="shared" si="1062"/>
        <v>0.90138018464758518</v>
      </c>
      <c r="CP320" s="4">
        <f t="shared" si="1096"/>
        <v>1.778110273541323</v>
      </c>
      <c r="CQ320" s="4">
        <f t="shared" si="1035"/>
        <v>0.81958454427477145</v>
      </c>
      <c r="CR320" s="4">
        <f t="shared" si="1036"/>
        <v>0.82535245957938552</v>
      </c>
      <c r="CS320" s="4">
        <f t="shared" si="1063"/>
        <v>1.0824061436066807</v>
      </c>
      <c r="CT320" s="4">
        <f t="shared" si="1112"/>
        <v>0</v>
      </c>
      <c r="CU320" s="4">
        <f t="shared" ref="CU320:CV320" si="1126">CM320</f>
        <v>1.4596088729345433</v>
      </c>
      <c r="CV320" s="4">
        <f t="shared" si="1126"/>
        <v>0.46864687134043465</v>
      </c>
      <c r="CW320" s="4">
        <f t="shared" ref="CW320" si="1127">CP320</f>
        <v>1.778110273541323</v>
      </c>
      <c r="CX320" s="4">
        <f t="shared" ref="CX320" si="1128">CS320</f>
        <v>1.0824061436066807</v>
      </c>
      <c r="CY320" s="4">
        <f t="shared" ref="CY320:CZ320" si="1129">CQ320</f>
        <v>0.81958454427477145</v>
      </c>
      <c r="CZ320" s="4">
        <f t="shared" si="1129"/>
        <v>0.82535245957938552</v>
      </c>
      <c r="DI320" s="4">
        <f t="shared" si="1097"/>
        <v>238.25200000000001</v>
      </c>
      <c r="DL320" s="4">
        <f t="shared" si="999"/>
        <v>2.0659876811674702E-5</v>
      </c>
      <c r="DM320" s="4">
        <f t="shared" si="1000"/>
        <v>9.9763514377618598</v>
      </c>
      <c r="DN320" s="4">
        <f t="shared" si="1001"/>
        <v>0.22345380848450982</v>
      </c>
      <c r="DO320" s="4">
        <f t="shared" si="1002"/>
        <v>5.4783130292378068</v>
      </c>
      <c r="DP320" s="4">
        <f t="shared" si="1003"/>
        <v>8.0504837803731188</v>
      </c>
      <c r="DQ320" s="4">
        <f t="shared" si="1004"/>
        <v>9.355770870462635</v>
      </c>
      <c r="DR320" s="38">
        <f t="shared" si="1029"/>
        <v>694.21211175332951</v>
      </c>
      <c r="DS320" s="4">
        <f t="shared" si="1005"/>
        <v>1.0000930207171117</v>
      </c>
      <c r="DT320" s="4">
        <f t="shared" si="1006"/>
        <v>3.2403703492039297</v>
      </c>
      <c r="DU320" s="4">
        <f t="shared" si="1007"/>
        <v>413.25351074896435</v>
      </c>
      <c r="DY320" s="4">
        <f t="shared" si="1008"/>
        <v>0.85</v>
      </c>
      <c r="DZ320" s="4">
        <f t="shared" si="1009"/>
        <v>0.85</v>
      </c>
      <c r="EA320" s="4">
        <f t="shared" si="1030"/>
        <v>1</v>
      </c>
      <c r="EB320" s="4">
        <f t="shared" si="1010"/>
        <v>0.85</v>
      </c>
      <c r="ED320" s="4">
        <f t="shared" si="1031"/>
        <v>689.36066117902453</v>
      </c>
      <c r="EE320" s="25">
        <f t="shared" si="1032"/>
        <v>408.62613172040579</v>
      </c>
      <c r="EG320" s="4">
        <f t="shared" si="932"/>
        <v>0.72249999999999992</v>
      </c>
      <c r="EH320" s="4">
        <f t="shared" si="1033"/>
        <v>9.9763514377618598</v>
      </c>
      <c r="EK320" s="4">
        <f t="shared" si="1011"/>
        <v>82.305406869779816</v>
      </c>
      <c r="EL320" s="4">
        <f t="shared" si="1012"/>
        <v>3.2403703492039302</v>
      </c>
      <c r="EM320" s="4">
        <f t="shared" si="1013"/>
        <v>9.6476877856159354E-2</v>
      </c>
      <c r="EP320" s="4">
        <f t="shared" si="1113"/>
        <v>9.6476877856159354E-2</v>
      </c>
      <c r="EQ320" s="4">
        <f t="shared" si="951"/>
        <v>0.22308090572427774</v>
      </c>
      <c r="ER320" s="4">
        <f t="shared" si="1014"/>
        <v>5.4746542834236758</v>
      </c>
      <c r="ES320" s="4">
        <f t="shared" si="1098"/>
        <v>8.0492483214376556</v>
      </c>
      <c r="ET320" s="4">
        <f t="shared" si="1015"/>
        <v>96.383593130220206</v>
      </c>
      <c r="EU320" s="4">
        <f t="shared" si="1016"/>
        <v>59.563000000000002</v>
      </c>
      <c r="EV320" s="4">
        <f t="shared" si="952"/>
        <v>2.0659876811674702E-5</v>
      </c>
      <c r="EW320" s="4">
        <f t="shared" si="1099"/>
        <v>9.35594198988003</v>
      </c>
      <c r="EX320" s="4">
        <f t="shared" si="965"/>
        <v>694.14754165122383</v>
      </c>
      <c r="FG320" s="23">
        <f t="shared" si="878"/>
        <v>1.6</v>
      </c>
      <c r="FH320" s="23">
        <f t="shared" si="878"/>
        <v>0.6</v>
      </c>
      <c r="FI320" s="23">
        <f t="shared" si="1068"/>
        <v>1.2</v>
      </c>
      <c r="FJ320" s="23">
        <f t="shared" si="879"/>
        <v>1.8</v>
      </c>
      <c r="FK320" s="23">
        <f t="shared" si="879"/>
        <v>1</v>
      </c>
      <c r="FL320" s="23">
        <f t="shared" si="879"/>
        <v>1</v>
      </c>
      <c r="FM320" s="23">
        <f t="shared" si="1037"/>
        <v>0</v>
      </c>
      <c r="FN320" s="23"/>
      <c r="FX320" s="4">
        <f t="shared" si="915"/>
        <v>1</v>
      </c>
      <c r="FY320" s="4">
        <f t="shared" si="975"/>
        <v>0.5</v>
      </c>
      <c r="FZ320" s="4">
        <f t="shared" si="916"/>
        <v>0</v>
      </c>
      <c r="GA320" s="4">
        <f t="shared" si="917"/>
        <v>525.6488247059757</v>
      </c>
    </row>
    <row r="321" spans="1:183" ht="12" customHeight="1" x14ac:dyDescent="0.3">
      <c r="A321" s="25">
        <v>303</v>
      </c>
      <c r="B321" s="4" t="s">
        <v>605</v>
      </c>
      <c r="C321" s="4">
        <v>2016</v>
      </c>
      <c r="D321" s="4" t="s">
        <v>309</v>
      </c>
      <c r="E321" s="24" t="s">
        <v>462</v>
      </c>
      <c r="F321" s="7" t="s">
        <v>464</v>
      </c>
      <c r="G321" s="38">
        <f>120/0.145</f>
        <v>827.58620689655174</v>
      </c>
      <c r="H321" s="38">
        <f>9.19*25.4</f>
        <v>233.42599999999999</v>
      </c>
      <c r="I321" s="4">
        <f t="shared" si="1100"/>
        <v>233.42599999999999</v>
      </c>
      <c r="J321" s="38">
        <f>9040/145</f>
        <v>62.344827586206897</v>
      </c>
      <c r="K321" s="38">
        <f t="shared" si="1101"/>
        <v>25.4</v>
      </c>
      <c r="L321" s="7">
        <f t="shared" si="1102"/>
        <v>9.19</v>
      </c>
      <c r="M321" s="7">
        <f t="shared" si="1103"/>
        <v>9.19</v>
      </c>
      <c r="N321" s="38">
        <f t="shared" si="1124"/>
        <v>431.79999999999995</v>
      </c>
      <c r="O321" s="38">
        <f>2.65*25.4</f>
        <v>67.309999999999988</v>
      </c>
      <c r="P321" s="39">
        <f>3.3*25.4</f>
        <v>83.82</v>
      </c>
      <c r="Q321" s="7">
        <f t="shared" si="1104"/>
        <v>246.37999999999997</v>
      </c>
      <c r="R321" s="38">
        <v>2</v>
      </c>
      <c r="S321" s="4">
        <f t="shared" si="1081"/>
        <v>260.34999999999997</v>
      </c>
      <c r="T321" s="7">
        <f t="shared" si="1105"/>
        <v>3.1499999999999995</v>
      </c>
      <c r="U321" s="7">
        <f t="shared" si="958"/>
        <v>3.1499999999999995</v>
      </c>
      <c r="V321" s="38">
        <v>9.5</v>
      </c>
      <c r="W321" s="4">
        <f t="shared" si="1106"/>
        <v>9.5</v>
      </c>
      <c r="X321" s="4">
        <f t="shared" si="1107"/>
        <v>10.5</v>
      </c>
      <c r="Y321" s="7">
        <f t="shared" si="1108"/>
        <v>82.305406869779816</v>
      </c>
      <c r="AB321" s="38">
        <f t="shared" si="885"/>
        <v>600</v>
      </c>
      <c r="AC321" s="4">
        <v>87</v>
      </c>
      <c r="AD321" s="4">
        <f t="shared" si="998"/>
        <v>0.86504992090891586</v>
      </c>
      <c r="AE321" s="38">
        <f>0.375*25.4</f>
        <v>9.5249999999999986</v>
      </c>
      <c r="AF321" s="38">
        <v>4</v>
      </c>
      <c r="AG321" s="39">
        <f>6*25.4</f>
        <v>152.39999999999998</v>
      </c>
      <c r="AH321" s="39">
        <v>1</v>
      </c>
      <c r="AI321" s="39">
        <v>1</v>
      </c>
      <c r="AJ321" s="7"/>
      <c r="AK321" s="4">
        <f t="shared" si="1109"/>
        <v>233.42599999999999</v>
      </c>
      <c r="AL321" s="4">
        <f t="shared" si="1018"/>
        <v>0.61661225970257527</v>
      </c>
      <c r="AM321" s="4">
        <f t="shared" si="1019"/>
        <v>277.86685517024648</v>
      </c>
      <c r="AN321" s="4">
        <f t="shared" si="1020"/>
        <v>0.76855277475516859</v>
      </c>
      <c r="AO321" s="4">
        <v>1.25</v>
      </c>
      <c r="AP321" s="4">
        <f t="shared" si="933"/>
        <v>2.5</v>
      </c>
      <c r="AQ321" s="38">
        <f t="shared" si="1082"/>
        <v>411.5026323235121</v>
      </c>
      <c r="AR321" s="38">
        <f t="shared" si="1021"/>
        <v>411.5026323235121</v>
      </c>
      <c r="AS321" s="38">
        <f t="shared" si="1022"/>
        <v>4.4175343619879603</v>
      </c>
      <c r="AT321" s="38">
        <f t="shared" si="940"/>
        <v>411.50263232351193</v>
      </c>
      <c r="AU321" s="38">
        <f t="shared" si="910"/>
        <v>1.0000000000000004</v>
      </c>
      <c r="AV321" s="38">
        <f t="shared" si="941"/>
        <v>2.9419152848366741</v>
      </c>
      <c r="AW321" s="4">
        <f t="shared" si="942"/>
        <v>0</v>
      </c>
      <c r="AX321" s="4">
        <f t="shared" si="1110"/>
        <v>381.91096238319886</v>
      </c>
      <c r="AY321" s="4">
        <f t="shared" si="1083"/>
        <v>1</v>
      </c>
      <c r="AZ321" s="38">
        <f t="shared" si="953"/>
        <v>1210.6058837830658</v>
      </c>
      <c r="BA321" s="4">
        <f t="shared" si="1084"/>
        <v>0.3</v>
      </c>
      <c r="BB321" s="4">
        <f t="shared" si="1085"/>
        <v>59.864543353566432</v>
      </c>
      <c r="BC321" s="4">
        <f t="shared" si="1086"/>
        <v>1270.4704271366322</v>
      </c>
      <c r="BE321" s="4">
        <f t="shared" si="934"/>
        <v>1.5</v>
      </c>
      <c r="BF321" s="4">
        <f t="shared" si="935"/>
        <v>681.84820671971897</v>
      </c>
      <c r="BH321" s="4">
        <f t="shared" si="959"/>
        <v>1161.1190900004531</v>
      </c>
      <c r="BI321" s="4">
        <f t="shared" si="905"/>
        <v>0</v>
      </c>
      <c r="BJ321" s="4">
        <f t="shared" si="960"/>
        <v>0</v>
      </c>
      <c r="BK321" s="4">
        <f t="shared" si="1023"/>
        <v>67.309999999999988</v>
      </c>
      <c r="BL321" s="4">
        <f t="shared" si="1024"/>
        <v>67.309999999999988</v>
      </c>
      <c r="BM321" s="4">
        <f t="shared" si="1025"/>
        <v>260.34999999999997</v>
      </c>
      <c r="BN321" s="4">
        <f t="shared" si="1026"/>
        <v>80.009999999999991</v>
      </c>
      <c r="BO321" s="4">
        <f t="shared" si="1027"/>
        <v>1.25</v>
      </c>
      <c r="BP321" s="25">
        <f t="shared" si="1028"/>
        <v>4</v>
      </c>
      <c r="BR321" s="4">
        <f t="shared" si="1087"/>
        <v>67.309999999999988</v>
      </c>
      <c r="BV321" s="9"/>
      <c r="BX321" s="9"/>
      <c r="BY321" s="9"/>
      <c r="BZ321" s="9">
        <f t="shared" si="1088"/>
        <v>67.309999999999988</v>
      </c>
      <c r="CA321" s="9">
        <f t="shared" si="1089"/>
        <v>123.18999999999998</v>
      </c>
      <c r="CB321" s="9">
        <f t="shared" si="943"/>
        <v>1.7823677548771022</v>
      </c>
      <c r="CC321" s="40">
        <f t="shared" si="1111"/>
        <v>20</v>
      </c>
      <c r="CD321" s="9">
        <f t="shared" si="1090"/>
        <v>0.05</v>
      </c>
      <c r="CE321" s="9">
        <f t="shared" si="1091"/>
        <v>0.8</v>
      </c>
      <c r="CF321" s="9">
        <f t="shared" si="1092"/>
        <v>0.99524931562137331</v>
      </c>
      <c r="CG321" s="9">
        <f t="shared" si="1093"/>
        <v>0.68</v>
      </c>
      <c r="CH321" s="9">
        <f t="shared" si="944"/>
        <v>1.8702904607807274</v>
      </c>
      <c r="CI321" s="9">
        <f t="shared" si="945"/>
        <v>4.6757261519518183</v>
      </c>
      <c r="CJ321" s="40">
        <v>1</v>
      </c>
      <c r="CK321" s="9">
        <f t="shared" si="946"/>
        <v>452.42326246285791</v>
      </c>
      <c r="CM321" s="4">
        <f t="shared" si="1094"/>
        <v>1.5710468122095345</v>
      </c>
      <c r="CN321" s="4">
        <f t="shared" si="1095"/>
        <v>0.47226601043541899</v>
      </c>
      <c r="CO321" s="4">
        <f t="shared" si="1062"/>
        <v>0.8799612495668504</v>
      </c>
      <c r="CP321" s="4">
        <f t="shared" si="1096"/>
        <v>1.3261917540087973</v>
      </c>
      <c r="CQ321" s="4">
        <f t="shared" si="1035"/>
        <v>0.86504992090891586</v>
      </c>
      <c r="CR321" s="4">
        <f t="shared" si="1036"/>
        <v>0.87025939203289582</v>
      </c>
      <c r="CS321" s="4">
        <f t="shared" si="1063"/>
        <v>1.099511672686895</v>
      </c>
      <c r="CT321" s="4">
        <f t="shared" si="1112"/>
        <v>4</v>
      </c>
      <c r="DA321" s="4">
        <f t="shared" ref="DA321:DB321" si="1130">CM321</f>
        <v>1.5710468122095345</v>
      </c>
      <c r="DB321" s="4">
        <f t="shared" si="1130"/>
        <v>0.47226601043541899</v>
      </c>
      <c r="DC321" s="4">
        <f t="shared" ref="DC321" si="1131">CP321</f>
        <v>1.3261917540087973</v>
      </c>
      <c r="DD321" s="4">
        <f t="shared" ref="DD321" si="1132">CS321</f>
        <v>1.099511672686895</v>
      </c>
      <c r="DE321" s="4">
        <f t="shared" ref="DE321:DF321" si="1133">CQ321</f>
        <v>0.86504992090891586</v>
      </c>
      <c r="DF321" s="4">
        <f t="shared" si="1133"/>
        <v>0.87025939203289582</v>
      </c>
      <c r="DI321" s="4">
        <f t="shared" si="1097"/>
        <v>233.42599999999999</v>
      </c>
      <c r="DL321" s="4">
        <f t="shared" si="999"/>
        <v>2.0241393166235661E-5</v>
      </c>
      <c r="DM321" s="4">
        <f t="shared" si="1000"/>
        <v>10.25167680187093</v>
      </c>
      <c r="DN321" s="4">
        <f t="shared" si="1001"/>
        <v>0.22250707617084689</v>
      </c>
      <c r="DO321" s="4">
        <f t="shared" si="1002"/>
        <v>5.6199498067632083</v>
      </c>
      <c r="DP321" s="4">
        <f t="shared" si="1003"/>
        <v>8.2694351166294009</v>
      </c>
      <c r="DQ321" s="4">
        <f t="shared" si="1004"/>
        <v>9.6247971060916608</v>
      </c>
      <c r="DR321" s="38">
        <f t="shared" si="1029"/>
        <v>693.6015893389997</v>
      </c>
      <c r="DS321" s="4">
        <f t="shared" si="1005"/>
        <v>1.0000944892265211</v>
      </c>
      <c r="DT321" s="4">
        <f t="shared" si="1006"/>
        <v>3.2403703492039297</v>
      </c>
      <c r="DU321" s="4">
        <f t="shared" si="1007"/>
        <v>411.50263232351193</v>
      </c>
      <c r="DY321" s="4">
        <f t="shared" si="1008"/>
        <v>0.85</v>
      </c>
      <c r="DZ321" s="4">
        <f t="shared" si="1009"/>
        <v>0.83499999999999996</v>
      </c>
      <c r="EA321" s="4">
        <f t="shared" si="1030"/>
        <v>0.99062499999999998</v>
      </c>
      <c r="EB321" s="4">
        <f t="shared" si="1010"/>
        <v>0.827171875</v>
      </c>
      <c r="ED321" s="4">
        <f t="shared" si="1031"/>
        <v>689.44961179726056</v>
      </c>
      <c r="EE321" s="25">
        <f t="shared" si="1032"/>
        <v>406.81088236967901</v>
      </c>
      <c r="EG321" s="4">
        <f t="shared" si="932"/>
        <v>0.70309609374999993</v>
      </c>
      <c r="EH321" s="4">
        <f t="shared" si="1033"/>
        <v>10.25167680187093</v>
      </c>
      <c r="EK321" s="4">
        <f t="shared" si="1011"/>
        <v>82.305406869779816</v>
      </c>
      <c r="EL321" s="4">
        <f t="shared" si="1012"/>
        <v>3.2403703492039302</v>
      </c>
      <c r="EM321" s="4">
        <f t="shared" si="1013"/>
        <v>9.6068123230730482E-2</v>
      </c>
      <c r="EP321" s="4">
        <f t="shared" si="1113"/>
        <v>9.6068123230730482E-2</v>
      </c>
      <c r="EQ321" s="4">
        <f t="shared" si="951"/>
        <v>0.22213575333039937</v>
      </c>
      <c r="ER321" s="4">
        <f t="shared" si="1014"/>
        <v>5.6161964674192566</v>
      </c>
      <c r="ES321" s="4">
        <f t="shared" si="1098"/>
        <v>8.2681694572947251</v>
      </c>
      <c r="ET321" s="4">
        <f t="shared" si="1015"/>
        <v>92.764093130220189</v>
      </c>
      <c r="EU321" s="4">
        <f t="shared" si="1016"/>
        <v>58.356499999999997</v>
      </c>
      <c r="EV321" s="4">
        <f t="shared" si="952"/>
        <v>2.0241393166235661E-5</v>
      </c>
      <c r="EW321" s="4">
        <f t="shared" si="1099"/>
        <v>9.6249719222359911</v>
      </c>
      <c r="EX321" s="4">
        <f t="shared" si="965"/>
        <v>693.5360576533476</v>
      </c>
      <c r="FG321" s="23">
        <f t="shared" si="878"/>
        <v>1.6</v>
      </c>
      <c r="FH321" s="23">
        <f t="shared" si="878"/>
        <v>0.6</v>
      </c>
      <c r="FI321" s="23">
        <f t="shared" si="1068"/>
        <v>1.2</v>
      </c>
      <c r="FJ321" s="23">
        <f t="shared" si="879"/>
        <v>1.4</v>
      </c>
      <c r="FK321" s="23">
        <f t="shared" si="879"/>
        <v>1</v>
      </c>
      <c r="FL321" s="23">
        <f t="shared" si="879"/>
        <v>1</v>
      </c>
      <c r="FM321" s="23">
        <f t="shared" si="1037"/>
        <v>0</v>
      </c>
      <c r="FN321" s="23"/>
      <c r="FX321" s="4">
        <f t="shared" si="915"/>
        <v>1</v>
      </c>
      <c r="FY321" s="4">
        <f t="shared" si="975"/>
        <v>0.47187499999999999</v>
      </c>
      <c r="FZ321" s="4">
        <f t="shared" si="916"/>
        <v>0.14062499999999997</v>
      </c>
      <c r="GA321" s="4">
        <f t="shared" si="917"/>
        <v>545.69679877410488</v>
      </c>
    </row>
    <row r="322" spans="1:183" ht="12" customHeight="1" x14ac:dyDescent="0.3">
      <c r="A322" s="25">
        <v>304</v>
      </c>
      <c r="B322" s="4" t="s">
        <v>605</v>
      </c>
      <c r="C322" s="4">
        <v>2016</v>
      </c>
      <c r="D322" s="4" t="s">
        <v>309</v>
      </c>
      <c r="E322" s="24" t="s">
        <v>669</v>
      </c>
      <c r="F322" s="7" t="s">
        <v>465</v>
      </c>
      <c r="G322" s="38">
        <f>120/0.145</f>
        <v>827.58620689655174</v>
      </c>
      <c r="H322" s="38">
        <f>9.25*25.4</f>
        <v>234.95</v>
      </c>
      <c r="I322" s="4">
        <f t="shared" si="1100"/>
        <v>234.95</v>
      </c>
      <c r="J322" s="38">
        <f>9040/145</f>
        <v>62.344827586206897</v>
      </c>
      <c r="K322" s="38">
        <f t="shared" si="1101"/>
        <v>25.4</v>
      </c>
      <c r="L322" s="7">
        <f t="shared" si="1102"/>
        <v>9.25</v>
      </c>
      <c r="M322" s="7">
        <f t="shared" si="1103"/>
        <v>9.25</v>
      </c>
      <c r="N322" s="38">
        <f>14*25.4</f>
        <v>355.59999999999997</v>
      </c>
      <c r="O322" s="38">
        <f>2.5*25.4</f>
        <v>63.5</v>
      </c>
      <c r="P322" s="39">
        <f>3.3*25.4</f>
        <v>83.82</v>
      </c>
      <c r="Q322" s="7">
        <f t="shared" si="1104"/>
        <v>76.199999999999989</v>
      </c>
      <c r="R322" s="38">
        <v>3</v>
      </c>
      <c r="S322" s="4">
        <f t="shared" si="1081"/>
        <v>260.34999999999997</v>
      </c>
      <c r="T322" s="7">
        <f t="shared" si="1105"/>
        <v>1.9999999999999998</v>
      </c>
      <c r="U322" s="7">
        <f t="shared" si="958"/>
        <v>3</v>
      </c>
      <c r="V322" s="38">
        <v>9.5</v>
      </c>
      <c r="W322" s="4">
        <f t="shared" si="1106"/>
        <v>9.5</v>
      </c>
      <c r="X322" s="4">
        <f t="shared" si="1107"/>
        <v>10.5</v>
      </c>
      <c r="Y322" s="7">
        <f t="shared" si="1108"/>
        <v>82.305406869779816</v>
      </c>
      <c r="AB322" s="38">
        <f t="shared" si="885"/>
        <v>351.72413793103453</v>
      </c>
      <c r="AC322" s="4">
        <v>51</v>
      </c>
      <c r="AD322" s="4">
        <f t="shared" si="998"/>
        <v>0.77187994815402661</v>
      </c>
      <c r="AE322" s="38">
        <v>0</v>
      </c>
      <c r="AF322" s="38">
        <v>0</v>
      </c>
      <c r="AG322" s="39">
        <f t="shared" ref="AG322" si="1134">I322</f>
        <v>234.95</v>
      </c>
      <c r="AH322" s="39"/>
      <c r="AI322" s="39"/>
      <c r="AJ322" s="7"/>
      <c r="AK322" s="4">
        <f t="shared" si="1109"/>
        <v>234.95</v>
      </c>
      <c r="AL322" s="4">
        <f t="shared" si="1018"/>
        <v>0.50450450450450446</v>
      </c>
      <c r="AM322" s="4">
        <f t="shared" si="1019"/>
        <v>187.06167500766796</v>
      </c>
      <c r="AN322" s="4">
        <f t="shared" si="1020"/>
        <v>0.76486486486486482</v>
      </c>
      <c r="AO322" s="4">
        <v>1.25</v>
      </c>
      <c r="AP322" s="4">
        <f t="shared" si="933"/>
        <v>2.5</v>
      </c>
      <c r="AQ322" s="38">
        <f t="shared" si="1082"/>
        <v>225.57169356597893</v>
      </c>
      <c r="AR322" s="38">
        <f t="shared" si="1021"/>
        <v>225.57169356597893</v>
      </c>
      <c r="AS322" s="38">
        <f t="shared" si="1022"/>
        <v>4.4175343619879603</v>
      </c>
      <c r="AT322" s="38">
        <f t="shared" si="940"/>
        <v>225.57169356597893</v>
      </c>
      <c r="AU322" s="38">
        <f t="shared" si="910"/>
        <v>1</v>
      </c>
      <c r="AV322" s="38">
        <f t="shared" si="941"/>
        <v>4.089016547523733</v>
      </c>
      <c r="AW322" s="4">
        <f t="shared" si="942"/>
        <v>0</v>
      </c>
      <c r="AX322" s="4">
        <f t="shared" si="1110"/>
        <v>384.40439630517841</v>
      </c>
      <c r="AY322" s="4">
        <f t="shared" si="1083"/>
        <v>1.2000000000000002</v>
      </c>
      <c r="AZ322" s="38">
        <f t="shared" si="953"/>
        <v>922.36638764424072</v>
      </c>
      <c r="BA322" s="4">
        <f t="shared" si="1084"/>
        <v>0.3</v>
      </c>
      <c r="BB322" s="4">
        <f t="shared" si="1085"/>
        <v>60.255389120836725</v>
      </c>
      <c r="BC322" s="4">
        <f t="shared" si="1086"/>
        <v>982.62177676507747</v>
      </c>
      <c r="BE322" s="4">
        <f t="shared" si="934"/>
        <v>1.375</v>
      </c>
      <c r="BF322" s="4">
        <f t="shared" si="935"/>
        <v>626.98175166276042</v>
      </c>
      <c r="BH322" s="4">
        <f t="shared" si="959"/>
        <v>884.6621638098693</v>
      </c>
      <c r="BI322" s="4">
        <f t="shared" si="905"/>
        <v>0</v>
      </c>
      <c r="BJ322" s="4">
        <f t="shared" si="960"/>
        <v>0</v>
      </c>
      <c r="BK322" s="4">
        <f t="shared" si="1023"/>
        <v>44.499999999999993</v>
      </c>
      <c r="BL322" s="4">
        <f t="shared" si="1024"/>
        <v>44.499999999999993</v>
      </c>
      <c r="BM322" s="4">
        <f t="shared" si="1025"/>
        <v>260.34999999999997</v>
      </c>
      <c r="BN322" s="4">
        <f t="shared" si="1026"/>
        <v>57.199999999999989</v>
      </c>
      <c r="BO322" s="4">
        <f t="shared" si="1027"/>
        <v>1.25</v>
      </c>
      <c r="BP322" s="25">
        <f t="shared" si="1028"/>
        <v>2.8149606299212593</v>
      </c>
      <c r="BR322" s="4">
        <f t="shared" si="1087"/>
        <v>38.099999999999994</v>
      </c>
      <c r="BV322" s="9"/>
      <c r="BX322" s="9"/>
      <c r="BY322" s="9"/>
      <c r="BZ322" s="9">
        <f t="shared" si="1088"/>
        <v>38.099999999999994</v>
      </c>
      <c r="CA322" s="9">
        <f t="shared" si="1089"/>
        <v>63.5</v>
      </c>
      <c r="CB322" s="9">
        <f t="shared" si="943"/>
        <v>1.3222785168171165</v>
      </c>
      <c r="CC322" s="40">
        <f t="shared" si="1111"/>
        <v>20</v>
      </c>
      <c r="CD322" s="9">
        <f t="shared" si="1090"/>
        <v>0</v>
      </c>
      <c r="CE322" s="9">
        <f t="shared" si="1091"/>
        <v>0</v>
      </c>
      <c r="CF322" s="9">
        <f t="shared" si="1092"/>
        <v>0.99524931562137331</v>
      </c>
      <c r="CG322" s="9">
        <f t="shared" si="1093"/>
        <v>0.68</v>
      </c>
      <c r="CH322" s="9">
        <f t="shared" si="944"/>
        <v>1.8702904607807274</v>
      </c>
      <c r="CI322" s="9">
        <f t="shared" si="945"/>
        <v>2.4730448964983416</v>
      </c>
      <c r="CJ322" s="40">
        <v>1</v>
      </c>
      <c r="CK322" s="9">
        <f t="shared" si="946"/>
        <v>239.88535496033913</v>
      </c>
      <c r="CM322" s="4">
        <f t="shared" si="1094"/>
        <v>0.91498469141284478</v>
      </c>
      <c r="CN322" s="4">
        <f t="shared" si="1095"/>
        <v>0.35794457872586288</v>
      </c>
      <c r="CO322" s="4">
        <f t="shared" si="1062"/>
        <v>0.56097986424367119</v>
      </c>
      <c r="CP322" s="4">
        <f t="shared" si="1096"/>
        <v>1.4662176354583463</v>
      </c>
      <c r="CQ322" s="4">
        <f t="shared" si="1035"/>
        <v>0.77187994815402661</v>
      </c>
      <c r="CR322" s="4">
        <f t="shared" si="1036"/>
        <v>0.74722430214469848</v>
      </c>
      <c r="CS322" s="4">
        <f t="shared" si="1063"/>
        <v>0.94993877984601438</v>
      </c>
      <c r="CT322" s="4">
        <f t="shared" si="1112"/>
        <v>0</v>
      </c>
      <c r="CU322" s="4">
        <f t="shared" ref="CU322:CV322" si="1135">CM322</f>
        <v>0.91498469141284478</v>
      </c>
      <c r="CV322" s="4">
        <f t="shared" si="1135"/>
        <v>0.35794457872586288</v>
      </c>
      <c r="CW322" s="4">
        <f t="shared" ref="CW322" si="1136">CP322</f>
        <v>1.4662176354583463</v>
      </c>
      <c r="CX322" s="4">
        <f t="shared" ref="CX322" si="1137">CS322</f>
        <v>0.94993877984601438</v>
      </c>
      <c r="CY322" s="4">
        <f t="shared" ref="CY322:CZ322" si="1138">CQ322</f>
        <v>0.77187994815402661</v>
      </c>
      <c r="CZ322" s="4">
        <f t="shared" si="1138"/>
        <v>0.74722430214469848</v>
      </c>
      <c r="DI322" s="4">
        <f t="shared" si="1097"/>
        <v>234.95</v>
      </c>
      <c r="DL322" s="4">
        <f t="shared" si="999"/>
        <v>2.0373545896374304E-5</v>
      </c>
      <c r="DM322" s="4">
        <f t="shared" si="1000"/>
        <v>8.9262091811553486</v>
      </c>
      <c r="DN322" s="4">
        <f t="shared" si="1001"/>
        <v>0.12197078234681423</v>
      </c>
      <c r="DO322" s="4">
        <f t="shared" si="1002"/>
        <v>3.8474181010001449</v>
      </c>
      <c r="DP322" s="4">
        <f t="shared" si="1003"/>
        <v>6.8798040749591918</v>
      </c>
      <c r="DQ322" s="4">
        <f t="shared" si="1004"/>
        <v>8.4854089879150845</v>
      </c>
      <c r="DR322" s="38">
        <f t="shared" si="1029"/>
        <v>455.67207539487595</v>
      </c>
      <c r="DS322" s="4">
        <f t="shared" si="1005"/>
        <v>1.0000938902297358</v>
      </c>
      <c r="DT322" s="4">
        <f t="shared" si="1006"/>
        <v>3.2403703492039297</v>
      </c>
      <c r="DU322" s="4">
        <f t="shared" si="1007"/>
        <v>225.57169356597893</v>
      </c>
      <c r="DY322" s="4">
        <f t="shared" si="1008"/>
        <v>0.85</v>
      </c>
      <c r="DZ322" s="4">
        <f t="shared" si="1009"/>
        <v>0.95</v>
      </c>
      <c r="EA322" s="4">
        <f t="shared" si="1030"/>
        <v>1</v>
      </c>
      <c r="EB322" s="4">
        <f t="shared" si="1010"/>
        <v>0.95</v>
      </c>
      <c r="ED322" s="4">
        <f t="shared" si="1031"/>
        <v>470.70757324341395</v>
      </c>
      <c r="EE322" s="25">
        <f t="shared" si="1032"/>
        <v>223.00526846635302</v>
      </c>
      <c r="EG322" s="4">
        <f t="shared" si="932"/>
        <v>0.8075</v>
      </c>
      <c r="EH322" s="4">
        <f t="shared" si="1033"/>
        <v>8.9262091811553486</v>
      </c>
      <c r="EK322" s="4">
        <f t="shared" si="1011"/>
        <v>82.305406869779816</v>
      </c>
      <c r="EL322" s="4">
        <f t="shared" si="1012"/>
        <v>3.2403703492039302</v>
      </c>
      <c r="EM322" s="4">
        <f t="shared" si="1013"/>
        <v>5.2661265208686421E-2</v>
      </c>
      <c r="EP322" s="4">
        <f t="shared" si="1113"/>
        <v>5.2661265208686421E-2</v>
      </c>
      <c r="EQ322" s="4">
        <f t="shared" si="951"/>
        <v>0.12176723584334105</v>
      </c>
      <c r="ER322" s="4">
        <f t="shared" si="1014"/>
        <v>3.8448485645758632</v>
      </c>
      <c r="ES322" s="4">
        <f t="shared" si="1098"/>
        <v>6.8791009663372167</v>
      </c>
      <c r="ET322" s="4">
        <f t="shared" si="1015"/>
        <v>93.907093130220161</v>
      </c>
      <c r="EU322" s="4">
        <f t="shared" si="1016"/>
        <v>58.737500000000026</v>
      </c>
      <c r="EV322" s="4">
        <f t="shared" si="952"/>
        <v>2.0373545896374314E-5</v>
      </c>
      <c r="EW322" s="4">
        <f t="shared" si="1099"/>
        <v>8.4855088575581235</v>
      </c>
      <c r="EX322" s="4">
        <f t="shared" si="965"/>
        <v>455.62929625557615</v>
      </c>
      <c r="FG322" s="23">
        <f t="shared" si="878"/>
        <v>1</v>
      </c>
      <c r="FH322" s="23">
        <f t="shared" si="878"/>
        <v>0.6</v>
      </c>
      <c r="FI322" s="23">
        <f t="shared" si="1068"/>
        <v>1</v>
      </c>
      <c r="FJ322" s="23">
        <f t="shared" si="879"/>
        <v>1.6</v>
      </c>
      <c r="FK322" s="23">
        <f t="shared" si="879"/>
        <v>0.8</v>
      </c>
      <c r="FL322" s="23">
        <f t="shared" si="879"/>
        <v>0.8</v>
      </c>
      <c r="FM322" s="23">
        <f t="shared" si="1037"/>
        <v>1</v>
      </c>
      <c r="FN322" s="23"/>
      <c r="FX322" s="4">
        <f t="shared" si="915"/>
        <v>1</v>
      </c>
      <c r="FY322" s="4">
        <f t="shared" si="975"/>
        <v>0.70000000000000007</v>
      </c>
      <c r="FZ322" s="4">
        <f t="shared" si="916"/>
        <v>0</v>
      </c>
      <c r="GA322" s="4">
        <f t="shared" si="917"/>
        <v>370.25979504494933</v>
      </c>
    </row>
    <row r="323" spans="1:183" ht="12" customHeight="1" x14ac:dyDescent="0.3">
      <c r="A323" s="25">
        <v>305</v>
      </c>
      <c r="B323" s="4" t="s">
        <v>605</v>
      </c>
      <c r="C323" s="4">
        <v>2016</v>
      </c>
      <c r="D323" s="4" t="s">
        <v>309</v>
      </c>
      <c r="E323" s="24" t="s">
        <v>669</v>
      </c>
      <c r="F323" s="7" t="s">
        <v>466</v>
      </c>
      <c r="G323" s="38">
        <f>120/0.145</f>
        <v>827.58620689655174</v>
      </c>
      <c r="H323" s="38">
        <f>9.58*25.4</f>
        <v>243.33199999999999</v>
      </c>
      <c r="I323" s="4">
        <f t="shared" si="1100"/>
        <v>243.33199999999999</v>
      </c>
      <c r="J323" s="38">
        <f>9040/145</f>
        <v>62.344827586206897</v>
      </c>
      <c r="K323" s="38">
        <f t="shared" si="1101"/>
        <v>25.4</v>
      </c>
      <c r="L323" s="7">
        <f t="shared" si="1102"/>
        <v>9.58</v>
      </c>
      <c r="M323" s="7">
        <f t="shared" si="1103"/>
        <v>9.58</v>
      </c>
      <c r="N323" s="38">
        <f>14*25.4</f>
        <v>355.59999999999997</v>
      </c>
      <c r="O323" s="38">
        <f t="shared" si="1114"/>
        <v>63.5</v>
      </c>
      <c r="P323" s="39">
        <f>3.2*25.4</f>
        <v>81.28</v>
      </c>
      <c r="Q323" s="7">
        <f t="shared" si="1104"/>
        <v>76.199999999999989</v>
      </c>
      <c r="R323" s="38">
        <v>3</v>
      </c>
      <c r="S323" s="4">
        <f t="shared" si="1081"/>
        <v>260.34999999999997</v>
      </c>
      <c r="T323" s="7">
        <f t="shared" si="1105"/>
        <v>1.9999999999999998</v>
      </c>
      <c r="U323" s="7">
        <f t="shared" si="958"/>
        <v>3</v>
      </c>
      <c r="V323" s="38">
        <v>9.5</v>
      </c>
      <c r="W323" s="4">
        <f t="shared" si="1106"/>
        <v>9.5</v>
      </c>
      <c r="X323" s="4">
        <f t="shared" si="1107"/>
        <v>10.5</v>
      </c>
      <c r="Y323" s="7">
        <f t="shared" si="1108"/>
        <v>82.305406869779816</v>
      </c>
      <c r="AB323" s="38">
        <f t="shared" si="885"/>
        <v>452.41379310344826</v>
      </c>
      <c r="AC323" s="4">
        <v>65.599999999999994</v>
      </c>
      <c r="AD323" s="4">
        <f t="shared" si="998"/>
        <v>0.96079814882500592</v>
      </c>
      <c r="AE323" s="38">
        <f>0.375*25.4</f>
        <v>9.5249999999999986</v>
      </c>
      <c r="AF323" s="38">
        <v>4</v>
      </c>
      <c r="AG323" s="39">
        <f>6*25.4</f>
        <v>152.39999999999998</v>
      </c>
      <c r="AH323" s="39">
        <v>1</v>
      </c>
      <c r="AI323" s="39">
        <v>1</v>
      </c>
      <c r="AJ323" s="7"/>
      <c r="AK323" s="4">
        <f t="shared" si="1109"/>
        <v>243.33199999999999</v>
      </c>
      <c r="AL323" s="4">
        <f t="shared" si="1018"/>
        <v>0.48712595685455812</v>
      </c>
      <c r="AM323" s="4">
        <f t="shared" si="1019"/>
        <v>197.16075989632159</v>
      </c>
      <c r="AN323" s="4">
        <f t="shared" si="1020"/>
        <v>0.76263048016701451</v>
      </c>
      <c r="AO323" s="4">
        <v>1.25</v>
      </c>
      <c r="AP323" s="4">
        <f t="shared" si="933"/>
        <v>2.5</v>
      </c>
      <c r="AQ323" s="38">
        <f t="shared" si="1082"/>
        <v>228.88953438778191</v>
      </c>
      <c r="AR323" s="38">
        <f t="shared" si="1021"/>
        <v>228.88953438778191</v>
      </c>
      <c r="AS323" s="38">
        <f t="shared" si="1022"/>
        <v>4.4175343619879603</v>
      </c>
      <c r="AT323" s="38">
        <f t="shared" si="940"/>
        <v>228.88953438778174</v>
      </c>
      <c r="AU323" s="38">
        <f t="shared" si="910"/>
        <v>1.0000000000000007</v>
      </c>
      <c r="AV323" s="38">
        <f t="shared" si="941"/>
        <v>4.0297446980759695</v>
      </c>
      <c r="AW323" s="4">
        <f t="shared" si="942"/>
        <v>0</v>
      </c>
      <c r="AX323" s="4">
        <f t="shared" si="1110"/>
        <v>398.1182828760659</v>
      </c>
      <c r="AY323" s="4">
        <f t="shared" si="1083"/>
        <v>1.2000000000000002</v>
      </c>
      <c r="AZ323" s="38">
        <f t="shared" si="953"/>
        <v>922.36638764424072</v>
      </c>
      <c r="BA323" s="4">
        <f t="shared" si="1084"/>
        <v>0.3</v>
      </c>
      <c r="BB323" s="4">
        <f t="shared" si="1085"/>
        <v>62.405040840823332</v>
      </c>
      <c r="BC323" s="4">
        <f t="shared" si="1086"/>
        <v>984.77142848506401</v>
      </c>
      <c r="BE323" s="4">
        <f t="shared" si="934"/>
        <v>1.5</v>
      </c>
      <c r="BF323" s="4">
        <f t="shared" si="935"/>
        <v>695.70546574112018</v>
      </c>
      <c r="BH323" s="4">
        <f t="shared" si="959"/>
        <v>884.6621638098693</v>
      </c>
      <c r="BI323" s="4">
        <f t="shared" si="905"/>
        <v>0</v>
      </c>
      <c r="BJ323" s="4">
        <f t="shared" si="960"/>
        <v>0</v>
      </c>
      <c r="BK323" s="4">
        <f t="shared" si="1023"/>
        <v>44.499999999999993</v>
      </c>
      <c r="BL323" s="4">
        <f t="shared" si="1024"/>
        <v>44.499999999999993</v>
      </c>
      <c r="BM323" s="4">
        <f t="shared" si="1025"/>
        <v>260.34999999999997</v>
      </c>
      <c r="BN323" s="4">
        <f t="shared" si="1026"/>
        <v>57.199999999999989</v>
      </c>
      <c r="BO323" s="4">
        <f t="shared" si="1027"/>
        <v>1.25</v>
      </c>
      <c r="BP323" s="25">
        <f t="shared" si="1028"/>
        <v>3.3858774782652183</v>
      </c>
      <c r="BR323" s="4">
        <f t="shared" si="1087"/>
        <v>38.099999999999994</v>
      </c>
      <c r="BV323" s="9"/>
      <c r="BX323" s="9"/>
      <c r="BY323" s="9"/>
      <c r="BZ323" s="9">
        <f t="shared" si="1088"/>
        <v>38.099999999999994</v>
      </c>
      <c r="CA323" s="9">
        <f t="shared" si="1089"/>
        <v>63.5</v>
      </c>
      <c r="CB323" s="9">
        <f t="shared" si="943"/>
        <v>1.3222785168171165</v>
      </c>
      <c r="CC323" s="40">
        <f t="shared" si="1111"/>
        <v>20</v>
      </c>
      <c r="CD323" s="9">
        <f t="shared" si="1090"/>
        <v>4.9087385212340517E-2</v>
      </c>
      <c r="CE323" s="9">
        <f t="shared" si="1091"/>
        <v>0.78174770424681028</v>
      </c>
      <c r="CF323" s="9">
        <f t="shared" si="1092"/>
        <v>0.99524931562137331</v>
      </c>
      <c r="CG323" s="9">
        <f t="shared" si="1093"/>
        <v>0.68</v>
      </c>
      <c r="CH323" s="9">
        <f t="shared" si="944"/>
        <v>1.8702904607807274</v>
      </c>
      <c r="CI323" s="9">
        <f t="shared" si="945"/>
        <v>3.9351401704883844</v>
      </c>
      <c r="CJ323" s="40">
        <v>1</v>
      </c>
      <c r="CK323" s="9">
        <f t="shared" si="946"/>
        <v>386.90298156241795</v>
      </c>
      <c r="CM323" s="4">
        <f t="shared" si="1094"/>
        <v>1.1363803486620696</v>
      </c>
      <c r="CN323" s="4">
        <f t="shared" si="1095"/>
        <v>0.45940995038759902</v>
      </c>
      <c r="CO323" s="4">
        <f t="shared" si="1062"/>
        <v>0.65029501043448246</v>
      </c>
      <c r="CP323" s="4">
        <f t="shared" si="1096"/>
        <v>1.1693210304983437</v>
      </c>
      <c r="CQ323" s="4">
        <f t="shared" si="1035"/>
        <v>0.96079814882500592</v>
      </c>
      <c r="CR323" s="4">
        <f t="shared" si="1036"/>
        <v>0.93212965513993562</v>
      </c>
      <c r="CS323" s="4">
        <f t="shared" si="1063"/>
        <v>1.1355499502132003</v>
      </c>
      <c r="CT323" s="4">
        <f t="shared" si="1112"/>
        <v>4</v>
      </c>
      <c r="DA323" s="4">
        <f t="shared" ref="DA323:DB323" si="1139">CM323</f>
        <v>1.1363803486620696</v>
      </c>
      <c r="DB323" s="4">
        <f t="shared" si="1139"/>
        <v>0.45940995038759902</v>
      </c>
      <c r="DC323" s="4">
        <f t="shared" ref="DC323" si="1140">CP323</f>
        <v>1.1693210304983437</v>
      </c>
      <c r="DD323" s="4">
        <f t="shared" ref="DD323" si="1141">CS323</f>
        <v>1.1355499502132003</v>
      </c>
      <c r="DE323" s="4">
        <f t="shared" ref="DE323:DF323" si="1142">CQ323</f>
        <v>0.96079814882500592</v>
      </c>
      <c r="DF323" s="4">
        <f t="shared" si="1142"/>
        <v>0.93212965513993562</v>
      </c>
      <c r="DI323" s="4">
        <f t="shared" si="1097"/>
        <v>243.33199999999999</v>
      </c>
      <c r="DL323" s="4">
        <f t="shared" si="999"/>
        <v>2.1100385912136846E-5</v>
      </c>
      <c r="DM323" s="4">
        <f t="shared" si="1000"/>
        <v>9.0106843469076061</v>
      </c>
      <c r="DN323" s="4">
        <f t="shared" si="1001"/>
        <v>0.12376480017919407</v>
      </c>
      <c r="DO323" s="4">
        <f t="shared" si="1002"/>
        <v>3.906579207130604</v>
      </c>
      <c r="DP323" s="4">
        <f t="shared" si="1003"/>
        <v>6.951156618432341</v>
      </c>
      <c r="DQ323" s="4">
        <f t="shared" si="1004"/>
        <v>8.5249832580180538</v>
      </c>
      <c r="DR323" s="38">
        <f t="shared" si="1029"/>
        <v>470.87288173558733</v>
      </c>
      <c r="DS323" s="4">
        <f t="shared" si="1005"/>
        <v>1.0000936867373067</v>
      </c>
      <c r="DT323" s="4">
        <f t="shared" si="1006"/>
        <v>3.2403703492039297</v>
      </c>
      <c r="DU323" s="4">
        <f t="shared" si="1007"/>
        <v>228.88953438778174</v>
      </c>
      <c r="DY323" s="4">
        <f t="shared" si="1008"/>
        <v>0.85</v>
      </c>
      <c r="DZ323" s="4">
        <f t="shared" si="1009"/>
        <v>0.95</v>
      </c>
      <c r="EA323" s="4">
        <f t="shared" si="1030"/>
        <v>0.99062499999999998</v>
      </c>
      <c r="EB323" s="4">
        <f t="shared" si="1010"/>
        <v>0.94109374999999995</v>
      </c>
      <c r="ED323" s="4">
        <f t="shared" si="1031"/>
        <v>485.35500464850008</v>
      </c>
      <c r="EE323" s="25">
        <f t="shared" si="1032"/>
        <v>226.38793651837554</v>
      </c>
      <c r="EG323" s="4">
        <f t="shared" si="932"/>
        <v>0.79992968749999993</v>
      </c>
      <c r="EH323" s="4">
        <f t="shared" si="1033"/>
        <v>9.0106843469076061</v>
      </c>
      <c r="EK323" s="4">
        <f t="shared" si="1011"/>
        <v>82.305406869779816</v>
      </c>
      <c r="EL323" s="4">
        <f t="shared" si="1012"/>
        <v>3.2403703492039302</v>
      </c>
      <c r="EM323" s="4">
        <f t="shared" si="1013"/>
        <v>5.3435837996056383E-2</v>
      </c>
      <c r="EP323" s="4">
        <f t="shared" si="1113"/>
        <v>5.3435837996056383E-2</v>
      </c>
      <c r="EQ323" s="4">
        <f t="shared" si="951"/>
        <v>0.1235582597943181</v>
      </c>
      <c r="ER323" s="4">
        <f t="shared" si="1014"/>
        <v>3.9039701593734981</v>
      </c>
      <c r="ES323" s="4">
        <f t="shared" si="1098"/>
        <v>6.9504388324651538</v>
      </c>
      <c r="ET323" s="4">
        <f t="shared" si="1015"/>
        <v>100.19359313022018</v>
      </c>
      <c r="EU323" s="4">
        <f t="shared" si="1016"/>
        <v>60.833000000000013</v>
      </c>
      <c r="EV323" s="4">
        <f t="shared" si="952"/>
        <v>2.1100385912136853E-5</v>
      </c>
      <c r="EW323" s="4">
        <f t="shared" si="1099"/>
        <v>8.5250910149896661</v>
      </c>
      <c r="EX323" s="4">
        <f t="shared" si="965"/>
        <v>470.8287713241719</v>
      </c>
      <c r="FG323" s="23">
        <f t="shared" ref="FG323:FH386" si="1143">IF(CM323&lt;0.6,0.6,IF(CM323&lt;0.8,0.8,IF(CM323&lt;1,1,IF(CM323&lt;1.2,1.2,IF(CM323&lt;1.4,1.4,IF(CM323&lt;1.6,1.6,IF(CM323&lt;1.8,1.8,IF(CM323&lt;2,2,2.2))))))))</f>
        <v>1.2</v>
      </c>
      <c r="FH323" s="23">
        <f t="shared" si="1143"/>
        <v>0.6</v>
      </c>
      <c r="FI323" s="23">
        <f t="shared" si="1068"/>
        <v>1.2</v>
      </c>
      <c r="FJ323" s="23">
        <f t="shared" ref="FJ323:FL386" si="1144">IF(CP323&lt;0.6,0.6,IF(CP323&lt;0.8,0.8,IF(CP323&lt;1,1,IF(CP323&lt;1.2,1.2,IF(CP323&lt;1.4,1.4,IF(CP323&lt;1.6,1.6,IF(CP323&lt;1.8,1.8,IF(CP323&lt;2,2,2.2))))))))</f>
        <v>1.2</v>
      </c>
      <c r="FK323" s="23">
        <f t="shared" si="1144"/>
        <v>1</v>
      </c>
      <c r="FL323" s="23">
        <f t="shared" si="1144"/>
        <v>1</v>
      </c>
      <c r="FM323" s="23">
        <f t="shared" si="1037"/>
        <v>0</v>
      </c>
      <c r="FN323" s="23"/>
      <c r="FX323" s="4">
        <f t="shared" si="915"/>
        <v>1</v>
      </c>
      <c r="FY323" s="4">
        <f t="shared" si="975"/>
        <v>0.67375000000000007</v>
      </c>
      <c r="FZ323" s="4">
        <f t="shared" si="916"/>
        <v>9.3749999999999986E-2</v>
      </c>
      <c r="GA323" s="4">
        <f t="shared" si="917"/>
        <v>398.40941652853513</v>
      </c>
    </row>
    <row r="324" spans="1:183" ht="12" customHeight="1" x14ac:dyDescent="0.3">
      <c r="A324" s="25">
        <v>306</v>
      </c>
      <c r="B324" s="4" t="s">
        <v>605</v>
      </c>
      <c r="C324" s="4">
        <v>2016</v>
      </c>
      <c r="D324" s="4" t="s">
        <v>309</v>
      </c>
      <c r="E324" s="24" t="s">
        <v>669</v>
      </c>
      <c r="F324" s="7" t="s">
        <v>467</v>
      </c>
      <c r="G324" s="38">
        <f t="shared" ref="G324:G334" si="1145">120/0.145</f>
        <v>827.58620689655174</v>
      </c>
      <c r="H324" s="38">
        <f>9.5*25.4</f>
        <v>241.29999999999998</v>
      </c>
      <c r="I324" s="4">
        <f t="shared" si="1100"/>
        <v>241.29999999999998</v>
      </c>
      <c r="J324" s="38">
        <f>9940/145</f>
        <v>68.551724137931032</v>
      </c>
      <c r="K324" s="38">
        <f t="shared" si="1101"/>
        <v>25.4</v>
      </c>
      <c r="L324" s="7">
        <f t="shared" si="1102"/>
        <v>9.5</v>
      </c>
      <c r="M324" s="7">
        <f t="shared" si="1103"/>
        <v>9.5</v>
      </c>
      <c r="N324" s="38">
        <f>16*25.4</f>
        <v>406.4</v>
      </c>
      <c r="O324" s="38">
        <f t="shared" si="1114"/>
        <v>63.5</v>
      </c>
      <c r="P324" s="39">
        <f>3.3*25.4</f>
        <v>83.82</v>
      </c>
      <c r="Q324" s="7">
        <f t="shared" si="1104"/>
        <v>101.6</v>
      </c>
      <c r="R324" s="38">
        <v>3</v>
      </c>
      <c r="S324" s="4">
        <f t="shared" si="1081"/>
        <v>260.34999999999997</v>
      </c>
      <c r="T324" s="7">
        <f t="shared" si="1105"/>
        <v>2.5</v>
      </c>
      <c r="U324" s="7">
        <f t="shared" si="958"/>
        <v>3</v>
      </c>
      <c r="V324" s="38">
        <v>9.5</v>
      </c>
      <c r="W324" s="4">
        <f t="shared" si="1106"/>
        <v>9.5</v>
      </c>
      <c r="X324" s="4">
        <f t="shared" si="1107"/>
        <v>10.5</v>
      </c>
      <c r="Y324" s="7">
        <f t="shared" si="1108"/>
        <v>82.305406869779816</v>
      </c>
      <c r="AB324" s="38">
        <f t="shared" si="885"/>
        <v>388.27586206896552</v>
      </c>
      <c r="AC324" s="4">
        <v>56.3</v>
      </c>
      <c r="AD324" s="4">
        <f t="shared" si="998"/>
        <v>0.72179535196685451</v>
      </c>
      <c r="AE324" s="38">
        <v>0</v>
      </c>
      <c r="AF324" s="38">
        <v>0</v>
      </c>
      <c r="AG324" s="39">
        <f t="shared" ref="AG324" si="1146">I324</f>
        <v>241.29999999999998</v>
      </c>
      <c r="AH324" s="39"/>
      <c r="AI324" s="39"/>
      <c r="AJ324" s="7"/>
      <c r="AK324" s="4">
        <f t="shared" si="1109"/>
        <v>241.29999999999998</v>
      </c>
      <c r="AL324" s="4">
        <f t="shared" si="1018"/>
        <v>0.56140350877192979</v>
      </c>
      <c r="AM324" s="4">
        <f t="shared" si="1019"/>
        <v>204.15809498223462</v>
      </c>
      <c r="AN324" s="4">
        <f t="shared" si="1020"/>
        <v>0.76315789473684204</v>
      </c>
      <c r="AO324" s="4">
        <v>1.25</v>
      </c>
      <c r="AP324" s="4">
        <f t="shared" si="933"/>
        <v>2.5</v>
      </c>
      <c r="AQ324" s="38">
        <f t="shared" si="1082"/>
        <v>273.34186308794108</v>
      </c>
      <c r="AR324" s="38">
        <f t="shared" si="1021"/>
        <v>273.34186308794108</v>
      </c>
      <c r="AS324" s="38">
        <f t="shared" si="1022"/>
        <v>4.5752930713880566</v>
      </c>
      <c r="AT324" s="38">
        <f t="shared" si="940"/>
        <v>273.34186308794119</v>
      </c>
      <c r="AU324" s="38">
        <f t="shared" si="910"/>
        <v>0.99999999999999956</v>
      </c>
      <c r="AV324" s="38">
        <f t="shared" si="941"/>
        <v>4.1741475281539566</v>
      </c>
      <c r="AW324" s="4">
        <f t="shared" si="942"/>
        <v>0</v>
      </c>
      <c r="AX324" s="4">
        <f t="shared" si="1110"/>
        <v>413.97984292091752</v>
      </c>
      <c r="AY324" s="4">
        <f t="shared" si="1083"/>
        <v>1.08</v>
      </c>
      <c r="AZ324" s="38">
        <f t="shared" si="953"/>
        <v>1140.9692621495269</v>
      </c>
      <c r="BA324" s="4">
        <f t="shared" si="1084"/>
        <v>0.3</v>
      </c>
      <c r="BB324" s="4">
        <f t="shared" si="1085"/>
        <v>64.891340377853822</v>
      </c>
      <c r="BC324" s="4">
        <f t="shared" si="1086"/>
        <v>1205.8606025273807</v>
      </c>
      <c r="BE324" s="4">
        <f t="shared" si="934"/>
        <v>1.375</v>
      </c>
      <c r="BF324" s="4">
        <f t="shared" si="935"/>
        <v>665.99007229902611</v>
      </c>
      <c r="BH324" s="4">
        <f t="shared" si="959"/>
        <v>1094.329053849985</v>
      </c>
      <c r="BI324" s="4">
        <f t="shared" si="905"/>
        <v>0</v>
      </c>
      <c r="BJ324" s="4">
        <f t="shared" si="960"/>
        <v>0</v>
      </c>
      <c r="BK324" s="4">
        <f t="shared" si="1023"/>
        <v>57.199999999999996</v>
      </c>
      <c r="BL324" s="4">
        <f t="shared" si="1024"/>
        <v>57.199999999999996</v>
      </c>
      <c r="BM324" s="4">
        <f t="shared" si="1025"/>
        <v>260.34999999999997</v>
      </c>
      <c r="BN324" s="4">
        <f t="shared" si="1026"/>
        <v>69.899999999999991</v>
      </c>
      <c r="BO324" s="4">
        <f t="shared" si="1027"/>
        <v>1.25</v>
      </c>
      <c r="BP324" s="25">
        <f t="shared" si="1028"/>
        <v>3.4399606299212593</v>
      </c>
      <c r="BR324" s="4">
        <f t="shared" si="1087"/>
        <v>50.8</v>
      </c>
      <c r="BV324" s="9"/>
      <c r="BX324" s="9"/>
      <c r="BY324" s="9"/>
      <c r="BZ324" s="9">
        <f t="shared" si="1088"/>
        <v>50.8</v>
      </c>
      <c r="CA324" s="9">
        <f t="shared" si="1089"/>
        <v>63.5</v>
      </c>
      <c r="CB324" s="9">
        <f t="shared" si="943"/>
        <v>1.4623505735569622</v>
      </c>
      <c r="CC324" s="40">
        <f t="shared" si="1111"/>
        <v>20</v>
      </c>
      <c r="CD324" s="9">
        <f t="shared" si="1090"/>
        <v>0</v>
      </c>
      <c r="CE324" s="9">
        <f t="shared" si="1091"/>
        <v>0</v>
      </c>
      <c r="CF324" s="9">
        <f t="shared" si="1092"/>
        <v>0.99524931562137331</v>
      </c>
      <c r="CG324" s="9">
        <f t="shared" si="1093"/>
        <v>0.68</v>
      </c>
      <c r="CH324" s="9">
        <f t="shared" si="944"/>
        <v>1.9611826194568933</v>
      </c>
      <c r="CI324" s="9">
        <f t="shared" si="945"/>
        <v>2.8679365284127334</v>
      </c>
      <c r="CJ324" s="40">
        <v>1</v>
      </c>
      <c r="CK324" s="9">
        <f t="shared" si="946"/>
        <v>281.05777978444786</v>
      </c>
      <c r="CM324" s="4">
        <f t="shared" si="1094"/>
        <v>0.93791006665785359</v>
      </c>
      <c r="CN324" s="4">
        <f t="shared" si="1095"/>
        <v>0.32199066895060052</v>
      </c>
      <c r="CO324" s="4">
        <f t="shared" si="1062"/>
        <v>0.58300548044000222</v>
      </c>
      <c r="CP324" s="4">
        <f t="shared" si="1096"/>
        <v>1.3814805708874047</v>
      </c>
      <c r="CQ324" s="4">
        <f t="shared" si="1035"/>
        <v>0.72179535196685451</v>
      </c>
      <c r="CR324" s="4">
        <f t="shared" si="1036"/>
        <v>0.70351864336481917</v>
      </c>
      <c r="CS324" s="4">
        <f t="shared" si="1063"/>
        <v>0.92589724491094383</v>
      </c>
      <c r="CT324" s="4">
        <f t="shared" si="1112"/>
        <v>0</v>
      </c>
      <c r="CU324" s="4">
        <f t="shared" ref="CU324:CV324" si="1147">CM324</f>
        <v>0.93791006665785359</v>
      </c>
      <c r="CV324" s="4">
        <f t="shared" si="1147"/>
        <v>0.32199066895060052</v>
      </c>
      <c r="CW324" s="4">
        <f t="shared" ref="CW324" si="1148">CP324</f>
        <v>1.3814805708874047</v>
      </c>
      <c r="CX324" s="4">
        <f t="shared" ref="CX324" si="1149">CS324</f>
        <v>0.92589724491094383</v>
      </c>
      <c r="CY324" s="4">
        <f t="shared" ref="CY324:CZ324" si="1150">CQ324</f>
        <v>0.72179535196685451</v>
      </c>
      <c r="CZ324" s="4">
        <f t="shared" si="1150"/>
        <v>0.70351864336481917</v>
      </c>
      <c r="DI324" s="4">
        <f t="shared" si="1097"/>
        <v>241.29999999999998</v>
      </c>
      <c r="DL324" s="4">
        <f t="shared" si="999"/>
        <v>2.172887546527434E-5</v>
      </c>
      <c r="DM324" s="4">
        <f t="shared" si="1000"/>
        <v>9.8800042841059668</v>
      </c>
      <c r="DN324" s="4">
        <f t="shared" si="1001"/>
        <v>0.13441861169554761</v>
      </c>
      <c r="DO324" s="4">
        <f t="shared" si="1002"/>
        <v>4.4273198152976452</v>
      </c>
      <c r="DP324" s="4">
        <f t="shared" si="1003"/>
        <v>7.6619766176459025</v>
      </c>
      <c r="DQ324" s="4">
        <f t="shared" si="1004"/>
        <v>9.2787814635556796</v>
      </c>
      <c r="DR324" s="38">
        <f t="shared" si="1029"/>
        <v>537.93067662590806</v>
      </c>
      <c r="DS324" s="4">
        <f t="shared" si="1005"/>
        <v>1.0000930316890846</v>
      </c>
      <c r="DT324" s="4">
        <f t="shared" si="1006"/>
        <v>3.2403703492039297</v>
      </c>
      <c r="DU324" s="4">
        <f t="shared" si="1007"/>
        <v>273.34186308794119</v>
      </c>
      <c r="DY324" s="4">
        <f t="shared" si="1008"/>
        <v>0.85</v>
      </c>
      <c r="DZ324" s="4">
        <f t="shared" si="1009"/>
        <v>0.9</v>
      </c>
      <c r="EA324" s="4">
        <f t="shared" si="1030"/>
        <v>1</v>
      </c>
      <c r="EB324" s="4">
        <f t="shared" si="1010"/>
        <v>0.9</v>
      </c>
      <c r="ED324" s="4">
        <f t="shared" si="1031"/>
        <v>551.90557596583801</v>
      </c>
      <c r="EE324" s="25">
        <f t="shared" si="1032"/>
        <v>270.32545386881799</v>
      </c>
      <c r="EG324" s="4">
        <f t="shared" si="932"/>
        <v>0.76500000000000001</v>
      </c>
      <c r="EH324" s="4">
        <f t="shared" si="1033"/>
        <v>9.8800042841059668</v>
      </c>
      <c r="EK324" s="4">
        <f t="shared" si="1011"/>
        <v>82.305406869779816</v>
      </c>
      <c r="EL324" s="4">
        <f t="shared" si="1012"/>
        <v>3.2403703492039302</v>
      </c>
      <c r="EM324" s="4">
        <f t="shared" si="1013"/>
        <v>6.0856064294171258E-2</v>
      </c>
      <c r="EP324" s="4">
        <f t="shared" si="1113"/>
        <v>6.0856064294171258E-2</v>
      </c>
      <c r="EQ324" s="4">
        <f t="shared" si="951"/>
        <v>0.13419429208485137</v>
      </c>
      <c r="ER324" s="4">
        <f t="shared" si="1014"/>
        <v>4.4243629857489157</v>
      </c>
      <c r="ES324" s="4">
        <f t="shared" si="1098"/>
        <v>7.6611381748751528</v>
      </c>
      <c r="ET324" s="4">
        <f t="shared" si="1015"/>
        <v>98.669593130220179</v>
      </c>
      <c r="EU324" s="4">
        <f t="shared" si="1016"/>
        <v>60.324999999999974</v>
      </c>
      <c r="EV324" s="4">
        <f t="shared" si="952"/>
        <v>2.172887546527433E-5</v>
      </c>
      <c r="EW324" s="4">
        <f t="shared" si="1099"/>
        <v>9.2789196852003251</v>
      </c>
      <c r="EX324" s="4">
        <f t="shared" si="965"/>
        <v>537.88063668175164</v>
      </c>
      <c r="FG324" s="23">
        <f t="shared" si="1143"/>
        <v>1</v>
      </c>
      <c r="FH324" s="23">
        <f t="shared" si="1143"/>
        <v>0.6</v>
      </c>
      <c r="FI324" s="23">
        <f t="shared" si="1068"/>
        <v>1</v>
      </c>
      <c r="FJ324" s="23">
        <f t="shared" si="1144"/>
        <v>1.4</v>
      </c>
      <c r="FK324" s="23">
        <f t="shared" si="1144"/>
        <v>0.8</v>
      </c>
      <c r="FL324" s="23">
        <f t="shared" si="1144"/>
        <v>0.8</v>
      </c>
      <c r="FM324" s="23">
        <f t="shared" si="1037"/>
        <v>1</v>
      </c>
      <c r="FN324" s="23"/>
      <c r="FX324" s="4">
        <f t="shared" si="915"/>
        <v>1</v>
      </c>
      <c r="FY324" s="4">
        <f t="shared" si="975"/>
        <v>0.65</v>
      </c>
      <c r="FZ324" s="4">
        <f t="shared" si="916"/>
        <v>0</v>
      </c>
      <c r="GA324" s="4">
        <f t="shared" si="917"/>
        <v>419.35092063732333</v>
      </c>
    </row>
    <row r="325" spans="1:183" ht="12" customHeight="1" x14ac:dyDescent="0.3">
      <c r="A325" s="25">
        <v>307</v>
      </c>
      <c r="B325" s="4" t="s">
        <v>605</v>
      </c>
      <c r="C325" s="4">
        <v>2016</v>
      </c>
      <c r="D325" s="4" t="s">
        <v>309</v>
      </c>
      <c r="E325" s="24" t="s">
        <v>669</v>
      </c>
      <c r="F325" s="7" t="s">
        <v>468</v>
      </c>
      <c r="G325" s="38">
        <f t="shared" si="1145"/>
        <v>827.58620689655174</v>
      </c>
      <c r="H325" s="38">
        <f>9.42*25.4</f>
        <v>239.26799999999997</v>
      </c>
      <c r="I325" s="4">
        <f t="shared" si="1100"/>
        <v>239.26799999999997</v>
      </c>
      <c r="J325" s="38">
        <f>9940/145</f>
        <v>68.551724137931032</v>
      </c>
      <c r="K325" s="38">
        <f t="shared" si="1101"/>
        <v>25.4</v>
      </c>
      <c r="L325" s="7">
        <f t="shared" si="1102"/>
        <v>9.42</v>
      </c>
      <c r="M325" s="7">
        <f t="shared" si="1103"/>
        <v>9.42</v>
      </c>
      <c r="N325" s="38">
        <f>16*25.4</f>
        <v>406.4</v>
      </c>
      <c r="O325" s="38">
        <f t="shared" si="1114"/>
        <v>63.5</v>
      </c>
      <c r="P325" s="39">
        <f>3.4*25.4</f>
        <v>86.36</v>
      </c>
      <c r="Q325" s="7">
        <f t="shared" si="1104"/>
        <v>101.6</v>
      </c>
      <c r="R325" s="38">
        <v>3</v>
      </c>
      <c r="S325" s="4">
        <f t="shared" si="1081"/>
        <v>260.34999999999997</v>
      </c>
      <c r="T325" s="7">
        <f t="shared" si="1105"/>
        <v>2.5</v>
      </c>
      <c r="U325" s="7">
        <f t="shared" si="958"/>
        <v>3</v>
      </c>
      <c r="V325" s="38">
        <v>9.5</v>
      </c>
      <c r="W325" s="4">
        <f t="shared" si="1106"/>
        <v>9.5</v>
      </c>
      <c r="X325" s="4">
        <f t="shared" si="1107"/>
        <v>10.5</v>
      </c>
      <c r="Y325" s="7">
        <f t="shared" si="1108"/>
        <v>82.305406869779816</v>
      </c>
      <c r="AB325" s="38">
        <f t="shared" ref="AB325:AB388" si="1151">AC325/0.145</f>
        <v>488.27586206896552</v>
      </c>
      <c r="AC325" s="4">
        <v>70.8</v>
      </c>
      <c r="AD325" s="4">
        <f t="shared" si="998"/>
        <v>0.90958443196571492</v>
      </c>
      <c r="AE325" s="38">
        <f>0.375*25.4</f>
        <v>9.5249999999999986</v>
      </c>
      <c r="AF325" s="38">
        <v>4</v>
      </c>
      <c r="AG325" s="39">
        <f>6*25.4</f>
        <v>152.39999999999998</v>
      </c>
      <c r="AH325" s="39">
        <v>1</v>
      </c>
      <c r="AI325" s="39">
        <v>1</v>
      </c>
      <c r="AJ325" s="7"/>
      <c r="AK325" s="4">
        <f t="shared" si="1109"/>
        <v>239.26799999999997</v>
      </c>
      <c r="AL325" s="4">
        <f t="shared" si="1018"/>
        <v>0.56617126680820962</v>
      </c>
      <c r="AM325" s="4">
        <f t="shared" si="1019"/>
        <v>201.58469266666123</v>
      </c>
      <c r="AN325" s="4">
        <f t="shared" si="1020"/>
        <v>0.76369426751592351</v>
      </c>
      <c r="AO325" s="4">
        <v>1.25</v>
      </c>
      <c r="AP325" s="4">
        <f t="shared" si="933"/>
        <v>2.5</v>
      </c>
      <c r="AQ325" s="38">
        <f t="shared" si="1082"/>
        <v>272.37981990178423</v>
      </c>
      <c r="AR325" s="38">
        <f t="shared" si="1021"/>
        <v>272.37981990178423</v>
      </c>
      <c r="AS325" s="38">
        <f t="shared" si="1022"/>
        <v>4.5752930713880566</v>
      </c>
      <c r="AT325" s="38">
        <f t="shared" si="940"/>
        <v>272.37981990178383</v>
      </c>
      <c r="AU325" s="38">
        <f t="shared" si="910"/>
        <v>1.0000000000000016</v>
      </c>
      <c r="AV325" s="38">
        <f t="shared" si="941"/>
        <v>4.1888905813982245</v>
      </c>
      <c r="AW325" s="4">
        <f t="shared" si="942"/>
        <v>0</v>
      </c>
      <c r="AX325" s="4">
        <f t="shared" si="1110"/>
        <v>410.49369687526774</v>
      </c>
      <c r="AY325" s="4">
        <f t="shared" si="1083"/>
        <v>1.08</v>
      </c>
      <c r="AZ325" s="38">
        <f t="shared" si="953"/>
        <v>1140.9692621495269</v>
      </c>
      <c r="BA325" s="4">
        <f t="shared" si="1084"/>
        <v>0.3</v>
      </c>
      <c r="BB325" s="4">
        <f t="shared" si="1085"/>
        <v>64.344886985198201</v>
      </c>
      <c r="BC325" s="4">
        <f t="shared" si="1086"/>
        <v>1205.3141491347251</v>
      </c>
      <c r="BE325" s="4">
        <f t="shared" si="934"/>
        <v>1.5</v>
      </c>
      <c r="BF325" s="4">
        <f t="shared" si="935"/>
        <v>723.55396945717973</v>
      </c>
      <c r="BH325" s="4">
        <f t="shared" si="959"/>
        <v>1094.329053849985</v>
      </c>
      <c r="BI325" s="4">
        <f t="shared" si="905"/>
        <v>0</v>
      </c>
      <c r="BJ325" s="4">
        <f t="shared" si="960"/>
        <v>0</v>
      </c>
      <c r="BK325" s="4">
        <f t="shared" si="1023"/>
        <v>57.199999999999996</v>
      </c>
      <c r="BL325" s="4">
        <f t="shared" si="1024"/>
        <v>57.199999999999996</v>
      </c>
      <c r="BM325" s="4">
        <f t="shared" si="1025"/>
        <v>260.34999999999997</v>
      </c>
      <c r="BN325" s="4">
        <f t="shared" si="1026"/>
        <v>69.899999999999991</v>
      </c>
      <c r="BO325" s="4">
        <f t="shared" si="1027"/>
        <v>1.25</v>
      </c>
      <c r="BP325" s="25">
        <f t="shared" si="1028"/>
        <v>4</v>
      </c>
      <c r="BR325" s="4">
        <f t="shared" si="1087"/>
        <v>50.8</v>
      </c>
      <c r="BV325" s="9"/>
      <c r="BX325" s="9"/>
      <c r="BY325" s="9"/>
      <c r="BZ325" s="9">
        <f t="shared" si="1088"/>
        <v>50.8</v>
      </c>
      <c r="CA325" s="9">
        <f t="shared" si="1089"/>
        <v>63.5</v>
      </c>
      <c r="CB325" s="9">
        <f t="shared" si="943"/>
        <v>1.4623505735569622</v>
      </c>
      <c r="CC325" s="40">
        <f t="shared" si="1111"/>
        <v>20</v>
      </c>
      <c r="CD325" s="9">
        <f t="shared" si="1090"/>
        <v>4.9087385212340517E-2</v>
      </c>
      <c r="CE325" s="9">
        <f t="shared" si="1091"/>
        <v>0.78174770424681028</v>
      </c>
      <c r="CF325" s="9">
        <f t="shared" si="1092"/>
        <v>0.99524931562137331</v>
      </c>
      <c r="CG325" s="9">
        <f t="shared" si="1093"/>
        <v>0.68</v>
      </c>
      <c r="CH325" s="9">
        <f t="shared" si="944"/>
        <v>1.9611826194568933</v>
      </c>
      <c r="CI325" s="9">
        <f t="shared" si="945"/>
        <v>4.4010865387819056</v>
      </c>
      <c r="CJ325" s="40">
        <v>1</v>
      </c>
      <c r="CK325" s="9">
        <f t="shared" si="946"/>
        <v>429.89813310821648</v>
      </c>
      <c r="CM325" s="4">
        <f t="shared" si="1094"/>
        <v>1.1894844324913778</v>
      </c>
      <c r="CN325" s="4">
        <f t="shared" si="1095"/>
        <v>0.40510257215472878</v>
      </c>
      <c r="CO325" s="4">
        <f t="shared" si="1062"/>
        <v>0.67482991273653969</v>
      </c>
      <c r="CP325" s="4">
        <f t="shared" si="1096"/>
        <v>1.135794330016441</v>
      </c>
      <c r="CQ325" s="4">
        <f t="shared" si="1035"/>
        <v>0.90958443196571492</v>
      </c>
      <c r="CR325" s="4">
        <f t="shared" si="1036"/>
        <v>0.88584801505264343</v>
      </c>
      <c r="CS325" s="4">
        <f t="shared" si="1063"/>
        <v>1.1302150740598296</v>
      </c>
      <c r="CT325" s="4">
        <f t="shared" si="1112"/>
        <v>4</v>
      </c>
      <c r="DA325" s="4">
        <f t="shared" ref="DA325:DB325" si="1152">CM325</f>
        <v>1.1894844324913778</v>
      </c>
      <c r="DB325" s="4">
        <f t="shared" si="1152"/>
        <v>0.40510257215472878</v>
      </c>
      <c r="DC325" s="4">
        <f t="shared" ref="DC325" si="1153">CP325</f>
        <v>1.135794330016441</v>
      </c>
      <c r="DD325" s="4">
        <f t="shared" ref="DD325" si="1154">CS325</f>
        <v>1.1302150740598296</v>
      </c>
      <c r="DE325" s="4">
        <f t="shared" ref="DE325:DF325" si="1155">CQ325</f>
        <v>0.90958443196571492</v>
      </c>
      <c r="DF325" s="4">
        <f t="shared" si="1155"/>
        <v>0.88584801505264343</v>
      </c>
      <c r="DI325" s="4">
        <f t="shared" si="1097"/>
        <v>239.26799999999997</v>
      </c>
      <c r="DL325" s="4">
        <f t="shared" si="999"/>
        <v>2.154589546135624E-5</v>
      </c>
      <c r="DM325" s="4">
        <f t="shared" si="1000"/>
        <v>9.9735059019366208</v>
      </c>
      <c r="DN325" s="4">
        <f t="shared" si="1001"/>
        <v>0.13394551727812634</v>
      </c>
      <c r="DO325" s="4">
        <f t="shared" si="1002"/>
        <v>4.4629202110573463</v>
      </c>
      <c r="DP325" s="4">
        <f t="shared" si="1003"/>
        <v>7.732702018789797</v>
      </c>
      <c r="DQ325" s="4">
        <f t="shared" si="1004"/>
        <v>9.372320963877053</v>
      </c>
      <c r="DR325" s="38">
        <f t="shared" si="1029"/>
        <v>536.81202635993463</v>
      </c>
      <c r="DS325" s="4">
        <f t="shared" si="1005"/>
        <v>1.0000935950550178</v>
      </c>
      <c r="DT325" s="4">
        <f t="shared" si="1006"/>
        <v>3.2403703492039297</v>
      </c>
      <c r="DU325" s="4">
        <f t="shared" si="1007"/>
        <v>272.37981990178383</v>
      </c>
      <c r="DY325" s="4">
        <f t="shared" si="1008"/>
        <v>0.85</v>
      </c>
      <c r="DZ325" s="4">
        <f t="shared" si="1009"/>
        <v>0.9</v>
      </c>
      <c r="EA325" s="4">
        <f t="shared" si="1030"/>
        <v>0.99062499999999998</v>
      </c>
      <c r="EB325" s="4">
        <f t="shared" si="1010"/>
        <v>0.89156250000000004</v>
      </c>
      <c r="ED325" s="4">
        <f t="shared" si="1031"/>
        <v>551.19597693058972</v>
      </c>
      <c r="EE325" s="25">
        <f t="shared" si="1032"/>
        <v>269.34470014186081</v>
      </c>
      <c r="EG325" s="4">
        <f t="shared" si="932"/>
        <v>0.75782812499999996</v>
      </c>
      <c r="EH325" s="4">
        <f t="shared" si="1033"/>
        <v>9.9735059019366208</v>
      </c>
      <c r="EK325" s="4">
        <f t="shared" si="1011"/>
        <v>82.305406869779816</v>
      </c>
      <c r="EL325" s="4">
        <f t="shared" si="1012"/>
        <v>3.2403703492039302</v>
      </c>
      <c r="EM325" s="4">
        <f t="shared" si="1013"/>
        <v>6.064187770259262E-2</v>
      </c>
      <c r="EP325" s="4">
        <f t="shared" si="1113"/>
        <v>6.064187770259262E-2</v>
      </c>
      <c r="EQ325" s="4">
        <f t="shared" si="951"/>
        <v>0.13372198717383998</v>
      </c>
      <c r="ER325" s="4">
        <f t="shared" si="1014"/>
        <v>4.4599396054304208</v>
      </c>
      <c r="ES325" s="4">
        <f t="shared" si="1098"/>
        <v>7.7318579159388037</v>
      </c>
      <c r="ET325" s="4">
        <f t="shared" si="1015"/>
        <v>97.145593130220149</v>
      </c>
      <c r="EU325" s="4">
        <f t="shared" si="1016"/>
        <v>59.817000000000021</v>
      </c>
      <c r="EV325" s="4">
        <f t="shared" si="952"/>
        <v>2.154589546135625E-5</v>
      </c>
      <c r="EW325" s="4">
        <f t="shared" si="1099"/>
        <v>9.3724598533105858</v>
      </c>
      <c r="EX325" s="4">
        <f t="shared" si="965"/>
        <v>536.76178811084492</v>
      </c>
      <c r="FG325" s="23">
        <f t="shared" si="1143"/>
        <v>1.2</v>
      </c>
      <c r="FH325" s="23">
        <f t="shared" si="1143"/>
        <v>0.6</v>
      </c>
      <c r="FI325" s="23">
        <f t="shared" si="1068"/>
        <v>1.2</v>
      </c>
      <c r="FJ325" s="23">
        <f t="shared" si="1144"/>
        <v>1.2</v>
      </c>
      <c r="FK325" s="23">
        <f t="shared" si="1144"/>
        <v>1</v>
      </c>
      <c r="FL325" s="23">
        <f t="shared" si="1144"/>
        <v>1</v>
      </c>
      <c r="FM325" s="23">
        <f t="shared" si="1037"/>
        <v>0</v>
      </c>
      <c r="FN325" s="23"/>
      <c r="FX325" s="4">
        <f t="shared" si="915"/>
        <v>1</v>
      </c>
      <c r="FY325" s="4">
        <f t="shared" si="975"/>
        <v>0.62562499999999999</v>
      </c>
      <c r="FZ325" s="4">
        <f t="shared" si="916"/>
        <v>9.3749999999999986E-2</v>
      </c>
      <c r="GA325" s="4">
        <f t="shared" si="917"/>
        <v>432.02030593614074</v>
      </c>
    </row>
    <row r="326" spans="1:183" ht="12" customHeight="1" x14ac:dyDescent="0.3">
      <c r="A326" s="25">
        <v>308</v>
      </c>
      <c r="B326" s="4" t="s">
        <v>605</v>
      </c>
      <c r="C326" s="4">
        <v>2016</v>
      </c>
      <c r="D326" s="4" t="s">
        <v>309</v>
      </c>
      <c r="E326" s="24" t="s">
        <v>669</v>
      </c>
      <c r="F326" s="7" t="s">
        <v>469</v>
      </c>
      <c r="G326" s="38">
        <f t="shared" si="1145"/>
        <v>827.58620689655174</v>
      </c>
      <c r="H326" s="38">
        <f>9.5*25.4</f>
        <v>241.29999999999998</v>
      </c>
      <c r="I326" s="4">
        <f t="shared" si="1100"/>
        <v>241.29999999999998</v>
      </c>
      <c r="J326" s="38">
        <f>10180/145</f>
        <v>70.206896551724142</v>
      </c>
      <c r="K326" s="38">
        <f t="shared" si="1101"/>
        <v>25.4</v>
      </c>
      <c r="L326" s="7">
        <f t="shared" si="1102"/>
        <v>9.5</v>
      </c>
      <c r="M326" s="7">
        <f t="shared" si="1103"/>
        <v>9.5</v>
      </c>
      <c r="N326" s="38">
        <f>19.9*25.4</f>
        <v>505.45999999999992</v>
      </c>
      <c r="O326" s="38">
        <f t="shared" si="1114"/>
        <v>63.5</v>
      </c>
      <c r="P326" s="39">
        <f>3.1*25.4</f>
        <v>78.739999999999995</v>
      </c>
      <c r="Q326" s="7">
        <f t="shared" si="1104"/>
        <v>151.12999999999997</v>
      </c>
      <c r="R326" s="38">
        <v>3</v>
      </c>
      <c r="S326" s="4">
        <f t="shared" si="1081"/>
        <v>260.34999999999997</v>
      </c>
      <c r="T326" s="7">
        <f t="shared" si="1105"/>
        <v>3</v>
      </c>
      <c r="U326" s="7">
        <f t="shared" si="958"/>
        <v>3</v>
      </c>
      <c r="V326" s="38">
        <v>9.5</v>
      </c>
      <c r="W326" s="4">
        <f t="shared" si="1106"/>
        <v>9.5</v>
      </c>
      <c r="X326" s="4">
        <f t="shared" si="1107"/>
        <v>10.5</v>
      </c>
      <c r="Y326" s="7">
        <f t="shared" si="1108"/>
        <v>82.305406869779816</v>
      </c>
      <c r="AB326" s="38">
        <f t="shared" si="1151"/>
        <v>600</v>
      </c>
      <c r="AC326" s="4">
        <v>87</v>
      </c>
      <c r="AD326" s="4">
        <f t="shared" si="998"/>
        <v>0.94633885858091515</v>
      </c>
      <c r="AE326" s="38">
        <v>0</v>
      </c>
      <c r="AF326" s="38">
        <v>0</v>
      </c>
      <c r="AG326" s="39">
        <f t="shared" ref="AG326" si="1156">I326</f>
        <v>241.29999999999998</v>
      </c>
      <c r="AH326" s="39"/>
      <c r="AI326" s="39"/>
      <c r="AJ326" s="7"/>
      <c r="AK326" s="4">
        <f t="shared" si="1109"/>
        <v>241.29999999999998</v>
      </c>
      <c r="AL326" s="4">
        <f t="shared" si="1018"/>
        <v>0.69824561403508767</v>
      </c>
      <c r="AM326" s="4">
        <f t="shared" si="1019"/>
        <v>206.60807979855329</v>
      </c>
      <c r="AN326" s="4">
        <f t="shared" si="1020"/>
        <v>0.76315789473684204</v>
      </c>
      <c r="AO326" s="4">
        <v>1.25</v>
      </c>
      <c r="AP326" s="4">
        <f t="shared" si="933"/>
        <v>2.5</v>
      </c>
      <c r="AQ326" s="38">
        <f t="shared" si="1082"/>
        <v>344.04871552327177</v>
      </c>
      <c r="AR326" s="38">
        <f t="shared" si="1021"/>
        <v>344.04871552327177</v>
      </c>
      <c r="AS326" s="38">
        <f t="shared" si="1022"/>
        <v>4.615452125415529</v>
      </c>
      <c r="AT326" s="38">
        <f t="shared" si="940"/>
        <v>344.04871552327194</v>
      </c>
      <c r="AU326" s="38">
        <f t="shared" si="910"/>
        <v>0.99999999999999956</v>
      </c>
      <c r="AV326" s="38">
        <f t="shared" si="941"/>
        <v>3.7737479317445835</v>
      </c>
      <c r="AW326" s="4">
        <f t="shared" si="942"/>
        <v>0</v>
      </c>
      <c r="AX326" s="4">
        <f t="shared" si="1110"/>
        <v>418.94777882131126</v>
      </c>
      <c r="AY326" s="4">
        <f t="shared" si="1083"/>
        <v>1</v>
      </c>
      <c r="AZ326" s="38">
        <f t="shared" si="953"/>
        <v>1298.3531286253281</v>
      </c>
      <c r="BA326" s="4">
        <f t="shared" si="1084"/>
        <v>0.3</v>
      </c>
      <c r="BB326" s="4">
        <f t="shared" si="1085"/>
        <v>65.67006433024055</v>
      </c>
      <c r="BC326" s="4">
        <f t="shared" si="1086"/>
        <v>1364.0231929555687</v>
      </c>
      <c r="BE326" s="4">
        <f t="shared" si="934"/>
        <v>1.375</v>
      </c>
      <c r="BF326" s="4">
        <f t="shared" si="935"/>
        <v>673.98223917878454</v>
      </c>
      <c r="BH326" s="4">
        <f t="shared" si="959"/>
        <v>1245.2794285929851</v>
      </c>
      <c r="BI326" s="4">
        <f t="shared" si="905"/>
        <v>0</v>
      </c>
      <c r="BJ326" s="4">
        <f t="shared" si="960"/>
        <v>0</v>
      </c>
      <c r="BK326" s="4">
        <f t="shared" si="1023"/>
        <v>63.5</v>
      </c>
      <c r="BL326" s="4">
        <f t="shared" si="1024"/>
        <v>63.5</v>
      </c>
      <c r="BM326" s="4">
        <f t="shared" si="1025"/>
        <v>260.34999999999997</v>
      </c>
      <c r="BN326" s="4">
        <f t="shared" si="1026"/>
        <v>76.2</v>
      </c>
      <c r="BO326" s="4">
        <f t="shared" si="1027"/>
        <v>1.25</v>
      </c>
      <c r="BP326" s="25">
        <f t="shared" si="1028"/>
        <v>3.75</v>
      </c>
      <c r="BR326" s="4">
        <f t="shared" si="1087"/>
        <v>63.5</v>
      </c>
      <c r="BV326" s="9"/>
      <c r="BX326" s="9"/>
      <c r="BY326" s="9"/>
      <c r="BZ326" s="9">
        <f t="shared" si="1088"/>
        <v>63.5</v>
      </c>
      <c r="CA326" s="9">
        <f t="shared" si="1089"/>
        <v>75.564999999999984</v>
      </c>
      <c r="CB326" s="9">
        <f t="shared" si="943"/>
        <v>1.6229384464141692</v>
      </c>
      <c r="CC326" s="40">
        <f t="shared" si="1111"/>
        <v>20</v>
      </c>
      <c r="CD326" s="9">
        <f t="shared" si="1090"/>
        <v>0</v>
      </c>
      <c r="CE326" s="9">
        <f t="shared" si="1091"/>
        <v>0</v>
      </c>
      <c r="CF326" s="9">
        <f t="shared" si="1092"/>
        <v>0.99524931562137331</v>
      </c>
      <c r="CG326" s="9">
        <f t="shared" si="1093"/>
        <v>0.68</v>
      </c>
      <c r="CH326" s="9">
        <f t="shared" si="944"/>
        <v>1.9847176531283015</v>
      </c>
      <c r="CI326" s="9">
        <f t="shared" si="945"/>
        <v>3.2210745845388216</v>
      </c>
      <c r="CJ326" s="40">
        <v>1</v>
      </c>
      <c r="CK326" s="9">
        <f t="shared" si="946"/>
        <v>315.66530928480449</v>
      </c>
      <c r="CM326" s="4">
        <f t="shared" si="1094"/>
        <v>1.4321594010787457</v>
      </c>
      <c r="CN326" s="4">
        <f t="shared" si="1095"/>
        <v>0.43987521847038291</v>
      </c>
      <c r="CO326" s="4">
        <f t="shared" si="1062"/>
        <v>0.89023117394172224</v>
      </c>
      <c r="CP326" s="4">
        <f t="shared" si="1096"/>
        <v>1.9007473496514582</v>
      </c>
      <c r="CQ326" s="4">
        <f t="shared" si="1035"/>
        <v>0.94633885858091515</v>
      </c>
      <c r="CR326" s="4">
        <f t="shared" si="1036"/>
        <v>0.93461795122954905</v>
      </c>
      <c r="CS326" s="4">
        <f t="shared" si="1063"/>
        <v>1.2089329841498877</v>
      </c>
      <c r="CT326" s="4">
        <f t="shared" si="1112"/>
        <v>0</v>
      </c>
      <c r="CU326" s="4">
        <f t="shared" ref="CU326:CV326" si="1157">CM326</f>
        <v>1.4321594010787457</v>
      </c>
      <c r="CV326" s="4">
        <f t="shared" si="1157"/>
        <v>0.43987521847038291</v>
      </c>
      <c r="CW326" s="4">
        <f t="shared" ref="CW326" si="1158">CP326</f>
        <v>1.9007473496514582</v>
      </c>
      <c r="CX326" s="4">
        <f t="shared" ref="CX326" si="1159">CS326</f>
        <v>1.2089329841498877</v>
      </c>
      <c r="CY326" s="4">
        <f t="shared" ref="CY326:CZ326" si="1160">CQ326</f>
        <v>0.94633885858091515</v>
      </c>
      <c r="CZ326" s="4">
        <f t="shared" si="1160"/>
        <v>0.93461795122954905</v>
      </c>
      <c r="DI326" s="4">
        <f t="shared" si="1097"/>
        <v>241.29999999999998</v>
      </c>
      <c r="DL326" s="4">
        <f t="shared" si="999"/>
        <v>2.1947426995855081E-5</v>
      </c>
      <c r="DM326" s="4">
        <f t="shared" si="1000"/>
        <v>10.58671967137796</v>
      </c>
      <c r="DN326" s="4">
        <f t="shared" si="1001"/>
        <v>0.16520066931841088</v>
      </c>
      <c r="DO326" s="4">
        <f t="shared" si="1002"/>
        <v>5.1518846949079204</v>
      </c>
      <c r="DP326" s="4">
        <f t="shared" si="1003"/>
        <v>8.3301669153224136</v>
      </c>
      <c r="DQ326" s="4">
        <f t="shared" si="1004"/>
        <v>9.8693828406686102</v>
      </c>
      <c r="DR326" s="38">
        <f t="shared" si="1029"/>
        <v>634.02236372257983</v>
      </c>
      <c r="DS326" s="4">
        <f t="shared" si="1005"/>
        <v>1.0000934219261655</v>
      </c>
      <c r="DT326" s="4">
        <f t="shared" si="1006"/>
        <v>3.2403703492039297</v>
      </c>
      <c r="DU326" s="4">
        <f t="shared" si="1007"/>
        <v>344.04871552327194</v>
      </c>
      <c r="DY326" s="4">
        <f t="shared" si="1008"/>
        <v>0.85</v>
      </c>
      <c r="DZ326" s="4">
        <f t="shared" si="1009"/>
        <v>0.85</v>
      </c>
      <c r="EA326" s="4">
        <f t="shared" si="1030"/>
        <v>1</v>
      </c>
      <c r="EB326" s="4">
        <f t="shared" si="1010"/>
        <v>0.85</v>
      </c>
      <c r="ED326" s="4">
        <f t="shared" si="1031"/>
        <v>641.97354567249863</v>
      </c>
      <c r="EE326" s="25">
        <f t="shared" si="1032"/>
        <v>340.25203503822672</v>
      </c>
      <c r="EG326" s="4">
        <f t="shared" si="932"/>
        <v>0.72249999999999992</v>
      </c>
      <c r="EH326" s="4">
        <f>IF(K326&lt;22.2,1.1*5*(J326/30)^0.5,IF(K326&gt;=31.8,0.9*5*(J326/30)^0.5,1*5*(J326/30)^0.5))/DY326/EB326</f>
        <v>10.58671967137796</v>
      </c>
      <c r="EK326" s="4">
        <f t="shared" si="1011"/>
        <v>82.305406869779816</v>
      </c>
      <c r="EL326" s="4">
        <f t="shared" si="1012"/>
        <v>3.2403703492039302</v>
      </c>
      <c r="EM326" s="4">
        <f t="shared" si="1013"/>
        <v>7.5689729965875502E-2</v>
      </c>
      <c r="EP326" s="4">
        <f t="shared" si="1113"/>
        <v>7.5689729965875502E-2</v>
      </c>
      <c r="EQ326" s="4">
        <f t="shared" si="951"/>
        <v>0.16492498019053781</v>
      </c>
      <c r="ER326" s="4">
        <f t="shared" si="1014"/>
        <v>5.1484439575017564</v>
      </c>
      <c r="ES326" s="4">
        <f t="shared" si="1098"/>
        <v>8.3291170790317608</v>
      </c>
      <c r="ET326" s="4">
        <f t="shared" si="1015"/>
        <v>98.669593130220179</v>
      </c>
      <c r="EU326" s="4">
        <f t="shared" si="1016"/>
        <v>60.324999999999974</v>
      </c>
      <c r="EV326" s="4">
        <f t="shared" si="952"/>
        <v>2.1947426995855075E-5</v>
      </c>
      <c r="EW326" s="4">
        <f t="shared" si="1099"/>
        <v>9.8695600930028586</v>
      </c>
      <c r="EX326" s="4">
        <f t="shared" si="965"/>
        <v>633.96313766514129</v>
      </c>
      <c r="FG326" s="23">
        <f t="shared" si="1143"/>
        <v>1.6</v>
      </c>
      <c r="FH326" s="23">
        <f t="shared" si="1143"/>
        <v>0.6</v>
      </c>
      <c r="FI326" s="23">
        <f t="shared" si="1068"/>
        <v>1.4</v>
      </c>
      <c r="FJ326" s="23">
        <f t="shared" si="1144"/>
        <v>2</v>
      </c>
      <c r="FK326" s="23">
        <f t="shared" si="1144"/>
        <v>1</v>
      </c>
      <c r="FL326" s="23">
        <f t="shared" si="1144"/>
        <v>1</v>
      </c>
      <c r="FM326" s="23">
        <f t="shared" si="1037"/>
        <v>0</v>
      </c>
      <c r="FN326" s="23"/>
      <c r="FX326" s="4">
        <f t="shared" si="915"/>
        <v>1</v>
      </c>
      <c r="FY326" s="4">
        <f t="shared" si="975"/>
        <v>0.5525000000000001</v>
      </c>
      <c r="FZ326" s="4">
        <f t="shared" si="916"/>
        <v>0</v>
      </c>
      <c r="GA326" s="4">
        <f t="shared" si="917"/>
        <v>496.30542624487606</v>
      </c>
    </row>
    <row r="327" spans="1:183" ht="12" customHeight="1" x14ac:dyDescent="0.3">
      <c r="A327" s="25">
        <v>309</v>
      </c>
      <c r="B327" s="4" t="s">
        <v>605</v>
      </c>
      <c r="C327" s="4">
        <v>2016</v>
      </c>
      <c r="D327" s="4" t="s">
        <v>309</v>
      </c>
      <c r="E327" s="24" t="s">
        <v>669</v>
      </c>
      <c r="F327" s="7" t="s">
        <v>470</v>
      </c>
      <c r="G327" s="38">
        <f t="shared" si="1145"/>
        <v>827.58620689655174</v>
      </c>
      <c r="H327" s="38">
        <f>9.58*25.4</f>
        <v>243.33199999999999</v>
      </c>
      <c r="I327" s="4">
        <f t="shared" si="1100"/>
        <v>243.33199999999999</v>
      </c>
      <c r="J327" s="38">
        <f>10180/145</f>
        <v>70.206896551724142</v>
      </c>
      <c r="K327" s="38">
        <f t="shared" si="1101"/>
        <v>25.4</v>
      </c>
      <c r="L327" s="7">
        <f t="shared" si="1102"/>
        <v>9.58</v>
      </c>
      <c r="M327" s="7">
        <f t="shared" si="1103"/>
        <v>9.58</v>
      </c>
      <c r="N327" s="38">
        <f>20.1*25.4</f>
        <v>510.54</v>
      </c>
      <c r="O327" s="38">
        <f t="shared" si="1114"/>
        <v>63.5</v>
      </c>
      <c r="P327" s="39">
        <f>3.2*25.4</f>
        <v>81.28</v>
      </c>
      <c r="Q327" s="7">
        <f t="shared" si="1104"/>
        <v>153.67000000000002</v>
      </c>
      <c r="R327" s="38">
        <v>3</v>
      </c>
      <c r="S327" s="4">
        <f t="shared" si="1081"/>
        <v>260.34999999999997</v>
      </c>
      <c r="T327" s="7">
        <f t="shared" si="1105"/>
        <v>3</v>
      </c>
      <c r="U327" s="7">
        <f t="shared" si="958"/>
        <v>3</v>
      </c>
      <c r="V327" s="38">
        <v>9.5</v>
      </c>
      <c r="W327" s="4">
        <f t="shared" si="1106"/>
        <v>9.5</v>
      </c>
      <c r="X327" s="4">
        <f t="shared" si="1107"/>
        <v>10.5</v>
      </c>
      <c r="Y327" s="7">
        <f t="shared" si="1108"/>
        <v>82.305406869779816</v>
      </c>
      <c r="AB327" s="38">
        <f t="shared" si="1151"/>
        <v>590.34482758620686</v>
      </c>
      <c r="AC327" s="4">
        <v>85.6</v>
      </c>
      <c r="AD327" s="4">
        <f t="shared" si="998"/>
        <v>0.88772695202762453</v>
      </c>
      <c r="AE327" s="38">
        <f>0.5*25.4</f>
        <v>12.7</v>
      </c>
      <c r="AF327" s="38">
        <v>4</v>
      </c>
      <c r="AG327" s="39">
        <f>6*25.4</f>
        <v>152.39999999999998</v>
      </c>
      <c r="AH327" s="39">
        <v>1</v>
      </c>
      <c r="AI327" s="39">
        <v>1</v>
      </c>
      <c r="AJ327" s="7"/>
      <c r="AK327" s="4">
        <f t="shared" si="1109"/>
        <v>243.33199999999999</v>
      </c>
      <c r="AL327" s="4">
        <f t="shared" si="1018"/>
        <v>0.69937369519832993</v>
      </c>
      <c r="AM327" s="4">
        <f t="shared" si="1019"/>
        <v>209.22335266954931</v>
      </c>
      <c r="AN327" s="4">
        <f t="shared" si="1020"/>
        <v>0.76263048016701451</v>
      </c>
      <c r="AO327" s="4">
        <v>1.25</v>
      </c>
      <c r="AP327" s="4">
        <f t="shared" si="933"/>
        <v>2.5</v>
      </c>
      <c r="AQ327" s="38">
        <f t="shared" si="1082"/>
        <v>348.72544023589438</v>
      </c>
      <c r="AR327" s="38">
        <f t="shared" si="1021"/>
        <v>348.72544023589438</v>
      </c>
      <c r="AS327" s="38">
        <f t="shared" si="1022"/>
        <v>4.615452125415529</v>
      </c>
      <c r="AT327" s="38">
        <f t="shared" si="940"/>
        <v>348.7254402358941</v>
      </c>
      <c r="AU327" s="38">
        <f t="shared" si="910"/>
        <v>1.0000000000000009</v>
      </c>
      <c r="AV327" s="38">
        <f t="shared" si="941"/>
        <v>3.7231385463218905</v>
      </c>
      <c r="AW327" s="4">
        <f t="shared" si="942"/>
        <v>0</v>
      </c>
      <c r="AX327" s="4">
        <f t="shared" si="1110"/>
        <v>422.47576011664859</v>
      </c>
      <c r="AY327" s="4">
        <f t="shared" si="1083"/>
        <v>1</v>
      </c>
      <c r="AZ327" s="38">
        <f t="shared" si="953"/>
        <v>1298.3531286253281</v>
      </c>
      <c r="BA327" s="4">
        <f t="shared" si="1084"/>
        <v>0.3</v>
      </c>
      <c r="BB327" s="4">
        <f t="shared" si="1085"/>
        <v>66.223075398284678</v>
      </c>
      <c r="BC327" s="4">
        <f t="shared" si="1086"/>
        <v>1364.5762040236127</v>
      </c>
      <c r="BE327" s="4">
        <f t="shared" si="934"/>
        <v>1.5</v>
      </c>
      <c r="BF327" s="4">
        <f t="shared" si="935"/>
        <v>738.26977583891471</v>
      </c>
      <c r="BH327" s="4">
        <f t="shared" si="959"/>
        <v>1245.2794285929851</v>
      </c>
      <c r="BI327" s="4">
        <f t="shared" si="905"/>
        <v>0</v>
      </c>
      <c r="BJ327" s="4">
        <f t="shared" si="960"/>
        <v>0</v>
      </c>
      <c r="BK327" s="4">
        <f t="shared" si="1023"/>
        <v>63.5</v>
      </c>
      <c r="BL327" s="4">
        <f t="shared" si="1024"/>
        <v>63.5</v>
      </c>
      <c r="BM327" s="4">
        <f t="shared" si="1025"/>
        <v>260.34999999999997</v>
      </c>
      <c r="BN327" s="4">
        <f t="shared" si="1026"/>
        <v>76.2</v>
      </c>
      <c r="BO327" s="4">
        <f t="shared" si="1027"/>
        <v>1.25</v>
      </c>
      <c r="BP327" s="25">
        <f t="shared" si="1028"/>
        <v>4</v>
      </c>
      <c r="BR327" s="4">
        <f t="shared" si="1087"/>
        <v>63.5</v>
      </c>
      <c r="BV327" s="9"/>
      <c r="BX327" s="9"/>
      <c r="BY327" s="9"/>
      <c r="BZ327" s="9">
        <f t="shared" si="1088"/>
        <v>63.5</v>
      </c>
      <c r="CA327" s="9">
        <f t="shared" si="1089"/>
        <v>76.835000000000008</v>
      </c>
      <c r="CB327" s="9">
        <f t="shared" si="943"/>
        <v>1.6270009626009634</v>
      </c>
      <c r="CC327" s="40">
        <f t="shared" si="1111"/>
        <v>20</v>
      </c>
      <c r="CD327" s="9">
        <f t="shared" si="1090"/>
        <v>0.05</v>
      </c>
      <c r="CE327" s="9">
        <f t="shared" si="1091"/>
        <v>0.8</v>
      </c>
      <c r="CF327" s="9">
        <f t="shared" si="1092"/>
        <v>0.99524931562137331</v>
      </c>
      <c r="CG327" s="9">
        <f t="shared" si="1093"/>
        <v>0.68</v>
      </c>
      <c r="CH327" s="9">
        <f t="shared" si="944"/>
        <v>1.9847176531283015</v>
      </c>
      <c r="CI327" s="9">
        <f t="shared" si="945"/>
        <v>4.8169116546335129</v>
      </c>
      <c r="CJ327" s="40">
        <v>1</v>
      </c>
      <c r="CK327" s="9">
        <f t="shared" si="946"/>
        <v>473.59875388356699</v>
      </c>
      <c r="CM327" s="4">
        <f t="shared" si="1094"/>
        <v>1.3973460333516139</v>
      </c>
      <c r="CN327" s="4">
        <f t="shared" si="1095"/>
        <v>0.4326213705365124</v>
      </c>
      <c r="CO327" s="4">
        <f t="shared" si="1062"/>
        <v>0.79963293487855847</v>
      </c>
      <c r="CP327" s="4">
        <f t="shared" si="1096"/>
        <v>1.2465084055760451</v>
      </c>
      <c r="CQ327" s="4">
        <f t="shared" si="1035"/>
        <v>0.88772695202762453</v>
      </c>
      <c r="CR327" s="4">
        <f t="shared" si="1036"/>
        <v>0.8760822339448866</v>
      </c>
      <c r="CS327" s="4">
        <f t="shared" si="1063"/>
        <v>1.0909464990682394</v>
      </c>
      <c r="CT327" s="4">
        <f t="shared" si="1112"/>
        <v>4</v>
      </c>
      <c r="DA327" s="4">
        <f t="shared" ref="DA327:DB327" si="1161">CM327</f>
        <v>1.3973460333516139</v>
      </c>
      <c r="DB327" s="4">
        <f t="shared" si="1161"/>
        <v>0.4326213705365124</v>
      </c>
      <c r="DC327" s="4">
        <f t="shared" ref="DC327" si="1162">CP327</f>
        <v>1.2465084055760451</v>
      </c>
      <c r="DD327" s="4">
        <f t="shared" ref="DD327" si="1163">CS327</f>
        <v>1.0909464990682394</v>
      </c>
      <c r="DE327" s="4">
        <f t="shared" ref="DE327:DF327" si="1164">CQ327</f>
        <v>0.88772695202762453</v>
      </c>
      <c r="DF327" s="4">
        <f t="shared" si="1164"/>
        <v>0.8760822339448866</v>
      </c>
      <c r="DI327" s="4">
        <f t="shared" si="1097"/>
        <v>243.33199999999999</v>
      </c>
      <c r="DL327" s="4">
        <f t="shared" si="999"/>
        <v>2.2132247433714916E-5</v>
      </c>
      <c r="DM327" s="4">
        <f t="shared" si="1000"/>
        <v>11.445102347435631</v>
      </c>
      <c r="DN327" s="4">
        <f t="shared" si="1001"/>
        <v>0.16744627587900529</v>
      </c>
      <c r="DO327" s="4">
        <f>DM327*DN327^0.4</f>
        <v>5.5997659814198109</v>
      </c>
      <c r="DP327" s="4">
        <f t="shared" si="1003"/>
        <v>9.0148128271126939</v>
      </c>
      <c r="DQ327" s="4">
        <f t="shared" si="1004"/>
        <v>10.590826696453178</v>
      </c>
      <c r="DR327" s="38">
        <f t="shared" si="1029"/>
        <v>665.00721447943192</v>
      </c>
      <c r="DS327" s="4">
        <f t="shared" si="1005"/>
        <v>1.0000970659885409</v>
      </c>
      <c r="DT327" s="4">
        <f t="shared" si="1006"/>
        <v>3.2403703492039297</v>
      </c>
      <c r="DU327" s="4">
        <f t="shared" si="1007"/>
        <v>348.7254402358941</v>
      </c>
      <c r="DY327" s="4">
        <f t="shared" si="1008"/>
        <v>0.85</v>
      </c>
      <c r="DZ327" s="4">
        <f t="shared" si="1009"/>
        <v>0.85</v>
      </c>
      <c r="EA327" s="4">
        <f t="shared" si="1030"/>
        <v>0.92500000000000004</v>
      </c>
      <c r="EB327" s="4">
        <f t="shared" si="1010"/>
        <v>0.78625</v>
      </c>
      <c r="ED327" s="4">
        <f t="shared" si="1031"/>
        <v>673.84636363182415</v>
      </c>
      <c r="EE327" s="25">
        <f t="shared" si="1032"/>
        <v>344.91412216652412</v>
      </c>
      <c r="EG327" s="4">
        <f t="shared" si="932"/>
        <v>0.66831249999999998</v>
      </c>
      <c r="EH327" s="4">
        <f t="shared" si="1033"/>
        <v>11.445102347435631</v>
      </c>
      <c r="EK327" s="4">
        <f t="shared" si="1011"/>
        <v>82.305406869779816</v>
      </c>
      <c r="EL327" s="4">
        <f t="shared" si="1012"/>
        <v>3.2403703492039302</v>
      </c>
      <c r="EM327" s="4">
        <f t="shared" si="1013"/>
        <v>7.6718595980052401E-2</v>
      </c>
      <c r="EP327" s="4">
        <f t="shared" si="1113"/>
        <v>7.6718595980052401E-2</v>
      </c>
      <c r="EQ327" s="4">
        <f t="shared" si="951"/>
        <v>0.16716683925230674</v>
      </c>
      <c r="ER327" s="4">
        <f t="shared" si="1014"/>
        <v>5.5960261220442531</v>
      </c>
      <c r="ES327" s="4">
        <f t="shared" si="1098"/>
        <v>9.0136663650658502</v>
      </c>
      <c r="ET327" s="4">
        <f t="shared" si="1015"/>
        <v>100.19359313022018</v>
      </c>
      <c r="EU327" s="4">
        <f t="shared" si="1016"/>
        <v>60.833000000000013</v>
      </c>
      <c r="EV327" s="4">
        <f t="shared" si="952"/>
        <v>2.213224743371492E-5</v>
      </c>
      <c r="EW327" s="4">
        <f t="shared" si="1099"/>
        <v>10.591037580874655</v>
      </c>
      <c r="EX327" s="4">
        <f t="shared" si="965"/>
        <v>664.94267116173262</v>
      </c>
      <c r="FG327" s="23">
        <f t="shared" si="1143"/>
        <v>1.4</v>
      </c>
      <c r="FH327" s="23">
        <f t="shared" si="1143"/>
        <v>0.6</v>
      </c>
      <c r="FI327" s="23">
        <f t="shared" si="1068"/>
        <v>1.2</v>
      </c>
      <c r="FJ327" s="23">
        <f t="shared" si="1144"/>
        <v>1.4</v>
      </c>
      <c r="FK327" s="23">
        <f t="shared" si="1144"/>
        <v>1</v>
      </c>
      <c r="FL327" s="23">
        <f t="shared" si="1144"/>
        <v>1</v>
      </c>
      <c r="FM327" s="23">
        <f t="shared" si="1037"/>
        <v>0</v>
      </c>
      <c r="FN327" s="23"/>
      <c r="FX327" s="4">
        <f t="shared" si="915"/>
        <v>1</v>
      </c>
      <c r="FY327" s="4">
        <f t="shared" si="975"/>
        <v>0.51100000000000001</v>
      </c>
      <c r="FZ327" s="4">
        <f t="shared" si="916"/>
        <v>0.16666666666666669</v>
      </c>
      <c r="GA327" s="4">
        <f t="shared" si="917"/>
        <v>541.13086947014483</v>
      </c>
    </row>
    <row r="328" spans="1:183" ht="12" customHeight="1" x14ac:dyDescent="0.3">
      <c r="A328" s="25">
        <v>310</v>
      </c>
      <c r="B328" s="4" t="s">
        <v>605</v>
      </c>
      <c r="C328" s="4">
        <v>2016</v>
      </c>
      <c r="D328" s="4" t="s">
        <v>309</v>
      </c>
      <c r="E328" s="24" t="s">
        <v>669</v>
      </c>
      <c r="F328" s="7" t="s">
        <v>471</v>
      </c>
      <c r="G328" s="38">
        <f t="shared" si="1145"/>
        <v>827.58620689655174</v>
      </c>
      <c r="H328" s="38">
        <f>14.38*25.4</f>
        <v>365.25200000000001</v>
      </c>
      <c r="I328" s="4">
        <f t="shared" si="1100"/>
        <v>365.25200000000001</v>
      </c>
      <c r="J328" s="38">
        <f>10180/145</f>
        <v>70.206896551724142</v>
      </c>
      <c r="K328" s="38">
        <f t="shared" si="1101"/>
        <v>25.4</v>
      </c>
      <c r="L328" s="7">
        <f t="shared" si="1102"/>
        <v>14.38</v>
      </c>
      <c r="M328" s="7">
        <f t="shared" si="1103"/>
        <v>14.38</v>
      </c>
      <c r="N328" s="38">
        <f>17.1*25.4</f>
        <v>434.34000000000003</v>
      </c>
      <c r="O328" s="38">
        <f t="shared" si="1114"/>
        <v>63.5</v>
      </c>
      <c r="P328" s="39">
        <f>3.45*25.4</f>
        <v>87.63</v>
      </c>
      <c r="Q328" s="7">
        <f t="shared" si="1104"/>
        <v>256.54000000000002</v>
      </c>
      <c r="R328" s="38">
        <v>2</v>
      </c>
      <c r="S328" s="4">
        <f t="shared" si="1081"/>
        <v>260.34999999999997</v>
      </c>
      <c r="T328" s="7">
        <f t="shared" si="1105"/>
        <v>3</v>
      </c>
      <c r="U328" s="7">
        <f t="shared" si="958"/>
        <v>3</v>
      </c>
      <c r="V328" s="38">
        <v>9.5</v>
      </c>
      <c r="W328" s="4">
        <f t="shared" si="1106"/>
        <v>9.5</v>
      </c>
      <c r="X328" s="4">
        <f t="shared" si="1107"/>
        <v>10.5</v>
      </c>
      <c r="Y328" s="7">
        <f t="shared" si="1108"/>
        <v>82.305406869779816</v>
      </c>
      <c r="AB328" s="38">
        <f t="shared" si="1151"/>
        <v>1037.2413793103449</v>
      </c>
      <c r="AC328" s="4">
        <v>150.4</v>
      </c>
      <c r="AD328" s="4">
        <f t="shared" si="998"/>
        <v>1.040321922403797</v>
      </c>
      <c r="AE328" s="38">
        <v>0</v>
      </c>
      <c r="AF328" s="38">
        <v>0</v>
      </c>
      <c r="AG328" s="39">
        <f t="shared" ref="AG328:AG329" si="1165">I328</f>
        <v>365.25200000000001</v>
      </c>
      <c r="AH328" s="39"/>
      <c r="AI328" s="39"/>
      <c r="AJ328" s="7"/>
      <c r="AK328" s="4">
        <f t="shared" si="1109"/>
        <v>365.25200000000001</v>
      </c>
      <c r="AL328" s="4">
        <f t="shared" si="1018"/>
        <v>0.39638386648122398</v>
      </c>
      <c r="AM328" s="4">
        <f t="shared" si="1019"/>
        <v>577.15369660722865</v>
      </c>
      <c r="AN328" s="4">
        <f t="shared" si="1020"/>
        <v>0.74172461752433927</v>
      </c>
      <c r="AO328" s="4">
        <v>1.25</v>
      </c>
      <c r="AP328" s="4">
        <f t="shared" si="933"/>
        <v>2.5</v>
      </c>
      <c r="AQ328" s="38">
        <f t="shared" si="1082"/>
        <v>530.27379558238545</v>
      </c>
      <c r="AR328" s="38">
        <f t="shared" si="1021"/>
        <v>530.27379558238545</v>
      </c>
      <c r="AS328" s="38">
        <f t="shared" si="1022"/>
        <v>4.615452125415529</v>
      </c>
      <c r="AT328" s="38">
        <f t="shared" si="940"/>
        <v>530.27379558238556</v>
      </c>
      <c r="AU328" s="38">
        <f t="shared" si="910"/>
        <v>0.99999999999999978</v>
      </c>
      <c r="AV328" s="38">
        <f t="shared" si="941"/>
        <v>2.4484580219533223</v>
      </c>
      <c r="AW328" s="4">
        <f t="shared" si="942"/>
        <v>0</v>
      </c>
      <c r="AX328" s="4">
        <f t="shared" si="1110"/>
        <v>634.15463783689006</v>
      </c>
      <c r="AY328" s="4">
        <f t="shared" si="1083"/>
        <v>1</v>
      </c>
      <c r="AZ328" s="38">
        <f t="shared" si="953"/>
        <v>1298.3531286253281</v>
      </c>
      <c r="BA328" s="4">
        <f t="shared" si="1084"/>
        <v>0.3</v>
      </c>
      <c r="BB328" s="4">
        <f t="shared" si="1085"/>
        <v>99.403739480932543</v>
      </c>
      <c r="BC328" s="4">
        <f t="shared" si="1086"/>
        <v>1397.7568681062605</v>
      </c>
      <c r="BE328" s="4">
        <f t="shared" si="934"/>
        <v>1.375</v>
      </c>
      <c r="BF328" s="4">
        <f t="shared" si="935"/>
        <v>842.65061493224437</v>
      </c>
      <c r="BH328" s="4">
        <f t="shared" si="959"/>
        <v>1245.2794285929851</v>
      </c>
      <c r="BI328" s="4">
        <f t="shared" si="905"/>
        <v>0</v>
      </c>
      <c r="BJ328" s="4">
        <f t="shared" si="960"/>
        <v>0</v>
      </c>
      <c r="BK328" s="4">
        <f t="shared" si="1023"/>
        <v>63.5</v>
      </c>
      <c r="BL328" s="4">
        <f t="shared" si="1024"/>
        <v>63.5</v>
      </c>
      <c r="BM328" s="4">
        <f t="shared" si="1025"/>
        <v>260.34999999999997</v>
      </c>
      <c r="BN328" s="4">
        <f t="shared" si="1026"/>
        <v>76.2</v>
      </c>
      <c r="BO328" s="4">
        <f t="shared" si="1027"/>
        <v>1.25</v>
      </c>
      <c r="BP328" s="25">
        <f t="shared" si="1028"/>
        <v>3.75</v>
      </c>
      <c r="BR328" s="4">
        <f t="shared" si="1087"/>
        <v>63.5</v>
      </c>
      <c r="BV328" s="9"/>
      <c r="BX328" s="9"/>
      <c r="BY328" s="9"/>
      <c r="BZ328" s="9">
        <f t="shared" si="1088"/>
        <v>63.5</v>
      </c>
      <c r="CA328" s="9">
        <f t="shared" si="1089"/>
        <v>128.27000000000001</v>
      </c>
      <c r="CB328" s="9">
        <f t="shared" si="943"/>
        <v>1.7570038363154448</v>
      </c>
      <c r="CC328" s="40">
        <f t="shared" si="1111"/>
        <v>20</v>
      </c>
      <c r="CD328" s="9">
        <f t="shared" si="1090"/>
        <v>0</v>
      </c>
      <c r="CE328" s="9">
        <f t="shared" si="1091"/>
        <v>0</v>
      </c>
      <c r="CF328" s="9">
        <f t="shared" si="1092"/>
        <v>0.99524931562137331</v>
      </c>
      <c r="CG328" s="9">
        <f t="shared" si="1093"/>
        <v>0.68</v>
      </c>
      <c r="CH328" s="9">
        <f t="shared" si="944"/>
        <v>1.9847176531283015</v>
      </c>
      <c r="CI328" s="9">
        <f t="shared" si="945"/>
        <v>3.4871565305494121</v>
      </c>
      <c r="CJ328" s="40">
        <v>1</v>
      </c>
      <c r="CK328" s="9">
        <f t="shared" si="946"/>
        <v>409.81063547016691</v>
      </c>
      <c r="CM328" s="47">
        <f t="shared" si="1094"/>
        <v>1.6356284688674503</v>
      </c>
      <c r="CN328" s="47">
        <f t="shared" si="1095"/>
        <v>0.74207568066944496</v>
      </c>
      <c r="CO328" s="47">
        <f t="shared" si="1062"/>
        <v>1.23092698317647</v>
      </c>
      <c r="CP328" s="47">
        <f t="shared" si="1096"/>
        <v>2.5310260142964327</v>
      </c>
      <c r="CQ328" s="47">
        <f t="shared" si="1035"/>
        <v>1.040321922403797</v>
      </c>
      <c r="CR328" s="47">
        <f t="shared" si="1036"/>
        <v>1.0546620803021731</v>
      </c>
      <c r="CS328" s="47">
        <f t="shared" si="1063"/>
        <v>1.2494913437411292</v>
      </c>
      <c r="CT328" s="4">
        <f t="shared" si="1112"/>
        <v>0</v>
      </c>
      <c r="CU328" s="4">
        <f t="shared" ref="CU328:CV329" si="1166">CM328</f>
        <v>1.6356284688674503</v>
      </c>
      <c r="CV328" s="4">
        <f t="shared" si="1166"/>
        <v>0.74207568066944496</v>
      </c>
      <c r="CW328" s="4">
        <f t="shared" ref="CW328:CW329" si="1167">CP328</f>
        <v>2.5310260142964327</v>
      </c>
      <c r="CX328" s="4">
        <f t="shared" ref="CX328:CX329" si="1168">CS328</f>
        <v>1.2494913437411292</v>
      </c>
      <c r="CY328" s="4">
        <f t="shared" ref="CY328:CZ329" si="1169">CQ328</f>
        <v>1.040321922403797</v>
      </c>
      <c r="CZ328" s="4">
        <f t="shared" si="1169"/>
        <v>1.0546620803021731</v>
      </c>
      <c r="DI328" s="4">
        <f t="shared" si="1097"/>
        <v>365.25200000000001</v>
      </c>
      <c r="DL328" s="4">
        <f t="shared" si="999"/>
        <v>3.3221473705304853E-5</v>
      </c>
      <c r="DM328" s="4">
        <f>EH328</f>
        <v>10.58671967137796</v>
      </c>
      <c r="DN328" s="4">
        <f t="shared" si="1001"/>
        <v>0.25461971517315196</v>
      </c>
      <c r="DO328" s="4">
        <f t="shared" si="1002"/>
        <v>6.1251710982379599</v>
      </c>
      <c r="DP328" s="4">
        <f t="shared" si="1003"/>
        <v>8.6505511105408353</v>
      </c>
      <c r="DQ328" s="4">
        <f t="shared" si="1004"/>
        <v>8.7839326485591478</v>
      </c>
      <c r="DR328" s="38">
        <f t="shared" si="1029"/>
        <v>997.03885592804386</v>
      </c>
      <c r="DS328" s="4">
        <f t="shared" si="1005"/>
        <v>1.0000907512390866</v>
      </c>
      <c r="DT328" s="4">
        <f t="shared" si="1006"/>
        <v>3.2403703492039297</v>
      </c>
      <c r="DU328" s="4">
        <f t="shared" si="1007"/>
        <v>530.27379558238556</v>
      </c>
      <c r="DY328" s="4">
        <f t="shared" si="1008"/>
        <v>0.85</v>
      </c>
      <c r="DZ328" s="4">
        <f t="shared" si="1009"/>
        <v>0.85</v>
      </c>
      <c r="EA328" s="4">
        <f t="shared" si="1030"/>
        <v>1</v>
      </c>
      <c r="EB328" s="4">
        <f t="shared" si="1010"/>
        <v>0.85</v>
      </c>
      <c r="ED328" s="4">
        <f t="shared" si="1031"/>
        <v>983.4821965090116</v>
      </c>
      <c r="EE328" s="25">
        <f t="shared" si="1032"/>
        <v>526.77110988576635</v>
      </c>
      <c r="EG328" s="4">
        <f t="shared" si="932"/>
        <v>0.72249999999999992</v>
      </c>
      <c r="EH328" s="4">
        <f t="shared" si="1033"/>
        <v>10.58671967137796</v>
      </c>
      <c r="EK328" s="4">
        <f t="shared" si="1011"/>
        <v>82.305406869779816</v>
      </c>
      <c r="EL328" s="4">
        <f t="shared" si="1012"/>
        <v>3.2403703492039302</v>
      </c>
      <c r="EM328" s="4">
        <f t="shared" si="1013"/>
        <v>0.11665871309697058</v>
      </c>
      <c r="EP328" s="4">
        <f t="shared" si="1113"/>
        <v>0.11665871309697058</v>
      </c>
      <c r="EQ328" s="4">
        <f t="shared" si="951"/>
        <v>0.25419480232319203</v>
      </c>
      <c r="ER328" s="4">
        <f t="shared" si="1014"/>
        <v>6.121080341832311</v>
      </c>
      <c r="ES328" s="4">
        <f t="shared" si="1098"/>
        <v>8.6491111428603649</v>
      </c>
      <c r="ET328" s="4">
        <f t="shared" si="1015"/>
        <v>191.63359313022022</v>
      </c>
      <c r="EU328" s="4">
        <f t="shared" si="1016"/>
        <v>91.312999999999988</v>
      </c>
      <c r="EV328" s="4">
        <f t="shared" si="952"/>
        <v>3.3221473705304853E-5</v>
      </c>
      <c r="EW328" s="4">
        <f t="shared" si="1099"/>
        <v>8.7843501766221426</v>
      </c>
      <c r="EX328" s="4">
        <f t="shared" si="965"/>
        <v>996.94838162710585</v>
      </c>
      <c r="FG328" s="23">
        <f t="shared" si="1143"/>
        <v>1.8</v>
      </c>
      <c r="FH328" s="23">
        <f t="shared" si="1143"/>
        <v>0.8</v>
      </c>
      <c r="FI328" s="23">
        <f t="shared" si="1068"/>
        <v>1.4</v>
      </c>
      <c r="FJ328" s="23">
        <f t="shared" si="1144"/>
        <v>2.2000000000000002</v>
      </c>
      <c r="FK328" s="23">
        <f t="shared" si="1144"/>
        <v>1.2</v>
      </c>
      <c r="FL328" s="23">
        <f t="shared" si="1144"/>
        <v>1.2</v>
      </c>
      <c r="FM328" s="23">
        <f t="shared" si="1037"/>
        <v>0</v>
      </c>
      <c r="FN328" s="23"/>
      <c r="FX328" s="4">
        <f t="shared" si="915"/>
        <v>1</v>
      </c>
      <c r="FY328" s="4">
        <f t="shared" si="975"/>
        <v>0.5</v>
      </c>
      <c r="FZ328" s="4">
        <f t="shared" si="916"/>
        <v>0</v>
      </c>
      <c r="GA328" s="4">
        <f t="shared" si="917"/>
        <v>830.13090447246941</v>
      </c>
    </row>
    <row r="329" spans="1:183" ht="12" customHeight="1" x14ac:dyDescent="0.3">
      <c r="A329" s="25">
        <v>311</v>
      </c>
      <c r="B329" s="4" t="s">
        <v>605</v>
      </c>
      <c r="C329" s="4">
        <v>2016</v>
      </c>
      <c r="D329" s="4" t="s">
        <v>309</v>
      </c>
      <c r="E329" s="24" t="s">
        <v>669</v>
      </c>
      <c r="F329" s="7" t="s">
        <v>472</v>
      </c>
      <c r="G329" s="38">
        <f t="shared" si="1145"/>
        <v>827.58620689655174</v>
      </c>
      <c r="H329" s="38">
        <f>14.58*25.4</f>
        <v>370.33199999999999</v>
      </c>
      <c r="I329" s="4">
        <f t="shared" si="1100"/>
        <v>370.33199999999999</v>
      </c>
      <c r="J329" s="38">
        <f>9040/145</f>
        <v>62.344827586206897</v>
      </c>
      <c r="K329" s="38">
        <f t="shared" si="1101"/>
        <v>25.4</v>
      </c>
      <c r="L329" s="7">
        <f t="shared" si="1102"/>
        <v>14.58</v>
      </c>
      <c r="M329" s="7">
        <f t="shared" si="1103"/>
        <v>14.58</v>
      </c>
      <c r="N329" s="38">
        <f>14*25.4</f>
        <v>355.59999999999997</v>
      </c>
      <c r="O329" s="38">
        <f t="shared" si="1114"/>
        <v>63.5</v>
      </c>
      <c r="P329" s="39">
        <f>3*25.4</f>
        <v>76.199999999999989</v>
      </c>
      <c r="Q329" s="7">
        <f t="shared" si="1104"/>
        <v>76.199999999999989</v>
      </c>
      <c r="R329" s="38">
        <v>3</v>
      </c>
      <c r="S329" s="4">
        <f t="shared" si="1081"/>
        <v>260.34999999999997</v>
      </c>
      <c r="T329" s="7">
        <f t="shared" si="1105"/>
        <v>1.9999999999999998</v>
      </c>
      <c r="U329" s="7">
        <f t="shared" si="958"/>
        <v>3</v>
      </c>
      <c r="V329" s="38">
        <v>9.5</v>
      </c>
      <c r="W329" s="4">
        <f t="shared" si="1106"/>
        <v>9.5</v>
      </c>
      <c r="X329" s="4">
        <f t="shared" si="1107"/>
        <v>10.5</v>
      </c>
      <c r="Y329" s="7">
        <f t="shared" si="1108"/>
        <v>82.305406869779816</v>
      </c>
      <c r="AB329" s="38">
        <f t="shared" si="1151"/>
        <v>668.9655172413793</v>
      </c>
      <c r="AC329" s="4">
        <v>97</v>
      </c>
      <c r="AD329" s="4">
        <f t="shared" si="998"/>
        <v>1.0201564955106805</v>
      </c>
      <c r="AE329" s="38">
        <v>0</v>
      </c>
      <c r="AF329" s="38">
        <v>0</v>
      </c>
      <c r="AG329" s="39">
        <f t="shared" si="1165"/>
        <v>370.33199999999999</v>
      </c>
      <c r="AH329" s="39"/>
      <c r="AI329" s="39"/>
      <c r="AJ329" s="7"/>
      <c r="AK329" s="4">
        <f t="shared" si="1109"/>
        <v>370.33199999999999</v>
      </c>
      <c r="AL329" s="4">
        <f t="shared" si="1018"/>
        <v>0.32007315957933247</v>
      </c>
      <c r="AM329" s="4">
        <f t="shared" si="1019"/>
        <v>370.17621089733694</v>
      </c>
      <c r="AN329" s="4">
        <f t="shared" si="1020"/>
        <v>0.74115226337448559</v>
      </c>
      <c r="AO329" s="4">
        <v>1.25</v>
      </c>
      <c r="AP329" s="4">
        <f t="shared" si="933"/>
        <v>2.5</v>
      </c>
      <c r="AQ329" s="38">
        <f t="shared" si="1082"/>
        <v>274.419661047906</v>
      </c>
      <c r="AR329" s="38">
        <f t="shared" si="1021"/>
        <v>274.419661047906</v>
      </c>
      <c r="AS329" s="38">
        <f t="shared" si="1022"/>
        <v>4.4175343619879603</v>
      </c>
      <c r="AT329" s="38">
        <f t="shared" si="940"/>
        <v>274.41966104790606</v>
      </c>
      <c r="AU329" s="38">
        <f t="shared" si="910"/>
        <v>0.99999999999999978</v>
      </c>
      <c r="AV329" s="38">
        <f t="shared" si="941"/>
        <v>3.3611527108592307</v>
      </c>
      <c r="AW329" s="4">
        <f t="shared" si="942"/>
        <v>0</v>
      </c>
      <c r="AX329" s="4">
        <f t="shared" si="1110"/>
        <v>605.90444304102721</v>
      </c>
      <c r="AY329" s="4">
        <f t="shared" si="1083"/>
        <v>1.2000000000000002</v>
      </c>
      <c r="AZ329" s="38">
        <f t="shared" si="953"/>
        <v>922.36638764424072</v>
      </c>
      <c r="BA329" s="4">
        <f t="shared" si="1084"/>
        <v>0.3</v>
      </c>
      <c r="BB329" s="4">
        <f t="shared" si="1085"/>
        <v>94.975521446681014</v>
      </c>
      <c r="BC329" s="4">
        <f t="shared" si="1086"/>
        <v>1017.3419090909217</v>
      </c>
      <c r="BE329" s="4">
        <f t="shared" si="934"/>
        <v>1.375</v>
      </c>
      <c r="BF329" s="4">
        <f t="shared" si="935"/>
        <v>800.58241329198199</v>
      </c>
      <c r="BH329" s="4">
        <f t="shared" si="959"/>
        <v>884.6621638098693</v>
      </c>
      <c r="BI329" s="4">
        <f t="shared" si="905"/>
        <v>0</v>
      </c>
      <c r="BJ329" s="4">
        <f t="shared" si="960"/>
        <v>0</v>
      </c>
      <c r="BK329" s="4">
        <f t="shared" si="1023"/>
        <v>44.499999999999993</v>
      </c>
      <c r="BL329" s="4">
        <f t="shared" si="1024"/>
        <v>44.499999999999993</v>
      </c>
      <c r="BM329" s="4">
        <f t="shared" si="1025"/>
        <v>260.34999999999997</v>
      </c>
      <c r="BN329" s="4">
        <f t="shared" si="1026"/>
        <v>57.199999999999989</v>
      </c>
      <c r="BO329" s="4">
        <f t="shared" si="1027"/>
        <v>1.25</v>
      </c>
      <c r="BP329" s="25">
        <f t="shared" si="1028"/>
        <v>2.8149606299212593</v>
      </c>
      <c r="BR329" s="4">
        <f t="shared" si="1087"/>
        <v>38.099999999999994</v>
      </c>
      <c r="BV329" s="9"/>
      <c r="BX329" s="9"/>
      <c r="BY329" s="9"/>
      <c r="BZ329" s="9">
        <f t="shared" si="1088"/>
        <v>38.099999999999994</v>
      </c>
      <c r="CA329" s="9">
        <f t="shared" si="1089"/>
        <v>63.5</v>
      </c>
      <c r="CB329" s="9">
        <f t="shared" si="943"/>
        <v>1.3222785168171165</v>
      </c>
      <c r="CC329" s="40">
        <f t="shared" si="1111"/>
        <v>20</v>
      </c>
      <c r="CD329" s="9">
        <f t="shared" si="1090"/>
        <v>0</v>
      </c>
      <c r="CE329" s="9">
        <f t="shared" si="1091"/>
        <v>0</v>
      </c>
      <c r="CF329" s="9">
        <f t="shared" si="1092"/>
        <v>0.99524931562137331</v>
      </c>
      <c r="CG329" s="9">
        <f t="shared" si="1093"/>
        <v>0.68</v>
      </c>
      <c r="CH329" s="9">
        <f t="shared" si="944"/>
        <v>1.8702904607807274</v>
      </c>
      <c r="CI329" s="9">
        <f t="shared" si="945"/>
        <v>2.4730448964983416</v>
      </c>
      <c r="CJ329" s="40">
        <v>1</v>
      </c>
      <c r="CK329" s="9">
        <f t="shared" si="946"/>
        <v>292.61067215368377</v>
      </c>
      <c r="CM329" s="4">
        <f t="shared" si="1094"/>
        <v>1.1040775899972763</v>
      </c>
      <c r="CN329" s="4">
        <f t="shared" si="1095"/>
        <v>0.6575621344835334</v>
      </c>
      <c r="CO329" s="4">
        <f t="shared" si="1062"/>
        <v>0.83559856691156109</v>
      </c>
      <c r="CP329" s="4">
        <f t="shared" si="1096"/>
        <v>2.2861965775808342</v>
      </c>
      <c r="CQ329" s="4">
        <f t="shared" si="1035"/>
        <v>1.0201564955106805</v>
      </c>
      <c r="CR329" s="4">
        <f t="shared" si="1036"/>
        <v>1.0088869571220103</v>
      </c>
      <c r="CS329" s="4">
        <f t="shared" si="1063"/>
        <v>1.1462553729482183</v>
      </c>
      <c r="CT329" s="4">
        <f t="shared" si="1112"/>
        <v>0</v>
      </c>
      <c r="CU329" s="4">
        <f t="shared" si="1166"/>
        <v>1.1040775899972763</v>
      </c>
      <c r="CV329" s="4">
        <f t="shared" si="1166"/>
        <v>0.6575621344835334</v>
      </c>
      <c r="CW329" s="4">
        <f t="shared" si="1167"/>
        <v>2.2861965775808342</v>
      </c>
      <c r="CX329" s="4">
        <f t="shared" si="1168"/>
        <v>1.1462553729482183</v>
      </c>
      <c r="CY329" s="4">
        <f t="shared" si="1169"/>
        <v>1.0201564955106805</v>
      </c>
      <c r="CZ329" s="4">
        <f t="shared" si="1169"/>
        <v>1.0088869571220103</v>
      </c>
      <c r="DI329" s="4">
        <f t="shared" si="1097"/>
        <v>370.33199999999999</v>
      </c>
      <c r="DL329" s="4">
        <f t="shared" si="999"/>
        <v>3.2113113423690527E-5</v>
      </c>
      <c r="DM329" s="4">
        <f t="shared" si="1000"/>
        <v>8.9262091811553486</v>
      </c>
      <c r="DN329" s="4">
        <f t="shared" si="1001"/>
        <v>0.14838378087350965</v>
      </c>
      <c r="DO329" s="4">
        <f t="shared" si="1002"/>
        <v>4.1612291607338747</v>
      </c>
      <c r="DP329" s="4">
        <f t="shared" si="1003"/>
        <v>6.9688921895952713</v>
      </c>
      <c r="DQ329" s="4">
        <f t="shared" si="1004"/>
        <v>7.7435119061401894</v>
      </c>
      <c r="DR329" s="38">
        <f t="shared" si="1029"/>
        <v>655.74793689521289</v>
      </c>
      <c r="DS329" s="4">
        <f t="shared" si="1005"/>
        <v>1.0000884439050299</v>
      </c>
      <c r="DT329" s="4">
        <f t="shared" si="1006"/>
        <v>3.2403703492039297</v>
      </c>
      <c r="DU329" s="4">
        <f t="shared" si="1007"/>
        <v>274.41966104790606</v>
      </c>
      <c r="DY329" s="4">
        <f t="shared" si="1008"/>
        <v>0.85</v>
      </c>
      <c r="DZ329" s="4">
        <f t="shared" si="1009"/>
        <v>0.95</v>
      </c>
      <c r="EA329" s="4">
        <f t="shared" si="1030"/>
        <v>1</v>
      </c>
      <c r="EB329" s="4">
        <f t="shared" si="1010"/>
        <v>0.95</v>
      </c>
      <c r="ED329" s="4">
        <f t="shared" si="1031"/>
        <v>663.07281754310316</v>
      </c>
      <c r="EE329" s="25">
        <f t="shared" si="1032"/>
        <v>272.6404279593682</v>
      </c>
      <c r="EG329" s="4">
        <f t="shared" si="932"/>
        <v>0.8075</v>
      </c>
      <c r="EH329" s="4">
        <f t="shared" si="1033"/>
        <v>8.9262091811553486</v>
      </c>
      <c r="EK329" s="4">
        <f t="shared" si="1011"/>
        <v>82.305406869779816</v>
      </c>
      <c r="EL329" s="4">
        <f t="shared" si="1012"/>
        <v>3.2403703492039302</v>
      </c>
      <c r="EM329" s="4">
        <f t="shared" si="1013"/>
        <v>6.4065159597228735E-2</v>
      </c>
      <c r="EP329" s="4">
        <f t="shared" si="1113"/>
        <v>6.4065159597228735E-2</v>
      </c>
      <c r="EQ329" s="4">
        <f t="shared" si="951"/>
        <v>0.14813615599820915</v>
      </c>
      <c r="ER329" s="4">
        <f t="shared" si="1014"/>
        <v>4.1584500424738895</v>
      </c>
      <c r="ES329" s="4">
        <f t="shared" si="1098"/>
        <v>6.9680756374616859</v>
      </c>
      <c r="ET329" s="4">
        <f t="shared" si="1015"/>
        <v>195.44359313022022</v>
      </c>
      <c r="EU329" s="4">
        <f t="shared" si="1016"/>
        <v>92.58299999999997</v>
      </c>
      <c r="EV329" s="4">
        <f t="shared" si="952"/>
        <v>3.2113113423690513E-5</v>
      </c>
      <c r="EW329" s="4">
        <f t="shared" si="1099"/>
        <v>7.7437287768826684</v>
      </c>
      <c r="EX329" s="4">
        <f t="shared" si="965"/>
        <v>655.68994511597793</v>
      </c>
      <c r="FG329" s="23">
        <f t="shared" si="1143"/>
        <v>1.2</v>
      </c>
      <c r="FH329" s="23">
        <f t="shared" si="1143"/>
        <v>0.8</v>
      </c>
      <c r="FI329" s="23">
        <f t="shared" si="1068"/>
        <v>1.2</v>
      </c>
      <c r="FJ329" s="23">
        <f t="shared" si="1144"/>
        <v>2.2000000000000002</v>
      </c>
      <c r="FK329" s="23">
        <f t="shared" si="1144"/>
        <v>1.2</v>
      </c>
      <c r="FL329" s="23">
        <f t="shared" si="1144"/>
        <v>1.2</v>
      </c>
      <c r="FM329" s="23">
        <f t="shared" si="1037"/>
        <v>0</v>
      </c>
      <c r="FN329" s="23"/>
      <c r="FX329" s="4">
        <f t="shared" si="915"/>
        <v>1</v>
      </c>
      <c r="FY329" s="4">
        <f t="shared" si="975"/>
        <v>0.70000000000000007</v>
      </c>
      <c r="FZ329" s="4">
        <f t="shared" si="916"/>
        <v>0</v>
      </c>
      <c r="GA329" s="4">
        <f t="shared" si="917"/>
        <v>583.60949316274184</v>
      </c>
    </row>
    <row r="330" spans="1:183" ht="12" customHeight="1" x14ac:dyDescent="0.3">
      <c r="A330" s="25">
        <v>312</v>
      </c>
      <c r="B330" s="4" t="s">
        <v>605</v>
      </c>
      <c r="C330" s="4">
        <v>2016</v>
      </c>
      <c r="D330" s="4" t="s">
        <v>309</v>
      </c>
      <c r="E330" s="24" t="s">
        <v>669</v>
      </c>
      <c r="F330" s="7" t="s">
        <v>473</v>
      </c>
      <c r="G330" s="38">
        <f t="shared" si="1145"/>
        <v>827.58620689655174</v>
      </c>
      <c r="H330" s="38">
        <f>14.42*25.4</f>
        <v>366.26799999999997</v>
      </c>
      <c r="I330" s="4">
        <f t="shared" si="1100"/>
        <v>366.26799999999997</v>
      </c>
      <c r="J330" s="38">
        <f>9040/145</f>
        <v>62.344827586206897</v>
      </c>
      <c r="K330" s="38">
        <f t="shared" si="1101"/>
        <v>25.4</v>
      </c>
      <c r="L330" s="7">
        <f t="shared" si="1102"/>
        <v>14.42</v>
      </c>
      <c r="M330" s="7">
        <f t="shared" si="1103"/>
        <v>14.42</v>
      </c>
      <c r="N330" s="38">
        <f>14*25.4</f>
        <v>355.59999999999997</v>
      </c>
      <c r="O330" s="38">
        <f t="shared" si="1114"/>
        <v>63.5</v>
      </c>
      <c r="P330" s="39">
        <f>3.1*25.4</f>
        <v>78.739999999999995</v>
      </c>
      <c r="Q330" s="7">
        <f t="shared" si="1104"/>
        <v>76.199999999999989</v>
      </c>
      <c r="R330" s="38">
        <v>3</v>
      </c>
      <c r="S330" s="4">
        <f t="shared" si="1081"/>
        <v>260.34999999999997</v>
      </c>
      <c r="T330" s="7">
        <f t="shared" si="1105"/>
        <v>1.9999999999999998</v>
      </c>
      <c r="U330" s="7">
        <f t="shared" si="958"/>
        <v>3</v>
      </c>
      <c r="V330" s="38">
        <v>9.5</v>
      </c>
      <c r="W330" s="4">
        <f t="shared" si="1106"/>
        <v>9.5</v>
      </c>
      <c r="X330" s="4">
        <f t="shared" si="1107"/>
        <v>10.5</v>
      </c>
      <c r="Y330" s="7">
        <f t="shared" si="1108"/>
        <v>82.305406869779816</v>
      </c>
      <c r="AB330" s="38">
        <f t="shared" si="1151"/>
        <v>745.51724137931035</v>
      </c>
      <c r="AC330" s="4">
        <v>108.1</v>
      </c>
      <c r="AD330" s="4">
        <f t="shared" si="998"/>
        <v>1.1408969245623375</v>
      </c>
      <c r="AE330" s="38">
        <f>0.375*25.4</f>
        <v>9.5249999999999986</v>
      </c>
      <c r="AF330" s="38">
        <v>4</v>
      </c>
      <c r="AG330" s="39">
        <f>6*25.4</f>
        <v>152.39999999999998</v>
      </c>
      <c r="AH330" s="39">
        <v>1</v>
      </c>
      <c r="AI330" s="39">
        <v>1</v>
      </c>
      <c r="AJ330" s="7"/>
      <c r="AK330" s="4">
        <f t="shared" si="1109"/>
        <v>366.26799999999997</v>
      </c>
      <c r="AL330" s="4">
        <f t="shared" si="1018"/>
        <v>0.32362459546925559</v>
      </c>
      <c r="AM330" s="4">
        <f t="shared" si="1019"/>
        <v>364.09952327355796</v>
      </c>
      <c r="AN330" s="4">
        <f t="shared" si="1020"/>
        <v>0.74160887656033281</v>
      </c>
      <c r="AO330" s="4">
        <v>1.25</v>
      </c>
      <c r="AP330" s="4">
        <f t="shared" si="933"/>
        <v>2.5</v>
      </c>
      <c r="AQ330" s="38">
        <f t="shared" si="1082"/>
        <v>273.07791101441751</v>
      </c>
      <c r="AR330" s="38">
        <f t="shared" si="1021"/>
        <v>273.07791101441751</v>
      </c>
      <c r="AS330" s="38">
        <f t="shared" si="1022"/>
        <v>4.4175343619879603</v>
      </c>
      <c r="AT330" s="38">
        <f t="shared" si="940"/>
        <v>273.07791101441779</v>
      </c>
      <c r="AU330" s="38">
        <f t="shared" si="910"/>
        <v>0.999999999999999</v>
      </c>
      <c r="AV330" s="38">
        <f t="shared" si="941"/>
        <v>3.3776675096783721</v>
      </c>
      <c r="AW330" s="4">
        <f t="shared" si="942"/>
        <v>0</v>
      </c>
      <c r="AX330" s="4">
        <f t="shared" si="1110"/>
        <v>599.25528591574846</v>
      </c>
      <c r="AY330" s="4">
        <f t="shared" si="1083"/>
        <v>1.2000000000000002</v>
      </c>
      <c r="AZ330" s="38">
        <f t="shared" si="953"/>
        <v>922.36638764424072</v>
      </c>
      <c r="BA330" s="4">
        <f t="shared" si="1084"/>
        <v>0.3</v>
      </c>
      <c r="BB330" s="4">
        <f t="shared" si="1085"/>
        <v>93.933266067293573</v>
      </c>
      <c r="BC330" s="4">
        <f t="shared" si="1086"/>
        <v>1016.2996537115343</v>
      </c>
      <c r="BE330" s="4">
        <f t="shared" si="934"/>
        <v>1.5</v>
      </c>
      <c r="BF330" s="4">
        <f t="shared" si="935"/>
        <v>867.67760334004868</v>
      </c>
      <c r="BH330" s="4">
        <f t="shared" si="959"/>
        <v>884.6621638098693</v>
      </c>
      <c r="BI330" s="4">
        <f t="shared" si="905"/>
        <v>0</v>
      </c>
      <c r="BJ330" s="4">
        <f t="shared" si="960"/>
        <v>0</v>
      </c>
      <c r="BK330" s="4">
        <f t="shared" si="1023"/>
        <v>44.499999999999993</v>
      </c>
      <c r="BL330" s="4">
        <f t="shared" si="1024"/>
        <v>44.499999999999993</v>
      </c>
      <c r="BM330" s="4">
        <f t="shared" si="1025"/>
        <v>260.34999999999997</v>
      </c>
      <c r="BN330" s="4">
        <f t="shared" si="1026"/>
        <v>57.199999999999989</v>
      </c>
      <c r="BO330" s="4">
        <f t="shared" si="1027"/>
        <v>1.25</v>
      </c>
      <c r="BP330" s="25">
        <f t="shared" si="1028"/>
        <v>3.3858774782652183</v>
      </c>
      <c r="BR330" s="4">
        <f t="shared" si="1087"/>
        <v>38.099999999999994</v>
      </c>
      <c r="BV330" s="9"/>
      <c r="BX330" s="9"/>
      <c r="BY330" s="9"/>
      <c r="BZ330" s="9">
        <f t="shared" si="1088"/>
        <v>38.099999999999994</v>
      </c>
      <c r="CA330" s="9">
        <f t="shared" si="1089"/>
        <v>63.5</v>
      </c>
      <c r="CB330" s="9">
        <f t="shared" si="943"/>
        <v>1.3222785168171165</v>
      </c>
      <c r="CC330" s="40">
        <f t="shared" si="1111"/>
        <v>20</v>
      </c>
      <c r="CD330" s="9">
        <f t="shared" si="1090"/>
        <v>4.9087385212340517E-2</v>
      </c>
      <c r="CE330" s="9">
        <f t="shared" si="1091"/>
        <v>0.78174770424681028</v>
      </c>
      <c r="CF330" s="9">
        <f t="shared" si="1092"/>
        <v>0.99524931562137331</v>
      </c>
      <c r="CG330" s="9">
        <f t="shared" si="1093"/>
        <v>0.68</v>
      </c>
      <c r="CH330" s="9">
        <f t="shared" si="944"/>
        <v>1.8702904607807274</v>
      </c>
      <c r="CI330" s="9">
        <f t="shared" si="945"/>
        <v>3.9351401704883844</v>
      </c>
      <c r="CJ330" s="40">
        <v>1</v>
      </c>
      <c r="CK330" s="9">
        <f t="shared" si="946"/>
        <v>463.08729526307309</v>
      </c>
      <c r="CM330" s="4">
        <f t="shared" si="1094"/>
        <v>1.2440728666081811</v>
      </c>
      <c r="CN330" s="4">
        <f t="shared" si="1095"/>
        <v>0.73356045990636276</v>
      </c>
      <c r="CO330" s="4">
        <f t="shared" si="1062"/>
        <v>0.85920996290500906</v>
      </c>
      <c r="CP330" s="4">
        <f t="shared" si="1096"/>
        <v>1.6098848942849813</v>
      </c>
      <c r="CQ330" s="4">
        <f t="shared" si="1035"/>
        <v>1.1408969245623375</v>
      </c>
      <c r="CR330" s="4">
        <f t="shared" si="1036"/>
        <v>1.127721019295898</v>
      </c>
      <c r="CS330" s="4">
        <f t="shared" si="1063"/>
        <v>1.2431637729407938</v>
      </c>
      <c r="CT330" s="4">
        <f t="shared" si="1112"/>
        <v>4</v>
      </c>
      <c r="DA330" s="4">
        <f t="shared" ref="DA330:DB330" si="1170">CM330</f>
        <v>1.2440728666081811</v>
      </c>
      <c r="DB330" s="4">
        <f t="shared" si="1170"/>
        <v>0.73356045990636276</v>
      </c>
      <c r="DC330" s="4">
        <f t="shared" ref="DC330" si="1171">CP330</f>
        <v>1.6098848942849813</v>
      </c>
      <c r="DD330" s="4">
        <f t="shared" ref="DD330" si="1172">CS330</f>
        <v>1.2431637729407938</v>
      </c>
      <c r="DE330" s="4">
        <f t="shared" ref="DE330:DF330" si="1173">CQ330</f>
        <v>1.1408969245623375</v>
      </c>
      <c r="DF330" s="4">
        <f t="shared" si="1173"/>
        <v>1.127721019295898</v>
      </c>
      <c r="DI330" s="4">
        <f t="shared" si="1097"/>
        <v>366.26799999999997</v>
      </c>
      <c r="DL330" s="4">
        <f t="shared" si="999"/>
        <v>3.1760706143320806E-5</v>
      </c>
      <c r="DM330" s="4">
        <f t="shared" si="1000"/>
        <v>9.0106843469076061</v>
      </c>
      <c r="DN330" s="4">
        <f t="shared" si="1001"/>
        <v>0.14765827184038907</v>
      </c>
      <c r="DO330" s="4">
        <f t="shared" si="1002"/>
        <v>4.1923823959380124</v>
      </c>
      <c r="DP330" s="4">
        <f t="shared" si="1003"/>
        <v>7.0324278649770928</v>
      </c>
      <c r="DQ330" s="4">
        <f t="shared" si="1004"/>
        <v>7.8334834288186856</v>
      </c>
      <c r="DR330" s="38">
        <f t="shared" si="1029"/>
        <v>653.4483749838314</v>
      </c>
      <c r="DS330" s="4">
        <f t="shared" si="1005"/>
        <v>1.0000888427984602</v>
      </c>
      <c r="DT330" s="4">
        <f t="shared" si="1006"/>
        <v>3.2403703492039297</v>
      </c>
      <c r="DU330" s="4">
        <f t="shared" si="1007"/>
        <v>273.07791101441779</v>
      </c>
      <c r="DY330" s="4">
        <f t="shared" si="1008"/>
        <v>0.85</v>
      </c>
      <c r="DZ330" s="4">
        <f t="shared" si="1009"/>
        <v>0.95</v>
      </c>
      <c r="EA330" s="4">
        <f t="shared" si="1030"/>
        <v>0.99062499999999998</v>
      </c>
      <c r="EB330" s="4">
        <f t="shared" si="1010"/>
        <v>0.94109374999999995</v>
      </c>
      <c r="ED330" s="4">
        <f t="shared" si="1031"/>
        <v>661.08304148199727</v>
      </c>
      <c r="EE330" s="25">
        <f t="shared" si="1032"/>
        <v>271.28083663477435</v>
      </c>
      <c r="EG330" s="4">
        <f t="shared" si="932"/>
        <v>0.79992968749999993</v>
      </c>
      <c r="EH330" s="4">
        <f t="shared" si="1033"/>
        <v>9.0106843469076061</v>
      </c>
      <c r="EK330" s="4">
        <f t="shared" si="1011"/>
        <v>82.305406869779816</v>
      </c>
      <c r="EL330" s="4">
        <f t="shared" si="1012"/>
        <v>3.2403703492039302</v>
      </c>
      <c r="EM330" s="4">
        <f t="shared" si="1013"/>
        <v>6.3751918812269076E-2</v>
      </c>
      <c r="EP330" s="4">
        <f t="shared" si="1113"/>
        <v>6.3751918812269076E-2</v>
      </c>
      <c r="EQ330" s="4">
        <f t="shared" si="951"/>
        <v>0.14741185770444837</v>
      </c>
      <c r="ER330" s="4">
        <f t="shared" si="1014"/>
        <v>4.1895824716802146</v>
      </c>
      <c r="ES330" s="4">
        <f t="shared" si="1098"/>
        <v>7.0316066334487699</v>
      </c>
      <c r="ET330" s="4">
        <f t="shared" si="1015"/>
        <v>192.39559313022016</v>
      </c>
      <c r="EU330" s="4">
        <f t="shared" si="1016"/>
        <v>91.567000000000007</v>
      </c>
      <c r="EV330" s="4">
        <f t="shared" si="952"/>
        <v>3.1760706143320806E-5</v>
      </c>
      <c r="EW330" s="4">
        <f t="shared" si="1099"/>
        <v>7.8337000890040676</v>
      </c>
      <c r="EX330" s="4">
        <f t="shared" si="965"/>
        <v>653.39032595878632</v>
      </c>
      <c r="FG330" s="23">
        <f t="shared" si="1143"/>
        <v>1.4</v>
      </c>
      <c r="FH330" s="23">
        <f t="shared" si="1143"/>
        <v>0.8</v>
      </c>
      <c r="FI330" s="23">
        <f t="shared" si="1068"/>
        <v>1.4</v>
      </c>
      <c r="FJ330" s="23">
        <f t="shared" si="1144"/>
        <v>1.8</v>
      </c>
      <c r="FK330" s="23">
        <f t="shared" si="1144"/>
        <v>1.2</v>
      </c>
      <c r="FL330" s="23">
        <f t="shared" si="1144"/>
        <v>1.2</v>
      </c>
      <c r="FM330" s="23">
        <f t="shared" si="1037"/>
        <v>0</v>
      </c>
      <c r="FN330" s="23"/>
      <c r="FX330" s="4">
        <f t="shared" si="915"/>
        <v>1</v>
      </c>
      <c r="FY330" s="4">
        <f t="shared" si="975"/>
        <v>0.67375000000000007</v>
      </c>
      <c r="FZ330" s="4">
        <f t="shared" si="916"/>
        <v>9.3749999999999986E-2</v>
      </c>
      <c r="GA330" s="4">
        <f t="shared" si="917"/>
        <v>599.69350588115628</v>
      </c>
    </row>
    <row r="331" spans="1:183" ht="12" customHeight="1" x14ac:dyDescent="0.3">
      <c r="A331" s="25">
        <v>313</v>
      </c>
      <c r="B331" s="4" t="s">
        <v>605</v>
      </c>
      <c r="C331" s="4">
        <v>2016</v>
      </c>
      <c r="D331" s="4" t="s">
        <v>309</v>
      </c>
      <c r="E331" s="24" t="s">
        <v>669</v>
      </c>
      <c r="F331" s="7" t="s">
        <v>474</v>
      </c>
      <c r="G331" s="38">
        <f t="shared" si="1145"/>
        <v>827.58620689655174</v>
      </c>
      <c r="H331" s="38">
        <f>14.58*25.4</f>
        <v>370.33199999999999</v>
      </c>
      <c r="I331" s="4">
        <f t="shared" si="1100"/>
        <v>370.33199999999999</v>
      </c>
      <c r="J331" s="38">
        <f>9940/145</f>
        <v>68.551724137931032</v>
      </c>
      <c r="K331" s="38">
        <f t="shared" si="1101"/>
        <v>25.4</v>
      </c>
      <c r="L331" s="7">
        <f t="shared" si="1102"/>
        <v>14.58</v>
      </c>
      <c r="M331" s="7">
        <f t="shared" si="1103"/>
        <v>14.58</v>
      </c>
      <c r="N331" s="38">
        <f>15.8*25.4</f>
        <v>401.32</v>
      </c>
      <c r="O331" s="38">
        <f t="shared" si="1114"/>
        <v>63.5</v>
      </c>
      <c r="P331" s="39">
        <f>3*25.4</f>
        <v>76.199999999999989</v>
      </c>
      <c r="Q331" s="7">
        <f t="shared" si="1104"/>
        <v>99.06</v>
      </c>
      <c r="R331" s="38">
        <v>3</v>
      </c>
      <c r="S331" s="4">
        <f t="shared" si="1081"/>
        <v>260.34999999999997</v>
      </c>
      <c r="T331" s="7">
        <f t="shared" si="1105"/>
        <v>2.4500000000000002</v>
      </c>
      <c r="U331" s="7">
        <f t="shared" si="958"/>
        <v>3</v>
      </c>
      <c r="V331" s="38">
        <v>9.5</v>
      </c>
      <c r="W331" s="4">
        <f t="shared" si="1106"/>
        <v>9.5</v>
      </c>
      <c r="X331" s="4">
        <f t="shared" si="1107"/>
        <v>10.5</v>
      </c>
      <c r="Y331" s="7">
        <f t="shared" si="1108"/>
        <v>82.305406869779816</v>
      </c>
      <c r="AB331" s="38">
        <f t="shared" si="1151"/>
        <v>813.79310344827593</v>
      </c>
      <c r="AC331" s="4">
        <v>118</v>
      </c>
      <c r="AD331" s="4">
        <f t="shared" si="998"/>
        <v>1.0927712921092712</v>
      </c>
      <c r="AE331" s="38">
        <v>0</v>
      </c>
      <c r="AF331" s="38">
        <v>0</v>
      </c>
      <c r="AG331" s="39">
        <f t="shared" ref="AG331" si="1174">I331</f>
        <v>370.33199999999999</v>
      </c>
      <c r="AH331" s="39"/>
      <c r="AI331" s="39"/>
      <c r="AJ331" s="7"/>
      <c r="AK331" s="4">
        <f t="shared" si="1109"/>
        <v>370.33199999999999</v>
      </c>
      <c r="AL331" s="4">
        <f t="shared" si="1018"/>
        <v>0.3612254229538181</v>
      </c>
      <c r="AM331" s="4">
        <f t="shared" si="1019"/>
        <v>388.16599141783303</v>
      </c>
      <c r="AN331" s="4">
        <f t="shared" si="1020"/>
        <v>0.74115226337448559</v>
      </c>
      <c r="AO331" s="4">
        <v>1.25</v>
      </c>
      <c r="AP331" s="4">
        <f t="shared" si="933"/>
        <v>2.5</v>
      </c>
      <c r="AQ331" s="38">
        <f t="shared" si="1082"/>
        <v>324.7530599171514</v>
      </c>
      <c r="AR331" s="38">
        <f t="shared" si="1021"/>
        <v>324.7530599171514</v>
      </c>
      <c r="AS331" s="38">
        <f t="shared" si="1022"/>
        <v>4.5752930713880566</v>
      </c>
      <c r="AT331" s="38">
        <f t="shared" si="940"/>
        <v>324.75305991715135</v>
      </c>
      <c r="AU331" s="38">
        <f t="shared" si="910"/>
        <v>1.0000000000000002</v>
      </c>
      <c r="AV331" s="38">
        <f t="shared" si="941"/>
        <v>3.4743069894130096</v>
      </c>
      <c r="AW331" s="4">
        <f t="shared" si="942"/>
        <v>0</v>
      </c>
      <c r="AX331" s="4">
        <f t="shared" si="1110"/>
        <v>635.35011681968183</v>
      </c>
      <c r="AY331" s="4">
        <f t="shared" si="1083"/>
        <v>1.0897959183673469</v>
      </c>
      <c r="AZ331" s="38">
        <f t="shared" si="953"/>
        <v>1128.2918259034209</v>
      </c>
      <c r="BA331" s="4">
        <f t="shared" si="1084"/>
        <v>0.3</v>
      </c>
      <c r="BB331" s="4">
        <f t="shared" si="1085"/>
        <v>99.591130811485129</v>
      </c>
      <c r="BC331" s="4">
        <f t="shared" si="1086"/>
        <v>1227.882956714906</v>
      </c>
      <c r="BE331" s="4">
        <f t="shared" si="934"/>
        <v>1.375</v>
      </c>
      <c r="BF331" s="4">
        <f t="shared" si="935"/>
        <v>839.48902446718273</v>
      </c>
      <c r="BH331" s="4">
        <f t="shared" si="959"/>
        <v>1082.1698421405406</v>
      </c>
      <c r="BI331" s="4">
        <f t="shared" si="905"/>
        <v>0</v>
      </c>
      <c r="BJ331" s="4">
        <f t="shared" si="960"/>
        <v>0</v>
      </c>
      <c r="BK331" s="4">
        <f t="shared" si="1023"/>
        <v>55.93</v>
      </c>
      <c r="BL331" s="4">
        <f t="shared" si="1024"/>
        <v>55.93</v>
      </c>
      <c r="BM331" s="4">
        <f t="shared" si="1025"/>
        <v>260.34999999999997</v>
      </c>
      <c r="BN331" s="4">
        <f t="shared" si="1026"/>
        <v>68.63</v>
      </c>
      <c r="BO331" s="4">
        <f t="shared" si="1027"/>
        <v>1.25</v>
      </c>
      <c r="BP331" s="25">
        <f t="shared" si="1028"/>
        <v>3.3774606299212597</v>
      </c>
      <c r="BR331" s="4">
        <f t="shared" si="1087"/>
        <v>49.53</v>
      </c>
      <c r="BV331" s="9"/>
      <c r="BX331" s="9"/>
      <c r="BY331" s="9"/>
      <c r="BZ331" s="9">
        <f t="shared" si="1088"/>
        <v>49.53</v>
      </c>
      <c r="CA331" s="9">
        <f t="shared" si="1089"/>
        <v>63.5</v>
      </c>
      <c r="CB331" s="9">
        <f t="shared" si="943"/>
        <v>1.4494495884306333</v>
      </c>
      <c r="CC331" s="40">
        <f t="shared" si="1111"/>
        <v>20</v>
      </c>
      <c r="CD331" s="9">
        <f t="shared" si="1090"/>
        <v>0</v>
      </c>
      <c r="CE331" s="9">
        <f t="shared" si="1091"/>
        <v>0</v>
      </c>
      <c r="CF331" s="9">
        <f t="shared" si="1092"/>
        <v>0.99524931562137331</v>
      </c>
      <c r="CG331" s="9">
        <f t="shared" si="1093"/>
        <v>0.68</v>
      </c>
      <c r="CH331" s="9">
        <f t="shared" si="944"/>
        <v>1.9611826194568933</v>
      </c>
      <c r="CI331" s="9">
        <f t="shared" si="945"/>
        <v>2.8426353406091054</v>
      </c>
      <c r="CJ331" s="40">
        <v>1</v>
      </c>
      <c r="CK331" s="9">
        <f t="shared" si="946"/>
        <v>336.34061350086938</v>
      </c>
      <c r="CM331" s="4">
        <f t="shared" si="1094"/>
        <v>1.2808577222300848</v>
      </c>
      <c r="CN331" s="4">
        <f t="shared" si="1095"/>
        <v>0.66276113614729903</v>
      </c>
      <c r="CO331" s="4">
        <f t="shared" si="1062"/>
        <v>0.96939099825013697</v>
      </c>
      <c r="CP331" s="4">
        <f t="shared" si="1096"/>
        <v>2.4195505115416949</v>
      </c>
      <c r="CQ331" s="4">
        <f t="shared" si="1035"/>
        <v>1.0927712921092712</v>
      </c>
      <c r="CR331" s="4">
        <f t="shared" si="1036"/>
        <v>1.0815801265431821</v>
      </c>
      <c r="CS331" s="4">
        <f t="shared" si="1063"/>
        <v>1.2741789583907734</v>
      </c>
      <c r="CT331" s="4">
        <f t="shared" si="1112"/>
        <v>0</v>
      </c>
      <c r="CU331" s="4">
        <f t="shared" ref="CU331:CV331" si="1175">CM331</f>
        <v>1.2808577222300848</v>
      </c>
      <c r="CV331" s="4">
        <f t="shared" si="1175"/>
        <v>0.66276113614729903</v>
      </c>
      <c r="CW331" s="4">
        <f t="shared" ref="CW331" si="1176">CP331</f>
        <v>2.4195505115416949</v>
      </c>
      <c r="CX331" s="4">
        <f t="shared" ref="CX331" si="1177">CS331</f>
        <v>1.2741789583907734</v>
      </c>
      <c r="CY331" s="4">
        <f t="shared" ref="CY331:CZ331" si="1178">CQ331</f>
        <v>1.0927712921092712</v>
      </c>
      <c r="CZ331" s="4">
        <f t="shared" si="1178"/>
        <v>1.0815801265431821</v>
      </c>
      <c r="DI331" s="4">
        <f t="shared" si="1097"/>
        <v>370.33199999999999</v>
      </c>
      <c r="DL331" s="4">
        <f t="shared" si="999"/>
        <v>3.3348105714073671E-5</v>
      </c>
      <c r="DM331" s="4">
        <f t="shared" si="1000"/>
        <v>9.8254186250777558</v>
      </c>
      <c r="DN331" s="4">
        <f t="shared" si="1001"/>
        <v>0.1597005850651578</v>
      </c>
      <c r="DO331" s="4">
        <f t="shared" si="1002"/>
        <v>4.717084607697652</v>
      </c>
      <c r="DP331" s="4">
        <f t="shared" si="1003"/>
        <v>7.7116198041062471</v>
      </c>
      <c r="DQ331" s="4">
        <f t="shared" si="1004"/>
        <v>8.3305958558960782</v>
      </c>
      <c r="DR331" s="38">
        <f t="shared" si="1029"/>
        <v>744.70578548736353</v>
      </c>
      <c r="DS331" s="4">
        <f t="shared" si="1005"/>
        <v>1.0000885597342692</v>
      </c>
      <c r="DT331" s="4">
        <f t="shared" si="1006"/>
        <v>3.2403703492039297</v>
      </c>
      <c r="DU331" s="4">
        <f t="shared" si="1007"/>
        <v>324.75305991715135</v>
      </c>
      <c r="DY331" s="4">
        <f t="shared" si="1008"/>
        <v>0.85</v>
      </c>
      <c r="DZ331" s="4">
        <f t="shared" si="1009"/>
        <v>0.90500000000000003</v>
      </c>
      <c r="EA331" s="4">
        <f t="shared" si="1030"/>
        <v>1</v>
      </c>
      <c r="EB331" s="4">
        <f t="shared" si="1010"/>
        <v>0.90500000000000003</v>
      </c>
      <c r="ED331" s="4">
        <f t="shared" si="1031"/>
        <v>752.41129480552195</v>
      </c>
      <c r="EE331" s="25">
        <f t="shared" si="1032"/>
        <v>322.64748414462093</v>
      </c>
      <c r="EG331" s="4">
        <f t="shared" si="932"/>
        <v>0.76924999999999999</v>
      </c>
      <c r="EH331" s="4">
        <f t="shared" si="1033"/>
        <v>9.8254186250777558</v>
      </c>
      <c r="EK331" s="4">
        <f t="shared" si="1011"/>
        <v>82.305406869779816</v>
      </c>
      <c r="EL331" s="4">
        <f t="shared" si="1012"/>
        <v>3.2403703492039302</v>
      </c>
      <c r="EM331" s="4">
        <f t="shared" si="1013"/>
        <v>7.2302108688300989E-2</v>
      </c>
      <c r="EP331" s="4">
        <f t="shared" si="1113"/>
        <v>7.2302108688300989E-2</v>
      </c>
      <c r="EQ331" s="4">
        <f t="shared" si="951"/>
        <v>0.15943407455282702</v>
      </c>
      <c r="ER331" s="4">
        <f t="shared" si="1014"/>
        <v>4.7139342558518917</v>
      </c>
      <c r="ES331" s="4">
        <f t="shared" si="1098"/>
        <v>7.710669855011191</v>
      </c>
      <c r="ET331" s="4">
        <f t="shared" si="1015"/>
        <v>195.44359313022022</v>
      </c>
      <c r="EU331" s="4">
        <f t="shared" si="1016"/>
        <v>92.58299999999997</v>
      </c>
      <c r="EV331" s="4">
        <f t="shared" si="952"/>
        <v>3.3348105714073664E-5</v>
      </c>
      <c r="EW331" s="4">
        <f t="shared" si="1099"/>
        <v>8.3308788563313456</v>
      </c>
      <c r="EX331" s="4">
        <f t="shared" si="965"/>
        <v>744.63984038097317</v>
      </c>
      <c r="FG331" s="23">
        <f t="shared" si="1143"/>
        <v>1.4</v>
      </c>
      <c r="FH331" s="23">
        <f t="shared" si="1143"/>
        <v>0.8</v>
      </c>
      <c r="FI331" s="23">
        <f t="shared" si="1068"/>
        <v>1.4</v>
      </c>
      <c r="FJ331" s="23">
        <f t="shared" si="1144"/>
        <v>2.2000000000000002</v>
      </c>
      <c r="FK331" s="23">
        <f t="shared" si="1144"/>
        <v>1.2</v>
      </c>
      <c r="FL331" s="23">
        <f t="shared" si="1144"/>
        <v>1.2</v>
      </c>
      <c r="FM331" s="23">
        <f t="shared" si="1037"/>
        <v>0</v>
      </c>
      <c r="FN331" s="23"/>
      <c r="FX331" s="4">
        <f t="shared" si="915"/>
        <v>1</v>
      </c>
      <c r="FY331" s="4">
        <f t="shared" si="975"/>
        <v>0.65500000000000003</v>
      </c>
      <c r="FZ331" s="4">
        <f t="shared" si="916"/>
        <v>0</v>
      </c>
      <c r="GA331" s="4">
        <f t="shared" si="917"/>
        <v>638.68038166009069</v>
      </c>
    </row>
    <row r="332" spans="1:183" ht="12" customHeight="1" x14ac:dyDescent="0.3">
      <c r="A332" s="25">
        <v>314</v>
      </c>
      <c r="B332" s="4" t="s">
        <v>605</v>
      </c>
      <c r="C332" s="4">
        <v>2016</v>
      </c>
      <c r="D332" s="4" t="s">
        <v>309</v>
      </c>
      <c r="E332" s="24" t="s">
        <v>669</v>
      </c>
      <c r="F332" s="7" t="s">
        <v>475</v>
      </c>
      <c r="G332" s="38">
        <f t="shared" si="1145"/>
        <v>827.58620689655174</v>
      </c>
      <c r="H332" s="38">
        <f>14.08*25.4</f>
        <v>357.63200000000001</v>
      </c>
      <c r="I332" s="4">
        <f t="shared" si="1100"/>
        <v>357.63200000000001</v>
      </c>
      <c r="J332" s="38">
        <f>9940/145</f>
        <v>68.551724137931032</v>
      </c>
      <c r="K332" s="38">
        <f t="shared" si="1101"/>
        <v>25.4</v>
      </c>
      <c r="L332" s="7">
        <f t="shared" si="1102"/>
        <v>14.080000000000002</v>
      </c>
      <c r="M332" s="7">
        <f t="shared" si="1103"/>
        <v>14.080000000000002</v>
      </c>
      <c r="N332" s="38">
        <f>15.5*25.4</f>
        <v>393.7</v>
      </c>
      <c r="O332" s="38">
        <f>2.3*25.4</f>
        <v>58.419999999999995</v>
      </c>
      <c r="P332" s="39">
        <f>3.7*25.4</f>
        <v>93.98</v>
      </c>
      <c r="Q332" s="7">
        <f t="shared" si="1104"/>
        <v>100.33000000000001</v>
      </c>
      <c r="R332" s="38">
        <v>3</v>
      </c>
      <c r="S332" s="4">
        <f t="shared" si="1081"/>
        <v>260.34999999999997</v>
      </c>
      <c r="T332" s="7">
        <f t="shared" si="1105"/>
        <v>2.4750000000000005</v>
      </c>
      <c r="U332" s="7">
        <f t="shared" si="958"/>
        <v>2.8</v>
      </c>
      <c r="V332" s="38">
        <v>9.5</v>
      </c>
      <c r="W332" s="4">
        <f t="shared" si="1106"/>
        <v>9.5</v>
      </c>
      <c r="X332" s="4">
        <f t="shared" si="1107"/>
        <v>10.5</v>
      </c>
      <c r="Y332" s="7">
        <f t="shared" si="1108"/>
        <v>82.305406869779816</v>
      </c>
      <c r="AB332" s="38">
        <f t="shared" si="1151"/>
        <v>918.62068965517244</v>
      </c>
      <c r="AC332" s="4">
        <v>133.19999999999999</v>
      </c>
      <c r="AD332" s="4">
        <f t="shared" si="998"/>
        <v>1.2733735889849789</v>
      </c>
      <c r="AE332" s="38">
        <f>0.375*25.4</f>
        <v>9.5249999999999986</v>
      </c>
      <c r="AF332" s="38">
        <v>4</v>
      </c>
      <c r="AG332" s="39">
        <f>6*25.4</f>
        <v>152.39999999999998</v>
      </c>
      <c r="AH332" s="39">
        <v>1</v>
      </c>
      <c r="AI332" s="39">
        <v>1</v>
      </c>
      <c r="AJ332" s="7"/>
      <c r="AK332" s="4">
        <f t="shared" si="1109"/>
        <v>357.63200000000001</v>
      </c>
      <c r="AL332" s="4">
        <f t="shared" si="1018"/>
        <v>0.36695075757575757</v>
      </c>
      <c r="AM332" s="4">
        <f t="shared" si="1019"/>
        <v>368.37078442762726</v>
      </c>
      <c r="AN332" s="4">
        <f t="shared" si="1020"/>
        <v>0.73977272727272725</v>
      </c>
      <c r="AO332" s="4">
        <v>1.25</v>
      </c>
      <c r="AP332" s="4">
        <f t="shared" si="933"/>
        <v>2.5</v>
      </c>
      <c r="AQ332" s="38">
        <f t="shared" si="1082"/>
        <v>312.49372836589322</v>
      </c>
      <c r="AR332" s="38">
        <f t="shared" si="1021"/>
        <v>312.49372836589322</v>
      </c>
      <c r="AS332" s="38">
        <f t="shared" si="1022"/>
        <v>4.5752930713880566</v>
      </c>
      <c r="AT332" s="38">
        <f t="shared" si="940"/>
        <v>312.49372836589333</v>
      </c>
      <c r="AU332" s="38">
        <f t="shared" si="910"/>
        <v>0.99999999999999967</v>
      </c>
      <c r="AV332" s="38">
        <f t="shared" si="941"/>
        <v>3.5227076496116316</v>
      </c>
      <c r="AW332" s="4">
        <f t="shared" si="942"/>
        <v>0</v>
      </c>
      <c r="AX332" s="4">
        <f t="shared" si="1110"/>
        <v>613.56170403437056</v>
      </c>
      <c r="AY332" s="4">
        <f t="shared" si="1083"/>
        <v>1.0525252525252524</v>
      </c>
      <c r="AZ332" s="38">
        <f t="shared" si="953"/>
        <v>1100.8240473701917</v>
      </c>
      <c r="BA332" s="4">
        <f t="shared" si="1084"/>
        <v>0.3</v>
      </c>
      <c r="BB332" s="4">
        <f t="shared" si="1085"/>
        <v>96.175797107387567</v>
      </c>
      <c r="BC332" s="4">
        <f t="shared" si="1086"/>
        <v>1196.9998444775792</v>
      </c>
      <c r="BE332" s="4">
        <f t="shared" si="934"/>
        <v>1.5</v>
      </c>
      <c r="BF332" s="4">
        <f t="shared" si="935"/>
        <v>897.17711557821269</v>
      </c>
      <c r="BH332" s="4">
        <f t="shared" si="959"/>
        <v>1055.8248834367448</v>
      </c>
      <c r="BI332" s="4">
        <f t="shared" si="905"/>
        <v>0</v>
      </c>
      <c r="BJ332" s="4">
        <f t="shared" si="960"/>
        <v>0</v>
      </c>
      <c r="BK332" s="4">
        <f t="shared" si="1023"/>
        <v>56.565000000000005</v>
      </c>
      <c r="BL332" s="4">
        <f t="shared" si="1024"/>
        <v>56.565000000000005</v>
      </c>
      <c r="BM332" s="4">
        <f t="shared" si="1025"/>
        <v>260.34999999999997</v>
      </c>
      <c r="BN332" s="4">
        <f t="shared" si="1026"/>
        <v>69.265000000000001</v>
      </c>
      <c r="BO332" s="4">
        <f t="shared" si="1027"/>
        <v>1.25</v>
      </c>
      <c r="BP332" s="25">
        <f t="shared" si="1028"/>
        <v>4</v>
      </c>
      <c r="BR332" s="4">
        <f t="shared" si="1087"/>
        <v>50.165000000000006</v>
      </c>
      <c r="BV332" s="9"/>
      <c r="BX332" s="9"/>
      <c r="BY332" s="9"/>
      <c r="BZ332" s="9">
        <f t="shared" si="1088"/>
        <v>50.165000000000006</v>
      </c>
      <c r="CA332" s="9">
        <f t="shared" si="1089"/>
        <v>58.419999999999995</v>
      </c>
      <c r="CB332" s="9">
        <f t="shared" si="943"/>
        <v>1.43783039583918</v>
      </c>
      <c r="CC332" s="40">
        <f t="shared" si="1111"/>
        <v>20</v>
      </c>
      <c r="CD332" s="9">
        <f t="shared" si="1090"/>
        <v>4.9087385212340517E-2</v>
      </c>
      <c r="CE332" s="9">
        <f t="shared" si="1091"/>
        <v>0.78174770424681028</v>
      </c>
      <c r="CF332" s="9">
        <f t="shared" si="1092"/>
        <v>0.99524931562137331</v>
      </c>
      <c r="CG332" s="9">
        <f t="shared" si="1093"/>
        <v>0.68</v>
      </c>
      <c r="CH332" s="9">
        <f t="shared" si="944"/>
        <v>1.9611826194568933</v>
      </c>
      <c r="CI332" s="9">
        <f t="shared" si="945"/>
        <v>4.3529979924157969</v>
      </c>
      <c r="CJ332" s="40">
        <v>1</v>
      </c>
      <c r="CK332" s="9">
        <f t="shared" si="946"/>
        <v>506.34072647780556</v>
      </c>
      <c r="CM332" s="4">
        <f t="shared" si="1094"/>
        <v>1.4971936540610968</v>
      </c>
      <c r="CN332" s="4">
        <f t="shared" si="1095"/>
        <v>0.76743593066722315</v>
      </c>
      <c r="CO332" s="4">
        <f t="shared" si="1062"/>
        <v>1.0239011603223291</v>
      </c>
      <c r="CP332" s="4">
        <f t="shared" si="1096"/>
        <v>1.8142342529807116</v>
      </c>
      <c r="CQ332" s="4">
        <f t="shared" si="1035"/>
        <v>1.2733735889849789</v>
      </c>
      <c r="CR332" s="4">
        <f t="shared" si="1036"/>
        <v>1.2575697339160365</v>
      </c>
      <c r="CS332" s="4">
        <f t="shared" si="1063"/>
        <v>1.7850791723869082</v>
      </c>
      <c r="CT332" s="4">
        <f t="shared" si="1112"/>
        <v>4</v>
      </c>
      <c r="DA332" s="4">
        <f t="shared" ref="DA332:DB332" si="1179">CM332</f>
        <v>1.4971936540610968</v>
      </c>
      <c r="DB332" s="4">
        <f t="shared" si="1179"/>
        <v>0.76743593066722315</v>
      </c>
      <c r="DC332" s="4">
        <f t="shared" ref="DC332" si="1180">CP332</f>
        <v>1.8142342529807116</v>
      </c>
      <c r="DD332" s="4">
        <f t="shared" ref="DD332" si="1181">CS332</f>
        <v>1.7850791723869082</v>
      </c>
      <c r="DE332" s="4">
        <f t="shared" ref="DE332:DF332" si="1182">CQ332</f>
        <v>1.2733735889849789</v>
      </c>
      <c r="DF332" s="4">
        <f t="shared" si="1182"/>
        <v>1.2575697339160365</v>
      </c>
      <c r="DI332" s="4">
        <f t="shared" si="1097"/>
        <v>357.63200000000001</v>
      </c>
      <c r="DL332" s="4">
        <f t="shared" si="999"/>
        <v>3.2204480689585553E-5</v>
      </c>
      <c r="DM332" s="4">
        <f t="shared" si="1000"/>
        <v>9.9458784617650533</v>
      </c>
      <c r="DN332" s="4">
        <f t="shared" si="1001"/>
        <v>0.15367193541442592</v>
      </c>
      <c r="DO332" s="4">
        <f t="shared" si="1002"/>
        <v>4.7019821086310722</v>
      </c>
      <c r="DP332" s="4">
        <f t="shared" si="1003"/>
        <v>7.7843131631097142</v>
      </c>
      <c r="DQ332" s="4">
        <f t="shared" si="1004"/>
        <v>8.5266700561357052</v>
      </c>
      <c r="DR332" s="38">
        <f t="shared" si="1029"/>
        <v>721.40705414458603</v>
      </c>
      <c r="DS332" s="4">
        <f t="shared" si="1005"/>
        <v>1.000089090425536</v>
      </c>
      <c r="DT332" s="4">
        <f t="shared" si="1006"/>
        <v>3.2403703492039297</v>
      </c>
      <c r="DU332" s="4">
        <f t="shared" si="1007"/>
        <v>312.49372836589333</v>
      </c>
      <c r="DY332" s="4">
        <f t="shared" si="1008"/>
        <v>0.85</v>
      </c>
      <c r="DZ332" s="4">
        <f t="shared" si="1009"/>
        <v>0.90249999999999997</v>
      </c>
      <c r="EA332" s="4">
        <f t="shared" si="1030"/>
        <v>0.99062499999999998</v>
      </c>
      <c r="EB332" s="4">
        <f t="shared" si="1010"/>
        <v>0.89403906249999998</v>
      </c>
      <c r="ED332" s="4">
        <f t="shared" si="1031"/>
        <v>730.47296295420028</v>
      </c>
      <c r="EE332" s="25">
        <f t="shared" si="1032"/>
        <v>310.35905672924446</v>
      </c>
      <c r="EG332" s="4">
        <f t="shared" si="932"/>
        <v>0.75993320312500001</v>
      </c>
      <c r="EH332" s="4">
        <f t="shared" si="1033"/>
        <v>9.9458784617650533</v>
      </c>
      <c r="EK332" s="4">
        <f t="shared" si="1011"/>
        <v>82.305406869779816</v>
      </c>
      <c r="EL332" s="4">
        <f t="shared" si="1012"/>
        <v>3.2403703492039302</v>
      </c>
      <c r="EM332" s="4">
        <f t="shared" si="1013"/>
        <v>6.9572725561037788E-2</v>
      </c>
      <c r="EP332" s="4">
        <f t="shared" si="1113"/>
        <v>6.9572725561037788E-2</v>
      </c>
      <c r="EQ332" s="4">
        <f t="shared" si="951"/>
        <v>0.15341548559477464</v>
      </c>
      <c r="ER332" s="4">
        <f t="shared" si="1014"/>
        <v>4.6988418431394399</v>
      </c>
      <c r="ES332" s="4">
        <f t="shared" si="1098"/>
        <v>7.7833789789584849</v>
      </c>
      <c r="ET332" s="4">
        <f t="shared" si="1015"/>
        <v>185.91859313022019</v>
      </c>
      <c r="EU332" s="4">
        <f t="shared" si="1016"/>
        <v>89.408000000000015</v>
      </c>
      <c r="EV332" s="4">
        <f t="shared" si="952"/>
        <v>3.2204480689585553E-5</v>
      </c>
      <c r="EW332" s="4">
        <f t="shared" si="1099"/>
        <v>8.5269391814720326</v>
      </c>
      <c r="EX332" s="4">
        <f t="shared" si="965"/>
        <v>721.34278940852028</v>
      </c>
      <c r="FG332" s="23">
        <f t="shared" si="1143"/>
        <v>1.6</v>
      </c>
      <c r="FH332" s="23">
        <f t="shared" si="1143"/>
        <v>0.8</v>
      </c>
      <c r="FI332" s="23">
        <f t="shared" si="1068"/>
        <v>1.8</v>
      </c>
      <c r="FJ332" s="23">
        <f t="shared" si="1144"/>
        <v>2</v>
      </c>
      <c r="FK332" s="23">
        <f t="shared" si="1144"/>
        <v>1.4</v>
      </c>
      <c r="FL332" s="23">
        <f t="shared" si="1144"/>
        <v>1.4</v>
      </c>
      <c r="FM332" s="23">
        <f t="shared" si="1037"/>
        <v>0</v>
      </c>
      <c r="FN332" s="23"/>
      <c r="FX332" s="4">
        <f t="shared" si="915"/>
        <v>1.25</v>
      </c>
      <c r="FY332" s="4">
        <f t="shared" si="975"/>
        <v>0.62803124999999993</v>
      </c>
      <c r="FZ332" s="4">
        <f t="shared" si="916"/>
        <v>9.3749999999999986E-2</v>
      </c>
      <c r="GA332" s="4">
        <f t="shared" si="917"/>
        <v>514.61061440028129</v>
      </c>
    </row>
    <row r="333" spans="1:183" ht="12" customHeight="1" x14ac:dyDescent="0.3">
      <c r="A333" s="25">
        <v>315</v>
      </c>
      <c r="B333" s="4" t="s">
        <v>605</v>
      </c>
      <c r="C333" s="4">
        <v>2016</v>
      </c>
      <c r="D333" s="4" t="s">
        <v>309</v>
      </c>
      <c r="E333" s="24" t="s">
        <v>669</v>
      </c>
      <c r="F333" s="7" t="s">
        <v>476</v>
      </c>
      <c r="G333" s="38">
        <f t="shared" si="1145"/>
        <v>827.58620689655174</v>
      </c>
      <c r="H333" s="38">
        <f>14.54*25.4</f>
        <v>369.31599999999997</v>
      </c>
      <c r="I333" s="4">
        <f t="shared" si="1100"/>
        <v>369.31599999999997</v>
      </c>
      <c r="J333" s="38">
        <f>10180/145</f>
        <v>70.206896551724142</v>
      </c>
      <c r="K333" s="38">
        <f t="shared" si="1101"/>
        <v>25.4</v>
      </c>
      <c r="L333" s="7">
        <f t="shared" si="1102"/>
        <v>14.54</v>
      </c>
      <c r="M333" s="7">
        <f t="shared" si="1103"/>
        <v>14.54</v>
      </c>
      <c r="N333" s="38">
        <f>20*25.4</f>
        <v>508</v>
      </c>
      <c r="O333" s="38">
        <f t="shared" si="1114"/>
        <v>63.5</v>
      </c>
      <c r="P333" s="39">
        <f>3*25.4</f>
        <v>76.199999999999989</v>
      </c>
      <c r="Q333" s="7">
        <f t="shared" si="1104"/>
        <v>152.4</v>
      </c>
      <c r="R333" s="38">
        <v>3</v>
      </c>
      <c r="S333" s="4">
        <f t="shared" si="1081"/>
        <v>260.34999999999997</v>
      </c>
      <c r="T333" s="7">
        <f t="shared" si="1105"/>
        <v>3</v>
      </c>
      <c r="U333" s="7">
        <f t="shared" si="958"/>
        <v>3</v>
      </c>
      <c r="V333" s="38">
        <v>9.5</v>
      </c>
      <c r="W333" s="4">
        <f t="shared" si="1106"/>
        <v>9.5</v>
      </c>
      <c r="X333" s="4">
        <f t="shared" si="1107"/>
        <v>10.5</v>
      </c>
      <c r="Y333" s="7">
        <f t="shared" si="1108"/>
        <v>82.305406869779816</v>
      </c>
      <c r="AB333" s="38">
        <f t="shared" si="1151"/>
        <v>907.58620689655174</v>
      </c>
      <c r="AC333" s="4">
        <v>131.6</v>
      </c>
      <c r="AD333" s="4">
        <f t="shared" si="998"/>
        <v>1.0374944577148659</v>
      </c>
      <c r="AE333" s="38">
        <v>0</v>
      </c>
      <c r="AF333" s="38">
        <v>0</v>
      </c>
      <c r="AG333" s="39">
        <f t="shared" ref="AG333" si="1183">I333</f>
        <v>369.31599999999997</v>
      </c>
      <c r="AH333" s="39"/>
      <c r="AI333" s="39"/>
      <c r="AJ333" s="7"/>
      <c r="AK333" s="4">
        <f t="shared" si="1109"/>
        <v>369.31599999999997</v>
      </c>
      <c r="AL333" s="4">
        <f t="shared" si="1018"/>
        <v>0.45850527281063735</v>
      </c>
      <c r="AM333" s="4">
        <f t="shared" si="1019"/>
        <v>391.20869898560869</v>
      </c>
      <c r="AN333" s="4">
        <f t="shared" si="1020"/>
        <v>0.74126547455295733</v>
      </c>
      <c r="AO333" s="4">
        <v>1.25</v>
      </c>
      <c r="AP333" s="4">
        <f t="shared" si="933"/>
        <v>2.5</v>
      </c>
      <c r="AQ333" s="38">
        <f t="shared" si="1082"/>
        <v>415.50536150678056</v>
      </c>
      <c r="AR333" s="38">
        <f t="shared" si="1021"/>
        <v>415.50536150678056</v>
      </c>
      <c r="AS333" s="38">
        <f t="shared" si="1022"/>
        <v>4.615452125415529</v>
      </c>
      <c r="AT333" s="38">
        <f t="shared" si="940"/>
        <v>415.50536150678073</v>
      </c>
      <c r="AU333" s="38">
        <f t="shared" si="910"/>
        <v>0.99999999999999956</v>
      </c>
      <c r="AV333" s="38">
        <f t="shared" si="941"/>
        <v>3.1247566190650464</v>
      </c>
      <c r="AW333" s="4">
        <f t="shared" si="942"/>
        <v>0</v>
      </c>
      <c r="AX333" s="4">
        <f t="shared" si="1110"/>
        <v>641.21060042756483</v>
      </c>
      <c r="AY333" s="4">
        <f t="shared" si="1083"/>
        <v>1</v>
      </c>
      <c r="AZ333" s="38">
        <f t="shared" si="953"/>
        <v>1298.3531286253281</v>
      </c>
      <c r="BA333" s="4">
        <f t="shared" si="1084"/>
        <v>0.3</v>
      </c>
      <c r="BB333" s="4">
        <f t="shared" si="1085"/>
        <v>100.50976161702079</v>
      </c>
      <c r="BC333" s="4">
        <f t="shared" si="1086"/>
        <v>1398.8628902423488</v>
      </c>
      <c r="BE333" s="4">
        <f t="shared" si="934"/>
        <v>1.375</v>
      </c>
      <c r="BF333" s="4">
        <f t="shared" si="935"/>
        <v>848.18072561268582</v>
      </c>
      <c r="BH333" s="4">
        <f t="shared" si="959"/>
        <v>1245.2794285929851</v>
      </c>
      <c r="BI333" s="4">
        <f t="shared" ref="BI333:BI396" si="1184">8/3*Z333*AA333^2/(Y333-K333-22)/K333*(Y333^2-K333^2)/(Y333^2-(K333+22)^2)</f>
        <v>0</v>
      </c>
      <c r="BJ333" s="4">
        <f t="shared" si="960"/>
        <v>0</v>
      </c>
      <c r="BK333" s="4">
        <f t="shared" si="1023"/>
        <v>63.5</v>
      </c>
      <c r="BL333" s="4">
        <f t="shared" si="1024"/>
        <v>63.5</v>
      </c>
      <c r="BM333" s="4">
        <f t="shared" si="1025"/>
        <v>260.34999999999997</v>
      </c>
      <c r="BN333" s="4">
        <f t="shared" si="1026"/>
        <v>76.2</v>
      </c>
      <c r="BO333" s="4">
        <f t="shared" si="1027"/>
        <v>1.25</v>
      </c>
      <c r="BP333" s="25">
        <f t="shared" si="1028"/>
        <v>3.75</v>
      </c>
      <c r="BR333" s="4">
        <f t="shared" si="1087"/>
        <v>63.5</v>
      </c>
      <c r="BV333" s="9"/>
      <c r="BX333" s="9"/>
      <c r="BY333" s="9"/>
      <c r="BZ333" s="9">
        <f t="shared" si="1088"/>
        <v>63.5</v>
      </c>
      <c r="CA333" s="9">
        <f t="shared" si="1089"/>
        <v>76.2</v>
      </c>
      <c r="CB333" s="9">
        <f t="shared" si="943"/>
        <v>1.6249768986352224</v>
      </c>
      <c r="CC333" s="40">
        <f t="shared" si="1111"/>
        <v>20</v>
      </c>
      <c r="CD333" s="9">
        <f t="shared" si="1090"/>
        <v>0</v>
      </c>
      <c r="CE333" s="9">
        <f t="shared" si="1091"/>
        <v>0</v>
      </c>
      <c r="CF333" s="9">
        <f t="shared" si="1092"/>
        <v>0.99524931562137331</v>
      </c>
      <c r="CG333" s="9">
        <f t="shared" si="1093"/>
        <v>0.68</v>
      </c>
      <c r="CH333" s="9">
        <f t="shared" si="944"/>
        <v>1.9847176531283015</v>
      </c>
      <c r="CI333" s="9">
        <f t="shared" si="945"/>
        <v>3.2251203366470045</v>
      </c>
      <c r="CJ333" s="40">
        <v>1</v>
      </c>
      <c r="CK333" s="9">
        <f t="shared" si="946"/>
        <v>381.08021897821004</v>
      </c>
      <c r="CM333" s="4">
        <f t="shared" si="1094"/>
        <v>1.4154260804349856</v>
      </c>
      <c r="CN333" s="4">
        <f t="shared" si="1095"/>
        <v>0.64880283352095725</v>
      </c>
      <c r="CO333" s="4">
        <f t="shared" si="1062"/>
        <v>1.070038706952406</v>
      </c>
      <c r="CP333" s="4">
        <f t="shared" si="1096"/>
        <v>2.3816145832236102</v>
      </c>
      <c r="CQ333" s="4">
        <f t="shared" si="1035"/>
        <v>1.0374944577148659</v>
      </c>
      <c r="CR333" s="4">
        <f t="shared" si="1036"/>
        <v>1.0377227912290949</v>
      </c>
      <c r="CS333" s="4">
        <f t="shared" si="1063"/>
        <v>1.1894014660168526</v>
      </c>
      <c r="CT333" s="4">
        <f t="shared" si="1112"/>
        <v>0</v>
      </c>
      <c r="CU333" s="4">
        <f t="shared" ref="CU333:CV333" si="1185">CM333</f>
        <v>1.4154260804349856</v>
      </c>
      <c r="CV333" s="4">
        <f t="shared" si="1185"/>
        <v>0.64880283352095725</v>
      </c>
      <c r="CW333" s="4">
        <f t="shared" ref="CW333" si="1186">CP333</f>
        <v>2.3816145832236102</v>
      </c>
      <c r="CX333" s="4">
        <f t="shared" ref="CX333" si="1187">CS333</f>
        <v>1.1894014660168526</v>
      </c>
      <c r="CY333" s="4">
        <f t="shared" ref="CY333:CZ333" si="1188">CQ333</f>
        <v>1.0374944577148659</v>
      </c>
      <c r="CZ333" s="4">
        <f t="shared" si="1188"/>
        <v>1.0377227912290949</v>
      </c>
      <c r="DI333" s="4">
        <f t="shared" si="1097"/>
        <v>369.31599999999997</v>
      </c>
      <c r="DL333" s="4">
        <f t="shared" si="999"/>
        <v>3.3591114581024516E-5</v>
      </c>
      <c r="DM333" s="4">
        <f t="shared" si="1000"/>
        <v>10.58671967137796</v>
      </c>
      <c r="DN333" s="4">
        <f t="shared" si="1001"/>
        <v>0.19951175728678291</v>
      </c>
      <c r="DO333" s="4">
        <f t="shared" si="1002"/>
        <v>5.5558282405833204</v>
      </c>
      <c r="DP333" s="4">
        <f t="shared" si="1003"/>
        <v>8.4575763623866695</v>
      </c>
      <c r="DQ333" s="4">
        <f t="shared" si="1004"/>
        <v>8.8014216716952376</v>
      </c>
      <c r="DR333" s="38">
        <f t="shared" si="1029"/>
        <v>874.78655924153691</v>
      </c>
      <c r="DS333" s="4">
        <f t="shared" si="1005"/>
        <v>1.0000911089737488</v>
      </c>
      <c r="DT333" s="4">
        <f t="shared" si="1006"/>
        <v>3.2403703492039297</v>
      </c>
      <c r="DU333" s="4">
        <f t="shared" si="1007"/>
        <v>415.50536150678073</v>
      </c>
      <c r="DY333" s="4">
        <f t="shared" si="1008"/>
        <v>0.85</v>
      </c>
      <c r="DZ333" s="4">
        <f t="shared" si="1009"/>
        <v>0.85</v>
      </c>
      <c r="EA333" s="4">
        <f t="shared" si="1030"/>
        <v>1</v>
      </c>
      <c r="EB333" s="4">
        <f t="shared" si="1010"/>
        <v>0.85</v>
      </c>
      <c r="ED333" s="4">
        <f t="shared" si="1031"/>
        <v>874.59407711532731</v>
      </c>
      <c r="EE333" s="25">
        <f t="shared" si="1032"/>
        <v>412.80136504982062</v>
      </c>
      <c r="EG333" s="4">
        <f t="shared" si="932"/>
        <v>0.72249999999999992</v>
      </c>
      <c r="EH333" s="4">
        <f t="shared" si="1033"/>
        <v>10.58671967137796</v>
      </c>
      <c r="EK333" s="4">
        <f t="shared" si="1011"/>
        <v>82.305406869779816</v>
      </c>
      <c r="EL333" s="4">
        <f t="shared" si="1012"/>
        <v>3.2403703492039302</v>
      </c>
      <c r="EM333" s="4">
        <f t="shared" si="1013"/>
        <v>9.1409986995560882E-2</v>
      </c>
      <c r="EP333" s="4">
        <f t="shared" si="1113"/>
        <v>9.1409986995560882E-2</v>
      </c>
      <c r="EQ333" s="4">
        <f t="shared" si="951"/>
        <v>0.19917880934780813</v>
      </c>
      <c r="ER333" s="4">
        <f t="shared" si="1014"/>
        <v>5.5521177254647478</v>
      </c>
      <c r="ES333" s="4">
        <f t="shared" si="1098"/>
        <v>8.4563691657379376</v>
      </c>
      <c r="ET333" s="4">
        <f t="shared" si="1015"/>
        <v>194.68159313022016</v>
      </c>
      <c r="EU333" s="4">
        <f t="shared" si="1016"/>
        <v>92.329000000000008</v>
      </c>
      <c r="EV333" s="4">
        <f t="shared" si="952"/>
        <v>3.3591114581024516E-5</v>
      </c>
      <c r="EW333" s="4">
        <f t="shared" si="1099"/>
        <v>8.8017938167254623</v>
      </c>
      <c r="EX333" s="4">
        <f t="shared" si="965"/>
        <v>874.7068655966815</v>
      </c>
      <c r="FG333" s="23">
        <f t="shared" si="1143"/>
        <v>1.6</v>
      </c>
      <c r="FH333" s="23">
        <f t="shared" si="1143"/>
        <v>0.8</v>
      </c>
      <c r="FI333" s="23">
        <f t="shared" si="1068"/>
        <v>1.2</v>
      </c>
      <c r="FJ333" s="23">
        <f t="shared" si="1144"/>
        <v>2.2000000000000002</v>
      </c>
      <c r="FK333" s="23">
        <f t="shared" si="1144"/>
        <v>1.2</v>
      </c>
      <c r="FL333" s="23">
        <f t="shared" si="1144"/>
        <v>1.2</v>
      </c>
      <c r="FM333" s="23">
        <f t="shared" si="1037"/>
        <v>0</v>
      </c>
      <c r="FN333" s="23"/>
      <c r="FX333" s="4">
        <f t="shared" si="915"/>
        <v>1</v>
      </c>
      <c r="FY333" s="4">
        <f t="shared" si="975"/>
        <v>0.55000000000000004</v>
      </c>
      <c r="FZ333" s="4">
        <f t="shared" si="916"/>
        <v>0</v>
      </c>
      <c r="GA333" s="4">
        <f t="shared" si="917"/>
        <v>763.06128151660789</v>
      </c>
    </row>
    <row r="334" spans="1:183" ht="12" customHeight="1" x14ac:dyDescent="0.3">
      <c r="A334" s="25">
        <v>316</v>
      </c>
      <c r="B334" s="4" t="s">
        <v>605</v>
      </c>
      <c r="C334" s="4">
        <v>2016</v>
      </c>
      <c r="D334" s="4" t="s">
        <v>309</v>
      </c>
      <c r="E334" s="24" t="s">
        <v>669</v>
      </c>
      <c r="F334" s="7" t="s">
        <v>477</v>
      </c>
      <c r="G334" s="38">
        <f t="shared" si="1145"/>
        <v>827.58620689655174</v>
      </c>
      <c r="H334" s="38">
        <f>14.54*25.4</f>
        <v>369.31599999999997</v>
      </c>
      <c r="I334" s="4">
        <f t="shared" si="1100"/>
        <v>369.31599999999997</v>
      </c>
      <c r="J334" s="38">
        <f>10180/145</f>
        <v>70.206896551724142</v>
      </c>
      <c r="K334" s="38">
        <f t="shared" si="1101"/>
        <v>25.4</v>
      </c>
      <c r="L334" s="7">
        <f t="shared" si="1102"/>
        <v>14.54</v>
      </c>
      <c r="M334" s="7">
        <f t="shared" si="1103"/>
        <v>14.54</v>
      </c>
      <c r="N334" s="38">
        <f>20*25.4</f>
        <v>508</v>
      </c>
      <c r="O334" s="38">
        <f t="shared" si="1114"/>
        <v>63.5</v>
      </c>
      <c r="P334" s="39">
        <f>3*25.4</f>
        <v>76.199999999999989</v>
      </c>
      <c r="Q334" s="7">
        <f t="shared" si="1104"/>
        <v>152.4</v>
      </c>
      <c r="R334" s="38">
        <v>3</v>
      </c>
      <c r="S334" s="4">
        <f t="shared" si="1081"/>
        <v>260.34999999999997</v>
      </c>
      <c r="T334" s="7">
        <f t="shared" si="1105"/>
        <v>3</v>
      </c>
      <c r="U334" s="7">
        <f t="shared" si="958"/>
        <v>3</v>
      </c>
      <c r="V334" s="38">
        <v>9.5</v>
      </c>
      <c r="W334" s="4">
        <f t="shared" si="1106"/>
        <v>9.5</v>
      </c>
      <c r="X334" s="4">
        <f t="shared" si="1107"/>
        <v>10.5</v>
      </c>
      <c r="Y334" s="7">
        <f t="shared" si="1108"/>
        <v>82.305406869779816</v>
      </c>
      <c r="AB334" s="38">
        <f t="shared" si="1151"/>
        <v>989.65517241379314</v>
      </c>
      <c r="AC334" s="4">
        <v>143.5</v>
      </c>
      <c r="AD334" s="4">
        <f t="shared" si="998"/>
        <v>1.0877385129806194</v>
      </c>
      <c r="AE334" s="38">
        <f>0.5*25.4</f>
        <v>12.7</v>
      </c>
      <c r="AF334" s="38">
        <v>4</v>
      </c>
      <c r="AG334" s="39">
        <f>6*25.4</f>
        <v>152.39999999999998</v>
      </c>
      <c r="AH334" s="39">
        <v>1</v>
      </c>
      <c r="AI334" s="39">
        <v>1</v>
      </c>
      <c r="AJ334" s="7"/>
      <c r="AK334" s="4">
        <f t="shared" si="1109"/>
        <v>369.31599999999997</v>
      </c>
      <c r="AL334" s="4">
        <f t="shared" si="1018"/>
        <v>0.45850527281063735</v>
      </c>
      <c r="AM334" s="4">
        <f t="shared" si="1019"/>
        <v>391.20869898560869</v>
      </c>
      <c r="AN334" s="4">
        <f t="shared" si="1020"/>
        <v>0.74126547455295733</v>
      </c>
      <c r="AO334" s="4">
        <v>1.25</v>
      </c>
      <c r="AP334" s="4">
        <f t="shared" si="933"/>
        <v>2.5</v>
      </c>
      <c r="AQ334" s="38">
        <f t="shared" si="1082"/>
        <v>415.50536150678056</v>
      </c>
      <c r="AR334" s="38">
        <f t="shared" si="1021"/>
        <v>415.50536150678056</v>
      </c>
      <c r="AS334" s="38">
        <f t="shared" si="1022"/>
        <v>4.615452125415529</v>
      </c>
      <c r="AT334" s="38">
        <f t="shared" si="940"/>
        <v>415.50536150678073</v>
      </c>
      <c r="AU334" s="38">
        <f t="shared" si="910"/>
        <v>0.99999999999999956</v>
      </c>
      <c r="AV334" s="38">
        <f t="shared" si="941"/>
        <v>3.1247566190650464</v>
      </c>
      <c r="AW334" s="4">
        <f t="shared" si="942"/>
        <v>0</v>
      </c>
      <c r="AX334" s="4">
        <f t="shared" si="1110"/>
        <v>641.21060042756483</v>
      </c>
      <c r="AY334" s="4">
        <f t="shared" si="1083"/>
        <v>1</v>
      </c>
      <c r="AZ334" s="38">
        <f t="shared" si="953"/>
        <v>1298.3531286253281</v>
      </c>
      <c r="BA334" s="4">
        <f t="shared" si="1084"/>
        <v>0.3</v>
      </c>
      <c r="BB334" s="4">
        <f t="shared" si="1085"/>
        <v>100.50976161702079</v>
      </c>
      <c r="BC334" s="4">
        <f t="shared" si="1086"/>
        <v>1398.8628902423488</v>
      </c>
      <c r="BE334" s="4">
        <f t="shared" si="934"/>
        <v>1.5</v>
      </c>
      <c r="BF334" s="4">
        <f t="shared" si="935"/>
        <v>925.2880643047481</v>
      </c>
      <c r="BH334" s="4">
        <f t="shared" si="959"/>
        <v>1245.2794285929851</v>
      </c>
      <c r="BI334" s="4">
        <f t="shared" si="1184"/>
        <v>0</v>
      </c>
      <c r="BJ334" s="4">
        <f t="shared" si="960"/>
        <v>0</v>
      </c>
      <c r="BK334" s="4">
        <f t="shared" si="1023"/>
        <v>63.5</v>
      </c>
      <c r="BL334" s="4">
        <f t="shared" si="1024"/>
        <v>63.5</v>
      </c>
      <c r="BM334" s="4">
        <f t="shared" si="1025"/>
        <v>260.34999999999997</v>
      </c>
      <c r="BN334" s="4">
        <f t="shared" si="1026"/>
        <v>76.2</v>
      </c>
      <c r="BO334" s="4">
        <f t="shared" si="1027"/>
        <v>1.25</v>
      </c>
      <c r="BP334" s="25">
        <f t="shared" si="1028"/>
        <v>4</v>
      </c>
      <c r="BR334" s="4">
        <f t="shared" si="1087"/>
        <v>63.5</v>
      </c>
      <c r="BV334" s="9"/>
      <c r="BX334" s="9"/>
      <c r="BY334" s="9"/>
      <c r="BZ334" s="9">
        <f t="shared" si="1088"/>
        <v>63.5</v>
      </c>
      <c r="CA334" s="9">
        <f t="shared" si="1089"/>
        <v>76.2</v>
      </c>
      <c r="CB334" s="9">
        <f t="shared" si="943"/>
        <v>1.6249768986352224</v>
      </c>
      <c r="CC334" s="40">
        <f t="shared" si="1111"/>
        <v>20</v>
      </c>
      <c r="CD334" s="9">
        <f t="shared" si="1090"/>
        <v>0.05</v>
      </c>
      <c r="CE334" s="9">
        <f t="shared" si="1091"/>
        <v>0.8</v>
      </c>
      <c r="CF334" s="9">
        <f t="shared" si="1092"/>
        <v>0.99524931562137331</v>
      </c>
      <c r="CG334" s="9">
        <f t="shared" si="1093"/>
        <v>0.68</v>
      </c>
      <c r="CH334" s="9">
        <f t="shared" si="944"/>
        <v>1.9847176531283015</v>
      </c>
      <c r="CI334" s="9">
        <f t="shared" si="945"/>
        <v>4.8128944591496454</v>
      </c>
      <c r="CJ334" s="40">
        <v>1</v>
      </c>
      <c r="CK334" s="9">
        <f t="shared" si="946"/>
        <v>568.69160929312216</v>
      </c>
      <c r="CM334" s="4">
        <f t="shared" si="1094"/>
        <v>1.5434167366445322</v>
      </c>
      <c r="CN334" s="4">
        <f t="shared" si="1095"/>
        <v>0.70747117484998001</v>
      </c>
      <c r="CO334" s="4">
        <f t="shared" si="1062"/>
        <v>1.0695643990149271</v>
      </c>
      <c r="CP334" s="4">
        <f t="shared" si="1096"/>
        <v>1.7402317112501877</v>
      </c>
      <c r="CQ334" s="4">
        <f t="shared" si="1035"/>
        <v>1.0877385129806194</v>
      </c>
      <c r="CR334" s="4">
        <f t="shared" si="1036"/>
        <v>1.0851045143939175</v>
      </c>
      <c r="CS334" s="4">
        <f t="shared" si="1063"/>
        <v>1.2104901444923288</v>
      </c>
      <c r="CT334" s="4">
        <f t="shared" si="1112"/>
        <v>4</v>
      </c>
      <c r="DA334" s="4">
        <f t="shared" ref="DA334:DB334" si="1189">CM334</f>
        <v>1.5434167366445322</v>
      </c>
      <c r="DB334" s="4">
        <f t="shared" si="1189"/>
        <v>0.70747117484998001</v>
      </c>
      <c r="DC334" s="4">
        <f t="shared" ref="DC334" si="1190">CP334</f>
        <v>1.7402317112501877</v>
      </c>
      <c r="DD334" s="4">
        <f t="shared" ref="DD334" si="1191">CS334</f>
        <v>1.2104901444923288</v>
      </c>
      <c r="DE334" s="4">
        <f t="shared" ref="DE334:DF334" si="1192">CQ334</f>
        <v>1.0877385129806194</v>
      </c>
      <c r="DF334" s="4">
        <f t="shared" si="1192"/>
        <v>1.0851045143939175</v>
      </c>
      <c r="DI334" s="4">
        <f t="shared" si="1097"/>
        <v>369.31599999999997</v>
      </c>
      <c r="DL334" s="4">
        <f t="shared" si="999"/>
        <v>3.3591114581024516E-5</v>
      </c>
      <c r="DM334" s="4">
        <f t="shared" si="1000"/>
        <v>11.445102347435631</v>
      </c>
      <c r="DN334" s="4">
        <f t="shared" si="1001"/>
        <v>0.19951175728678291</v>
      </c>
      <c r="DO334" s="4">
        <f t="shared" si="1002"/>
        <v>6.0063008006306164</v>
      </c>
      <c r="DP334" s="4">
        <f t="shared" si="1003"/>
        <v>9.1433257971747768</v>
      </c>
      <c r="DQ334" s="4">
        <f t="shared" si="1004"/>
        <v>9.3639241751610225</v>
      </c>
      <c r="DR334" s="38">
        <f t="shared" si="1029"/>
        <v>909.82819915233267</v>
      </c>
      <c r="DS334" s="4">
        <f t="shared" si="1005"/>
        <v>1.000094199456351</v>
      </c>
      <c r="DT334" s="4">
        <f t="shared" si="1006"/>
        <v>3.2403703492039297</v>
      </c>
      <c r="DU334" s="4">
        <f t="shared" si="1007"/>
        <v>415.50536150678073</v>
      </c>
      <c r="DY334" s="4">
        <f t="shared" si="1008"/>
        <v>0.85</v>
      </c>
      <c r="DZ334" s="4">
        <f t="shared" si="1009"/>
        <v>0.85</v>
      </c>
      <c r="EA334" s="4">
        <f t="shared" si="1030"/>
        <v>0.92500000000000004</v>
      </c>
      <c r="EB334" s="4">
        <f t="shared" si="1010"/>
        <v>0.78625</v>
      </c>
      <c r="ED334" s="4">
        <f t="shared" si="1031"/>
        <v>912.03672944496282</v>
      </c>
      <c r="EE334" s="25">
        <f t="shared" si="1032"/>
        <v>412.80136504982062</v>
      </c>
      <c r="EG334" s="4">
        <f t="shared" si="932"/>
        <v>0.66831249999999998</v>
      </c>
      <c r="EH334" s="4">
        <f t="shared" si="1033"/>
        <v>11.445102347435631</v>
      </c>
      <c r="EK334" s="4">
        <f t="shared" si="1011"/>
        <v>82.305406869779816</v>
      </c>
      <c r="EL334" s="4">
        <f t="shared" si="1012"/>
        <v>3.2403703492039302</v>
      </c>
      <c r="EM334" s="4">
        <f t="shared" si="1013"/>
        <v>9.1409986995560882E-2</v>
      </c>
      <c r="EP334" s="4">
        <f t="shared" si="1113"/>
        <v>9.1409986995560882E-2</v>
      </c>
      <c r="EQ334" s="4">
        <f t="shared" si="951"/>
        <v>0.19917880934780813</v>
      </c>
      <c r="ER334" s="4">
        <f t="shared" si="1014"/>
        <v>6.0022894329348615</v>
      </c>
      <c r="ES334" s="4">
        <f t="shared" si="1098"/>
        <v>9.1420207197166885</v>
      </c>
      <c r="ET334" s="4">
        <f t="shared" si="1015"/>
        <v>194.68159313022016</v>
      </c>
      <c r="EU334" s="4">
        <f t="shared" si="1016"/>
        <v>92.329000000000008</v>
      </c>
      <c r="EV334" s="4">
        <f t="shared" si="952"/>
        <v>3.3591114581024516E-5</v>
      </c>
      <c r="EW334" s="4">
        <f t="shared" si="1099"/>
        <v>9.3643579963572385</v>
      </c>
      <c r="EX334" s="4">
        <f t="shared" si="965"/>
        <v>909.74250190323392</v>
      </c>
      <c r="FG334" s="23">
        <f t="shared" si="1143"/>
        <v>1.6</v>
      </c>
      <c r="FH334" s="23">
        <f t="shared" si="1143"/>
        <v>0.8</v>
      </c>
      <c r="FI334" s="23">
        <f t="shared" si="1068"/>
        <v>1.4</v>
      </c>
      <c r="FJ334" s="23">
        <f t="shared" si="1144"/>
        <v>1.8</v>
      </c>
      <c r="FK334" s="23">
        <f t="shared" si="1144"/>
        <v>1.2</v>
      </c>
      <c r="FL334" s="23">
        <f t="shared" si="1144"/>
        <v>1.2</v>
      </c>
      <c r="FM334" s="23">
        <f t="shared" si="1037"/>
        <v>0</v>
      </c>
      <c r="FN334" s="23"/>
      <c r="FX334" s="4">
        <f t="shared" si="915"/>
        <v>1</v>
      </c>
      <c r="FY334" s="4">
        <f t="shared" si="975"/>
        <v>0.51333333333333342</v>
      </c>
      <c r="FZ334" s="4">
        <f t="shared" si="916"/>
        <v>0.16666666666666669</v>
      </c>
      <c r="GA334" s="4">
        <f t="shared" si="917"/>
        <v>817.56565876779416</v>
      </c>
    </row>
    <row r="335" spans="1:183" ht="12" customHeight="1" x14ac:dyDescent="0.3">
      <c r="A335" s="25">
        <v>317</v>
      </c>
      <c r="B335" s="4" t="s">
        <v>605</v>
      </c>
      <c r="C335" s="4">
        <v>2016</v>
      </c>
      <c r="D335" s="4" t="s">
        <v>309</v>
      </c>
      <c r="E335" s="24" t="s">
        <v>478</v>
      </c>
      <c r="F335" s="7" t="s">
        <v>479</v>
      </c>
      <c r="G335" s="38">
        <f>129/0.145</f>
        <v>889.65517241379314</v>
      </c>
      <c r="H335" s="38">
        <f>12.06*25.4</f>
        <v>306.32400000000001</v>
      </c>
      <c r="I335" s="4">
        <f t="shared" si="1100"/>
        <v>306.32400000000001</v>
      </c>
      <c r="J335" s="38">
        <f>12080/145</f>
        <v>83.310344827586206</v>
      </c>
      <c r="K335" s="38">
        <f t="shared" si="1101"/>
        <v>25.4</v>
      </c>
      <c r="L335" s="7">
        <f t="shared" si="1102"/>
        <v>12.06</v>
      </c>
      <c r="M335" s="7">
        <f t="shared" si="1103"/>
        <v>12.06</v>
      </c>
      <c r="N335" s="38">
        <f>15*25.4</f>
        <v>381</v>
      </c>
      <c r="O335" s="38">
        <f>2.5*25.4</f>
        <v>63.5</v>
      </c>
      <c r="P335" s="39">
        <f>3*25.4</f>
        <v>76.199999999999989</v>
      </c>
      <c r="Q335" s="7">
        <f t="shared" si="1104"/>
        <v>203.2</v>
      </c>
      <c r="R335" s="38">
        <v>2</v>
      </c>
      <c r="S335" s="4">
        <f t="shared" si="1081"/>
        <v>260.34999999999997</v>
      </c>
      <c r="T335" s="7">
        <f t="shared" si="1105"/>
        <v>3</v>
      </c>
      <c r="U335" s="7">
        <f t="shared" si="958"/>
        <v>3</v>
      </c>
      <c r="V335" s="38">
        <v>4.0999999999999996</v>
      </c>
      <c r="W335" s="4">
        <f t="shared" si="1106"/>
        <v>4.0999999999999996</v>
      </c>
      <c r="X335" s="4">
        <f t="shared" si="1107"/>
        <v>5.0999999999999996</v>
      </c>
      <c r="Y335" s="7">
        <f t="shared" si="1108"/>
        <v>57.361276136431961</v>
      </c>
      <c r="AB335" s="38">
        <f t="shared" si="1151"/>
        <v>690.34482758620686</v>
      </c>
      <c r="AC335" s="4">
        <v>100.1</v>
      </c>
      <c r="AD335" s="4">
        <f t="shared" si="998"/>
        <v>0.77596899224806193</v>
      </c>
      <c r="AE335" s="38">
        <v>0</v>
      </c>
      <c r="AF335" s="38">
        <v>0</v>
      </c>
      <c r="AG335" s="39">
        <f t="shared" ref="AG335:AG336" si="1193">I335</f>
        <v>306.32400000000001</v>
      </c>
      <c r="AH335" s="39"/>
      <c r="AI335" s="39"/>
      <c r="AJ335" s="7"/>
      <c r="AK335" s="4">
        <f t="shared" si="1109"/>
        <v>306.32400000000001</v>
      </c>
      <c r="AL335" s="4">
        <f t="shared" si="1018"/>
        <v>0.41459369817578773</v>
      </c>
      <c r="AM335" s="4">
        <f t="shared" si="1019"/>
        <v>482.87385616153779</v>
      </c>
      <c r="AN335" s="4">
        <f t="shared" si="1020"/>
        <v>0.74975124378109448</v>
      </c>
      <c r="AO335" s="4">
        <v>1.25</v>
      </c>
      <c r="AP335" s="4">
        <f t="shared" si="933"/>
        <v>2.5</v>
      </c>
      <c r="AQ335" s="38">
        <f t="shared" si="1082"/>
        <v>469.05482256230084</v>
      </c>
      <c r="AR335" s="38">
        <f t="shared" si="1021"/>
        <v>469.05482256230084</v>
      </c>
      <c r="AS335" s="38">
        <f t="shared" si="1022"/>
        <v>4.9090792795570026</v>
      </c>
      <c r="AT335" s="38">
        <f t="shared" si="940"/>
        <v>469.05482256230096</v>
      </c>
      <c r="AU335" s="38">
        <f t="shared" si="910"/>
        <v>0.99999999999999978</v>
      </c>
      <c r="AV335" s="38">
        <f t="shared" si="941"/>
        <v>2.1578363526430446</v>
      </c>
      <c r="AW335" s="4">
        <f t="shared" si="942"/>
        <v>0</v>
      </c>
      <c r="AX335" s="4">
        <f t="shared" si="1110"/>
        <v>579.35288355479452</v>
      </c>
      <c r="AY335" s="4">
        <f t="shared" si="1083"/>
        <v>1</v>
      </c>
      <c r="AZ335" s="38">
        <f t="shared" si="953"/>
        <v>1012.143547507466</v>
      </c>
      <c r="BA335" s="4">
        <f t="shared" si="1084"/>
        <v>0.42600000000000005</v>
      </c>
      <c r="BB335" s="4">
        <f t="shared" si="1085"/>
        <v>128.95526158604397</v>
      </c>
      <c r="BC335" s="4">
        <f t="shared" si="1086"/>
        <v>1141.09880909351</v>
      </c>
      <c r="BE335" s="4">
        <f t="shared" si="934"/>
        <v>1.375</v>
      </c>
      <c r="BF335" s="4">
        <f t="shared" si="935"/>
        <v>830.57513798032426</v>
      </c>
      <c r="BH335" s="4">
        <f t="shared" si="959"/>
        <v>970.76943914993626</v>
      </c>
      <c r="BI335" s="4">
        <f t="shared" si="1184"/>
        <v>0</v>
      </c>
      <c r="BJ335" s="4">
        <f t="shared" si="960"/>
        <v>0</v>
      </c>
      <c r="BK335" s="4">
        <f t="shared" si="1023"/>
        <v>63.5</v>
      </c>
      <c r="BL335" s="4">
        <f t="shared" si="1024"/>
        <v>63.5</v>
      </c>
      <c r="BM335" s="4">
        <f t="shared" si="1025"/>
        <v>260.34999999999997</v>
      </c>
      <c r="BN335" s="4">
        <f t="shared" si="1026"/>
        <v>76.2</v>
      </c>
      <c r="BO335" s="4">
        <f t="shared" si="1027"/>
        <v>1.25</v>
      </c>
      <c r="BP335" s="25">
        <f t="shared" si="1028"/>
        <v>3.75</v>
      </c>
      <c r="BR335" s="4">
        <f t="shared" si="1087"/>
        <v>63.5</v>
      </c>
      <c r="BV335" s="9"/>
      <c r="BX335" s="9"/>
      <c r="BY335" s="9"/>
      <c r="BZ335" s="9">
        <f t="shared" si="1088"/>
        <v>63.5</v>
      </c>
      <c r="CA335" s="9">
        <f t="shared" si="1089"/>
        <v>101.6</v>
      </c>
      <c r="CB335" s="9">
        <f t="shared" si="943"/>
        <v>1.6966333587625264</v>
      </c>
      <c r="CC335" s="40">
        <f t="shared" si="1111"/>
        <v>20</v>
      </c>
      <c r="CD335" s="9">
        <f t="shared" si="1090"/>
        <v>0</v>
      </c>
      <c r="CE335" s="9">
        <f t="shared" si="1091"/>
        <v>0</v>
      </c>
      <c r="CF335" s="9">
        <f t="shared" si="1092"/>
        <v>0.99524931562137331</v>
      </c>
      <c r="CG335" s="9">
        <f t="shared" si="1093"/>
        <v>0.68</v>
      </c>
      <c r="CH335" s="9">
        <f t="shared" si="944"/>
        <v>2.1620130482705213</v>
      </c>
      <c r="CI335" s="9">
        <f t="shared" si="945"/>
        <v>3.6681434597756226</v>
      </c>
      <c r="CJ335" s="40">
        <v>1</v>
      </c>
      <c r="CK335" s="9">
        <f t="shared" si="946"/>
        <v>397.03984808611341</v>
      </c>
      <c r="CM335" s="4">
        <f t="shared" si="1094"/>
        <v>1.1915791690728934</v>
      </c>
      <c r="CN335" s="4">
        <f t="shared" si="1095"/>
        <v>0.60498251517291257</v>
      </c>
      <c r="CO335" s="4">
        <f t="shared" si="1062"/>
        <v>0.83116481100661199</v>
      </c>
      <c r="CP335" s="4">
        <f t="shared" si="1096"/>
        <v>1.7387293263231325</v>
      </c>
      <c r="CQ335" s="4">
        <f t="shared" si="1035"/>
        <v>0.77596899224806193</v>
      </c>
      <c r="CR335" s="4">
        <f t="shared" si="1036"/>
        <v>0.78234204586737066</v>
      </c>
      <c r="CS335" s="4">
        <f t="shared" si="1063"/>
        <v>0.9500605438440255</v>
      </c>
      <c r="CT335" s="4">
        <f t="shared" si="1112"/>
        <v>0</v>
      </c>
      <c r="CU335" s="4">
        <f t="shared" ref="CU335:CV336" si="1194">CM335</f>
        <v>1.1915791690728934</v>
      </c>
      <c r="CV335" s="4">
        <f t="shared" si="1194"/>
        <v>0.60498251517291257</v>
      </c>
      <c r="CW335" s="4">
        <f t="shared" ref="CW335:CW336" si="1195">CP335</f>
        <v>1.7387293263231325</v>
      </c>
      <c r="CX335" s="4">
        <f t="shared" ref="CX335:CX336" si="1196">CS335</f>
        <v>0.9500605438440255</v>
      </c>
      <c r="CY335" s="4">
        <f t="shared" ref="CY335:CZ336" si="1197">CQ335</f>
        <v>0.77596899224806193</v>
      </c>
      <c r="CZ335" s="4">
        <f t="shared" si="1197"/>
        <v>0.78234204586737066</v>
      </c>
      <c r="DI335" s="4">
        <f t="shared" si="1097"/>
        <v>306.32400000000001</v>
      </c>
      <c r="DL335" s="4">
        <f t="shared" si="999"/>
        <v>3.0145841666072216E-5</v>
      </c>
      <c r="DM335" s="4">
        <f t="shared" si="1000"/>
        <v>11.53243436507174</v>
      </c>
      <c r="DN335" s="4">
        <f t="shared" si="1001"/>
        <v>0.30649719060126668</v>
      </c>
      <c r="DO335" s="4">
        <f t="shared" si="1002"/>
        <v>7.1860724392438087</v>
      </c>
      <c r="DP335" s="4">
        <f t="shared" si="1003"/>
        <v>9.6095226647576446</v>
      </c>
      <c r="DQ335" s="4">
        <f t="shared" si="1004"/>
        <v>9.8322689969158361</v>
      </c>
      <c r="DR335" s="38">
        <f t="shared" si="1029"/>
        <v>889.65517241379314</v>
      </c>
      <c r="DS335" s="4">
        <f t="shared" si="1005"/>
        <v>1</v>
      </c>
      <c r="DT335" s="4">
        <f t="shared" si="1006"/>
        <v>2.2583179581272428</v>
      </c>
      <c r="DU335" s="4">
        <f t="shared" si="1007"/>
        <v>469.05482256230096</v>
      </c>
      <c r="DY335" s="4">
        <f t="shared" si="1008"/>
        <v>0.85</v>
      </c>
      <c r="DZ335" s="4">
        <f t="shared" si="1009"/>
        <v>0.85</v>
      </c>
      <c r="EA335" s="4">
        <f t="shared" si="1030"/>
        <v>1</v>
      </c>
      <c r="EB335" s="4">
        <f t="shared" si="1010"/>
        <v>0.85</v>
      </c>
      <c r="ED335" s="4">
        <f t="shared" si="1031"/>
        <v>882.40793299154984</v>
      </c>
      <c r="EE335" s="25">
        <f t="shared" si="1032"/>
        <v>465.16445766325421</v>
      </c>
      <c r="EG335" s="4">
        <f t="shared" si="932"/>
        <v>0.72249999999999992</v>
      </c>
      <c r="EH335" s="4">
        <f t="shared" si="1033"/>
        <v>11.53243436507174</v>
      </c>
      <c r="EK335" s="4">
        <f t="shared" si="1011"/>
        <v>57.361276136431961</v>
      </c>
      <c r="EL335" s="4">
        <f t="shared" si="1012"/>
        <v>2.2583179581272428</v>
      </c>
      <c r="EM335" s="4">
        <f t="shared" si="1013"/>
        <v>0.15297174803885022</v>
      </c>
      <c r="EP335" s="4">
        <f t="shared" si="1113"/>
        <v>0.15297174803885022</v>
      </c>
      <c r="EQ335" s="4">
        <f t="shared" si="951"/>
        <v>0.30598570391346419</v>
      </c>
      <c r="ER335" s="4">
        <f t="shared" si="1014"/>
        <v>7.181273149331604</v>
      </c>
      <c r="ES335" s="4">
        <f t="shared" si="1098"/>
        <v>9.607734820159413</v>
      </c>
      <c r="ET335" s="4">
        <f t="shared" si="1015"/>
        <v>172.38172386356803</v>
      </c>
      <c r="EU335" s="4">
        <f t="shared" si="1016"/>
        <v>76.581000000000017</v>
      </c>
      <c r="EV335" s="4">
        <f t="shared" si="952"/>
        <v>3.0145841666072219E-5</v>
      </c>
      <c r="EW335" s="4">
        <f t="shared" si="1099"/>
        <v>9.8326641786652242</v>
      </c>
      <c r="EX335" s="4">
        <f t="shared" si="965"/>
        <v>889.65517241379314</v>
      </c>
      <c r="FG335" s="23">
        <f t="shared" si="1143"/>
        <v>1.2</v>
      </c>
      <c r="FH335" s="23">
        <f t="shared" si="1143"/>
        <v>0.8</v>
      </c>
      <c r="FI335" s="23">
        <f t="shared" si="1068"/>
        <v>1</v>
      </c>
      <c r="FJ335" s="23">
        <f t="shared" si="1144"/>
        <v>1.8</v>
      </c>
      <c r="FK335" s="23">
        <f t="shared" si="1144"/>
        <v>0.8</v>
      </c>
      <c r="FL335" s="23">
        <f t="shared" si="1144"/>
        <v>0.8</v>
      </c>
      <c r="FM335" s="23">
        <f t="shared" si="1037"/>
        <v>1</v>
      </c>
      <c r="FN335" s="23"/>
      <c r="FX335" s="4">
        <f t="shared" si="915"/>
        <v>1</v>
      </c>
      <c r="FY335" s="4">
        <f t="shared" si="975"/>
        <v>0.5</v>
      </c>
      <c r="FZ335" s="4">
        <f t="shared" si="916"/>
        <v>0</v>
      </c>
      <c r="GA335" s="4">
        <f t="shared" si="917"/>
        <v>726.63245733057511</v>
      </c>
    </row>
    <row r="336" spans="1:183" ht="12" customHeight="1" x14ac:dyDescent="0.3">
      <c r="A336" s="25">
        <v>318</v>
      </c>
      <c r="B336" s="4" t="s">
        <v>605</v>
      </c>
      <c r="C336" s="4">
        <v>2016</v>
      </c>
      <c r="D336" s="4" t="s">
        <v>309</v>
      </c>
      <c r="E336" s="24" t="s">
        <v>478</v>
      </c>
      <c r="F336" s="7" t="s">
        <v>480</v>
      </c>
      <c r="G336" s="38">
        <f t="shared" ref="G336:G346" si="1198">129/0.145</f>
        <v>889.65517241379314</v>
      </c>
      <c r="H336" s="38">
        <f>11.88*25.4</f>
        <v>301.75200000000001</v>
      </c>
      <c r="I336" s="4">
        <f t="shared" si="1100"/>
        <v>301.75200000000001</v>
      </c>
      <c r="J336" s="38">
        <f>12080/145</f>
        <v>83.310344827586206</v>
      </c>
      <c r="K336" s="38">
        <f t="shared" si="1101"/>
        <v>25.4</v>
      </c>
      <c r="L336" s="7">
        <f t="shared" si="1102"/>
        <v>11.88</v>
      </c>
      <c r="M336" s="7">
        <f t="shared" si="1103"/>
        <v>11.88</v>
      </c>
      <c r="N336" s="38">
        <f>14.9*25.4</f>
        <v>378.46</v>
      </c>
      <c r="O336" s="38">
        <f>2.5*25.4</f>
        <v>63.5</v>
      </c>
      <c r="P336" s="39">
        <f>3.15*25.4</f>
        <v>80.009999999999991</v>
      </c>
      <c r="Q336" s="7">
        <f t="shared" si="1104"/>
        <v>200.65999999999997</v>
      </c>
      <c r="R336" s="38">
        <v>2</v>
      </c>
      <c r="S336" s="4">
        <f t="shared" si="1081"/>
        <v>260.34999999999997</v>
      </c>
      <c r="T336" s="7">
        <f t="shared" si="1105"/>
        <v>3</v>
      </c>
      <c r="U336" s="7">
        <f t="shared" si="958"/>
        <v>3</v>
      </c>
      <c r="V336" s="38">
        <v>9.1</v>
      </c>
      <c r="W336" s="4">
        <f t="shared" si="1106"/>
        <v>9.1</v>
      </c>
      <c r="X336" s="4">
        <f t="shared" si="1107"/>
        <v>10.1</v>
      </c>
      <c r="Y336" s="7">
        <f t="shared" si="1108"/>
        <v>80.72246279691916</v>
      </c>
      <c r="AB336" s="38">
        <f t="shared" si="1151"/>
        <v>667.58620689655174</v>
      </c>
      <c r="AC336" s="4">
        <v>96.8</v>
      </c>
      <c r="AD336" s="4">
        <f t="shared" si="998"/>
        <v>0.76884181445606981</v>
      </c>
      <c r="AE336" s="38">
        <v>0</v>
      </c>
      <c r="AF336" s="38">
        <v>0</v>
      </c>
      <c r="AG336" s="39">
        <f t="shared" si="1193"/>
        <v>301.75200000000001</v>
      </c>
      <c r="AH336" s="39"/>
      <c r="AI336" s="39"/>
      <c r="AJ336" s="7"/>
      <c r="AK336" s="4">
        <f t="shared" si="1109"/>
        <v>301.75200000000001</v>
      </c>
      <c r="AL336" s="4">
        <f t="shared" si="1018"/>
        <v>0.41806958473625139</v>
      </c>
      <c r="AM336" s="4">
        <f t="shared" si="1019"/>
        <v>472.10368644310773</v>
      </c>
      <c r="AN336" s="4">
        <f t="shared" si="1020"/>
        <v>0.75050505050505045</v>
      </c>
      <c r="AO336" s="4">
        <v>1.25</v>
      </c>
      <c r="AP336" s="4">
        <f t="shared" si="933"/>
        <v>2.5</v>
      </c>
      <c r="AQ336" s="38">
        <f t="shared" si="1082"/>
        <v>462.90258447849288</v>
      </c>
      <c r="AR336" s="38">
        <f t="shared" si="1021"/>
        <v>462.90258447849288</v>
      </c>
      <c r="AS336" s="38">
        <f t="shared" si="1022"/>
        <v>4.9090792795570026</v>
      </c>
      <c r="AT336" s="38">
        <f t="shared" si="940"/>
        <v>462.90258447849283</v>
      </c>
      <c r="AU336" s="38">
        <f t="shared" ref="AU336:AU399" si="1199">AQ336/AT336</f>
        <v>1.0000000000000002</v>
      </c>
      <c r="AV336" s="38">
        <f t="shared" si="941"/>
        <v>3.2574763629697041</v>
      </c>
      <c r="AW336" s="4">
        <f t="shared" si="942"/>
        <v>0</v>
      </c>
      <c r="AX336" s="4">
        <f t="shared" si="1110"/>
        <v>570.70582559129025</v>
      </c>
      <c r="AY336" s="4">
        <f t="shared" si="1083"/>
        <v>1</v>
      </c>
      <c r="AZ336" s="38">
        <f t="shared" si="953"/>
        <v>1507.894227296277</v>
      </c>
      <c r="BA336" s="4">
        <f t="shared" si="1084"/>
        <v>0.3</v>
      </c>
      <c r="BB336" s="4">
        <f t="shared" si="1085"/>
        <v>89.458138161434732</v>
      </c>
      <c r="BC336" s="4">
        <f t="shared" si="1086"/>
        <v>1597.3523654577118</v>
      </c>
      <c r="BE336" s="4">
        <f t="shared" si="934"/>
        <v>1.375</v>
      </c>
      <c r="BF336" s="4">
        <f t="shared" si="935"/>
        <v>823.79800630142756</v>
      </c>
      <c r="BH336" s="4">
        <f t="shared" si="959"/>
        <v>1446.254967424999</v>
      </c>
      <c r="BI336" s="4">
        <f t="shared" si="1184"/>
        <v>0</v>
      </c>
      <c r="BJ336" s="4">
        <f t="shared" si="960"/>
        <v>0</v>
      </c>
      <c r="BK336" s="4">
        <f t="shared" si="1023"/>
        <v>63.5</v>
      </c>
      <c r="BL336" s="4">
        <f t="shared" si="1024"/>
        <v>63.5</v>
      </c>
      <c r="BM336" s="4">
        <f t="shared" si="1025"/>
        <v>260.34999999999997</v>
      </c>
      <c r="BN336" s="4">
        <f t="shared" si="1026"/>
        <v>76.2</v>
      </c>
      <c r="BO336" s="4">
        <f t="shared" si="1027"/>
        <v>1.25</v>
      </c>
      <c r="BP336" s="25">
        <f t="shared" si="1028"/>
        <v>3.75</v>
      </c>
      <c r="BR336" s="4">
        <f t="shared" si="1087"/>
        <v>63.5</v>
      </c>
      <c r="BV336" s="9"/>
      <c r="BX336" s="9"/>
      <c r="BY336" s="9"/>
      <c r="BZ336" s="9">
        <f t="shared" si="1088"/>
        <v>63.5</v>
      </c>
      <c r="CA336" s="9">
        <f t="shared" si="1089"/>
        <v>100.32999999999998</v>
      </c>
      <c r="CB336" s="9">
        <f t="shared" si="943"/>
        <v>1.6934351397132028</v>
      </c>
      <c r="CC336" s="40">
        <f t="shared" si="1111"/>
        <v>20</v>
      </c>
      <c r="CD336" s="9">
        <f t="shared" si="1090"/>
        <v>0</v>
      </c>
      <c r="CE336" s="9">
        <f t="shared" si="1091"/>
        <v>0</v>
      </c>
      <c r="CF336" s="9">
        <f t="shared" si="1092"/>
        <v>0.99524931562137331</v>
      </c>
      <c r="CG336" s="9">
        <f t="shared" si="1093"/>
        <v>0.68</v>
      </c>
      <c r="CH336" s="9">
        <f t="shared" si="944"/>
        <v>2.1620130482705213</v>
      </c>
      <c r="CI336" s="9">
        <f t="shared" si="945"/>
        <v>3.6612288684597578</v>
      </c>
      <c r="CJ336" s="40">
        <v>1</v>
      </c>
      <c r="CK336" s="9">
        <f t="shared" si="946"/>
        <v>393.65532793679313</v>
      </c>
      <c r="CM336" s="4">
        <f t="shared" si="1094"/>
        <v>1.1697553747675289</v>
      </c>
      <c r="CN336" s="4">
        <f t="shared" si="1095"/>
        <v>0.41793296290343485</v>
      </c>
      <c r="CO336" s="4">
        <f t="shared" si="1062"/>
        <v>0.81037608951469353</v>
      </c>
      <c r="CP336" s="4">
        <f t="shared" si="1096"/>
        <v>1.6958647820047847</v>
      </c>
      <c r="CQ336" s="4">
        <f t="shared" si="1035"/>
        <v>0.76884181445606981</v>
      </c>
      <c r="CR336" s="4">
        <f t="shared" si="1036"/>
        <v>0.76733459610941368</v>
      </c>
      <c r="CS336" s="4">
        <f t="shared" si="1063"/>
        <v>0.93266016758314585</v>
      </c>
      <c r="CT336" s="4">
        <f t="shared" si="1112"/>
        <v>0</v>
      </c>
      <c r="CU336" s="4">
        <f t="shared" si="1194"/>
        <v>1.1697553747675289</v>
      </c>
      <c r="CV336" s="4">
        <f t="shared" si="1194"/>
        <v>0.41793296290343485</v>
      </c>
      <c r="CW336" s="4">
        <f t="shared" si="1195"/>
        <v>1.6958647820047847</v>
      </c>
      <c r="CX336" s="4">
        <f t="shared" si="1196"/>
        <v>0.93266016758314585</v>
      </c>
      <c r="CY336" s="4">
        <f t="shared" si="1197"/>
        <v>0.76884181445606981</v>
      </c>
      <c r="CZ336" s="4">
        <f t="shared" si="1197"/>
        <v>0.76733459610941368</v>
      </c>
      <c r="DI336" s="4">
        <f t="shared" si="1097"/>
        <v>301.75200000000001</v>
      </c>
      <c r="DL336" s="4">
        <f t="shared" si="999"/>
        <v>2.9695903730757705E-5</v>
      </c>
      <c r="DM336" s="4">
        <f t="shared" si="1000"/>
        <v>11.53243436507174</v>
      </c>
      <c r="DN336" s="4">
        <f t="shared" si="1001"/>
        <v>0.19178320025437295</v>
      </c>
      <c r="DO336" s="4">
        <f t="shared" si="1002"/>
        <v>5.9572416349546407</v>
      </c>
      <c r="DP336" s="4">
        <f t="shared" si="1003"/>
        <v>9.1824155376039904</v>
      </c>
      <c r="DQ336" s="4">
        <f t="shared" si="1004"/>
        <v>10.028307708666377</v>
      </c>
      <c r="DR336" s="38">
        <f t="shared" si="1029"/>
        <v>868.30111779085132</v>
      </c>
      <c r="DS336" s="4">
        <f t="shared" si="1005"/>
        <v>1.0000873539309141</v>
      </c>
      <c r="DT336" s="4">
        <f t="shared" si="1006"/>
        <v>3.1780497164141401</v>
      </c>
      <c r="DU336" s="4">
        <f t="shared" si="1007"/>
        <v>462.90258447849283</v>
      </c>
      <c r="DY336" s="4">
        <f t="shared" si="1008"/>
        <v>0.85</v>
      </c>
      <c r="DZ336" s="4">
        <f t="shared" si="1009"/>
        <v>0.85</v>
      </c>
      <c r="EA336" s="4">
        <f t="shared" si="1030"/>
        <v>1</v>
      </c>
      <c r="EB336" s="4">
        <f t="shared" si="1010"/>
        <v>0.85</v>
      </c>
      <c r="ED336" s="4">
        <f t="shared" si="1031"/>
        <v>870.00665717587572</v>
      </c>
      <c r="EE336" s="25">
        <f t="shared" si="1032"/>
        <v>458.99069640471879</v>
      </c>
      <c r="EG336" s="4">
        <f t="shared" si="932"/>
        <v>0.72249999999999992</v>
      </c>
      <c r="EH336" s="4">
        <f t="shared" si="1033"/>
        <v>11.53243436507174</v>
      </c>
      <c r="EK336" s="4">
        <f t="shared" si="1011"/>
        <v>80.72246279691916</v>
      </c>
      <c r="EL336" s="4">
        <f t="shared" si="1012"/>
        <v>3.1780497164141406</v>
      </c>
      <c r="EM336" s="4">
        <f t="shared" si="1013"/>
        <v>9.5718369652407015E-2</v>
      </c>
      <c r="EP336" s="4">
        <f t="shared" si="1113"/>
        <v>9.5718369652407015E-2</v>
      </c>
      <c r="EQ336" s="4">
        <f t="shared" si="951"/>
        <v>0.19146314983667795</v>
      </c>
      <c r="ER336" s="4">
        <f t="shared" si="1014"/>
        <v>5.9532630319103585</v>
      </c>
      <c r="ES336" s="4">
        <f t="shared" si="1098"/>
        <v>9.1811381006820749</v>
      </c>
      <c r="ET336" s="4">
        <f t="shared" si="1015"/>
        <v>145.59153720308086</v>
      </c>
      <c r="EU336" s="4">
        <f t="shared" si="1016"/>
        <v>75.437999999999988</v>
      </c>
      <c r="EV336" s="4">
        <f t="shared" si="952"/>
        <v>2.9695903730757698E-5</v>
      </c>
      <c r="EW336" s="4">
        <f t="shared" si="1099"/>
        <v>10.028646321640455</v>
      </c>
      <c r="EX336" s="4">
        <f t="shared" si="965"/>
        <v>868.22527490016978</v>
      </c>
      <c r="FG336" s="23">
        <f t="shared" si="1143"/>
        <v>1.2</v>
      </c>
      <c r="FH336" s="23">
        <f t="shared" si="1143"/>
        <v>0.6</v>
      </c>
      <c r="FI336" s="23">
        <f t="shared" si="1068"/>
        <v>1</v>
      </c>
      <c r="FJ336" s="23">
        <f t="shared" si="1144"/>
        <v>1.8</v>
      </c>
      <c r="FK336" s="23">
        <f t="shared" si="1144"/>
        <v>0.8</v>
      </c>
      <c r="FL336" s="23">
        <f t="shared" si="1144"/>
        <v>0.8</v>
      </c>
      <c r="FM336" s="23">
        <f t="shared" si="1037"/>
        <v>1</v>
      </c>
      <c r="FN336" s="23"/>
      <c r="FX336" s="4">
        <f t="shared" ref="FX336:FX399" si="1200">IF(O336&gt;=2.5*25.4,1,1.25)</f>
        <v>1</v>
      </c>
      <c r="FY336" s="4">
        <f t="shared" si="975"/>
        <v>0.5</v>
      </c>
      <c r="FZ336" s="4">
        <f t="shared" ref="FZ336:FZ399" si="1201">MIN(0.3, AE336^2*PI()/4*2*AH336/(K336^2*PI()/4*R336))</f>
        <v>0</v>
      </c>
      <c r="GA336" s="4">
        <f t="shared" ref="GA336:GA399" si="1202">(H336/25.4)/(K336/25.4)^1.5/0.0024*(J336*145)^0.25/FX336/FY336/145</f>
        <v>715.78719677340246</v>
      </c>
    </row>
    <row r="337" spans="1:183" ht="12" customHeight="1" x14ac:dyDescent="0.3">
      <c r="A337" s="25">
        <v>319</v>
      </c>
      <c r="B337" s="4" t="s">
        <v>605</v>
      </c>
      <c r="C337" s="4">
        <v>2016</v>
      </c>
      <c r="D337" s="4" t="s">
        <v>309</v>
      </c>
      <c r="E337" s="24" t="s">
        <v>670</v>
      </c>
      <c r="F337" s="7" t="s">
        <v>481</v>
      </c>
      <c r="G337" s="38">
        <f t="shared" si="1198"/>
        <v>889.65517241379314</v>
      </c>
      <c r="H337" s="38">
        <f>11.97*25.4</f>
        <v>304.03800000000001</v>
      </c>
      <c r="I337" s="4">
        <f t="shared" si="1100"/>
        <v>304.03800000000001</v>
      </c>
      <c r="J337" s="38">
        <f>12080/145</f>
        <v>83.310344827586206</v>
      </c>
      <c r="K337" s="38">
        <f t="shared" si="1101"/>
        <v>25.4</v>
      </c>
      <c r="L337" s="7">
        <f t="shared" si="1102"/>
        <v>11.97</v>
      </c>
      <c r="M337" s="7">
        <f t="shared" si="1103"/>
        <v>11.97</v>
      </c>
      <c r="N337" s="38">
        <f>14.9*25.4</f>
        <v>378.46</v>
      </c>
      <c r="O337" s="38">
        <f>2.5*25.4</f>
        <v>63.5</v>
      </c>
      <c r="P337" s="39">
        <f>3.15*25.4</f>
        <v>80.009999999999991</v>
      </c>
      <c r="Q337" s="7">
        <f t="shared" si="1104"/>
        <v>200.65999999999997</v>
      </c>
      <c r="R337" s="38">
        <v>2</v>
      </c>
      <c r="S337" s="4">
        <f t="shared" si="1081"/>
        <v>260.34999999999997</v>
      </c>
      <c r="T337" s="7">
        <f t="shared" si="1105"/>
        <v>3</v>
      </c>
      <c r="U337" s="7">
        <f t="shared" si="958"/>
        <v>3</v>
      </c>
      <c r="V337" s="38">
        <v>4.0999999999999996</v>
      </c>
      <c r="W337" s="4">
        <f t="shared" si="1106"/>
        <v>4.0999999999999996</v>
      </c>
      <c r="X337" s="4">
        <f t="shared" si="1107"/>
        <v>5.0999999999999996</v>
      </c>
      <c r="Y337" s="7">
        <f t="shared" si="1108"/>
        <v>57.361276136431961</v>
      </c>
      <c r="AB337" s="38">
        <f t="shared" si="1151"/>
        <v>976.55172413793105</v>
      </c>
      <c r="AC337" s="4">
        <v>141.6</v>
      </c>
      <c r="AD337" s="4">
        <f t="shared" si="998"/>
        <v>1</v>
      </c>
      <c r="AE337" s="38">
        <f>0.5*25.4</f>
        <v>12.7</v>
      </c>
      <c r="AF337" s="38">
        <v>10</v>
      </c>
      <c r="AG337" s="39">
        <f>3*25.4</f>
        <v>76.199999999999989</v>
      </c>
      <c r="AH337" s="39">
        <v>3</v>
      </c>
      <c r="AI337" s="39">
        <f t="shared" ref="AI337:AI338" si="1203">AH337-1</f>
        <v>2</v>
      </c>
      <c r="AJ337" s="7"/>
      <c r="AK337" s="4">
        <f t="shared" si="1109"/>
        <v>304.03800000000001</v>
      </c>
      <c r="AL337" s="4">
        <f t="shared" si="1018"/>
        <v>0.41492620439988864</v>
      </c>
      <c r="AM337" s="4">
        <f t="shared" si="1019"/>
        <v>477.47864890275287</v>
      </c>
      <c r="AN337" s="4">
        <f t="shared" si="1020"/>
        <v>0.75012531328320797</v>
      </c>
      <c r="AO337" s="4">
        <v>1.25</v>
      </c>
      <c r="AP337" s="4">
        <f t="shared" si="933"/>
        <v>2.5</v>
      </c>
      <c r="AQ337" s="38">
        <f t="shared" si="1082"/>
        <v>464.41759209689883</v>
      </c>
      <c r="AR337" s="38">
        <f t="shared" si="1021"/>
        <v>464.41759209689883</v>
      </c>
      <c r="AS337" s="38">
        <f t="shared" si="1022"/>
        <v>4.9090792795570026</v>
      </c>
      <c r="AT337" s="38">
        <f t="shared" si="940"/>
        <v>464.41759209689849</v>
      </c>
      <c r="AU337" s="38">
        <f t="shared" si="1199"/>
        <v>1.0000000000000007</v>
      </c>
      <c r="AV337" s="38">
        <f t="shared" si="941"/>
        <v>2.179382445306437</v>
      </c>
      <c r="AW337" s="4">
        <f t="shared" si="942"/>
        <v>0</v>
      </c>
      <c r="AX337" s="4">
        <f t="shared" si="1110"/>
        <v>575.02935457304238</v>
      </c>
      <c r="AY337" s="4">
        <f t="shared" si="1083"/>
        <v>1</v>
      </c>
      <c r="AZ337" s="38">
        <f t="shared" si="953"/>
        <v>1012.143547507466</v>
      </c>
      <c r="BA337" s="4">
        <f t="shared" si="1084"/>
        <v>0.42600000000000005</v>
      </c>
      <c r="BB337" s="4">
        <f t="shared" si="1085"/>
        <v>127.99290888764065</v>
      </c>
      <c r="BC337" s="4">
        <f t="shared" si="1086"/>
        <v>1140.1364563951067</v>
      </c>
      <c r="BE337" s="4">
        <f t="shared" si="934"/>
        <v>1.5</v>
      </c>
      <c r="BF337" s="4">
        <f t="shared" si="935"/>
        <v>902.38535142641001</v>
      </c>
      <c r="BH337" s="4">
        <f t="shared" si="959"/>
        <v>970.76943914993626</v>
      </c>
      <c r="BI337" s="4">
        <f t="shared" si="1184"/>
        <v>0</v>
      </c>
      <c r="BJ337" s="4">
        <f t="shared" si="960"/>
        <v>0</v>
      </c>
      <c r="BK337" s="4">
        <f t="shared" si="1023"/>
        <v>63.5</v>
      </c>
      <c r="BL337" s="4">
        <f t="shared" si="1024"/>
        <v>63.5</v>
      </c>
      <c r="BM337" s="4">
        <f t="shared" si="1025"/>
        <v>260.34999999999997</v>
      </c>
      <c r="BN337" s="4">
        <f t="shared" si="1026"/>
        <v>76.2</v>
      </c>
      <c r="BO337" s="4">
        <f t="shared" si="1027"/>
        <v>1.25</v>
      </c>
      <c r="BP337" s="25">
        <f t="shared" si="1028"/>
        <v>4</v>
      </c>
      <c r="BR337" s="4">
        <f t="shared" si="1087"/>
        <v>63.5</v>
      </c>
      <c r="BV337" s="9"/>
      <c r="BX337" s="9"/>
      <c r="BY337" s="9"/>
      <c r="BZ337" s="9">
        <f t="shared" si="1088"/>
        <v>63.5</v>
      </c>
      <c r="CA337" s="9">
        <f t="shared" si="1089"/>
        <v>100.32999999999998</v>
      </c>
      <c r="CB337" s="9">
        <f t="shared" si="943"/>
        <v>1.6934351397132028</v>
      </c>
      <c r="CC337" s="40">
        <f t="shared" si="1111"/>
        <v>20</v>
      </c>
      <c r="CD337" s="9">
        <f t="shared" si="1090"/>
        <v>0.05</v>
      </c>
      <c r="CE337" s="9">
        <f t="shared" si="1091"/>
        <v>0.8</v>
      </c>
      <c r="CF337" s="9">
        <f t="shared" si="1092"/>
        <v>0.99524931562137331</v>
      </c>
      <c r="CG337" s="9">
        <f t="shared" si="1093"/>
        <v>0.68</v>
      </c>
      <c r="CH337" s="9">
        <f t="shared" si="944"/>
        <v>2.1620130482705213</v>
      </c>
      <c r="CI337" s="9">
        <f t="shared" si="945"/>
        <v>5.3908393070761749</v>
      </c>
      <c r="CJ337" s="40">
        <v>1</v>
      </c>
      <c r="CK337" s="9">
        <f t="shared" si="946"/>
        <v>581.56374444737776</v>
      </c>
      <c r="CM337" s="4">
        <f t="shared" si="1094"/>
        <v>1.6982641257732274</v>
      </c>
      <c r="CN337" s="4">
        <f t="shared" si="1095"/>
        <v>0.85652179496619263</v>
      </c>
      <c r="CO337" s="4">
        <f t="shared" si="1062"/>
        <v>1.0821892471927714</v>
      </c>
      <c r="CP337" s="4">
        <f t="shared" si="1096"/>
        <v>1.6791826063123738</v>
      </c>
      <c r="CQ337" s="4">
        <f t="shared" si="1035"/>
        <v>1</v>
      </c>
      <c r="CR337" s="4">
        <f t="shared" si="1036"/>
        <v>1.0136499429452763</v>
      </c>
      <c r="CS337" s="4">
        <f t="shared" si="1063"/>
        <v>1.2028972243265701</v>
      </c>
      <c r="CT337" s="4">
        <f t="shared" si="1112"/>
        <v>10</v>
      </c>
      <c r="DA337" s="4">
        <f t="shared" ref="DA337:DB338" si="1204">CM337</f>
        <v>1.6982641257732274</v>
      </c>
      <c r="DB337" s="4">
        <f t="shared" si="1204"/>
        <v>0.85652179496619263</v>
      </c>
      <c r="DC337" s="4">
        <f t="shared" ref="DC337:DC338" si="1205">CP337</f>
        <v>1.6791826063123738</v>
      </c>
      <c r="DD337" s="4">
        <f t="shared" ref="DD337:DD338" si="1206">CS337</f>
        <v>1.2028972243265701</v>
      </c>
      <c r="DE337" s="4">
        <f t="shared" ref="DE337:DF338" si="1207">CQ337</f>
        <v>1</v>
      </c>
      <c r="DF337" s="4">
        <f t="shared" si="1207"/>
        <v>1.0136499429452763</v>
      </c>
      <c r="DI337" s="4">
        <f t="shared" si="1097"/>
        <v>304.03800000000001</v>
      </c>
      <c r="DL337" s="4">
        <f t="shared" si="999"/>
        <v>2.9920872698414962E-5</v>
      </c>
      <c r="DM337" s="4">
        <f t="shared" si="1000"/>
        <v>14.003670300444258</v>
      </c>
      <c r="DN337" s="4">
        <f t="shared" si="1001"/>
        <v>0.30346705842598626</v>
      </c>
      <c r="DO337" s="4">
        <f t="shared" si="1002"/>
        <v>8.6913351903957725</v>
      </c>
      <c r="DP337" s="4">
        <f t="shared" si="1003"/>
        <v>11.655828971927715</v>
      </c>
      <c r="DQ337" s="4">
        <f t="shared" si="1004"/>
        <v>11.550994362927899</v>
      </c>
      <c r="DR337" s="38">
        <f t="shared" si="1029"/>
        <v>976.55172413793105</v>
      </c>
      <c r="DS337" s="4">
        <f t="shared" si="1005"/>
        <v>1</v>
      </c>
      <c r="DT337" s="4">
        <f t="shared" si="1006"/>
        <v>2.2583179581272428</v>
      </c>
      <c r="DU337" s="4">
        <f t="shared" si="1007"/>
        <v>464.41759209689849</v>
      </c>
      <c r="DY337" s="4">
        <f t="shared" si="1008"/>
        <v>0.85</v>
      </c>
      <c r="DZ337" s="4">
        <f t="shared" si="1009"/>
        <v>0.85</v>
      </c>
      <c r="EA337" s="4">
        <f t="shared" si="1030"/>
        <v>0.77500000000000002</v>
      </c>
      <c r="EB337" s="4">
        <f t="shared" si="1010"/>
        <v>0.7</v>
      </c>
      <c r="ED337" s="4">
        <f t="shared" si="1031"/>
        <v>963.40135066791186</v>
      </c>
      <c r="EE337" s="25">
        <f t="shared" si="1032"/>
        <v>460.52955017895857</v>
      </c>
      <c r="EG337" s="4">
        <f t="shared" si="932"/>
        <v>0.59499999999999997</v>
      </c>
      <c r="EH337" s="4">
        <f t="shared" si="1033"/>
        <v>14.003670300444258</v>
      </c>
      <c r="EK337" s="4">
        <f t="shared" si="1011"/>
        <v>57.361276136431961</v>
      </c>
      <c r="EL337" s="4">
        <f t="shared" si="1012"/>
        <v>2.2583179581272428</v>
      </c>
      <c r="EM337" s="4">
        <f t="shared" si="1013"/>
        <v>0.15145941895442339</v>
      </c>
      <c r="EP337" s="4">
        <f t="shared" si="1113"/>
        <v>0.15145941895442339</v>
      </c>
      <c r="EQ337" s="4">
        <f t="shared" si="951"/>
        <v>0.30296062846404442</v>
      </c>
      <c r="ER337" s="4">
        <f t="shared" si="1014"/>
        <v>8.6855305957920397</v>
      </c>
      <c r="ES337" s="4">
        <f t="shared" si="1098"/>
        <v>11.653673027659503</v>
      </c>
      <c r="ET337" s="4">
        <f t="shared" si="1015"/>
        <v>170.66722386356804</v>
      </c>
      <c r="EU337" s="4">
        <f t="shared" si="1016"/>
        <v>76.009500000000003</v>
      </c>
      <c r="EV337" s="4">
        <f t="shared" si="952"/>
        <v>2.9920872698414962E-5</v>
      </c>
      <c r="EW337" s="4">
        <f t="shared" si="1099"/>
        <v>11.55156359760425</v>
      </c>
      <c r="EX337" s="4">
        <f t="shared" si="965"/>
        <v>976.55172413793105</v>
      </c>
      <c r="FG337" s="23">
        <f t="shared" si="1143"/>
        <v>1.8</v>
      </c>
      <c r="FH337" s="23">
        <f t="shared" si="1143"/>
        <v>1</v>
      </c>
      <c r="FI337" s="23">
        <f t="shared" si="1068"/>
        <v>1.4</v>
      </c>
      <c r="FJ337" s="23">
        <f t="shared" si="1144"/>
        <v>1.8</v>
      </c>
      <c r="FK337" s="23">
        <f t="shared" si="1144"/>
        <v>1.2</v>
      </c>
      <c r="FL337" s="23">
        <f t="shared" si="1144"/>
        <v>1.2</v>
      </c>
      <c r="FM337" s="23">
        <f t="shared" si="1037"/>
        <v>0</v>
      </c>
      <c r="FN337" s="23"/>
      <c r="FX337" s="4">
        <f t="shared" si="1200"/>
        <v>1</v>
      </c>
      <c r="FY337" s="4">
        <f t="shared" si="975"/>
        <v>0.44418604651162791</v>
      </c>
      <c r="FZ337" s="4">
        <f t="shared" si="1201"/>
        <v>0.3</v>
      </c>
      <c r="GA337" s="4">
        <f t="shared" si="1202"/>
        <v>811.83305139359993</v>
      </c>
    </row>
    <row r="338" spans="1:183" ht="12" customHeight="1" x14ac:dyDescent="0.3">
      <c r="A338" s="25">
        <v>320</v>
      </c>
      <c r="B338" s="4" t="s">
        <v>605</v>
      </c>
      <c r="C338" s="4">
        <v>2016</v>
      </c>
      <c r="D338" s="4" t="s">
        <v>309</v>
      </c>
      <c r="E338" s="24" t="s">
        <v>670</v>
      </c>
      <c r="F338" s="7" t="s">
        <v>482</v>
      </c>
      <c r="G338" s="38">
        <f t="shared" si="1198"/>
        <v>889.65517241379314</v>
      </c>
      <c r="H338" s="38">
        <f>12.13*25.4</f>
        <v>308.10199999999998</v>
      </c>
      <c r="I338" s="4">
        <f t="shared" si="1100"/>
        <v>308.10199999999998</v>
      </c>
      <c r="J338" s="38">
        <f>12080/145</f>
        <v>83.310344827586206</v>
      </c>
      <c r="K338" s="38">
        <f t="shared" si="1101"/>
        <v>25.4</v>
      </c>
      <c r="L338" s="7">
        <f t="shared" si="1102"/>
        <v>12.129999999999999</v>
      </c>
      <c r="M338" s="7">
        <f t="shared" si="1103"/>
        <v>12.129999999999999</v>
      </c>
      <c r="N338" s="38">
        <f>14.9*25.4</f>
        <v>378.46</v>
      </c>
      <c r="O338" s="38">
        <f>2.4*25.4</f>
        <v>60.959999999999994</v>
      </c>
      <c r="P338" s="39">
        <f>4.5*25.4</f>
        <v>114.3</v>
      </c>
      <c r="Q338" s="7">
        <f t="shared" si="1104"/>
        <v>205.73999999999998</v>
      </c>
      <c r="R338" s="38">
        <v>2</v>
      </c>
      <c r="S338" s="4">
        <f t="shared" si="1081"/>
        <v>260.34999999999997</v>
      </c>
      <c r="T338" s="7">
        <f t="shared" si="1105"/>
        <v>2.9</v>
      </c>
      <c r="U338" s="7">
        <f t="shared" si="958"/>
        <v>2.9</v>
      </c>
      <c r="V338" s="38">
        <v>9.1</v>
      </c>
      <c r="W338" s="4">
        <f t="shared" si="1106"/>
        <v>9.1</v>
      </c>
      <c r="X338" s="4">
        <f t="shared" si="1107"/>
        <v>10.1</v>
      </c>
      <c r="Y338" s="7">
        <f t="shared" si="1108"/>
        <v>80.72246279691916</v>
      </c>
      <c r="AB338" s="38">
        <f t="shared" si="1151"/>
        <v>1057.9310344827588</v>
      </c>
      <c r="AC338" s="4">
        <v>153.4</v>
      </c>
      <c r="AD338" s="4">
        <f t="shared" si="998"/>
        <v>1.0970371571867716</v>
      </c>
      <c r="AE338" s="38">
        <f>0.5*25.4</f>
        <v>12.7</v>
      </c>
      <c r="AF338" s="38">
        <v>10</v>
      </c>
      <c r="AG338" s="39">
        <f>3*25.4</f>
        <v>76.199999999999989</v>
      </c>
      <c r="AH338" s="39">
        <v>3</v>
      </c>
      <c r="AI338" s="39">
        <f t="shared" si="1203"/>
        <v>2</v>
      </c>
      <c r="AJ338" s="7"/>
      <c r="AK338" s="4">
        <f t="shared" si="1109"/>
        <v>308.10199999999998</v>
      </c>
      <c r="AL338" s="4">
        <f t="shared" si="1018"/>
        <v>0.40945314646881015</v>
      </c>
      <c r="AM338" s="4">
        <f t="shared" si="1019"/>
        <v>487.08407640009438</v>
      </c>
      <c r="AN338" s="4">
        <f t="shared" si="1020"/>
        <v>0.74781533388293486</v>
      </c>
      <c r="AO338" s="4">
        <v>1.25</v>
      </c>
      <c r="AP338" s="4">
        <f t="shared" si="933"/>
        <v>2.5</v>
      </c>
      <c r="AQ338" s="38">
        <f t="shared" si="1082"/>
        <v>466.07148462925454</v>
      </c>
      <c r="AR338" s="38">
        <f t="shared" si="1021"/>
        <v>466.07148462925454</v>
      </c>
      <c r="AS338" s="38">
        <f t="shared" si="1022"/>
        <v>4.9090792795570026</v>
      </c>
      <c r="AT338" s="38">
        <f t="shared" si="940"/>
        <v>466.07148462925528</v>
      </c>
      <c r="AU338" s="38">
        <f t="shared" si="1199"/>
        <v>0.99999999999999845</v>
      </c>
      <c r="AV338" s="38">
        <f t="shared" si="941"/>
        <v>3.1274839471157505</v>
      </c>
      <c r="AW338" s="4">
        <f t="shared" si="942"/>
        <v>0</v>
      </c>
      <c r="AX338" s="4">
        <f t="shared" si="1110"/>
        <v>582.71562831837957</v>
      </c>
      <c r="AY338" s="4">
        <f t="shared" si="1083"/>
        <v>1</v>
      </c>
      <c r="AZ338" s="38">
        <f t="shared" si="953"/>
        <v>1457.6310863864012</v>
      </c>
      <c r="BA338" s="4">
        <f t="shared" si="1084"/>
        <v>0.3</v>
      </c>
      <c r="BB338" s="4">
        <f t="shared" si="1085"/>
        <v>91.340674738905989</v>
      </c>
      <c r="BC338" s="4">
        <f t="shared" si="1086"/>
        <v>1548.9717611253072</v>
      </c>
      <c r="BE338" s="4">
        <f t="shared" si="934"/>
        <v>1.5</v>
      </c>
      <c r="BF338" s="4">
        <f t="shared" si="935"/>
        <v>908.95711547867347</v>
      </c>
      <c r="BH338" s="4">
        <f t="shared" si="959"/>
        <v>1398.0464685108325</v>
      </c>
      <c r="BI338" s="4">
        <f t="shared" si="1184"/>
        <v>0</v>
      </c>
      <c r="BJ338" s="4">
        <f t="shared" si="960"/>
        <v>0</v>
      </c>
      <c r="BK338" s="4">
        <f t="shared" si="1023"/>
        <v>60.959999999999994</v>
      </c>
      <c r="BL338" s="4">
        <f t="shared" si="1024"/>
        <v>60.959999999999994</v>
      </c>
      <c r="BM338" s="4">
        <f t="shared" si="1025"/>
        <v>260.34999999999997</v>
      </c>
      <c r="BN338" s="4">
        <f t="shared" si="1026"/>
        <v>73.66</v>
      </c>
      <c r="BO338" s="4">
        <f t="shared" si="1027"/>
        <v>1.25</v>
      </c>
      <c r="BP338" s="25">
        <f t="shared" si="1028"/>
        <v>4</v>
      </c>
      <c r="BR338" s="4">
        <f t="shared" si="1087"/>
        <v>60.959999999999994</v>
      </c>
      <c r="BV338" s="9"/>
      <c r="BX338" s="9"/>
      <c r="BY338" s="9"/>
      <c r="BZ338" s="9">
        <f t="shared" si="1088"/>
        <v>60.959999999999994</v>
      </c>
      <c r="CA338" s="9">
        <f t="shared" si="1089"/>
        <v>102.86999999999999</v>
      </c>
      <c r="CB338" s="9">
        <f t="shared" si="943"/>
        <v>1.6756842515389025</v>
      </c>
      <c r="CC338" s="40">
        <f t="shared" si="1111"/>
        <v>20</v>
      </c>
      <c r="CD338" s="9">
        <f t="shared" si="1090"/>
        <v>0.05</v>
      </c>
      <c r="CE338" s="9">
        <f t="shared" si="1091"/>
        <v>0.8</v>
      </c>
      <c r="CF338" s="9">
        <f t="shared" si="1092"/>
        <v>0.99524931562137331</v>
      </c>
      <c r="CG338" s="9">
        <f t="shared" si="1093"/>
        <v>0.68</v>
      </c>
      <c r="CH338" s="9">
        <f t="shared" si="944"/>
        <v>2.1620130482705213</v>
      </c>
      <c r="CI338" s="9">
        <f t="shared" si="945"/>
        <v>5.3524616552249471</v>
      </c>
      <c r="CJ338" s="40">
        <v>1</v>
      </c>
      <c r="CK338" s="9">
        <f t="shared" si="946"/>
        <v>580.84913882501132</v>
      </c>
      <c r="CM338" s="47">
        <f t="shared" si="1094"/>
        <v>1.8155185532534488</v>
      </c>
      <c r="CN338" s="47">
        <f t="shared" si="1095"/>
        <v>0.68298923262112032</v>
      </c>
      <c r="CO338" s="47">
        <f t="shared" si="1062"/>
        <v>1.1638954318825405</v>
      </c>
      <c r="CP338" s="47">
        <f t="shared" si="1096"/>
        <v>1.8213525057863174</v>
      </c>
      <c r="CQ338" s="47">
        <f t="shared" si="1035"/>
        <v>1.0970371571867716</v>
      </c>
      <c r="CR338" s="47">
        <f t="shared" si="1036"/>
        <v>1.0886125437537382</v>
      </c>
      <c r="CS338" s="47">
        <f t="shared" si="1063"/>
        <v>1.6074371142265871</v>
      </c>
      <c r="CT338" s="4">
        <f t="shared" si="1112"/>
        <v>10</v>
      </c>
      <c r="DA338" s="4">
        <f t="shared" si="1204"/>
        <v>1.8155185532534488</v>
      </c>
      <c r="DB338" s="4">
        <f t="shared" si="1204"/>
        <v>0.68298923262112032</v>
      </c>
      <c r="DC338" s="4">
        <f t="shared" si="1205"/>
        <v>1.8213525057863174</v>
      </c>
      <c r="DD338" s="4">
        <f t="shared" si="1206"/>
        <v>1.6074371142265871</v>
      </c>
      <c r="DE338" s="4">
        <f t="shared" si="1207"/>
        <v>1.0970371571867716</v>
      </c>
      <c r="DF338" s="4">
        <f t="shared" si="1207"/>
        <v>1.0886125437537382</v>
      </c>
      <c r="DI338" s="4">
        <f t="shared" si="1097"/>
        <v>308.10199999999998</v>
      </c>
      <c r="DL338" s="4">
        <f t="shared" si="999"/>
        <v>3.0320817529805633E-5</v>
      </c>
      <c r="DM338" s="4">
        <f t="shared" si="1000"/>
        <v>14.003670300444258</v>
      </c>
      <c r="DN338" s="4">
        <f t="shared" si="1001"/>
        <v>0.19309609379305231</v>
      </c>
      <c r="DO338" s="4">
        <f t="shared" si="1002"/>
        <v>7.2535610827259598</v>
      </c>
      <c r="DP338" s="4">
        <f t="shared" si="1003"/>
        <v>11.156432004510634</v>
      </c>
      <c r="DQ338" s="4">
        <f t="shared" si="1004"/>
        <v>11.699339681249116</v>
      </c>
      <c r="DR338" s="38">
        <f t="shared" si="1029"/>
        <v>964.35296430223389</v>
      </c>
      <c r="DS338" s="4">
        <f t="shared" si="1005"/>
        <v>1.0000956764469064</v>
      </c>
      <c r="DT338" s="4">
        <f t="shared" si="1006"/>
        <v>3.1780497164141401</v>
      </c>
      <c r="DU338" s="4">
        <f t="shared" si="1007"/>
        <v>466.07148462925528</v>
      </c>
      <c r="DY338" s="4">
        <f t="shared" si="1008"/>
        <v>0.85</v>
      </c>
      <c r="DZ338" s="4">
        <f t="shared" si="1009"/>
        <v>0.86</v>
      </c>
      <c r="EA338" s="4">
        <f t="shared" si="1030"/>
        <v>0.77500000000000002</v>
      </c>
      <c r="EB338" s="4">
        <f t="shared" si="1010"/>
        <v>0.7</v>
      </c>
      <c r="ED338" s="4">
        <f t="shared" si="1031"/>
        <v>971.81595100384948</v>
      </c>
      <c r="EE338" s="25">
        <f t="shared" si="1032"/>
        <v>462.22238877068293</v>
      </c>
      <c r="EG338" s="4">
        <f t="shared" si="932"/>
        <v>0.59499999999999997</v>
      </c>
      <c r="EH338" s="4">
        <f t="shared" si="1033"/>
        <v>14.003670300444258</v>
      </c>
      <c r="EK338" s="4">
        <f t="shared" si="1011"/>
        <v>80.72246279691916</v>
      </c>
      <c r="EL338" s="4">
        <f t="shared" si="1012"/>
        <v>3.1780497164141406</v>
      </c>
      <c r="EM338" s="4">
        <f t="shared" si="1013"/>
        <v>9.6373630534918542E-2</v>
      </c>
      <c r="EP338" s="4">
        <f t="shared" si="1113"/>
        <v>9.6373630534918542E-2</v>
      </c>
      <c r="EQ338" s="4">
        <f t="shared" si="951"/>
        <v>0.19277385240073133</v>
      </c>
      <c r="ER338" s="4">
        <f t="shared" si="1014"/>
        <v>7.2487167198523279</v>
      </c>
      <c r="ES338" s="4">
        <f t="shared" si="1098"/>
        <v>11.154873027561752</v>
      </c>
      <c r="ET338" s="4">
        <f t="shared" si="1015"/>
        <v>150.35403720308082</v>
      </c>
      <c r="EU338" s="4">
        <f t="shared" si="1016"/>
        <v>77.025499999999994</v>
      </c>
      <c r="EV338" s="4">
        <f t="shared" si="952"/>
        <v>3.0320817529805633E-5</v>
      </c>
      <c r="EW338" s="4">
        <f t="shared" si="1099"/>
        <v>11.699853993865201</v>
      </c>
      <c r="EX338" s="4">
        <f t="shared" si="965"/>
        <v>964.26070726387138</v>
      </c>
      <c r="FG338" s="23">
        <f t="shared" si="1143"/>
        <v>2</v>
      </c>
      <c r="FH338" s="23">
        <f t="shared" si="1143"/>
        <v>0.8</v>
      </c>
      <c r="FI338" s="23">
        <f t="shared" si="1068"/>
        <v>1.8</v>
      </c>
      <c r="FJ338" s="23">
        <f t="shared" si="1144"/>
        <v>2</v>
      </c>
      <c r="FK338" s="23">
        <f t="shared" si="1144"/>
        <v>1.2</v>
      </c>
      <c r="FL338" s="23">
        <f t="shared" si="1144"/>
        <v>1.2</v>
      </c>
      <c r="FM338" s="23">
        <f t="shared" si="1037"/>
        <v>0</v>
      </c>
      <c r="FN338" s="23"/>
      <c r="FX338" s="4">
        <f t="shared" si="1200"/>
        <v>1.25</v>
      </c>
      <c r="FY338" s="4">
        <f t="shared" si="975"/>
        <v>0.44418604651162791</v>
      </c>
      <c r="FZ338" s="4">
        <f t="shared" si="1201"/>
        <v>0.3</v>
      </c>
      <c r="GA338" s="4">
        <f t="shared" si="1202"/>
        <v>658.14769680229688</v>
      </c>
    </row>
    <row r="339" spans="1:183" ht="12" customHeight="1" x14ac:dyDescent="0.3">
      <c r="A339" s="25">
        <v>321</v>
      </c>
      <c r="B339" s="4" t="s">
        <v>605</v>
      </c>
      <c r="C339" s="4">
        <v>2016</v>
      </c>
      <c r="D339" s="4" t="s">
        <v>309</v>
      </c>
      <c r="E339" s="24" t="s">
        <v>670</v>
      </c>
      <c r="F339" s="7" t="s">
        <v>483</v>
      </c>
      <c r="G339" s="38">
        <f t="shared" si="1198"/>
        <v>889.65517241379314</v>
      </c>
      <c r="H339" s="38">
        <f>12.21*25.4</f>
        <v>310.13400000000001</v>
      </c>
      <c r="I339" s="4">
        <f t="shared" si="1100"/>
        <v>310.13400000000001</v>
      </c>
      <c r="J339" s="38">
        <f>12040/145</f>
        <v>83.034482758620683</v>
      </c>
      <c r="K339" s="38">
        <f t="shared" si="1101"/>
        <v>25.4</v>
      </c>
      <c r="L339" s="7">
        <f t="shared" si="1102"/>
        <v>12.21</v>
      </c>
      <c r="M339" s="7">
        <f t="shared" si="1103"/>
        <v>12.21</v>
      </c>
      <c r="N339" s="38">
        <f>14.8*25.4</f>
        <v>375.92</v>
      </c>
      <c r="O339" s="38">
        <f>2.5*25.4</f>
        <v>63.5</v>
      </c>
      <c r="P339" s="39">
        <f>2.83*25.4</f>
        <v>71.881999999999991</v>
      </c>
      <c r="Q339" s="7">
        <f t="shared" si="1104"/>
        <v>86.360000000000014</v>
      </c>
      <c r="R339" s="38">
        <v>3</v>
      </c>
      <c r="S339" s="4">
        <f t="shared" si="1081"/>
        <v>260.34999999999997</v>
      </c>
      <c r="T339" s="7">
        <f t="shared" si="1105"/>
        <v>2.2000000000000002</v>
      </c>
      <c r="U339" s="7">
        <f t="shared" si="958"/>
        <v>3</v>
      </c>
      <c r="V339" s="38">
        <v>4.0999999999999996</v>
      </c>
      <c r="W339" s="4">
        <f t="shared" si="1106"/>
        <v>4.0999999999999996</v>
      </c>
      <c r="X339" s="4">
        <f t="shared" si="1107"/>
        <v>5.0999999999999996</v>
      </c>
      <c r="Y339" s="7">
        <f t="shared" si="1108"/>
        <v>57.361276136431961</v>
      </c>
      <c r="AB339" s="38">
        <f t="shared" si="1151"/>
        <v>656.55172413793105</v>
      </c>
      <c r="AC339" s="4">
        <v>95.2</v>
      </c>
      <c r="AD339" s="4">
        <f t="shared" si="998"/>
        <v>0.93271114834467483</v>
      </c>
      <c r="AE339" s="38">
        <v>0</v>
      </c>
      <c r="AF339" s="38">
        <v>0</v>
      </c>
      <c r="AG339" s="39">
        <f t="shared" ref="AG339:AG340" si="1208">I339</f>
        <v>310.13400000000001</v>
      </c>
      <c r="AH339" s="39"/>
      <c r="AI339" s="39"/>
      <c r="AJ339" s="7"/>
      <c r="AK339" s="4">
        <f t="shared" si="1109"/>
        <v>310.13400000000001</v>
      </c>
      <c r="AL339" s="4">
        <f t="shared" si="1018"/>
        <v>0.40404040404040403</v>
      </c>
      <c r="AM339" s="4">
        <f t="shared" si="1019"/>
        <v>327.39703640569854</v>
      </c>
      <c r="AN339" s="4">
        <f t="shared" si="1020"/>
        <v>0.74914004914004906</v>
      </c>
      <c r="AO339" s="4">
        <v>1.25</v>
      </c>
      <c r="AP339" s="4">
        <f t="shared" si="933"/>
        <v>2.5</v>
      </c>
      <c r="AQ339" s="38">
        <f t="shared" si="1082"/>
        <v>309.67958578443364</v>
      </c>
      <c r="AR339" s="38">
        <f t="shared" si="1021"/>
        <v>309.67958578443364</v>
      </c>
      <c r="AS339" s="38">
        <f t="shared" si="1022"/>
        <v>4.9032987715448586</v>
      </c>
      <c r="AT339" s="38">
        <f t="shared" si="940"/>
        <v>309.6795857844337</v>
      </c>
      <c r="AU339" s="38">
        <f t="shared" si="1199"/>
        <v>0.99999999999999978</v>
      </c>
      <c r="AV339" s="38">
        <f t="shared" si="941"/>
        <v>2.7363293710546137</v>
      </c>
      <c r="AW339" s="4">
        <f t="shared" si="942"/>
        <v>0</v>
      </c>
      <c r="AX339" s="4">
        <f t="shared" si="1110"/>
        <v>585.58683616346411</v>
      </c>
      <c r="AY339" s="4">
        <f t="shared" si="1083"/>
        <v>1.1454545454545455</v>
      </c>
      <c r="AZ339" s="38">
        <f t="shared" si="953"/>
        <v>847.38534619797281</v>
      </c>
      <c r="BA339" s="4">
        <f t="shared" si="1084"/>
        <v>0.42600000000000005</v>
      </c>
      <c r="BB339" s="4">
        <f t="shared" si="1085"/>
        <v>130.34284592744467</v>
      </c>
      <c r="BC339" s="4">
        <f t="shared" si="1086"/>
        <v>977.72819212541754</v>
      </c>
      <c r="BE339" s="4">
        <f t="shared" si="934"/>
        <v>1.375</v>
      </c>
      <c r="BF339" s="4">
        <f t="shared" si="935"/>
        <v>834.83712497506826</v>
      </c>
      <c r="BH339" s="4">
        <f t="shared" si="959"/>
        <v>812.74617547903938</v>
      </c>
      <c r="BI339" s="4">
        <f t="shared" si="1184"/>
        <v>0</v>
      </c>
      <c r="BJ339" s="4">
        <f t="shared" si="960"/>
        <v>0</v>
      </c>
      <c r="BK339" s="4">
        <f t="shared" si="1023"/>
        <v>49.580000000000005</v>
      </c>
      <c r="BL339" s="4">
        <f t="shared" si="1024"/>
        <v>49.580000000000005</v>
      </c>
      <c r="BM339" s="4">
        <f t="shared" si="1025"/>
        <v>260.34999999999997</v>
      </c>
      <c r="BN339" s="4">
        <f t="shared" si="1026"/>
        <v>62.28</v>
      </c>
      <c r="BO339" s="4">
        <f t="shared" si="1027"/>
        <v>1.25</v>
      </c>
      <c r="BP339" s="25">
        <f t="shared" si="1028"/>
        <v>3.0649606299212597</v>
      </c>
      <c r="BR339" s="4">
        <f t="shared" si="1087"/>
        <v>43.180000000000007</v>
      </c>
      <c r="BV339" s="9"/>
      <c r="BX339" s="9"/>
      <c r="BY339" s="9"/>
      <c r="BZ339" s="9">
        <f t="shared" si="1088"/>
        <v>43.180000000000007</v>
      </c>
      <c r="CA339" s="9">
        <f t="shared" si="1089"/>
        <v>63.5</v>
      </c>
      <c r="CB339" s="9">
        <f t="shared" si="943"/>
        <v>1.3814912030111532</v>
      </c>
      <c r="CC339" s="40">
        <f t="shared" si="1111"/>
        <v>20</v>
      </c>
      <c r="CD339" s="9">
        <f t="shared" si="1090"/>
        <v>0</v>
      </c>
      <c r="CE339" s="9">
        <f t="shared" si="1091"/>
        <v>0</v>
      </c>
      <c r="CF339" s="9">
        <f t="shared" si="1092"/>
        <v>0.99524931562137331</v>
      </c>
      <c r="CG339" s="9">
        <f t="shared" si="1093"/>
        <v>0.68</v>
      </c>
      <c r="CH339" s="9">
        <f t="shared" si="944"/>
        <v>2.1584305883972208</v>
      </c>
      <c r="CI339" s="9">
        <f t="shared" si="945"/>
        <v>2.9818528701809477</v>
      </c>
      <c r="CJ339" s="40">
        <v>1</v>
      </c>
      <c r="CK339" s="9">
        <f t="shared" si="946"/>
        <v>324.54486639049435</v>
      </c>
      <c r="CM339" s="4">
        <f t="shared" si="1094"/>
        <v>1.1211859345052924</v>
      </c>
      <c r="CN339" s="4">
        <f t="shared" si="1095"/>
        <v>0.67150740811789156</v>
      </c>
      <c r="CO339" s="4">
        <f t="shared" si="1062"/>
        <v>0.78644289346564267</v>
      </c>
      <c r="CP339" s="4">
        <f t="shared" si="1096"/>
        <v>2.0229921718988586</v>
      </c>
      <c r="CQ339" s="4">
        <f t="shared" si="1035"/>
        <v>0.93271114834467483</v>
      </c>
      <c r="CR339" s="4">
        <f t="shared" si="1036"/>
        <v>0.94794472349162318</v>
      </c>
      <c r="CS339" s="4">
        <f t="shared" si="1063"/>
        <v>1.2147441524469329</v>
      </c>
      <c r="CT339" s="4">
        <f t="shared" si="1112"/>
        <v>0</v>
      </c>
      <c r="CU339" s="4">
        <f t="shared" ref="CU339:CV340" si="1209">CM339</f>
        <v>1.1211859345052924</v>
      </c>
      <c r="CV339" s="4">
        <f t="shared" si="1209"/>
        <v>0.67150740811789156</v>
      </c>
      <c r="CW339" s="4">
        <f t="shared" ref="CW339:CW340" si="1210">CP339</f>
        <v>2.0229921718988586</v>
      </c>
      <c r="CX339" s="4">
        <f t="shared" ref="CX339:CX340" si="1211">CS339</f>
        <v>1.2147441524469329</v>
      </c>
      <c r="CY339" s="4">
        <f t="shared" ref="CY339:CZ340" si="1212">CQ339</f>
        <v>0.93271114834467483</v>
      </c>
      <c r="CZ339" s="4">
        <f t="shared" si="1212"/>
        <v>0.94794472349162318</v>
      </c>
      <c r="DI339" s="4">
        <f t="shared" si="1097"/>
        <v>310.13400000000001</v>
      </c>
      <c r="DL339" s="4">
        <f t="shared" si="999"/>
        <v>3.0470314501583804E-5</v>
      </c>
      <c r="DM339" s="4">
        <f t="shared" si="1000"/>
        <v>10.522931541773643</v>
      </c>
      <c r="DN339" s="4">
        <f t="shared" si="1001"/>
        <v>0.20302799106025782</v>
      </c>
      <c r="DO339" s="4">
        <f t="shared" si="1002"/>
        <v>5.5610796061263308</v>
      </c>
      <c r="DP339" s="4">
        <f t="shared" si="1003"/>
        <v>8.4192567222681305</v>
      </c>
      <c r="DQ339" s="4">
        <f t="shared" si="1004"/>
        <v>9.1449023297148457</v>
      </c>
      <c r="DR339" s="38">
        <f t="shared" si="1029"/>
        <v>703.91752613136816</v>
      </c>
      <c r="DS339" s="4">
        <f t="shared" si="1005"/>
        <v>1.0000906937085883</v>
      </c>
      <c r="DT339" s="4">
        <f t="shared" si="1006"/>
        <v>2.2583179581272428</v>
      </c>
      <c r="DU339" s="4">
        <f t="shared" si="1007"/>
        <v>309.6795857844337</v>
      </c>
      <c r="DY339" s="4">
        <f t="shared" si="1008"/>
        <v>0.85</v>
      </c>
      <c r="DZ339" s="4">
        <f t="shared" si="1009"/>
        <v>0.92999999999999994</v>
      </c>
      <c r="EA339" s="4">
        <f t="shared" si="1030"/>
        <v>1</v>
      </c>
      <c r="EB339" s="4">
        <f t="shared" si="1010"/>
        <v>0.92999999999999994</v>
      </c>
      <c r="ED339" s="4">
        <f t="shared" si="1031"/>
        <v>692.60549467442956</v>
      </c>
      <c r="EE339" s="25">
        <f t="shared" si="1032"/>
        <v>307.15051229926104</v>
      </c>
      <c r="EG339" s="4">
        <f t="shared" si="932"/>
        <v>0.79049999999999998</v>
      </c>
      <c r="EH339" s="4">
        <f t="shared" si="1033"/>
        <v>10.522931541773643</v>
      </c>
      <c r="EK339" s="4">
        <f t="shared" si="1011"/>
        <v>57.361276136431961</v>
      </c>
      <c r="EL339" s="4">
        <f t="shared" si="1012"/>
        <v>2.2583179581272428</v>
      </c>
      <c r="EM339" s="4">
        <f t="shared" si="1013"/>
        <v>0.10116270304638737</v>
      </c>
      <c r="EP339" s="4">
        <f t="shared" si="1113"/>
        <v>0.10116270304638737</v>
      </c>
      <c r="EQ339" s="4">
        <f t="shared" si="951"/>
        <v>0.20268917518245202</v>
      </c>
      <c r="ER339" s="4">
        <f t="shared" si="1014"/>
        <v>5.5573655838310794</v>
      </c>
      <c r="ES339" s="4">
        <f t="shared" si="1098"/>
        <v>8.4180413557659541</v>
      </c>
      <c r="ET339" s="4">
        <f t="shared" si="1015"/>
        <v>175.23922386356804</v>
      </c>
      <c r="EU339" s="4">
        <f t="shared" si="1016"/>
        <v>77.533500000000004</v>
      </c>
      <c r="EV339" s="4">
        <f t="shared" si="952"/>
        <v>3.0470314501583804E-5</v>
      </c>
      <c r="EW339" s="4">
        <f t="shared" si="1099"/>
        <v>9.145168898955335</v>
      </c>
      <c r="EX339" s="4">
        <f t="shared" si="965"/>
        <v>703.85369102982509</v>
      </c>
      <c r="FG339" s="23">
        <f t="shared" si="1143"/>
        <v>1.2</v>
      </c>
      <c r="FH339" s="23">
        <f t="shared" si="1143"/>
        <v>0.8</v>
      </c>
      <c r="FI339" s="23">
        <f t="shared" si="1068"/>
        <v>1.4</v>
      </c>
      <c r="FJ339" s="23">
        <f t="shared" si="1144"/>
        <v>2.2000000000000002</v>
      </c>
      <c r="FK339" s="23">
        <f t="shared" si="1144"/>
        <v>1</v>
      </c>
      <c r="FL339" s="23">
        <f t="shared" si="1144"/>
        <v>1</v>
      </c>
      <c r="FM339" s="23">
        <f t="shared" si="1037"/>
        <v>0</v>
      </c>
      <c r="FN339" s="23"/>
      <c r="FX339" s="4">
        <f t="shared" si="1200"/>
        <v>1</v>
      </c>
      <c r="FY339" s="4">
        <f t="shared" si="975"/>
        <v>0.67999999999999994</v>
      </c>
      <c r="FZ339" s="4">
        <f t="shared" si="1201"/>
        <v>0</v>
      </c>
      <c r="GA339" s="4">
        <f t="shared" si="1202"/>
        <v>540.48560169266841</v>
      </c>
    </row>
    <row r="340" spans="1:183" ht="12" customHeight="1" x14ac:dyDescent="0.3">
      <c r="A340" s="25">
        <v>322</v>
      </c>
      <c r="B340" s="4" t="s">
        <v>605</v>
      </c>
      <c r="C340" s="4">
        <v>2016</v>
      </c>
      <c r="D340" s="4" t="s">
        <v>309</v>
      </c>
      <c r="E340" s="24" t="s">
        <v>670</v>
      </c>
      <c r="F340" s="7" t="s">
        <v>484</v>
      </c>
      <c r="G340" s="38">
        <f t="shared" si="1198"/>
        <v>889.65517241379314</v>
      </c>
      <c r="H340" s="38">
        <f>12.04*25.4</f>
        <v>305.81599999999997</v>
      </c>
      <c r="I340" s="4">
        <f t="shared" si="1100"/>
        <v>305.81599999999997</v>
      </c>
      <c r="J340" s="38">
        <f>12040/145</f>
        <v>83.034482758620683</v>
      </c>
      <c r="K340" s="38">
        <f t="shared" si="1101"/>
        <v>25.4</v>
      </c>
      <c r="L340" s="7">
        <f t="shared" si="1102"/>
        <v>12.04</v>
      </c>
      <c r="M340" s="7">
        <f t="shared" si="1103"/>
        <v>12.04</v>
      </c>
      <c r="N340" s="38">
        <f>14.8*25.4</f>
        <v>375.92</v>
      </c>
      <c r="O340" s="38">
        <f>2.4*25.4</f>
        <v>60.959999999999994</v>
      </c>
      <c r="P340" s="39">
        <f>3*25.4</f>
        <v>76.199999999999989</v>
      </c>
      <c r="Q340" s="7">
        <f t="shared" si="1104"/>
        <v>88.90000000000002</v>
      </c>
      <c r="R340" s="38">
        <v>3</v>
      </c>
      <c r="S340" s="4">
        <f t="shared" si="1081"/>
        <v>260.34999999999997</v>
      </c>
      <c r="T340" s="7">
        <f t="shared" si="1105"/>
        <v>2.2500000000000004</v>
      </c>
      <c r="U340" s="7">
        <f t="shared" si="958"/>
        <v>2.9</v>
      </c>
      <c r="V340" s="38">
        <v>9.1</v>
      </c>
      <c r="W340" s="4">
        <f t="shared" si="1106"/>
        <v>9.1</v>
      </c>
      <c r="X340" s="4">
        <f t="shared" si="1107"/>
        <v>10.1</v>
      </c>
      <c r="Y340" s="7">
        <f t="shared" si="1108"/>
        <v>80.72246279691916</v>
      </c>
      <c r="AB340" s="38">
        <f t="shared" si="1151"/>
        <v>657.93103448275872</v>
      </c>
      <c r="AC340" s="4">
        <v>95.4</v>
      </c>
      <c r="AD340" s="4">
        <f t="shared" si="998"/>
        <v>0.98191767642597505</v>
      </c>
      <c r="AE340" s="38">
        <v>0</v>
      </c>
      <c r="AF340" s="38">
        <v>0</v>
      </c>
      <c r="AG340" s="39">
        <f t="shared" si="1208"/>
        <v>305.81599999999997</v>
      </c>
      <c r="AH340" s="39"/>
      <c r="AI340" s="39"/>
      <c r="AJ340" s="7"/>
      <c r="AK340" s="4">
        <f t="shared" si="1109"/>
        <v>305.81599999999997</v>
      </c>
      <c r="AL340" s="4">
        <f t="shared" si="1018"/>
        <v>0.40974529346622368</v>
      </c>
      <c r="AM340" s="4">
        <f t="shared" si="1019"/>
        <v>320.58336143631669</v>
      </c>
      <c r="AN340" s="4">
        <f t="shared" si="1020"/>
        <v>0.74817275747508305</v>
      </c>
      <c r="AO340" s="4">
        <v>1.25</v>
      </c>
      <c r="AP340" s="4">
        <f t="shared" si="933"/>
        <v>2.5</v>
      </c>
      <c r="AQ340" s="38">
        <f t="shared" si="1082"/>
        <v>307.11912681610914</v>
      </c>
      <c r="AR340" s="38">
        <f t="shared" si="1021"/>
        <v>307.11912681610914</v>
      </c>
      <c r="AS340" s="38">
        <f t="shared" si="1022"/>
        <v>4.9032987715448586</v>
      </c>
      <c r="AT340" s="38">
        <f t="shared" si="940"/>
        <v>307.11912681610875</v>
      </c>
      <c r="AU340" s="38">
        <f t="shared" si="1199"/>
        <v>1.0000000000000013</v>
      </c>
      <c r="AV340" s="38">
        <f t="shared" si="941"/>
        <v>4.0942657997691452</v>
      </c>
      <c r="AW340" s="4">
        <f t="shared" si="942"/>
        <v>0</v>
      </c>
      <c r="AX340" s="4">
        <f t="shared" si="1110"/>
        <v>577.43370249042641</v>
      </c>
      <c r="AY340" s="4">
        <f t="shared" si="1083"/>
        <v>1.1155555555555554</v>
      </c>
      <c r="AZ340" s="38">
        <f t="shared" si="953"/>
        <v>1257.4273373781571</v>
      </c>
      <c r="BA340" s="4">
        <f t="shared" si="1084"/>
        <v>0.3</v>
      </c>
      <c r="BB340" s="4">
        <f t="shared" si="1085"/>
        <v>90.512732865374318</v>
      </c>
      <c r="BC340" s="4">
        <f t="shared" si="1086"/>
        <v>1347.9400702435314</v>
      </c>
      <c r="BE340" s="4">
        <f t="shared" si="934"/>
        <v>1.35</v>
      </c>
      <c r="BF340" s="4">
        <f t="shared" si="935"/>
        <v>813.38443179593753</v>
      </c>
      <c r="BH340" s="4">
        <f t="shared" si="959"/>
        <v>1206.0265898888088</v>
      </c>
      <c r="BI340" s="4">
        <f t="shared" si="1184"/>
        <v>0</v>
      </c>
      <c r="BJ340" s="4">
        <f t="shared" si="960"/>
        <v>0</v>
      </c>
      <c r="BK340" s="4">
        <f t="shared" si="1023"/>
        <v>50.850000000000009</v>
      </c>
      <c r="BL340" s="4">
        <f t="shared" si="1024"/>
        <v>50.850000000000009</v>
      </c>
      <c r="BM340" s="4">
        <f t="shared" si="1025"/>
        <v>260.34999999999997</v>
      </c>
      <c r="BN340" s="4">
        <f t="shared" si="1026"/>
        <v>63.550000000000011</v>
      </c>
      <c r="BO340" s="4">
        <f t="shared" si="1027"/>
        <v>1.25</v>
      </c>
      <c r="BP340" s="25">
        <f t="shared" si="1028"/>
        <v>3.1274606299212606</v>
      </c>
      <c r="BR340" s="4">
        <f t="shared" si="1087"/>
        <v>44.45000000000001</v>
      </c>
      <c r="BV340" s="9"/>
      <c r="BX340" s="9"/>
      <c r="BY340" s="9"/>
      <c r="BZ340" s="9">
        <f t="shared" si="1088"/>
        <v>44.45000000000001</v>
      </c>
      <c r="CA340" s="9">
        <f t="shared" si="1089"/>
        <v>60.959999999999994</v>
      </c>
      <c r="CB340" s="9">
        <f t="shared" si="943"/>
        <v>1.3870592192954589</v>
      </c>
      <c r="CC340" s="40">
        <f t="shared" si="1111"/>
        <v>20</v>
      </c>
      <c r="CD340" s="9">
        <f t="shared" si="1090"/>
        <v>0</v>
      </c>
      <c r="CE340" s="9">
        <f t="shared" si="1091"/>
        <v>0</v>
      </c>
      <c r="CF340" s="9">
        <f t="shared" si="1092"/>
        <v>0.99524931562137331</v>
      </c>
      <c r="CG340" s="9">
        <f t="shared" si="1093"/>
        <v>0.68</v>
      </c>
      <c r="CH340" s="9">
        <f t="shared" si="944"/>
        <v>2.1584305883972208</v>
      </c>
      <c r="CI340" s="9">
        <f t="shared" si="945"/>
        <v>2.9938710468456873</v>
      </c>
      <c r="CJ340" s="40">
        <v>1</v>
      </c>
      <c r="CK340" s="9">
        <f t="shared" si="946"/>
        <v>323.8170924268295</v>
      </c>
      <c r="CM340" s="4">
        <f t="shared" si="1094"/>
        <v>1.1394053233213677</v>
      </c>
      <c r="CN340" s="4">
        <f t="shared" si="1095"/>
        <v>0.48810110256896716</v>
      </c>
      <c r="CO340" s="4">
        <f t="shared" si="1062"/>
        <v>0.80888078104723415</v>
      </c>
      <c r="CP340" s="4">
        <f t="shared" si="1096"/>
        <v>2.031798351198606</v>
      </c>
      <c r="CQ340" s="4">
        <f t="shared" si="1035"/>
        <v>0.98191767642597505</v>
      </c>
      <c r="CR340" s="4">
        <f t="shared" si="1036"/>
        <v>0.95810293219723919</v>
      </c>
      <c r="CS340" s="4">
        <f t="shared" si="1063"/>
        <v>1.5317584810057567</v>
      </c>
      <c r="CT340" s="4">
        <f t="shared" si="1112"/>
        <v>0</v>
      </c>
      <c r="CU340" s="4">
        <f t="shared" si="1209"/>
        <v>1.1394053233213677</v>
      </c>
      <c r="CV340" s="4">
        <f t="shared" si="1209"/>
        <v>0.48810110256896716</v>
      </c>
      <c r="CW340" s="4">
        <f t="shared" si="1210"/>
        <v>2.031798351198606</v>
      </c>
      <c r="CX340" s="4">
        <f t="shared" si="1211"/>
        <v>1.5317584810057567</v>
      </c>
      <c r="CY340" s="4">
        <f t="shared" si="1212"/>
        <v>0.98191767642597505</v>
      </c>
      <c r="CZ340" s="4">
        <f t="shared" si="1212"/>
        <v>0.95810293219723919</v>
      </c>
      <c r="DI340" s="4">
        <f t="shared" si="1097"/>
        <v>305.81599999999997</v>
      </c>
      <c r="DL340" s="4">
        <f t="shared" si="999"/>
        <v>3.0046075888539634E-5</v>
      </c>
      <c r="DM340" s="4">
        <f t="shared" si="1000"/>
        <v>10.579812252810257</v>
      </c>
      <c r="DN340" s="4">
        <f t="shared" si="1001"/>
        <v>0.12766394702668557</v>
      </c>
      <c r="DO340" s="4">
        <f t="shared" si="1002"/>
        <v>4.644139621228903</v>
      </c>
      <c r="DP340" s="4">
        <f t="shared" si="1003"/>
        <v>8.1774866988974395</v>
      </c>
      <c r="DQ340" s="4">
        <f t="shared" si="1004"/>
        <v>9.3416699532155363</v>
      </c>
      <c r="DR340" s="38">
        <f t="shared" si="1029"/>
        <v>670.04704190429038</v>
      </c>
      <c r="DS340" s="4">
        <f t="shared" si="1005"/>
        <v>1.0000847806726894</v>
      </c>
      <c r="DT340" s="4">
        <f t="shared" si="1006"/>
        <v>3.1780497164141401</v>
      </c>
      <c r="DU340" s="4">
        <f t="shared" si="1007"/>
        <v>307.11912681610875</v>
      </c>
      <c r="DY340" s="4">
        <f t="shared" si="1008"/>
        <v>0.85</v>
      </c>
      <c r="DZ340" s="4">
        <f t="shared" si="1009"/>
        <v>0.92499999999999993</v>
      </c>
      <c r="EA340" s="4">
        <f t="shared" si="1030"/>
        <v>1</v>
      </c>
      <c r="EB340" s="4">
        <f t="shared" si="1010"/>
        <v>0.92499999999999993</v>
      </c>
      <c r="ED340" s="4">
        <f t="shared" si="1031"/>
        <v>686.70182751023481</v>
      </c>
      <c r="EE340" s="25">
        <f t="shared" si="1032"/>
        <v>304.55900893872837</v>
      </c>
      <c r="EG340" s="4">
        <f t="shared" ref="EG340:EG403" si="1213">DY340*EB340</f>
        <v>0.78624999999999989</v>
      </c>
      <c r="EH340" s="4">
        <f t="shared" si="1033"/>
        <v>10.579812252810257</v>
      </c>
      <c r="EK340" s="4">
        <f t="shared" si="1011"/>
        <v>80.72246279691916</v>
      </c>
      <c r="EL340" s="4">
        <f t="shared" si="1012"/>
        <v>3.1780497164141406</v>
      </c>
      <c r="EM340" s="4">
        <f t="shared" si="1013"/>
        <v>6.3611080892571392E-2</v>
      </c>
      <c r="EP340" s="4">
        <f t="shared" si="1113"/>
        <v>6.3611080892571392E-2</v>
      </c>
      <c r="EQ340" s="4">
        <f t="shared" si="951"/>
        <v>0.12745089969242338</v>
      </c>
      <c r="ER340" s="4">
        <f t="shared" si="1014"/>
        <v>4.6410379864174711</v>
      </c>
      <c r="ES340" s="4">
        <f t="shared" si="1098"/>
        <v>8.1766235950125274</v>
      </c>
      <c r="ET340" s="4">
        <f t="shared" si="1015"/>
        <v>148.63953720308081</v>
      </c>
      <c r="EU340" s="4">
        <f t="shared" si="1016"/>
        <v>76.454000000000008</v>
      </c>
      <c r="EV340" s="4">
        <f t="shared" si="952"/>
        <v>3.0046075888539644E-5</v>
      </c>
      <c r="EW340" s="4">
        <f t="shared" si="1099"/>
        <v>9.3419049814059338</v>
      </c>
      <c r="EX340" s="4">
        <f t="shared" si="965"/>
        <v>669.99023968107485</v>
      </c>
      <c r="FG340" s="23">
        <f t="shared" si="1143"/>
        <v>1.2</v>
      </c>
      <c r="FH340" s="23">
        <f t="shared" si="1143"/>
        <v>0.6</v>
      </c>
      <c r="FI340" s="23">
        <f t="shared" si="1068"/>
        <v>1.6</v>
      </c>
      <c r="FJ340" s="23">
        <f t="shared" si="1144"/>
        <v>2.2000000000000002</v>
      </c>
      <c r="FK340" s="23">
        <f t="shared" si="1144"/>
        <v>1</v>
      </c>
      <c r="FL340" s="23">
        <f t="shared" si="1144"/>
        <v>1</v>
      </c>
      <c r="FM340" s="23">
        <f t="shared" si="1037"/>
        <v>0</v>
      </c>
      <c r="FN340" s="23"/>
      <c r="FX340" s="4">
        <f t="shared" si="1200"/>
        <v>1.25</v>
      </c>
      <c r="FY340" s="4">
        <f t="shared" si="975"/>
        <v>0.67500000000000004</v>
      </c>
      <c r="FZ340" s="4">
        <f t="shared" si="1201"/>
        <v>0</v>
      </c>
      <c r="GA340" s="4">
        <f t="shared" si="1202"/>
        <v>429.52661443777964</v>
      </c>
    </row>
    <row r="341" spans="1:183" ht="12" customHeight="1" x14ac:dyDescent="0.3">
      <c r="A341" s="25">
        <v>323</v>
      </c>
      <c r="B341" s="4" t="s">
        <v>605</v>
      </c>
      <c r="C341" s="4">
        <v>2016</v>
      </c>
      <c r="D341" s="4" t="s">
        <v>309</v>
      </c>
      <c r="E341" s="24" t="s">
        <v>670</v>
      </c>
      <c r="F341" s="7" t="s">
        <v>485</v>
      </c>
      <c r="G341" s="38">
        <f t="shared" si="1198"/>
        <v>889.65517241379314</v>
      </c>
      <c r="H341" s="38">
        <f>12.17*25.4</f>
        <v>309.11799999999999</v>
      </c>
      <c r="I341" s="4">
        <f t="shared" si="1100"/>
        <v>309.11799999999999</v>
      </c>
      <c r="J341" s="38">
        <f>12040/145</f>
        <v>83.034482758620683</v>
      </c>
      <c r="K341" s="38">
        <f t="shared" si="1101"/>
        <v>25.4</v>
      </c>
      <c r="L341" s="7">
        <f t="shared" si="1102"/>
        <v>12.17</v>
      </c>
      <c r="M341" s="7">
        <f t="shared" si="1103"/>
        <v>12.17</v>
      </c>
      <c r="N341" s="38">
        <f>15.2*25.4</f>
        <v>386.08</v>
      </c>
      <c r="O341" s="38">
        <f>2.6*25.4</f>
        <v>66.039999999999992</v>
      </c>
      <c r="P341" s="39">
        <f>2.9*25.4</f>
        <v>73.66</v>
      </c>
      <c r="Q341" s="7">
        <f t="shared" si="1104"/>
        <v>88.9</v>
      </c>
      <c r="R341" s="38">
        <v>3</v>
      </c>
      <c r="S341" s="4">
        <f t="shared" si="1081"/>
        <v>260.34999999999997</v>
      </c>
      <c r="T341" s="7">
        <f t="shared" si="1105"/>
        <v>2.25</v>
      </c>
      <c r="U341" s="7">
        <f t="shared" si="958"/>
        <v>3.0999999999999996</v>
      </c>
      <c r="V341" s="38">
        <v>4.0999999999999996</v>
      </c>
      <c r="W341" s="4">
        <f t="shared" si="1106"/>
        <v>4.0999999999999996</v>
      </c>
      <c r="X341" s="4">
        <f t="shared" si="1107"/>
        <v>5.0999999999999996</v>
      </c>
      <c r="Y341" s="7">
        <f t="shared" si="1108"/>
        <v>57.361276136431961</v>
      </c>
      <c r="AB341" s="38">
        <f t="shared" si="1151"/>
        <v>765.51724137931035</v>
      </c>
      <c r="AC341" s="4">
        <v>111</v>
      </c>
      <c r="AD341" s="4">
        <f t="shared" si="998"/>
        <v>0.92990729725452292</v>
      </c>
      <c r="AE341" s="38">
        <f t="shared" ref="AE341:AE342" si="1214">0.5*25.4</f>
        <v>12.7</v>
      </c>
      <c r="AF341" s="38">
        <v>10</v>
      </c>
      <c r="AG341" s="39">
        <f t="shared" ref="AG341:AG342" si="1215">3*25.4</f>
        <v>76.199999999999989</v>
      </c>
      <c r="AH341" s="39">
        <v>3</v>
      </c>
      <c r="AI341" s="39">
        <f t="shared" ref="AI341:AI342" si="1216">AH341-1</f>
        <v>2</v>
      </c>
      <c r="AJ341" s="7"/>
      <c r="AK341" s="4">
        <f t="shared" si="1109"/>
        <v>309.11799999999999</v>
      </c>
      <c r="AL341" s="4">
        <f t="shared" si="1018"/>
        <v>0.41632429471377708</v>
      </c>
      <c r="AM341" s="4">
        <f t="shared" si="1019"/>
        <v>325.78952411390105</v>
      </c>
      <c r="AN341" s="4">
        <f t="shared" si="1020"/>
        <v>0.75094494658997535</v>
      </c>
      <c r="AO341" s="4">
        <v>1.25</v>
      </c>
      <c r="AP341" s="4">
        <f t="shared" si="933"/>
        <v>2.5</v>
      </c>
      <c r="AQ341" s="38">
        <f t="shared" si="1082"/>
        <v>318.29292926050755</v>
      </c>
      <c r="AR341" s="38">
        <f t="shared" si="1021"/>
        <v>318.29292926050755</v>
      </c>
      <c r="AS341" s="38">
        <f t="shared" si="1022"/>
        <v>4.9032987715448586</v>
      </c>
      <c r="AT341" s="38">
        <f t="shared" si="940"/>
        <v>318.29292926050721</v>
      </c>
      <c r="AU341" s="38">
        <f t="shared" si="1199"/>
        <v>1.0000000000000011</v>
      </c>
      <c r="AV341" s="38">
        <f t="shared" si="941"/>
        <v>2.736233663940415</v>
      </c>
      <c r="AW341" s="4">
        <f t="shared" si="942"/>
        <v>0</v>
      </c>
      <c r="AX341" s="4">
        <f t="shared" si="1110"/>
        <v>583.66845176980826</v>
      </c>
      <c r="AY341" s="4">
        <f t="shared" si="1083"/>
        <v>1.151111111111111</v>
      </c>
      <c r="AZ341" s="38">
        <f t="shared" si="953"/>
        <v>870.92382803680493</v>
      </c>
      <c r="BA341" s="4">
        <f t="shared" si="1084"/>
        <v>0.42600000000000005</v>
      </c>
      <c r="BB341" s="4">
        <f t="shared" si="1085"/>
        <v>129.91584233718277</v>
      </c>
      <c r="BC341" s="4">
        <f t="shared" si="1086"/>
        <v>1000.8396703739877</v>
      </c>
      <c r="BE341" s="4">
        <f t="shared" si="934"/>
        <v>1.5</v>
      </c>
      <c r="BF341" s="4">
        <f t="shared" si="935"/>
        <v>909.09119040713495</v>
      </c>
      <c r="BH341" s="4">
        <f t="shared" si="959"/>
        <v>835.32245813123473</v>
      </c>
      <c r="BI341" s="4">
        <f t="shared" si="1184"/>
        <v>0</v>
      </c>
      <c r="BJ341" s="4">
        <f t="shared" si="960"/>
        <v>0</v>
      </c>
      <c r="BK341" s="4">
        <f t="shared" si="1023"/>
        <v>50.85</v>
      </c>
      <c r="BL341" s="4">
        <f t="shared" si="1024"/>
        <v>50.85</v>
      </c>
      <c r="BM341" s="4">
        <f t="shared" si="1025"/>
        <v>260.34999999999997</v>
      </c>
      <c r="BN341" s="4">
        <f t="shared" si="1026"/>
        <v>63.55</v>
      </c>
      <c r="BO341" s="4">
        <f t="shared" si="1027"/>
        <v>1.25</v>
      </c>
      <c r="BP341" s="25">
        <f t="shared" si="1028"/>
        <v>4</v>
      </c>
      <c r="BR341" s="4">
        <f t="shared" si="1087"/>
        <v>44.45</v>
      </c>
      <c r="BV341" s="9"/>
      <c r="BX341" s="9"/>
      <c r="BY341" s="9"/>
      <c r="BZ341" s="9">
        <f t="shared" si="1088"/>
        <v>44.45</v>
      </c>
      <c r="CA341" s="9">
        <f t="shared" si="1089"/>
        <v>66.039999999999992</v>
      </c>
      <c r="CB341" s="9">
        <f t="shared" si="943"/>
        <v>1.4038131918756702</v>
      </c>
      <c r="CC341" s="40">
        <f t="shared" si="1111"/>
        <v>20</v>
      </c>
      <c r="CD341" s="9">
        <f t="shared" si="1090"/>
        <v>0.05</v>
      </c>
      <c r="CE341" s="9">
        <f t="shared" si="1091"/>
        <v>0.8</v>
      </c>
      <c r="CF341" s="9">
        <f t="shared" si="1092"/>
        <v>0.99524931562137331</v>
      </c>
      <c r="CG341" s="9">
        <f t="shared" si="1093"/>
        <v>0.68</v>
      </c>
      <c r="CH341" s="9">
        <f t="shared" si="944"/>
        <v>2.1584305883972208</v>
      </c>
      <c r="CI341" s="9">
        <f t="shared" si="945"/>
        <v>4.7567778044577604</v>
      </c>
      <c r="CJ341" s="40">
        <v>1</v>
      </c>
      <c r="CK341" s="9">
        <f t="shared" si="946"/>
        <v>516.96661178846944</v>
      </c>
      <c r="CM341" s="4">
        <f t="shared" si="1094"/>
        <v>1.3115617934430026</v>
      </c>
      <c r="CN341" s="4">
        <f t="shared" si="1095"/>
        <v>0.76487499850326324</v>
      </c>
      <c r="CO341" s="4">
        <f t="shared" si="1062"/>
        <v>0.84206870494089237</v>
      </c>
      <c r="CP341" s="4">
        <f t="shared" si="1096"/>
        <v>1.480786619334987</v>
      </c>
      <c r="CQ341" s="4">
        <f t="shared" si="1035"/>
        <v>0.92990729725452292</v>
      </c>
      <c r="CR341" s="4">
        <f t="shared" si="1036"/>
        <v>0.94032104183423759</v>
      </c>
      <c r="CS341" s="4">
        <f t="shared" si="1063"/>
        <v>1.2530999155051654</v>
      </c>
      <c r="CT341" s="4">
        <f t="shared" si="1112"/>
        <v>10</v>
      </c>
      <c r="DA341" s="4">
        <f t="shared" ref="DA341:DB342" si="1217">CM341</f>
        <v>1.3115617934430026</v>
      </c>
      <c r="DB341" s="4">
        <f t="shared" si="1217"/>
        <v>0.76487499850326324</v>
      </c>
      <c r="DC341" s="4">
        <f t="shared" ref="DC341:DC342" si="1218">CP341</f>
        <v>1.480786619334987</v>
      </c>
      <c r="DD341" s="4">
        <f t="shared" ref="DD341:DD342" si="1219">CS341</f>
        <v>1.2530999155051654</v>
      </c>
      <c r="DE341" s="4">
        <f t="shared" ref="DE341:DF342" si="1220">CQ341</f>
        <v>0.92990729725452292</v>
      </c>
      <c r="DF341" s="4">
        <f t="shared" si="1220"/>
        <v>0.94032104183423759</v>
      </c>
      <c r="DI341" s="4">
        <f t="shared" si="1097"/>
        <v>309.11799999999999</v>
      </c>
      <c r="DL341" s="4">
        <f t="shared" si="999"/>
        <v>3.0370493651455761E-5</v>
      </c>
      <c r="DM341" s="4">
        <f t="shared" si="1000"/>
        <v>13.651370648787429</v>
      </c>
      <c r="DN341" s="4">
        <f t="shared" si="1001"/>
        <v>0.20867495618981108</v>
      </c>
      <c r="DO341" s="4">
        <f t="shared" si="1002"/>
        <v>7.2939770207118659</v>
      </c>
      <c r="DP341" s="4">
        <f t="shared" si="1003"/>
        <v>10.948454122629325</v>
      </c>
      <c r="DQ341" s="4">
        <f t="shared" si="1004"/>
        <v>11.356595993470908</v>
      </c>
      <c r="DR341" s="38">
        <f t="shared" si="1029"/>
        <v>823.21887745094477</v>
      </c>
      <c r="DS341" s="4">
        <f t="shared" si="1005"/>
        <v>1.000100501737905</v>
      </c>
      <c r="DT341" s="4">
        <f t="shared" si="1006"/>
        <v>2.2583179581272428</v>
      </c>
      <c r="DU341" s="4">
        <f t="shared" si="1007"/>
        <v>318.29292926050721</v>
      </c>
      <c r="DY341" s="4">
        <f t="shared" si="1008"/>
        <v>0.85</v>
      </c>
      <c r="DZ341" s="4">
        <f t="shared" si="1009"/>
        <v>0.92499999999999993</v>
      </c>
      <c r="EA341" s="4">
        <f t="shared" si="1030"/>
        <v>0.77500000000000002</v>
      </c>
      <c r="EB341" s="4">
        <f t="shared" si="1010"/>
        <v>0.71687499999999993</v>
      </c>
      <c r="ED341" s="4">
        <f t="shared" si="1031"/>
        <v>814.10200061678279</v>
      </c>
      <c r="EE341" s="25">
        <f t="shared" si="1032"/>
        <v>315.69045822955366</v>
      </c>
      <c r="EG341" s="4">
        <f t="shared" si="1213"/>
        <v>0.60934374999999996</v>
      </c>
      <c r="EH341" s="4">
        <f t="shared" si="1033"/>
        <v>13.651370648787429</v>
      </c>
      <c r="EK341" s="4">
        <f t="shared" si="1011"/>
        <v>57.361276136431961</v>
      </c>
      <c r="EL341" s="4">
        <f t="shared" si="1012"/>
        <v>2.2583179581272428</v>
      </c>
      <c r="EM341" s="4">
        <f t="shared" si="1013"/>
        <v>0.10397641485790181</v>
      </c>
      <c r="EP341" s="4">
        <f t="shared" si="1113"/>
        <v>0.10397641485790181</v>
      </c>
      <c r="EQ341" s="4">
        <f t="shared" si="951"/>
        <v>0.20832671657965524</v>
      </c>
      <c r="ER341" s="4">
        <f t="shared" si="1014"/>
        <v>7.2891056656522935</v>
      </c>
      <c r="ES341" s="4">
        <f t="shared" si="1098"/>
        <v>10.946845527561521</v>
      </c>
      <c r="ET341" s="4">
        <f t="shared" si="1015"/>
        <v>174.47722386356804</v>
      </c>
      <c r="EU341" s="4">
        <f t="shared" si="1016"/>
        <v>77.279499999999985</v>
      </c>
      <c r="EV341" s="4">
        <f t="shared" si="952"/>
        <v>3.0370493651455758E-5</v>
      </c>
      <c r="EW341" s="4">
        <f t="shared" si="1099"/>
        <v>11.357046000879606</v>
      </c>
      <c r="EX341" s="4">
        <f t="shared" si="965"/>
        <v>823.13615083725324</v>
      </c>
      <c r="FG341" s="23">
        <f t="shared" si="1143"/>
        <v>1.4</v>
      </c>
      <c r="FH341" s="23">
        <f t="shared" si="1143"/>
        <v>0.8</v>
      </c>
      <c r="FI341" s="23">
        <f t="shared" si="1068"/>
        <v>1.4</v>
      </c>
      <c r="FJ341" s="23">
        <f t="shared" si="1144"/>
        <v>1.6</v>
      </c>
      <c r="FK341" s="23">
        <f t="shared" si="1144"/>
        <v>1</v>
      </c>
      <c r="FL341" s="23">
        <f t="shared" si="1144"/>
        <v>1</v>
      </c>
      <c r="FM341" s="23">
        <f t="shared" si="1037"/>
        <v>0</v>
      </c>
      <c r="FN341" s="23"/>
      <c r="FX341" s="4">
        <f t="shared" si="1200"/>
        <v>1</v>
      </c>
      <c r="FY341" s="4">
        <f t="shared" si="975"/>
        <v>0.59965116279069774</v>
      </c>
      <c r="FZ341" s="4">
        <f t="shared" si="1201"/>
        <v>0.3</v>
      </c>
      <c r="GA341" s="4">
        <f t="shared" si="1202"/>
        <v>610.89880536038936</v>
      </c>
    </row>
    <row r="342" spans="1:183" ht="12" customHeight="1" x14ac:dyDescent="0.3">
      <c r="A342" s="25">
        <v>324</v>
      </c>
      <c r="B342" s="4" t="s">
        <v>605</v>
      </c>
      <c r="C342" s="4">
        <v>2016</v>
      </c>
      <c r="D342" s="4" t="s">
        <v>309</v>
      </c>
      <c r="E342" s="24" t="s">
        <v>670</v>
      </c>
      <c r="F342" s="7" t="s">
        <v>486</v>
      </c>
      <c r="G342" s="38">
        <f t="shared" si="1198"/>
        <v>889.65517241379314</v>
      </c>
      <c r="H342" s="38">
        <f>11.9*25.4</f>
        <v>302.26</v>
      </c>
      <c r="I342" s="4">
        <f t="shared" si="1100"/>
        <v>302.26</v>
      </c>
      <c r="J342" s="38">
        <f>12040/145</f>
        <v>83.034482758620683</v>
      </c>
      <c r="K342" s="38">
        <f t="shared" si="1101"/>
        <v>25.4</v>
      </c>
      <c r="L342" s="7">
        <f t="shared" si="1102"/>
        <v>11.9</v>
      </c>
      <c r="M342" s="7">
        <f t="shared" si="1103"/>
        <v>11.9</v>
      </c>
      <c r="N342" s="38">
        <f>15*25.4</f>
        <v>381</v>
      </c>
      <c r="O342" s="38">
        <f t="shared" si="1114"/>
        <v>63.5</v>
      </c>
      <c r="P342" s="39">
        <f>3.1*25.4</f>
        <v>78.739999999999995</v>
      </c>
      <c r="Q342" s="7">
        <f t="shared" si="1104"/>
        <v>88.9</v>
      </c>
      <c r="R342" s="38">
        <v>3</v>
      </c>
      <c r="S342" s="4">
        <f t="shared" si="1081"/>
        <v>260.34999999999997</v>
      </c>
      <c r="T342" s="7">
        <f t="shared" si="1105"/>
        <v>2.25</v>
      </c>
      <c r="U342" s="7">
        <f t="shared" si="958"/>
        <v>3</v>
      </c>
      <c r="V342" s="38">
        <v>9.1</v>
      </c>
      <c r="W342" s="4">
        <f t="shared" si="1106"/>
        <v>9.1</v>
      </c>
      <c r="X342" s="4">
        <f t="shared" si="1107"/>
        <v>10.1</v>
      </c>
      <c r="Y342" s="7">
        <f t="shared" si="1108"/>
        <v>80.72246279691916</v>
      </c>
      <c r="AB342" s="38">
        <f t="shared" si="1151"/>
        <v>947.58620689655186</v>
      </c>
      <c r="AC342" s="4">
        <v>137.4</v>
      </c>
      <c r="AD342" s="4">
        <f t="shared" si="998"/>
        <v>1.2334336233137346</v>
      </c>
      <c r="AE342" s="38">
        <f t="shared" si="1214"/>
        <v>12.7</v>
      </c>
      <c r="AF342" s="38">
        <v>10</v>
      </c>
      <c r="AG342" s="39">
        <f t="shared" si="1215"/>
        <v>76.199999999999989</v>
      </c>
      <c r="AH342" s="39">
        <v>3</v>
      </c>
      <c r="AI342" s="39">
        <f t="shared" si="1216"/>
        <v>2</v>
      </c>
      <c r="AJ342" s="7"/>
      <c r="AK342" s="4">
        <f t="shared" si="1109"/>
        <v>302.26</v>
      </c>
      <c r="AL342" s="4">
        <f t="shared" si="1018"/>
        <v>0.42016806722689082</v>
      </c>
      <c r="AM342" s="4">
        <f t="shared" si="1019"/>
        <v>315.00807738266639</v>
      </c>
      <c r="AN342" s="4">
        <f t="shared" si="1020"/>
        <v>0.75042016806722689</v>
      </c>
      <c r="AO342" s="4">
        <v>1.25</v>
      </c>
      <c r="AP342" s="4">
        <f t="shared" ref="AP342:AP405" si="1221">AP341</f>
        <v>2.5</v>
      </c>
      <c r="AQ342" s="38">
        <f t="shared" si="1082"/>
        <v>310.38394744227224</v>
      </c>
      <c r="AR342" s="38">
        <f t="shared" si="1021"/>
        <v>310.38394744227224</v>
      </c>
      <c r="AS342" s="38">
        <f t="shared" si="1022"/>
        <v>4.9032987715448586</v>
      </c>
      <c r="AT342" s="38">
        <f t="shared" si="940"/>
        <v>310.38394744227224</v>
      </c>
      <c r="AU342" s="38">
        <f t="shared" si="1199"/>
        <v>1</v>
      </c>
      <c r="AV342" s="38">
        <f t="shared" si="941"/>
        <v>4.1157605944912197</v>
      </c>
      <c r="AW342" s="4">
        <f t="shared" si="942"/>
        <v>0</v>
      </c>
      <c r="AX342" s="4">
        <f t="shared" si="1110"/>
        <v>570.71935711263086</v>
      </c>
      <c r="AY342" s="4">
        <f t="shared" si="1083"/>
        <v>1.1333333333333333</v>
      </c>
      <c r="AZ342" s="38">
        <f t="shared" si="953"/>
        <v>1277.4660200455378</v>
      </c>
      <c r="BA342" s="4">
        <f t="shared" si="1084"/>
        <v>0.3</v>
      </c>
      <c r="BB342" s="4">
        <f t="shared" si="1085"/>
        <v>89.460259227404862</v>
      </c>
      <c r="BC342" s="4">
        <f t="shared" si="1086"/>
        <v>1366.9262792729426</v>
      </c>
      <c r="BE342" s="4">
        <f t="shared" ref="BE342:BE405" si="1222">MIN(1.5, 0.75+0.25*MIN(3,MAX(1,O342/K342))+0.4*MIN(1,(40*2*PI()*AE342^2/4/AG342/R342)/K342))</f>
        <v>1.5</v>
      </c>
      <c r="BF342" s="4">
        <f t="shared" si="935"/>
        <v>898.01971447524852</v>
      </c>
      <c r="BH342" s="4">
        <f t="shared" si="959"/>
        <v>1225.246137138033</v>
      </c>
      <c r="BI342" s="4">
        <f t="shared" si="1184"/>
        <v>0</v>
      </c>
      <c r="BJ342" s="4">
        <f t="shared" si="960"/>
        <v>0</v>
      </c>
      <c r="BK342" s="4">
        <f t="shared" si="1023"/>
        <v>50.85</v>
      </c>
      <c r="BL342" s="4">
        <f t="shared" si="1024"/>
        <v>50.85</v>
      </c>
      <c r="BM342" s="4">
        <f t="shared" si="1025"/>
        <v>260.34999999999997</v>
      </c>
      <c r="BN342" s="4">
        <f t="shared" si="1026"/>
        <v>63.55</v>
      </c>
      <c r="BO342" s="4">
        <f t="shared" si="1027"/>
        <v>1.25</v>
      </c>
      <c r="BP342" s="25">
        <f t="shared" si="1028"/>
        <v>4</v>
      </c>
      <c r="BR342" s="4">
        <f t="shared" si="1087"/>
        <v>44.45</v>
      </c>
      <c r="BV342" s="9"/>
      <c r="BX342" s="9"/>
      <c r="BY342" s="9"/>
      <c r="BZ342" s="9">
        <f t="shared" si="1088"/>
        <v>44.45</v>
      </c>
      <c r="CA342" s="9">
        <f t="shared" si="1089"/>
        <v>63.5</v>
      </c>
      <c r="CB342" s="9">
        <f t="shared" si="943"/>
        <v>1.3955786547794871</v>
      </c>
      <c r="CC342" s="40">
        <f t="shared" si="1111"/>
        <v>20</v>
      </c>
      <c r="CD342" s="9">
        <f t="shared" si="1090"/>
        <v>0.05</v>
      </c>
      <c r="CE342" s="9">
        <f t="shared" si="1091"/>
        <v>0.8</v>
      </c>
      <c r="CF342" s="9">
        <f t="shared" si="1092"/>
        <v>0.99524931562137331</v>
      </c>
      <c r="CG342" s="9">
        <f t="shared" si="1093"/>
        <v>0.68</v>
      </c>
      <c r="CH342" s="9">
        <f t="shared" si="944"/>
        <v>2.1584305883972208</v>
      </c>
      <c r="CI342" s="9">
        <f t="shared" si="945"/>
        <v>4.7390041277080668</v>
      </c>
      <c r="CJ342" s="40">
        <v>1</v>
      </c>
      <c r="CK342" s="9">
        <f t="shared" si="946"/>
        <v>509.91684414138797</v>
      </c>
      <c r="CM342" s="4">
        <f t="shared" si="1094"/>
        <v>1.6603365473541258</v>
      </c>
      <c r="CN342" s="4">
        <f t="shared" si="1095"/>
        <v>0.69322407599081759</v>
      </c>
      <c r="CO342" s="4">
        <f t="shared" si="1062"/>
        <v>1.0551953276997568</v>
      </c>
      <c r="CP342" s="4">
        <f t="shared" si="1096"/>
        <v>1.8583151699805556</v>
      </c>
      <c r="CQ342" s="4">
        <f t="shared" si="1035"/>
        <v>1.2334336233137346</v>
      </c>
      <c r="CR342" s="4">
        <f t="shared" si="1036"/>
        <v>1.1917519000638892</v>
      </c>
      <c r="CS342" s="4">
        <f t="shared" si="1063"/>
        <v>1.5863282977600779</v>
      </c>
      <c r="CT342" s="4">
        <f t="shared" si="1112"/>
        <v>10</v>
      </c>
      <c r="DA342" s="4">
        <f t="shared" si="1217"/>
        <v>1.6603365473541258</v>
      </c>
      <c r="DB342" s="4">
        <f t="shared" si="1217"/>
        <v>0.69322407599081759</v>
      </c>
      <c r="DC342" s="4">
        <f t="shared" si="1218"/>
        <v>1.8583151699805556</v>
      </c>
      <c r="DD342" s="4">
        <f t="shared" si="1219"/>
        <v>1.5863282977600779</v>
      </c>
      <c r="DE342" s="4">
        <f t="shared" si="1220"/>
        <v>1.2334336233137346</v>
      </c>
      <c r="DF342" s="4">
        <f t="shared" si="1220"/>
        <v>1.1917519000638892</v>
      </c>
      <c r="DI342" s="4">
        <f t="shared" si="1097"/>
        <v>302.26</v>
      </c>
      <c r="DL342" s="4">
        <f t="shared" si="999"/>
        <v>2.96967029130915E-5</v>
      </c>
      <c r="DM342" s="4">
        <f t="shared" si="1000"/>
        <v>13.651370648787429</v>
      </c>
      <c r="DN342" s="4">
        <f t="shared" si="1001"/>
        <v>0.12902107476988778</v>
      </c>
      <c r="DO342" s="4">
        <f t="shared" si="1002"/>
        <v>6.0178383896867622</v>
      </c>
      <c r="DP342" s="4">
        <f t="shared" si="1003"/>
        <v>10.55867984451846</v>
      </c>
      <c r="DQ342" s="4">
        <f t="shared" si="1004"/>
        <v>11.650918588340279</v>
      </c>
      <c r="DR342" s="38">
        <f t="shared" si="1029"/>
        <v>768.25066950159271</v>
      </c>
      <c r="DS342" s="4">
        <f t="shared" si="1005"/>
        <v>1.0000941568065935</v>
      </c>
      <c r="DT342" s="4">
        <f t="shared" si="1006"/>
        <v>3.1780497164141401</v>
      </c>
      <c r="DU342" s="4">
        <f t="shared" si="1007"/>
        <v>310.38394744227224</v>
      </c>
      <c r="DY342" s="4">
        <f t="shared" si="1008"/>
        <v>0.85</v>
      </c>
      <c r="DZ342" s="4">
        <f t="shared" si="1009"/>
        <v>0.92499999999999993</v>
      </c>
      <c r="EA342" s="4">
        <f t="shared" si="1030"/>
        <v>0.77500000000000002</v>
      </c>
      <c r="EB342" s="4">
        <f t="shared" si="1010"/>
        <v>0.71687499999999993</v>
      </c>
      <c r="ED342" s="4">
        <f t="shared" si="1031"/>
        <v>795.12036594676476</v>
      </c>
      <c r="EE342" s="25">
        <f t="shared" si="1032"/>
        <v>307.76643378505355</v>
      </c>
      <c r="EG342" s="4">
        <f t="shared" si="1213"/>
        <v>0.60934374999999996</v>
      </c>
      <c r="EH342" s="4">
        <f t="shared" si="1033"/>
        <v>13.651370648787429</v>
      </c>
      <c r="EK342" s="4">
        <f t="shared" si="1011"/>
        <v>80.72246279691916</v>
      </c>
      <c r="EL342" s="4">
        <f t="shared" si="1012"/>
        <v>3.1780497164141406</v>
      </c>
      <c r="EM342" s="4">
        <f t="shared" si="1013"/>
        <v>6.428729657182139E-2</v>
      </c>
      <c r="EP342" s="4">
        <f t="shared" si="1113"/>
        <v>6.428729657182139E-2</v>
      </c>
      <c r="EQ342" s="4">
        <f t="shared" si="951"/>
        <v>0.12880576264235638</v>
      </c>
      <c r="ER342" s="4">
        <f t="shared" si="1014"/>
        <v>6.0138193164974663</v>
      </c>
      <c r="ES342" s="4">
        <f t="shared" si="1098"/>
        <v>10.557557097376879</v>
      </c>
      <c r="ET342" s="4">
        <f t="shared" si="1015"/>
        <v>145.97253720308083</v>
      </c>
      <c r="EU342" s="4">
        <f t="shared" si="1016"/>
        <v>75.564999999999998</v>
      </c>
      <c r="EV342" s="4">
        <f t="shared" si="952"/>
        <v>2.96967029130915E-5</v>
      </c>
      <c r="EW342" s="4">
        <f t="shared" si="1099"/>
        <v>11.651302750208975</v>
      </c>
      <c r="EX342" s="4">
        <f t="shared" si="965"/>
        <v>768.17834028217749</v>
      </c>
      <c r="FG342" s="23">
        <f t="shared" si="1143"/>
        <v>1.8</v>
      </c>
      <c r="FH342" s="23">
        <f t="shared" si="1143"/>
        <v>0.8</v>
      </c>
      <c r="FI342" s="23">
        <f t="shared" si="1068"/>
        <v>1.6</v>
      </c>
      <c r="FJ342" s="23">
        <f t="shared" si="1144"/>
        <v>2</v>
      </c>
      <c r="FK342" s="23">
        <f t="shared" si="1144"/>
        <v>1.4</v>
      </c>
      <c r="FL342" s="23">
        <f t="shared" si="1144"/>
        <v>1.2</v>
      </c>
      <c r="FM342" s="23">
        <f t="shared" si="1037"/>
        <v>0</v>
      </c>
      <c r="FN342" s="23"/>
      <c r="FX342" s="4">
        <f t="shared" si="1200"/>
        <v>1</v>
      </c>
      <c r="FY342" s="4">
        <f t="shared" si="975"/>
        <v>0.59965116279069774</v>
      </c>
      <c r="FZ342" s="4">
        <f t="shared" si="1201"/>
        <v>0.3</v>
      </c>
      <c r="GA342" s="4">
        <f t="shared" si="1202"/>
        <v>597.34558617819494</v>
      </c>
    </row>
    <row r="343" spans="1:183" ht="12" customHeight="1" x14ac:dyDescent="0.3">
      <c r="A343" s="25">
        <v>325</v>
      </c>
      <c r="B343" s="4" t="s">
        <v>605</v>
      </c>
      <c r="C343" s="4">
        <v>2016</v>
      </c>
      <c r="D343" s="4" t="s">
        <v>309</v>
      </c>
      <c r="E343" s="24" t="s">
        <v>670</v>
      </c>
      <c r="F343" s="7" t="s">
        <v>487</v>
      </c>
      <c r="G343" s="38">
        <f t="shared" si="1198"/>
        <v>889.65517241379314</v>
      </c>
      <c r="H343" s="38">
        <f>12*25.4</f>
        <v>304.79999999999995</v>
      </c>
      <c r="I343" s="4">
        <f t="shared" si="1100"/>
        <v>304.79999999999995</v>
      </c>
      <c r="J343" s="38">
        <f>12040/145</f>
        <v>83.034482758620683</v>
      </c>
      <c r="K343" s="38">
        <f t="shared" si="1101"/>
        <v>25.4</v>
      </c>
      <c r="L343" s="7">
        <f t="shared" si="1102"/>
        <v>11.999999999999998</v>
      </c>
      <c r="M343" s="7">
        <f t="shared" si="1103"/>
        <v>11.999999999999998</v>
      </c>
      <c r="N343" s="38">
        <f>14.9*25.4</f>
        <v>378.46</v>
      </c>
      <c r="O343" s="38">
        <f>2.45*25.4</f>
        <v>62.230000000000004</v>
      </c>
      <c r="P343" s="39">
        <f t="shared" ref="P343" si="1223">3*25.4</f>
        <v>76.199999999999989</v>
      </c>
      <c r="Q343" s="7">
        <f t="shared" si="1104"/>
        <v>50.800000000000004</v>
      </c>
      <c r="R343" s="38">
        <v>4</v>
      </c>
      <c r="S343" s="4">
        <f t="shared" si="1081"/>
        <v>260.34999999999997</v>
      </c>
      <c r="T343" s="7">
        <f t="shared" si="1105"/>
        <v>1.5000000000000002</v>
      </c>
      <c r="U343" s="7">
        <f t="shared" si="958"/>
        <v>2.95</v>
      </c>
      <c r="V343" s="38">
        <v>4.0999999999999996</v>
      </c>
      <c r="W343" s="4">
        <f t="shared" si="1106"/>
        <v>4.0999999999999996</v>
      </c>
      <c r="X343" s="4">
        <f t="shared" si="1107"/>
        <v>5.0999999999999996</v>
      </c>
      <c r="Y343" s="7">
        <f t="shared" si="1108"/>
        <v>57.361276136431961</v>
      </c>
      <c r="AB343" s="38">
        <f t="shared" si="1151"/>
        <v>430.34482758620692</v>
      </c>
      <c r="AC343" s="4">
        <v>62.4</v>
      </c>
      <c r="AD343" s="4">
        <f t="shared" si="998"/>
        <v>0.73708254508719195</v>
      </c>
      <c r="AE343" s="38">
        <v>0</v>
      </c>
      <c r="AF343" s="38">
        <v>0</v>
      </c>
      <c r="AG343" s="39">
        <f t="shared" ref="AG343:AG344" si="1224">I343</f>
        <v>304.79999999999995</v>
      </c>
      <c r="AH343" s="39"/>
      <c r="AI343" s="39"/>
      <c r="AJ343" s="7"/>
      <c r="AK343" s="4">
        <f t="shared" si="1109"/>
        <v>304.79999999999995</v>
      </c>
      <c r="AL343" s="4">
        <f t="shared" si="1018"/>
        <v>0.41388888888888886</v>
      </c>
      <c r="AM343" s="4">
        <f t="shared" si="1019"/>
        <v>239.24032317976457</v>
      </c>
      <c r="AN343" s="4">
        <f t="shared" si="1020"/>
        <v>0.74916666666666665</v>
      </c>
      <c r="AO343" s="4">
        <v>1.25</v>
      </c>
      <c r="AP343" s="4">
        <f t="shared" si="1221"/>
        <v>2.5</v>
      </c>
      <c r="AQ343" s="38">
        <f t="shared" si="1082"/>
        <v>231.81771216907291</v>
      </c>
      <c r="AR343" s="38">
        <f t="shared" si="1021"/>
        <v>231.81771216907291</v>
      </c>
      <c r="AS343" s="38">
        <f t="shared" si="1022"/>
        <v>4.9032987715448586</v>
      </c>
      <c r="AT343" s="38">
        <f t="shared" si="940"/>
        <v>231.81771216907282</v>
      </c>
      <c r="AU343" s="38">
        <f t="shared" si="1199"/>
        <v>1.0000000000000004</v>
      </c>
      <c r="AV343" s="38">
        <f t="shared" si="941"/>
        <v>3.0171515717896407</v>
      </c>
      <c r="AW343" s="4">
        <f t="shared" si="942"/>
        <v>0</v>
      </c>
      <c r="AX343" s="4">
        <f t="shared" si="1110"/>
        <v>575.51531809677044</v>
      </c>
      <c r="AY343" s="4">
        <f t="shared" si="1083"/>
        <v>1.3866666666666667</v>
      </c>
      <c r="AZ343" s="38">
        <f t="shared" si="953"/>
        <v>699.42917463959657</v>
      </c>
      <c r="BA343" s="4">
        <f t="shared" si="1084"/>
        <v>0.42600000000000005</v>
      </c>
      <c r="BB343" s="4">
        <f t="shared" si="1085"/>
        <v>128.10107707856966</v>
      </c>
      <c r="BC343" s="4">
        <f t="shared" si="1086"/>
        <v>827.53025171816626</v>
      </c>
      <c r="BE343" s="4">
        <f t="shared" si="1222"/>
        <v>1.3625</v>
      </c>
      <c r="BF343" s="4">
        <f t="shared" ref="BF343:BF406" si="1225">(3*M343+30)*BE343*J343^0.5</f>
        <v>819.42590384765822</v>
      </c>
      <c r="BH343" s="4">
        <f t="shared" si="959"/>
        <v>670.83811309381031</v>
      </c>
      <c r="BI343" s="4">
        <f t="shared" si="1184"/>
        <v>0</v>
      </c>
      <c r="BJ343" s="4">
        <f t="shared" si="960"/>
        <v>0</v>
      </c>
      <c r="BK343" s="4">
        <f t="shared" si="1023"/>
        <v>31.800000000000004</v>
      </c>
      <c r="BL343" s="4">
        <f t="shared" si="1024"/>
        <v>31.800000000000004</v>
      </c>
      <c r="BM343" s="4">
        <f t="shared" si="1025"/>
        <v>260.34999999999997</v>
      </c>
      <c r="BN343" s="4">
        <f t="shared" si="1026"/>
        <v>44.5</v>
      </c>
      <c r="BO343" s="4">
        <f t="shared" si="1027"/>
        <v>1.25</v>
      </c>
      <c r="BP343" s="25">
        <f t="shared" si="1028"/>
        <v>2.1899606299212602</v>
      </c>
      <c r="BR343" s="4">
        <f t="shared" si="1087"/>
        <v>25.400000000000002</v>
      </c>
      <c r="BV343" s="9"/>
      <c r="BX343" s="9"/>
      <c r="BY343" s="9"/>
      <c r="BZ343" s="9">
        <f t="shared" si="1088"/>
        <v>25.400000000000002</v>
      </c>
      <c r="CA343" s="9">
        <f t="shared" si="1089"/>
        <v>62.230000000000004</v>
      </c>
      <c r="CB343" s="9">
        <f t="shared" si="943"/>
        <v>1.143865371392744</v>
      </c>
      <c r="CC343" s="40">
        <f t="shared" si="1111"/>
        <v>20</v>
      </c>
      <c r="CD343" s="9">
        <f t="shared" si="1090"/>
        <v>0</v>
      </c>
      <c r="CE343" s="9">
        <f t="shared" si="1091"/>
        <v>0</v>
      </c>
      <c r="CF343" s="9">
        <f t="shared" si="1092"/>
        <v>0.99524931562137331</v>
      </c>
      <c r="CG343" s="9">
        <f t="shared" si="1093"/>
        <v>0.68</v>
      </c>
      <c r="CH343" s="9">
        <f t="shared" si="944"/>
        <v>2.1584305883972208</v>
      </c>
      <c r="CI343" s="9">
        <f t="shared" si="945"/>
        <v>2.4689540066224458</v>
      </c>
      <c r="CJ343" s="40">
        <v>1</v>
      </c>
      <c r="CK343" s="9">
        <f t="shared" si="946"/>
        <v>266.6470327152241</v>
      </c>
      <c r="CM343" s="4">
        <f t="shared" si="1094"/>
        <v>0.74775564447069376</v>
      </c>
      <c r="CN343" s="4">
        <f t="shared" si="1095"/>
        <v>0.5200351608810676</v>
      </c>
      <c r="CO343" s="4">
        <f t="shared" si="1062"/>
        <v>0.52517845184720147</v>
      </c>
      <c r="CP343" s="4">
        <f t="shared" si="1096"/>
        <v>1.6139119314551313</v>
      </c>
      <c r="CQ343" s="4">
        <f t="shared" si="1035"/>
        <v>0.73708254508719195</v>
      </c>
      <c r="CR343" s="4">
        <f t="shared" si="1036"/>
        <v>0.73918547860307671</v>
      </c>
      <c r="CS343" s="4">
        <f t="shared" si="1063"/>
        <v>1.1169384460611274</v>
      </c>
      <c r="CT343" s="4">
        <f t="shared" si="1112"/>
        <v>0</v>
      </c>
      <c r="CU343" s="4">
        <f t="shared" ref="CU343:CV344" si="1226">CM343</f>
        <v>0.74775564447069376</v>
      </c>
      <c r="CV343" s="4">
        <f t="shared" si="1226"/>
        <v>0.5200351608810676</v>
      </c>
      <c r="CW343" s="4">
        <f t="shared" ref="CW343:CW344" si="1227">CP343</f>
        <v>1.6139119314551313</v>
      </c>
      <c r="CX343" s="4">
        <f t="shared" ref="CX343:CX344" si="1228">CS343</f>
        <v>1.1169384460611274</v>
      </c>
      <c r="CY343" s="4">
        <f t="shared" ref="CY343:CZ344" si="1229">CQ343</f>
        <v>0.73708254508719195</v>
      </c>
      <c r="CZ343" s="4">
        <f t="shared" si="1229"/>
        <v>0.73918547860307671</v>
      </c>
      <c r="DI343" s="4">
        <f t="shared" si="1097"/>
        <v>304.79999999999995</v>
      </c>
      <c r="DL343" s="4">
        <f t="shared" si="999"/>
        <v>2.9946255038411594E-5</v>
      </c>
      <c r="DM343" s="4">
        <f t="shared" si="1000"/>
        <v>9.7863263338494875</v>
      </c>
      <c r="DN343" s="4">
        <f t="shared" si="1001"/>
        <v>0.15198123013066148</v>
      </c>
      <c r="DO343" s="4">
        <f t="shared" si="1002"/>
        <v>4.6061245351468303</v>
      </c>
      <c r="DP343" s="4">
        <f t="shared" si="1003"/>
        <v>7.6533699014560153</v>
      </c>
      <c r="DQ343" s="4">
        <f t="shared" si="1004"/>
        <v>8.6697049627497993</v>
      </c>
      <c r="DR343" s="38">
        <f t="shared" si="1029"/>
        <v>583.8488924402626</v>
      </c>
      <c r="DS343" s="4">
        <f t="shared" si="1005"/>
        <v>1.0000857874983462</v>
      </c>
      <c r="DT343" s="4">
        <f t="shared" si="1006"/>
        <v>2.2583179581272428</v>
      </c>
      <c r="DU343" s="4">
        <f t="shared" si="1007"/>
        <v>231.81771216907282</v>
      </c>
      <c r="DY343" s="4">
        <f t="shared" si="1008"/>
        <v>0.85</v>
      </c>
      <c r="DZ343" s="4">
        <f t="shared" si="1009"/>
        <v>1</v>
      </c>
      <c r="EA343" s="4">
        <f t="shared" si="1030"/>
        <v>1</v>
      </c>
      <c r="EB343" s="4">
        <f t="shared" si="1010"/>
        <v>1</v>
      </c>
      <c r="ED343" s="4">
        <f t="shared" si="1031"/>
        <v>582.18788117899544</v>
      </c>
      <c r="EE343" s="25">
        <f t="shared" si="1032"/>
        <v>229.88013316041389</v>
      </c>
      <c r="EG343" s="4">
        <f t="shared" si="1213"/>
        <v>0.85</v>
      </c>
      <c r="EH343" s="4">
        <f t="shared" si="1033"/>
        <v>9.7863263338494875</v>
      </c>
      <c r="EK343" s="4">
        <f t="shared" si="1011"/>
        <v>57.361276136431961</v>
      </c>
      <c r="EL343" s="4">
        <f t="shared" si="1012"/>
        <v>2.2583179581272428</v>
      </c>
      <c r="EM343" s="4">
        <f t="shared" si="1013"/>
        <v>7.5727647069952941E-2</v>
      </c>
      <c r="EP343" s="4">
        <f t="shared" si="1113"/>
        <v>7.5727647069952941E-2</v>
      </c>
      <c r="EQ343" s="4">
        <f t="shared" si="951"/>
        <v>0.15172760178302419</v>
      </c>
      <c r="ER343" s="4">
        <f t="shared" si="1014"/>
        <v>4.6030482890885303</v>
      </c>
      <c r="ES343" s="4">
        <f t="shared" si="1098"/>
        <v>7.652458333597421</v>
      </c>
      <c r="ET343" s="4">
        <f t="shared" si="1015"/>
        <v>171.238723863568</v>
      </c>
      <c r="EU343" s="4">
        <f t="shared" si="1016"/>
        <v>76.199999999999989</v>
      </c>
      <c r="EV343" s="4">
        <f t="shared" si="952"/>
        <v>2.9946255038411594E-5</v>
      </c>
      <c r="EW343" s="4">
        <f t="shared" si="1099"/>
        <v>8.6698956235903726</v>
      </c>
      <c r="EX343" s="4">
        <f t="shared" si="965"/>
        <v>583.79880980083226</v>
      </c>
      <c r="FG343" s="23">
        <f t="shared" si="1143"/>
        <v>0.8</v>
      </c>
      <c r="FH343" s="23">
        <f t="shared" si="1143"/>
        <v>0.6</v>
      </c>
      <c r="FI343" s="23">
        <f t="shared" si="1068"/>
        <v>1.2</v>
      </c>
      <c r="FJ343" s="23">
        <f t="shared" si="1144"/>
        <v>1.8</v>
      </c>
      <c r="FK343" s="23">
        <f t="shared" si="1144"/>
        <v>0.8</v>
      </c>
      <c r="FL343" s="23">
        <f t="shared" si="1144"/>
        <v>0.8</v>
      </c>
      <c r="FM343" s="23">
        <f t="shared" si="1037"/>
        <v>1</v>
      </c>
      <c r="FN343" s="23"/>
      <c r="FX343" s="4">
        <f t="shared" si="1200"/>
        <v>1.25</v>
      </c>
      <c r="FY343" s="4">
        <f t="shared" si="975"/>
        <v>0.75</v>
      </c>
      <c r="FZ343" s="4">
        <f t="shared" si="1201"/>
        <v>0</v>
      </c>
      <c r="GA343" s="4">
        <f t="shared" si="1202"/>
        <v>385.28965414684558</v>
      </c>
    </row>
    <row r="344" spans="1:183" ht="12" customHeight="1" x14ac:dyDescent="0.3">
      <c r="A344" s="25">
        <v>326</v>
      </c>
      <c r="B344" s="4" t="s">
        <v>605</v>
      </c>
      <c r="C344" s="4">
        <v>2016</v>
      </c>
      <c r="D344" s="4" t="s">
        <v>309</v>
      </c>
      <c r="E344" s="24" t="s">
        <v>670</v>
      </c>
      <c r="F344" s="7" t="s">
        <v>488</v>
      </c>
      <c r="G344" s="38">
        <f t="shared" si="1198"/>
        <v>889.65517241379314</v>
      </c>
      <c r="H344" s="38">
        <f>12.17*25.4</f>
        <v>309.11799999999999</v>
      </c>
      <c r="I344" s="4">
        <f t="shared" si="1100"/>
        <v>309.11799999999999</v>
      </c>
      <c r="J344" s="38">
        <f>12360/145</f>
        <v>85.241379310344826</v>
      </c>
      <c r="K344" s="38">
        <f t="shared" si="1101"/>
        <v>25.4</v>
      </c>
      <c r="L344" s="7">
        <f t="shared" si="1102"/>
        <v>12.17</v>
      </c>
      <c r="M344" s="7">
        <f t="shared" si="1103"/>
        <v>12.17</v>
      </c>
      <c r="N344" s="38">
        <f>15*25.4</f>
        <v>381</v>
      </c>
      <c r="O344" s="38">
        <f t="shared" si="1114"/>
        <v>63.5</v>
      </c>
      <c r="P344" s="39">
        <f>3*25.4</f>
        <v>76.199999999999989</v>
      </c>
      <c r="Q344" s="7">
        <f t="shared" si="1104"/>
        <v>50.79999999999999</v>
      </c>
      <c r="R344" s="38">
        <v>4</v>
      </c>
      <c r="S344" s="4">
        <f t="shared" si="1081"/>
        <v>260.34999999999997</v>
      </c>
      <c r="T344" s="7">
        <f t="shared" si="1105"/>
        <v>1.5</v>
      </c>
      <c r="U344" s="7">
        <f t="shared" si="958"/>
        <v>3</v>
      </c>
      <c r="V344" s="38">
        <v>9.1</v>
      </c>
      <c r="W344" s="4">
        <f t="shared" si="1106"/>
        <v>9.1</v>
      </c>
      <c r="X344" s="4">
        <f t="shared" si="1107"/>
        <v>10.1</v>
      </c>
      <c r="Y344" s="7">
        <f t="shared" si="1108"/>
        <v>80.72246279691916</v>
      </c>
      <c r="AB344" s="38">
        <f t="shared" si="1151"/>
        <v>439.31034482758628</v>
      </c>
      <c r="AC344" s="4">
        <v>63.7</v>
      </c>
      <c r="AD344" s="4">
        <f t="shared" si="998"/>
        <v>0.76475423221277683</v>
      </c>
      <c r="AE344" s="38">
        <v>0</v>
      </c>
      <c r="AF344" s="38">
        <v>0</v>
      </c>
      <c r="AG344" s="39">
        <f t="shared" si="1224"/>
        <v>309.11799999999999</v>
      </c>
      <c r="AH344" s="39"/>
      <c r="AI344" s="39"/>
      <c r="AJ344" s="7"/>
      <c r="AK344" s="4">
        <f t="shared" si="1109"/>
        <v>309.11799999999999</v>
      </c>
      <c r="AL344" s="4">
        <f t="shared" si="1018"/>
        <v>0.41084634346754317</v>
      </c>
      <c r="AM344" s="4">
        <f t="shared" si="1019"/>
        <v>247.56792156546703</v>
      </c>
      <c r="AN344" s="4">
        <f t="shared" si="1020"/>
        <v>0.74930156121610514</v>
      </c>
      <c r="AO344" s="4">
        <v>1.25</v>
      </c>
      <c r="AP344" s="4">
        <f t="shared" si="1221"/>
        <v>2.5</v>
      </c>
      <c r="AQ344" s="38">
        <f t="shared" si="1082"/>
        <v>238.16638010480526</v>
      </c>
      <c r="AR344" s="38">
        <f t="shared" si="1021"/>
        <v>238.16638010480526</v>
      </c>
      <c r="AS344" s="38">
        <f t="shared" si="1022"/>
        <v>4.9491074410379952</v>
      </c>
      <c r="AT344" s="38">
        <f t="shared" ref="AT344:AT407" si="1230">AP344* (J344^0.5/AK344^0.5)/(PI()/4*K344^2)/R344/0.72 *(0.7+(MIN(O344,S344)+0.5*K344)/5/H344) *(3*N344*H344)</f>
        <v>238.16638010480509</v>
      </c>
      <c r="AU344" s="38">
        <f t="shared" si="1199"/>
        <v>1.0000000000000007</v>
      </c>
      <c r="AV344" s="38">
        <f t="shared" ref="AV344:AV407" si="1231">AZ344/AT344</f>
        <v>4.5346106033999751</v>
      </c>
      <c r="AW344" s="4">
        <f t="shared" ref="AW344:AW407" si="1232">IF(AV344&lt;1,1,0)</f>
        <v>0</v>
      </c>
      <c r="AX344" s="4">
        <f t="shared" si="1110"/>
        <v>591.37397938540164</v>
      </c>
      <c r="AY344" s="4">
        <f t="shared" si="1083"/>
        <v>1.4</v>
      </c>
      <c r="AZ344" s="38">
        <f t="shared" si="953"/>
        <v>1079.9917925966381</v>
      </c>
      <c r="BA344" s="4">
        <f t="shared" si="1084"/>
        <v>0.3</v>
      </c>
      <c r="BB344" s="4">
        <f t="shared" si="1085"/>
        <v>92.6978712686617</v>
      </c>
      <c r="BC344" s="4">
        <f t="shared" si="1086"/>
        <v>1172.6896638652997</v>
      </c>
      <c r="BE344" s="4">
        <f t="shared" si="1222"/>
        <v>1.375</v>
      </c>
      <c r="BF344" s="4">
        <f t="shared" si="1225"/>
        <v>844.33517092285524</v>
      </c>
      <c r="BH344" s="4">
        <f t="shared" si="959"/>
        <v>1035.8442034901566</v>
      </c>
      <c r="BI344" s="4">
        <f t="shared" si="1184"/>
        <v>0</v>
      </c>
      <c r="BJ344" s="4">
        <f t="shared" si="960"/>
        <v>0</v>
      </c>
      <c r="BK344" s="4">
        <f t="shared" si="1023"/>
        <v>31.799999999999997</v>
      </c>
      <c r="BL344" s="4">
        <f t="shared" si="1024"/>
        <v>31.799999999999997</v>
      </c>
      <c r="BM344" s="4">
        <f t="shared" si="1025"/>
        <v>260.34999999999997</v>
      </c>
      <c r="BN344" s="4">
        <f t="shared" si="1026"/>
        <v>44.5</v>
      </c>
      <c r="BO344" s="4">
        <f t="shared" si="1027"/>
        <v>1.25</v>
      </c>
      <c r="BP344" s="25">
        <f t="shared" si="1028"/>
        <v>2.1899606299212602</v>
      </c>
      <c r="BR344" s="4">
        <f t="shared" si="1087"/>
        <v>25.399999999999995</v>
      </c>
      <c r="BV344" s="9"/>
      <c r="BX344" s="9"/>
      <c r="BY344" s="9"/>
      <c r="BZ344" s="9">
        <f t="shared" si="1088"/>
        <v>25.399999999999995</v>
      </c>
      <c r="CA344" s="9">
        <f t="shared" si="1089"/>
        <v>63.5</v>
      </c>
      <c r="CB344" s="9">
        <f t="shared" ref="CB344:CB407" si="1233">(BZ344/K344)^0.5*(CA344/BZ344)^0.15</f>
        <v>1.1473370055629852</v>
      </c>
      <c r="CC344" s="40">
        <f t="shared" si="1111"/>
        <v>20</v>
      </c>
      <c r="CD344" s="9">
        <f t="shared" si="1090"/>
        <v>0</v>
      </c>
      <c r="CE344" s="9">
        <f t="shared" si="1091"/>
        <v>0</v>
      </c>
      <c r="CF344" s="9">
        <f t="shared" si="1092"/>
        <v>0.99524931562137331</v>
      </c>
      <c r="CG344" s="9">
        <f t="shared" si="1093"/>
        <v>0.68</v>
      </c>
      <c r="CH344" s="9">
        <f t="shared" ref="CH344:CH407" si="1234">1.75*CF344*CG344*(J344/25)^0.5</f>
        <v>2.1869259549958526</v>
      </c>
      <c r="CI344" s="9">
        <f t="shared" ref="CI344:CI407" si="1235">MIN((CB344+CE344)*CH344,2.5*CH344,J344^0.5)</f>
        <v>2.5091410765929134</v>
      </c>
      <c r="CJ344" s="40">
        <v>1</v>
      </c>
      <c r="CK344" s="9">
        <f t="shared" ref="CK344:CK407" si="1236">4*CI344*M344+60*CI344</f>
        <v>272.69345220411782</v>
      </c>
      <c r="CM344" s="4">
        <f t="shared" si="1094"/>
        <v>0.74286383936633327</v>
      </c>
      <c r="CN344" s="4">
        <f t="shared" si="1095"/>
        <v>0.37461773422610073</v>
      </c>
      <c r="CO344" s="4">
        <f t="shared" si="1062"/>
        <v>0.52030326339174249</v>
      </c>
      <c r="CP344" s="4">
        <f t="shared" si="1096"/>
        <v>1.6110043760740964</v>
      </c>
      <c r="CQ344" s="4">
        <f t="shared" si="1035"/>
        <v>0.76475423221277683</v>
      </c>
      <c r="CR344" s="4">
        <f t="shared" si="1036"/>
        <v>0.73435132953628823</v>
      </c>
      <c r="CS344" s="4">
        <f t="shared" si="1063"/>
        <v>0.89354564303152395</v>
      </c>
      <c r="CT344" s="4">
        <f t="shared" si="1112"/>
        <v>0</v>
      </c>
      <c r="CU344" s="4">
        <f t="shared" si="1226"/>
        <v>0.74286383936633327</v>
      </c>
      <c r="CV344" s="4">
        <f t="shared" si="1226"/>
        <v>0.37461773422610073</v>
      </c>
      <c r="CW344" s="4">
        <f t="shared" si="1227"/>
        <v>1.6110043760740964</v>
      </c>
      <c r="CX344" s="4">
        <f t="shared" si="1228"/>
        <v>0.89354564303152395</v>
      </c>
      <c r="CY344" s="4">
        <f t="shared" si="1229"/>
        <v>0.76475423221277683</v>
      </c>
      <c r="CZ344" s="4">
        <f t="shared" si="1229"/>
        <v>0.73435132953628823</v>
      </c>
      <c r="DI344" s="4">
        <f t="shared" si="1097"/>
        <v>309.11799999999999</v>
      </c>
      <c r="DL344" s="4">
        <f t="shared" si="999"/>
        <v>3.0775330482386827E-5</v>
      </c>
      <c r="DM344" s="4">
        <f t="shared" si="1000"/>
        <v>9.9155243530194994</v>
      </c>
      <c r="DN344" s="4">
        <f t="shared" si="1001"/>
        <v>9.6438373081566373E-2</v>
      </c>
      <c r="DO344" s="4">
        <f t="shared" si="1002"/>
        <v>3.8905915176890846</v>
      </c>
      <c r="DP344" s="4">
        <f t="shared" si="1003"/>
        <v>7.5418383622167751</v>
      </c>
      <c r="DQ344" s="4">
        <f t="shared" si="1004"/>
        <v>8.8202888686208603</v>
      </c>
      <c r="DR344" s="38">
        <f t="shared" si="1029"/>
        <v>574.44643824521836</v>
      </c>
      <c r="DS344" s="4">
        <f t="shared" si="1005"/>
        <v>1.0000805626306195</v>
      </c>
      <c r="DT344" s="4">
        <f t="shared" si="1006"/>
        <v>3.1780497164141401</v>
      </c>
      <c r="DU344" s="4">
        <f t="shared" si="1007"/>
        <v>238.16638010480509</v>
      </c>
      <c r="DY344" s="4">
        <f t="shared" si="1008"/>
        <v>0.85</v>
      </c>
      <c r="DZ344" s="4">
        <f t="shared" si="1009"/>
        <v>1</v>
      </c>
      <c r="EA344" s="4">
        <f t="shared" si="1030"/>
        <v>1</v>
      </c>
      <c r="EB344" s="4">
        <f t="shared" si="1010"/>
        <v>1</v>
      </c>
      <c r="ED344" s="4">
        <f t="shared" si="1031"/>
        <v>598.22911344763565</v>
      </c>
      <c r="EE344" s="25">
        <f t="shared" si="1032"/>
        <v>236.21331931889364</v>
      </c>
      <c r="EG344" s="4">
        <f t="shared" si="1213"/>
        <v>0.85</v>
      </c>
      <c r="EH344" s="4">
        <f t="shared" si="1033"/>
        <v>9.9155243530194994</v>
      </c>
      <c r="EK344" s="4">
        <f t="shared" si="1011"/>
        <v>80.72246279691916</v>
      </c>
      <c r="EL344" s="4">
        <f t="shared" si="1012"/>
        <v>3.1780497164141406</v>
      </c>
      <c r="EM344" s="4">
        <f t="shared" si="1013"/>
        <v>4.868670402844448E-2</v>
      </c>
      <c r="EP344" s="4">
        <f t="shared" si="1113"/>
        <v>4.868670402844448E-2</v>
      </c>
      <c r="EQ344" s="4">
        <f t="shared" ref="EQ344:EQ407" si="1237">MIN(0.999, EP344/(0.3*(J344/30)^0.5))</f>
        <v>9.6277435410562634E-2</v>
      </c>
      <c r="ER344" s="4">
        <f t="shared" si="1014"/>
        <v>3.887993147469297</v>
      </c>
      <c r="ES344" s="4">
        <f t="shared" si="1098"/>
        <v>7.5411879057167894</v>
      </c>
      <c r="ET344" s="4">
        <f t="shared" si="1015"/>
        <v>151.11603720308085</v>
      </c>
      <c r="EU344" s="4">
        <f t="shared" si="1016"/>
        <v>77.279499999999985</v>
      </c>
      <c r="EV344" s="4">
        <f t="shared" ref="EV344:EV407" si="1238">EU344/(1-0.3*(J344/30)^0.5)/200000/K344</f>
        <v>3.0775330482386821E-5</v>
      </c>
      <c r="EW344" s="4">
        <f t="shared" si="1099"/>
        <v>8.8204725370867241</v>
      </c>
      <c r="EX344" s="4">
        <f t="shared" si="965"/>
        <v>574.40016305705421</v>
      </c>
      <c r="FG344" s="23">
        <f t="shared" si="1143"/>
        <v>0.8</v>
      </c>
      <c r="FH344" s="23">
        <f t="shared" si="1143"/>
        <v>0.6</v>
      </c>
      <c r="FI344" s="23">
        <f t="shared" si="1068"/>
        <v>1</v>
      </c>
      <c r="FJ344" s="23">
        <f t="shared" si="1144"/>
        <v>1.8</v>
      </c>
      <c r="FK344" s="23">
        <f t="shared" si="1144"/>
        <v>0.8</v>
      </c>
      <c r="FL344" s="23">
        <f t="shared" si="1144"/>
        <v>0.8</v>
      </c>
      <c r="FM344" s="23">
        <f t="shared" si="1037"/>
        <v>1</v>
      </c>
      <c r="FN344" s="23"/>
      <c r="FX344" s="4">
        <f t="shared" si="1200"/>
        <v>1</v>
      </c>
      <c r="FY344" s="4">
        <f t="shared" si="975"/>
        <v>0.75</v>
      </c>
      <c r="FZ344" s="4">
        <f t="shared" si="1201"/>
        <v>0</v>
      </c>
      <c r="GA344" s="4">
        <f t="shared" si="1202"/>
        <v>491.64846614566011</v>
      </c>
    </row>
    <row r="345" spans="1:183" ht="12" customHeight="1" x14ac:dyDescent="0.3">
      <c r="A345" s="25">
        <v>327</v>
      </c>
      <c r="B345" s="4" t="s">
        <v>605</v>
      </c>
      <c r="C345" s="4">
        <v>2016</v>
      </c>
      <c r="D345" s="4" t="s">
        <v>309</v>
      </c>
      <c r="E345" s="24" t="s">
        <v>670</v>
      </c>
      <c r="F345" s="7" t="s">
        <v>489</v>
      </c>
      <c r="G345" s="38">
        <f t="shared" si="1198"/>
        <v>889.65517241379314</v>
      </c>
      <c r="H345" s="38">
        <f>12.03*25.4</f>
        <v>305.56199999999995</v>
      </c>
      <c r="I345" s="4">
        <f t="shared" si="1100"/>
        <v>305.56199999999995</v>
      </c>
      <c r="J345" s="38">
        <f>12360/145</f>
        <v>85.241379310344826</v>
      </c>
      <c r="K345" s="38">
        <f t="shared" si="1101"/>
        <v>25.4</v>
      </c>
      <c r="L345" s="7">
        <f t="shared" si="1102"/>
        <v>12.03</v>
      </c>
      <c r="M345" s="7">
        <f t="shared" si="1103"/>
        <v>12.03</v>
      </c>
      <c r="N345" s="38">
        <f>15.1*25.4</f>
        <v>383.53999999999996</v>
      </c>
      <c r="O345" s="38">
        <f>2.45*25.4</f>
        <v>62.230000000000004</v>
      </c>
      <c r="P345" s="39">
        <f>3.1*25.4</f>
        <v>78.739999999999995</v>
      </c>
      <c r="Q345" s="7">
        <f t="shared" si="1104"/>
        <v>52.493333333333311</v>
      </c>
      <c r="R345" s="38">
        <v>4</v>
      </c>
      <c r="S345" s="4">
        <f t="shared" si="1081"/>
        <v>260.34999999999997</v>
      </c>
      <c r="T345" s="7">
        <f t="shared" si="1105"/>
        <v>1.533333333333333</v>
      </c>
      <c r="U345" s="7">
        <f t="shared" si="958"/>
        <v>2.95</v>
      </c>
      <c r="V345" s="38">
        <v>4.0999999999999996</v>
      </c>
      <c r="W345" s="4">
        <f t="shared" si="1106"/>
        <v>4.0999999999999996</v>
      </c>
      <c r="X345" s="4">
        <f t="shared" si="1107"/>
        <v>5.0999999999999996</v>
      </c>
      <c r="Y345" s="7">
        <f t="shared" si="1108"/>
        <v>57.361276136431961</v>
      </c>
      <c r="AB345" s="38">
        <f t="shared" si="1151"/>
        <v>560.00000000000011</v>
      </c>
      <c r="AC345" s="4">
        <v>81.2</v>
      </c>
      <c r="AD345" s="4">
        <f t="shared" si="998"/>
        <v>0.80505769112623204</v>
      </c>
      <c r="AE345" s="38">
        <f t="shared" ref="AE345:AE346" si="1239">0.5*25.4</f>
        <v>12.7</v>
      </c>
      <c r="AF345" s="38">
        <v>10</v>
      </c>
      <c r="AG345" s="39">
        <f t="shared" ref="AG345:AG346" si="1240">3*25.4</f>
        <v>76.199999999999989</v>
      </c>
      <c r="AH345" s="39">
        <v>3</v>
      </c>
      <c r="AI345" s="39">
        <f t="shared" ref="AI345:AI346" si="1241">AH345-1</f>
        <v>2</v>
      </c>
      <c r="AJ345" s="7"/>
      <c r="AK345" s="4">
        <f t="shared" si="1109"/>
        <v>305.56199999999995</v>
      </c>
      <c r="AL345" s="4">
        <f t="shared" si="1018"/>
        <v>0.41839844832363543</v>
      </c>
      <c r="AM345" s="4">
        <f t="shared" si="1019"/>
        <v>243.30831117709874</v>
      </c>
      <c r="AN345" s="4">
        <f t="shared" si="1020"/>
        <v>0.74904405652535322</v>
      </c>
      <c r="AO345" s="4">
        <v>1.25</v>
      </c>
      <c r="AP345" s="4">
        <f t="shared" si="1221"/>
        <v>2.5</v>
      </c>
      <c r="AQ345" s="38">
        <f t="shared" si="1082"/>
        <v>238.28921881887709</v>
      </c>
      <c r="AR345" s="38">
        <f t="shared" si="1021"/>
        <v>238.28921881887709</v>
      </c>
      <c r="AS345" s="38">
        <f t="shared" si="1022"/>
        <v>4.9491074410379952</v>
      </c>
      <c r="AT345" s="38">
        <f t="shared" si="1230"/>
        <v>238.28921881887737</v>
      </c>
      <c r="AU345" s="38">
        <f t="shared" si="1199"/>
        <v>0.99999999999999878</v>
      </c>
      <c r="AV345" s="38">
        <f t="shared" si="1231"/>
        <v>3.042196719936292</v>
      </c>
      <c r="AW345" s="4">
        <f t="shared" si="1232"/>
        <v>0</v>
      </c>
      <c r="AX345" s="4">
        <f t="shared" si="1110"/>
        <v>584.57099194793602</v>
      </c>
      <c r="AY345" s="4">
        <f t="shared" si="1083"/>
        <v>1.3695652173913047</v>
      </c>
      <c r="AZ345" s="38">
        <f t="shared" ref="AZ345:AZ408" si="1242">2*J345*T345*V345^0.5*AY345*0.7/0.7</f>
        <v>724.92267988697006</v>
      </c>
      <c r="BA345" s="4">
        <f t="shared" si="1084"/>
        <v>0.42600000000000005</v>
      </c>
      <c r="BB345" s="4">
        <f t="shared" si="1085"/>
        <v>130.11673424273135</v>
      </c>
      <c r="BC345" s="4">
        <f t="shared" si="1086"/>
        <v>855.03941412970141</v>
      </c>
      <c r="BE345" s="4">
        <f t="shared" si="1222"/>
        <v>1.5</v>
      </c>
      <c r="BF345" s="4">
        <f t="shared" si="1225"/>
        <v>915.27635947499107</v>
      </c>
      <c r="BH345" s="4">
        <f t="shared" si="959"/>
        <v>695.28950227858024</v>
      </c>
      <c r="BI345" s="4">
        <f t="shared" si="1184"/>
        <v>0</v>
      </c>
      <c r="BJ345" s="4">
        <f t="shared" si="960"/>
        <v>0</v>
      </c>
      <c r="BK345" s="4">
        <f t="shared" si="1023"/>
        <v>32.646666666666654</v>
      </c>
      <c r="BL345" s="4">
        <f t="shared" si="1024"/>
        <v>32.646666666666654</v>
      </c>
      <c r="BM345" s="4">
        <f t="shared" si="1025"/>
        <v>260.34999999999997</v>
      </c>
      <c r="BN345" s="4">
        <f t="shared" si="1026"/>
        <v>45.34666666666665</v>
      </c>
      <c r="BO345" s="4">
        <f t="shared" si="1027"/>
        <v>1.25</v>
      </c>
      <c r="BP345" s="25">
        <f t="shared" si="1028"/>
        <v>4</v>
      </c>
      <c r="BR345" s="4">
        <f t="shared" si="1087"/>
        <v>26.246666666666655</v>
      </c>
      <c r="BV345" s="9"/>
      <c r="BX345" s="9"/>
      <c r="BY345" s="9"/>
      <c r="BZ345" s="9">
        <f t="shared" si="1088"/>
        <v>26.246666666666655</v>
      </c>
      <c r="CA345" s="9">
        <f t="shared" si="1089"/>
        <v>62.230000000000004</v>
      </c>
      <c r="CB345" s="9">
        <f t="shared" si="1233"/>
        <v>1.1570684888602492</v>
      </c>
      <c r="CC345" s="40">
        <f t="shared" si="1111"/>
        <v>20</v>
      </c>
      <c r="CD345" s="9">
        <f t="shared" si="1090"/>
        <v>0.05</v>
      </c>
      <c r="CE345" s="9">
        <f t="shared" si="1091"/>
        <v>0.8</v>
      </c>
      <c r="CF345" s="9">
        <f t="shared" si="1092"/>
        <v>0.99524931562137331</v>
      </c>
      <c r="CG345" s="9">
        <f t="shared" si="1093"/>
        <v>0.68</v>
      </c>
      <c r="CH345" s="9">
        <f t="shared" si="1234"/>
        <v>2.1869259549958526</v>
      </c>
      <c r="CI345" s="9">
        <f t="shared" si="1235"/>
        <v>4.2799638739929904</v>
      </c>
      <c r="CJ345" s="40">
        <v>1</v>
      </c>
      <c r="CK345" s="9">
        <f t="shared" si="1236"/>
        <v>462.74969405612217</v>
      </c>
      <c r="CM345" s="4">
        <f t="shared" si="1094"/>
        <v>0.95796747993591125</v>
      </c>
      <c r="CN345" s="4">
        <f t="shared" si="1095"/>
        <v>0.65494056852337501</v>
      </c>
      <c r="CO345" s="4">
        <f t="shared" si="1062"/>
        <v>0.61183706342117261</v>
      </c>
      <c r="CP345" s="4">
        <f t="shared" si="1096"/>
        <v>1.210157472156175</v>
      </c>
      <c r="CQ345" s="4">
        <f t="shared" si="1035"/>
        <v>0.80505769112623204</v>
      </c>
      <c r="CR345" s="4">
        <f t="shared" si="1036"/>
        <v>0.80046699672781108</v>
      </c>
      <c r="CS345" s="4">
        <f t="shared" si="1063"/>
        <v>1.2738805592629094</v>
      </c>
      <c r="CT345" s="4">
        <f t="shared" si="1112"/>
        <v>10</v>
      </c>
      <c r="DA345" s="4">
        <f t="shared" ref="DA345:DB346" si="1243">CM345</f>
        <v>0.95796747993591125</v>
      </c>
      <c r="DB345" s="4">
        <f t="shared" si="1243"/>
        <v>0.65494056852337501</v>
      </c>
      <c r="DC345" s="4">
        <f t="shared" ref="DC345:DC346" si="1244">CP345</f>
        <v>1.210157472156175</v>
      </c>
      <c r="DD345" s="4">
        <f t="shared" ref="DD345:DD346" si="1245">CS345</f>
        <v>1.2738805592629094</v>
      </c>
      <c r="DE345" s="4">
        <f t="shared" ref="DE345:DF346" si="1246">CQ345</f>
        <v>0.80505769112623204</v>
      </c>
      <c r="DF345" s="4">
        <f t="shared" si="1246"/>
        <v>0.80046699672781108</v>
      </c>
      <c r="DI345" s="4">
        <f t="shared" si="1097"/>
        <v>305.56199999999995</v>
      </c>
      <c r="DL345" s="4">
        <f t="shared" si="999"/>
        <v>3.0421300386451396E-5</v>
      </c>
      <c r="DM345" s="4">
        <f t="shared" si="1000"/>
        <v>12.83701502171043</v>
      </c>
      <c r="DN345" s="4">
        <f t="shared" si="1001"/>
        <v>0.1521793587080586</v>
      </c>
      <c r="DO345" s="4">
        <f t="shared" si="1002"/>
        <v>6.0451398062212967</v>
      </c>
      <c r="DP345" s="4">
        <f t="shared" si="1003"/>
        <v>10.040086430595098</v>
      </c>
      <c r="DQ345" s="4">
        <f t="shared" si="1004"/>
        <v>10.893917173358787</v>
      </c>
      <c r="DR345" s="38">
        <f t="shared" si="1029"/>
        <v>695.60232288022803</v>
      </c>
      <c r="DS345" s="4">
        <f t="shared" si="1005"/>
        <v>1.0000932592756089</v>
      </c>
      <c r="DT345" s="4">
        <f t="shared" si="1006"/>
        <v>2.2583179581272428</v>
      </c>
      <c r="DU345" s="4">
        <f t="shared" si="1007"/>
        <v>238.28921881887737</v>
      </c>
      <c r="DY345" s="4">
        <f t="shared" si="1008"/>
        <v>0.85</v>
      </c>
      <c r="DZ345" s="4">
        <f t="shared" si="1009"/>
        <v>0.9966666666666667</v>
      </c>
      <c r="EA345" s="4">
        <f t="shared" si="1030"/>
        <v>0.77500000000000002</v>
      </c>
      <c r="EB345" s="4">
        <f t="shared" si="1010"/>
        <v>0.77241666666666675</v>
      </c>
      <c r="ED345" s="4">
        <f t="shared" si="1031"/>
        <v>699.59161625550587</v>
      </c>
      <c r="EE345" s="25">
        <f t="shared" si="1032"/>
        <v>236.30374412197665</v>
      </c>
      <c r="EG345" s="4">
        <f t="shared" si="1213"/>
        <v>0.65655416666666677</v>
      </c>
      <c r="EH345" s="4">
        <f t="shared" si="1033"/>
        <v>12.83701502171043</v>
      </c>
      <c r="EK345" s="4">
        <f t="shared" si="1011"/>
        <v>57.361276136431961</v>
      </c>
      <c r="EL345" s="4">
        <f t="shared" si="1012"/>
        <v>2.2583179581272428</v>
      </c>
      <c r="EM345" s="4">
        <f t="shared" si="1013"/>
        <v>7.6827420039440139E-2</v>
      </c>
      <c r="EP345" s="4">
        <f t="shared" si="1113"/>
        <v>7.6827420039440139E-2</v>
      </c>
      <c r="EQ345" s="4">
        <f t="shared" si="1237"/>
        <v>0.15192539972075178</v>
      </c>
      <c r="ER345" s="4">
        <f t="shared" si="1014"/>
        <v>6.0411024995095755</v>
      </c>
      <c r="ES345" s="4">
        <f t="shared" si="1098"/>
        <v>10.038889525077265</v>
      </c>
      <c r="ET345" s="4">
        <f t="shared" si="1015"/>
        <v>171.81022386356801</v>
      </c>
      <c r="EU345" s="4">
        <f t="shared" si="1016"/>
        <v>76.390499999999975</v>
      </c>
      <c r="EV345" s="4">
        <f t="shared" si="1238"/>
        <v>3.0421300386451385E-5</v>
      </c>
      <c r="EW345" s="4">
        <f t="shared" si="1099"/>
        <v>10.894248770764069</v>
      </c>
      <c r="EX345" s="4">
        <f t="shared" si="965"/>
        <v>695.53745756077706</v>
      </c>
      <c r="FG345" s="23">
        <f t="shared" si="1143"/>
        <v>1</v>
      </c>
      <c r="FH345" s="23">
        <f t="shared" si="1143"/>
        <v>0.8</v>
      </c>
      <c r="FI345" s="23">
        <f t="shared" si="1068"/>
        <v>1.4</v>
      </c>
      <c r="FJ345" s="23">
        <f t="shared" si="1144"/>
        <v>1.4</v>
      </c>
      <c r="FK345" s="23">
        <f t="shared" si="1144"/>
        <v>1</v>
      </c>
      <c r="FL345" s="23">
        <f t="shared" si="1144"/>
        <v>1</v>
      </c>
      <c r="FM345" s="23">
        <f t="shared" si="1037"/>
        <v>0</v>
      </c>
      <c r="FN345" s="23"/>
      <c r="FX345" s="4">
        <f t="shared" si="1200"/>
        <v>1.25</v>
      </c>
      <c r="FY345" s="4">
        <f t="shared" si="975"/>
        <v>0.66331782945736439</v>
      </c>
      <c r="FZ345" s="4">
        <f t="shared" si="1201"/>
        <v>0.3</v>
      </c>
      <c r="GA345" s="4">
        <f t="shared" si="1202"/>
        <v>439.60165333241787</v>
      </c>
    </row>
    <row r="346" spans="1:183" ht="12" customHeight="1" x14ac:dyDescent="0.3">
      <c r="A346" s="25">
        <v>328</v>
      </c>
      <c r="B346" s="4" t="s">
        <v>605</v>
      </c>
      <c r="C346" s="4">
        <v>2016</v>
      </c>
      <c r="D346" s="4" t="s">
        <v>309</v>
      </c>
      <c r="E346" s="24" t="s">
        <v>670</v>
      </c>
      <c r="F346" s="7" t="s">
        <v>490</v>
      </c>
      <c r="G346" s="38">
        <f t="shared" si="1198"/>
        <v>889.65517241379314</v>
      </c>
      <c r="H346" s="38">
        <f>11.95*25.4</f>
        <v>303.52999999999997</v>
      </c>
      <c r="I346" s="4">
        <f t="shared" si="1100"/>
        <v>303.52999999999997</v>
      </c>
      <c r="J346" s="38">
        <f>12360/145</f>
        <v>85.241379310344826</v>
      </c>
      <c r="K346" s="38">
        <f t="shared" si="1101"/>
        <v>25.4</v>
      </c>
      <c r="L346" s="7">
        <f t="shared" si="1102"/>
        <v>11.95</v>
      </c>
      <c r="M346" s="7">
        <f t="shared" si="1103"/>
        <v>11.95</v>
      </c>
      <c r="N346" s="38">
        <f>14.9*25.4</f>
        <v>378.46</v>
      </c>
      <c r="O346" s="38">
        <f>2.45*25.4</f>
        <v>62.230000000000004</v>
      </c>
      <c r="P346" s="39">
        <f>3.1*25.4</f>
        <v>78.739999999999995</v>
      </c>
      <c r="Q346" s="7">
        <f t="shared" si="1104"/>
        <v>50.800000000000004</v>
      </c>
      <c r="R346" s="38">
        <v>4</v>
      </c>
      <c r="S346" s="4">
        <f t="shared" si="1081"/>
        <v>260.34999999999997</v>
      </c>
      <c r="T346" s="7">
        <f t="shared" si="1105"/>
        <v>1.5000000000000002</v>
      </c>
      <c r="U346" s="7">
        <f t="shared" ref="U346:U409" si="1247">O346/K346+0.5</f>
        <v>2.95</v>
      </c>
      <c r="V346" s="38">
        <v>9.1</v>
      </c>
      <c r="W346" s="4">
        <f t="shared" si="1106"/>
        <v>9.1</v>
      </c>
      <c r="X346" s="4">
        <f t="shared" si="1107"/>
        <v>10.1</v>
      </c>
      <c r="Y346" s="7">
        <f t="shared" si="1108"/>
        <v>80.72246279691916</v>
      </c>
      <c r="AB346" s="38">
        <f t="shared" si="1151"/>
        <v>766.20689655172418</v>
      </c>
      <c r="AC346" s="4">
        <v>111.1</v>
      </c>
      <c r="AD346" s="4">
        <f t="shared" si="998"/>
        <v>1.1698808414795534</v>
      </c>
      <c r="AE346" s="38">
        <f t="shared" si="1239"/>
        <v>12.7</v>
      </c>
      <c r="AF346" s="38">
        <v>10</v>
      </c>
      <c r="AG346" s="39">
        <f t="shared" si="1240"/>
        <v>76.199999999999989</v>
      </c>
      <c r="AH346" s="39">
        <v>3</v>
      </c>
      <c r="AI346" s="39">
        <f t="shared" si="1241"/>
        <v>2</v>
      </c>
      <c r="AJ346" s="7"/>
      <c r="AK346" s="4">
        <f t="shared" si="1109"/>
        <v>303.52999999999997</v>
      </c>
      <c r="AL346" s="4">
        <f t="shared" si="1018"/>
        <v>0.41562064156206424</v>
      </c>
      <c r="AM346" s="4">
        <f t="shared" si="1019"/>
        <v>240.88533502614254</v>
      </c>
      <c r="AN346" s="4">
        <f t="shared" si="1020"/>
        <v>0.74937238493723846</v>
      </c>
      <c r="AO346" s="4">
        <v>1.25</v>
      </c>
      <c r="AP346" s="4">
        <f t="shared" si="1221"/>
        <v>2.5</v>
      </c>
      <c r="AQ346" s="38">
        <f t="shared" si="1082"/>
        <v>234.45266634184955</v>
      </c>
      <c r="AR346" s="38">
        <f t="shared" si="1021"/>
        <v>234.45266634184955</v>
      </c>
      <c r="AS346" s="38">
        <f t="shared" si="1022"/>
        <v>4.9491074410379952</v>
      </c>
      <c r="AT346" s="38">
        <f t="shared" si="1230"/>
        <v>234.45266634184975</v>
      </c>
      <c r="AU346" s="38">
        <f t="shared" si="1199"/>
        <v>0.99999999999999911</v>
      </c>
      <c r="AV346" s="38">
        <f t="shared" si="1231"/>
        <v>4.5625676737536338</v>
      </c>
      <c r="AW346" s="4">
        <f t="shared" si="1232"/>
        <v>0</v>
      </c>
      <c r="AX346" s="4">
        <f t="shared" si="1110"/>
        <v>580.68357055509853</v>
      </c>
      <c r="AY346" s="4">
        <f t="shared" si="1083"/>
        <v>1.3866666666666667</v>
      </c>
      <c r="AZ346" s="38">
        <f t="shared" si="1242"/>
        <v>1069.7061564766702</v>
      </c>
      <c r="BA346" s="4">
        <f t="shared" si="1084"/>
        <v>0.3</v>
      </c>
      <c r="BB346" s="4">
        <f t="shared" si="1085"/>
        <v>91.022149684511675</v>
      </c>
      <c r="BC346" s="4">
        <f t="shared" si="1086"/>
        <v>1160.728306161182</v>
      </c>
      <c r="BE346" s="4">
        <f t="shared" si="1222"/>
        <v>1.5</v>
      </c>
      <c r="BF346" s="4">
        <f t="shared" si="1225"/>
        <v>911.95261418411485</v>
      </c>
      <c r="BH346" s="4">
        <f t="shared" ref="BH346:BH409" si="1248">3.4/PI()^0.5*J346*T346*W346^0.5*AY346</f>
        <v>1025.9790205997742</v>
      </c>
      <c r="BI346" s="4">
        <f t="shared" si="1184"/>
        <v>0</v>
      </c>
      <c r="BJ346" s="4">
        <f t="shared" ref="BJ346:BJ409" si="1249">BI346/BH346</f>
        <v>0</v>
      </c>
      <c r="BK346" s="4">
        <f t="shared" si="1023"/>
        <v>31.800000000000004</v>
      </c>
      <c r="BL346" s="4">
        <f t="shared" si="1024"/>
        <v>31.800000000000004</v>
      </c>
      <c r="BM346" s="4">
        <f t="shared" si="1025"/>
        <v>260.34999999999997</v>
      </c>
      <c r="BN346" s="4">
        <f t="shared" si="1026"/>
        <v>44.5</v>
      </c>
      <c r="BO346" s="4">
        <f t="shared" si="1027"/>
        <v>1.25</v>
      </c>
      <c r="BP346" s="25">
        <f t="shared" si="1028"/>
        <v>3.9701516750656864</v>
      </c>
      <c r="BR346" s="4">
        <f t="shared" si="1087"/>
        <v>25.400000000000002</v>
      </c>
      <c r="BV346" s="9"/>
      <c r="BX346" s="9"/>
      <c r="BY346" s="9"/>
      <c r="BZ346" s="9">
        <f t="shared" si="1088"/>
        <v>25.400000000000002</v>
      </c>
      <c r="CA346" s="9">
        <f t="shared" si="1089"/>
        <v>62.230000000000004</v>
      </c>
      <c r="CB346" s="9">
        <f t="shared" si="1233"/>
        <v>1.143865371392744</v>
      </c>
      <c r="CC346" s="40">
        <f t="shared" si="1111"/>
        <v>20</v>
      </c>
      <c r="CD346" s="9">
        <f t="shared" si="1090"/>
        <v>0.05</v>
      </c>
      <c r="CE346" s="9">
        <f t="shared" si="1091"/>
        <v>0.8</v>
      </c>
      <c r="CF346" s="9">
        <f t="shared" si="1092"/>
        <v>0.99524931562137331</v>
      </c>
      <c r="CG346" s="9">
        <f t="shared" si="1093"/>
        <v>0.68</v>
      </c>
      <c r="CH346" s="9">
        <f t="shared" si="1234"/>
        <v>2.1869259549958526</v>
      </c>
      <c r="CI346" s="9">
        <f t="shared" si="1235"/>
        <v>4.251089633716445</v>
      </c>
      <c r="CJ346" s="40">
        <v>1</v>
      </c>
      <c r="CK346" s="9">
        <f t="shared" si="1236"/>
        <v>458.26746251463271</v>
      </c>
      <c r="CM346" s="4">
        <f t="shared" si="1094"/>
        <v>1.3194912606521252</v>
      </c>
      <c r="CN346" s="4">
        <f t="shared" si="1095"/>
        <v>0.66010873732007236</v>
      </c>
      <c r="CO346" s="4">
        <f t="shared" si="1062"/>
        <v>0.84018279528395989</v>
      </c>
      <c r="CP346" s="4">
        <f t="shared" si="1096"/>
        <v>1.6719644295655374</v>
      </c>
      <c r="CQ346" s="4">
        <f t="shared" si="1035"/>
        <v>1.1698808414795534</v>
      </c>
      <c r="CR346" s="4">
        <f t="shared" si="1036"/>
        <v>1.1085878003695551</v>
      </c>
      <c r="CS346" s="4">
        <f t="shared" si="1063"/>
        <v>1.7624587508377958</v>
      </c>
      <c r="CT346" s="4">
        <f t="shared" si="1112"/>
        <v>10</v>
      </c>
      <c r="DA346" s="4">
        <f t="shared" si="1243"/>
        <v>1.3194912606521252</v>
      </c>
      <c r="DB346" s="4">
        <f t="shared" si="1243"/>
        <v>0.66010873732007236</v>
      </c>
      <c r="DC346" s="4">
        <f t="shared" si="1244"/>
        <v>1.6719644295655374</v>
      </c>
      <c r="DD346" s="4">
        <f t="shared" si="1245"/>
        <v>1.7624587508377958</v>
      </c>
      <c r="DE346" s="4">
        <f t="shared" si="1246"/>
        <v>1.1698808414795534</v>
      </c>
      <c r="DF346" s="4">
        <f t="shared" si="1246"/>
        <v>1.1085878003695551</v>
      </c>
      <c r="DI346" s="4">
        <f t="shared" si="1097"/>
        <v>303.52999999999997</v>
      </c>
      <c r="DL346" s="4">
        <f t="shared" si="999"/>
        <v>3.0218997474488296E-5</v>
      </c>
      <c r="DM346" s="4">
        <f t="shared" si="1000"/>
        <v>12.794224971638064</v>
      </c>
      <c r="DN346" s="4">
        <f t="shared" si="1001"/>
        <v>9.4934615442757594E-2</v>
      </c>
      <c r="DO346" s="4">
        <f t="shared" si="1002"/>
        <v>4.988659028525408</v>
      </c>
      <c r="DP346" s="4">
        <f t="shared" si="1003"/>
        <v>9.7235504870790646</v>
      </c>
      <c r="DQ346" s="4">
        <f t="shared" si="1004"/>
        <v>11.053834529233329</v>
      </c>
      <c r="DR346" s="38">
        <f t="shared" si="1029"/>
        <v>654.94439209953975</v>
      </c>
      <c r="DS346" s="4">
        <f t="shared" si="1005"/>
        <v>1.0000886053115807</v>
      </c>
      <c r="DT346" s="4">
        <f t="shared" si="1006"/>
        <v>3.1780497164141401</v>
      </c>
      <c r="DU346" s="4">
        <f t="shared" si="1007"/>
        <v>234.45266634184975</v>
      </c>
      <c r="DY346" s="4">
        <f t="shared" si="1008"/>
        <v>0.85</v>
      </c>
      <c r="DZ346" s="4">
        <f t="shared" si="1009"/>
        <v>1</v>
      </c>
      <c r="EA346" s="4">
        <f t="shared" si="1030"/>
        <v>0.77500000000000002</v>
      </c>
      <c r="EB346" s="4">
        <f t="shared" si="1010"/>
        <v>0.77500000000000002</v>
      </c>
      <c r="ED346" s="4">
        <f t="shared" si="1031"/>
        <v>691.15580768280518</v>
      </c>
      <c r="EE346" s="25">
        <f t="shared" si="1032"/>
        <v>232.4828424495806</v>
      </c>
      <c r="EG346" s="4">
        <f t="shared" si="1213"/>
        <v>0.65874999999999995</v>
      </c>
      <c r="EH346" s="4">
        <f t="shared" si="1033"/>
        <v>12.794224971638064</v>
      </c>
      <c r="EK346" s="4">
        <f t="shared" si="1011"/>
        <v>80.72246279691916</v>
      </c>
      <c r="EL346" s="4">
        <f t="shared" si="1012"/>
        <v>3.1780497164141406</v>
      </c>
      <c r="EM346" s="4">
        <f t="shared" si="1013"/>
        <v>4.7927535237518568E-2</v>
      </c>
      <c r="EP346" s="4">
        <f t="shared" si="1113"/>
        <v>4.7927535237518568E-2</v>
      </c>
      <c r="EQ346" s="4">
        <f t="shared" si="1237"/>
        <v>9.477618726299071E-2</v>
      </c>
      <c r="ER346" s="4">
        <f t="shared" si="1014"/>
        <v>4.9853273030030936</v>
      </c>
      <c r="ES346" s="4">
        <f t="shared" si="1098"/>
        <v>9.7227215162763319</v>
      </c>
      <c r="ET346" s="4">
        <f t="shared" si="1015"/>
        <v>146.92503720308082</v>
      </c>
      <c r="EU346" s="4">
        <f t="shared" si="1016"/>
        <v>75.882499999999993</v>
      </c>
      <c r="EV346" s="4">
        <f t="shared" si="1238"/>
        <v>3.0218997474488296E-5</v>
      </c>
      <c r="EW346" s="4">
        <f t="shared" si="1099"/>
        <v>11.05412806132567</v>
      </c>
      <c r="EX346" s="4">
        <f t="shared" ref="EX346:EX409" si="1250">MIN(4/K346*(1*ER346*EK346+ES346*ET346+EU346*EW346)+DU346,MAX(G346,AB346))</f>
        <v>654.88636568905793</v>
      </c>
      <c r="FG346" s="23">
        <f t="shared" si="1143"/>
        <v>1.4</v>
      </c>
      <c r="FH346" s="23">
        <f t="shared" si="1143"/>
        <v>0.8</v>
      </c>
      <c r="FI346" s="23">
        <f t="shared" si="1068"/>
        <v>1.8</v>
      </c>
      <c r="FJ346" s="23">
        <f t="shared" si="1144"/>
        <v>1.8</v>
      </c>
      <c r="FK346" s="23">
        <f t="shared" si="1144"/>
        <v>1.2</v>
      </c>
      <c r="FL346" s="23">
        <f t="shared" si="1144"/>
        <v>1.2</v>
      </c>
      <c r="FM346" s="23">
        <f t="shared" si="1037"/>
        <v>0</v>
      </c>
      <c r="FN346" s="23"/>
      <c r="FX346" s="4">
        <f t="shared" si="1200"/>
        <v>1.25</v>
      </c>
      <c r="FY346" s="4">
        <f t="shared" si="975"/>
        <v>0.66627906976744189</v>
      </c>
      <c r="FZ346" s="4">
        <f t="shared" si="1201"/>
        <v>0.3</v>
      </c>
      <c r="GA346" s="4">
        <f t="shared" si="1202"/>
        <v>434.73749169306967</v>
      </c>
    </row>
    <row r="347" spans="1:183" ht="12" customHeight="1" x14ac:dyDescent="0.3">
      <c r="A347" s="25">
        <v>329</v>
      </c>
      <c r="B347" s="4" t="s">
        <v>605</v>
      </c>
      <c r="C347" s="4">
        <v>2016</v>
      </c>
      <c r="D347" s="4" t="s">
        <v>309</v>
      </c>
      <c r="E347" s="24" t="s">
        <v>491</v>
      </c>
      <c r="F347" s="48" t="s">
        <v>492</v>
      </c>
      <c r="G347" s="38">
        <f>115.9/0.145</f>
        <v>799.31034482758628</v>
      </c>
      <c r="H347" s="38">
        <f>9.19*25.4</f>
        <v>233.42599999999999</v>
      </c>
      <c r="I347" s="4">
        <f t="shared" si="1100"/>
        <v>233.42599999999999</v>
      </c>
      <c r="J347" s="38">
        <f>6710/145</f>
        <v>46.275862068965516</v>
      </c>
      <c r="K347" s="38">
        <f t="shared" si="1101"/>
        <v>25.4</v>
      </c>
      <c r="L347" s="7">
        <f t="shared" si="1102"/>
        <v>9.19</v>
      </c>
      <c r="M347" s="7">
        <f t="shared" si="1103"/>
        <v>9.19</v>
      </c>
      <c r="N347" s="38">
        <f>17.3*25.4</f>
        <v>439.42</v>
      </c>
      <c r="O347" s="38">
        <f>2.6*25.4</f>
        <v>66.039999999999992</v>
      </c>
      <c r="P347" s="39">
        <f>3.25*25.4</f>
        <v>82.55</v>
      </c>
      <c r="Q347" s="7">
        <f t="shared" si="1104"/>
        <v>256.54000000000002</v>
      </c>
      <c r="R347" s="38">
        <v>2</v>
      </c>
      <c r="S347" s="4">
        <f t="shared" si="1081"/>
        <v>260.34999999999997</v>
      </c>
      <c r="T347" s="7">
        <f t="shared" si="1105"/>
        <v>3.0999999999999996</v>
      </c>
      <c r="U347" s="7">
        <f t="shared" si="1247"/>
        <v>3.0999999999999996</v>
      </c>
      <c r="V347" s="38">
        <v>4.5</v>
      </c>
      <c r="W347" s="4">
        <f t="shared" si="1106"/>
        <v>4.5</v>
      </c>
      <c r="X347" s="4">
        <f t="shared" si="1107"/>
        <v>5.5</v>
      </c>
      <c r="Y347" s="7">
        <f t="shared" si="1108"/>
        <v>59.568280149757555</v>
      </c>
      <c r="AB347" s="38">
        <f t="shared" si="1151"/>
        <v>509.6551724137932</v>
      </c>
      <c r="AC347" s="4">
        <v>73.900000000000006</v>
      </c>
      <c r="AD347" s="4">
        <f t="shared" si="998"/>
        <v>0.81066942187607538</v>
      </c>
      <c r="AE347" s="38">
        <v>0</v>
      </c>
      <c r="AF347" s="38">
        <v>0</v>
      </c>
      <c r="AG347" s="39">
        <f t="shared" ref="AG347:AG375" si="1251">I347</f>
        <v>233.42599999999999</v>
      </c>
      <c r="AH347" s="39"/>
      <c r="AI347" s="39"/>
      <c r="AJ347" s="7"/>
      <c r="AK347" s="4">
        <f t="shared" si="1109"/>
        <v>233.42599999999999</v>
      </c>
      <c r="AL347" s="4">
        <f t="shared" si="1018"/>
        <v>0.62749365252085609</v>
      </c>
      <c r="AM347" s="4">
        <f t="shared" si="1019"/>
        <v>239.39429178870478</v>
      </c>
      <c r="AN347" s="4">
        <f t="shared" si="1020"/>
        <v>0.76746463547334054</v>
      </c>
      <c r="AO347" s="4">
        <v>1.25</v>
      </c>
      <c r="AP347" s="4">
        <f t="shared" si="1221"/>
        <v>2.5</v>
      </c>
      <c r="AQ347" s="38">
        <f t="shared" si="1082"/>
        <v>360.27283900740065</v>
      </c>
      <c r="AR347" s="38">
        <f t="shared" si="1021"/>
        <v>360.27283900740065</v>
      </c>
      <c r="AS347" s="38">
        <f t="shared" si="1022"/>
        <v>3.8668524435568052</v>
      </c>
      <c r="AT347" s="38">
        <f t="shared" si="1230"/>
        <v>360.27283900740036</v>
      </c>
      <c r="AU347" s="38">
        <f t="shared" si="1199"/>
        <v>1.0000000000000009</v>
      </c>
      <c r="AV347" s="38">
        <f t="shared" si="1231"/>
        <v>1.6893550813803335</v>
      </c>
      <c r="AW347" s="4">
        <f t="shared" si="1232"/>
        <v>0</v>
      </c>
      <c r="AX347" s="4">
        <f t="shared" si="1110"/>
        <v>329.0327819417393</v>
      </c>
      <c r="AY347" s="4">
        <f t="shared" si="1083"/>
        <v>1</v>
      </c>
      <c r="AZ347" s="38">
        <f t="shared" si="1242"/>
        <v>608.62875126047061</v>
      </c>
      <c r="BA347" s="4">
        <f t="shared" si="1084"/>
        <v>0.37</v>
      </c>
      <c r="BB347" s="4">
        <f t="shared" si="1085"/>
        <v>63.610262568886739</v>
      </c>
      <c r="BC347" s="4">
        <f t="shared" si="1086"/>
        <v>672.2390138293573</v>
      </c>
      <c r="BE347" s="4">
        <f t="shared" si="1222"/>
        <v>1.4</v>
      </c>
      <c r="BF347" s="4">
        <f t="shared" si="1225"/>
        <v>548.27888903141002</v>
      </c>
      <c r="BH347" s="4">
        <f t="shared" si="1248"/>
        <v>583.74940290502093</v>
      </c>
      <c r="BI347" s="4">
        <f t="shared" si="1184"/>
        <v>0</v>
      </c>
      <c r="BJ347" s="4">
        <f t="shared" si="1249"/>
        <v>0</v>
      </c>
      <c r="BK347" s="4">
        <f t="shared" si="1023"/>
        <v>66.039999999999992</v>
      </c>
      <c r="BL347" s="4">
        <f t="shared" si="1024"/>
        <v>66.039999999999992</v>
      </c>
      <c r="BM347" s="4">
        <f t="shared" si="1025"/>
        <v>260.34999999999997</v>
      </c>
      <c r="BN347" s="4">
        <f t="shared" si="1026"/>
        <v>78.739999999999995</v>
      </c>
      <c r="BO347" s="4">
        <f t="shared" si="1027"/>
        <v>1.25</v>
      </c>
      <c r="BP347" s="25">
        <f t="shared" si="1028"/>
        <v>3.875</v>
      </c>
      <c r="BR347" s="4">
        <f t="shared" si="1087"/>
        <v>66.039999999999992</v>
      </c>
      <c r="BV347" s="9"/>
      <c r="BX347" s="9"/>
      <c r="BY347" s="9"/>
      <c r="BZ347" s="9">
        <f t="shared" si="1088"/>
        <v>66.039999999999992</v>
      </c>
      <c r="CA347" s="9">
        <f t="shared" si="1089"/>
        <v>128.27000000000001</v>
      </c>
      <c r="CB347" s="9">
        <f t="shared" si="1233"/>
        <v>1.7812889692205971</v>
      </c>
      <c r="CC347" s="40">
        <f t="shared" si="1111"/>
        <v>20</v>
      </c>
      <c r="CD347" s="9">
        <f t="shared" si="1090"/>
        <v>0</v>
      </c>
      <c r="CE347" s="9">
        <f t="shared" si="1091"/>
        <v>0</v>
      </c>
      <c r="CF347" s="9">
        <f t="shared" si="1092"/>
        <v>0.99524931562137331</v>
      </c>
      <c r="CG347" s="9">
        <f t="shared" si="1093"/>
        <v>0.68048275862068963</v>
      </c>
      <c r="CH347" s="9">
        <f t="shared" si="1234"/>
        <v>1.6124799265763963</v>
      </c>
      <c r="CI347" s="9">
        <f t="shared" si="1235"/>
        <v>2.8722927063001729</v>
      </c>
      <c r="CJ347" s="40">
        <v>1</v>
      </c>
      <c r="CK347" s="9">
        <f t="shared" si="1236"/>
        <v>277.92304226160473</v>
      </c>
      <c r="CM347" s="4">
        <f t="shared" si="1094"/>
        <v>1.5489495283908705</v>
      </c>
      <c r="CN347" s="4">
        <f t="shared" si="1095"/>
        <v>0.75814578138002153</v>
      </c>
      <c r="CO347" s="4">
        <f t="shared" si="1062"/>
        <v>0.92955461647292403</v>
      </c>
      <c r="CP347" s="4">
        <f t="shared" si="1096"/>
        <v>1.8337996312449061</v>
      </c>
      <c r="CQ347" s="4">
        <f t="shared" si="1035"/>
        <v>0.81066942187607538</v>
      </c>
      <c r="CR347" s="4">
        <f t="shared" si="1036"/>
        <v>0.85520549534192214</v>
      </c>
      <c r="CS347" s="4">
        <f t="shared" si="1063"/>
        <v>1.066177573233374</v>
      </c>
      <c r="CT347" s="4">
        <f t="shared" si="1112"/>
        <v>0</v>
      </c>
      <c r="CU347" s="4">
        <f t="shared" ref="CU347:CV352" si="1252">CM347</f>
        <v>1.5489495283908705</v>
      </c>
      <c r="CV347" s="4">
        <f t="shared" si="1252"/>
        <v>0.75814578138002153</v>
      </c>
      <c r="CW347" s="4">
        <f t="shared" ref="CW347:CW352" si="1253">CP347</f>
        <v>1.8337996312449061</v>
      </c>
      <c r="CX347" s="4">
        <f t="shared" ref="CX347:CX375" si="1254">CS347</f>
        <v>1.066177573233374</v>
      </c>
      <c r="CY347" s="4">
        <f t="shared" ref="CY347:CZ352" si="1255">CQ347</f>
        <v>0.81066942187607538</v>
      </c>
      <c r="CZ347" s="4">
        <f t="shared" si="1255"/>
        <v>0.85520549534192214</v>
      </c>
      <c r="DI347" s="4">
        <f t="shared" si="1097"/>
        <v>233.42599999999999</v>
      </c>
      <c r="DL347" s="4">
        <f t="shared" si="999"/>
        <v>1.8309566495771662E-5</v>
      </c>
      <c r="DM347" s="4">
        <f t="shared" si="1000"/>
        <v>8.6973795750242395</v>
      </c>
      <c r="DN347" s="4">
        <f t="shared" si="1001"/>
        <v>0.40100189799113706</v>
      </c>
      <c r="DO347" s="4">
        <f t="shared" si="1002"/>
        <v>6.0345792547808044</v>
      </c>
      <c r="DP347" s="4">
        <f t="shared" si="1003"/>
        <v>7.4857163501452408</v>
      </c>
      <c r="DQ347" s="4">
        <f t="shared" si="1004"/>
        <v>8.2310311474027262</v>
      </c>
      <c r="DR347" s="38">
        <f t="shared" si="1029"/>
        <v>628.68434242201215</v>
      </c>
      <c r="DS347" s="4">
        <f t="shared" si="1005"/>
        <v>1.0001050940839242</v>
      </c>
      <c r="DT347" s="4">
        <f t="shared" si="1006"/>
        <v>2.3452078799117149</v>
      </c>
      <c r="DU347" s="4">
        <f t="shared" si="1007"/>
        <v>360.27283900740036</v>
      </c>
      <c r="DY347" s="4">
        <f t="shared" si="1008"/>
        <v>0.85</v>
      </c>
      <c r="DZ347" s="4">
        <f t="shared" si="1009"/>
        <v>0.84000000000000008</v>
      </c>
      <c r="EA347" s="4">
        <f t="shared" si="1030"/>
        <v>1</v>
      </c>
      <c r="EB347" s="4">
        <f t="shared" si="1010"/>
        <v>0.84000000000000008</v>
      </c>
      <c r="ED347" s="4">
        <f t="shared" si="1031"/>
        <v>595.94468836992974</v>
      </c>
      <c r="EE347" s="25">
        <f t="shared" si="1032"/>
        <v>356.15793348651147</v>
      </c>
      <c r="EG347" s="4">
        <f t="shared" si="1213"/>
        <v>0.71400000000000008</v>
      </c>
      <c r="EH347" s="4">
        <f t="shared" si="1033"/>
        <v>8.6973795750242395</v>
      </c>
      <c r="EK347" s="4">
        <f t="shared" si="1011"/>
        <v>59.568280149757555</v>
      </c>
      <c r="EL347" s="4">
        <f t="shared" si="1012"/>
        <v>2.3452078799117149</v>
      </c>
      <c r="EM347" s="4">
        <f t="shared" si="1013"/>
        <v>0.14916225920929174</v>
      </c>
      <c r="EP347" s="4">
        <f t="shared" si="1113"/>
        <v>0.14916225920929174</v>
      </c>
      <c r="EQ347" s="4">
        <f t="shared" si="1237"/>
        <v>0.40033270055998399</v>
      </c>
      <c r="ER347" s="4">
        <f t="shared" si="1014"/>
        <v>6.0305490010383416</v>
      </c>
      <c r="ES347" s="4">
        <f t="shared" si="1098"/>
        <v>7.4840947084284517</v>
      </c>
      <c r="ET347" s="4">
        <f t="shared" si="1015"/>
        <v>115.50121985024245</v>
      </c>
      <c r="EU347" s="4">
        <f t="shared" si="1016"/>
        <v>58.356499999999983</v>
      </c>
      <c r="EV347" s="4">
        <f t="shared" si="1238"/>
        <v>1.8309566495771656E-5</v>
      </c>
      <c r="EW347" s="4">
        <f t="shared" si="1099"/>
        <v>8.2311660096049586</v>
      </c>
      <c r="EX347" s="4">
        <f t="shared" si="1250"/>
        <v>628.61827835990982</v>
      </c>
      <c r="FA347" s="4">
        <f t="shared" ref="FA347:FA351" si="1256">5.25*25.4</f>
        <v>133.35</v>
      </c>
      <c r="FG347" s="23">
        <f t="shared" si="1143"/>
        <v>1.6</v>
      </c>
      <c r="FH347" s="23">
        <f t="shared" si="1143"/>
        <v>0.8</v>
      </c>
      <c r="FI347" s="23">
        <f t="shared" si="1068"/>
        <v>1.2</v>
      </c>
      <c r="FJ347" s="23">
        <f t="shared" si="1144"/>
        <v>2</v>
      </c>
      <c r="FK347" s="23">
        <f t="shared" si="1144"/>
        <v>1</v>
      </c>
      <c r="FL347" s="23">
        <f t="shared" si="1144"/>
        <v>1</v>
      </c>
      <c r="FM347" s="23">
        <f t="shared" si="1037"/>
        <v>0</v>
      </c>
      <c r="FN347" s="23"/>
      <c r="FX347" s="4">
        <f t="shared" si="1200"/>
        <v>1</v>
      </c>
      <c r="FY347" s="4">
        <f t="shared" si="975"/>
        <v>0.5</v>
      </c>
      <c r="FZ347" s="4">
        <f t="shared" si="1201"/>
        <v>0</v>
      </c>
      <c r="GA347" s="4">
        <f t="shared" si="1202"/>
        <v>478.02090871989816</v>
      </c>
    </row>
    <row r="348" spans="1:183" ht="12" customHeight="1" x14ac:dyDescent="0.3">
      <c r="A348" s="25">
        <v>330</v>
      </c>
      <c r="B348" s="4" t="s">
        <v>605</v>
      </c>
      <c r="C348" s="4">
        <v>2016</v>
      </c>
      <c r="D348" s="4" t="s">
        <v>309</v>
      </c>
      <c r="E348" s="24" t="s">
        <v>491</v>
      </c>
      <c r="F348" s="48" t="s">
        <v>493</v>
      </c>
      <c r="G348" s="38">
        <f t="shared" ref="G348:G351" si="1257">115.9/0.145</f>
        <v>799.31034482758628</v>
      </c>
      <c r="H348" s="38">
        <f>9*25.4</f>
        <v>228.6</v>
      </c>
      <c r="I348" s="4">
        <f t="shared" si="1100"/>
        <v>228.6</v>
      </c>
      <c r="J348" s="38">
        <f>6710/145</f>
        <v>46.275862068965516</v>
      </c>
      <c r="K348" s="38">
        <f t="shared" si="1101"/>
        <v>25.4</v>
      </c>
      <c r="L348" s="7">
        <f t="shared" si="1102"/>
        <v>9</v>
      </c>
      <c r="M348" s="7">
        <f t="shared" si="1103"/>
        <v>9</v>
      </c>
      <c r="N348" s="38">
        <f>15.3*25.4</f>
        <v>388.62</v>
      </c>
      <c r="O348" s="38">
        <f>2.55*25.4</f>
        <v>64.77</v>
      </c>
      <c r="P348" s="39">
        <f>3.45*25.4</f>
        <v>87.63</v>
      </c>
      <c r="Q348" s="7">
        <f t="shared" si="1104"/>
        <v>208.28</v>
      </c>
      <c r="R348" s="38">
        <v>2</v>
      </c>
      <c r="S348" s="4">
        <f t="shared" si="1081"/>
        <v>260.34999999999997</v>
      </c>
      <c r="T348" s="7">
        <f t="shared" si="1105"/>
        <v>3.05</v>
      </c>
      <c r="U348" s="7">
        <f t="shared" si="1247"/>
        <v>3.05</v>
      </c>
      <c r="V348" s="38">
        <v>4.5</v>
      </c>
      <c r="W348" s="4">
        <f t="shared" si="1106"/>
        <v>4.5</v>
      </c>
      <c r="X348" s="4">
        <f t="shared" si="1107"/>
        <v>5.5</v>
      </c>
      <c r="Y348" s="7">
        <f t="shared" si="1108"/>
        <v>59.568280149757555</v>
      </c>
      <c r="AB348" s="38">
        <f t="shared" si="1151"/>
        <v>513.10344827586209</v>
      </c>
      <c r="AC348" s="4">
        <v>74.400000000000006</v>
      </c>
      <c r="AD348" s="4">
        <f t="shared" si="998"/>
        <v>0.89753775945612424</v>
      </c>
      <c r="AE348" s="38">
        <v>0</v>
      </c>
      <c r="AF348" s="38">
        <v>0</v>
      </c>
      <c r="AG348" s="39">
        <f t="shared" si="1251"/>
        <v>228.6</v>
      </c>
      <c r="AH348" s="39"/>
      <c r="AI348" s="39"/>
      <c r="AJ348" s="7"/>
      <c r="AK348" s="4">
        <f t="shared" si="1109"/>
        <v>228.6</v>
      </c>
      <c r="AL348" s="4">
        <f t="shared" si="1018"/>
        <v>0.56666666666666654</v>
      </c>
      <c r="AM348" s="4">
        <f t="shared" si="1019"/>
        <v>232.00870916574723</v>
      </c>
      <c r="AN348" s="4">
        <f t="shared" si="1020"/>
        <v>0.76777777777777778</v>
      </c>
      <c r="AO348" s="4">
        <v>1.25</v>
      </c>
      <c r="AP348" s="4">
        <f t="shared" si="1221"/>
        <v>2.5</v>
      </c>
      <c r="AQ348" s="38">
        <f t="shared" si="1082"/>
        <v>315.44054474190187</v>
      </c>
      <c r="AR348" s="38">
        <f t="shared" si="1021"/>
        <v>315.44054474190187</v>
      </c>
      <c r="AS348" s="38">
        <f t="shared" si="1022"/>
        <v>3.8668524435568052</v>
      </c>
      <c r="AT348" s="38">
        <f t="shared" si="1230"/>
        <v>315.44054474190187</v>
      </c>
      <c r="AU348" s="38">
        <f t="shared" si="1199"/>
        <v>1</v>
      </c>
      <c r="AV348" s="38">
        <f t="shared" si="1231"/>
        <v>1.898336052482289</v>
      </c>
      <c r="AW348" s="4">
        <f t="shared" si="1232"/>
        <v>0</v>
      </c>
      <c r="AX348" s="4">
        <f t="shared" si="1110"/>
        <v>322.23014553597972</v>
      </c>
      <c r="AY348" s="4">
        <f t="shared" si="1083"/>
        <v>1</v>
      </c>
      <c r="AZ348" s="38">
        <f t="shared" si="1242"/>
        <v>598.81215849820489</v>
      </c>
      <c r="BA348" s="4">
        <f t="shared" si="1084"/>
        <v>0.37</v>
      </c>
      <c r="BB348" s="4">
        <f t="shared" si="1085"/>
        <v>62.295142885743282</v>
      </c>
      <c r="BC348" s="4">
        <f t="shared" si="1086"/>
        <v>661.1073013839482</v>
      </c>
      <c r="BE348" s="4">
        <f t="shared" si="1222"/>
        <v>1.3875</v>
      </c>
      <c r="BF348" s="4">
        <f t="shared" si="1225"/>
        <v>538.00350674051015</v>
      </c>
      <c r="BH348" s="4">
        <f t="shared" si="1248"/>
        <v>574.33408995494005</v>
      </c>
      <c r="BI348" s="4">
        <f t="shared" si="1184"/>
        <v>0</v>
      </c>
      <c r="BJ348" s="4">
        <f t="shared" si="1249"/>
        <v>0</v>
      </c>
      <c r="BK348" s="4">
        <f t="shared" si="1023"/>
        <v>64.77</v>
      </c>
      <c r="BL348" s="4">
        <f t="shared" si="1024"/>
        <v>64.77</v>
      </c>
      <c r="BM348" s="4">
        <f t="shared" si="1025"/>
        <v>260.34999999999997</v>
      </c>
      <c r="BN348" s="4">
        <f t="shared" si="1026"/>
        <v>77.47</v>
      </c>
      <c r="BO348" s="4">
        <f t="shared" si="1027"/>
        <v>1.25</v>
      </c>
      <c r="BP348" s="25">
        <f t="shared" si="1028"/>
        <v>3.8125000000000004</v>
      </c>
      <c r="BR348" s="4">
        <f t="shared" si="1087"/>
        <v>64.77</v>
      </c>
      <c r="BV348" s="9"/>
      <c r="BX348" s="9"/>
      <c r="BY348" s="9"/>
      <c r="BZ348" s="9">
        <f t="shared" si="1088"/>
        <v>64.77</v>
      </c>
      <c r="CA348" s="9">
        <f t="shared" si="1089"/>
        <v>104.14</v>
      </c>
      <c r="CB348" s="9">
        <f t="shared" si="1233"/>
        <v>1.7147730195910189</v>
      </c>
      <c r="CC348" s="40">
        <f t="shared" si="1111"/>
        <v>20</v>
      </c>
      <c r="CD348" s="9">
        <f t="shared" si="1090"/>
        <v>0</v>
      </c>
      <c r="CE348" s="9">
        <f t="shared" si="1091"/>
        <v>0</v>
      </c>
      <c r="CF348" s="9">
        <f t="shared" si="1092"/>
        <v>0.99524931562137331</v>
      </c>
      <c r="CG348" s="9">
        <f t="shared" si="1093"/>
        <v>0.68048275862068963</v>
      </c>
      <c r="CH348" s="9">
        <f t="shared" si="1234"/>
        <v>1.6124799265763963</v>
      </c>
      <c r="CI348" s="9">
        <f t="shared" si="1235"/>
        <v>2.7650370727253115</v>
      </c>
      <c r="CJ348" s="40">
        <v>1</v>
      </c>
      <c r="CK348" s="9">
        <f t="shared" si="1236"/>
        <v>265.44355898162991</v>
      </c>
      <c r="CM348" s="4">
        <f t="shared" si="1094"/>
        <v>1.592350856628868</v>
      </c>
      <c r="CN348" s="4">
        <f t="shared" si="1095"/>
        <v>0.77612733545937562</v>
      </c>
      <c r="CO348" s="4">
        <f t="shared" si="1062"/>
        <v>0.95371766512172973</v>
      </c>
      <c r="CP348" s="4">
        <f t="shared" si="1096"/>
        <v>1.9330039509882082</v>
      </c>
      <c r="CQ348" s="4">
        <f t="shared" si="1035"/>
        <v>0.89753775945612424</v>
      </c>
      <c r="CR348" s="4">
        <f t="shared" si="1036"/>
        <v>0.94115541649385537</v>
      </c>
      <c r="CS348" s="4">
        <f t="shared" si="1063"/>
        <v>1.0960517053259571</v>
      </c>
      <c r="CT348" s="4">
        <f t="shared" si="1112"/>
        <v>0</v>
      </c>
      <c r="CU348" s="4">
        <f t="shared" si="1252"/>
        <v>1.592350856628868</v>
      </c>
      <c r="CV348" s="4">
        <f t="shared" si="1252"/>
        <v>0.77612733545937562</v>
      </c>
      <c r="CW348" s="4">
        <f t="shared" si="1253"/>
        <v>1.9330039509882082</v>
      </c>
      <c r="CX348" s="4">
        <f t="shared" si="1254"/>
        <v>1.0960517053259571</v>
      </c>
      <c r="CY348" s="4">
        <f t="shared" si="1255"/>
        <v>0.89753775945612424</v>
      </c>
      <c r="CZ348" s="4">
        <f t="shared" si="1255"/>
        <v>0.94115541649385537</v>
      </c>
      <c r="DI348" s="4">
        <f t="shared" si="1097"/>
        <v>228.6</v>
      </c>
      <c r="DL348" s="4">
        <f t="shared" si="999"/>
        <v>1.7931022683563105E-5</v>
      </c>
      <c r="DM348" s="4">
        <f t="shared" si="1000"/>
        <v>8.6459157905566411</v>
      </c>
      <c r="DN348" s="4">
        <f t="shared" si="1001"/>
        <v>0.35110128616235364</v>
      </c>
      <c r="DO348" s="4">
        <f t="shared" si="1002"/>
        <v>5.6883193387798539</v>
      </c>
      <c r="DP348" s="4">
        <f t="shared" si="1003"/>
        <v>7.3187071889491833</v>
      </c>
      <c r="DQ348" s="4">
        <f t="shared" si="1004"/>
        <v>8.2141899726092866</v>
      </c>
      <c r="DR348" s="38">
        <f t="shared" si="1029"/>
        <v>571.67895486289558</v>
      </c>
      <c r="DS348" s="4">
        <f t="shared" si="1005"/>
        <v>1.000105841760796</v>
      </c>
      <c r="DT348" s="4">
        <f t="shared" si="1006"/>
        <v>2.3452078799117149</v>
      </c>
      <c r="DU348" s="4">
        <f t="shared" si="1007"/>
        <v>315.44054474190187</v>
      </c>
      <c r="DY348" s="4">
        <f t="shared" si="1008"/>
        <v>0.85</v>
      </c>
      <c r="DZ348" s="4">
        <f t="shared" si="1009"/>
        <v>0.84499999999999997</v>
      </c>
      <c r="EA348" s="4">
        <f t="shared" si="1030"/>
        <v>1</v>
      </c>
      <c r="EB348" s="4">
        <f t="shared" si="1010"/>
        <v>0.84499999999999997</v>
      </c>
      <c r="ED348" s="4">
        <f t="shared" si="1031"/>
        <v>545.18460955934165</v>
      </c>
      <c r="EE348" s="25">
        <f t="shared" si="1032"/>
        <v>311.74488321431227</v>
      </c>
      <c r="EG348" s="4">
        <f t="shared" si="1213"/>
        <v>0.71824999999999994</v>
      </c>
      <c r="EH348" s="4">
        <f t="shared" si="1033"/>
        <v>8.6459157905566411</v>
      </c>
      <c r="EK348" s="4">
        <f t="shared" si="1011"/>
        <v>59.568280149757555</v>
      </c>
      <c r="EL348" s="4">
        <f t="shared" si="1012"/>
        <v>2.3452078799117149</v>
      </c>
      <c r="EM348" s="4">
        <f t="shared" si="1013"/>
        <v>0.13060053161250176</v>
      </c>
      <c r="EP348" s="4">
        <f t="shared" si="1113"/>
        <v>0.13060053161250176</v>
      </c>
      <c r="EQ348" s="4">
        <f t="shared" si="1237"/>
        <v>0.35051536355213303</v>
      </c>
      <c r="ER348" s="4">
        <f t="shared" si="1014"/>
        <v>5.6845203381643117</v>
      </c>
      <c r="ES348" s="4">
        <f t="shared" si="1098"/>
        <v>7.3172346462199735</v>
      </c>
      <c r="ET348" s="4">
        <f t="shared" si="1015"/>
        <v>111.88171985024243</v>
      </c>
      <c r="EU348" s="4">
        <f t="shared" si="1016"/>
        <v>57.150000000000006</v>
      </c>
      <c r="EV348" s="4">
        <f t="shared" si="1238"/>
        <v>1.7931022683563109E-5</v>
      </c>
      <c r="EW348" s="4">
        <f t="shared" si="1099"/>
        <v>8.2143101569991188</v>
      </c>
      <c r="EX348" s="4">
        <f t="shared" si="1250"/>
        <v>571.61845375924622</v>
      </c>
      <c r="FA348" s="4">
        <f t="shared" si="1256"/>
        <v>133.35</v>
      </c>
      <c r="FG348" s="23">
        <f t="shared" si="1143"/>
        <v>1.6</v>
      </c>
      <c r="FH348" s="23">
        <f t="shared" si="1143"/>
        <v>0.8</v>
      </c>
      <c r="FI348" s="23">
        <f t="shared" si="1068"/>
        <v>1.2</v>
      </c>
      <c r="FJ348" s="23">
        <f t="shared" si="1144"/>
        <v>2</v>
      </c>
      <c r="FK348" s="23">
        <f t="shared" si="1144"/>
        <v>1</v>
      </c>
      <c r="FL348" s="23">
        <f t="shared" si="1144"/>
        <v>1</v>
      </c>
      <c r="FM348" s="23">
        <f t="shared" si="1037"/>
        <v>0</v>
      </c>
      <c r="FN348" s="23"/>
      <c r="FX348" s="4">
        <f t="shared" si="1200"/>
        <v>1</v>
      </c>
      <c r="FY348" s="4">
        <f t="shared" ref="FY348:FY411" si="1258">IF(AG348&gt;1, 0.05*(18-MIN(8,(Q348+K348)/K348))*(1-48000/MAX(60000,(G348*145))*(K348/25.4)^0.75*FZ348), 1/12*(14-MIN(8,(Q348+K348)/K348)))</f>
        <v>0.5</v>
      </c>
      <c r="FZ348" s="4">
        <f t="shared" si="1201"/>
        <v>0</v>
      </c>
      <c r="GA348" s="4">
        <f t="shared" si="1202"/>
        <v>468.13799548194601</v>
      </c>
    </row>
    <row r="349" spans="1:183" ht="12" customHeight="1" x14ac:dyDescent="0.3">
      <c r="A349" s="25">
        <v>331</v>
      </c>
      <c r="B349" s="4" t="s">
        <v>605</v>
      </c>
      <c r="C349" s="4">
        <v>2016</v>
      </c>
      <c r="D349" s="4" t="s">
        <v>309</v>
      </c>
      <c r="E349" s="24" t="s">
        <v>671</v>
      </c>
      <c r="F349" s="48" t="s">
        <v>494</v>
      </c>
      <c r="G349" s="38">
        <f t="shared" si="1257"/>
        <v>799.31034482758628</v>
      </c>
      <c r="H349" s="38">
        <f>9.25*25.4</f>
        <v>234.95</v>
      </c>
      <c r="I349" s="4">
        <f t="shared" si="1100"/>
        <v>234.95</v>
      </c>
      <c r="J349" s="38">
        <f>6710/145</f>
        <v>46.275862068965516</v>
      </c>
      <c r="K349" s="38">
        <f t="shared" si="1101"/>
        <v>25.4</v>
      </c>
      <c r="L349" s="7">
        <f t="shared" si="1102"/>
        <v>9.25</v>
      </c>
      <c r="M349" s="7">
        <f t="shared" si="1103"/>
        <v>9.25</v>
      </c>
      <c r="N349" s="38">
        <f>13.1*25.4</f>
        <v>332.73999999999995</v>
      </c>
      <c r="O349" s="38">
        <f>2.55*25.4</f>
        <v>64.77</v>
      </c>
      <c r="P349" s="39">
        <f>3.2*25.4</f>
        <v>81.28</v>
      </c>
      <c r="Q349" s="7">
        <f t="shared" si="1104"/>
        <v>152.39999999999995</v>
      </c>
      <c r="R349" s="38">
        <v>2</v>
      </c>
      <c r="S349" s="4">
        <f t="shared" si="1081"/>
        <v>260.34999999999997</v>
      </c>
      <c r="T349" s="7">
        <f t="shared" si="1105"/>
        <v>3.05</v>
      </c>
      <c r="U349" s="7">
        <f t="shared" si="1247"/>
        <v>3.05</v>
      </c>
      <c r="V349" s="38">
        <v>4.5</v>
      </c>
      <c r="W349" s="4">
        <f t="shared" si="1106"/>
        <v>4.5</v>
      </c>
      <c r="X349" s="4">
        <f t="shared" si="1107"/>
        <v>5.5</v>
      </c>
      <c r="Y349" s="7">
        <f t="shared" si="1108"/>
        <v>59.568280149757555</v>
      </c>
      <c r="AB349" s="38">
        <f t="shared" si="1151"/>
        <v>475.86206896551727</v>
      </c>
      <c r="AC349" s="4">
        <v>69</v>
      </c>
      <c r="AD349" s="4">
        <f t="shared" si="998"/>
        <v>0.89515643202731698</v>
      </c>
      <c r="AE349" s="38">
        <v>0</v>
      </c>
      <c r="AF349" s="38">
        <v>0</v>
      </c>
      <c r="AG349" s="39">
        <f t="shared" si="1251"/>
        <v>234.95</v>
      </c>
      <c r="AH349" s="39"/>
      <c r="AI349" s="39"/>
      <c r="AJ349" s="7"/>
      <c r="AK349" s="4">
        <f t="shared" si="1109"/>
        <v>234.95</v>
      </c>
      <c r="AL349" s="4">
        <f t="shared" si="1018"/>
        <v>0.47207207207207197</v>
      </c>
      <c r="AM349" s="4">
        <f t="shared" si="1019"/>
        <v>241.74256326019332</v>
      </c>
      <c r="AN349" s="4">
        <f t="shared" si="1020"/>
        <v>0.76594594594594589</v>
      </c>
      <c r="AO349" s="4">
        <v>1.25</v>
      </c>
      <c r="AP349" s="4">
        <f t="shared" si="1221"/>
        <v>2.5</v>
      </c>
      <c r="AQ349" s="38">
        <f t="shared" si="1082"/>
        <v>273.1552641240558</v>
      </c>
      <c r="AR349" s="38">
        <f t="shared" si="1021"/>
        <v>273.1552641240558</v>
      </c>
      <c r="AS349" s="38">
        <f t="shared" si="1022"/>
        <v>3.8668524435568052</v>
      </c>
      <c r="AT349" s="38">
        <f t="shared" si="1230"/>
        <v>273.15526412405586</v>
      </c>
      <c r="AU349" s="38">
        <f t="shared" si="1199"/>
        <v>0.99999999999999978</v>
      </c>
      <c r="AV349" s="38">
        <f t="shared" si="1231"/>
        <v>2.192204350952025</v>
      </c>
      <c r="AW349" s="4">
        <f t="shared" si="1232"/>
        <v>0</v>
      </c>
      <c r="AX349" s="4">
        <f t="shared" si="1110"/>
        <v>331.18098291197919</v>
      </c>
      <c r="AY349" s="4">
        <f t="shared" si="1083"/>
        <v>1</v>
      </c>
      <c r="AZ349" s="38">
        <f t="shared" si="1242"/>
        <v>598.81215849820489</v>
      </c>
      <c r="BA349" s="4">
        <f t="shared" si="1084"/>
        <v>0.37</v>
      </c>
      <c r="BB349" s="4">
        <f t="shared" si="1085"/>
        <v>64.025563521458352</v>
      </c>
      <c r="BC349" s="4">
        <f t="shared" si="1086"/>
        <v>662.83772201966326</v>
      </c>
      <c r="BE349" s="4">
        <f t="shared" si="1222"/>
        <v>1.3875</v>
      </c>
      <c r="BF349" s="4">
        <f t="shared" si="1225"/>
        <v>545.0825002502537</v>
      </c>
      <c r="BH349" s="4">
        <f t="shared" si="1248"/>
        <v>574.33408995494005</v>
      </c>
      <c r="BI349" s="4">
        <f t="shared" si="1184"/>
        <v>0</v>
      </c>
      <c r="BJ349" s="4">
        <f t="shared" si="1249"/>
        <v>0</v>
      </c>
      <c r="BK349" s="4">
        <f t="shared" si="1023"/>
        <v>64.77</v>
      </c>
      <c r="BL349" s="4">
        <f t="shared" si="1024"/>
        <v>64.77</v>
      </c>
      <c r="BM349" s="4">
        <f t="shared" si="1025"/>
        <v>260.34999999999997</v>
      </c>
      <c r="BN349" s="4">
        <f t="shared" si="1026"/>
        <v>77.47</v>
      </c>
      <c r="BO349" s="4">
        <f t="shared" si="1027"/>
        <v>1.25</v>
      </c>
      <c r="BP349" s="25">
        <f t="shared" si="1028"/>
        <v>3.8125000000000004</v>
      </c>
      <c r="BR349" s="4">
        <f t="shared" si="1087"/>
        <v>64.77</v>
      </c>
      <c r="BV349" s="9"/>
      <c r="BX349" s="9"/>
      <c r="BY349" s="9"/>
      <c r="BZ349" s="9">
        <f t="shared" si="1088"/>
        <v>64.77</v>
      </c>
      <c r="CA349" s="9">
        <f t="shared" si="1089"/>
        <v>76.199999999999974</v>
      </c>
      <c r="CB349" s="9">
        <f t="shared" si="1233"/>
        <v>1.636278603156414</v>
      </c>
      <c r="CC349" s="40">
        <f t="shared" si="1111"/>
        <v>20</v>
      </c>
      <c r="CD349" s="9">
        <f t="shared" si="1090"/>
        <v>0</v>
      </c>
      <c r="CE349" s="9">
        <f t="shared" si="1091"/>
        <v>0</v>
      </c>
      <c r="CF349" s="9">
        <f t="shared" si="1092"/>
        <v>0.99524931562137331</v>
      </c>
      <c r="CG349" s="9">
        <f t="shared" si="1093"/>
        <v>0.68048275862068963</v>
      </c>
      <c r="CH349" s="9">
        <f t="shared" si="1234"/>
        <v>1.6124799265763963</v>
      </c>
      <c r="CI349" s="9">
        <f t="shared" si="1235"/>
        <v>2.6384664018761828</v>
      </c>
      <c r="CJ349" s="40">
        <v>1</v>
      </c>
      <c r="CK349" s="9">
        <f t="shared" si="1236"/>
        <v>255.93124098198973</v>
      </c>
      <c r="CM349" s="4">
        <f t="shared" si="1094"/>
        <v>1.4368641121280543</v>
      </c>
      <c r="CN349" s="4">
        <f t="shared" si="1095"/>
        <v>0.71791639666428142</v>
      </c>
      <c r="CO349" s="4">
        <f t="shared" si="1062"/>
        <v>0.87300925776748195</v>
      </c>
      <c r="CP349" s="4">
        <f t="shared" si="1096"/>
        <v>1.8593356056871713</v>
      </c>
      <c r="CQ349" s="4">
        <f t="shared" si="1035"/>
        <v>0.89515643202731698</v>
      </c>
      <c r="CR349" s="4">
        <f t="shared" si="1036"/>
        <v>0.93310480003574625</v>
      </c>
      <c r="CS349" s="4">
        <f t="shared" si="1063"/>
        <v>1.0879292646151721</v>
      </c>
      <c r="CT349" s="4">
        <f t="shared" si="1112"/>
        <v>0</v>
      </c>
      <c r="CU349" s="4">
        <f t="shared" si="1252"/>
        <v>1.4368641121280543</v>
      </c>
      <c r="CV349" s="4">
        <f t="shared" si="1252"/>
        <v>0.71791639666428142</v>
      </c>
      <c r="CW349" s="4">
        <f t="shared" si="1253"/>
        <v>1.8593356056871713</v>
      </c>
      <c r="CX349" s="4">
        <f t="shared" si="1254"/>
        <v>1.0879292646151721</v>
      </c>
      <c r="CY349" s="4">
        <f t="shared" si="1255"/>
        <v>0.89515643202731698</v>
      </c>
      <c r="CZ349" s="4">
        <f t="shared" si="1255"/>
        <v>0.93310480003574625</v>
      </c>
      <c r="DI349" s="4">
        <f t="shared" si="1097"/>
        <v>234.95</v>
      </c>
      <c r="DL349" s="4">
        <f t="shared" si="999"/>
        <v>1.8429106646995416E-5</v>
      </c>
      <c r="DM349" s="4">
        <f t="shared" si="1000"/>
        <v>8.6459157905566411</v>
      </c>
      <c r="DN349" s="4">
        <f t="shared" si="1001"/>
        <v>0.30403562939077616</v>
      </c>
      <c r="DO349" s="4">
        <f t="shared" si="1002"/>
        <v>5.3700804699320424</v>
      </c>
      <c r="DP349" s="4">
        <f t="shared" si="1003"/>
        <v>7.1978438338554191</v>
      </c>
      <c r="DQ349" s="4">
        <f t="shared" si="1004"/>
        <v>8.1996818827256952</v>
      </c>
      <c r="DR349" s="38">
        <f t="shared" si="1029"/>
        <v>531.59654775400827</v>
      </c>
      <c r="DS349" s="4">
        <f t="shared" si="1005"/>
        <v>1.0001073279151589</v>
      </c>
      <c r="DT349" s="4">
        <f t="shared" si="1006"/>
        <v>2.3452078799117149</v>
      </c>
      <c r="DU349" s="4">
        <f t="shared" si="1007"/>
        <v>273.15526412405586</v>
      </c>
      <c r="DY349" s="4">
        <f t="shared" si="1008"/>
        <v>0.85</v>
      </c>
      <c r="DZ349" s="4">
        <f t="shared" si="1009"/>
        <v>0.84499999999999997</v>
      </c>
      <c r="EA349" s="4">
        <f t="shared" si="1030"/>
        <v>1</v>
      </c>
      <c r="EB349" s="4">
        <f t="shared" si="1010"/>
        <v>0.84499999999999997</v>
      </c>
      <c r="ED349" s="4">
        <f t="shared" si="1031"/>
        <v>509.97708826199107</v>
      </c>
      <c r="EE349" s="25">
        <f t="shared" si="1032"/>
        <v>270.05292507404425</v>
      </c>
      <c r="EG349" s="4">
        <f t="shared" si="1213"/>
        <v>0.71824999999999994</v>
      </c>
      <c r="EH349" s="4">
        <f t="shared" si="1033"/>
        <v>8.6459157905566411</v>
      </c>
      <c r="EK349" s="4">
        <f t="shared" si="1011"/>
        <v>59.568280149757555</v>
      </c>
      <c r="EL349" s="4">
        <f t="shared" si="1012"/>
        <v>2.3452078799117149</v>
      </c>
      <c r="EM349" s="4">
        <f t="shared" si="1013"/>
        <v>0.11309333344115358</v>
      </c>
      <c r="EP349" s="4">
        <f t="shared" si="1113"/>
        <v>0.11309333344115358</v>
      </c>
      <c r="EQ349" s="4">
        <f t="shared" si="1237"/>
        <v>0.30352825058986138</v>
      </c>
      <c r="ER349" s="4">
        <f t="shared" si="1014"/>
        <v>5.3664940083085373</v>
      </c>
      <c r="ES349" s="4">
        <f t="shared" si="1098"/>
        <v>7.1965110043758811</v>
      </c>
      <c r="ET349" s="4">
        <f t="shared" si="1015"/>
        <v>116.64421985024242</v>
      </c>
      <c r="EU349" s="4">
        <f t="shared" si="1016"/>
        <v>58.737500000000011</v>
      </c>
      <c r="EV349" s="4">
        <f t="shared" si="1238"/>
        <v>1.842910664699542E-5</v>
      </c>
      <c r="EW349" s="4">
        <f t="shared" si="1099"/>
        <v>8.1997984162699229</v>
      </c>
      <c r="EX349" s="4">
        <f t="shared" si="1250"/>
        <v>531.53949872778526</v>
      </c>
      <c r="FA349" s="4">
        <f t="shared" si="1256"/>
        <v>133.35</v>
      </c>
      <c r="FG349" s="23">
        <f t="shared" si="1143"/>
        <v>1.6</v>
      </c>
      <c r="FH349" s="23">
        <f t="shared" si="1143"/>
        <v>0.8</v>
      </c>
      <c r="FI349" s="23">
        <f t="shared" si="1068"/>
        <v>1.2</v>
      </c>
      <c r="FJ349" s="23">
        <f t="shared" si="1144"/>
        <v>2</v>
      </c>
      <c r="FK349" s="23">
        <f t="shared" si="1144"/>
        <v>1</v>
      </c>
      <c r="FL349" s="23">
        <f t="shared" si="1144"/>
        <v>1</v>
      </c>
      <c r="FM349" s="23">
        <f t="shared" si="1037"/>
        <v>0</v>
      </c>
      <c r="FN349" s="23"/>
      <c r="FX349" s="4">
        <f t="shared" si="1200"/>
        <v>1</v>
      </c>
      <c r="FY349" s="4">
        <f t="shared" si="1258"/>
        <v>0.55000000000000016</v>
      </c>
      <c r="FZ349" s="4">
        <f t="shared" si="1201"/>
        <v>0</v>
      </c>
      <c r="GA349" s="4">
        <f t="shared" si="1202"/>
        <v>437.40166244525244</v>
      </c>
    </row>
    <row r="350" spans="1:183" ht="12" customHeight="1" x14ac:dyDescent="0.3">
      <c r="A350" s="25">
        <v>332</v>
      </c>
      <c r="B350" s="4" t="s">
        <v>605</v>
      </c>
      <c r="C350" s="4">
        <v>2016</v>
      </c>
      <c r="D350" s="4" t="s">
        <v>309</v>
      </c>
      <c r="E350" s="24" t="s">
        <v>671</v>
      </c>
      <c r="F350" s="48" t="s">
        <v>495</v>
      </c>
      <c r="G350" s="38">
        <f t="shared" si="1257"/>
        <v>799.31034482758628</v>
      </c>
      <c r="H350" s="38">
        <f>9*25.4</f>
        <v>228.6</v>
      </c>
      <c r="I350" s="4">
        <f t="shared" si="1100"/>
        <v>228.6</v>
      </c>
      <c r="J350" s="38">
        <f>6710/145</f>
        <v>46.275862068965516</v>
      </c>
      <c r="K350" s="38">
        <f t="shared" si="1101"/>
        <v>25.4</v>
      </c>
      <c r="L350" s="7">
        <f t="shared" si="1102"/>
        <v>9</v>
      </c>
      <c r="M350" s="7">
        <f t="shared" si="1103"/>
        <v>9</v>
      </c>
      <c r="N350" s="38">
        <f>11.3*25.4</f>
        <v>287.02</v>
      </c>
      <c r="O350" s="38">
        <f t="shared" si="1114"/>
        <v>63.5</v>
      </c>
      <c r="P350" s="39">
        <f>3.55*25.4</f>
        <v>90.169999999999987</v>
      </c>
      <c r="Q350" s="7">
        <f t="shared" si="1104"/>
        <v>109.21999999999997</v>
      </c>
      <c r="R350" s="38">
        <v>2</v>
      </c>
      <c r="S350" s="4">
        <f t="shared" si="1081"/>
        <v>260.34999999999997</v>
      </c>
      <c r="T350" s="7">
        <f t="shared" si="1105"/>
        <v>2.6499999999999995</v>
      </c>
      <c r="U350" s="7">
        <f t="shared" si="1247"/>
        <v>3</v>
      </c>
      <c r="V350" s="38">
        <v>4.5</v>
      </c>
      <c r="W350" s="4">
        <f t="shared" si="1106"/>
        <v>4.5</v>
      </c>
      <c r="X350" s="4">
        <f t="shared" si="1107"/>
        <v>5.5</v>
      </c>
      <c r="Y350" s="7">
        <f t="shared" si="1108"/>
        <v>59.568280149757555</v>
      </c>
      <c r="AB350" s="38">
        <f t="shared" si="1151"/>
        <v>446.89655172413796</v>
      </c>
      <c r="AC350" s="4">
        <v>64.8</v>
      </c>
      <c r="AD350" s="4">
        <f t="shared" si="998"/>
        <v>0.95550025830198404</v>
      </c>
      <c r="AE350" s="38">
        <v>0</v>
      </c>
      <c r="AF350" s="38">
        <v>0</v>
      </c>
      <c r="AG350" s="39">
        <f t="shared" si="1251"/>
        <v>228.6</v>
      </c>
      <c r="AH350" s="39"/>
      <c r="AI350" s="39"/>
      <c r="AJ350" s="7"/>
      <c r="AK350" s="4">
        <f t="shared" si="1109"/>
        <v>228.6</v>
      </c>
      <c r="AL350" s="4">
        <f t="shared" si="1018"/>
        <v>0.4185185185185184</v>
      </c>
      <c r="AM350" s="4">
        <f t="shared" si="1019"/>
        <v>232.00870916574723</v>
      </c>
      <c r="AN350" s="4">
        <f t="shared" si="1020"/>
        <v>0.76666666666666661</v>
      </c>
      <c r="AO350" s="4">
        <v>1.25</v>
      </c>
      <c r="AP350" s="4">
        <f t="shared" si="1221"/>
        <v>2.5</v>
      </c>
      <c r="AQ350" s="38">
        <f t="shared" si="1082"/>
        <v>232.63527589574724</v>
      </c>
      <c r="AR350" s="38">
        <f t="shared" si="1021"/>
        <v>232.63527589574724</v>
      </c>
      <c r="AS350" s="38">
        <f t="shared" si="1022"/>
        <v>3.8668524435568052</v>
      </c>
      <c r="AT350" s="38">
        <f t="shared" si="1230"/>
        <v>232.63527589574718</v>
      </c>
      <c r="AU350" s="38">
        <f t="shared" si="1199"/>
        <v>1.0000000000000002</v>
      </c>
      <c r="AV350" s="38">
        <f t="shared" si="1231"/>
        <v>2.3546122746229528</v>
      </c>
      <c r="AW350" s="4">
        <f t="shared" si="1232"/>
        <v>0</v>
      </c>
      <c r="AX350" s="4">
        <f t="shared" si="1110"/>
        <v>322.23014553597972</v>
      </c>
      <c r="AY350" s="4">
        <f t="shared" si="1083"/>
        <v>1.0528301886792453</v>
      </c>
      <c r="AZ350" s="38">
        <f t="shared" si="1242"/>
        <v>547.76587613442348</v>
      </c>
      <c r="BA350" s="4">
        <f t="shared" si="1084"/>
        <v>0.37</v>
      </c>
      <c r="BB350" s="4">
        <f t="shared" si="1085"/>
        <v>62.295142885743282</v>
      </c>
      <c r="BC350" s="4">
        <f t="shared" si="1086"/>
        <v>610.06101902016678</v>
      </c>
      <c r="BE350" s="4">
        <f t="shared" si="1222"/>
        <v>1.375</v>
      </c>
      <c r="BF350" s="4">
        <f t="shared" si="1225"/>
        <v>533.1566283014065</v>
      </c>
      <c r="BH350" s="4">
        <f t="shared" si="1248"/>
        <v>525.37446261451885</v>
      </c>
      <c r="BI350" s="4">
        <f t="shared" si="1184"/>
        <v>0</v>
      </c>
      <c r="BJ350" s="4">
        <f t="shared" si="1249"/>
        <v>0</v>
      </c>
      <c r="BK350" s="4">
        <f t="shared" si="1023"/>
        <v>61.009999999999984</v>
      </c>
      <c r="BL350" s="4">
        <f t="shared" si="1024"/>
        <v>61.009999999999984</v>
      </c>
      <c r="BM350" s="4">
        <f t="shared" si="1025"/>
        <v>260.34999999999997</v>
      </c>
      <c r="BN350" s="4">
        <f t="shared" si="1026"/>
        <v>73.70999999999998</v>
      </c>
      <c r="BO350" s="4">
        <f t="shared" si="1027"/>
        <v>1.25</v>
      </c>
      <c r="BP350" s="25">
        <f t="shared" si="1028"/>
        <v>3.6274606299212588</v>
      </c>
      <c r="BR350" s="4">
        <f t="shared" si="1087"/>
        <v>54.609999999999985</v>
      </c>
      <c r="BV350" s="9"/>
      <c r="BX350" s="9"/>
      <c r="BY350" s="9"/>
      <c r="BZ350" s="9">
        <f t="shared" si="1088"/>
        <v>54.609999999999985</v>
      </c>
      <c r="CA350" s="9">
        <f t="shared" si="1089"/>
        <v>63.5</v>
      </c>
      <c r="CB350" s="9">
        <f t="shared" si="1233"/>
        <v>1.4998383783405258</v>
      </c>
      <c r="CC350" s="40">
        <f t="shared" si="1111"/>
        <v>20</v>
      </c>
      <c r="CD350" s="9">
        <f t="shared" si="1090"/>
        <v>0</v>
      </c>
      <c r="CE350" s="9">
        <f t="shared" si="1091"/>
        <v>0</v>
      </c>
      <c r="CF350" s="9">
        <f t="shared" si="1092"/>
        <v>0.99524931562137331</v>
      </c>
      <c r="CG350" s="9">
        <f t="shared" si="1093"/>
        <v>0.68048275862068963</v>
      </c>
      <c r="CH350" s="9">
        <f t="shared" si="1234"/>
        <v>1.6124799265763963</v>
      </c>
      <c r="CI350" s="9">
        <f t="shared" si="1235"/>
        <v>2.4184592781829921</v>
      </c>
      <c r="CJ350" s="40">
        <v>1</v>
      </c>
      <c r="CK350" s="9">
        <f t="shared" si="1236"/>
        <v>232.17209070556726</v>
      </c>
      <c r="CM350" s="4">
        <f t="shared" si="1094"/>
        <v>1.3868862299670786</v>
      </c>
      <c r="CN350" s="4">
        <f t="shared" si="1095"/>
        <v>0.73254402066519331</v>
      </c>
      <c r="CO350" s="4">
        <f t="shared" si="1062"/>
        <v>0.83820875142810081</v>
      </c>
      <c r="CP350" s="4">
        <f t="shared" si="1096"/>
        <v>1.9248504433329023</v>
      </c>
      <c r="CQ350" s="4">
        <f t="shared" si="1035"/>
        <v>0.95550025830198404</v>
      </c>
      <c r="CR350" s="4">
        <f t="shared" si="1036"/>
        <v>0.98697622127594653</v>
      </c>
      <c r="CS350" s="4">
        <f t="shared" si="1063"/>
        <v>1.2123746121170023</v>
      </c>
      <c r="CT350" s="4">
        <f t="shared" si="1112"/>
        <v>0</v>
      </c>
      <c r="CU350" s="4">
        <f t="shared" si="1252"/>
        <v>1.3868862299670786</v>
      </c>
      <c r="CV350" s="4">
        <f t="shared" si="1252"/>
        <v>0.73254402066519331</v>
      </c>
      <c r="CW350" s="4">
        <f t="shared" si="1253"/>
        <v>1.9248504433329023</v>
      </c>
      <c r="CX350" s="4">
        <f t="shared" si="1254"/>
        <v>1.2123746121170023</v>
      </c>
      <c r="CY350" s="4">
        <f t="shared" si="1255"/>
        <v>0.95550025830198404</v>
      </c>
      <c r="CZ350" s="4">
        <f t="shared" si="1255"/>
        <v>0.98697622127594653</v>
      </c>
      <c r="DI350" s="4">
        <f t="shared" si="1097"/>
        <v>228.6</v>
      </c>
      <c r="DL350" s="4">
        <f t="shared" si="999"/>
        <v>1.7931022683563105E-5</v>
      </c>
      <c r="DM350" s="4">
        <f t="shared" si="1000"/>
        <v>8.2551399356162278</v>
      </c>
      <c r="DN350" s="4">
        <f t="shared" si="1001"/>
        <v>0.25893483236456305</v>
      </c>
      <c r="DO350" s="4">
        <f t="shared" si="1002"/>
        <v>4.808400460769148</v>
      </c>
      <c r="DP350" s="4">
        <f t="shared" si="1003"/>
        <v>6.7567583551320318</v>
      </c>
      <c r="DQ350" s="4">
        <f t="shared" si="1004"/>
        <v>7.8798854996843941</v>
      </c>
      <c r="DR350" s="38">
        <f t="shared" si="1029"/>
        <v>467.70950383447951</v>
      </c>
      <c r="DS350" s="4">
        <f t="shared" si="1005"/>
        <v>1.0001054299424883</v>
      </c>
      <c r="DT350" s="4">
        <f t="shared" si="1006"/>
        <v>2.3452078799117149</v>
      </c>
      <c r="DU350" s="4">
        <f t="shared" si="1007"/>
        <v>232.63527589574718</v>
      </c>
      <c r="DY350" s="4">
        <f t="shared" si="1008"/>
        <v>0.85</v>
      </c>
      <c r="DZ350" s="4">
        <f t="shared" si="1009"/>
        <v>0.88500000000000001</v>
      </c>
      <c r="EA350" s="4">
        <f t="shared" si="1030"/>
        <v>1</v>
      </c>
      <c r="EB350" s="4">
        <f t="shared" si="1010"/>
        <v>0.88500000000000001</v>
      </c>
      <c r="ED350" s="4">
        <f t="shared" si="1031"/>
        <v>452.79363584504347</v>
      </c>
      <c r="EE350" s="25">
        <f t="shared" si="1032"/>
        <v>229.90485758340532</v>
      </c>
      <c r="EG350" s="4">
        <f t="shared" si="1213"/>
        <v>0.75224999999999997</v>
      </c>
      <c r="EH350" s="4">
        <f t="shared" si="1033"/>
        <v>8.2551399356162278</v>
      </c>
      <c r="EK350" s="4">
        <f t="shared" si="1011"/>
        <v>59.568280149757555</v>
      </c>
      <c r="EL350" s="4">
        <f t="shared" si="1012"/>
        <v>2.3452078799117149</v>
      </c>
      <c r="EM350" s="4">
        <f t="shared" si="1013"/>
        <v>9.6317011906839181E-2</v>
      </c>
      <c r="EP350" s="4">
        <f t="shared" si="1113"/>
        <v>9.6317011906839181E-2</v>
      </c>
      <c r="EQ350" s="4">
        <f t="shared" si="1237"/>
        <v>0.25850271838823907</v>
      </c>
      <c r="ER350" s="4">
        <f t="shared" si="1014"/>
        <v>4.8051891227231813</v>
      </c>
      <c r="ES350" s="4">
        <f t="shared" si="1098"/>
        <v>6.755621997097994</v>
      </c>
      <c r="ET350" s="4">
        <f t="shared" si="1015"/>
        <v>111.88171985024243</v>
      </c>
      <c r="EU350" s="4">
        <f t="shared" si="1016"/>
        <v>57.150000000000006</v>
      </c>
      <c r="EV350" s="4">
        <f t="shared" si="1238"/>
        <v>1.7931022683563109E-5</v>
      </c>
      <c r="EW350" s="4">
        <f t="shared" si="1099"/>
        <v>7.8799789793501009</v>
      </c>
      <c r="EX350" s="4">
        <f t="shared" si="1250"/>
        <v>467.66019844665323</v>
      </c>
      <c r="FA350" s="4">
        <f t="shared" si="1256"/>
        <v>133.35</v>
      </c>
      <c r="FG350" s="23">
        <f t="shared" si="1143"/>
        <v>1.4</v>
      </c>
      <c r="FH350" s="23">
        <f t="shared" si="1143"/>
        <v>0.8</v>
      </c>
      <c r="FI350" s="23">
        <f t="shared" si="1068"/>
        <v>1.4</v>
      </c>
      <c r="FJ350" s="23">
        <f t="shared" si="1144"/>
        <v>2</v>
      </c>
      <c r="FK350" s="23">
        <f t="shared" si="1144"/>
        <v>1</v>
      </c>
      <c r="FL350" s="23">
        <f t="shared" si="1144"/>
        <v>1</v>
      </c>
      <c r="FM350" s="23">
        <f t="shared" si="1037"/>
        <v>0</v>
      </c>
      <c r="FN350" s="23"/>
      <c r="FX350" s="4">
        <f t="shared" si="1200"/>
        <v>1</v>
      </c>
      <c r="FY350" s="4">
        <f t="shared" si="1258"/>
        <v>0.63500000000000012</v>
      </c>
      <c r="FZ350" s="4">
        <f t="shared" si="1201"/>
        <v>0</v>
      </c>
      <c r="GA350" s="4">
        <f t="shared" si="1202"/>
        <v>368.61259486767398</v>
      </c>
    </row>
    <row r="351" spans="1:183" ht="12" customHeight="1" x14ac:dyDescent="0.3">
      <c r="A351" s="25">
        <v>333</v>
      </c>
      <c r="B351" s="4" t="s">
        <v>605</v>
      </c>
      <c r="C351" s="4">
        <v>2016</v>
      </c>
      <c r="D351" s="4" t="s">
        <v>309</v>
      </c>
      <c r="E351" s="24" t="s">
        <v>671</v>
      </c>
      <c r="F351" s="48" t="s">
        <v>496</v>
      </c>
      <c r="G351" s="38">
        <f t="shared" si="1257"/>
        <v>799.31034482758628</v>
      </c>
      <c r="H351" s="38">
        <f>9*25.4</f>
        <v>228.6</v>
      </c>
      <c r="I351" s="4">
        <f t="shared" si="1100"/>
        <v>228.6</v>
      </c>
      <c r="J351" s="38">
        <f t="shared" ref="J351" si="1259">6710/145</f>
        <v>46.275862068965516</v>
      </c>
      <c r="K351" s="38">
        <f t="shared" si="1101"/>
        <v>25.4</v>
      </c>
      <c r="L351" s="7">
        <f t="shared" si="1102"/>
        <v>9</v>
      </c>
      <c r="M351" s="7">
        <f t="shared" si="1103"/>
        <v>9</v>
      </c>
      <c r="N351" s="38">
        <f>9.1*25.4</f>
        <v>231.14</v>
      </c>
      <c r="O351" s="38">
        <f>2.5*25.4</f>
        <v>63.5</v>
      </c>
      <c r="P351" s="39">
        <f>3.5*25.4</f>
        <v>88.899999999999991</v>
      </c>
      <c r="Q351" s="7">
        <f t="shared" si="1104"/>
        <v>53.339999999999975</v>
      </c>
      <c r="R351" s="38">
        <v>2</v>
      </c>
      <c r="S351" s="4">
        <f t="shared" si="1081"/>
        <v>260.34999999999997</v>
      </c>
      <c r="T351" s="7">
        <f t="shared" si="1105"/>
        <v>1.5499999999999996</v>
      </c>
      <c r="U351" s="7">
        <f t="shared" si="1247"/>
        <v>3</v>
      </c>
      <c r="V351" s="38">
        <v>4.5</v>
      </c>
      <c r="W351" s="4">
        <f t="shared" si="1106"/>
        <v>4.5</v>
      </c>
      <c r="X351" s="4">
        <f t="shared" si="1107"/>
        <v>5.5</v>
      </c>
      <c r="Y351" s="7">
        <f t="shared" si="1108"/>
        <v>59.568280149757555</v>
      </c>
      <c r="AB351" s="38">
        <f t="shared" si="1151"/>
        <v>416.55172413793105</v>
      </c>
      <c r="AC351" s="4">
        <v>60.4</v>
      </c>
      <c r="AD351" s="4">
        <f t="shared" si="998"/>
        <v>1.0643352713979048</v>
      </c>
      <c r="AE351" s="38">
        <v>0</v>
      </c>
      <c r="AF351" s="38">
        <v>0</v>
      </c>
      <c r="AG351" s="39">
        <f t="shared" si="1251"/>
        <v>228.6</v>
      </c>
      <c r="AH351" s="39"/>
      <c r="AI351" s="39"/>
      <c r="AJ351" s="7"/>
      <c r="AK351" s="4">
        <f t="shared" si="1109"/>
        <v>228.6</v>
      </c>
      <c r="AL351" s="4">
        <f t="shared" si="1018"/>
        <v>0.33703703703703697</v>
      </c>
      <c r="AM351" s="4">
        <f t="shared" si="1019"/>
        <v>232.00870916574723</v>
      </c>
      <c r="AN351" s="4">
        <f t="shared" si="1020"/>
        <v>0.76666666666666661</v>
      </c>
      <c r="AO351" s="4">
        <v>1.25</v>
      </c>
      <c r="AP351" s="4">
        <f t="shared" si="1221"/>
        <v>2.5</v>
      </c>
      <c r="AQ351" s="38">
        <f t="shared" si="1082"/>
        <v>187.34345227002655</v>
      </c>
      <c r="AR351" s="38">
        <f t="shared" si="1021"/>
        <v>187.34345227002655</v>
      </c>
      <c r="AS351" s="38">
        <f t="shared" si="1022"/>
        <v>3.8668524435568052</v>
      </c>
      <c r="AT351" s="38">
        <f t="shared" si="1230"/>
        <v>187.34345227002649</v>
      </c>
      <c r="AU351" s="38">
        <f t="shared" si="1199"/>
        <v>1.0000000000000002</v>
      </c>
      <c r="AV351" s="38">
        <f t="shared" si="1231"/>
        <v>2.232193581389573</v>
      </c>
      <c r="AW351" s="4">
        <f t="shared" si="1232"/>
        <v>0</v>
      </c>
      <c r="AX351" s="4">
        <f t="shared" si="1110"/>
        <v>322.23014553597972</v>
      </c>
      <c r="AY351" s="4">
        <f t="shared" si="1083"/>
        <v>1.3741935483870971</v>
      </c>
      <c r="AZ351" s="38">
        <f t="shared" si="1242"/>
        <v>418.18685167251692</v>
      </c>
      <c r="BA351" s="4">
        <f t="shared" si="1084"/>
        <v>0.37</v>
      </c>
      <c r="BB351" s="4">
        <f t="shared" si="1085"/>
        <v>62.295142885743282</v>
      </c>
      <c r="BC351" s="4">
        <f t="shared" si="1086"/>
        <v>480.48199455826023</v>
      </c>
      <c r="BE351" s="4">
        <f t="shared" si="1222"/>
        <v>1.375</v>
      </c>
      <c r="BF351" s="4">
        <f t="shared" si="1225"/>
        <v>533.1566283014065</v>
      </c>
      <c r="BH351" s="4">
        <f t="shared" si="1248"/>
        <v>401.09233167344996</v>
      </c>
      <c r="BI351" s="4">
        <f t="shared" si="1184"/>
        <v>0</v>
      </c>
      <c r="BJ351" s="4">
        <f t="shared" si="1249"/>
        <v>0</v>
      </c>
      <c r="BK351" s="4">
        <f t="shared" si="1023"/>
        <v>33.069999999999986</v>
      </c>
      <c r="BL351" s="4">
        <f t="shared" si="1024"/>
        <v>33.069999999999986</v>
      </c>
      <c r="BM351" s="4">
        <f t="shared" si="1025"/>
        <v>260.34999999999997</v>
      </c>
      <c r="BN351" s="4">
        <f t="shared" si="1026"/>
        <v>45.769999999999982</v>
      </c>
      <c r="BO351" s="4">
        <f t="shared" si="1027"/>
        <v>1.25</v>
      </c>
      <c r="BP351" s="25">
        <f t="shared" si="1028"/>
        <v>2.2524606299212593</v>
      </c>
      <c r="BR351" s="4">
        <f t="shared" si="1087"/>
        <v>26.669999999999987</v>
      </c>
      <c r="BV351" s="9"/>
      <c r="BX351" s="9"/>
      <c r="BY351" s="9"/>
      <c r="BZ351" s="9">
        <f t="shared" si="1088"/>
        <v>26.669999999999987</v>
      </c>
      <c r="CA351" s="9">
        <f t="shared" si="1089"/>
        <v>63.5</v>
      </c>
      <c r="CB351" s="9">
        <f t="shared" si="1233"/>
        <v>1.1670978149623896</v>
      </c>
      <c r="CC351" s="40">
        <f t="shared" si="1111"/>
        <v>20</v>
      </c>
      <c r="CD351" s="9">
        <f t="shared" si="1090"/>
        <v>0</v>
      </c>
      <c r="CE351" s="9">
        <f t="shared" si="1091"/>
        <v>0</v>
      </c>
      <c r="CF351" s="9">
        <f t="shared" si="1092"/>
        <v>0.99524931562137331</v>
      </c>
      <c r="CG351" s="9">
        <f t="shared" si="1093"/>
        <v>0.68048275862068963</v>
      </c>
      <c r="CH351" s="9">
        <f t="shared" si="1234"/>
        <v>1.6124799265763963</v>
      </c>
      <c r="CI351" s="9">
        <f t="shared" si="1235"/>
        <v>1.8819217989780266</v>
      </c>
      <c r="CJ351" s="40">
        <v>1</v>
      </c>
      <c r="CK351" s="9">
        <f t="shared" si="1236"/>
        <v>180.66449270189054</v>
      </c>
      <c r="CM351" s="4">
        <f t="shared" si="1094"/>
        <v>1.2927149427470916</v>
      </c>
      <c r="CN351" s="4">
        <f t="shared" si="1095"/>
        <v>0.86694554396548273</v>
      </c>
      <c r="CO351" s="4">
        <f t="shared" si="1062"/>
        <v>0.78129334238051362</v>
      </c>
      <c r="CP351" s="4">
        <f t="shared" si="1096"/>
        <v>2.3056645935694262</v>
      </c>
      <c r="CQ351" s="4">
        <f t="shared" si="1035"/>
        <v>1.0643352713979048</v>
      </c>
      <c r="CR351" s="4">
        <f t="shared" si="1036"/>
        <v>1.0864891795569402</v>
      </c>
      <c r="CS351" s="4">
        <f t="shared" si="1063"/>
        <v>1.325810070867135</v>
      </c>
      <c r="CT351" s="4">
        <f t="shared" si="1112"/>
        <v>0</v>
      </c>
      <c r="CU351" s="4">
        <f t="shared" si="1252"/>
        <v>1.2927149427470916</v>
      </c>
      <c r="CV351" s="4">
        <f t="shared" si="1252"/>
        <v>0.86694554396548273</v>
      </c>
      <c r="CW351" s="4">
        <f t="shared" si="1253"/>
        <v>2.3056645935694262</v>
      </c>
      <c r="CX351" s="4">
        <f t="shared" si="1254"/>
        <v>1.325810070867135</v>
      </c>
      <c r="CY351" s="4">
        <f t="shared" si="1255"/>
        <v>1.0643352713979048</v>
      </c>
      <c r="CZ351" s="4">
        <f t="shared" si="1255"/>
        <v>1.0864891795569402</v>
      </c>
      <c r="DI351" s="4">
        <f t="shared" si="1097"/>
        <v>228.6</v>
      </c>
      <c r="DL351" s="4">
        <f t="shared" si="999"/>
        <v>1.7931022683563105E-5</v>
      </c>
      <c r="DM351" s="4">
        <f t="shared" si="1000"/>
        <v>7.3425114000204648</v>
      </c>
      <c r="DN351" s="4">
        <f t="shared" si="1001"/>
        <v>0.20852274110774549</v>
      </c>
      <c r="DO351" s="4">
        <f t="shared" si="1002"/>
        <v>3.9219856434308356</v>
      </c>
      <c r="DP351" s="4">
        <f t="shared" si="1003"/>
        <v>5.8883455225764845</v>
      </c>
      <c r="DQ351" s="4">
        <f t="shared" si="1004"/>
        <v>7.0544408137106744</v>
      </c>
      <c r="DR351" s="38">
        <f t="shared" si="1029"/>
        <v>391.37265796972918</v>
      </c>
      <c r="DS351" s="4">
        <f t="shared" si="1005"/>
        <v>1.0001002033787558</v>
      </c>
      <c r="DT351" s="4">
        <f t="shared" si="1006"/>
        <v>2.3452078799117149</v>
      </c>
      <c r="DU351" s="4">
        <f t="shared" si="1007"/>
        <v>187.34345227002649</v>
      </c>
      <c r="DY351" s="4">
        <f t="shared" si="1008"/>
        <v>0.85</v>
      </c>
      <c r="DZ351" s="4">
        <f t="shared" si="1009"/>
        <v>0.995</v>
      </c>
      <c r="EA351" s="4">
        <f t="shared" si="1030"/>
        <v>1</v>
      </c>
      <c r="EB351" s="4">
        <f t="shared" si="1010"/>
        <v>0.995</v>
      </c>
      <c r="ED351" s="4">
        <f t="shared" si="1031"/>
        <v>383.39242762435686</v>
      </c>
      <c r="EE351" s="25">
        <f t="shared" si="1032"/>
        <v>185.14461982380428</v>
      </c>
      <c r="EG351" s="4">
        <f t="shared" si="1213"/>
        <v>0.84575</v>
      </c>
      <c r="EH351" s="4">
        <f t="shared" si="1033"/>
        <v>7.3425114000204648</v>
      </c>
      <c r="EK351" s="4">
        <f t="shared" si="1011"/>
        <v>59.568280149757555</v>
      </c>
      <c r="EL351" s="4">
        <f t="shared" si="1012"/>
        <v>2.3452078799117149</v>
      </c>
      <c r="EM351" s="4">
        <f t="shared" si="1013"/>
        <v>7.7565027287808549E-2</v>
      </c>
      <c r="EP351" s="4">
        <f t="shared" si="1113"/>
        <v>7.7565027287808549E-2</v>
      </c>
      <c r="EQ351" s="4">
        <f t="shared" si="1237"/>
        <v>0.20817475551619255</v>
      </c>
      <c r="ER351" s="4">
        <f t="shared" si="1014"/>
        <v>3.9193663063320971</v>
      </c>
      <c r="ES351" s="4">
        <f t="shared" si="1098"/>
        <v>5.8874807855904052</v>
      </c>
      <c r="ET351" s="4">
        <f t="shared" si="1015"/>
        <v>111.88171985024243</v>
      </c>
      <c r="EU351" s="4">
        <f t="shared" si="1016"/>
        <v>57.150000000000006</v>
      </c>
      <c r="EV351" s="4">
        <f t="shared" si="1238"/>
        <v>1.7931022683563109E-5</v>
      </c>
      <c r="EW351" s="4">
        <f t="shared" si="1099"/>
        <v>7.0545068774054061</v>
      </c>
      <c r="EX351" s="4">
        <f t="shared" si="1250"/>
        <v>391.33344503631639</v>
      </c>
      <c r="FA351" s="4">
        <f t="shared" si="1256"/>
        <v>133.35</v>
      </c>
      <c r="FG351" s="23">
        <f t="shared" si="1143"/>
        <v>1.4</v>
      </c>
      <c r="FH351" s="23">
        <f t="shared" si="1143"/>
        <v>1</v>
      </c>
      <c r="FI351" s="23">
        <f t="shared" si="1068"/>
        <v>1.4</v>
      </c>
      <c r="FJ351" s="23">
        <f t="shared" si="1144"/>
        <v>2.2000000000000002</v>
      </c>
      <c r="FK351" s="23">
        <f t="shared" si="1144"/>
        <v>1.2</v>
      </c>
      <c r="FL351" s="23">
        <f t="shared" si="1144"/>
        <v>1.2</v>
      </c>
      <c r="FM351" s="23">
        <f t="shared" si="1037"/>
        <v>0</v>
      </c>
      <c r="FN351" s="23"/>
      <c r="FX351" s="4">
        <f t="shared" si="1200"/>
        <v>1</v>
      </c>
      <c r="FY351" s="4">
        <f t="shared" si="1258"/>
        <v>0.74500000000000011</v>
      </c>
      <c r="FZ351" s="4">
        <f t="shared" si="1201"/>
        <v>0</v>
      </c>
      <c r="GA351" s="4">
        <f t="shared" si="1202"/>
        <v>314.18657414895699</v>
      </c>
    </row>
    <row r="352" spans="1:183" ht="12" customHeight="1" x14ac:dyDescent="0.3">
      <c r="A352" s="25">
        <v>334</v>
      </c>
      <c r="B352" s="4" t="s">
        <v>605</v>
      </c>
      <c r="C352" s="4">
        <v>2016</v>
      </c>
      <c r="D352" s="4" t="s">
        <v>309</v>
      </c>
      <c r="E352" s="24" t="s">
        <v>671</v>
      </c>
      <c r="F352" s="7" t="s">
        <v>497</v>
      </c>
      <c r="G352" s="38">
        <f>120/0.145</f>
        <v>827.58620689655174</v>
      </c>
      <c r="H352" s="38">
        <f>9.38*25.4</f>
        <v>238.25200000000001</v>
      </c>
      <c r="I352" s="4">
        <f t="shared" si="1100"/>
        <v>238.25200000000001</v>
      </c>
      <c r="J352" s="38">
        <f>6790/145</f>
        <v>46.827586206896555</v>
      </c>
      <c r="K352" s="38">
        <f t="shared" si="1101"/>
        <v>25.4</v>
      </c>
      <c r="L352" s="7">
        <f t="shared" si="1102"/>
        <v>9.3800000000000008</v>
      </c>
      <c r="M352" s="7">
        <f t="shared" si="1103"/>
        <v>9.3800000000000008</v>
      </c>
      <c r="N352" s="38">
        <f>15.1*25.4</f>
        <v>383.53999999999996</v>
      </c>
      <c r="O352" s="38">
        <f>2.5*25.4</f>
        <v>63.5</v>
      </c>
      <c r="P352" s="39">
        <f>3.25*25.4</f>
        <v>82.55</v>
      </c>
      <c r="Q352" s="7">
        <f t="shared" si="1104"/>
        <v>205.73999999999995</v>
      </c>
      <c r="R352" s="38">
        <v>2</v>
      </c>
      <c r="S352" s="4">
        <f t="shared" si="1081"/>
        <v>260.34999999999997</v>
      </c>
      <c r="T352" s="7">
        <f t="shared" si="1105"/>
        <v>3</v>
      </c>
      <c r="U352" s="7">
        <f t="shared" si="1247"/>
        <v>3</v>
      </c>
      <c r="V352" s="38">
        <v>4</v>
      </c>
      <c r="W352" s="4">
        <f t="shared" si="1106"/>
        <v>4</v>
      </c>
      <c r="X352" s="4">
        <f t="shared" si="1107"/>
        <v>5</v>
      </c>
      <c r="Y352" s="7">
        <f t="shared" si="1108"/>
        <v>56.796126628494655</v>
      </c>
      <c r="AB352" s="38">
        <f t="shared" si="1151"/>
        <v>539.31034482758628</v>
      </c>
      <c r="AC352" s="4">
        <v>78.2</v>
      </c>
      <c r="AD352" s="4">
        <f t="shared" si="998"/>
        <v>0.9161935541106252</v>
      </c>
      <c r="AE352" s="38">
        <v>0</v>
      </c>
      <c r="AF352" s="38">
        <v>0</v>
      </c>
      <c r="AG352" s="39">
        <f t="shared" si="1251"/>
        <v>238.25200000000001</v>
      </c>
      <c r="AH352" s="39"/>
      <c r="AI352" s="39"/>
      <c r="AJ352" s="7"/>
      <c r="AK352" s="4">
        <f t="shared" si="1109"/>
        <v>238.25200000000001</v>
      </c>
      <c r="AL352" s="4">
        <f t="shared" si="1018"/>
        <v>0.53660270078180528</v>
      </c>
      <c r="AM352" s="4">
        <f t="shared" si="1019"/>
        <v>248.32383590087252</v>
      </c>
      <c r="AN352" s="4">
        <f t="shared" si="1020"/>
        <v>0.76396588486140726</v>
      </c>
      <c r="AO352" s="4">
        <v>1.25</v>
      </c>
      <c r="AP352" s="4">
        <f t="shared" si="1221"/>
        <v>2.5</v>
      </c>
      <c r="AQ352" s="38">
        <f t="shared" si="1082"/>
        <v>318.12313202907933</v>
      </c>
      <c r="AR352" s="38">
        <f t="shared" si="1021"/>
        <v>318.12313202907933</v>
      </c>
      <c r="AS352" s="38">
        <f t="shared" si="1022"/>
        <v>3.8975267336121062</v>
      </c>
      <c r="AT352" s="38">
        <f t="shared" si="1230"/>
        <v>318.12313202907904</v>
      </c>
      <c r="AU352" s="38">
        <f t="shared" si="1199"/>
        <v>1.0000000000000009</v>
      </c>
      <c r="AV352" s="38">
        <f t="shared" si="1231"/>
        <v>1.7663947632434147</v>
      </c>
      <c r="AW352" s="4">
        <f t="shared" si="1232"/>
        <v>0</v>
      </c>
      <c r="AX352" s="4">
        <f t="shared" si="1110"/>
        <v>337.83148595826066</v>
      </c>
      <c r="AY352" s="4">
        <f t="shared" si="1083"/>
        <v>1</v>
      </c>
      <c r="AZ352" s="38">
        <f t="shared" si="1242"/>
        <v>561.93103448275861</v>
      </c>
      <c r="BA352" s="4">
        <f t="shared" si="1084"/>
        <v>0.44000000000000006</v>
      </c>
      <c r="BB352" s="4">
        <f t="shared" si="1085"/>
        <v>77.66745862180413</v>
      </c>
      <c r="BC352" s="4">
        <f t="shared" si="1086"/>
        <v>639.59849310456275</v>
      </c>
      <c r="BE352" s="4">
        <f t="shared" si="1222"/>
        <v>1.375</v>
      </c>
      <c r="BF352" s="4">
        <f t="shared" si="1225"/>
        <v>547.05200187435685</v>
      </c>
      <c r="BH352" s="4">
        <f t="shared" si="1248"/>
        <v>538.96058175655878</v>
      </c>
      <c r="BI352" s="4">
        <f t="shared" si="1184"/>
        <v>0</v>
      </c>
      <c r="BJ352" s="4">
        <f t="shared" si="1249"/>
        <v>0</v>
      </c>
      <c r="BK352" s="4">
        <f t="shared" si="1023"/>
        <v>63.5</v>
      </c>
      <c r="BL352" s="4">
        <f t="shared" si="1024"/>
        <v>63.5</v>
      </c>
      <c r="BM352" s="4">
        <f t="shared" si="1025"/>
        <v>260.34999999999997</v>
      </c>
      <c r="BN352" s="4">
        <f t="shared" si="1026"/>
        <v>76.2</v>
      </c>
      <c r="BO352" s="4">
        <f t="shared" si="1027"/>
        <v>1.25</v>
      </c>
      <c r="BP352" s="25">
        <f t="shared" si="1028"/>
        <v>3.75</v>
      </c>
      <c r="BR352" s="4">
        <f t="shared" si="1087"/>
        <v>63.5</v>
      </c>
      <c r="BV352" s="9"/>
      <c r="BX352" s="9"/>
      <c r="BY352" s="9"/>
      <c r="BZ352" s="9">
        <f t="shared" si="1088"/>
        <v>63.5</v>
      </c>
      <c r="CA352" s="9">
        <f t="shared" si="1089"/>
        <v>102.86999999999998</v>
      </c>
      <c r="CB352" s="9">
        <f t="shared" si="1233"/>
        <v>1.699797775373473</v>
      </c>
      <c r="CC352" s="40">
        <f t="shared" si="1111"/>
        <v>20</v>
      </c>
      <c r="CD352" s="9">
        <f t="shared" si="1090"/>
        <v>0</v>
      </c>
      <c r="CE352" s="9">
        <f t="shared" si="1091"/>
        <v>0</v>
      </c>
      <c r="CF352" s="9">
        <f t="shared" si="1092"/>
        <v>0.99524931562137331</v>
      </c>
      <c r="CG352" s="9">
        <f t="shared" si="1093"/>
        <v>0.68</v>
      </c>
      <c r="CH352" s="9">
        <f t="shared" si="1234"/>
        <v>1.6209130944490342</v>
      </c>
      <c r="CI352" s="9">
        <f t="shared" si="1235"/>
        <v>2.7552244720182006</v>
      </c>
      <c r="CJ352" s="40">
        <v>1</v>
      </c>
      <c r="CK352" s="9">
        <f t="shared" si="1236"/>
        <v>268.68949051121496</v>
      </c>
      <c r="CM352" s="4">
        <f t="shared" si="1094"/>
        <v>1.5963886352920298</v>
      </c>
      <c r="CN352" s="4">
        <f t="shared" si="1095"/>
        <v>0.8432014000061423</v>
      </c>
      <c r="CO352" s="4">
        <f t="shared" si="1062"/>
        <v>0.98584840742699886</v>
      </c>
      <c r="CP352" s="4">
        <f t="shared" si="1096"/>
        <v>2.0071880883821756</v>
      </c>
      <c r="CQ352" s="4">
        <f t="shared" si="1035"/>
        <v>0.9161935541106252</v>
      </c>
      <c r="CR352" s="4">
        <f t="shared" si="1036"/>
        <v>0.96674260066309403</v>
      </c>
      <c r="CS352" s="4">
        <f t="shared" si="1063"/>
        <v>1.1020916631669231</v>
      </c>
      <c r="CT352" s="4">
        <f t="shared" si="1112"/>
        <v>0</v>
      </c>
      <c r="CU352" s="4">
        <f t="shared" si="1252"/>
        <v>1.5963886352920298</v>
      </c>
      <c r="CV352" s="4">
        <f t="shared" si="1252"/>
        <v>0.8432014000061423</v>
      </c>
      <c r="CW352" s="4">
        <f t="shared" si="1253"/>
        <v>2.0071880883821756</v>
      </c>
      <c r="CX352" s="4">
        <f t="shared" si="1254"/>
        <v>1.1020916631669231</v>
      </c>
      <c r="CY352" s="4">
        <f t="shared" si="1255"/>
        <v>0.9161935541106252</v>
      </c>
      <c r="CZ352" s="4">
        <f t="shared" si="1255"/>
        <v>0.96674260066309403</v>
      </c>
      <c r="DI352" s="4">
        <f t="shared" si="1097"/>
        <v>238.25200000000001</v>
      </c>
      <c r="DL352" s="4">
        <f t="shared" si="999"/>
        <v>1.8754307597872246E-5</v>
      </c>
      <c r="DM352" s="4">
        <f t="shared" si="1000"/>
        <v>8.6461429491242612</v>
      </c>
      <c r="DN352" s="4">
        <f t="shared" si="1001"/>
        <v>0.37533501502490646</v>
      </c>
      <c r="DO352" s="4">
        <f t="shared" si="1002"/>
        <v>5.8423832730452157</v>
      </c>
      <c r="DP352" s="4">
        <f t="shared" si="1003"/>
        <v>7.3791461832387251</v>
      </c>
      <c r="DQ352" s="4">
        <f t="shared" si="1004"/>
        <v>8.1679413048538798</v>
      </c>
      <c r="DR352" s="38">
        <f t="shared" si="1029"/>
        <v>588.64236973497373</v>
      </c>
      <c r="DS352" s="4">
        <f t="shared" si="1005"/>
        <v>1.0001074677116861</v>
      </c>
      <c r="DT352" s="4">
        <f t="shared" si="1006"/>
        <v>2.2360679774997898</v>
      </c>
      <c r="DU352" s="4">
        <f t="shared" si="1007"/>
        <v>318.12313202907904</v>
      </c>
      <c r="DY352" s="4">
        <f t="shared" si="1008"/>
        <v>0.85</v>
      </c>
      <c r="DZ352" s="4">
        <f t="shared" si="1009"/>
        <v>0.85</v>
      </c>
      <c r="EA352" s="4">
        <f t="shared" si="1030"/>
        <v>1</v>
      </c>
      <c r="EB352" s="4">
        <f t="shared" si="1010"/>
        <v>0.85</v>
      </c>
      <c r="ED352" s="4">
        <f t="shared" si="1031"/>
        <v>557.86343175284753</v>
      </c>
      <c r="EE352" s="25">
        <f t="shared" si="1032"/>
        <v>314.56096916449081</v>
      </c>
      <c r="EG352" s="4">
        <f t="shared" si="1213"/>
        <v>0.72249999999999992</v>
      </c>
      <c r="EH352" s="4">
        <f t="shared" si="1033"/>
        <v>8.6461429491242612</v>
      </c>
      <c r="EK352" s="4">
        <f t="shared" si="1011"/>
        <v>56.796126628494655</v>
      </c>
      <c r="EL352" s="4">
        <f t="shared" si="1012"/>
        <v>2.2360679774997898</v>
      </c>
      <c r="EM352" s="4">
        <f t="shared" si="1013"/>
        <v>0.14044466065071942</v>
      </c>
      <c r="EP352" s="4">
        <f t="shared" si="1113"/>
        <v>0.14044466065071942</v>
      </c>
      <c r="EQ352" s="4">
        <f t="shared" si="1237"/>
        <v>0.37470865083776739</v>
      </c>
      <c r="ER352" s="4">
        <f t="shared" si="1014"/>
        <v>5.8384813792996928</v>
      </c>
      <c r="ES352" s="4">
        <f t="shared" si="1098"/>
        <v>7.3776048296736834</v>
      </c>
      <c r="ET352" s="4">
        <f t="shared" si="1015"/>
        <v>121.89287337150537</v>
      </c>
      <c r="EU352" s="4">
        <f t="shared" si="1016"/>
        <v>59.562999999999988</v>
      </c>
      <c r="EV352" s="4">
        <f t="shared" si="1238"/>
        <v>1.8754307597872239E-5</v>
      </c>
      <c r="EW352" s="4">
        <f t="shared" si="1099"/>
        <v>8.1680728348916425</v>
      </c>
      <c r="EX352" s="4">
        <f t="shared" si="1250"/>
        <v>588.57911648417894</v>
      </c>
      <c r="FG352" s="23">
        <f t="shared" si="1143"/>
        <v>1.6</v>
      </c>
      <c r="FH352" s="23">
        <f t="shared" si="1143"/>
        <v>1</v>
      </c>
      <c r="FI352" s="23">
        <f t="shared" si="1068"/>
        <v>1.2</v>
      </c>
      <c r="FJ352" s="23">
        <f t="shared" si="1144"/>
        <v>2.2000000000000002</v>
      </c>
      <c r="FK352" s="23">
        <f t="shared" si="1144"/>
        <v>1</v>
      </c>
      <c r="FL352" s="23">
        <f t="shared" si="1144"/>
        <v>1</v>
      </c>
      <c r="FM352" s="23">
        <f t="shared" si="1037"/>
        <v>0</v>
      </c>
      <c r="FN352" s="23"/>
      <c r="FX352" s="4">
        <f t="shared" si="1200"/>
        <v>1</v>
      </c>
      <c r="FY352" s="4">
        <f t="shared" si="1258"/>
        <v>0.5</v>
      </c>
      <c r="FZ352" s="4">
        <f t="shared" si="1201"/>
        <v>0</v>
      </c>
      <c r="GA352" s="4">
        <f t="shared" si="1202"/>
        <v>489.35162369148799</v>
      </c>
    </row>
    <row r="353" spans="1:183" ht="12" customHeight="1" x14ac:dyDescent="0.3">
      <c r="A353" s="25">
        <v>335</v>
      </c>
      <c r="B353" s="4" t="s">
        <v>605</v>
      </c>
      <c r="C353" s="4">
        <v>2016</v>
      </c>
      <c r="D353" s="4" t="s">
        <v>309</v>
      </c>
      <c r="E353" s="24" t="s">
        <v>671</v>
      </c>
      <c r="F353" s="7" t="s">
        <v>498</v>
      </c>
      <c r="G353" s="38">
        <f t="shared" ref="G353:G359" si="1260">120/0.145</f>
        <v>827.58620689655174</v>
      </c>
      <c r="H353" s="38">
        <f>9.5*25.4</f>
        <v>241.29999999999998</v>
      </c>
      <c r="I353" s="4">
        <f t="shared" si="1100"/>
        <v>241.29999999999998</v>
      </c>
      <c r="J353" s="38">
        <f>6790/145</f>
        <v>46.827586206896555</v>
      </c>
      <c r="K353" s="38">
        <f t="shared" si="1101"/>
        <v>25.4</v>
      </c>
      <c r="L353" s="7">
        <f t="shared" si="1102"/>
        <v>9.5</v>
      </c>
      <c r="M353" s="7">
        <f t="shared" si="1103"/>
        <v>9.5</v>
      </c>
      <c r="N353" s="38">
        <f>15.1*25.4</f>
        <v>383.53999999999996</v>
      </c>
      <c r="O353" s="38">
        <f>2.5*25.4</f>
        <v>63.5</v>
      </c>
      <c r="P353" s="39">
        <f>3*25.4</f>
        <v>76.199999999999989</v>
      </c>
      <c r="Q353" s="7">
        <f t="shared" si="1104"/>
        <v>205.73999999999995</v>
      </c>
      <c r="R353" s="38">
        <v>2</v>
      </c>
      <c r="S353" s="4">
        <f t="shared" si="1081"/>
        <v>260.34999999999997</v>
      </c>
      <c r="T353" s="7">
        <f t="shared" si="1105"/>
        <v>3</v>
      </c>
      <c r="U353" s="7">
        <f t="shared" si="1247"/>
        <v>3</v>
      </c>
      <c r="V353" s="38">
        <v>4</v>
      </c>
      <c r="W353" s="4">
        <f t="shared" si="1106"/>
        <v>4</v>
      </c>
      <c r="X353" s="4">
        <f t="shared" si="1107"/>
        <v>5</v>
      </c>
      <c r="Y353" s="7">
        <f t="shared" si="1108"/>
        <v>56.796126628494655</v>
      </c>
      <c r="AB353" s="38">
        <f t="shared" si="1151"/>
        <v>669.65517241379314</v>
      </c>
      <c r="AC353" s="4">
        <v>97.1</v>
      </c>
      <c r="AD353" s="4">
        <f t="shared" si="998"/>
        <v>1.0276805768179793</v>
      </c>
      <c r="AE353" s="38">
        <f t="shared" ref="AE353" si="1261">0.5*25.4</f>
        <v>12.7</v>
      </c>
      <c r="AF353" s="38">
        <v>10</v>
      </c>
      <c r="AG353" s="39">
        <f t="shared" ref="AG353" si="1262">3*25.4</f>
        <v>76.199999999999989</v>
      </c>
      <c r="AH353" s="39">
        <v>3</v>
      </c>
      <c r="AI353" s="39">
        <f>AH353-1</f>
        <v>2</v>
      </c>
      <c r="AJ353" s="7"/>
      <c r="AK353" s="4">
        <f t="shared" si="1109"/>
        <v>241.29999999999998</v>
      </c>
      <c r="AL353" s="4">
        <f t="shared" si="1018"/>
        <v>0.52982456140350875</v>
      </c>
      <c r="AM353" s="4">
        <f t="shared" si="1019"/>
        <v>253.10432048351177</v>
      </c>
      <c r="AN353" s="4">
        <f t="shared" si="1020"/>
        <v>0.76315789473684204</v>
      </c>
      <c r="AO353" s="4">
        <v>1.25</v>
      </c>
      <c r="AP353" s="4">
        <f t="shared" si="1221"/>
        <v>2.5</v>
      </c>
      <c r="AQ353" s="38">
        <f>AL353*AN353*AO353*AP353*AM353</f>
        <v>319.81296727761367</v>
      </c>
      <c r="AR353" s="38">
        <f t="shared" si="1021"/>
        <v>319.81296727761367</v>
      </c>
      <c r="AS353" s="38">
        <f t="shared" si="1022"/>
        <v>3.8975267336121062</v>
      </c>
      <c r="AT353" s="38">
        <f t="shared" si="1230"/>
        <v>319.81296727761384</v>
      </c>
      <c r="AU353" s="38">
        <f t="shared" si="1199"/>
        <v>0.99999999999999944</v>
      </c>
      <c r="AV353" s="38">
        <f t="shared" si="1231"/>
        <v>1.757061445213302</v>
      </c>
      <c r="AW353" s="4">
        <f t="shared" si="1232"/>
        <v>0</v>
      </c>
      <c r="AX353" s="4">
        <f t="shared" si="1110"/>
        <v>342.15342394493348</v>
      </c>
      <c r="AY353" s="4">
        <f t="shared" si="1083"/>
        <v>1</v>
      </c>
      <c r="AZ353" s="38">
        <f t="shared" si="1242"/>
        <v>561.93103448275861</v>
      </c>
      <c r="BA353" s="4">
        <f t="shared" si="1084"/>
        <v>0.44000000000000006</v>
      </c>
      <c r="BB353" s="4">
        <f t="shared" si="1085"/>
        <v>78.661072164940208</v>
      </c>
      <c r="BC353" s="4">
        <f t="shared" si="1086"/>
        <v>640.59210664769876</v>
      </c>
      <c r="BE353" s="4">
        <f t="shared" si="1222"/>
        <v>1.5</v>
      </c>
      <c r="BF353" s="4">
        <f t="shared" si="1225"/>
        <v>600.47925902335828</v>
      </c>
      <c r="BH353" s="4">
        <f t="shared" si="1248"/>
        <v>538.96058175655878</v>
      </c>
      <c r="BI353" s="4">
        <f t="shared" si="1184"/>
        <v>0</v>
      </c>
      <c r="BJ353" s="4">
        <f t="shared" si="1249"/>
        <v>0</v>
      </c>
      <c r="BK353" s="4">
        <f t="shared" si="1023"/>
        <v>63.5</v>
      </c>
      <c r="BL353" s="4">
        <f t="shared" si="1024"/>
        <v>63.5</v>
      </c>
      <c r="BM353" s="4">
        <f t="shared" si="1025"/>
        <v>260.34999999999997</v>
      </c>
      <c r="BN353" s="4">
        <f t="shared" si="1026"/>
        <v>76.2</v>
      </c>
      <c r="BO353" s="4">
        <f t="shared" si="1027"/>
        <v>1.25</v>
      </c>
      <c r="BP353" s="25">
        <f t="shared" si="1028"/>
        <v>4</v>
      </c>
      <c r="BR353" s="4">
        <f t="shared" si="1087"/>
        <v>63.5</v>
      </c>
      <c r="BV353" s="9"/>
      <c r="BX353" s="9"/>
      <c r="BY353" s="9"/>
      <c r="BZ353" s="9">
        <f t="shared" si="1088"/>
        <v>63.5</v>
      </c>
      <c r="CA353" s="9">
        <f t="shared" si="1089"/>
        <v>102.86999999999998</v>
      </c>
      <c r="CB353" s="9">
        <f t="shared" si="1233"/>
        <v>1.699797775373473</v>
      </c>
      <c r="CC353" s="40">
        <f t="shared" si="1111"/>
        <v>20</v>
      </c>
      <c r="CD353" s="9">
        <f t="shared" si="1090"/>
        <v>0.05</v>
      </c>
      <c r="CE353" s="9">
        <f t="shared" si="1091"/>
        <v>0.8</v>
      </c>
      <c r="CF353" s="9">
        <f t="shared" si="1092"/>
        <v>0.99524931562137331</v>
      </c>
      <c r="CG353" s="9">
        <f t="shared" si="1093"/>
        <v>0.68</v>
      </c>
      <c r="CH353" s="9">
        <f t="shared" si="1234"/>
        <v>1.6209130944490342</v>
      </c>
      <c r="CI353" s="9">
        <f t="shared" si="1235"/>
        <v>4.0519549475774275</v>
      </c>
      <c r="CJ353" s="40">
        <v>1</v>
      </c>
      <c r="CK353" s="9">
        <f t="shared" si="1236"/>
        <v>397.09158486258787</v>
      </c>
      <c r="CM353" s="4">
        <f t="shared" si="1094"/>
        <v>1.9571780539059229</v>
      </c>
      <c r="CN353" s="4">
        <f t="shared" si="1095"/>
        <v>1.0453690663130164</v>
      </c>
      <c r="CO353" s="4">
        <f t="shared" si="1062"/>
        <v>1.1152011703167652</v>
      </c>
      <c r="CP353" s="4">
        <f t="shared" si="1096"/>
        <v>1.6863998078567315</v>
      </c>
      <c r="CQ353" s="4">
        <f t="shared" si="1035"/>
        <v>1.0276805768179793</v>
      </c>
      <c r="CR353" s="4">
        <f t="shared" si="1036"/>
        <v>1.0879820523592281</v>
      </c>
      <c r="CS353" s="4">
        <f t="shared" si="1063"/>
        <v>1.1890280478040305</v>
      </c>
      <c r="CT353" s="4">
        <f t="shared" si="1112"/>
        <v>10</v>
      </c>
      <c r="DA353" s="4">
        <f t="shared" ref="DA353:DB353" si="1263">CM353</f>
        <v>1.9571780539059229</v>
      </c>
      <c r="DB353" s="4">
        <f t="shared" si="1263"/>
        <v>1.0453690663130164</v>
      </c>
      <c r="DC353" s="4">
        <f t="shared" ref="DC353" si="1264">CP353</f>
        <v>1.6863998078567315</v>
      </c>
      <c r="DD353" s="4">
        <f t="shared" ref="DD353" si="1265">CS353</f>
        <v>1.1890280478040305</v>
      </c>
      <c r="DE353" s="4">
        <f t="shared" ref="DE353:DF353" si="1266">CQ353</f>
        <v>1.0276805768179793</v>
      </c>
      <c r="DF353" s="4">
        <f t="shared" si="1266"/>
        <v>1.0879820523592281</v>
      </c>
      <c r="DI353" s="4">
        <f t="shared" si="1097"/>
        <v>241.29999999999998</v>
      </c>
      <c r="DL353" s="4">
        <f t="shared" si="999"/>
        <v>1.8994234773964424E-5</v>
      </c>
      <c r="DM353" s="4">
        <f t="shared" si="1000"/>
        <v>10.498887866793746</v>
      </c>
      <c r="DN353" s="4">
        <f t="shared" si="1001"/>
        <v>0.37732875353223522</v>
      </c>
      <c r="DO353" s="4">
        <f t="shared" si="1002"/>
        <v>7.1093722985602961</v>
      </c>
      <c r="DP353" s="4">
        <f t="shared" si="1003"/>
        <v>8.9663426766085994</v>
      </c>
      <c r="DQ353" s="4">
        <f t="shared" si="1004"/>
        <v>9.776160469501713</v>
      </c>
      <c r="DR353" s="38">
        <f t="shared" si="1029"/>
        <v>651.61801003114715</v>
      </c>
      <c r="DS353" s="4">
        <f t="shared" si="1005"/>
        <v>1.0001186705256411</v>
      </c>
      <c r="DT353" s="4">
        <f t="shared" si="1006"/>
        <v>2.2360679774997898</v>
      </c>
      <c r="DU353" s="4">
        <f t="shared" si="1007"/>
        <v>319.81296727761384</v>
      </c>
      <c r="DY353" s="4">
        <f t="shared" si="1008"/>
        <v>0.85</v>
      </c>
      <c r="DZ353" s="4">
        <f t="shared" si="1009"/>
        <v>0.85</v>
      </c>
      <c r="EA353" s="4">
        <f t="shared" si="1030"/>
        <v>0.77500000000000002</v>
      </c>
      <c r="EB353" s="4">
        <f t="shared" si="1010"/>
        <v>0.7</v>
      </c>
      <c r="ED353" s="4">
        <f t="shared" si="1031"/>
        <v>615.50203972729469</v>
      </c>
      <c r="EE353" s="25">
        <f t="shared" si="1032"/>
        <v>316.28373552367282</v>
      </c>
      <c r="EG353" s="4">
        <f t="shared" si="1213"/>
        <v>0.59499999999999997</v>
      </c>
      <c r="EH353" s="4">
        <f t="shared" si="1033"/>
        <v>10.498887866793746</v>
      </c>
      <c r="EK353" s="4">
        <f t="shared" si="1011"/>
        <v>56.796126628494655</v>
      </c>
      <c r="EL353" s="4">
        <f t="shared" si="1012"/>
        <v>2.2360679774997898</v>
      </c>
      <c r="EM353" s="4">
        <f t="shared" si="1013"/>
        <v>0.14119068731191298</v>
      </c>
      <c r="EP353" s="4">
        <f t="shared" si="1113"/>
        <v>0.14119068731191298</v>
      </c>
      <c r="EQ353" s="4">
        <f t="shared" si="1237"/>
        <v>0.37669906216710974</v>
      </c>
      <c r="ER353" s="4">
        <f t="shared" si="1014"/>
        <v>7.1046242335994894</v>
      </c>
      <c r="ES353" s="4">
        <f t="shared" si="1098"/>
        <v>8.9644642695673813</v>
      </c>
      <c r="ET353" s="4">
        <f t="shared" si="1015"/>
        <v>124.17887337150535</v>
      </c>
      <c r="EU353" s="4">
        <f t="shared" si="1016"/>
        <v>60.324999999999989</v>
      </c>
      <c r="EV353" s="4">
        <f t="shared" si="1238"/>
        <v>1.8994234773964424E-5</v>
      </c>
      <c r="EW353" s="4">
        <f t="shared" si="1099"/>
        <v>9.7763586721413507</v>
      </c>
      <c r="EX353" s="4">
        <f t="shared" si="1250"/>
        <v>651.54069135482757</v>
      </c>
      <c r="FG353" s="23">
        <f t="shared" si="1143"/>
        <v>2</v>
      </c>
      <c r="FH353" s="23">
        <f t="shared" si="1143"/>
        <v>1.2</v>
      </c>
      <c r="FI353" s="23">
        <f t="shared" si="1068"/>
        <v>1.2</v>
      </c>
      <c r="FJ353" s="23">
        <f t="shared" si="1144"/>
        <v>1.8</v>
      </c>
      <c r="FK353" s="23">
        <f t="shared" si="1144"/>
        <v>1.2</v>
      </c>
      <c r="FL353" s="23">
        <f t="shared" si="1144"/>
        <v>1.2</v>
      </c>
      <c r="FM353" s="23">
        <f t="shared" si="1037"/>
        <v>0</v>
      </c>
      <c r="FN353" s="23"/>
      <c r="FX353" s="4">
        <f t="shared" si="1200"/>
        <v>1</v>
      </c>
      <c r="FY353" s="4">
        <f t="shared" si="1258"/>
        <v>0.44</v>
      </c>
      <c r="FZ353" s="4">
        <f t="shared" si="1201"/>
        <v>0.3</v>
      </c>
      <c r="GA353" s="4">
        <f t="shared" si="1202"/>
        <v>563.19543819891646</v>
      </c>
    </row>
    <row r="354" spans="1:183" ht="12" customHeight="1" x14ac:dyDescent="0.3">
      <c r="A354" s="25">
        <v>336</v>
      </c>
      <c r="B354" s="4" t="s">
        <v>605</v>
      </c>
      <c r="C354" s="4">
        <v>2016</v>
      </c>
      <c r="D354" s="4" t="s">
        <v>309</v>
      </c>
      <c r="E354" s="24" t="s">
        <v>671</v>
      </c>
      <c r="F354" s="7" t="s">
        <v>499</v>
      </c>
      <c r="G354" s="38">
        <f t="shared" si="1260"/>
        <v>827.58620689655174</v>
      </c>
      <c r="H354" s="38">
        <f>9.33*25.4</f>
        <v>236.982</v>
      </c>
      <c r="I354" s="4">
        <f t="shared" si="1100"/>
        <v>236.982</v>
      </c>
      <c r="J354" s="38">
        <f>6790/145</f>
        <v>46.827586206896555</v>
      </c>
      <c r="K354" s="38">
        <f t="shared" si="1101"/>
        <v>25.4</v>
      </c>
      <c r="L354" s="7">
        <f t="shared" si="1102"/>
        <v>9.33</v>
      </c>
      <c r="M354" s="7">
        <f t="shared" si="1103"/>
        <v>9.33</v>
      </c>
      <c r="N354" s="38">
        <f>15.1*25.4</f>
        <v>383.53999999999996</v>
      </c>
      <c r="O354" s="38">
        <f>2.55*25.4</f>
        <v>64.77</v>
      </c>
      <c r="P354" s="39">
        <f>3.3*25.4</f>
        <v>83.82</v>
      </c>
      <c r="Q354" s="7">
        <f t="shared" si="1104"/>
        <v>88.899999999999991</v>
      </c>
      <c r="R354" s="38">
        <v>3</v>
      </c>
      <c r="S354" s="4">
        <f t="shared" si="1081"/>
        <v>260.34999999999997</v>
      </c>
      <c r="T354" s="7">
        <f t="shared" si="1105"/>
        <v>2.25</v>
      </c>
      <c r="U354" s="7">
        <f t="shared" si="1247"/>
        <v>3.05</v>
      </c>
      <c r="V354" s="38">
        <v>4</v>
      </c>
      <c r="W354" s="4">
        <f t="shared" si="1106"/>
        <v>4</v>
      </c>
      <c r="X354" s="4">
        <f t="shared" si="1107"/>
        <v>5</v>
      </c>
      <c r="Y354" s="7">
        <f t="shared" si="1108"/>
        <v>56.796126628494655</v>
      </c>
      <c r="AB354" s="38">
        <f t="shared" si="1151"/>
        <v>355.17241379310349</v>
      </c>
      <c r="AC354" s="4">
        <v>51.5</v>
      </c>
      <c r="AD354" s="4">
        <f t="shared" si="998"/>
        <v>0.79497862339968595</v>
      </c>
      <c r="AE354" s="38">
        <v>0</v>
      </c>
      <c r="AF354" s="38">
        <v>0</v>
      </c>
      <c r="AG354" s="39">
        <f t="shared" si="1251"/>
        <v>236.982</v>
      </c>
      <c r="AH354" s="39"/>
      <c r="AI354" s="39"/>
      <c r="AJ354" s="7"/>
      <c r="AK354" s="4">
        <f t="shared" si="1109"/>
        <v>236.982</v>
      </c>
      <c r="AL354" s="4">
        <f t="shared" si="1018"/>
        <v>0.53947838513754909</v>
      </c>
      <c r="AM354" s="4">
        <f t="shared" si="1019"/>
        <v>164.22730165587976</v>
      </c>
      <c r="AN354" s="4">
        <f t="shared" si="1020"/>
        <v>0.76538049303322608</v>
      </c>
      <c r="AO354" s="4">
        <v>1.25</v>
      </c>
      <c r="AP354" s="4">
        <f t="shared" si="1221"/>
        <v>2.5</v>
      </c>
      <c r="AQ354" s="38">
        <f t="shared" si="1082"/>
        <v>211.90773869847416</v>
      </c>
      <c r="AR354" s="38">
        <f t="shared" si="1021"/>
        <v>211.90773869847416</v>
      </c>
      <c r="AS354" s="38">
        <f t="shared" si="1022"/>
        <v>3.8975267336121062</v>
      </c>
      <c r="AT354" s="38">
        <f t="shared" si="1230"/>
        <v>211.90773869847405</v>
      </c>
      <c r="AU354" s="38">
        <f t="shared" si="1199"/>
        <v>1.0000000000000004</v>
      </c>
      <c r="AV354" s="38">
        <f t="shared" si="1231"/>
        <v>2.27168478680181</v>
      </c>
      <c r="AW354" s="4">
        <f t="shared" si="1232"/>
        <v>0</v>
      </c>
      <c r="AX354" s="4">
        <f t="shared" si="1110"/>
        <v>336.03067846381362</v>
      </c>
      <c r="AY354" s="4">
        <f t="shared" si="1083"/>
        <v>1.1422222222222222</v>
      </c>
      <c r="AZ354" s="38">
        <f t="shared" si="1242"/>
        <v>481.38758620689663</v>
      </c>
      <c r="BA354" s="4">
        <f t="shared" si="1084"/>
        <v>0.44000000000000006</v>
      </c>
      <c r="BB354" s="4">
        <f t="shared" si="1085"/>
        <v>77.253452978830751</v>
      </c>
      <c r="BC354" s="4">
        <f t="shared" si="1086"/>
        <v>558.64103918572732</v>
      </c>
      <c r="BE354" s="4">
        <f t="shared" si="1222"/>
        <v>1.3875</v>
      </c>
      <c r="BF354" s="4">
        <f t="shared" si="1225"/>
        <v>550.60098826422575</v>
      </c>
      <c r="BH354" s="4">
        <f t="shared" si="1248"/>
        <v>461.70956503811868</v>
      </c>
      <c r="BI354" s="4">
        <f t="shared" si="1184"/>
        <v>0</v>
      </c>
      <c r="BJ354" s="4">
        <f t="shared" si="1249"/>
        <v>0</v>
      </c>
      <c r="BK354" s="4">
        <f t="shared" si="1023"/>
        <v>50.849999999999994</v>
      </c>
      <c r="BL354" s="4">
        <f t="shared" si="1024"/>
        <v>50.849999999999994</v>
      </c>
      <c r="BM354" s="4">
        <f t="shared" si="1025"/>
        <v>260.34999999999997</v>
      </c>
      <c r="BN354" s="4">
        <f t="shared" si="1026"/>
        <v>63.55</v>
      </c>
      <c r="BO354" s="4">
        <f t="shared" si="1027"/>
        <v>1.25</v>
      </c>
      <c r="BP354" s="25">
        <f t="shared" si="1028"/>
        <v>3.1274606299212602</v>
      </c>
      <c r="BR354" s="4">
        <f t="shared" si="1087"/>
        <v>44.449999999999996</v>
      </c>
      <c r="BV354" s="9"/>
      <c r="BX354" s="9"/>
      <c r="BY354" s="9"/>
      <c r="BZ354" s="9">
        <f t="shared" si="1088"/>
        <v>44.449999999999996</v>
      </c>
      <c r="CA354" s="9">
        <f t="shared" si="1089"/>
        <v>64.77</v>
      </c>
      <c r="CB354" s="9">
        <f t="shared" si="1233"/>
        <v>1.3997302362379427</v>
      </c>
      <c r="CC354" s="40">
        <f t="shared" si="1111"/>
        <v>20</v>
      </c>
      <c r="CD354" s="9">
        <f t="shared" si="1090"/>
        <v>0</v>
      </c>
      <c r="CE354" s="9">
        <f t="shared" si="1091"/>
        <v>0</v>
      </c>
      <c r="CF354" s="9">
        <f t="shared" si="1092"/>
        <v>0.99524931562137331</v>
      </c>
      <c r="CG354" s="9">
        <f t="shared" si="1093"/>
        <v>0.68</v>
      </c>
      <c r="CH354" s="9">
        <f t="shared" si="1234"/>
        <v>1.6209130944490342</v>
      </c>
      <c r="CI354" s="9">
        <f t="shared" si="1235"/>
        <v>2.2688410686143214</v>
      </c>
      <c r="CJ354" s="40">
        <v>1</v>
      </c>
      <c r="CK354" s="9">
        <f t="shared" si="1236"/>
        <v>220.80361279754578</v>
      </c>
      <c r="CM354" s="4">
        <f t="shared" si="1094"/>
        <v>1.0569642492667561</v>
      </c>
      <c r="CN354" s="4">
        <f t="shared" si="1095"/>
        <v>0.63577930885779754</v>
      </c>
      <c r="CO354" s="4">
        <f t="shared" si="1062"/>
        <v>0.64506316073421432</v>
      </c>
      <c r="CP354" s="4">
        <f t="shared" si="1096"/>
        <v>1.6085443951442955</v>
      </c>
      <c r="CQ354" s="4">
        <f t="shared" si="1035"/>
        <v>0.79497862339968595</v>
      </c>
      <c r="CR354" s="4">
        <f t="shared" si="1036"/>
        <v>0.82233348350740842</v>
      </c>
      <c r="CS354" s="4">
        <f t="shared" si="1063"/>
        <v>0.98508375291617878</v>
      </c>
      <c r="CT354" s="4">
        <f t="shared" si="1112"/>
        <v>0</v>
      </c>
      <c r="CU354" s="4">
        <f t="shared" ref="CU354:CV354" si="1267">CM354</f>
        <v>1.0569642492667561</v>
      </c>
      <c r="CV354" s="4">
        <f t="shared" si="1267"/>
        <v>0.63577930885779754</v>
      </c>
      <c r="CW354" s="4">
        <f t="shared" ref="CW354" si="1268">CP354</f>
        <v>1.6085443951442955</v>
      </c>
      <c r="CX354" s="4">
        <f t="shared" si="1254"/>
        <v>0.98508375291617878</v>
      </c>
      <c r="CY354" s="4">
        <f t="shared" ref="CY354:CZ354" si="1269">CQ354</f>
        <v>0.79497862339968595</v>
      </c>
      <c r="CZ354" s="4">
        <f t="shared" si="1269"/>
        <v>0.82233348350740842</v>
      </c>
      <c r="DI354" s="4">
        <f t="shared" si="1097"/>
        <v>236.982</v>
      </c>
      <c r="DL354" s="4">
        <f t="shared" si="999"/>
        <v>1.8654337941167171E-5</v>
      </c>
      <c r="DM354" s="4">
        <f t="shared" si="1000"/>
        <v>7.9451043316276984</v>
      </c>
      <c r="DN354" s="4">
        <f t="shared" si="1001"/>
        <v>0.25001763870794352</v>
      </c>
      <c r="DO354" s="4">
        <f t="shared" si="1002"/>
        <v>4.5633929194179164</v>
      </c>
      <c r="DP354" s="4">
        <f t="shared" si="1003"/>
        <v>6.4803196530193512</v>
      </c>
      <c r="DQ354" s="4">
        <f t="shared" si="1004"/>
        <v>7.5694956542959266</v>
      </c>
      <c r="DR354" s="38">
        <f t="shared" si="1029"/>
        <v>446.76976630418892</v>
      </c>
      <c r="DS354" s="4">
        <f t="shared" si="1005"/>
        <v>1.0001046444848969</v>
      </c>
      <c r="DT354" s="4">
        <f t="shared" si="1006"/>
        <v>2.2360679774997898</v>
      </c>
      <c r="DU354" s="4">
        <f t="shared" si="1007"/>
        <v>211.90773869847405</v>
      </c>
      <c r="DY354" s="4">
        <f t="shared" si="1008"/>
        <v>0.85</v>
      </c>
      <c r="DZ354" s="4">
        <f t="shared" si="1009"/>
        <v>0.92500000000000004</v>
      </c>
      <c r="EA354" s="4">
        <f t="shared" si="1030"/>
        <v>1</v>
      </c>
      <c r="EB354" s="4">
        <f t="shared" si="1010"/>
        <v>0.92500000000000004</v>
      </c>
      <c r="ED354" s="4">
        <f t="shared" si="1031"/>
        <v>431.90800437582294</v>
      </c>
      <c r="EE354" s="25">
        <f t="shared" si="1032"/>
        <v>209.52453413356363</v>
      </c>
      <c r="EG354" s="4">
        <f t="shared" si="1213"/>
        <v>0.78625</v>
      </c>
      <c r="EH354" s="4">
        <f t="shared" si="1033"/>
        <v>7.9451043316276984</v>
      </c>
      <c r="EK354" s="4">
        <f t="shared" si="1011"/>
        <v>56.796126628494655</v>
      </c>
      <c r="EL354" s="4">
        <f t="shared" si="1012"/>
        <v>2.2360679774997898</v>
      </c>
      <c r="EM354" s="4">
        <f t="shared" si="1013"/>
        <v>9.3552802215112377E-2</v>
      </c>
      <c r="EP354" s="4">
        <f t="shared" si="1113"/>
        <v>9.3552802215112377E-2</v>
      </c>
      <c r="EQ354" s="4">
        <f t="shared" si="1237"/>
        <v>0.24960040586589352</v>
      </c>
      <c r="ER354" s="4">
        <f t="shared" si="1014"/>
        <v>4.5603452120939565</v>
      </c>
      <c r="ES354" s="4">
        <f t="shared" si="1098"/>
        <v>6.4792529673615737</v>
      </c>
      <c r="ET354" s="4">
        <f t="shared" si="1015"/>
        <v>120.94037337150536</v>
      </c>
      <c r="EU354" s="4">
        <f t="shared" si="1016"/>
        <v>59.245499999999993</v>
      </c>
      <c r="EV354" s="4">
        <f t="shared" si="1238"/>
        <v>1.8654337941167168E-5</v>
      </c>
      <c r="EW354" s="4">
        <f t="shared" si="1099"/>
        <v>7.5695844246889541</v>
      </c>
      <c r="EX354" s="4">
        <f t="shared" si="1250"/>
        <v>446.72301920395273</v>
      </c>
      <c r="FG354" s="23">
        <f t="shared" si="1143"/>
        <v>1.2</v>
      </c>
      <c r="FH354" s="23">
        <f t="shared" si="1143"/>
        <v>0.8</v>
      </c>
      <c r="FI354" s="23">
        <f t="shared" si="1068"/>
        <v>1</v>
      </c>
      <c r="FJ354" s="23">
        <f t="shared" si="1144"/>
        <v>1.8</v>
      </c>
      <c r="FK354" s="23">
        <f t="shared" si="1144"/>
        <v>0.8</v>
      </c>
      <c r="FL354" s="23">
        <f t="shared" si="1144"/>
        <v>1</v>
      </c>
      <c r="FM354" s="23">
        <f t="shared" si="1037"/>
        <v>1</v>
      </c>
      <c r="FN354" s="23"/>
      <c r="FX354" s="4">
        <f t="shared" si="1200"/>
        <v>1</v>
      </c>
      <c r="FY354" s="4">
        <f t="shared" si="1258"/>
        <v>0.67500000000000004</v>
      </c>
      <c r="FZ354" s="4">
        <f t="shared" si="1201"/>
        <v>0</v>
      </c>
      <c r="GA354" s="4">
        <f t="shared" si="1202"/>
        <v>360.55047374568289</v>
      </c>
    </row>
    <row r="355" spans="1:183" ht="12" customHeight="1" x14ac:dyDescent="0.3">
      <c r="A355" s="25">
        <v>337</v>
      </c>
      <c r="B355" s="4" t="s">
        <v>605</v>
      </c>
      <c r="C355" s="4">
        <v>2016</v>
      </c>
      <c r="D355" s="4" t="s">
        <v>309</v>
      </c>
      <c r="E355" s="24" t="s">
        <v>671</v>
      </c>
      <c r="F355" s="7" t="s">
        <v>500</v>
      </c>
      <c r="G355" s="38">
        <f t="shared" si="1260"/>
        <v>827.58620689655174</v>
      </c>
      <c r="H355" s="38">
        <f>9.17*25.4</f>
        <v>232.91799999999998</v>
      </c>
      <c r="I355" s="4">
        <f t="shared" si="1100"/>
        <v>232.91799999999998</v>
      </c>
      <c r="J355" s="38">
        <f>6650/145</f>
        <v>45.862068965517238</v>
      </c>
      <c r="K355" s="38">
        <f t="shared" si="1101"/>
        <v>25.4</v>
      </c>
      <c r="L355" s="7">
        <f t="shared" si="1102"/>
        <v>9.17</v>
      </c>
      <c r="M355" s="7">
        <f t="shared" si="1103"/>
        <v>9.17</v>
      </c>
      <c r="N355" s="38">
        <f>15.3*25.4</f>
        <v>388.62</v>
      </c>
      <c r="O355" s="38">
        <f>2.45*25.4</f>
        <v>62.230000000000004</v>
      </c>
      <c r="P355" s="39">
        <f>3.5*25.4</f>
        <v>88.899999999999991</v>
      </c>
      <c r="Q355" s="7">
        <f t="shared" si="1104"/>
        <v>93.98</v>
      </c>
      <c r="R355" s="38">
        <v>3</v>
      </c>
      <c r="S355" s="4">
        <f t="shared" si="1081"/>
        <v>260.34999999999997</v>
      </c>
      <c r="T355" s="7">
        <f t="shared" si="1105"/>
        <v>2.35</v>
      </c>
      <c r="U355" s="7">
        <f t="shared" si="1247"/>
        <v>2.95</v>
      </c>
      <c r="V355" s="38">
        <v>4</v>
      </c>
      <c r="W355" s="4">
        <f t="shared" si="1106"/>
        <v>4</v>
      </c>
      <c r="X355" s="4">
        <f t="shared" si="1107"/>
        <v>5</v>
      </c>
      <c r="Y355" s="7">
        <f t="shared" si="1108"/>
        <v>56.796126628494655</v>
      </c>
      <c r="AB355" s="38">
        <f t="shared" si="1151"/>
        <v>545.51724137931035</v>
      </c>
      <c r="AC355" s="4">
        <v>79.099999999999994</v>
      </c>
      <c r="AD355" s="4">
        <f t="shared" si="998"/>
        <v>1.0750809484919404</v>
      </c>
      <c r="AE355" s="38">
        <f t="shared" ref="AE355" si="1270">0.5*25.4</f>
        <v>12.7</v>
      </c>
      <c r="AF355" s="38">
        <v>10</v>
      </c>
      <c r="AG355" s="39">
        <f t="shared" ref="AG355" si="1271">3*25.4</f>
        <v>76.199999999999989</v>
      </c>
      <c r="AH355" s="39">
        <v>3</v>
      </c>
      <c r="AI355" s="39">
        <f>AH355-1</f>
        <v>2</v>
      </c>
      <c r="AJ355" s="7"/>
      <c r="AK355" s="4">
        <f t="shared" si="1109"/>
        <v>232.91799999999998</v>
      </c>
      <c r="AL355" s="4">
        <f t="shared" si="1018"/>
        <v>0.5561613958560524</v>
      </c>
      <c r="AM355" s="4">
        <f t="shared" si="1019"/>
        <v>158.36267557236209</v>
      </c>
      <c r="AN355" s="4">
        <f t="shared" si="1020"/>
        <v>0.76434023991275901</v>
      </c>
      <c r="AO355" s="4">
        <v>1.25</v>
      </c>
      <c r="AP355" s="4">
        <f t="shared" si="1221"/>
        <v>2.5</v>
      </c>
      <c r="AQ355" s="38">
        <f t="shared" si="1082"/>
        <v>210.37320193056468</v>
      </c>
      <c r="AR355" s="38">
        <f t="shared" si="1021"/>
        <v>210.37320193056468</v>
      </c>
      <c r="AS355" s="38">
        <f t="shared" si="1022"/>
        <v>3.8437666713572023</v>
      </c>
      <c r="AT355" s="38">
        <f t="shared" si="1230"/>
        <v>210.37320193056462</v>
      </c>
      <c r="AU355" s="38">
        <f t="shared" si="1199"/>
        <v>1.0000000000000002</v>
      </c>
      <c r="AV355" s="38">
        <f t="shared" si="1231"/>
        <v>2.2585150110496457</v>
      </c>
      <c r="AW355" s="4">
        <f t="shared" si="1232"/>
        <v>0</v>
      </c>
      <c r="AX355" s="4">
        <f t="shared" si="1110"/>
        <v>326.84553481692853</v>
      </c>
      <c r="AY355" s="4">
        <f t="shared" si="1083"/>
        <v>1.102127659574468</v>
      </c>
      <c r="AZ355" s="38">
        <f t="shared" si="1242"/>
        <v>475.13103448275854</v>
      </c>
      <c r="BA355" s="4">
        <f t="shared" si="1084"/>
        <v>0.44000000000000006</v>
      </c>
      <c r="BB355" s="4">
        <f t="shared" si="1085"/>
        <v>75.141788454411881</v>
      </c>
      <c r="BC355" s="4">
        <f t="shared" si="1086"/>
        <v>550.27282293717042</v>
      </c>
      <c r="BE355" s="4">
        <f t="shared" si="1222"/>
        <v>1.5</v>
      </c>
      <c r="BF355" s="4">
        <f t="shared" si="1225"/>
        <v>584.19985949690783</v>
      </c>
      <c r="BH355" s="4">
        <f t="shared" si="1248"/>
        <v>455.70876680825171</v>
      </c>
      <c r="BI355" s="4">
        <f t="shared" si="1184"/>
        <v>0</v>
      </c>
      <c r="BJ355" s="4">
        <f t="shared" si="1249"/>
        <v>0</v>
      </c>
      <c r="BK355" s="4">
        <f t="shared" si="1023"/>
        <v>53.39</v>
      </c>
      <c r="BL355" s="4">
        <f t="shared" si="1024"/>
        <v>53.39</v>
      </c>
      <c r="BM355" s="4">
        <f t="shared" si="1025"/>
        <v>260.34999999999997</v>
      </c>
      <c r="BN355" s="4">
        <f t="shared" si="1026"/>
        <v>66.09</v>
      </c>
      <c r="BO355" s="4">
        <f t="shared" si="1027"/>
        <v>1.25</v>
      </c>
      <c r="BP355" s="25">
        <f t="shared" si="1028"/>
        <v>4</v>
      </c>
      <c r="BR355" s="4">
        <f t="shared" si="1087"/>
        <v>46.99</v>
      </c>
      <c r="BV355" s="9"/>
      <c r="BX355" s="9"/>
      <c r="BY355" s="9"/>
      <c r="BZ355" s="9">
        <f t="shared" si="1088"/>
        <v>46.99</v>
      </c>
      <c r="CA355" s="9">
        <f t="shared" si="1089"/>
        <v>62.230000000000004</v>
      </c>
      <c r="CB355" s="9">
        <f t="shared" si="1233"/>
        <v>1.4186818663340235</v>
      </c>
      <c r="CC355" s="40">
        <f t="shared" si="1111"/>
        <v>20</v>
      </c>
      <c r="CD355" s="9">
        <f t="shared" si="1090"/>
        <v>0.05</v>
      </c>
      <c r="CE355" s="9">
        <f t="shared" si="1091"/>
        <v>0.8</v>
      </c>
      <c r="CF355" s="9">
        <f t="shared" si="1092"/>
        <v>0.99524931562137331</v>
      </c>
      <c r="CG355" s="9">
        <f t="shared" si="1093"/>
        <v>0.68</v>
      </c>
      <c r="CH355" s="9">
        <f t="shared" si="1234"/>
        <v>1.6041156142513788</v>
      </c>
      <c r="CI355" s="9">
        <f t="shared" si="1235"/>
        <v>3.5590222248427974</v>
      </c>
      <c r="CJ355" s="40">
        <v>1</v>
      </c>
      <c r="CK355" s="9">
        <f t="shared" si="1236"/>
        <v>344.08626869780164</v>
      </c>
      <c r="CM355" s="4">
        <f t="shared" si="1094"/>
        <v>1.6690368485066298</v>
      </c>
      <c r="CN355" s="4">
        <f t="shared" si="1095"/>
        <v>0.99135777498064259</v>
      </c>
      <c r="CO355" s="4">
        <f t="shared" si="1062"/>
        <v>0.93378530054610154</v>
      </c>
      <c r="CP355" s="4">
        <f t="shared" si="1096"/>
        <v>1.5854083437965325</v>
      </c>
      <c r="CQ355" s="4">
        <f t="shared" si="1035"/>
        <v>1.0750809484919404</v>
      </c>
      <c r="CR355" s="4">
        <f t="shared" si="1036"/>
        <v>1.1130622636058647</v>
      </c>
      <c r="CS355" s="4">
        <f t="shared" si="1063"/>
        <v>1.676977781714432</v>
      </c>
      <c r="CT355" s="4">
        <f t="shared" si="1112"/>
        <v>10</v>
      </c>
      <c r="DA355" s="4">
        <f t="shared" ref="DA355:DB355" si="1272">CM355</f>
        <v>1.6690368485066298</v>
      </c>
      <c r="DB355" s="4">
        <f t="shared" si="1272"/>
        <v>0.99135777498064259</v>
      </c>
      <c r="DC355" s="4">
        <f t="shared" ref="DC355" si="1273">CP355</f>
        <v>1.5854083437965325</v>
      </c>
      <c r="DD355" s="4">
        <f t="shared" ref="DD355" si="1274">CS355</f>
        <v>1.676977781714432</v>
      </c>
      <c r="DE355" s="4">
        <f t="shared" ref="DE355:DF355" si="1275">CQ355</f>
        <v>1.0750809484919404</v>
      </c>
      <c r="DF355" s="4">
        <f t="shared" si="1275"/>
        <v>1.1130622636058647</v>
      </c>
      <c r="DI355" s="4">
        <f t="shared" si="1097"/>
        <v>232.91799999999998</v>
      </c>
      <c r="DL355" s="4">
        <f t="shared" si="999"/>
        <v>1.8221231027775321E-5</v>
      </c>
      <c r="DM355" s="4">
        <f t="shared" si="1000"/>
        <v>10.256388811022733</v>
      </c>
      <c r="DN355" s="4">
        <f t="shared" si="1001"/>
        <v>0.25343254108029062</v>
      </c>
      <c r="DO355" s="4">
        <f t="shared" si="1002"/>
        <v>5.9229685617203174</v>
      </c>
      <c r="DP355" s="4">
        <f t="shared" si="1003"/>
        <v>8.3767340140551969</v>
      </c>
      <c r="DQ355" s="4">
        <f t="shared" si="1004"/>
        <v>9.6564537119373188</v>
      </c>
      <c r="DR355" s="38">
        <f t="shared" si="1029"/>
        <v>507.419689786643</v>
      </c>
      <c r="DS355" s="4">
        <f t="shared" si="1005"/>
        <v>1.0001180171195405</v>
      </c>
      <c r="DT355" s="4">
        <f t="shared" si="1006"/>
        <v>2.2360679774997898</v>
      </c>
      <c r="DU355" s="4">
        <f t="shared" si="1007"/>
        <v>210.37320193056462</v>
      </c>
      <c r="DY355" s="4">
        <f t="shared" si="1008"/>
        <v>0.85</v>
      </c>
      <c r="DZ355" s="4">
        <f t="shared" si="1009"/>
        <v>0.91500000000000004</v>
      </c>
      <c r="EA355" s="4">
        <f t="shared" si="1030"/>
        <v>0.77500000000000002</v>
      </c>
      <c r="EB355" s="4">
        <f t="shared" si="1010"/>
        <v>0.70912500000000001</v>
      </c>
      <c r="ED355" s="4">
        <f t="shared" si="1031"/>
        <v>490.1048748270905</v>
      </c>
      <c r="EE355" s="25">
        <f t="shared" si="1032"/>
        <v>207.95161863585514</v>
      </c>
      <c r="EG355" s="4">
        <f t="shared" si="1213"/>
        <v>0.60275624999999999</v>
      </c>
      <c r="EH355" s="4">
        <f t="shared" si="1033"/>
        <v>10.256388811022733</v>
      </c>
      <c r="EK355" s="4">
        <f t="shared" si="1011"/>
        <v>56.796126628494655</v>
      </c>
      <c r="EL355" s="4">
        <f t="shared" si="1012"/>
        <v>2.2360679774997898</v>
      </c>
      <c r="EM355" s="4">
        <f t="shared" si="1013"/>
        <v>9.3847879695297828E-2</v>
      </c>
      <c r="EP355" s="4">
        <f t="shared" si="1113"/>
        <v>9.3847879695297828E-2</v>
      </c>
      <c r="EQ355" s="4">
        <f t="shared" si="1237"/>
        <v>0.25300960940263245</v>
      </c>
      <c r="ER355" s="4">
        <f t="shared" si="1014"/>
        <v>5.9190128482886895</v>
      </c>
      <c r="ES355" s="4">
        <f t="shared" si="1098"/>
        <v>8.3753436193313071</v>
      </c>
      <c r="ET355" s="4">
        <f t="shared" si="1015"/>
        <v>117.89237337150533</v>
      </c>
      <c r="EU355" s="4">
        <f t="shared" si="1016"/>
        <v>58.229500000000002</v>
      </c>
      <c r="EV355" s="4">
        <f t="shared" si="1238"/>
        <v>1.8221231027775321E-5</v>
      </c>
      <c r="EW355" s="4">
        <f t="shared" si="1099"/>
        <v>9.6565973895003765</v>
      </c>
      <c r="EX355" s="4">
        <f t="shared" si="1250"/>
        <v>507.35981264298425</v>
      </c>
      <c r="FG355" s="23">
        <f t="shared" si="1143"/>
        <v>1.8</v>
      </c>
      <c r="FH355" s="23">
        <f t="shared" si="1143"/>
        <v>1</v>
      </c>
      <c r="FI355" s="23">
        <f t="shared" si="1068"/>
        <v>1.8</v>
      </c>
      <c r="FJ355" s="23">
        <f t="shared" si="1144"/>
        <v>1.6</v>
      </c>
      <c r="FK355" s="23">
        <f t="shared" si="1144"/>
        <v>1.2</v>
      </c>
      <c r="FL355" s="23">
        <f t="shared" si="1144"/>
        <v>1.2</v>
      </c>
      <c r="FM355" s="23">
        <f t="shared" si="1037"/>
        <v>0</v>
      </c>
      <c r="FN355" s="23"/>
      <c r="FX355" s="4">
        <f t="shared" si="1200"/>
        <v>1.25</v>
      </c>
      <c r="FY355" s="4">
        <f t="shared" si="1258"/>
        <v>0.58520000000000005</v>
      </c>
      <c r="FZ355" s="4">
        <f t="shared" si="1201"/>
        <v>0.3</v>
      </c>
      <c r="GA355" s="4">
        <f t="shared" si="1202"/>
        <v>325.29783478801329</v>
      </c>
    </row>
    <row r="356" spans="1:183" ht="12" customHeight="1" x14ac:dyDescent="0.3">
      <c r="A356" s="25">
        <v>338</v>
      </c>
      <c r="B356" s="4" t="s">
        <v>605</v>
      </c>
      <c r="C356" s="4">
        <v>2016</v>
      </c>
      <c r="D356" s="4" t="s">
        <v>309</v>
      </c>
      <c r="E356" s="24" t="s">
        <v>671</v>
      </c>
      <c r="F356" s="7" t="s">
        <v>501</v>
      </c>
      <c r="G356" s="38">
        <f t="shared" si="1260"/>
        <v>827.58620689655174</v>
      </c>
      <c r="H356" s="38">
        <f>9.47*25.4</f>
        <v>240.53800000000001</v>
      </c>
      <c r="I356" s="4">
        <f t="shared" si="1100"/>
        <v>240.53800000000001</v>
      </c>
      <c r="J356" s="38">
        <f>6650/145</f>
        <v>45.862068965517238</v>
      </c>
      <c r="K356" s="38">
        <f t="shared" si="1101"/>
        <v>25.4</v>
      </c>
      <c r="L356" s="7">
        <f t="shared" si="1102"/>
        <v>9.4700000000000006</v>
      </c>
      <c r="M356" s="7">
        <f t="shared" si="1103"/>
        <v>9.4700000000000006</v>
      </c>
      <c r="N356" s="38">
        <f>14.8*25.4</f>
        <v>375.92</v>
      </c>
      <c r="O356" s="38">
        <f>2.45*25.4</f>
        <v>62.230000000000004</v>
      </c>
      <c r="P356" s="39">
        <f>3.3*25.4</f>
        <v>83.82</v>
      </c>
      <c r="Q356" s="7">
        <f t="shared" si="1104"/>
        <v>49.953333333333347</v>
      </c>
      <c r="R356" s="38">
        <v>4</v>
      </c>
      <c r="S356" s="4">
        <f t="shared" si="1081"/>
        <v>260.34999999999997</v>
      </c>
      <c r="T356" s="7">
        <f t="shared" si="1105"/>
        <v>1.4833333333333336</v>
      </c>
      <c r="U356" s="7">
        <f t="shared" si="1247"/>
        <v>2.95</v>
      </c>
      <c r="V356" s="38">
        <v>4</v>
      </c>
      <c r="W356" s="4">
        <f t="shared" si="1106"/>
        <v>4</v>
      </c>
      <c r="X356" s="4">
        <f t="shared" si="1107"/>
        <v>5</v>
      </c>
      <c r="Y356" s="7">
        <f t="shared" si="1108"/>
        <v>56.796126628494655</v>
      </c>
      <c r="AB356" s="38">
        <f t="shared" si="1151"/>
        <v>228.27586206896555</v>
      </c>
      <c r="AC356" s="4">
        <v>33.1</v>
      </c>
      <c r="AD356" s="4">
        <f t="shared" si="998"/>
        <v>0.62319362436667958</v>
      </c>
      <c r="AE356" s="38">
        <v>0</v>
      </c>
      <c r="AF356" s="38">
        <v>0</v>
      </c>
      <c r="AG356" s="39">
        <f t="shared" si="1251"/>
        <v>240.53800000000001</v>
      </c>
      <c r="AH356" s="39"/>
      <c r="AI356" s="39"/>
      <c r="AJ356" s="7"/>
      <c r="AK356" s="4">
        <f t="shared" si="1109"/>
        <v>240.53800000000001</v>
      </c>
      <c r="AL356" s="4">
        <f t="shared" si="1018"/>
        <v>0.52094332981344593</v>
      </c>
      <c r="AM356" s="4">
        <f t="shared" si="1019"/>
        <v>124.64792666075199</v>
      </c>
      <c r="AN356" s="4">
        <f t="shared" si="1020"/>
        <v>0.76230200633579726</v>
      </c>
      <c r="AO356" s="4">
        <v>1.25</v>
      </c>
      <c r="AP356" s="4">
        <f t="shared" si="1221"/>
        <v>2.5</v>
      </c>
      <c r="AQ356" s="38">
        <f t="shared" si="1082"/>
        <v>154.68657556433811</v>
      </c>
      <c r="AR356" s="38">
        <f t="shared" si="1021"/>
        <v>154.68657556433811</v>
      </c>
      <c r="AS356" s="38">
        <f t="shared" si="1022"/>
        <v>3.8437666713572023</v>
      </c>
      <c r="AT356" s="38">
        <f t="shared" si="1230"/>
        <v>154.68657556433794</v>
      </c>
      <c r="AU356" s="38">
        <f t="shared" si="1199"/>
        <v>1.0000000000000011</v>
      </c>
      <c r="AV356" s="38">
        <f t="shared" si="1231"/>
        <v>2.4548861441214105</v>
      </c>
      <c r="AW356" s="4">
        <f t="shared" si="1232"/>
        <v>0</v>
      </c>
      <c r="AX356" s="4">
        <f t="shared" si="1110"/>
        <v>337.53840945652274</v>
      </c>
      <c r="AY356" s="4">
        <f t="shared" si="1083"/>
        <v>1.395505617977528</v>
      </c>
      <c r="AZ356" s="38">
        <f t="shared" si="1242"/>
        <v>379.73793103448276</v>
      </c>
      <c r="BA356" s="4">
        <f t="shared" si="1084"/>
        <v>0.44000000000000006</v>
      </c>
      <c r="BB356" s="4">
        <f t="shared" si="1085"/>
        <v>77.600080334054581</v>
      </c>
      <c r="BC356" s="4">
        <f t="shared" si="1086"/>
        <v>457.33801136853731</v>
      </c>
      <c r="BE356" s="4">
        <f t="shared" si="1222"/>
        <v>1.3625</v>
      </c>
      <c r="BF356" s="4">
        <f t="shared" si="1225"/>
        <v>538.95255947666624</v>
      </c>
      <c r="BH356" s="4">
        <f t="shared" si="1248"/>
        <v>364.21511478497354</v>
      </c>
      <c r="BI356" s="4">
        <f t="shared" si="1184"/>
        <v>0</v>
      </c>
      <c r="BJ356" s="4">
        <f t="shared" si="1249"/>
        <v>0</v>
      </c>
      <c r="BK356" s="4">
        <f t="shared" si="1023"/>
        <v>31.376666666666672</v>
      </c>
      <c r="BL356" s="4">
        <f t="shared" si="1024"/>
        <v>31.376666666666672</v>
      </c>
      <c r="BM356" s="4">
        <f t="shared" si="1025"/>
        <v>260.34999999999997</v>
      </c>
      <c r="BN356" s="4">
        <f t="shared" si="1026"/>
        <v>44.076666666666668</v>
      </c>
      <c r="BO356" s="4">
        <f t="shared" si="1027"/>
        <v>1.25</v>
      </c>
      <c r="BP356" s="25">
        <f t="shared" si="1028"/>
        <v>2.1691272965879267</v>
      </c>
      <c r="BR356" s="4">
        <f t="shared" si="1087"/>
        <v>24.976666666666674</v>
      </c>
      <c r="BV356" s="9"/>
      <c r="BX356" s="9"/>
      <c r="BY356" s="9"/>
      <c r="BZ356" s="9">
        <f t="shared" si="1088"/>
        <v>24.976666666666674</v>
      </c>
      <c r="CA356" s="9">
        <f t="shared" si="1089"/>
        <v>62.230000000000004</v>
      </c>
      <c r="CB356" s="9">
        <f t="shared" si="1233"/>
        <v>1.1371563454107663</v>
      </c>
      <c r="CC356" s="40">
        <f t="shared" si="1111"/>
        <v>20</v>
      </c>
      <c r="CD356" s="9">
        <f t="shared" si="1090"/>
        <v>0</v>
      </c>
      <c r="CE356" s="9">
        <f t="shared" si="1091"/>
        <v>0</v>
      </c>
      <c r="CF356" s="9">
        <f t="shared" si="1092"/>
        <v>0.99524931562137331</v>
      </c>
      <c r="CG356" s="9">
        <f t="shared" si="1093"/>
        <v>0.68</v>
      </c>
      <c r="CH356" s="9">
        <f t="shared" si="1234"/>
        <v>1.6041156142513788</v>
      </c>
      <c r="CI356" s="9">
        <f t="shared" si="1235"/>
        <v>1.8241302495184444</v>
      </c>
      <c r="CJ356" s="40">
        <v>1</v>
      </c>
      <c r="CK356" s="9">
        <f t="shared" si="1236"/>
        <v>178.54586882286534</v>
      </c>
      <c r="CM356" s="4">
        <f t="shared" si="1094"/>
        <v>0.6762959582481799</v>
      </c>
      <c r="CN356" s="4">
        <f t="shared" si="1095"/>
        <v>0.49914036531945671</v>
      </c>
      <c r="CO356" s="4">
        <f t="shared" si="1062"/>
        <v>0.42355464883704419</v>
      </c>
      <c r="CP356" s="4">
        <f t="shared" si="1096"/>
        <v>1.2785278291453337</v>
      </c>
      <c r="CQ356" s="4">
        <f t="shared" si="1035"/>
        <v>0.62319362436667958</v>
      </c>
      <c r="CR356" s="4">
        <f t="shared" si="1036"/>
        <v>0.63480838312555887</v>
      </c>
      <c r="CS356" s="4">
        <f t="shared" si="1063"/>
        <v>0.87280886698648519</v>
      </c>
      <c r="CT356" s="4">
        <f t="shared" si="1112"/>
        <v>0</v>
      </c>
      <c r="CU356" s="4">
        <f t="shared" ref="CU356:CV356" si="1276">CM356</f>
        <v>0.6762959582481799</v>
      </c>
      <c r="CV356" s="4">
        <f t="shared" si="1276"/>
        <v>0.49914036531945671</v>
      </c>
      <c r="CW356" s="4">
        <f t="shared" ref="CW356" si="1277">CP356</f>
        <v>1.2785278291453337</v>
      </c>
      <c r="CX356" s="4">
        <f t="shared" si="1254"/>
        <v>0.87280886698648519</v>
      </c>
      <c r="CY356" s="4">
        <f t="shared" ref="CY356:CZ356" si="1278">CQ356</f>
        <v>0.62319362436667958</v>
      </c>
      <c r="CZ356" s="4">
        <f t="shared" si="1278"/>
        <v>0.63480838312555887</v>
      </c>
      <c r="DI356" s="4">
        <f t="shared" si="1097"/>
        <v>240.53800000000001</v>
      </c>
      <c r="DL356" s="4">
        <f t="shared" si="999"/>
        <v>1.8817345456164922E-5</v>
      </c>
      <c r="DM356" s="4">
        <f t="shared" si="1000"/>
        <v>7.2730617156164961</v>
      </c>
      <c r="DN356" s="4">
        <f t="shared" si="1001"/>
        <v>0.18634793574714756</v>
      </c>
      <c r="DO356" s="4">
        <f t="shared" si="1002"/>
        <v>3.7140445371509778</v>
      </c>
      <c r="DP356" s="4">
        <f t="shared" si="1003"/>
        <v>5.7772651340212935</v>
      </c>
      <c r="DQ356" s="4">
        <f t="shared" si="1004"/>
        <v>6.9625541839601279</v>
      </c>
      <c r="DR356" s="38">
        <f t="shared" si="1029"/>
        <v>366.30006011526649</v>
      </c>
      <c r="DS356" s="4">
        <f t="shared" si="1005"/>
        <v>1.0001008195512369</v>
      </c>
      <c r="DT356" s="4">
        <f t="shared" si="1006"/>
        <v>2.2360679774997898</v>
      </c>
      <c r="DU356" s="4">
        <f t="shared" si="1007"/>
        <v>154.68657556433794</v>
      </c>
      <c r="DY356" s="4">
        <f t="shared" si="1008"/>
        <v>0.85</v>
      </c>
      <c r="DZ356" s="4">
        <f t="shared" si="1009"/>
        <v>1</v>
      </c>
      <c r="EA356" s="4">
        <f t="shared" si="1030"/>
        <v>1</v>
      </c>
      <c r="EB356" s="4">
        <f t="shared" si="1010"/>
        <v>1</v>
      </c>
      <c r="ED356" s="4">
        <f t="shared" si="1031"/>
        <v>359.59805846454111</v>
      </c>
      <c r="EE356" s="25">
        <f t="shared" si="1032"/>
        <v>152.97037512387644</v>
      </c>
      <c r="EG356" s="4">
        <f t="shared" si="1213"/>
        <v>0.85</v>
      </c>
      <c r="EH356" s="4">
        <f t="shared" si="1033"/>
        <v>7.2730617156164961</v>
      </c>
      <c r="EK356" s="4">
        <f t="shared" si="1011"/>
        <v>56.796126628494655</v>
      </c>
      <c r="EL356" s="4">
        <f t="shared" si="1012"/>
        <v>2.2360679774997898</v>
      </c>
      <c r="EM356" s="4">
        <f t="shared" si="1013"/>
        <v>6.9005971296814891E-2</v>
      </c>
      <c r="EP356" s="4">
        <f t="shared" si="1113"/>
        <v>6.9005971296814891E-2</v>
      </c>
      <c r="EQ356" s="4">
        <f t="shared" si="1237"/>
        <v>0.18603695577291959</v>
      </c>
      <c r="ER356" s="4">
        <f t="shared" si="1014"/>
        <v>3.711564075587122</v>
      </c>
      <c r="ES356" s="4">
        <f t="shared" si="1098"/>
        <v>5.7764763931624632</v>
      </c>
      <c r="ET356" s="4">
        <f t="shared" si="1015"/>
        <v>123.60737337150536</v>
      </c>
      <c r="EU356" s="4">
        <f t="shared" si="1016"/>
        <v>60.134500000000003</v>
      </c>
      <c r="EV356" s="4">
        <f t="shared" si="1238"/>
        <v>1.8817345456164922E-5</v>
      </c>
      <c r="EW356" s="4">
        <f t="shared" si="1099"/>
        <v>6.9626188991674915</v>
      </c>
      <c r="EX356" s="4">
        <f t="shared" si="1250"/>
        <v>366.26313363049928</v>
      </c>
      <c r="FG356" s="23">
        <f t="shared" si="1143"/>
        <v>0.8</v>
      </c>
      <c r="FH356" s="23">
        <f t="shared" si="1143"/>
        <v>0.6</v>
      </c>
      <c r="FI356" s="23">
        <f t="shared" si="1068"/>
        <v>1</v>
      </c>
      <c r="FJ356" s="23">
        <f t="shared" si="1144"/>
        <v>1.4</v>
      </c>
      <c r="FK356" s="23">
        <f t="shared" si="1144"/>
        <v>0.8</v>
      </c>
      <c r="FL356" s="23">
        <f t="shared" si="1144"/>
        <v>0.8</v>
      </c>
      <c r="FM356" s="23">
        <f t="shared" si="1037"/>
        <v>1</v>
      </c>
      <c r="FN356" s="23"/>
      <c r="FX356" s="4">
        <f t="shared" si="1200"/>
        <v>1.25</v>
      </c>
      <c r="FY356" s="4">
        <f t="shared" si="1258"/>
        <v>0.75166666666666659</v>
      </c>
      <c r="FZ356" s="4">
        <f t="shared" si="1201"/>
        <v>0</v>
      </c>
      <c r="GA356" s="4">
        <f t="shared" si="1202"/>
        <v>261.54163953114403</v>
      </c>
    </row>
    <row r="357" spans="1:183" ht="12" customHeight="1" x14ac:dyDescent="0.3">
      <c r="A357" s="25">
        <v>339</v>
      </c>
      <c r="B357" s="4" t="s">
        <v>605</v>
      </c>
      <c r="C357" s="4">
        <v>2016</v>
      </c>
      <c r="D357" s="4" t="s">
        <v>309</v>
      </c>
      <c r="E357" s="24" t="s">
        <v>671</v>
      </c>
      <c r="F357" s="7" t="s">
        <v>502</v>
      </c>
      <c r="G357" s="38">
        <f t="shared" si="1260"/>
        <v>827.58620689655174</v>
      </c>
      <c r="H357" s="38">
        <f>9.66*25.4</f>
        <v>245.36399999999998</v>
      </c>
      <c r="I357" s="4">
        <f t="shared" si="1100"/>
        <v>245.36399999999998</v>
      </c>
      <c r="J357" s="38">
        <f>6650/145</f>
        <v>45.862068965517238</v>
      </c>
      <c r="K357" s="38">
        <f t="shared" si="1101"/>
        <v>25.4</v>
      </c>
      <c r="L357" s="7">
        <f t="shared" si="1102"/>
        <v>9.66</v>
      </c>
      <c r="M357" s="7">
        <f t="shared" si="1103"/>
        <v>9.66</v>
      </c>
      <c r="N357" s="38">
        <f>15.3*25.4</f>
        <v>388.62</v>
      </c>
      <c r="O357" s="38">
        <f>2.55*25.4</f>
        <v>64.77</v>
      </c>
      <c r="P357" s="39">
        <f>3*25.4</f>
        <v>76.199999999999989</v>
      </c>
      <c r="Q357" s="7">
        <f t="shared" si="1104"/>
        <v>52.493333333333332</v>
      </c>
      <c r="R357" s="38">
        <v>4</v>
      </c>
      <c r="S357" s="4">
        <f t="shared" si="1081"/>
        <v>260.34999999999997</v>
      </c>
      <c r="T357" s="7">
        <f t="shared" si="1105"/>
        <v>1.5333333333333334</v>
      </c>
      <c r="U357" s="7">
        <f t="shared" si="1247"/>
        <v>3.05</v>
      </c>
      <c r="V357" s="38">
        <v>4</v>
      </c>
      <c r="W357" s="4">
        <f t="shared" si="1106"/>
        <v>4</v>
      </c>
      <c r="X357" s="4">
        <f t="shared" si="1107"/>
        <v>5</v>
      </c>
      <c r="Y357" s="7">
        <f t="shared" si="1108"/>
        <v>56.796126628494655</v>
      </c>
      <c r="AB357" s="38">
        <f t="shared" si="1151"/>
        <v>424.13793103448279</v>
      </c>
      <c r="AC357" s="4">
        <v>61.5</v>
      </c>
      <c r="AD357" s="4">
        <f t="shared" ref="AD357:AD420" si="1279">CQ357</f>
        <v>0.96051437093285852</v>
      </c>
      <c r="AE357" s="38">
        <f t="shared" ref="AE357" si="1280">0.5*25.4</f>
        <v>12.7</v>
      </c>
      <c r="AF357" s="38">
        <v>10</v>
      </c>
      <c r="AG357" s="39">
        <f t="shared" ref="AG357" si="1281">3*25.4</f>
        <v>76.199999999999989</v>
      </c>
      <c r="AH357" s="39">
        <v>3</v>
      </c>
      <c r="AI357" s="39">
        <f>AH357-1</f>
        <v>2</v>
      </c>
      <c r="AJ357" s="7"/>
      <c r="AK357" s="4">
        <f t="shared" si="1109"/>
        <v>245.36399999999998</v>
      </c>
      <c r="AL357" s="4">
        <f t="shared" si="1018"/>
        <v>0.5279503105590061</v>
      </c>
      <c r="AM357" s="4">
        <f t="shared" si="1019"/>
        <v>128.41796400921942</v>
      </c>
      <c r="AN357" s="4">
        <f t="shared" si="1020"/>
        <v>0.76314699792960661</v>
      </c>
      <c r="AO357" s="4">
        <v>1.25</v>
      </c>
      <c r="AP357" s="4">
        <f t="shared" si="1221"/>
        <v>2.5</v>
      </c>
      <c r="AQ357" s="38">
        <f t="shared" si="1082"/>
        <v>161.68772545960374</v>
      </c>
      <c r="AR357" s="38">
        <f t="shared" si="1021"/>
        <v>161.68772545960374</v>
      </c>
      <c r="AS357" s="38">
        <f t="shared" si="1022"/>
        <v>3.8437666713572023</v>
      </c>
      <c r="AT357" s="38">
        <f t="shared" si="1230"/>
        <v>161.68772545960394</v>
      </c>
      <c r="AU357" s="38">
        <f t="shared" si="1199"/>
        <v>0.99999999999999878</v>
      </c>
      <c r="AV357" s="38">
        <f t="shared" si="1231"/>
        <v>2.4280093571042878</v>
      </c>
      <c r="AW357" s="4">
        <f t="shared" si="1232"/>
        <v>0</v>
      </c>
      <c r="AX357" s="4">
        <f t="shared" si="1110"/>
        <v>344.31056339493233</v>
      </c>
      <c r="AY357" s="4">
        <f t="shared" si="1083"/>
        <v>1.3956521739130434</v>
      </c>
      <c r="AZ357" s="38">
        <f t="shared" si="1242"/>
        <v>392.57931034482755</v>
      </c>
      <c r="BA357" s="4">
        <f t="shared" si="1084"/>
        <v>0.44000000000000006</v>
      </c>
      <c r="BB357" s="4">
        <f t="shared" si="1085"/>
        <v>79.156998524494952</v>
      </c>
      <c r="BC357" s="4">
        <f t="shared" si="1086"/>
        <v>471.7363088693225</v>
      </c>
      <c r="BE357" s="4">
        <f t="shared" si="1222"/>
        <v>1.5</v>
      </c>
      <c r="BF357" s="4">
        <f t="shared" si="1225"/>
        <v>599.13245893110104</v>
      </c>
      <c r="BH357" s="4">
        <f t="shared" si="1248"/>
        <v>376.5315679419532</v>
      </c>
      <c r="BI357" s="4">
        <f t="shared" si="1184"/>
        <v>0</v>
      </c>
      <c r="BJ357" s="4">
        <f t="shared" si="1249"/>
        <v>0</v>
      </c>
      <c r="BK357" s="4">
        <f t="shared" si="1023"/>
        <v>32.646666666666668</v>
      </c>
      <c r="BL357" s="4">
        <f t="shared" si="1024"/>
        <v>32.646666666666668</v>
      </c>
      <c r="BM357" s="4">
        <f t="shared" si="1025"/>
        <v>260.34999999999997</v>
      </c>
      <c r="BN357" s="4">
        <f t="shared" si="1026"/>
        <v>45.346666666666664</v>
      </c>
      <c r="BO357" s="4">
        <f t="shared" si="1027"/>
        <v>1.25</v>
      </c>
      <c r="BP357" s="25">
        <f t="shared" si="1028"/>
        <v>3.5374018452612361</v>
      </c>
      <c r="BR357" s="4">
        <f t="shared" si="1087"/>
        <v>26.246666666666666</v>
      </c>
      <c r="BV357" s="9"/>
      <c r="BX357" s="9"/>
      <c r="BY357" s="9"/>
      <c r="BZ357" s="9">
        <f t="shared" si="1088"/>
        <v>26.246666666666666</v>
      </c>
      <c r="CA357" s="9">
        <f t="shared" si="1089"/>
        <v>64.77</v>
      </c>
      <c r="CB357" s="9">
        <f t="shared" si="1233"/>
        <v>1.1640327001925783</v>
      </c>
      <c r="CC357" s="40">
        <f t="shared" si="1111"/>
        <v>20</v>
      </c>
      <c r="CD357" s="9">
        <f t="shared" si="1090"/>
        <v>0.05</v>
      </c>
      <c r="CE357" s="9">
        <f t="shared" si="1091"/>
        <v>0.8</v>
      </c>
      <c r="CF357" s="9">
        <f t="shared" si="1092"/>
        <v>0.99524931562137331</v>
      </c>
      <c r="CG357" s="9">
        <f t="shared" si="1093"/>
        <v>0.68</v>
      </c>
      <c r="CH357" s="9">
        <f t="shared" si="1234"/>
        <v>1.6041156142513788</v>
      </c>
      <c r="CI357" s="9">
        <f t="shared" si="1235"/>
        <v>3.1505355212792119</v>
      </c>
      <c r="CJ357" s="40">
        <v>1</v>
      </c>
      <c r="CK357" s="9">
        <f t="shared" si="1236"/>
        <v>310.76882381898145</v>
      </c>
      <c r="CM357" s="4">
        <f t="shared" si="1094"/>
        <v>1.2318469896840969</v>
      </c>
      <c r="CN357" s="4">
        <f t="shared" si="1095"/>
        <v>0.89909960937938926</v>
      </c>
      <c r="CO357" s="4">
        <f t="shared" si="1062"/>
        <v>0.70792013470807091</v>
      </c>
      <c r="CP357" s="4">
        <f t="shared" si="1096"/>
        <v>1.3648020603300197</v>
      </c>
      <c r="CQ357" s="4">
        <f t="shared" si="1035"/>
        <v>0.96051437093285852</v>
      </c>
      <c r="CR357" s="4">
        <f t="shared" si="1036"/>
        <v>0.97995058160380566</v>
      </c>
      <c r="CS357" s="4">
        <f t="shared" si="1063"/>
        <v>1.1117656600092876</v>
      </c>
      <c r="CT357" s="4">
        <f t="shared" si="1112"/>
        <v>10</v>
      </c>
      <c r="DA357" s="4">
        <f t="shared" ref="DA357:DB357" si="1282">CM357</f>
        <v>1.2318469896840969</v>
      </c>
      <c r="DB357" s="4">
        <f t="shared" si="1282"/>
        <v>0.89909960937938926</v>
      </c>
      <c r="DC357" s="4">
        <f t="shared" ref="DC357" si="1283">CP357</f>
        <v>1.3648020603300197</v>
      </c>
      <c r="DD357" s="4">
        <f t="shared" ref="DD357" si="1284">CS357</f>
        <v>1.1117656600092876</v>
      </c>
      <c r="DE357" s="4">
        <f t="shared" ref="DE357:DF357" si="1285">CQ357</f>
        <v>0.96051437093285852</v>
      </c>
      <c r="DF357" s="4">
        <f t="shared" si="1285"/>
        <v>0.97995058160380566</v>
      </c>
      <c r="DI357" s="4">
        <f t="shared" si="1097"/>
        <v>245.36399999999998</v>
      </c>
      <c r="DL357" s="4">
        <f t="shared" ref="DL357:DL420" si="1286">H357/4/(1-0.3*(J357/30)^0.5)/200000/K357</f>
        <v>1.9194884594144994E-5</v>
      </c>
      <c r="DM357" s="4">
        <f t="shared" ref="DM357:DM420" si="1287">EH357</f>
        <v>9.4159823699857537</v>
      </c>
      <c r="DN357" s="4">
        <f t="shared" ref="DN357:DN420" si="1288">DU357*Y357/257/J357/V357</f>
        <v>0.19478208606742883</v>
      </c>
      <c r="DO357" s="4">
        <f t="shared" ref="DO357:DO420" si="1289">DM357*DN357^0.4</f>
        <v>4.8942397704336393</v>
      </c>
      <c r="DP357" s="4">
        <f t="shared" ref="DP357:DP420" si="1290">MIN(DM357, DM357/1.4*(1-DN357^1.4)/(1-DN357))</f>
        <v>7.5069937070610697</v>
      </c>
      <c r="DQ357" s="4">
        <f t="shared" ref="DQ357:DQ420" si="1291">MAX(DM357/2, (4-DL357*(8*Y357*(DO357-DP357)+6*H357*DP357))/(4+DL357*H357*DM357)*DM357)</f>
        <v>8.8718971860366747</v>
      </c>
      <c r="DR357" s="38">
        <f t="shared" si="1029"/>
        <v>441.57374826423154</v>
      </c>
      <c r="DS357" s="4">
        <f t="shared" ref="DS357:DS420" si="1292">DR357/EX357</f>
        <v>1.0001115864575323</v>
      </c>
      <c r="DT357" s="4">
        <f t="shared" ref="DT357:DT420" si="1293">Y357/K357</f>
        <v>2.2360679774997898</v>
      </c>
      <c r="DU357" s="4">
        <f t="shared" ref="DU357:DU420" si="1294">MIN(DT$10*AT357)</f>
        <v>161.68772545960394</v>
      </c>
      <c r="DY357" s="4">
        <f t="shared" ref="DY357:DY420" si="1295">IF(P357&gt;1*K357,0.85,1)</f>
        <v>0.85</v>
      </c>
      <c r="DZ357" s="4">
        <f t="shared" ref="DZ357:DZ420" si="1296">MIN(1,MAX(0.7,(1-0.1*(BR357-1*K357)/K357)))</f>
        <v>0.9966666666666667</v>
      </c>
      <c r="EA357" s="4">
        <f t="shared" si="1030"/>
        <v>0.77500000000000002</v>
      </c>
      <c r="EB357" s="4">
        <f t="shared" ref="EB357:EB420" si="1297">IF(DZ357*EA357&lt;0.7,0.7,DZ357*EA357)</f>
        <v>0.77241666666666675</v>
      </c>
      <c r="ED357" s="4">
        <f t="shared" si="1031"/>
        <v>432.81563274377635</v>
      </c>
      <c r="EE357" s="25">
        <f t="shared" si="1032"/>
        <v>159.94046366158921</v>
      </c>
      <c r="EG357" s="4">
        <f t="shared" si="1213"/>
        <v>0.65655416666666677</v>
      </c>
      <c r="EH357" s="4">
        <f t="shared" si="1033"/>
        <v>9.4159823699857537</v>
      </c>
      <c r="EK357" s="4">
        <f t="shared" ref="EK357:EK420" si="1298">EL357*K357</f>
        <v>56.796126628494655</v>
      </c>
      <c r="EL357" s="4">
        <f t="shared" ref="EL357:EL420" si="1299">X357^0.5</f>
        <v>2.2360679774997898</v>
      </c>
      <c r="EM357" s="4">
        <f t="shared" ref="EM357:EM420" si="1300">MIN(DU357)/(4700*J357^0.5)/W357*EK357</f>
        <v>7.2129197387733698E-2</v>
      </c>
      <c r="EP357" s="4">
        <f t="shared" si="1113"/>
        <v>7.2129197387733698E-2</v>
      </c>
      <c r="EQ357" s="4">
        <f t="shared" si="1237"/>
        <v>0.19445703106822826</v>
      </c>
      <c r="ER357" s="4">
        <f t="shared" ref="ER357:ER420" si="1301">EH357/1*EQ357^0.4</f>
        <v>4.8909711037514221</v>
      </c>
      <c r="ES357" s="4">
        <f t="shared" si="1098"/>
        <v>7.5059387417506507</v>
      </c>
      <c r="ET357" s="4">
        <f t="shared" ref="ET357:ET420" si="1302">MAX(0,DI357*ET$9-EK357)</f>
        <v>127.22687337150532</v>
      </c>
      <c r="EU357" s="4">
        <f t="shared" ref="EU357:EU420" si="1303">MAX(0,DI357-EK357-ET357)</f>
        <v>61.341000000000008</v>
      </c>
      <c r="EV357" s="4">
        <f t="shared" si="1238"/>
        <v>1.9194884594144997E-5</v>
      </c>
      <c r="EW357" s="4">
        <f t="shared" si="1099"/>
        <v>8.8720115430804984</v>
      </c>
      <c r="EX357" s="4">
        <f t="shared" si="1250"/>
        <v>441.52448011158208</v>
      </c>
      <c r="FG357" s="23">
        <f t="shared" si="1143"/>
        <v>1.4</v>
      </c>
      <c r="FH357" s="23">
        <f t="shared" si="1143"/>
        <v>1</v>
      </c>
      <c r="FI357" s="23">
        <f t="shared" si="1068"/>
        <v>1.2</v>
      </c>
      <c r="FJ357" s="23">
        <f t="shared" si="1144"/>
        <v>1.4</v>
      </c>
      <c r="FK357" s="23">
        <f t="shared" si="1144"/>
        <v>1</v>
      </c>
      <c r="FL357" s="23">
        <f t="shared" si="1144"/>
        <v>1</v>
      </c>
      <c r="FM357" s="23">
        <f t="shared" si="1037"/>
        <v>0</v>
      </c>
      <c r="FN357" s="23"/>
      <c r="FX357" s="4">
        <f t="shared" si="1200"/>
        <v>1</v>
      </c>
      <c r="FY357" s="4">
        <f t="shared" si="1258"/>
        <v>0.65706666666666669</v>
      </c>
      <c r="FZ357" s="4">
        <f t="shared" si="1201"/>
        <v>0.3</v>
      </c>
      <c r="GA357" s="4">
        <f t="shared" si="1202"/>
        <v>381.49939892093772</v>
      </c>
    </row>
    <row r="358" spans="1:183" ht="12" customHeight="1" x14ac:dyDescent="0.3">
      <c r="A358" s="25">
        <v>340</v>
      </c>
      <c r="B358" s="4" t="s">
        <v>605</v>
      </c>
      <c r="C358" s="4">
        <v>2016</v>
      </c>
      <c r="D358" s="4" t="s">
        <v>309</v>
      </c>
      <c r="E358" s="24" t="s">
        <v>671</v>
      </c>
      <c r="F358" s="7" t="s">
        <v>503</v>
      </c>
      <c r="G358" s="38">
        <f t="shared" si="1260"/>
        <v>827.58620689655174</v>
      </c>
      <c r="H358" s="38">
        <f>9.46*25.4</f>
        <v>240.28400000000002</v>
      </c>
      <c r="I358" s="4">
        <f t="shared" si="1100"/>
        <v>240.28400000000002</v>
      </c>
      <c r="J358" s="38">
        <f>6790/145</f>
        <v>46.827586206896555</v>
      </c>
      <c r="K358" s="38">
        <f t="shared" si="1101"/>
        <v>25.4</v>
      </c>
      <c r="L358" s="7">
        <f t="shared" si="1102"/>
        <v>9.4600000000000009</v>
      </c>
      <c r="M358" s="7">
        <f t="shared" si="1103"/>
        <v>9.4600000000000009</v>
      </c>
      <c r="N358" s="38">
        <f>12.3*25.4</f>
        <v>312.42</v>
      </c>
      <c r="O358" s="38">
        <f>2.5*25.4</f>
        <v>63.5</v>
      </c>
      <c r="P358" s="39">
        <f>3.1*25.4</f>
        <v>78.739999999999995</v>
      </c>
      <c r="Q358" s="7">
        <f t="shared" si="1104"/>
        <v>54.610000000000014</v>
      </c>
      <c r="R358" s="38">
        <v>3</v>
      </c>
      <c r="S358" s="4">
        <f t="shared" si="1081"/>
        <v>260.34999999999997</v>
      </c>
      <c r="T358" s="7">
        <f t="shared" si="1105"/>
        <v>1.5750000000000004</v>
      </c>
      <c r="U358" s="7">
        <f t="shared" si="1247"/>
        <v>3</v>
      </c>
      <c r="V358" s="38">
        <v>4</v>
      </c>
      <c r="W358" s="4">
        <f t="shared" si="1106"/>
        <v>4</v>
      </c>
      <c r="X358" s="4">
        <f t="shared" si="1107"/>
        <v>5</v>
      </c>
      <c r="Y358" s="7">
        <f t="shared" si="1108"/>
        <v>56.796126628494655</v>
      </c>
      <c r="AB358" s="38">
        <f t="shared" si="1151"/>
        <v>343.44827586206895</v>
      </c>
      <c r="AC358" s="4">
        <v>49.8</v>
      </c>
      <c r="AD358" s="4">
        <f t="shared" si="1279"/>
        <v>0.87917179348650509</v>
      </c>
      <c r="AE358" s="38">
        <v>0</v>
      </c>
      <c r="AF358" s="38">
        <v>0</v>
      </c>
      <c r="AG358" s="39">
        <f t="shared" si="1251"/>
        <v>240.28400000000002</v>
      </c>
      <c r="AH358" s="39"/>
      <c r="AI358" s="39"/>
      <c r="AJ358" s="7"/>
      <c r="AK358" s="4">
        <f t="shared" si="1109"/>
        <v>240.28400000000002</v>
      </c>
      <c r="AL358" s="4">
        <f t="shared" ref="AL358:AL421" si="1304">IF(H358*3&gt;Q358+K358, N358, (O358+K358/2)*2+1.5*H358*(2*R358-2))*(3*H358)/(9*H358^2)</f>
        <v>0.43340380549682872</v>
      </c>
      <c r="AM358" s="4">
        <f t="shared" ref="AM358:AM421" si="1305">MIN(10*J358^0.5*H358^1.5,100*3.9*J358^0.5*H358^(5/3))/(PI()/4*K358^2)/R358</f>
        <v>167.67163383410892</v>
      </c>
      <c r="AN358" s="4">
        <f t="shared" ref="AN358:AN421" si="1306">MIN(0.7+0.3*(MIN(O358,S358)+0.5*K358)/1.5/H358,1)</f>
        <v>0.76342494714587739</v>
      </c>
      <c r="AO358" s="4">
        <v>1.25</v>
      </c>
      <c r="AP358" s="4">
        <f t="shared" si="1221"/>
        <v>2.5</v>
      </c>
      <c r="AQ358" s="38">
        <f t="shared" si="1082"/>
        <v>173.36789891993814</v>
      </c>
      <c r="AR358" s="38">
        <f t="shared" ref="AR358:AR421" si="1307">AQ358</f>
        <v>173.36789891993814</v>
      </c>
      <c r="AS358" s="38">
        <f t="shared" ref="AS358:AS421" si="1308">IF(J358&lt;50, 0.3*J358^(2/3), 2.12*LN(1+0.1*(J358+8)))</f>
        <v>3.8975267336121062</v>
      </c>
      <c r="AT358" s="38">
        <f t="shared" si="1230"/>
        <v>173.3678989199382</v>
      </c>
      <c r="AU358" s="38">
        <f t="shared" si="1199"/>
        <v>0.99999999999999967</v>
      </c>
      <c r="AV358" s="38">
        <f t="shared" si="1231"/>
        <v>2.3175033680296027</v>
      </c>
      <c r="AW358" s="4">
        <f t="shared" si="1232"/>
        <v>0</v>
      </c>
      <c r="AX358" s="4">
        <f t="shared" si="1110"/>
        <v>340.71277794937589</v>
      </c>
      <c r="AY358" s="4">
        <f t="shared" si="1083"/>
        <v>1.3619047619047617</v>
      </c>
      <c r="AZ358" s="38">
        <f t="shared" si="1242"/>
        <v>401.78068965517252</v>
      </c>
      <c r="BA358" s="4">
        <f t="shared" si="1084"/>
        <v>0.44000000000000006</v>
      </c>
      <c r="BB358" s="4">
        <f t="shared" si="1085"/>
        <v>78.329867650561525</v>
      </c>
      <c r="BC358" s="4">
        <f t="shared" si="1086"/>
        <v>480.11055730573406</v>
      </c>
      <c r="BE358" s="4">
        <f t="shared" si="1222"/>
        <v>1.375</v>
      </c>
      <c r="BF358" s="4">
        <f t="shared" si="1225"/>
        <v>549.31021447239357</v>
      </c>
      <c r="BH358" s="4">
        <f t="shared" si="1248"/>
        <v>385.35681595593957</v>
      </c>
      <c r="BI358" s="4">
        <f t="shared" si="1184"/>
        <v>0</v>
      </c>
      <c r="BJ358" s="4">
        <f t="shared" si="1249"/>
        <v>0</v>
      </c>
      <c r="BK358" s="4">
        <f t="shared" ref="BK358:BK421" si="1309">IF(R358=1,O358,MIN(O358,Q358/2+6.4))</f>
        <v>33.705000000000005</v>
      </c>
      <c r="BL358" s="4">
        <f t="shared" ref="BL358:BL421" si="1310">MIN(S358,BK358)</f>
        <v>33.705000000000005</v>
      </c>
      <c r="BM358" s="4">
        <f t="shared" ref="BM358:BM421" si="1311">MAX(S358,BK358)</f>
        <v>260.34999999999997</v>
      </c>
      <c r="BN358" s="4">
        <f t="shared" ref="BN358:BN421" si="1312">BL358+K358/2</f>
        <v>46.405000000000001</v>
      </c>
      <c r="BO358" s="4">
        <f t="shared" ref="BO358:BO421" si="1313">MIN(1.25, 0.1*BM358/BL358+0.9)</f>
        <v>1.25</v>
      </c>
      <c r="BP358" s="25">
        <f t="shared" ref="BP358:BP421" si="1314">MIN(4, (BN358*BO358+(6*J358^0.5*(0.03*K358+0.22)*(AE358^2/4*PI())*2/AG358/R358))/K358)</f>
        <v>2.2837106299212602</v>
      </c>
      <c r="BR358" s="4">
        <f t="shared" si="1087"/>
        <v>27.305000000000007</v>
      </c>
      <c r="BV358" s="9"/>
      <c r="BX358" s="9"/>
      <c r="BY358" s="9"/>
      <c r="BZ358" s="9">
        <f t="shared" si="1088"/>
        <v>27.305000000000007</v>
      </c>
      <c r="CA358" s="9">
        <f t="shared" si="1089"/>
        <v>63.5</v>
      </c>
      <c r="CB358" s="9">
        <f t="shared" si="1233"/>
        <v>1.1767493410612269</v>
      </c>
      <c r="CC358" s="40">
        <f t="shared" si="1111"/>
        <v>20</v>
      </c>
      <c r="CD358" s="9">
        <f t="shared" si="1090"/>
        <v>0</v>
      </c>
      <c r="CE358" s="9">
        <f t="shared" si="1091"/>
        <v>0</v>
      </c>
      <c r="CF358" s="9">
        <f t="shared" si="1092"/>
        <v>0.99524931562137331</v>
      </c>
      <c r="CG358" s="9">
        <f t="shared" si="1093"/>
        <v>0.68</v>
      </c>
      <c r="CH358" s="9">
        <f t="shared" si="1234"/>
        <v>1.6209130944490342</v>
      </c>
      <c r="CI358" s="9">
        <f t="shared" si="1235"/>
        <v>1.9074084158104152</v>
      </c>
      <c r="CJ358" s="40">
        <v>1</v>
      </c>
      <c r="CK358" s="9">
        <f t="shared" si="1236"/>
        <v>186.62083940289102</v>
      </c>
      <c r="CM358" s="4">
        <f t="shared" si="1094"/>
        <v>1.008028750577413</v>
      </c>
      <c r="CN358" s="4">
        <f t="shared" si="1095"/>
        <v>0.71535247587434603</v>
      </c>
      <c r="CO358" s="4">
        <f t="shared" si="1062"/>
        <v>0.62523555326919822</v>
      </c>
      <c r="CP358" s="4">
        <f t="shared" si="1096"/>
        <v>1.8403532904522368</v>
      </c>
      <c r="CQ358" s="4">
        <f t="shared" si="1035"/>
        <v>0.87917179348650509</v>
      </c>
      <c r="CR358" s="4">
        <f t="shared" si="1036"/>
        <v>0.90003950832799662</v>
      </c>
      <c r="CS358" s="4">
        <f t="shared" si="1063"/>
        <v>1.0334238077499565</v>
      </c>
      <c r="CT358" s="4">
        <f t="shared" si="1112"/>
        <v>0</v>
      </c>
      <c r="CU358" s="4">
        <f t="shared" ref="CU358:CV358" si="1315">CM358</f>
        <v>1.008028750577413</v>
      </c>
      <c r="CV358" s="4">
        <f t="shared" si="1315"/>
        <v>0.71535247587434603</v>
      </c>
      <c r="CW358" s="4">
        <f t="shared" ref="CW358" si="1316">CP358</f>
        <v>1.8403532904522368</v>
      </c>
      <c r="CX358" s="4">
        <f t="shared" si="1254"/>
        <v>1.0334238077499565</v>
      </c>
      <c r="CY358" s="4">
        <f t="shared" ref="CY358:CZ358" si="1317">CQ358</f>
        <v>0.87917179348650509</v>
      </c>
      <c r="CZ358" s="4">
        <f t="shared" si="1317"/>
        <v>0.90003950832799662</v>
      </c>
      <c r="DI358" s="4">
        <f t="shared" si="1097"/>
        <v>240.28400000000002</v>
      </c>
      <c r="DL358" s="4">
        <f t="shared" si="1286"/>
        <v>1.8914259048600366E-5</v>
      </c>
      <c r="DM358" s="4">
        <f t="shared" si="1287"/>
        <v>7.4047571856479815</v>
      </c>
      <c r="DN358" s="4">
        <f t="shared" si="1288"/>
        <v>0.20454671916157116</v>
      </c>
      <c r="DO358" s="4">
        <f t="shared" si="1289"/>
        <v>3.9248930677358072</v>
      </c>
      <c r="DP358" s="4">
        <f t="shared" si="1290"/>
        <v>5.9282759587841678</v>
      </c>
      <c r="DQ358" s="4">
        <f t="shared" si="1291"/>
        <v>7.077824520316236</v>
      </c>
      <c r="DR358" s="38">
        <f t="shared" ref="DR358:DR421" si="1318">MIN(1/K358*(4*Y358*(DO358-DP358)+(3*DP358+DQ358)*H358)+DU358 -FB358,MAX(G358,AB358))</f>
        <v>390.64978927504768</v>
      </c>
      <c r="DS358" s="4">
        <f t="shared" si="1292"/>
        <v>1.0001010933452728</v>
      </c>
      <c r="DT358" s="4">
        <f t="shared" si="1293"/>
        <v>2.2360679774997898</v>
      </c>
      <c r="DU358" s="4">
        <f t="shared" si="1294"/>
        <v>173.3678989199382</v>
      </c>
      <c r="DY358" s="4">
        <f t="shared" si="1295"/>
        <v>0.85</v>
      </c>
      <c r="DZ358" s="4">
        <f t="shared" si="1296"/>
        <v>0.99249999999999994</v>
      </c>
      <c r="EA358" s="4">
        <f t="shared" ref="EA358:EA421" si="1319">MIN(1,MAX(0.7,1-0.3*(PI()*AE358^2/4*AI358*2-0.25*PI()/4*K358^2)/(PI()/4*K358^2)))</f>
        <v>1</v>
      </c>
      <c r="EB358" s="4">
        <f t="shared" si="1297"/>
        <v>0.99249999999999994</v>
      </c>
      <c r="ED358" s="4">
        <f t="shared" ref="ED358:ED421" si="1320">MIN(DM358/K358*3*H358+EE358-FB358,MAX(G358,AB358))</f>
        <v>381.59244420291373</v>
      </c>
      <c r="EE358" s="25">
        <f t="shared" ref="EE358:EE421" si="1321">13.3*N358*H358^0.5*J358^0.5/R358/K358^2*(0.7+O358/5/H358)</f>
        <v>171.44543527422402</v>
      </c>
      <c r="EG358" s="4">
        <f t="shared" si="1213"/>
        <v>0.84362499999999996</v>
      </c>
      <c r="EH358" s="4">
        <f t="shared" ref="EH358:EH421" si="1322">IF(K358&lt;22.2,1.1*5*(J358/30)^0.5,IF(K358&gt;=31.8,0.9*5*(J358/30)^0.5,1*5*(J358/30)^0.5))/DY358/EB358</f>
        <v>7.4047571856479815</v>
      </c>
      <c r="EK358" s="4">
        <f t="shared" si="1298"/>
        <v>56.796126628494655</v>
      </c>
      <c r="EL358" s="4">
        <f t="shared" si="1299"/>
        <v>2.2360679774997898</v>
      </c>
      <c r="EM358" s="4">
        <f t="shared" si="1300"/>
        <v>7.6538274900780523E-2</v>
      </c>
      <c r="EP358" s="4">
        <f t="shared" si="1113"/>
        <v>7.6538274900780523E-2</v>
      </c>
      <c r="EQ358" s="4">
        <f t="shared" si="1237"/>
        <v>0.20420536880961671</v>
      </c>
      <c r="ER358" s="4">
        <f t="shared" si="1301"/>
        <v>3.9222717888848462</v>
      </c>
      <c r="ES358" s="4">
        <f t="shared" si="1098"/>
        <v>5.9274160600858794</v>
      </c>
      <c r="ET358" s="4">
        <f t="shared" si="1302"/>
        <v>123.41687337150537</v>
      </c>
      <c r="EU358" s="4">
        <f t="shared" si="1303"/>
        <v>60.070999999999998</v>
      </c>
      <c r="EV358" s="4">
        <f t="shared" si="1238"/>
        <v>1.8914259048600366E-5</v>
      </c>
      <c r="EW358" s="4">
        <f t="shared" si="1099"/>
        <v>7.0778953539352774</v>
      </c>
      <c r="EX358" s="4">
        <f t="shared" si="1250"/>
        <v>390.61030117300407</v>
      </c>
      <c r="FG358" s="23">
        <f t="shared" si="1143"/>
        <v>1.2</v>
      </c>
      <c r="FH358" s="23">
        <f t="shared" si="1143"/>
        <v>0.8</v>
      </c>
      <c r="FI358" s="23">
        <f t="shared" si="1068"/>
        <v>1.2</v>
      </c>
      <c r="FJ358" s="23">
        <f t="shared" si="1144"/>
        <v>2</v>
      </c>
      <c r="FK358" s="23">
        <f t="shared" si="1144"/>
        <v>1</v>
      </c>
      <c r="FL358" s="23">
        <f t="shared" si="1144"/>
        <v>1</v>
      </c>
      <c r="FM358" s="23">
        <f t="shared" si="1037"/>
        <v>0</v>
      </c>
      <c r="FN358" s="23"/>
      <c r="FX358" s="4">
        <f t="shared" si="1200"/>
        <v>1</v>
      </c>
      <c r="FY358" s="4">
        <f t="shared" si="1258"/>
        <v>0.74250000000000005</v>
      </c>
      <c r="FZ358" s="4">
        <f t="shared" si="1201"/>
        <v>0</v>
      </c>
      <c r="GA358" s="4">
        <f t="shared" si="1202"/>
        <v>332.34020088026506</v>
      </c>
    </row>
    <row r="359" spans="1:183" ht="12" customHeight="1" x14ac:dyDescent="0.3">
      <c r="A359" s="25">
        <v>341</v>
      </c>
      <c r="B359" s="4" t="s">
        <v>605</v>
      </c>
      <c r="C359" s="4">
        <v>2016</v>
      </c>
      <c r="D359" s="4" t="s">
        <v>309</v>
      </c>
      <c r="E359" s="24" t="s">
        <v>671</v>
      </c>
      <c r="F359" s="7" t="s">
        <v>504</v>
      </c>
      <c r="G359" s="38">
        <f t="shared" si="1260"/>
        <v>827.58620689655174</v>
      </c>
      <c r="H359" s="38">
        <f>9.33*25.4</f>
        <v>236.982</v>
      </c>
      <c r="I359" s="4">
        <f t="shared" si="1100"/>
        <v>236.982</v>
      </c>
      <c r="J359" s="38">
        <f>6650/145</f>
        <v>45.862068965517238</v>
      </c>
      <c r="K359" s="38">
        <f t="shared" si="1101"/>
        <v>25.4</v>
      </c>
      <c r="L359" s="7">
        <f t="shared" si="1102"/>
        <v>9.33</v>
      </c>
      <c r="M359" s="7">
        <f t="shared" si="1103"/>
        <v>9.33</v>
      </c>
      <c r="N359" s="38">
        <f>12.1*25.4</f>
        <v>307.33999999999997</v>
      </c>
      <c r="O359" s="38">
        <f t="shared" si="1114"/>
        <v>63.5</v>
      </c>
      <c r="P359" s="39">
        <f>3.23*25.4</f>
        <v>82.042000000000002</v>
      </c>
      <c r="Q359" s="7">
        <f t="shared" si="1104"/>
        <v>52.069999999999993</v>
      </c>
      <c r="R359" s="38">
        <v>3</v>
      </c>
      <c r="S359" s="4">
        <f t="shared" si="1081"/>
        <v>260.34999999999997</v>
      </c>
      <c r="T359" s="7">
        <f t="shared" si="1105"/>
        <v>1.5249999999999999</v>
      </c>
      <c r="U359" s="7">
        <f t="shared" si="1247"/>
        <v>3</v>
      </c>
      <c r="V359" s="38">
        <v>4</v>
      </c>
      <c r="W359" s="4">
        <f t="shared" si="1106"/>
        <v>4</v>
      </c>
      <c r="X359" s="4">
        <f t="shared" si="1107"/>
        <v>5</v>
      </c>
      <c r="Y359" s="7">
        <f t="shared" si="1108"/>
        <v>56.796126628494655</v>
      </c>
      <c r="AB359" s="38">
        <f t="shared" si="1151"/>
        <v>493.79310344827587</v>
      </c>
      <c r="AC359" s="4">
        <v>71.599999999999994</v>
      </c>
      <c r="AD359" s="4">
        <f t="shared" si="1279"/>
        <v>1.2347092535127056</v>
      </c>
      <c r="AE359" s="38">
        <f>0.375*25.4</f>
        <v>9.5249999999999986</v>
      </c>
      <c r="AF359" s="38">
        <v>10</v>
      </c>
      <c r="AG359" s="39">
        <f t="shared" ref="AG359" si="1323">3*25.4</f>
        <v>76.199999999999989</v>
      </c>
      <c r="AH359" s="39">
        <v>3</v>
      </c>
      <c r="AI359" s="39">
        <f>AH359-1</f>
        <v>2</v>
      </c>
      <c r="AJ359" s="7"/>
      <c r="AK359" s="4">
        <f t="shared" si="1109"/>
        <v>236.982</v>
      </c>
      <c r="AL359" s="4">
        <f t="shared" si="1304"/>
        <v>0.43229724901750621</v>
      </c>
      <c r="AM359" s="4">
        <f t="shared" si="1305"/>
        <v>162.52541840444198</v>
      </c>
      <c r="AN359" s="4">
        <f t="shared" si="1306"/>
        <v>0.7643086816720257</v>
      </c>
      <c r="AO359" s="4">
        <v>1.25</v>
      </c>
      <c r="AP359" s="4">
        <f t="shared" si="1221"/>
        <v>2.5</v>
      </c>
      <c r="AQ359" s="38">
        <f t="shared" si="1082"/>
        <v>167.81183214704026</v>
      </c>
      <c r="AR359" s="38">
        <f t="shared" si="1307"/>
        <v>167.81183214704026</v>
      </c>
      <c r="AS359" s="38">
        <f t="shared" si="1308"/>
        <v>3.8437666713572023</v>
      </c>
      <c r="AT359" s="38">
        <f t="shared" si="1230"/>
        <v>167.81183214704018</v>
      </c>
      <c r="AU359" s="38">
        <f t="shared" si="1199"/>
        <v>1.0000000000000004</v>
      </c>
      <c r="AV359" s="38">
        <f t="shared" si="1231"/>
        <v>2.3120723877700602</v>
      </c>
      <c r="AW359" s="4">
        <f t="shared" si="1232"/>
        <v>0</v>
      </c>
      <c r="AX359" s="4">
        <f t="shared" si="1110"/>
        <v>332.54840129137875</v>
      </c>
      <c r="AY359" s="4">
        <f t="shared" si="1083"/>
        <v>1.3868852459016394</v>
      </c>
      <c r="AZ359" s="38">
        <f t="shared" si="1242"/>
        <v>387.99310344827575</v>
      </c>
      <c r="BA359" s="4">
        <f t="shared" si="1084"/>
        <v>0.44000000000000006</v>
      </c>
      <c r="BB359" s="4">
        <f t="shared" si="1085"/>
        <v>76.452877456887975</v>
      </c>
      <c r="BC359" s="4">
        <f t="shared" si="1086"/>
        <v>464.44598090516371</v>
      </c>
      <c r="BE359" s="4">
        <f t="shared" si="1222"/>
        <v>1.5</v>
      </c>
      <c r="BF359" s="4">
        <f t="shared" si="1225"/>
        <v>589.07581033256281</v>
      </c>
      <c r="BH359" s="4">
        <f t="shared" si="1248"/>
        <v>372.13283467160323</v>
      </c>
      <c r="BI359" s="4">
        <f t="shared" si="1184"/>
        <v>0</v>
      </c>
      <c r="BJ359" s="4">
        <f t="shared" si="1249"/>
        <v>0</v>
      </c>
      <c r="BK359" s="4">
        <f t="shared" si="1309"/>
        <v>32.434999999999995</v>
      </c>
      <c r="BL359" s="4">
        <f t="shared" si="1310"/>
        <v>32.434999999999995</v>
      </c>
      <c r="BM359" s="4">
        <f t="shared" si="1311"/>
        <v>260.34999999999997</v>
      </c>
      <c r="BN359" s="4">
        <f t="shared" si="1312"/>
        <v>45.134999999999991</v>
      </c>
      <c r="BO359" s="4">
        <f t="shared" si="1313"/>
        <v>1.25</v>
      </c>
      <c r="BP359" s="25">
        <f t="shared" si="1314"/>
        <v>3.2005415414262415</v>
      </c>
      <c r="BR359" s="4">
        <f t="shared" si="1087"/>
        <v>26.034999999999997</v>
      </c>
      <c r="BV359" s="9"/>
      <c r="BX359" s="9"/>
      <c r="BY359" s="9"/>
      <c r="BZ359" s="9">
        <f t="shared" si="1088"/>
        <v>26.034999999999997</v>
      </c>
      <c r="CA359" s="9">
        <f t="shared" si="1089"/>
        <v>63.5</v>
      </c>
      <c r="CB359" s="9">
        <f t="shared" si="1233"/>
        <v>1.1572957391947862</v>
      </c>
      <c r="CC359" s="40">
        <f t="shared" si="1111"/>
        <v>20</v>
      </c>
      <c r="CD359" s="9">
        <f t="shared" si="1090"/>
        <v>0.05</v>
      </c>
      <c r="CE359" s="9">
        <f t="shared" si="1091"/>
        <v>0.8</v>
      </c>
      <c r="CF359" s="9">
        <f t="shared" si="1092"/>
        <v>0.99524931562137331</v>
      </c>
      <c r="CG359" s="9">
        <f t="shared" si="1093"/>
        <v>0.68</v>
      </c>
      <c r="CH359" s="9">
        <f t="shared" si="1234"/>
        <v>1.6041156142513788</v>
      </c>
      <c r="CI359" s="9">
        <f t="shared" si="1235"/>
        <v>3.1397286569500511</v>
      </c>
      <c r="CJ359" s="40">
        <v>1</v>
      </c>
      <c r="CK359" s="9">
        <f t="shared" si="1236"/>
        <v>305.55839289437898</v>
      </c>
      <c r="CM359" s="4">
        <f t="shared" si="1094"/>
        <v>1.484875890338786</v>
      </c>
      <c r="CN359" s="4">
        <f t="shared" si="1095"/>
        <v>1.0631873753884515</v>
      </c>
      <c r="CO359" s="4">
        <f t="shared" si="1062"/>
        <v>0.83825051850203269</v>
      </c>
      <c r="CP359" s="4">
        <f t="shared" si="1096"/>
        <v>1.6160351505021928</v>
      </c>
      <c r="CQ359" s="4">
        <f t="shared" ref="CQ359:CQ422" si="1324">AB359/DR359</f>
        <v>1.2347092535127056</v>
      </c>
      <c r="CR359" s="4">
        <f t="shared" ref="CR359:CR422" si="1325">AB359/ED359</f>
        <v>1.2625217719196895</v>
      </c>
      <c r="CS359" s="4">
        <f t="shared" si="1063"/>
        <v>1.3530591037272715</v>
      </c>
      <c r="CT359" s="4">
        <f t="shared" si="1112"/>
        <v>10</v>
      </c>
      <c r="DA359" s="4">
        <f t="shared" ref="DA359:DB359" si="1326">CM359</f>
        <v>1.484875890338786</v>
      </c>
      <c r="DB359" s="4">
        <f t="shared" si="1326"/>
        <v>1.0631873753884515</v>
      </c>
      <c r="DC359" s="4">
        <f t="shared" ref="DC359" si="1327">CP359</f>
        <v>1.6160351505021928</v>
      </c>
      <c r="DD359" s="4">
        <f t="shared" ref="DD359" si="1328">CS359</f>
        <v>1.3530591037272715</v>
      </c>
      <c r="DE359" s="4">
        <f t="shared" ref="DE359:DF359" si="1329">CQ359</f>
        <v>1.2347092535127056</v>
      </c>
      <c r="DF359" s="4">
        <f t="shared" si="1329"/>
        <v>1.2625217719196895</v>
      </c>
      <c r="DI359" s="4">
        <f t="shared" si="1097"/>
        <v>236.982</v>
      </c>
      <c r="DL359" s="4">
        <f t="shared" si="1286"/>
        <v>1.8539158722916439E-5</v>
      </c>
      <c r="DM359" s="4">
        <f t="shared" si="1287"/>
        <v>8.0455613136194923</v>
      </c>
      <c r="DN359" s="4">
        <f t="shared" si="1288"/>
        <v>0.20215967934167123</v>
      </c>
      <c r="DO359" s="4">
        <f t="shared" si="1289"/>
        <v>4.2445745413968154</v>
      </c>
      <c r="DP359" s="4">
        <f t="shared" si="1290"/>
        <v>6.4347636804050365</v>
      </c>
      <c r="DQ359" s="4">
        <f t="shared" si="1291"/>
        <v>7.6736767082776174</v>
      </c>
      <c r="DR359" s="38">
        <f t="shared" si="1318"/>
        <v>399.92662405619086</v>
      </c>
      <c r="DS359" s="4">
        <f t="shared" si="1292"/>
        <v>1.0001056415089917</v>
      </c>
      <c r="DT359" s="4">
        <f t="shared" si="1293"/>
        <v>2.2360679774997898</v>
      </c>
      <c r="DU359" s="4">
        <f t="shared" si="1294"/>
        <v>167.81183214704018</v>
      </c>
      <c r="DY359" s="4">
        <f t="shared" si="1295"/>
        <v>0.85</v>
      </c>
      <c r="DZ359" s="4">
        <f t="shared" si="1296"/>
        <v>0.99750000000000005</v>
      </c>
      <c r="EA359" s="4">
        <f t="shared" si="1319"/>
        <v>0.90625</v>
      </c>
      <c r="EB359" s="4">
        <f t="shared" si="1297"/>
        <v>0.90398437500000006</v>
      </c>
      <c r="ED359" s="4">
        <f t="shared" si="1320"/>
        <v>391.11650541871734</v>
      </c>
      <c r="EE359" s="25">
        <f t="shared" si="1321"/>
        <v>165.92124425050773</v>
      </c>
      <c r="EG359" s="4">
        <f t="shared" si="1213"/>
        <v>0.76838671875000009</v>
      </c>
      <c r="EH359" s="4">
        <f t="shared" si="1322"/>
        <v>8.0455613136194923</v>
      </c>
      <c r="EK359" s="4">
        <f t="shared" si="1298"/>
        <v>56.796126628494655</v>
      </c>
      <c r="EL359" s="4">
        <f t="shared" si="1299"/>
        <v>2.2360679774997898</v>
      </c>
      <c r="EM359" s="4">
        <f t="shared" si="1300"/>
        <v>7.4861172859749275E-2</v>
      </c>
      <c r="EP359" s="4">
        <f t="shared" si="1113"/>
        <v>7.4861172859749275E-2</v>
      </c>
      <c r="EQ359" s="4">
        <f t="shared" si="1237"/>
        <v>0.20182231251429236</v>
      </c>
      <c r="ER359" s="4">
        <f t="shared" si="1301"/>
        <v>4.2417397600958529</v>
      </c>
      <c r="ES359" s="4">
        <f t="shared" si="1098"/>
        <v>6.4338373512511406</v>
      </c>
      <c r="ET359" s="4">
        <f t="shared" si="1302"/>
        <v>120.94037337150536</v>
      </c>
      <c r="EU359" s="4">
        <f t="shared" si="1303"/>
        <v>59.245499999999993</v>
      </c>
      <c r="EV359" s="4">
        <f t="shared" si="1238"/>
        <v>1.8539158722916439E-5</v>
      </c>
      <c r="EW359" s="4">
        <f t="shared" si="1099"/>
        <v>7.6737574455399828</v>
      </c>
      <c r="EX359" s="4">
        <f t="shared" si="1250"/>
        <v>399.8843796669006</v>
      </c>
      <c r="FG359" s="23">
        <f t="shared" si="1143"/>
        <v>1.6</v>
      </c>
      <c r="FH359" s="23">
        <f t="shared" si="1143"/>
        <v>1.2</v>
      </c>
      <c r="FI359" s="23">
        <f t="shared" si="1068"/>
        <v>1.4</v>
      </c>
      <c r="FJ359" s="23">
        <f t="shared" si="1144"/>
        <v>1.8</v>
      </c>
      <c r="FK359" s="23">
        <f t="shared" si="1144"/>
        <v>1.4</v>
      </c>
      <c r="FL359" s="23">
        <f t="shared" si="1144"/>
        <v>1.4</v>
      </c>
      <c r="FM359" s="23">
        <f t="shared" ref="FM359:FM422" si="1330">IF(FK359&lt;1,1,0)</f>
        <v>0</v>
      </c>
      <c r="FN359" s="23"/>
      <c r="FX359" s="4">
        <f t="shared" si="1200"/>
        <v>1</v>
      </c>
      <c r="FY359" s="4">
        <f t="shared" si="1258"/>
        <v>0.66340624999999998</v>
      </c>
      <c r="FZ359" s="4">
        <f t="shared" si="1201"/>
        <v>0.28124999999999994</v>
      </c>
      <c r="GA359" s="4">
        <f t="shared" si="1202"/>
        <v>364.94570125430897</v>
      </c>
    </row>
    <row r="360" spans="1:183" ht="12" customHeight="1" x14ac:dyDescent="0.3">
      <c r="A360" s="25">
        <v>342</v>
      </c>
      <c r="B360" s="4" t="s">
        <v>605</v>
      </c>
      <c r="C360" s="4">
        <v>2016</v>
      </c>
      <c r="D360" s="4" t="s">
        <v>309</v>
      </c>
      <c r="E360" s="24" t="s">
        <v>505</v>
      </c>
      <c r="F360" s="7" t="s">
        <v>506</v>
      </c>
      <c r="G360" s="38">
        <f>129/0.145</f>
        <v>889.65517241379314</v>
      </c>
      <c r="H360" s="38">
        <f>6.09*25.4</f>
        <v>154.68599999999998</v>
      </c>
      <c r="I360" s="4">
        <f t="shared" si="1100"/>
        <v>154.68599999999998</v>
      </c>
      <c r="J360" s="38">
        <f>4930/145</f>
        <v>34</v>
      </c>
      <c r="K360" s="38">
        <f t="shared" si="1101"/>
        <v>25.4</v>
      </c>
      <c r="L360" s="7">
        <f t="shared" si="1102"/>
        <v>6.09</v>
      </c>
      <c r="M360" s="7">
        <f t="shared" si="1103"/>
        <v>6.09</v>
      </c>
      <c r="N360" s="38">
        <f>17.3*25.4</f>
        <v>439.42</v>
      </c>
      <c r="O360" s="38">
        <f>2.65*25.4</f>
        <v>67.309999999999988</v>
      </c>
      <c r="P360" s="39">
        <f>7.15*25.4</f>
        <v>181.60999999999999</v>
      </c>
      <c r="Q360" s="7">
        <f t="shared" si="1104"/>
        <v>254.00000000000003</v>
      </c>
      <c r="R360" s="38">
        <v>2</v>
      </c>
      <c r="S360" s="4">
        <f t="shared" si="1081"/>
        <v>260.34999999999997</v>
      </c>
      <c r="T360" s="7">
        <f t="shared" si="1105"/>
        <v>3.1499999999999995</v>
      </c>
      <c r="U360" s="7">
        <f t="shared" si="1247"/>
        <v>3.1499999999999995</v>
      </c>
      <c r="V360" s="38">
        <v>4.0999999999999996</v>
      </c>
      <c r="W360" s="4">
        <f t="shared" si="1106"/>
        <v>4.0999999999999996</v>
      </c>
      <c r="X360" s="4">
        <f t="shared" si="1107"/>
        <v>5.0999999999999996</v>
      </c>
      <c r="Y360" s="7">
        <f t="shared" si="1108"/>
        <v>57.361276136431961</v>
      </c>
      <c r="AB360" s="38">
        <f t="shared" si="1151"/>
        <v>250.34482758620689</v>
      </c>
      <c r="AC360" s="4">
        <v>36.299999999999997</v>
      </c>
      <c r="AD360" s="4">
        <f t="shared" si="1279"/>
        <v>0.60184794055467938</v>
      </c>
      <c r="AE360" s="38">
        <v>0</v>
      </c>
      <c r="AF360" s="38">
        <v>0</v>
      </c>
      <c r="AG360" s="39">
        <f t="shared" si="1251"/>
        <v>154.68599999999998</v>
      </c>
      <c r="AH360" s="39"/>
      <c r="AI360" s="39"/>
      <c r="AJ360" s="7"/>
      <c r="AK360" s="4">
        <f t="shared" si="1109"/>
        <v>154.68599999999998</v>
      </c>
      <c r="AL360" s="4">
        <f t="shared" si="1304"/>
        <v>0.94690749863163681</v>
      </c>
      <c r="AM360" s="4">
        <f t="shared" si="1305"/>
        <v>110.69516759312566</v>
      </c>
      <c r="AN360" s="4">
        <f t="shared" si="1306"/>
        <v>0.80344827586206891</v>
      </c>
      <c r="AO360" s="4">
        <v>1.25</v>
      </c>
      <c r="AP360" s="4">
        <f t="shared" si="1221"/>
        <v>2.5</v>
      </c>
      <c r="AQ360" s="38">
        <f t="shared" si="1082"/>
        <v>263.1747158588193</v>
      </c>
      <c r="AR360" s="38">
        <f t="shared" si="1307"/>
        <v>263.1747158588193</v>
      </c>
      <c r="AS360" s="38">
        <f t="shared" si="1308"/>
        <v>3.1485253868929024</v>
      </c>
      <c r="AT360" s="38">
        <f t="shared" si="1230"/>
        <v>263.17471585881947</v>
      </c>
      <c r="AU360" s="38">
        <f t="shared" si="1199"/>
        <v>0.99999999999999933</v>
      </c>
      <c r="AV360" s="38">
        <f t="shared" si="1231"/>
        <v>1.6480380410763777</v>
      </c>
      <c r="AW360" s="4">
        <f t="shared" si="1232"/>
        <v>0</v>
      </c>
      <c r="AX360" s="4">
        <f t="shared" si="1110"/>
        <v>186.89735284004149</v>
      </c>
      <c r="AY360" s="4">
        <f t="shared" si="1083"/>
        <v>1</v>
      </c>
      <c r="AZ360" s="38">
        <f t="shared" si="1242"/>
        <v>433.72194318480115</v>
      </c>
      <c r="BA360" s="4">
        <f t="shared" si="1084"/>
        <v>0.42600000000000005</v>
      </c>
      <c r="BB360" s="4">
        <f t="shared" si="1085"/>
        <v>41.600547281900631</v>
      </c>
      <c r="BC360" s="4">
        <f t="shared" si="1086"/>
        <v>475.32249046670177</v>
      </c>
      <c r="BE360" s="4">
        <f t="shared" si="1222"/>
        <v>1.4124999999999999</v>
      </c>
      <c r="BF360" s="4">
        <f t="shared" si="1225"/>
        <v>397.56231774940795</v>
      </c>
      <c r="BH360" s="4">
        <f t="shared" si="1248"/>
        <v>415.99238425162616</v>
      </c>
      <c r="BI360" s="4">
        <f t="shared" si="1184"/>
        <v>0</v>
      </c>
      <c r="BJ360" s="4">
        <f t="shared" si="1249"/>
        <v>0</v>
      </c>
      <c r="BK360" s="4">
        <f t="shared" si="1309"/>
        <v>67.309999999999988</v>
      </c>
      <c r="BL360" s="4">
        <f t="shared" si="1310"/>
        <v>67.309999999999988</v>
      </c>
      <c r="BM360" s="4">
        <f t="shared" si="1311"/>
        <v>260.34999999999997</v>
      </c>
      <c r="BN360" s="4">
        <f t="shared" si="1312"/>
        <v>80.009999999999991</v>
      </c>
      <c r="BO360" s="4">
        <f t="shared" si="1313"/>
        <v>1.25</v>
      </c>
      <c r="BP360" s="25">
        <f t="shared" si="1314"/>
        <v>3.9374999999999996</v>
      </c>
      <c r="BR360" s="4">
        <f t="shared" si="1087"/>
        <v>67.309999999999988</v>
      </c>
      <c r="BV360" s="9"/>
      <c r="BX360" s="9"/>
      <c r="BY360" s="9"/>
      <c r="BZ360" s="9">
        <f t="shared" si="1088"/>
        <v>67.309999999999988</v>
      </c>
      <c r="CA360" s="9">
        <f t="shared" si="1089"/>
        <v>127.00000000000001</v>
      </c>
      <c r="CB360" s="9">
        <f t="shared" si="1233"/>
        <v>1.7905298128039189</v>
      </c>
      <c r="CC360" s="40">
        <f t="shared" si="1111"/>
        <v>20</v>
      </c>
      <c r="CD360" s="9">
        <f t="shared" si="1090"/>
        <v>0</v>
      </c>
      <c r="CE360" s="9">
        <f t="shared" si="1091"/>
        <v>0</v>
      </c>
      <c r="CF360" s="9">
        <f t="shared" si="1092"/>
        <v>0.99524931562137331</v>
      </c>
      <c r="CG360" s="9">
        <f t="shared" si="1093"/>
        <v>0.68</v>
      </c>
      <c r="CH360" s="9">
        <f t="shared" si="1234"/>
        <v>1.3811737100982926</v>
      </c>
      <c r="CI360" s="9">
        <f t="shared" si="1235"/>
        <v>2.47303270459199</v>
      </c>
      <c r="CJ360" s="40">
        <v>1</v>
      </c>
      <c r="CK360" s="9">
        <f t="shared" si="1236"/>
        <v>208.62503895938028</v>
      </c>
      <c r="CM360" s="4">
        <f t="shared" si="1094"/>
        <v>1.3394776532788442</v>
      </c>
      <c r="CN360" s="4">
        <f t="shared" si="1095"/>
        <v>0.52668416203155555</v>
      </c>
      <c r="CO360" s="4">
        <f t="shared" si="1062"/>
        <v>0.62969958773609069</v>
      </c>
      <c r="CP360" s="4">
        <f t="shared" si="1096"/>
        <v>1.1999749830361903</v>
      </c>
      <c r="CQ360" s="4">
        <f t="shared" si="1324"/>
        <v>0.60184794055467938</v>
      </c>
      <c r="CR360" s="4">
        <f t="shared" si="1325"/>
        <v>0.63292489521379602</v>
      </c>
      <c r="CS360" s="4">
        <f t="shared" si="1063"/>
        <v>0.8536087311591446</v>
      </c>
      <c r="CT360" s="4">
        <f t="shared" si="1112"/>
        <v>0</v>
      </c>
      <c r="CU360" s="4">
        <f t="shared" ref="CU360:CV360" si="1331">CM360</f>
        <v>1.3394776532788442</v>
      </c>
      <c r="CV360" s="4">
        <f t="shared" si="1331"/>
        <v>0.52668416203155555</v>
      </c>
      <c r="CW360" s="4">
        <f t="shared" ref="CW360" si="1332">CP360</f>
        <v>1.1999749830361903</v>
      </c>
      <c r="CX360" s="4">
        <f t="shared" si="1254"/>
        <v>0.8536087311591446</v>
      </c>
      <c r="CY360" s="4">
        <f t="shared" ref="CY360:CZ360" si="1333">CQ360</f>
        <v>0.60184794055467938</v>
      </c>
      <c r="CZ360" s="4">
        <f t="shared" si="1333"/>
        <v>0.63292489521379602</v>
      </c>
      <c r="DI360" s="4">
        <f t="shared" si="1097"/>
        <v>154.68599999999998</v>
      </c>
      <c r="DL360" s="4">
        <f t="shared" si="1286"/>
        <v>1.1184562953342657E-5</v>
      </c>
      <c r="DM360" s="4">
        <f t="shared" si="1287"/>
        <v>7.4996921088041866</v>
      </c>
      <c r="DN360" s="4">
        <f t="shared" si="1288"/>
        <v>0.42137335519387598</v>
      </c>
      <c r="DO360" s="4">
        <f t="shared" si="1289"/>
        <v>5.3077475974670776</v>
      </c>
      <c r="DP360" s="4">
        <f t="shared" si="1290"/>
        <v>6.4970943852018177</v>
      </c>
      <c r="DQ360" s="4">
        <f t="shared" si="1291"/>
        <v>7.3608087803503537</v>
      </c>
      <c r="DR360" s="38">
        <f t="shared" si="1318"/>
        <v>415.96026291206101</v>
      </c>
      <c r="DS360" s="4">
        <f t="shared" si="1292"/>
        <v>1.0001083931082033</v>
      </c>
      <c r="DT360" s="4">
        <f t="shared" si="1293"/>
        <v>2.2583179581272428</v>
      </c>
      <c r="DU360" s="4">
        <f t="shared" si="1294"/>
        <v>263.17471585881947</v>
      </c>
      <c r="DY360" s="4">
        <f t="shared" si="1295"/>
        <v>0.85</v>
      </c>
      <c r="DZ360" s="4">
        <f t="shared" si="1296"/>
        <v>0.83499999999999996</v>
      </c>
      <c r="EA360" s="4">
        <f t="shared" si="1319"/>
        <v>1</v>
      </c>
      <c r="EB360" s="4">
        <f t="shared" si="1297"/>
        <v>0.83499999999999996</v>
      </c>
      <c r="ED360" s="4">
        <f t="shared" si="1320"/>
        <v>395.53638903971819</v>
      </c>
      <c r="EE360" s="25">
        <f t="shared" si="1321"/>
        <v>258.51701421186567</v>
      </c>
      <c r="EG360" s="4">
        <f t="shared" si="1213"/>
        <v>0.70974999999999999</v>
      </c>
      <c r="EH360" s="4">
        <f t="shared" si="1322"/>
        <v>7.4996921088041866</v>
      </c>
      <c r="EK360" s="4">
        <f t="shared" si="1298"/>
        <v>57.361276136431961</v>
      </c>
      <c r="EL360" s="4">
        <f t="shared" si="1299"/>
        <v>2.2583179581272428</v>
      </c>
      <c r="EM360" s="4">
        <f t="shared" si="1300"/>
        <v>0.13435127560076568</v>
      </c>
      <c r="EP360" s="4">
        <f t="shared" si="1113"/>
        <v>0.13435127560076568</v>
      </c>
      <c r="EQ360" s="4">
        <f t="shared" si="1237"/>
        <v>0.42067016159737514</v>
      </c>
      <c r="ER360" s="4">
        <f t="shared" si="1301"/>
        <v>5.3042027654720734</v>
      </c>
      <c r="ES360" s="4">
        <f t="shared" si="1098"/>
        <v>6.4956485988241024</v>
      </c>
      <c r="ET360" s="4">
        <f t="shared" si="1302"/>
        <v>58.653223863568023</v>
      </c>
      <c r="EU360" s="4">
        <f t="shared" si="1303"/>
        <v>38.671499999999988</v>
      </c>
      <c r="EV360" s="4">
        <f t="shared" si="1238"/>
        <v>1.1184562953342657E-5</v>
      </c>
      <c r="EW360" s="4">
        <f t="shared" si="1099"/>
        <v>7.3608569622221749</v>
      </c>
      <c r="EX360" s="4">
        <f t="shared" si="1250"/>
        <v>415.91518057288977</v>
      </c>
      <c r="FG360" s="23">
        <f t="shared" si="1143"/>
        <v>1.4</v>
      </c>
      <c r="FH360" s="23">
        <f t="shared" si="1143"/>
        <v>0.6</v>
      </c>
      <c r="FI360" s="23">
        <f t="shared" si="1068"/>
        <v>1</v>
      </c>
      <c r="FJ360" s="23">
        <f t="shared" si="1144"/>
        <v>1.2</v>
      </c>
      <c r="FK360" s="23">
        <f t="shared" si="1144"/>
        <v>0.8</v>
      </c>
      <c r="FL360" s="23">
        <f t="shared" si="1144"/>
        <v>0.8</v>
      </c>
      <c r="FM360" s="23">
        <f t="shared" si="1330"/>
        <v>1</v>
      </c>
      <c r="FN360" s="23"/>
      <c r="FX360" s="4">
        <f t="shared" si="1200"/>
        <v>1</v>
      </c>
      <c r="FY360" s="4">
        <f t="shared" si="1258"/>
        <v>0.5</v>
      </c>
      <c r="FZ360" s="4">
        <f t="shared" si="1201"/>
        <v>0</v>
      </c>
      <c r="GA360" s="4">
        <f t="shared" si="1202"/>
        <v>293.27819461998126</v>
      </c>
    </row>
    <row r="361" spans="1:183" ht="12" customHeight="1" x14ac:dyDescent="0.3">
      <c r="A361" s="25">
        <v>343</v>
      </c>
      <c r="B361" s="4" t="s">
        <v>605</v>
      </c>
      <c r="C361" s="4">
        <v>2016</v>
      </c>
      <c r="D361" s="4" t="s">
        <v>309</v>
      </c>
      <c r="E361" s="24" t="s">
        <v>505</v>
      </c>
      <c r="F361" s="7" t="s">
        <v>507</v>
      </c>
      <c r="G361" s="38">
        <f t="shared" ref="G361:G373" si="1334">129/0.145</f>
        <v>889.65517241379314</v>
      </c>
      <c r="H361" s="38">
        <f>6.25*25.4</f>
        <v>158.75</v>
      </c>
      <c r="I361" s="4">
        <f t="shared" si="1100"/>
        <v>158.75</v>
      </c>
      <c r="J361" s="38">
        <f t="shared" ref="J361:J365" si="1335">4930/145</f>
        <v>34</v>
      </c>
      <c r="K361" s="38">
        <f t="shared" si="1101"/>
        <v>25.4</v>
      </c>
      <c r="L361" s="7">
        <f t="shared" si="1102"/>
        <v>6.25</v>
      </c>
      <c r="M361" s="7">
        <f t="shared" si="1103"/>
        <v>6.25</v>
      </c>
      <c r="N361" s="38">
        <f>17.1*25.4</f>
        <v>434.34000000000003</v>
      </c>
      <c r="O361" s="38">
        <f>2.55*25.4</f>
        <v>64.77</v>
      </c>
      <c r="P361" s="39">
        <f>6.8*25.4</f>
        <v>172.72</v>
      </c>
      <c r="Q361" s="7">
        <f t="shared" si="1104"/>
        <v>254.00000000000003</v>
      </c>
      <c r="R361" s="38">
        <v>2</v>
      </c>
      <c r="S361" s="4">
        <f t="shared" si="1081"/>
        <v>260.34999999999997</v>
      </c>
      <c r="T361" s="7">
        <f t="shared" si="1105"/>
        <v>3.05</v>
      </c>
      <c r="U361" s="7">
        <f t="shared" si="1247"/>
        <v>3.05</v>
      </c>
      <c r="V361" s="38">
        <v>4.0999999999999996</v>
      </c>
      <c r="W361" s="4">
        <f t="shared" si="1106"/>
        <v>4.0999999999999996</v>
      </c>
      <c r="X361" s="4">
        <f t="shared" si="1107"/>
        <v>5.0999999999999996</v>
      </c>
      <c r="Y361" s="7">
        <f t="shared" si="1108"/>
        <v>57.361276136431961</v>
      </c>
      <c r="AB361" s="38">
        <f t="shared" si="1151"/>
        <v>442.06896551724139</v>
      </c>
      <c r="AC361" s="4">
        <v>64.099999999999994</v>
      </c>
      <c r="AD361" s="4">
        <f t="shared" si="1279"/>
        <v>1.0219610040497915</v>
      </c>
      <c r="AE361" s="38">
        <f>0.375*25.4</f>
        <v>9.5249999999999986</v>
      </c>
      <c r="AF361" s="38">
        <v>10</v>
      </c>
      <c r="AG361" s="39">
        <f t="shared" ref="AG361" si="1336">3*25.4</f>
        <v>76.199999999999989</v>
      </c>
      <c r="AH361" s="39">
        <v>3</v>
      </c>
      <c r="AI361" s="39">
        <f>AH361-1</f>
        <v>2</v>
      </c>
      <c r="AJ361" s="7"/>
      <c r="AK361" s="4">
        <f t="shared" si="1109"/>
        <v>158.75</v>
      </c>
      <c r="AL361" s="4">
        <f t="shared" si="1304"/>
        <v>0.91200000000000003</v>
      </c>
      <c r="AM361" s="4">
        <f t="shared" si="1305"/>
        <v>115.08606717057168</v>
      </c>
      <c r="AN361" s="4">
        <f t="shared" si="1306"/>
        <v>0.79759999999999998</v>
      </c>
      <c r="AO361" s="4">
        <v>1.25</v>
      </c>
      <c r="AP361" s="4">
        <f t="shared" si="1221"/>
        <v>2.5</v>
      </c>
      <c r="AQ361" s="38">
        <f t="shared" si="1082"/>
        <v>261.60904444945675</v>
      </c>
      <c r="AR361" s="38">
        <f t="shared" si="1307"/>
        <v>261.60904444945675</v>
      </c>
      <c r="AS361" s="38">
        <f t="shared" si="1308"/>
        <v>3.1485253868929024</v>
      </c>
      <c r="AT361" s="38">
        <f t="shared" si="1230"/>
        <v>261.60904444945697</v>
      </c>
      <c r="AU361" s="38">
        <f t="shared" si="1199"/>
        <v>0.99999999999999911</v>
      </c>
      <c r="AV361" s="38">
        <f t="shared" si="1231"/>
        <v>1.6052693953730679</v>
      </c>
      <c r="AW361" s="4">
        <f t="shared" si="1232"/>
        <v>0</v>
      </c>
      <c r="AX361" s="4">
        <f t="shared" si="1110"/>
        <v>191.80762811991121</v>
      </c>
      <c r="AY361" s="4">
        <f t="shared" si="1083"/>
        <v>1</v>
      </c>
      <c r="AZ361" s="38">
        <f t="shared" si="1242"/>
        <v>419.95299260750585</v>
      </c>
      <c r="BA361" s="4">
        <f t="shared" si="1084"/>
        <v>0.42600000000000005</v>
      </c>
      <c r="BB361" s="4">
        <f t="shared" si="1085"/>
        <v>42.693500905070444</v>
      </c>
      <c r="BC361" s="4">
        <f t="shared" si="1086"/>
        <v>462.64649351257628</v>
      </c>
      <c r="BE361" s="4">
        <f t="shared" si="1222"/>
        <v>1.5</v>
      </c>
      <c r="BF361" s="4">
        <f t="shared" si="1225"/>
        <v>426.38835731056264</v>
      </c>
      <c r="BH361" s="4">
        <f t="shared" si="1248"/>
        <v>402.78627681506663</v>
      </c>
      <c r="BI361" s="4">
        <f t="shared" si="1184"/>
        <v>0</v>
      </c>
      <c r="BJ361" s="4">
        <f t="shared" si="1249"/>
        <v>0</v>
      </c>
      <c r="BK361" s="4">
        <f t="shared" si="1309"/>
        <v>64.77</v>
      </c>
      <c r="BL361" s="4">
        <f t="shared" si="1310"/>
        <v>64.77</v>
      </c>
      <c r="BM361" s="4">
        <f t="shared" si="1311"/>
        <v>260.34999999999997</v>
      </c>
      <c r="BN361" s="4">
        <f t="shared" si="1312"/>
        <v>77.47</v>
      </c>
      <c r="BO361" s="4">
        <f t="shared" si="1313"/>
        <v>1.25</v>
      </c>
      <c r="BP361" s="25">
        <f t="shared" si="1314"/>
        <v>4</v>
      </c>
      <c r="BR361" s="4">
        <f t="shared" si="1087"/>
        <v>64.77</v>
      </c>
      <c r="BV361" s="9"/>
      <c r="BX361" s="9"/>
      <c r="BY361" s="9"/>
      <c r="BZ361" s="9">
        <f t="shared" si="1088"/>
        <v>64.77</v>
      </c>
      <c r="CA361" s="9">
        <f t="shared" si="1089"/>
        <v>127.00000000000001</v>
      </c>
      <c r="CB361" s="9">
        <f t="shared" si="1233"/>
        <v>1.7665851027593089</v>
      </c>
      <c r="CC361" s="40">
        <f t="shared" si="1111"/>
        <v>20</v>
      </c>
      <c r="CD361" s="9">
        <f t="shared" si="1090"/>
        <v>0.05</v>
      </c>
      <c r="CE361" s="9">
        <f t="shared" si="1091"/>
        <v>0.8</v>
      </c>
      <c r="CF361" s="9">
        <f t="shared" si="1092"/>
        <v>0.99524931562137331</v>
      </c>
      <c r="CG361" s="9">
        <f t="shared" si="1093"/>
        <v>0.68</v>
      </c>
      <c r="CH361" s="9">
        <f t="shared" si="1234"/>
        <v>1.3811737100982926</v>
      </c>
      <c r="CI361" s="9">
        <f t="shared" si="1235"/>
        <v>3.4529342752457315</v>
      </c>
      <c r="CJ361" s="40">
        <v>1</v>
      </c>
      <c r="CK361" s="9">
        <f t="shared" si="1236"/>
        <v>293.49941339588719</v>
      </c>
      <c r="CM361" s="4">
        <f t="shared" si="1094"/>
        <v>2.3047517444972305</v>
      </c>
      <c r="CN361" s="4">
        <f t="shared" si="1095"/>
        <v>0.95552213561783861</v>
      </c>
      <c r="CO361" s="4">
        <f t="shared" si="1062"/>
        <v>1.0367754136289835</v>
      </c>
      <c r="CP361" s="4">
        <f t="shared" si="1096"/>
        <v>1.5062005078727565</v>
      </c>
      <c r="CQ361" s="4">
        <f t="shared" si="1324"/>
        <v>1.0219610040497915</v>
      </c>
      <c r="CR361" s="4">
        <f t="shared" si="1325"/>
        <v>1.0771457263688171</v>
      </c>
      <c r="CS361" s="4">
        <f t="shared" si="1063"/>
        <v>1.3047954564429862</v>
      </c>
      <c r="CT361" s="4">
        <f t="shared" si="1112"/>
        <v>10</v>
      </c>
      <c r="DA361" s="4">
        <f t="shared" ref="DA361:DB361" si="1337">CM361</f>
        <v>2.3047517444972305</v>
      </c>
      <c r="DB361" s="4">
        <f t="shared" si="1337"/>
        <v>0.95552213561783861</v>
      </c>
      <c r="DC361" s="4">
        <f t="shared" ref="DC361" si="1338">CP361</f>
        <v>1.5062005078727565</v>
      </c>
      <c r="DD361" s="4">
        <f t="shared" ref="DD361" si="1339">CS361</f>
        <v>1.3047954564429862</v>
      </c>
      <c r="DE361" s="4">
        <f t="shared" ref="DE361:DF361" si="1340">CQ361</f>
        <v>1.0219610040497915</v>
      </c>
      <c r="DF361" s="4">
        <f t="shared" si="1340"/>
        <v>1.0771457263688171</v>
      </c>
      <c r="DI361" s="4">
        <f t="shared" si="1097"/>
        <v>158.75</v>
      </c>
      <c r="DL361" s="4">
        <f t="shared" si="1286"/>
        <v>1.1478410255893533E-5</v>
      </c>
      <c r="DM361" s="4">
        <f t="shared" si="1287"/>
        <v>8.177587151489405</v>
      </c>
      <c r="DN361" s="4">
        <f t="shared" si="1288"/>
        <v>0.41886653301401239</v>
      </c>
      <c r="DO361" s="4">
        <f t="shared" si="1289"/>
        <v>5.7737163759672434</v>
      </c>
      <c r="DP361" s="4">
        <f t="shared" si="1290"/>
        <v>7.0787409650505388</v>
      </c>
      <c r="DQ361" s="4">
        <f t="shared" si="1291"/>
        <v>8.0036021574330611</v>
      </c>
      <c r="DR361" s="38">
        <f t="shared" si="1318"/>
        <v>432.56930916681347</v>
      </c>
      <c r="DS361" s="4">
        <f t="shared" si="1292"/>
        <v>1.0001149489131735</v>
      </c>
      <c r="DT361" s="4">
        <f t="shared" si="1293"/>
        <v>2.2583179581272428</v>
      </c>
      <c r="DU361" s="4">
        <f t="shared" si="1294"/>
        <v>261.60904444945697</v>
      </c>
      <c r="DY361" s="4">
        <f t="shared" si="1295"/>
        <v>0.85</v>
      </c>
      <c r="DZ361" s="4">
        <f t="shared" si="1296"/>
        <v>0.84499999999999997</v>
      </c>
      <c r="EA361" s="4">
        <f t="shared" si="1319"/>
        <v>0.90625</v>
      </c>
      <c r="EB361" s="4">
        <f t="shared" si="1297"/>
        <v>0.76578124999999997</v>
      </c>
      <c r="ED361" s="4">
        <f t="shared" si="1320"/>
        <v>410.40776070987818</v>
      </c>
      <c r="EE361" s="25">
        <f t="shared" si="1321"/>
        <v>257.07800161945181</v>
      </c>
      <c r="EG361" s="4">
        <f t="shared" si="1213"/>
        <v>0.65091406249999995</v>
      </c>
      <c r="EH361" s="4">
        <f t="shared" si="1322"/>
        <v>8.177587151489405</v>
      </c>
      <c r="EK361" s="4">
        <f t="shared" si="1298"/>
        <v>57.361276136431961</v>
      </c>
      <c r="EL361" s="4">
        <f t="shared" si="1299"/>
        <v>2.2583179581272428</v>
      </c>
      <c r="EM361" s="4">
        <f t="shared" si="1300"/>
        <v>0.13355199687699823</v>
      </c>
      <c r="EP361" s="4">
        <f t="shared" si="1113"/>
        <v>0.13355199687699823</v>
      </c>
      <c r="EQ361" s="4">
        <f t="shared" si="1237"/>
        <v>0.41816752283652159</v>
      </c>
      <c r="ER361" s="4">
        <f t="shared" si="1301"/>
        <v>5.7698603420915218</v>
      </c>
      <c r="ES361" s="4">
        <f t="shared" si="1098"/>
        <v>7.0771708001252911</v>
      </c>
      <c r="ET361" s="4">
        <f t="shared" si="1302"/>
        <v>61.701223863568039</v>
      </c>
      <c r="EU361" s="4">
        <f t="shared" si="1303"/>
        <v>39.687499999999993</v>
      </c>
      <c r="EV361" s="4">
        <f t="shared" si="1238"/>
        <v>1.1478410255893533E-5</v>
      </c>
      <c r="EW361" s="4">
        <f t="shared" si="1099"/>
        <v>8.0036616471900555</v>
      </c>
      <c r="EX361" s="4">
        <f t="shared" si="1250"/>
        <v>432.51959150984317</v>
      </c>
      <c r="FG361" s="23">
        <f t="shared" si="1143"/>
        <v>2.2000000000000002</v>
      </c>
      <c r="FH361" s="23">
        <f t="shared" si="1143"/>
        <v>1</v>
      </c>
      <c r="FI361" s="23">
        <f t="shared" si="1068"/>
        <v>1.4</v>
      </c>
      <c r="FJ361" s="23">
        <f t="shared" si="1144"/>
        <v>1.6</v>
      </c>
      <c r="FK361" s="23">
        <f t="shared" si="1144"/>
        <v>1.2</v>
      </c>
      <c r="FL361" s="23">
        <f t="shared" si="1144"/>
        <v>1.2</v>
      </c>
      <c r="FM361" s="23">
        <f t="shared" si="1330"/>
        <v>0</v>
      </c>
      <c r="FN361" s="23"/>
      <c r="FX361" s="4">
        <f t="shared" si="1200"/>
        <v>1</v>
      </c>
      <c r="FY361" s="4">
        <f t="shared" si="1258"/>
        <v>0.44418604651162791</v>
      </c>
      <c r="FZ361" s="4">
        <f t="shared" si="1201"/>
        <v>0.3</v>
      </c>
      <c r="GA361" s="4">
        <f t="shared" si="1202"/>
        <v>338.80326861527345</v>
      </c>
    </row>
    <row r="362" spans="1:183" ht="12" customHeight="1" x14ac:dyDescent="0.3">
      <c r="A362" s="25">
        <v>344</v>
      </c>
      <c r="B362" s="4" t="s">
        <v>605</v>
      </c>
      <c r="C362" s="4">
        <v>2016</v>
      </c>
      <c r="D362" s="4" t="s">
        <v>309</v>
      </c>
      <c r="E362" s="24" t="s">
        <v>672</v>
      </c>
      <c r="F362" s="7" t="s">
        <v>508</v>
      </c>
      <c r="G362" s="38">
        <f t="shared" si="1334"/>
        <v>889.65517241379314</v>
      </c>
      <c r="H362" s="38">
        <f>6.19*25.4</f>
        <v>157.226</v>
      </c>
      <c r="I362" s="4">
        <f t="shared" si="1100"/>
        <v>157.226</v>
      </c>
      <c r="J362" s="38">
        <f t="shared" si="1335"/>
        <v>34</v>
      </c>
      <c r="K362" s="38">
        <f t="shared" si="1101"/>
        <v>25.4</v>
      </c>
      <c r="L362" s="7">
        <f t="shared" si="1102"/>
        <v>6.19</v>
      </c>
      <c r="M362" s="7">
        <f t="shared" si="1103"/>
        <v>6.19</v>
      </c>
      <c r="N362" s="38">
        <f>12.6*25.4</f>
        <v>320.03999999999996</v>
      </c>
      <c r="O362" s="38">
        <f>2.65*25.4</f>
        <v>67.309999999999988</v>
      </c>
      <c r="P362" s="39">
        <f>6.5*25.4</f>
        <v>165.1</v>
      </c>
      <c r="Q362" s="7">
        <f t="shared" si="1104"/>
        <v>54.61</v>
      </c>
      <c r="R362" s="38">
        <v>3</v>
      </c>
      <c r="S362" s="4">
        <f t="shared" si="1081"/>
        <v>260.34999999999997</v>
      </c>
      <c r="T362" s="7">
        <f t="shared" si="1105"/>
        <v>1.575</v>
      </c>
      <c r="U362" s="7">
        <f t="shared" si="1247"/>
        <v>3.1499999999999995</v>
      </c>
      <c r="V362" s="38">
        <v>4.0999999999999996</v>
      </c>
      <c r="W362" s="4">
        <f t="shared" si="1106"/>
        <v>4.0999999999999996</v>
      </c>
      <c r="X362" s="4">
        <f t="shared" si="1107"/>
        <v>5.0999999999999996</v>
      </c>
      <c r="Y362" s="7">
        <f t="shared" si="1108"/>
        <v>57.361276136431961</v>
      </c>
      <c r="AB362" s="38">
        <f t="shared" si="1151"/>
        <v>180.00000000000003</v>
      </c>
      <c r="AC362" s="4">
        <v>26.1</v>
      </c>
      <c r="AD362" s="4">
        <f t="shared" si="1279"/>
        <v>0.7330357782373077</v>
      </c>
      <c r="AE362" s="38">
        <v>0</v>
      </c>
      <c r="AF362" s="38">
        <v>0</v>
      </c>
      <c r="AG362" s="39">
        <f t="shared" si="1251"/>
        <v>157.226</v>
      </c>
      <c r="AH362" s="39"/>
      <c r="AI362" s="39"/>
      <c r="AJ362" s="7"/>
      <c r="AK362" s="4">
        <f t="shared" si="1109"/>
        <v>157.226</v>
      </c>
      <c r="AL362" s="4">
        <f t="shared" si="1304"/>
        <v>0.67851373182552488</v>
      </c>
      <c r="AM362" s="4">
        <f t="shared" si="1305"/>
        <v>75.621874376410929</v>
      </c>
      <c r="AN362" s="4">
        <f t="shared" si="1306"/>
        <v>0.80177705977382874</v>
      </c>
      <c r="AO362" s="4">
        <v>1.25</v>
      </c>
      <c r="AP362" s="4">
        <f t="shared" si="1221"/>
        <v>2.5</v>
      </c>
      <c r="AQ362" s="38">
        <f t="shared" si="1082"/>
        <v>128.56114357170802</v>
      </c>
      <c r="AR362" s="38">
        <f t="shared" si="1307"/>
        <v>128.56114357170802</v>
      </c>
      <c r="AS362" s="38">
        <f t="shared" si="1308"/>
        <v>3.1485253868929024</v>
      </c>
      <c r="AT362" s="38">
        <f t="shared" si="1230"/>
        <v>128.56114357170804</v>
      </c>
      <c r="AU362" s="38">
        <f t="shared" si="1199"/>
        <v>0.99999999999999978</v>
      </c>
      <c r="AV362" s="38">
        <f t="shared" si="1231"/>
        <v>2.3615639359960867</v>
      </c>
      <c r="AW362" s="4">
        <f t="shared" si="1232"/>
        <v>0</v>
      </c>
      <c r="AX362" s="4">
        <f t="shared" si="1110"/>
        <v>189.96627488996009</v>
      </c>
      <c r="AY362" s="4">
        <f t="shared" si="1083"/>
        <v>1.4</v>
      </c>
      <c r="AZ362" s="38">
        <f t="shared" si="1242"/>
        <v>303.60536022936083</v>
      </c>
      <c r="BA362" s="4">
        <f t="shared" si="1084"/>
        <v>0.42600000000000005</v>
      </c>
      <c r="BB362" s="4">
        <f t="shared" si="1085"/>
        <v>42.283643296381761</v>
      </c>
      <c r="BC362" s="4">
        <f t="shared" si="1086"/>
        <v>345.88900352574257</v>
      </c>
      <c r="BE362" s="4">
        <f t="shared" si="1222"/>
        <v>1.4124999999999999</v>
      </c>
      <c r="BF362" s="4">
        <f t="shared" si="1225"/>
        <v>400.03318361484872</v>
      </c>
      <c r="BH362" s="4">
        <f t="shared" si="1248"/>
        <v>291.19466897613836</v>
      </c>
      <c r="BI362" s="4">
        <f t="shared" si="1184"/>
        <v>0</v>
      </c>
      <c r="BJ362" s="4">
        <f t="shared" si="1249"/>
        <v>0</v>
      </c>
      <c r="BK362" s="4">
        <f t="shared" si="1309"/>
        <v>33.704999999999998</v>
      </c>
      <c r="BL362" s="4">
        <f t="shared" si="1310"/>
        <v>33.704999999999998</v>
      </c>
      <c r="BM362" s="4">
        <f t="shared" si="1311"/>
        <v>260.34999999999997</v>
      </c>
      <c r="BN362" s="4">
        <f t="shared" si="1312"/>
        <v>46.405000000000001</v>
      </c>
      <c r="BO362" s="4">
        <f t="shared" si="1313"/>
        <v>1.25</v>
      </c>
      <c r="BP362" s="25">
        <f t="shared" si="1314"/>
        <v>2.2837106299212602</v>
      </c>
      <c r="BR362" s="4">
        <f t="shared" si="1087"/>
        <v>27.305</v>
      </c>
      <c r="BV362" s="9"/>
      <c r="BX362" s="9"/>
      <c r="BY362" s="9"/>
      <c r="BZ362" s="9">
        <f t="shared" si="1088"/>
        <v>27.305</v>
      </c>
      <c r="CA362" s="9">
        <f t="shared" si="1089"/>
        <v>67.309999999999988</v>
      </c>
      <c r="CB362" s="9">
        <f t="shared" si="1233"/>
        <v>1.1870796051742518</v>
      </c>
      <c r="CC362" s="40">
        <f t="shared" si="1111"/>
        <v>20</v>
      </c>
      <c r="CD362" s="9">
        <f t="shared" si="1090"/>
        <v>0</v>
      </c>
      <c r="CE362" s="9">
        <f t="shared" si="1091"/>
        <v>0</v>
      </c>
      <c r="CF362" s="9">
        <f t="shared" si="1092"/>
        <v>0.99524931562137331</v>
      </c>
      <c r="CG362" s="9">
        <f t="shared" si="1093"/>
        <v>0.68</v>
      </c>
      <c r="CH362" s="9">
        <f t="shared" si="1234"/>
        <v>1.3811737100982926</v>
      </c>
      <c r="CI362" s="9">
        <f t="shared" si="1235"/>
        <v>1.6395631424605377</v>
      </c>
      <c r="CJ362" s="40">
        <v>1</v>
      </c>
      <c r="CK362" s="9">
        <f t="shared" si="1236"/>
        <v>138.96937195495516</v>
      </c>
      <c r="CM362" s="4">
        <f t="shared" si="1094"/>
        <v>0.94753660934956419</v>
      </c>
      <c r="CN362" s="4">
        <f t="shared" si="1095"/>
        <v>0.52039815711170379</v>
      </c>
      <c r="CO362" s="4">
        <f t="shared" si="1062"/>
        <v>0.44996267153002917</v>
      </c>
      <c r="CP362" s="4">
        <f t="shared" si="1096"/>
        <v>1.2952494313519984</v>
      </c>
      <c r="CQ362" s="4">
        <f t="shared" si="1324"/>
        <v>0.7330357782373077</v>
      </c>
      <c r="CR362" s="4">
        <f t="shared" si="1325"/>
        <v>0.73924512696546085</v>
      </c>
      <c r="CS362" s="4">
        <f t="shared" si="1063"/>
        <v>0.89669723004929791</v>
      </c>
      <c r="CT362" s="4">
        <f t="shared" si="1112"/>
        <v>0</v>
      </c>
      <c r="CU362" s="4">
        <f t="shared" ref="CU362:CV362" si="1341">CM362</f>
        <v>0.94753660934956419</v>
      </c>
      <c r="CV362" s="4">
        <f t="shared" si="1341"/>
        <v>0.52039815711170379</v>
      </c>
      <c r="CW362" s="4">
        <f t="shared" ref="CW362" si="1342">CP362</f>
        <v>1.2952494313519984</v>
      </c>
      <c r="CX362" s="4">
        <f t="shared" si="1254"/>
        <v>0.89669723004929791</v>
      </c>
      <c r="CY362" s="4">
        <f t="shared" ref="CY362:CZ362" si="1343">CQ362</f>
        <v>0.7330357782373077</v>
      </c>
      <c r="CZ362" s="4">
        <f t="shared" si="1343"/>
        <v>0.73924512696546085</v>
      </c>
      <c r="DI362" s="4">
        <f t="shared" si="1097"/>
        <v>157.226</v>
      </c>
      <c r="DL362" s="4">
        <f t="shared" si="1286"/>
        <v>1.1368217517436956E-5</v>
      </c>
      <c r="DM362" s="4">
        <f t="shared" si="1287"/>
        <v>6.3095646456942012</v>
      </c>
      <c r="DN362" s="4">
        <f t="shared" si="1288"/>
        <v>0.20584135614088789</v>
      </c>
      <c r="DO362" s="4">
        <f t="shared" si="1289"/>
        <v>3.3528370591019918</v>
      </c>
      <c r="DP362" s="4">
        <f t="shared" si="1290"/>
        <v>5.0542367447448244</v>
      </c>
      <c r="DQ362" s="4">
        <f t="shared" si="1291"/>
        <v>6.2205277389850355</v>
      </c>
      <c r="DR362" s="38">
        <f t="shared" si="1318"/>
        <v>245.55418076977975</v>
      </c>
      <c r="DS362" s="4">
        <f t="shared" si="1292"/>
        <v>1.0001103516405332</v>
      </c>
      <c r="DT362" s="4">
        <f t="shared" si="1293"/>
        <v>2.2583179581272428</v>
      </c>
      <c r="DU362" s="4">
        <f t="shared" si="1294"/>
        <v>128.56114357170804</v>
      </c>
      <c r="DY362" s="4">
        <f t="shared" si="1295"/>
        <v>0.85</v>
      </c>
      <c r="DZ362" s="4">
        <f t="shared" si="1296"/>
        <v>0.99250000000000005</v>
      </c>
      <c r="EA362" s="4">
        <f t="shared" si="1319"/>
        <v>1</v>
      </c>
      <c r="EB362" s="4">
        <f t="shared" si="1297"/>
        <v>0.99250000000000005</v>
      </c>
      <c r="ED362" s="4">
        <f t="shared" si="1320"/>
        <v>243.49162873603905</v>
      </c>
      <c r="EE362" s="25">
        <f t="shared" si="1321"/>
        <v>126.32301326549774</v>
      </c>
      <c r="EG362" s="4">
        <f t="shared" si="1213"/>
        <v>0.84362500000000007</v>
      </c>
      <c r="EH362" s="4">
        <f t="shared" si="1322"/>
        <v>6.3095646456942012</v>
      </c>
      <c r="EK362" s="4">
        <f t="shared" si="1298"/>
        <v>57.361276136431961</v>
      </c>
      <c r="EL362" s="4">
        <f t="shared" si="1299"/>
        <v>2.2583179581272428</v>
      </c>
      <c r="EM362" s="4">
        <f t="shared" si="1300"/>
        <v>6.5630748665148883E-2</v>
      </c>
      <c r="EP362" s="4">
        <f t="shared" si="1113"/>
        <v>6.5630748665148883E-2</v>
      </c>
      <c r="EQ362" s="4">
        <f t="shared" si="1237"/>
        <v>0.2054978452811024</v>
      </c>
      <c r="ER362" s="4">
        <f t="shared" si="1301"/>
        <v>3.3505978335429596</v>
      </c>
      <c r="ES362" s="4">
        <f t="shared" si="1098"/>
        <v>5.0535006437785883</v>
      </c>
      <c r="ET362" s="4">
        <f t="shared" si="1302"/>
        <v>60.558223863568038</v>
      </c>
      <c r="EU362" s="4">
        <f t="shared" si="1303"/>
        <v>39.306499999999993</v>
      </c>
      <c r="EV362" s="4">
        <f t="shared" si="1238"/>
        <v>1.1368217517436953E-5</v>
      </c>
      <c r="EW362" s="4">
        <f t="shared" si="1099"/>
        <v>6.2205524903909168</v>
      </c>
      <c r="EX362" s="4">
        <f t="shared" si="1250"/>
        <v>245.52708645299433</v>
      </c>
      <c r="FG362" s="23">
        <f t="shared" si="1143"/>
        <v>1</v>
      </c>
      <c r="FH362" s="23">
        <f t="shared" si="1143"/>
        <v>0.6</v>
      </c>
      <c r="FI362" s="23">
        <f t="shared" si="1068"/>
        <v>1</v>
      </c>
      <c r="FJ362" s="23">
        <f t="shared" si="1144"/>
        <v>1.4</v>
      </c>
      <c r="FK362" s="23">
        <f t="shared" si="1144"/>
        <v>0.8</v>
      </c>
      <c r="FL362" s="23">
        <f t="shared" si="1144"/>
        <v>0.8</v>
      </c>
      <c r="FM362" s="23">
        <f t="shared" si="1330"/>
        <v>1</v>
      </c>
      <c r="FN362" s="23"/>
      <c r="FX362" s="4">
        <f t="shared" si="1200"/>
        <v>1</v>
      </c>
      <c r="FY362" s="4">
        <f t="shared" si="1258"/>
        <v>0.74250000000000005</v>
      </c>
      <c r="FZ362" s="4">
        <f t="shared" si="1201"/>
        <v>0</v>
      </c>
      <c r="GA362" s="4">
        <f t="shared" si="1202"/>
        <v>200.73665220322374</v>
      </c>
    </row>
    <row r="363" spans="1:183" ht="12" customHeight="1" x14ac:dyDescent="0.3">
      <c r="A363" s="25">
        <v>345</v>
      </c>
      <c r="B363" s="4" t="s">
        <v>605</v>
      </c>
      <c r="C363" s="4">
        <v>2016</v>
      </c>
      <c r="D363" s="4" t="s">
        <v>309</v>
      </c>
      <c r="E363" s="24" t="s">
        <v>672</v>
      </c>
      <c r="F363" s="7" t="s">
        <v>509</v>
      </c>
      <c r="G363" s="38">
        <f t="shared" si="1334"/>
        <v>889.65517241379314</v>
      </c>
      <c r="H363" s="38">
        <f>6*25.4</f>
        <v>152.39999999999998</v>
      </c>
      <c r="I363" s="4">
        <f t="shared" si="1100"/>
        <v>152.39999999999998</v>
      </c>
      <c r="J363" s="38">
        <f t="shared" si="1335"/>
        <v>34</v>
      </c>
      <c r="K363" s="38">
        <f t="shared" si="1101"/>
        <v>25.4</v>
      </c>
      <c r="L363" s="7">
        <f t="shared" si="1102"/>
        <v>5.9999999999999991</v>
      </c>
      <c r="M363" s="7">
        <f t="shared" si="1103"/>
        <v>5.9999999999999991</v>
      </c>
      <c r="N363" s="38">
        <f>12.5*25.4</f>
        <v>317.5</v>
      </c>
      <c r="O363" s="38">
        <f>2.55*25.4</f>
        <v>64.77</v>
      </c>
      <c r="P363" s="39">
        <f>7*25.4</f>
        <v>177.79999999999998</v>
      </c>
      <c r="Q363" s="7">
        <f t="shared" si="1104"/>
        <v>55.88000000000001</v>
      </c>
      <c r="R363" s="38">
        <v>3</v>
      </c>
      <c r="S363" s="4">
        <f t="shared" si="1081"/>
        <v>260.34999999999997</v>
      </c>
      <c r="T363" s="7">
        <f t="shared" si="1105"/>
        <v>1.6000000000000003</v>
      </c>
      <c r="U363" s="7">
        <f t="shared" si="1247"/>
        <v>3.05</v>
      </c>
      <c r="V363" s="38">
        <v>4.0999999999999996</v>
      </c>
      <c r="W363" s="4">
        <f t="shared" si="1106"/>
        <v>4.0999999999999996</v>
      </c>
      <c r="X363" s="4">
        <f t="shared" si="1107"/>
        <v>5.0999999999999996</v>
      </c>
      <c r="Y363" s="7">
        <f t="shared" si="1108"/>
        <v>57.361276136431961</v>
      </c>
      <c r="AB363" s="38">
        <f t="shared" si="1151"/>
        <v>280.00000000000006</v>
      </c>
      <c r="AC363" s="4">
        <v>40.6</v>
      </c>
      <c r="AD363" s="4">
        <f t="shared" si="1279"/>
        <v>1.1198131819366681</v>
      </c>
      <c r="AE363" s="38">
        <f>0.375*25.4</f>
        <v>9.5249999999999986</v>
      </c>
      <c r="AF363" s="38">
        <v>10</v>
      </c>
      <c r="AG363" s="39">
        <f t="shared" ref="AG363" si="1344">3*25.4</f>
        <v>76.199999999999989</v>
      </c>
      <c r="AH363" s="39">
        <v>3</v>
      </c>
      <c r="AI363" s="39">
        <f>AH363-1</f>
        <v>2</v>
      </c>
      <c r="AJ363" s="7"/>
      <c r="AK363" s="4">
        <f t="shared" si="1109"/>
        <v>152.39999999999998</v>
      </c>
      <c r="AL363" s="4">
        <f t="shared" si="1304"/>
        <v>0.69444444444444442</v>
      </c>
      <c r="AM363" s="4">
        <f t="shared" si="1305"/>
        <v>72.166948114322295</v>
      </c>
      <c r="AN363" s="4">
        <f t="shared" si="1306"/>
        <v>0.80166666666666664</v>
      </c>
      <c r="AO363" s="4">
        <v>1.25</v>
      </c>
      <c r="AP363" s="4">
        <f t="shared" si="1221"/>
        <v>2.5</v>
      </c>
      <c r="AQ363" s="38">
        <f t="shared" si="1082"/>
        <v>125.55086097724617</v>
      </c>
      <c r="AR363" s="38">
        <f t="shared" si="1307"/>
        <v>125.55086097724617</v>
      </c>
      <c r="AS363" s="38">
        <f t="shared" si="1308"/>
        <v>3.1485253868929024</v>
      </c>
      <c r="AT363" s="38">
        <f t="shared" si="1230"/>
        <v>125.55086097724615</v>
      </c>
      <c r="AU363" s="38">
        <f t="shared" si="1199"/>
        <v>1.0000000000000002</v>
      </c>
      <c r="AV363" s="38">
        <f t="shared" si="1231"/>
        <v>2.3907691293286812</v>
      </c>
      <c r="AW363" s="4">
        <f t="shared" si="1232"/>
        <v>0</v>
      </c>
      <c r="AX363" s="4">
        <f t="shared" si="1110"/>
        <v>184.13532299511473</v>
      </c>
      <c r="AY363" s="4">
        <f t="shared" si="1083"/>
        <v>1.3624999999999998</v>
      </c>
      <c r="AZ363" s="38">
        <f t="shared" si="1242"/>
        <v>300.16312258503706</v>
      </c>
      <c r="BA363" s="4">
        <f t="shared" si="1084"/>
        <v>0.42600000000000005</v>
      </c>
      <c r="BB363" s="4">
        <f t="shared" si="1085"/>
        <v>40.985760868867615</v>
      </c>
      <c r="BC363" s="4">
        <f t="shared" si="1086"/>
        <v>341.14888345390466</v>
      </c>
      <c r="BE363" s="4">
        <f t="shared" si="1222"/>
        <v>1.5</v>
      </c>
      <c r="BF363" s="4">
        <f t="shared" si="1225"/>
        <v>419.82853642886164</v>
      </c>
      <c r="BH363" s="4">
        <f t="shared" si="1248"/>
        <v>287.89314211699849</v>
      </c>
      <c r="BI363" s="4">
        <f t="shared" si="1184"/>
        <v>0</v>
      </c>
      <c r="BJ363" s="4">
        <f t="shared" si="1249"/>
        <v>0</v>
      </c>
      <c r="BK363" s="4">
        <f t="shared" si="1309"/>
        <v>34.340000000000003</v>
      </c>
      <c r="BL363" s="4">
        <f t="shared" si="1310"/>
        <v>34.340000000000003</v>
      </c>
      <c r="BM363" s="4">
        <f t="shared" si="1311"/>
        <v>260.34999999999997</v>
      </c>
      <c r="BN363" s="4">
        <f t="shared" si="1312"/>
        <v>47.040000000000006</v>
      </c>
      <c r="BO363" s="4">
        <f t="shared" si="1313"/>
        <v>1.25</v>
      </c>
      <c r="BP363" s="25">
        <f t="shared" si="1314"/>
        <v>3.1581829615538424</v>
      </c>
      <c r="BR363" s="4">
        <f t="shared" si="1087"/>
        <v>27.940000000000005</v>
      </c>
      <c r="BV363" s="9"/>
      <c r="BX363" s="9"/>
      <c r="BY363" s="9"/>
      <c r="BZ363" s="9">
        <f t="shared" si="1088"/>
        <v>27.940000000000005</v>
      </c>
      <c r="CA363" s="9">
        <f t="shared" si="1089"/>
        <v>64.77</v>
      </c>
      <c r="CB363" s="9">
        <f t="shared" si="1233"/>
        <v>1.1897849384592458</v>
      </c>
      <c r="CC363" s="40">
        <f t="shared" si="1111"/>
        <v>20</v>
      </c>
      <c r="CD363" s="9">
        <f t="shared" si="1090"/>
        <v>0.05</v>
      </c>
      <c r="CE363" s="9">
        <f t="shared" si="1091"/>
        <v>0.8</v>
      </c>
      <c r="CF363" s="9">
        <f t="shared" si="1092"/>
        <v>0.99524931562137331</v>
      </c>
      <c r="CG363" s="9">
        <f t="shared" si="1093"/>
        <v>0.68</v>
      </c>
      <c r="CH363" s="9">
        <f t="shared" si="1234"/>
        <v>1.3811737100982926</v>
      </c>
      <c r="CI363" s="9">
        <f t="shared" si="1235"/>
        <v>2.7482386457494594</v>
      </c>
      <c r="CJ363" s="40">
        <v>1</v>
      </c>
      <c r="CK363" s="9">
        <f t="shared" si="1236"/>
        <v>230.8520462429546</v>
      </c>
      <c r="CM363" s="4">
        <f t="shared" si="1094"/>
        <v>1.5206207882635787</v>
      </c>
      <c r="CN363" s="4">
        <f t="shared" si="1095"/>
        <v>0.82075602055380337</v>
      </c>
      <c r="CO363" s="4">
        <f t="shared" si="1062"/>
        <v>0.6669389422208678</v>
      </c>
      <c r="CP363" s="4">
        <f t="shared" si="1096"/>
        <v>1.2128980641796907</v>
      </c>
      <c r="CQ363" s="4">
        <f t="shared" si="1324"/>
        <v>1.1198131819366681</v>
      </c>
      <c r="CR363" s="4">
        <f t="shared" si="1325"/>
        <v>1.1248507186141501</v>
      </c>
      <c r="CS363" s="4">
        <f t="shared" si="1063"/>
        <v>1.2840983524179472</v>
      </c>
      <c r="CT363" s="4">
        <f t="shared" si="1112"/>
        <v>10</v>
      </c>
      <c r="DA363" s="4">
        <f t="shared" ref="DA363:DB363" si="1345">CM363</f>
        <v>1.5206207882635787</v>
      </c>
      <c r="DB363" s="4">
        <f t="shared" si="1345"/>
        <v>0.82075602055380337</v>
      </c>
      <c r="DC363" s="4">
        <f t="shared" ref="DC363" si="1346">CP363</f>
        <v>1.2128980641796907</v>
      </c>
      <c r="DD363" s="4">
        <f t="shared" ref="DD363" si="1347">CS363</f>
        <v>1.2840983524179472</v>
      </c>
      <c r="DE363" s="4">
        <f t="shared" ref="DE363:DF363" si="1348">CQ363</f>
        <v>1.1198131819366681</v>
      </c>
      <c r="DF363" s="4">
        <f t="shared" si="1348"/>
        <v>1.1248507186141501</v>
      </c>
      <c r="DI363" s="4">
        <f t="shared" si="1097"/>
        <v>152.39999999999998</v>
      </c>
      <c r="DL363" s="4">
        <f t="shared" si="1286"/>
        <v>1.1019273845657792E-5</v>
      </c>
      <c r="DM363" s="4">
        <f t="shared" si="1287"/>
        <v>6.9798597404126728</v>
      </c>
      <c r="DN363" s="4">
        <f t="shared" si="1288"/>
        <v>0.20102154329233674</v>
      </c>
      <c r="DO363" s="4">
        <f t="shared" si="1289"/>
        <v>3.6740387860336368</v>
      </c>
      <c r="DP363" s="4">
        <f t="shared" si="1290"/>
        <v>5.57971310662895</v>
      </c>
      <c r="DQ363" s="4">
        <f t="shared" si="1291"/>
        <v>6.8784141138402219</v>
      </c>
      <c r="DR363" s="38">
        <f t="shared" si="1318"/>
        <v>250.04170741743926</v>
      </c>
      <c r="DS363" s="4">
        <f t="shared" si="1292"/>
        <v>1.0001166744690648</v>
      </c>
      <c r="DT363" s="4">
        <f t="shared" si="1293"/>
        <v>2.2583179581272428</v>
      </c>
      <c r="DU363" s="4">
        <f t="shared" si="1294"/>
        <v>125.55086097724615</v>
      </c>
      <c r="DY363" s="4">
        <f t="shared" si="1295"/>
        <v>0.85</v>
      </c>
      <c r="DZ363" s="4">
        <f t="shared" si="1296"/>
        <v>0.99</v>
      </c>
      <c r="EA363" s="4">
        <f t="shared" si="1319"/>
        <v>0.90625</v>
      </c>
      <c r="EB363" s="4">
        <f t="shared" si="1297"/>
        <v>0.89718750000000003</v>
      </c>
      <c r="ED363" s="4">
        <f t="shared" si="1320"/>
        <v>248.92191947476238</v>
      </c>
      <c r="EE363" s="25">
        <f t="shared" si="1321"/>
        <v>123.28444414733428</v>
      </c>
      <c r="EG363" s="4">
        <f t="shared" si="1213"/>
        <v>0.76260937500000003</v>
      </c>
      <c r="EH363" s="4">
        <f t="shared" si="1322"/>
        <v>6.9798597404126728</v>
      </c>
      <c r="EK363" s="4">
        <f t="shared" si="1298"/>
        <v>57.361276136431961</v>
      </c>
      <c r="EL363" s="4">
        <f t="shared" si="1299"/>
        <v>2.2583179581272428</v>
      </c>
      <c r="EM363" s="4">
        <f t="shared" si="1300"/>
        <v>6.4093992730351185E-2</v>
      </c>
      <c r="EP363" s="4">
        <f t="shared" si="1113"/>
        <v>6.4093992730351185E-2</v>
      </c>
      <c r="EQ363" s="4">
        <f t="shared" si="1237"/>
        <v>0.20068607580190448</v>
      </c>
      <c r="ER363" s="4">
        <f t="shared" si="1301"/>
        <v>3.6715850427083443</v>
      </c>
      <c r="ES363" s="4">
        <f t="shared" si="1098"/>
        <v>5.578912791171704</v>
      </c>
      <c r="ET363" s="4">
        <f t="shared" si="1302"/>
        <v>56.938723863568022</v>
      </c>
      <c r="EU363" s="4">
        <f t="shared" si="1303"/>
        <v>38.099999999999987</v>
      </c>
      <c r="EV363" s="4">
        <f t="shared" si="1238"/>
        <v>1.1019273845657788E-5</v>
      </c>
      <c r="EW363" s="4">
        <f t="shared" si="1099"/>
        <v>6.878442690767649</v>
      </c>
      <c r="EX363" s="4">
        <f t="shared" si="1250"/>
        <v>250.01253733738588</v>
      </c>
      <c r="FG363" s="23">
        <f t="shared" si="1143"/>
        <v>1.6</v>
      </c>
      <c r="FH363" s="23">
        <f t="shared" si="1143"/>
        <v>1</v>
      </c>
      <c r="FI363" s="23">
        <f t="shared" si="1068"/>
        <v>1.4</v>
      </c>
      <c r="FJ363" s="23">
        <f t="shared" si="1144"/>
        <v>1.4</v>
      </c>
      <c r="FK363" s="23">
        <f t="shared" si="1144"/>
        <v>1.2</v>
      </c>
      <c r="FL363" s="23">
        <f t="shared" si="1144"/>
        <v>1.2</v>
      </c>
      <c r="FM363" s="23">
        <f t="shared" si="1330"/>
        <v>0</v>
      </c>
      <c r="FN363" s="23"/>
      <c r="FX363" s="4">
        <f t="shared" si="1200"/>
        <v>1</v>
      </c>
      <c r="FY363" s="4">
        <f t="shared" si="1258"/>
        <v>0.66255813953488385</v>
      </c>
      <c r="FZ363" s="4">
        <f t="shared" si="1201"/>
        <v>0.28124999999999994</v>
      </c>
      <c r="GA363" s="4">
        <f t="shared" si="1202"/>
        <v>218.05183339170418</v>
      </c>
    </row>
    <row r="364" spans="1:183" ht="12" customHeight="1" x14ac:dyDescent="0.3">
      <c r="A364" s="25">
        <v>346</v>
      </c>
      <c r="B364" s="4" t="s">
        <v>605</v>
      </c>
      <c r="C364" s="4">
        <v>2016</v>
      </c>
      <c r="D364" s="4" t="s">
        <v>309</v>
      </c>
      <c r="E364" s="24" t="s">
        <v>672</v>
      </c>
      <c r="F364" s="7" t="s">
        <v>510</v>
      </c>
      <c r="G364" s="38">
        <f t="shared" si="1334"/>
        <v>889.65517241379314</v>
      </c>
      <c r="H364" s="38">
        <f>6.33*25.4</f>
        <v>160.78199999999998</v>
      </c>
      <c r="I364" s="4">
        <f t="shared" si="1100"/>
        <v>160.78199999999998</v>
      </c>
      <c r="J364" s="38">
        <f t="shared" si="1335"/>
        <v>34</v>
      </c>
      <c r="K364" s="38">
        <f t="shared" si="1101"/>
        <v>25.4</v>
      </c>
      <c r="L364" s="7">
        <f t="shared" si="1102"/>
        <v>6.33</v>
      </c>
      <c r="M364" s="7">
        <f t="shared" si="1103"/>
        <v>6.33</v>
      </c>
      <c r="N364" s="38">
        <f>16.9*25.4</f>
        <v>429.25999999999993</v>
      </c>
      <c r="O364" s="38">
        <f>2.8*25.4</f>
        <v>71.11999999999999</v>
      </c>
      <c r="P364" s="39">
        <f>6.8*25.4</f>
        <v>172.72</v>
      </c>
      <c r="Q364" s="7">
        <f t="shared" si="1104"/>
        <v>105.40999999999998</v>
      </c>
      <c r="R364" s="38">
        <v>3</v>
      </c>
      <c r="S364" s="4">
        <f t="shared" si="1081"/>
        <v>260.34999999999997</v>
      </c>
      <c r="T364" s="7">
        <f t="shared" si="1105"/>
        <v>2.5749999999999997</v>
      </c>
      <c r="U364" s="7">
        <f t="shared" si="1247"/>
        <v>3.3</v>
      </c>
      <c r="V364" s="38">
        <v>4.0999999999999996</v>
      </c>
      <c r="W364" s="4">
        <f t="shared" si="1106"/>
        <v>4.0999999999999996</v>
      </c>
      <c r="X364" s="4">
        <f t="shared" si="1107"/>
        <v>5.0999999999999996</v>
      </c>
      <c r="Y364" s="7">
        <f t="shared" si="1108"/>
        <v>57.361276136431961</v>
      </c>
      <c r="AB364" s="38">
        <f t="shared" si="1151"/>
        <v>208.96551724137933</v>
      </c>
      <c r="AC364" s="4">
        <v>30.3</v>
      </c>
      <c r="AD364" s="4">
        <f t="shared" si="1279"/>
        <v>0.66486057633594775</v>
      </c>
      <c r="AE364" s="38">
        <v>0</v>
      </c>
      <c r="AF364" s="38">
        <v>0</v>
      </c>
      <c r="AG364" s="39">
        <f t="shared" si="1251"/>
        <v>160.78199999999998</v>
      </c>
      <c r="AH364" s="39"/>
      <c r="AI364" s="39"/>
      <c r="AJ364" s="7"/>
      <c r="AK364" s="4">
        <f t="shared" si="1109"/>
        <v>160.78199999999998</v>
      </c>
      <c r="AL364" s="4">
        <f t="shared" si="1304"/>
        <v>0.88994207477619791</v>
      </c>
      <c r="AM364" s="4">
        <f t="shared" si="1305"/>
        <v>78.20185035706578</v>
      </c>
      <c r="AN364" s="4">
        <f t="shared" si="1306"/>
        <v>0.80426540284360182</v>
      </c>
      <c r="AO364" s="4">
        <v>1.25</v>
      </c>
      <c r="AP364" s="4">
        <f t="shared" si="1221"/>
        <v>2.5</v>
      </c>
      <c r="AQ364" s="38">
        <f t="shared" si="1082"/>
        <v>174.91545242580563</v>
      </c>
      <c r="AR364" s="38">
        <f t="shared" si="1307"/>
        <v>174.91545242580563</v>
      </c>
      <c r="AS364" s="38">
        <f t="shared" si="1308"/>
        <v>3.1485253868929024</v>
      </c>
      <c r="AT364" s="38">
        <f t="shared" si="1230"/>
        <v>174.91545242580557</v>
      </c>
      <c r="AU364" s="38">
        <f t="shared" si="1199"/>
        <v>1.0000000000000002</v>
      </c>
      <c r="AV364" s="38">
        <f t="shared" si="1231"/>
        <v>2.2552634919824346</v>
      </c>
      <c r="AW364" s="4">
        <f t="shared" si="1232"/>
        <v>0</v>
      </c>
      <c r="AX364" s="4">
        <f t="shared" si="1110"/>
        <v>194.26276575984608</v>
      </c>
      <c r="AY364" s="4">
        <f t="shared" si="1083"/>
        <v>1.112621359223301</v>
      </c>
      <c r="AZ364" s="38">
        <f t="shared" si="1242"/>
        <v>394.4804340395097</v>
      </c>
      <c r="BA364" s="4">
        <f t="shared" si="1084"/>
        <v>0.42600000000000005</v>
      </c>
      <c r="BB364" s="4">
        <f t="shared" si="1085"/>
        <v>43.239977716655339</v>
      </c>
      <c r="BC364" s="4">
        <f t="shared" si="1086"/>
        <v>437.72041175616505</v>
      </c>
      <c r="BE364" s="4">
        <f t="shared" si="1222"/>
        <v>1.45</v>
      </c>
      <c r="BF364" s="4">
        <f t="shared" si="1225"/>
        <v>414.20458332628334</v>
      </c>
      <c r="BH364" s="4">
        <f t="shared" si="1248"/>
        <v>378.35497805743148</v>
      </c>
      <c r="BI364" s="4">
        <f t="shared" si="1184"/>
        <v>0</v>
      </c>
      <c r="BJ364" s="4">
        <f t="shared" si="1249"/>
        <v>0</v>
      </c>
      <c r="BK364" s="4">
        <f t="shared" si="1309"/>
        <v>59.10499999999999</v>
      </c>
      <c r="BL364" s="4">
        <f t="shared" si="1310"/>
        <v>59.10499999999999</v>
      </c>
      <c r="BM364" s="4">
        <f t="shared" si="1311"/>
        <v>260.34999999999997</v>
      </c>
      <c r="BN364" s="4">
        <f t="shared" si="1312"/>
        <v>71.804999999999993</v>
      </c>
      <c r="BO364" s="4">
        <f t="shared" si="1313"/>
        <v>1.25</v>
      </c>
      <c r="BP364" s="25">
        <f t="shared" si="1314"/>
        <v>3.5337106299212597</v>
      </c>
      <c r="BR364" s="4">
        <f t="shared" si="1087"/>
        <v>52.704999999999991</v>
      </c>
      <c r="BV364" s="9"/>
      <c r="BX364" s="9"/>
      <c r="BY364" s="9"/>
      <c r="BZ364" s="9">
        <f t="shared" si="1088"/>
        <v>52.704999999999991</v>
      </c>
      <c r="CA364" s="9">
        <f t="shared" si="1089"/>
        <v>71.11999999999999</v>
      </c>
      <c r="CB364" s="9">
        <f t="shared" si="1233"/>
        <v>1.5067112815202597</v>
      </c>
      <c r="CC364" s="40">
        <f t="shared" si="1111"/>
        <v>20</v>
      </c>
      <c r="CD364" s="9">
        <f t="shared" si="1090"/>
        <v>0</v>
      </c>
      <c r="CE364" s="9">
        <f t="shared" si="1091"/>
        <v>0</v>
      </c>
      <c r="CF364" s="9">
        <f t="shared" si="1092"/>
        <v>0.99524931562137331</v>
      </c>
      <c r="CG364" s="9">
        <f t="shared" si="1093"/>
        <v>0.68</v>
      </c>
      <c r="CH364" s="9">
        <f t="shared" si="1234"/>
        <v>1.3811737100982926</v>
      </c>
      <c r="CI364" s="9">
        <f t="shared" si="1235"/>
        <v>2.0810300107442901</v>
      </c>
      <c r="CJ364" s="40">
        <v>1</v>
      </c>
      <c r="CK364" s="9">
        <f t="shared" si="1236"/>
        <v>177.55348051670285</v>
      </c>
      <c r="CM364" s="4">
        <f t="shared" si="1094"/>
        <v>1.0756848664437799</v>
      </c>
      <c r="CN364" s="4">
        <f t="shared" si="1095"/>
        <v>0.47739495721251607</v>
      </c>
      <c r="CO364" s="4">
        <f t="shared" si="1062"/>
        <v>0.50449832197238131</v>
      </c>
      <c r="CP364" s="4">
        <f t="shared" si="1096"/>
        <v>1.1769159164509957</v>
      </c>
      <c r="CQ364" s="4">
        <f t="shared" si="1324"/>
        <v>0.66486057633594775</v>
      </c>
      <c r="CR364" s="4">
        <f t="shared" si="1325"/>
        <v>0.68467739710453912</v>
      </c>
      <c r="CS364" s="4">
        <f t="shared" si="1063"/>
        <v>0.88086947875987576</v>
      </c>
      <c r="CT364" s="4">
        <f t="shared" si="1112"/>
        <v>0</v>
      </c>
      <c r="CU364" s="4">
        <f t="shared" ref="CU364:CV364" si="1349">CM364</f>
        <v>1.0756848664437799</v>
      </c>
      <c r="CV364" s="4">
        <f t="shared" si="1349"/>
        <v>0.47739495721251607</v>
      </c>
      <c r="CW364" s="4">
        <f t="shared" ref="CW364" si="1350">CP364</f>
        <v>1.1769159164509957</v>
      </c>
      <c r="CX364" s="4">
        <f t="shared" si="1254"/>
        <v>0.88086947875987576</v>
      </c>
      <c r="CY364" s="4">
        <f t="shared" ref="CY364:CZ364" si="1351">CQ364</f>
        <v>0.66486057633594775</v>
      </c>
      <c r="CZ364" s="4">
        <f t="shared" si="1351"/>
        <v>0.68467739710453912</v>
      </c>
      <c r="DI364" s="4">
        <f t="shared" si="1097"/>
        <v>160.78199999999998</v>
      </c>
      <c r="DL364" s="4">
        <f t="shared" si="1286"/>
        <v>1.162533390716897E-5</v>
      </c>
      <c r="DM364" s="4">
        <f t="shared" si="1287"/>
        <v>7.0165186676207227</v>
      </c>
      <c r="DN364" s="4">
        <f t="shared" si="1288"/>
        <v>0.28006000053384883</v>
      </c>
      <c r="DO364" s="4">
        <f t="shared" si="1289"/>
        <v>4.2171798146618968</v>
      </c>
      <c r="DP364" s="4">
        <f t="shared" si="1290"/>
        <v>5.7896246222922088</v>
      </c>
      <c r="DQ364" s="4">
        <f t="shared" si="1291"/>
        <v>6.8947320496980744</v>
      </c>
      <c r="DR364" s="38">
        <f t="shared" si="1318"/>
        <v>314.29975648878155</v>
      </c>
      <c r="DS364" s="4">
        <f t="shared" si="1292"/>
        <v>1.0001125663995396</v>
      </c>
      <c r="DT364" s="4">
        <f t="shared" si="1293"/>
        <v>2.2583179581272428</v>
      </c>
      <c r="DU364" s="4">
        <f t="shared" si="1294"/>
        <v>174.91545242580557</v>
      </c>
      <c r="DY364" s="4">
        <f t="shared" si="1295"/>
        <v>0.85</v>
      </c>
      <c r="DZ364" s="4">
        <f t="shared" si="1296"/>
        <v>0.89250000000000007</v>
      </c>
      <c r="EA364" s="4">
        <f t="shared" si="1319"/>
        <v>1</v>
      </c>
      <c r="EB364" s="4">
        <f t="shared" si="1297"/>
        <v>0.89250000000000007</v>
      </c>
      <c r="ED364" s="4">
        <f t="shared" si="1320"/>
        <v>305.20288551233375</v>
      </c>
      <c r="EE364" s="25">
        <f t="shared" si="1321"/>
        <v>171.95919601421622</v>
      </c>
      <c r="EG364" s="4">
        <f t="shared" si="1213"/>
        <v>0.75862499999999999</v>
      </c>
      <c r="EH364" s="4">
        <f t="shared" si="1322"/>
        <v>7.0165186676207227</v>
      </c>
      <c r="EK364" s="4">
        <f t="shared" si="1298"/>
        <v>57.361276136431961</v>
      </c>
      <c r="EL364" s="4">
        <f t="shared" si="1299"/>
        <v>2.2583179581272428</v>
      </c>
      <c r="EM364" s="4">
        <f t="shared" si="1300"/>
        <v>8.929472604921021E-2</v>
      </c>
      <c r="EP364" s="4">
        <f t="shared" si="1113"/>
        <v>8.929472604921021E-2</v>
      </c>
      <c r="EQ364" s="4">
        <f t="shared" si="1237"/>
        <v>0.27959263258904649</v>
      </c>
      <c r="ER364" s="4">
        <f t="shared" si="1301"/>
        <v>4.2143633292015039</v>
      </c>
      <c r="ES364" s="4">
        <f t="shared" si="1098"/>
        <v>5.7886035772711342</v>
      </c>
      <c r="ET364" s="4">
        <f t="shared" si="1302"/>
        <v>63.225223863568026</v>
      </c>
      <c r="EU364" s="4">
        <f t="shared" si="1303"/>
        <v>40.195499999999988</v>
      </c>
      <c r="EV364" s="4">
        <f t="shared" si="1238"/>
        <v>1.1625333907168968E-5</v>
      </c>
      <c r="EW364" s="4">
        <f t="shared" si="1099"/>
        <v>6.8947688169395551</v>
      </c>
      <c r="EX364" s="4">
        <f t="shared" si="1250"/>
        <v>314.26438087892245</v>
      </c>
      <c r="FG364" s="23">
        <f t="shared" si="1143"/>
        <v>1.2</v>
      </c>
      <c r="FH364" s="23">
        <f t="shared" si="1143"/>
        <v>0.6</v>
      </c>
      <c r="FI364" s="23">
        <f t="shared" si="1068"/>
        <v>1</v>
      </c>
      <c r="FJ364" s="23">
        <f t="shared" si="1144"/>
        <v>1.2</v>
      </c>
      <c r="FK364" s="23">
        <f t="shared" si="1144"/>
        <v>0.8</v>
      </c>
      <c r="FL364" s="23">
        <f t="shared" si="1144"/>
        <v>0.8</v>
      </c>
      <c r="FM364" s="23">
        <f t="shared" si="1330"/>
        <v>1</v>
      </c>
      <c r="FN364" s="23"/>
      <c r="FX364" s="4">
        <f t="shared" si="1200"/>
        <v>1</v>
      </c>
      <c r="FY364" s="4">
        <f t="shared" si="1258"/>
        <v>0.64250000000000007</v>
      </c>
      <c r="FZ364" s="4">
        <f t="shared" si="1201"/>
        <v>0</v>
      </c>
      <c r="GA364" s="4">
        <f t="shared" si="1202"/>
        <v>237.2264248905179</v>
      </c>
    </row>
    <row r="365" spans="1:183" ht="12" customHeight="1" x14ac:dyDescent="0.3">
      <c r="A365" s="25">
        <v>347</v>
      </c>
      <c r="B365" s="4" t="s">
        <v>605</v>
      </c>
      <c r="C365" s="4">
        <v>2016</v>
      </c>
      <c r="D365" s="4" t="s">
        <v>309</v>
      </c>
      <c r="E365" s="24" t="s">
        <v>672</v>
      </c>
      <c r="F365" s="7" t="s">
        <v>511</v>
      </c>
      <c r="G365" s="38">
        <f t="shared" si="1334"/>
        <v>889.65517241379314</v>
      </c>
      <c r="H365" s="38">
        <f>6.29*25.4</f>
        <v>159.76599999999999</v>
      </c>
      <c r="I365" s="4">
        <f t="shared" si="1100"/>
        <v>159.76599999999999</v>
      </c>
      <c r="J365" s="38">
        <f t="shared" si="1335"/>
        <v>34</v>
      </c>
      <c r="K365" s="38">
        <f t="shared" si="1101"/>
        <v>25.4</v>
      </c>
      <c r="L365" s="7">
        <f t="shared" si="1102"/>
        <v>6.29</v>
      </c>
      <c r="M365" s="7">
        <f t="shared" si="1103"/>
        <v>6.29</v>
      </c>
      <c r="N365" s="38">
        <f>16.8*25.4</f>
        <v>426.71999999999997</v>
      </c>
      <c r="O365" s="38">
        <f>2.8*25.4</f>
        <v>71.11999999999999</v>
      </c>
      <c r="P365" s="39">
        <f>7*25.4</f>
        <v>177.79999999999998</v>
      </c>
      <c r="Q365" s="7">
        <f t="shared" si="1104"/>
        <v>104.14</v>
      </c>
      <c r="R365" s="38">
        <v>3</v>
      </c>
      <c r="S365" s="4">
        <f t="shared" si="1081"/>
        <v>260.34999999999997</v>
      </c>
      <c r="T365" s="7">
        <f t="shared" si="1105"/>
        <v>2.5500000000000003</v>
      </c>
      <c r="U365" s="7">
        <f t="shared" si="1247"/>
        <v>3.3</v>
      </c>
      <c r="V365" s="38">
        <v>4.0999999999999996</v>
      </c>
      <c r="W365" s="4">
        <f t="shared" si="1106"/>
        <v>4.0999999999999996</v>
      </c>
      <c r="X365" s="4">
        <f t="shared" si="1107"/>
        <v>5.0999999999999996</v>
      </c>
      <c r="Y365" s="7">
        <f t="shared" si="1108"/>
        <v>57.361276136431961</v>
      </c>
      <c r="AB365" s="38">
        <f t="shared" si="1151"/>
        <v>327.58620689655174</v>
      </c>
      <c r="AC365" s="4">
        <v>47.5</v>
      </c>
      <c r="AD365" s="4">
        <f t="shared" si="1279"/>
        <v>1.0063627542062954</v>
      </c>
      <c r="AE365" s="38">
        <f>0.375*25.4</f>
        <v>9.5249999999999986</v>
      </c>
      <c r="AF365" s="38">
        <v>10</v>
      </c>
      <c r="AG365" s="39">
        <f t="shared" ref="AG365:AG373" si="1352">3*25.4</f>
        <v>76.199999999999989</v>
      </c>
      <c r="AH365" s="39">
        <v>3</v>
      </c>
      <c r="AI365" s="39">
        <f>AH365-1</f>
        <v>2</v>
      </c>
      <c r="AJ365" s="7"/>
      <c r="AK365" s="4">
        <f t="shared" si="1109"/>
        <v>159.76599999999999</v>
      </c>
      <c r="AL365" s="4">
        <f t="shared" si="1304"/>
        <v>0.890302066772655</v>
      </c>
      <c r="AM365" s="4">
        <f t="shared" si="1305"/>
        <v>77.461772837561156</v>
      </c>
      <c r="AN365" s="4">
        <f t="shared" si="1306"/>
        <v>0.8049284578696343</v>
      </c>
      <c r="AO365" s="4">
        <v>1.25</v>
      </c>
      <c r="AP365" s="4">
        <f t="shared" si="1221"/>
        <v>2.5</v>
      </c>
      <c r="AQ365" s="38">
        <f t="shared" si="1082"/>
        <v>173.4730912074333</v>
      </c>
      <c r="AR365" s="38">
        <f t="shared" si="1307"/>
        <v>173.4730912074333</v>
      </c>
      <c r="AS365" s="38">
        <f t="shared" si="1308"/>
        <v>3.1485253868929024</v>
      </c>
      <c r="AT365" s="38">
        <f t="shared" si="1230"/>
        <v>173.47309120743344</v>
      </c>
      <c r="AU365" s="38">
        <f t="shared" si="1199"/>
        <v>0.99999999999999922</v>
      </c>
      <c r="AV365" s="38">
        <f t="shared" si="1231"/>
        <v>2.262109291542389</v>
      </c>
      <c r="AW365" s="4">
        <f t="shared" si="1232"/>
        <v>0</v>
      </c>
      <c r="AX365" s="4">
        <f t="shared" si="1110"/>
        <v>193.03519693987863</v>
      </c>
      <c r="AY365" s="4">
        <f t="shared" si="1083"/>
        <v>1.1176470588235294</v>
      </c>
      <c r="AZ365" s="38">
        <f t="shared" si="1242"/>
        <v>392.41509145291548</v>
      </c>
      <c r="BA365" s="4">
        <f t="shared" si="1084"/>
        <v>0.42600000000000005</v>
      </c>
      <c r="BB365" s="4">
        <f t="shared" si="1085"/>
        <v>42.966739310862884</v>
      </c>
      <c r="BC365" s="4">
        <f t="shared" si="1086"/>
        <v>435.38183076377834</v>
      </c>
      <c r="BE365" s="4">
        <f t="shared" si="1222"/>
        <v>1.5</v>
      </c>
      <c r="BF365" s="4">
        <f t="shared" si="1225"/>
        <v>427.43792865163482</v>
      </c>
      <c r="BH365" s="4">
        <f t="shared" si="1248"/>
        <v>376.37406194194762</v>
      </c>
      <c r="BI365" s="4">
        <f t="shared" si="1184"/>
        <v>0</v>
      </c>
      <c r="BJ365" s="4">
        <f t="shared" si="1249"/>
        <v>0</v>
      </c>
      <c r="BK365" s="4">
        <f t="shared" si="1309"/>
        <v>58.47</v>
      </c>
      <c r="BL365" s="4">
        <f t="shared" si="1310"/>
        <v>58.47</v>
      </c>
      <c r="BM365" s="4">
        <f t="shared" si="1311"/>
        <v>260.34999999999997</v>
      </c>
      <c r="BN365" s="4">
        <f t="shared" si="1312"/>
        <v>71.17</v>
      </c>
      <c r="BO365" s="4">
        <f t="shared" si="1313"/>
        <v>1.25</v>
      </c>
      <c r="BP365" s="25">
        <f t="shared" si="1314"/>
        <v>4</v>
      </c>
      <c r="BR365" s="4">
        <f t="shared" si="1087"/>
        <v>52.07</v>
      </c>
      <c r="BV365" s="9"/>
      <c r="BX365" s="9"/>
      <c r="BY365" s="9"/>
      <c r="BZ365" s="9">
        <f t="shared" si="1088"/>
        <v>52.07</v>
      </c>
      <c r="CA365" s="9">
        <f t="shared" si="1089"/>
        <v>71.11999999999999</v>
      </c>
      <c r="CB365" s="9">
        <f t="shared" si="1233"/>
        <v>1.5003326349839896</v>
      </c>
      <c r="CC365" s="40">
        <f t="shared" si="1111"/>
        <v>20</v>
      </c>
      <c r="CD365" s="9">
        <f t="shared" si="1090"/>
        <v>0.05</v>
      </c>
      <c r="CE365" s="9">
        <f t="shared" si="1091"/>
        <v>0.8</v>
      </c>
      <c r="CF365" s="9">
        <f t="shared" si="1092"/>
        <v>0.99524931562137331</v>
      </c>
      <c r="CG365" s="9">
        <f t="shared" si="1093"/>
        <v>0.68</v>
      </c>
      <c r="CH365" s="9">
        <f t="shared" si="1234"/>
        <v>1.3811737100982926</v>
      </c>
      <c r="CI365" s="9">
        <f t="shared" si="1235"/>
        <v>3.1771589599210186</v>
      </c>
      <c r="CJ365" s="40">
        <v>1</v>
      </c>
      <c r="CK365" s="9">
        <f t="shared" si="1236"/>
        <v>270.56685702687395</v>
      </c>
      <c r="CM365" s="4">
        <f t="shared" si="1094"/>
        <v>1.6970283766363055</v>
      </c>
      <c r="CN365" s="4">
        <f t="shared" si="1095"/>
        <v>0.75241129452250288</v>
      </c>
      <c r="CO365" s="4">
        <f t="shared" si="1062"/>
        <v>0.76639480246858727</v>
      </c>
      <c r="CP365" s="4">
        <f t="shared" si="1096"/>
        <v>1.2107403341866605</v>
      </c>
      <c r="CQ365" s="4">
        <f t="shared" si="1324"/>
        <v>1.0063627542062954</v>
      </c>
      <c r="CR365" s="4">
        <f t="shared" si="1325"/>
        <v>1.0359680488784047</v>
      </c>
      <c r="CS365" s="4">
        <f t="shared" si="1063"/>
        <v>1.2490921086446241</v>
      </c>
      <c r="CT365" s="4">
        <f t="shared" si="1112"/>
        <v>10</v>
      </c>
      <c r="DA365" s="4">
        <f t="shared" ref="DA365:DB365" si="1353">CM365</f>
        <v>1.6970283766363055</v>
      </c>
      <c r="DB365" s="4">
        <f t="shared" si="1353"/>
        <v>0.75241129452250288</v>
      </c>
      <c r="DC365" s="4">
        <f t="shared" ref="DC365" si="1354">CP365</f>
        <v>1.2107403341866605</v>
      </c>
      <c r="DD365" s="4">
        <f t="shared" ref="DD365" si="1355">CS365</f>
        <v>1.2490921086446241</v>
      </c>
      <c r="DE365" s="4">
        <f t="shared" ref="DE365:DF365" si="1356">CQ365</f>
        <v>1.0063627542062954</v>
      </c>
      <c r="DF365" s="4">
        <f t="shared" si="1356"/>
        <v>1.0359680488784047</v>
      </c>
      <c r="DI365" s="4">
        <f t="shared" si="1097"/>
        <v>159.76599999999999</v>
      </c>
      <c r="DL365" s="4">
        <f t="shared" si="1286"/>
        <v>1.1551872081531252E-5</v>
      </c>
      <c r="DM365" s="4">
        <f t="shared" si="1287"/>
        <v>7.7207387072721181</v>
      </c>
      <c r="DN365" s="4">
        <f t="shared" si="1288"/>
        <v>0.27775061232380122</v>
      </c>
      <c r="DO365" s="4">
        <f t="shared" si="1289"/>
        <v>4.6250972074841998</v>
      </c>
      <c r="DP365" s="4">
        <f t="shared" si="1290"/>
        <v>6.3651491691455737</v>
      </c>
      <c r="DQ365" s="4">
        <f t="shared" si="1291"/>
        <v>7.5755073264251864</v>
      </c>
      <c r="DR365" s="38">
        <f t="shared" si="1318"/>
        <v>325.5150347400471</v>
      </c>
      <c r="DS365" s="4">
        <f t="shared" si="1292"/>
        <v>1.0001186394270434</v>
      </c>
      <c r="DT365" s="4">
        <f t="shared" si="1293"/>
        <v>2.2583179581272428</v>
      </c>
      <c r="DU365" s="4">
        <f t="shared" si="1294"/>
        <v>173.47309120743344</v>
      </c>
      <c r="DY365" s="4">
        <f t="shared" si="1295"/>
        <v>0.85</v>
      </c>
      <c r="DZ365" s="4">
        <f t="shared" si="1296"/>
        <v>0.89500000000000002</v>
      </c>
      <c r="EA365" s="4">
        <f t="shared" si="1319"/>
        <v>0.90625</v>
      </c>
      <c r="EB365" s="4">
        <f t="shared" si="1297"/>
        <v>0.81109375000000006</v>
      </c>
      <c r="ED365" s="4">
        <f t="shared" si="1320"/>
        <v>316.21265467715375</v>
      </c>
      <c r="EE365" s="25">
        <f t="shared" si="1321"/>
        <v>170.52231527092891</v>
      </c>
      <c r="EG365" s="4">
        <f t="shared" si="1213"/>
        <v>0.6894296875</v>
      </c>
      <c r="EH365" s="4">
        <f t="shared" si="1322"/>
        <v>7.7207387072721181</v>
      </c>
      <c r="EK365" s="4">
        <f t="shared" si="1298"/>
        <v>57.361276136431961</v>
      </c>
      <c r="EL365" s="4">
        <f t="shared" si="1299"/>
        <v>2.2583179581272428</v>
      </c>
      <c r="EM365" s="4">
        <f t="shared" si="1300"/>
        <v>8.8558397451179827E-2</v>
      </c>
      <c r="EP365" s="4">
        <f t="shared" si="1113"/>
        <v>8.8558397451179827E-2</v>
      </c>
      <c r="EQ365" s="4">
        <f t="shared" si="1237"/>
        <v>0.27728709831750997</v>
      </c>
      <c r="ER365" s="4">
        <f t="shared" si="1301"/>
        <v>4.622008290338079</v>
      </c>
      <c r="ES365" s="4">
        <f t="shared" si="1098"/>
        <v>6.3640321914181257</v>
      </c>
      <c r="ET365" s="4">
        <f t="shared" si="1302"/>
        <v>62.463223863568039</v>
      </c>
      <c r="EU365" s="4">
        <f t="shared" si="1303"/>
        <v>39.941499999999984</v>
      </c>
      <c r="EV365" s="4">
        <f t="shared" si="1238"/>
        <v>1.1551872081531248E-5</v>
      </c>
      <c r="EW365" s="4">
        <f t="shared" si="1099"/>
        <v>7.5755512212566867</v>
      </c>
      <c r="EX365" s="4">
        <f t="shared" si="1250"/>
        <v>325.47642040401422</v>
      </c>
      <c r="FG365" s="23">
        <f t="shared" si="1143"/>
        <v>1.8</v>
      </c>
      <c r="FH365" s="23">
        <f t="shared" si="1143"/>
        <v>0.8</v>
      </c>
      <c r="FI365" s="23">
        <f t="shared" si="1068"/>
        <v>1.4</v>
      </c>
      <c r="FJ365" s="23">
        <f t="shared" si="1144"/>
        <v>1.4</v>
      </c>
      <c r="FK365" s="23">
        <f t="shared" si="1144"/>
        <v>1.2</v>
      </c>
      <c r="FL365" s="23">
        <f t="shared" si="1144"/>
        <v>1.2</v>
      </c>
      <c r="FM365" s="23">
        <f t="shared" si="1330"/>
        <v>0</v>
      </c>
      <c r="FN365" s="23"/>
      <c r="FX365" s="4">
        <f t="shared" si="1200"/>
        <v>1</v>
      </c>
      <c r="FY365" s="4">
        <f t="shared" si="1258"/>
        <v>0.57750000000000001</v>
      </c>
      <c r="FZ365" s="4">
        <f t="shared" si="1201"/>
        <v>0.28124999999999994</v>
      </c>
      <c r="GA365" s="4">
        <f t="shared" si="1202"/>
        <v>262.25944798579496</v>
      </c>
    </row>
    <row r="366" spans="1:183" ht="12" customHeight="1" x14ac:dyDescent="0.3">
      <c r="A366" s="25">
        <v>348</v>
      </c>
      <c r="B366" s="4" t="s">
        <v>605</v>
      </c>
      <c r="C366" s="4">
        <v>2016</v>
      </c>
      <c r="D366" s="4" t="s">
        <v>309</v>
      </c>
      <c r="E366" s="24" t="s">
        <v>672</v>
      </c>
      <c r="F366" s="7" t="s">
        <v>512</v>
      </c>
      <c r="G366" s="38">
        <f t="shared" si="1334"/>
        <v>889.65517241379314</v>
      </c>
      <c r="H366" s="38">
        <f>6.25*25.4</f>
        <v>158.75</v>
      </c>
      <c r="I366" s="4">
        <f t="shared" si="1100"/>
        <v>158.75</v>
      </c>
      <c r="J366" s="38">
        <f>4940/145</f>
        <v>34.068965517241381</v>
      </c>
      <c r="K366" s="38">
        <f t="shared" si="1101"/>
        <v>25.4</v>
      </c>
      <c r="L366" s="7">
        <f t="shared" si="1102"/>
        <v>6.25</v>
      </c>
      <c r="M366" s="7">
        <f t="shared" si="1103"/>
        <v>6.25</v>
      </c>
      <c r="N366" s="38">
        <f>20.5*25.4</f>
        <v>520.69999999999993</v>
      </c>
      <c r="O366" s="38">
        <f>2.7*25.4</f>
        <v>68.58</v>
      </c>
      <c r="P366" s="39">
        <f>7*25.4</f>
        <v>177.79999999999998</v>
      </c>
      <c r="Q366" s="7">
        <f t="shared" si="1104"/>
        <v>153.66999999999996</v>
      </c>
      <c r="R366" s="38">
        <v>3</v>
      </c>
      <c r="S366" s="4">
        <f t="shared" si="1081"/>
        <v>260.34999999999997</v>
      </c>
      <c r="T366" s="7">
        <f t="shared" si="1105"/>
        <v>3.2</v>
      </c>
      <c r="U366" s="7">
        <f t="shared" si="1247"/>
        <v>3.2</v>
      </c>
      <c r="V366" s="38">
        <v>4.0999999999999996</v>
      </c>
      <c r="W366" s="4">
        <f t="shared" si="1106"/>
        <v>4.0999999999999996</v>
      </c>
      <c r="X366" s="4">
        <f t="shared" si="1107"/>
        <v>5.0999999999999996</v>
      </c>
      <c r="Y366" s="7">
        <f t="shared" si="1108"/>
        <v>57.361276136431961</v>
      </c>
      <c r="AB366" s="38">
        <f t="shared" si="1151"/>
        <v>236.55172413793102</v>
      </c>
      <c r="AC366" s="4">
        <v>34.299999999999997</v>
      </c>
      <c r="AD366" s="4">
        <f t="shared" si="1279"/>
        <v>0.65201390875330911</v>
      </c>
      <c r="AE366" s="38">
        <v>0</v>
      </c>
      <c r="AF366" s="38">
        <v>0</v>
      </c>
      <c r="AG366" s="39">
        <f t="shared" si="1251"/>
        <v>158.75</v>
      </c>
      <c r="AH366" s="39"/>
      <c r="AI366" s="39"/>
      <c r="AJ366" s="7"/>
      <c r="AK366" s="4">
        <f t="shared" si="1109"/>
        <v>158.75</v>
      </c>
      <c r="AL366" s="4">
        <f t="shared" si="1304"/>
        <v>1.0933333333333333</v>
      </c>
      <c r="AM366" s="4">
        <f t="shared" si="1305"/>
        <v>76.801818794045587</v>
      </c>
      <c r="AN366" s="4">
        <f t="shared" si="1306"/>
        <v>0.8024</v>
      </c>
      <c r="AO366" s="4">
        <v>1.25</v>
      </c>
      <c r="AP366" s="4">
        <f t="shared" si="1221"/>
        <v>2.5</v>
      </c>
      <c r="AQ366" s="38">
        <f t="shared" si="1082"/>
        <v>210.55474628450247</v>
      </c>
      <c r="AR366" s="38">
        <f t="shared" si="1307"/>
        <v>210.55474628450247</v>
      </c>
      <c r="AS366" s="38">
        <f t="shared" si="1308"/>
        <v>3.152781589644936</v>
      </c>
      <c r="AT366" s="38">
        <f t="shared" si="1230"/>
        <v>210.55474628450261</v>
      </c>
      <c r="AU366" s="38">
        <f t="shared" si="1199"/>
        <v>0.99999999999999933</v>
      </c>
      <c r="AV366" s="38">
        <f t="shared" si="1231"/>
        <v>2.096842513650361</v>
      </c>
      <c r="AW366" s="4">
        <f t="shared" si="1232"/>
        <v>0</v>
      </c>
      <c r="AX366" s="4">
        <f t="shared" si="1110"/>
        <v>192.00206063625004</v>
      </c>
      <c r="AY366" s="4">
        <f t="shared" si="1083"/>
        <v>1</v>
      </c>
      <c r="AZ366" s="38">
        <f t="shared" si="1242"/>
        <v>441.50014346021044</v>
      </c>
      <c r="BA366" s="4">
        <f t="shared" si="1084"/>
        <v>0.42600000000000005</v>
      </c>
      <c r="BB366" s="4">
        <f t="shared" si="1085"/>
        <v>42.736778666719729</v>
      </c>
      <c r="BC366" s="4">
        <f t="shared" si="1086"/>
        <v>484.23692212693015</v>
      </c>
      <c r="BE366" s="4">
        <f t="shared" si="1222"/>
        <v>1.425</v>
      </c>
      <c r="BF366" s="4">
        <f t="shared" si="1225"/>
        <v>405.47955175466467</v>
      </c>
      <c r="BH366" s="4">
        <f t="shared" si="1248"/>
        <v>423.45262952765438</v>
      </c>
      <c r="BI366" s="4">
        <f t="shared" si="1184"/>
        <v>0</v>
      </c>
      <c r="BJ366" s="4">
        <f t="shared" si="1249"/>
        <v>0</v>
      </c>
      <c r="BK366" s="4">
        <f t="shared" si="1309"/>
        <v>68.58</v>
      </c>
      <c r="BL366" s="4">
        <f t="shared" si="1310"/>
        <v>68.58</v>
      </c>
      <c r="BM366" s="4">
        <f t="shared" si="1311"/>
        <v>260.34999999999997</v>
      </c>
      <c r="BN366" s="4">
        <f t="shared" si="1312"/>
        <v>81.28</v>
      </c>
      <c r="BO366" s="4">
        <f t="shared" si="1313"/>
        <v>1.25</v>
      </c>
      <c r="BP366" s="25">
        <f t="shared" si="1314"/>
        <v>4</v>
      </c>
      <c r="BR366" s="4">
        <f t="shared" si="1087"/>
        <v>68.58</v>
      </c>
      <c r="BV366" s="9"/>
      <c r="BX366" s="9"/>
      <c r="BY366" s="9"/>
      <c r="BZ366" s="9">
        <f t="shared" si="1088"/>
        <v>68.58</v>
      </c>
      <c r="CA366" s="9">
        <f t="shared" si="1089"/>
        <v>76.83499999999998</v>
      </c>
      <c r="CB366" s="9">
        <f t="shared" si="1233"/>
        <v>1.671422038708936</v>
      </c>
      <c r="CC366" s="40">
        <f t="shared" si="1111"/>
        <v>20</v>
      </c>
      <c r="CD366" s="9">
        <f t="shared" si="1090"/>
        <v>0</v>
      </c>
      <c r="CE366" s="9">
        <f t="shared" si="1091"/>
        <v>0</v>
      </c>
      <c r="CF366" s="9">
        <f t="shared" si="1092"/>
        <v>0.99524931562137331</v>
      </c>
      <c r="CG366" s="9">
        <f t="shared" si="1093"/>
        <v>0.68</v>
      </c>
      <c r="CH366" s="9">
        <f t="shared" si="1234"/>
        <v>1.3825737851765767</v>
      </c>
      <c r="CI366" s="9">
        <f t="shared" si="1235"/>
        <v>2.3108642946853646</v>
      </c>
      <c r="CJ366" s="40">
        <v>1</v>
      </c>
      <c r="CK366" s="9">
        <f t="shared" si="1236"/>
        <v>196.42346504825599</v>
      </c>
      <c r="CM366" s="4">
        <f t="shared" si="1094"/>
        <v>1.2320270071792656</v>
      </c>
      <c r="CN366" s="4">
        <f t="shared" si="1095"/>
        <v>0.48850410476532213</v>
      </c>
      <c r="CO366" s="4">
        <f t="shared" si="1062"/>
        <v>0.5833875545987004</v>
      </c>
      <c r="CP366" s="4">
        <f t="shared" si="1096"/>
        <v>1.2042946298692805</v>
      </c>
      <c r="CQ366" s="4">
        <f t="shared" si="1324"/>
        <v>0.65201390875330911</v>
      </c>
      <c r="CR366" s="4">
        <f t="shared" si="1325"/>
        <v>0.67868729013532503</v>
      </c>
      <c r="CS366" s="4">
        <f t="shared" si="1063"/>
        <v>0.86015700533062411</v>
      </c>
      <c r="CT366" s="4">
        <f t="shared" si="1112"/>
        <v>0</v>
      </c>
      <c r="CU366" s="4">
        <f t="shared" ref="CU366:CV366" si="1357">CM366</f>
        <v>1.2320270071792656</v>
      </c>
      <c r="CV366" s="4">
        <f t="shared" si="1357"/>
        <v>0.48850410476532213</v>
      </c>
      <c r="CW366" s="4">
        <f t="shared" ref="CW366" si="1358">CP366</f>
        <v>1.2042946298692805</v>
      </c>
      <c r="CX366" s="4">
        <f t="shared" si="1254"/>
        <v>0.86015700533062411</v>
      </c>
      <c r="CY366" s="4">
        <f t="shared" ref="CY366:CZ366" si="1359">CQ366</f>
        <v>0.65201390875330911</v>
      </c>
      <c r="CZ366" s="4">
        <f t="shared" si="1359"/>
        <v>0.67868729013532503</v>
      </c>
      <c r="DI366" s="4">
        <f t="shared" si="1097"/>
        <v>158.75</v>
      </c>
      <c r="DL366" s="4">
        <f t="shared" si="1286"/>
        <v>1.1483872651980423E-5</v>
      </c>
      <c r="DM366" s="4">
        <f t="shared" si="1287"/>
        <v>7.5525190994983378</v>
      </c>
      <c r="DN366" s="4">
        <f t="shared" si="1288"/>
        <v>0.33644022409599456</v>
      </c>
      <c r="DO366" s="4">
        <f t="shared" si="1289"/>
        <v>4.8848923521754735</v>
      </c>
      <c r="DP366" s="4">
        <f t="shared" si="1290"/>
        <v>6.3607627445011392</v>
      </c>
      <c r="DQ366" s="4">
        <f t="shared" si="1291"/>
        <v>7.4103270565220862</v>
      </c>
      <c r="DR366" s="38">
        <f t="shared" si="1318"/>
        <v>362.80165340373264</v>
      </c>
      <c r="DS366" s="4">
        <f t="shared" si="1292"/>
        <v>1.0001139100355729</v>
      </c>
      <c r="DT366" s="4">
        <f t="shared" si="1293"/>
        <v>2.2583179581272428</v>
      </c>
      <c r="DU366" s="4">
        <f t="shared" si="1294"/>
        <v>210.55474628450261</v>
      </c>
      <c r="DY366" s="4">
        <f t="shared" si="1295"/>
        <v>0.85</v>
      </c>
      <c r="DZ366" s="4">
        <f t="shared" si="1296"/>
        <v>0.83</v>
      </c>
      <c r="EA366" s="4">
        <f t="shared" si="1319"/>
        <v>1</v>
      </c>
      <c r="EB366" s="4">
        <f t="shared" si="1297"/>
        <v>0.83</v>
      </c>
      <c r="ED366" s="4">
        <f t="shared" si="1320"/>
        <v>348.54302942783033</v>
      </c>
      <c r="EE366" s="25">
        <f t="shared" si="1321"/>
        <v>206.93329631223651</v>
      </c>
      <c r="EG366" s="4">
        <f t="shared" si="1213"/>
        <v>0.7054999999999999</v>
      </c>
      <c r="EH366" s="4">
        <f t="shared" si="1322"/>
        <v>7.5525190994983378</v>
      </c>
      <c r="EK366" s="4">
        <f t="shared" si="1298"/>
        <v>57.361276136431961</v>
      </c>
      <c r="EL366" s="4">
        <f t="shared" si="1299"/>
        <v>2.2583179581272428</v>
      </c>
      <c r="EM366" s="4">
        <f t="shared" si="1300"/>
        <v>0.10737981522682664</v>
      </c>
      <c r="EP366" s="4">
        <f t="shared" si="1113"/>
        <v>0.10737981522682664</v>
      </c>
      <c r="EQ366" s="4">
        <f t="shared" si="1237"/>
        <v>0.33587876806591221</v>
      </c>
      <c r="ER366" s="4">
        <f t="shared" si="1301"/>
        <v>4.8816299282594589</v>
      </c>
      <c r="ES366" s="4">
        <f t="shared" si="1098"/>
        <v>6.3595136472093712</v>
      </c>
      <c r="ET366" s="4">
        <f t="shared" si="1302"/>
        <v>61.701223863568039</v>
      </c>
      <c r="EU366" s="4">
        <f t="shared" si="1303"/>
        <v>39.687499999999993</v>
      </c>
      <c r="EV366" s="4">
        <f t="shared" si="1238"/>
        <v>1.1483872651980423E-5</v>
      </c>
      <c r="EW366" s="4">
        <f t="shared" si="1099"/>
        <v>7.4103727299069329</v>
      </c>
      <c r="EX366" s="4">
        <f t="shared" si="1250"/>
        <v>362.76033136148283</v>
      </c>
      <c r="FG366" s="23">
        <f t="shared" si="1143"/>
        <v>1.4</v>
      </c>
      <c r="FH366" s="23">
        <f t="shared" si="1143"/>
        <v>0.6</v>
      </c>
      <c r="FI366" s="23">
        <f t="shared" si="1068"/>
        <v>1</v>
      </c>
      <c r="FJ366" s="23">
        <f t="shared" si="1144"/>
        <v>1.4</v>
      </c>
      <c r="FK366" s="23">
        <f t="shared" si="1144"/>
        <v>0.8</v>
      </c>
      <c r="FL366" s="23">
        <f t="shared" si="1144"/>
        <v>0.8</v>
      </c>
      <c r="FM366" s="23">
        <f t="shared" si="1330"/>
        <v>1</v>
      </c>
      <c r="FN366" s="23"/>
      <c r="FX366" s="4">
        <f t="shared" si="1200"/>
        <v>1</v>
      </c>
      <c r="FY366" s="4">
        <f t="shared" si="1258"/>
        <v>0.5475000000000001</v>
      </c>
      <c r="FZ366" s="4">
        <f t="shared" si="1201"/>
        <v>0</v>
      </c>
      <c r="GA366" s="4">
        <f t="shared" si="1202"/>
        <v>275.0099373392955</v>
      </c>
    </row>
    <row r="367" spans="1:183" ht="12" customHeight="1" x14ac:dyDescent="0.3">
      <c r="A367" s="25">
        <v>349</v>
      </c>
      <c r="B367" s="4" t="s">
        <v>605</v>
      </c>
      <c r="C367" s="4">
        <v>2016</v>
      </c>
      <c r="D367" s="4" t="s">
        <v>309</v>
      </c>
      <c r="E367" s="24" t="s">
        <v>672</v>
      </c>
      <c r="F367" s="7" t="s">
        <v>513</v>
      </c>
      <c r="G367" s="38">
        <f t="shared" si="1334"/>
        <v>889.65517241379314</v>
      </c>
      <c r="H367" s="38">
        <f>6.1*25.4</f>
        <v>154.93999999999997</v>
      </c>
      <c r="I367" s="4">
        <f t="shared" si="1100"/>
        <v>154.93999999999997</v>
      </c>
      <c r="J367" s="38">
        <f t="shared" ref="J367:J369" si="1360">4940/145</f>
        <v>34.068965517241381</v>
      </c>
      <c r="K367" s="38">
        <f t="shared" si="1101"/>
        <v>25.4</v>
      </c>
      <c r="L367" s="7">
        <f t="shared" si="1102"/>
        <v>6.0999999999999988</v>
      </c>
      <c r="M367" s="7">
        <f t="shared" si="1103"/>
        <v>6.0999999999999988</v>
      </c>
      <c r="N367" s="38">
        <f>20.5*25.4</f>
        <v>520.69999999999993</v>
      </c>
      <c r="O367" s="38">
        <f>2.7*25.4</f>
        <v>68.58</v>
      </c>
      <c r="P367" s="39">
        <f>7*25.4</f>
        <v>177.79999999999998</v>
      </c>
      <c r="Q367" s="7">
        <f t="shared" si="1104"/>
        <v>153.66999999999996</v>
      </c>
      <c r="R367" s="38">
        <v>3</v>
      </c>
      <c r="S367" s="4">
        <f t="shared" si="1081"/>
        <v>260.34999999999997</v>
      </c>
      <c r="T367" s="7">
        <f t="shared" si="1105"/>
        <v>3.2</v>
      </c>
      <c r="U367" s="7">
        <f t="shared" si="1247"/>
        <v>3.2</v>
      </c>
      <c r="V367" s="38">
        <v>4.0999999999999996</v>
      </c>
      <c r="W367" s="4">
        <f t="shared" si="1106"/>
        <v>4.0999999999999996</v>
      </c>
      <c r="X367" s="4">
        <f t="shared" si="1107"/>
        <v>5.0999999999999996</v>
      </c>
      <c r="Y367" s="7">
        <f t="shared" si="1108"/>
        <v>57.361276136431961</v>
      </c>
      <c r="AB367" s="38">
        <f t="shared" si="1151"/>
        <v>368.96551724137936</v>
      </c>
      <c r="AC367" s="4">
        <v>53.5</v>
      </c>
      <c r="AD367" s="4">
        <f t="shared" si="1279"/>
        <v>0.96063482258325084</v>
      </c>
      <c r="AE367" s="38">
        <f>0.5*25.4</f>
        <v>12.7</v>
      </c>
      <c r="AF367" s="38">
        <v>10</v>
      </c>
      <c r="AG367" s="39">
        <f t="shared" si="1352"/>
        <v>76.199999999999989</v>
      </c>
      <c r="AH367" s="39">
        <v>3</v>
      </c>
      <c r="AI367" s="39">
        <f>AH367-1</f>
        <v>2</v>
      </c>
      <c r="AJ367" s="7"/>
      <c r="AK367" s="4">
        <f t="shared" si="1109"/>
        <v>154.93999999999997</v>
      </c>
      <c r="AL367" s="4">
        <f t="shared" si="1304"/>
        <v>1.1202185792349728</v>
      </c>
      <c r="AM367" s="4">
        <f t="shared" si="1305"/>
        <v>74.053609471570255</v>
      </c>
      <c r="AN367" s="4">
        <f t="shared" si="1306"/>
        <v>0.80491803278688523</v>
      </c>
      <c r="AO367" s="4">
        <v>1.25</v>
      </c>
      <c r="AP367" s="4">
        <f t="shared" si="1221"/>
        <v>2.5</v>
      </c>
      <c r="AQ367" s="38">
        <f t="shared" si="1082"/>
        <v>208.66551502062913</v>
      </c>
      <c r="AR367" s="38">
        <f t="shared" si="1307"/>
        <v>208.66551502062913</v>
      </c>
      <c r="AS367" s="38">
        <f t="shared" si="1308"/>
        <v>3.152781589644936</v>
      </c>
      <c r="AT367" s="38">
        <f t="shared" si="1230"/>
        <v>208.6655150206293</v>
      </c>
      <c r="AU367" s="38">
        <f t="shared" si="1199"/>
        <v>0.99999999999999922</v>
      </c>
      <c r="AV367" s="38">
        <f t="shared" si="1231"/>
        <v>2.1158270613932659</v>
      </c>
      <c r="AW367" s="4">
        <f t="shared" si="1232"/>
        <v>0</v>
      </c>
      <c r="AX367" s="4">
        <f t="shared" si="1110"/>
        <v>187.39401118098002</v>
      </c>
      <c r="AY367" s="4">
        <f t="shared" si="1083"/>
        <v>1</v>
      </c>
      <c r="AZ367" s="38">
        <f t="shared" si="1242"/>
        <v>441.50014346021044</v>
      </c>
      <c r="BA367" s="4">
        <f t="shared" si="1084"/>
        <v>0.42600000000000005</v>
      </c>
      <c r="BB367" s="4">
        <f t="shared" si="1085"/>
        <v>41.71109597871844</v>
      </c>
      <c r="BC367" s="4">
        <f t="shared" si="1086"/>
        <v>483.21123943892889</v>
      </c>
      <c r="BE367" s="4">
        <f t="shared" si="1222"/>
        <v>1.5</v>
      </c>
      <c r="BF367" s="4">
        <f t="shared" si="1225"/>
        <v>422.88069851012796</v>
      </c>
      <c r="BH367" s="4">
        <f t="shared" si="1248"/>
        <v>423.45262952765438</v>
      </c>
      <c r="BI367" s="4">
        <f t="shared" si="1184"/>
        <v>0</v>
      </c>
      <c r="BJ367" s="4">
        <f t="shared" si="1249"/>
        <v>0</v>
      </c>
      <c r="BK367" s="4">
        <f t="shared" si="1309"/>
        <v>68.58</v>
      </c>
      <c r="BL367" s="4">
        <f t="shared" si="1310"/>
        <v>68.58</v>
      </c>
      <c r="BM367" s="4">
        <f t="shared" si="1311"/>
        <v>260.34999999999997</v>
      </c>
      <c r="BN367" s="4">
        <f t="shared" si="1312"/>
        <v>81.28</v>
      </c>
      <c r="BO367" s="4">
        <f t="shared" si="1313"/>
        <v>1.25</v>
      </c>
      <c r="BP367" s="25">
        <f t="shared" si="1314"/>
        <v>4</v>
      </c>
      <c r="BR367" s="4">
        <f t="shared" si="1087"/>
        <v>68.58</v>
      </c>
      <c r="BV367" s="9"/>
      <c r="BX367" s="9"/>
      <c r="BY367" s="9"/>
      <c r="BZ367" s="9">
        <f t="shared" si="1088"/>
        <v>68.58</v>
      </c>
      <c r="CA367" s="9">
        <f t="shared" si="1089"/>
        <v>76.83499999999998</v>
      </c>
      <c r="CB367" s="9">
        <f t="shared" si="1233"/>
        <v>1.671422038708936</v>
      </c>
      <c r="CC367" s="40">
        <f t="shared" si="1111"/>
        <v>20</v>
      </c>
      <c r="CD367" s="9">
        <f t="shared" si="1090"/>
        <v>0.05</v>
      </c>
      <c r="CE367" s="9">
        <f t="shared" si="1091"/>
        <v>0.8</v>
      </c>
      <c r="CF367" s="9">
        <f t="shared" si="1092"/>
        <v>0.99524931562137331</v>
      </c>
      <c r="CG367" s="9">
        <f t="shared" si="1093"/>
        <v>0.68</v>
      </c>
      <c r="CH367" s="9">
        <f t="shared" si="1234"/>
        <v>1.3825737851765767</v>
      </c>
      <c r="CI367" s="9">
        <f t="shared" si="1235"/>
        <v>3.4169233228266256</v>
      </c>
      <c r="CJ367" s="40">
        <v>1</v>
      </c>
      <c r="CK367" s="9">
        <f t="shared" si="1236"/>
        <v>288.38832844656719</v>
      </c>
      <c r="CM367" s="4">
        <f t="shared" si="1094"/>
        <v>1.9689290757805624</v>
      </c>
      <c r="CN367" s="4">
        <f t="shared" si="1095"/>
        <v>0.7635698161114719</v>
      </c>
      <c r="CO367" s="4">
        <f t="shared" si="1062"/>
        <v>0.872504984363912</v>
      </c>
      <c r="CP367" s="4">
        <f t="shared" si="1096"/>
        <v>1.2794051660441645</v>
      </c>
      <c r="CQ367" s="4">
        <f t="shared" si="1324"/>
        <v>0.96063482258325084</v>
      </c>
      <c r="CR367" s="4">
        <f t="shared" si="1325"/>
        <v>1.0002692328949259</v>
      </c>
      <c r="CS367" s="4">
        <f t="shared" si="1063"/>
        <v>1.2211878714437694</v>
      </c>
      <c r="CT367" s="4">
        <f t="shared" si="1112"/>
        <v>10</v>
      </c>
      <c r="DA367" s="4">
        <f t="shared" ref="DA367:DB367" si="1361">CM367</f>
        <v>1.9689290757805624</v>
      </c>
      <c r="DB367" s="4">
        <f t="shared" si="1361"/>
        <v>0.7635698161114719</v>
      </c>
      <c r="DC367" s="4">
        <f t="shared" ref="DC367" si="1362">CP367</f>
        <v>1.2794051660441645</v>
      </c>
      <c r="DD367" s="4">
        <f t="shared" ref="DD367" si="1363">CS367</f>
        <v>1.2211878714437694</v>
      </c>
      <c r="DE367" s="4">
        <f t="shared" ref="DE367:DF367" si="1364">CQ367</f>
        <v>0.96063482258325084</v>
      </c>
      <c r="DF367" s="4">
        <f t="shared" si="1364"/>
        <v>1.0002692328949259</v>
      </c>
      <c r="DI367" s="4">
        <f t="shared" si="1097"/>
        <v>154.93999999999997</v>
      </c>
      <c r="DL367" s="4">
        <f t="shared" si="1286"/>
        <v>1.120825970833289E-5</v>
      </c>
      <c r="DM367" s="4">
        <f t="shared" si="1287"/>
        <v>8.9551297894051718</v>
      </c>
      <c r="DN367" s="4">
        <f t="shared" si="1288"/>
        <v>0.33342146816195423</v>
      </c>
      <c r="DO367" s="4">
        <f t="shared" si="1289"/>
        <v>5.7712423036322535</v>
      </c>
      <c r="DP367" s="4">
        <f t="shared" si="1290"/>
        <v>7.5340749938373071</v>
      </c>
      <c r="DQ367" s="4">
        <f t="shared" si="1291"/>
        <v>8.7655991202131087</v>
      </c>
      <c r="DR367" s="38">
        <f t="shared" si="1318"/>
        <v>384.08509515529659</v>
      </c>
      <c r="DS367" s="4">
        <f t="shared" si="1292"/>
        <v>1.0001252011648942</v>
      </c>
      <c r="DT367" s="4">
        <f t="shared" si="1293"/>
        <v>2.2583179581272428</v>
      </c>
      <c r="DU367" s="4">
        <f t="shared" si="1294"/>
        <v>208.6655150206293</v>
      </c>
      <c r="DY367" s="4">
        <f t="shared" si="1295"/>
        <v>0.85</v>
      </c>
      <c r="DZ367" s="4">
        <f t="shared" si="1296"/>
        <v>0.83</v>
      </c>
      <c r="EA367" s="4">
        <f t="shared" si="1319"/>
        <v>0.77500000000000002</v>
      </c>
      <c r="EB367" s="4">
        <f t="shared" si="1297"/>
        <v>0.7</v>
      </c>
      <c r="ED367" s="4">
        <f t="shared" si="1320"/>
        <v>368.86620632481021</v>
      </c>
      <c r="EE367" s="25">
        <f t="shared" si="1321"/>
        <v>204.9873311786956</v>
      </c>
      <c r="EG367" s="4">
        <f t="shared" si="1213"/>
        <v>0.59499999999999997</v>
      </c>
      <c r="EH367" s="4">
        <f t="shared" si="1322"/>
        <v>8.9551297894051718</v>
      </c>
      <c r="EK367" s="4">
        <f t="shared" si="1298"/>
        <v>57.361276136431961</v>
      </c>
      <c r="EL367" s="4">
        <f t="shared" si="1299"/>
        <v>2.2583179581272428</v>
      </c>
      <c r="EM367" s="4">
        <f t="shared" si="1300"/>
        <v>0.10641633514568259</v>
      </c>
      <c r="EP367" s="4">
        <f t="shared" si="1113"/>
        <v>0.10641633514568259</v>
      </c>
      <c r="EQ367" s="4">
        <f t="shared" si="1237"/>
        <v>0.33286504987290622</v>
      </c>
      <c r="ER367" s="4">
        <f t="shared" si="1301"/>
        <v>5.7673879220903359</v>
      </c>
      <c r="ES367" s="4">
        <f t="shared" si="1098"/>
        <v>7.5326031109832208</v>
      </c>
      <c r="ET367" s="4">
        <f t="shared" si="1302"/>
        <v>58.843723863568023</v>
      </c>
      <c r="EU367" s="4">
        <f t="shared" si="1303"/>
        <v>38.734999999999978</v>
      </c>
      <c r="EV367" s="4">
        <f t="shared" si="1238"/>
        <v>1.1208259708332886E-5</v>
      </c>
      <c r="EW367" s="4">
        <f t="shared" si="1099"/>
        <v>8.7656606502283783</v>
      </c>
      <c r="EX367" s="4">
        <f t="shared" si="1250"/>
        <v>384.03701327387222</v>
      </c>
      <c r="FG367" s="23">
        <f t="shared" si="1143"/>
        <v>2</v>
      </c>
      <c r="FH367" s="23">
        <f t="shared" si="1143"/>
        <v>0.8</v>
      </c>
      <c r="FI367" s="23">
        <f t="shared" si="1068"/>
        <v>1.4</v>
      </c>
      <c r="FJ367" s="23">
        <f t="shared" si="1144"/>
        <v>1.4</v>
      </c>
      <c r="FK367" s="23">
        <f t="shared" si="1144"/>
        <v>1</v>
      </c>
      <c r="FL367" s="23">
        <f t="shared" si="1144"/>
        <v>1.2</v>
      </c>
      <c r="FM367" s="23">
        <f t="shared" si="1330"/>
        <v>0</v>
      </c>
      <c r="FN367" s="23"/>
      <c r="FX367" s="4">
        <f t="shared" si="1200"/>
        <v>1</v>
      </c>
      <c r="FY367" s="4">
        <f t="shared" si="1258"/>
        <v>0.48638372093023263</v>
      </c>
      <c r="FZ367" s="4">
        <f t="shared" si="1201"/>
        <v>0.3</v>
      </c>
      <c r="GA367" s="4">
        <f t="shared" si="1202"/>
        <v>302.13657199621861</v>
      </c>
    </row>
    <row r="368" spans="1:183" ht="12" customHeight="1" x14ac:dyDescent="0.3">
      <c r="A368" s="25">
        <v>350</v>
      </c>
      <c r="B368" s="4" t="s">
        <v>605</v>
      </c>
      <c r="C368" s="4">
        <v>2016</v>
      </c>
      <c r="D368" s="4" t="s">
        <v>309</v>
      </c>
      <c r="E368" s="24" t="s">
        <v>672</v>
      </c>
      <c r="F368" s="7" t="s">
        <v>514</v>
      </c>
      <c r="G368" s="38">
        <f t="shared" si="1334"/>
        <v>889.65517241379314</v>
      </c>
      <c r="H368" s="38">
        <f>6.13*25.4</f>
        <v>155.702</v>
      </c>
      <c r="I368" s="4">
        <f t="shared" si="1100"/>
        <v>155.702</v>
      </c>
      <c r="J368" s="38">
        <f t="shared" si="1360"/>
        <v>34.068965517241381</v>
      </c>
      <c r="K368" s="38">
        <f t="shared" si="1101"/>
        <v>25.4</v>
      </c>
      <c r="L368" s="7">
        <f t="shared" si="1102"/>
        <v>6.13</v>
      </c>
      <c r="M368" s="7">
        <f t="shared" si="1103"/>
        <v>6.13</v>
      </c>
      <c r="N368" s="38">
        <f>17.3*25.4</f>
        <v>439.42</v>
      </c>
      <c r="O368" s="38">
        <f>2.8*25.4</f>
        <v>71.11999999999999</v>
      </c>
      <c r="P368" s="39">
        <f>7*25.4</f>
        <v>177.79999999999998</v>
      </c>
      <c r="Q368" s="7">
        <f t="shared" si="1104"/>
        <v>246.38000000000002</v>
      </c>
      <c r="R368" s="38">
        <v>2</v>
      </c>
      <c r="S368" s="4">
        <f t="shared" si="1081"/>
        <v>260.34999999999997</v>
      </c>
      <c r="T368" s="7">
        <f t="shared" si="1105"/>
        <v>3.3</v>
      </c>
      <c r="U368" s="7">
        <f t="shared" si="1247"/>
        <v>3.3</v>
      </c>
      <c r="V368" s="38">
        <v>9.1</v>
      </c>
      <c r="W368" s="4">
        <f t="shared" si="1106"/>
        <v>9.1</v>
      </c>
      <c r="X368" s="4">
        <f t="shared" si="1107"/>
        <v>10.1</v>
      </c>
      <c r="Y368" s="7">
        <f t="shared" si="1108"/>
        <v>80.72246279691916</v>
      </c>
      <c r="AB368" s="38">
        <f t="shared" si="1151"/>
        <v>291.72413793103448</v>
      </c>
      <c r="AC368" s="4">
        <v>42.3</v>
      </c>
      <c r="AD368" s="4">
        <f t="shared" si="1279"/>
        <v>0.72042570438964904</v>
      </c>
      <c r="AE368" s="38">
        <v>0</v>
      </c>
      <c r="AF368" s="38">
        <v>0</v>
      </c>
      <c r="AG368" s="39">
        <f t="shared" si="1251"/>
        <v>155.702</v>
      </c>
      <c r="AH368" s="39"/>
      <c r="AI368" s="39"/>
      <c r="AJ368" s="7"/>
      <c r="AK368" s="4">
        <f t="shared" si="1109"/>
        <v>155.702</v>
      </c>
      <c r="AL368" s="4">
        <f t="shared" si="1304"/>
        <v>0.94072865687873841</v>
      </c>
      <c r="AM368" s="4">
        <f t="shared" si="1305"/>
        <v>111.90086657680006</v>
      </c>
      <c r="AN368" s="4">
        <f t="shared" si="1306"/>
        <v>0.80766721044045675</v>
      </c>
      <c r="AO368" s="4">
        <v>1.25</v>
      </c>
      <c r="AP368" s="4">
        <f t="shared" si="1221"/>
        <v>2.5</v>
      </c>
      <c r="AQ368" s="38">
        <f t="shared" si="1082"/>
        <v>265.69311294239424</v>
      </c>
      <c r="AR368" s="38">
        <f t="shared" si="1307"/>
        <v>265.69311294239424</v>
      </c>
      <c r="AS368" s="38">
        <f t="shared" si="1308"/>
        <v>3.152781589644936</v>
      </c>
      <c r="AT368" s="38">
        <f t="shared" si="1230"/>
        <v>265.69311294239441</v>
      </c>
      <c r="AU368" s="38">
        <f t="shared" si="1199"/>
        <v>0.99999999999999933</v>
      </c>
      <c r="AV368" s="38">
        <f t="shared" si="1231"/>
        <v>2.5529557142425969</v>
      </c>
      <c r="AW368" s="4">
        <f t="shared" si="1232"/>
        <v>0</v>
      </c>
      <c r="AX368" s="4">
        <f t="shared" si="1110"/>
        <v>188.31562107203405</v>
      </c>
      <c r="AY368" s="4">
        <f t="shared" si="1083"/>
        <v>1</v>
      </c>
      <c r="AZ368" s="38">
        <f t="shared" si="1242"/>
        <v>678.3027509211895</v>
      </c>
      <c r="BA368" s="4">
        <f t="shared" si="1084"/>
        <v>0.3</v>
      </c>
      <c r="BB368" s="4">
        <f t="shared" si="1085"/>
        <v>29.518473603041336</v>
      </c>
      <c r="BC368" s="4">
        <f t="shared" si="1086"/>
        <v>707.82122452423084</v>
      </c>
      <c r="BE368" s="4">
        <f t="shared" si="1222"/>
        <v>1.45</v>
      </c>
      <c r="BF368" s="4">
        <f t="shared" si="1225"/>
        <v>409.54638580141318</v>
      </c>
      <c r="BH368" s="4">
        <f t="shared" si="1248"/>
        <v>650.57528915458977</v>
      </c>
      <c r="BI368" s="4">
        <f t="shared" si="1184"/>
        <v>0</v>
      </c>
      <c r="BJ368" s="4">
        <f t="shared" si="1249"/>
        <v>0</v>
      </c>
      <c r="BK368" s="4">
        <f t="shared" si="1309"/>
        <v>71.11999999999999</v>
      </c>
      <c r="BL368" s="4">
        <f t="shared" si="1310"/>
        <v>71.11999999999999</v>
      </c>
      <c r="BM368" s="4">
        <f t="shared" si="1311"/>
        <v>260.34999999999997</v>
      </c>
      <c r="BN368" s="4">
        <f t="shared" si="1312"/>
        <v>83.82</v>
      </c>
      <c r="BO368" s="4">
        <f t="shared" si="1313"/>
        <v>1.25</v>
      </c>
      <c r="BP368" s="25">
        <f t="shared" si="1314"/>
        <v>4</v>
      </c>
      <c r="BR368" s="4">
        <f t="shared" si="1087"/>
        <v>71.11999999999999</v>
      </c>
      <c r="BV368" s="9"/>
      <c r="BX368" s="9"/>
      <c r="BY368" s="9"/>
      <c r="BZ368" s="9">
        <f t="shared" si="1088"/>
        <v>71.11999999999999</v>
      </c>
      <c r="CA368" s="9">
        <f t="shared" si="1089"/>
        <v>123.19000000000001</v>
      </c>
      <c r="CB368" s="9">
        <f t="shared" si="1233"/>
        <v>1.8170487186781425</v>
      </c>
      <c r="CC368" s="40">
        <f t="shared" si="1111"/>
        <v>20</v>
      </c>
      <c r="CD368" s="9">
        <f t="shared" si="1090"/>
        <v>0</v>
      </c>
      <c r="CE368" s="9">
        <f t="shared" si="1091"/>
        <v>0</v>
      </c>
      <c r="CF368" s="9">
        <f t="shared" si="1092"/>
        <v>0.99524931562137331</v>
      </c>
      <c r="CG368" s="9">
        <f t="shared" si="1093"/>
        <v>0.68</v>
      </c>
      <c r="CH368" s="9">
        <f t="shared" si="1234"/>
        <v>1.3825737851765767</v>
      </c>
      <c r="CI368" s="9">
        <f t="shared" si="1235"/>
        <v>2.5122039248330883</v>
      </c>
      <c r="CJ368" s="40">
        <v>1</v>
      </c>
      <c r="CK368" s="9">
        <f t="shared" si="1236"/>
        <v>212.33147572689262</v>
      </c>
      <c r="CM368" s="4">
        <f t="shared" si="1094"/>
        <v>1.549123414564981</v>
      </c>
      <c r="CN368" s="4">
        <f t="shared" si="1095"/>
        <v>0.41214381234063702</v>
      </c>
      <c r="CO368" s="4">
        <f t="shared" si="1062"/>
        <v>0.71231037080251502</v>
      </c>
      <c r="CP368" s="4">
        <f t="shared" si="1096"/>
        <v>1.3739090586186062</v>
      </c>
      <c r="CQ368" s="4">
        <f t="shared" si="1324"/>
        <v>0.72042570438964904</v>
      </c>
      <c r="CR368" s="4">
        <f t="shared" si="1325"/>
        <v>0.72633374341804824</v>
      </c>
      <c r="CS368" s="4">
        <f t="shared" si="1063"/>
        <v>0.98770988832965423</v>
      </c>
      <c r="CT368" s="4">
        <f t="shared" si="1112"/>
        <v>0</v>
      </c>
      <c r="CU368" s="4">
        <f t="shared" ref="CU368:CV368" si="1365">CM368</f>
        <v>1.549123414564981</v>
      </c>
      <c r="CV368" s="4">
        <f t="shared" si="1365"/>
        <v>0.41214381234063702</v>
      </c>
      <c r="CW368" s="4">
        <f t="shared" ref="CW368" si="1366">CP368</f>
        <v>1.3739090586186062</v>
      </c>
      <c r="CX368" s="4">
        <f t="shared" si="1254"/>
        <v>0.98770988832965423</v>
      </c>
      <c r="CY368" s="4">
        <f t="shared" ref="CY368:CZ368" si="1367">CQ368</f>
        <v>0.72042570438964904</v>
      </c>
      <c r="CZ368" s="4">
        <f t="shared" si="1367"/>
        <v>0.72633374341804824</v>
      </c>
      <c r="DI368" s="4">
        <f t="shared" si="1097"/>
        <v>155.702</v>
      </c>
      <c r="DL368" s="4">
        <f t="shared" si="1286"/>
        <v>1.12633822970624E-5</v>
      </c>
      <c r="DM368" s="4">
        <f t="shared" si="1287"/>
        <v>7.644622990955634</v>
      </c>
      <c r="DN368" s="4">
        <f t="shared" si="1288"/>
        <v>0.26917903901498447</v>
      </c>
      <c r="DO368" s="4">
        <f t="shared" si="1289"/>
        <v>4.5224374367393656</v>
      </c>
      <c r="DP368" s="4">
        <f t="shared" si="1290"/>
        <v>6.2818567560611411</v>
      </c>
      <c r="DQ368" s="4">
        <f t="shared" si="1291"/>
        <v>7.517556978819071</v>
      </c>
      <c r="DR368" s="38">
        <f t="shared" si="1318"/>
        <v>404.9329946912232</v>
      </c>
      <c r="DS368" s="4">
        <f t="shared" si="1292"/>
        <v>1.000109263515176</v>
      </c>
      <c r="DT368" s="4">
        <f t="shared" si="1293"/>
        <v>3.1780497164141401</v>
      </c>
      <c r="DU368" s="4">
        <f t="shared" si="1294"/>
        <v>265.69311294239441</v>
      </c>
      <c r="DY368" s="4">
        <f t="shared" si="1295"/>
        <v>0.85</v>
      </c>
      <c r="DZ368" s="4">
        <f t="shared" si="1296"/>
        <v>0.82000000000000006</v>
      </c>
      <c r="EA368" s="4">
        <f t="shared" si="1319"/>
        <v>1</v>
      </c>
      <c r="EB368" s="4">
        <f t="shared" si="1297"/>
        <v>0.82000000000000006</v>
      </c>
      <c r="ED368" s="4">
        <f t="shared" si="1320"/>
        <v>401.63924721191137</v>
      </c>
      <c r="EE368" s="25">
        <f t="shared" si="1321"/>
        <v>261.05463040823724</v>
      </c>
      <c r="EG368" s="4">
        <f t="shared" si="1213"/>
        <v>0.69700000000000006</v>
      </c>
      <c r="EH368" s="4">
        <f t="shared" si="1322"/>
        <v>7.644622990955634</v>
      </c>
      <c r="EK368" s="4">
        <f t="shared" si="1298"/>
        <v>80.72246279691916</v>
      </c>
      <c r="EL368" s="4">
        <f t="shared" si="1299"/>
        <v>3.1780497164141406</v>
      </c>
      <c r="EM368" s="4">
        <f t="shared" si="1300"/>
        <v>8.5912424859509881E-2</v>
      </c>
      <c r="EP368" s="4">
        <f t="shared" si="1113"/>
        <v>8.5912424859509881E-2</v>
      </c>
      <c r="EQ368" s="4">
        <f t="shared" si="1237"/>
        <v>0.26872982936702156</v>
      </c>
      <c r="ER368" s="4">
        <f t="shared" si="1301"/>
        <v>4.5194170819416337</v>
      </c>
      <c r="ES368" s="4">
        <f t="shared" si="1098"/>
        <v>6.2807750403864535</v>
      </c>
      <c r="ET368" s="4">
        <f t="shared" si="1302"/>
        <v>36.054037203080838</v>
      </c>
      <c r="EU368" s="4">
        <f t="shared" si="1303"/>
        <v>38.9255</v>
      </c>
      <c r="EV368" s="4">
        <f t="shared" si="1238"/>
        <v>1.12633822970624E-5</v>
      </c>
      <c r="EW368" s="4">
        <f t="shared" si="1099"/>
        <v>7.517605518570865</v>
      </c>
      <c r="EX368" s="4">
        <f t="shared" si="1250"/>
        <v>404.88875512258329</v>
      </c>
      <c r="FG368" s="23">
        <f t="shared" si="1143"/>
        <v>1.6</v>
      </c>
      <c r="FH368" s="23">
        <f t="shared" si="1143"/>
        <v>0.6</v>
      </c>
      <c r="FI368" s="23">
        <f t="shared" si="1068"/>
        <v>1</v>
      </c>
      <c r="FJ368" s="23">
        <f t="shared" si="1144"/>
        <v>1.4</v>
      </c>
      <c r="FK368" s="23">
        <f t="shared" si="1144"/>
        <v>0.8</v>
      </c>
      <c r="FL368" s="23">
        <f t="shared" si="1144"/>
        <v>0.8</v>
      </c>
      <c r="FM368" s="23">
        <f t="shared" si="1330"/>
        <v>1</v>
      </c>
      <c r="FN368" s="23"/>
      <c r="FX368" s="4">
        <f t="shared" si="1200"/>
        <v>1</v>
      </c>
      <c r="FY368" s="4">
        <f t="shared" si="1258"/>
        <v>0.5</v>
      </c>
      <c r="FZ368" s="4">
        <f t="shared" si="1201"/>
        <v>0</v>
      </c>
      <c r="GA368" s="4">
        <f t="shared" si="1202"/>
        <v>295.3540724639073</v>
      </c>
    </row>
    <row r="369" spans="1:183" ht="12" customHeight="1" x14ac:dyDescent="0.3">
      <c r="A369" s="25">
        <v>351</v>
      </c>
      <c r="B369" s="4" t="s">
        <v>605</v>
      </c>
      <c r="C369" s="4">
        <v>2016</v>
      </c>
      <c r="D369" s="4" t="s">
        <v>309</v>
      </c>
      <c r="E369" s="24" t="s">
        <v>672</v>
      </c>
      <c r="F369" s="7" t="s">
        <v>515</v>
      </c>
      <c r="G369" s="38">
        <f t="shared" si="1334"/>
        <v>889.65517241379314</v>
      </c>
      <c r="H369" s="38">
        <f>6.16*25.4</f>
        <v>156.464</v>
      </c>
      <c r="I369" s="4">
        <f t="shared" si="1100"/>
        <v>156.464</v>
      </c>
      <c r="J369" s="38">
        <f t="shared" si="1360"/>
        <v>34.068965517241381</v>
      </c>
      <c r="K369" s="38">
        <f t="shared" si="1101"/>
        <v>25.4</v>
      </c>
      <c r="L369" s="7">
        <f t="shared" si="1102"/>
        <v>6.16</v>
      </c>
      <c r="M369" s="7">
        <f t="shared" si="1103"/>
        <v>6.16</v>
      </c>
      <c r="N369" s="38">
        <f>17*25.4</f>
        <v>431.79999999999995</v>
      </c>
      <c r="O369" s="38">
        <f>2.5*25.4</f>
        <v>63.5</v>
      </c>
      <c r="P369" s="39">
        <f>6.95*25.4</f>
        <v>176.53</v>
      </c>
      <c r="Q369" s="7">
        <f t="shared" si="1104"/>
        <v>253.99999999999994</v>
      </c>
      <c r="R369" s="38">
        <v>2</v>
      </c>
      <c r="S369" s="4">
        <f t="shared" si="1081"/>
        <v>260.34999999999997</v>
      </c>
      <c r="T369" s="7">
        <f t="shared" si="1105"/>
        <v>3</v>
      </c>
      <c r="U369" s="7">
        <f t="shared" si="1247"/>
        <v>3</v>
      </c>
      <c r="V369" s="38">
        <v>9.1</v>
      </c>
      <c r="W369" s="4">
        <f t="shared" si="1106"/>
        <v>9.1</v>
      </c>
      <c r="X369" s="4">
        <f t="shared" si="1107"/>
        <v>10.1</v>
      </c>
      <c r="Y369" s="7">
        <f t="shared" si="1108"/>
        <v>80.72246279691916</v>
      </c>
      <c r="AB369" s="38">
        <f t="shared" si="1151"/>
        <v>469.65517241379308</v>
      </c>
      <c r="AC369" s="4">
        <v>68.099999999999994</v>
      </c>
      <c r="AD369" s="4">
        <f t="shared" si="1279"/>
        <v>1.1550340401026544</v>
      </c>
      <c r="AE369" s="38">
        <f>0.375*25.4</f>
        <v>9.5249999999999986</v>
      </c>
      <c r="AF369" s="38">
        <v>10</v>
      </c>
      <c r="AG369" s="39">
        <f t="shared" si="1352"/>
        <v>76.199999999999989</v>
      </c>
      <c r="AH369" s="39">
        <v>3</v>
      </c>
      <c r="AI369" s="39">
        <f>AH369-1</f>
        <v>2</v>
      </c>
      <c r="AJ369" s="7"/>
      <c r="AK369" s="4">
        <f t="shared" si="1109"/>
        <v>156.464</v>
      </c>
      <c r="AL369" s="4">
        <f t="shared" si="1304"/>
        <v>0.91991341991341979</v>
      </c>
      <c r="AM369" s="4">
        <f t="shared" si="1305"/>
        <v>112.7233290428203</v>
      </c>
      <c r="AN369" s="4">
        <f t="shared" si="1306"/>
        <v>0.79740259740259734</v>
      </c>
      <c r="AO369" s="4">
        <v>1.25</v>
      </c>
      <c r="AP369" s="4">
        <f t="shared" si="1221"/>
        <v>2.5</v>
      </c>
      <c r="AQ369" s="38">
        <f t="shared" si="1082"/>
        <v>258.39757190753738</v>
      </c>
      <c r="AR369" s="38">
        <f t="shared" si="1307"/>
        <v>258.39757190753738</v>
      </c>
      <c r="AS369" s="38">
        <f t="shared" si="1308"/>
        <v>3.152781589644936</v>
      </c>
      <c r="AT369" s="38">
        <f t="shared" si="1230"/>
        <v>258.39757190753727</v>
      </c>
      <c r="AU369" s="38">
        <f t="shared" si="1199"/>
        <v>1.0000000000000004</v>
      </c>
      <c r="AV369" s="38">
        <f t="shared" si="1231"/>
        <v>2.3863957386351191</v>
      </c>
      <c r="AW369" s="4">
        <f t="shared" si="1232"/>
        <v>0</v>
      </c>
      <c r="AX369" s="4">
        <f t="shared" si="1110"/>
        <v>189.23723096308805</v>
      </c>
      <c r="AY369" s="4">
        <f t="shared" si="1083"/>
        <v>1</v>
      </c>
      <c r="AZ369" s="38">
        <f t="shared" si="1242"/>
        <v>616.63886447380867</v>
      </c>
      <c r="BA369" s="4">
        <f t="shared" si="1084"/>
        <v>0.3</v>
      </c>
      <c r="BB369" s="4">
        <f t="shared" si="1085"/>
        <v>29.66293595346405</v>
      </c>
      <c r="BC369" s="4">
        <f t="shared" si="1086"/>
        <v>646.30180042727272</v>
      </c>
      <c r="BE369" s="4">
        <f t="shared" si="1222"/>
        <v>1.5</v>
      </c>
      <c r="BF369" s="4">
        <f t="shared" si="1225"/>
        <v>424.45665142383035</v>
      </c>
      <c r="BH369" s="4">
        <f t="shared" si="1248"/>
        <v>591.43208104962719</v>
      </c>
      <c r="BI369" s="4">
        <f t="shared" si="1184"/>
        <v>0</v>
      </c>
      <c r="BJ369" s="4">
        <f t="shared" si="1249"/>
        <v>0</v>
      </c>
      <c r="BK369" s="4">
        <f t="shared" si="1309"/>
        <v>63.5</v>
      </c>
      <c r="BL369" s="4">
        <f t="shared" si="1310"/>
        <v>63.5</v>
      </c>
      <c r="BM369" s="4">
        <f t="shared" si="1311"/>
        <v>260.34999999999997</v>
      </c>
      <c r="BN369" s="4">
        <f t="shared" si="1312"/>
        <v>76.2</v>
      </c>
      <c r="BO369" s="4">
        <f t="shared" si="1313"/>
        <v>1.25</v>
      </c>
      <c r="BP369" s="25">
        <f t="shared" si="1314"/>
        <v>4</v>
      </c>
      <c r="BR369" s="4">
        <f t="shared" si="1087"/>
        <v>63.5</v>
      </c>
      <c r="BV369" s="9"/>
      <c r="BX369" s="9"/>
      <c r="BY369" s="9"/>
      <c r="BZ369" s="9">
        <f t="shared" si="1088"/>
        <v>63.5</v>
      </c>
      <c r="CA369" s="9">
        <f t="shared" si="1089"/>
        <v>126.99999999999997</v>
      </c>
      <c r="CB369" s="9">
        <f t="shared" si="1233"/>
        <v>1.7543833769624846</v>
      </c>
      <c r="CC369" s="40">
        <f t="shared" si="1111"/>
        <v>20</v>
      </c>
      <c r="CD369" s="9">
        <f t="shared" si="1090"/>
        <v>0.05</v>
      </c>
      <c r="CE369" s="9">
        <f t="shared" si="1091"/>
        <v>0.8</v>
      </c>
      <c r="CF369" s="9">
        <f t="shared" si="1092"/>
        <v>0.99524931562137331</v>
      </c>
      <c r="CG369" s="9">
        <f t="shared" si="1093"/>
        <v>0.68</v>
      </c>
      <c r="CH369" s="9">
        <f t="shared" si="1234"/>
        <v>1.3825737851765767</v>
      </c>
      <c r="CI369" s="9">
        <f t="shared" si="1235"/>
        <v>3.4564344629414419</v>
      </c>
      <c r="CJ369" s="40">
        <v>1</v>
      </c>
      <c r="CK369" s="9">
        <f t="shared" si="1236"/>
        <v>292.55261294336361</v>
      </c>
      <c r="CM369" s="4">
        <f t="shared" si="1094"/>
        <v>2.4818328297426966</v>
      </c>
      <c r="CN369" s="4">
        <f t="shared" si="1095"/>
        <v>0.72668089753626275</v>
      </c>
      <c r="CO369" s="4">
        <f t="shared" si="1062"/>
        <v>1.106485599503142</v>
      </c>
      <c r="CP369" s="4">
        <f t="shared" si="1096"/>
        <v>1.6053699459000061</v>
      </c>
      <c r="CQ369" s="4">
        <f t="shared" si="1324"/>
        <v>1.1550340401026544</v>
      </c>
      <c r="CR369" s="4">
        <f t="shared" si="1325"/>
        <v>1.1618512131976952</v>
      </c>
      <c r="CS369" s="4">
        <f t="shared" si="1063"/>
        <v>1.405758816311484</v>
      </c>
      <c r="CT369" s="4">
        <f t="shared" si="1112"/>
        <v>10</v>
      </c>
      <c r="DA369" s="4">
        <f t="shared" ref="DA369:DB369" si="1368">CM369</f>
        <v>2.4818328297426966</v>
      </c>
      <c r="DB369" s="4">
        <f t="shared" si="1368"/>
        <v>0.72668089753626275</v>
      </c>
      <c r="DC369" s="4">
        <f t="shared" ref="DC369" si="1369">CP369</f>
        <v>1.6053699459000061</v>
      </c>
      <c r="DD369" s="4">
        <f t="shared" ref="DD369" si="1370">CS369</f>
        <v>1.405758816311484</v>
      </c>
      <c r="DE369" s="4">
        <f t="shared" ref="DE369:DF369" si="1371">CQ369</f>
        <v>1.1550340401026544</v>
      </c>
      <c r="DF369" s="4">
        <f t="shared" si="1371"/>
        <v>1.1618512131976952</v>
      </c>
      <c r="DI369" s="4">
        <f t="shared" si="1097"/>
        <v>156.464</v>
      </c>
      <c r="DL369" s="4">
        <f t="shared" si="1286"/>
        <v>1.1318504885791904E-5</v>
      </c>
      <c r="DM369" s="4">
        <f t="shared" si="1287"/>
        <v>8.1377244333742738</v>
      </c>
      <c r="DN369" s="4">
        <f t="shared" si="1288"/>
        <v>0.26178777959124849</v>
      </c>
      <c r="DO369" s="4">
        <f t="shared" si="1289"/>
        <v>4.7608305831924742</v>
      </c>
      <c r="DP369" s="4">
        <f t="shared" si="1290"/>
        <v>6.6680371999399997</v>
      </c>
      <c r="DQ369" s="4">
        <f t="shared" si="1291"/>
        <v>7.9931431117716185</v>
      </c>
      <c r="DR369" s="38">
        <f t="shared" si="1318"/>
        <v>406.61587114095107</v>
      </c>
      <c r="DS369" s="4">
        <f t="shared" si="1292"/>
        <v>1.0001146027616279</v>
      </c>
      <c r="DT369" s="4">
        <f t="shared" si="1293"/>
        <v>3.1780497164141401</v>
      </c>
      <c r="DU369" s="4">
        <f t="shared" si="1294"/>
        <v>258.39757190753727</v>
      </c>
      <c r="DY369" s="4">
        <f t="shared" si="1295"/>
        <v>0.85</v>
      </c>
      <c r="DZ369" s="4">
        <f t="shared" si="1296"/>
        <v>0.85</v>
      </c>
      <c r="EA369" s="4">
        <f t="shared" si="1319"/>
        <v>0.90625</v>
      </c>
      <c r="EB369" s="4">
        <f t="shared" si="1297"/>
        <v>0.77031249999999996</v>
      </c>
      <c r="ED369" s="4">
        <f t="shared" si="1320"/>
        <v>404.2300486317767</v>
      </c>
      <c r="EE369" s="25">
        <f t="shared" si="1321"/>
        <v>253.84490110302011</v>
      </c>
      <c r="EG369" s="4">
        <f t="shared" si="1213"/>
        <v>0.65476562499999991</v>
      </c>
      <c r="EH369" s="4">
        <f t="shared" si="1322"/>
        <v>8.1377244333742738</v>
      </c>
      <c r="EK369" s="4">
        <f t="shared" si="1298"/>
        <v>80.72246279691916</v>
      </c>
      <c r="EL369" s="4">
        <f t="shared" si="1299"/>
        <v>3.1780497164141406</v>
      </c>
      <c r="EM369" s="4">
        <f t="shared" si="1300"/>
        <v>8.3553396377267913E-2</v>
      </c>
      <c r="EP369" s="4">
        <f t="shared" si="1113"/>
        <v>8.3553396377267913E-2</v>
      </c>
      <c r="EQ369" s="4">
        <f t="shared" si="1237"/>
        <v>0.2613509045777202</v>
      </c>
      <c r="ER369" s="4">
        <f t="shared" si="1301"/>
        <v>4.7576510151621187</v>
      </c>
      <c r="ES369" s="4">
        <f t="shared" si="1098"/>
        <v>6.6669082398660349</v>
      </c>
      <c r="ET369" s="4">
        <f t="shared" si="1302"/>
        <v>36.625537203080839</v>
      </c>
      <c r="EU369" s="4">
        <f t="shared" si="1303"/>
        <v>39.116</v>
      </c>
      <c r="EV369" s="4">
        <f t="shared" si="1238"/>
        <v>1.1318504885791904E-5</v>
      </c>
      <c r="EW369" s="4">
        <f t="shared" si="1099"/>
        <v>7.9931978124771756</v>
      </c>
      <c r="EX369" s="4">
        <f t="shared" si="1250"/>
        <v>406.56927717899327</v>
      </c>
      <c r="FG369" s="23">
        <f t="shared" si="1143"/>
        <v>2.2000000000000002</v>
      </c>
      <c r="FH369" s="23">
        <f t="shared" si="1143"/>
        <v>0.8</v>
      </c>
      <c r="FI369" s="23">
        <f t="shared" si="1068"/>
        <v>1.6</v>
      </c>
      <c r="FJ369" s="23">
        <f t="shared" si="1144"/>
        <v>1.8</v>
      </c>
      <c r="FK369" s="23">
        <f t="shared" si="1144"/>
        <v>1.2</v>
      </c>
      <c r="FL369" s="23">
        <f t="shared" si="1144"/>
        <v>1.2</v>
      </c>
      <c r="FM369" s="23">
        <f t="shared" si="1330"/>
        <v>0</v>
      </c>
      <c r="FN369" s="23"/>
      <c r="FX369" s="4">
        <f t="shared" si="1200"/>
        <v>1</v>
      </c>
      <c r="FY369" s="4">
        <f t="shared" si="1258"/>
        <v>0.44418604651162791</v>
      </c>
      <c r="FZ369" s="4">
        <f t="shared" si="1201"/>
        <v>0.3</v>
      </c>
      <c r="GA369" s="4">
        <f t="shared" si="1202"/>
        <v>334.0937058080155</v>
      </c>
    </row>
    <row r="370" spans="1:183" ht="12" customHeight="1" x14ac:dyDescent="0.3">
      <c r="A370" s="25">
        <v>352</v>
      </c>
      <c r="B370" s="4" t="s">
        <v>605</v>
      </c>
      <c r="C370" s="4">
        <v>2016</v>
      </c>
      <c r="D370" s="4" t="s">
        <v>309</v>
      </c>
      <c r="E370" s="24" t="s">
        <v>672</v>
      </c>
      <c r="F370" s="7" t="s">
        <v>516</v>
      </c>
      <c r="G370" s="38">
        <f t="shared" si="1334"/>
        <v>889.65517241379314</v>
      </c>
      <c r="H370" s="38">
        <f>6.21*25.4</f>
        <v>157.73399999999998</v>
      </c>
      <c r="I370" s="4">
        <f t="shared" si="1100"/>
        <v>157.73399999999998</v>
      </c>
      <c r="J370" s="38">
        <f>5160/145</f>
        <v>35.586206896551722</v>
      </c>
      <c r="K370" s="38">
        <f t="shared" si="1101"/>
        <v>25.4</v>
      </c>
      <c r="L370" s="7">
        <f t="shared" si="1102"/>
        <v>6.21</v>
      </c>
      <c r="M370" s="7">
        <f t="shared" si="1103"/>
        <v>6.21</v>
      </c>
      <c r="N370" s="38">
        <f>17.3*25.4</f>
        <v>439.42</v>
      </c>
      <c r="O370" s="38">
        <f>2.65*25.4</f>
        <v>67.309999999999988</v>
      </c>
      <c r="P370" s="39">
        <f>7.15*25.4</f>
        <v>181.60999999999999</v>
      </c>
      <c r="Q370" s="7">
        <f t="shared" si="1104"/>
        <v>114.30000000000003</v>
      </c>
      <c r="R370" s="38">
        <v>3</v>
      </c>
      <c r="S370" s="4">
        <f t="shared" si="1081"/>
        <v>260.34999999999997</v>
      </c>
      <c r="T370" s="7">
        <f t="shared" si="1105"/>
        <v>2.7500000000000004</v>
      </c>
      <c r="U370" s="7">
        <f t="shared" si="1247"/>
        <v>3.1499999999999995</v>
      </c>
      <c r="V370" s="38">
        <v>9.1</v>
      </c>
      <c r="W370" s="4">
        <f t="shared" si="1106"/>
        <v>9.1</v>
      </c>
      <c r="X370" s="4">
        <f t="shared" si="1107"/>
        <v>10.1</v>
      </c>
      <c r="Y370" s="7">
        <f t="shared" si="1108"/>
        <v>80.72246279691916</v>
      </c>
      <c r="AB370" s="38">
        <f t="shared" si="1151"/>
        <v>200.68965517241381</v>
      </c>
      <c r="AC370" s="4">
        <v>29.1</v>
      </c>
      <c r="AD370" s="4">
        <f t="shared" si="1279"/>
        <v>0.65535916327208799</v>
      </c>
      <c r="AE370" s="38">
        <v>0</v>
      </c>
      <c r="AF370" s="38">
        <v>0</v>
      </c>
      <c r="AG370" s="39">
        <f t="shared" si="1251"/>
        <v>157.73399999999998</v>
      </c>
      <c r="AH370" s="39"/>
      <c r="AI370" s="39"/>
      <c r="AJ370" s="7"/>
      <c r="AK370" s="4">
        <f t="shared" si="1109"/>
        <v>157.73399999999998</v>
      </c>
      <c r="AL370" s="4">
        <f t="shared" si="1304"/>
        <v>0.92860976918947957</v>
      </c>
      <c r="AM370" s="4">
        <f t="shared" si="1305"/>
        <v>77.74102377301837</v>
      </c>
      <c r="AN370" s="4">
        <f t="shared" si="1306"/>
        <v>0.8014492753623188</v>
      </c>
      <c r="AO370" s="4">
        <v>1.25</v>
      </c>
      <c r="AP370" s="4">
        <f t="shared" si="1221"/>
        <v>2.5</v>
      </c>
      <c r="AQ370" s="38">
        <f t="shared" si="1082"/>
        <v>180.80463768458466</v>
      </c>
      <c r="AR370" s="38">
        <f t="shared" si="1307"/>
        <v>180.80463768458466</v>
      </c>
      <c r="AS370" s="38">
        <f t="shared" si="1308"/>
        <v>3.2457050730263122</v>
      </c>
      <c r="AT370" s="38">
        <f t="shared" si="1230"/>
        <v>180.80463768458458</v>
      </c>
      <c r="AU370" s="38">
        <f t="shared" si="1199"/>
        <v>1.0000000000000004</v>
      </c>
      <c r="AV370" s="38">
        <f t="shared" si="1231"/>
        <v>3.4555391215647067</v>
      </c>
      <c r="AW370" s="4">
        <f t="shared" si="1232"/>
        <v>0</v>
      </c>
      <c r="AX370" s="4">
        <f t="shared" si="1110"/>
        <v>194.9749640423226</v>
      </c>
      <c r="AY370" s="4">
        <f t="shared" si="1083"/>
        <v>1.0581818181818181</v>
      </c>
      <c r="AZ370" s="38">
        <f t="shared" si="1242"/>
        <v>624.77749887941445</v>
      </c>
      <c r="BA370" s="4">
        <f t="shared" si="1084"/>
        <v>0.3</v>
      </c>
      <c r="BB370" s="4">
        <f t="shared" si="1085"/>
        <v>30.562325613634059</v>
      </c>
      <c r="BC370" s="4">
        <f t="shared" si="1086"/>
        <v>655.33982449304847</v>
      </c>
      <c r="BE370" s="4">
        <f t="shared" si="1222"/>
        <v>1.4124999999999999</v>
      </c>
      <c r="BF370" s="4">
        <f t="shared" si="1225"/>
        <v>409.76378785142674</v>
      </c>
      <c r="BH370" s="4">
        <f t="shared" si="1248"/>
        <v>599.23802673473551</v>
      </c>
      <c r="BI370" s="4">
        <f t="shared" si="1184"/>
        <v>0</v>
      </c>
      <c r="BJ370" s="4">
        <f t="shared" si="1249"/>
        <v>0</v>
      </c>
      <c r="BK370" s="4">
        <f t="shared" si="1309"/>
        <v>63.550000000000011</v>
      </c>
      <c r="BL370" s="4">
        <f t="shared" si="1310"/>
        <v>63.550000000000011</v>
      </c>
      <c r="BM370" s="4">
        <f t="shared" si="1311"/>
        <v>260.34999999999997</v>
      </c>
      <c r="BN370" s="4">
        <f t="shared" si="1312"/>
        <v>76.250000000000014</v>
      </c>
      <c r="BO370" s="4">
        <f t="shared" si="1313"/>
        <v>1.25</v>
      </c>
      <c r="BP370" s="25">
        <f t="shared" si="1314"/>
        <v>3.7524606299212606</v>
      </c>
      <c r="BR370" s="4">
        <f t="shared" si="1087"/>
        <v>57.150000000000013</v>
      </c>
      <c r="BV370" s="9"/>
      <c r="BX370" s="9"/>
      <c r="BY370" s="9"/>
      <c r="BZ370" s="9">
        <f t="shared" si="1088"/>
        <v>57.150000000000013</v>
      </c>
      <c r="CA370" s="9">
        <f t="shared" si="1089"/>
        <v>67.309999999999988</v>
      </c>
      <c r="CB370" s="9">
        <f t="shared" si="1233"/>
        <v>1.5372721608851661</v>
      </c>
      <c r="CC370" s="40">
        <f t="shared" si="1111"/>
        <v>20</v>
      </c>
      <c r="CD370" s="9">
        <f t="shared" si="1090"/>
        <v>0</v>
      </c>
      <c r="CE370" s="9">
        <f t="shared" si="1091"/>
        <v>0</v>
      </c>
      <c r="CF370" s="9">
        <f t="shared" si="1092"/>
        <v>0.99524931562137331</v>
      </c>
      <c r="CG370" s="9">
        <f t="shared" si="1093"/>
        <v>0.68</v>
      </c>
      <c r="CH370" s="9">
        <f t="shared" si="1234"/>
        <v>1.4130245076626196</v>
      </c>
      <c r="CI370" s="9">
        <f t="shared" si="1235"/>
        <v>2.1722032382782128</v>
      </c>
      <c r="CJ370" s="40">
        <v>1</v>
      </c>
      <c r="CK370" s="9">
        <f t="shared" si="1236"/>
        <v>184.28972273552358</v>
      </c>
      <c r="CM370" s="4">
        <f t="shared" si="1094"/>
        <v>1.0293098714399596</v>
      </c>
      <c r="CN370" s="4">
        <f t="shared" si="1095"/>
        <v>0.30623753916933311</v>
      </c>
      <c r="CO370" s="4">
        <f t="shared" si="1062"/>
        <v>0.48976913315039056</v>
      </c>
      <c r="CP370" s="4">
        <f t="shared" si="1096"/>
        <v>1.0889899457954362</v>
      </c>
      <c r="CQ370" s="4">
        <f t="shared" si="1324"/>
        <v>0.65535916327208799</v>
      </c>
      <c r="CR370" s="4">
        <f t="shared" si="1325"/>
        <v>0.63898823880641586</v>
      </c>
      <c r="CS370" s="4">
        <f t="shared" si="1063"/>
        <v>0.82933543612103122</v>
      </c>
      <c r="CT370" s="4">
        <f t="shared" si="1112"/>
        <v>0</v>
      </c>
      <c r="CU370" s="4">
        <f t="shared" ref="CU370:CV370" si="1372">CM370</f>
        <v>1.0293098714399596</v>
      </c>
      <c r="CV370" s="4">
        <f t="shared" si="1372"/>
        <v>0.30623753916933311</v>
      </c>
      <c r="CW370" s="4">
        <f t="shared" ref="CW370" si="1373">CP370</f>
        <v>1.0889899457954362</v>
      </c>
      <c r="CX370" s="4">
        <f t="shared" si="1254"/>
        <v>0.82933543612103122</v>
      </c>
      <c r="CY370" s="4">
        <f t="shared" ref="CY370:CZ370" si="1374">CQ370</f>
        <v>0.65535916327208799</v>
      </c>
      <c r="CZ370" s="4">
        <f t="shared" si="1374"/>
        <v>0.63898823880641586</v>
      </c>
      <c r="DI370" s="4">
        <f t="shared" si="1097"/>
        <v>157.73399999999998</v>
      </c>
      <c r="DL370" s="4">
        <f t="shared" si="1286"/>
        <v>1.1529710395163923E-5</v>
      </c>
      <c r="DM370" s="4">
        <f t="shared" si="1287"/>
        <v>7.3218908082293819</v>
      </c>
      <c r="DN370" s="4">
        <f t="shared" si="1288"/>
        <v>0.17536695232656146</v>
      </c>
      <c r="DO370" s="4">
        <f t="shared" si="1289"/>
        <v>3.6492393541682246</v>
      </c>
      <c r="DP370" s="4">
        <f t="shared" si="1290"/>
        <v>5.7877993154744845</v>
      </c>
      <c r="DQ370" s="4">
        <f t="shared" si="1291"/>
        <v>7.2114272284070706</v>
      </c>
      <c r="DR370" s="38">
        <f t="shared" si="1318"/>
        <v>306.22850250602619</v>
      </c>
      <c r="DS370" s="4">
        <f t="shared" si="1292"/>
        <v>1.0001150869165782</v>
      </c>
      <c r="DT370" s="4">
        <f t="shared" si="1293"/>
        <v>3.1780497164141401</v>
      </c>
      <c r="DU370" s="4">
        <f t="shared" si="1294"/>
        <v>180.80463768458458</v>
      </c>
      <c r="DY370" s="4">
        <f t="shared" si="1295"/>
        <v>0.85</v>
      </c>
      <c r="DZ370" s="4">
        <f t="shared" si="1296"/>
        <v>0.87499999999999989</v>
      </c>
      <c r="EA370" s="4">
        <f t="shared" si="1319"/>
        <v>1</v>
      </c>
      <c r="EB370" s="4">
        <f t="shared" si="1297"/>
        <v>0.87499999999999989</v>
      </c>
      <c r="ED370" s="4">
        <f t="shared" si="1320"/>
        <v>314.07409868339312</v>
      </c>
      <c r="EE370" s="25">
        <f t="shared" si="1321"/>
        <v>177.66727292607976</v>
      </c>
      <c r="EG370" s="4">
        <f t="shared" si="1213"/>
        <v>0.74374999999999991</v>
      </c>
      <c r="EH370" s="4">
        <f t="shared" si="1322"/>
        <v>7.3218908082293819</v>
      </c>
      <c r="EK370" s="4">
        <f t="shared" si="1298"/>
        <v>80.72246279691916</v>
      </c>
      <c r="EL370" s="4">
        <f t="shared" si="1299"/>
        <v>3.1780497164141406</v>
      </c>
      <c r="EM370" s="4">
        <f t="shared" si="1300"/>
        <v>5.7203666971321981E-2</v>
      </c>
      <c r="EP370" s="4">
        <f t="shared" si="1113"/>
        <v>5.7203666971321981E-2</v>
      </c>
      <c r="EQ370" s="4">
        <f t="shared" si="1237"/>
        <v>0.1750742975670854</v>
      </c>
      <c r="ER370" s="4">
        <f t="shared" si="1301"/>
        <v>3.6468021733900247</v>
      </c>
      <c r="ES370" s="4">
        <f t="shared" si="1098"/>
        <v>5.7870401970278555</v>
      </c>
      <c r="ET370" s="4">
        <f t="shared" si="1302"/>
        <v>37.578037203080825</v>
      </c>
      <c r="EU370" s="4">
        <f t="shared" si="1303"/>
        <v>39.433499999999995</v>
      </c>
      <c r="EV370" s="4">
        <f t="shared" si="1238"/>
        <v>1.1529710395163923E-5</v>
      </c>
      <c r="EW370" s="4">
        <f t="shared" si="1099"/>
        <v>7.2114651350312444</v>
      </c>
      <c r="EX370" s="4">
        <f t="shared" si="1250"/>
        <v>306.19326366743365</v>
      </c>
      <c r="FG370" s="23">
        <f t="shared" si="1143"/>
        <v>1.2</v>
      </c>
      <c r="FH370" s="23">
        <f t="shared" si="1143"/>
        <v>0.6</v>
      </c>
      <c r="FI370" s="23">
        <f t="shared" si="1068"/>
        <v>1</v>
      </c>
      <c r="FJ370" s="23">
        <f t="shared" si="1144"/>
        <v>1.2</v>
      </c>
      <c r="FK370" s="23">
        <f t="shared" si="1144"/>
        <v>0.8</v>
      </c>
      <c r="FL370" s="23">
        <f t="shared" si="1144"/>
        <v>0.8</v>
      </c>
      <c r="FM370" s="23">
        <f t="shared" si="1330"/>
        <v>1</v>
      </c>
      <c r="FN370" s="23"/>
      <c r="FX370" s="4">
        <f t="shared" si="1200"/>
        <v>1</v>
      </c>
      <c r="FY370" s="4">
        <f t="shared" si="1258"/>
        <v>0.625</v>
      </c>
      <c r="FZ370" s="4">
        <f t="shared" si="1201"/>
        <v>0</v>
      </c>
      <c r="GA370" s="4">
        <f t="shared" si="1202"/>
        <v>241.98852048464218</v>
      </c>
    </row>
    <row r="371" spans="1:183" ht="12" customHeight="1" x14ac:dyDescent="0.3">
      <c r="A371" s="25">
        <v>353</v>
      </c>
      <c r="B371" s="4" t="s">
        <v>605</v>
      </c>
      <c r="C371" s="4">
        <v>2016</v>
      </c>
      <c r="D371" s="4" t="s">
        <v>309</v>
      </c>
      <c r="E371" s="24" t="s">
        <v>672</v>
      </c>
      <c r="F371" s="7" t="s">
        <v>517</v>
      </c>
      <c r="G371" s="38">
        <f t="shared" si="1334"/>
        <v>889.65517241379314</v>
      </c>
      <c r="H371" s="38">
        <f>6.25*25.4</f>
        <v>158.75</v>
      </c>
      <c r="I371" s="4">
        <f t="shared" si="1100"/>
        <v>158.75</v>
      </c>
      <c r="J371" s="38">
        <f t="shared" ref="J371:J373" si="1375">5160/145</f>
        <v>35.586206896551722</v>
      </c>
      <c r="K371" s="38">
        <f t="shared" si="1101"/>
        <v>25.4</v>
      </c>
      <c r="L371" s="7">
        <f t="shared" si="1102"/>
        <v>6.25</v>
      </c>
      <c r="M371" s="7">
        <f t="shared" si="1103"/>
        <v>6.25</v>
      </c>
      <c r="N371" s="38">
        <f>17.3*25.4</f>
        <v>439.42</v>
      </c>
      <c r="O371" s="38">
        <f>2.65*25.4</f>
        <v>67.309999999999988</v>
      </c>
      <c r="P371" s="39">
        <f>7.1*25.4</f>
        <v>180.33999999999997</v>
      </c>
      <c r="Q371" s="7">
        <f t="shared" si="1104"/>
        <v>114.30000000000003</v>
      </c>
      <c r="R371" s="38">
        <v>3</v>
      </c>
      <c r="S371" s="4">
        <f t="shared" si="1081"/>
        <v>260.34999999999997</v>
      </c>
      <c r="T371" s="7">
        <f t="shared" si="1105"/>
        <v>2.7500000000000004</v>
      </c>
      <c r="U371" s="7">
        <f t="shared" si="1247"/>
        <v>3.1499999999999995</v>
      </c>
      <c r="V371" s="38">
        <v>9.1</v>
      </c>
      <c r="W371" s="4">
        <f t="shared" si="1106"/>
        <v>9.1</v>
      </c>
      <c r="X371" s="4">
        <f t="shared" si="1107"/>
        <v>10.1</v>
      </c>
      <c r="Y371" s="7">
        <f t="shared" si="1108"/>
        <v>80.72246279691916</v>
      </c>
      <c r="AB371" s="38">
        <f t="shared" si="1151"/>
        <v>376.55172413793105</v>
      </c>
      <c r="AC371" s="4">
        <v>54.6</v>
      </c>
      <c r="AD371" s="4">
        <f t="shared" si="1279"/>
        <v>1.1105084560718819</v>
      </c>
      <c r="AE371" s="38">
        <f>0.5*25.4</f>
        <v>12.7</v>
      </c>
      <c r="AF371" s="38">
        <v>10</v>
      </c>
      <c r="AG371" s="39">
        <f t="shared" si="1352"/>
        <v>76.199999999999989</v>
      </c>
      <c r="AH371" s="39">
        <v>3</v>
      </c>
      <c r="AI371" s="39">
        <f>AH371-1</f>
        <v>2</v>
      </c>
      <c r="AJ371" s="7"/>
      <c r="AK371" s="4">
        <f t="shared" si="1109"/>
        <v>158.75</v>
      </c>
      <c r="AL371" s="4">
        <f t="shared" si="1304"/>
        <v>0.92266666666666663</v>
      </c>
      <c r="AM371" s="4">
        <f t="shared" si="1305"/>
        <v>78.493353014927791</v>
      </c>
      <c r="AN371" s="4">
        <f t="shared" si="1306"/>
        <v>0.80079999999999996</v>
      </c>
      <c r="AO371" s="4">
        <v>1.25</v>
      </c>
      <c r="AP371" s="4">
        <f t="shared" si="1221"/>
        <v>2.5</v>
      </c>
      <c r="AQ371" s="38">
        <f t="shared" si="1082"/>
        <v>181.23905895538786</v>
      </c>
      <c r="AR371" s="38">
        <f t="shared" si="1307"/>
        <v>181.23905895538786</v>
      </c>
      <c r="AS371" s="38">
        <f t="shared" si="1308"/>
        <v>3.2457050730263122</v>
      </c>
      <c r="AT371" s="38">
        <f t="shared" si="1230"/>
        <v>181.23905895538806</v>
      </c>
      <c r="AU371" s="38">
        <f t="shared" si="1199"/>
        <v>0.99999999999999889</v>
      </c>
      <c r="AV371" s="38">
        <f t="shared" si="1231"/>
        <v>3.4472563611864881</v>
      </c>
      <c r="AW371" s="4">
        <f t="shared" si="1232"/>
        <v>0</v>
      </c>
      <c r="AX371" s="4">
        <f t="shared" si="1110"/>
        <v>196.23084142745833</v>
      </c>
      <c r="AY371" s="4">
        <f t="shared" si="1083"/>
        <v>1.0581818181818181</v>
      </c>
      <c r="AZ371" s="38">
        <f t="shared" si="1242"/>
        <v>624.77749887941445</v>
      </c>
      <c r="BA371" s="4">
        <f t="shared" si="1084"/>
        <v>0.3</v>
      </c>
      <c r="BB371" s="4">
        <f t="shared" si="1085"/>
        <v>30.75918439375409</v>
      </c>
      <c r="BC371" s="4">
        <f t="shared" si="1086"/>
        <v>655.53668327316859</v>
      </c>
      <c r="BE371" s="4">
        <f t="shared" si="1222"/>
        <v>1.5</v>
      </c>
      <c r="BF371" s="4">
        <f t="shared" si="1225"/>
        <v>436.22116049323989</v>
      </c>
      <c r="BH371" s="4">
        <f t="shared" si="1248"/>
        <v>599.23802673473551</v>
      </c>
      <c r="BI371" s="4">
        <f t="shared" si="1184"/>
        <v>0</v>
      </c>
      <c r="BJ371" s="4">
        <f t="shared" si="1249"/>
        <v>0</v>
      </c>
      <c r="BK371" s="4">
        <f t="shared" si="1309"/>
        <v>63.550000000000011</v>
      </c>
      <c r="BL371" s="4">
        <f t="shared" si="1310"/>
        <v>63.550000000000011</v>
      </c>
      <c r="BM371" s="4">
        <f t="shared" si="1311"/>
        <v>260.34999999999997</v>
      </c>
      <c r="BN371" s="4">
        <f t="shared" si="1312"/>
        <v>76.250000000000014</v>
      </c>
      <c r="BO371" s="4">
        <f t="shared" si="1313"/>
        <v>1.25</v>
      </c>
      <c r="BP371" s="25">
        <f t="shared" si="1314"/>
        <v>4</v>
      </c>
      <c r="BR371" s="4">
        <f t="shared" si="1087"/>
        <v>57.150000000000013</v>
      </c>
      <c r="BV371" s="9"/>
      <c r="BX371" s="9"/>
      <c r="BY371" s="9"/>
      <c r="BZ371" s="9">
        <f t="shared" si="1088"/>
        <v>57.150000000000013</v>
      </c>
      <c r="CA371" s="9">
        <f t="shared" si="1089"/>
        <v>67.309999999999988</v>
      </c>
      <c r="CB371" s="9">
        <f t="shared" si="1233"/>
        <v>1.5372721608851661</v>
      </c>
      <c r="CC371" s="40">
        <f t="shared" si="1111"/>
        <v>20</v>
      </c>
      <c r="CD371" s="9">
        <f t="shared" si="1090"/>
        <v>0.05</v>
      </c>
      <c r="CE371" s="9">
        <f t="shared" si="1091"/>
        <v>0.8</v>
      </c>
      <c r="CF371" s="9">
        <f t="shared" si="1092"/>
        <v>0.99524931562137331</v>
      </c>
      <c r="CG371" s="9">
        <f t="shared" si="1093"/>
        <v>0.68</v>
      </c>
      <c r="CH371" s="9">
        <f t="shared" si="1234"/>
        <v>1.4130245076626196</v>
      </c>
      <c r="CI371" s="9">
        <f t="shared" si="1235"/>
        <v>3.3026228444083086</v>
      </c>
      <c r="CJ371" s="40">
        <v>1</v>
      </c>
      <c r="CK371" s="9">
        <f t="shared" si="1236"/>
        <v>280.72294177470621</v>
      </c>
      <c r="CM371" s="4">
        <f t="shared" si="1094"/>
        <v>1.9189222315857666</v>
      </c>
      <c r="CN371" s="4">
        <f t="shared" si="1095"/>
        <v>0.57441747158643486</v>
      </c>
      <c r="CO371" s="4">
        <f t="shared" ref="CO371:CO434" si="1376">AB371/BF371</f>
        <v>0.86321287970569793</v>
      </c>
      <c r="CP371" s="4">
        <f t="shared" si="1096"/>
        <v>1.341364270969104</v>
      </c>
      <c r="CQ371" s="4">
        <f t="shared" si="1324"/>
        <v>1.1105084560718819</v>
      </c>
      <c r="CR371" s="4">
        <f t="shared" si="1325"/>
        <v>1.0767191342865152</v>
      </c>
      <c r="CS371" s="4">
        <f t="shared" ref="CS371:CS434" si="1377">AB371/GA371</f>
        <v>1.3735243604164213</v>
      </c>
      <c r="CT371" s="4">
        <f t="shared" si="1112"/>
        <v>10</v>
      </c>
      <c r="DA371" s="4">
        <f t="shared" ref="DA371:DB371" si="1378">CM371</f>
        <v>1.9189222315857666</v>
      </c>
      <c r="DB371" s="4">
        <f t="shared" si="1378"/>
        <v>0.57441747158643486</v>
      </c>
      <c r="DC371" s="4">
        <f t="shared" ref="DC371" si="1379">CP371</f>
        <v>1.341364270969104</v>
      </c>
      <c r="DD371" s="4">
        <f t="shared" ref="DD371" si="1380">CS371</f>
        <v>1.3735243604164213</v>
      </c>
      <c r="DE371" s="4">
        <f t="shared" ref="DE371:DF371" si="1381">CQ371</f>
        <v>1.1105084560718819</v>
      </c>
      <c r="DF371" s="4">
        <f t="shared" si="1381"/>
        <v>1.0767191342865152</v>
      </c>
      <c r="DI371" s="4">
        <f t="shared" si="1097"/>
        <v>158.75</v>
      </c>
      <c r="DL371" s="4">
        <f t="shared" si="1286"/>
        <v>1.1603975840543402E-5</v>
      </c>
      <c r="DM371" s="4">
        <f t="shared" si="1287"/>
        <v>9.152363510286726</v>
      </c>
      <c r="DN371" s="4">
        <f t="shared" si="1288"/>
        <v>0.17578830841157264</v>
      </c>
      <c r="DO371" s="4">
        <f t="shared" si="1289"/>
        <v>4.5659300702407801</v>
      </c>
      <c r="DP371" s="4">
        <f t="shared" si="1290"/>
        <v>7.2361146259315881</v>
      </c>
      <c r="DQ371" s="4">
        <f t="shared" si="1291"/>
        <v>8.9773078893679497</v>
      </c>
      <c r="DR371" s="38">
        <f t="shared" si="1318"/>
        <v>339.08046542020867</v>
      </c>
      <c r="DS371" s="4">
        <f t="shared" si="1292"/>
        <v>1.0001301644832075</v>
      </c>
      <c r="DT371" s="4">
        <f t="shared" si="1293"/>
        <v>3.1780497164141401</v>
      </c>
      <c r="DU371" s="4">
        <f t="shared" si="1294"/>
        <v>181.23905895538806</v>
      </c>
      <c r="DY371" s="4">
        <f t="shared" si="1295"/>
        <v>0.85</v>
      </c>
      <c r="DZ371" s="4">
        <f t="shared" si="1296"/>
        <v>0.87499999999999989</v>
      </c>
      <c r="EA371" s="4">
        <f t="shared" si="1319"/>
        <v>0.77500000000000002</v>
      </c>
      <c r="EB371" s="4">
        <f t="shared" si="1297"/>
        <v>0.7</v>
      </c>
      <c r="ED371" s="4">
        <f t="shared" si="1320"/>
        <v>349.72140101090702</v>
      </c>
      <c r="EE371" s="25">
        <f t="shared" si="1321"/>
        <v>178.1145851930309</v>
      </c>
      <c r="EG371" s="4">
        <f t="shared" si="1213"/>
        <v>0.59499999999999997</v>
      </c>
      <c r="EH371" s="4">
        <f t="shared" si="1322"/>
        <v>9.152363510286726</v>
      </c>
      <c r="EK371" s="4">
        <f t="shared" si="1298"/>
        <v>80.72246279691916</v>
      </c>
      <c r="EL371" s="4">
        <f t="shared" si="1299"/>
        <v>3.1780497164141406</v>
      </c>
      <c r="EM371" s="4">
        <f t="shared" si="1300"/>
        <v>5.734111084454635E-2</v>
      </c>
      <c r="EP371" s="4">
        <f t="shared" si="1113"/>
        <v>5.734111084454635E-2</v>
      </c>
      <c r="EQ371" s="4">
        <f t="shared" si="1237"/>
        <v>0.17549495048732072</v>
      </c>
      <c r="ER371" s="4">
        <f t="shared" si="1301"/>
        <v>4.5628806684554224</v>
      </c>
      <c r="ES371" s="4">
        <f t="shared" si="1098"/>
        <v>7.2351640350195305</v>
      </c>
      <c r="ET371" s="4">
        <f t="shared" si="1302"/>
        <v>38.34003720308084</v>
      </c>
      <c r="EU371" s="4">
        <f t="shared" si="1303"/>
        <v>39.6875</v>
      </c>
      <c r="EV371" s="4">
        <f t="shared" si="1238"/>
        <v>1.1603975840543402E-5</v>
      </c>
      <c r="EW371" s="4">
        <f t="shared" si="1099"/>
        <v>8.9773676640046052</v>
      </c>
      <c r="EX371" s="4">
        <f t="shared" si="1250"/>
        <v>339.03633493088387</v>
      </c>
      <c r="FG371" s="23">
        <f t="shared" si="1143"/>
        <v>2</v>
      </c>
      <c r="FH371" s="23">
        <f t="shared" si="1143"/>
        <v>0.6</v>
      </c>
      <c r="FI371" s="23">
        <f t="shared" ref="FI371:FI434" si="1382">IF(CS371&lt;0.6,0.6,IF(CS371&lt;0.8,0.8,IF(CS371&lt;1,1,IF(CS371&lt;1.2,1.2,IF(CS371&lt;1.4,1.4,IF(CS371&lt;1.6,1.6,IF(CS371&lt;1.8,1.8,IF(CS371&lt;2,2,2.2))))))))</f>
        <v>1.4</v>
      </c>
      <c r="FJ371" s="23">
        <f t="shared" si="1144"/>
        <v>1.4</v>
      </c>
      <c r="FK371" s="23">
        <f t="shared" si="1144"/>
        <v>1.2</v>
      </c>
      <c r="FL371" s="23">
        <f t="shared" si="1144"/>
        <v>1.2</v>
      </c>
      <c r="FM371" s="23">
        <f t="shared" si="1330"/>
        <v>0</v>
      </c>
      <c r="FN371" s="23"/>
      <c r="FX371" s="4">
        <f t="shared" si="1200"/>
        <v>1</v>
      </c>
      <c r="FY371" s="4">
        <f t="shared" si="1258"/>
        <v>0.55523255813953487</v>
      </c>
      <c r="FZ371" s="4">
        <f t="shared" si="1201"/>
        <v>0.3</v>
      </c>
      <c r="GA371" s="4">
        <f t="shared" si="1202"/>
        <v>274.15001509239278</v>
      </c>
    </row>
    <row r="372" spans="1:183" ht="12" customHeight="1" x14ac:dyDescent="0.3">
      <c r="A372" s="25">
        <v>354</v>
      </c>
      <c r="B372" s="4" t="s">
        <v>605</v>
      </c>
      <c r="C372" s="4">
        <v>2016</v>
      </c>
      <c r="D372" s="4" t="s">
        <v>309</v>
      </c>
      <c r="E372" s="24" t="s">
        <v>672</v>
      </c>
      <c r="F372" s="7" t="s">
        <v>518</v>
      </c>
      <c r="G372" s="38">
        <f>120/0.145</f>
        <v>827.58620689655174</v>
      </c>
      <c r="H372" s="38">
        <f>6.13*25.4</f>
        <v>155.702</v>
      </c>
      <c r="I372" s="4">
        <f t="shared" si="1100"/>
        <v>155.702</v>
      </c>
      <c r="J372" s="38">
        <f t="shared" si="1375"/>
        <v>35.586206896551722</v>
      </c>
      <c r="K372" s="38">
        <f t="shared" si="1101"/>
        <v>25.4</v>
      </c>
      <c r="L372" s="7">
        <f t="shared" si="1102"/>
        <v>6.13</v>
      </c>
      <c r="M372" s="7">
        <f t="shared" si="1103"/>
        <v>6.13</v>
      </c>
      <c r="N372" s="38">
        <f>17*25.4</f>
        <v>431.79999999999995</v>
      </c>
      <c r="O372" s="38">
        <f>2.65*25.4</f>
        <v>67.309999999999988</v>
      </c>
      <c r="P372" s="39">
        <f>6.6*25.4</f>
        <v>167.64</v>
      </c>
      <c r="Q372" s="7">
        <f t="shared" si="1104"/>
        <v>65.193333333333314</v>
      </c>
      <c r="R372" s="38">
        <v>4</v>
      </c>
      <c r="S372" s="4">
        <f t="shared" si="1081"/>
        <v>260.34999999999997</v>
      </c>
      <c r="T372" s="7">
        <f t="shared" si="1105"/>
        <v>1.783333333333333</v>
      </c>
      <c r="U372" s="7">
        <f t="shared" si="1247"/>
        <v>3.1499999999999995</v>
      </c>
      <c r="V372" s="38">
        <v>9.5</v>
      </c>
      <c r="W372" s="4">
        <f t="shared" si="1106"/>
        <v>9.5</v>
      </c>
      <c r="X372" s="4">
        <f t="shared" si="1107"/>
        <v>10.5</v>
      </c>
      <c r="Y372" s="7">
        <f t="shared" si="1108"/>
        <v>82.305406869779816</v>
      </c>
      <c r="AB372" s="38">
        <f t="shared" si="1151"/>
        <v>189.65517241379311</v>
      </c>
      <c r="AC372" s="4">
        <v>27.5</v>
      </c>
      <c r="AD372" s="4">
        <f t="shared" si="1279"/>
        <v>0.79874270242833545</v>
      </c>
      <c r="AE372" s="38">
        <v>0</v>
      </c>
      <c r="AF372" s="38">
        <v>0</v>
      </c>
      <c r="AG372" s="39">
        <f t="shared" si="1251"/>
        <v>155.702</v>
      </c>
      <c r="AH372" s="39"/>
      <c r="AI372" s="39"/>
      <c r="AJ372" s="7"/>
      <c r="AK372" s="4">
        <f t="shared" si="1109"/>
        <v>155.702</v>
      </c>
      <c r="AL372" s="4">
        <f t="shared" si="1304"/>
        <v>0.92441544317563884</v>
      </c>
      <c r="AM372" s="4">
        <f t="shared" si="1305"/>
        <v>57.182722758449053</v>
      </c>
      <c r="AN372" s="4">
        <f t="shared" si="1306"/>
        <v>0.80277324632952685</v>
      </c>
      <c r="AO372" s="4">
        <v>1.25</v>
      </c>
      <c r="AP372" s="4">
        <f t="shared" si="1221"/>
        <v>2.5</v>
      </c>
      <c r="AQ372" s="38">
        <f t="shared" si="1082"/>
        <v>132.60959076042428</v>
      </c>
      <c r="AR372" s="38">
        <f t="shared" si="1307"/>
        <v>132.60959076042428</v>
      </c>
      <c r="AS372" s="38">
        <f t="shared" si="1308"/>
        <v>3.2457050730263122</v>
      </c>
      <c r="AT372" s="38">
        <f t="shared" si="1230"/>
        <v>132.60959076042434</v>
      </c>
      <c r="AU372" s="38">
        <f t="shared" si="1199"/>
        <v>0.99999999999999956</v>
      </c>
      <c r="AV372" s="38">
        <f t="shared" si="1231"/>
        <v>3.8543795986037743</v>
      </c>
      <c r="AW372" s="4">
        <f t="shared" si="1232"/>
        <v>0</v>
      </c>
      <c r="AX372" s="4">
        <f t="shared" si="1110"/>
        <v>192.46320927205113</v>
      </c>
      <c r="AY372" s="4">
        <f t="shared" si="1083"/>
        <v>1.3065420560747665</v>
      </c>
      <c r="AZ372" s="38">
        <f t="shared" si="1242"/>
        <v>511.12770120617512</v>
      </c>
      <c r="BA372" s="4">
        <f t="shared" si="1084"/>
        <v>0.3</v>
      </c>
      <c r="BB372" s="4">
        <f t="shared" si="1085"/>
        <v>30.168608053394017</v>
      </c>
      <c r="BC372" s="4">
        <f t="shared" si="1086"/>
        <v>541.29630925956917</v>
      </c>
      <c r="BE372" s="4">
        <f t="shared" si="1222"/>
        <v>1.4124999999999999</v>
      </c>
      <c r="BF372" s="4">
        <f t="shared" si="1225"/>
        <v>407.74151129201192</v>
      </c>
      <c r="BH372" s="4">
        <f t="shared" si="1248"/>
        <v>490.23397230149772</v>
      </c>
      <c r="BI372" s="4">
        <f t="shared" si="1184"/>
        <v>0</v>
      </c>
      <c r="BJ372" s="4">
        <f t="shared" si="1249"/>
        <v>0</v>
      </c>
      <c r="BK372" s="4">
        <f t="shared" si="1309"/>
        <v>38.996666666666655</v>
      </c>
      <c r="BL372" s="4">
        <f t="shared" si="1310"/>
        <v>38.996666666666655</v>
      </c>
      <c r="BM372" s="4">
        <f t="shared" si="1311"/>
        <v>260.34999999999997</v>
      </c>
      <c r="BN372" s="4">
        <f t="shared" si="1312"/>
        <v>51.696666666666658</v>
      </c>
      <c r="BO372" s="4">
        <f t="shared" si="1313"/>
        <v>1.25</v>
      </c>
      <c r="BP372" s="25">
        <f t="shared" si="1314"/>
        <v>2.5441272965879262</v>
      </c>
      <c r="BR372" s="4">
        <f t="shared" si="1087"/>
        <v>32.596666666666657</v>
      </c>
      <c r="BV372" s="9"/>
      <c r="BX372" s="9"/>
      <c r="BY372" s="9"/>
      <c r="BZ372" s="9">
        <f t="shared" si="1088"/>
        <v>32.596666666666657</v>
      </c>
      <c r="CA372" s="9">
        <f t="shared" si="1089"/>
        <v>67.309999999999988</v>
      </c>
      <c r="CB372" s="9">
        <f t="shared" si="1233"/>
        <v>1.2630068246419943</v>
      </c>
      <c r="CC372" s="40">
        <f t="shared" si="1111"/>
        <v>20</v>
      </c>
      <c r="CD372" s="9">
        <f t="shared" si="1090"/>
        <v>0</v>
      </c>
      <c r="CE372" s="9">
        <f t="shared" si="1091"/>
        <v>0</v>
      </c>
      <c r="CF372" s="9">
        <f t="shared" si="1092"/>
        <v>0.99524931562137331</v>
      </c>
      <c r="CG372" s="9">
        <f t="shared" si="1093"/>
        <v>0.68</v>
      </c>
      <c r="CH372" s="9">
        <f t="shared" si="1234"/>
        <v>1.4130245076626196</v>
      </c>
      <c r="CI372" s="9">
        <f t="shared" si="1235"/>
        <v>1.7846595965642824</v>
      </c>
      <c r="CJ372" s="40">
        <v>1</v>
      </c>
      <c r="CK372" s="9">
        <f t="shared" si="1236"/>
        <v>150.83942910161315</v>
      </c>
      <c r="CM372" s="4">
        <f t="shared" si="1094"/>
        <v>0.9854100070923747</v>
      </c>
      <c r="CN372" s="4">
        <f t="shared" si="1095"/>
        <v>0.35037218833658679</v>
      </c>
      <c r="CO372" s="4">
        <f t="shared" si="1376"/>
        <v>0.46513579599200511</v>
      </c>
      <c r="CP372" s="4">
        <f t="shared" si="1096"/>
        <v>1.257331544831237</v>
      </c>
      <c r="CQ372" s="4">
        <f t="shared" si="1324"/>
        <v>0.79874270242833545</v>
      </c>
      <c r="CR372" s="4">
        <f t="shared" si="1325"/>
        <v>0.75400013200926497</v>
      </c>
      <c r="CS372" s="4">
        <f t="shared" si="1377"/>
        <v>0.91676427599558874</v>
      </c>
      <c r="CT372" s="4">
        <f t="shared" si="1112"/>
        <v>0</v>
      </c>
      <c r="CU372" s="4">
        <f t="shared" ref="CU372:CV372" si="1383">CM372</f>
        <v>0.9854100070923747</v>
      </c>
      <c r="CV372" s="4">
        <f t="shared" si="1383"/>
        <v>0.35037218833658679</v>
      </c>
      <c r="CW372" s="4">
        <f t="shared" ref="CW372" si="1384">CP372</f>
        <v>1.257331544831237</v>
      </c>
      <c r="CX372" s="4">
        <f t="shared" si="1254"/>
        <v>0.91676427599558874</v>
      </c>
      <c r="CY372" s="4">
        <f t="shared" ref="CY372:CZ372" si="1385">CQ372</f>
        <v>0.79874270242833545</v>
      </c>
      <c r="CZ372" s="4">
        <f t="shared" si="1385"/>
        <v>0.75400013200926497</v>
      </c>
      <c r="DI372" s="4">
        <f t="shared" si="1097"/>
        <v>155.702</v>
      </c>
      <c r="DL372" s="4">
        <f t="shared" si="1286"/>
        <v>1.1381179504404969E-5</v>
      </c>
      <c r="DM372" s="4">
        <f t="shared" si="1287"/>
        <v>6.5934694242202827</v>
      </c>
      <c r="DN372" s="4">
        <f t="shared" si="1288"/>
        <v>0.12562175977913401</v>
      </c>
      <c r="DO372" s="4">
        <f t="shared" si="1289"/>
        <v>2.8756759529164433</v>
      </c>
      <c r="DP372" s="4">
        <f t="shared" si="1290"/>
        <v>5.0911458024701526</v>
      </c>
      <c r="DQ372" s="4">
        <f t="shared" si="1291"/>
        <v>6.5125846596970431</v>
      </c>
      <c r="DR372" s="38">
        <f t="shared" si="1318"/>
        <v>237.4421347915968</v>
      </c>
      <c r="DS372" s="4">
        <f t="shared" si="1292"/>
        <v>1.000116317299957</v>
      </c>
      <c r="DT372" s="4">
        <f t="shared" si="1293"/>
        <v>3.2403703492039297</v>
      </c>
      <c r="DU372" s="4">
        <f t="shared" si="1294"/>
        <v>132.60959076042434</v>
      </c>
      <c r="DY372" s="4">
        <f t="shared" si="1295"/>
        <v>0.85</v>
      </c>
      <c r="DZ372" s="4">
        <f t="shared" si="1296"/>
        <v>0.97166666666666668</v>
      </c>
      <c r="EA372" s="4">
        <f t="shared" si="1319"/>
        <v>1</v>
      </c>
      <c r="EB372" s="4">
        <f t="shared" si="1297"/>
        <v>0.97166666666666668</v>
      </c>
      <c r="ED372" s="4">
        <f t="shared" si="1320"/>
        <v>251.53201486636169</v>
      </c>
      <c r="EE372" s="25">
        <f t="shared" si="1321"/>
        <v>130.27811215495069</v>
      </c>
      <c r="EG372" s="4">
        <f t="shared" si="1213"/>
        <v>0.82591666666666663</v>
      </c>
      <c r="EH372" s="4">
        <f t="shared" si="1322"/>
        <v>6.5934694242202827</v>
      </c>
      <c r="EK372" s="4">
        <f t="shared" si="1298"/>
        <v>82.305406869779816</v>
      </c>
      <c r="EL372" s="4">
        <f t="shared" si="1299"/>
        <v>3.2403703492039302</v>
      </c>
      <c r="EM372" s="4">
        <f t="shared" si="1300"/>
        <v>4.0977078151962498E-2</v>
      </c>
      <c r="EP372" s="4">
        <f t="shared" si="1113"/>
        <v>4.0977078151962498E-2</v>
      </c>
      <c r="EQ372" s="4">
        <f t="shared" si="1237"/>
        <v>0.12541212047477598</v>
      </c>
      <c r="ER372" s="4">
        <f t="shared" si="1301"/>
        <v>2.8737554041454305</v>
      </c>
      <c r="ES372" s="4">
        <f t="shared" si="1098"/>
        <v>5.0906145227136008</v>
      </c>
      <c r="ET372" s="4">
        <f t="shared" si="1302"/>
        <v>34.471093130220183</v>
      </c>
      <c r="EU372" s="4">
        <f t="shared" si="1303"/>
        <v>38.9255</v>
      </c>
      <c r="EV372" s="4">
        <f t="shared" si="1238"/>
        <v>1.1381179504404969E-5</v>
      </c>
      <c r="EW372" s="4">
        <f t="shared" si="1099"/>
        <v>6.5126110550224459</v>
      </c>
      <c r="EX372" s="4">
        <f t="shared" si="1250"/>
        <v>237.41451937573243</v>
      </c>
      <c r="FG372" s="23">
        <f t="shared" si="1143"/>
        <v>1</v>
      </c>
      <c r="FH372" s="23">
        <f t="shared" si="1143"/>
        <v>0.6</v>
      </c>
      <c r="FI372" s="23">
        <f t="shared" si="1382"/>
        <v>1</v>
      </c>
      <c r="FJ372" s="23">
        <f t="shared" si="1144"/>
        <v>1.4</v>
      </c>
      <c r="FK372" s="23">
        <f t="shared" si="1144"/>
        <v>0.8</v>
      </c>
      <c r="FL372" s="23">
        <f t="shared" si="1144"/>
        <v>0.8</v>
      </c>
      <c r="FM372" s="23">
        <f t="shared" si="1330"/>
        <v>1</v>
      </c>
      <c r="FN372" s="23"/>
      <c r="FX372" s="4">
        <f t="shared" si="1200"/>
        <v>1</v>
      </c>
      <c r="FY372" s="4">
        <f t="shared" si="1258"/>
        <v>0.72166666666666668</v>
      </c>
      <c r="FZ372" s="4">
        <f t="shared" si="1201"/>
        <v>0</v>
      </c>
      <c r="GA372" s="4">
        <f t="shared" si="1202"/>
        <v>206.87452312409442</v>
      </c>
    </row>
    <row r="373" spans="1:183" ht="12" customHeight="1" x14ac:dyDescent="0.3">
      <c r="A373" s="25">
        <v>355</v>
      </c>
      <c r="B373" s="4" t="s">
        <v>605</v>
      </c>
      <c r="C373" s="4">
        <v>2016</v>
      </c>
      <c r="D373" s="4" t="s">
        <v>309</v>
      </c>
      <c r="E373" s="24" t="s">
        <v>672</v>
      </c>
      <c r="F373" s="7" t="s">
        <v>519</v>
      </c>
      <c r="G373" s="38">
        <f t="shared" si="1334"/>
        <v>889.65517241379314</v>
      </c>
      <c r="H373" s="38">
        <f>6.03*25.4</f>
        <v>153.16200000000001</v>
      </c>
      <c r="I373" s="4">
        <f t="shared" si="1100"/>
        <v>153.16200000000001</v>
      </c>
      <c r="J373" s="38">
        <f t="shared" si="1375"/>
        <v>35.586206896551722</v>
      </c>
      <c r="K373" s="38">
        <f t="shared" si="1101"/>
        <v>25.4</v>
      </c>
      <c r="L373" s="7">
        <f t="shared" si="1102"/>
        <v>6.03</v>
      </c>
      <c r="M373" s="7">
        <f t="shared" si="1103"/>
        <v>6.03</v>
      </c>
      <c r="N373" s="38">
        <f>17.4*25.4</f>
        <v>441.95999999999992</v>
      </c>
      <c r="O373" s="38">
        <f>2.55*25.4</f>
        <v>64.77</v>
      </c>
      <c r="P373" s="39">
        <f>7.25*25.4</f>
        <v>184.14999999999998</v>
      </c>
      <c r="Q373" s="7">
        <f t="shared" si="1104"/>
        <v>70.273333333333298</v>
      </c>
      <c r="R373" s="38">
        <v>4</v>
      </c>
      <c r="S373" s="4">
        <f t="shared" si="1081"/>
        <v>260.34999999999997</v>
      </c>
      <c r="T373" s="7">
        <f t="shared" si="1105"/>
        <v>1.8833333333333326</v>
      </c>
      <c r="U373" s="7">
        <f t="shared" si="1247"/>
        <v>3.05</v>
      </c>
      <c r="V373" s="38">
        <v>9.1</v>
      </c>
      <c r="W373" s="4">
        <f t="shared" si="1106"/>
        <v>9.1</v>
      </c>
      <c r="X373" s="4">
        <f t="shared" si="1107"/>
        <v>10.1</v>
      </c>
      <c r="Y373" s="7">
        <f t="shared" si="1108"/>
        <v>80.72246279691916</v>
      </c>
      <c r="AB373" s="38">
        <f t="shared" si="1151"/>
        <v>275.86206896551727</v>
      </c>
      <c r="AC373" s="4">
        <v>40</v>
      </c>
      <c r="AD373" s="4">
        <f t="shared" si="1279"/>
        <v>1.023547164422965</v>
      </c>
      <c r="AE373" s="38">
        <f>0.5*25.4</f>
        <v>12.7</v>
      </c>
      <c r="AF373" s="38">
        <v>10</v>
      </c>
      <c r="AG373" s="39">
        <f t="shared" si="1352"/>
        <v>76.199999999999989</v>
      </c>
      <c r="AH373" s="39">
        <v>3</v>
      </c>
      <c r="AI373" s="39">
        <f>AH373-1</f>
        <v>2</v>
      </c>
      <c r="AJ373" s="7"/>
      <c r="AK373" s="4">
        <f t="shared" si="1109"/>
        <v>153.16200000000001</v>
      </c>
      <c r="AL373" s="4">
        <f t="shared" si="1304"/>
        <v>0.96185737976782737</v>
      </c>
      <c r="AM373" s="4">
        <f t="shared" si="1305"/>
        <v>55.789193974838994</v>
      </c>
      <c r="AN373" s="4">
        <f t="shared" si="1306"/>
        <v>0.80116086235489214</v>
      </c>
      <c r="AO373" s="4">
        <v>1.25</v>
      </c>
      <c r="AP373" s="4">
        <f t="shared" si="1221"/>
        <v>2.5</v>
      </c>
      <c r="AQ373" s="38">
        <f t="shared" si="1082"/>
        <v>134.34778647326121</v>
      </c>
      <c r="AR373" s="38">
        <f t="shared" si="1307"/>
        <v>134.34778647326121</v>
      </c>
      <c r="AS373" s="38">
        <f t="shared" si="1308"/>
        <v>3.2457050730263122</v>
      </c>
      <c r="AT373" s="38">
        <f t="shared" si="1230"/>
        <v>134.34778647326129</v>
      </c>
      <c r="AU373" s="38">
        <f t="shared" si="1199"/>
        <v>0.99999999999999933</v>
      </c>
      <c r="AV373" s="38">
        <f t="shared" si="1231"/>
        <v>3.7555170510795586</v>
      </c>
      <c r="AW373" s="4">
        <f t="shared" si="1232"/>
        <v>0</v>
      </c>
      <c r="AX373" s="4">
        <f t="shared" si="1110"/>
        <v>189.32351580921181</v>
      </c>
      <c r="AY373" s="4">
        <f t="shared" si="1083"/>
        <v>1.2477876106194694</v>
      </c>
      <c r="AZ373" s="38">
        <f t="shared" si="1242"/>
        <v>504.54540287512845</v>
      </c>
      <c r="BA373" s="4">
        <f t="shared" si="1084"/>
        <v>0.3</v>
      </c>
      <c r="BB373" s="4">
        <f t="shared" si="1085"/>
        <v>29.676461103093949</v>
      </c>
      <c r="BC373" s="4">
        <f t="shared" si="1086"/>
        <v>534.22186397822236</v>
      </c>
      <c r="BE373" s="4">
        <f t="shared" si="1222"/>
        <v>1.5</v>
      </c>
      <c r="BF373" s="4">
        <f t="shared" si="1225"/>
        <v>430.31539708963913</v>
      </c>
      <c r="BH373" s="4">
        <f t="shared" si="1248"/>
        <v>483.92074323939113</v>
      </c>
      <c r="BI373" s="4">
        <f t="shared" si="1184"/>
        <v>0</v>
      </c>
      <c r="BJ373" s="4">
        <f t="shared" si="1249"/>
        <v>0</v>
      </c>
      <c r="BK373" s="4">
        <f t="shared" si="1309"/>
        <v>41.536666666666648</v>
      </c>
      <c r="BL373" s="4">
        <f t="shared" si="1310"/>
        <v>41.536666666666648</v>
      </c>
      <c r="BM373" s="4">
        <f t="shared" si="1311"/>
        <v>260.34999999999997</v>
      </c>
      <c r="BN373" s="4">
        <f t="shared" si="1312"/>
        <v>54.23666666666665</v>
      </c>
      <c r="BO373" s="4">
        <f t="shared" si="1313"/>
        <v>1.25</v>
      </c>
      <c r="BP373" s="25">
        <f t="shared" si="1314"/>
        <v>3.8193507732283956</v>
      </c>
      <c r="BR373" s="4">
        <f t="shared" si="1087"/>
        <v>35.136666666666649</v>
      </c>
      <c r="BV373" s="9"/>
      <c r="BX373" s="9"/>
      <c r="BY373" s="9"/>
      <c r="BZ373" s="9">
        <f t="shared" si="1088"/>
        <v>35.136666666666649</v>
      </c>
      <c r="CA373" s="9">
        <f t="shared" si="1089"/>
        <v>64.77</v>
      </c>
      <c r="CB373" s="9">
        <f t="shared" si="1233"/>
        <v>1.2891558441961506</v>
      </c>
      <c r="CC373" s="40">
        <f t="shared" si="1111"/>
        <v>20</v>
      </c>
      <c r="CD373" s="9">
        <f t="shared" si="1090"/>
        <v>0.05</v>
      </c>
      <c r="CE373" s="9">
        <f t="shared" si="1091"/>
        <v>0.8</v>
      </c>
      <c r="CF373" s="9">
        <f t="shared" si="1092"/>
        <v>0.99524931562137331</v>
      </c>
      <c r="CG373" s="9">
        <f t="shared" si="1093"/>
        <v>0.68</v>
      </c>
      <c r="CH373" s="9">
        <f t="shared" si="1234"/>
        <v>1.4130245076626196</v>
      </c>
      <c r="CI373" s="9">
        <f t="shared" si="1235"/>
        <v>2.95202840817575</v>
      </c>
      <c r="CJ373" s="40">
        <v>1</v>
      </c>
      <c r="CK373" s="9">
        <f t="shared" si="1236"/>
        <v>248.32462969574408</v>
      </c>
      <c r="CM373" s="4">
        <f t="shared" si="1094"/>
        <v>1.4570935247342094</v>
      </c>
      <c r="CN373" s="4">
        <f t="shared" si="1095"/>
        <v>0.51638109101570362</v>
      </c>
      <c r="CO373" s="4">
        <f t="shared" si="1376"/>
        <v>0.64106948259639507</v>
      </c>
      <c r="CP373" s="4">
        <f t="shared" si="1096"/>
        <v>1.110892903790949</v>
      </c>
      <c r="CQ373" s="4">
        <f t="shared" si="1324"/>
        <v>1.023547164422965</v>
      </c>
      <c r="CR373" s="4">
        <f t="shared" si="1325"/>
        <v>0.95972228420837502</v>
      </c>
      <c r="CS373" s="4">
        <f t="shared" si="1377"/>
        <v>1.1875804167963844</v>
      </c>
      <c r="CT373" s="4">
        <f t="shared" si="1112"/>
        <v>10</v>
      </c>
      <c r="DA373" s="4">
        <f t="shared" ref="DA373:DB373" si="1386">CM373</f>
        <v>1.4570935247342094</v>
      </c>
      <c r="DB373" s="4">
        <f t="shared" si="1386"/>
        <v>0.51638109101570362</v>
      </c>
      <c r="DC373" s="4">
        <f t="shared" ref="DC373" si="1387">CP373</f>
        <v>1.110892903790949</v>
      </c>
      <c r="DD373" s="4">
        <f t="shared" ref="DD373" si="1388">CS373</f>
        <v>1.1875804167963844</v>
      </c>
      <c r="DE373" s="4">
        <f t="shared" ref="DE373:DF373" si="1389">CQ373</f>
        <v>1.023547164422965</v>
      </c>
      <c r="DF373" s="4">
        <f t="shared" si="1389"/>
        <v>0.95972228420837502</v>
      </c>
      <c r="DI373" s="4">
        <f t="shared" si="1097"/>
        <v>153.16200000000001</v>
      </c>
      <c r="DL373" s="4">
        <f t="shared" si="1286"/>
        <v>1.1195515890956275E-5</v>
      </c>
      <c r="DM373" s="4">
        <f t="shared" si="1287"/>
        <v>8.5961707929120017</v>
      </c>
      <c r="DN373" s="4">
        <f t="shared" si="1288"/>
        <v>0.13030728728726751</v>
      </c>
      <c r="DO373" s="4">
        <f t="shared" si="1289"/>
        <v>3.8044555753490479</v>
      </c>
      <c r="DP373" s="4">
        <f t="shared" si="1290"/>
        <v>6.6529430361481445</v>
      </c>
      <c r="DQ373" s="4">
        <f t="shared" si="1291"/>
        <v>8.4621477029872203</v>
      </c>
      <c r="DR373" s="38">
        <f t="shared" si="1318"/>
        <v>269.51573757818699</v>
      </c>
      <c r="DS373" s="4">
        <f t="shared" si="1292"/>
        <v>1.0001330912885906</v>
      </c>
      <c r="DT373" s="4">
        <f t="shared" si="1293"/>
        <v>3.1780497164141401</v>
      </c>
      <c r="DU373" s="4">
        <f t="shared" si="1294"/>
        <v>134.34778647326129</v>
      </c>
      <c r="DY373" s="4">
        <f t="shared" si="1295"/>
        <v>0.85</v>
      </c>
      <c r="DZ373" s="4">
        <f t="shared" si="1296"/>
        <v>0.96166666666666667</v>
      </c>
      <c r="EA373" s="4">
        <f t="shared" si="1319"/>
        <v>0.77500000000000002</v>
      </c>
      <c r="EB373" s="4">
        <f t="shared" si="1297"/>
        <v>0.74529166666666669</v>
      </c>
      <c r="ED373" s="4">
        <f t="shared" si="1320"/>
        <v>287.43947442364697</v>
      </c>
      <c r="EE373" s="25">
        <f t="shared" si="1321"/>
        <v>131.93474477986888</v>
      </c>
      <c r="EG373" s="4">
        <f t="shared" si="1213"/>
        <v>0.63349791666666666</v>
      </c>
      <c r="EH373" s="4">
        <f t="shared" si="1322"/>
        <v>8.5961707929120017</v>
      </c>
      <c r="EK373" s="4">
        <f t="shared" si="1298"/>
        <v>80.72246279691916</v>
      </c>
      <c r="EL373" s="4">
        <f t="shared" si="1299"/>
        <v>3.1780497164141406</v>
      </c>
      <c r="EM373" s="4">
        <f t="shared" si="1300"/>
        <v>4.2505469628260288E-2</v>
      </c>
      <c r="EP373" s="4">
        <f t="shared" si="1113"/>
        <v>4.2505469628260288E-2</v>
      </c>
      <c r="EQ373" s="4">
        <f t="shared" si="1237"/>
        <v>0.13008982871076205</v>
      </c>
      <c r="ER373" s="4">
        <f t="shared" si="1301"/>
        <v>3.8019147318745952</v>
      </c>
      <c r="ES373" s="4">
        <f t="shared" si="1098"/>
        <v>6.6522306588627282</v>
      </c>
      <c r="ET373" s="4">
        <f t="shared" si="1302"/>
        <v>34.149037203080837</v>
      </c>
      <c r="EU373" s="4">
        <f t="shared" si="1303"/>
        <v>38.290500000000009</v>
      </c>
      <c r="EV373" s="4">
        <f t="shared" si="1238"/>
        <v>1.1195515890956275E-5</v>
      </c>
      <c r="EW373" s="4">
        <f t="shared" si="1099"/>
        <v>8.4621917009097825</v>
      </c>
      <c r="EX373" s="4">
        <f t="shared" si="1250"/>
        <v>269.47987215475268</v>
      </c>
      <c r="FG373" s="23">
        <f t="shared" si="1143"/>
        <v>1.6</v>
      </c>
      <c r="FH373" s="23">
        <f t="shared" si="1143"/>
        <v>0.6</v>
      </c>
      <c r="FI373" s="23">
        <f t="shared" si="1382"/>
        <v>1.2</v>
      </c>
      <c r="FJ373" s="23">
        <f t="shared" si="1144"/>
        <v>1.2</v>
      </c>
      <c r="FK373" s="23">
        <f t="shared" si="1144"/>
        <v>1.2</v>
      </c>
      <c r="FL373" s="23">
        <f t="shared" si="1144"/>
        <v>1</v>
      </c>
      <c r="FM373" s="23">
        <f t="shared" si="1330"/>
        <v>0</v>
      </c>
      <c r="FN373" s="23"/>
      <c r="FX373" s="4">
        <f t="shared" si="1200"/>
        <v>1</v>
      </c>
      <c r="FY373" s="4">
        <f t="shared" si="1258"/>
        <v>0.63222480620155053</v>
      </c>
      <c r="FZ373" s="4">
        <f t="shared" si="1201"/>
        <v>0.3</v>
      </c>
      <c r="GA373" s="4">
        <f t="shared" si="1202"/>
        <v>232.28916969655197</v>
      </c>
    </row>
    <row r="374" spans="1:183" ht="12" customHeight="1" x14ac:dyDescent="0.3">
      <c r="A374" s="25">
        <v>356</v>
      </c>
      <c r="B374" s="4" t="s">
        <v>605</v>
      </c>
      <c r="C374" s="4">
        <v>2016</v>
      </c>
      <c r="D374" s="4" t="s">
        <v>309</v>
      </c>
      <c r="E374" s="24" t="s">
        <v>520</v>
      </c>
      <c r="F374" s="7" t="s">
        <v>521</v>
      </c>
      <c r="G374" s="38">
        <f>139/0.145</f>
        <v>958.62068965517244</v>
      </c>
      <c r="H374" s="38">
        <f>4.06*25.4</f>
        <v>103.12399999999998</v>
      </c>
      <c r="I374" s="4">
        <f t="shared" si="1100"/>
        <v>103.12399999999998</v>
      </c>
      <c r="J374" s="38">
        <f>4810/145</f>
        <v>33.172413793103445</v>
      </c>
      <c r="K374" s="38">
        <f>0.625*25.4</f>
        <v>15.875</v>
      </c>
      <c r="L374" s="7">
        <f t="shared" si="1102"/>
        <v>6.4959999999999987</v>
      </c>
      <c r="M374" s="7">
        <f t="shared" si="1103"/>
        <v>6.4959999999999987</v>
      </c>
      <c r="N374" s="38">
        <f>12.9*25.4</f>
        <v>327.65999999999997</v>
      </c>
      <c r="O374" s="38">
        <f>2.5*25.4</f>
        <v>63.5</v>
      </c>
      <c r="P374" s="39">
        <f>5.25*25.4</f>
        <v>133.35</v>
      </c>
      <c r="Q374" s="7">
        <f t="shared" si="1104"/>
        <v>168.90999999999997</v>
      </c>
      <c r="R374" s="38">
        <v>2</v>
      </c>
      <c r="S374" s="4">
        <f t="shared" ref="S374:S398" si="1390">5.25*25.4</f>
        <v>133.35</v>
      </c>
      <c r="T374" s="7">
        <f t="shared" si="1105"/>
        <v>4.5</v>
      </c>
      <c r="U374" s="7">
        <f t="shared" si="1247"/>
        <v>4.5</v>
      </c>
      <c r="V374" s="38">
        <v>4</v>
      </c>
      <c r="W374" s="4">
        <f t="shared" si="1106"/>
        <v>4</v>
      </c>
      <c r="X374" s="4">
        <f t="shared" si="1107"/>
        <v>5</v>
      </c>
      <c r="Y374" s="7">
        <f t="shared" si="1108"/>
        <v>35.497579142809165</v>
      </c>
      <c r="AB374" s="38">
        <f t="shared" si="1151"/>
        <v>544.82758620689663</v>
      </c>
      <c r="AC374" s="4">
        <v>79</v>
      </c>
      <c r="AD374" s="4">
        <f t="shared" si="1279"/>
        <v>0.85551395808440578</v>
      </c>
      <c r="AE374" s="38">
        <v>0</v>
      </c>
      <c r="AF374" s="38">
        <v>0</v>
      </c>
      <c r="AG374" s="39">
        <f t="shared" si="1251"/>
        <v>103.12399999999998</v>
      </c>
      <c r="AH374" s="39"/>
      <c r="AI374" s="39"/>
      <c r="AJ374" s="7"/>
      <c r="AK374" s="4">
        <f t="shared" si="1109"/>
        <v>103.12399999999998</v>
      </c>
      <c r="AL374" s="4">
        <f t="shared" si="1304"/>
        <v>1.059113300492611</v>
      </c>
      <c r="AM374" s="4">
        <f t="shared" si="1305"/>
        <v>152.36345683370544</v>
      </c>
      <c r="AN374" s="4">
        <f t="shared" si="1306"/>
        <v>0.83854679802955667</v>
      </c>
      <c r="AO374" s="4">
        <v>1.25</v>
      </c>
      <c r="AP374" s="4">
        <f t="shared" si="1221"/>
        <v>2.5</v>
      </c>
      <c r="AQ374" s="38">
        <f t="shared" si="1082"/>
        <v>422.86385630992817</v>
      </c>
      <c r="AR374" s="38">
        <f t="shared" si="1307"/>
        <v>422.86385630992817</v>
      </c>
      <c r="AS374" s="38">
        <f t="shared" si="1308"/>
        <v>3.0972241539071201</v>
      </c>
      <c r="AT374" s="38">
        <f t="shared" si="1230"/>
        <v>422.86385630992817</v>
      </c>
      <c r="AU374" s="38">
        <f t="shared" si="1199"/>
        <v>1</v>
      </c>
      <c r="AV374" s="38">
        <f t="shared" si="1231"/>
        <v>1.4120465472892745</v>
      </c>
      <c r="AW374" s="4">
        <f t="shared" si="1232"/>
        <v>0</v>
      </c>
      <c r="AX374" s="4">
        <f t="shared" si="1110"/>
        <v>196.91597600664139</v>
      </c>
      <c r="AY374" s="4">
        <f t="shared" si="1083"/>
        <v>1</v>
      </c>
      <c r="AZ374" s="38">
        <f t="shared" si="1242"/>
        <v>597.10344827586198</v>
      </c>
      <c r="BA374" s="4">
        <f t="shared" si="1084"/>
        <v>0.44000000000000006</v>
      </c>
      <c r="BB374" s="4">
        <f t="shared" si="1085"/>
        <v>45.27098288392687</v>
      </c>
      <c r="BC374" s="4">
        <f t="shared" si="1086"/>
        <v>642.37443115978886</v>
      </c>
      <c r="BE374" s="4">
        <f t="shared" si="1222"/>
        <v>1.5</v>
      </c>
      <c r="BF374" s="4">
        <f t="shared" si="1225"/>
        <v>427.5429000732376</v>
      </c>
      <c r="BH374" s="4">
        <f t="shared" si="1248"/>
        <v>572.6952278900693</v>
      </c>
      <c r="BI374" s="4">
        <f t="shared" si="1184"/>
        <v>0</v>
      </c>
      <c r="BJ374" s="4">
        <f t="shared" si="1249"/>
        <v>0</v>
      </c>
      <c r="BK374" s="4">
        <f t="shared" si="1309"/>
        <v>63.5</v>
      </c>
      <c r="BL374" s="4">
        <f t="shared" si="1310"/>
        <v>63.5</v>
      </c>
      <c r="BM374" s="4">
        <f t="shared" si="1311"/>
        <v>133.35</v>
      </c>
      <c r="BN374" s="4">
        <f t="shared" si="1312"/>
        <v>71.4375</v>
      </c>
      <c r="BO374" s="4">
        <f t="shared" si="1313"/>
        <v>1.1100000000000001</v>
      </c>
      <c r="BP374" s="25">
        <f t="shared" si="1314"/>
        <v>4</v>
      </c>
      <c r="BR374" s="4">
        <f t="shared" si="1087"/>
        <v>63.5</v>
      </c>
      <c r="BV374" s="9"/>
      <c r="BX374" s="9"/>
      <c r="BY374" s="9"/>
      <c r="BZ374" s="9">
        <f t="shared" si="1088"/>
        <v>63.5</v>
      </c>
      <c r="CA374" s="9">
        <f t="shared" si="1089"/>
        <v>84.454999999999984</v>
      </c>
      <c r="CB374" s="9">
        <f t="shared" si="1233"/>
        <v>2.0874099141114333</v>
      </c>
      <c r="CC374" s="40">
        <f t="shared" si="1111"/>
        <v>20</v>
      </c>
      <c r="CD374" s="9">
        <f t="shared" si="1090"/>
        <v>0</v>
      </c>
      <c r="CE374" s="9">
        <f t="shared" si="1091"/>
        <v>0</v>
      </c>
      <c r="CF374" s="9">
        <f t="shared" si="1092"/>
        <v>1</v>
      </c>
      <c r="CG374" s="9">
        <f t="shared" si="1093"/>
        <v>0.68</v>
      </c>
      <c r="CH374" s="9">
        <f t="shared" si="1234"/>
        <v>1.3707728502186465</v>
      </c>
      <c r="CI374" s="9">
        <f t="shared" si="1235"/>
        <v>2.8613648375411893</v>
      </c>
      <c r="CJ374" s="40">
        <v>1</v>
      </c>
      <c r="CK374" s="9">
        <f t="shared" si="1236"/>
        <v>246.03159419114161</v>
      </c>
      <c r="CM374" s="4">
        <f t="shared" si="1094"/>
        <v>2.7668023552772643</v>
      </c>
      <c r="CN374" s="4">
        <f t="shared" si="1095"/>
        <v>0.84814643886623231</v>
      </c>
      <c r="CO374" s="4">
        <f t="shared" si="1376"/>
        <v>1.2743226144407223</v>
      </c>
      <c r="CP374" s="4">
        <f t="shared" si="1096"/>
        <v>2.2144618783538053</v>
      </c>
      <c r="CQ374" s="4">
        <f t="shared" si="1324"/>
        <v>0.85551395808440578</v>
      </c>
      <c r="CR374" s="4">
        <f t="shared" si="1325"/>
        <v>0.89951817016281221</v>
      </c>
      <c r="CS374" s="4">
        <f t="shared" si="1377"/>
        <v>1.3853708991438167</v>
      </c>
      <c r="CT374" s="4">
        <f t="shared" si="1112"/>
        <v>0</v>
      </c>
      <c r="CU374" s="4">
        <f t="shared" ref="CU374:CV375" si="1391">CM374</f>
        <v>2.7668023552772643</v>
      </c>
      <c r="CV374" s="4">
        <f t="shared" si="1391"/>
        <v>0.84814643886623231</v>
      </c>
      <c r="CW374" s="4">
        <f t="shared" ref="CW374:CW375" si="1392">CP374</f>
        <v>2.2144618783538053</v>
      </c>
      <c r="CX374" s="4">
        <f t="shared" si="1254"/>
        <v>1.3853708991438167</v>
      </c>
      <c r="CY374" s="4">
        <f t="shared" ref="CY374:CZ375" si="1393">CQ374</f>
        <v>0.85551395808440578</v>
      </c>
      <c r="CZ374" s="4">
        <f t="shared" si="1393"/>
        <v>0.89951817016281221</v>
      </c>
      <c r="DI374" s="4">
        <f t="shared" si="1097"/>
        <v>103.12399999999998</v>
      </c>
      <c r="DL374" s="4">
        <f t="shared" si="1286"/>
        <v>1.1862041549436264E-5</v>
      </c>
      <c r="DM374" s="4">
        <f t="shared" si="1287"/>
        <v>9.7201649178311715</v>
      </c>
      <c r="DN374" s="4">
        <f t="shared" si="1288"/>
        <v>0.44017879111879804</v>
      </c>
      <c r="DO374" s="4">
        <f t="shared" si="1289"/>
        <v>7.0004390514366941</v>
      </c>
      <c r="DP374" s="4">
        <f t="shared" si="1290"/>
        <v>8.470459616072743</v>
      </c>
      <c r="DQ374" s="4">
        <f t="shared" si="1291"/>
        <v>9.5527275677276045</v>
      </c>
      <c r="DR374" s="38">
        <f t="shared" si="1318"/>
        <v>636.84242794451688</v>
      </c>
      <c r="DS374" s="4">
        <f t="shared" si="1292"/>
        <v>1.0000970386126888</v>
      </c>
      <c r="DT374" s="4">
        <f t="shared" si="1293"/>
        <v>2.2360679774997898</v>
      </c>
      <c r="DU374" s="4">
        <f t="shared" si="1294"/>
        <v>422.86385630992817</v>
      </c>
      <c r="DY374" s="4">
        <f t="shared" si="1295"/>
        <v>0.85</v>
      </c>
      <c r="DZ374" s="4">
        <f t="shared" si="1296"/>
        <v>0.7</v>
      </c>
      <c r="EA374" s="4">
        <f t="shared" si="1319"/>
        <v>1</v>
      </c>
      <c r="EB374" s="4">
        <f t="shared" si="1297"/>
        <v>0.7</v>
      </c>
      <c r="ED374" s="4">
        <f t="shared" si="1320"/>
        <v>605.68824986412801</v>
      </c>
      <c r="EE374" s="25">
        <f t="shared" si="1321"/>
        <v>416.26167594543415</v>
      </c>
      <c r="EG374" s="4">
        <f t="shared" si="1213"/>
        <v>0.59499999999999997</v>
      </c>
      <c r="EH374" s="4">
        <f t="shared" si="1322"/>
        <v>9.7201649178311715</v>
      </c>
      <c r="EK374" s="4">
        <f t="shared" si="1298"/>
        <v>35.497579142809165</v>
      </c>
      <c r="EL374" s="4">
        <f t="shared" si="1299"/>
        <v>2.2360679774997898</v>
      </c>
      <c r="EM374" s="4">
        <f t="shared" si="1300"/>
        <v>0.13862862504888454</v>
      </c>
      <c r="EP374" s="4">
        <f t="shared" si="1113"/>
        <v>0.13862862504888454</v>
      </c>
      <c r="EQ374" s="4">
        <f t="shared" si="1237"/>
        <v>0.43944421475459533</v>
      </c>
      <c r="ER374" s="4">
        <f t="shared" si="1301"/>
        <v>6.9957637386278373</v>
      </c>
      <c r="ES374" s="4">
        <f t="shared" si="1098"/>
        <v>8.4685301751669879</v>
      </c>
      <c r="ET374" s="4">
        <f t="shared" si="1302"/>
        <v>41.845420857190824</v>
      </c>
      <c r="EU374" s="4">
        <f t="shared" si="1303"/>
        <v>25.780999999999999</v>
      </c>
      <c r="EV374" s="4">
        <f t="shared" si="1238"/>
        <v>1.1862041549436266E-5</v>
      </c>
      <c r="EW374" s="4">
        <f t="shared" si="1099"/>
        <v>9.5527842887610959</v>
      </c>
      <c r="EX374" s="4">
        <f t="shared" si="1250"/>
        <v>636.7806356350477</v>
      </c>
      <c r="FG374" s="23">
        <f t="shared" si="1143"/>
        <v>2.2000000000000002</v>
      </c>
      <c r="FH374" s="23">
        <f t="shared" si="1143"/>
        <v>1</v>
      </c>
      <c r="FI374" s="23">
        <f t="shared" si="1382"/>
        <v>1.4</v>
      </c>
      <c r="FJ374" s="23">
        <f t="shared" si="1144"/>
        <v>2.2000000000000002</v>
      </c>
      <c r="FK374" s="23">
        <f t="shared" si="1144"/>
        <v>1</v>
      </c>
      <c r="FL374" s="23">
        <f t="shared" si="1144"/>
        <v>1</v>
      </c>
      <c r="FM374" s="23">
        <f t="shared" si="1330"/>
        <v>0</v>
      </c>
      <c r="FN374" s="23"/>
      <c r="FX374" s="4">
        <f t="shared" si="1200"/>
        <v>1</v>
      </c>
      <c r="FY374" s="4">
        <f t="shared" si="1258"/>
        <v>0.5</v>
      </c>
      <c r="FZ374" s="4">
        <f t="shared" si="1201"/>
        <v>0</v>
      </c>
      <c r="GA374" s="4">
        <f t="shared" si="1202"/>
        <v>393.27200141392427</v>
      </c>
    </row>
    <row r="375" spans="1:183" ht="12" customHeight="1" x14ac:dyDescent="0.3">
      <c r="A375" s="25">
        <v>357</v>
      </c>
      <c r="B375" s="4" t="s">
        <v>605</v>
      </c>
      <c r="C375" s="4">
        <v>2016</v>
      </c>
      <c r="D375" s="4" t="s">
        <v>309</v>
      </c>
      <c r="E375" s="24" t="s">
        <v>520</v>
      </c>
      <c r="F375" s="7" t="s">
        <v>522</v>
      </c>
      <c r="G375" s="38">
        <f t="shared" ref="G375:G398" si="1394">139/0.145</f>
        <v>958.62068965517244</v>
      </c>
      <c r="H375" s="38">
        <f>4.41*25.4</f>
        <v>112.014</v>
      </c>
      <c r="I375" s="4">
        <f t="shared" si="1100"/>
        <v>112.014</v>
      </c>
      <c r="J375" s="38">
        <f t="shared" ref="J375:J378" si="1395">4810/145</f>
        <v>33.172413793103445</v>
      </c>
      <c r="K375" s="38">
        <f t="shared" ref="K375:K398" si="1396">0.625*25.4</f>
        <v>15.875</v>
      </c>
      <c r="L375" s="7">
        <f t="shared" si="1102"/>
        <v>7.056</v>
      </c>
      <c r="M375" s="7">
        <f t="shared" si="1103"/>
        <v>7.056</v>
      </c>
      <c r="N375" s="38">
        <f>13.1*25.4</f>
        <v>332.73999999999995</v>
      </c>
      <c r="O375" s="38">
        <f>2.5*25.4</f>
        <v>63.5</v>
      </c>
      <c r="P375" s="39">
        <f>4.65*25.4</f>
        <v>118.11</v>
      </c>
      <c r="Q375" s="7">
        <f t="shared" si="1104"/>
        <v>173.98999999999995</v>
      </c>
      <c r="R375" s="38">
        <v>2</v>
      </c>
      <c r="S375" s="4">
        <f t="shared" si="1390"/>
        <v>133.35</v>
      </c>
      <c r="T375" s="7">
        <f t="shared" si="1105"/>
        <v>4.5</v>
      </c>
      <c r="U375" s="7">
        <f t="shared" si="1247"/>
        <v>4.5</v>
      </c>
      <c r="V375" s="38">
        <v>13.1</v>
      </c>
      <c r="W375" s="4">
        <f t="shared" si="1106"/>
        <v>13.1</v>
      </c>
      <c r="X375" s="4">
        <f t="shared" si="1107"/>
        <v>14.1</v>
      </c>
      <c r="Y375" s="7">
        <f t="shared" si="1108"/>
        <v>59.610572153771514</v>
      </c>
      <c r="AB375" s="38">
        <f t="shared" si="1151"/>
        <v>627.58620689655174</v>
      </c>
      <c r="AC375" s="4">
        <v>91</v>
      </c>
      <c r="AD375" s="4">
        <f t="shared" si="1279"/>
        <v>0.98139244277365356</v>
      </c>
      <c r="AE375" s="38">
        <v>0</v>
      </c>
      <c r="AF375" s="38">
        <v>0</v>
      </c>
      <c r="AG375" s="39">
        <f t="shared" si="1251"/>
        <v>112.014</v>
      </c>
      <c r="AH375" s="39"/>
      <c r="AI375" s="39"/>
      <c r="AJ375" s="7"/>
      <c r="AK375" s="4">
        <f t="shared" si="1109"/>
        <v>112.014</v>
      </c>
      <c r="AL375" s="4">
        <f t="shared" si="1304"/>
        <v>0.99017384731670421</v>
      </c>
      <c r="AM375" s="4">
        <f t="shared" si="1305"/>
        <v>172.48433206051794</v>
      </c>
      <c r="AN375" s="4">
        <f t="shared" si="1306"/>
        <v>0.8275510204081632</v>
      </c>
      <c r="AO375" s="4">
        <v>1.25</v>
      </c>
      <c r="AP375" s="4">
        <f t="shared" si="1221"/>
        <v>2.5</v>
      </c>
      <c r="AQ375" s="38">
        <f t="shared" si="1082"/>
        <v>441.67813764040932</v>
      </c>
      <c r="AR375" s="38">
        <f t="shared" si="1307"/>
        <v>441.67813764040932</v>
      </c>
      <c r="AS375" s="38">
        <f t="shared" si="1308"/>
        <v>3.0972241539071201</v>
      </c>
      <c r="AT375" s="38">
        <f t="shared" si="1230"/>
        <v>441.67813764040881</v>
      </c>
      <c r="AU375" s="38">
        <f t="shared" si="1199"/>
        <v>1.0000000000000011</v>
      </c>
      <c r="AV375" s="38">
        <f t="shared" si="1231"/>
        <v>2.4465231438551203</v>
      </c>
      <c r="AW375" s="4">
        <f t="shared" si="1232"/>
        <v>0</v>
      </c>
      <c r="AX375" s="4">
        <f t="shared" si="1110"/>
        <v>213.89149117962776</v>
      </c>
      <c r="AY375" s="4">
        <f t="shared" si="1083"/>
        <v>1</v>
      </c>
      <c r="AZ375" s="38">
        <f t="shared" si="1242"/>
        <v>1080.5757858720874</v>
      </c>
      <c r="BA375" s="4">
        <f t="shared" si="1084"/>
        <v>0.3</v>
      </c>
      <c r="BB375" s="4">
        <f t="shared" si="1085"/>
        <v>33.527491242406654</v>
      </c>
      <c r="BC375" s="4">
        <f t="shared" si="1086"/>
        <v>1114.1032771144942</v>
      </c>
      <c r="BE375" s="4">
        <f t="shared" si="1222"/>
        <v>1.5</v>
      </c>
      <c r="BF375" s="4">
        <f t="shared" si="1225"/>
        <v>442.05696554614087</v>
      </c>
      <c r="BH375" s="4">
        <f t="shared" si="1248"/>
        <v>1036.4043244590362</v>
      </c>
      <c r="BI375" s="4">
        <f t="shared" si="1184"/>
        <v>0</v>
      </c>
      <c r="BJ375" s="4">
        <f t="shared" si="1249"/>
        <v>0</v>
      </c>
      <c r="BK375" s="4">
        <f t="shared" si="1309"/>
        <v>63.5</v>
      </c>
      <c r="BL375" s="4">
        <f t="shared" si="1310"/>
        <v>63.5</v>
      </c>
      <c r="BM375" s="4">
        <f t="shared" si="1311"/>
        <v>133.35</v>
      </c>
      <c r="BN375" s="4">
        <f t="shared" si="1312"/>
        <v>71.4375</v>
      </c>
      <c r="BO375" s="4">
        <f t="shared" si="1313"/>
        <v>1.1100000000000001</v>
      </c>
      <c r="BP375" s="25">
        <f t="shared" si="1314"/>
        <v>4</v>
      </c>
      <c r="BR375" s="4">
        <f t="shared" si="1087"/>
        <v>63.5</v>
      </c>
      <c r="BV375" s="9"/>
      <c r="BX375" s="9"/>
      <c r="BY375" s="9"/>
      <c r="BZ375" s="9">
        <f t="shared" si="1088"/>
        <v>63.5</v>
      </c>
      <c r="CA375" s="9">
        <f t="shared" si="1089"/>
        <v>86.994999999999976</v>
      </c>
      <c r="CB375" s="9">
        <f t="shared" si="1233"/>
        <v>2.0967086203206882</v>
      </c>
      <c r="CC375" s="40">
        <f t="shared" si="1111"/>
        <v>20</v>
      </c>
      <c r="CD375" s="9">
        <f t="shared" si="1090"/>
        <v>0</v>
      </c>
      <c r="CE375" s="9">
        <f t="shared" si="1091"/>
        <v>0</v>
      </c>
      <c r="CF375" s="9">
        <f t="shared" si="1092"/>
        <v>1</v>
      </c>
      <c r="CG375" s="9">
        <f t="shared" si="1093"/>
        <v>0.68</v>
      </c>
      <c r="CH375" s="9">
        <f t="shared" si="1234"/>
        <v>1.3707728502186465</v>
      </c>
      <c r="CI375" s="9">
        <f t="shared" si="1235"/>
        <v>2.8741112515549956</v>
      </c>
      <c r="CJ375" s="40">
        <v>1</v>
      </c>
      <c r="CK375" s="9">
        <f t="shared" si="1236"/>
        <v>253.56559105718793</v>
      </c>
      <c r="CM375" s="4">
        <f t="shared" si="1094"/>
        <v>2.934133580701908</v>
      </c>
      <c r="CN375" s="4">
        <f t="shared" si="1095"/>
        <v>0.5633106192111631</v>
      </c>
      <c r="CO375" s="4">
        <f t="shared" si="1376"/>
        <v>1.4196953239300236</v>
      </c>
      <c r="CP375" s="4">
        <f t="shared" si="1096"/>
        <v>2.4750448366435061</v>
      </c>
      <c r="CQ375" s="4">
        <f t="shared" si="1324"/>
        <v>0.98139244277365356</v>
      </c>
      <c r="CR375" s="4">
        <f t="shared" si="1325"/>
        <v>0.97894457082747688</v>
      </c>
      <c r="CS375" s="4">
        <f t="shared" si="1377"/>
        <v>1.4691556370667194</v>
      </c>
      <c r="CT375" s="4">
        <f t="shared" si="1112"/>
        <v>0</v>
      </c>
      <c r="CU375" s="4">
        <f t="shared" si="1391"/>
        <v>2.934133580701908</v>
      </c>
      <c r="CV375" s="4">
        <f t="shared" si="1391"/>
        <v>0.5633106192111631</v>
      </c>
      <c r="CW375" s="4">
        <f t="shared" si="1392"/>
        <v>2.4750448366435061</v>
      </c>
      <c r="CX375" s="4">
        <f t="shared" si="1254"/>
        <v>1.4691556370667194</v>
      </c>
      <c r="CY375" s="4">
        <f t="shared" si="1393"/>
        <v>0.98139244277365356</v>
      </c>
      <c r="CZ375" s="4">
        <f t="shared" si="1393"/>
        <v>0.97894457082747688</v>
      </c>
      <c r="DI375" s="4">
        <f t="shared" si="1097"/>
        <v>112.014</v>
      </c>
      <c r="DL375" s="4">
        <f t="shared" si="1286"/>
        <v>1.2884631338180772E-5</v>
      </c>
      <c r="DM375" s="4">
        <f t="shared" si="1287"/>
        <v>9.7201649178311715</v>
      </c>
      <c r="DN375" s="4">
        <f t="shared" si="1288"/>
        <v>0.23574782794831436</v>
      </c>
      <c r="DO375" s="4">
        <f t="shared" si="1289"/>
        <v>5.4532161660447596</v>
      </c>
      <c r="DP375" s="4">
        <f t="shared" si="1290"/>
        <v>7.8831319965935673</v>
      </c>
      <c r="DQ375" s="4">
        <f t="shared" si="1291"/>
        <v>9.5570432309997315</v>
      </c>
      <c r="DR375" s="38">
        <f t="shared" si="1318"/>
        <v>639.48546936314347</v>
      </c>
      <c r="DS375" s="4">
        <f t="shared" si="1292"/>
        <v>1.0000968975354467</v>
      </c>
      <c r="DT375" s="4">
        <f t="shared" si="1293"/>
        <v>3.7549966711037173</v>
      </c>
      <c r="DU375" s="4">
        <f t="shared" si="1294"/>
        <v>441.67813764040881</v>
      </c>
      <c r="DY375" s="4">
        <f t="shared" si="1295"/>
        <v>0.85</v>
      </c>
      <c r="DZ375" s="4">
        <f t="shared" si="1296"/>
        <v>0.7</v>
      </c>
      <c r="EA375" s="4">
        <f t="shared" si="1319"/>
        <v>1</v>
      </c>
      <c r="EB375" s="4">
        <f t="shared" si="1297"/>
        <v>0.7</v>
      </c>
      <c r="ED375" s="4">
        <f t="shared" si="1320"/>
        <v>641.08451652790632</v>
      </c>
      <c r="EE375" s="25">
        <f t="shared" si="1321"/>
        <v>435.32806554725613</v>
      </c>
      <c r="EG375" s="4">
        <f t="shared" si="1213"/>
        <v>0.59499999999999997</v>
      </c>
      <c r="EH375" s="4">
        <f t="shared" si="1322"/>
        <v>9.7201649178311715</v>
      </c>
      <c r="EK375" s="4">
        <f t="shared" si="1298"/>
        <v>59.610572153771514</v>
      </c>
      <c r="EL375" s="4">
        <f t="shared" si="1299"/>
        <v>3.7549966711037173</v>
      </c>
      <c r="EM375" s="4">
        <f t="shared" si="1300"/>
        <v>7.4245733565830904E-2</v>
      </c>
      <c r="EP375" s="4">
        <f t="shared" si="1113"/>
        <v>7.4245733565830904E-2</v>
      </c>
      <c r="EQ375" s="4">
        <f t="shared" si="1237"/>
        <v>0.23535440876089098</v>
      </c>
      <c r="ER375" s="4">
        <f t="shared" si="1301"/>
        <v>5.4495741814201901</v>
      </c>
      <c r="ES375" s="4">
        <f t="shared" si="1098"/>
        <v>7.8818808394350324</v>
      </c>
      <c r="ET375" s="4">
        <f t="shared" si="1302"/>
        <v>24.399927846228479</v>
      </c>
      <c r="EU375" s="4">
        <f t="shared" si="1303"/>
        <v>28.003500000000003</v>
      </c>
      <c r="EV375" s="4">
        <f t="shared" si="1238"/>
        <v>1.2884631338180774E-5</v>
      </c>
      <c r="EW375" s="4">
        <f t="shared" si="1099"/>
        <v>9.5571050406841334</v>
      </c>
      <c r="EX375" s="4">
        <f t="shared" si="1250"/>
        <v>639.42351080084018</v>
      </c>
      <c r="FG375" s="23">
        <f t="shared" si="1143"/>
        <v>2.2000000000000002</v>
      </c>
      <c r="FH375" s="23">
        <f t="shared" si="1143"/>
        <v>0.6</v>
      </c>
      <c r="FI375" s="23">
        <f t="shared" si="1382"/>
        <v>1.6</v>
      </c>
      <c r="FJ375" s="23">
        <f t="shared" si="1144"/>
        <v>2.2000000000000002</v>
      </c>
      <c r="FK375" s="23">
        <f t="shared" si="1144"/>
        <v>1</v>
      </c>
      <c r="FL375" s="23">
        <f t="shared" si="1144"/>
        <v>1</v>
      </c>
      <c r="FM375" s="23">
        <f t="shared" si="1330"/>
        <v>0</v>
      </c>
      <c r="FN375" s="23"/>
      <c r="FX375" s="4">
        <f t="shared" si="1200"/>
        <v>1</v>
      </c>
      <c r="FY375" s="4">
        <f t="shared" si="1258"/>
        <v>0.5</v>
      </c>
      <c r="FZ375" s="4">
        <f t="shared" si="1201"/>
        <v>0</v>
      </c>
      <c r="GA375" s="4">
        <f t="shared" si="1202"/>
        <v>427.17476015650402</v>
      </c>
    </row>
    <row r="376" spans="1:183" ht="12" customHeight="1" x14ac:dyDescent="0.3">
      <c r="A376" s="25">
        <v>358</v>
      </c>
      <c r="B376" s="4" t="s">
        <v>605</v>
      </c>
      <c r="C376" s="4">
        <v>2016</v>
      </c>
      <c r="D376" s="4" t="s">
        <v>309</v>
      </c>
      <c r="E376" s="24" t="s">
        <v>673</v>
      </c>
      <c r="F376" s="7" t="s">
        <v>523</v>
      </c>
      <c r="G376" s="38">
        <f t="shared" si="1394"/>
        <v>958.62068965517244</v>
      </c>
      <c r="H376" s="38">
        <f>3.81*25.4</f>
        <v>96.774000000000001</v>
      </c>
      <c r="I376" s="4">
        <f t="shared" si="1100"/>
        <v>96.774000000000001</v>
      </c>
      <c r="J376" s="38">
        <f t="shared" si="1395"/>
        <v>33.172413793103445</v>
      </c>
      <c r="K376" s="38">
        <f t="shared" si="1396"/>
        <v>15.875</v>
      </c>
      <c r="L376" s="7">
        <f t="shared" si="1102"/>
        <v>6.0960000000000001</v>
      </c>
      <c r="M376" s="7">
        <f t="shared" si="1103"/>
        <v>6.0960000000000001</v>
      </c>
      <c r="N376" s="38">
        <f>13*25.4</f>
        <v>330.2</v>
      </c>
      <c r="O376" s="38">
        <f>2.5*25.4</f>
        <v>63.5</v>
      </c>
      <c r="P376" s="39">
        <f>5.35*25.4</f>
        <v>135.88999999999999</v>
      </c>
      <c r="Q376" s="7">
        <f t="shared" si="1104"/>
        <v>171.45</v>
      </c>
      <c r="R376" s="38">
        <v>2</v>
      </c>
      <c r="S376" s="4">
        <f t="shared" si="1390"/>
        <v>133.35</v>
      </c>
      <c r="T376" s="7">
        <f t="shared" si="1105"/>
        <v>4.5</v>
      </c>
      <c r="U376" s="7">
        <f t="shared" si="1247"/>
        <v>4.5</v>
      </c>
      <c r="V376" s="38">
        <v>4</v>
      </c>
      <c r="W376" s="4">
        <f t="shared" si="1106"/>
        <v>4</v>
      </c>
      <c r="X376" s="4">
        <f t="shared" si="1107"/>
        <v>5</v>
      </c>
      <c r="Y376" s="7">
        <f t="shared" si="1108"/>
        <v>35.497579142809165</v>
      </c>
      <c r="AB376" s="38">
        <f t="shared" si="1151"/>
        <v>437.93103448275866</v>
      </c>
      <c r="AC376" s="4">
        <v>63.5</v>
      </c>
      <c r="AD376" s="4">
        <f t="shared" si="1279"/>
        <v>0.70984876435598188</v>
      </c>
      <c r="AE376" s="38">
        <f>0.375*25.4</f>
        <v>9.5249999999999986</v>
      </c>
      <c r="AF376" s="38">
        <v>4</v>
      </c>
      <c r="AG376" s="39">
        <f>3.5*25.4</f>
        <v>88.899999999999991</v>
      </c>
      <c r="AH376" s="39">
        <v>2</v>
      </c>
      <c r="AI376" s="39">
        <f t="shared" ref="AI376:AI379" si="1397">AH376-1</f>
        <v>1</v>
      </c>
      <c r="AJ376" s="7"/>
      <c r="AK376" s="4">
        <f t="shared" si="1109"/>
        <v>96.774000000000001</v>
      </c>
      <c r="AL376" s="4">
        <f t="shared" si="1304"/>
        <v>1.137357830271216</v>
      </c>
      <c r="AM376" s="4">
        <f t="shared" si="1305"/>
        <v>138.50939444174517</v>
      </c>
      <c r="AN376" s="4">
        <f t="shared" si="1306"/>
        <v>0.84763779527559047</v>
      </c>
      <c r="AO376" s="4">
        <v>1.25</v>
      </c>
      <c r="AP376" s="4">
        <f t="shared" si="1221"/>
        <v>2.5</v>
      </c>
      <c r="AQ376" s="38">
        <f t="shared" ref="AQ376:AQ439" si="1398">AL376*AN376*AO376*AP376*AM376</f>
        <v>417.28876052172291</v>
      </c>
      <c r="AR376" s="38">
        <f t="shared" si="1307"/>
        <v>417.28876052172291</v>
      </c>
      <c r="AS376" s="38">
        <f t="shared" si="1308"/>
        <v>3.0972241539071201</v>
      </c>
      <c r="AT376" s="38">
        <f t="shared" si="1230"/>
        <v>417.28876052172325</v>
      </c>
      <c r="AU376" s="38">
        <f t="shared" si="1199"/>
        <v>0.99999999999999922</v>
      </c>
      <c r="AV376" s="38">
        <f t="shared" si="1231"/>
        <v>1.4309118882792864</v>
      </c>
      <c r="AW376" s="4">
        <f t="shared" si="1232"/>
        <v>0</v>
      </c>
      <c r="AX376" s="4">
        <f t="shared" si="1110"/>
        <v>184.79060802593693</v>
      </c>
      <c r="AY376" s="4">
        <f t="shared" ref="AY376:AY439" si="1399">MIN(0.6+0.4*(U376/T376),2)</f>
        <v>1</v>
      </c>
      <c r="AZ376" s="38">
        <f t="shared" si="1242"/>
        <v>597.10344827586198</v>
      </c>
      <c r="BA376" s="4">
        <f t="shared" ref="BA376:BA439" si="1400">MAX(1-0.7*W376/5,0.3)</f>
        <v>0.44000000000000006</v>
      </c>
      <c r="BB376" s="4">
        <f t="shared" ref="BB376:BB439" si="1401">BA376*G376*I376/(G376*K376/2.75/J376^0.5)</f>
        <v>42.483360785162901</v>
      </c>
      <c r="BC376" s="4">
        <f t="shared" ref="BC376:BC439" si="1402">AZ376+BB376</f>
        <v>639.58680906102484</v>
      </c>
      <c r="BE376" s="4">
        <f t="shared" si="1222"/>
        <v>1.5</v>
      </c>
      <c r="BF376" s="4">
        <f t="shared" si="1225"/>
        <v>417.17571044973516</v>
      </c>
      <c r="BH376" s="4">
        <f t="shared" si="1248"/>
        <v>572.6952278900693</v>
      </c>
      <c r="BI376" s="4">
        <f t="shared" si="1184"/>
        <v>0</v>
      </c>
      <c r="BJ376" s="4">
        <f t="shared" si="1249"/>
        <v>0</v>
      </c>
      <c r="BK376" s="4">
        <f t="shared" si="1309"/>
        <v>63.5</v>
      </c>
      <c r="BL376" s="4">
        <f t="shared" si="1310"/>
        <v>63.5</v>
      </c>
      <c r="BM376" s="4">
        <f t="shared" si="1311"/>
        <v>133.35</v>
      </c>
      <c r="BN376" s="4">
        <f t="shared" si="1312"/>
        <v>71.4375</v>
      </c>
      <c r="BO376" s="4">
        <f t="shared" si="1313"/>
        <v>1.1100000000000001</v>
      </c>
      <c r="BP376" s="25">
        <f t="shared" si="1314"/>
        <v>4</v>
      </c>
      <c r="BR376" s="4">
        <f t="shared" ref="BR376:BR439" si="1403">IF(Q376=0,O376,MIN(Q376/2,O376))</f>
        <v>63.5</v>
      </c>
      <c r="BV376" s="9"/>
      <c r="BX376" s="9"/>
      <c r="BY376" s="9"/>
      <c r="BZ376" s="9">
        <f t="shared" ref="BZ376:BZ439" si="1404">IF(Q376=0,MIN(O376,P376),MIN(Q376/2,O376,P376))</f>
        <v>63.5</v>
      </c>
      <c r="CA376" s="9">
        <f t="shared" ref="CA376:CA439" si="1405">MAX(Q376/2,O376)</f>
        <v>85.724999999999994</v>
      </c>
      <c r="CB376" s="9">
        <f t="shared" si="1233"/>
        <v>2.0920885420600022</v>
      </c>
      <c r="CC376" s="40">
        <f t="shared" si="1111"/>
        <v>20</v>
      </c>
      <c r="CD376" s="9">
        <f t="shared" ref="CD376:CD439" si="1406">MIN(PI()*AE376^2/4*AF376*2/R376/K376/MAX(0.01,AG376),0.05)</f>
        <v>0.05</v>
      </c>
      <c r="CE376" s="9">
        <f t="shared" ref="CE376:CE439" si="1407">MAX(0,CC376*(CD376-0.5/50))</f>
        <v>0.8</v>
      </c>
      <c r="CF376" s="9">
        <f t="shared" ref="CF376:CF439" si="1408">MIN(1,(25/K376)^0.3)</f>
        <v>1</v>
      </c>
      <c r="CG376" s="9">
        <f t="shared" ref="CG376:CG439" si="1409">IF(G376&gt;=800,0.68,IF(G376&gt;=700,0.75-(G376-700)*0.07/100,IF(G376&gt;=600,0.85-(G376-600)*0.1/100,IF(G376&gt;=500,1-(G376-500)*0.15/100,1.2-(G376-400)*0.2/100))))</f>
        <v>0.68</v>
      </c>
      <c r="CH376" s="9">
        <f t="shared" si="1234"/>
        <v>1.3707728502186465</v>
      </c>
      <c r="CI376" s="9">
        <f t="shared" si="1235"/>
        <v>3.4269321255466161</v>
      </c>
      <c r="CJ376" s="40">
        <v>1</v>
      </c>
      <c r="CK376" s="9">
        <f t="shared" si="1236"/>
        <v>289.17824048212566</v>
      </c>
      <c r="CM376" s="4">
        <f t="shared" ref="CM376:CM439" si="1410">AB376/AX376</f>
        <v>2.3698771228746178</v>
      </c>
      <c r="CN376" s="4">
        <f t="shared" ref="CN376:CN439" si="1411">AB376/BC376</f>
        <v>0.68470929712525452</v>
      </c>
      <c r="CO376" s="4">
        <f t="shared" si="1376"/>
        <v>1.0497519954137509</v>
      </c>
      <c r="CP376" s="4">
        <f t="shared" ref="CP376:CP439" si="1412">AB376/CK376</f>
        <v>1.5143982955032453</v>
      </c>
      <c r="CQ376" s="4">
        <f t="shared" si="1324"/>
        <v>0.70984876435598188</v>
      </c>
      <c r="CR376" s="4">
        <f t="shared" si="1325"/>
        <v>0.74462905197182427</v>
      </c>
      <c r="CS376" s="4">
        <f t="shared" si="1377"/>
        <v>1.1002142240916057</v>
      </c>
      <c r="CT376" s="4">
        <f t="shared" si="1112"/>
        <v>4</v>
      </c>
      <c r="DA376" s="4">
        <f t="shared" ref="DA376:DB379" si="1413">CM376</f>
        <v>2.3698771228746178</v>
      </c>
      <c r="DB376" s="4">
        <f t="shared" si="1413"/>
        <v>0.68470929712525452</v>
      </c>
      <c r="DC376" s="4">
        <f t="shared" ref="DC376:DC379" si="1414">CP376</f>
        <v>1.5143982955032453</v>
      </c>
      <c r="DD376" s="4">
        <f t="shared" ref="DD376:DD379" si="1415">CS376</f>
        <v>1.1002142240916057</v>
      </c>
      <c r="DE376" s="4">
        <f t="shared" ref="DE376:DF379" si="1416">CQ376</f>
        <v>0.70984876435598188</v>
      </c>
      <c r="DF376" s="4">
        <f t="shared" si="1416"/>
        <v>0.74462905197182427</v>
      </c>
      <c r="DI376" s="4">
        <f t="shared" ref="DI376:DI439" si="1417">I376</f>
        <v>96.774000000000001</v>
      </c>
      <c r="DL376" s="4">
        <f t="shared" si="1286"/>
        <v>1.113162027176162E-5</v>
      </c>
      <c r="DM376" s="4">
        <f t="shared" si="1287"/>
        <v>9.7201649178311715</v>
      </c>
      <c r="DN376" s="4">
        <f t="shared" si="1288"/>
        <v>0.43437541282622311</v>
      </c>
      <c r="DO376" s="4">
        <f t="shared" si="1289"/>
        <v>6.9633740924484089</v>
      </c>
      <c r="DP376" s="4">
        <f t="shared" si="1290"/>
        <v>8.4551871299038659</v>
      </c>
      <c r="DQ376" s="4">
        <f t="shared" si="1291"/>
        <v>9.5737606327462448</v>
      </c>
      <c r="DR376" s="38">
        <f t="shared" si="1318"/>
        <v>616.93568612474292</v>
      </c>
      <c r="DS376" s="4">
        <f t="shared" si="1292"/>
        <v>1.0000958932746935</v>
      </c>
      <c r="DT376" s="4">
        <f t="shared" si="1293"/>
        <v>2.2360679774997898</v>
      </c>
      <c r="DU376" s="4">
        <f t="shared" si="1294"/>
        <v>417.28876052172325</v>
      </c>
      <c r="DY376" s="4">
        <f t="shared" si="1295"/>
        <v>0.85</v>
      </c>
      <c r="DZ376" s="4">
        <f t="shared" si="1296"/>
        <v>0.7</v>
      </c>
      <c r="EA376" s="4">
        <f t="shared" si="1319"/>
        <v>0.85899999999999999</v>
      </c>
      <c r="EB376" s="4">
        <f t="shared" si="1297"/>
        <v>0.7</v>
      </c>
      <c r="ED376" s="4">
        <f t="shared" si="1320"/>
        <v>588.11972662507583</v>
      </c>
      <c r="EE376" s="25">
        <f t="shared" si="1321"/>
        <v>410.35735060777938</v>
      </c>
      <c r="EG376" s="4">
        <f t="shared" si="1213"/>
        <v>0.59499999999999997</v>
      </c>
      <c r="EH376" s="4">
        <f t="shared" si="1322"/>
        <v>9.7201649178311715</v>
      </c>
      <c r="EK376" s="4">
        <f t="shared" si="1298"/>
        <v>35.497579142809165</v>
      </c>
      <c r="EL376" s="4">
        <f t="shared" si="1299"/>
        <v>2.2360679774997898</v>
      </c>
      <c r="EM376" s="4">
        <f t="shared" si="1300"/>
        <v>0.13680092601028848</v>
      </c>
      <c r="EP376" s="4">
        <f t="shared" si="1113"/>
        <v>0.13680092601028848</v>
      </c>
      <c r="EQ376" s="4">
        <f t="shared" si="1237"/>
        <v>0.43365052121878805</v>
      </c>
      <c r="ER376" s="4">
        <f t="shared" si="1301"/>
        <v>6.9587235338408613</v>
      </c>
      <c r="ES376" s="4">
        <f t="shared" ref="ES376:ES439" si="1418">EH376/1.4*(1-EQ376^1.4)/(1-EQ376)</f>
        <v>8.4532747276059581</v>
      </c>
      <c r="ET376" s="4">
        <f t="shared" si="1302"/>
        <v>37.082920857190835</v>
      </c>
      <c r="EU376" s="4">
        <f t="shared" si="1303"/>
        <v>24.1935</v>
      </c>
      <c r="EV376" s="4">
        <f t="shared" si="1238"/>
        <v>1.113162027176162E-5</v>
      </c>
      <c r="EW376" s="4">
        <f t="shared" ref="EW376:EW439" si="1419">MAX(0.5*EH376, (1-2*EV376*(EK376*ER376+ET376*ES376))/(1/EH376+EV376*EU376))</f>
        <v>9.5738115705862192</v>
      </c>
      <c r="EX376" s="4">
        <f t="shared" si="1250"/>
        <v>616.87653181402572</v>
      </c>
      <c r="FG376" s="23">
        <f t="shared" si="1143"/>
        <v>2.2000000000000002</v>
      </c>
      <c r="FH376" s="23">
        <f t="shared" si="1143"/>
        <v>0.8</v>
      </c>
      <c r="FI376" s="23">
        <f t="shared" si="1382"/>
        <v>1.2</v>
      </c>
      <c r="FJ376" s="23">
        <f t="shared" si="1144"/>
        <v>1.6</v>
      </c>
      <c r="FK376" s="23">
        <f t="shared" si="1144"/>
        <v>0.8</v>
      </c>
      <c r="FL376" s="23">
        <f t="shared" si="1144"/>
        <v>0.8</v>
      </c>
      <c r="FM376" s="23">
        <f t="shared" si="1330"/>
        <v>1</v>
      </c>
      <c r="FN376" s="23"/>
      <c r="FX376" s="4">
        <f t="shared" si="1200"/>
        <v>1</v>
      </c>
      <c r="FY376" s="4">
        <f t="shared" si="1258"/>
        <v>0.46358941059918601</v>
      </c>
      <c r="FZ376" s="4">
        <f t="shared" si="1201"/>
        <v>0.3</v>
      </c>
      <c r="GA376" s="4">
        <f t="shared" si="1202"/>
        <v>398.04160398338547</v>
      </c>
    </row>
    <row r="377" spans="1:183" ht="12" customHeight="1" x14ac:dyDescent="0.3">
      <c r="A377" s="25">
        <v>359</v>
      </c>
      <c r="B377" s="4" t="s">
        <v>605</v>
      </c>
      <c r="C377" s="4">
        <v>2016</v>
      </c>
      <c r="D377" s="4" t="s">
        <v>309</v>
      </c>
      <c r="E377" s="24" t="s">
        <v>673</v>
      </c>
      <c r="F377" s="7" t="s">
        <v>524</v>
      </c>
      <c r="G377" s="38">
        <f t="shared" si="1394"/>
        <v>958.62068965517244</v>
      </c>
      <c r="H377" s="38">
        <f>4.09*25.4</f>
        <v>103.886</v>
      </c>
      <c r="I377" s="4">
        <f t="shared" ref="I377:I440" si="1420">H377</f>
        <v>103.886</v>
      </c>
      <c r="J377" s="38">
        <f t="shared" si="1395"/>
        <v>33.172413793103445</v>
      </c>
      <c r="K377" s="38">
        <f t="shared" si="1396"/>
        <v>15.875</v>
      </c>
      <c r="L377" s="7">
        <f t="shared" ref="L377:L440" si="1421">H377/K377</f>
        <v>6.5439999999999996</v>
      </c>
      <c r="M377" s="7">
        <f t="shared" ref="M377:M440" si="1422">I377/K377</f>
        <v>6.5439999999999996</v>
      </c>
      <c r="N377" s="38">
        <f>13.1*25.4</f>
        <v>332.73999999999995</v>
      </c>
      <c r="O377" s="38">
        <f>2.6*25.4</f>
        <v>66.039999999999992</v>
      </c>
      <c r="P377" s="39">
        <f>5.25*25.4</f>
        <v>133.35</v>
      </c>
      <c r="Q377" s="7">
        <f t="shared" ref="Q377:Q440" si="1423">(N377-R377*K377-2*O377)/(R377-1)</f>
        <v>168.90999999999997</v>
      </c>
      <c r="R377" s="38">
        <v>2</v>
      </c>
      <c r="S377" s="4">
        <f t="shared" si="1390"/>
        <v>133.35</v>
      </c>
      <c r="T377" s="7">
        <f t="shared" ref="T377:T440" si="1424">MIN(O377/K377+0.5, Q377/2/K377+0.5)</f>
        <v>4.6599999999999993</v>
      </c>
      <c r="U377" s="7">
        <f t="shared" si="1247"/>
        <v>4.6599999999999993</v>
      </c>
      <c r="V377" s="38">
        <v>13.1</v>
      </c>
      <c r="W377" s="4">
        <f t="shared" ref="W377:W440" si="1425">V377</f>
        <v>13.1</v>
      </c>
      <c r="X377" s="4">
        <f t="shared" ref="X377:X440" si="1426">W377+1</f>
        <v>14.1</v>
      </c>
      <c r="Y377" s="7">
        <f t="shared" ref="Y377:Y440" si="1427">K377*X377^0.5</f>
        <v>59.610572153771514</v>
      </c>
      <c r="AB377" s="38">
        <f t="shared" si="1151"/>
        <v>642.75862068965523</v>
      </c>
      <c r="AC377" s="4">
        <v>93.2</v>
      </c>
      <c r="AD377" s="4">
        <f t="shared" si="1279"/>
        <v>1.0481130483497585</v>
      </c>
      <c r="AE377" s="38">
        <f t="shared" ref="AE377:AE379" si="1428">0.375*25.4</f>
        <v>9.5249999999999986</v>
      </c>
      <c r="AF377" s="38">
        <v>4</v>
      </c>
      <c r="AG377" s="39">
        <f>3.5*25.4</f>
        <v>88.899999999999991</v>
      </c>
      <c r="AH377" s="39">
        <v>2</v>
      </c>
      <c r="AI377" s="39">
        <f t="shared" si="1397"/>
        <v>1</v>
      </c>
      <c r="AJ377" s="7"/>
      <c r="AK377" s="4">
        <f t="shared" ref="AK377:AK440" si="1429">H377</f>
        <v>103.886</v>
      </c>
      <c r="AL377" s="4">
        <f t="shared" si="1304"/>
        <v>1.0676446617766908</v>
      </c>
      <c r="AM377" s="4">
        <f t="shared" si="1305"/>
        <v>154.05533015486256</v>
      </c>
      <c r="AN377" s="4">
        <f t="shared" si="1306"/>
        <v>0.84242053789731042</v>
      </c>
      <c r="AO377" s="4">
        <v>1.25</v>
      </c>
      <c r="AP377" s="4">
        <f t="shared" si="1221"/>
        <v>2.5</v>
      </c>
      <c r="AQ377" s="38">
        <f t="shared" si="1398"/>
        <v>432.99454987892017</v>
      </c>
      <c r="AR377" s="38">
        <f t="shared" si="1307"/>
        <v>432.99454987892017</v>
      </c>
      <c r="AS377" s="38">
        <f t="shared" si="1308"/>
        <v>3.0972241539071201</v>
      </c>
      <c r="AT377" s="38">
        <f t="shared" si="1230"/>
        <v>432.99454987892028</v>
      </c>
      <c r="AU377" s="38">
        <f t="shared" si="1199"/>
        <v>0.99999999999999978</v>
      </c>
      <c r="AV377" s="38">
        <f t="shared" si="1231"/>
        <v>2.5843194991058414</v>
      </c>
      <c r="AW377" s="4">
        <f t="shared" si="1232"/>
        <v>0</v>
      </c>
      <c r="AX377" s="4">
        <f t="shared" ref="AX377:AX440" si="1430">I377/K377*J377^0.5/0.19</f>
        <v>198.37102016432598</v>
      </c>
      <c r="AY377" s="4">
        <f t="shared" si="1399"/>
        <v>1</v>
      </c>
      <c r="AZ377" s="38">
        <f t="shared" si="1242"/>
        <v>1118.9962582586504</v>
      </c>
      <c r="BA377" s="4">
        <f t="shared" si="1400"/>
        <v>0.3</v>
      </c>
      <c r="BB377" s="4">
        <f t="shared" si="1401"/>
        <v>31.094657410758099</v>
      </c>
      <c r="BC377" s="4">
        <f t="shared" si="1402"/>
        <v>1150.0909156694086</v>
      </c>
      <c r="BE377" s="4">
        <f t="shared" si="1222"/>
        <v>1.5</v>
      </c>
      <c r="BF377" s="4">
        <f t="shared" si="1225"/>
        <v>428.78696282805788</v>
      </c>
      <c r="BH377" s="4">
        <f t="shared" si="1248"/>
        <v>1073.2542559953574</v>
      </c>
      <c r="BI377" s="4">
        <f t="shared" si="1184"/>
        <v>0</v>
      </c>
      <c r="BJ377" s="4">
        <f t="shared" si="1249"/>
        <v>0</v>
      </c>
      <c r="BK377" s="4">
        <f t="shared" si="1309"/>
        <v>66.039999999999992</v>
      </c>
      <c r="BL377" s="4">
        <f t="shared" si="1310"/>
        <v>66.039999999999992</v>
      </c>
      <c r="BM377" s="4">
        <f t="shared" si="1311"/>
        <v>133.35</v>
      </c>
      <c r="BN377" s="4">
        <f t="shared" si="1312"/>
        <v>73.977499999999992</v>
      </c>
      <c r="BO377" s="4">
        <f t="shared" si="1313"/>
        <v>1.101923076923077</v>
      </c>
      <c r="BP377" s="25">
        <f t="shared" si="1314"/>
        <v>4</v>
      </c>
      <c r="BR377" s="4">
        <f t="shared" si="1403"/>
        <v>66.039999999999992</v>
      </c>
      <c r="BV377" s="9"/>
      <c r="BX377" s="9"/>
      <c r="BY377" s="9"/>
      <c r="BZ377" s="9">
        <f t="shared" si="1404"/>
        <v>66.039999999999992</v>
      </c>
      <c r="CA377" s="9">
        <f t="shared" si="1405"/>
        <v>84.454999999999984</v>
      </c>
      <c r="CB377" s="9">
        <f t="shared" si="1233"/>
        <v>2.116261887080392</v>
      </c>
      <c r="CC377" s="40">
        <f t="shared" ref="CC377:CC440" si="1431">IF(AG377&gt;1,20,0)</f>
        <v>20</v>
      </c>
      <c r="CD377" s="9">
        <f t="shared" si="1406"/>
        <v>0.05</v>
      </c>
      <c r="CE377" s="9">
        <f t="shared" si="1407"/>
        <v>0.8</v>
      </c>
      <c r="CF377" s="9">
        <f t="shared" si="1408"/>
        <v>1</v>
      </c>
      <c r="CG377" s="9">
        <f t="shared" si="1409"/>
        <v>0.68</v>
      </c>
      <c r="CH377" s="9">
        <f t="shared" si="1234"/>
        <v>1.3707728502186465</v>
      </c>
      <c r="CI377" s="9">
        <f t="shared" si="1235"/>
        <v>3.4269321255466161</v>
      </c>
      <c r="CJ377" s="40">
        <v>1</v>
      </c>
      <c r="CK377" s="9">
        <f t="shared" si="1236"/>
        <v>295.31930285110519</v>
      </c>
      <c r="CM377" s="4">
        <f t="shared" si="1410"/>
        <v>3.2401840760672038</v>
      </c>
      <c r="CN377" s="4">
        <f t="shared" si="1411"/>
        <v>0.55887635658398238</v>
      </c>
      <c r="CO377" s="4">
        <f t="shared" si="1376"/>
        <v>1.4990162397903857</v>
      </c>
      <c r="CP377" s="4">
        <f t="shared" si="1412"/>
        <v>2.1764869904684927</v>
      </c>
      <c r="CQ377" s="4">
        <f t="shared" si="1324"/>
        <v>1.0481130483497585</v>
      </c>
      <c r="CR377" s="4">
        <f t="shared" si="1325"/>
        <v>1.0414859751276166</v>
      </c>
      <c r="CS377" s="4">
        <f t="shared" si="1377"/>
        <v>1.5042537753350267</v>
      </c>
      <c r="CT377" s="4">
        <f t="shared" ref="CT377:CT440" si="1432">AF377</f>
        <v>4</v>
      </c>
      <c r="DA377" s="4">
        <f t="shared" si="1413"/>
        <v>3.2401840760672038</v>
      </c>
      <c r="DB377" s="4">
        <f t="shared" si="1413"/>
        <v>0.55887635658398238</v>
      </c>
      <c r="DC377" s="4">
        <f t="shared" si="1414"/>
        <v>2.1764869904684927</v>
      </c>
      <c r="DD377" s="4">
        <f t="shared" si="1415"/>
        <v>1.5042537753350267</v>
      </c>
      <c r="DE377" s="4">
        <f t="shared" si="1416"/>
        <v>1.0481130483497585</v>
      </c>
      <c r="DF377" s="4">
        <f t="shared" si="1416"/>
        <v>1.0414859751276166</v>
      </c>
      <c r="DI377" s="4">
        <f t="shared" si="1417"/>
        <v>103.886</v>
      </c>
      <c r="DL377" s="4">
        <f t="shared" si="1286"/>
        <v>1.1949692102757226E-5</v>
      </c>
      <c r="DM377" s="4">
        <f t="shared" si="1287"/>
        <v>9.7201649178311715</v>
      </c>
      <c r="DN377" s="4">
        <f t="shared" si="1288"/>
        <v>0.23111292126149946</v>
      </c>
      <c r="DO377" s="4">
        <f t="shared" si="1289"/>
        <v>5.4100754798522344</v>
      </c>
      <c r="DP377" s="4">
        <f t="shared" si="1290"/>
        <v>7.8683545195642743</v>
      </c>
      <c r="DQ377" s="4">
        <f t="shared" si="1291"/>
        <v>9.5828812997624286</v>
      </c>
      <c r="DR377" s="38">
        <f t="shared" si="1318"/>
        <v>613.25314258960043</v>
      </c>
      <c r="DS377" s="4">
        <f t="shared" si="1292"/>
        <v>1.0000971921120796</v>
      </c>
      <c r="DT377" s="4">
        <f t="shared" si="1293"/>
        <v>3.7549966711037173</v>
      </c>
      <c r="DU377" s="4">
        <f t="shared" si="1294"/>
        <v>432.99454987892028</v>
      </c>
      <c r="DY377" s="4">
        <f t="shared" si="1295"/>
        <v>0.85</v>
      </c>
      <c r="DZ377" s="4">
        <f t="shared" si="1296"/>
        <v>0.7</v>
      </c>
      <c r="EA377" s="4">
        <f t="shared" si="1319"/>
        <v>0.85899999999999999</v>
      </c>
      <c r="EB377" s="4">
        <f t="shared" si="1297"/>
        <v>0.7</v>
      </c>
      <c r="ED377" s="4">
        <f t="shared" si="1320"/>
        <v>617.1553300186265</v>
      </c>
      <c r="EE377" s="25">
        <f t="shared" si="1321"/>
        <v>426.32905235176491</v>
      </c>
      <c r="EG377" s="4">
        <f t="shared" si="1213"/>
        <v>0.59499999999999997</v>
      </c>
      <c r="EH377" s="4">
        <f t="shared" si="1322"/>
        <v>9.7201649178311715</v>
      </c>
      <c r="EK377" s="4">
        <f t="shared" si="1298"/>
        <v>59.610572153771514</v>
      </c>
      <c r="EL377" s="4">
        <f t="shared" si="1299"/>
        <v>3.7549966711037173</v>
      </c>
      <c r="EM377" s="4">
        <f t="shared" si="1300"/>
        <v>7.2786029567848812E-2</v>
      </c>
      <c r="EP377" s="4">
        <f t="shared" ref="EP377:EP440" si="1433">EM377</f>
        <v>7.2786029567848812E-2</v>
      </c>
      <c r="EQ377" s="4">
        <f t="shared" si="1237"/>
        <v>0.23072723686950719</v>
      </c>
      <c r="ER377" s="4">
        <f t="shared" si="1301"/>
        <v>5.4064623071637818</v>
      </c>
      <c r="ES377" s="4">
        <f t="shared" si="1418"/>
        <v>7.8671211254314866</v>
      </c>
      <c r="ET377" s="4">
        <f t="shared" si="1302"/>
        <v>18.30392784622849</v>
      </c>
      <c r="EU377" s="4">
        <f t="shared" si="1303"/>
        <v>25.971499999999992</v>
      </c>
      <c r="EV377" s="4">
        <f t="shared" si="1238"/>
        <v>1.1949692102757221E-5</v>
      </c>
      <c r="EW377" s="4">
        <f t="shared" si="1419"/>
        <v>9.5829364128552577</v>
      </c>
      <c r="EX377" s="4">
        <f t="shared" si="1250"/>
        <v>613.19354501384703</v>
      </c>
      <c r="FG377" s="23">
        <f t="shared" si="1143"/>
        <v>2.2000000000000002</v>
      </c>
      <c r="FH377" s="23">
        <f t="shared" si="1143"/>
        <v>0.6</v>
      </c>
      <c r="FI377" s="23">
        <f t="shared" si="1382"/>
        <v>1.6</v>
      </c>
      <c r="FJ377" s="23">
        <f t="shared" si="1144"/>
        <v>2.2000000000000002</v>
      </c>
      <c r="FK377" s="23">
        <f t="shared" si="1144"/>
        <v>1.2</v>
      </c>
      <c r="FL377" s="23">
        <f t="shared" si="1144"/>
        <v>1.2</v>
      </c>
      <c r="FM377" s="23">
        <f t="shared" si="1330"/>
        <v>0</v>
      </c>
      <c r="FN377" s="23"/>
      <c r="FX377" s="4">
        <f t="shared" si="1200"/>
        <v>1</v>
      </c>
      <c r="FY377" s="4">
        <f t="shared" si="1258"/>
        <v>0.46358941059918601</v>
      </c>
      <c r="FZ377" s="4">
        <f t="shared" si="1201"/>
        <v>0.3</v>
      </c>
      <c r="GA377" s="4">
        <f t="shared" si="1202"/>
        <v>427.29400532599647</v>
      </c>
    </row>
    <row r="378" spans="1:183" ht="12" customHeight="1" x14ac:dyDescent="0.3">
      <c r="A378" s="25">
        <v>360</v>
      </c>
      <c r="B378" s="4" t="s">
        <v>605</v>
      </c>
      <c r="C378" s="4">
        <v>2016</v>
      </c>
      <c r="D378" s="4" t="s">
        <v>309</v>
      </c>
      <c r="E378" s="24" t="s">
        <v>673</v>
      </c>
      <c r="F378" s="7" t="s">
        <v>525</v>
      </c>
      <c r="G378" s="38">
        <f t="shared" si="1394"/>
        <v>958.62068965517244</v>
      </c>
      <c r="H378" s="38">
        <f>4.16*25.4</f>
        <v>105.664</v>
      </c>
      <c r="I378" s="4">
        <f t="shared" si="1420"/>
        <v>105.664</v>
      </c>
      <c r="J378" s="38">
        <f t="shared" si="1395"/>
        <v>33.172413793103445</v>
      </c>
      <c r="K378" s="38">
        <f t="shared" si="1396"/>
        <v>15.875</v>
      </c>
      <c r="L378" s="7">
        <f t="shared" si="1421"/>
        <v>6.6559999999999997</v>
      </c>
      <c r="M378" s="7">
        <f t="shared" si="1422"/>
        <v>6.6559999999999997</v>
      </c>
      <c r="N378" s="38">
        <f>13.1*25.4</f>
        <v>332.73999999999995</v>
      </c>
      <c r="O378" s="38">
        <f>2.55*25.4</f>
        <v>64.77</v>
      </c>
      <c r="P378" s="39">
        <f>5.1*25.4</f>
        <v>129.54</v>
      </c>
      <c r="Q378" s="7">
        <f t="shared" si="1423"/>
        <v>171.44999999999996</v>
      </c>
      <c r="R378" s="38">
        <v>2</v>
      </c>
      <c r="S378" s="4">
        <f t="shared" si="1390"/>
        <v>133.35</v>
      </c>
      <c r="T378" s="7">
        <f t="shared" si="1424"/>
        <v>4.58</v>
      </c>
      <c r="U378" s="7">
        <f t="shared" si="1247"/>
        <v>4.58</v>
      </c>
      <c r="V378" s="38">
        <v>4</v>
      </c>
      <c r="W378" s="4">
        <f t="shared" si="1425"/>
        <v>4</v>
      </c>
      <c r="X378" s="4">
        <f t="shared" si="1426"/>
        <v>5</v>
      </c>
      <c r="Y378" s="7">
        <f t="shared" si="1427"/>
        <v>35.497579142809165</v>
      </c>
      <c r="AB378" s="38">
        <f t="shared" si="1151"/>
        <v>589.65517241379314</v>
      </c>
      <c r="AC378" s="4">
        <v>85.5</v>
      </c>
      <c r="AD378" s="4">
        <f t="shared" si="1279"/>
        <v>0.90063459723224326</v>
      </c>
      <c r="AE378" s="38">
        <f t="shared" si="1428"/>
        <v>9.5249999999999986</v>
      </c>
      <c r="AF378" s="38">
        <v>10</v>
      </c>
      <c r="AG378" s="39">
        <f>1.75*25.4</f>
        <v>44.449999999999996</v>
      </c>
      <c r="AH378" s="39">
        <v>3</v>
      </c>
      <c r="AI378" s="39">
        <f t="shared" si="1397"/>
        <v>2</v>
      </c>
      <c r="AJ378" s="7"/>
      <c r="AK378" s="4">
        <f t="shared" si="1429"/>
        <v>105.664</v>
      </c>
      <c r="AL378" s="4">
        <f t="shared" si="1304"/>
        <v>1.049679487179487</v>
      </c>
      <c r="AM378" s="4">
        <f t="shared" si="1305"/>
        <v>158.02717010503781</v>
      </c>
      <c r="AN378" s="4">
        <f t="shared" si="1306"/>
        <v>0.83762019230769225</v>
      </c>
      <c r="AO378" s="4">
        <v>1.25</v>
      </c>
      <c r="AP378" s="4">
        <f t="shared" si="1221"/>
        <v>2.5</v>
      </c>
      <c r="AQ378" s="38">
        <f t="shared" si="1398"/>
        <v>434.19581501232227</v>
      </c>
      <c r="AR378" s="38">
        <f t="shared" si="1307"/>
        <v>434.19581501232227</v>
      </c>
      <c r="AS378" s="38">
        <f t="shared" si="1308"/>
        <v>3.0972241539071201</v>
      </c>
      <c r="AT378" s="38">
        <f t="shared" si="1230"/>
        <v>434.1958150123221</v>
      </c>
      <c r="AU378" s="38">
        <f t="shared" si="1199"/>
        <v>1.0000000000000004</v>
      </c>
      <c r="AV378" s="38">
        <f t="shared" si="1231"/>
        <v>1.3996418198374589</v>
      </c>
      <c r="AW378" s="4">
        <f t="shared" si="1232"/>
        <v>0</v>
      </c>
      <c r="AX378" s="4">
        <f t="shared" si="1430"/>
        <v>201.76612319892325</v>
      </c>
      <c r="AY378" s="4">
        <f t="shared" si="1399"/>
        <v>1</v>
      </c>
      <c r="AZ378" s="38">
        <f t="shared" si="1242"/>
        <v>607.71862068965515</v>
      </c>
      <c r="BA378" s="4">
        <f t="shared" si="1400"/>
        <v>0.44000000000000006</v>
      </c>
      <c r="BB378" s="4">
        <f t="shared" si="1401"/>
        <v>46.386031723432467</v>
      </c>
      <c r="BC378" s="4">
        <f t="shared" si="1402"/>
        <v>654.10465241308759</v>
      </c>
      <c r="BE378" s="4">
        <f t="shared" si="1222"/>
        <v>1.5</v>
      </c>
      <c r="BF378" s="4">
        <f t="shared" si="1225"/>
        <v>431.68977592263855</v>
      </c>
      <c r="BH378" s="4">
        <f t="shared" si="1248"/>
        <v>582.87647638589272</v>
      </c>
      <c r="BI378" s="4">
        <f t="shared" si="1184"/>
        <v>0</v>
      </c>
      <c r="BJ378" s="4">
        <f t="shared" si="1249"/>
        <v>0</v>
      </c>
      <c r="BK378" s="4">
        <f t="shared" si="1309"/>
        <v>64.77</v>
      </c>
      <c r="BL378" s="4">
        <f t="shared" si="1310"/>
        <v>64.77</v>
      </c>
      <c r="BM378" s="4">
        <f t="shared" si="1311"/>
        <v>133.35</v>
      </c>
      <c r="BN378" s="4">
        <f t="shared" si="1312"/>
        <v>72.707499999999996</v>
      </c>
      <c r="BO378" s="4">
        <f t="shared" si="1313"/>
        <v>1.1058823529411765</v>
      </c>
      <c r="BP378" s="25">
        <f t="shared" si="1314"/>
        <v>4</v>
      </c>
      <c r="BR378" s="4">
        <f t="shared" si="1403"/>
        <v>64.77</v>
      </c>
      <c r="BV378" s="9"/>
      <c r="BX378" s="9"/>
      <c r="BY378" s="9"/>
      <c r="BZ378" s="9">
        <f t="shared" si="1404"/>
        <v>64.77</v>
      </c>
      <c r="CA378" s="9">
        <f t="shared" si="1405"/>
        <v>85.72499999999998</v>
      </c>
      <c r="CB378" s="9">
        <f t="shared" si="1233"/>
        <v>2.1066390052415969</v>
      </c>
      <c r="CC378" s="40">
        <f t="shared" si="1431"/>
        <v>20</v>
      </c>
      <c r="CD378" s="9">
        <f t="shared" si="1406"/>
        <v>0.05</v>
      </c>
      <c r="CE378" s="9">
        <f t="shared" si="1407"/>
        <v>0.8</v>
      </c>
      <c r="CF378" s="9">
        <f t="shared" si="1408"/>
        <v>1</v>
      </c>
      <c r="CG378" s="9">
        <f t="shared" si="1409"/>
        <v>0.68</v>
      </c>
      <c r="CH378" s="9">
        <f t="shared" si="1234"/>
        <v>1.3707728502186465</v>
      </c>
      <c r="CI378" s="9">
        <f t="shared" si="1235"/>
        <v>3.4269321255466161</v>
      </c>
      <c r="CJ378" s="40">
        <v>1</v>
      </c>
      <c r="CK378" s="9">
        <f t="shared" si="1236"/>
        <v>296.8545684433501</v>
      </c>
      <c r="CM378" s="4">
        <f t="shared" si="1410"/>
        <v>2.9224686635449011</v>
      </c>
      <c r="CN378" s="4">
        <f t="shared" si="1411"/>
        <v>0.90146916130082411</v>
      </c>
      <c r="CO378" s="4">
        <f t="shared" si="1376"/>
        <v>1.3659234137605867</v>
      </c>
      <c r="CP378" s="4">
        <f t="shared" si="1412"/>
        <v>1.9863436008609694</v>
      </c>
      <c r="CQ378" s="4">
        <f t="shared" si="1324"/>
        <v>0.90063459723224326</v>
      </c>
      <c r="CR378" s="4">
        <f t="shared" si="1325"/>
        <v>0.94846759987164653</v>
      </c>
      <c r="CS378" s="4">
        <f t="shared" si="1377"/>
        <v>1.356754559997581</v>
      </c>
      <c r="CT378" s="4">
        <f t="shared" si="1432"/>
        <v>10</v>
      </c>
      <c r="DA378" s="4">
        <f t="shared" si="1413"/>
        <v>2.9224686635449011</v>
      </c>
      <c r="DB378" s="4">
        <f t="shared" si="1413"/>
        <v>0.90146916130082411</v>
      </c>
      <c r="DC378" s="4">
        <f t="shared" si="1414"/>
        <v>1.9863436008609694</v>
      </c>
      <c r="DD378" s="4">
        <f t="shared" si="1415"/>
        <v>1.356754559997581</v>
      </c>
      <c r="DE378" s="4">
        <f t="shared" si="1416"/>
        <v>0.90063459723224326</v>
      </c>
      <c r="DF378" s="4">
        <f t="shared" si="1416"/>
        <v>0.94846759987164653</v>
      </c>
      <c r="DI378" s="4">
        <f t="shared" si="1417"/>
        <v>105.664</v>
      </c>
      <c r="DL378" s="4">
        <f t="shared" si="1286"/>
        <v>1.2154210060506127E-5</v>
      </c>
      <c r="DM378" s="4">
        <f t="shared" si="1287"/>
        <v>9.7201649178311715</v>
      </c>
      <c r="DN378" s="4">
        <f t="shared" si="1288"/>
        <v>0.45197475761769884</v>
      </c>
      <c r="DO378" s="4">
        <f t="shared" si="1289"/>
        <v>7.0748837090322549</v>
      </c>
      <c r="DP378" s="4">
        <f t="shared" si="1290"/>
        <v>8.5012977555483715</v>
      </c>
      <c r="DQ378" s="4">
        <f t="shared" si="1291"/>
        <v>9.5431608262948266</v>
      </c>
      <c r="DR378" s="38">
        <f t="shared" si="1318"/>
        <v>654.71077196664805</v>
      </c>
      <c r="DS378" s="4">
        <f t="shared" si="1292"/>
        <v>1.0000970175261943</v>
      </c>
      <c r="DT378" s="4">
        <f t="shared" si="1293"/>
        <v>2.2360679774997898</v>
      </c>
      <c r="DU378" s="4">
        <f t="shared" si="1294"/>
        <v>434.1958150123221</v>
      </c>
      <c r="DY378" s="4">
        <f t="shared" si="1295"/>
        <v>0.85</v>
      </c>
      <c r="DZ378" s="4">
        <f t="shared" si="1296"/>
        <v>0.7</v>
      </c>
      <c r="EA378" s="4">
        <f t="shared" si="1319"/>
        <v>0.7</v>
      </c>
      <c r="EB378" s="4">
        <f t="shared" si="1297"/>
        <v>0.7</v>
      </c>
      <c r="ED378" s="4">
        <f t="shared" si="1320"/>
        <v>621.69247794399041</v>
      </c>
      <c r="EE378" s="25">
        <f t="shared" si="1321"/>
        <v>427.60022486473753</v>
      </c>
      <c r="EG378" s="4">
        <f t="shared" si="1213"/>
        <v>0.59499999999999997</v>
      </c>
      <c r="EH378" s="4">
        <f t="shared" si="1322"/>
        <v>9.7201649178311715</v>
      </c>
      <c r="EK378" s="4">
        <f t="shared" si="1298"/>
        <v>35.497579142809165</v>
      </c>
      <c r="EL378" s="4">
        <f t="shared" si="1299"/>
        <v>2.2360679774997898</v>
      </c>
      <c r="EM378" s="4">
        <f t="shared" si="1300"/>
        <v>0.14234361234463544</v>
      </c>
      <c r="EP378" s="4">
        <f t="shared" si="1433"/>
        <v>0.14234361234463544</v>
      </c>
      <c r="EQ378" s="4">
        <f t="shared" si="1237"/>
        <v>0.45122049598387881</v>
      </c>
      <c r="ER378" s="4">
        <f t="shared" si="1301"/>
        <v>7.0701586776188012</v>
      </c>
      <c r="ES378" s="4">
        <f t="shared" si="1418"/>
        <v>8.4993339958986827</v>
      </c>
      <c r="ET378" s="4">
        <f t="shared" si="1302"/>
        <v>43.750420857190839</v>
      </c>
      <c r="EU378" s="4">
        <f t="shared" si="1303"/>
        <v>26.416000000000004</v>
      </c>
      <c r="EV378" s="4">
        <f t="shared" si="1238"/>
        <v>1.2154210060506129E-5</v>
      </c>
      <c r="EW378" s="4">
        <f t="shared" si="1419"/>
        <v>9.5432205709598907</v>
      </c>
      <c r="EX378" s="4">
        <f t="shared" si="1250"/>
        <v>654.64725970898121</v>
      </c>
      <c r="FG378" s="23">
        <f t="shared" si="1143"/>
        <v>2.2000000000000002</v>
      </c>
      <c r="FH378" s="23">
        <f t="shared" si="1143"/>
        <v>1</v>
      </c>
      <c r="FI378" s="23">
        <f t="shared" si="1382"/>
        <v>1.4</v>
      </c>
      <c r="FJ378" s="23">
        <f t="shared" si="1144"/>
        <v>2</v>
      </c>
      <c r="FK378" s="23">
        <f t="shared" si="1144"/>
        <v>1</v>
      </c>
      <c r="FL378" s="23">
        <f t="shared" si="1144"/>
        <v>1</v>
      </c>
      <c r="FM378" s="23">
        <f t="shared" si="1330"/>
        <v>0</v>
      </c>
      <c r="FN378" s="23"/>
      <c r="FX378" s="4">
        <f t="shared" si="1200"/>
        <v>1</v>
      </c>
      <c r="FY378" s="4">
        <f t="shared" si="1258"/>
        <v>0.46358941059918601</v>
      </c>
      <c r="FZ378" s="4">
        <f t="shared" si="1201"/>
        <v>0.3</v>
      </c>
      <c r="GA378" s="4">
        <f t="shared" si="1202"/>
        <v>434.60710566164926</v>
      </c>
    </row>
    <row r="379" spans="1:183" ht="12" customHeight="1" x14ac:dyDescent="0.3">
      <c r="A379" s="25">
        <v>361</v>
      </c>
      <c r="B379" s="4" t="s">
        <v>605</v>
      </c>
      <c r="C379" s="4">
        <v>2016</v>
      </c>
      <c r="D379" s="4" t="s">
        <v>309</v>
      </c>
      <c r="E379" s="24" t="s">
        <v>673</v>
      </c>
      <c r="F379" s="7" t="s">
        <v>526</v>
      </c>
      <c r="G379" s="38">
        <f t="shared" si="1394"/>
        <v>958.62068965517244</v>
      </c>
      <c r="H379" s="38">
        <f>4.19*25.4</f>
        <v>106.426</v>
      </c>
      <c r="I379" s="4">
        <f t="shared" si="1420"/>
        <v>106.426</v>
      </c>
      <c r="J379" s="38">
        <f>4690/145</f>
        <v>32.344827586206897</v>
      </c>
      <c r="K379" s="38">
        <f t="shared" si="1396"/>
        <v>15.875</v>
      </c>
      <c r="L379" s="7">
        <f t="shared" si="1421"/>
        <v>6.7039999999999997</v>
      </c>
      <c r="M379" s="7">
        <f t="shared" si="1422"/>
        <v>6.7039999999999997</v>
      </c>
      <c r="N379" s="38">
        <f>13*25.4</f>
        <v>330.2</v>
      </c>
      <c r="O379" s="38">
        <f>2.5*25.4</f>
        <v>63.5</v>
      </c>
      <c r="P379" s="39">
        <f>5.05*25.4</f>
        <v>128.26999999999998</v>
      </c>
      <c r="Q379" s="7">
        <f t="shared" si="1423"/>
        <v>171.45</v>
      </c>
      <c r="R379" s="38">
        <v>2</v>
      </c>
      <c r="S379" s="4">
        <f t="shared" si="1390"/>
        <v>133.35</v>
      </c>
      <c r="T379" s="7">
        <f t="shared" si="1424"/>
        <v>4.5</v>
      </c>
      <c r="U379" s="7">
        <f t="shared" si="1247"/>
        <v>4.5</v>
      </c>
      <c r="V379" s="38">
        <v>13.1</v>
      </c>
      <c r="W379" s="4">
        <f t="shared" si="1425"/>
        <v>13.1</v>
      </c>
      <c r="X379" s="4">
        <f t="shared" si="1426"/>
        <v>14.1</v>
      </c>
      <c r="Y379" s="7">
        <f t="shared" si="1427"/>
        <v>59.610572153771514</v>
      </c>
      <c r="AB379" s="38">
        <f t="shared" si="1151"/>
        <v>782.75862068965523</v>
      </c>
      <c r="AC379" s="4">
        <v>113.5</v>
      </c>
      <c r="AD379" s="4">
        <f t="shared" si="1279"/>
        <v>1.2858428339267387</v>
      </c>
      <c r="AE379" s="38">
        <f t="shared" si="1428"/>
        <v>9.5249999999999986</v>
      </c>
      <c r="AF379" s="38">
        <v>10</v>
      </c>
      <c r="AG379" s="39">
        <f>1.75*25.4</f>
        <v>44.449999999999996</v>
      </c>
      <c r="AH379" s="39">
        <v>3</v>
      </c>
      <c r="AI379" s="39">
        <f t="shared" si="1397"/>
        <v>2</v>
      </c>
      <c r="AJ379" s="7"/>
      <c r="AK379" s="4">
        <f t="shared" si="1429"/>
        <v>106.426</v>
      </c>
      <c r="AL379" s="4">
        <f t="shared" si="1304"/>
        <v>1.0342084327764518</v>
      </c>
      <c r="AM379" s="4">
        <f t="shared" si="1305"/>
        <v>157.73449680371363</v>
      </c>
      <c r="AN379" s="4">
        <f t="shared" si="1306"/>
        <v>0.83424821002386629</v>
      </c>
      <c r="AO379" s="4">
        <v>1.25</v>
      </c>
      <c r="AP379" s="4">
        <f t="shared" si="1221"/>
        <v>2.5</v>
      </c>
      <c r="AQ379" s="38">
        <f t="shared" si="1398"/>
        <v>425.2849992610565</v>
      </c>
      <c r="AR379" s="38">
        <f t="shared" si="1307"/>
        <v>425.2849992610565</v>
      </c>
      <c r="AS379" s="38">
        <f t="shared" si="1308"/>
        <v>3.0454944685430494</v>
      </c>
      <c r="AT379" s="38">
        <f t="shared" si="1230"/>
        <v>425.28499926105661</v>
      </c>
      <c r="AU379" s="38">
        <f t="shared" si="1199"/>
        <v>0.99999999999999978</v>
      </c>
      <c r="AV379" s="38">
        <f t="shared" si="1231"/>
        <v>2.4774387905489403</v>
      </c>
      <c r="AW379" s="4">
        <f t="shared" si="1232"/>
        <v>0</v>
      </c>
      <c r="AX379" s="4">
        <f t="shared" si="1430"/>
        <v>200.67017291999846</v>
      </c>
      <c r="AY379" s="4">
        <f t="shared" si="1399"/>
        <v>1</v>
      </c>
      <c r="AZ379" s="38">
        <f t="shared" si="1242"/>
        <v>1053.6175542079191</v>
      </c>
      <c r="BA379" s="4">
        <f t="shared" si="1400"/>
        <v>0.3</v>
      </c>
      <c r="BB379" s="4">
        <f t="shared" si="1401"/>
        <v>31.455049605209762</v>
      </c>
      <c r="BC379" s="4">
        <f t="shared" si="1402"/>
        <v>1085.0726038131288</v>
      </c>
      <c r="BE379" s="4">
        <f t="shared" si="1222"/>
        <v>1.5</v>
      </c>
      <c r="BF379" s="4">
        <f t="shared" si="1225"/>
        <v>427.49930728364927</v>
      </c>
      <c r="BH379" s="4">
        <f t="shared" si="1248"/>
        <v>1010.5480835161915</v>
      </c>
      <c r="BI379" s="4">
        <f t="shared" si="1184"/>
        <v>0</v>
      </c>
      <c r="BJ379" s="4">
        <f t="shared" si="1249"/>
        <v>0</v>
      </c>
      <c r="BK379" s="4">
        <f t="shared" si="1309"/>
        <v>63.5</v>
      </c>
      <c r="BL379" s="4">
        <f t="shared" si="1310"/>
        <v>63.5</v>
      </c>
      <c r="BM379" s="4">
        <f t="shared" si="1311"/>
        <v>133.35</v>
      </c>
      <c r="BN379" s="4">
        <f t="shared" si="1312"/>
        <v>71.4375</v>
      </c>
      <c r="BO379" s="4">
        <f t="shared" si="1313"/>
        <v>1.1100000000000001</v>
      </c>
      <c r="BP379" s="25">
        <f t="shared" si="1314"/>
        <v>4</v>
      </c>
      <c r="BR379" s="4">
        <f t="shared" si="1403"/>
        <v>63.5</v>
      </c>
      <c r="BV379" s="9"/>
      <c r="BX379" s="9"/>
      <c r="BY379" s="9"/>
      <c r="BZ379" s="9">
        <f t="shared" si="1404"/>
        <v>63.5</v>
      </c>
      <c r="CA379" s="9">
        <f t="shared" si="1405"/>
        <v>85.724999999999994</v>
      </c>
      <c r="CB379" s="9">
        <f t="shared" si="1233"/>
        <v>2.0920885420600022</v>
      </c>
      <c r="CC379" s="40">
        <f t="shared" si="1431"/>
        <v>20</v>
      </c>
      <c r="CD379" s="9">
        <f t="shared" si="1406"/>
        <v>0.05</v>
      </c>
      <c r="CE379" s="9">
        <f t="shared" si="1407"/>
        <v>0.8</v>
      </c>
      <c r="CF379" s="9">
        <f t="shared" si="1408"/>
        <v>1</v>
      </c>
      <c r="CG379" s="9">
        <f t="shared" si="1409"/>
        <v>0.68</v>
      </c>
      <c r="CH379" s="9">
        <f t="shared" si="1234"/>
        <v>1.3535658143559566</v>
      </c>
      <c r="CI379" s="9">
        <f t="shared" si="1235"/>
        <v>3.3839145358898914</v>
      </c>
      <c r="CJ379" s="40">
        <v>1</v>
      </c>
      <c r="CK379" s="9">
        <f t="shared" si="1236"/>
        <v>293.77792434781679</v>
      </c>
      <c r="CM379" s="4">
        <f t="shared" si="1410"/>
        <v>3.9007223111414722</v>
      </c>
      <c r="CN379" s="4">
        <f t="shared" si="1411"/>
        <v>0.72138824438006166</v>
      </c>
      <c r="CO379" s="4">
        <f t="shared" si="1376"/>
        <v>1.8310172843631967</v>
      </c>
      <c r="CP379" s="4">
        <f t="shared" si="1412"/>
        <v>2.6644569105298475</v>
      </c>
      <c r="CQ379" s="4">
        <f t="shared" si="1324"/>
        <v>1.2858428339267387</v>
      </c>
      <c r="CR379" s="4">
        <f t="shared" si="1325"/>
        <v>1.2792539211145848</v>
      </c>
      <c r="CS379" s="4">
        <f t="shared" si="1377"/>
        <v>1.799506429845696</v>
      </c>
      <c r="CT379" s="4">
        <f t="shared" si="1432"/>
        <v>10</v>
      </c>
      <c r="DA379" s="4">
        <f t="shared" si="1413"/>
        <v>3.9007223111414722</v>
      </c>
      <c r="DB379" s="4">
        <f t="shared" si="1413"/>
        <v>0.72138824438006166</v>
      </c>
      <c r="DC379" s="4">
        <f t="shared" si="1414"/>
        <v>2.6644569105298475</v>
      </c>
      <c r="DD379" s="4">
        <f t="shared" si="1415"/>
        <v>1.799506429845696</v>
      </c>
      <c r="DE379" s="4">
        <f t="shared" si="1416"/>
        <v>1.2858428339267387</v>
      </c>
      <c r="DF379" s="4">
        <f t="shared" si="1416"/>
        <v>1.2792539211145848</v>
      </c>
      <c r="DI379" s="4">
        <f t="shared" si="1417"/>
        <v>106.426</v>
      </c>
      <c r="DL379" s="4">
        <f t="shared" si="1286"/>
        <v>1.2171450429620639E-5</v>
      </c>
      <c r="DM379" s="4">
        <f t="shared" si="1287"/>
        <v>9.5981496427943913</v>
      </c>
      <c r="DN379" s="4">
        <f t="shared" si="1288"/>
        <v>0.23280596049007915</v>
      </c>
      <c r="DO379" s="4">
        <f t="shared" si="1289"/>
        <v>5.3577834299564575</v>
      </c>
      <c r="DP379" s="4">
        <f t="shared" si="1290"/>
        <v>7.7749242184825027</v>
      </c>
      <c r="DQ379" s="4">
        <f t="shared" si="1291"/>
        <v>9.4574200035520022</v>
      </c>
      <c r="DR379" s="38">
        <f t="shared" si="1318"/>
        <v>608.75139638897201</v>
      </c>
      <c r="DS379" s="4">
        <f t="shared" si="1292"/>
        <v>1.0000979278356326</v>
      </c>
      <c r="DT379" s="4">
        <f t="shared" si="1293"/>
        <v>3.7549966711037173</v>
      </c>
      <c r="DU379" s="4">
        <f t="shared" si="1294"/>
        <v>425.28499926105661</v>
      </c>
      <c r="DY379" s="4">
        <f t="shared" si="1295"/>
        <v>0.85</v>
      </c>
      <c r="DZ379" s="4">
        <f t="shared" si="1296"/>
        <v>0.7</v>
      </c>
      <c r="EA379" s="4">
        <f t="shared" si="1319"/>
        <v>0.7</v>
      </c>
      <c r="EB379" s="4">
        <f t="shared" si="1297"/>
        <v>0.7</v>
      </c>
      <c r="ED379" s="4">
        <f t="shared" si="1320"/>
        <v>611.88682541434423</v>
      </c>
      <c r="EE379" s="25">
        <f t="shared" si="1321"/>
        <v>418.84883979846347</v>
      </c>
      <c r="EG379" s="4">
        <f t="shared" si="1213"/>
        <v>0.59499999999999997</v>
      </c>
      <c r="EH379" s="4">
        <f t="shared" si="1322"/>
        <v>9.5981496427943913</v>
      </c>
      <c r="EK379" s="4">
        <f t="shared" si="1298"/>
        <v>59.610572153771514</v>
      </c>
      <c r="EL379" s="4">
        <f t="shared" si="1299"/>
        <v>3.7549966711037173</v>
      </c>
      <c r="EM379" s="4">
        <f t="shared" si="1300"/>
        <v>7.2398868854731249E-2</v>
      </c>
      <c r="EP379" s="4">
        <f t="shared" si="1433"/>
        <v>7.2398868854731249E-2</v>
      </c>
      <c r="EQ379" s="4">
        <f t="shared" si="1237"/>
        <v>0.23241745073115397</v>
      </c>
      <c r="ER379" s="4">
        <f t="shared" si="1301"/>
        <v>5.3542051810333406</v>
      </c>
      <c r="ES379" s="4">
        <f t="shared" si="1418"/>
        <v>7.7736998840286358</v>
      </c>
      <c r="ET379" s="4">
        <f t="shared" si="1302"/>
        <v>20.208927846228491</v>
      </c>
      <c r="EU379" s="4">
        <f t="shared" si="1303"/>
        <v>26.606499999999997</v>
      </c>
      <c r="EV379" s="4">
        <f t="shared" si="1238"/>
        <v>1.2171450429620635E-5</v>
      </c>
      <c r="EW379" s="4">
        <f t="shared" si="1419"/>
        <v>9.4574754494206612</v>
      </c>
      <c r="EX379" s="4">
        <f t="shared" si="1250"/>
        <v>608.69178851955496</v>
      </c>
      <c r="FG379" s="23">
        <f t="shared" si="1143"/>
        <v>2.2000000000000002</v>
      </c>
      <c r="FH379" s="23">
        <f t="shared" si="1143"/>
        <v>0.8</v>
      </c>
      <c r="FI379" s="23">
        <f t="shared" si="1382"/>
        <v>1.8</v>
      </c>
      <c r="FJ379" s="23">
        <f t="shared" si="1144"/>
        <v>2.2000000000000002</v>
      </c>
      <c r="FK379" s="23">
        <f t="shared" si="1144"/>
        <v>1.4</v>
      </c>
      <c r="FL379" s="23">
        <f t="shared" si="1144"/>
        <v>1.4</v>
      </c>
      <c r="FM379" s="23">
        <f t="shared" si="1330"/>
        <v>0</v>
      </c>
      <c r="FN379" s="23"/>
      <c r="FX379" s="4">
        <f t="shared" si="1200"/>
        <v>1</v>
      </c>
      <c r="FY379" s="4">
        <f t="shared" si="1258"/>
        <v>0.46358941059918601</v>
      </c>
      <c r="FZ379" s="4">
        <f t="shared" si="1201"/>
        <v>0.3</v>
      </c>
      <c r="GA379" s="4">
        <f t="shared" si="1202"/>
        <v>434.98517577221173</v>
      </c>
    </row>
    <row r="380" spans="1:183" ht="12" customHeight="1" x14ac:dyDescent="0.3">
      <c r="A380" s="25">
        <v>362</v>
      </c>
      <c r="B380" s="4" t="s">
        <v>605</v>
      </c>
      <c r="C380" s="4">
        <v>2016</v>
      </c>
      <c r="D380" s="4" t="s">
        <v>309</v>
      </c>
      <c r="E380" s="24" t="s">
        <v>673</v>
      </c>
      <c r="F380" s="7" t="s">
        <v>527</v>
      </c>
      <c r="G380" s="38">
        <f t="shared" si="1394"/>
        <v>958.62068965517244</v>
      </c>
      <c r="H380" s="38">
        <f>6*25.4</f>
        <v>152.39999999999998</v>
      </c>
      <c r="I380" s="4">
        <f t="shared" si="1420"/>
        <v>152.39999999999998</v>
      </c>
      <c r="J380" s="38">
        <f t="shared" ref="J380:J384" si="1434">4690/145</f>
        <v>32.344827586206897</v>
      </c>
      <c r="K380" s="38">
        <f t="shared" si="1396"/>
        <v>15.875</v>
      </c>
      <c r="L380" s="7">
        <f t="shared" si="1421"/>
        <v>9.5999999999999979</v>
      </c>
      <c r="M380" s="7">
        <f t="shared" si="1422"/>
        <v>9.5999999999999979</v>
      </c>
      <c r="N380" s="38">
        <f>13.1*25.4</f>
        <v>332.73999999999995</v>
      </c>
      <c r="O380" s="38">
        <f>2.55*25.4</f>
        <v>64.77</v>
      </c>
      <c r="P380" s="39">
        <f>3.3*25.4</f>
        <v>83.82</v>
      </c>
      <c r="Q380" s="7">
        <f t="shared" si="1423"/>
        <v>171.44999999999996</v>
      </c>
      <c r="R380" s="38">
        <v>2</v>
      </c>
      <c r="S380" s="4">
        <f t="shared" si="1390"/>
        <v>133.35</v>
      </c>
      <c r="T380" s="7">
        <f t="shared" si="1424"/>
        <v>4.58</v>
      </c>
      <c r="U380" s="7">
        <f t="shared" si="1247"/>
        <v>4.58</v>
      </c>
      <c r="V380" s="38">
        <v>4</v>
      </c>
      <c r="W380" s="4">
        <f t="shared" si="1425"/>
        <v>4</v>
      </c>
      <c r="X380" s="4">
        <f t="shared" si="1426"/>
        <v>5</v>
      </c>
      <c r="Y380" s="7">
        <f t="shared" si="1427"/>
        <v>35.497579142809165</v>
      </c>
      <c r="AB380" s="38">
        <f t="shared" si="1151"/>
        <v>727.58620689655174</v>
      </c>
      <c r="AC380" s="4">
        <v>105.5</v>
      </c>
      <c r="AD380" s="4">
        <f t="shared" si="1279"/>
        <v>0.89396556017501727</v>
      </c>
      <c r="AE380" s="38">
        <v>0</v>
      </c>
      <c r="AF380" s="38">
        <v>0</v>
      </c>
      <c r="AG380" s="39">
        <f t="shared" ref="AG380:AG381" si="1435">I380</f>
        <v>152.39999999999998</v>
      </c>
      <c r="AH380" s="39"/>
      <c r="AI380" s="39"/>
      <c r="AJ380" s="7"/>
      <c r="AK380" s="4">
        <f t="shared" si="1429"/>
        <v>152.39999999999998</v>
      </c>
      <c r="AL380" s="4">
        <f t="shared" si="1304"/>
        <v>0.72777777777777763</v>
      </c>
      <c r="AM380" s="4">
        <f t="shared" si="1305"/>
        <v>270.29158549016233</v>
      </c>
      <c r="AN380" s="4">
        <f t="shared" si="1306"/>
        <v>0.79541666666666666</v>
      </c>
      <c r="AO380" s="4">
        <v>1.25</v>
      </c>
      <c r="AP380" s="4">
        <f t="shared" si="1221"/>
        <v>2.5</v>
      </c>
      <c r="AQ380" s="38">
        <f t="shared" si="1398"/>
        <v>488.96303101703046</v>
      </c>
      <c r="AR380" s="38">
        <f t="shared" si="1307"/>
        <v>488.96303101703046</v>
      </c>
      <c r="AS380" s="38">
        <f t="shared" si="1308"/>
        <v>3.0454944685430494</v>
      </c>
      <c r="AT380" s="38">
        <f t="shared" si="1230"/>
        <v>488.96303101703029</v>
      </c>
      <c r="AU380" s="38">
        <f t="shared" si="1199"/>
        <v>1.0000000000000004</v>
      </c>
      <c r="AV380" s="38">
        <f t="shared" si="1231"/>
        <v>1.2118651182008726</v>
      </c>
      <c r="AW380" s="4">
        <f t="shared" si="1232"/>
        <v>0</v>
      </c>
      <c r="AX380" s="4">
        <f t="shared" si="1430"/>
        <v>287.35585621002161</v>
      </c>
      <c r="AY380" s="4">
        <f t="shared" si="1399"/>
        <v>1</v>
      </c>
      <c r="AZ380" s="38">
        <f t="shared" si="1242"/>
        <v>592.55724137931031</v>
      </c>
      <c r="BA380" s="4">
        <f t="shared" si="1400"/>
        <v>0.44000000000000006</v>
      </c>
      <c r="BB380" s="4">
        <f t="shared" si="1401"/>
        <v>66.063111342683982</v>
      </c>
      <c r="BC380" s="4">
        <f t="shared" si="1402"/>
        <v>658.62035272199432</v>
      </c>
      <c r="BE380" s="4">
        <f t="shared" si="1222"/>
        <v>1.5</v>
      </c>
      <c r="BF380" s="4">
        <f t="shared" si="1225"/>
        <v>501.61556649661907</v>
      </c>
      <c r="BH380" s="4">
        <f t="shared" si="1248"/>
        <v>568.33485951140074</v>
      </c>
      <c r="BI380" s="4">
        <f t="shared" si="1184"/>
        <v>0</v>
      </c>
      <c r="BJ380" s="4">
        <f t="shared" si="1249"/>
        <v>0</v>
      </c>
      <c r="BK380" s="4">
        <f t="shared" si="1309"/>
        <v>64.77</v>
      </c>
      <c r="BL380" s="4">
        <f t="shared" si="1310"/>
        <v>64.77</v>
      </c>
      <c r="BM380" s="4">
        <f t="shared" si="1311"/>
        <v>133.35</v>
      </c>
      <c r="BN380" s="4">
        <f t="shared" si="1312"/>
        <v>72.707499999999996</v>
      </c>
      <c r="BO380" s="4">
        <f t="shared" si="1313"/>
        <v>1.1058823529411765</v>
      </c>
      <c r="BP380" s="25">
        <f t="shared" si="1314"/>
        <v>4</v>
      </c>
      <c r="BR380" s="4">
        <f t="shared" si="1403"/>
        <v>64.77</v>
      </c>
      <c r="BV380" s="9"/>
      <c r="BX380" s="9"/>
      <c r="BY380" s="9"/>
      <c r="BZ380" s="9">
        <f t="shared" si="1404"/>
        <v>64.77</v>
      </c>
      <c r="CA380" s="9">
        <f t="shared" si="1405"/>
        <v>85.72499999999998</v>
      </c>
      <c r="CB380" s="9">
        <f t="shared" si="1233"/>
        <v>2.1066390052415969</v>
      </c>
      <c r="CC380" s="40">
        <f t="shared" si="1431"/>
        <v>20</v>
      </c>
      <c r="CD380" s="9">
        <f t="shared" si="1406"/>
        <v>0</v>
      </c>
      <c r="CE380" s="9">
        <f t="shared" si="1407"/>
        <v>0</v>
      </c>
      <c r="CF380" s="9">
        <f t="shared" si="1408"/>
        <v>1</v>
      </c>
      <c r="CG380" s="9">
        <f t="shared" si="1409"/>
        <v>0.68</v>
      </c>
      <c r="CH380" s="9">
        <f t="shared" si="1234"/>
        <v>1.3535658143559566</v>
      </c>
      <c r="CI380" s="9">
        <f t="shared" si="1235"/>
        <v>2.8514745406838644</v>
      </c>
      <c r="CJ380" s="40">
        <v>1</v>
      </c>
      <c r="CK380" s="9">
        <f t="shared" si="1236"/>
        <v>280.58509480329224</v>
      </c>
      <c r="CM380" s="4">
        <f t="shared" si="1410"/>
        <v>2.532004102831912</v>
      </c>
      <c r="CN380" s="4">
        <f t="shared" si="1411"/>
        <v>1.1047126070269926</v>
      </c>
      <c r="CO380" s="4">
        <f t="shared" si="1376"/>
        <v>1.4504857015864872</v>
      </c>
      <c r="CP380" s="4">
        <f t="shared" si="1412"/>
        <v>2.5931035552926835</v>
      </c>
      <c r="CQ380" s="4">
        <f t="shared" si="1324"/>
        <v>0.89396556017501727</v>
      </c>
      <c r="CR380" s="4">
        <f t="shared" si="1325"/>
        <v>0.95692750390543657</v>
      </c>
      <c r="CS380" s="4">
        <f t="shared" si="1377"/>
        <v>1.2598222395057197</v>
      </c>
      <c r="CT380" s="4">
        <f t="shared" si="1432"/>
        <v>0</v>
      </c>
      <c r="CU380" s="4">
        <f t="shared" ref="CU380:CV381" si="1436">CM380</f>
        <v>2.532004102831912</v>
      </c>
      <c r="CV380" s="4">
        <f t="shared" si="1436"/>
        <v>1.1047126070269926</v>
      </c>
      <c r="CW380" s="4">
        <f t="shared" ref="CW380:CW381" si="1437">CP380</f>
        <v>2.5931035552926835</v>
      </c>
      <c r="CX380" s="4">
        <f t="shared" ref="CX380:CX381" si="1438">CS380</f>
        <v>1.2598222395057197</v>
      </c>
      <c r="CY380" s="4">
        <f t="shared" ref="CY380:CZ381" si="1439">CQ380</f>
        <v>0.89396556017501727</v>
      </c>
      <c r="CZ380" s="4">
        <f t="shared" si="1439"/>
        <v>0.95692750390543657</v>
      </c>
      <c r="DI380" s="4">
        <f t="shared" si="1417"/>
        <v>152.39999999999998</v>
      </c>
      <c r="DL380" s="4">
        <f t="shared" si="1286"/>
        <v>1.7429284624755085E-5</v>
      </c>
      <c r="DM380" s="4">
        <f t="shared" si="1287"/>
        <v>9.5981496427943913</v>
      </c>
      <c r="DN380" s="4">
        <f t="shared" si="1288"/>
        <v>0.52200757557226207</v>
      </c>
      <c r="DO380" s="4">
        <f t="shared" si="1289"/>
        <v>7.4004518777607604</v>
      </c>
      <c r="DP380" s="4">
        <f t="shared" si="1290"/>
        <v>8.570156296053419</v>
      </c>
      <c r="DQ380" s="4">
        <f t="shared" si="1291"/>
        <v>9.2254992877311519</v>
      </c>
      <c r="DR380" s="38">
        <f t="shared" si="1318"/>
        <v>813.88617113405087</v>
      </c>
      <c r="DS380" s="4">
        <f t="shared" si="1292"/>
        <v>1.0001050017855873</v>
      </c>
      <c r="DT380" s="4">
        <f t="shared" si="1293"/>
        <v>2.2360679774997898</v>
      </c>
      <c r="DU380" s="4">
        <f t="shared" si="1294"/>
        <v>488.96303101703029</v>
      </c>
      <c r="DY380" s="4">
        <f t="shared" si="1295"/>
        <v>0.85</v>
      </c>
      <c r="DZ380" s="4">
        <f t="shared" si="1296"/>
        <v>0.7</v>
      </c>
      <c r="EA380" s="4">
        <f t="shared" si="1319"/>
        <v>1</v>
      </c>
      <c r="EB380" s="4">
        <f t="shared" si="1297"/>
        <v>0.7</v>
      </c>
      <c r="ED380" s="4">
        <f t="shared" si="1320"/>
        <v>760.3357662175124</v>
      </c>
      <c r="EE380" s="25">
        <f t="shared" si="1321"/>
        <v>483.90905650503407</v>
      </c>
      <c r="EG380" s="4">
        <f t="shared" si="1213"/>
        <v>0.59499999999999997</v>
      </c>
      <c r="EH380" s="4">
        <f t="shared" si="1322"/>
        <v>9.5981496427943913</v>
      </c>
      <c r="EK380" s="4">
        <f t="shared" si="1298"/>
        <v>35.497579142809165</v>
      </c>
      <c r="EL380" s="4">
        <f t="shared" si="1299"/>
        <v>2.2360679774997898</v>
      </c>
      <c r="EM380" s="4">
        <f t="shared" si="1300"/>
        <v>0.16233586943167169</v>
      </c>
      <c r="EP380" s="4">
        <f t="shared" si="1433"/>
        <v>0.16233586943167169</v>
      </c>
      <c r="EQ380" s="4">
        <f t="shared" si="1237"/>
        <v>0.52113644221761857</v>
      </c>
      <c r="ER380" s="4">
        <f t="shared" si="1301"/>
        <v>7.3955094124094876</v>
      </c>
      <c r="ES380" s="4">
        <f t="shared" si="1418"/>
        <v>8.5680239121396582</v>
      </c>
      <c r="ET380" s="4">
        <f t="shared" si="1302"/>
        <v>78.80242085719081</v>
      </c>
      <c r="EU380" s="4">
        <f t="shared" si="1303"/>
        <v>38.099999999999994</v>
      </c>
      <c r="EV380" s="4">
        <f t="shared" si="1238"/>
        <v>1.7429284624755085E-5</v>
      </c>
      <c r="EW380" s="4">
        <f t="shared" si="1419"/>
        <v>9.225613481523542</v>
      </c>
      <c r="EX380" s="4">
        <f t="shared" si="1250"/>
        <v>813.80072060527505</v>
      </c>
      <c r="FG380" s="23">
        <f t="shared" si="1143"/>
        <v>2.2000000000000002</v>
      </c>
      <c r="FH380" s="23">
        <f t="shared" si="1143"/>
        <v>1.2</v>
      </c>
      <c r="FI380" s="23">
        <f t="shared" si="1382"/>
        <v>1.4</v>
      </c>
      <c r="FJ380" s="23">
        <f t="shared" si="1144"/>
        <v>2.2000000000000002</v>
      </c>
      <c r="FK380" s="23">
        <f t="shared" si="1144"/>
        <v>1</v>
      </c>
      <c r="FL380" s="23">
        <f t="shared" si="1144"/>
        <v>1</v>
      </c>
      <c r="FM380" s="23">
        <f t="shared" si="1330"/>
        <v>0</v>
      </c>
      <c r="FN380" s="23"/>
      <c r="FX380" s="4">
        <f t="shared" si="1200"/>
        <v>1</v>
      </c>
      <c r="FY380" s="4">
        <f t="shared" si="1258"/>
        <v>0.5</v>
      </c>
      <c r="FZ380" s="4">
        <f t="shared" si="1201"/>
        <v>0</v>
      </c>
      <c r="GA380" s="4">
        <f t="shared" si="1202"/>
        <v>577.53084846479123</v>
      </c>
    </row>
    <row r="381" spans="1:183" ht="12" customHeight="1" x14ac:dyDescent="0.3">
      <c r="A381" s="25">
        <v>363</v>
      </c>
      <c r="B381" s="4" t="s">
        <v>605</v>
      </c>
      <c r="C381" s="4">
        <v>2016</v>
      </c>
      <c r="D381" s="4" t="s">
        <v>309</v>
      </c>
      <c r="E381" s="24" t="s">
        <v>673</v>
      </c>
      <c r="F381" s="7" t="s">
        <v>528</v>
      </c>
      <c r="G381" s="38">
        <f t="shared" si="1394"/>
        <v>958.62068965517244</v>
      </c>
      <c r="H381" s="38">
        <f>6.22*25.4</f>
        <v>157.98799999999997</v>
      </c>
      <c r="I381" s="4">
        <f t="shared" si="1420"/>
        <v>157.98799999999997</v>
      </c>
      <c r="J381" s="38">
        <f t="shared" si="1434"/>
        <v>32.344827586206897</v>
      </c>
      <c r="K381" s="38">
        <f t="shared" si="1396"/>
        <v>15.875</v>
      </c>
      <c r="L381" s="7">
        <f t="shared" si="1421"/>
        <v>9.9519999999999982</v>
      </c>
      <c r="M381" s="7">
        <f t="shared" si="1422"/>
        <v>9.9519999999999982</v>
      </c>
      <c r="N381" s="38">
        <f>13.3*25.4</f>
        <v>337.82</v>
      </c>
      <c r="O381" s="38">
        <f>2.55*25.4</f>
        <v>64.77</v>
      </c>
      <c r="P381" s="39">
        <f>3*25.4</f>
        <v>76.199999999999989</v>
      </c>
      <c r="Q381" s="7">
        <f t="shared" si="1423"/>
        <v>176.53</v>
      </c>
      <c r="R381" s="38">
        <v>2</v>
      </c>
      <c r="S381" s="4">
        <f t="shared" si="1390"/>
        <v>133.35</v>
      </c>
      <c r="T381" s="7">
        <f t="shared" si="1424"/>
        <v>4.58</v>
      </c>
      <c r="U381" s="7">
        <f t="shared" si="1247"/>
        <v>4.58</v>
      </c>
      <c r="V381" s="38">
        <v>13.1</v>
      </c>
      <c r="W381" s="4">
        <f t="shared" si="1425"/>
        <v>13.1</v>
      </c>
      <c r="X381" s="4">
        <f t="shared" si="1426"/>
        <v>14.1</v>
      </c>
      <c r="Y381" s="7">
        <f t="shared" si="1427"/>
        <v>59.610572153771514</v>
      </c>
      <c r="AB381" s="38">
        <f t="shared" si="1151"/>
        <v>785.51724137931046</v>
      </c>
      <c r="AC381" s="4">
        <v>113.9</v>
      </c>
      <c r="AD381" s="4">
        <f t="shared" si="1279"/>
        <v>0.98338913792026705</v>
      </c>
      <c r="AE381" s="38">
        <v>0</v>
      </c>
      <c r="AF381" s="38">
        <v>0</v>
      </c>
      <c r="AG381" s="39">
        <f t="shared" si="1435"/>
        <v>157.98799999999997</v>
      </c>
      <c r="AH381" s="39"/>
      <c r="AI381" s="39"/>
      <c r="AJ381" s="7"/>
      <c r="AK381" s="4">
        <f t="shared" si="1429"/>
        <v>157.98799999999997</v>
      </c>
      <c r="AL381" s="4">
        <f t="shared" si="1304"/>
        <v>0.71275455519828534</v>
      </c>
      <c r="AM381" s="4">
        <f t="shared" si="1305"/>
        <v>285.29307317151796</v>
      </c>
      <c r="AN381" s="4">
        <f t="shared" si="1306"/>
        <v>0.79204180064308682</v>
      </c>
      <c r="AO381" s="4">
        <v>1.25</v>
      </c>
      <c r="AP381" s="4">
        <f t="shared" si="1221"/>
        <v>2.5</v>
      </c>
      <c r="AQ381" s="38">
        <f t="shared" si="1398"/>
        <v>503.30280744753634</v>
      </c>
      <c r="AR381" s="38">
        <f t="shared" si="1307"/>
        <v>503.30280744753634</v>
      </c>
      <c r="AS381" s="38">
        <f t="shared" si="1308"/>
        <v>3.0454944685430494</v>
      </c>
      <c r="AT381" s="38">
        <f t="shared" si="1230"/>
        <v>503.30280744753645</v>
      </c>
      <c r="AU381" s="38">
        <f t="shared" si="1199"/>
        <v>0.99999999999999978</v>
      </c>
      <c r="AV381" s="38">
        <f t="shared" si="1231"/>
        <v>2.130622990934087</v>
      </c>
      <c r="AW381" s="4">
        <f t="shared" si="1232"/>
        <v>0</v>
      </c>
      <c r="AX381" s="4">
        <f t="shared" si="1430"/>
        <v>297.89223760438909</v>
      </c>
      <c r="AY381" s="4">
        <f t="shared" si="1399"/>
        <v>1</v>
      </c>
      <c r="AZ381" s="38">
        <f t="shared" si="1242"/>
        <v>1072.3485329493931</v>
      </c>
      <c r="BA381" s="4">
        <f t="shared" si="1400"/>
        <v>0.3</v>
      </c>
      <c r="BB381" s="4">
        <f t="shared" si="1401"/>
        <v>46.694608244487995</v>
      </c>
      <c r="BC381" s="4">
        <f t="shared" si="1402"/>
        <v>1119.0431411938812</v>
      </c>
      <c r="BE381" s="4">
        <f t="shared" si="1222"/>
        <v>1.5</v>
      </c>
      <c r="BF381" s="4">
        <f t="shared" si="1225"/>
        <v>510.62417258880328</v>
      </c>
      <c r="BH381" s="4">
        <f t="shared" si="1248"/>
        <v>1028.5133827787015</v>
      </c>
      <c r="BI381" s="4">
        <f t="shared" si="1184"/>
        <v>0</v>
      </c>
      <c r="BJ381" s="4">
        <f t="shared" si="1249"/>
        <v>0</v>
      </c>
      <c r="BK381" s="4">
        <f t="shared" si="1309"/>
        <v>64.77</v>
      </c>
      <c r="BL381" s="4">
        <f t="shared" si="1310"/>
        <v>64.77</v>
      </c>
      <c r="BM381" s="4">
        <f t="shared" si="1311"/>
        <v>133.35</v>
      </c>
      <c r="BN381" s="4">
        <f t="shared" si="1312"/>
        <v>72.707499999999996</v>
      </c>
      <c r="BO381" s="4">
        <f t="shared" si="1313"/>
        <v>1.1058823529411765</v>
      </c>
      <c r="BP381" s="25">
        <f t="shared" si="1314"/>
        <v>4</v>
      </c>
      <c r="BR381" s="4">
        <f t="shared" si="1403"/>
        <v>64.77</v>
      </c>
      <c r="BV381" s="9"/>
      <c r="BX381" s="9"/>
      <c r="BY381" s="9"/>
      <c r="BZ381" s="9">
        <f t="shared" si="1404"/>
        <v>64.77</v>
      </c>
      <c r="CA381" s="9">
        <f t="shared" si="1405"/>
        <v>88.265000000000001</v>
      </c>
      <c r="CB381" s="9">
        <f t="shared" si="1233"/>
        <v>2.1158860526359717</v>
      </c>
      <c r="CC381" s="40">
        <f t="shared" si="1431"/>
        <v>20</v>
      </c>
      <c r="CD381" s="9">
        <f t="shared" si="1406"/>
        <v>0</v>
      </c>
      <c r="CE381" s="9">
        <f t="shared" si="1407"/>
        <v>0</v>
      </c>
      <c r="CF381" s="9">
        <f t="shared" si="1408"/>
        <v>1</v>
      </c>
      <c r="CG381" s="9">
        <f t="shared" si="1409"/>
        <v>0.68</v>
      </c>
      <c r="CH381" s="9">
        <f t="shared" si="1234"/>
        <v>1.3535658143559566</v>
      </c>
      <c r="CI381" s="9">
        <f t="shared" si="1235"/>
        <v>2.8639910279206195</v>
      </c>
      <c r="CJ381" s="40">
        <v>1</v>
      </c>
      <c r="CK381" s="9">
        <f t="shared" si="1236"/>
        <v>285.8492165147012</v>
      </c>
      <c r="CM381" s="4">
        <f t="shared" si="1410"/>
        <v>2.6369174561121116</v>
      </c>
      <c r="CN381" s="4">
        <f t="shared" si="1411"/>
        <v>0.70195438626366125</v>
      </c>
      <c r="CO381" s="4">
        <f t="shared" si="1376"/>
        <v>1.5383471514809657</v>
      </c>
      <c r="CP381" s="4">
        <f t="shared" si="1412"/>
        <v>2.7480125744508079</v>
      </c>
      <c r="CQ381" s="4">
        <f t="shared" si="1324"/>
        <v>0.98338913792026705</v>
      </c>
      <c r="CR381" s="4">
        <f t="shared" si="1325"/>
        <v>1.000825177613299</v>
      </c>
      <c r="CS381" s="4">
        <f t="shared" si="1377"/>
        <v>1.3120228562170784</v>
      </c>
      <c r="CT381" s="4">
        <f t="shared" si="1432"/>
        <v>0</v>
      </c>
      <c r="CU381" s="4">
        <f t="shared" si="1436"/>
        <v>2.6369174561121116</v>
      </c>
      <c r="CV381" s="4">
        <f t="shared" si="1436"/>
        <v>0.70195438626366125</v>
      </c>
      <c r="CW381" s="4">
        <f t="shared" si="1437"/>
        <v>2.7480125744508079</v>
      </c>
      <c r="CX381" s="4">
        <f t="shared" si="1438"/>
        <v>1.3120228562170784</v>
      </c>
      <c r="CY381" s="4">
        <f t="shared" si="1439"/>
        <v>0.98338913792026705</v>
      </c>
      <c r="CZ381" s="4">
        <f t="shared" si="1439"/>
        <v>1.000825177613299</v>
      </c>
      <c r="DI381" s="4">
        <f t="shared" si="1417"/>
        <v>157.98799999999997</v>
      </c>
      <c r="DL381" s="4">
        <f t="shared" si="1286"/>
        <v>1.8068358394329439E-5</v>
      </c>
      <c r="DM381" s="4">
        <f t="shared" si="1287"/>
        <v>9.5981496427943913</v>
      </c>
      <c r="DN381" s="4">
        <f t="shared" si="1288"/>
        <v>0.2755138171079774</v>
      </c>
      <c r="DO381" s="4">
        <f t="shared" si="1289"/>
        <v>5.7311908412492434</v>
      </c>
      <c r="DP381" s="4">
        <f t="shared" si="1290"/>
        <v>7.9062213498050378</v>
      </c>
      <c r="DQ381" s="4">
        <f t="shared" si="1291"/>
        <v>9.2547968955127349</v>
      </c>
      <c r="DR381" s="38">
        <f t="shared" si="1318"/>
        <v>798.7857614947543</v>
      </c>
      <c r="DS381" s="4">
        <f t="shared" si="1292"/>
        <v>1.0000962977108665</v>
      </c>
      <c r="DT381" s="4">
        <f t="shared" si="1293"/>
        <v>3.7549966711037173</v>
      </c>
      <c r="DU381" s="4">
        <f t="shared" si="1294"/>
        <v>503.30280744753645</v>
      </c>
      <c r="DY381" s="4">
        <f t="shared" si="1295"/>
        <v>0.85</v>
      </c>
      <c r="DZ381" s="4">
        <f t="shared" si="1296"/>
        <v>0.7</v>
      </c>
      <c r="EA381" s="4">
        <f t="shared" si="1319"/>
        <v>1</v>
      </c>
      <c r="EB381" s="4">
        <f t="shared" si="1297"/>
        <v>0.7</v>
      </c>
      <c r="ED381" s="4">
        <f t="shared" si="1320"/>
        <v>784.86958456876505</v>
      </c>
      <c r="EE381" s="25">
        <f t="shared" si="1321"/>
        <v>498.30722883349574</v>
      </c>
      <c r="EG381" s="4">
        <f t="shared" si="1213"/>
        <v>0.59499999999999997</v>
      </c>
      <c r="EH381" s="4">
        <f t="shared" si="1322"/>
        <v>9.5981496427943913</v>
      </c>
      <c r="EK381" s="4">
        <f t="shared" si="1298"/>
        <v>59.610572153771514</v>
      </c>
      <c r="EL381" s="4">
        <f t="shared" si="1299"/>
        <v>3.7549966711037173</v>
      </c>
      <c r="EM381" s="4">
        <f t="shared" si="1300"/>
        <v>8.5680317937207151E-2</v>
      </c>
      <c r="EP381" s="4">
        <f t="shared" si="1433"/>
        <v>8.5680317937207151E-2</v>
      </c>
      <c r="EQ381" s="4">
        <f t="shared" si="1237"/>
        <v>0.2750540358960194</v>
      </c>
      <c r="ER381" s="4">
        <f t="shared" si="1301"/>
        <v>5.7273632084746113</v>
      </c>
      <c r="ES381" s="4">
        <f t="shared" si="1418"/>
        <v>7.9048406704128062</v>
      </c>
      <c r="ET381" s="4">
        <f t="shared" si="1302"/>
        <v>58.880427846228471</v>
      </c>
      <c r="EU381" s="4">
        <f t="shared" si="1303"/>
        <v>39.496999999999986</v>
      </c>
      <c r="EV381" s="4">
        <f t="shared" si="1238"/>
        <v>1.8068358394329436E-5</v>
      </c>
      <c r="EW381" s="4">
        <f t="shared" si="1419"/>
        <v>9.2549035009666163</v>
      </c>
      <c r="EX381" s="4">
        <f t="shared" si="1250"/>
        <v>798.70884766107565</v>
      </c>
      <c r="FG381" s="23">
        <f t="shared" si="1143"/>
        <v>2.2000000000000002</v>
      </c>
      <c r="FH381" s="23">
        <f t="shared" si="1143"/>
        <v>0.8</v>
      </c>
      <c r="FI381" s="23">
        <f t="shared" si="1382"/>
        <v>1.4</v>
      </c>
      <c r="FJ381" s="23">
        <f t="shared" si="1144"/>
        <v>2.2000000000000002</v>
      </c>
      <c r="FK381" s="23">
        <f t="shared" si="1144"/>
        <v>1</v>
      </c>
      <c r="FL381" s="23">
        <f t="shared" si="1144"/>
        <v>1.2</v>
      </c>
      <c r="FM381" s="23">
        <f t="shared" si="1330"/>
        <v>0</v>
      </c>
      <c r="FN381" s="23"/>
      <c r="FX381" s="4">
        <f t="shared" si="1200"/>
        <v>1</v>
      </c>
      <c r="FY381" s="4">
        <f t="shared" si="1258"/>
        <v>0.5</v>
      </c>
      <c r="FZ381" s="4">
        <f t="shared" si="1201"/>
        <v>0</v>
      </c>
      <c r="GA381" s="4">
        <f t="shared" si="1202"/>
        <v>598.70697957516688</v>
      </c>
    </row>
    <row r="382" spans="1:183" ht="12" customHeight="1" x14ac:dyDescent="0.3">
      <c r="A382" s="25">
        <v>364</v>
      </c>
      <c r="B382" s="4" t="s">
        <v>605</v>
      </c>
      <c r="C382" s="4">
        <v>2016</v>
      </c>
      <c r="D382" s="4" t="s">
        <v>309</v>
      </c>
      <c r="E382" s="24" t="s">
        <v>673</v>
      </c>
      <c r="F382" s="7" t="s">
        <v>529</v>
      </c>
      <c r="G382" s="38">
        <f t="shared" si="1394"/>
        <v>958.62068965517244</v>
      </c>
      <c r="H382" s="38">
        <f>6*25.4</f>
        <v>152.39999999999998</v>
      </c>
      <c r="I382" s="4">
        <f t="shared" si="1420"/>
        <v>152.39999999999998</v>
      </c>
      <c r="J382" s="38">
        <f t="shared" si="1434"/>
        <v>32.344827586206897</v>
      </c>
      <c r="K382" s="38">
        <f t="shared" si="1396"/>
        <v>15.875</v>
      </c>
      <c r="L382" s="7">
        <f t="shared" si="1421"/>
        <v>9.5999999999999979</v>
      </c>
      <c r="M382" s="7">
        <f t="shared" si="1422"/>
        <v>9.5999999999999979</v>
      </c>
      <c r="N382" s="38">
        <f>13.1*25.4</f>
        <v>332.73999999999995</v>
      </c>
      <c r="O382" s="38">
        <f>2.55*25.4</f>
        <v>64.77</v>
      </c>
      <c r="P382" s="39">
        <f>3.2*25.4</f>
        <v>81.28</v>
      </c>
      <c r="Q382" s="7">
        <f t="shared" si="1423"/>
        <v>171.44999999999996</v>
      </c>
      <c r="R382" s="38">
        <v>2</v>
      </c>
      <c r="S382" s="4">
        <f t="shared" si="1390"/>
        <v>133.35</v>
      </c>
      <c r="T382" s="7">
        <f t="shared" si="1424"/>
        <v>4.58</v>
      </c>
      <c r="U382" s="7">
        <f t="shared" si="1247"/>
        <v>4.58</v>
      </c>
      <c r="V382" s="38">
        <v>4</v>
      </c>
      <c r="W382" s="4">
        <f t="shared" si="1425"/>
        <v>4</v>
      </c>
      <c r="X382" s="4">
        <f t="shared" si="1426"/>
        <v>5</v>
      </c>
      <c r="Y382" s="7">
        <f t="shared" si="1427"/>
        <v>35.497579142809165</v>
      </c>
      <c r="AB382" s="38">
        <f t="shared" si="1151"/>
        <v>843.44827586206895</v>
      </c>
      <c r="AC382" s="4">
        <v>122.3</v>
      </c>
      <c r="AD382" s="4">
        <f t="shared" si="1279"/>
        <v>1.036322161226584</v>
      </c>
      <c r="AE382" s="38">
        <f t="shared" ref="AE382:AE384" si="1440">0.375*25.4</f>
        <v>9.5249999999999986</v>
      </c>
      <c r="AF382" s="38">
        <v>4</v>
      </c>
      <c r="AG382" s="39">
        <f>3.5*25.4</f>
        <v>88.899999999999991</v>
      </c>
      <c r="AH382" s="39">
        <v>2</v>
      </c>
      <c r="AI382" s="39">
        <f t="shared" ref="AI382:AI384" si="1441">AH382-1</f>
        <v>1</v>
      </c>
      <c r="AJ382" s="7"/>
      <c r="AK382" s="4">
        <f t="shared" si="1429"/>
        <v>152.39999999999998</v>
      </c>
      <c r="AL382" s="4">
        <f t="shared" si="1304"/>
        <v>0.72777777777777763</v>
      </c>
      <c r="AM382" s="4">
        <f t="shared" si="1305"/>
        <v>270.29158549016233</v>
      </c>
      <c r="AN382" s="4">
        <f t="shared" si="1306"/>
        <v>0.79541666666666666</v>
      </c>
      <c r="AO382" s="4">
        <v>1.25</v>
      </c>
      <c r="AP382" s="4">
        <f t="shared" si="1221"/>
        <v>2.5</v>
      </c>
      <c r="AQ382" s="38">
        <f t="shared" si="1398"/>
        <v>488.96303101703046</v>
      </c>
      <c r="AR382" s="38">
        <f t="shared" si="1307"/>
        <v>488.96303101703046</v>
      </c>
      <c r="AS382" s="38">
        <f t="shared" si="1308"/>
        <v>3.0454944685430494</v>
      </c>
      <c r="AT382" s="38">
        <f t="shared" si="1230"/>
        <v>488.96303101703029</v>
      </c>
      <c r="AU382" s="38">
        <f t="shared" si="1199"/>
        <v>1.0000000000000004</v>
      </c>
      <c r="AV382" s="38">
        <f t="shared" si="1231"/>
        <v>1.2118651182008726</v>
      </c>
      <c r="AW382" s="4">
        <f t="shared" si="1232"/>
        <v>0</v>
      </c>
      <c r="AX382" s="4">
        <f t="shared" si="1430"/>
        <v>287.35585621002161</v>
      </c>
      <c r="AY382" s="4">
        <f t="shared" si="1399"/>
        <v>1</v>
      </c>
      <c r="AZ382" s="38">
        <f t="shared" si="1242"/>
        <v>592.55724137931031</v>
      </c>
      <c r="BA382" s="4">
        <f t="shared" si="1400"/>
        <v>0.44000000000000006</v>
      </c>
      <c r="BB382" s="4">
        <f t="shared" si="1401"/>
        <v>66.063111342683982</v>
      </c>
      <c r="BC382" s="4">
        <f t="shared" si="1402"/>
        <v>658.62035272199432</v>
      </c>
      <c r="BE382" s="4">
        <f t="shared" si="1222"/>
        <v>1.5</v>
      </c>
      <c r="BF382" s="4">
        <f t="shared" si="1225"/>
        <v>501.61556649661907</v>
      </c>
      <c r="BH382" s="4">
        <f t="shared" si="1248"/>
        <v>568.33485951140074</v>
      </c>
      <c r="BI382" s="4">
        <f t="shared" si="1184"/>
        <v>0</v>
      </c>
      <c r="BJ382" s="4">
        <f t="shared" si="1249"/>
        <v>0</v>
      </c>
      <c r="BK382" s="4">
        <f t="shared" si="1309"/>
        <v>64.77</v>
      </c>
      <c r="BL382" s="4">
        <f t="shared" si="1310"/>
        <v>64.77</v>
      </c>
      <c r="BM382" s="4">
        <f t="shared" si="1311"/>
        <v>133.35</v>
      </c>
      <c r="BN382" s="4">
        <f t="shared" si="1312"/>
        <v>72.707499999999996</v>
      </c>
      <c r="BO382" s="4">
        <f t="shared" si="1313"/>
        <v>1.1058823529411765</v>
      </c>
      <c r="BP382" s="25">
        <f t="shared" si="1314"/>
        <v>4</v>
      </c>
      <c r="BR382" s="4">
        <f t="shared" si="1403"/>
        <v>64.77</v>
      </c>
      <c r="BV382" s="9"/>
      <c r="BX382" s="9"/>
      <c r="BY382" s="9"/>
      <c r="BZ382" s="9">
        <f t="shared" si="1404"/>
        <v>64.77</v>
      </c>
      <c r="CA382" s="9">
        <f t="shared" si="1405"/>
        <v>85.72499999999998</v>
      </c>
      <c r="CB382" s="9">
        <f t="shared" si="1233"/>
        <v>2.1066390052415969</v>
      </c>
      <c r="CC382" s="40">
        <f t="shared" si="1431"/>
        <v>20</v>
      </c>
      <c r="CD382" s="9">
        <f t="shared" si="1406"/>
        <v>0.05</v>
      </c>
      <c r="CE382" s="9">
        <f t="shared" si="1407"/>
        <v>0.8</v>
      </c>
      <c r="CF382" s="9">
        <f t="shared" si="1408"/>
        <v>1</v>
      </c>
      <c r="CG382" s="9">
        <f t="shared" si="1409"/>
        <v>0.68</v>
      </c>
      <c r="CH382" s="9">
        <f t="shared" si="1234"/>
        <v>1.3535658143559566</v>
      </c>
      <c r="CI382" s="9">
        <f t="shared" si="1235"/>
        <v>3.3839145358898914</v>
      </c>
      <c r="CJ382" s="40">
        <v>1</v>
      </c>
      <c r="CK382" s="9">
        <f t="shared" si="1236"/>
        <v>332.97719033156528</v>
      </c>
      <c r="CM382" s="4">
        <f t="shared" si="1410"/>
        <v>2.9352047561738659</v>
      </c>
      <c r="CN382" s="4">
        <f t="shared" si="1411"/>
        <v>1.280628927387689</v>
      </c>
      <c r="CO382" s="4">
        <f t="shared" si="1376"/>
        <v>1.6814635194694538</v>
      </c>
      <c r="CP382" s="4">
        <f t="shared" si="1412"/>
        <v>2.5330512129740694</v>
      </c>
      <c r="CQ382" s="4">
        <f t="shared" si="1324"/>
        <v>1.036322161226584</v>
      </c>
      <c r="CR382" s="4">
        <f t="shared" si="1325"/>
        <v>1.1093102722998569</v>
      </c>
      <c r="CS382" s="4">
        <f t="shared" si="1377"/>
        <v>1.3540876305298664</v>
      </c>
      <c r="CT382" s="4">
        <f t="shared" si="1432"/>
        <v>4</v>
      </c>
      <c r="DA382" s="4">
        <f t="shared" ref="DA382:DB384" si="1442">CM382</f>
        <v>2.9352047561738659</v>
      </c>
      <c r="DB382" s="4">
        <f t="shared" si="1442"/>
        <v>1.280628927387689</v>
      </c>
      <c r="DC382" s="4">
        <f t="shared" ref="DC382:DC384" si="1443">CP382</f>
        <v>2.5330512129740694</v>
      </c>
      <c r="DD382" s="4">
        <f t="shared" ref="DD382:DD384" si="1444">CS382</f>
        <v>1.3540876305298664</v>
      </c>
      <c r="DE382" s="4">
        <f t="shared" ref="DE382:DF384" si="1445">CQ382</f>
        <v>1.036322161226584</v>
      </c>
      <c r="DF382" s="4">
        <f t="shared" si="1445"/>
        <v>1.1093102722998569</v>
      </c>
      <c r="DI382" s="4">
        <f t="shared" si="1417"/>
        <v>152.39999999999998</v>
      </c>
      <c r="DL382" s="4">
        <f t="shared" si="1286"/>
        <v>1.7429284624755085E-5</v>
      </c>
      <c r="DM382" s="4">
        <f t="shared" si="1287"/>
        <v>9.5981496427943913</v>
      </c>
      <c r="DN382" s="4">
        <f t="shared" si="1288"/>
        <v>0.52200757557226207</v>
      </c>
      <c r="DO382" s="4">
        <f t="shared" si="1289"/>
        <v>7.4004518777607604</v>
      </c>
      <c r="DP382" s="4">
        <f t="shared" si="1290"/>
        <v>8.570156296053419</v>
      </c>
      <c r="DQ382" s="4">
        <f t="shared" si="1291"/>
        <v>9.2254992877311519</v>
      </c>
      <c r="DR382" s="38">
        <f t="shared" si="1318"/>
        <v>813.88617113405087</v>
      </c>
      <c r="DS382" s="4">
        <f t="shared" si="1292"/>
        <v>1.0001050017855873</v>
      </c>
      <c r="DT382" s="4">
        <f t="shared" si="1293"/>
        <v>2.2360679774997898</v>
      </c>
      <c r="DU382" s="4">
        <f t="shared" si="1294"/>
        <v>488.96303101703029</v>
      </c>
      <c r="DY382" s="4">
        <f t="shared" si="1295"/>
        <v>0.85</v>
      </c>
      <c r="DZ382" s="4">
        <f t="shared" si="1296"/>
        <v>0.7</v>
      </c>
      <c r="EA382" s="4">
        <f t="shared" si="1319"/>
        <v>0.85899999999999999</v>
      </c>
      <c r="EB382" s="4">
        <f t="shared" si="1297"/>
        <v>0.7</v>
      </c>
      <c r="ED382" s="4">
        <f t="shared" si="1320"/>
        <v>760.3357662175124</v>
      </c>
      <c r="EE382" s="25">
        <f t="shared" si="1321"/>
        <v>483.90905650503407</v>
      </c>
      <c r="EG382" s="4">
        <f t="shared" si="1213"/>
        <v>0.59499999999999997</v>
      </c>
      <c r="EH382" s="4">
        <f t="shared" si="1322"/>
        <v>9.5981496427943913</v>
      </c>
      <c r="EK382" s="4">
        <f t="shared" si="1298"/>
        <v>35.497579142809165</v>
      </c>
      <c r="EL382" s="4">
        <f t="shared" si="1299"/>
        <v>2.2360679774997898</v>
      </c>
      <c r="EM382" s="4">
        <f t="shared" si="1300"/>
        <v>0.16233586943167169</v>
      </c>
      <c r="EP382" s="4">
        <f t="shared" si="1433"/>
        <v>0.16233586943167169</v>
      </c>
      <c r="EQ382" s="4">
        <f t="shared" si="1237"/>
        <v>0.52113644221761857</v>
      </c>
      <c r="ER382" s="4">
        <f t="shared" si="1301"/>
        <v>7.3955094124094876</v>
      </c>
      <c r="ES382" s="4">
        <f t="shared" si="1418"/>
        <v>8.5680239121396582</v>
      </c>
      <c r="ET382" s="4">
        <f t="shared" si="1302"/>
        <v>78.80242085719081</v>
      </c>
      <c r="EU382" s="4">
        <f t="shared" si="1303"/>
        <v>38.099999999999994</v>
      </c>
      <c r="EV382" s="4">
        <f t="shared" si="1238"/>
        <v>1.7429284624755085E-5</v>
      </c>
      <c r="EW382" s="4">
        <f t="shared" si="1419"/>
        <v>9.225613481523542</v>
      </c>
      <c r="EX382" s="4">
        <f t="shared" si="1250"/>
        <v>813.80072060527505</v>
      </c>
      <c r="FG382" s="23">
        <f t="shared" si="1143"/>
        <v>2.2000000000000002</v>
      </c>
      <c r="FH382" s="23">
        <f t="shared" si="1143"/>
        <v>1.4</v>
      </c>
      <c r="FI382" s="23">
        <f t="shared" si="1382"/>
        <v>1.4</v>
      </c>
      <c r="FJ382" s="23">
        <f t="shared" si="1144"/>
        <v>2.2000000000000002</v>
      </c>
      <c r="FK382" s="23">
        <f t="shared" si="1144"/>
        <v>1.2</v>
      </c>
      <c r="FL382" s="23">
        <f t="shared" si="1144"/>
        <v>1.2</v>
      </c>
      <c r="FM382" s="23">
        <f t="shared" si="1330"/>
        <v>0</v>
      </c>
      <c r="FN382" s="23"/>
      <c r="FX382" s="4">
        <f t="shared" si="1200"/>
        <v>1</v>
      </c>
      <c r="FY382" s="4">
        <f t="shared" si="1258"/>
        <v>0.46358941059918601</v>
      </c>
      <c r="FZ382" s="4">
        <f t="shared" si="1201"/>
        <v>0.3</v>
      </c>
      <c r="GA382" s="4">
        <f t="shared" si="1202"/>
        <v>622.89046649958709</v>
      </c>
    </row>
    <row r="383" spans="1:183" ht="12" customHeight="1" x14ac:dyDescent="0.3">
      <c r="A383" s="25">
        <v>365</v>
      </c>
      <c r="B383" s="4" t="s">
        <v>605</v>
      </c>
      <c r="C383" s="4">
        <v>2016</v>
      </c>
      <c r="D383" s="4" t="s">
        <v>309</v>
      </c>
      <c r="E383" s="24" t="s">
        <v>673</v>
      </c>
      <c r="F383" s="7" t="s">
        <v>530</v>
      </c>
      <c r="G383" s="38">
        <f t="shared" si="1394"/>
        <v>958.62068965517244</v>
      </c>
      <c r="H383" s="38">
        <f>5.94*25.4</f>
        <v>150.876</v>
      </c>
      <c r="I383" s="4">
        <f t="shared" si="1420"/>
        <v>150.876</v>
      </c>
      <c r="J383" s="38">
        <f t="shared" si="1434"/>
        <v>32.344827586206897</v>
      </c>
      <c r="K383" s="38">
        <f t="shared" si="1396"/>
        <v>15.875</v>
      </c>
      <c r="L383" s="7">
        <f t="shared" si="1421"/>
        <v>9.5039999999999996</v>
      </c>
      <c r="M383" s="7">
        <f t="shared" si="1422"/>
        <v>9.5039999999999996</v>
      </c>
      <c r="N383" s="38">
        <f>12.9*25.4</f>
        <v>327.65999999999997</v>
      </c>
      <c r="O383" s="38">
        <f>2.55*25.4</f>
        <v>64.77</v>
      </c>
      <c r="P383" s="39">
        <f>3.25*25.4</f>
        <v>82.55</v>
      </c>
      <c r="Q383" s="7">
        <f t="shared" si="1423"/>
        <v>166.36999999999998</v>
      </c>
      <c r="R383" s="38">
        <v>2</v>
      </c>
      <c r="S383" s="4">
        <f t="shared" si="1390"/>
        <v>133.35</v>
      </c>
      <c r="T383" s="7">
        <f t="shared" si="1424"/>
        <v>4.58</v>
      </c>
      <c r="U383" s="7">
        <f t="shared" si="1247"/>
        <v>4.58</v>
      </c>
      <c r="V383" s="38">
        <v>13.1</v>
      </c>
      <c r="W383" s="4">
        <f t="shared" si="1425"/>
        <v>13.1</v>
      </c>
      <c r="X383" s="4">
        <f t="shared" si="1426"/>
        <v>14.1</v>
      </c>
      <c r="Y383" s="7">
        <f t="shared" si="1427"/>
        <v>59.610572153771514</v>
      </c>
      <c r="AB383" s="38">
        <f t="shared" si="1151"/>
        <v>1032.4137931034484</v>
      </c>
      <c r="AC383" s="4">
        <v>149.69999999999999</v>
      </c>
      <c r="AD383" s="4">
        <f t="shared" si="1279"/>
        <v>1.3610574349331113</v>
      </c>
      <c r="AE383" s="38">
        <f t="shared" si="1440"/>
        <v>9.5249999999999986</v>
      </c>
      <c r="AF383" s="38">
        <v>4</v>
      </c>
      <c r="AG383" s="39">
        <f>3.5*25.4</f>
        <v>88.899999999999991</v>
      </c>
      <c r="AH383" s="39">
        <v>2</v>
      </c>
      <c r="AI383" s="39">
        <f t="shared" si="1441"/>
        <v>1</v>
      </c>
      <c r="AJ383" s="7"/>
      <c r="AK383" s="4">
        <f t="shared" si="1429"/>
        <v>150.876</v>
      </c>
      <c r="AL383" s="4">
        <f t="shared" si="1304"/>
        <v>0.72390572390572394</v>
      </c>
      <c r="AM383" s="4">
        <f t="shared" si="1305"/>
        <v>266.24736459915772</v>
      </c>
      <c r="AN383" s="4">
        <f t="shared" si="1306"/>
        <v>0.7963804713804713</v>
      </c>
      <c r="AO383" s="4">
        <v>1.25</v>
      </c>
      <c r="AP383" s="4">
        <f t="shared" si="1221"/>
        <v>2.5</v>
      </c>
      <c r="AQ383" s="38">
        <f t="shared" si="1398"/>
        <v>479.66491341021003</v>
      </c>
      <c r="AR383" s="38">
        <f t="shared" si="1307"/>
        <v>479.66491341021003</v>
      </c>
      <c r="AS383" s="38">
        <f t="shared" si="1308"/>
        <v>3.0454944685430494</v>
      </c>
      <c r="AT383" s="38">
        <f t="shared" si="1230"/>
        <v>479.66491341021054</v>
      </c>
      <c r="AU383" s="38">
        <f t="shared" si="1199"/>
        <v>0.99999999999999889</v>
      </c>
      <c r="AV383" s="38">
        <f t="shared" si="1231"/>
        <v>2.2356201234846589</v>
      </c>
      <c r="AW383" s="4">
        <f t="shared" si="1232"/>
        <v>0</v>
      </c>
      <c r="AX383" s="4">
        <f t="shared" si="1430"/>
        <v>284.48229764792148</v>
      </c>
      <c r="AY383" s="4">
        <f t="shared" si="1399"/>
        <v>1</v>
      </c>
      <c r="AZ383" s="38">
        <f t="shared" si="1242"/>
        <v>1072.3485329493931</v>
      </c>
      <c r="BA383" s="4">
        <f t="shared" si="1400"/>
        <v>0.3</v>
      </c>
      <c r="BB383" s="4">
        <f t="shared" si="1401"/>
        <v>44.592600156311697</v>
      </c>
      <c r="BC383" s="4">
        <f t="shared" si="1402"/>
        <v>1116.9411331057047</v>
      </c>
      <c r="BE383" s="4">
        <f t="shared" si="1222"/>
        <v>1.5</v>
      </c>
      <c r="BF383" s="4">
        <f t="shared" si="1225"/>
        <v>499.15867392602348</v>
      </c>
      <c r="BH383" s="4">
        <f t="shared" si="1248"/>
        <v>1028.5133827787015</v>
      </c>
      <c r="BI383" s="4">
        <f t="shared" si="1184"/>
        <v>0</v>
      </c>
      <c r="BJ383" s="4">
        <f t="shared" si="1249"/>
        <v>0</v>
      </c>
      <c r="BK383" s="4">
        <f t="shared" si="1309"/>
        <v>64.77</v>
      </c>
      <c r="BL383" s="4">
        <f t="shared" si="1310"/>
        <v>64.77</v>
      </c>
      <c r="BM383" s="4">
        <f t="shared" si="1311"/>
        <v>133.35</v>
      </c>
      <c r="BN383" s="4">
        <f t="shared" si="1312"/>
        <v>72.707499999999996</v>
      </c>
      <c r="BO383" s="4">
        <f t="shared" si="1313"/>
        <v>1.1058823529411765</v>
      </c>
      <c r="BP383" s="25">
        <f t="shared" si="1314"/>
        <v>4</v>
      </c>
      <c r="BR383" s="4">
        <f t="shared" si="1403"/>
        <v>64.77</v>
      </c>
      <c r="BV383" s="9"/>
      <c r="BX383" s="9"/>
      <c r="BY383" s="9"/>
      <c r="BZ383" s="9">
        <f t="shared" si="1404"/>
        <v>64.77</v>
      </c>
      <c r="CA383" s="9">
        <f t="shared" si="1405"/>
        <v>83.184999999999988</v>
      </c>
      <c r="CB383" s="9">
        <f t="shared" si="1233"/>
        <v>2.0971560619797187</v>
      </c>
      <c r="CC383" s="40">
        <f t="shared" si="1431"/>
        <v>20</v>
      </c>
      <c r="CD383" s="9">
        <f t="shared" si="1406"/>
        <v>0.05</v>
      </c>
      <c r="CE383" s="9">
        <f t="shared" si="1407"/>
        <v>0.8</v>
      </c>
      <c r="CF383" s="9">
        <f t="shared" si="1408"/>
        <v>1</v>
      </c>
      <c r="CG383" s="9">
        <f t="shared" si="1409"/>
        <v>0.68</v>
      </c>
      <c r="CH383" s="9">
        <f t="shared" si="1234"/>
        <v>1.3535658143559566</v>
      </c>
      <c r="CI383" s="9">
        <f t="shared" si="1235"/>
        <v>3.3839145358898914</v>
      </c>
      <c r="CJ383" s="40">
        <v>1</v>
      </c>
      <c r="CK383" s="9">
        <f t="shared" si="1236"/>
        <v>331.67776714978356</v>
      </c>
      <c r="CM383" s="4">
        <f t="shared" si="1410"/>
        <v>3.6290967896398789</v>
      </c>
      <c r="CN383" s="4">
        <f t="shared" si="1411"/>
        <v>0.92432247546723945</v>
      </c>
      <c r="CO383" s="4">
        <f t="shared" si="1376"/>
        <v>2.068307828817685</v>
      </c>
      <c r="CP383" s="4">
        <f t="shared" si="1412"/>
        <v>3.1127012279879973</v>
      </c>
      <c r="CQ383" s="4">
        <f t="shared" si="1324"/>
        <v>1.3610574349331113</v>
      </c>
      <c r="CR383" s="4">
        <f t="shared" si="1325"/>
        <v>1.3796539954432834</v>
      </c>
      <c r="CS383" s="4">
        <f t="shared" si="1377"/>
        <v>1.6741983885487828</v>
      </c>
      <c r="CT383" s="4">
        <f t="shared" si="1432"/>
        <v>4</v>
      </c>
      <c r="DA383" s="4">
        <f t="shared" si="1442"/>
        <v>3.6290967896398789</v>
      </c>
      <c r="DB383" s="4">
        <f t="shared" si="1442"/>
        <v>0.92432247546723945</v>
      </c>
      <c r="DC383" s="4">
        <f t="shared" si="1443"/>
        <v>3.1127012279879973</v>
      </c>
      <c r="DD383" s="4">
        <f t="shared" si="1444"/>
        <v>1.6741983885487828</v>
      </c>
      <c r="DE383" s="4">
        <f t="shared" si="1445"/>
        <v>1.3610574349331113</v>
      </c>
      <c r="DF383" s="4">
        <f t="shared" si="1445"/>
        <v>1.3796539954432834</v>
      </c>
      <c r="DI383" s="4">
        <f t="shared" si="1417"/>
        <v>150.876</v>
      </c>
      <c r="DL383" s="4">
        <f t="shared" si="1286"/>
        <v>1.7254991778507537E-5</v>
      </c>
      <c r="DM383" s="4">
        <f t="shared" si="1287"/>
        <v>9.5981496427943913</v>
      </c>
      <c r="DN383" s="4">
        <f t="shared" si="1288"/>
        <v>0.26257415867919665</v>
      </c>
      <c r="DO383" s="4">
        <f t="shared" si="1289"/>
        <v>5.6219672285104876</v>
      </c>
      <c r="DP383" s="4">
        <f t="shared" si="1290"/>
        <v>7.8671022829311426</v>
      </c>
      <c r="DQ383" s="4">
        <f t="shared" si="1291"/>
        <v>9.289580301332089</v>
      </c>
      <c r="DR383" s="38">
        <f t="shared" si="1318"/>
        <v>758.53800626289217</v>
      </c>
      <c r="DS383" s="4">
        <f t="shared" si="1292"/>
        <v>1.0000968739452987</v>
      </c>
      <c r="DT383" s="4">
        <f t="shared" si="1293"/>
        <v>3.7549966711037173</v>
      </c>
      <c r="DU383" s="4">
        <f t="shared" si="1294"/>
        <v>479.66491341021054</v>
      </c>
      <c r="DY383" s="4">
        <f t="shared" si="1295"/>
        <v>0.85</v>
      </c>
      <c r="DZ383" s="4">
        <f t="shared" si="1296"/>
        <v>0.7</v>
      </c>
      <c r="EA383" s="4">
        <f t="shared" si="1319"/>
        <v>0.85899999999999999</v>
      </c>
      <c r="EB383" s="4">
        <f t="shared" si="1297"/>
        <v>0.7</v>
      </c>
      <c r="ED383" s="4">
        <f t="shared" si="1320"/>
        <v>748.31356014863229</v>
      </c>
      <c r="EE383" s="25">
        <f t="shared" si="1321"/>
        <v>474.65111753327864</v>
      </c>
      <c r="EG383" s="4">
        <f t="shared" si="1213"/>
        <v>0.59499999999999997</v>
      </c>
      <c r="EH383" s="4">
        <f t="shared" si="1322"/>
        <v>9.5981496427943913</v>
      </c>
      <c r="EK383" s="4">
        <f t="shared" si="1298"/>
        <v>59.610572153771514</v>
      </c>
      <c r="EL383" s="4">
        <f t="shared" si="1299"/>
        <v>3.7549966711037173</v>
      </c>
      <c r="EM383" s="4">
        <f t="shared" si="1300"/>
        <v>8.1656294533174772E-2</v>
      </c>
      <c r="EP383" s="4">
        <f t="shared" si="1433"/>
        <v>8.1656294533174772E-2</v>
      </c>
      <c r="EQ383" s="4">
        <f t="shared" si="1237"/>
        <v>0.26213597134553179</v>
      </c>
      <c r="ER383" s="4">
        <f t="shared" si="1301"/>
        <v>5.618212541811368</v>
      </c>
      <c r="ES383" s="4">
        <f t="shared" si="1418"/>
        <v>7.8657678741570898</v>
      </c>
      <c r="ET383" s="4">
        <f t="shared" si="1302"/>
        <v>53.546427846228497</v>
      </c>
      <c r="EU383" s="4">
        <f t="shared" si="1303"/>
        <v>37.718999999999994</v>
      </c>
      <c r="EV383" s="4">
        <f t="shared" si="1238"/>
        <v>1.7254991778507533E-5</v>
      </c>
      <c r="EW383" s="4">
        <f t="shared" si="1419"/>
        <v>9.2896774976393353</v>
      </c>
      <c r="EX383" s="4">
        <f t="shared" si="1250"/>
        <v>758.4645308114234</v>
      </c>
      <c r="FG383" s="23">
        <f t="shared" si="1143"/>
        <v>2.2000000000000002</v>
      </c>
      <c r="FH383" s="23">
        <f t="shared" si="1143"/>
        <v>1</v>
      </c>
      <c r="FI383" s="23">
        <f t="shared" si="1382"/>
        <v>1.8</v>
      </c>
      <c r="FJ383" s="23">
        <f t="shared" si="1144"/>
        <v>2.2000000000000002</v>
      </c>
      <c r="FK383" s="23">
        <f t="shared" si="1144"/>
        <v>1.4</v>
      </c>
      <c r="FL383" s="23">
        <f t="shared" si="1144"/>
        <v>1.4</v>
      </c>
      <c r="FM383" s="23">
        <f t="shared" si="1330"/>
        <v>0</v>
      </c>
      <c r="FN383" s="23"/>
      <c r="FX383" s="4">
        <f t="shared" si="1200"/>
        <v>1</v>
      </c>
      <c r="FY383" s="4">
        <f t="shared" si="1258"/>
        <v>0.46358941059918601</v>
      </c>
      <c r="FZ383" s="4">
        <f t="shared" si="1201"/>
        <v>0.3</v>
      </c>
      <c r="GA383" s="4">
        <f t="shared" si="1202"/>
        <v>616.66156183459134</v>
      </c>
    </row>
    <row r="384" spans="1:183" ht="12" customHeight="1" x14ac:dyDescent="0.3">
      <c r="A384" s="25">
        <v>366</v>
      </c>
      <c r="B384" s="4" t="s">
        <v>605</v>
      </c>
      <c r="C384" s="4">
        <v>2016</v>
      </c>
      <c r="D384" s="4" t="s">
        <v>309</v>
      </c>
      <c r="E384" s="24" t="s">
        <v>673</v>
      </c>
      <c r="F384" s="7" t="s">
        <v>531</v>
      </c>
      <c r="G384" s="38">
        <f t="shared" si="1394"/>
        <v>958.62068965517244</v>
      </c>
      <c r="H384" s="38">
        <f>6.06*25.4</f>
        <v>153.92399999999998</v>
      </c>
      <c r="I384" s="4">
        <f t="shared" si="1420"/>
        <v>153.92399999999998</v>
      </c>
      <c r="J384" s="38">
        <f t="shared" si="1434"/>
        <v>32.344827586206897</v>
      </c>
      <c r="K384" s="38">
        <f t="shared" si="1396"/>
        <v>15.875</v>
      </c>
      <c r="L384" s="7">
        <f t="shared" si="1421"/>
        <v>9.695999999999998</v>
      </c>
      <c r="M384" s="7">
        <f t="shared" si="1422"/>
        <v>9.695999999999998</v>
      </c>
      <c r="N384" s="38">
        <f>13.1*25.4</f>
        <v>332.73999999999995</v>
      </c>
      <c r="O384" s="38">
        <f>2.55*25.4</f>
        <v>64.77</v>
      </c>
      <c r="P384" s="39">
        <f>3.15*25.4</f>
        <v>80.009999999999991</v>
      </c>
      <c r="Q384" s="7">
        <f t="shared" si="1423"/>
        <v>171.44999999999996</v>
      </c>
      <c r="R384" s="38">
        <v>2</v>
      </c>
      <c r="S384" s="4">
        <f t="shared" si="1390"/>
        <v>133.35</v>
      </c>
      <c r="T384" s="7">
        <f t="shared" si="1424"/>
        <v>4.58</v>
      </c>
      <c r="U384" s="7">
        <f t="shared" si="1247"/>
        <v>4.58</v>
      </c>
      <c r="V384" s="38">
        <v>4</v>
      </c>
      <c r="W384" s="4">
        <f t="shared" si="1425"/>
        <v>4</v>
      </c>
      <c r="X384" s="4">
        <f t="shared" si="1426"/>
        <v>5</v>
      </c>
      <c r="Y384" s="7">
        <f t="shared" si="1427"/>
        <v>35.497579142809165</v>
      </c>
      <c r="AB384" s="38">
        <f t="shared" si="1151"/>
        <v>967.58620689655186</v>
      </c>
      <c r="AC384" s="4">
        <v>140.30000000000001</v>
      </c>
      <c r="AD384" s="4">
        <f t="shared" si="1279"/>
        <v>1.1811110675219012</v>
      </c>
      <c r="AE384" s="38">
        <f t="shared" si="1440"/>
        <v>9.5249999999999986</v>
      </c>
      <c r="AF384" s="38">
        <v>10</v>
      </c>
      <c r="AG384" s="39">
        <f>1.75*25.4</f>
        <v>44.449999999999996</v>
      </c>
      <c r="AH384" s="39">
        <v>3</v>
      </c>
      <c r="AI384" s="39">
        <f t="shared" si="1441"/>
        <v>2</v>
      </c>
      <c r="AJ384" s="7"/>
      <c r="AK384" s="4">
        <f t="shared" si="1429"/>
        <v>153.92399999999998</v>
      </c>
      <c r="AL384" s="4">
        <f t="shared" si="1304"/>
        <v>0.7205720572057206</v>
      </c>
      <c r="AM384" s="4">
        <f t="shared" si="1305"/>
        <v>274.35607837678128</v>
      </c>
      <c r="AN384" s="4">
        <f t="shared" si="1306"/>
        <v>0.79447194719471947</v>
      </c>
      <c r="AO384" s="4">
        <v>1.25</v>
      </c>
      <c r="AP384" s="4">
        <f t="shared" si="1221"/>
        <v>2.5</v>
      </c>
      <c r="AQ384" s="38">
        <f t="shared" si="1398"/>
        <v>490.81812471577302</v>
      </c>
      <c r="AR384" s="38">
        <f t="shared" si="1307"/>
        <v>490.81812471577302</v>
      </c>
      <c r="AS384" s="38">
        <f t="shared" si="1308"/>
        <v>3.0454944685430494</v>
      </c>
      <c r="AT384" s="38">
        <f t="shared" si="1230"/>
        <v>490.81812471577274</v>
      </c>
      <c r="AU384" s="38">
        <f t="shared" si="1199"/>
        <v>1.0000000000000007</v>
      </c>
      <c r="AV384" s="38">
        <f t="shared" si="1231"/>
        <v>1.2072847589368334</v>
      </c>
      <c r="AW384" s="4">
        <f t="shared" si="1232"/>
        <v>0</v>
      </c>
      <c r="AX384" s="4">
        <f t="shared" si="1430"/>
        <v>290.22941477212186</v>
      </c>
      <c r="AY384" s="4">
        <f t="shared" si="1399"/>
        <v>1</v>
      </c>
      <c r="AZ384" s="38">
        <f t="shared" si="1242"/>
        <v>592.55724137931031</v>
      </c>
      <c r="BA384" s="4">
        <f t="shared" si="1400"/>
        <v>0.44000000000000006</v>
      </c>
      <c r="BB384" s="4">
        <f t="shared" si="1401"/>
        <v>66.723742456110827</v>
      </c>
      <c r="BC384" s="4">
        <f t="shared" si="1402"/>
        <v>659.28098383542113</v>
      </c>
      <c r="BE384" s="4">
        <f t="shared" si="1222"/>
        <v>1.5</v>
      </c>
      <c r="BF384" s="4">
        <f t="shared" si="1225"/>
        <v>504.07245906721477</v>
      </c>
      <c r="BH384" s="4">
        <f t="shared" si="1248"/>
        <v>568.33485951140074</v>
      </c>
      <c r="BI384" s="4">
        <f t="shared" si="1184"/>
        <v>0</v>
      </c>
      <c r="BJ384" s="4">
        <f t="shared" si="1249"/>
        <v>0</v>
      </c>
      <c r="BK384" s="4">
        <f t="shared" si="1309"/>
        <v>64.77</v>
      </c>
      <c r="BL384" s="4">
        <f t="shared" si="1310"/>
        <v>64.77</v>
      </c>
      <c r="BM384" s="4">
        <f t="shared" si="1311"/>
        <v>133.35</v>
      </c>
      <c r="BN384" s="4">
        <f t="shared" si="1312"/>
        <v>72.707499999999996</v>
      </c>
      <c r="BO384" s="4">
        <f t="shared" si="1313"/>
        <v>1.1058823529411765</v>
      </c>
      <c r="BP384" s="25">
        <f t="shared" si="1314"/>
        <v>4</v>
      </c>
      <c r="BR384" s="4">
        <f t="shared" si="1403"/>
        <v>64.77</v>
      </c>
      <c r="BV384" s="9"/>
      <c r="BX384" s="9"/>
      <c r="BY384" s="9"/>
      <c r="BZ384" s="9">
        <f t="shared" si="1404"/>
        <v>64.77</v>
      </c>
      <c r="CA384" s="9">
        <f t="shared" si="1405"/>
        <v>85.72499999999998</v>
      </c>
      <c r="CB384" s="9">
        <f t="shared" si="1233"/>
        <v>2.1066390052415969</v>
      </c>
      <c r="CC384" s="40">
        <f t="shared" si="1431"/>
        <v>20</v>
      </c>
      <c r="CD384" s="9">
        <f t="shared" si="1406"/>
        <v>0.05</v>
      </c>
      <c r="CE384" s="9">
        <f t="shared" si="1407"/>
        <v>0.8</v>
      </c>
      <c r="CF384" s="9">
        <f t="shared" si="1408"/>
        <v>1</v>
      </c>
      <c r="CG384" s="9">
        <f t="shared" si="1409"/>
        <v>0.68</v>
      </c>
      <c r="CH384" s="9">
        <f t="shared" si="1234"/>
        <v>1.3535658143559566</v>
      </c>
      <c r="CI384" s="9">
        <f t="shared" si="1235"/>
        <v>3.3839145358898914</v>
      </c>
      <c r="CJ384" s="40">
        <v>1</v>
      </c>
      <c r="CK384" s="9">
        <f t="shared" si="1236"/>
        <v>334.276613513347</v>
      </c>
      <c r="CM384" s="4">
        <f t="shared" si="1410"/>
        <v>3.3338667883001012</v>
      </c>
      <c r="CN384" s="4">
        <f t="shared" si="1411"/>
        <v>1.4676385799383138</v>
      </c>
      <c r="CO384" s="4">
        <f t="shared" si="1376"/>
        <v>1.9195379344609871</v>
      </c>
      <c r="CP384" s="4">
        <f t="shared" si="1412"/>
        <v>2.8945674563557766</v>
      </c>
      <c r="CQ384" s="4">
        <f t="shared" si="1324"/>
        <v>1.1811110675219012</v>
      </c>
      <c r="CR384" s="4">
        <f t="shared" si="1325"/>
        <v>1.2648314968012164</v>
      </c>
      <c r="CS384" s="4">
        <f t="shared" si="1377"/>
        <v>1.5380009760396056</v>
      </c>
      <c r="CT384" s="4">
        <f t="shared" si="1432"/>
        <v>10</v>
      </c>
      <c r="DA384" s="4">
        <f t="shared" si="1442"/>
        <v>3.3338667883001012</v>
      </c>
      <c r="DB384" s="4">
        <f t="shared" si="1442"/>
        <v>1.4676385799383138</v>
      </c>
      <c r="DC384" s="4">
        <f t="shared" si="1443"/>
        <v>2.8945674563557766</v>
      </c>
      <c r="DD384" s="4">
        <f t="shared" si="1444"/>
        <v>1.5380009760396056</v>
      </c>
      <c r="DE384" s="4">
        <f t="shared" si="1445"/>
        <v>1.1811110675219012</v>
      </c>
      <c r="DF384" s="4">
        <f t="shared" si="1445"/>
        <v>1.2648314968012164</v>
      </c>
      <c r="DI384" s="4">
        <f t="shared" si="1417"/>
        <v>153.92399999999998</v>
      </c>
      <c r="DL384" s="4">
        <f t="shared" si="1286"/>
        <v>1.7603577471002637E-5</v>
      </c>
      <c r="DM384" s="4">
        <f t="shared" si="1287"/>
        <v>9.5981496427943913</v>
      </c>
      <c r="DN384" s="4">
        <f t="shared" si="1288"/>
        <v>0.52398803810769279</v>
      </c>
      <c r="DO384" s="4">
        <f t="shared" si="1289"/>
        <v>7.4116698527576723</v>
      </c>
      <c r="DP384" s="4">
        <f t="shared" si="1290"/>
        <v>8.5749995423716712</v>
      </c>
      <c r="DQ384" s="4">
        <f t="shared" si="1291"/>
        <v>9.2176543034529121</v>
      </c>
      <c r="DR384" s="38">
        <f t="shared" si="1318"/>
        <v>819.21695046567675</v>
      </c>
      <c r="DS384" s="4">
        <f t="shared" si="1292"/>
        <v>1.0001052408375271</v>
      </c>
      <c r="DT384" s="4">
        <f t="shared" si="1293"/>
        <v>2.2360679774997898</v>
      </c>
      <c r="DU384" s="4">
        <f t="shared" si="1294"/>
        <v>490.81812471577274</v>
      </c>
      <c r="DY384" s="4">
        <f t="shared" si="1295"/>
        <v>0.85</v>
      </c>
      <c r="DZ384" s="4">
        <f t="shared" si="1296"/>
        <v>0.7</v>
      </c>
      <c r="EA384" s="4">
        <f t="shared" si="1319"/>
        <v>0.7</v>
      </c>
      <c r="EB384" s="4">
        <f t="shared" si="1297"/>
        <v>0.7</v>
      </c>
      <c r="ED384" s="4">
        <f t="shared" si="1320"/>
        <v>764.99218223423145</v>
      </c>
      <c r="EE384" s="25">
        <f t="shared" si="1321"/>
        <v>485.80120542462834</v>
      </c>
      <c r="EG384" s="4">
        <f t="shared" si="1213"/>
        <v>0.59499999999999997</v>
      </c>
      <c r="EH384" s="4">
        <f t="shared" si="1322"/>
        <v>9.5981496427943913</v>
      </c>
      <c r="EK384" s="4">
        <f t="shared" si="1298"/>
        <v>35.497579142809165</v>
      </c>
      <c r="EL384" s="4">
        <f t="shared" si="1299"/>
        <v>2.2360679774997898</v>
      </c>
      <c r="EM384" s="4">
        <f t="shared" si="1300"/>
        <v>0.16295176108269527</v>
      </c>
      <c r="EP384" s="4">
        <f t="shared" si="1433"/>
        <v>0.16295176108269527</v>
      </c>
      <c r="EQ384" s="4">
        <f t="shared" si="1237"/>
        <v>0.52311359973018579</v>
      </c>
      <c r="ER384" s="4">
        <f t="shared" si="1301"/>
        <v>7.4067198953702853</v>
      </c>
      <c r="ES384" s="4">
        <f t="shared" si="1418"/>
        <v>8.5728618760834348</v>
      </c>
      <c r="ET384" s="4">
        <f t="shared" si="1302"/>
        <v>79.945420857190811</v>
      </c>
      <c r="EU384" s="4">
        <f t="shared" si="1303"/>
        <v>38.480999999999995</v>
      </c>
      <c r="EV384" s="4">
        <f t="shared" si="1238"/>
        <v>1.7603577471002637E-5</v>
      </c>
      <c r="EW384" s="4">
        <f t="shared" si="1419"/>
        <v>9.2177706738821694</v>
      </c>
      <c r="EX384" s="4">
        <f t="shared" si="1250"/>
        <v>819.13074446008568</v>
      </c>
      <c r="FG384" s="23">
        <f t="shared" si="1143"/>
        <v>2.2000000000000002</v>
      </c>
      <c r="FH384" s="23">
        <f t="shared" si="1143"/>
        <v>1.6</v>
      </c>
      <c r="FI384" s="23">
        <f t="shared" si="1382"/>
        <v>1.6</v>
      </c>
      <c r="FJ384" s="23">
        <f t="shared" si="1144"/>
        <v>2.2000000000000002</v>
      </c>
      <c r="FK384" s="23">
        <f t="shared" si="1144"/>
        <v>1.2</v>
      </c>
      <c r="FL384" s="23">
        <f t="shared" si="1144"/>
        <v>1.4</v>
      </c>
      <c r="FM384" s="23">
        <f t="shared" si="1330"/>
        <v>0</v>
      </c>
      <c r="FN384" s="23"/>
      <c r="FX384" s="4">
        <f t="shared" si="1200"/>
        <v>1</v>
      </c>
      <c r="FY384" s="4">
        <f t="shared" si="1258"/>
        <v>0.46358941059918601</v>
      </c>
      <c r="FZ384" s="4">
        <f t="shared" si="1201"/>
        <v>0.3</v>
      </c>
      <c r="GA384" s="4">
        <f t="shared" si="1202"/>
        <v>629.11937116458319</v>
      </c>
    </row>
    <row r="385" spans="1:183" ht="12" customHeight="1" x14ac:dyDescent="0.3">
      <c r="A385" s="25">
        <v>367</v>
      </c>
      <c r="B385" s="4" t="s">
        <v>605</v>
      </c>
      <c r="C385" s="4">
        <v>2016</v>
      </c>
      <c r="D385" s="4" t="s">
        <v>309</v>
      </c>
      <c r="E385" s="24" t="s">
        <v>532</v>
      </c>
      <c r="F385" s="7" t="s">
        <v>533</v>
      </c>
      <c r="G385" s="38">
        <f t="shared" si="1394"/>
        <v>958.62068965517244</v>
      </c>
      <c r="H385" s="38">
        <f>4.06*25.4</f>
        <v>103.12399999999998</v>
      </c>
      <c r="I385" s="4">
        <f t="shared" si="1420"/>
        <v>103.12399999999998</v>
      </c>
      <c r="J385" s="38">
        <f>11030/145</f>
        <v>76.068965517241381</v>
      </c>
      <c r="K385" s="38">
        <f t="shared" si="1396"/>
        <v>15.875</v>
      </c>
      <c r="L385" s="7">
        <f t="shared" si="1421"/>
        <v>6.4959999999999987</v>
      </c>
      <c r="M385" s="7">
        <f t="shared" si="1422"/>
        <v>6.4959999999999987</v>
      </c>
      <c r="N385" s="38">
        <f t="shared" ref="N385:N394" si="1446">13.1*25.4</f>
        <v>332.73999999999995</v>
      </c>
      <c r="O385" s="38">
        <f>2.6*25.4</f>
        <v>66.039999999999992</v>
      </c>
      <c r="P385" s="39">
        <f>5.2*25.4</f>
        <v>132.07999999999998</v>
      </c>
      <c r="Q385" s="7">
        <f t="shared" si="1423"/>
        <v>168.90999999999997</v>
      </c>
      <c r="R385" s="38">
        <v>2</v>
      </c>
      <c r="S385" s="4">
        <f t="shared" si="1390"/>
        <v>133.35</v>
      </c>
      <c r="T385" s="7">
        <f t="shared" si="1424"/>
        <v>4.6599999999999993</v>
      </c>
      <c r="U385" s="7">
        <f t="shared" si="1247"/>
        <v>4.6599999999999993</v>
      </c>
      <c r="V385" s="38">
        <v>4</v>
      </c>
      <c r="W385" s="4">
        <f t="shared" si="1425"/>
        <v>4</v>
      </c>
      <c r="X385" s="4">
        <f t="shared" si="1426"/>
        <v>5</v>
      </c>
      <c r="Y385" s="7">
        <f t="shared" si="1427"/>
        <v>35.497579142809165</v>
      </c>
      <c r="AB385" s="38">
        <f t="shared" si="1151"/>
        <v>629.65517241379314</v>
      </c>
      <c r="AC385" s="4">
        <v>91.3</v>
      </c>
      <c r="AD385" s="4">
        <f t="shared" si="1279"/>
        <v>0.65825114412661645</v>
      </c>
      <c r="AE385" s="38">
        <v>0</v>
      </c>
      <c r="AF385" s="38">
        <v>0</v>
      </c>
      <c r="AG385" s="39">
        <f t="shared" ref="AG385:AG386" si="1447">I385</f>
        <v>103.12399999999998</v>
      </c>
      <c r="AH385" s="39"/>
      <c r="AI385" s="39"/>
      <c r="AJ385" s="7"/>
      <c r="AK385" s="4">
        <f t="shared" si="1429"/>
        <v>103.12399999999998</v>
      </c>
      <c r="AL385" s="4">
        <f t="shared" si="1304"/>
        <v>1.0755336617405586</v>
      </c>
      <c r="AM385" s="4">
        <f t="shared" si="1305"/>
        <v>230.72573356041525</v>
      </c>
      <c r="AN385" s="4">
        <f t="shared" si="1306"/>
        <v>0.84347290640394079</v>
      </c>
      <c r="AO385" s="4">
        <v>1.25</v>
      </c>
      <c r="AP385" s="4">
        <f t="shared" si="1221"/>
        <v>2.5</v>
      </c>
      <c r="AQ385" s="38">
        <f t="shared" si="1398"/>
        <v>654.09556044638771</v>
      </c>
      <c r="AR385" s="38">
        <f t="shared" si="1307"/>
        <v>654.09556044638771</v>
      </c>
      <c r="AS385" s="38">
        <f t="shared" si="1308"/>
        <v>4.7518593634836064</v>
      </c>
      <c r="AT385" s="38">
        <f t="shared" si="1230"/>
        <v>654.09556044638748</v>
      </c>
      <c r="AU385" s="38">
        <f t="shared" si="1199"/>
        <v>1.0000000000000004</v>
      </c>
      <c r="AV385" s="38">
        <f t="shared" si="1231"/>
        <v>2.1677650835509659</v>
      </c>
      <c r="AW385" s="4">
        <f t="shared" si="1232"/>
        <v>0</v>
      </c>
      <c r="AX385" s="4">
        <f t="shared" si="1430"/>
        <v>298.19212531706467</v>
      </c>
      <c r="AY385" s="4">
        <f t="shared" si="1399"/>
        <v>1</v>
      </c>
      <c r="AZ385" s="38">
        <f t="shared" si="1242"/>
        <v>1417.9255172413791</v>
      </c>
      <c r="BA385" s="4">
        <f t="shared" si="1400"/>
        <v>0.44000000000000006</v>
      </c>
      <c r="BB385" s="4">
        <f t="shared" si="1401"/>
        <v>68.554369610393181</v>
      </c>
      <c r="BC385" s="4">
        <f t="shared" si="1402"/>
        <v>1486.4798868517723</v>
      </c>
      <c r="BE385" s="4">
        <f t="shared" si="1222"/>
        <v>1.5</v>
      </c>
      <c r="BF385" s="4">
        <f t="shared" si="1225"/>
        <v>647.43312666901272</v>
      </c>
      <c r="BH385" s="4">
        <f t="shared" si="1248"/>
        <v>1359.9639720260559</v>
      </c>
      <c r="BI385" s="4">
        <f t="shared" si="1184"/>
        <v>0</v>
      </c>
      <c r="BJ385" s="4">
        <f t="shared" si="1249"/>
        <v>0</v>
      </c>
      <c r="BK385" s="4">
        <f t="shared" si="1309"/>
        <v>66.039999999999992</v>
      </c>
      <c r="BL385" s="4">
        <f t="shared" si="1310"/>
        <v>66.039999999999992</v>
      </c>
      <c r="BM385" s="4">
        <f t="shared" si="1311"/>
        <v>133.35</v>
      </c>
      <c r="BN385" s="4">
        <f t="shared" si="1312"/>
        <v>73.977499999999992</v>
      </c>
      <c r="BO385" s="4">
        <f t="shared" si="1313"/>
        <v>1.101923076923077</v>
      </c>
      <c r="BP385" s="25">
        <f t="shared" si="1314"/>
        <v>4</v>
      </c>
      <c r="BR385" s="4">
        <f t="shared" si="1403"/>
        <v>66.039999999999992</v>
      </c>
      <c r="BV385" s="9"/>
      <c r="BX385" s="9"/>
      <c r="BY385" s="9"/>
      <c r="BZ385" s="9">
        <f t="shared" si="1404"/>
        <v>66.039999999999992</v>
      </c>
      <c r="CA385" s="9">
        <f t="shared" si="1405"/>
        <v>84.454999999999984</v>
      </c>
      <c r="CB385" s="9">
        <f t="shared" si="1233"/>
        <v>2.116261887080392</v>
      </c>
      <c r="CC385" s="40">
        <f t="shared" si="1431"/>
        <v>20</v>
      </c>
      <c r="CD385" s="9">
        <f t="shared" si="1406"/>
        <v>0</v>
      </c>
      <c r="CE385" s="9">
        <f t="shared" si="1407"/>
        <v>0</v>
      </c>
      <c r="CF385" s="9">
        <f t="shared" si="1408"/>
        <v>1</v>
      </c>
      <c r="CG385" s="9">
        <f t="shared" si="1409"/>
        <v>0.68</v>
      </c>
      <c r="CH385" s="9">
        <f t="shared" si="1234"/>
        <v>2.0757770792545673</v>
      </c>
      <c r="CI385" s="9">
        <f t="shared" si="1235"/>
        <v>4.3928879189014953</v>
      </c>
      <c r="CJ385" s="40">
        <v>1</v>
      </c>
      <c r="CK385" s="9">
        <f t="shared" si="1236"/>
        <v>377.71807481882615</v>
      </c>
      <c r="CM385" s="4">
        <f t="shared" si="1410"/>
        <v>2.1115754540609921</v>
      </c>
      <c r="CN385" s="4">
        <f t="shared" si="1411"/>
        <v>0.42358808752356875</v>
      </c>
      <c r="CO385" s="4">
        <f t="shared" si="1376"/>
        <v>0.97254086403226603</v>
      </c>
      <c r="CP385" s="4">
        <f t="shared" si="1412"/>
        <v>1.6669977276459687</v>
      </c>
      <c r="CQ385" s="4">
        <f t="shared" si="1324"/>
        <v>0.65825114412661645</v>
      </c>
      <c r="CR385" s="4">
        <f t="shared" si="1325"/>
        <v>0.67646352686461653</v>
      </c>
      <c r="CS385" s="4">
        <f t="shared" si="1377"/>
        <v>1.3010744184441332</v>
      </c>
      <c r="CT385" s="4">
        <f t="shared" si="1432"/>
        <v>0</v>
      </c>
      <c r="CU385" s="4">
        <f t="shared" ref="CU385:CV386" si="1448">CM385</f>
        <v>2.1115754540609921</v>
      </c>
      <c r="CV385" s="4">
        <f t="shared" si="1448"/>
        <v>0.42358808752356875</v>
      </c>
      <c r="CW385" s="4">
        <f t="shared" ref="CW385:CW386" si="1449">CP385</f>
        <v>1.6669977276459687</v>
      </c>
      <c r="CX385" s="4">
        <f>CS385</f>
        <v>1.3010744184441332</v>
      </c>
      <c r="CY385" s="4">
        <f t="shared" ref="CY385:CZ386" si="1450">CQ385</f>
        <v>0.65825114412661645</v>
      </c>
      <c r="CZ385" s="4">
        <f t="shared" si="1450"/>
        <v>0.67646352686461653</v>
      </c>
      <c r="DI385" s="4">
        <f t="shared" si="1417"/>
        <v>103.12399999999998</v>
      </c>
      <c r="DL385" s="4">
        <f t="shared" si="1286"/>
        <v>1.5546920012851651E-5</v>
      </c>
      <c r="DM385" s="4">
        <f t="shared" si="1287"/>
        <v>14.719357433866572</v>
      </c>
      <c r="DN385" s="4">
        <f t="shared" si="1288"/>
        <v>0.29691990485502351</v>
      </c>
      <c r="DO385" s="4">
        <f t="shared" si="1289"/>
        <v>9.0561702129907751</v>
      </c>
      <c r="DP385" s="4">
        <f t="shared" si="1290"/>
        <v>12.222139532840403</v>
      </c>
      <c r="DQ385" s="4">
        <f t="shared" si="1291"/>
        <v>14.254053602825914</v>
      </c>
      <c r="DR385" s="38">
        <f t="shared" si="1318"/>
        <v>956.55765741088817</v>
      </c>
      <c r="DS385" s="4">
        <f t="shared" si="1292"/>
        <v>1.0000802088493006</v>
      </c>
      <c r="DT385" s="4">
        <f t="shared" si="1293"/>
        <v>2.2360679774997898</v>
      </c>
      <c r="DU385" s="4">
        <f t="shared" si="1294"/>
        <v>654.09556044638748</v>
      </c>
      <c r="DY385" s="4">
        <f t="shared" si="1295"/>
        <v>0.85</v>
      </c>
      <c r="DZ385" s="4">
        <f t="shared" si="1296"/>
        <v>0.7</v>
      </c>
      <c r="EA385" s="4">
        <f t="shared" si="1319"/>
        <v>1</v>
      </c>
      <c r="EB385" s="4">
        <f t="shared" si="1297"/>
        <v>0.7</v>
      </c>
      <c r="ED385" s="4">
        <f t="shared" si="1320"/>
        <v>930.8043189441737</v>
      </c>
      <c r="EE385" s="25">
        <f t="shared" si="1321"/>
        <v>643.953481272982</v>
      </c>
      <c r="EG385" s="4">
        <f t="shared" si="1213"/>
        <v>0.59499999999999997</v>
      </c>
      <c r="EH385" s="4">
        <f t="shared" si="1322"/>
        <v>14.719357433866572</v>
      </c>
      <c r="EK385" s="4">
        <f t="shared" si="1298"/>
        <v>35.497579142809165</v>
      </c>
      <c r="EL385" s="4">
        <f t="shared" si="1299"/>
        <v>2.2360679774997898</v>
      </c>
      <c r="EM385" s="4">
        <f t="shared" si="1300"/>
        <v>0.14160491681408338</v>
      </c>
      <c r="EP385" s="4">
        <f t="shared" si="1433"/>
        <v>0.14160491681408338</v>
      </c>
      <c r="EQ385" s="4">
        <f t="shared" si="1237"/>
        <v>0.29642440087216809</v>
      </c>
      <c r="ER385" s="4">
        <f t="shared" si="1301"/>
        <v>9.0501219596905358</v>
      </c>
      <c r="ES385" s="4">
        <f t="shared" si="1418"/>
        <v>12.219907720614318</v>
      </c>
      <c r="ET385" s="4">
        <f t="shared" si="1302"/>
        <v>41.845420857190824</v>
      </c>
      <c r="EU385" s="4">
        <f t="shared" si="1303"/>
        <v>25.780999999999999</v>
      </c>
      <c r="EV385" s="4">
        <f t="shared" si="1238"/>
        <v>1.5546920012851655E-5</v>
      </c>
      <c r="EW385" s="4">
        <f t="shared" si="1419"/>
        <v>14.25419378260553</v>
      </c>
      <c r="EX385" s="4">
        <f t="shared" si="1250"/>
        <v>956.48093917537892</v>
      </c>
      <c r="FG385" s="23">
        <f t="shared" si="1143"/>
        <v>2.2000000000000002</v>
      </c>
      <c r="FH385" s="23">
        <f t="shared" si="1143"/>
        <v>0.6</v>
      </c>
      <c r="FI385" s="23">
        <f t="shared" si="1382"/>
        <v>1.4</v>
      </c>
      <c r="FJ385" s="23">
        <f t="shared" si="1144"/>
        <v>1.8</v>
      </c>
      <c r="FK385" s="23">
        <f t="shared" si="1144"/>
        <v>0.8</v>
      </c>
      <c r="FL385" s="23">
        <f t="shared" si="1144"/>
        <v>0.8</v>
      </c>
      <c r="FM385" s="23">
        <f t="shared" si="1330"/>
        <v>1</v>
      </c>
      <c r="FN385" s="23"/>
      <c r="FX385" s="4">
        <f t="shared" si="1200"/>
        <v>1</v>
      </c>
      <c r="FY385" s="4">
        <f t="shared" si="1258"/>
        <v>0.5</v>
      </c>
      <c r="FZ385" s="4">
        <f t="shared" si="1201"/>
        <v>0</v>
      </c>
      <c r="GA385" s="4">
        <f t="shared" si="1202"/>
        <v>483.95015956639526</v>
      </c>
    </row>
    <row r="386" spans="1:183" ht="12" customHeight="1" x14ac:dyDescent="0.3">
      <c r="A386" s="25">
        <v>368</v>
      </c>
      <c r="B386" s="4" t="s">
        <v>605</v>
      </c>
      <c r="C386" s="4">
        <v>2016</v>
      </c>
      <c r="D386" s="4" t="s">
        <v>309</v>
      </c>
      <c r="E386" s="24" t="s">
        <v>532</v>
      </c>
      <c r="F386" s="7" t="s">
        <v>534</v>
      </c>
      <c r="G386" s="38">
        <f t="shared" si="1394"/>
        <v>958.62068965517244</v>
      </c>
      <c r="H386" s="38">
        <f>4.13*25.4</f>
        <v>104.90199999999999</v>
      </c>
      <c r="I386" s="4">
        <f t="shared" si="1420"/>
        <v>104.90199999999999</v>
      </c>
      <c r="J386" s="38">
        <f t="shared" ref="J386:J398" si="1451">11030/145</f>
        <v>76.068965517241381</v>
      </c>
      <c r="K386" s="38">
        <f t="shared" si="1396"/>
        <v>15.875</v>
      </c>
      <c r="L386" s="7">
        <f t="shared" si="1421"/>
        <v>6.6079999999999988</v>
      </c>
      <c r="M386" s="7">
        <f t="shared" si="1422"/>
        <v>6.6079999999999988</v>
      </c>
      <c r="N386" s="38">
        <f>13*25.4</f>
        <v>330.2</v>
      </c>
      <c r="O386" s="38">
        <f>2.5*25.4</f>
        <v>63.5</v>
      </c>
      <c r="P386" s="39">
        <f>4.9*25.4</f>
        <v>124.46000000000001</v>
      </c>
      <c r="Q386" s="7">
        <f t="shared" si="1423"/>
        <v>171.45</v>
      </c>
      <c r="R386" s="38">
        <v>2</v>
      </c>
      <c r="S386" s="4">
        <f t="shared" si="1390"/>
        <v>133.35</v>
      </c>
      <c r="T386" s="7">
        <f t="shared" si="1424"/>
        <v>4.5</v>
      </c>
      <c r="U386" s="7">
        <f t="shared" si="1247"/>
        <v>4.5</v>
      </c>
      <c r="V386" s="38">
        <v>13.1</v>
      </c>
      <c r="W386" s="4">
        <f t="shared" si="1425"/>
        <v>13.1</v>
      </c>
      <c r="X386" s="4">
        <f t="shared" si="1426"/>
        <v>14.1</v>
      </c>
      <c r="Y386" s="7">
        <f t="shared" si="1427"/>
        <v>59.610572153771514</v>
      </c>
      <c r="AB386" s="38">
        <f t="shared" si="1151"/>
        <v>698.62068965517244</v>
      </c>
      <c r="AC386" s="4">
        <v>101.3</v>
      </c>
      <c r="AD386" s="4">
        <f t="shared" si="1279"/>
        <v>0.77378912538861899</v>
      </c>
      <c r="AE386" s="38">
        <v>0</v>
      </c>
      <c r="AF386" s="38">
        <v>0</v>
      </c>
      <c r="AG386" s="39">
        <f t="shared" si="1447"/>
        <v>104.90199999999999</v>
      </c>
      <c r="AH386" s="39"/>
      <c r="AI386" s="39"/>
      <c r="AJ386" s="7"/>
      <c r="AK386" s="4">
        <f t="shared" si="1429"/>
        <v>104.90199999999999</v>
      </c>
      <c r="AL386" s="4">
        <f t="shared" si="1304"/>
        <v>1.0492332526230832</v>
      </c>
      <c r="AM386" s="4">
        <f t="shared" si="1305"/>
        <v>236.71842498037796</v>
      </c>
      <c r="AN386" s="4">
        <f t="shared" si="1306"/>
        <v>0.83619854721549636</v>
      </c>
      <c r="AO386" s="4">
        <v>1.25</v>
      </c>
      <c r="AP386" s="4">
        <f t="shared" si="1221"/>
        <v>2.5</v>
      </c>
      <c r="AQ386" s="38">
        <f t="shared" si="1398"/>
        <v>649.02815775840463</v>
      </c>
      <c r="AR386" s="38">
        <f t="shared" si="1307"/>
        <v>649.02815775840463</v>
      </c>
      <c r="AS386" s="38">
        <f t="shared" si="1308"/>
        <v>4.7518593634836064</v>
      </c>
      <c r="AT386" s="38">
        <f t="shared" si="1230"/>
        <v>649.02815775840486</v>
      </c>
      <c r="AU386" s="38">
        <f t="shared" si="1199"/>
        <v>0.99999999999999967</v>
      </c>
      <c r="AV386" s="38">
        <f t="shared" si="1231"/>
        <v>3.8178787224830018</v>
      </c>
      <c r="AW386" s="4">
        <f t="shared" si="1232"/>
        <v>0</v>
      </c>
      <c r="AX386" s="4">
        <f t="shared" si="1430"/>
        <v>303.33336885701408</v>
      </c>
      <c r="AY386" s="4">
        <f t="shared" si="1399"/>
        <v>1</v>
      </c>
      <c r="AZ386" s="38">
        <f t="shared" si="1242"/>
        <v>2477.9107937981548</v>
      </c>
      <c r="BA386" s="4">
        <f t="shared" si="1400"/>
        <v>0.3</v>
      </c>
      <c r="BB386" s="4">
        <f t="shared" si="1401"/>
        <v>47.547505568336966</v>
      </c>
      <c r="BC386" s="4">
        <f t="shared" si="1402"/>
        <v>2525.4582993664917</v>
      </c>
      <c r="BE386" s="4">
        <f t="shared" si="1222"/>
        <v>1.5</v>
      </c>
      <c r="BF386" s="4">
        <f t="shared" si="1225"/>
        <v>651.82888989566936</v>
      </c>
      <c r="BH386" s="4">
        <f t="shared" si="1248"/>
        <v>2376.619479996501</v>
      </c>
      <c r="BI386" s="4">
        <f t="shared" si="1184"/>
        <v>0</v>
      </c>
      <c r="BJ386" s="4">
        <f t="shared" si="1249"/>
        <v>0</v>
      </c>
      <c r="BK386" s="4">
        <f t="shared" si="1309"/>
        <v>63.5</v>
      </c>
      <c r="BL386" s="4">
        <f t="shared" si="1310"/>
        <v>63.5</v>
      </c>
      <c r="BM386" s="4">
        <f t="shared" si="1311"/>
        <v>133.35</v>
      </c>
      <c r="BN386" s="4">
        <f t="shared" si="1312"/>
        <v>71.4375</v>
      </c>
      <c r="BO386" s="4">
        <f t="shared" si="1313"/>
        <v>1.1100000000000001</v>
      </c>
      <c r="BP386" s="25">
        <f t="shared" si="1314"/>
        <v>4</v>
      </c>
      <c r="BR386" s="4">
        <f t="shared" si="1403"/>
        <v>63.5</v>
      </c>
      <c r="BV386" s="9"/>
      <c r="BX386" s="9"/>
      <c r="BY386" s="9"/>
      <c r="BZ386" s="9">
        <f t="shared" si="1404"/>
        <v>63.5</v>
      </c>
      <c r="CA386" s="9">
        <f t="shared" si="1405"/>
        <v>85.724999999999994</v>
      </c>
      <c r="CB386" s="9">
        <f t="shared" si="1233"/>
        <v>2.0920885420600022</v>
      </c>
      <c r="CC386" s="40">
        <f t="shared" si="1431"/>
        <v>20</v>
      </c>
      <c r="CD386" s="9">
        <f t="shared" si="1406"/>
        <v>0</v>
      </c>
      <c r="CE386" s="9">
        <f t="shared" si="1407"/>
        <v>0</v>
      </c>
      <c r="CF386" s="9">
        <f t="shared" si="1408"/>
        <v>1</v>
      </c>
      <c r="CG386" s="9">
        <f t="shared" si="1409"/>
        <v>0.68</v>
      </c>
      <c r="CH386" s="9">
        <f t="shared" si="1234"/>
        <v>2.0757770792545673</v>
      </c>
      <c r="CI386" s="9">
        <f t="shared" si="1235"/>
        <v>4.342709443379257</v>
      </c>
      <c r="CJ386" s="40">
        <v>1</v>
      </c>
      <c r="CK386" s="9">
        <f t="shared" si="1236"/>
        <v>375.3490626101559</v>
      </c>
      <c r="CM386" s="4">
        <f t="shared" si="1410"/>
        <v>2.3031448610076581</v>
      </c>
      <c r="CN386" s="4">
        <f t="shared" si="1411"/>
        <v>0.27663125137739181</v>
      </c>
      <c r="CO386" s="4">
        <f t="shared" si="1376"/>
        <v>1.0717854033241645</v>
      </c>
      <c r="CP386" s="4">
        <f t="shared" si="1412"/>
        <v>1.8612559860866686</v>
      </c>
      <c r="CQ386" s="4">
        <f t="shared" si="1324"/>
        <v>0.77378912538861899</v>
      </c>
      <c r="CR386" s="4">
        <f t="shared" si="1325"/>
        <v>0.75051026424073697</v>
      </c>
      <c r="CS386" s="4">
        <f t="shared" si="1377"/>
        <v>1.419112376432075</v>
      </c>
      <c r="CT386" s="4">
        <f t="shared" si="1432"/>
        <v>0</v>
      </c>
      <c r="CU386" s="4">
        <f t="shared" si="1448"/>
        <v>2.3031448610076581</v>
      </c>
      <c r="CV386" s="4">
        <f t="shared" si="1448"/>
        <v>0.27663125137739181</v>
      </c>
      <c r="CW386" s="4">
        <f t="shared" si="1449"/>
        <v>1.8612559860866686</v>
      </c>
      <c r="CX386" s="4">
        <f t="shared" ref="CX386" si="1452">CS386</f>
        <v>1.419112376432075</v>
      </c>
      <c r="CY386" s="4">
        <f t="shared" si="1450"/>
        <v>0.77378912538861899</v>
      </c>
      <c r="CZ386" s="4">
        <f t="shared" si="1450"/>
        <v>0.75051026424073697</v>
      </c>
      <c r="DI386" s="4">
        <f t="shared" si="1417"/>
        <v>104.90199999999999</v>
      </c>
      <c r="DL386" s="4">
        <f t="shared" si="1286"/>
        <v>1.5814970357900817E-5</v>
      </c>
      <c r="DM386" s="4">
        <f t="shared" si="1287"/>
        <v>14.719357433866572</v>
      </c>
      <c r="DN386" s="4">
        <f t="shared" si="1288"/>
        <v>0.15106884191806433</v>
      </c>
      <c r="DO386" s="4">
        <f t="shared" si="1289"/>
        <v>6.9112851462819327</v>
      </c>
      <c r="DP386" s="4">
        <f t="shared" si="1290"/>
        <v>11.506298630815103</v>
      </c>
      <c r="DQ386" s="4">
        <f t="shared" si="1291"/>
        <v>14.337879997179973</v>
      </c>
      <c r="DR386" s="38">
        <f t="shared" si="1318"/>
        <v>902.85669148465377</v>
      </c>
      <c r="DS386" s="4">
        <f t="shared" si="1292"/>
        <v>1.0000830374098912</v>
      </c>
      <c r="DT386" s="4">
        <f t="shared" si="1293"/>
        <v>3.7549966711037173</v>
      </c>
      <c r="DU386" s="4">
        <f t="shared" si="1294"/>
        <v>649.02815775840486</v>
      </c>
      <c r="DY386" s="4">
        <f t="shared" si="1295"/>
        <v>0.85</v>
      </c>
      <c r="DZ386" s="4">
        <f t="shared" si="1296"/>
        <v>0.7</v>
      </c>
      <c r="EA386" s="4">
        <f t="shared" si="1319"/>
        <v>1</v>
      </c>
      <c r="EB386" s="4">
        <f t="shared" si="1297"/>
        <v>0.7</v>
      </c>
      <c r="ED386" s="4">
        <f t="shared" si="1320"/>
        <v>930.86093947288077</v>
      </c>
      <c r="EE386" s="25">
        <f t="shared" si="1321"/>
        <v>639.06439770390989</v>
      </c>
      <c r="EG386" s="4">
        <f t="shared" si="1213"/>
        <v>0.59499999999999997</v>
      </c>
      <c r="EH386" s="4">
        <f t="shared" si="1322"/>
        <v>14.719357433866572</v>
      </c>
      <c r="EK386" s="4">
        <f t="shared" si="1298"/>
        <v>59.610572153771514</v>
      </c>
      <c r="EL386" s="4">
        <f t="shared" si="1299"/>
        <v>3.7549966711037173</v>
      </c>
      <c r="EM386" s="4">
        <f t="shared" si="1300"/>
        <v>7.2046671318490713E-2</v>
      </c>
      <c r="EP386" s="4">
        <f t="shared" si="1433"/>
        <v>7.2046671318490713E-2</v>
      </c>
      <c r="EQ386" s="4">
        <f t="shared" si="1237"/>
        <v>0.15081673617630778</v>
      </c>
      <c r="ER386" s="4">
        <f t="shared" si="1301"/>
        <v>6.9066693757948734</v>
      </c>
      <c r="ES386" s="4">
        <f t="shared" si="1418"/>
        <v>11.5049337770006</v>
      </c>
      <c r="ET386" s="4">
        <f t="shared" si="1302"/>
        <v>19.065927846228476</v>
      </c>
      <c r="EU386" s="4">
        <f t="shared" si="1303"/>
        <v>26.225499999999997</v>
      </c>
      <c r="EV386" s="4">
        <f t="shared" si="1238"/>
        <v>1.5814970357900817E-5</v>
      </c>
      <c r="EW386" s="4">
        <f t="shared" si="1419"/>
        <v>14.338019363230169</v>
      </c>
      <c r="EX386" s="4">
        <f t="shared" si="1250"/>
        <v>902.78172682836077</v>
      </c>
      <c r="FG386" s="23">
        <f t="shared" si="1143"/>
        <v>2.2000000000000002</v>
      </c>
      <c r="FH386" s="23">
        <f t="shared" si="1143"/>
        <v>0.6</v>
      </c>
      <c r="FI386" s="23">
        <f t="shared" si="1382"/>
        <v>1.6</v>
      </c>
      <c r="FJ386" s="23">
        <f t="shared" si="1144"/>
        <v>2</v>
      </c>
      <c r="FK386" s="23">
        <f t="shared" si="1144"/>
        <v>0.8</v>
      </c>
      <c r="FL386" s="23">
        <f t="shared" si="1144"/>
        <v>0.8</v>
      </c>
      <c r="FM386" s="23">
        <f t="shared" si="1330"/>
        <v>1</v>
      </c>
      <c r="FN386" s="23"/>
      <c r="FX386" s="4">
        <f t="shared" si="1200"/>
        <v>1</v>
      </c>
      <c r="FY386" s="4">
        <f t="shared" si="1258"/>
        <v>0.5</v>
      </c>
      <c r="FZ386" s="4">
        <f t="shared" si="1201"/>
        <v>0</v>
      </c>
      <c r="GA386" s="4">
        <f t="shared" si="1202"/>
        <v>492.29412783478148</v>
      </c>
    </row>
    <row r="387" spans="1:183" ht="12" customHeight="1" x14ac:dyDescent="0.3">
      <c r="A387" s="25">
        <v>369</v>
      </c>
      <c r="B387" s="4" t="s">
        <v>605</v>
      </c>
      <c r="C387" s="4">
        <v>2016</v>
      </c>
      <c r="D387" s="4" t="s">
        <v>309</v>
      </c>
      <c r="E387" s="24" t="s">
        <v>674</v>
      </c>
      <c r="F387" s="7" t="s">
        <v>535</v>
      </c>
      <c r="G387" s="38">
        <f t="shared" si="1394"/>
        <v>958.62068965517244</v>
      </c>
      <c r="H387" s="38">
        <f>4.13*25.4</f>
        <v>104.90199999999999</v>
      </c>
      <c r="I387" s="4">
        <f t="shared" si="1420"/>
        <v>104.90199999999999</v>
      </c>
      <c r="J387" s="38">
        <f t="shared" si="1451"/>
        <v>76.068965517241381</v>
      </c>
      <c r="K387" s="38">
        <f t="shared" si="1396"/>
        <v>15.875</v>
      </c>
      <c r="L387" s="7">
        <f t="shared" si="1421"/>
        <v>6.6079999999999988</v>
      </c>
      <c r="M387" s="7">
        <f t="shared" si="1422"/>
        <v>6.6079999999999988</v>
      </c>
      <c r="N387" s="38">
        <f t="shared" si="1446"/>
        <v>332.73999999999995</v>
      </c>
      <c r="O387" s="38">
        <f>2.65*25.4</f>
        <v>67.309999999999988</v>
      </c>
      <c r="P387" s="39">
        <f>5*25.4</f>
        <v>127</v>
      </c>
      <c r="Q387" s="7">
        <f t="shared" si="1423"/>
        <v>166.36999999999998</v>
      </c>
      <c r="R387" s="38">
        <v>2</v>
      </c>
      <c r="S387" s="4">
        <f t="shared" si="1390"/>
        <v>133.35</v>
      </c>
      <c r="T387" s="7">
        <f t="shared" si="1424"/>
        <v>4.7399999999999993</v>
      </c>
      <c r="U387" s="7">
        <f t="shared" si="1247"/>
        <v>4.7399999999999993</v>
      </c>
      <c r="V387" s="38">
        <v>4</v>
      </c>
      <c r="W387" s="4">
        <f t="shared" si="1425"/>
        <v>4</v>
      </c>
      <c r="X387" s="4">
        <f t="shared" si="1426"/>
        <v>5</v>
      </c>
      <c r="Y387" s="7">
        <f t="shared" si="1427"/>
        <v>35.497579142809165</v>
      </c>
      <c r="AB387" s="38">
        <f t="shared" si="1151"/>
        <v>727.58620689655174</v>
      </c>
      <c r="AC387" s="4">
        <v>105.5</v>
      </c>
      <c r="AD387" s="4">
        <f t="shared" si="1279"/>
        <v>0.75899280575539563</v>
      </c>
      <c r="AE387" s="38">
        <f t="shared" ref="AE387:AE390" si="1453">0.375*25.4</f>
        <v>9.5249999999999986</v>
      </c>
      <c r="AF387" s="38">
        <v>4</v>
      </c>
      <c r="AG387" s="39">
        <f>3.5*25.4</f>
        <v>88.899999999999991</v>
      </c>
      <c r="AH387" s="39">
        <v>2</v>
      </c>
      <c r="AI387" s="39">
        <f t="shared" ref="AI387:AI390" si="1454">AH387-1</f>
        <v>1</v>
      </c>
      <c r="AJ387" s="7"/>
      <c r="AK387" s="4">
        <f t="shared" si="1429"/>
        <v>104.90199999999999</v>
      </c>
      <c r="AL387" s="4">
        <f t="shared" si="1304"/>
        <v>1.0573042776432606</v>
      </c>
      <c r="AM387" s="4">
        <f t="shared" si="1305"/>
        <v>236.71842498037796</v>
      </c>
      <c r="AN387" s="4">
        <f t="shared" si="1306"/>
        <v>0.84346246973365613</v>
      </c>
      <c r="AO387" s="4">
        <v>1.25</v>
      </c>
      <c r="AP387" s="4">
        <f t="shared" si="1221"/>
        <v>2.5</v>
      </c>
      <c r="AQ387" s="38">
        <f t="shared" si="1398"/>
        <v>659.70205470310771</v>
      </c>
      <c r="AR387" s="38">
        <f t="shared" si="1307"/>
        <v>659.70205470310771</v>
      </c>
      <c r="AS387" s="38">
        <f t="shared" si="1308"/>
        <v>4.7518593634836064</v>
      </c>
      <c r="AT387" s="38">
        <f t="shared" si="1230"/>
        <v>659.70205470310782</v>
      </c>
      <c r="AU387" s="38">
        <f t="shared" si="1199"/>
        <v>0.99999999999999978</v>
      </c>
      <c r="AV387" s="38">
        <f t="shared" si="1231"/>
        <v>2.1862408581643331</v>
      </c>
      <c r="AW387" s="4">
        <f t="shared" si="1232"/>
        <v>0</v>
      </c>
      <c r="AX387" s="4">
        <f t="shared" si="1430"/>
        <v>303.33336885701408</v>
      </c>
      <c r="AY387" s="4">
        <f t="shared" si="1399"/>
        <v>1</v>
      </c>
      <c r="AZ387" s="38">
        <f t="shared" si="1242"/>
        <v>1442.2675862068963</v>
      </c>
      <c r="BA387" s="4">
        <f t="shared" si="1400"/>
        <v>0.44000000000000006</v>
      </c>
      <c r="BB387" s="4">
        <f t="shared" si="1401"/>
        <v>69.736341500227553</v>
      </c>
      <c r="BC387" s="4">
        <f t="shared" si="1402"/>
        <v>1512.0039277071239</v>
      </c>
      <c r="BE387" s="4">
        <f t="shared" si="1222"/>
        <v>1.5</v>
      </c>
      <c r="BF387" s="4">
        <f t="shared" si="1225"/>
        <v>651.82888989566936</v>
      </c>
      <c r="BH387" s="4">
        <f t="shared" si="1248"/>
        <v>1383.3109930050441</v>
      </c>
      <c r="BI387" s="4">
        <f t="shared" si="1184"/>
        <v>0</v>
      </c>
      <c r="BJ387" s="4">
        <f t="shared" si="1249"/>
        <v>0</v>
      </c>
      <c r="BK387" s="4">
        <f t="shared" si="1309"/>
        <v>67.309999999999988</v>
      </c>
      <c r="BL387" s="4">
        <f t="shared" si="1310"/>
        <v>67.309999999999988</v>
      </c>
      <c r="BM387" s="4">
        <f t="shared" si="1311"/>
        <v>133.35</v>
      </c>
      <c r="BN387" s="4">
        <f t="shared" si="1312"/>
        <v>75.247499999999988</v>
      </c>
      <c r="BO387" s="4">
        <f t="shared" si="1313"/>
        <v>1.0981132075471698</v>
      </c>
      <c r="BP387" s="25">
        <f t="shared" si="1314"/>
        <v>4</v>
      </c>
      <c r="BR387" s="4">
        <f t="shared" si="1403"/>
        <v>67.309999999999988</v>
      </c>
      <c r="BV387" s="9"/>
      <c r="BX387" s="9"/>
      <c r="BY387" s="9"/>
      <c r="BZ387" s="9">
        <f t="shared" si="1404"/>
        <v>67.309999999999988</v>
      </c>
      <c r="CA387" s="9">
        <f t="shared" si="1405"/>
        <v>83.184999999999988</v>
      </c>
      <c r="CB387" s="9">
        <f t="shared" si="1233"/>
        <v>2.1255814085673048</v>
      </c>
      <c r="CC387" s="40">
        <f t="shared" si="1431"/>
        <v>20</v>
      </c>
      <c r="CD387" s="9">
        <f t="shared" si="1406"/>
        <v>0.05</v>
      </c>
      <c r="CE387" s="9">
        <f t="shared" si="1407"/>
        <v>0.8</v>
      </c>
      <c r="CF387" s="9">
        <f t="shared" si="1408"/>
        <v>1</v>
      </c>
      <c r="CG387" s="9">
        <f t="shared" si="1409"/>
        <v>0.68</v>
      </c>
      <c r="CH387" s="9">
        <f t="shared" si="1234"/>
        <v>2.0757770792545673</v>
      </c>
      <c r="CI387" s="9">
        <f t="shared" si="1235"/>
        <v>5.1894426981364186</v>
      </c>
      <c r="CJ387" s="40">
        <v>1</v>
      </c>
      <c r="CK387" s="9">
        <f t="shared" si="1236"/>
        <v>448.53391128532689</v>
      </c>
      <c r="CM387" s="4">
        <f t="shared" si="1410"/>
        <v>2.3986355660050145</v>
      </c>
      <c r="CN387" s="4">
        <f t="shared" si="1411"/>
        <v>0.48120655876859975</v>
      </c>
      <c r="CO387" s="4">
        <f t="shared" si="1376"/>
        <v>1.1162227053376048</v>
      </c>
      <c r="CP387" s="4">
        <f t="shared" si="1412"/>
        <v>1.6221431392145302</v>
      </c>
      <c r="CQ387" s="4">
        <f t="shared" si="1324"/>
        <v>0.75899280575539563</v>
      </c>
      <c r="CR387" s="4">
        <f t="shared" si="1325"/>
        <v>0.77281597321579087</v>
      </c>
      <c r="CS387" s="4">
        <f t="shared" si="1377"/>
        <v>1.3703241283774616</v>
      </c>
      <c r="CT387" s="4">
        <f t="shared" si="1432"/>
        <v>4</v>
      </c>
      <c r="DA387" s="4">
        <f t="shared" ref="DA387:DB390" si="1455">CM387</f>
        <v>2.3986355660050145</v>
      </c>
      <c r="DB387" s="4">
        <f t="shared" si="1455"/>
        <v>0.48120655876859975</v>
      </c>
      <c r="DC387" s="4">
        <f t="shared" ref="DC387:DC390" si="1456">CP387</f>
        <v>1.6221431392145302</v>
      </c>
      <c r="DD387" s="4">
        <f t="shared" ref="DD387:DD390" si="1457">CS387</f>
        <v>1.3703241283774616</v>
      </c>
      <c r="DE387" s="4">
        <f t="shared" ref="DE387:DF390" si="1458">CQ387</f>
        <v>0.75899280575539563</v>
      </c>
      <c r="DF387" s="4">
        <f t="shared" si="1458"/>
        <v>0.77281597321579087</v>
      </c>
      <c r="DI387" s="4">
        <f t="shared" si="1417"/>
        <v>104.90199999999999</v>
      </c>
      <c r="DL387" s="4">
        <f t="shared" si="1286"/>
        <v>1.5814970357900817E-5</v>
      </c>
      <c r="DM387" s="4">
        <f t="shared" si="1287"/>
        <v>14.719357433866572</v>
      </c>
      <c r="DN387" s="4">
        <f t="shared" si="1288"/>
        <v>0.29946491485347015</v>
      </c>
      <c r="DO387" s="4">
        <f t="shared" si="1289"/>
        <v>9.0871402447161813</v>
      </c>
      <c r="DP387" s="4">
        <f t="shared" si="1290"/>
        <v>12.233585041549734</v>
      </c>
      <c r="DQ387" s="4">
        <f t="shared" si="1291"/>
        <v>14.23633445769425</v>
      </c>
      <c r="DR387" s="38">
        <f t="shared" si="1318"/>
        <v>958.62068965517244</v>
      </c>
      <c r="DS387" s="4">
        <f t="shared" si="1292"/>
        <v>1</v>
      </c>
      <c r="DT387" s="4">
        <f t="shared" si="1293"/>
        <v>2.2360679774997898</v>
      </c>
      <c r="DU387" s="4">
        <f t="shared" si="1294"/>
        <v>659.70205470310782</v>
      </c>
      <c r="DY387" s="4">
        <f t="shared" si="1295"/>
        <v>0.85</v>
      </c>
      <c r="DZ387" s="4">
        <f t="shared" si="1296"/>
        <v>0.7</v>
      </c>
      <c r="EA387" s="4">
        <f t="shared" si="1319"/>
        <v>0.85899999999999999</v>
      </c>
      <c r="EB387" s="4">
        <f t="shared" si="1297"/>
        <v>0.7</v>
      </c>
      <c r="ED387" s="4">
        <f t="shared" si="1320"/>
        <v>941.4740793580753</v>
      </c>
      <c r="EE387" s="25">
        <f t="shared" si="1321"/>
        <v>649.67753758910442</v>
      </c>
      <c r="EG387" s="4">
        <f t="shared" si="1213"/>
        <v>0.59499999999999997</v>
      </c>
      <c r="EH387" s="4">
        <f t="shared" si="1322"/>
        <v>14.719357433866572</v>
      </c>
      <c r="EK387" s="4">
        <f t="shared" si="1298"/>
        <v>35.497579142809165</v>
      </c>
      <c r="EL387" s="4">
        <f t="shared" si="1299"/>
        <v>2.2360679774997898</v>
      </c>
      <c r="EM387" s="4">
        <f t="shared" si="1300"/>
        <v>0.1428186647751607</v>
      </c>
      <c r="EP387" s="4">
        <f t="shared" si="1433"/>
        <v>0.1428186647751607</v>
      </c>
      <c r="EQ387" s="4">
        <f t="shared" si="1237"/>
        <v>0.29896516372325277</v>
      </c>
      <c r="ER387" s="4">
        <f t="shared" si="1301"/>
        <v>9.0810713077723939</v>
      </c>
      <c r="ES387" s="4">
        <f t="shared" si="1418"/>
        <v>12.231339852740703</v>
      </c>
      <c r="ET387" s="4">
        <f t="shared" si="1302"/>
        <v>43.178920857190825</v>
      </c>
      <c r="EU387" s="4">
        <f t="shared" si="1303"/>
        <v>26.22549999999999</v>
      </c>
      <c r="EV387" s="4">
        <f t="shared" si="1238"/>
        <v>1.5814970357900814E-5</v>
      </c>
      <c r="EW387" s="4">
        <f t="shared" si="1419"/>
        <v>14.236479009511338</v>
      </c>
      <c r="EX387" s="4">
        <f t="shared" si="1250"/>
        <v>958.62068965517244</v>
      </c>
      <c r="FG387" s="23">
        <f t="shared" ref="FG387:FH449" si="1459">IF(CM387&lt;0.6,0.6,IF(CM387&lt;0.8,0.8,IF(CM387&lt;1,1,IF(CM387&lt;1.2,1.2,IF(CM387&lt;1.4,1.4,IF(CM387&lt;1.6,1.6,IF(CM387&lt;1.8,1.8,IF(CM387&lt;2,2,2.2))))))))</f>
        <v>2.2000000000000002</v>
      </c>
      <c r="FH387" s="23">
        <f t="shared" si="1459"/>
        <v>0.6</v>
      </c>
      <c r="FI387" s="23">
        <f t="shared" si="1382"/>
        <v>1.4</v>
      </c>
      <c r="FJ387" s="23">
        <f t="shared" ref="FJ387:FL449" si="1460">IF(CP387&lt;0.6,0.6,IF(CP387&lt;0.8,0.8,IF(CP387&lt;1,1,IF(CP387&lt;1.2,1.2,IF(CP387&lt;1.4,1.4,IF(CP387&lt;1.6,1.6,IF(CP387&lt;1.8,1.8,IF(CP387&lt;2,2,2.2))))))))</f>
        <v>1.8</v>
      </c>
      <c r="FK387" s="23">
        <f t="shared" si="1460"/>
        <v>0.8</v>
      </c>
      <c r="FL387" s="23">
        <f t="shared" si="1460"/>
        <v>0.8</v>
      </c>
      <c r="FM387" s="23">
        <f t="shared" si="1330"/>
        <v>1</v>
      </c>
      <c r="FN387" s="23"/>
      <c r="FX387" s="4">
        <f t="shared" si="1200"/>
        <v>1</v>
      </c>
      <c r="FY387" s="4">
        <f t="shared" si="1258"/>
        <v>0.46358941059918601</v>
      </c>
      <c r="FZ387" s="4">
        <f t="shared" si="1201"/>
        <v>0.3</v>
      </c>
      <c r="GA387" s="4">
        <f t="shared" si="1202"/>
        <v>530.95920288439595</v>
      </c>
    </row>
    <row r="388" spans="1:183" ht="12" customHeight="1" x14ac:dyDescent="0.3">
      <c r="A388" s="25">
        <v>370</v>
      </c>
      <c r="B388" s="4" t="s">
        <v>605</v>
      </c>
      <c r="C388" s="4">
        <v>2016</v>
      </c>
      <c r="D388" s="4" t="s">
        <v>309</v>
      </c>
      <c r="E388" s="24" t="s">
        <v>674</v>
      </c>
      <c r="F388" s="7" t="s">
        <v>536</v>
      </c>
      <c r="G388" s="38">
        <f t="shared" si="1394"/>
        <v>958.62068965517244</v>
      </c>
      <c r="H388" s="38">
        <f>4.09*25.4</f>
        <v>103.886</v>
      </c>
      <c r="I388" s="4">
        <f t="shared" si="1420"/>
        <v>103.886</v>
      </c>
      <c r="J388" s="38">
        <f t="shared" si="1451"/>
        <v>76.068965517241381</v>
      </c>
      <c r="K388" s="38">
        <f t="shared" si="1396"/>
        <v>15.875</v>
      </c>
      <c r="L388" s="7">
        <f t="shared" si="1421"/>
        <v>6.5439999999999996</v>
      </c>
      <c r="M388" s="7">
        <f t="shared" si="1422"/>
        <v>6.5439999999999996</v>
      </c>
      <c r="N388" s="38">
        <f t="shared" si="1446"/>
        <v>332.73999999999995</v>
      </c>
      <c r="O388" s="38">
        <f>2.6*25.4</f>
        <v>66.039999999999992</v>
      </c>
      <c r="P388" s="39">
        <f>5.15*25.4</f>
        <v>130.81</v>
      </c>
      <c r="Q388" s="7">
        <f t="shared" si="1423"/>
        <v>168.90999999999997</v>
      </c>
      <c r="R388" s="38">
        <v>2</v>
      </c>
      <c r="S388" s="4">
        <f t="shared" si="1390"/>
        <v>133.35</v>
      </c>
      <c r="T388" s="7">
        <f t="shared" si="1424"/>
        <v>4.6599999999999993</v>
      </c>
      <c r="U388" s="7">
        <f t="shared" si="1247"/>
        <v>4.6599999999999993</v>
      </c>
      <c r="V388" s="38">
        <v>13.1</v>
      </c>
      <c r="W388" s="4">
        <f t="shared" si="1425"/>
        <v>13.1</v>
      </c>
      <c r="X388" s="4">
        <f t="shared" si="1426"/>
        <v>14.1</v>
      </c>
      <c r="Y388" s="7">
        <f t="shared" si="1427"/>
        <v>59.610572153771514</v>
      </c>
      <c r="AB388" s="38">
        <f t="shared" si="1151"/>
        <v>807.58620689655174</v>
      </c>
      <c r="AC388" s="4">
        <v>117.1</v>
      </c>
      <c r="AD388" s="4">
        <f t="shared" si="1279"/>
        <v>0.8904869210020433</v>
      </c>
      <c r="AE388" s="38">
        <f t="shared" si="1453"/>
        <v>9.5249999999999986</v>
      </c>
      <c r="AF388" s="38">
        <v>4</v>
      </c>
      <c r="AG388" s="39">
        <f>3.5*25.4</f>
        <v>88.899999999999991</v>
      </c>
      <c r="AH388" s="39">
        <v>2</v>
      </c>
      <c r="AI388" s="39">
        <f t="shared" si="1454"/>
        <v>1</v>
      </c>
      <c r="AJ388" s="7"/>
      <c r="AK388" s="4">
        <f t="shared" si="1429"/>
        <v>103.886</v>
      </c>
      <c r="AL388" s="4">
        <f t="shared" si="1304"/>
        <v>1.0676446617766908</v>
      </c>
      <c r="AM388" s="4">
        <f t="shared" si="1305"/>
        <v>233.28775677272216</v>
      </c>
      <c r="AN388" s="4">
        <f t="shared" si="1306"/>
        <v>0.84242053789731042</v>
      </c>
      <c r="AO388" s="4">
        <v>1.25</v>
      </c>
      <c r="AP388" s="4">
        <f t="shared" si="1221"/>
        <v>2.5</v>
      </c>
      <c r="AQ388" s="38">
        <f t="shared" si="1398"/>
        <v>655.68862261712218</v>
      </c>
      <c r="AR388" s="38">
        <f t="shared" si="1307"/>
        <v>655.68862261712218</v>
      </c>
      <c r="AS388" s="38">
        <f t="shared" si="1308"/>
        <v>4.7518593634836064</v>
      </c>
      <c r="AT388" s="38">
        <f t="shared" si="1230"/>
        <v>655.68862261712229</v>
      </c>
      <c r="AU388" s="38">
        <f t="shared" si="1199"/>
        <v>0.99999999999999978</v>
      </c>
      <c r="AV388" s="38">
        <f t="shared" si="1231"/>
        <v>3.9134647150757931</v>
      </c>
      <c r="AW388" s="4">
        <f t="shared" si="1232"/>
        <v>0</v>
      </c>
      <c r="AX388" s="4">
        <f t="shared" si="1430"/>
        <v>300.39551540561445</v>
      </c>
      <c r="AY388" s="4">
        <f t="shared" si="1399"/>
        <v>1</v>
      </c>
      <c r="AZ388" s="38">
        <f t="shared" si="1242"/>
        <v>2566.0142886887556</v>
      </c>
      <c r="BA388" s="4">
        <f t="shared" si="1400"/>
        <v>0.3</v>
      </c>
      <c r="BB388" s="4">
        <f t="shared" si="1401"/>
        <v>47.086997039830067</v>
      </c>
      <c r="BC388" s="4">
        <f t="shared" si="1402"/>
        <v>2613.1012857285859</v>
      </c>
      <c r="BE388" s="4">
        <f t="shared" si="1222"/>
        <v>1.5</v>
      </c>
      <c r="BF388" s="4">
        <f t="shared" si="1225"/>
        <v>649.31702519472265</v>
      </c>
      <c r="BH388" s="4">
        <f t="shared" si="1248"/>
        <v>2461.1215059519318</v>
      </c>
      <c r="BI388" s="4">
        <f t="shared" si="1184"/>
        <v>0</v>
      </c>
      <c r="BJ388" s="4">
        <f t="shared" si="1249"/>
        <v>0</v>
      </c>
      <c r="BK388" s="4">
        <f t="shared" si="1309"/>
        <v>66.039999999999992</v>
      </c>
      <c r="BL388" s="4">
        <f t="shared" si="1310"/>
        <v>66.039999999999992</v>
      </c>
      <c r="BM388" s="4">
        <f t="shared" si="1311"/>
        <v>133.35</v>
      </c>
      <c r="BN388" s="4">
        <f t="shared" si="1312"/>
        <v>73.977499999999992</v>
      </c>
      <c r="BO388" s="4">
        <f t="shared" si="1313"/>
        <v>1.101923076923077</v>
      </c>
      <c r="BP388" s="25">
        <f t="shared" si="1314"/>
        <v>4</v>
      </c>
      <c r="BR388" s="4">
        <f t="shared" si="1403"/>
        <v>66.039999999999992</v>
      </c>
      <c r="BV388" s="9"/>
      <c r="BX388" s="9"/>
      <c r="BY388" s="9"/>
      <c r="BZ388" s="9">
        <f t="shared" si="1404"/>
        <v>66.039999999999992</v>
      </c>
      <c r="CA388" s="9">
        <f t="shared" si="1405"/>
        <v>84.454999999999984</v>
      </c>
      <c r="CB388" s="9">
        <f t="shared" si="1233"/>
        <v>2.116261887080392</v>
      </c>
      <c r="CC388" s="40">
        <f t="shared" si="1431"/>
        <v>20</v>
      </c>
      <c r="CD388" s="9">
        <f t="shared" si="1406"/>
        <v>0.05</v>
      </c>
      <c r="CE388" s="9">
        <f t="shared" si="1407"/>
        <v>0.8</v>
      </c>
      <c r="CF388" s="9">
        <f t="shared" si="1408"/>
        <v>1</v>
      </c>
      <c r="CG388" s="9">
        <f t="shared" si="1409"/>
        <v>0.68</v>
      </c>
      <c r="CH388" s="9">
        <f t="shared" si="1234"/>
        <v>2.0757770792545673</v>
      </c>
      <c r="CI388" s="9">
        <f t="shared" si="1235"/>
        <v>5.1894426981364186</v>
      </c>
      <c r="CJ388" s="40">
        <v>1</v>
      </c>
      <c r="CK388" s="9">
        <f t="shared" si="1236"/>
        <v>447.20541395460401</v>
      </c>
      <c r="CM388" s="4">
        <f t="shared" si="1410"/>
        <v>2.6884096648583249</v>
      </c>
      <c r="CN388" s="4">
        <f t="shared" si="1411"/>
        <v>0.30905277621926552</v>
      </c>
      <c r="CO388" s="4">
        <f t="shared" si="1376"/>
        <v>1.2437471613413587</v>
      </c>
      <c r="CP388" s="4">
        <f t="shared" si="1412"/>
        <v>1.8058506934321912</v>
      </c>
      <c r="CQ388" s="4">
        <f t="shared" si="1324"/>
        <v>0.8904869210020433</v>
      </c>
      <c r="CR388" s="4">
        <f t="shared" si="1325"/>
        <v>0.86413021470864393</v>
      </c>
      <c r="CS388" s="4">
        <f t="shared" si="1377"/>
        <v>1.5358700933690845</v>
      </c>
      <c r="CT388" s="4">
        <f t="shared" si="1432"/>
        <v>4</v>
      </c>
      <c r="DA388" s="4">
        <f t="shared" si="1455"/>
        <v>2.6884096648583249</v>
      </c>
      <c r="DB388" s="4">
        <f t="shared" si="1455"/>
        <v>0.30905277621926552</v>
      </c>
      <c r="DC388" s="4">
        <f t="shared" si="1456"/>
        <v>1.8058506934321912</v>
      </c>
      <c r="DD388" s="4">
        <f t="shared" si="1457"/>
        <v>1.5358700933690845</v>
      </c>
      <c r="DE388" s="4">
        <f t="shared" si="1458"/>
        <v>0.8904869210020433</v>
      </c>
      <c r="DF388" s="4">
        <f t="shared" si="1458"/>
        <v>0.86413021470864393</v>
      </c>
      <c r="DI388" s="4">
        <f t="shared" si="1417"/>
        <v>103.886</v>
      </c>
      <c r="DL388" s="4">
        <f t="shared" si="1286"/>
        <v>1.5661798732158438E-5</v>
      </c>
      <c r="DM388" s="4">
        <f t="shared" si="1287"/>
        <v>14.719357433866572</v>
      </c>
      <c r="DN388" s="4">
        <f t="shared" si="1288"/>
        <v>0.1526191424725388</v>
      </c>
      <c r="DO388" s="4">
        <f t="shared" si="1289"/>
        <v>6.9395683100342502</v>
      </c>
      <c r="DP388" s="4">
        <f t="shared" si="1290"/>
        <v>11.514679402936299</v>
      </c>
      <c r="DQ388" s="4">
        <f t="shared" si="1291"/>
        <v>14.345562691705661</v>
      </c>
      <c r="DR388" s="38">
        <f t="shared" si="1318"/>
        <v>906.90406321498199</v>
      </c>
      <c r="DS388" s="4">
        <f t="shared" si="1292"/>
        <v>1.0000827628700382</v>
      </c>
      <c r="DT388" s="4">
        <f t="shared" si="1293"/>
        <v>3.7549966711037173</v>
      </c>
      <c r="DU388" s="4">
        <f t="shared" si="1294"/>
        <v>655.68862261712229</v>
      </c>
      <c r="DY388" s="4">
        <f t="shared" si="1295"/>
        <v>0.85</v>
      </c>
      <c r="DZ388" s="4">
        <f t="shared" si="1296"/>
        <v>0.7</v>
      </c>
      <c r="EA388" s="4">
        <f t="shared" si="1319"/>
        <v>0.85899999999999999</v>
      </c>
      <c r="EB388" s="4">
        <f t="shared" si="1297"/>
        <v>0.7</v>
      </c>
      <c r="ED388" s="4">
        <f t="shared" si="1320"/>
        <v>934.56540825718389</v>
      </c>
      <c r="EE388" s="25">
        <f t="shared" si="1321"/>
        <v>645.59498311551533</v>
      </c>
      <c r="EG388" s="4">
        <f t="shared" si="1213"/>
        <v>0.59499999999999997</v>
      </c>
      <c r="EH388" s="4">
        <f t="shared" si="1322"/>
        <v>14.719357433866572</v>
      </c>
      <c r="EK388" s="4">
        <f t="shared" si="1298"/>
        <v>59.610572153771514</v>
      </c>
      <c r="EL388" s="4">
        <f t="shared" si="1299"/>
        <v>3.7549966711037173</v>
      </c>
      <c r="EM388" s="4">
        <f t="shared" si="1300"/>
        <v>7.2786029567848812E-2</v>
      </c>
      <c r="EP388" s="4">
        <f t="shared" si="1433"/>
        <v>7.2786029567848812E-2</v>
      </c>
      <c r="EQ388" s="4">
        <f t="shared" si="1237"/>
        <v>0.15236444956809359</v>
      </c>
      <c r="ER388" s="4">
        <f t="shared" si="1301"/>
        <v>6.9349336503551298</v>
      </c>
      <c r="ES388" s="4">
        <f t="shared" si="1418"/>
        <v>11.513304002340247</v>
      </c>
      <c r="ET388" s="4">
        <f t="shared" si="1302"/>
        <v>18.30392784622849</v>
      </c>
      <c r="EU388" s="4">
        <f t="shared" si="1303"/>
        <v>25.971499999999992</v>
      </c>
      <c r="EV388" s="4">
        <f t="shared" si="1238"/>
        <v>1.5661798732158435E-5</v>
      </c>
      <c r="EW388" s="4">
        <f t="shared" si="1419"/>
        <v>14.345700851991321</v>
      </c>
      <c r="EX388" s="4">
        <f t="shared" si="1250"/>
        <v>906.82901144336097</v>
      </c>
      <c r="FG388" s="23">
        <f t="shared" si="1459"/>
        <v>2.2000000000000002</v>
      </c>
      <c r="FH388" s="23">
        <f t="shared" si="1459"/>
        <v>0.6</v>
      </c>
      <c r="FI388" s="23">
        <f t="shared" si="1382"/>
        <v>1.6</v>
      </c>
      <c r="FJ388" s="23">
        <f t="shared" si="1460"/>
        <v>2</v>
      </c>
      <c r="FK388" s="23">
        <f t="shared" si="1460"/>
        <v>1</v>
      </c>
      <c r="FL388" s="23">
        <f t="shared" si="1460"/>
        <v>1</v>
      </c>
      <c r="FM388" s="23">
        <f t="shared" si="1330"/>
        <v>0</v>
      </c>
      <c r="FN388" s="23"/>
      <c r="FX388" s="4">
        <f t="shared" si="1200"/>
        <v>1</v>
      </c>
      <c r="FY388" s="4">
        <f t="shared" si="1258"/>
        <v>0.46358941059918601</v>
      </c>
      <c r="FZ388" s="4">
        <f t="shared" si="1201"/>
        <v>0.3</v>
      </c>
      <c r="GA388" s="4">
        <f t="shared" si="1202"/>
        <v>525.81674087098781</v>
      </c>
    </row>
    <row r="389" spans="1:183" ht="12" customHeight="1" x14ac:dyDescent="0.3">
      <c r="A389" s="25">
        <v>371</v>
      </c>
      <c r="B389" s="4" t="s">
        <v>605</v>
      </c>
      <c r="C389" s="4">
        <v>2016</v>
      </c>
      <c r="D389" s="4" t="s">
        <v>309</v>
      </c>
      <c r="E389" s="24" t="s">
        <v>674</v>
      </c>
      <c r="F389" s="7" t="s">
        <v>537</v>
      </c>
      <c r="G389" s="38">
        <f t="shared" si="1394"/>
        <v>958.62068965517244</v>
      </c>
      <c r="H389" s="38">
        <f>4.22*25.4</f>
        <v>107.18799999999999</v>
      </c>
      <c r="I389" s="4">
        <f t="shared" si="1420"/>
        <v>107.18799999999999</v>
      </c>
      <c r="J389" s="38">
        <f t="shared" si="1451"/>
        <v>76.068965517241381</v>
      </c>
      <c r="K389" s="38">
        <f t="shared" si="1396"/>
        <v>15.875</v>
      </c>
      <c r="L389" s="7">
        <f t="shared" si="1421"/>
        <v>6.7519999999999989</v>
      </c>
      <c r="M389" s="7">
        <f t="shared" si="1422"/>
        <v>6.7519999999999989</v>
      </c>
      <c r="N389" s="38">
        <f t="shared" si="1446"/>
        <v>332.73999999999995</v>
      </c>
      <c r="O389" s="38">
        <f>2.55*25.4</f>
        <v>64.77</v>
      </c>
      <c r="P389" s="39">
        <f>4.8*25.4</f>
        <v>121.91999999999999</v>
      </c>
      <c r="Q389" s="7">
        <f t="shared" si="1423"/>
        <v>171.44999999999996</v>
      </c>
      <c r="R389" s="38">
        <v>2</v>
      </c>
      <c r="S389" s="4">
        <f t="shared" si="1390"/>
        <v>133.35</v>
      </c>
      <c r="T389" s="7">
        <f t="shared" si="1424"/>
        <v>4.58</v>
      </c>
      <c r="U389" s="7">
        <f t="shared" si="1247"/>
        <v>4.58</v>
      </c>
      <c r="V389" s="38">
        <v>4</v>
      </c>
      <c r="W389" s="4">
        <f t="shared" si="1425"/>
        <v>4</v>
      </c>
      <c r="X389" s="4">
        <f t="shared" si="1426"/>
        <v>5</v>
      </c>
      <c r="Y389" s="7">
        <f t="shared" si="1427"/>
        <v>35.497579142809165</v>
      </c>
      <c r="AB389" s="38">
        <f t="shared" ref="AB389:AB449" si="1461">AC389/0.145</f>
        <v>865.51724137931035</v>
      </c>
      <c r="AC389" s="4">
        <v>125.5</v>
      </c>
      <c r="AD389" s="4">
        <f t="shared" si="1279"/>
        <v>0.90287769784172656</v>
      </c>
      <c r="AE389" s="38">
        <f t="shared" si="1453"/>
        <v>9.5249999999999986</v>
      </c>
      <c r="AF389" s="38">
        <v>10</v>
      </c>
      <c r="AG389" s="39">
        <f>1.75*25.4</f>
        <v>44.449999999999996</v>
      </c>
      <c r="AH389" s="39">
        <v>3</v>
      </c>
      <c r="AI389" s="39">
        <f t="shared" si="1454"/>
        <v>2</v>
      </c>
      <c r="AJ389" s="7"/>
      <c r="AK389" s="4">
        <f t="shared" si="1429"/>
        <v>107.18799999999999</v>
      </c>
      <c r="AL389" s="4">
        <f t="shared" si="1304"/>
        <v>1.0347551342812007</v>
      </c>
      <c r="AM389" s="4">
        <f t="shared" si="1305"/>
        <v>244.49819737031095</v>
      </c>
      <c r="AN389" s="4">
        <f t="shared" si="1306"/>
        <v>0.83566350710900472</v>
      </c>
      <c r="AO389" s="4">
        <v>1.25</v>
      </c>
      <c r="AP389" s="4">
        <f t="shared" si="1221"/>
        <v>2.5</v>
      </c>
      <c r="AQ389" s="38">
        <f t="shared" si="1398"/>
        <v>660.68540095813057</v>
      </c>
      <c r="AR389" s="38">
        <f t="shared" si="1307"/>
        <v>660.68540095813057</v>
      </c>
      <c r="AS389" s="38">
        <f t="shared" si="1308"/>
        <v>4.7518593634836064</v>
      </c>
      <c r="AT389" s="38">
        <f t="shared" si="1230"/>
        <v>660.6854009581308</v>
      </c>
      <c r="AU389" s="38">
        <f t="shared" si="1199"/>
        <v>0.99999999999999967</v>
      </c>
      <c r="AV389" s="38">
        <f t="shared" si="1231"/>
        <v>2.1092995944134336</v>
      </c>
      <c r="AW389" s="4">
        <f t="shared" si="1232"/>
        <v>0</v>
      </c>
      <c r="AX389" s="4">
        <f t="shared" si="1430"/>
        <v>309.94353912266331</v>
      </c>
      <c r="AY389" s="4">
        <f t="shared" si="1399"/>
        <v>1</v>
      </c>
      <c r="AZ389" s="38">
        <f t="shared" si="1242"/>
        <v>1393.5834482758621</v>
      </c>
      <c r="BA389" s="4">
        <f t="shared" si="1400"/>
        <v>0.44000000000000006</v>
      </c>
      <c r="BB389" s="4">
        <f t="shared" si="1401"/>
        <v>71.256019644300309</v>
      </c>
      <c r="BC389" s="4">
        <f t="shared" si="1402"/>
        <v>1464.8394679201624</v>
      </c>
      <c r="BE389" s="4">
        <f t="shared" si="1222"/>
        <v>1.5</v>
      </c>
      <c r="BF389" s="4">
        <f t="shared" si="1225"/>
        <v>657.48058547279948</v>
      </c>
      <c r="BH389" s="4">
        <f t="shared" si="1248"/>
        <v>1336.6169510470681</v>
      </c>
      <c r="BI389" s="4">
        <f t="shared" si="1184"/>
        <v>0</v>
      </c>
      <c r="BJ389" s="4">
        <f t="shared" si="1249"/>
        <v>0</v>
      </c>
      <c r="BK389" s="4">
        <f t="shared" si="1309"/>
        <v>64.77</v>
      </c>
      <c r="BL389" s="4">
        <f t="shared" si="1310"/>
        <v>64.77</v>
      </c>
      <c r="BM389" s="4">
        <f t="shared" si="1311"/>
        <v>133.35</v>
      </c>
      <c r="BN389" s="4">
        <f t="shared" si="1312"/>
        <v>72.707499999999996</v>
      </c>
      <c r="BO389" s="4">
        <f t="shared" si="1313"/>
        <v>1.1058823529411765</v>
      </c>
      <c r="BP389" s="25">
        <f t="shared" si="1314"/>
        <v>4</v>
      </c>
      <c r="BR389" s="4">
        <f t="shared" si="1403"/>
        <v>64.77</v>
      </c>
      <c r="BV389" s="9"/>
      <c r="BX389" s="9"/>
      <c r="BY389" s="9"/>
      <c r="BZ389" s="9">
        <f t="shared" si="1404"/>
        <v>64.77</v>
      </c>
      <c r="CA389" s="9">
        <f t="shared" si="1405"/>
        <v>85.72499999999998</v>
      </c>
      <c r="CB389" s="9">
        <f t="shared" si="1233"/>
        <v>2.1066390052415969</v>
      </c>
      <c r="CC389" s="40">
        <f t="shared" si="1431"/>
        <v>20</v>
      </c>
      <c r="CD389" s="9">
        <f t="shared" si="1406"/>
        <v>0.05</v>
      </c>
      <c r="CE389" s="9">
        <f t="shared" si="1407"/>
        <v>0.8</v>
      </c>
      <c r="CF389" s="9">
        <f t="shared" si="1408"/>
        <v>1</v>
      </c>
      <c r="CG389" s="9">
        <f t="shared" si="1409"/>
        <v>0.68</v>
      </c>
      <c r="CH389" s="9">
        <f t="shared" si="1234"/>
        <v>2.0757770792545673</v>
      </c>
      <c r="CI389" s="9">
        <f t="shared" si="1235"/>
        <v>5.1894426981364186</v>
      </c>
      <c r="CJ389" s="40">
        <v>1</v>
      </c>
      <c r="CK389" s="9">
        <f t="shared" si="1236"/>
        <v>451.52303027945345</v>
      </c>
      <c r="CM389" s="4">
        <f t="shared" si="1410"/>
        <v>2.7924997043954289</v>
      </c>
      <c r="CN389" s="4">
        <f t="shared" si="1411"/>
        <v>0.5908614973408699</v>
      </c>
      <c r="CO389" s="4">
        <f t="shared" si="1376"/>
        <v>1.3164149033494428</v>
      </c>
      <c r="CP389" s="4">
        <f t="shared" si="1412"/>
        <v>1.9168839313547983</v>
      </c>
      <c r="CQ389" s="4">
        <f t="shared" si="1324"/>
        <v>0.90287769784172656</v>
      </c>
      <c r="CR389" s="4">
        <f t="shared" si="1325"/>
        <v>0.91208253125064931</v>
      </c>
      <c r="CS389" s="4">
        <f t="shared" si="1377"/>
        <v>1.5953360225510751</v>
      </c>
      <c r="CT389" s="4">
        <f t="shared" si="1432"/>
        <v>10</v>
      </c>
      <c r="DA389" s="4">
        <f t="shared" si="1455"/>
        <v>2.7924997043954289</v>
      </c>
      <c r="DB389" s="4">
        <f t="shared" si="1455"/>
        <v>0.5908614973408699</v>
      </c>
      <c r="DC389" s="4">
        <f t="shared" si="1456"/>
        <v>1.9168839313547983</v>
      </c>
      <c r="DD389" s="4">
        <f t="shared" si="1457"/>
        <v>1.5953360225510751</v>
      </c>
      <c r="DE389" s="4">
        <f t="shared" si="1458"/>
        <v>0.90287769784172656</v>
      </c>
      <c r="DF389" s="4">
        <f t="shared" si="1458"/>
        <v>0.91208253125064931</v>
      </c>
      <c r="DI389" s="4">
        <f t="shared" si="1417"/>
        <v>107.18799999999999</v>
      </c>
      <c r="DL389" s="4">
        <f t="shared" si="1286"/>
        <v>1.6159606515821178E-5</v>
      </c>
      <c r="DM389" s="4">
        <f t="shared" si="1287"/>
        <v>14.719357433866572</v>
      </c>
      <c r="DN389" s="4">
        <f t="shared" si="1288"/>
        <v>0.29991129470090672</v>
      </c>
      <c r="DO389" s="4">
        <f t="shared" si="1289"/>
        <v>9.0925559092864905</v>
      </c>
      <c r="DP389" s="4">
        <f t="shared" si="1290"/>
        <v>12.235589502750088</v>
      </c>
      <c r="DQ389" s="4">
        <f t="shared" si="1291"/>
        <v>14.213904064637124</v>
      </c>
      <c r="DR389" s="38">
        <f t="shared" si="1318"/>
        <v>958.62068965517244</v>
      </c>
      <c r="DS389" s="4">
        <f t="shared" si="1292"/>
        <v>1</v>
      </c>
      <c r="DT389" s="4">
        <f t="shared" si="1293"/>
        <v>2.2360679774997898</v>
      </c>
      <c r="DU389" s="4">
        <f t="shared" si="1294"/>
        <v>660.6854009581308</v>
      </c>
      <c r="DY389" s="4">
        <f t="shared" si="1295"/>
        <v>0.85</v>
      </c>
      <c r="DZ389" s="4">
        <f t="shared" si="1296"/>
        <v>0.7</v>
      </c>
      <c r="EA389" s="4">
        <f t="shared" si="1319"/>
        <v>0.7</v>
      </c>
      <c r="EB389" s="4">
        <f t="shared" si="1297"/>
        <v>0.7</v>
      </c>
      <c r="ED389" s="4">
        <f t="shared" si="1320"/>
        <v>948.94618822762834</v>
      </c>
      <c r="EE389" s="25">
        <f t="shared" si="1321"/>
        <v>650.79088404722711</v>
      </c>
      <c r="EG389" s="4">
        <f t="shared" si="1213"/>
        <v>0.59499999999999997</v>
      </c>
      <c r="EH389" s="4">
        <f t="shared" si="1322"/>
        <v>14.719357433866572</v>
      </c>
      <c r="EK389" s="4">
        <f t="shared" si="1298"/>
        <v>35.497579142809165</v>
      </c>
      <c r="EL389" s="4">
        <f t="shared" si="1299"/>
        <v>2.2360679774997898</v>
      </c>
      <c r="EM389" s="4">
        <f t="shared" si="1300"/>
        <v>0.14303154905853199</v>
      </c>
      <c r="EP389" s="4">
        <f t="shared" si="1433"/>
        <v>0.14303154905853199</v>
      </c>
      <c r="EQ389" s="4">
        <f t="shared" si="1237"/>
        <v>0.2994107986459178</v>
      </c>
      <c r="ER389" s="4">
        <f t="shared" si="1301"/>
        <v>9.0864833554372844</v>
      </c>
      <c r="ES389" s="4">
        <f t="shared" si="1418"/>
        <v>12.233341972668274</v>
      </c>
      <c r="ET389" s="4">
        <f t="shared" si="1302"/>
        <v>44.893420857190826</v>
      </c>
      <c r="EU389" s="4">
        <f t="shared" si="1303"/>
        <v>26.79699999999999</v>
      </c>
      <c r="EV389" s="4">
        <f t="shared" si="1238"/>
        <v>1.6159606515821174E-5</v>
      </c>
      <c r="EW389" s="4">
        <f t="shared" si="1419"/>
        <v>14.214053657013384</v>
      </c>
      <c r="EX389" s="4">
        <f t="shared" si="1250"/>
        <v>958.62068965517244</v>
      </c>
      <c r="FG389" s="23">
        <f t="shared" si="1459"/>
        <v>2.2000000000000002</v>
      </c>
      <c r="FH389" s="23">
        <f t="shared" si="1459"/>
        <v>0.6</v>
      </c>
      <c r="FI389" s="23">
        <f t="shared" si="1382"/>
        <v>1.6</v>
      </c>
      <c r="FJ389" s="23">
        <f t="shared" si="1460"/>
        <v>2</v>
      </c>
      <c r="FK389" s="23">
        <f t="shared" si="1460"/>
        <v>1</v>
      </c>
      <c r="FL389" s="23">
        <f t="shared" si="1460"/>
        <v>1</v>
      </c>
      <c r="FM389" s="23">
        <f t="shared" si="1330"/>
        <v>0</v>
      </c>
      <c r="FN389" s="23"/>
      <c r="FX389" s="4">
        <f t="shared" si="1200"/>
        <v>1</v>
      </c>
      <c r="FY389" s="4">
        <f t="shared" si="1258"/>
        <v>0.46358941059918601</v>
      </c>
      <c r="FZ389" s="4">
        <f t="shared" si="1201"/>
        <v>0.3</v>
      </c>
      <c r="GA389" s="4">
        <f t="shared" si="1202"/>
        <v>542.52974241456434</v>
      </c>
    </row>
    <row r="390" spans="1:183" ht="12" customHeight="1" x14ac:dyDescent="0.3">
      <c r="A390" s="25">
        <v>372</v>
      </c>
      <c r="B390" s="4" t="s">
        <v>605</v>
      </c>
      <c r="C390" s="4">
        <v>2016</v>
      </c>
      <c r="D390" s="4" t="s">
        <v>309</v>
      </c>
      <c r="E390" s="24" t="s">
        <v>674</v>
      </c>
      <c r="F390" s="7" t="s">
        <v>538</v>
      </c>
      <c r="G390" s="38">
        <f t="shared" si="1394"/>
        <v>958.62068965517244</v>
      </c>
      <c r="H390" s="38">
        <f>4.13*25.4</f>
        <v>104.90199999999999</v>
      </c>
      <c r="I390" s="4">
        <f t="shared" si="1420"/>
        <v>104.90199999999999</v>
      </c>
      <c r="J390" s="38">
        <f t="shared" si="1451"/>
        <v>76.068965517241381</v>
      </c>
      <c r="K390" s="38">
        <f t="shared" si="1396"/>
        <v>15.875</v>
      </c>
      <c r="L390" s="7">
        <f t="shared" si="1421"/>
        <v>6.6079999999999988</v>
      </c>
      <c r="M390" s="7">
        <f t="shared" si="1422"/>
        <v>6.6079999999999988</v>
      </c>
      <c r="N390" s="38">
        <f t="shared" si="1446"/>
        <v>332.73999999999995</v>
      </c>
      <c r="O390" s="38">
        <f>2.55*25.4</f>
        <v>64.77</v>
      </c>
      <c r="P390" s="39">
        <f>5*25.4</f>
        <v>127</v>
      </c>
      <c r="Q390" s="7">
        <f t="shared" si="1423"/>
        <v>171.44999999999996</v>
      </c>
      <c r="R390" s="38">
        <v>2</v>
      </c>
      <c r="S390" s="4">
        <f t="shared" si="1390"/>
        <v>133.35</v>
      </c>
      <c r="T390" s="7">
        <f t="shared" si="1424"/>
        <v>4.58</v>
      </c>
      <c r="U390" s="7">
        <f t="shared" si="1247"/>
        <v>4.58</v>
      </c>
      <c r="V390" s="38">
        <v>13.1</v>
      </c>
      <c r="W390" s="4">
        <f t="shared" si="1425"/>
        <v>13.1</v>
      </c>
      <c r="X390" s="4">
        <f t="shared" si="1426"/>
        <v>14.1</v>
      </c>
      <c r="Y390" s="7">
        <f t="shared" si="1427"/>
        <v>59.610572153771514</v>
      </c>
      <c r="AB390" s="38">
        <f t="shared" si="1461"/>
        <v>896.55172413793105</v>
      </c>
      <c r="AC390" s="4">
        <v>130</v>
      </c>
      <c r="AD390" s="4">
        <f t="shared" si="1279"/>
        <v>0.98498574494393953</v>
      </c>
      <c r="AE390" s="38">
        <f t="shared" si="1453"/>
        <v>9.5249999999999986</v>
      </c>
      <c r="AF390" s="38">
        <v>10</v>
      </c>
      <c r="AG390" s="39">
        <f>1.75*25.4</f>
        <v>44.449999999999996</v>
      </c>
      <c r="AH390" s="39">
        <v>3</v>
      </c>
      <c r="AI390" s="39">
        <f t="shared" si="1454"/>
        <v>2</v>
      </c>
      <c r="AJ390" s="7"/>
      <c r="AK390" s="4">
        <f t="shared" si="1429"/>
        <v>104.90199999999999</v>
      </c>
      <c r="AL390" s="4">
        <f t="shared" si="1304"/>
        <v>1.0573042776432606</v>
      </c>
      <c r="AM390" s="4">
        <f t="shared" si="1305"/>
        <v>236.71842498037796</v>
      </c>
      <c r="AN390" s="4">
        <f t="shared" si="1306"/>
        <v>0.83861985472154954</v>
      </c>
      <c r="AO390" s="4">
        <v>1.25</v>
      </c>
      <c r="AP390" s="4">
        <f t="shared" si="1221"/>
        <v>2.5</v>
      </c>
      <c r="AQ390" s="38">
        <f t="shared" si="1398"/>
        <v>655.914472933605</v>
      </c>
      <c r="AR390" s="38">
        <f t="shared" si="1307"/>
        <v>655.914472933605</v>
      </c>
      <c r="AS390" s="38">
        <f t="shared" si="1308"/>
        <v>4.7518593634836064</v>
      </c>
      <c r="AT390" s="38">
        <f t="shared" si="1230"/>
        <v>655.91447293360523</v>
      </c>
      <c r="AU390" s="38">
        <f t="shared" si="1199"/>
        <v>0.99999999999999967</v>
      </c>
      <c r="AV390" s="38">
        <f t="shared" si="1231"/>
        <v>3.8449563857980928</v>
      </c>
      <c r="AW390" s="4">
        <f t="shared" si="1232"/>
        <v>0</v>
      </c>
      <c r="AX390" s="4">
        <f t="shared" si="1430"/>
        <v>303.33336885701408</v>
      </c>
      <c r="AY390" s="4">
        <f t="shared" si="1399"/>
        <v>1</v>
      </c>
      <c r="AZ390" s="38">
        <f t="shared" si="1242"/>
        <v>2521.9625412434557</v>
      </c>
      <c r="BA390" s="4">
        <f t="shared" si="1400"/>
        <v>0.3</v>
      </c>
      <c r="BB390" s="4">
        <f t="shared" si="1401"/>
        <v>47.547505568336966</v>
      </c>
      <c r="BC390" s="4">
        <f t="shared" si="1402"/>
        <v>2569.5100468117926</v>
      </c>
      <c r="BE390" s="4">
        <f t="shared" si="1222"/>
        <v>1.5</v>
      </c>
      <c r="BF390" s="4">
        <f t="shared" si="1225"/>
        <v>651.82888989566936</v>
      </c>
      <c r="BH390" s="4">
        <f t="shared" si="1248"/>
        <v>2418.8704929742166</v>
      </c>
      <c r="BI390" s="4">
        <f t="shared" si="1184"/>
        <v>0</v>
      </c>
      <c r="BJ390" s="4">
        <f t="shared" si="1249"/>
        <v>0</v>
      </c>
      <c r="BK390" s="4">
        <f t="shared" si="1309"/>
        <v>64.77</v>
      </c>
      <c r="BL390" s="4">
        <f t="shared" si="1310"/>
        <v>64.77</v>
      </c>
      <c r="BM390" s="4">
        <f t="shared" si="1311"/>
        <v>133.35</v>
      </c>
      <c r="BN390" s="4">
        <f t="shared" si="1312"/>
        <v>72.707499999999996</v>
      </c>
      <c r="BO390" s="4">
        <f t="shared" si="1313"/>
        <v>1.1058823529411765</v>
      </c>
      <c r="BP390" s="25">
        <f t="shared" si="1314"/>
        <v>4</v>
      </c>
      <c r="BR390" s="4">
        <f t="shared" si="1403"/>
        <v>64.77</v>
      </c>
      <c r="BV390" s="9"/>
      <c r="BX390" s="9"/>
      <c r="BY390" s="9"/>
      <c r="BZ390" s="9">
        <f t="shared" si="1404"/>
        <v>64.77</v>
      </c>
      <c r="CA390" s="9">
        <f t="shared" si="1405"/>
        <v>85.72499999999998</v>
      </c>
      <c r="CB390" s="9">
        <f t="shared" si="1233"/>
        <v>2.1066390052415969</v>
      </c>
      <c r="CC390" s="40">
        <f t="shared" si="1431"/>
        <v>20</v>
      </c>
      <c r="CD390" s="9">
        <f t="shared" si="1406"/>
        <v>0.05</v>
      </c>
      <c r="CE390" s="9">
        <f t="shared" si="1407"/>
        <v>0.8</v>
      </c>
      <c r="CF390" s="9">
        <f t="shared" si="1408"/>
        <v>1</v>
      </c>
      <c r="CG390" s="9">
        <f t="shared" si="1409"/>
        <v>0.68</v>
      </c>
      <c r="CH390" s="9">
        <f t="shared" si="1234"/>
        <v>2.0757770792545673</v>
      </c>
      <c r="CI390" s="9">
        <f t="shared" si="1235"/>
        <v>5.1894426981364186</v>
      </c>
      <c r="CJ390" s="40">
        <v>1</v>
      </c>
      <c r="CK390" s="9">
        <f t="shared" si="1236"/>
        <v>448.53391128532689</v>
      </c>
      <c r="CM390" s="4">
        <f t="shared" si="1410"/>
        <v>2.9556646784895912</v>
      </c>
      <c r="CN390" s="4">
        <f t="shared" si="1411"/>
        <v>0.34891933006853126</v>
      </c>
      <c r="CO390" s="4">
        <f t="shared" si="1376"/>
        <v>1.3754403004160058</v>
      </c>
      <c r="CP390" s="4">
        <f t="shared" si="1412"/>
        <v>1.998849365856767</v>
      </c>
      <c r="CQ390" s="4">
        <f t="shared" si="1324"/>
        <v>0.98498574494393953</v>
      </c>
      <c r="CR390" s="4">
        <f t="shared" si="1325"/>
        <v>0.95614243505191698</v>
      </c>
      <c r="CS390" s="4">
        <f t="shared" si="1377"/>
        <v>1.6885510586641708</v>
      </c>
      <c r="CT390" s="4">
        <f t="shared" si="1432"/>
        <v>10</v>
      </c>
      <c r="DA390" s="4">
        <f t="shared" si="1455"/>
        <v>2.9556646784895912</v>
      </c>
      <c r="DB390" s="4">
        <f t="shared" si="1455"/>
        <v>0.34891933006853126</v>
      </c>
      <c r="DC390" s="4">
        <f t="shared" si="1456"/>
        <v>1.998849365856767</v>
      </c>
      <c r="DD390" s="4">
        <f t="shared" si="1457"/>
        <v>1.6885510586641708</v>
      </c>
      <c r="DE390" s="4">
        <f t="shared" si="1458"/>
        <v>0.98498574494393953</v>
      </c>
      <c r="DF390" s="4">
        <f t="shared" si="1458"/>
        <v>0.95614243505191698</v>
      </c>
      <c r="DI390" s="4">
        <f t="shared" si="1417"/>
        <v>104.90199999999999</v>
      </c>
      <c r="DL390" s="4">
        <f t="shared" si="1286"/>
        <v>1.5814970357900817E-5</v>
      </c>
      <c r="DM390" s="4">
        <f t="shared" si="1287"/>
        <v>14.719357433866572</v>
      </c>
      <c r="DN390" s="4">
        <f t="shared" si="1288"/>
        <v>0.15267171175686037</v>
      </c>
      <c r="DO390" s="4">
        <f t="shared" si="1289"/>
        <v>6.940524338074761</v>
      </c>
      <c r="DP390" s="4">
        <f t="shared" si="1290"/>
        <v>11.514963218771863</v>
      </c>
      <c r="DQ390" s="4">
        <f t="shared" si="1291"/>
        <v>14.336996999621</v>
      </c>
      <c r="DR390" s="38">
        <f t="shared" si="1318"/>
        <v>910.21796887929406</v>
      </c>
      <c r="DS390" s="4">
        <f t="shared" si="1292"/>
        <v>1.0000827410378184</v>
      </c>
      <c r="DT390" s="4">
        <f t="shared" si="1293"/>
        <v>3.7549966711037173</v>
      </c>
      <c r="DU390" s="4">
        <f t="shared" si="1294"/>
        <v>655.91447293360523</v>
      </c>
      <c r="DY390" s="4">
        <f t="shared" si="1295"/>
        <v>0.85</v>
      </c>
      <c r="DZ390" s="4">
        <f t="shared" si="1296"/>
        <v>0.7</v>
      </c>
      <c r="EA390" s="4">
        <f t="shared" si="1319"/>
        <v>0.7</v>
      </c>
      <c r="EB390" s="4">
        <f t="shared" si="1297"/>
        <v>0.7</v>
      </c>
      <c r="ED390" s="4">
        <f t="shared" si="1320"/>
        <v>937.67590608950411</v>
      </c>
      <c r="EE390" s="25">
        <f t="shared" si="1321"/>
        <v>645.87936432053323</v>
      </c>
      <c r="EG390" s="4">
        <f t="shared" si="1213"/>
        <v>0.59499999999999997</v>
      </c>
      <c r="EH390" s="4">
        <f t="shared" si="1322"/>
        <v>14.719357433866572</v>
      </c>
      <c r="EK390" s="4">
        <f t="shared" si="1298"/>
        <v>59.610572153771514</v>
      </c>
      <c r="EL390" s="4">
        <f t="shared" si="1299"/>
        <v>3.7549966711037173</v>
      </c>
      <c r="EM390" s="4">
        <f t="shared" si="1300"/>
        <v>7.2811100534838955E-2</v>
      </c>
      <c r="EP390" s="4">
        <f t="shared" si="1433"/>
        <v>7.2811100534838955E-2</v>
      </c>
      <c r="EQ390" s="4">
        <f t="shared" si="1237"/>
        <v>0.15241693112407723</v>
      </c>
      <c r="ER390" s="4">
        <f t="shared" si="1301"/>
        <v>6.9358890399028104</v>
      </c>
      <c r="ES390" s="4">
        <f t="shared" si="1418"/>
        <v>11.513587461198421</v>
      </c>
      <c r="ET390" s="4">
        <f t="shared" si="1302"/>
        <v>19.065927846228476</v>
      </c>
      <c r="EU390" s="4">
        <f t="shared" si="1303"/>
        <v>26.225499999999997</v>
      </c>
      <c r="EV390" s="4">
        <f t="shared" si="1238"/>
        <v>1.5814970357900817E-5</v>
      </c>
      <c r="EW390" s="4">
        <f t="shared" si="1419"/>
        <v>14.337137000535932</v>
      </c>
      <c r="EX390" s="4">
        <f t="shared" si="1250"/>
        <v>910.14266273081705</v>
      </c>
      <c r="FG390" s="23">
        <f t="shared" si="1459"/>
        <v>2.2000000000000002</v>
      </c>
      <c r="FH390" s="23">
        <f t="shared" si="1459"/>
        <v>0.6</v>
      </c>
      <c r="FI390" s="23">
        <f t="shared" si="1382"/>
        <v>1.8</v>
      </c>
      <c r="FJ390" s="23">
        <f t="shared" si="1460"/>
        <v>2</v>
      </c>
      <c r="FK390" s="23">
        <f t="shared" si="1460"/>
        <v>1</v>
      </c>
      <c r="FL390" s="23">
        <f t="shared" si="1460"/>
        <v>1</v>
      </c>
      <c r="FM390" s="23">
        <f t="shared" si="1330"/>
        <v>0</v>
      </c>
      <c r="FN390" s="23"/>
      <c r="FX390" s="4">
        <f t="shared" si="1200"/>
        <v>1</v>
      </c>
      <c r="FY390" s="4">
        <f t="shared" si="1258"/>
        <v>0.46358941059918601</v>
      </c>
      <c r="FZ390" s="4">
        <f t="shared" si="1201"/>
        <v>0.3</v>
      </c>
      <c r="GA390" s="4">
        <f t="shared" si="1202"/>
        <v>530.95920288439595</v>
      </c>
    </row>
    <row r="391" spans="1:183" ht="12" customHeight="1" x14ac:dyDescent="0.3">
      <c r="A391" s="25">
        <v>373</v>
      </c>
      <c r="B391" s="4" t="s">
        <v>605</v>
      </c>
      <c r="C391" s="4">
        <v>2016</v>
      </c>
      <c r="D391" s="4" t="s">
        <v>309</v>
      </c>
      <c r="E391" s="24" t="s">
        <v>674</v>
      </c>
      <c r="F391" s="7" t="s">
        <v>539</v>
      </c>
      <c r="G391" s="38">
        <f t="shared" si="1394"/>
        <v>958.62068965517244</v>
      </c>
      <c r="H391" s="38">
        <f>6*25.4</f>
        <v>152.39999999999998</v>
      </c>
      <c r="I391" s="4">
        <f t="shared" si="1420"/>
        <v>152.39999999999998</v>
      </c>
      <c r="J391" s="38">
        <f t="shared" si="1451"/>
        <v>76.068965517241381</v>
      </c>
      <c r="K391" s="38">
        <f t="shared" si="1396"/>
        <v>15.875</v>
      </c>
      <c r="L391" s="7">
        <f t="shared" si="1421"/>
        <v>9.5999999999999979</v>
      </c>
      <c r="M391" s="7">
        <f t="shared" si="1422"/>
        <v>9.5999999999999979</v>
      </c>
      <c r="N391" s="38">
        <f t="shared" si="1446"/>
        <v>332.73999999999995</v>
      </c>
      <c r="O391" s="38">
        <f>2.55*25.4</f>
        <v>64.77</v>
      </c>
      <c r="P391" s="39">
        <f>3.1*25.4</f>
        <v>78.739999999999995</v>
      </c>
      <c r="Q391" s="7">
        <f t="shared" si="1423"/>
        <v>171.44999999999996</v>
      </c>
      <c r="R391" s="38">
        <v>2</v>
      </c>
      <c r="S391" s="4">
        <f t="shared" si="1390"/>
        <v>133.35</v>
      </c>
      <c r="T391" s="7">
        <f t="shared" si="1424"/>
        <v>4.58</v>
      </c>
      <c r="U391" s="7">
        <f t="shared" si="1247"/>
        <v>4.58</v>
      </c>
      <c r="V391" s="38">
        <v>4</v>
      </c>
      <c r="W391" s="4">
        <f t="shared" si="1425"/>
        <v>4</v>
      </c>
      <c r="X391" s="4">
        <f t="shared" si="1426"/>
        <v>5</v>
      </c>
      <c r="Y391" s="7">
        <f t="shared" si="1427"/>
        <v>35.497579142809165</v>
      </c>
      <c r="AB391" s="38">
        <f t="shared" si="1461"/>
        <v>927.58620689655174</v>
      </c>
      <c r="AC391" s="4">
        <v>134.5</v>
      </c>
      <c r="AD391" s="4">
        <f t="shared" si="1279"/>
        <v>0.96762589928057552</v>
      </c>
      <c r="AE391" s="38">
        <v>0</v>
      </c>
      <c r="AF391" s="38">
        <v>0</v>
      </c>
      <c r="AG391" s="39">
        <f t="shared" ref="AG391:AG393" si="1462">I391</f>
        <v>152.39999999999998</v>
      </c>
      <c r="AH391" s="39"/>
      <c r="AI391" s="39"/>
      <c r="AJ391" s="7"/>
      <c r="AK391" s="4">
        <f t="shared" si="1429"/>
        <v>152.39999999999998</v>
      </c>
      <c r="AL391" s="4">
        <f t="shared" si="1304"/>
        <v>0.72777777777777763</v>
      </c>
      <c r="AM391" s="4">
        <f t="shared" si="1305"/>
        <v>414.50890080495793</v>
      </c>
      <c r="AN391" s="4">
        <f t="shared" si="1306"/>
        <v>0.79541666666666666</v>
      </c>
      <c r="AO391" s="4">
        <v>1.25</v>
      </c>
      <c r="AP391" s="4">
        <f t="shared" si="1221"/>
        <v>2.5</v>
      </c>
      <c r="AQ391" s="38">
        <f t="shared" si="1398"/>
        <v>749.85511721935075</v>
      </c>
      <c r="AR391" s="38">
        <f t="shared" si="1307"/>
        <v>749.85511721935075</v>
      </c>
      <c r="AS391" s="38">
        <f t="shared" si="1308"/>
        <v>4.7518593634836064</v>
      </c>
      <c r="AT391" s="38">
        <f t="shared" si="1230"/>
        <v>749.8551172193504</v>
      </c>
      <c r="AU391" s="38">
        <f t="shared" si="1199"/>
        <v>1.0000000000000004</v>
      </c>
      <c r="AV391" s="38">
        <f t="shared" si="1231"/>
        <v>1.8584702781566882</v>
      </c>
      <c r="AW391" s="4">
        <f t="shared" si="1232"/>
        <v>0</v>
      </c>
      <c r="AX391" s="4">
        <f t="shared" si="1430"/>
        <v>440.67801770994777</v>
      </c>
      <c r="AY391" s="4">
        <f t="shared" si="1399"/>
        <v>1</v>
      </c>
      <c r="AZ391" s="38">
        <f t="shared" si="1242"/>
        <v>1393.5834482758621</v>
      </c>
      <c r="BA391" s="4">
        <f t="shared" si="1400"/>
        <v>0.44000000000000006</v>
      </c>
      <c r="BB391" s="4">
        <f t="shared" si="1401"/>
        <v>101.31187627151702</v>
      </c>
      <c r="BC391" s="4">
        <f t="shared" si="1402"/>
        <v>1494.8953245473792</v>
      </c>
      <c r="BE391" s="4">
        <f t="shared" si="1222"/>
        <v>1.5</v>
      </c>
      <c r="BF391" s="4">
        <f t="shared" si="1225"/>
        <v>769.25856466492769</v>
      </c>
      <c r="BH391" s="4">
        <f t="shared" si="1248"/>
        <v>1336.6169510470681</v>
      </c>
      <c r="BI391" s="4">
        <f t="shared" si="1184"/>
        <v>0</v>
      </c>
      <c r="BJ391" s="4">
        <f t="shared" si="1249"/>
        <v>0</v>
      </c>
      <c r="BK391" s="4">
        <f t="shared" si="1309"/>
        <v>64.77</v>
      </c>
      <c r="BL391" s="4">
        <f t="shared" si="1310"/>
        <v>64.77</v>
      </c>
      <c r="BM391" s="4">
        <f t="shared" si="1311"/>
        <v>133.35</v>
      </c>
      <c r="BN391" s="4">
        <f t="shared" si="1312"/>
        <v>72.707499999999996</v>
      </c>
      <c r="BO391" s="4">
        <f t="shared" si="1313"/>
        <v>1.1058823529411765</v>
      </c>
      <c r="BP391" s="25">
        <f t="shared" si="1314"/>
        <v>4</v>
      </c>
      <c r="BR391" s="4">
        <f t="shared" si="1403"/>
        <v>64.77</v>
      </c>
      <c r="BV391" s="9"/>
      <c r="BX391" s="9"/>
      <c r="BY391" s="9"/>
      <c r="BZ391" s="9">
        <f t="shared" si="1404"/>
        <v>64.77</v>
      </c>
      <c r="CA391" s="9">
        <f t="shared" si="1405"/>
        <v>85.72499999999998</v>
      </c>
      <c r="CB391" s="9">
        <f t="shared" si="1233"/>
        <v>2.1066390052415969</v>
      </c>
      <c r="CC391" s="40">
        <f t="shared" si="1431"/>
        <v>20</v>
      </c>
      <c r="CD391" s="9">
        <f t="shared" si="1406"/>
        <v>0</v>
      </c>
      <c r="CE391" s="9">
        <f t="shared" si="1407"/>
        <v>0</v>
      </c>
      <c r="CF391" s="9">
        <f t="shared" si="1408"/>
        <v>1</v>
      </c>
      <c r="CG391" s="9">
        <f t="shared" si="1409"/>
        <v>0.68</v>
      </c>
      <c r="CH391" s="9">
        <f t="shared" si="1234"/>
        <v>2.0757770792545673</v>
      </c>
      <c r="CI391" s="9">
        <f t="shared" si="1235"/>
        <v>4.3729129613441495</v>
      </c>
      <c r="CJ391" s="40">
        <v>1</v>
      </c>
      <c r="CK391" s="9">
        <f t="shared" si="1236"/>
        <v>430.29463539626425</v>
      </c>
      <c r="CM391" s="4">
        <f t="shared" si="1410"/>
        <v>2.1049069152958855</v>
      </c>
      <c r="CN391" s="4">
        <f t="shared" si="1411"/>
        <v>0.62050244700404289</v>
      </c>
      <c r="CO391" s="4">
        <f t="shared" si="1376"/>
        <v>1.2058184978422544</v>
      </c>
      <c r="CP391" s="4">
        <f t="shared" si="1412"/>
        <v>2.1557001426297702</v>
      </c>
      <c r="CQ391" s="4">
        <f t="shared" si="1324"/>
        <v>0.96762589928057552</v>
      </c>
      <c r="CR391" s="4">
        <f t="shared" si="1325"/>
        <v>0.96762589928057552</v>
      </c>
      <c r="CS391" s="4">
        <f t="shared" si="1377"/>
        <v>1.2969655123763921</v>
      </c>
      <c r="CT391" s="4">
        <f t="shared" si="1432"/>
        <v>0</v>
      </c>
      <c r="CU391" s="4">
        <f t="shared" ref="CU391:CV393" si="1463">CM391</f>
        <v>2.1049069152958855</v>
      </c>
      <c r="CV391" s="4">
        <f t="shared" si="1463"/>
        <v>0.62050244700404289</v>
      </c>
      <c r="CW391" s="4">
        <f t="shared" ref="CW391:CW393" si="1464">CP391</f>
        <v>2.1557001426297702</v>
      </c>
      <c r="CX391" s="4">
        <f t="shared" ref="CX391:CX393" si="1465">CS391</f>
        <v>1.2969655123763921</v>
      </c>
      <c r="CY391" s="4">
        <f t="shared" ref="CY391:CZ393" si="1466">CQ391</f>
        <v>0.96762589928057552</v>
      </c>
      <c r="CZ391" s="4">
        <f t="shared" si="1466"/>
        <v>0.96762589928057552</v>
      </c>
      <c r="DI391" s="4">
        <f t="shared" si="1417"/>
        <v>152.39999999999998</v>
      </c>
      <c r="DL391" s="4">
        <f t="shared" si="1286"/>
        <v>2.2975743861357127E-5</v>
      </c>
      <c r="DM391" s="4">
        <f t="shared" si="1287"/>
        <v>14.719357433866572</v>
      </c>
      <c r="DN391" s="4">
        <f t="shared" si="1288"/>
        <v>0.34038896382032713</v>
      </c>
      <c r="DO391" s="4">
        <f t="shared" si="1289"/>
        <v>9.5648692976355409</v>
      </c>
      <c r="DP391" s="4">
        <f t="shared" si="1290"/>
        <v>12.413789399888694</v>
      </c>
      <c r="DQ391" s="4">
        <f t="shared" si="1291"/>
        <v>13.652143938875277</v>
      </c>
      <c r="DR391" s="38">
        <f t="shared" si="1318"/>
        <v>958.62068965517244</v>
      </c>
      <c r="DS391" s="4">
        <f t="shared" si="1292"/>
        <v>1</v>
      </c>
      <c r="DT391" s="4">
        <f t="shared" si="1293"/>
        <v>2.2360679774997898</v>
      </c>
      <c r="DU391" s="4">
        <f t="shared" si="1294"/>
        <v>749.8551172193504</v>
      </c>
      <c r="DY391" s="4">
        <f t="shared" si="1295"/>
        <v>0.85</v>
      </c>
      <c r="DZ391" s="4">
        <f t="shared" si="1296"/>
        <v>0.7</v>
      </c>
      <c r="EA391" s="4">
        <f t="shared" si="1319"/>
        <v>1</v>
      </c>
      <c r="EB391" s="4">
        <f t="shared" si="1297"/>
        <v>0.7</v>
      </c>
      <c r="ED391" s="4">
        <f t="shared" si="1320"/>
        <v>958.62068965517244</v>
      </c>
      <c r="EE391" s="25">
        <f t="shared" si="1321"/>
        <v>742.1045340265191</v>
      </c>
      <c r="EG391" s="4">
        <f t="shared" si="1213"/>
        <v>0.59499999999999997</v>
      </c>
      <c r="EH391" s="4">
        <f t="shared" si="1322"/>
        <v>14.719357433866572</v>
      </c>
      <c r="EK391" s="4">
        <f t="shared" si="1298"/>
        <v>35.497579142809165</v>
      </c>
      <c r="EL391" s="4">
        <f t="shared" si="1299"/>
        <v>2.2360679774997898</v>
      </c>
      <c r="EM391" s="4">
        <f t="shared" si="1300"/>
        <v>0.16233586943167166</v>
      </c>
      <c r="EP391" s="4">
        <f t="shared" si="1433"/>
        <v>0.16233586943167166</v>
      </c>
      <c r="EQ391" s="4">
        <f t="shared" si="1237"/>
        <v>0.33982091807958992</v>
      </c>
      <c r="ER391" s="4">
        <f t="shared" si="1301"/>
        <v>9.5584813045948618</v>
      </c>
      <c r="ES391" s="4">
        <f t="shared" si="1418"/>
        <v>12.41133532188586</v>
      </c>
      <c r="ET391" s="4">
        <f t="shared" si="1302"/>
        <v>78.80242085719081</v>
      </c>
      <c r="EU391" s="4">
        <f t="shared" si="1303"/>
        <v>38.099999999999994</v>
      </c>
      <c r="EV391" s="4">
        <f t="shared" si="1238"/>
        <v>2.2975743861357127E-5</v>
      </c>
      <c r="EW391" s="4">
        <f t="shared" si="1419"/>
        <v>13.652424500389278</v>
      </c>
      <c r="EX391" s="4">
        <f t="shared" si="1250"/>
        <v>958.62068965517244</v>
      </c>
      <c r="FG391" s="23">
        <f t="shared" si="1459"/>
        <v>2.2000000000000002</v>
      </c>
      <c r="FH391" s="23">
        <f t="shared" si="1459"/>
        <v>0.8</v>
      </c>
      <c r="FI391" s="23">
        <f t="shared" si="1382"/>
        <v>1.4</v>
      </c>
      <c r="FJ391" s="23">
        <f t="shared" si="1460"/>
        <v>2.2000000000000002</v>
      </c>
      <c r="FK391" s="23">
        <f t="shared" si="1460"/>
        <v>1</v>
      </c>
      <c r="FL391" s="23">
        <f t="shared" si="1460"/>
        <v>1</v>
      </c>
      <c r="FM391" s="23">
        <f t="shared" si="1330"/>
        <v>0</v>
      </c>
      <c r="FN391" s="23"/>
      <c r="FX391" s="4">
        <f t="shared" si="1200"/>
        <v>1</v>
      </c>
      <c r="FY391" s="4">
        <f t="shared" si="1258"/>
        <v>0.5</v>
      </c>
      <c r="FZ391" s="4">
        <f t="shared" si="1201"/>
        <v>0</v>
      </c>
      <c r="GA391" s="4">
        <f t="shared" si="1202"/>
        <v>715.19728014738234</v>
      </c>
    </row>
    <row r="392" spans="1:183" ht="12" customHeight="1" x14ac:dyDescent="0.3">
      <c r="A392" s="25">
        <v>374</v>
      </c>
      <c r="B392" s="4" t="s">
        <v>605</v>
      </c>
      <c r="C392" s="4">
        <v>2016</v>
      </c>
      <c r="D392" s="4" t="s">
        <v>309</v>
      </c>
      <c r="E392" s="24" t="s">
        <v>674</v>
      </c>
      <c r="F392" s="7" t="s">
        <v>540</v>
      </c>
      <c r="G392" s="38">
        <f t="shared" si="1394"/>
        <v>958.62068965517244</v>
      </c>
      <c r="H392" s="38">
        <f>6.03*25.4</f>
        <v>153.16200000000001</v>
      </c>
      <c r="I392" s="4">
        <f t="shared" si="1420"/>
        <v>153.16200000000001</v>
      </c>
      <c r="J392" s="38">
        <f t="shared" si="1451"/>
        <v>76.068965517241381</v>
      </c>
      <c r="K392" s="38">
        <f t="shared" si="1396"/>
        <v>15.875</v>
      </c>
      <c r="L392" s="7">
        <f t="shared" si="1421"/>
        <v>9.6479999999999997</v>
      </c>
      <c r="M392" s="7">
        <f t="shared" si="1422"/>
        <v>9.6479999999999997</v>
      </c>
      <c r="N392" s="38">
        <f>13*25.4</f>
        <v>330.2</v>
      </c>
      <c r="O392" s="38">
        <f>2.55*25.4</f>
        <v>64.77</v>
      </c>
      <c r="P392" s="39">
        <f>3.15*25.4</f>
        <v>80.009999999999991</v>
      </c>
      <c r="Q392" s="7">
        <f t="shared" si="1423"/>
        <v>168.91</v>
      </c>
      <c r="R392" s="38">
        <v>2</v>
      </c>
      <c r="S392" s="4">
        <f t="shared" si="1390"/>
        <v>133.35</v>
      </c>
      <c r="T392" s="7">
        <f t="shared" si="1424"/>
        <v>4.58</v>
      </c>
      <c r="U392" s="7">
        <f t="shared" si="1247"/>
        <v>4.58</v>
      </c>
      <c r="V392" s="38">
        <v>13.1</v>
      </c>
      <c r="W392" s="4">
        <f t="shared" si="1425"/>
        <v>13.1</v>
      </c>
      <c r="X392" s="4">
        <f t="shared" si="1426"/>
        <v>14.1</v>
      </c>
      <c r="Y392" s="7">
        <f t="shared" si="1427"/>
        <v>59.610572153771514</v>
      </c>
      <c r="AB392" s="38">
        <f t="shared" si="1461"/>
        <v>983.44827586206895</v>
      </c>
      <c r="AC392" s="4">
        <v>142.6</v>
      </c>
      <c r="AD392" s="4">
        <f t="shared" si="1279"/>
        <v>1</v>
      </c>
      <c r="AE392" s="38">
        <v>0</v>
      </c>
      <c r="AF392" s="38">
        <v>0</v>
      </c>
      <c r="AG392" s="39">
        <f t="shared" si="1462"/>
        <v>153.16200000000001</v>
      </c>
      <c r="AH392" s="39"/>
      <c r="AI392" s="39"/>
      <c r="AJ392" s="7"/>
      <c r="AK392" s="4">
        <f t="shared" si="1429"/>
        <v>153.16200000000001</v>
      </c>
      <c r="AL392" s="4">
        <f t="shared" si="1304"/>
        <v>0.71862907683803201</v>
      </c>
      <c r="AM392" s="4">
        <f t="shared" si="1305"/>
        <v>417.6216003496458</v>
      </c>
      <c r="AN392" s="4">
        <f t="shared" si="1306"/>
        <v>0.79494195688225533</v>
      </c>
      <c r="AO392" s="4">
        <v>1.25</v>
      </c>
      <c r="AP392" s="4">
        <f t="shared" si="1221"/>
        <v>2.5</v>
      </c>
      <c r="AQ392" s="38">
        <f t="shared" si="1398"/>
        <v>745.54382926292237</v>
      </c>
      <c r="AR392" s="38">
        <f t="shared" si="1307"/>
        <v>745.54382926292237</v>
      </c>
      <c r="AS392" s="38">
        <f t="shared" si="1308"/>
        <v>4.7518593634836064</v>
      </c>
      <c r="AT392" s="38">
        <f t="shared" si="1230"/>
        <v>745.54382926292283</v>
      </c>
      <c r="AU392" s="38">
        <f t="shared" si="1199"/>
        <v>0.99999999999999944</v>
      </c>
      <c r="AV392" s="38">
        <f t="shared" si="1231"/>
        <v>3.3827153310849316</v>
      </c>
      <c r="AW392" s="4">
        <f t="shared" si="1232"/>
        <v>0</v>
      </c>
      <c r="AX392" s="4">
        <f t="shared" si="1430"/>
        <v>442.88140779849761</v>
      </c>
      <c r="AY392" s="4">
        <f t="shared" si="1399"/>
        <v>1</v>
      </c>
      <c r="AZ392" s="38">
        <f t="shared" si="1242"/>
        <v>2521.9625412434557</v>
      </c>
      <c r="BA392" s="4">
        <f t="shared" si="1400"/>
        <v>0.3</v>
      </c>
      <c r="BB392" s="4">
        <f t="shared" si="1401"/>
        <v>69.421660672414518</v>
      </c>
      <c r="BC392" s="4">
        <f t="shared" si="1402"/>
        <v>2591.3842019158701</v>
      </c>
      <c r="BE392" s="4">
        <f t="shared" si="1222"/>
        <v>1.5</v>
      </c>
      <c r="BF392" s="4">
        <f t="shared" si="1225"/>
        <v>771.14246319063773</v>
      </c>
      <c r="BH392" s="4">
        <f t="shared" si="1248"/>
        <v>2418.8704929742166</v>
      </c>
      <c r="BI392" s="4">
        <f t="shared" si="1184"/>
        <v>0</v>
      </c>
      <c r="BJ392" s="4">
        <f t="shared" si="1249"/>
        <v>0</v>
      </c>
      <c r="BK392" s="4">
        <f t="shared" si="1309"/>
        <v>64.77</v>
      </c>
      <c r="BL392" s="4">
        <f t="shared" si="1310"/>
        <v>64.77</v>
      </c>
      <c r="BM392" s="4">
        <f t="shared" si="1311"/>
        <v>133.35</v>
      </c>
      <c r="BN392" s="4">
        <f t="shared" si="1312"/>
        <v>72.707499999999996</v>
      </c>
      <c r="BO392" s="4">
        <f t="shared" si="1313"/>
        <v>1.1058823529411765</v>
      </c>
      <c r="BP392" s="25">
        <f t="shared" si="1314"/>
        <v>4</v>
      </c>
      <c r="BR392" s="4">
        <f t="shared" si="1403"/>
        <v>64.77</v>
      </c>
      <c r="BV392" s="9"/>
      <c r="BX392" s="9"/>
      <c r="BY392" s="9"/>
      <c r="BZ392" s="9">
        <f t="shared" si="1404"/>
        <v>64.77</v>
      </c>
      <c r="CA392" s="9">
        <f t="shared" si="1405"/>
        <v>84.454999999999998</v>
      </c>
      <c r="CB392" s="9">
        <f t="shared" si="1233"/>
        <v>2.1019278374638874</v>
      </c>
      <c r="CC392" s="40">
        <f t="shared" si="1431"/>
        <v>20</v>
      </c>
      <c r="CD392" s="9">
        <f t="shared" si="1406"/>
        <v>0</v>
      </c>
      <c r="CE392" s="9">
        <f t="shared" si="1407"/>
        <v>0</v>
      </c>
      <c r="CF392" s="9">
        <f t="shared" si="1408"/>
        <v>1</v>
      </c>
      <c r="CG392" s="9">
        <f t="shared" si="1409"/>
        <v>0.68</v>
      </c>
      <c r="CH392" s="9">
        <f t="shared" si="1234"/>
        <v>2.0757770792545673</v>
      </c>
      <c r="CI392" s="9">
        <f t="shared" si="1235"/>
        <v>4.3631336272546575</v>
      </c>
      <c r="CJ392" s="40">
        <v>1</v>
      </c>
      <c r="CK392" s="9">
        <f t="shared" si="1236"/>
        <v>430.17007057829119</v>
      </c>
      <c r="CM392" s="4">
        <f t="shared" si="1410"/>
        <v>2.2205679862486321</v>
      </c>
      <c r="CN392" s="4">
        <f t="shared" si="1411"/>
        <v>0.37950693499442612</v>
      </c>
      <c r="CO392" s="4">
        <f t="shared" si="1376"/>
        <v>1.2753133471511944</v>
      </c>
      <c r="CP392" s="4">
        <f t="shared" si="1412"/>
        <v>2.286184797887004</v>
      </c>
      <c r="CQ392" s="4">
        <f t="shared" si="1324"/>
        <v>1</v>
      </c>
      <c r="CR392" s="4">
        <f t="shared" si="1325"/>
        <v>1</v>
      </c>
      <c r="CS392" s="4">
        <f t="shared" si="1377"/>
        <v>1.368231571250613</v>
      </c>
      <c r="CT392" s="4">
        <f t="shared" si="1432"/>
        <v>0</v>
      </c>
      <c r="CU392" s="4">
        <f t="shared" si="1463"/>
        <v>2.2205679862486321</v>
      </c>
      <c r="CV392" s="4">
        <f t="shared" si="1463"/>
        <v>0.37950693499442612</v>
      </c>
      <c r="CW392" s="4">
        <f t="shared" si="1464"/>
        <v>2.286184797887004</v>
      </c>
      <c r="CX392" s="4">
        <f t="shared" si="1465"/>
        <v>1.368231571250613</v>
      </c>
      <c r="CY392" s="4">
        <f t="shared" si="1466"/>
        <v>1</v>
      </c>
      <c r="CZ392" s="4">
        <f t="shared" si="1466"/>
        <v>1</v>
      </c>
      <c r="DI392" s="4">
        <f t="shared" si="1417"/>
        <v>153.16200000000001</v>
      </c>
      <c r="DL392" s="4">
        <f t="shared" si="1286"/>
        <v>2.3090622580663914E-5</v>
      </c>
      <c r="DM392" s="4">
        <f t="shared" si="1287"/>
        <v>14.719357433866572</v>
      </c>
      <c r="DN392" s="4">
        <f t="shared" si="1288"/>
        <v>0.17353398545126572</v>
      </c>
      <c r="DO392" s="4">
        <f t="shared" si="1289"/>
        <v>7.3053775881808054</v>
      </c>
      <c r="DP392" s="4">
        <f t="shared" si="1290"/>
        <v>11.62577071614635</v>
      </c>
      <c r="DQ392" s="4">
        <f t="shared" si="1291"/>
        <v>13.80694107281577</v>
      </c>
      <c r="DR392" s="38">
        <f t="shared" si="1318"/>
        <v>983.44827586206895</v>
      </c>
      <c r="DS392" s="4">
        <f t="shared" si="1292"/>
        <v>1</v>
      </c>
      <c r="DT392" s="4">
        <f t="shared" si="1293"/>
        <v>3.7549966711037173</v>
      </c>
      <c r="DU392" s="4">
        <f t="shared" si="1294"/>
        <v>745.54382926292283</v>
      </c>
      <c r="DY392" s="4">
        <f t="shared" si="1295"/>
        <v>0.85</v>
      </c>
      <c r="DZ392" s="4">
        <f t="shared" si="1296"/>
        <v>0.7</v>
      </c>
      <c r="EA392" s="4">
        <f t="shared" si="1319"/>
        <v>1</v>
      </c>
      <c r="EB392" s="4">
        <f t="shared" si="1297"/>
        <v>0.7</v>
      </c>
      <c r="ED392" s="4">
        <f t="shared" si="1320"/>
        <v>983.44827586206895</v>
      </c>
      <c r="EE392" s="25">
        <f t="shared" si="1321"/>
        <v>737.88070102182303</v>
      </c>
      <c r="EG392" s="4">
        <f t="shared" si="1213"/>
        <v>0.59499999999999997</v>
      </c>
      <c r="EH392" s="4">
        <f t="shared" si="1322"/>
        <v>14.719357433866572</v>
      </c>
      <c r="EK392" s="4">
        <f t="shared" si="1298"/>
        <v>59.610572153771514</v>
      </c>
      <c r="EL392" s="4">
        <f t="shared" si="1299"/>
        <v>3.7549966711037173</v>
      </c>
      <c r="EM392" s="4">
        <f t="shared" si="1300"/>
        <v>8.2760586853350845E-2</v>
      </c>
      <c r="EP392" s="4">
        <f t="shared" si="1433"/>
        <v>8.2760586853350845E-2</v>
      </c>
      <c r="EQ392" s="4">
        <f t="shared" si="1237"/>
        <v>0.17324438957188587</v>
      </c>
      <c r="ER392" s="4">
        <f t="shared" si="1301"/>
        <v>7.3004986191389216</v>
      </c>
      <c r="ES392" s="4">
        <f t="shared" si="1418"/>
        <v>11.624256514878113</v>
      </c>
      <c r="ET392" s="4">
        <f t="shared" si="1302"/>
        <v>55.260927846228483</v>
      </c>
      <c r="EU392" s="4">
        <f t="shared" si="1303"/>
        <v>38.290500000000009</v>
      </c>
      <c r="EV392" s="4">
        <f t="shared" si="1238"/>
        <v>2.309062258066392E-5</v>
      </c>
      <c r="EW392" s="4">
        <f t="shared" si="1419"/>
        <v>13.807192381438632</v>
      </c>
      <c r="EX392" s="4">
        <f t="shared" si="1250"/>
        <v>983.44827586206895</v>
      </c>
      <c r="FG392" s="23">
        <f t="shared" si="1459"/>
        <v>2.2000000000000002</v>
      </c>
      <c r="FH392" s="23">
        <f t="shared" si="1459"/>
        <v>0.6</v>
      </c>
      <c r="FI392" s="23">
        <f t="shared" si="1382"/>
        <v>1.4</v>
      </c>
      <c r="FJ392" s="23">
        <f t="shared" si="1460"/>
        <v>2.2000000000000002</v>
      </c>
      <c r="FK392" s="23">
        <f t="shared" si="1460"/>
        <v>1.2</v>
      </c>
      <c r="FL392" s="23">
        <f t="shared" si="1460"/>
        <v>1.2</v>
      </c>
      <c r="FM392" s="23">
        <f t="shared" si="1330"/>
        <v>0</v>
      </c>
      <c r="FN392" s="23"/>
      <c r="FX392" s="4">
        <f t="shared" si="1200"/>
        <v>1</v>
      </c>
      <c r="FY392" s="4">
        <f t="shared" si="1258"/>
        <v>0.5</v>
      </c>
      <c r="FZ392" s="4">
        <f t="shared" si="1201"/>
        <v>0</v>
      </c>
      <c r="GA392" s="4">
        <f t="shared" si="1202"/>
        <v>718.7732665481193</v>
      </c>
    </row>
    <row r="393" spans="1:183" ht="12" customHeight="1" x14ac:dyDescent="0.3">
      <c r="A393" s="25">
        <v>375</v>
      </c>
      <c r="B393" s="4" t="s">
        <v>605</v>
      </c>
      <c r="C393" s="4">
        <v>2016</v>
      </c>
      <c r="D393" s="4" t="s">
        <v>309</v>
      </c>
      <c r="E393" s="24" t="s">
        <v>674</v>
      </c>
      <c r="F393" s="7" t="s">
        <v>541</v>
      </c>
      <c r="G393" s="38">
        <f t="shared" si="1394"/>
        <v>958.62068965517244</v>
      </c>
      <c r="H393" s="38">
        <f>5.04*25.4</f>
        <v>128.01599999999999</v>
      </c>
      <c r="I393" s="4">
        <f t="shared" si="1420"/>
        <v>128.01599999999999</v>
      </c>
      <c r="J393" s="38">
        <f t="shared" si="1451"/>
        <v>76.068965517241381</v>
      </c>
      <c r="K393" s="38">
        <f t="shared" si="1396"/>
        <v>15.875</v>
      </c>
      <c r="L393" s="7">
        <f t="shared" si="1421"/>
        <v>8.0640000000000001</v>
      </c>
      <c r="M393" s="7">
        <f t="shared" si="1422"/>
        <v>8.0640000000000001</v>
      </c>
      <c r="N393" s="38">
        <f t="shared" si="1446"/>
        <v>332.73999999999995</v>
      </c>
      <c r="O393" s="38">
        <f t="shared" ref="O393:O399" si="1467">2.5*25.4</f>
        <v>63.5</v>
      </c>
      <c r="P393" s="39">
        <f>4.23*25.4</f>
        <v>107.44200000000001</v>
      </c>
      <c r="Q393" s="7">
        <f t="shared" si="1423"/>
        <v>79.057499999999976</v>
      </c>
      <c r="R393" s="38">
        <v>3</v>
      </c>
      <c r="S393" s="4">
        <f t="shared" si="1390"/>
        <v>133.35</v>
      </c>
      <c r="T393" s="7">
        <f t="shared" si="1424"/>
        <v>2.9899999999999993</v>
      </c>
      <c r="U393" s="7">
        <f t="shared" si="1247"/>
        <v>4.5</v>
      </c>
      <c r="V393" s="38">
        <v>4</v>
      </c>
      <c r="W393" s="4">
        <f t="shared" si="1425"/>
        <v>4</v>
      </c>
      <c r="X393" s="4">
        <f t="shared" si="1426"/>
        <v>5</v>
      </c>
      <c r="Y393" s="7">
        <f t="shared" si="1427"/>
        <v>35.497579142809165</v>
      </c>
      <c r="AB393" s="38">
        <f t="shared" si="1461"/>
        <v>623.44827586206907</v>
      </c>
      <c r="AC393" s="4">
        <v>90.4</v>
      </c>
      <c r="AD393" s="4">
        <f t="shared" si="1279"/>
        <v>0.81191613543819985</v>
      </c>
      <c r="AE393" s="38">
        <v>0</v>
      </c>
      <c r="AF393" s="38">
        <v>0</v>
      </c>
      <c r="AG393" s="39">
        <f t="shared" si="1462"/>
        <v>128.01599999999999</v>
      </c>
      <c r="AH393" s="39"/>
      <c r="AI393" s="39"/>
      <c r="AJ393" s="7"/>
      <c r="AK393" s="4">
        <f t="shared" si="1429"/>
        <v>128.01599999999999</v>
      </c>
      <c r="AL393" s="4">
        <f t="shared" si="1304"/>
        <v>0.86640211640211651</v>
      </c>
      <c r="AM393" s="4">
        <f t="shared" si="1305"/>
        <v>212.74606238722586</v>
      </c>
      <c r="AN393" s="4">
        <f t="shared" si="1306"/>
        <v>0.81160714285714286</v>
      </c>
      <c r="AO393" s="4">
        <v>1.25</v>
      </c>
      <c r="AP393" s="4">
        <f t="shared" si="1221"/>
        <v>2.5</v>
      </c>
      <c r="AQ393" s="38">
        <f t="shared" si="1398"/>
        <v>467.49494304139188</v>
      </c>
      <c r="AR393" s="38">
        <f t="shared" si="1307"/>
        <v>467.49494304139188</v>
      </c>
      <c r="AS393" s="38">
        <f t="shared" si="1308"/>
        <v>4.7518593634836064</v>
      </c>
      <c r="AT393" s="38">
        <f t="shared" si="1230"/>
        <v>467.49494304139216</v>
      </c>
      <c r="AU393" s="38">
        <f t="shared" si="1199"/>
        <v>0.99999999999999944</v>
      </c>
      <c r="AV393" s="38">
        <f t="shared" si="1231"/>
        <v>2.3392070107997665</v>
      </c>
      <c r="AW393" s="4">
        <f t="shared" si="1232"/>
        <v>0</v>
      </c>
      <c r="AX393" s="4">
        <f t="shared" si="1430"/>
        <v>370.16953487635624</v>
      </c>
      <c r="AY393" s="4">
        <f t="shared" si="1399"/>
        <v>1.2020066889632108</v>
      </c>
      <c r="AZ393" s="38">
        <f t="shared" si="1242"/>
        <v>1093.567448275862</v>
      </c>
      <c r="BA393" s="4">
        <f t="shared" si="1400"/>
        <v>0.44000000000000006</v>
      </c>
      <c r="BB393" s="4">
        <f t="shared" si="1401"/>
        <v>85.101976068074308</v>
      </c>
      <c r="BC393" s="4">
        <f t="shared" si="1402"/>
        <v>1178.6694243439363</v>
      </c>
      <c r="BE393" s="4">
        <f t="shared" si="1222"/>
        <v>1.5</v>
      </c>
      <c r="BF393" s="4">
        <f t="shared" si="1225"/>
        <v>708.97381184220683</v>
      </c>
      <c r="BH393" s="4">
        <f t="shared" si="1248"/>
        <v>1048.8649174810398</v>
      </c>
      <c r="BI393" s="4">
        <f t="shared" si="1184"/>
        <v>0</v>
      </c>
      <c r="BJ393" s="4">
        <f t="shared" si="1249"/>
        <v>0</v>
      </c>
      <c r="BK393" s="4">
        <f t="shared" si="1309"/>
        <v>45.928749999999987</v>
      </c>
      <c r="BL393" s="4">
        <f t="shared" si="1310"/>
        <v>45.928749999999987</v>
      </c>
      <c r="BM393" s="4">
        <f t="shared" si="1311"/>
        <v>133.35</v>
      </c>
      <c r="BN393" s="4">
        <f t="shared" si="1312"/>
        <v>53.866249999999987</v>
      </c>
      <c r="BO393" s="4">
        <f t="shared" si="1313"/>
        <v>1.1903410173366358</v>
      </c>
      <c r="BP393" s="25">
        <f t="shared" si="1314"/>
        <v>4</v>
      </c>
      <c r="BR393" s="4">
        <f t="shared" si="1403"/>
        <v>39.528749999999988</v>
      </c>
      <c r="BV393" s="9"/>
      <c r="BX393" s="9"/>
      <c r="BY393" s="9"/>
      <c r="BZ393" s="9">
        <f t="shared" si="1404"/>
        <v>39.528749999999988</v>
      </c>
      <c r="CA393" s="9">
        <f t="shared" si="1405"/>
        <v>63.5</v>
      </c>
      <c r="CB393" s="9">
        <f t="shared" si="1233"/>
        <v>1.6942549773761708</v>
      </c>
      <c r="CC393" s="40">
        <f t="shared" si="1431"/>
        <v>20</v>
      </c>
      <c r="CD393" s="9">
        <f t="shared" si="1406"/>
        <v>0</v>
      </c>
      <c r="CE393" s="9">
        <f t="shared" si="1407"/>
        <v>0</v>
      </c>
      <c r="CF393" s="9">
        <f t="shared" si="1408"/>
        <v>1</v>
      </c>
      <c r="CG393" s="9">
        <f t="shared" si="1409"/>
        <v>0.68</v>
      </c>
      <c r="CH393" s="9">
        <f t="shared" si="1234"/>
        <v>2.0757770792545673</v>
      </c>
      <c r="CI393" s="9">
        <f t="shared" si="1235"/>
        <v>3.5168956484504208</v>
      </c>
      <c r="CJ393" s="40">
        <v>1</v>
      </c>
      <c r="CK393" s="9">
        <f t="shared" si="1236"/>
        <v>324.45472494344199</v>
      </c>
      <c r="CM393" s="4">
        <f t="shared" si="1410"/>
        <v>1.6842236249136839</v>
      </c>
      <c r="CN393" s="4">
        <f t="shared" si="1411"/>
        <v>0.52894243541533204</v>
      </c>
      <c r="CO393" s="4">
        <f t="shared" si="1376"/>
        <v>0.87936714367783619</v>
      </c>
      <c r="CP393" s="4">
        <f t="shared" si="1412"/>
        <v>1.9215262652462428</v>
      </c>
      <c r="CQ393" s="4">
        <f t="shared" si="1324"/>
        <v>0.81191613543819985</v>
      </c>
      <c r="CR393" s="4">
        <f t="shared" si="1325"/>
        <v>0.82625634412902194</v>
      </c>
      <c r="CS393" s="4">
        <f t="shared" si="1377"/>
        <v>1.2473828124201516</v>
      </c>
      <c r="CT393" s="4">
        <f t="shared" si="1432"/>
        <v>0</v>
      </c>
      <c r="CU393" s="4">
        <f t="shared" si="1463"/>
        <v>1.6842236249136839</v>
      </c>
      <c r="CV393" s="4">
        <f t="shared" si="1463"/>
        <v>0.52894243541533204</v>
      </c>
      <c r="CW393" s="4">
        <f t="shared" si="1464"/>
        <v>1.9215262652462428</v>
      </c>
      <c r="CX393" s="4">
        <f t="shared" si="1465"/>
        <v>1.2473828124201516</v>
      </c>
      <c r="CY393" s="4">
        <f t="shared" si="1466"/>
        <v>0.81191613543819985</v>
      </c>
      <c r="CZ393" s="4">
        <f t="shared" si="1466"/>
        <v>0.82625634412902194</v>
      </c>
      <c r="DI393" s="4">
        <f t="shared" si="1417"/>
        <v>128.01599999999999</v>
      </c>
      <c r="DL393" s="4">
        <f t="shared" si="1286"/>
        <v>1.9299624843539986E-5</v>
      </c>
      <c r="DM393" s="4">
        <f t="shared" si="1287"/>
        <v>12.10757955782209</v>
      </c>
      <c r="DN393" s="4">
        <f t="shared" si="1288"/>
        <v>0.21221448730415612</v>
      </c>
      <c r="DO393" s="4">
        <f t="shared" si="1289"/>
        <v>6.5127940191019551</v>
      </c>
      <c r="DP393" s="4">
        <f t="shared" si="1290"/>
        <v>9.7247919654802502</v>
      </c>
      <c r="DQ393" s="4">
        <f t="shared" si="1291"/>
        <v>11.637478044456321</v>
      </c>
      <c r="DR393" s="38">
        <f t="shared" si="1318"/>
        <v>767.87275021401979</v>
      </c>
      <c r="DS393" s="4">
        <f t="shared" si="1292"/>
        <v>1.0000781722790062</v>
      </c>
      <c r="DT393" s="4">
        <f t="shared" si="1293"/>
        <v>2.2360679774997898</v>
      </c>
      <c r="DU393" s="4">
        <f t="shared" si="1294"/>
        <v>467.49494304139216</v>
      </c>
      <c r="DY393" s="4">
        <f t="shared" si="1295"/>
        <v>0.85</v>
      </c>
      <c r="DZ393" s="4">
        <f t="shared" si="1296"/>
        <v>0.85100000000000009</v>
      </c>
      <c r="EA393" s="4">
        <f t="shared" si="1319"/>
        <v>1</v>
      </c>
      <c r="EB393" s="4">
        <f t="shared" si="1297"/>
        <v>0.85100000000000009</v>
      </c>
      <c r="ED393" s="4">
        <f t="shared" si="1320"/>
        <v>754.54582623418389</v>
      </c>
      <c r="EE393" s="25">
        <f t="shared" si="1321"/>
        <v>461.63926157135188</v>
      </c>
      <c r="EG393" s="4">
        <f t="shared" si="1213"/>
        <v>0.72335000000000005</v>
      </c>
      <c r="EH393" s="4">
        <f t="shared" si="1322"/>
        <v>12.10757955782209</v>
      </c>
      <c r="EK393" s="4">
        <f t="shared" si="1298"/>
        <v>35.497579142809165</v>
      </c>
      <c r="EL393" s="4">
        <f t="shared" si="1299"/>
        <v>2.2360679774997898</v>
      </c>
      <c r="EM393" s="4">
        <f t="shared" si="1300"/>
        <v>0.10120781507094023</v>
      </c>
      <c r="EP393" s="4">
        <f t="shared" si="1433"/>
        <v>0.10120781507094023</v>
      </c>
      <c r="EQ393" s="4">
        <f t="shared" si="1237"/>
        <v>0.21186034087624936</v>
      </c>
      <c r="ER393" s="4">
        <f t="shared" si="1301"/>
        <v>6.5084443848754141</v>
      </c>
      <c r="ES393" s="4">
        <f t="shared" si="1418"/>
        <v>9.7233476939465842</v>
      </c>
      <c r="ET393" s="4">
        <f t="shared" si="1302"/>
        <v>60.514420857190835</v>
      </c>
      <c r="EU393" s="4">
        <f t="shared" si="1303"/>
        <v>32.003999999999984</v>
      </c>
      <c r="EV393" s="4">
        <f t="shared" si="1238"/>
        <v>1.929962484353998E-5</v>
      </c>
      <c r="EW393" s="4">
        <f t="shared" si="1419"/>
        <v>11.637590209637958</v>
      </c>
      <c r="EX393" s="4">
        <f t="shared" si="1250"/>
        <v>767.81272854317967</v>
      </c>
      <c r="FG393" s="23">
        <f t="shared" si="1459"/>
        <v>1.8</v>
      </c>
      <c r="FH393" s="23">
        <f t="shared" si="1459"/>
        <v>0.6</v>
      </c>
      <c r="FI393" s="23">
        <f t="shared" si="1382"/>
        <v>1.4</v>
      </c>
      <c r="FJ393" s="23">
        <f t="shared" si="1460"/>
        <v>2</v>
      </c>
      <c r="FK393" s="23">
        <f t="shared" si="1460"/>
        <v>1</v>
      </c>
      <c r="FL393" s="23">
        <f t="shared" si="1460"/>
        <v>1</v>
      </c>
      <c r="FM393" s="23">
        <f t="shared" si="1330"/>
        <v>0</v>
      </c>
      <c r="FN393" s="23"/>
      <c r="FX393" s="4">
        <f t="shared" si="1200"/>
        <v>1</v>
      </c>
      <c r="FY393" s="4">
        <f t="shared" si="1258"/>
        <v>0.60100000000000009</v>
      </c>
      <c r="FZ393" s="4">
        <f t="shared" si="1201"/>
        <v>0</v>
      </c>
      <c r="GA393" s="4">
        <f t="shared" si="1202"/>
        <v>499.80508762379446</v>
      </c>
    </row>
    <row r="394" spans="1:183" ht="12" customHeight="1" x14ac:dyDescent="0.3">
      <c r="A394" s="25">
        <v>376</v>
      </c>
      <c r="B394" s="4" t="s">
        <v>605</v>
      </c>
      <c r="C394" s="4">
        <v>2016</v>
      </c>
      <c r="D394" s="4" t="s">
        <v>309</v>
      </c>
      <c r="E394" s="24" t="s">
        <v>674</v>
      </c>
      <c r="F394" s="7" t="s">
        <v>542</v>
      </c>
      <c r="G394" s="38">
        <f t="shared" si="1394"/>
        <v>958.62068965517244</v>
      </c>
      <c r="H394" s="38">
        <f>5.15*25.4</f>
        <v>130.81</v>
      </c>
      <c r="I394" s="4">
        <f t="shared" si="1420"/>
        <v>130.81</v>
      </c>
      <c r="J394" s="38">
        <f t="shared" si="1451"/>
        <v>76.068965517241381</v>
      </c>
      <c r="K394" s="38">
        <f t="shared" si="1396"/>
        <v>15.875</v>
      </c>
      <c r="L394" s="7">
        <f t="shared" si="1421"/>
        <v>8.24</v>
      </c>
      <c r="M394" s="7">
        <f t="shared" si="1422"/>
        <v>8.24</v>
      </c>
      <c r="N394" s="38">
        <f t="shared" si="1446"/>
        <v>332.73999999999995</v>
      </c>
      <c r="O394" s="38">
        <f t="shared" si="1467"/>
        <v>63.5</v>
      </c>
      <c r="P394" s="39">
        <f>4.03*25.4</f>
        <v>102.36199999999999</v>
      </c>
      <c r="Q394" s="7">
        <f t="shared" si="1423"/>
        <v>79.057499999999976</v>
      </c>
      <c r="R394" s="38">
        <v>3</v>
      </c>
      <c r="S394" s="4">
        <f t="shared" si="1390"/>
        <v>133.35</v>
      </c>
      <c r="T394" s="7">
        <f t="shared" si="1424"/>
        <v>2.9899999999999993</v>
      </c>
      <c r="U394" s="7">
        <f t="shared" si="1247"/>
        <v>4.5</v>
      </c>
      <c r="V394" s="38">
        <v>4</v>
      </c>
      <c r="W394" s="4">
        <f t="shared" si="1425"/>
        <v>4</v>
      </c>
      <c r="X394" s="4">
        <f t="shared" si="1426"/>
        <v>5</v>
      </c>
      <c r="Y394" s="7">
        <f t="shared" si="1427"/>
        <v>35.497579142809165</v>
      </c>
      <c r="AB394" s="38">
        <f t="shared" si="1461"/>
        <v>781.37931034482767</v>
      </c>
      <c r="AC394" s="4">
        <v>113.3</v>
      </c>
      <c r="AD394" s="4">
        <f t="shared" si="1279"/>
        <v>0.9430316920738141</v>
      </c>
      <c r="AE394" s="38">
        <f t="shared" ref="AE394:AE395" si="1468">0.375*25.4</f>
        <v>9.5249999999999986</v>
      </c>
      <c r="AF394" s="38">
        <v>4</v>
      </c>
      <c r="AG394" s="39">
        <f>3.5*25.4</f>
        <v>88.899999999999991</v>
      </c>
      <c r="AH394" s="39">
        <v>2</v>
      </c>
      <c r="AI394" s="39">
        <f t="shared" ref="AI394:AI395" si="1469">AH394-1</f>
        <v>1</v>
      </c>
      <c r="AJ394" s="7"/>
      <c r="AK394" s="4">
        <f t="shared" si="1429"/>
        <v>130.81</v>
      </c>
      <c r="AL394" s="4">
        <f t="shared" si="1304"/>
        <v>0.84789644012944965</v>
      </c>
      <c r="AM394" s="4">
        <f t="shared" si="1305"/>
        <v>219.74882905147061</v>
      </c>
      <c r="AN394" s="4">
        <f t="shared" si="1306"/>
        <v>0.80922330097087369</v>
      </c>
      <c r="AO394" s="4">
        <v>1.25</v>
      </c>
      <c r="AP394" s="4">
        <f t="shared" si="1221"/>
        <v>2.5</v>
      </c>
      <c r="AQ394" s="38">
        <f t="shared" si="1398"/>
        <v>471.1810141720569</v>
      </c>
      <c r="AR394" s="38">
        <f t="shared" si="1307"/>
        <v>471.1810141720569</v>
      </c>
      <c r="AS394" s="38">
        <f t="shared" si="1308"/>
        <v>4.7518593634836064</v>
      </c>
      <c r="AT394" s="38">
        <f t="shared" si="1230"/>
        <v>471.18101417205736</v>
      </c>
      <c r="AU394" s="38">
        <f t="shared" si="1199"/>
        <v>0.999999999999999</v>
      </c>
      <c r="AV394" s="38">
        <f t="shared" si="1231"/>
        <v>2.320907284851959</v>
      </c>
      <c r="AW394" s="4">
        <f t="shared" si="1232"/>
        <v>0</v>
      </c>
      <c r="AX394" s="4">
        <f t="shared" si="1430"/>
        <v>378.24863186770523</v>
      </c>
      <c r="AY394" s="4">
        <f t="shared" si="1399"/>
        <v>1.2020066889632108</v>
      </c>
      <c r="AZ394" s="38">
        <f t="shared" si="1242"/>
        <v>1093.567448275862</v>
      </c>
      <c r="BA394" s="4">
        <f t="shared" si="1400"/>
        <v>0.44000000000000006</v>
      </c>
      <c r="BB394" s="4">
        <f t="shared" si="1401"/>
        <v>86.959360466385462</v>
      </c>
      <c r="BC394" s="4">
        <f t="shared" si="1402"/>
        <v>1180.5268087422476</v>
      </c>
      <c r="BE394" s="4">
        <f t="shared" si="1222"/>
        <v>1.5</v>
      </c>
      <c r="BF394" s="4">
        <f t="shared" si="1225"/>
        <v>715.8814397698103</v>
      </c>
      <c r="BH394" s="4">
        <f t="shared" si="1248"/>
        <v>1048.8649174810398</v>
      </c>
      <c r="BI394" s="4">
        <f t="shared" si="1184"/>
        <v>0</v>
      </c>
      <c r="BJ394" s="4">
        <f t="shared" si="1249"/>
        <v>0</v>
      </c>
      <c r="BK394" s="4">
        <f t="shared" si="1309"/>
        <v>45.928749999999987</v>
      </c>
      <c r="BL394" s="4">
        <f t="shared" si="1310"/>
        <v>45.928749999999987</v>
      </c>
      <c r="BM394" s="4">
        <f t="shared" si="1311"/>
        <v>133.35</v>
      </c>
      <c r="BN394" s="4">
        <f t="shared" si="1312"/>
        <v>53.866249999999987</v>
      </c>
      <c r="BO394" s="4">
        <f t="shared" si="1313"/>
        <v>1.1903410173366358</v>
      </c>
      <c r="BP394" s="25">
        <f t="shared" si="1314"/>
        <v>4</v>
      </c>
      <c r="BR394" s="4">
        <f t="shared" si="1403"/>
        <v>39.528749999999988</v>
      </c>
      <c r="BV394" s="9"/>
      <c r="BX394" s="9"/>
      <c r="BY394" s="9"/>
      <c r="BZ394" s="9">
        <f t="shared" si="1404"/>
        <v>39.528749999999988</v>
      </c>
      <c r="CA394" s="9">
        <f t="shared" si="1405"/>
        <v>63.5</v>
      </c>
      <c r="CB394" s="9">
        <f t="shared" si="1233"/>
        <v>1.6942549773761708</v>
      </c>
      <c r="CC394" s="40">
        <f t="shared" si="1431"/>
        <v>20</v>
      </c>
      <c r="CD394" s="9">
        <f t="shared" si="1406"/>
        <v>0.05</v>
      </c>
      <c r="CE394" s="9">
        <f t="shared" si="1407"/>
        <v>0.8</v>
      </c>
      <c r="CF394" s="9">
        <f t="shared" si="1408"/>
        <v>1</v>
      </c>
      <c r="CG394" s="9">
        <f t="shared" si="1409"/>
        <v>0.68</v>
      </c>
      <c r="CH394" s="9">
        <f t="shared" si="1234"/>
        <v>2.0757770792545673</v>
      </c>
      <c r="CI394" s="9">
        <f t="shared" si="1235"/>
        <v>5.1775173118540749</v>
      </c>
      <c r="CJ394" s="40">
        <v>1</v>
      </c>
      <c r="CK394" s="9">
        <f t="shared" si="1236"/>
        <v>481.30200930995477</v>
      </c>
      <c r="CM394" s="4">
        <f t="shared" si="1410"/>
        <v>2.0657822514428021</v>
      </c>
      <c r="CN394" s="4">
        <f t="shared" si="1411"/>
        <v>0.66189035654118</v>
      </c>
      <c r="CO394" s="4">
        <f t="shared" si="1376"/>
        <v>1.0914926228511777</v>
      </c>
      <c r="CP394" s="4">
        <f t="shared" si="1412"/>
        <v>1.6234698697084089</v>
      </c>
      <c r="CQ394" s="4">
        <f t="shared" si="1324"/>
        <v>0.9430316920738141</v>
      </c>
      <c r="CR394" s="4">
        <f t="shared" si="1325"/>
        <v>0.9601139047349182</v>
      </c>
      <c r="CS394" s="4">
        <f t="shared" si="1377"/>
        <v>1.418561096358864</v>
      </c>
      <c r="CT394" s="4">
        <f t="shared" si="1432"/>
        <v>4</v>
      </c>
      <c r="DA394" s="4">
        <f t="shared" ref="DA394:DB395" si="1470">CM394</f>
        <v>2.0657822514428021</v>
      </c>
      <c r="DB394" s="4">
        <f t="shared" si="1470"/>
        <v>0.66189035654118</v>
      </c>
      <c r="DC394" s="4">
        <f t="shared" ref="DC394:DC395" si="1471">CP394</f>
        <v>1.6234698697084089</v>
      </c>
      <c r="DD394" s="4">
        <f t="shared" ref="DD394:DD395" si="1472">CS394</f>
        <v>1.418561096358864</v>
      </c>
      <c r="DE394" s="4">
        <f t="shared" ref="DE394:DF395" si="1473">CQ394</f>
        <v>0.9430316920738141</v>
      </c>
      <c r="DF394" s="4">
        <f t="shared" si="1473"/>
        <v>0.9601139047349182</v>
      </c>
      <c r="DI394" s="4">
        <f t="shared" si="1417"/>
        <v>130.81</v>
      </c>
      <c r="DL394" s="4">
        <f t="shared" si="1286"/>
        <v>1.9720846814331535E-5</v>
      </c>
      <c r="DM394" s="4">
        <f t="shared" si="1287"/>
        <v>14.094970381632237</v>
      </c>
      <c r="DN394" s="4">
        <f t="shared" si="1288"/>
        <v>0.21388774111535619</v>
      </c>
      <c r="DO394" s="4">
        <f t="shared" si="1289"/>
        <v>7.6056883382842555</v>
      </c>
      <c r="DP394" s="4">
        <f t="shared" si="1290"/>
        <v>11.328995266091802</v>
      </c>
      <c r="DQ394" s="4">
        <f t="shared" si="1291"/>
        <v>13.428486755301332</v>
      </c>
      <c r="DR394" s="38">
        <f t="shared" si="1318"/>
        <v>828.58223844683539</v>
      </c>
      <c r="DS394" s="4">
        <f t="shared" si="1292"/>
        <v>1.0000854664505476</v>
      </c>
      <c r="DT394" s="4">
        <f t="shared" si="1293"/>
        <v>2.2360679774997898</v>
      </c>
      <c r="DU394" s="4">
        <f t="shared" si="1294"/>
        <v>471.18101417205736</v>
      </c>
      <c r="DY394" s="4">
        <f t="shared" si="1295"/>
        <v>0.85</v>
      </c>
      <c r="DZ394" s="4">
        <f t="shared" si="1296"/>
        <v>0.85100000000000009</v>
      </c>
      <c r="EA394" s="4">
        <f t="shared" si="1319"/>
        <v>0.85899999999999999</v>
      </c>
      <c r="EB394" s="4">
        <f t="shared" si="1297"/>
        <v>0.73100900000000002</v>
      </c>
      <c r="ED394" s="4">
        <f t="shared" si="1320"/>
        <v>813.84021884420258</v>
      </c>
      <c r="EE394" s="25">
        <f t="shared" si="1321"/>
        <v>465.41255101025371</v>
      </c>
      <c r="EG394" s="4">
        <f t="shared" si="1213"/>
        <v>0.62135764999999998</v>
      </c>
      <c r="EH394" s="4">
        <f t="shared" si="1322"/>
        <v>14.094970381632237</v>
      </c>
      <c r="EK394" s="4">
        <f t="shared" si="1298"/>
        <v>35.497579142809165</v>
      </c>
      <c r="EL394" s="4">
        <f t="shared" si="1299"/>
        <v>2.2360679774997898</v>
      </c>
      <c r="EM394" s="4">
        <f t="shared" si="1300"/>
        <v>0.10200581130786993</v>
      </c>
      <c r="EP394" s="4">
        <f t="shared" si="1433"/>
        <v>0.10200581130786993</v>
      </c>
      <c r="EQ394" s="4">
        <f t="shared" si="1237"/>
        <v>0.21353080233869065</v>
      </c>
      <c r="ER394" s="4">
        <f t="shared" si="1301"/>
        <v>7.6006088037226558</v>
      </c>
      <c r="ES394" s="4">
        <f t="shared" si="1418"/>
        <v>11.327304292034674</v>
      </c>
      <c r="ET394" s="4">
        <f t="shared" si="1302"/>
        <v>62.609920857190836</v>
      </c>
      <c r="EU394" s="4">
        <f t="shared" si="1303"/>
        <v>32.702499999999993</v>
      </c>
      <c r="EV394" s="4">
        <f t="shared" si="1238"/>
        <v>1.9720846814331531E-5</v>
      </c>
      <c r="EW394" s="4">
        <f t="shared" si="1419"/>
        <v>13.428644419645305</v>
      </c>
      <c r="EX394" s="4">
        <f t="shared" si="1250"/>
        <v>828.51142851580198</v>
      </c>
      <c r="FG394" s="23">
        <f t="shared" si="1459"/>
        <v>2.2000000000000002</v>
      </c>
      <c r="FH394" s="23">
        <f t="shared" si="1459"/>
        <v>0.8</v>
      </c>
      <c r="FI394" s="23">
        <f t="shared" si="1382"/>
        <v>1.6</v>
      </c>
      <c r="FJ394" s="23">
        <f t="shared" si="1460"/>
        <v>1.8</v>
      </c>
      <c r="FK394" s="23">
        <f t="shared" si="1460"/>
        <v>1</v>
      </c>
      <c r="FL394" s="23">
        <f t="shared" si="1460"/>
        <v>1</v>
      </c>
      <c r="FM394" s="23">
        <f t="shared" si="1330"/>
        <v>0</v>
      </c>
      <c r="FN394" s="23"/>
      <c r="FX394" s="4">
        <f t="shared" si="1200"/>
        <v>1</v>
      </c>
      <c r="FY394" s="4">
        <f t="shared" si="1258"/>
        <v>0.55723447154022165</v>
      </c>
      <c r="FZ394" s="4">
        <f t="shared" si="1201"/>
        <v>0.3</v>
      </c>
      <c r="GA394" s="4">
        <f t="shared" si="1202"/>
        <v>550.82527805848997</v>
      </c>
    </row>
    <row r="395" spans="1:183" ht="12" customHeight="1" x14ac:dyDescent="0.3">
      <c r="A395" s="25">
        <v>377</v>
      </c>
      <c r="B395" s="4" t="s">
        <v>605</v>
      </c>
      <c r="C395" s="4">
        <v>2016</v>
      </c>
      <c r="D395" s="4" t="s">
        <v>309</v>
      </c>
      <c r="E395" s="24" t="s">
        <v>674</v>
      </c>
      <c r="F395" s="7" t="s">
        <v>543</v>
      </c>
      <c r="G395" s="38">
        <f t="shared" si="1394"/>
        <v>958.62068965517244</v>
      </c>
      <c r="H395" s="38">
        <f>5.02*25.4</f>
        <v>127.50799999999998</v>
      </c>
      <c r="I395" s="4">
        <f t="shared" si="1420"/>
        <v>127.50799999999998</v>
      </c>
      <c r="J395" s="38">
        <f t="shared" si="1451"/>
        <v>76.068965517241381</v>
      </c>
      <c r="K395" s="38">
        <f t="shared" si="1396"/>
        <v>15.875</v>
      </c>
      <c r="L395" s="7">
        <f t="shared" si="1421"/>
        <v>8.0319999999999983</v>
      </c>
      <c r="M395" s="7">
        <f t="shared" si="1422"/>
        <v>8.0319999999999983</v>
      </c>
      <c r="N395" s="38">
        <f>12.9*25.4</f>
        <v>327.65999999999997</v>
      </c>
      <c r="O395" s="38">
        <f t="shared" si="1467"/>
        <v>63.5</v>
      </c>
      <c r="P395" s="39">
        <f>4.1*25.4</f>
        <v>104.13999999999999</v>
      </c>
      <c r="Q395" s="7">
        <f t="shared" si="1423"/>
        <v>76.517499999999984</v>
      </c>
      <c r="R395" s="38">
        <v>3</v>
      </c>
      <c r="S395" s="4">
        <f t="shared" si="1390"/>
        <v>133.35</v>
      </c>
      <c r="T395" s="7">
        <f t="shared" si="1424"/>
        <v>2.9099999999999997</v>
      </c>
      <c r="U395" s="7">
        <f t="shared" si="1247"/>
        <v>4.5</v>
      </c>
      <c r="V395" s="38">
        <v>4</v>
      </c>
      <c r="W395" s="4">
        <f t="shared" si="1425"/>
        <v>4</v>
      </c>
      <c r="X395" s="4">
        <f t="shared" si="1426"/>
        <v>5</v>
      </c>
      <c r="Y395" s="7">
        <f t="shared" si="1427"/>
        <v>35.497579142809165</v>
      </c>
      <c r="AB395" s="38">
        <f t="shared" si="1461"/>
        <v>859.31034482758628</v>
      </c>
      <c r="AC395" s="4">
        <v>124.6</v>
      </c>
      <c r="AD395" s="4">
        <f t="shared" si="1279"/>
        <v>1.0458763223941501</v>
      </c>
      <c r="AE395" s="38">
        <f t="shared" si="1468"/>
        <v>9.5249999999999986</v>
      </c>
      <c r="AF395" s="38">
        <v>10</v>
      </c>
      <c r="AG395" s="39">
        <f>1.75*25.4</f>
        <v>44.449999999999996</v>
      </c>
      <c r="AH395" s="39">
        <v>3</v>
      </c>
      <c r="AI395" s="39">
        <f t="shared" si="1469"/>
        <v>2</v>
      </c>
      <c r="AJ395" s="7"/>
      <c r="AK395" s="4">
        <f t="shared" si="1429"/>
        <v>127.50799999999998</v>
      </c>
      <c r="AL395" s="4">
        <f t="shared" si="1304"/>
        <v>0.856573705179283</v>
      </c>
      <c r="AM395" s="4">
        <f t="shared" si="1305"/>
        <v>211.48097390514772</v>
      </c>
      <c r="AN395" s="4">
        <f t="shared" si="1306"/>
        <v>0.81205179282868523</v>
      </c>
      <c r="AO395" s="4">
        <v>1.25</v>
      </c>
      <c r="AP395" s="4">
        <f t="shared" si="1221"/>
        <v>2.5</v>
      </c>
      <c r="AQ395" s="38">
        <f t="shared" si="1398"/>
        <v>459.69501197583168</v>
      </c>
      <c r="AR395" s="38">
        <f t="shared" si="1307"/>
        <v>459.69501197583168</v>
      </c>
      <c r="AS395" s="38">
        <f t="shared" si="1308"/>
        <v>4.7518593634836064</v>
      </c>
      <c r="AT395" s="38">
        <f t="shared" si="1230"/>
        <v>459.69501197583151</v>
      </c>
      <c r="AU395" s="38">
        <f t="shared" si="1199"/>
        <v>1.0000000000000004</v>
      </c>
      <c r="AV395" s="38">
        <f t="shared" si="1231"/>
        <v>2.3471262006064104</v>
      </c>
      <c r="AW395" s="4">
        <f t="shared" si="1232"/>
        <v>0</v>
      </c>
      <c r="AX395" s="4">
        <f t="shared" si="1430"/>
        <v>368.70060815065631</v>
      </c>
      <c r="AY395" s="4">
        <f t="shared" si="1399"/>
        <v>1.2185567010309279</v>
      </c>
      <c r="AZ395" s="38">
        <f t="shared" si="1242"/>
        <v>1078.9622068965518</v>
      </c>
      <c r="BA395" s="4">
        <f t="shared" si="1400"/>
        <v>0.44000000000000006</v>
      </c>
      <c r="BB395" s="4">
        <f t="shared" si="1401"/>
        <v>84.764269813835909</v>
      </c>
      <c r="BC395" s="4">
        <f t="shared" si="1402"/>
        <v>1163.7264767103877</v>
      </c>
      <c r="BE395" s="4">
        <f t="shared" si="1222"/>
        <v>1.5</v>
      </c>
      <c r="BF395" s="4">
        <f t="shared" si="1225"/>
        <v>707.71787949173347</v>
      </c>
      <c r="BH395" s="4">
        <f t="shared" si="1248"/>
        <v>1034.856704893647</v>
      </c>
      <c r="BI395" s="4">
        <f t="shared" si="1184"/>
        <v>0</v>
      </c>
      <c r="BJ395" s="4">
        <f t="shared" si="1249"/>
        <v>0</v>
      </c>
      <c r="BK395" s="4">
        <f t="shared" si="1309"/>
        <v>44.658749999999991</v>
      </c>
      <c r="BL395" s="4">
        <f t="shared" si="1310"/>
        <v>44.658749999999991</v>
      </c>
      <c r="BM395" s="4">
        <f t="shared" si="1311"/>
        <v>133.35</v>
      </c>
      <c r="BN395" s="4">
        <f t="shared" si="1312"/>
        <v>52.596249999999991</v>
      </c>
      <c r="BO395" s="4">
        <f t="shared" si="1313"/>
        <v>1.1985976992190781</v>
      </c>
      <c r="BP395" s="25">
        <f t="shared" si="1314"/>
        <v>4</v>
      </c>
      <c r="BR395" s="4">
        <f t="shared" si="1403"/>
        <v>38.258749999999992</v>
      </c>
      <c r="BV395" s="9"/>
      <c r="BX395" s="9"/>
      <c r="BY395" s="9"/>
      <c r="BZ395" s="9">
        <f t="shared" si="1404"/>
        <v>38.258749999999992</v>
      </c>
      <c r="CA395" s="9">
        <f t="shared" si="1405"/>
        <v>63.5</v>
      </c>
      <c r="CB395" s="9">
        <f t="shared" si="1233"/>
        <v>1.6750005871158282</v>
      </c>
      <c r="CC395" s="40">
        <f t="shared" si="1431"/>
        <v>20</v>
      </c>
      <c r="CD395" s="9">
        <f t="shared" si="1406"/>
        <v>0.05</v>
      </c>
      <c r="CE395" s="9">
        <f t="shared" si="1407"/>
        <v>0.8</v>
      </c>
      <c r="CF395" s="9">
        <f t="shared" si="1408"/>
        <v>1</v>
      </c>
      <c r="CG395" s="9">
        <f t="shared" si="1409"/>
        <v>0.68</v>
      </c>
      <c r="CH395" s="9">
        <f t="shared" si="1234"/>
        <v>2.0757770792545673</v>
      </c>
      <c r="CI395" s="9">
        <f t="shared" si="1235"/>
        <v>5.1375494898766334</v>
      </c>
      <c r="CJ395" s="40">
        <v>1</v>
      </c>
      <c r="CK395" s="9">
        <f t="shared" si="1236"/>
        <v>473.31215940335449</v>
      </c>
      <c r="CM395" s="4">
        <f t="shared" si="1410"/>
        <v>2.3306453144673411</v>
      </c>
      <c r="CN395" s="4">
        <f t="shared" si="1411"/>
        <v>0.73841264422949071</v>
      </c>
      <c r="CO395" s="4">
        <f t="shared" si="1376"/>
        <v>1.2141990046156852</v>
      </c>
      <c r="CP395" s="4">
        <f t="shared" si="1412"/>
        <v>1.8155256055766906</v>
      </c>
      <c r="CQ395" s="4">
        <f t="shared" si="1324"/>
        <v>1.0458763223941501</v>
      </c>
      <c r="CR395" s="4">
        <f t="shared" si="1325"/>
        <v>1.0627262740118579</v>
      </c>
      <c r="CS395" s="4">
        <f t="shared" si="1377"/>
        <v>1.6217447857525504</v>
      </c>
      <c r="CT395" s="4">
        <f t="shared" si="1432"/>
        <v>10</v>
      </c>
      <c r="DA395" s="4">
        <f t="shared" si="1470"/>
        <v>2.3306453144673411</v>
      </c>
      <c r="DB395" s="4">
        <f t="shared" si="1470"/>
        <v>0.73841264422949071</v>
      </c>
      <c r="DC395" s="4">
        <f t="shared" si="1471"/>
        <v>1.8155256055766906</v>
      </c>
      <c r="DD395" s="4">
        <f t="shared" si="1472"/>
        <v>1.6217447857525504</v>
      </c>
      <c r="DE395" s="4">
        <f t="shared" si="1473"/>
        <v>1.0458763223941501</v>
      </c>
      <c r="DF395" s="4">
        <f t="shared" si="1473"/>
        <v>1.0627262740118579</v>
      </c>
      <c r="DI395" s="4">
        <f t="shared" si="1417"/>
        <v>127.50799999999998</v>
      </c>
      <c r="DL395" s="4">
        <f t="shared" si="1286"/>
        <v>1.9223039030668795E-5</v>
      </c>
      <c r="DM395" s="4">
        <f t="shared" si="1287"/>
        <v>14.719357433866572</v>
      </c>
      <c r="DN395" s="4">
        <f t="shared" si="1288"/>
        <v>0.20867378938490794</v>
      </c>
      <c r="DO395" s="4">
        <f t="shared" si="1289"/>
        <v>7.8645886568405601</v>
      </c>
      <c r="DP395" s="4">
        <f t="shared" si="1290"/>
        <v>11.804978006229822</v>
      </c>
      <c r="DQ395" s="4">
        <f t="shared" si="1291"/>
        <v>14.033080781393064</v>
      </c>
      <c r="DR395" s="38">
        <f t="shared" si="1318"/>
        <v>821.61755307789213</v>
      </c>
      <c r="DS395" s="4">
        <f t="shared" si="1292"/>
        <v>1.0000875778782294</v>
      </c>
      <c r="DT395" s="4">
        <f t="shared" si="1293"/>
        <v>2.2360679774997898</v>
      </c>
      <c r="DU395" s="4">
        <f t="shared" si="1294"/>
        <v>459.69501197583151</v>
      </c>
      <c r="DY395" s="4">
        <f t="shared" si="1295"/>
        <v>0.85</v>
      </c>
      <c r="DZ395" s="4">
        <f t="shared" si="1296"/>
        <v>0.8590000000000001</v>
      </c>
      <c r="EA395" s="4">
        <f t="shared" si="1319"/>
        <v>0.7</v>
      </c>
      <c r="EB395" s="4">
        <f t="shared" si="1297"/>
        <v>0.7</v>
      </c>
      <c r="ED395" s="4">
        <f t="shared" si="1320"/>
        <v>808.59047700367478</v>
      </c>
      <c r="EE395" s="25">
        <f t="shared" si="1321"/>
        <v>453.912840277226</v>
      </c>
      <c r="EG395" s="4">
        <f t="shared" si="1213"/>
        <v>0.59499999999999997</v>
      </c>
      <c r="EH395" s="4">
        <f t="shared" si="1322"/>
        <v>14.719357433866572</v>
      </c>
      <c r="EK395" s="4">
        <f t="shared" si="1298"/>
        <v>35.497579142809165</v>
      </c>
      <c r="EL395" s="4">
        <f t="shared" si="1299"/>
        <v>2.2360679774997898</v>
      </c>
      <c r="EM395" s="4">
        <f t="shared" si="1300"/>
        <v>9.951921074997444E-2</v>
      </c>
      <c r="EP395" s="4">
        <f t="shared" si="1433"/>
        <v>9.951921074997444E-2</v>
      </c>
      <c r="EQ395" s="4">
        <f t="shared" si="1237"/>
        <v>0.20832555172193198</v>
      </c>
      <c r="ER395" s="4">
        <f t="shared" si="1301"/>
        <v>7.8593362131275946</v>
      </c>
      <c r="ES395" s="4">
        <f t="shared" si="1418"/>
        <v>11.803243573120547</v>
      </c>
      <c r="ET395" s="4">
        <f t="shared" si="1302"/>
        <v>60.133420857190821</v>
      </c>
      <c r="EU395" s="4">
        <f t="shared" si="1303"/>
        <v>31.876999999999988</v>
      </c>
      <c r="EV395" s="4">
        <f t="shared" si="1238"/>
        <v>1.9223039030668792E-5</v>
      </c>
      <c r="EW395" s="4">
        <f t="shared" si="1419"/>
        <v>14.03324384448673</v>
      </c>
      <c r="EX395" s="4">
        <f t="shared" si="1250"/>
        <v>821.54560385703758</v>
      </c>
      <c r="FG395" s="23">
        <f t="shared" si="1459"/>
        <v>2.2000000000000002</v>
      </c>
      <c r="FH395" s="23">
        <f t="shared" si="1459"/>
        <v>0.8</v>
      </c>
      <c r="FI395" s="23">
        <f t="shared" si="1382"/>
        <v>1.8</v>
      </c>
      <c r="FJ395" s="23">
        <f t="shared" si="1460"/>
        <v>2</v>
      </c>
      <c r="FK395" s="23">
        <f t="shared" si="1460"/>
        <v>1.2</v>
      </c>
      <c r="FL395" s="23">
        <f t="shared" si="1460"/>
        <v>1.2</v>
      </c>
      <c r="FM395" s="23">
        <f t="shared" si="1330"/>
        <v>0</v>
      </c>
      <c r="FN395" s="23"/>
      <c r="FX395" s="4">
        <f t="shared" si="1200"/>
        <v>1</v>
      </c>
      <c r="FY395" s="4">
        <f t="shared" si="1258"/>
        <v>0.56465190210980853</v>
      </c>
      <c r="FZ395" s="4">
        <f t="shared" si="1201"/>
        <v>0.3</v>
      </c>
      <c r="GA395" s="4">
        <f t="shared" si="1202"/>
        <v>529.86780187416116</v>
      </c>
    </row>
    <row r="396" spans="1:183" ht="12" customHeight="1" x14ac:dyDescent="0.3">
      <c r="A396" s="25">
        <v>378</v>
      </c>
      <c r="B396" s="4" t="s">
        <v>605</v>
      </c>
      <c r="C396" s="4">
        <v>2016</v>
      </c>
      <c r="D396" s="4" t="s">
        <v>309</v>
      </c>
      <c r="E396" s="24" t="s">
        <v>674</v>
      </c>
      <c r="F396" s="7" t="s">
        <v>544</v>
      </c>
      <c r="G396" s="38">
        <f t="shared" si="1394"/>
        <v>958.62068965517244</v>
      </c>
      <c r="H396" s="38">
        <f>5.19*25.4</f>
        <v>131.82599999999999</v>
      </c>
      <c r="I396" s="4">
        <f t="shared" si="1420"/>
        <v>131.82599999999999</v>
      </c>
      <c r="J396" s="38">
        <f t="shared" si="1451"/>
        <v>76.068965517241381</v>
      </c>
      <c r="K396" s="38">
        <f t="shared" si="1396"/>
        <v>15.875</v>
      </c>
      <c r="L396" s="7">
        <f t="shared" si="1421"/>
        <v>8.3040000000000003</v>
      </c>
      <c r="M396" s="7">
        <f t="shared" si="1422"/>
        <v>8.3040000000000003</v>
      </c>
      <c r="N396" s="38">
        <f>12.8*25.4</f>
        <v>325.12</v>
      </c>
      <c r="O396" s="38">
        <f t="shared" si="1467"/>
        <v>63.5</v>
      </c>
      <c r="P396" s="39">
        <f>3.9*25.4</f>
        <v>99.059999999999988</v>
      </c>
      <c r="Q396" s="7">
        <f t="shared" si="1423"/>
        <v>44.873333333333335</v>
      </c>
      <c r="R396" s="38">
        <v>4</v>
      </c>
      <c r="S396" s="4">
        <f t="shared" si="1390"/>
        <v>133.35</v>
      </c>
      <c r="T396" s="7">
        <f t="shared" si="1424"/>
        <v>1.9133333333333333</v>
      </c>
      <c r="U396" s="7">
        <f t="shared" si="1247"/>
        <v>4.5</v>
      </c>
      <c r="V396" s="38">
        <v>4</v>
      </c>
      <c r="W396" s="4">
        <f t="shared" si="1425"/>
        <v>4</v>
      </c>
      <c r="X396" s="4">
        <f t="shared" si="1426"/>
        <v>5</v>
      </c>
      <c r="Y396" s="7">
        <f t="shared" si="1427"/>
        <v>35.497579142809165</v>
      </c>
      <c r="AB396" s="38">
        <f t="shared" si="1461"/>
        <v>570.34482758620697</v>
      </c>
      <c r="AC396" s="4">
        <v>82.7</v>
      </c>
      <c r="AD396" s="4">
        <f t="shared" si="1279"/>
        <v>0.93075915185163327</v>
      </c>
      <c r="AE396" s="38">
        <v>0</v>
      </c>
      <c r="AF396" s="38">
        <v>0</v>
      </c>
      <c r="AG396" s="39">
        <f t="shared" ref="AG396" si="1474">I396</f>
        <v>131.82599999999999</v>
      </c>
      <c r="AH396" s="39"/>
      <c r="AI396" s="39"/>
      <c r="AJ396" s="7"/>
      <c r="AK396" s="4">
        <f t="shared" si="1429"/>
        <v>131.82599999999999</v>
      </c>
      <c r="AL396" s="4">
        <f t="shared" si="1304"/>
        <v>0.82209377007064866</v>
      </c>
      <c r="AM396" s="4">
        <f t="shared" si="1305"/>
        <v>166.73548079390528</v>
      </c>
      <c r="AN396" s="4">
        <f t="shared" si="1306"/>
        <v>0.80838150289017341</v>
      </c>
      <c r="AO396" s="4">
        <v>1.25</v>
      </c>
      <c r="AP396" s="4">
        <f t="shared" si="1221"/>
        <v>2.5</v>
      </c>
      <c r="AQ396" s="38">
        <f t="shared" si="1398"/>
        <v>346.27072202772723</v>
      </c>
      <c r="AR396" s="38">
        <f t="shared" si="1307"/>
        <v>346.27072202772723</v>
      </c>
      <c r="AS396" s="38">
        <f t="shared" si="1308"/>
        <v>4.7518593634836064</v>
      </c>
      <c r="AT396" s="38">
        <f t="shared" si="1230"/>
        <v>346.27072202772706</v>
      </c>
      <c r="AU396" s="38">
        <f t="shared" si="1199"/>
        <v>1.0000000000000004</v>
      </c>
      <c r="AV396" s="38">
        <f t="shared" si="1231"/>
        <v>2.5904738238524363</v>
      </c>
      <c r="AW396" s="4">
        <f t="shared" si="1232"/>
        <v>0</v>
      </c>
      <c r="AX396" s="4">
        <f t="shared" si="1430"/>
        <v>381.18648531910492</v>
      </c>
      <c r="AY396" s="4">
        <f t="shared" si="1399"/>
        <v>1.540766550522648</v>
      </c>
      <c r="AZ396" s="38">
        <f t="shared" si="1242"/>
        <v>897.00524137931018</v>
      </c>
      <c r="BA396" s="4">
        <f t="shared" si="1400"/>
        <v>0.44000000000000006</v>
      </c>
      <c r="BB396" s="4">
        <f t="shared" si="1401"/>
        <v>87.63477297486223</v>
      </c>
      <c r="BC396" s="4">
        <f t="shared" si="1402"/>
        <v>984.64001435417242</v>
      </c>
      <c r="BE396" s="4">
        <f t="shared" si="1222"/>
        <v>1.5</v>
      </c>
      <c r="BF396" s="4">
        <f t="shared" si="1225"/>
        <v>718.39330447075702</v>
      </c>
      <c r="BH396" s="4">
        <f t="shared" si="1248"/>
        <v>860.3377230757111</v>
      </c>
      <c r="BI396" s="4">
        <f t="shared" si="1184"/>
        <v>0</v>
      </c>
      <c r="BJ396" s="4">
        <f t="shared" si="1249"/>
        <v>0</v>
      </c>
      <c r="BK396" s="4">
        <f t="shared" si="1309"/>
        <v>28.836666666666666</v>
      </c>
      <c r="BL396" s="4">
        <f t="shared" si="1310"/>
        <v>28.836666666666666</v>
      </c>
      <c r="BM396" s="4">
        <f t="shared" si="1311"/>
        <v>133.35</v>
      </c>
      <c r="BN396" s="4">
        <f t="shared" si="1312"/>
        <v>36.774166666666666</v>
      </c>
      <c r="BO396" s="4">
        <f t="shared" si="1313"/>
        <v>1.25</v>
      </c>
      <c r="BP396" s="25">
        <f t="shared" si="1314"/>
        <v>2.8956036745406823</v>
      </c>
      <c r="BR396" s="4">
        <f t="shared" si="1403"/>
        <v>22.436666666666667</v>
      </c>
      <c r="BV396" s="9"/>
      <c r="BX396" s="9"/>
      <c r="BY396" s="9"/>
      <c r="BZ396" s="9">
        <f t="shared" si="1404"/>
        <v>22.436666666666667</v>
      </c>
      <c r="CA396" s="9">
        <f t="shared" si="1405"/>
        <v>63.5</v>
      </c>
      <c r="CB396" s="9">
        <f t="shared" si="1233"/>
        <v>1.3896153710408319</v>
      </c>
      <c r="CC396" s="40">
        <f t="shared" si="1431"/>
        <v>20</v>
      </c>
      <c r="CD396" s="9">
        <f t="shared" si="1406"/>
        <v>0</v>
      </c>
      <c r="CE396" s="9">
        <f t="shared" si="1407"/>
        <v>0</v>
      </c>
      <c r="CF396" s="9">
        <f t="shared" si="1408"/>
        <v>1</v>
      </c>
      <c r="CG396" s="9">
        <f t="shared" si="1409"/>
        <v>0.68</v>
      </c>
      <c r="CH396" s="9">
        <f t="shared" si="1234"/>
        <v>2.0757770792545673</v>
      </c>
      <c r="CI396" s="9">
        <f t="shared" si="1235"/>
        <v>2.88453173618639</v>
      </c>
      <c r="CJ396" s="40">
        <v>1</v>
      </c>
      <c r="CK396" s="9">
        <f t="shared" si="1236"/>
        <v>268.88451032035056</v>
      </c>
      <c r="CM396" s="4">
        <f t="shared" si="1410"/>
        <v>1.4962356997225408</v>
      </c>
      <c r="CN396" s="4">
        <f t="shared" si="1411"/>
        <v>0.57924197602338701</v>
      </c>
      <c r="CO396" s="4">
        <f t="shared" si="1376"/>
        <v>0.79391723730830444</v>
      </c>
      <c r="CP396" s="4">
        <f t="shared" si="1412"/>
        <v>2.1211516680774762</v>
      </c>
      <c r="CQ396" s="4">
        <f t="shared" si="1324"/>
        <v>0.93075915185163327</v>
      </c>
      <c r="CR396" s="4">
        <f t="shared" si="1325"/>
        <v>0.93527480684988118</v>
      </c>
      <c r="CS396" s="4">
        <f t="shared" si="1377"/>
        <v>1.3066748939789545</v>
      </c>
      <c r="CT396" s="4">
        <f t="shared" si="1432"/>
        <v>0</v>
      </c>
      <c r="CU396" s="4">
        <f t="shared" ref="CU396:CV396" si="1475">CM396</f>
        <v>1.4962356997225408</v>
      </c>
      <c r="CV396" s="4">
        <f t="shared" si="1475"/>
        <v>0.57924197602338701</v>
      </c>
      <c r="CW396" s="4">
        <f t="shared" ref="CW396" si="1476">CP396</f>
        <v>2.1211516680774762</v>
      </c>
      <c r="CX396" s="4">
        <f t="shared" ref="CX396" si="1477">CS396</f>
        <v>1.3066748939789545</v>
      </c>
      <c r="CY396" s="4">
        <f t="shared" ref="CY396:CZ396" si="1478">CQ396</f>
        <v>0.93075915185163327</v>
      </c>
      <c r="CZ396" s="4">
        <f t="shared" si="1478"/>
        <v>0.93527480684988118</v>
      </c>
      <c r="DI396" s="4">
        <f t="shared" si="1417"/>
        <v>131.82599999999999</v>
      </c>
      <c r="DL396" s="4">
        <f t="shared" si="1286"/>
        <v>1.987401844007391E-5</v>
      </c>
      <c r="DM396" s="4">
        <f t="shared" si="1287"/>
        <v>10.747792284812169</v>
      </c>
      <c r="DN396" s="4">
        <f t="shared" si="1288"/>
        <v>0.15718600775762356</v>
      </c>
      <c r="DO396" s="4">
        <f t="shared" si="1289"/>
        <v>5.1272538285529041</v>
      </c>
      <c r="DP396" s="4">
        <f t="shared" si="1290"/>
        <v>8.4257362124731756</v>
      </c>
      <c r="DQ396" s="4">
        <f t="shared" si="1291"/>
        <v>10.368938630659107</v>
      </c>
      <c r="DR396" s="38">
        <f t="shared" si="1318"/>
        <v>612.77380560972688</v>
      </c>
      <c r="DS396" s="4">
        <f t="shared" si="1292"/>
        <v>1.0000756720077577</v>
      </c>
      <c r="DT396" s="4">
        <f t="shared" si="1293"/>
        <v>2.2360679774997898</v>
      </c>
      <c r="DU396" s="4">
        <f t="shared" si="1294"/>
        <v>346.27072202772706</v>
      </c>
      <c r="DY396" s="4">
        <f t="shared" si="1295"/>
        <v>0.85</v>
      </c>
      <c r="DZ396" s="4">
        <f t="shared" si="1296"/>
        <v>0.95866666666666667</v>
      </c>
      <c r="EA396" s="4">
        <f t="shared" si="1319"/>
        <v>1</v>
      </c>
      <c r="EB396" s="4">
        <f t="shared" si="1297"/>
        <v>0.95866666666666667</v>
      </c>
      <c r="ED396" s="4">
        <f t="shared" si="1320"/>
        <v>609.8152365583303</v>
      </c>
      <c r="EE396" s="25">
        <f t="shared" si="1321"/>
        <v>342.0662351590895</v>
      </c>
      <c r="EG396" s="4">
        <f t="shared" si="1213"/>
        <v>0.81486666666666663</v>
      </c>
      <c r="EH396" s="4">
        <f t="shared" si="1322"/>
        <v>10.747792284812169</v>
      </c>
      <c r="EK396" s="4">
        <f t="shared" si="1298"/>
        <v>35.497579142809165</v>
      </c>
      <c r="EL396" s="4">
        <f t="shared" si="1299"/>
        <v>2.2360679774997898</v>
      </c>
      <c r="EM396" s="4">
        <f t="shared" si="1300"/>
        <v>7.4964026287574675E-2</v>
      </c>
      <c r="EP396" s="4">
        <f t="shared" si="1433"/>
        <v>7.4964026287574675E-2</v>
      </c>
      <c r="EQ396" s="4">
        <f t="shared" si="1237"/>
        <v>0.15692369360616554</v>
      </c>
      <c r="ER396" s="4">
        <f t="shared" si="1301"/>
        <v>5.12382954111568</v>
      </c>
      <c r="ES396" s="4">
        <f t="shared" si="1418"/>
        <v>8.4247093924266547</v>
      </c>
      <c r="ET396" s="4">
        <f t="shared" si="1302"/>
        <v>63.371920857190823</v>
      </c>
      <c r="EU396" s="4">
        <f t="shared" si="1303"/>
        <v>32.956499999999998</v>
      </c>
      <c r="EV396" s="4">
        <f t="shared" si="1238"/>
        <v>1.987401844007391E-5</v>
      </c>
      <c r="EW396" s="4">
        <f t="shared" si="1419"/>
        <v>10.36901780042032</v>
      </c>
      <c r="EX396" s="4">
        <f t="shared" si="1250"/>
        <v>612.72743929418721</v>
      </c>
      <c r="FG396" s="23">
        <f t="shared" si="1459"/>
        <v>1.6</v>
      </c>
      <c r="FH396" s="23">
        <f t="shared" si="1459"/>
        <v>0.6</v>
      </c>
      <c r="FI396" s="23">
        <f t="shared" si="1382"/>
        <v>1.4</v>
      </c>
      <c r="FJ396" s="23">
        <f t="shared" si="1460"/>
        <v>2.2000000000000002</v>
      </c>
      <c r="FK396" s="23">
        <f t="shared" si="1460"/>
        <v>1</v>
      </c>
      <c r="FL396" s="23">
        <f t="shared" si="1460"/>
        <v>1</v>
      </c>
      <c r="FM396" s="23">
        <f t="shared" si="1330"/>
        <v>0</v>
      </c>
      <c r="FN396" s="23"/>
      <c r="FX396" s="4">
        <f t="shared" si="1200"/>
        <v>1</v>
      </c>
      <c r="FY396" s="4">
        <f t="shared" si="1258"/>
        <v>0.70866666666666678</v>
      </c>
      <c r="FZ396" s="4">
        <f t="shared" si="1201"/>
        <v>0</v>
      </c>
      <c r="GA396" s="4">
        <f t="shared" si="1202"/>
        <v>436.48564016520623</v>
      </c>
    </row>
    <row r="397" spans="1:183" ht="12" customHeight="1" x14ac:dyDescent="0.3">
      <c r="A397" s="25">
        <v>379</v>
      </c>
      <c r="B397" s="4" t="s">
        <v>605</v>
      </c>
      <c r="C397" s="4">
        <v>2016</v>
      </c>
      <c r="D397" s="4" t="s">
        <v>309</v>
      </c>
      <c r="E397" s="24" t="s">
        <v>674</v>
      </c>
      <c r="F397" s="7" t="s">
        <v>545</v>
      </c>
      <c r="G397" s="38">
        <f t="shared" si="1394"/>
        <v>958.62068965517244</v>
      </c>
      <c r="H397" s="38">
        <f>5.03*25.4</f>
        <v>127.762</v>
      </c>
      <c r="I397" s="4">
        <f t="shared" si="1420"/>
        <v>127.762</v>
      </c>
      <c r="J397" s="38">
        <f t="shared" si="1451"/>
        <v>76.068965517241381</v>
      </c>
      <c r="K397" s="38">
        <f t="shared" si="1396"/>
        <v>15.875</v>
      </c>
      <c r="L397" s="7">
        <f t="shared" si="1421"/>
        <v>8.048</v>
      </c>
      <c r="M397" s="7">
        <f t="shared" si="1422"/>
        <v>8.048</v>
      </c>
      <c r="N397" s="38">
        <f>13*25.4</f>
        <v>330.2</v>
      </c>
      <c r="O397" s="38">
        <f t="shared" si="1467"/>
        <v>63.5</v>
      </c>
      <c r="P397" s="39">
        <f>4*25.4</f>
        <v>101.6</v>
      </c>
      <c r="Q397" s="7">
        <f t="shared" si="1423"/>
        <v>46.566666666666663</v>
      </c>
      <c r="R397" s="38">
        <v>4</v>
      </c>
      <c r="S397" s="4">
        <f t="shared" si="1390"/>
        <v>133.35</v>
      </c>
      <c r="T397" s="7">
        <f t="shared" si="1424"/>
        <v>1.9666666666666666</v>
      </c>
      <c r="U397" s="7">
        <f t="shared" si="1247"/>
        <v>4.5</v>
      </c>
      <c r="V397" s="38">
        <v>4</v>
      </c>
      <c r="W397" s="4">
        <f t="shared" si="1425"/>
        <v>4</v>
      </c>
      <c r="X397" s="4">
        <f t="shared" si="1426"/>
        <v>5</v>
      </c>
      <c r="Y397" s="7">
        <f t="shared" si="1427"/>
        <v>35.497579142809165</v>
      </c>
      <c r="AB397" s="38">
        <f t="shared" si="1461"/>
        <v>687.58620689655174</v>
      </c>
      <c r="AC397" s="4">
        <v>99.7</v>
      </c>
      <c r="AD397" s="4">
        <f t="shared" si="1279"/>
        <v>1.0597976267559761</v>
      </c>
      <c r="AE397" s="38">
        <f t="shared" ref="AE397:AE398" si="1479">0.375*25.4</f>
        <v>9.5249999999999986</v>
      </c>
      <c r="AF397" s="38">
        <v>4</v>
      </c>
      <c r="AG397" s="39">
        <f>3.5*25.4</f>
        <v>88.899999999999991</v>
      </c>
      <c r="AH397" s="39">
        <v>2</v>
      </c>
      <c r="AI397" s="39">
        <f t="shared" ref="AI397:AI398" si="1480">AH397-1</f>
        <v>1</v>
      </c>
      <c r="AJ397" s="7"/>
      <c r="AK397" s="4">
        <f t="shared" si="1429"/>
        <v>127.762</v>
      </c>
      <c r="AL397" s="4">
        <f t="shared" si="1304"/>
        <v>0.86149768058316756</v>
      </c>
      <c r="AM397" s="4">
        <f t="shared" si="1305"/>
        <v>159.0849028201888</v>
      </c>
      <c r="AN397" s="4">
        <f t="shared" si="1306"/>
        <v>0.81182902584493033</v>
      </c>
      <c r="AO397" s="4">
        <v>1.25</v>
      </c>
      <c r="AP397" s="4">
        <f t="shared" si="1221"/>
        <v>2.5</v>
      </c>
      <c r="AQ397" s="38">
        <f t="shared" si="1398"/>
        <v>347.69438408733856</v>
      </c>
      <c r="AR397" s="38">
        <f t="shared" si="1307"/>
        <v>347.69438408733856</v>
      </c>
      <c r="AS397" s="38">
        <f t="shared" si="1308"/>
        <v>4.7518593634836064</v>
      </c>
      <c r="AT397" s="38">
        <f t="shared" si="1230"/>
        <v>347.69438408733862</v>
      </c>
      <c r="AU397" s="38">
        <f t="shared" si="1199"/>
        <v>0.99999999999999989</v>
      </c>
      <c r="AV397" s="38">
        <f t="shared" si="1231"/>
        <v>2.6078709075086741</v>
      </c>
      <c r="AW397" s="4">
        <f t="shared" si="1232"/>
        <v>0</v>
      </c>
      <c r="AX397" s="4">
        <f t="shared" si="1430"/>
        <v>369.43507151350633</v>
      </c>
      <c r="AY397" s="4">
        <f t="shared" si="1399"/>
        <v>1.5152542372881357</v>
      </c>
      <c r="AZ397" s="38">
        <f t="shared" si="1242"/>
        <v>906.74206896551721</v>
      </c>
      <c r="BA397" s="4">
        <f t="shared" si="1400"/>
        <v>0.44000000000000006</v>
      </c>
      <c r="BB397" s="4">
        <f t="shared" si="1401"/>
        <v>84.933122940955116</v>
      </c>
      <c r="BC397" s="4">
        <f t="shared" si="1402"/>
        <v>991.67519190647226</v>
      </c>
      <c r="BE397" s="4">
        <f t="shared" si="1222"/>
        <v>1.5</v>
      </c>
      <c r="BF397" s="4">
        <f t="shared" si="1225"/>
        <v>708.34584566697015</v>
      </c>
      <c r="BH397" s="4">
        <f t="shared" si="1248"/>
        <v>869.6765314673064</v>
      </c>
      <c r="BI397" s="4">
        <f t="shared" ref="BI397:BI449" si="1481">8/3*Z397*AA397^2/(Y397-K397-22)/K397*(Y397^2-K397^2)/(Y397^2-(K397+22)^2)</f>
        <v>0</v>
      </c>
      <c r="BJ397" s="4">
        <f t="shared" si="1249"/>
        <v>0</v>
      </c>
      <c r="BK397" s="4">
        <f t="shared" si="1309"/>
        <v>29.68333333333333</v>
      </c>
      <c r="BL397" s="4">
        <f t="shared" si="1310"/>
        <v>29.68333333333333</v>
      </c>
      <c r="BM397" s="4">
        <f t="shared" si="1311"/>
        <v>133.35</v>
      </c>
      <c r="BN397" s="4">
        <f t="shared" si="1312"/>
        <v>37.62083333333333</v>
      </c>
      <c r="BO397" s="4">
        <f t="shared" si="1313"/>
        <v>1.25</v>
      </c>
      <c r="BP397" s="25">
        <f t="shared" si="1314"/>
        <v>3.882072814712636</v>
      </c>
      <c r="BR397" s="4">
        <f t="shared" si="1403"/>
        <v>23.283333333333331</v>
      </c>
      <c r="BV397" s="9"/>
      <c r="BX397" s="9"/>
      <c r="BY397" s="9"/>
      <c r="BZ397" s="9">
        <f t="shared" si="1404"/>
        <v>23.283333333333331</v>
      </c>
      <c r="CA397" s="9">
        <f t="shared" si="1405"/>
        <v>63.5</v>
      </c>
      <c r="CB397" s="9">
        <f t="shared" si="1233"/>
        <v>1.4077482505972425</v>
      </c>
      <c r="CC397" s="40">
        <f t="shared" si="1431"/>
        <v>20</v>
      </c>
      <c r="CD397" s="9">
        <f t="shared" si="1406"/>
        <v>0.05</v>
      </c>
      <c r="CE397" s="9">
        <f t="shared" si="1407"/>
        <v>0.8</v>
      </c>
      <c r="CF397" s="9">
        <f t="shared" si="1408"/>
        <v>1</v>
      </c>
      <c r="CG397" s="9">
        <f t="shared" si="1409"/>
        <v>0.68</v>
      </c>
      <c r="CH397" s="9">
        <f t="shared" si="1234"/>
        <v>2.0757770792545673</v>
      </c>
      <c r="CI397" s="9">
        <f t="shared" si="1235"/>
        <v>4.5827932153541244</v>
      </c>
      <c r="CJ397" s="40">
        <v>1</v>
      </c>
      <c r="CK397" s="9">
        <f t="shared" si="1236"/>
        <v>422.49687210992738</v>
      </c>
      <c r="CM397" s="4">
        <f t="shared" si="1410"/>
        <v>1.8611828164544308</v>
      </c>
      <c r="CN397" s="4">
        <f t="shared" si="1411"/>
        <v>0.69335828153035006</v>
      </c>
      <c r="CO397" s="4">
        <f t="shared" si="1376"/>
        <v>0.97069279237337602</v>
      </c>
      <c r="CP397" s="4">
        <f t="shared" si="1412"/>
        <v>1.6274350232766979</v>
      </c>
      <c r="CQ397" s="4">
        <f t="shared" si="1324"/>
        <v>1.0597976267559761</v>
      </c>
      <c r="CR397" s="4">
        <f t="shared" si="1325"/>
        <v>1.0625500982773062</v>
      </c>
      <c r="CS397" s="4">
        <f t="shared" si="1377"/>
        <v>1.4956819971499853</v>
      </c>
      <c r="CT397" s="4">
        <f t="shared" si="1432"/>
        <v>4</v>
      </c>
      <c r="DA397" s="4">
        <f t="shared" ref="DA397:DB398" si="1482">CM397</f>
        <v>1.8611828164544308</v>
      </c>
      <c r="DB397" s="4">
        <f t="shared" si="1482"/>
        <v>0.69335828153035006</v>
      </c>
      <c r="DC397" s="4">
        <f t="shared" ref="DC397:DC398" si="1483">CP397</f>
        <v>1.6274350232766979</v>
      </c>
      <c r="DD397" s="4">
        <f t="shared" ref="DD397:DD398" si="1484">CS397</f>
        <v>1.4956819971499853</v>
      </c>
      <c r="DE397" s="4">
        <f t="shared" ref="DE397:DF398" si="1485">CQ397</f>
        <v>1.0597976267559761</v>
      </c>
      <c r="DF397" s="4">
        <f t="shared" si="1485"/>
        <v>1.0625500982773062</v>
      </c>
      <c r="DI397" s="4">
        <f t="shared" si="1417"/>
        <v>127.762</v>
      </c>
      <c r="DL397" s="4">
        <f t="shared" si="1286"/>
        <v>1.9261331937104394E-5</v>
      </c>
      <c r="DM397" s="4">
        <f t="shared" si="1287"/>
        <v>12.581978805701782</v>
      </c>
      <c r="DN397" s="4">
        <f t="shared" si="1288"/>
        <v>0.15783226440397216</v>
      </c>
      <c r="DO397" s="4">
        <f t="shared" si="1289"/>
        <v>6.0121147926331782</v>
      </c>
      <c r="DP397" s="4">
        <f t="shared" si="1290"/>
        <v>9.8666068378636407</v>
      </c>
      <c r="DQ397" s="4">
        <f t="shared" si="1291"/>
        <v>12.096419492605579</v>
      </c>
      <c r="DR397" s="38">
        <f t="shared" si="1318"/>
        <v>648.79009872973802</v>
      </c>
      <c r="DS397" s="4">
        <f t="shared" si="1292"/>
        <v>1.0000823254166304</v>
      </c>
      <c r="DT397" s="4">
        <f t="shared" si="1293"/>
        <v>2.2360679774997898</v>
      </c>
      <c r="DU397" s="4">
        <f t="shared" si="1294"/>
        <v>347.69438408733862</v>
      </c>
      <c r="DY397" s="4">
        <f t="shared" si="1295"/>
        <v>0.85</v>
      </c>
      <c r="DZ397" s="4">
        <f t="shared" si="1296"/>
        <v>0.95333333333333337</v>
      </c>
      <c r="EA397" s="4">
        <f t="shared" si="1319"/>
        <v>0.85899999999999999</v>
      </c>
      <c r="EB397" s="4">
        <f t="shared" si="1297"/>
        <v>0.81891333333333338</v>
      </c>
      <c r="ED397" s="4">
        <f t="shared" si="1320"/>
        <v>647.10944736753891</v>
      </c>
      <c r="EE397" s="25">
        <f t="shared" si="1321"/>
        <v>343.33015108267512</v>
      </c>
      <c r="EG397" s="4">
        <f t="shared" si="1213"/>
        <v>0.69607633333333341</v>
      </c>
      <c r="EH397" s="4">
        <f t="shared" si="1322"/>
        <v>12.581978805701782</v>
      </c>
      <c r="EK397" s="4">
        <f t="shared" si="1298"/>
        <v>35.497579142809165</v>
      </c>
      <c r="EL397" s="4">
        <f t="shared" si="1299"/>
        <v>2.2360679774997898</v>
      </c>
      <c r="EM397" s="4">
        <f t="shared" si="1300"/>
        <v>7.5272234383934614E-2</v>
      </c>
      <c r="EP397" s="4">
        <f t="shared" si="1433"/>
        <v>7.5272234383934614E-2</v>
      </c>
      <c r="EQ397" s="4">
        <f t="shared" si="1237"/>
        <v>0.15756887177061726</v>
      </c>
      <c r="ER397" s="4">
        <f t="shared" si="1301"/>
        <v>6.0080995420050707</v>
      </c>
      <c r="ES397" s="4">
        <f t="shared" si="1418"/>
        <v>9.8654010734024293</v>
      </c>
      <c r="ET397" s="4">
        <f t="shared" si="1302"/>
        <v>60.323920857190835</v>
      </c>
      <c r="EU397" s="4">
        <f t="shared" si="1303"/>
        <v>31.940499999999993</v>
      </c>
      <c r="EV397" s="4">
        <f t="shared" si="1238"/>
        <v>1.9261331937104387E-5</v>
      </c>
      <c r="EW397" s="4">
        <f t="shared" si="1419"/>
        <v>12.09652302975371</v>
      </c>
      <c r="EX397" s="4">
        <f t="shared" si="1250"/>
        <v>648.7366912113506</v>
      </c>
      <c r="FG397" s="23">
        <f t="shared" si="1459"/>
        <v>2</v>
      </c>
      <c r="FH397" s="23">
        <f t="shared" si="1459"/>
        <v>0.8</v>
      </c>
      <c r="FI397" s="23">
        <f t="shared" si="1382"/>
        <v>1.6</v>
      </c>
      <c r="FJ397" s="23">
        <f t="shared" si="1460"/>
        <v>1.8</v>
      </c>
      <c r="FK397" s="23">
        <f t="shared" si="1460"/>
        <v>1.2</v>
      </c>
      <c r="FL397" s="23">
        <f t="shared" si="1460"/>
        <v>1.2</v>
      </c>
      <c r="FM397" s="23">
        <f t="shared" si="1330"/>
        <v>0</v>
      </c>
      <c r="FN397" s="23"/>
      <c r="FX397" s="4">
        <f t="shared" si="1200"/>
        <v>1</v>
      </c>
      <c r="FY397" s="4">
        <f t="shared" si="1258"/>
        <v>0.65211577090952166</v>
      </c>
      <c r="FZ397" s="4">
        <f t="shared" si="1201"/>
        <v>0.3</v>
      </c>
      <c r="GA397" s="4">
        <f t="shared" si="1202"/>
        <v>459.71416932659741</v>
      </c>
    </row>
    <row r="398" spans="1:183" ht="12" customHeight="1" x14ac:dyDescent="0.3">
      <c r="A398" s="25">
        <v>380</v>
      </c>
      <c r="B398" s="4" t="s">
        <v>605</v>
      </c>
      <c r="C398" s="4">
        <v>2016</v>
      </c>
      <c r="D398" s="4" t="s">
        <v>309</v>
      </c>
      <c r="E398" s="24" t="s">
        <v>674</v>
      </c>
      <c r="F398" s="7" t="s">
        <v>546</v>
      </c>
      <c r="G398" s="38">
        <f t="shared" si="1394"/>
        <v>958.62068965517244</v>
      </c>
      <c r="H398" s="38">
        <f>5.19*25.4</f>
        <v>131.82599999999999</v>
      </c>
      <c r="I398" s="4">
        <f t="shared" si="1420"/>
        <v>131.82599999999999</v>
      </c>
      <c r="J398" s="38">
        <f t="shared" si="1451"/>
        <v>76.068965517241381</v>
      </c>
      <c r="K398" s="38">
        <f t="shared" si="1396"/>
        <v>15.875</v>
      </c>
      <c r="L398" s="7">
        <f t="shared" si="1421"/>
        <v>8.3040000000000003</v>
      </c>
      <c r="M398" s="7">
        <f t="shared" si="1422"/>
        <v>8.3040000000000003</v>
      </c>
      <c r="N398" s="38">
        <f>13.3*25.4</f>
        <v>337.82</v>
      </c>
      <c r="O398" s="38">
        <f t="shared" si="1467"/>
        <v>63.5</v>
      </c>
      <c r="P398" s="39">
        <f>3.8*25.4</f>
        <v>96.52</v>
      </c>
      <c r="Q398" s="7">
        <f t="shared" si="1423"/>
        <v>49.106666666666662</v>
      </c>
      <c r="R398" s="38">
        <v>4</v>
      </c>
      <c r="S398" s="4">
        <f t="shared" si="1390"/>
        <v>133.35</v>
      </c>
      <c r="T398" s="7">
        <f t="shared" si="1424"/>
        <v>2.0466666666666664</v>
      </c>
      <c r="U398" s="7">
        <f t="shared" si="1247"/>
        <v>4.5</v>
      </c>
      <c r="V398" s="38">
        <v>4</v>
      </c>
      <c r="W398" s="4">
        <f t="shared" si="1425"/>
        <v>4</v>
      </c>
      <c r="X398" s="4">
        <f t="shared" si="1426"/>
        <v>5</v>
      </c>
      <c r="Y398" s="7">
        <f t="shared" si="1427"/>
        <v>35.497579142809165</v>
      </c>
      <c r="AB398" s="38">
        <f t="shared" si="1461"/>
        <v>1070.344827586207</v>
      </c>
      <c r="AC398" s="4">
        <v>155.19999999999999</v>
      </c>
      <c r="AD398" s="4">
        <f t="shared" si="1279"/>
        <v>1.4770163586145215</v>
      </c>
      <c r="AE398" s="38">
        <f t="shared" si="1479"/>
        <v>9.5249999999999986</v>
      </c>
      <c r="AF398" s="38">
        <v>10</v>
      </c>
      <c r="AG398" s="39">
        <f>1.75*25.4</f>
        <v>44.449999999999996</v>
      </c>
      <c r="AH398" s="39">
        <v>3</v>
      </c>
      <c r="AI398" s="39">
        <f t="shared" si="1480"/>
        <v>2</v>
      </c>
      <c r="AJ398" s="7"/>
      <c r="AK398" s="4">
        <f t="shared" si="1429"/>
        <v>131.82599999999999</v>
      </c>
      <c r="AL398" s="4">
        <f t="shared" si="1304"/>
        <v>0.85420680796403337</v>
      </c>
      <c r="AM398" s="4">
        <f t="shared" si="1305"/>
        <v>166.73548079390528</v>
      </c>
      <c r="AN398" s="4">
        <f t="shared" si="1306"/>
        <v>0.80838150289017341</v>
      </c>
      <c r="AO398" s="4">
        <v>1.25</v>
      </c>
      <c r="AP398" s="4">
        <f t="shared" si="1221"/>
        <v>2.5</v>
      </c>
      <c r="AQ398" s="38">
        <f t="shared" si="1398"/>
        <v>359.7969221069352</v>
      </c>
      <c r="AR398" s="38">
        <f t="shared" si="1307"/>
        <v>359.7969221069352</v>
      </c>
      <c r="AS398" s="38">
        <f t="shared" si="1308"/>
        <v>4.7518593634836064</v>
      </c>
      <c r="AT398" s="38">
        <f t="shared" si="1230"/>
        <v>359.7969221069352</v>
      </c>
      <c r="AU398" s="38">
        <f t="shared" si="1199"/>
        <v>1</v>
      </c>
      <c r="AV398" s="38">
        <f t="shared" si="1231"/>
        <v>2.5607426126646908</v>
      </c>
      <c r="AW398" s="4">
        <f t="shared" si="1232"/>
        <v>0</v>
      </c>
      <c r="AX398" s="4">
        <f t="shared" si="1430"/>
        <v>381.18648531910492</v>
      </c>
      <c r="AY398" s="4">
        <f t="shared" si="1399"/>
        <v>1.4794788273615636</v>
      </c>
      <c r="AZ398" s="38">
        <f t="shared" si="1242"/>
        <v>921.34731034482752</v>
      </c>
      <c r="BA398" s="4">
        <f t="shared" si="1400"/>
        <v>0.44000000000000006</v>
      </c>
      <c r="BB398" s="4">
        <f t="shared" si="1401"/>
        <v>87.63477297486223</v>
      </c>
      <c r="BC398" s="4">
        <f t="shared" si="1402"/>
        <v>1008.9820833196898</v>
      </c>
      <c r="BE398" s="4">
        <f t="shared" si="1222"/>
        <v>1.5</v>
      </c>
      <c r="BF398" s="4">
        <f t="shared" si="1225"/>
        <v>718.39330447075702</v>
      </c>
      <c r="BH398" s="4">
        <f t="shared" si="1248"/>
        <v>883.68474405469908</v>
      </c>
      <c r="BI398" s="4">
        <f t="shared" si="1481"/>
        <v>0</v>
      </c>
      <c r="BJ398" s="4">
        <f t="shared" si="1249"/>
        <v>0</v>
      </c>
      <c r="BK398" s="4">
        <f t="shared" si="1309"/>
        <v>30.953333333333333</v>
      </c>
      <c r="BL398" s="4">
        <f t="shared" si="1310"/>
        <v>30.953333333333333</v>
      </c>
      <c r="BM398" s="4">
        <f t="shared" si="1311"/>
        <v>133.35</v>
      </c>
      <c r="BN398" s="4">
        <f t="shared" si="1312"/>
        <v>38.890833333333333</v>
      </c>
      <c r="BO398" s="4">
        <f t="shared" si="1313"/>
        <v>1.25</v>
      </c>
      <c r="BP398" s="25">
        <f t="shared" si="1314"/>
        <v>4</v>
      </c>
      <c r="BR398" s="4">
        <f t="shared" si="1403"/>
        <v>24.553333333333331</v>
      </c>
      <c r="BV398" s="9"/>
      <c r="BX398" s="9"/>
      <c r="BY398" s="9"/>
      <c r="BZ398" s="9">
        <f t="shared" si="1404"/>
        <v>24.553333333333331</v>
      </c>
      <c r="CA398" s="9">
        <f t="shared" si="1405"/>
        <v>63.5</v>
      </c>
      <c r="CB398" s="9">
        <f t="shared" si="1233"/>
        <v>1.4341608165436117</v>
      </c>
      <c r="CC398" s="40">
        <f t="shared" si="1431"/>
        <v>20</v>
      </c>
      <c r="CD398" s="9">
        <f t="shared" si="1406"/>
        <v>0.05</v>
      </c>
      <c r="CE398" s="9">
        <f t="shared" si="1407"/>
        <v>0.8</v>
      </c>
      <c r="CF398" s="9">
        <f t="shared" si="1408"/>
        <v>1</v>
      </c>
      <c r="CG398" s="9">
        <f t="shared" si="1409"/>
        <v>0.68</v>
      </c>
      <c r="CH398" s="9">
        <f t="shared" si="1234"/>
        <v>2.0757770792545673</v>
      </c>
      <c r="CI398" s="9">
        <f t="shared" si="1235"/>
        <v>4.6376198143498968</v>
      </c>
      <c r="CJ398" s="40">
        <v>1</v>
      </c>
      <c r="CK398" s="9">
        <f t="shared" si="1236"/>
        <v>432.30036861443995</v>
      </c>
      <c r="CM398" s="47">
        <f t="shared" si="1410"/>
        <v>2.8079296323692664</v>
      </c>
      <c r="CN398" s="47">
        <f t="shared" si="1411"/>
        <v>1.0608164855263091</v>
      </c>
      <c r="CO398" s="47">
        <f t="shared" si="1376"/>
        <v>1.4899148153597199</v>
      </c>
      <c r="CP398" s="47">
        <f t="shared" si="1412"/>
        <v>2.4759285563802655</v>
      </c>
      <c r="CQ398" s="47">
        <f t="shared" si="1324"/>
        <v>1.4770163586145215</v>
      </c>
      <c r="CR398" s="47">
        <f t="shared" si="1325"/>
        <v>1.4822322141280799</v>
      </c>
      <c r="CS398" s="47">
        <f t="shared" si="1377"/>
        <v>2.2308393728048879</v>
      </c>
      <c r="CT398" s="4">
        <f t="shared" si="1432"/>
        <v>10</v>
      </c>
      <c r="DA398" s="4">
        <f t="shared" si="1482"/>
        <v>2.8079296323692664</v>
      </c>
      <c r="DB398" s="4">
        <f t="shared" si="1482"/>
        <v>1.0608164855263091</v>
      </c>
      <c r="DC398" s="4">
        <f t="shared" si="1483"/>
        <v>2.4759285563802655</v>
      </c>
      <c r="DD398" s="4">
        <f t="shared" si="1484"/>
        <v>2.2308393728048879</v>
      </c>
      <c r="DE398" s="4">
        <f t="shared" si="1485"/>
        <v>1.4770163586145215</v>
      </c>
      <c r="DF398" s="4">
        <f t="shared" si="1485"/>
        <v>1.4822322141280799</v>
      </c>
      <c r="DI398" s="4">
        <f t="shared" si="1417"/>
        <v>131.82599999999999</v>
      </c>
      <c r="DL398" s="4">
        <f t="shared" si="1286"/>
        <v>1.987401844007391E-5</v>
      </c>
      <c r="DM398" s="4">
        <f t="shared" si="1287"/>
        <v>14.719357433866572</v>
      </c>
      <c r="DN398" s="4">
        <f t="shared" si="1288"/>
        <v>0.16332608618565578</v>
      </c>
      <c r="DO398" s="4">
        <f t="shared" si="1289"/>
        <v>7.1303537009958502</v>
      </c>
      <c r="DP398" s="4">
        <f t="shared" si="1290"/>
        <v>11.571998230954497</v>
      </c>
      <c r="DQ398" s="4">
        <f t="shared" si="1291"/>
        <v>14.007178283150786</v>
      </c>
      <c r="DR398" s="38">
        <f t="shared" si="1318"/>
        <v>724.66687409624717</v>
      </c>
      <c r="DS398" s="4">
        <f t="shared" si="1292"/>
        <v>1.000088942262886</v>
      </c>
      <c r="DT398" s="4">
        <f t="shared" si="1293"/>
        <v>2.2360679774997898</v>
      </c>
      <c r="DU398" s="4">
        <f t="shared" si="1294"/>
        <v>359.7969221069352</v>
      </c>
      <c r="DY398" s="4">
        <f t="shared" si="1295"/>
        <v>0.85</v>
      </c>
      <c r="DZ398" s="4">
        <f t="shared" si="1296"/>
        <v>0.94533333333333336</v>
      </c>
      <c r="EA398" s="4">
        <f t="shared" si="1319"/>
        <v>0.7</v>
      </c>
      <c r="EB398" s="4">
        <f t="shared" si="1297"/>
        <v>0.7</v>
      </c>
      <c r="ED398" s="4">
        <f t="shared" si="1320"/>
        <v>722.11682986247547</v>
      </c>
      <c r="EE398" s="25">
        <f t="shared" si="1321"/>
        <v>355.4281974699914</v>
      </c>
      <c r="EG398" s="4">
        <f t="shared" si="1213"/>
        <v>0.59499999999999997</v>
      </c>
      <c r="EH398" s="4">
        <f t="shared" si="1322"/>
        <v>14.719357433866572</v>
      </c>
      <c r="EK398" s="4">
        <f t="shared" si="1298"/>
        <v>35.497579142809165</v>
      </c>
      <c r="EL398" s="4">
        <f t="shared" si="1299"/>
        <v>2.2360679774997898</v>
      </c>
      <c r="EM398" s="4">
        <f t="shared" si="1300"/>
        <v>7.7892308564433063E-2</v>
      </c>
      <c r="EP398" s="4">
        <f t="shared" si="1433"/>
        <v>7.7892308564433063E-2</v>
      </c>
      <c r="EQ398" s="4">
        <f t="shared" si="1237"/>
        <v>0.16305352538765638</v>
      </c>
      <c r="ER398" s="4">
        <f t="shared" si="1301"/>
        <v>7.1255916233968595</v>
      </c>
      <c r="ES398" s="4">
        <f t="shared" si="1418"/>
        <v>11.57055098542124</v>
      </c>
      <c r="ET398" s="4">
        <f t="shared" si="1302"/>
        <v>63.371920857190823</v>
      </c>
      <c r="EU398" s="4">
        <f t="shared" si="1303"/>
        <v>32.956499999999998</v>
      </c>
      <c r="EV398" s="4">
        <f t="shared" si="1238"/>
        <v>1.987401844007391E-5</v>
      </c>
      <c r="EW398" s="4">
        <f t="shared" si="1419"/>
        <v>14.007329386301928</v>
      </c>
      <c r="EX398" s="4">
        <f t="shared" si="1250"/>
        <v>724.60242631675783</v>
      </c>
      <c r="FG398" s="23">
        <f t="shared" si="1459"/>
        <v>2.2000000000000002</v>
      </c>
      <c r="FH398" s="23">
        <f t="shared" si="1459"/>
        <v>1.2</v>
      </c>
      <c r="FI398" s="23">
        <f t="shared" si="1382"/>
        <v>2.2000000000000002</v>
      </c>
      <c r="FJ398" s="23">
        <f t="shared" si="1460"/>
        <v>2.2000000000000002</v>
      </c>
      <c r="FK398" s="23">
        <f t="shared" si="1460"/>
        <v>1.6</v>
      </c>
      <c r="FL398" s="23">
        <f t="shared" si="1460"/>
        <v>1.6</v>
      </c>
      <c r="FM398" s="23">
        <f t="shared" si="1330"/>
        <v>0</v>
      </c>
      <c r="FN398" s="23"/>
      <c r="FX398" s="4">
        <f t="shared" si="1200"/>
        <v>1</v>
      </c>
      <c r="FY398" s="4">
        <f t="shared" si="1258"/>
        <v>0.64469834033993467</v>
      </c>
      <c r="FZ398" s="4">
        <f t="shared" si="1201"/>
        <v>0.3</v>
      </c>
      <c r="GA398" s="4">
        <f t="shared" si="1202"/>
        <v>479.79466412251668</v>
      </c>
    </row>
    <row r="399" spans="1:183" ht="12" customHeight="1" x14ac:dyDescent="0.3">
      <c r="A399" s="25">
        <v>381</v>
      </c>
      <c r="B399" s="4" t="s">
        <v>605</v>
      </c>
      <c r="C399" s="4">
        <v>2016</v>
      </c>
      <c r="D399" s="4" t="s">
        <v>309</v>
      </c>
      <c r="E399" s="14" t="s">
        <v>547</v>
      </c>
      <c r="F399" s="7" t="s">
        <v>548</v>
      </c>
      <c r="G399" s="38">
        <f>135/0.145</f>
        <v>931.0344827586207</v>
      </c>
      <c r="H399" s="38">
        <f>16.56*25.4</f>
        <v>420.62399999999997</v>
      </c>
      <c r="I399" s="4">
        <f t="shared" si="1420"/>
        <v>420.62399999999997</v>
      </c>
      <c r="J399" s="38">
        <f>4050/145</f>
        <v>27.931034482758619</v>
      </c>
      <c r="K399" s="38">
        <f>1.41*25.4</f>
        <v>35.813999999999993</v>
      </c>
      <c r="L399" s="7">
        <f t="shared" si="1421"/>
        <v>11.744680851063832</v>
      </c>
      <c r="M399" s="7">
        <f t="shared" si="1422"/>
        <v>11.744680851063832</v>
      </c>
      <c r="N399" s="38">
        <f>21.9*25.4</f>
        <v>556.25999999999988</v>
      </c>
      <c r="O399" s="38">
        <f t="shared" si="1467"/>
        <v>63.5</v>
      </c>
      <c r="P399" s="39">
        <f>4*25.4</f>
        <v>101.6</v>
      </c>
      <c r="Q399" s="7">
        <f t="shared" si="1423"/>
        <v>357.63199999999989</v>
      </c>
      <c r="R399" s="38">
        <v>2</v>
      </c>
      <c r="S399" s="4">
        <f>20*25.4</f>
        <v>508</v>
      </c>
      <c r="T399" s="7">
        <f t="shared" si="1424"/>
        <v>2.2730496453900715</v>
      </c>
      <c r="U399" s="7">
        <f t="shared" si="1247"/>
        <v>2.2730496453900715</v>
      </c>
      <c r="V399" s="38">
        <v>3.8</v>
      </c>
      <c r="W399" s="4">
        <f t="shared" si="1425"/>
        <v>3.8</v>
      </c>
      <c r="X399" s="4">
        <f t="shared" si="1426"/>
        <v>4.8</v>
      </c>
      <c r="Y399" s="7">
        <f t="shared" si="1427"/>
        <v>78.464542697960056</v>
      </c>
      <c r="AB399" s="38">
        <f t="shared" si="1461"/>
        <v>431.0344827586207</v>
      </c>
      <c r="AC399" s="4">
        <v>62.5</v>
      </c>
      <c r="AD399" s="4">
        <f t="shared" si="1279"/>
        <v>0.9223210736286156</v>
      </c>
      <c r="AE399" s="38">
        <v>0</v>
      </c>
      <c r="AF399" s="38">
        <v>0</v>
      </c>
      <c r="AG399" s="39">
        <f t="shared" ref="AG399" si="1486">I399</f>
        <v>420.62399999999997</v>
      </c>
      <c r="AH399" s="39"/>
      <c r="AI399" s="39"/>
      <c r="AJ399" s="7"/>
      <c r="AK399" s="4">
        <f t="shared" si="1429"/>
        <v>420.62399999999997</v>
      </c>
      <c r="AL399" s="4">
        <f t="shared" si="1304"/>
        <v>0.44082125603864725</v>
      </c>
      <c r="AM399" s="4">
        <f t="shared" si="1305"/>
        <v>226.28671014164769</v>
      </c>
      <c r="AN399" s="4">
        <f t="shared" si="1306"/>
        <v>0.73870772946859897</v>
      </c>
      <c r="AO399" s="4">
        <v>1.25</v>
      </c>
      <c r="AP399" s="4">
        <f t="shared" si="1221"/>
        <v>2.5</v>
      </c>
      <c r="AQ399" s="38">
        <f t="shared" si="1398"/>
        <v>230.27364801496174</v>
      </c>
      <c r="AR399" s="38">
        <f t="shared" si="1307"/>
        <v>230.27364801496174</v>
      </c>
      <c r="AS399" s="38">
        <f t="shared" si="1308"/>
        <v>2.761717606769436</v>
      </c>
      <c r="AT399" s="38">
        <f t="shared" si="1230"/>
        <v>230.27364801496179</v>
      </c>
      <c r="AU399" s="38">
        <f t="shared" si="1199"/>
        <v>0.99999999999999978</v>
      </c>
      <c r="AV399" s="38">
        <f t="shared" si="1231"/>
        <v>1.0749134448372641</v>
      </c>
      <c r="AW399" s="4">
        <f t="shared" si="1232"/>
        <v>0</v>
      </c>
      <c r="AX399" s="4">
        <f t="shared" si="1430"/>
        <v>326.68645582856072</v>
      </c>
      <c r="AY399" s="4">
        <f t="shared" si="1399"/>
        <v>1</v>
      </c>
      <c r="AZ399" s="38">
        <f t="shared" si="1242"/>
        <v>247.52424024300623</v>
      </c>
      <c r="BA399" s="4">
        <f t="shared" si="1400"/>
        <v>0.46800000000000008</v>
      </c>
      <c r="BB399" s="4">
        <f t="shared" si="1401"/>
        <v>79.884639043757986</v>
      </c>
      <c r="BC399" s="4">
        <f t="shared" si="1402"/>
        <v>327.4088792867642</v>
      </c>
      <c r="BE399" s="4">
        <f t="shared" si="1222"/>
        <v>1.1932624113475179</v>
      </c>
      <c r="BF399" s="4">
        <f t="shared" si="1225"/>
        <v>411.390030865977</v>
      </c>
      <c r="BH399" s="4">
        <f t="shared" si="1248"/>
        <v>237.40601663515</v>
      </c>
      <c r="BI399" s="4">
        <f t="shared" si="1481"/>
        <v>0</v>
      </c>
      <c r="BJ399" s="4">
        <f t="shared" si="1249"/>
        <v>0</v>
      </c>
      <c r="BK399" s="4">
        <f t="shared" si="1309"/>
        <v>63.5</v>
      </c>
      <c r="BL399" s="4">
        <f t="shared" si="1310"/>
        <v>63.5</v>
      </c>
      <c r="BM399" s="4">
        <f t="shared" si="1311"/>
        <v>508</v>
      </c>
      <c r="BN399" s="4">
        <f t="shared" si="1312"/>
        <v>81.406999999999996</v>
      </c>
      <c r="BO399" s="4">
        <f t="shared" si="1313"/>
        <v>1.25</v>
      </c>
      <c r="BP399" s="25">
        <f t="shared" si="1314"/>
        <v>2.8413120567375891</v>
      </c>
      <c r="BR399" s="4">
        <f t="shared" si="1403"/>
        <v>63.5</v>
      </c>
      <c r="BV399" s="9"/>
      <c r="BX399" s="9"/>
      <c r="BY399" s="9"/>
      <c r="BZ399" s="9">
        <f t="shared" si="1404"/>
        <v>63.5</v>
      </c>
      <c r="CA399" s="9">
        <f t="shared" si="1405"/>
        <v>178.81599999999995</v>
      </c>
      <c r="CB399" s="9">
        <f t="shared" si="1233"/>
        <v>1.5552683910541685</v>
      </c>
      <c r="CC399" s="40">
        <f t="shared" si="1431"/>
        <v>20</v>
      </c>
      <c r="CD399" s="9">
        <f t="shared" si="1406"/>
        <v>0</v>
      </c>
      <c r="CE399" s="9">
        <f t="shared" si="1407"/>
        <v>0</v>
      </c>
      <c r="CF399" s="9">
        <f t="shared" si="1408"/>
        <v>0.89777220146327208</v>
      </c>
      <c r="CG399" s="9">
        <f t="shared" si="1409"/>
        <v>0.68</v>
      </c>
      <c r="CH399" s="9">
        <f t="shared" si="1234"/>
        <v>1.129240956903802</v>
      </c>
      <c r="CI399" s="9">
        <f t="shared" si="1235"/>
        <v>1.7562727661562458</v>
      </c>
      <c r="CJ399" s="40">
        <v>1</v>
      </c>
      <c r="CK399" s="9">
        <f t="shared" si="1236"/>
        <v>187.88381847305541</v>
      </c>
      <c r="CM399" s="4">
        <f t="shared" si="1410"/>
        <v>1.3194133857352812</v>
      </c>
      <c r="CN399" s="4">
        <f t="shared" si="1411"/>
        <v>1.3165021171618716</v>
      </c>
      <c r="CO399" s="4">
        <f t="shared" si="1376"/>
        <v>1.0477514047953278</v>
      </c>
      <c r="CP399" s="4">
        <f t="shared" si="1412"/>
        <v>2.2941543676388276</v>
      </c>
      <c r="CQ399" s="4">
        <f t="shared" si="1324"/>
        <v>0.9223210736286156</v>
      </c>
      <c r="CR399" s="4">
        <f t="shared" si="1325"/>
        <v>1.0182198876788391</v>
      </c>
      <c r="CS399" s="4">
        <f t="shared" si="1377"/>
        <v>0.95053003455679075</v>
      </c>
      <c r="CT399" s="4">
        <f t="shared" si="1432"/>
        <v>0</v>
      </c>
      <c r="CU399" s="4">
        <f t="shared" ref="CU399:CV399" si="1487">CM399</f>
        <v>1.3194133857352812</v>
      </c>
      <c r="CV399" s="4">
        <f t="shared" si="1487"/>
        <v>1.3165021171618716</v>
      </c>
      <c r="CW399" s="4">
        <f t="shared" ref="CW399" si="1488">CP399</f>
        <v>2.2941543676388276</v>
      </c>
      <c r="CX399" s="4">
        <f t="shared" ref="CX399" si="1489">CS399</f>
        <v>0.95053003455679075</v>
      </c>
      <c r="CY399" s="4">
        <f t="shared" ref="CY399:CZ399" si="1490">CQ399</f>
        <v>0.9223210736286156</v>
      </c>
      <c r="CZ399" s="4">
        <f t="shared" si="1490"/>
        <v>1.0182198876788391</v>
      </c>
      <c r="DI399" s="4">
        <f t="shared" si="1417"/>
        <v>420.62399999999997</v>
      </c>
      <c r="DL399" s="4">
        <f t="shared" si="1286"/>
        <v>2.0661842577189241E-5</v>
      </c>
      <c r="DM399" s="4">
        <f t="shared" si="1287"/>
        <v>5.5362830674967025</v>
      </c>
      <c r="DN399" s="4">
        <f t="shared" si="1288"/>
        <v>0.66239027581160248</v>
      </c>
      <c r="DO399" s="4">
        <f t="shared" si="1289"/>
        <v>4.695305626185454</v>
      </c>
      <c r="DP399" s="4">
        <f t="shared" si="1290"/>
        <v>5.133057714115556</v>
      </c>
      <c r="DQ399" s="4">
        <f t="shared" si="1291"/>
        <v>5.1121815424678534</v>
      </c>
      <c r="DR399" s="38">
        <f t="shared" si="1318"/>
        <v>467.33669552061247</v>
      </c>
      <c r="DS399" s="4">
        <f t="shared" si="1292"/>
        <v>1.0001367016551315</v>
      </c>
      <c r="DT399" s="4">
        <f t="shared" si="1293"/>
        <v>2.1908902300206643</v>
      </c>
      <c r="DU399" s="4">
        <f t="shared" si="1294"/>
        <v>230.27364801496179</v>
      </c>
      <c r="DY399" s="4">
        <f t="shared" si="1295"/>
        <v>0.85</v>
      </c>
      <c r="DZ399" s="4">
        <f t="shared" si="1296"/>
        <v>0.92269503546099285</v>
      </c>
      <c r="EA399" s="4">
        <f t="shared" si="1319"/>
        <v>1</v>
      </c>
      <c r="EB399" s="4">
        <f t="shared" si="1297"/>
        <v>0.92269503546099285</v>
      </c>
      <c r="ED399" s="4">
        <f t="shared" si="1320"/>
        <v>423.32161056215301</v>
      </c>
      <c r="EE399" s="25">
        <f t="shared" si="1321"/>
        <v>228.25597737546067</v>
      </c>
      <c r="EG399" s="4">
        <f t="shared" si="1213"/>
        <v>0.78429078014184395</v>
      </c>
      <c r="EH399" s="4">
        <f t="shared" si="1322"/>
        <v>5.5362830674967025</v>
      </c>
      <c r="EK399" s="4">
        <f t="shared" si="1298"/>
        <v>78.464542697960056</v>
      </c>
      <c r="EL399" s="4">
        <f t="shared" si="1299"/>
        <v>2.1908902300206643</v>
      </c>
      <c r="EM399" s="4">
        <f t="shared" si="1300"/>
        <v>0.19142238549023421</v>
      </c>
      <c r="EP399" s="4">
        <f t="shared" si="1433"/>
        <v>0.19142238549023421</v>
      </c>
      <c r="EQ399" s="4">
        <f t="shared" si="1237"/>
        <v>0.66128486989403812</v>
      </c>
      <c r="ER399" s="4">
        <f t="shared" si="1301"/>
        <v>4.6921698196489912</v>
      </c>
      <c r="ES399" s="4">
        <f t="shared" si="1418"/>
        <v>5.1316239823884038</v>
      </c>
      <c r="ET399" s="4">
        <f t="shared" si="1302"/>
        <v>237.00345730203992</v>
      </c>
      <c r="EU399" s="4">
        <f t="shared" si="1303"/>
        <v>105.15600000000001</v>
      </c>
      <c r="EV399" s="4">
        <f t="shared" si="1238"/>
        <v>2.0661842577189244E-5</v>
      </c>
      <c r="EW399" s="4">
        <f t="shared" si="1419"/>
        <v>5.1123139797210948</v>
      </c>
      <c r="EX399" s="4">
        <f t="shared" si="1250"/>
        <v>467.27281855291835</v>
      </c>
      <c r="FG399" s="23">
        <f t="shared" si="1459"/>
        <v>1.4</v>
      </c>
      <c r="FH399" s="23">
        <f t="shared" si="1459"/>
        <v>1.4</v>
      </c>
      <c r="FI399" s="23">
        <f t="shared" si="1382"/>
        <v>1</v>
      </c>
      <c r="FJ399" s="23">
        <f t="shared" si="1460"/>
        <v>2.2000000000000002</v>
      </c>
      <c r="FK399" s="23">
        <f t="shared" si="1460"/>
        <v>1</v>
      </c>
      <c r="FL399" s="23">
        <f t="shared" si="1460"/>
        <v>1.2</v>
      </c>
      <c r="FM399" s="23">
        <f t="shared" si="1330"/>
        <v>0</v>
      </c>
      <c r="FN399" s="23"/>
      <c r="FX399" s="4">
        <f t="shared" si="1200"/>
        <v>1</v>
      </c>
      <c r="FY399" s="4">
        <f t="shared" si="1258"/>
        <v>0.5</v>
      </c>
      <c r="FZ399" s="4">
        <f t="shared" si="1201"/>
        <v>0</v>
      </c>
      <c r="GA399" s="4">
        <f t="shared" si="1202"/>
        <v>453.46750453772006</v>
      </c>
    </row>
    <row r="400" spans="1:183" ht="12" customHeight="1" x14ac:dyDescent="0.3">
      <c r="A400" s="25">
        <v>382</v>
      </c>
      <c r="B400" s="4" t="s">
        <v>605</v>
      </c>
      <c r="C400" s="4">
        <v>2016</v>
      </c>
      <c r="D400" s="4" t="s">
        <v>309</v>
      </c>
      <c r="E400" s="14" t="s">
        <v>547</v>
      </c>
      <c r="F400" s="7" t="s">
        <v>549</v>
      </c>
      <c r="G400" s="38">
        <f t="shared" ref="G400:G406" si="1491">135/0.145</f>
        <v>931.0344827586207</v>
      </c>
      <c r="H400" s="38">
        <f>17.44*25.4</f>
        <v>442.976</v>
      </c>
      <c r="I400" s="4">
        <f t="shared" si="1420"/>
        <v>442.976</v>
      </c>
      <c r="J400" s="38">
        <f>4050/145</f>
        <v>27.931034482758619</v>
      </c>
      <c r="K400" s="38">
        <f t="shared" ref="K400:K406" si="1492">1.41*25.4</f>
        <v>35.813999999999993</v>
      </c>
      <c r="L400" s="7">
        <f t="shared" si="1421"/>
        <v>12.368794326241137</v>
      </c>
      <c r="M400" s="7">
        <f t="shared" si="1422"/>
        <v>12.368794326241137</v>
      </c>
      <c r="N400" s="38">
        <f>21.7*25.4</f>
        <v>551.17999999999995</v>
      </c>
      <c r="O400" s="38">
        <f>2.6*25.4</f>
        <v>66.039999999999992</v>
      </c>
      <c r="P400" s="39">
        <f>3*25.4</f>
        <v>76.199999999999989</v>
      </c>
      <c r="Q400" s="7">
        <f t="shared" si="1423"/>
        <v>347.47199999999998</v>
      </c>
      <c r="R400" s="38">
        <v>2</v>
      </c>
      <c r="S400" s="4">
        <f t="shared" ref="S400:S449" si="1493">20*25.4</f>
        <v>508</v>
      </c>
      <c r="T400" s="7">
        <f t="shared" si="1424"/>
        <v>2.3439716312056742</v>
      </c>
      <c r="U400" s="7">
        <f t="shared" si="1247"/>
        <v>2.3439716312056742</v>
      </c>
      <c r="V400" s="38">
        <v>3.8</v>
      </c>
      <c r="W400" s="4">
        <f t="shared" si="1425"/>
        <v>3.8</v>
      </c>
      <c r="X400" s="4">
        <f t="shared" si="1426"/>
        <v>4.8</v>
      </c>
      <c r="Y400" s="7">
        <f t="shared" si="1427"/>
        <v>78.464542697960056</v>
      </c>
      <c r="AB400" s="38">
        <f t="shared" si="1461"/>
        <v>522.75862068965523</v>
      </c>
      <c r="AC400" s="4">
        <v>75.8</v>
      </c>
      <c r="AD400" s="4">
        <f t="shared" si="1279"/>
        <v>1.0760378613885915</v>
      </c>
      <c r="AE400" s="38">
        <f>0.5*25.4</f>
        <v>12.7</v>
      </c>
      <c r="AF400" s="38">
        <v>4</v>
      </c>
      <c r="AG400" s="39">
        <f>8*25.4</f>
        <v>203.2</v>
      </c>
      <c r="AH400" s="39">
        <v>2</v>
      </c>
      <c r="AI400" s="39">
        <f t="shared" ref="AI400" si="1494">AH400-1</f>
        <v>1</v>
      </c>
      <c r="AJ400" s="7"/>
      <c r="AK400" s="4">
        <f t="shared" si="1429"/>
        <v>442.976</v>
      </c>
      <c r="AL400" s="4">
        <f t="shared" si="1304"/>
        <v>0.4147553516819571</v>
      </c>
      <c r="AM400" s="4">
        <f t="shared" si="1305"/>
        <v>244.56160209111823</v>
      </c>
      <c r="AN400" s="4">
        <f t="shared" si="1306"/>
        <v>0.73790137614678897</v>
      </c>
      <c r="AO400" s="4">
        <v>1.25</v>
      </c>
      <c r="AP400" s="4">
        <f t="shared" si="1221"/>
        <v>2.5</v>
      </c>
      <c r="AQ400" s="38">
        <f t="shared" si="1398"/>
        <v>233.89913258342173</v>
      </c>
      <c r="AR400" s="38">
        <f t="shared" si="1307"/>
        <v>233.89913258342173</v>
      </c>
      <c r="AS400" s="38">
        <f t="shared" si="1308"/>
        <v>2.761717606769436</v>
      </c>
      <c r="AT400" s="38">
        <f t="shared" si="1230"/>
        <v>233.89913258342185</v>
      </c>
      <c r="AU400" s="38">
        <f t="shared" ref="AU400:AU448" si="1495">AQ400/AT400</f>
        <v>0.99999999999999956</v>
      </c>
      <c r="AV400" s="38">
        <f t="shared" si="1231"/>
        <v>1.0912708509945452</v>
      </c>
      <c r="AW400" s="4">
        <f t="shared" si="1232"/>
        <v>0</v>
      </c>
      <c r="AX400" s="4">
        <f t="shared" si="1430"/>
        <v>344.04660565519924</v>
      </c>
      <c r="AY400" s="4">
        <f t="shared" si="1399"/>
        <v>1</v>
      </c>
      <c r="AZ400" s="38">
        <f t="shared" si="1242"/>
        <v>255.24730546119673</v>
      </c>
      <c r="BA400" s="4">
        <f t="shared" si="1400"/>
        <v>0.46800000000000008</v>
      </c>
      <c r="BB400" s="4">
        <f t="shared" si="1401"/>
        <v>84.129716480865909</v>
      </c>
      <c r="BC400" s="4">
        <f t="shared" si="1402"/>
        <v>339.37702194206264</v>
      </c>
      <c r="BE400" s="4">
        <f t="shared" si="1222"/>
        <v>1.4895028948217903</v>
      </c>
      <c r="BF400" s="4">
        <f t="shared" si="1225"/>
        <v>528.26117514746761</v>
      </c>
      <c r="BH400" s="4">
        <f t="shared" si="1248"/>
        <v>244.81338064872722</v>
      </c>
      <c r="BI400" s="4">
        <f t="shared" si="1481"/>
        <v>0</v>
      </c>
      <c r="BJ400" s="4">
        <f t="shared" si="1249"/>
        <v>0</v>
      </c>
      <c r="BK400" s="4">
        <f t="shared" si="1309"/>
        <v>66.039999999999992</v>
      </c>
      <c r="BL400" s="4">
        <f t="shared" si="1310"/>
        <v>66.039999999999992</v>
      </c>
      <c r="BM400" s="4">
        <f t="shared" si="1311"/>
        <v>508</v>
      </c>
      <c r="BN400" s="4">
        <f t="shared" si="1312"/>
        <v>83.946999999999989</v>
      </c>
      <c r="BO400" s="4">
        <f t="shared" si="1313"/>
        <v>1.25</v>
      </c>
      <c r="BP400" s="25">
        <f t="shared" si="1314"/>
        <v>3.6444456733102135</v>
      </c>
      <c r="BR400" s="4">
        <f t="shared" si="1403"/>
        <v>66.039999999999992</v>
      </c>
      <c r="BV400" s="9"/>
      <c r="BX400" s="9"/>
      <c r="BY400" s="9"/>
      <c r="BZ400" s="9">
        <f t="shared" si="1404"/>
        <v>66.039999999999992</v>
      </c>
      <c r="CA400" s="9">
        <f t="shared" si="1405"/>
        <v>173.73599999999999</v>
      </c>
      <c r="CB400" s="9">
        <f t="shared" si="1233"/>
        <v>1.5699634099271278</v>
      </c>
      <c r="CC400" s="40">
        <f t="shared" si="1431"/>
        <v>20</v>
      </c>
      <c r="CD400" s="9">
        <f t="shared" si="1406"/>
        <v>0.05</v>
      </c>
      <c r="CE400" s="9">
        <f t="shared" si="1407"/>
        <v>0.8</v>
      </c>
      <c r="CF400" s="9">
        <f t="shared" si="1408"/>
        <v>0.89777220146327208</v>
      </c>
      <c r="CG400" s="9">
        <f t="shared" si="1409"/>
        <v>0.68</v>
      </c>
      <c r="CH400" s="9">
        <f t="shared" si="1234"/>
        <v>1.129240956903802</v>
      </c>
      <c r="CI400" s="9">
        <f t="shared" si="1235"/>
        <v>2.6762597488531075</v>
      </c>
      <c r="CJ400" s="40">
        <v>1</v>
      </c>
      <c r="CK400" s="9">
        <f t="shared" si="1236"/>
        <v>292.98401051983387</v>
      </c>
      <c r="CM400" s="4">
        <f t="shared" si="1410"/>
        <v>1.5194412968967341</v>
      </c>
      <c r="CN400" s="4">
        <f t="shared" si="1411"/>
        <v>1.5403477162307675</v>
      </c>
      <c r="CO400" s="4">
        <f t="shared" si="1376"/>
        <v>0.9895836477926353</v>
      </c>
      <c r="CP400" s="4">
        <f t="shared" si="1412"/>
        <v>1.7842564847212592</v>
      </c>
      <c r="CQ400" s="4">
        <f t="shared" si="1324"/>
        <v>1.0760378613885915</v>
      </c>
      <c r="CR400" s="4">
        <f t="shared" si="1325"/>
        <v>1.1905256945812908</v>
      </c>
      <c r="CS400" s="4">
        <f t="shared" si="1377"/>
        <v>0.96797883882138447</v>
      </c>
      <c r="CT400" s="4">
        <f t="shared" si="1432"/>
        <v>4</v>
      </c>
      <c r="DA400" s="4">
        <f t="shared" ref="DA400:DB401" si="1496">CM400</f>
        <v>1.5194412968967341</v>
      </c>
      <c r="DB400" s="4">
        <f t="shared" si="1496"/>
        <v>1.5403477162307675</v>
      </c>
      <c r="DC400" s="4">
        <f t="shared" ref="DC400:DC401" si="1497">CP400</f>
        <v>1.7842564847212592</v>
      </c>
      <c r="DD400" s="4">
        <f t="shared" ref="DD400:DD401" si="1498">CS400</f>
        <v>0.96797883882138447</v>
      </c>
      <c r="DE400" s="4">
        <f t="shared" ref="DE400:DF401" si="1499">CQ400</f>
        <v>1.0760378613885915</v>
      </c>
      <c r="DF400" s="4">
        <f t="shared" si="1499"/>
        <v>1.1905256945812908</v>
      </c>
      <c r="DI400" s="4">
        <f t="shared" si="1417"/>
        <v>442.976</v>
      </c>
      <c r="DL400" s="4">
        <f t="shared" si="1286"/>
        <v>2.1759814888054373E-5</v>
      </c>
      <c r="DM400" s="4">
        <f t="shared" si="1287"/>
        <v>5.5816724777772073</v>
      </c>
      <c r="DN400" s="4">
        <f t="shared" si="1288"/>
        <v>0.67281911013092033</v>
      </c>
      <c r="DO400" s="4">
        <f t="shared" si="1289"/>
        <v>4.7634726565456242</v>
      </c>
      <c r="DP400" s="4">
        <f t="shared" si="1290"/>
        <v>5.1887352956739976</v>
      </c>
      <c r="DQ400" s="4">
        <f t="shared" si="1291"/>
        <v>5.1024001629185483</v>
      </c>
      <c r="DR400" s="38">
        <f t="shared" si="1318"/>
        <v>485.81805478020306</v>
      </c>
      <c r="DS400" s="4">
        <f t="shared" si="1292"/>
        <v>1.0001387909294885</v>
      </c>
      <c r="DT400" s="4">
        <f t="shared" si="1293"/>
        <v>2.1908902300206643</v>
      </c>
      <c r="DU400" s="4">
        <f t="shared" si="1294"/>
        <v>233.89913258342185</v>
      </c>
      <c r="DY400" s="4">
        <f t="shared" si="1295"/>
        <v>0.85</v>
      </c>
      <c r="DZ400" s="4">
        <f t="shared" si="1296"/>
        <v>0.91560283687943256</v>
      </c>
      <c r="EA400" s="4">
        <f t="shared" si="1319"/>
        <v>0.9995510789195714</v>
      </c>
      <c r="EB400" s="4">
        <f t="shared" si="1297"/>
        <v>0.91519180346465712</v>
      </c>
      <c r="ED400" s="4">
        <f t="shared" si="1320"/>
        <v>439.09898212949531</v>
      </c>
      <c r="EE400" s="25">
        <f t="shared" si="1321"/>
        <v>231.98330550729423</v>
      </c>
      <c r="EG400" s="4">
        <f t="shared" si="1213"/>
        <v>0.7779130329449585</v>
      </c>
      <c r="EH400" s="4">
        <f t="shared" si="1322"/>
        <v>5.5816724777772073</v>
      </c>
      <c r="EK400" s="4">
        <f t="shared" si="1298"/>
        <v>78.464542697960056</v>
      </c>
      <c r="EL400" s="4">
        <f t="shared" si="1299"/>
        <v>2.1908902300206643</v>
      </c>
      <c r="EM400" s="4">
        <f t="shared" si="1300"/>
        <v>0.1944361862904351</v>
      </c>
      <c r="EP400" s="4">
        <f t="shared" si="1433"/>
        <v>0.1944361862904351</v>
      </c>
      <c r="EQ400" s="4">
        <f t="shared" si="1237"/>
        <v>0.6716963004325478</v>
      </c>
      <c r="ER400" s="4">
        <f t="shared" si="1301"/>
        <v>4.7602913239803168</v>
      </c>
      <c r="ES400" s="4">
        <f t="shared" si="1418"/>
        <v>5.1872754439165325</v>
      </c>
      <c r="ET400" s="4">
        <f t="shared" si="1302"/>
        <v>253.76745730203993</v>
      </c>
      <c r="EU400" s="4">
        <f t="shared" si="1303"/>
        <v>110.74400000000003</v>
      </c>
      <c r="EV400" s="4">
        <f t="shared" si="1238"/>
        <v>2.1759814888054376E-5</v>
      </c>
      <c r="EW400" s="4">
        <f t="shared" si="1419"/>
        <v>5.1025487900102364</v>
      </c>
      <c r="EX400" s="4">
        <f t="shared" si="1250"/>
        <v>485.75063699779446</v>
      </c>
      <c r="FG400" s="23">
        <f t="shared" si="1459"/>
        <v>1.6</v>
      </c>
      <c r="FH400" s="23">
        <f t="shared" si="1459"/>
        <v>1.6</v>
      </c>
      <c r="FI400" s="23">
        <f t="shared" si="1382"/>
        <v>1</v>
      </c>
      <c r="FJ400" s="23">
        <f t="shared" si="1460"/>
        <v>1.8</v>
      </c>
      <c r="FK400" s="23">
        <f t="shared" si="1460"/>
        <v>1.2</v>
      </c>
      <c r="FL400" s="23">
        <f t="shared" si="1460"/>
        <v>1.2</v>
      </c>
      <c r="FM400" s="23">
        <f t="shared" si="1330"/>
        <v>0</v>
      </c>
      <c r="FN400" s="23"/>
      <c r="FX400" s="4">
        <f t="shared" ref="FX400:FX449" si="1500">IF(O400&gt;=2.5*25.4,1,1.25)</f>
        <v>1</v>
      </c>
      <c r="FY400" s="4">
        <f t="shared" si="1258"/>
        <v>0.44214730608235164</v>
      </c>
      <c r="FZ400" s="4">
        <f t="shared" ref="FZ400:FZ449" si="1501">MIN(0.3, AE400^2*PI()/4*2*AH400/(K400^2*PI()/4*R400))</f>
        <v>0.25149640360142855</v>
      </c>
      <c r="GA400" s="4">
        <f t="shared" ref="GA400:GA449" si="1502">(H400/25.4)/(K400/25.4)^1.5/0.0024*(J400*145)^0.25/FX400/FY400/145</f>
        <v>540.05170332666421</v>
      </c>
    </row>
    <row r="401" spans="1:183" ht="12" customHeight="1" x14ac:dyDescent="0.3">
      <c r="A401" s="25">
        <v>383</v>
      </c>
      <c r="B401" s="4" t="s">
        <v>605</v>
      </c>
      <c r="C401" s="4">
        <v>2016</v>
      </c>
      <c r="D401" s="4" t="s">
        <v>309</v>
      </c>
      <c r="E401" s="14" t="s">
        <v>675</v>
      </c>
      <c r="F401" s="7" t="s">
        <v>550</v>
      </c>
      <c r="G401" s="38">
        <f t="shared" si="1491"/>
        <v>931.0344827586207</v>
      </c>
      <c r="H401" s="38">
        <f>16.72*25.4</f>
        <v>424.68799999999993</v>
      </c>
      <c r="I401" s="4">
        <f t="shared" si="1420"/>
        <v>424.68799999999993</v>
      </c>
      <c r="J401" s="38">
        <f>4050/145</f>
        <v>27.931034482758619</v>
      </c>
      <c r="K401" s="38">
        <f t="shared" si="1492"/>
        <v>35.813999999999993</v>
      </c>
      <c r="L401" s="7">
        <f t="shared" si="1421"/>
        <v>11.858156028368795</v>
      </c>
      <c r="M401" s="7">
        <f t="shared" si="1422"/>
        <v>11.858156028368795</v>
      </c>
      <c r="N401" s="38">
        <f>21.4*25.4</f>
        <v>543.55999999999995</v>
      </c>
      <c r="O401" s="38">
        <f>2.5*25.4</f>
        <v>63.5</v>
      </c>
      <c r="P401" s="39">
        <f>3.8*25.4</f>
        <v>96.52</v>
      </c>
      <c r="Q401" s="7">
        <f t="shared" si="1423"/>
        <v>344.93199999999996</v>
      </c>
      <c r="R401" s="38">
        <v>2</v>
      </c>
      <c r="S401" s="4">
        <f t="shared" si="1493"/>
        <v>508</v>
      </c>
      <c r="T401" s="7">
        <f t="shared" si="1424"/>
        <v>2.2730496453900715</v>
      </c>
      <c r="U401" s="7">
        <f t="shared" si="1247"/>
        <v>2.2730496453900715</v>
      </c>
      <c r="V401" s="38">
        <v>3.8</v>
      </c>
      <c r="W401" s="4">
        <f t="shared" si="1425"/>
        <v>3.8</v>
      </c>
      <c r="X401" s="4">
        <f t="shared" si="1426"/>
        <v>4.8</v>
      </c>
      <c r="Y401" s="7">
        <f t="shared" si="1427"/>
        <v>78.464542697960056</v>
      </c>
      <c r="AB401" s="38">
        <f t="shared" si="1461"/>
        <v>513.79310344827593</v>
      </c>
      <c r="AC401" s="4">
        <v>74.5</v>
      </c>
      <c r="AD401" s="4">
        <f t="shared" si="1279"/>
        <v>1.0622002196076112</v>
      </c>
      <c r="AE401" s="38">
        <f>0.5*25.4</f>
        <v>12.7</v>
      </c>
      <c r="AF401" s="38">
        <v>12</v>
      </c>
      <c r="AG401" s="39">
        <f>4*25.4</f>
        <v>101.6</v>
      </c>
      <c r="AH401" s="39">
        <v>4</v>
      </c>
      <c r="AI401" s="39">
        <v>2</v>
      </c>
      <c r="AJ401" s="7"/>
      <c r="AK401" s="4">
        <f t="shared" si="1429"/>
        <v>424.68799999999993</v>
      </c>
      <c r="AL401" s="4">
        <f t="shared" si="1304"/>
        <v>0.42663476874003192</v>
      </c>
      <c r="AM401" s="4">
        <f t="shared" si="1305"/>
        <v>229.5741365097727</v>
      </c>
      <c r="AN401" s="4">
        <f t="shared" si="1306"/>
        <v>0.73833732057416268</v>
      </c>
      <c r="AO401" s="4">
        <v>1.25</v>
      </c>
      <c r="AP401" s="4">
        <f t="shared" si="1221"/>
        <v>2.5</v>
      </c>
      <c r="AQ401" s="38">
        <f t="shared" si="1398"/>
        <v>225.98730751771248</v>
      </c>
      <c r="AR401" s="38">
        <f t="shared" si="1307"/>
        <v>225.98730751771248</v>
      </c>
      <c r="AS401" s="38">
        <f t="shared" si="1308"/>
        <v>2.761717606769436</v>
      </c>
      <c r="AT401" s="38">
        <f t="shared" si="1230"/>
        <v>225.98730751771248</v>
      </c>
      <c r="AU401" s="38">
        <f t="shared" si="1495"/>
        <v>1</v>
      </c>
      <c r="AV401" s="38">
        <f t="shared" si="1231"/>
        <v>1.095301514770274</v>
      </c>
      <c r="AW401" s="4">
        <f t="shared" si="1232"/>
        <v>0</v>
      </c>
      <c r="AX401" s="4">
        <f t="shared" si="1430"/>
        <v>329.84284670613135</v>
      </c>
      <c r="AY401" s="4">
        <f t="shared" si="1399"/>
        <v>1</v>
      </c>
      <c r="AZ401" s="38">
        <f t="shared" si="1242"/>
        <v>247.52424024300623</v>
      </c>
      <c r="BA401" s="4">
        <f t="shared" si="1400"/>
        <v>0.46800000000000008</v>
      </c>
      <c r="BB401" s="4">
        <f t="shared" si="1401"/>
        <v>80.656471305050331</v>
      </c>
      <c r="BC401" s="4">
        <f t="shared" si="1402"/>
        <v>328.18071154805659</v>
      </c>
      <c r="BE401" s="4">
        <f t="shared" si="1222"/>
        <v>1.5</v>
      </c>
      <c r="BF401" s="4">
        <f t="shared" si="1225"/>
        <v>519.83982283719729</v>
      </c>
      <c r="BH401" s="4">
        <f t="shared" si="1248"/>
        <v>237.40601663515</v>
      </c>
      <c r="BI401" s="4">
        <f t="shared" si="1481"/>
        <v>0</v>
      </c>
      <c r="BJ401" s="4">
        <f t="shared" si="1249"/>
        <v>0</v>
      </c>
      <c r="BK401" s="4">
        <f t="shared" si="1309"/>
        <v>63.5</v>
      </c>
      <c r="BL401" s="4">
        <f t="shared" si="1310"/>
        <v>63.5</v>
      </c>
      <c r="BM401" s="4">
        <f t="shared" si="1311"/>
        <v>508</v>
      </c>
      <c r="BN401" s="4">
        <f t="shared" si="1312"/>
        <v>81.406999999999996</v>
      </c>
      <c r="BO401" s="4">
        <f t="shared" si="1313"/>
        <v>1.25</v>
      </c>
      <c r="BP401" s="25">
        <f t="shared" si="1314"/>
        <v>4</v>
      </c>
      <c r="BR401" s="4">
        <f t="shared" si="1403"/>
        <v>63.5</v>
      </c>
      <c r="BV401" s="9"/>
      <c r="BX401" s="9"/>
      <c r="BY401" s="9"/>
      <c r="BZ401" s="9">
        <f t="shared" si="1404"/>
        <v>63.5</v>
      </c>
      <c r="CA401" s="9">
        <f t="shared" si="1405"/>
        <v>172.46599999999998</v>
      </c>
      <c r="CB401" s="9">
        <f t="shared" si="1233"/>
        <v>1.5468560948614203</v>
      </c>
      <c r="CC401" s="40">
        <f t="shared" si="1431"/>
        <v>20</v>
      </c>
      <c r="CD401" s="9">
        <f t="shared" si="1406"/>
        <v>0.05</v>
      </c>
      <c r="CE401" s="9">
        <f t="shared" si="1407"/>
        <v>0.8</v>
      </c>
      <c r="CF401" s="9">
        <f t="shared" si="1408"/>
        <v>0.89777220146327208</v>
      </c>
      <c r="CG401" s="9">
        <f t="shared" si="1409"/>
        <v>0.68</v>
      </c>
      <c r="CH401" s="9">
        <f t="shared" si="1234"/>
        <v>1.129240956903802</v>
      </c>
      <c r="CI401" s="9">
        <f t="shared" si="1235"/>
        <v>2.6501660222768302</v>
      </c>
      <c r="CJ401" s="40">
        <v>1</v>
      </c>
      <c r="CK401" s="9">
        <f t="shared" si="1236"/>
        <v>284.71429010957036</v>
      </c>
      <c r="CM401" s="4">
        <f t="shared" si="1410"/>
        <v>1.5576906050232835</v>
      </c>
      <c r="CN401" s="4">
        <f t="shared" si="1411"/>
        <v>1.5655798326009769</v>
      </c>
      <c r="CO401" s="4">
        <f t="shared" si="1376"/>
        <v>0.98836811047695539</v>
      </c>
      <c r="CP401" s="4">
        <f t="shared" si="1412"/>
        <v>1.8045919059789592</v>
      </c>
      <c r="CQ401" s="4">
        <f t="shared" si="1324"/>
        <v>1.0622002196076112</v>
      </c>
      <c r="CR401" s="4">
        <f t="shared" si="1325"/>
        <v>1.1753055919076683</v>
      </c>
      <c r="CS401" s="4">
        <f t="shared" si="1377"/>
        <v>0.9673044426554136</v>
      </c>
      <c r="CT401" s="4">
        <f t="shared" si="1432"/>
        <v>12</v>
      </c>
      <c r="DA401" s="4">
        <f t="shared" si="1496"/>
        <v>1.5576906050232835</v>
      </c>
      <c r="DB401" s="4">
        <f t="shared" si="1496"/>
        <v>1.5655798326009769</v>
      </c>
      <c r="DC401" s="4">
        <f t="shared" si="1497"/>
        <v>1.8045919059789592</v>
      </c>
      <c r="DD401" s="4">
        <f t="shared" si="1498"/>
        <v>0.9673044426554136</v>
      </c>
      <c r="DE401" s="4">
        <f t="shared" si="1499"/>
        <v>1.0622002196076112</v>
      </c>
      <c r="DF401" s="4">
        <f t="shared" si="1499"/>
        <v>1.1753055919076683</v>
      </c>
      <c r="DI401" s="4">
        <f t="shared" si="1417"/>
        <v>424.68799999999993</v>
      </c>
      <c r="DL401" s="4">
        <f t="shared" si="1286"/>
        <v>2.0861473906437448E-5</v>
      </c>
      <c r="DM401" s="4">
        <f t="shared" si="1287"/>
        <v>5.9909859754492585</v>
      </c>
      <c r="DN401" s="4">
        <f t="shared" si="1288"/>
        <v>0.65006046608882018</v>
      </c>
      <c r="DO401" s="4">
        <f t="shared" si="1289"/>
        <v>5.0428935978626948</v>
      </c>
      <c r="DP401" s="4">
        <f t="shared" si="1290"/>
        <v>5.5372835873877797</v>
      </c>
      <c r="DQ401" s="4">
        <f t="shared" si="1291"/>
        <v>5.4870121914231831</v>
      </c>
      <c r="DR401" s="38">
        <f t="shared" si="1318"/>
        <v>483.70645567939812</v>
      </c>
      <c r="DS401" s="4">
        <f t="shared" si="1292"/>
        <v>1.0001421919821682</v>
      </c>
      <c r="DT401" s="4">
        <f t="shared" si="1293"/>
        <v>2.1908902300206643</v>
      </c>
      <c r="DU401" s="4">
        <f t="shared" si="1294"/>
        <v>225.98730751771248</v>
      </c>
      <c r="DY401" s="4">
        <f t="shared" si="1295"/>
        <v>0.85</v>
      </c>
      <c r="DZ401" s="4">
        <f t="shared" si="1296"/>
        <v>0.92269503546099285</v>
      </c>
      <c r="EA401" s="4">
        <f t="shared" si="1319"/>
        <v>0.92410215783914285</v>
      </c>
      <c r="EB401" s="4">
        <f t="shared" si="1297"/>
        <v>0.85266447329696793</v>
      </c>
      <c r="ED401" s="4">
        <f t="shared" si="1320"/>
        <v>437.15703131670239</v>
      </c>
      <c r="EE401" s="25">
        <f t="shared" si="1321"/>
        <v>224.03089193476285</v>
      </c>
      <c r="EG401" s="4">
        <f t="shared" si="1213"/>
        <v>0.72476480230242268</v>
      </c>
      <c r="EH401" s="4">
        <f t="shared" si="1322"/>
        <v>5.9909859754492585</v>
      </c>
      <c r="EK401" s="4">
        <f t="shared" si="1298"/>
        <v>78.464542697960056</v>
      </c>
      <c r="EL401" s="4">
        <f t="shared" si="1299"/>
        <v>2.1908902300206643</v>
      </c>
      <c r="EM401" s="4">
        <f t="shared" si="1300"/>
        <v>0.18785922691746718</v>
      </c>
      <c r="EP401" s="4">
        <f t="shared" si="1433"/>
        <v>0.18785922691746718</v>
      </c>
      <c r="EQ401" s="4">
        <f t="shared" si="1237"/>
        <v>0.6489756363257192</v>
      </c>
      <c r="ER401" s="4">
        <f t="shared" si="1301"/>
        <v>5.0395256512441255</v>
      </c>
      <c r="ES401" s="4">
        <f t="shared" si="1418"/>
        <v>5.5357504872666619</v>
      </c>
      <c r="ET401" s="4">
        <f t="shared" si="1302"/>
        <v>240.05145730203992</v>
      </c>
      <c r="EU401" s="4">
        <f t="shared" si="1303"/>
        <v>106.17199999999997</v>
      </c>
      <c r="EV401" s="4">
        <f t="shared" si="1238"/>
        <v>2.0861473906437444E-5</v>
      </c>
      <c r="EW401" s="4">
        <f t="shared" si="1419"/>
        <v>5.4871681692262833</v>
      </c>
      <c r="EX401" s="4">
        <f t="shared" si="1250"/>
        <v>483.63768627813499</v>
      </c>
      <c r="FG401" s="23">
        <f t="shared" si="1459"/>
        <v>1.6</v>
      </c>
      <c r="FH401" s="23">
        <f t="shared" si="1459"/>
        <v>1.6</v>
      </c>
      <c r="FI401" s="23">
        <f t="shared" si="1382"/>
        <v>1</v>
      </c>
      <c r="FJ401" s="23">
        <f t="shared" si="1460"/>
        <v>2</v>
      </c>
      <c r="FK401" s="23">
        <f t="shared" si="1460"/>
        <v>1.2</v>
      </c>
      <c r="FL401" s="23">
        <f t="shared" si="1460"/>
        <v>1.2</v>
      </c>
      <c r="FM401" s="23">
        <f t="shared" si="1330"/>
        <v>0</v>
      </c>
      <c r="FN401" s="23"/>
      <c r="FX401" s="4">
        <f t="shared" si="1500"/>
        <v>1</v>
      </c>
      <c r="FY401" s="4">
        <f t="shared" si="1258"/>
        <v>0.43098983553339404</v>
      </c>
      <c r="FZ401" s="4">
        <f t="shared" si="1501"/>
        <v>0.3</v>
      </c>
      <c r="GA401" s="4">
        <f t="shared" si="1502"/>
        <v>531.15966472543778</v>
      </c>
    </row>
    <row r="402" spans="1:183" ht="12" customHeight="1" x14ac:dyDescent="0.3">
      <c r="A402" s="25">
        <v>384</v>
      </c>
      <c r="B402" s="4" t="s">
        <v>605</v>
      </c>
      <c r="C402" s="4">
        <v>2016</v>
      </c>
      <c r="D402" s="4" t="s">
        <v>309</v>
      </c>
      <c r="E402" s="14" t="s">
        <v>675</v>
      </c>
      <c r="F402" s="7" t="s">
        <v>551</v>
      </c>
      <c r="G402" s="38">
        <f t="shared" si="1491"/>
        <v>931.0344827586207</v>
      </c>
      <c r="H402" s="38">
        <f>12*25.4</f>
        <v>304.79999999999995</v>
      </c>
      <c r="I402" s="4">
        <f t="shared" si="1420"/>
        <v>304.79999999999995</v>
      </c>
      <c r="J402" s="38">
        <f>3960/145</f>
        <v>27.310344827586206</v>
      </c>
      <c r="K402" s="38">
        <f t="shared" si="1492"/>
        <v>35.813999999999993</v>
      </c>
      <c r="L402" s="7">
        <f t="shared" si="1421"/>
        <v>8.5106382978723403</v>
      </c>
      <c r="M402" s="7">
        <f t="shared" si="1422"/>
        <v>8.5106382978723403</v>
      </c>
      <c r="N402" s="38">
        <f>21.7*25.4</f>
        <v>551.17999999999995</v>
      </c>
      <c r="O402" s="38">
        <f>2.7*25.4</f>
        <v>68.58</v>
      </c>
      <c r="P402" s="39">
        <f>3.1*25.4</f>
        <v>78.739999999999995</v>
      </c>
      <c r="Q402" s="7">
        <f t="shared" si="1423"/>
        <v>342.39199999999994</v>
      </c>
      <c r="R402" s="38">
        <v>2</v>
      </c>
      <c r="S402" s="4">
        <f t="shared" si="1493"/>
        <v>508</v>
      </c>
      <c r="T402" s="7">
        <f t="shared" si="1424"/>
        <v>2.4148936170212769</v>
      </c>
      <c r="U402" s="7">
        <f t="shared" si="1247"/>
        <v>2.4148936170212769</v>
      </c>
      <c r="V402" s="38">
        <v>3.8</v>
      </c>
      <c r="W402" s="4">
        <f t="shared" si="1425"/>
        <v>3.8</v>
      </c>
      <c r="X402" s="4">
        <f t="shared" si="1426"/>
        <v>4.8</v>
      </c>
      <c r="Y402" s="7">
        <f t="shared" si="1427"/>
        <v>78.464542697960056</v>
      </c>
      <c r="AB402" s="38">
        <f t="shared" si="1461"/>
        <v>251.0344827586207</v>
      </c>
      <c r="AC402" s="4">
        <v>36.4</v>
      </c>
      <c r="AD402" s="4">
        <f t="shared" si="1279"/>
        <v>0.68598892644176579</v>
      </c>
      <c r="AE402" s="38">
        <v>0</v>
      </c>
      <c r="AF402" s="38">
        <v>0</v>
      </c>
      <c r="AG402" s="39">
        <f t="shared" ref="AG402" si="1503">I402</f>
        <v>304.79999999999995</v>
      </c>
      <c r="AH402" s="39"/>
      <c r="AI402" s="39"/>
      <c r="AJ402" s="7"/>
      <c r="AK402" s="4">
        <f t="shared" si="1429"/>
        <v>304.79999999999995</v>
      </c>
      <c r="AL402" s="4">
        <f t="shared" si="1304"/>
        <v>0.60277777777777775</v>
      </c>
      <c r="AM402" s="4">
        <f t="shared" si="1305"/>
        <v>138.02587222939175</v>
      </c>
      <c r="AN402" s="4">
        <f t="shared" si="1306"/>
        <v>0.75674999999999992</v>
      </c>
      <c r="AO402" s="4">
        <v>1.25</v>
      </c>
      <c r="AP402" s="4">
        <f t="shared" si="1221"/>
        <v>2.5</v>
      </c>
      <c r="AQ402" s="38">
        <f t="shared" si="1398"/>
        <v>196.75246616042975</v>
      </c>
      <c r="AR402" s="38">
        <f t="shared" si="1307"/>
        <v>196.75246616042975</v>
      </c>
      <c r="AS402" s="38">
        <f t="shared" si="1308"/>
        <v>2.7206502209498358</v>
      </c>
      <c r="AT402" s="38">
        <f t="shared" si="1230"/>
        <v>196.75246616042969</v>
      </c>
      <c r="AU402" s="38">
        <f t="shared" si="1495"/>
        <v>1.0000000000000002</v>
      </c>
      <c r="AV402" s="38">
        <f t="shared" si="1231"/>
        <v>1.3068531728320587</v>
      </c>
      <c r="AW402" s="4">
        <f t="shared" si="1232"/>
        <v>0</v>
      </c>
      <c r="AX402" s="4">
        <f t="shared" si="1430"/>
        <v>234.0842125092189</v>
      </c>
      <c r="AY402" s="4">
        <f t="shared" si="1399"/>
        <v>1</v>
      </c>
      <c r="AZ402" s="38">
        <f t="shared" si="1242"/>
        <v>257.12658466428979</v>
      </c>
      <c r="BA402" s="4">
        <f t="shared" si="1400"/>
        <v>0.46800000000000008</v>
      </c>
      <c r="BB402" s="4">
        <f t="shared" si="1401"/>
        <v>57.240612484879328</v>
      </c>
      <c r="BC402" s="4">
        <f t="shared" si="1402"/>
        <v>314.3671971491691</v>
      </c>
      <c r="BE402" s="4">
        <f t="shared" si="1222"/>
        <v>1.2287234042553192</v>
      </c>
      <c r="BF402" s="4">
        <f t="shared" si="1225"/>
        <v>356.58278440355463</v>
      </c>
      <c r="BH402" s="4">
        <f t="shared" si="1248"/>
        <v>246.61583922536434</v>
      </c>
      <c r="BI402" s="4">
        <f t="shared" si="1481"/>
        <v>0</v>
      </c>
      <c r="BJ402" s="4">
        <f t="shared" si="1249"/>
        <v>0</v>
      </c>
      <c r="BK402" s="4">
        <f t="shared" si="1309"/>
        <v>68.58</v>
      </c>
      <c r="BL402" s="4">
        <f t="shared" si="1310"/>
        <v>68.58</v>
      </c>
      <c r="BM402" s="4">
        <f t="shared" si="1311"/>
        <v>508</v>
      </c>
      <c r="BN402" s="4">
        <f t="shared" si="1312"/>
        <v>86.486999999999995</v>
      </c>
      <c r="BO402" s="4">
        <f t="shared" si="1313"/>
        <v>1.25</v>
      </c>
      <c r="BP402" s="25">
        <f t="shared" si="1314"/>
        <v>3.0186170212765959</v>
      </c>
      <c r="BR402" s="4">
        <f t="shared" si="1403"/>
        <v>68.58</v>
      </c>
      <c r="BV402" s="9"/>
      <c r="BX402" s="9"/>
      <c r="BY402" s="9"/>
      <c r="BZ402" s="9">
        <f t="shared" si="1404"/>
        <v>68.58</v>
      </c>
      <c r="CA402" s="9">
        <f t="shared" si="1405"/>
        <v>171.19599999999997</v>
      </c>
      <c r="CB402" s="9">
        <f t="shared" si="1233"/>
        <v>1.5873282502249415</v>
      </c>
      <c r="CC402" s="40">
        <f t="shared" si="1431"/>
        <v>20</v>
      </c>
      <c r="CD402" s="9">
        <f t="shared" si="1406"/>
        <v>0</v>
      </c>
      <c r="CE402" s="9">
        <f t="shared" si="1407"/>
        <v>0</v>
      </c>
      <c r="CF402" s="9">
        <f t="shared" si="1408"/>
        <v>0.89777220146327208</v>
      </c>
      <c r="CG402" s="9">
        <f t="shared" si="1409"/>
        <v>0.68</v>
      </c>
      <c r="CH402" s="9">
        <f t="shared" si="1234"/>
        <v>1.1166233434875248</v>
      </c>
      <c r="CI402" s="9">
        <f t="shared" si="1235"/>
        <v>1.7724477779783765</v>
      </c>
      <c r="CJ402" s="40">
        <v>1</v>
      </c>
      <c r="CK402" s="9">
        <f t="shared" si="1236"/>
        <v>166.68551443966859</v>
      </c>
      <c r="CM402" s="4">
        <f t="shared" si="1410"/>
        <v>1.0724109928974139</v>
      </c>
      <c r="CN402" s="4">
        <f t="shared" si="1411"/>
        <v>0.79853904935095166</v>
      </c>
      <c r="CO402" s="4">
        <f t="shared" si="1376"/>
        <v>0.70400056799858857</v>
      </c>
      <c r="CP402" s="4">
        <f t="shared" si="1412"/>
        <v>1.5060365839377243</v>
      </c>
      <c r="CQ402" s="4">
        <f t="shared" si="1324"/>
        <v>0.68598892644176579</v>
      </c>
      <c r="CR402" s="4">
        <f t="shared" si="1325"/>
        <v>0.74669552116938287</v>
      </c>
      <c r="CS402" s="4">
        <f t="shared" si="1377"/>
        <v>0.76825652258018351</v>
      </c>
      <c r="CT402" s="4">
        <f t="shared" si="1432"/>
        <v>0</v>
      </c>
      <c r="CU402" s="4">
        <f t="shared" ref="CU402:CV402" si="1504">CM402</f>
        <v>1.0724109928974139</v>
      </c>
      <c r="CV402" s="4">
        <f t="shared" si="1504"/>
        <v>0.79853904935095166</v>
      </c>
      <c r="CW402" s="4">
        <f t="shared" ref="CW402" si="1505">CP402</f>
        <v>1.5060365839377243</v>
      </c>
      <c r="CX402" s="4">
        <f t="shared" ref="CX402" si="1506">CS402</f>
        <v>0.76825652258018351</v>
      </c>
      <c r="CY402" s="4">
        <f t="shared" ref="CY402:CZ402" si="1507">CQ402</f>
        <v>0.68598892644176579</v>
      </c>
      <c r="CZ402" s="4">
        <f t="shared" si="1507"/>
        <v>0.74669552116938287</v>
      </c>
      <c r="DI402" s="4">
        <f t="shared" si="1417"/>
        <v>304.79999999999995</v>
      </c>
      <c r="DL402" s="4">
        <f t="shared" si="1286"/>
        <v>1.4904502788497585E-5</v>
      </c>
      <c r="DM402" s="4">
        <f t="shared" si="1287"/>
        <v>5.5598943030135199</v>
      </c>
      <c r="DN402" s="4">
        <f t="shared" si="1288"/>
        <v>0.57882826340566917</v>
      </c>
      <c r="DO402" s="4">
        <f t="shared" si="1289"/>
        <v>4.4677249354864337</v>
      </c>
      <c r="DP402" s="4">
        <f t="shared" si="1290"/>
        <v>5.0434954587795096</v>
      </c>
      <c r="DQ402" s="4">
        <f t="shared" si="1291"/>
        <v>5.3425632594807206</v>
      </c>
      <c r="DR402" s="38">
        <f t="shared" si="1318"/>
        <v>365.94538640840761</v>
      </c>
      <c r="DS402" s="4">
        <f t="shared" si="1292"/>
        <v>1.00013034343217</v>
      </c>
      <c r="DT402" s="4">
        <f t="shared" si="1293"/>
        <v>2.1908902300206643</v>
      </c>
      <c r="DU402" s="4">
        <f t="shared" si="1294"/>
        <v>196.75246616042969</v>
      </c>
      <c r="DY402" s="4">
        <f t="shared" si="1295"/>
        <v>0.85</v>
      </c>
      <c r="DZ402" s="4">
        <f t="shared" si="1296"/>
        <v>0.90851063829787226</v>
      </c>
      <c r="EA402" s="4">
        <f t="shared" si="1319"/>
        <v>1</v>
      </c>
      <c r="EB402" s="4">
        <f t="shared" si="1297"/>
        <v>0.90851063829787226</v>
      </c>
      <c r="ED402" s="4">
        <f t="shared" si="1320"/>
        <v>336.19390453217306</v>
      </c>
      <c r="EE402" s="25">
        <f t="shared" si="1321"/>
        <v>194.23915637012578</v>
      </c>
      <c r="EG402" s="4">
        <f t="shared" si="1213"/>
        <v>0.77223404255319139</v>
      </c>
      <c r="EH402" s="4">
        <f t="shared" si="1322"/>
        <v>5.5598943030135199</v>
      </c>
      <c r="EK402" s="4">
        <f t="shared" si="1298"/>
        <v>78.464542697960056</v>
      </c>
      <c r="EL402" s="4">
        <f t="shared" si="1299"/>
        <v>2.1908902300206643</v>
      </c>
      <c r="EM402" s="4">
        <f t="shared" si="1300"/>
        <v>0.16540498194388473</v>
      </c>
      <c r="EP402" s="4">
        <f t="shared" si="1433"/>
        <v>0.16540498194388473</v>
      </c>
      <c r="EQ402" s="4">
        <f t="shared" si="1237"/>
        <v>0.57786230691296858</v>
      </c>
      <c r="ER402" s="4">
        <f t="shared" si="1301"/>
        <v>4.4647411209765364</v>
      </c>
      <c r="ES402" s="4">
        <f t="shared" si="1418"/>
        <v>5.0421745387071857</v>
      </c>
      <c r="ET402" s="4">
        <f t="shared" si="1302"/>
        <v>150.13545730203992</v>
      </c>
      <c r="EU402" s="4">
        <f t="shared" si="1303"/>
        <v>76.199999999999989</v>
      </c>
      <c r="EV402" s="4">
        <f t="shared" si="1238"/>
        <v>1.4904502788497585E-5</v>
      </c>
      <c r="EW402" s="4">
        <f t="shared" si="1419"/>
        <v>5.3426344802621397</v>
      </c>
      <c r="EX402" s="4">
        <f t="shared" si="1250"/>
        <v>365.89769404714241</v>
      </c>
      <c r="FG402" s="23">
        <f t="shared" si="1459"/>
        <v>1.2</v>
      </c>
      <c r="FH402" s="23">
        <f t="shared" si="1459"/>
        <v>0.8</v>
      </c>
      <c r="FI402" s="23">
        <f t="shared" si="1382"/>
        <v>0.8</v>
      </c>
      <c r="FJ402" s="23">
        <f t="shared" si="1460"/>
        <v>1.6</v>
      </c>
      <c r="FK402" s="23">
        <f t="shared" si="1460"/>
        <v>0.8</v>
      </c>
      <c r="FL402" s="23">
        <f t="shared" si="1460"/>
        <v>0.8</v>
      </c>
      <c r="FM402" s="23">
        <f t="shared" si="1330"/>
        <v>1</v>
      </c>
      <c r="FN402" s="23"/>
      <c r="FX402" s="4">
        <f t="shared" si="1500"/>
        <v>1</v>
      </c>
      <c r="FY402" s="4">
        <f t="shared" si="1258"/>
        <v>0.5</v>
      </c>
      <c r="FZ402" s="4">
        <f t="shared" si="1501"/>
        <v>0</v>
      </c>
      <c r="GA402" s="4">
        <f t="shared" si="1502"/>
        <v>326.75867419325431</v>
      </c>
    </row>
    <row r="403" spans="1:183" ht="12" customHeight="1" x14ac:dyDescent="0.3">
      <c r="A403" s="25">
        <v>385</v>
      </c>
      <c r="B403" s="4" t="s">
        <v>605</v>
      </c>
      <c r="C403" s="4">
        <v>2016</v>
      </c>
      <c r="D403" s="4" t="s">
        <v>309</v>
      </c>
      <c r="E403" s="14" t="s">
        <v>675</v>
      </c>
      <c r="F403" s="7" t="s">
        <v>552</v>
      </c>
      <c r="G403" s="38">
        <f t="shared" si="1491"/>
        <v>931.0344827586207</v>
      </c>
      <c r="H403" s="38">
        <f>12*25.4</f>
        <v>304.79999999999995</v>
      </c>
      <c r="I403" s="4">
        <f t="shared" si="1420"/>
        <v>304.79999999999995</v>
      </c>
      <c r="J403" s="38">
        <f>3960/145</f>
        <v>27.310344827586206</v>
      </c>
      <c r="K403" s="38">
        <f t="shared" si="1492"/>
        <v>35.813999999999993</v>
      </c>
      <c r="L403" s="7">
        <f t="shared" si="1421"/>
        <v>8.5106382978723403</v>
      </c>
      <c r="M403" s="7">
        <f t="shared" si="1422"/>
        <v>8.5106382978723403</v>
      </c>
      <c r="N403" s="38">
        <f t="shared" ref="N403" si="1508">21.4*25.4</f>
        <v>543.55999999999995</v>
      </c>
      <c r="O403" s="38">
        <f>2.4*25.4</f>
        <v>60.959999999999994</v>
      </c>
      <c r="P403" s="39">
        <f>3.7*25.4</f>
        <v>93.98</v>
      </c>
      <c r="Q403" s="7">
        <f t="shared" si="1423"/>
        <v>350.01199999999994</v>
      </c>
      <c r="R403" s="38">
        <v>2</v>
      </c>
      <c r="S403" s="4">
        <f t="shared" si="1493"/>
        <v>508</v>
      </c>
      <c r="T403" s="7">
        <f t="shared" si="1424"/>
        <v>2.2021276595744683</v>
      </c>
      <c r="U403" s="7">
        <f t="shared" si="1247"/>
        <v>2.2021276595744683</v>
      </c>
      <c r="V403" s="38">
        <v>3.8</v>
      </c>
      <c r="W403" s="4">
        <f t="shared" si="1425"/>
        <v>3.8</v>
      </c>
      <c r="X403" s="4">
        <f t="shared" si="1426"/>
        <v>4.8</v>
      </c>
      <c r="Y403" s="7">
        <f t="shared" si="1427"/>
        <v>78.464542697960056</v>
      </c>
      <c r="AB403" s="38">
        <f t="shared" si="1461"/>
        <v>297.24137931034488</v>
      </c>
      <c r="AC403" s="4">
        <v>43.1</v>
      </c>
      <c r="AD403" s="4">
        <f t="shared" si="1279"/>
        <v>0.83117670323868909</v>
      </c>
      <c r="AE403" s="38">
        <f>0.5*25.4</f>
        <v>12.7</v>
      </c>
      <c r="AF403" s="38">
        <v>4</v>
      </c>
      <c r="AG403" s="39">
        <f>8*25.4</f>
        <v>203.2</v>
      </c>
      <c r="AH403" s="39">
        <v>2</v>
      </c>
      <c r="AI403" s="39">
        <f t="shared" ref="AI403" si="1509">AH403-1</f>
        <v>1</v>
      </c>
      <c r="AJ403" s="7"/>
      <c r="AK403" s="4">
        <f t="shared" si="1429"/>
        <v>304.79999999999995</v>
      </c>
      <c r="AL403" s="4">
        <f t="shared" si="1304"/>
        <v>0.59444444444444433</v>
      </c>
      <c r="AM403" s="4">
        <f t="shared" si="1305"/>
        <v>138.02587222939175</v>
      </c>
      <c r="AN403" s="4">
        <f t="shared" si="1306"/>
        <v>0.75174999999999992</v>
      </c>
      <c r="AO403" s="4">
        <v>1.25</v>
      </c>
      <c r="AP403" s="4">
        <f t="shared" si="1221"/>
        <v>2.5</v>
      </c>
      <c r="AQ403" s="38">
        <f t="shared" si="1398"/>
        <v>192.75037484346592</v>
      </c>
      <c r="AR403" s="38">
        <f t="shared" si="1307"/>
        <v>192.75037484346592</v>
      </c>
      <c r="AS403" s="38">
        <f t="shared" si="1308"/>
        <v>2.7206502209498358</v>
      </c>
      <c r="AT403" s="38">
        <f t="shared" si="1230"/>
        <v>192.75037484346589</v>
      </c>
      <c r="AU403" s="38">
        <f t="shared" si="1495"/>
        <v>1.0000000000000002</v>
      </c>
      <c r="AV403" s="38">
        <f t="shared" si="1231"/>
        <v>1.2164555333014579</v>
      </c>
      <c r="AW403" s="4">
        <f t="shared" si="1232"/>
        <v>0</v>
      </c>
      <c r="AX403" s="4">
        <f t="shared" si="1430"/>
        <v>234.0842125092189</v>
      </c>
      <c r="AY403" s="4">
        <f t="shared" si="1399"/>
        <v>1</v>
      </c>
      <c r="AZ403" s="38">
        <f t="shared" si="1242"/>
        <v>234.47226002426424</v>
      </c>
      <c r="BA403" s="4">
        <f t="shared" si="1400"/>
        <v>0.46800000000000008</v>
      </c>
      <c r="BB403" s="4">
        <f t="shared" si="1401"/>
        <v>57.240612484879328</v>
      </c>
      <c r="BC403" s="4">
        <f t="shared" si="1402"/>
        <v>291.71287250914355</v>
      </c>
      <c r="BE403" s="4">
        <f t="shared" si="1222"/>
        <v>1.454041901913989</v>
      </c>
      <c r="BF403" s="4">
        <f t="shared" si="1225"/>
        <v>421.97154235713816</v>
      </c>
      <c r="BH403" s="4">
        <f t="shared" si="1248"/>
        <v>224.8875714522045</v>
      </c>
      <c r="BI403" s="4">
        <f t="shared" si="1481"/>
        <v>0</v>
      </c>
      <c r="BJ403" s="4">
        <f t="shared" si="1249"/>
        <v>0</v>
      </c>
      <c r="BK403" s="4">
        <f t="shared" si="1309"/>
        <v>60.959999999999994</v>
      </c>
      <c r="BL403" s="4">
        <f t="shared" si="1310"/>
        <v>60.959999999999994</v>
      </c>
      <c r="BM403" s="4">
        <f t="shared" si="1311"/>
        <v>508</v>
      </c>
      <c r="BN403" s="4">
        <f t="shared" si="1312"/>
        <v>78.86699999999999</v>
      </c>
      <c r="BO403" s="4">
        <f t="shared" si="1313"/>
        <v>1.25</v>
      </c>
      <c r="BP403" s="25">
        <f t="shared" si="1314"/>
        <v>3.4591574287717117</v>
      </c>
      <c r="BR403" s="4">
        <f t="shared" si="1403"/>
        <v>60.959999999999994</v>
      </c>
      <c r="BV403" s="9"/>
      <c r="BX403" s="9"/>
      <c r="BY403" s="9"/>
      <c r="BZ403" s="9">
        <f t="shared" si="1404"/>
        <v>60.959999999999994</v>
      </c>
      <c r="CA403" s="9">
        <f t="shared" si="1405"/>
        <v>175.00599999999997</v>
      </c>
      <c r="CB403" s="9">
        <f t="shared" si="1233"/>
        <v>1.5282600539404603</v>
      </c>
      <c r="CC403" s="40">
        <f t="shared" si="1431"/>
        <v>20</v>
      </c>
      <c r="CD403" s="9">
        <f t="shared" si="1406"/>
        <v>0.05</v>
      </c>
      <c r="CE403" s="9">
        <f t="shared" si="1407"/>
        <v>0.8</v>
      </c>
      <c r="CF403" s="9">
        <f t="shared" si="1408"/>
        <v>0.89777220146327208</v>
      </c>
      <c r="CG403" s="9">
        <f t="shared" si="1409"/>
        <v>0.68</v>
      </c>
      <c r="CH403" s="9">
        <f t="shared" si="1234"/>
        <v>1.1166233434875248</v>
      </c>
      <c r="CI403" s="9">
        <f t="shared" si="1235"/>
        <v>2.5997895259394417</v>
      </c>
      <c r="CJ403" s="40">
        <v>1</v>
      </c>
      <c r="CK403" s="9">
        <f t="shared" si="1236"/>
        <v>244.49084477983683</v>
      </c>
      <c r="CM403" s="4">
        <f t="shared" si="1410"/>
        <v>1.2698053240076526</v>
      </c>
      <c r="CN403" s="4">
        <f t="shared" si="1411"/>
        <v>1.0189518781041382</v>
      </c>
      <c r="CO403" s="4">
        <f t="shared" si="1376"/>
        <v>0.7044109601561066</v>
      </c>
      <c r="CP403" s="4">
        <f t="shared" si="1412"/>
        <v>1.2157566864232063</v>
      </c>
      <c r="CQ403" s="4">
        <f t="shared" si="1324"/>
        <v>0.83117670323868909</v>
      </c>
      <c r="CR403" s="4">
        <f t="shared" si="1325"/>
        <v>0.90336797784402101</v>
      </c>
      <c r="CS403" s="4">
        <f t="shared" si="1377"/>
        <v>1.0055163450729336</v>
      </c>
      <c r="CT403" s="4">
        <f t="shared" si="1432"/>
        <v>4</v>
      </c>
      <c r="DA403" s="4">
        <f t="shared" ref="DA403:DB404" si="1510">CM403</f>
        <v>1.2698053240076526</v>
      </c>
      <c r="DB403" s="4">
        <f t="shared" si="1510"/>
        <v>1.0189518781041382</v>
      </c>
      <c r="DC403" s="4">
        <f t="shared" ref="DC403:DC404" si="1511">CP403</f>
        <v>1.2157566864232063</v>
      </c>
      <c r="DD403" s="4">
        <f t="shared" ref="DD403:DD404" si="1512">CS403</f>
        <v>1.0055163450729336</v>
      </c>
      <c r="DE403" s="4">
        <f t="shared" ref="DE403:DF404" si="1513">CQ403</f>
        <v>0.83117670323868909</v>
      </c>
      <c r="DF403" s="4">
        <f t="shared" si="1513"/>
        <v>0.90336797784402101</v>
      </c>
      <c r="DI403" s="4">
        <f t="shared" si="1417"/>
        <v>304.79999999999995</v>
      </c>
      <c r="DL403" s="4">
        <f t="shared" si="1286"/>
        <v>1.4904502788497585E-5</v>
      </c>
      <c r="DM403" s="4">
        <f t="shared" si="1287"/>
        <v>5.4351055338759089</v>
      </c>
      <c r="DN403" s="4">
        <f t="shared" si="1288"/>
        <v>0.5670544665522147</v>
      </c>
      <c r="DO403" s="4">
        <f t="shared" si="1289"/>
        <v>4.3316952161002904</v>
      </c>
      <c r="DP403" s="4">
        <f t="shared" si="1290"/>
        <v>4.91450537854291</v>
      </c>
      <c r="DQ403" s="4">
        <f t="shared" si="1291"/>
        <v>5.2282250018223193</v>
      </c>
      <c r="DR403" s="38">
        <f t="shared" si="1318"/>
        <v>357.61514747964014</v>
      </c>
      <c r="DS403" s="4">
        <f t="shared" si="1292"/>
        <v>1.0001290562436329</v>
      </c>
      <c r="DT403" s="4">
        <f t="shared" si="1293"/>
        <v>2.1908902300206643</v>
      </c>
      <c r="DU403" s="4">
        <f t="shared" si="1294"/>
        <v>192.75037484346589</v>
      </c>
      <c r="DY403" s="4">
        <f t="shared" si="1295"/>
        <v>0.85</v>
      </c>
      <c r="DZ403" s="4">
        <f t="shared" si="1296"/>
        <v>0.92978723404255315</v>
      </c>
      <c r="EA403" s="4">
        <f t="shared" si="1319"/>
        <v>0.9995510789195714</v>
      </c>
      <c r="EB403" s="4">
        <f t="shared" si="1297"/>
        <v>0.92936983295287801</v>
      </c>
      <c r="ED403" s="4">
        <f t="shared" si="1320"/>
        <v>329.03687821627403</v>
      </c>
      <c r="EE403" s="25">
        <f t="shared" si="1321"/>
        <v>190.2682262875274</v>
      </c>
      <c r="EG403" s="4">
        <f t="shared" si="1213"/>
        <v>0.78996435800994624</v>
      </c>
      <c r="EH403" s="4">
        <f t="shared" si="1322"/>
        <v>5.4351055338759089</v>
      </c>
      <c r="EK403" s="4">
        <f t="shared" si="1298"/>
        <v>78.464542697960056</v>
      </c>
      <c r="EL403" s="4">
        <f t="shared" si="1299"/>
        <v>2.1908902300206643</v>
      </c>
      <c r="EM403" s="4">
        <f t="shared" si="1300"/>
        <v>0.16204052174199624</v>
      </c>
      <c r="EP403" s="4">
        <f t="shared" si="1433"/>
        <v>0.16204052174199624</v>
      </c>
      <c r="EQ403" s="4">
        <f t="shared" si="1237"/>
        <v>0.56610815833212513</v>
      </c>
      <c r="ER403" s="4">
        <f t="shared" si="1301"/>
        <v>4.3288022503906989</v>
      </c>
      <c r="ES403" s="4">
        <f t="shared" si="1418"/>
        <v>4.9132311286392003</v>
      </c>
      <c r="ET403" s="4">
        <f t="shared" si="1302"/>
        <v>150.13545730203992</v>
      </c>
      <c r="EU403" s="4">
        <f t="shared" si="1303"/>
        <v>76.199999999999989</v>
      </c>
      <c r="EV403" s="4">
        <f t="shared" si="1238"/>
        <v>1.4904502788497585E-5</v>
      </c>
      <c r="EW403" s="4">
        <f t="shared" si="1419"/>
        <v>5.2282923578239942</v>
      </c>
      <c r="EX403" s="4">
        <f t="shared" si="1250"/>
        <v>357.56900096753571</v>
      </c>
      <c r="FG403" s="23">
        <f t="shared" si="1459"/>
        <v>1.4</v>
      </c>
      <c r="FH403" s="23">
        <f t="shared" si="1459"/>
        <v>1.2</v>
      </c>
      <c r="FI403" s="23">
        <f t="shared" si="1382"/>
        <v>1.2</v>
      </c>
      <c r="FJ403" s="23">
        <f t="shared" si="1460"/>
        <v>1.4</v>
      </c>
      <c r="FK403" s="23">
        <f t="shared" si="1460"/>
        <v>1</v>
      </c>
      <c r="FL403" s="23">
        <f t="shared" si="1460"/>
        <v>1</v>
      </c>
      <c r="FM403" s="23">
        <f t="shared" si="1330"/>
        <v>0</v>
      </c>
      <c r="FN403" s="23"/>
      <c r="FX403" s="4">
        <f t="shared" si="1500"/>
        <v>1.25</v>
      </c>
      <c r="FY403" s="4">
        <f t="shared" si="1258"/>
        <v>0.44214730608235164</v>
      </c>
      <c r="FZ403" s="4">
        <f t="shared" si="1501"/>
        <v>0.25149640360142855</v>
      </c>
      <c r="GA403" s="4">
        <f t="shared" si="1502"/>
        <v>295.61068874398546</v>
      </c>
    </row>
    <row r="404" spans="1:183" ht="12" customHeight="1" x14ac:dyDescent="0.3">
      <c r="A404" s="25">
        <v>386</v>
      </c>
      <c r="B404" s="4" t="s">
        <v>605</v>
      </c>
      <c r="C404" s="4">
        <v>2016</v>
      </c>
      <c r="D404" s="4" t="s">
        <v>309</v>
      </c>
      <c r="E404" s="14" t="s">
        <v>675</v>
      </c>
      <c r="F404" s="7" t="s">
        <v>553</v>
      </c>
      <c r="G404" s="38">
        <f t="shared" si="1491"/>
        <v>931.0344827586207</v>
      </c>
      <c r="H404" s="38">
        <f>12.09*25.4</f>
        <v>307.08599999999996</v>
      </c>
      <c r="I404" s="4">
        <f t="shared" si="1420"/>
        <v>307.08599999999996</v>
      </c>
      <c r="J404" s="38">
        <f>3960/145</f>
        <v>27.310344827586206</v>
      </c>
      <c r="K404" s="38">
        <f t="shared" si="1492"/>
        <v>35.813999999999993</v>
      </c>
      <c r="L404" s="7">
        <f t="shared" si="1421"/>
        <v>8.5744680851063837</v>
      </c>
      <c r="M404" s="7">
        <f t="shared" si="1422"/>
        <v>8.5744680851063837</v>
      </c>
      <c r="N404" s="38">
        <f>21.6*25.4</f>
        <v>548.64</v>
      </c>
      <c r="O404" s="38">
        <f>2.65*25.4</f>
        <v>67.309999999999988</v>
      </c>
      <c r="P404" s="39">
        <f>3.55*25.4</f>
        <v>90.169999999999987</v>
      </c>
      <c r="Q404" s="7">
        <f t="shared" si="1423"/>
        <v>342.39200000000005</v>
      </c>
      <c r="R404" s="38">
        <v>2</v>
      </c>
      <c r="S404" s="4">
        <f t="shared" si="1493"/>
        <v>508</v>
      </c>
      <c r="T404" s="7">
        <f t="shared" si="1424"/>
        <v>2.3794326241134751</v>
      </c>
      <c r="U404" s="7">
        <f t="shared" si="1247"/>
        <v>2.3794326241134751</v>
      </c>
      <c r="V404" s="38">
        <v>3.8</v>
      </c>
      <c r="W404" s="4">
        <f t="shared" si="1425"/>
        <v>3.8</v>
      </c>
      <c r="X404" s="4">
        <f t="shared" si="1426"/>
        <v>4.8</v>
      </c>
      <c r="Y404" s="7">
        <f t="shared" si="1427"/>
        <v>78.464542697960056</v>
      </c>
      <c r="AB404" s="38">
        <f t="shared" si="1461"/>
        <v>344.82758620689657</v>
      </c>
      <c r="AC404" s="4">
        <v>50</v>
      </c>
      <c r="AD404" s="4">
        <f t="shared" si="1279"/>
        <v>0.90798285629871378</v>
      </c>
      <c r="AE404" s="38">
        <f>0.5*25.4</f>
        <v>12.7</v>
      </c>
      <c r="AF404" s="38">
        <v>12</v>
      </c>
      <c r="AG404" s="39">
        <f>4*25.4</f>
        <v>101.6</v>
      </c>
      <c r="AH404" s="39">
        <v>4</v>
      </c>
      <c r="AI404" s="39">
        <v>2</v>
      </c>
      <c r="AJ404" s="7"/>
      <c r="AK404" s="4">
        <f t="shared" si="1429"/>
        <v>307.08599999999996</v>
      </c>
      <c r="AL404" s="4">
        <f t="shared" si="1304"/>
        <v>0.59553349875930517</v>
      </c>
      <c r="AM404" s="4">
        <f t="shared" si="1305"/>
        <v>139.58157114605814</v>
      </c>
      <c r="AN404" s="4">
        <f t="shared" si="1306"/>
        <v>0.7555004135649297</v>
      </c>
      <c r="AO404" s="4">
        <v>1.25</v>
      </c>
      <c r="AP404" s="4">
        <f t="shared" si="1221"/>
        <v>2.5</v>
      </c>
      <c r="AQ404" s="38">
        <f t="shared" si="1398"/>
        <v>196.25422095574984</v>
      </c>
      <c r="AR404" s="38">
        <f t="shared" si="1307"/>
        <v>196.25422095574984</v>
      </c>
      <c r="AS404" s="38">
        <f t="shared" si="1308"/>
        <v>2.7206502209498358</v>
      </c>
      <c r="AT404" s="38">
        <f t="shared" si="1230"/>
        <v>196.25422095574979</v>
      </c>
      <c r="AU404" s="38">
        <f t="shared" si="1495"/>
        <v>1.0000000000000002</v>
      </c>
      <c r="AV404" s="38">
        <f t="shared" si="1231"/>
        <v>1.2909320505675961</v>
      </c>
      <c r="AW404" s="4">
        <f t="shared" si="1232"/>
        <v>0</v>
      </c>
      <c r="AX404" s="4">
        <f t="shared" si="1430"/>
        <v>235.8398441030381</v>
      </c>
      <c r="AY404" s="4">
        <f t="shared" si="1399"/>
        <v>1</v>
      </c>
      <c r="AZ404" s="38">
        <f t="shared" si="1242"/>
        <v>253.35086389095216</v>
      </c>
      <c r="BA404" s="4">
        <f t="shared" si="1400"/>
        <v>0.46800000000000008</v>
      </c>
      <c r="BB404" s="4">
        <f t="shared" si="1401"/>
        <v>57.669917078515923</v>
      </c>
      <c r="BC404" s="4">
        <f t="shared" si="1402"/>
        <v>311.02078096946809</v>
      </c>
      <c r="BE404" s="4">
        <f t="shared" si="1222"/>
        <v>1.5</v>
      </c>
      <c r="BF404" s="4">
        <f t="shared" si="1225"/>
        <v>436.80991870017158</v>
      </c>
      <c r="BH404" s="4">
        <f t="shared" si="1248"/>
        <v>242.99446126317099</v>
      </c>
      <c r="BI404" s="4">
        <f t="shared" si="1481"/>
        <v>0</v>
      </c>
      <c r="BJ404" s="4">
        <f t="shared" si="1249"/>
        <v>0</v>
      </c>
      <c r="BK404" s="4">
        <f t="shared" si="1309"/>
        <v>67.309999999999988</v>
      </c>
      <c r="BL404" s="4">
        <f t="shared" si="1310"/>
        <v>67.309999999999988</v>
      </c>
      <c r="BM404" s="4">
        <f t="shared" si="1311"/>
        <v>508</v>
      </c>
      <c r="BN404" s="4">
        <f t="shared" si="1312"/>
        <v>85.216999999999985</v>
      </c>
      <c r="BO404" s="4">
        <f t="shared" si="1313"/>
        <v>1.25</v>
      </c>
      <c r="BP404" s="25">
        <f t="shared" si="1314"/>
        <v>4</v>
      </c>
      <c r="BR404" s="4">
        <f t="shared" si="1403"/>
        <v>67.309999999999988</v>
      </c>
      <c r="BV404" s="9"/>
      <c r="BX404" s="9"/>
      <c r="BY404" s="9"/>
      <c r="BZ404" s="9">
        <f t="shared" si="1404"/>
        <v>67.309999999999988</v>
      </c>
      <c r="CA404" s="9">
        <f t="shared" si="1405"/>
        <v>171.19600000000003</v>
      </c>
      <c r="CB404" s="9">
        <f t="shared" si="1233"/>
        <v>1.5769774531015164</v>
      </c>
      <c r="CC404" s="40">
        <f t="shared" si="1431"/>
        <v>20</v>
      </c>
      <c r="CD404" s="9">
        <f t="shared" si="1406"/>
        <v>0.05</v>
      </c>
      <c r="CE404" s="9">
        <f t="shared" si="1407"/>
        <v>0.8</v>
      </c>
      <c r="CF404" s="9">
        <f t="shared" si="1408"/>
        <v>0.89777220146327208</v>
      </c>
      <c r="CG404" s="9">
        <f t="shared" si="1409"/>
        <v>0.68</v>
      </c>
      <c r="CH404" s="9">
        <f t="shared" si="1234"/>
        <v>1.1166233434875248</v>
      </c>
      <c r="CI404" s="9">
        <f t="shared" si="1235"/>
        <v>2.6541885110766765</v>
      </c>
      <c r="CJ404" s="40">
        <v>1</v>
      </c>
      <c r="CK404" s="9">
        <f t="shared" si="1236"/>
        <v>250.28432938493256</v>
      </c>
      <c r="CM404" s="4">
        <f t="shared" si="1410"/>
        <v>1.4621260776285192</v>
      </c>
      <c r="CN404" s="4">
        <f t="shared" si="1411"/>
        <v>1.1086962907496114</v>
      </c>
      <c r="CO404" s="4">
        <f t="shared" si="1376"/>
        <v>0.78942251868503899</v>
      </c>
      <c r="CP404" s="4">
        <f t="shared" si="1412"/>
        <v>1.3777434130786441</v>
      </c>
      <c r="CQ404" s="4">
        <f t="shared" si="1324"/>
        <v>0.90798285629871378</v>
      </c>
      <c r="CR404" s="4">
        <f t="shared" si="1325"/>
        <v>0.99108586662496612</v>
      </c>
      <c r="CS404" s="4">
        <f t="shared" si="1377"/>
        <v>0.90287337363807318</v>
      </c>
      <c r="CT404" s="4">
        <f t="shared" si="1432"/>
        <v>12</v>
      </c>
      <c r="DA404" s="4">
        <f t="shared" si="1510"/>
        <v>1.4621260776285192</v>
      </c>
      <c r="DB404" s="4">
        <f t="shared" si="1510"/>
        <v>1.1086962907496114</v>
      </c>
      <c r="DC404" s="4">
        <f t="shared" si="1511"/>
        <v>1.3777434130786441</v>
      </c>
      <c r="DD404" s="4">
        <f t="shared" si="1512"/>
        <v>0.90287337363807318</v>
      </c>
      <c r="DE404" s="4">
        <f t="shared" si="1513"/>
        <v>0.90798285629871378</v>
      </c>
      <c r="DF404" s="4">
        <f t="shared" si="1513"/>
        <v>0.99108586662496612</v>
      </c>
      <c r="DI404" s="4">
        <f t="shared" si="1417"/>
        <v>307.08599999999996</v>
      </c>
      <c r="DL404" s="4">
        <f t="shared" si="1286"/>
        <v>1.5016286559411316E-5</v>
      </c>
      <c r="DM404" s="4">
        <f t="shared" si="1287"/>
        <v>5.9931439923967753</v>
      </c>
      <c r="DN404" s="4">
        <f t="shared" si="1288"/>
        <v>0.57736247030938381</v>
      </c>
      <c r="DO404" s="4">
        <f t="shared" si="1289"/>
        <v>4.81098643586121</v>
      </c>
      <c r="DP404" s="4">
        <f t="shared" si="1290"/>
        <v>5.4343442806430158</v>
      </c>
      <c r="DQ404" s="4">
        <f t="shared" si="1291"/>
        <v>5.737033797309703</v>
      </c>
      <c r="DR404" s="38">
        <f t="shared" si="1318"/>
        <v>379.77323449976359</v>
      </c>
      <c r="DS404" s="4">
        <f t="shared" si="1292"/>
        <v>1.0001357559039215</v>
      </c>
      <c r="DT404" s="4">
        <f t="shared" si="1293"/>
        <v>2.1908902300206643</v>
      </c>
      <c r="DU404" s="4">
        <f t="shared" si="1294"/>
        <v>196.25422095574979</v>
      </c>
      <c r="DY404" s="4">
        <f t="shared" si="1295"/>
        <v>0.85</v>
      </c>
      <c r="DZ404" s="4">
        <f t="shared" si="1296"/>
        <v>0.91205673758865247</v>
      </c>
      <c r="EA404" s="4">
        <f t="shared" si="1319"/>
        <v>0.92410215783914285</v>
      </c>
      <c r="EB404" s="4">
        <f t="shared" si="1297"/>
        <v>0.84283359927740265</v>
      </c>
      <c r="ED404" s="4">
        <f t="shared" si="1320"/>
        <v>347.92907236299209</v>
      </c>
      <c r="EE404" s="25">
        <f t="shared" si="1321"/>
        <v>193.76500668623251</v>
      </c>
      <c r="EG404" s="4">
        <f t="shared" ref="EG404:EG449" si="1514">DY404*EB404</f>
        <v>0.71640855938579218</v>
      </c>
      <c r="EH404" s="4">
        <f t="shared" si="1322"/>
        <v>5.9931439923967753</v>
      </c>
      <c r="EK404" s="4">
        <f t="shared" si="1298"/>
        <v>78.464542697960056</v>
      </c>
      <c r="EL404" s="4">
        <f t="shared" si="1299"/>
        <v>2.1908902300206643</v>
      </c>
      <c r="EM404" s="4">
        <f t="shared" si="1300"/>
        <v>0.16498611939699034</v>
      </c>
      <c r="EP404" s="4">
        <f t="shared" si="1433"/>
        <v>0.16498611939699034</v>
      </c>
      <c r="EQ404" s="4">
        <f t="shared" si="1237"/>
        <v>0.57639895995217427</v>
      </c>
      <c r="ER404" s="4">
        <f t="shared" si="1301"/>
        <v>4.8077733707460721</v>
      </c>
      <c r="ES404" s="4">
        <f t="shared" si="1418"/>
        <v>5.4329227558236886</v>
      </c>
      <c r="ET404" s="4">
        <f t="shared" si="1302"/>
        <v>151.84995730203991</v>
      </c>
      <c r="EU404" s="4">
        <f t="shared" si="1303"/>
        <v>76.771500000000003</v>
      </c>
      <c r="EV404" s="4">
        <f t="shared" si="1238"/>
        <v>1.5016286559411316E-5</v>
      </c>
      <c r="EW404" s="4">
        <f t="shared" si="1419"/>
        <v>5.7371174490897836</v>
      </c>
      <c r="EX404" s="4">
        <f t="shared" si="1250"/>
        <v>379.72168503917248</v>
      </c>
      <c r="FG404" s="23">
        <f t="shared" si="1459"/>
        <v>1.6</v>
      </c>
      <c r="FH404" s="23">
        <f t="shared" si="1459"/>
        <v>1.2</v>
      </c>
      <c r="FI404" s="23">
        <f t="shared" si="1382"/>
        <v>1</v>
      </c>
      <c r="FJ404" s="23">
        <f t="shared" si="1460"/>
        <v>1.4</v>
      </c>
      <c r="FK404" s="23">
        <f t="shared" si="1460"/>
        <v>1</v>
      </c>
      <c r="FL404" s="23">
        <f t="shared" si="1460"/>
        <v>1</v>
      </c>
      <c r="FM404" s="23">
        <f t="shared" si="1330"/>
        <v>0</v>
      </c>
      <c r="FN404" s="23"/>
      <c r="FX404" s="4">
        <f t="shared" si="1500"/>
        <v>1</v>
      </c>
      <c r="FY404" s="4">
        <f t="shared" si="1258"/>
        <v>0.43098983553339404</v>
      </c>
      <c r="FZ404" s="4">
        <f t="shared" si="1501"/>
        <v>0.3</v>
      </c>
      <c r="GA404" s="4">
        <f t="shared" si="1502"/>
        <v>381.92242265095808</v>
      </c>
    </row>
    <row r="405" spans="1:183" ht="12" customHeight="1" x14ac:dyDescent="0.3">
      <c r="A405" s="25">
        <v>387</v>
      </c>
      <c r="B405" s="4" t="s">
        <v>605</v>
      </c>
      <c r="C405" s="4">
        <v>2016</v>
      </c>
      <c r="D405" s="4" t="s">
        <v>309</v>
      </c>
      <c r="E405" s="14" t="s">
        <v>675</v>
      </c>
      <c r="F405" s="7" t="s">
        <v>554</v>
      </c>
      <c r="G405" s="38">
        <f t="shared" si="1491"/>
        <v>931.0344827586207</v>
      </c>
      <c r="H405" s="38">
        <f>12.13*25.4</f>
        <v>308.10199999999998</v>
      </c>
      <c r="I405" s="4">
        <f t="shared" si="1420"/>
        <v>308.10199999999998</v>
      </c>
      <c r="J405" s="38">
        <f>3960/145</f>
        <v>27.310344827586206</v>
      </c>
      <c r="K405" s="38">
        <f t="shared" si="1492"/>
        <v>35.813999999999993</v>
      </c>
      <c r="L405" s="7">
        <f t="shared" si="1421"/>
        <v>8.6028368794326244</v>
      </c>
      <c r="M405" s="7">
        <f t="shared" si="1422"/>
        <v>8.6028368794326244</v>
      </c>
      <c r="N405" s="38">
        <f>21.7*25.4</f>
        <v>551.17999999999995</v>
      </c>
      <c r="O405" s="38">
        <f>2.65*25.4</f>
        <v>67.309999999999988</v>
      </c>
      <c r="P405" s="39">
        <f>3.3*25.4</f>
        <v>83.82</v>
      </c>
      <c r="Q405" s="7">
        <f t="shared" si="1423"/>
        <v>344.93200000000002</v>
      </c>
      <c r="R405" s="38">
        <v>2</v>
      </c>
      <c r="S405" s="4">
        <f t="shared" si="1493"/>
        <v>508</v>
      </c>
      <c r="T405" s="7">
        <f t="shared" si="1424"/>
        <v>2.3794326241134751</v>
      </c>
      <c r="U405" s="7">
        <f t="shared" si="1247"/>
        <v>2.3794326241134751</v>
      </c>
      <c r="V405" s="38">
        <v>8.6</v>
      </c>
      <c r="W405" s="4">
        <f t="shared" si="1425"/>
        <v>8.6</v>
      </c>
      <c r="X405" s="4">
        <f t="shared" si="1426"/>
        <v>9.6</v>
      </c>
      <c r="Y405" s="7">
        <f t="shared" si="1427"/>
        <v>110.96562044885792</v>
      </c>
      <c r="AB405" s="38">
        <f t="shared" si="1461"/>
        <v>282.06896551724139</v>
      </c>
      <c r="AC405" s="4">
        <v>40.9</v>
      </c>
      <c r="AD405" s="4">
        <f t="shared" si="1279"/>
        <v>0.80065106847835565</v>
      </c>
      <c r="AE405" s="38">
        <v>0</v>
      </c>
      <c r="AF405" s="38">
        <v>0</v>
      </c>
      <c r="AG405" s="39">
        <f t="shared" ref="AG405:AG411" si="1515">I405</f>
        <v>308.10199999999998</v>
      </c>
      <c r="AH405" s="39"/>
      <c r="AI405" s="39"/>
      <c r="AJ405" s="7"/>
      <c r="AK405" s="4">
        <f t="shared" si="1429"/>
        <v>308.10199999999998</v>
      </c>
      <c r="AL405" s="4">
        <f t="shared" si="1304"/>
        <v>0.59631766968947519</v>
      </c>
      <c r="AM405" s="4">
        <f t="shared" si="1305"/>
        <v>140.27485630559957</v>
      </c>
      <c r="AN405" s="4">
        <f t="shared" si="1306"/>
        <v>0.75531739488870564</v>
      </c>
      <c r="AO405" s="4">
        <v>1.25</v>
      </c>
      <c r="AP405" s="4">
        <f t="shared" si="1221"/>
        <v>2.5</v>
      </c>
      <c r="AQ405" s="38">
        <f t="shared" si="1398"/>
        <v>197.4408531721443</v>
      </c>
      <c r="AR405" s="38">
        <f t="shared" si="1307"/>
        <v>197.4408531721443</v>
      </c>
      <c r="AS405" s="38">
        <f t="shared" si="1308"/>
        <v>2.7206502209498358</v>
      </c>
      <c r="AT405" s="38">
        <f t="shared" si="1230"/>
        <v>197.44085317214459</v>
      </c>
      <c r="AU405" s="38">
        <f t="shared" si="1495"/>
        <v>0.99999999999999856</v>
      </c>
      <c r="AV405" s="38">
        <f t="shared" si="1231"/>
        <v>1.9303799487364652</v>
      </c>
      <c r="AW405" s="4">
        <f t="shared" si="1232"/>
        <v>0</v>
      </c>
      <c r="AX405" s="4">
        <f t="shared" si="1430"/>
        <v>236.62012481140215</v>
      </c>
      <c r="AY405" s="4">
        <f t="shared" si="1399"/>
        <v>1</v>
      </c>
      <c r="AZ405" s="38">
        <f t="shared" si="1242"/>
        <v>381.13586402492842</v>
      </c>
      <c r="BA405" s="4">
        <f t="shared" si="1400"/>
        <v>0.3</v>
      </c>
      <c r="BB405" s="4">
        <f t="shared" si="1401"/>
        <v>37.090204564187296</v>
      </c>
      <c r="BC405" s="4">
        <f t="shared" si="1402"/>
        <v>418.2260685891157</v>
      </c>
      <c r="BE405" s="4">
        <f t="shared" si="1222"/>
        <v>1.2198581560283688</v>
      </c>
      <c r="BF405" s="4">
        <f t="shared" si="1225"/>
        <v>355.77330542506638</v>
      </c>
      <c r="BH405" s="4">
        <f t="shared" si="1248"/>
        <v>365.55590347887568</v>
      </c>
      <c r="BI405" s="4">
        <f t="shared" si="1481"/>
        <v>0</v>
      </c>
      <c r="BJ405" s="4">
        <f t="shared" si="1249"/>
        <v>0</v>
      </c>
      <c r="BK405" s="4">
        <f t="shared" si="1309"/>
        <v>67.309999999999988</v>
      </c>
      <c r="BL405" s="4">
        <f t="shared" si="1310"/>
        <v>67.309999999999988</v>
      </c>
      <c r="BM405" s="4">
        <f t="shared" si="1311"/>
        <v>508</v>
      </c>
      <c r="BN405" s="4">
        <f t="shared" si="1312"/>
        <v>85.216999999999985</v>
      </c>
      <c r="BO405" s="4">
        <f t="shared" si="1313"/>
        <v>1.25</v>
      </c>
      <c r="BP405" s="25">
        <f t="shared" si="1314"/>
        <v>2.9742907801418439</v>
      </c>
      <c r="BR405" s="4">
        <f t="shared" si="1403"/>
        <v>67.309999999999988</v>
      </c>
      <c r="BV405" s="9"/>
      <c r="BX405" s="9"/>
      <c r="BY405" s="9"/>
      <c r="BZ405" s="9">
        <f t="shared" si="1404"/>
        <v>67.309999999999988</v>
      </c>
      <c r="CA405" s="9">
        <f t="shared" si="1405"/>
        <v>172.46600000000001</v>
      </c>
      <c r="CB405" s="9">
        <f t="shared" si="1233"/>
        <v>1.5787267425904519</v>
      </c>
      <c r="CC405" s="40">
        <f t="shared" si="1431"/>
        <v>20</v>
      </c>
      <c r="CD405" s="9">
        <f t="shared" si="1406"/>
        <v>0</v>
      </c>
      <c r="CE405" s="9">
        <f t="shared" si="1407"/>
        <v>0</v>
      </c>
      <c r="CF405" s="9">
        <f t="shared" si="1408"/>
        <v>0.89777220146327208</v>
      </c>
      <c r="CG405" s="9">
        <f t="shared" si="1409"/>
        <v>0.68</v>
      </c>
      <c r="CH405" s="9">
        <f t="shared" si="1234"/>
        <v>1.1166233434875248</v>
      </c>
      <c r="CI405" s="9">
        <f t="shared" si="1235"/>
        <v>1.7628431337645192</v>
      </c>
      <c r="CJ405" s="40">
        <v>1</v>
      </c>
      <c r="CK405" s="9">
        <f t="shared" si="1236"/>
        <v>166.43239572108709</v>
      </c>
      <c r="CM405" s="4">
        <f t="shared" si="1410"/>
        <v>1.1920751277688835</v>
      </c>
      <c r="CN405" s="4">
        <f t="shared" si="1411"/>
        <v>0.67444137681039384</v>
      </c>
      <c r="CO405" s="4">
        <f t="shared" si="1376"/>
        <v>0.79283341728023848</v>
      </c>
      <c r="CP405" s="4">
        <f t="shared" si="1412"/>
        <v>1.6947960419312951</v>
      </c>
      <c r="CQ405" s="4">
        <f t="shared" si="1324"/>
        <v>0.80065106847835565</v>
      </c>
      <c r="CR405" s="4">
        <f t="shared" si="1325"/>
        <v>0.8348184273807373</v>
      </c>
      <c r="CS405" s="4">
        <f t="shared" si="1377"/>
        <v>0.85398182075671547</v>
      </c>
      <c r="CT405" s="4">
        <f t="shared" si="1432"/>
        <v>0</v>
      </c>
      <c r="CU405" s="4">
        <f t="shared" ref="CU405:CV405" si="1516">CM405</f>
        <v>1.1920751277688835</v>
      </c>
      <c r="CV405" s="4">
        <f t="shared" si="1516"/>
        <v>0.67444137681039384</v>
      </c>
      <c r="CW405" s="4">
        <f t="shared" ref="CW405" si="1517">CP405</f>
        <v>1.6947960419312951</v>
      </c>
      <c r="CX405" s="4">
        <f t="shared" ref="CX405" si="1518">CS405</f>
        <v>0.85398182075671547</v>
      </c>
      <c r="CY405" s="4">
        <f t="shared" ref="CY405:CZ405" si="1519">CQ405</f>
        <v>0.80065106847835565</v>
      </c>
      <c r="CZ405" s="4">
        <f t="shared" si="1519"/>
        <v>0.8348184273807373</v>
      </c>
      <c r="DI405" s="4">
        <f t="shared" si="1417"/>
        <v>308.10199999999998</v>
      </c>
      <c r="DL405" s="4">
        <f t="shared" si="1286"/>
        <v>1.5065968235372974E-5</v>
      </c>
      <c r="DM405" s="4">
        <f t="shared" si="1287"/>
        <v>5.5382772956145558</v>
      </c>
      <c r="DN405" s="4">
        <f t="shared" si="1288"/>
        <v>0.36296663612174113</v>
      </c>
      <c r="DO405" s="4">
        <f t="shared" si="1289"/>
        <v>3.6925074416042682</v>
      </c>
      <c r="DP405" s="4">
        <f t="shared" si="1290"/>
        <v>4.707109693061569</v>
      </c>
      <c r="DQ405" s="4">
        <f t="shared" si="1291"/>
        <v>5.3412229365900616</v>
      </c>
      <c r="DR405" s="38">
        <f t="shared" si="1318"/>
        <v>352.29949302798775</v>
      </c>
      <c r="DS405" s="4">
        <f t="shared" si="1292"/>
        <v>1.0001219368960812</v>
      </c>
      <c r="DT405" s="4">
        <f t="shared" si="1293"/>
        <v>3.0983866769659336</v>
      </c>
      <c r="DU405" s="4">
        <f t="shared" si="1294"/>
        <v>197.44085317214459</v>
      </c>
      <c r="DY405" s="4">
        <f t="shared" si="1295"/>
        <v>0.85</v>
      </c>
      <c r="DZ405" s="4">
        <f t="shared" si="1296"/>
        <v>0.91205673758865247</v>
      </c>
      <c r="EA405" s="4">
        <f t="shared" si="1319"/>
        <v>1</v>
      </c>
      <c r="EB405" s="4">
        <f t="shared" si="1297"/>
        <v>0.91205673758865247</v>
      </c>
      <c r="ED405" s="4">
        <f t="shared" si="1320"/>
        <v>337.88061722863438</v>
      </c>
      <c r="EE405" s="25">
        <f t="shared" si="1321"/>
        <v>194.94592872692252</v>
      </c>
      <c r="EG405" s="4">
        <f t="shared" si="1514"/>
        <v>0.77524822695035456</v>
      </c>
      <c r="EH405" s="4">
        <f t="shared" si="1322"/>
        <v>5.5382772956145558</v>
      </c>
      <c r="EK405" s="4">
        <f t="shared" si="1298"/>
        <v>110.96562044885792</v>
      </c>
      <c r="EL405" s="4">
        <f t="shared" si="1299"/>
        <v>3.0983866769659336</v>
      </c>
      <c r="EM405" s="4">
        <f t="shared" si="1300"/>
        <v>0.10372072977347489</v>
      </c>
      <c r="EP405" s="4">
        <f t="shared" si="1433"/>
        <v>0.10372072977347489</v>
      </c>
      <c r="EQ405" s="4">
        <f t="shared" si="1237"/>
        <v>0.362360912453839</v>
      </c>
      <c r="ER405" s="4">
        <f t="shared" si="1301"/>
        <v>3.6900413638037644</v>
      </c>
      <c r="ES405" s="4">
        <f t="shared" si="1418"/>
        <v>4.7061447030455348</v>
      </c>
      <c r="ET405" s="4">
        <f t="shared" si="1302"/>
        <v>120.11087955114206</v>
      </c>
      <c r="EU405" s="4">
        <f t="shared" si="1303"/>
        <v>77.025499999999994</v>
      </c>
      <c r="EV405" s="4">
        <f t="shared" si="1238"/>
        <v>1.5065968235372974E-5</v>
      </c>
      <c r="EW405" s="4">
        <f t="shared" si="1419"/>
        <v>5.3412875301148457</v>
      </c>
      <c r="EX405" s="4">
        <f t="shared" si="1250"/>
        <v>352.25653995888086</v>
      </c>
      <c r="FG405" s="23">
        <f t="shared" si="1459"/>
        <v>1.2</v>
      </c>
      <c r="FH405" s="23">
        <f t="shared" si="1459"/>
        <v>0.8</v>
      </c>
      <c r="FI405" s="23">
        <f t="shared" si="1382"/>
        <v>1</v>
      </c>
      <c r="FJ405" s="23">
        <f t="shared" si="1460"/>
        <v>1.8</v>
      </c>
      <c r="FK405" s="23">
        <f t="shared" si="1460"/>
        <v>1</v>
      </c>
      <c r="FL405" s="23">
        <f t="shared" si="1460"/>
        <v>1</v>
      </c>
      <c r="FM405" s="23">
        <f t="shared" si="1330"/>
        <v>0</v>
      </c>
      <c r="FN405" s="23"/>
      <c r="FX405" s="4">
        <f t="shared" si="1500"/>
        <v>1</v>
      </c>
      <c r="FY405" s="4">
        <f t="shared" si="1258"/>
        <v>0.5</v>
      </c>
      <c r="FZ405" s="4">
        <f t="shared" si="1501"/>
        <v>0</v>
      </c>
      <c r="GA405" s="4">
        <f t="shared" si="1502"/>
        <v>330.29855983034787</v>
      </c>
    </row>
    <row r="406" spans="1:183" ht="12" customHeight="1" x14ac:dyDescent="0.3">
      <c r="A406" s="25">
        <v>388</v>
      </c>
      <c r="B406" s="4" t="s">
        <v>605</v>
      </c>
      <c r="C406" s="4">
        <v>2016</v>
      </c>
      <c r="D406" s="4" t="s">
        <v>309</v>
      </c>
      <c r="E406" s="14" t="s">
        <v>675</v>
      </c>
      <c r="F406" s="7" t="s">
        <v>555</v>
      </c>
      <c r="G406" s="38">
        <f t="shared" si="1491"/>
        <v>931.0344827586207</v>
      </c>
      <c r="H406" s="38">
        <f>12.56*25.4</f>
        <v>319.024</v>
      </c>
      <c r="I406" s="4">
        <f t="shared" si="1420"/>
        <v>319.024</v>
      </c>
      <c r="J406" s="38">
        <f>4050/145</f>
        <v>27.931034482758619</v>
      </c>
      <c r="K406" s="38">
        <f t="shared" si="1492"/>
        <v>35.813999999999993</v>
      </c>
      <c r="L406" s="7">
        <f t="shared" si="1421"/>
        <v>8.9078014184397176</v>
      </c>
      <c r="M406" s="7">
        <f t="shared" si="1422"/>
        <v>8.9078014184397176</v>
      </c>
      <c r="N406" s="38">
        <f>22*25.4</f>
        <v>558.79999999999995</v>
      </c>
      <c r="O406" s="38">
        <f>2.75*25.4</f>
        <v>69.849999999999994</v>
      </c>
      <c r="P406" s="39">
        <f>3.4*25.4</f>
        <v>86.36</v>
      </c>
      <c r="Q406" s="7">
        <f t="shared" si="1423"/>
        <v>347.47199999999998</v>
      </c>
      <c r="R406" s="38">
        <v>2</v>
      </c>
      <c r="S406" s="4">
        <f t="shared" si="1493"/>
        <v>508</v>
      </c>
      <c r="T406" s="7">
        <f t="shared" si="1424"/>
        <v>2.4503546099290783</v>
      </c>
      <c r="U406" s="7">
        <f t="shared" si="1247"/>
        <v>2.4503546099290783</v>
      </c>
      <c r="V406" s="38">
        <v>8.6</v>
      </c>
      <c r="W406" s="4">
        <f t="shared" si="1425"/>
        <v>8.6</v>
      </c>
      <c r="X406" s="4">
        <f t="shared" si="1426"/>
        <v>9.6</v>
      </c>
      <c r="Y406" s="7">
        <f t="shared" si="1427"/>
        <v>110.96562044885792</v>
      </c>
      <c r="AB406" s="38">
        <f t="shared" si="1461"/>
        <v>350.34482758620692</v>
      </c>
      <c r="AC406" s="4">
        <v>50.8</v>
      </c>
      <c r="AD406" s="4">
        <f t="shared" si="1279"/>
        <v>0.91366453911512724</v>
      </c>
      <c r="AE406" s="38">
        <f>0.5*25.4</f>
        <v>12.7</v>
      </c>
      <c r="AF406" s="38">
        <v>12</v>
      </c>
      <c r="AG406" s="39">
        <f>4*25.4</f>
        <v>101.6</v>
      </c>
      <c r="AH406" s="39">
        <v>4</v>
      </c>
      <c r="AI406" s="39">
        <v>2</v>
      </c>
      <c r="AJ406" s="7"/>
      <c r="AK406" s="4">
        <f t="shared" si="1429"/>
        <v>319.024</v>
      </c>
      <c r="AL406" s="4">
        <f t="shared" si="1304"/>
        <v>0.58386411889596601</v>
      </c>
      <c r="AM406" s="4">
        <f t="shared" si="1305"/>
        <v>149.46964702918689</v>
      </c>
      <c r="AN406" s="4">
        <f t="shared" si="1306"/>
        <v>0.75501592356687897</v>
      </c>
      <c r="AO406" s="4">
        <v>1.25</v>
      </c>
      <c r="AP406" s="4">
        <f t="shared" ref="AP406:AP449" si="1520">AP405</f>
        <v>2.5</v>
      </c>
      <c r="AQ406" s="38">
        <f t="shared" si="1398"/>
        <v>205.90691341005282</v>
      </c>
      <c r="AR406" s="38">
        <f t="shared" si="1307"/>
        <v>205.90691341005282</v>
      </c>
      <c r="AS406" s="38">
        <f t="shared" si="1308"/>
        <v>2.761717606769436</v>
      </c>
      <c r="AT406" s="38">
        <f t="shared" si="1230"/>
        <v>205.90691341005299</v>
      </c>
      <c r="AU406" s="38">
        <f t="shared" si="1495"/>
        <v>0.99999999999999922</v>
      </c>
      <c r="AV406" s="38">
        <f t="shared" si="1231"/>
        <v>1.9495045486691553</v>
      </c>
      <c r="AW406" s="4">
        <f t="shared" si="1232"/>
        <v>0</v>
      </c>
      <c r="AX406" s="4">
        <f t="shared" si="1430"/>
        <v>247.77668388929484</v>
      </c>
      <c r="AY406" s="4">
        <f t="shared" si="1399"/>
        <v>1</v>
      </c>
      <c r="AZ406" s="38">
        <f t="shared" si="1242"/>
        <v>401.4164642953242</v>
      </c>
      <c r="BA406" s="4">
        <f t="shared" si="1400"/>
        <v>0.3</v>
      </c>
      <c r="BB406" s="4">
        <f t="shared" si="1401"/>
        <v>38.838995199646973</v>
      </c>
      <c r="BC406" s="4">
        <f t="shared" si="1402"/>
        <v>440.25545949497121</v>
      </c>
      <c r="BE406" s="4">
        <f t="shared" ref="BE406:BE449" si="1521">MIN(1.5, 0.75+0.25*MIN(3,MAX(1,O406/K406))+0.4*MIN(1,(40*2*PI()*AE406^2/4/AG406/R406)/K406))</f>
        <v>1.5</v>
      </c>
      <c r="BF406" s="4">
        <f t="shared" si="1225"/>
        <v>449.673253628802</v>
      </c>
      <c r="BH406" s="4">
        <f t="shared" si="1248"/>
        <v>385.00747929398597</v>
      </c>
      <c r="BI406" s="4">
        <f t="shared" si="1481"/>
        <v>0</v>
      </c>
      <c r="BJ406" s="4">
        <f t="shared" si="1249"/>
        <v>0</v>
      </c>
      <c r="BK406" s="4">
        <f t="shared" si="1309"/>
        <v>69.849999999999994</v>
      </c>
      <c r="BL406" s="4">
        <f t="shared" si="1310"/>
        <v>69.849999999999994</v>
      </c>
      <c r="BM406" s="4">
        <f t="shared" si="1311"/>
        <v>508</v>
      </c>
      <c r="BN406" s="4">
        <f t="shared" si="1312"/>
        <v>87.756999999999991</v>
      </c>
      <c r="BO406" s="4">
        <f t="shared" si="1313"/>
        <v>1.25</v>
      </c>
      <c r="BP406" s="25">
        <f t="shared" si="1314"/>
        <v>4</v>
      </c>
      <c r="BR406" s="4">
        <f t="shared" si="1403"/>
        <v>69.849999999999994</v>
      </c>
      <c r="BV406" s="9"/>
      <c r="BX406" s="9"/>
      <c r="BY406" s="9"/>
      <c r="BZ406" s="9">
        <f t="shared" si="1404"/>
        <v>69.849999999999994</v>
      </c>
      <c r="CA406" s="9">
        <f t="shared" si="1405"/>
        <v>173.73599999999999</v>
      </c>
      <c r="CB406" s="9">
        <f t="shared" si="1233"/>
        <v>1.6010883658280048</v>
      </c>
      <c r="CC406" s="40">
        <f t="shared" si="1431"/>
        <v>20</v>
      </c>
      <c r="CD406" s="9">
        <f t="shared" si="1406"/>
        <v>0.05</v>
      </c>
      <c r="CE406" s="9">
        <f t="shared" si="1407"/>
        <v>0.8</v>
      </c>
      <c r="CF406" s="9">
        <f t="shared" si="1408"/>
        <v>0.89777220146327208</v>
      </c>
      <c r="CG406" s="9">
        <f t="shared" si="1409"/>
        <v>0.68</v>
      </c>
      <c r="CH406" s="9">
        <f t="shared" si="1234"/>
        <v>1.129240956903802</v>
      </c>
      <c r="CI406" s="9">
        <f t="shared" si="1235"/>
        <v>2.7114073238382024</v>
      </c>
      <c r="CJ406" s="40">
        <v>1</v>
      </c>
      <c r="CK406" s="9">
        <f t="shared" si="1236"/>
        <v>259.29515145130728</v>
      </c>
      <c r="CM406" s="4">
        <f t="shared" si="1410"/>
        <v>1.4139539769720177</v>
      </c>
      <c r="CN406" s="4">
        <f t="shared" si="1411"/>
        <v>0.79577622498559542</v>
      </c>
      <c r="CO406" s="4">
        <f t="shared" si="1376"/>
        <v>0.77910977528454672</v>
      </c>
      <c r="CP406" s="4">
        <f t="shared" si="1412"/>
        <v>1.3511429952518712</v>
      </c>
      <c r="CQ406" s="4">
        <f t="shared" si="1324"/>
        <v>0.91366453911512724</v>
      </c>
      <c r="CR406" s="4">
        <f t="shared" si="1325"/>
        <v>0.95553229503146886</v>
      </c>
      <c r="CS406" s="4">
        <f t="shared" si="1377"/>
        <v>0.87804597345881741</v>
      </c>
      <c r="CT406" s="4">
        <f t="shared" si="1432"/>
        <v>12</v>
      </c>
      <c r="DA406" s="4">
        <f t="shared" ref="DA406:DB406" si="1522">CM406</f>
        <v>1.4139539769720177</v>
      </c>
      <c r="DB406" s="4">
        <f t="shared" si="1522"/>
        <v>0.79577622498559542</v>
      </c>
      <c r="DC406" s="4">
        <f t="shared" ref="DC406" si="1523">CP406</f>
        <v>1.3511429952518712</v>
      </c>
      <c r="DD406" s="4">
        <f t="shared" ref="DD406" si="1524">CS406</f>
        <v>0.87804597345881741</v>
      </c>
      <c r="DE406" s="4">
        <f t="shared" ref="DE406:DF406" si="1525">CQ406</f>
        <v>0.91366453911512724</v>
      </c>
      <c r="DF406" s="4">
        <f t="shared" si="1525"/>
        <v>0.95553229503146886</v>
      </c>
      <c r="DI406" s="4">
        <f t="shared" si="1417"/>
        <v>319.024</v>
      </c>
      <c r="DL406" s="4">
        <f t="shared" si="1286"/>
        <v>1.5671059345984113E-5</v>
      </c>
      <c r="DM406" s="4">
        <f t="shared" si="1287"/>
        <v>6.1083642273193455</v>
      </c>
      <c r="DN406" s="4">
        <f t="shared" si="1288"/>
        <v>0.37011848748195403</v>
      </c>
      <c r="DO406" s="4">
        <f t="shared" si="1289"/>
        <v>4.10450922978207</v>
      </c>
      <c r="DP406" s="4">
        <f t="shared" si="1290"/>
        <v>5.2041641258059013</v>
      </c>
      <c r="DQ406" s="4">
        <f t="shared" si="1291"/>
        <v>5.8486827334247211</v>
      </c>
      <c r="DR406" s="38">
        <f t="shared" si="1318"/>
        <v>383.45017518739593</v>
      </c>
      <c r="DS406" s="4">
        <f t="shared" si="1292"/>
        <v>1.0001269709050775</v>
      </c>
      <c r="DT406" s="4">
        <f t="shared" si="1293"/>
        <v>3.0983866769659336</v>
      </c>
      <c r="DU406" s="4">
        <f t="shared" si="1294"/>
        <v>205.90691341005299</v>
      </c>
      <c r="DY406" s="4">
        <f t="shared" si="1295"/>
        <v>0.85</v>
      </c>
      <c r="DZ406" s="4">
        <f t="shared" si="1296"/>
        <v>0.90496453900709217</v>
      </c>
      <c r="EA406" s="4">
        <f t="shared" si="1319"/>
        <v>0.92410215783914285</v>
      </c>
      <c r="EB406" s="4">
        <f t="shared" si="1297"/>
        <v>0.83627968326435909</v>
      </c>
      <c r="ED406" s="4">
        <f t="shared" si="1320"/>
        <v>366.64886096253701</v>
      </c>
      <c r="EE406" s="25">
        <f t="shared" si="1321"/>
        <v>203.41257437715191</v>
      </c>
      <c r="EG406" s="4">
        <f t="shared" si="1514"/>
        <v>0.71083773077470525</v>
      </c>
      <c r="EH406" s="4">
        <f t="shared" si="1322"/>
        <v>6.1083642273193455</v>
      </c>
      <c r="EK406" s="4">
        <f t="shared" si="1298"/>
        <v>110.96562044885792</v>
      </c>
      <c r="EL406" s="4">
        <f t="shared" si="1299"/>
        <v>3.0983866769659336</v>
      </c>
      <c r="EM406" s="4">
        <f t="shared" si="1300"/>
        <v>0.10695954692424253</v>
      </c>
      <c r="EP406" s="4">
        <f t="shared" si="1433"/>
        <v>0.10695954692424253</v>
      </c>
      <c r="EQ406" s="4">
        <f t="shared" si="1237"/>
        <v>0.36950082870705558</v>
      </c>
      <c r="ER406" s="4">
        <f t="shared" si="1301"/>
        <v>4.1017679924917996</v>
      </c>
      <c r="ES406" s="4">
        <f t="shared" si="1418"/>
        <v>5.2030855233904019</v>
      </c>
      <c r="ET406" s="4">
        <f t="shared" si="1302"/>
        <v>128.30237955114208</v>
      </c>
      <c r="EU406" s="4">
        <f t="shared" si="1303"/>
        <v>79.756</v>
      </c>
      <c r="EV406" s="4">
        <f t="shared" si="1238"/>
        <v>1.5671059345984113E-5</v>
      </c>
      <c r="EW406" s="4">
        <f t="shared" si="1419"/>
        <v>5.8487668211336352</v>
      </c>
      <c r="EX406" s="4">
        <f t="shared" si="1250"/>
        <v>383.40149435264993</v>
      </c>
      <c r="FG406" s="23">
        <f t="shared" si="1459"/>
        <v>1.6</v>
      </c>
      <c r="FH406" s="23">
        <f t="shared" si="1459"/>
        <v>0.8</v>
      </c>
      <c r="FI406" s="23">
        <f t="shared" si="1382"/>
        <v>1</v>
      </c>
      <c r="FJ406" s="23">
        <f t="shared" si="1460"/>
        <v>1.4</v>
      </c>
      <c r="FK406" s="23">
        <f t="shared" si="1460"/>
        <v>1</v>
      </c>
      <c r="FL406" s="23">
        <f t="shared" si="1460"/>
        <v>1</v>
      </c>
      <c r="FM406" s="23">
        <f t="shared" si="1330"/>
        <v>0</v>
      </c>
      <c r="FN406" s="23"/>
      <c r="FX406" s="4">
        <f t="shared" si="1500"/>
        <v>1</v>
      </c>
      <c r="FY406" s="4">
        <f t="shared" si="1258"/>
        <v>0.43098983553339404</v>
      </c>
      <c r="FZ406" s="4">
        <f t="shared" si="1501"/>
        <v>0.3</v>
      </c>
      <c r="GA406" s="4">
        <f t="shared" si="1502"/>
        <v>399.00510699470681</v>
      </c>
    </row>
    <row r="407" spans="1:183" ht="12" customHeight="1" x14ac:dyDescent="0.3">
      <c r="A407" s="25">
        <v>389</v>
      </c>
      <c r="B407" s="4" t="s">
        <v>605</v>
      </c>
      <c r="C407" s="4">
        <v>2016</v>
      </c>
      <c r="D407" s="4" t="s">
        <v>309</v>
      </c>
      <c r="E407" s="14" t="s">
        <v>556</v>
      </c>
      <c r="F407" s="7" t="s">
        <v>557</v>
      </c>
      <c r="G407" s="38">
        <f>129/0.145</f>
        <v>889.65517241379314</v>
      </c>
      <c r="H407" s="38">
        <f>9.88*25.4</f>
        <v>250.952</v>
      </c>
      <c r="I407" s="4">
        <f t="shared" si="1420"/>
        <v>250.952</v>
      </c>
      <c r="J407" s="38">
        <f>7410/145</f>
        <v>51.103448275862071</v>
      </c>
      <c r="K407" s="38">
        <f t="shared" ref="K407:K425" si="1526">1*25.4</f>
        <v>25.4</v>
      </c>
      <c r="L407" s="7">
        <f t="shared" si="1421"/>
        <v>9.8800000000000008</v>
      </c>
      <c r="M407" s="7">
        <f t="shared" si="1422"/>
        <v>9.8800000000000008</v>
      </c>
      <c r="N407" s="38">
        <f>17.1*25.4</f>
        <v>434.34000000000003</v>
      </c>
      <c r="O407" s="38">
        <f>2.55*25.4</f>
        <v>64.77</v>
      </c>
      <c r="P407" s="39">
        <f>3.4*25.4</f>
        <v>86.36</v>
      </c>
      <c r="Q407" s="7">
        <f t="shared" si="1423"/>
        <v>254.00000000000003</v>
      </c>
      <c r="R407" s="38">
        <v>2</v>
      </c>
      <c r="S407" s="4">
        <f t="shared" si="1493"/>
        <v>508</v>
      </c>
      <c r="T407" s="7">
        <f t="shared" si="1424"/>
        <v>3.05</v>
      </c>
      <c r="U407" s="7">
        <f t="shared" si="1247"/>
        <v>3.05</v>
      </c>
      <c r="V407" s="38">
        <v>4.0999999999999996</v>
      </c>
      <c r="W407" s="4">
        <f t="shared" si="1425"/>
        <v>4.0999999999999996</v>
      </c>
      <c r="X407" s="4">
        <f t="shared" si="1426"/>
        <v>5.0999999999999996</v>
      </c>
      <c r="Y407" s="7">
        <f t="shared" si="1427"/>
        <v>57.361276136431961</v>
      </c>
      <c r="AB407" s="38">
        <f t="shared" si="1461"/>
        <v>437.93103448275866</v>
      </c>
      <c r="AC407" s="4">
        <v>63.5</v>
      </c>
      <c r="AD407" s="4">
        <f t="shared" si="1279"/>
        <v>0.63658061415316614</v>
      </c>
      <c r="AE407" s="38">
        <v>0</v>
      </c>
      <c r="AF407" s="38">
        <v>0</v>
      </c>
      <c r="AG407" s="39">
        <f t="shared" si="1515"/>
        <v>250.952</v>
      </c>
      <c r="AH407" s="39"/>
      <c r="AI407" s="39"/>
      <c r="AJ407" s="7"/>
      <c r="AK407" s="4">
        <f t="shared" si="1429"/>
        <v>250.952</v>
      </c>
      <c r="AL407" s="4">
        <f t="shared" si="1304"/>
        <v>0.57692307692307698</v>
      </c>
      <c r="AM407" s="4">
        <f t="shared" si="1305"/>
        <v>280.42955602781353</v>
      </c>
      <c r="AN407" s="4">
        <f t="shared" si="1306"/>
        <v>0.76174089068825901</v>
      </c>
      <c r="AO407" s="4">
        <v>1.25</v>
      </c>
      <c r="AP407" s="4">
        <f t="shared" si="1520"/>
        <v>2.5</v>
      </c>
      <c r="AQ407" s="38">
        <f t="shared" si="1398"/>
        <v>385.12258374508366</v>
      </c>
      <c r="AR407" s="38">
        <f t="shared" si="1307"/>
        <v>385.12258374508366</v>
      </c>
      <c r="AS407" s="38">
        <f t="shared" si="1308"/>
        <v>4.0980014231553801</v>
      </c>
      <c r="AT407" s="38">
        <f t="shared" si="1230"/>
        <v>385.12258374508349</v>
      </c>
      <c r="AU407" s="38">
        <f t="shared" si="1495"/>
        <v>1.0000000000000004</v>
      </c>
      <c r="AV407" s="38">
        <f t="shared" si="1231"/>
        <v>1.6389774658633678</v>
      </c>
      <c r="AW407" s="4">
        <f t="shared" si="1232"/>
        <v>0</v>
      </c>
      <c r="AX407" s="4">
        <f t="shared" si="1430"/>
        <v>371.73071454741404</v>
      </c>
      <c r="AY407" s="4">
        <f t="shared" si="1399"/>
        <v>1</v>
      </c>
      <c r="AZ407" s="38">
        <f t="shared" si="1242"/>
        <v>631.20723635326954</v>
      </c>
      <c r="BA407" s="4">
        <f t="shared" si="1400"/>
        <v>0.42600000000000005</v>
      </c>
      <c r="BB407" s="4">
        <f t="shared" si="1401"/>
        <v>82.741681097536173</v>
      </c>
      <c r="BC407" s="4">
        <f t="shared" si="1402"/>
        <v>713.94891745080577</v>
      </c>
      <c r="BE407" s="4">
        <f t="shared" si="1521"/>
        <v>1.3875</v>
      </c>
      <c r="BF407" s="4">
        <f t="shared" ref="BF407:BF449" si="1527">(3*M407+30)*BE407*J407^0.5</f>
        <v>591.55581719530358</v>
      </c>
      <c r="BH407" s="4">
        <f t="shared" si="1248"/>
        <v>605.40493127781826</v>
      </c>
      <c r="BI407" s="4">
        <f t="shared" si="1481"/>
        <v>0</v>
      </c>
      <c r="BJ407" s="4">
        <f t="shared" si="1249"/>
        <v>0</v>
      </c>
      <c r="BK407" s="4">
        <f t="shared" si="1309"/>
        <v>64.77</v>
      </c>
      <c r="BL407" s="4">
        <f t="shared" si="1310"/>
        <v>64.77</v>
      </c>
      <c r="BM407" s="4">
        <f t="shared" si="1311"/>
        <v>508</v>
      </c>
      <c r="BN407" s="4">
        <f t="shared" si="1312"/>
        <v>77.47</v>
      </c>
      <c r="BO407" s="4">
        <f t="shared" si="1313"/>
        <v>1.25</v>
      </c>
      <c r="BP407" s="25">
        <f t="shared" si="1314"/>
        <v>3.8125000000000004</v>
      </c>
      <c r="BR407" s="4">
        <f t="shared" si="1403"/>
        <v>64.77</v>
      </c>
      <c r="BV407" s="9"/>
      <c r="BX407" s="9"/>
      <c r="BY407" s="9"/>
      <c r="BZ407" s="9">
        <f t="shared" si="1404"/>
        <v>64.77</v>
      </c>
      <c r="CA407" s="9">
        <f t="shared" si="1405"/>
        <v>127.00000000000001</v>
      </c>
      <c r="CB407" s="9">
        <f t="shared" si="1233"/>
        <v>1.7665851027593089</v>
      </c>
      <c r="CC407" s="40">
        <f t="shared" si="1431"/>
        <v>20</v>
      </c>
      <c r="CD407" s="9">
        <f t="shared" si="1406"/>
        <v>0</v>
      </c>
      <c r="CE407" s="9">
        <f t="shared" si="1407"/>
        <v>0</v>
      </c>
      <c r="CF407" s="9">
        <f t="shared" si="1408"/>
        <v>0.99524931562137331</v>
      </c>
      <c r="CG407" s="9">
        <f t="shared" si="1409"/>
        <v>0.68</v>
      </c>
      <c r="CH407" s="9">
        <f t="shared" si="1234"/>
        <v>1.693300152715469</v>
      </c>
      <c r="CI407" s="9">
        <f t="shared" si="1235"/>
        <v>2.99135882428721</v>
      </c>
      <c r="CJ407" s="40">
        <v>1</v>
      </c>
      <c r="CK407" s="9">
        <f t="shared" si="1236"/>
        <v>297.70003019306313</v>
      </c>
      <c r="CM407" s="4">
        <f t="shared" si="1410"/>
        <v>1.1780867637368739</v>
      </c>
      <c r="CN407" s="4">
        <f t="shared" si="1411"/>
        <v>0.61339267247076401</v>
      </c>
      <c r="CO407" s="4">
        <f t="shared" si="1376"/>
        <v>0.74030382552754892</v>
      </c>
      <c r="CP407" s="4">
        <f t="shared" si="1412"/>
        <v>1.4710480015697462</v>
      </c>
      <c r="CQ407" s="4">
        <f t="shared" si="1324"/>
        <v>0.63658061415316614</v>
      </c>
      <c r="CR407" s="4">
        <f t="shared" si="1325"/>
        <v>0.67335839175112699</v>
      </c>
      <c r="CS407" s="4">
        <f t="shared" si="1377"/>
        <v>0.8312726172672158</v>
      </c>
      <c r="CT407" s="4">
        <f t="shared" si="1432"/>
        <v>0</v>
      </c>
      <c r="CU407" s="4">
        <f t="shared" ref="CU407:CV408" si="1528">CM407</f>
        <v>1.1780867637368739</v>
      </c>
      <c r="CV407" s="4">
        <f t="shared" si="1528"/>
        <v>0.61339267247076401</v>
      </c>
      <c r="CW407" s="4">
        <f t="shared" ref="CW407:CW408" si="1529">CP407</f>
        <v>1.4710480015697462</v>
      </c>
      <c r="CX407" s="4">
        <f t="shared" ref="CX407:CX408" si="1530">CS407</f>
        <v>0.8312726172672158</v>
      </c>
      <c r="CY407" s="4">
        <f t="shared" ref="CY407:CZ408" si="1531">CQ407</f>
        <v>0.63658061415316614</v>
      </c>
      <c r="CZ407" s="4">
        <f t="shared" si="1531"/>
        <v>0.67335839175112699</v>
      </c>
      <c r="DI407" s="4">
        <f t="shared" si="1417"/>
        <v>250.952</v>
      </c>
      <c r="DL407" s="4">
        <f t="shared" si="1286"/>
        <v>2.0297432140333448E-5</v>
      </c>
      <c r="DM407" s="4">
        <f t="shared" si="1287"/>
        <v>9.0857094645609653</v>
      </c>
      <c r="DN407" s="4">
        <f t="shared" si="1288"/>
        <v>0.41025190412805262</v>
      </c>
      <c r="DO407" s="4">
        <f t="shared" si="1289"/>
        <v>6.3617864584628112</v>
      </c>
      <c r="DP407" s="4">
        <f t="shared" si="1290"/>
        <v>7.843269381391015</v>
      </c>
      <c r="DQ407" s="4">
        <f t="shared" si="1291"/>
        <v>8.4745268395009088</v>
      </c>
      <c r="DR407" s="38">
        <f t="shared" si="1318"/>
        <v>687.94277542575173</v>
      </c>
      <c r="DS407" s="4">
        <f t="shared" si="1292"/>
        <v>1.0001048765455911</v>
      </c>
      <c r="DT407" s="4">
        <f t="shared" si="1293"/>
        <v>2.2583179581272428</v>
      </c>
      <c r="DU407" s="4">
        <f t="shared" si="1294"/>
        <v>385.12258374508349</v>
      </c>
      <c r="DY407" s="4">
        <f t="shared" si="1295"/>
        <v>0.85</v>
      </c>
      <c r="DZ407" s="4">
        <f t="shared" si="1296"/>
        <v>0.84499999999999997</v>
      </c>
      <c r="EA407" s="4">
        <f t="shared" si="1319"/>
        <v>1</v>
      </c>
      <c r="EB407" s="4">
        <f t="shared" si="1297"/>
        <v>0.84499999999999997</v>
      </c>
      <c r="ED407" s="4">
        <f t="shared" si="1320"/>
        <v>650.36842170167506</v>
      </c>
      <c r="EE407" s="25">
        <f t="shared" si="1321"/>
        <v>381.06799317208811</v>
      </c>
      <c r="EG407" s="4">
        <f t="shared" si="1514"/>
        <v>0.71824999999999994</v>
      </c>
      <c r="EH407" s="4">
        <f t="shared" si="1322"/>
        <v>9.0857094645609653</v>
      </c>
      <c r="EK407" s="4">
        <f t="shared" si="1298"/>
        <v>57.361276136431961</v>
      </c>
      <c r="EL407" s="4">
        <f t="shared" si="1299"/>
        <v>2.2583179581272428</v>
      </c>
      <c r="EM407" s="4">
        <f t="shared" si="1300"/>
        <v>0.1603655114597024</v>
      </c>
      <c r="EP407" s="4">
        <f t="shared" si="1433"/>
        <v>0.1603655114597024</v>
      </c>
      <c r="EQ407" s="4">
        <f t="shared" si="1237"/>
        <v>0.40956727016062394</v>
      </c>
      <c r="ER407" s="4">
        <f t="shared" si="1301"/>
        <v>6.3575376761367446</v>
      </c>
      <c r="ES407" s="4">
        <f t="shared" si="1418"/>
        <v>7.8415490707318991</v>
      </c>
      <c r="ET407" s="4">
        <f t="shared" si="1302"/>
        <v>130.85272386356803</v>
      </c>
      <c r="EU407" s="4">
        <f t="shared" si="1303"/>
        <v>62.738</v>
      </c>
      <c r="EV407" s="4">
        <f t="shared" si="1238"/>
        <v>2.0297432140333448E-5</v>
      </c>
      <c r="EW407" s="4">
        <f t="shared" si="1419"/>
        <v>8.4746977791693663</v>
      </c>
      <c r="EX407" s="4">
        <f t="shared" si="1250"/>
        <v>687.87063392985158</v>
      </c>
      <c r="FG407" s="23">
        <f t="shared" si="1459"/>
        <v>1.2</v>
      </c>
      <c r="FH407" s="23">
        <f t="shared" si="1459"/>
        <v>0.8</v>
      </c>
      <c r="FI407" s="23">
        <f t="shared" si="1382"/>
        <v>1</v>
      </c>
      <c r="FJ407" s="23">
        <f t="shared" si="1460"/>
        <v>1.6</v>
      </c>
      <c r="FK407" s="23">
        <f t="shared" si="1460"/>
        <v>0.8</v>
      </c>
      <c r="FL407" s="23">
        <f t="shared" si="1460"/>
        <v>0.8</v>
      </c>
      <c r="FM407" s="23">
        <f t="shared" si="1330"/>
        <v>1</v>
      </c>
      <c r="FN407" s="23"/>
      <c r="FX407" s="4">
        <f t="shared" si="1500"/>
        <v>1</v>
      </c>
      <c r="FY407" s="4">
        <f t="shared" si="1258"/>
        <v>0.5</v>
      </c>
      <c r="FZ407" s="4">
        <f t="shared" si="1501"/>
        <v>0</v>
      </c>
      <c r="GA407" s="4">
        <f t="shared" si="1502"/>
        <v>526.81999308775983</v>
      </c>
    </row>
    <row r="408" spans="1:183" ht="12" customHeight="1" x14ac:dyDescent="0.3">
      <c r="A408" s="25">
        <v>390</v>
      </c>
      <c r="B408" s="4" t="s">
        <v>605</v>
      </c>
      <c r="C408" s="4">
        <v>2016</v>
      </c>
      <c r="D408" s="4" t="s">
        <v>309</v>
      </c>
      <c r="E408" s="14" t="s">
        <v>556</v>
      </c>
      <c r="F408" s="7" t="s">
        <v>558</v>
      </c>
      <c r="G408" s="38">
        <f t="shared" ref="G408:G415" si="1532">129/0.145</f>
        <v>889.65517241379314</v>
      </c>
      <c r="H408" s="38">
        <f>9.81*25.4</f>
        <v>249.17400000000001</v>
      </c>
      <c r="I408" s="4">
        <f t="shared" si="1420"/>
        <v>249.17400000000001</v>
      </c>
      <c r="J408" s="38">
        <f>7410/145</f>
        <v>51.103448275862071</v>
      </c>
      <c r="K408" s="38">
        <f t="shared" si="1526"/>
        <v>25.4</v>
      </c>
      <c r="L408" s="7">
        <f t="shared" si="1421"/>
        <v>9.81</v>
      </c>
      <c r="M408" s="7">
        <f t="shared" si="1422"/>
        <v>9.81</v>
      </c>
      <c r="N408" s="38">
        <f>17.3*25.4</f>
        <v>439.42</v>
      </c>
      <c r="O408" s="38">
        <f>2.6*25.4</f>
        <v>66.039999999999992</v>
      </c>
      <c r="P408" s="39">
        <f>3.35*25.4</f>
        <v>85.09</v>
      </c>
      <c r="Q408" s="7">
        <f t="shared" si="1423"/>
        <v>256.54000000000002</v>
      </c>
      <c r="R408" s="38">
        <v>2</v>
      </c>
      <c r="S408" s="4">
        <f t="shared" si="1493"/>
        <v>508</v>
      </c>
      <c r="T408" s="7">
        <f t="shared" si="1424"/>
        <v>3.0999999999999996</v>
      </c>
      <c r="U408" s="7">
        <f t="shared" si="1247"/>
        <v>3.0999999999999996</v>
      </c>
      <c r="V408" s="38">
        <v>9.1</v>
      </c>
      <c r="W408" s="4">
        <f t="shared" si="1425"/>
        <v>9.1</v>
      </c>
      <c r="X408" s="4">
        <f t="shared" si="1426"/>
        <v>10.1</v>
      </c>
      <c r="Y408" s="7">
        <f t="shared" si="1427"/>
        <v>80.72246279691916</v>
      </c>
      <c r="AB408" s="38">
        <f t="shared" si="1461"/>
        <v>452.41379310344826</v>
      </c>
      <c r="AC408" s="4">
        <v>65.599999999999994</v>
      </c>
      <c r="AD408" s="4">
        <f t="shared" si="1279"/>
        <v>0.67872485494033818</v>
      </c>
      <c r="AE408" s="38">
        <v>0</v>
      </c>
      <c r="AF408" s="38">
        <v>0</v>
      </c>
      <c r="AG408" s="39">
        <f t="shared" si="1515"/>
        <v>249.17400000000001</v>
      </c>
      <c r="AH408" s="39"/>
      <c r="AI408" s="39"/>
      <c r="AJ408" s="7"/>
      <c r="AK408" s="4">
        <f t="shared" si="1429"/>
        <v>249.17400000000001</v>
      </c>
      <c r="AL408" s="4">
        <f t="shared" si="1304"/>
        <v>0.58783554196398236</v>
      </c>
      <c r="AM408" s="4">
        <f t="shared" si="1305"/>
        <v>277.45456748084541</v>
      </c>
      <c r="AN408" s="4">
        <f t="shared" si="1306"/>
        <v>0.76320081549439345</v>
      </c>
      <c r="AO408" s="4">
        <v>1.25</v>
      </c>
      <c r="AP408" s="4">
        <f t="shared" si="1520"/>
        <v>2.5</v>
      </c>
      <c r="AQ408" s="38">
        <f t="shared" si="1398"/>
        <v>388.98832530980724</v>
      </c>
      <c r="AR408" s="38">
        <f t="shared" si="1307"/>
        <v>388.98832530980724</v>
      </c>
      <c r="AS408" s="38">
        <f t="shared" si="1308"/>
        <v>4.0980014231553801</v>
      </c>
      <c r="AT408" s="38">
        <f t="shared" ref="AT408:AT449" si="1533">AP408* (J408^0.5/AK408^0.5)/(PI()/4*K408^2)/R408/0.72 *(0.7+(MIN(O408,S408)+0.5*K408)/5/H408) *(3*N408*H408)</f>
        <v>388.98832530980735</v>
      </c>
      <c r="AU408" s="38">
        <f t="shared" si="1495"/>
        <v>0.99999999999999967</v>
      </c>
      <c r="AV408" s="38">
        <f t="shared" ref="AV408:AV449" si="1534">AZ408/AT408</f>
        <v>2.4571180617648873</v>
      </c>
      <c r="AW408" s="4">
        <f t="shared" ref="AW408:AW449" si="1535">IF(AV408&lt;1,1,0)</f>
        <v>0</v>
      </c>
      <c r="AX408" s="4">
        <f t="shared" si="1430"/>
        <v>369.09699490993239</v>
      </c>
      <c r="AY408" s="4">
        <f t="shared" si="1399"/>
        <v>1</v>
      </c>
      <c r="AZ408" s="38">
        <f t="shared" si="1242"/>
        <v>955.7902399344033</v>
      </c>
      <c r="BA408" s="4">
        <f t="shared" si="1400"/>
        <v>0.3</v>
      </c>
      <c r="BB408" s="4">
        <f t="shared" si="1401"/>
        <v>57.855953952131891</v>
      </c>
      <c r="BC408" s="4">
        <f t="shared" si="1402"/>
        <v>1013.6461938865352</v>
      </c>
      <c r="BE408" s="4">
        <f t="shared" si="1521"/>
        <v>1.4</v>
      </c>
      <c r="BF408" s="4">
        <f t="shared" si="1527"/>
        <v>594.78344061103735</v>
      </c>
      <c r="BH408" s="4">
        <f t="shared" si="1248"/>
        <v>916.71972562692179</v>
      </c>
      <c r="BI408" s="4">
        <f t="shared" si="1481"/>
        <v>0</v>
      </c>
      <c r="BJ408" s="4">
        <f t="shared" si="1249"/>
        <v>0</v>
      </c>
      <c r="BK408" s="4">
        <f t="shared" si="1309"/>
        <v>66.039999999999992</v>
      </c>
      <c r="BL408" s="4">
        <f t="shared" si="1310"/>
        <v>66.039999999999992</v>
      </c>
      <c r="BM408" s="4">
        <f t="shared" si="1311"/>
        <v>508</v>
      </c>
      <c r="BN408" s="4">
        <f t="shared" si="1312"/>
        <v>78.739999999999995</v>
      </c>
      <c r="BO408" s="4">
        <f t="shared" si="1313"/>
        <v>1.25</v>
      </c>
      <c r="BP408" s="25">
        <f t="shared" si="1314"/>
        <v>3.875</v>
      </c>
      <c r="BR408" s="4">
        <f t="shared" si="1403"/>
        <v>66.039999999999992</v>
      </c>
      <c r="BV408" s="9"/>
      <c r="BX408" s="9"/>
      <c r="BY408" s="9"/>
      <c r="BZ408" s="9">
        <f t="shared" si="1404"/>
        <v>66.039999999999992</v>
      </c>
      <c r="CA408" s="9">
        <f t="shared" si="1405"/>
        <v>128.27000000000001</v>
      </c>
      <c r="CB408" s="9">
        <f t="shared" ref="CB408:CB449" si="1536">(BZ408/K408)^0.5*(CA408/BZ408)^0.15</f>
        <v>1.7812889692205971</v>
      </c>
      <c r="CC408" s="40">
        <f t="shared" si="1431"/>
        <v>20</v>
      </c>
      <c r="CD408" s="9">
        <f t="shared" si="1406"/>
        <v>0</v>
      </c>
      <c r="CE408" s="9">
        <f t="shared" si="1407"/>
        <v>0</v>
      </c>
      <c r="CF408" s="9">
        <f t="shared" si="1408"/>
        <v>0.99524931562137331</v>
      </c>
      <c r="CG408" s="9">
        <f t="shared" si="1409"/>
        <v>0.68</v>
      </c>
      <c r="CH408" s="9">
        <f t="shared" ref="CH408:CH449" si="1537">1.75*CF408*CG408*(J408/25)^0.5</f>
        <v>1.693300152715469</v>
      </c>
      <c r="CI408" s="9">
        <f t="shared" ref="CI408:CI449" si="1538">MIN((CB408+CE408)*CH408,2.5*CH408,J408^0.5)</f>
        <v>3.0162568836116175</v>
      </c>
      <c r="CJ408" s="40">
        <v>1</v>
      </c>
      <c r="CK408" s="9">
        <f t="shared" ref="CK408:CK449" si="1539">4*CI408*M408+60*CI408</f>
        <v>299.3333331296169</v>
      </c>
      <c r="CM408" s="4">
        <f t="shared" si="1410"/>
        <v>1.2257314455075607</v>
      </c>
      <c r="CN408" s="4">
        <f t="shared" si="1411"/>
        <v>0.44632318044701325</v>
      </c>
      <c r="CO408" s="4">
        <f t="shared" si="1376"/>
        <v>0.76063616135424206</v>
      </c>
      <c r="CP408" s="4">
        <f t="shared" si="1412"/>
        <v>1.5114046550490408</v>
      </c>
      <c r="CQ408" s="4">
        <f t="shared" si="1324"/>
        <v>0.67872485494033818</v>
      </c>
      <c r="CR408" s="4">
        <f t="shared" si="1325"/>
        <v>0.69192281388318311</v>
      </c>
      <c r="CS408" s="4">
        <f t="shared" si="1377"/>
        <v>0.86489129505352247</v>
      </c>
      <c r="CT408" s="4">
        <f t="shared" si="1432"/>
        <v>0</v>
      </c>
      <c r="CU408" s="4">
        <f t="shared" si="1528"/>
        <v>1.2257314455075607</v>
      </c>
      <c r="CV408" s="4">
        <f t="shared" si="1528"/>
        <v>0.44632318044701325</v>
      </c>
      <c r="CW408" s="4">
        <f t="shared" si="1529"/>
        <v>1.5114046550490408</v>
      </c>
      <c r="CX408" s="4">
        <f t="shared" si="1530"/>
        <v>0.86489129505352247</v>
      </c>
      <c r="CY408" s="4">
        <f t="shared" si="1531"/>
        <v>0.67872485494033818</v>
      </c>
      <c r="CZ408" s="4">
        <f t="shared" si="1531"/>
        <v>0.69192281388318311</v>
      </c>
      <c r="DI408" s="4">
        <f t="shared" si="1417"/>
        <v>249.17400000000001</v>
      </c>
      <c r="DL408" s="4">
        <f t="shared" si="1286"/>
        <v>2.0153624422739997E-5</v>
      </c>
      <c r="DM408" s="4">
        <f t="shared" si="1287"/>
        <v>9.1397910685166845</v>
      </c>
      <c r="DN408" s="4">
        <f t="shared" si="1288"/>
        <v>0.26272793307880238</v>
      </c>
      <c r="DO408" s="4">
        <f t="shared" si="1289"/>
        <v>5.3547446764165203</v>
      </c>
      <c r="DP408" s="4">
        <f t="shared" si="1290"/>
        <v>7.4918554633137289</v>
      </c>
      <c r="DQ408" s="4">
        <f t="shared" si="1291"/>
        <v>8.5890007851221988</v>
      </c>
      <c r="DR408" s="38">
        <f t="shared" si="1318"/>
        <v>666.56435197620203</v>
      </c>
      <c r="DS408" s="4">
        <f t="shared" si="1292"/>
        <v>1.0000978243766807</v>
      </c>
      <c r="DT408" s="4">
        <f t="shared" si="1293"/>
        <v>3.1780497164141401</v>
      </c>
      <c r="DU408" s="4">
        <f t="shared" si="1294"/>
        <v>388.98832530980735</v>
      </c>
      <c r="DY408" s="4">
        <f t="shared" si="1295"/>
        <v>0.85</v>
      </c>
      <c r="DZ408" s="4">
        <f t="shared" si="1296"/>
        <v>0.84000000000000008</v>
      </c>
      <c r="EA408" s="4">
        <f t="shared" si="1319"/>
        <v>1</v>
      </c>
      <c r="EB408" s="4">
        <f t="shared" si="1297"/>
        <v>0.84000000000000008</v>
      </c>
      <c r="ED408" s="4">
        <f t="shared" si="1320"/>
        <v>653.85008851555085</v>
      </c>
      <c r="EE408" s="25">
        <f t="shared" si="1321"/>
        <v>384.86603736910473</v>
      </c>
      <c r="EG408" s="4">
        <f t="shared" si="1514"/>
        <v>0.71400000000000008</v>
      </c>
      <c r="EH408" s="4">
        <f t="shared" si="1322"/>
        <v>9.1397910685166845</v>
      </c>
      <c r="EK408" s="4">
        <f t="shared" si="1298"/>
        <v>80.72246279691916</v>
      </c>
      <c r="EL408" s="4">
        <f t="shared" si="1299"/>
        <v>3.1780497164141406</v>
      </c>
      <c r="EM408" s="4">
        <f t="shared" si="1300"/>
        <v>0.10269909521195474</v>
      </c>
      <c r="EP408" s="4">
        <f t="shared" si="1433"/>
        <v>0.10269909521195474</v>
      </c>
      <c r="EQ408" s="4">
        <f t="shared" ref="EQ408:EQ449" si="1540">MIN(0.999, EP408/(0.3*(J408/30)^0.5))</f>
        <v>0.26228948912432426</v>
      </c>
      <c r="ER408" s="4">
        <f t="shared" si="1301"/>
        <v>5.3511684569551603</v>
      </c>
      <c r="ES408" s="4">
        <f t="shared" si="1418"/>
        <v>7.4905842503572924</v>
      </c>
      <c r="ET408" s="4">
        <f t="shared" si="1302"/>
        <v>106.15803720308085</v>
      </c>
      <c r="EU408" s="4">
        <f t="shared" si="1303"/>
        <v>62.293499999999995</v>
      </c>
      <c r="EV408" s="4">
        <f t="shared" ref="EV408:EV449" si="1541">EU408/(1-0.3*(J408/30)^0.5)/200000/K408</f>
        <v>2.015362442273999E-5</v>
      </c>
      <c r="EW408" s="4">
        <f t="shared" si="1419"/>
        <v>8.5891550801549688</v>
      </c>
      <c r="EX408" s="4">
        <f t="shared" si="1250"/>
        <v>666.49915211208838</v>
      </c>
      <c r="FG408" s="23">
        <f t="shared" si="1459"/>
        <v>1.4</v>
      </c>
      <c r="FH408" s="23">
        <f t="shared" si="1459"/>
        <v>0.6</v>
      </c>
      <c r="FI408" s="23">
        <f t="shared" si="1382"/>
        <v>1</v>
      </c>
      <c r="FJ408" s="23">
        <f t="shared" si="1460"/>
        <v>1.6</v>
      </c>
      <c r="FK408" s="23">
        <f t="shared" si="1460"/>
        <v>0.8</v>
      </c>
      <c r="FL408" s="23">
        <f t="shared" si="1460"/>
        <v>0.8</v>
      </c>
      <c r="FM408" s="23">
        <f t="shared" si="1330"/>
        <v>1</v>
      </c>
      <c r="FN408" s="23"/>
      <c r="FX408" s="4">
        <f t="shared" si="1500"/>
        <v>1</v>
      </c>
      <c r="FY408" s="4">
        <f t="shared" si="1258"/>
        <v>0.5</v>
      </c>
      <c r="FZ408" s="4">
        <f t="shared" si="1501"/>
        <v>0</v>
      </c>
      <c r="GA408" s="4">
        <f t="shared" si="1502"/>
        <v>523.08746277236071</v>
      </c>
    </row>
    <row r="409" spans="1:183" ht="12" customHeight="1" x14ac:dyDescent="0.3">
      <c r="A409" s="25">
        <v>391</v>
      </c>
      <c r="B409" s="4" t="s">
        <v>605</v>
      </c>
      <c r="C409" s="4">
        <v>2016</v>
      </c>
      <c r="D409" s="4" t="s">
        <v>309</v>
      </c>
      <c r="E409" s="14" t="s">
        <v>676</v>
      </c>
      <c r="F409" s="7" t="s">
        <v>559</v>
      </c>
      <c r="G409" s="38">
        <f t="shared" si="1532"/>
        <v>889.65517241379314</v>
      </c>
      <c r="H409" s="38">
        <f>9.63*25.4</f>
        <v>244.602</v>
      </c>
      <c r="I409" s="4">
        <f t="shared" si="1420"/>
        <v>244.602</v>
      </c>
      <c r="J409" s="38">
        <f>7410/145</f>
        <v>51.103448275862071</v>
      </c>
      <c r="K409" s="38">
        <f t="shared" si="1526"/>
        <v>25.4</v>
      </c>
      <c r="L409" s="7">
        <f t="shared" si="1421"/>
        <v>9.6300000000000008</v>
      </c>
      <c r="M409" s="7">
        <f t="shared" si="1422"/>
        <v>9.6300000000000008</v>
      </c>
      <c r="N409" s="38">
        <f>17.4*25.4</f>
        <v>441.95999999999992</v>
      </c>
      <c r="O409" s="38">
        <f>2.65*25.4</f>
        <v>67.309999999999988</v>
      </c>
      <c r="P409" s="39">
        <f>3.6*25.4</f>
        <v>91.44</v>
      </c>
      <c r="Q409" s="7">
        <f t="shared" si="1423"/>
        <v>256.53999999999996</v>
      </c>
      <c r="R409" s="38">
        <v>2</v>
      </c>
      <c r="S409" s="4">
        <f t="shared" si="1493"/>
        <v>508</v>
      </c>
      <c r="T409" s="7">
        <f t="shared" si="1424"/>
        <v>3.1499999999999995</v>
      </c>
      <c r="U409" s="7">
        <f t="shared" si="1247"/>
        <v>3.1499999999999995</v>
      </c>
      <c r="V409" s="38">
        <v>9.1</v>
      </c>
      <c r="W409" s="4">
        <f t="shared" si="1425"/>
        <v>9.1</v>
      </c>
      <c r="X409" s="4">
        <f t="shared" si="1426"/>
        <v>10.1</v>
      </c>
      <c r="Y409" s="7">
        <f t="shared" si="1427"/>
        <v>80.72246279691916</v>
      </c>
      <c r="AB409" s="38">
        <f t="shared" si="1461"/>
        <v>595.17241379310349</v>
      </c>
      <c r="AC409" s="4">
        <v>86.3</v>
      </c>
      <c r="AD409" s="4">
        <f t="shared" si="1279"/>
        <v>0.83340478977310528</v>
      </c>
      <c r="AE409" s="38">
        <f>0.5*25.4</f>
        <v>12.7</v>
      </c>
      <c r="AF409" s="38">
        <v>10</v>
      </c>
      <c r="AG409" s="39">
        <f>5*25.4</f>
        <v>127</v>
      </c>
      <c r="AH409" s="39">
        <v>3</v>
      </c>
      <c r="AI409" s="39">
        <v>2</v>
      </c>
      <c r="AJ409" s="7"/>
      <c r="AK409" s="4">
        <f t="shared" si="1429"/>
        <v>244.602</v>
      </c>
      <c r="AL409" s="4">
        <f t="shared" si="1304"/>
        <v>0.60228452751817219</v>
      </c>
      <c r="AM409" s="4">
        <f t="shared" si="1305"/>
        <v>269.85334029886326</v>
      </c>
      <c r="AN409" s="4">
        <f t="shared" si="1306"/>
        <v>0.76542056074766351</v>
      </c>
      <c r="AO409" s="4">
        <v>1.25</v>
      </c>
      <c r="AP409" s="4">
        <f t="shared" si="1520"/>
        <v>2.5</v>
      </c>
      <c r="AQ409" s="38">
        <f t="shared" si="1398"/>
        <v>388.75827858803166</v>
      </c>
      <c r="AR409" s="38">
        <f t="shared" si="1307"/>
        <v>388.75827858803166</v>
      </c>
      <c r="AS409" s="38">
        <f t="shared" si="1308"/>
        <v>4.0980014231553801</v>
      </c>
      <c r="AT409" s="38">
        <f t="shared" si="1533"/>
        <v>388.75827858803183</v>
      </c>
      <c r="AU409" s="38">
        <f t="shared" si="1495"/>
        <v>0.99999999999999956</v>
      </c>
      <c r="AV409" s="38">
        <f t="shared" si="1534"/>
        <v>2.4982264431092367</v>
      </c>
      <c r="AW409" s="4">
        <f t="shared" si="1535"/>
        <v>0</v>
      </c>
      <c r="AX409" s="4">
        <f t="shared" si="1430"/>
        <v>362.32457298497951</v>
      </c>
      <c r="AY409" s="4">
        <f t="shared" si="1399"/>
        <v>1</v>
      </c>
      <c r="AZ409" s="38">
        <f t="shared" ref="AZ409:AZ449" si="1542">2*J409*T409*V409^0.5*AY409*0.7/0.7</f>
        <v>971.20621154624848</v>
      </c>
      <c r="BA409" s="4">
        <f t="shared" si="1400"/>
        <v>0.3</v>
      </c>
      <c r="BB409" s="4">
        <f t="shared" si="1401"/>
        <v>56.79437681539553</v>
      </c>
      <c r="BC409" s="4">
        <f t="shared" si="1402"/>
        <v>1028.0005883616441</v>
      </c>
      <c r="BE409" s="4">
        <f t="shared" si="1521"/>
        <v>1.5</v>
      </c>
      <c r="BF409" s="4">
        <f t="shared" si="1527"/>
        <v>631.47755133741964</v>
      </c>
      <c r="BH409" s="4">
        <f t="shared" si="1248"/>
        <v>931.5055276531624</v>
      </c>
      <c r="BI409" s="4">
        <f t="shared" si="1481"/>
        <v>0</v>
      </c>
      <c r="BJ409" s="4">
        <f t="shared" si="1249"/>
        <v>0</v>
      </c>
      <c r="BK409" s="4">
        <f t="shared" si="1309"/>
        <v>67.309999999999988</v>
      </c>
      <c r="BL409" s="4">
        <f t="shared" si="1310"/>
        <v>67.309999999999988</v>
      </c>
      <c r="BM409" s="4">
        <f t="shared" si="1311"/>
        <v>508</v>
      </c>
      <c r="BN409" s="4">
        <f t="shared" si="1312"/>
        <v>80.009999999999991</v>
      </c>
      <c r="BO409" s="4">
        <f t="shared" si="1313"/>
        <v>1.25</v>
      </c>
      <c r="BP409" s="25">
        <f t="shared" si="1314"/>
        <v>4</v>
      </c>
      <c r="BR409" s="4">
        <f t="shared" si="1403"/>
        <v>67.309999999999988</v>
      </c>
      <c r="BV409" s="9"/>
      <c r="BX409" s="9"/>
      <c r="BY409" s="9"/>
      <c r="BZ409" s="9">
        <f t="shared" si="1404"/>
        <v>67.309999999999988</v>
      </c>
      <c r="CA409" s="9">
        <f t="shared" si="1405"/>
        <v>128.26999999999998</v>
      </c>
      <c r="CB409" s="9">
        <f t="shared" si="1536"/>
        <v>1.793204262788072</v>
      </c>
      <c r="CC409" s="40">
        <f t="shared" si="1431"/>
        <v>20</v>
      </c>
      <c r="CD409" s="9">
        <f t="shared" si="1406"/>
        <v>0.05</v>
      </c>
      <c r="CE409" s="9">
        <f t="shared" si="1407"/>
        <v>0.8</v>
      </c>
      <c r="CF409" s="9">
        <f t="shared" si="1408"/>
        <v>0.99524931562137331</v>
      </c>
      <c r="CG409" s="9">
        <f t="shared" si="1409"/>
        <v>0.68</v>
      </c>
      <c r="CH409" s="9">
        <f t="shared" si="1537"/>
        <v>1.693300152715469</v>
      </c>
      <c r="CI409" s="9">
        <f t="shared" si="1538"/>
        <v>4.2332503817886726</v>
      </c>
      <c r="CJ409" s="40">
        <v>1</v>
      </c>
      <c r="CK409" s="9">
        <f t="shared" si="1539"/>
        <v>417.05982761382006</v>
      </c>
      <c r="CM409" s="4">
        <f t="shared" si="1410"/>
        <v>1.6426498729849517</v>
      </c>
      <c r="CN409" s="4">
        <f t="shared" si="1411"/>
        <v>0.57896116065618985</v>
      </c>
      <c r="CO409" s="4">
        <f t="shared" si="1376"/>
        <v>0.94250763551701122</v>
      </c>
      <c r="CP409" s="4">
        <f t="shared" si="1412"/>
        <v>1.4270672320523956</v>
      </c>
      <c r="CQ409" s="4">
        <f t="shared" si="1324"/>
        <v>0.83340478977310528</v>
      </c>
      <c r="CR409" s="4">
        <f t="shared" si="1325"/>
        <v>0.84853134899852589</v>
      </c>
      <c r="CS409" s="4">
        <f t="shared" si="1377"/>
        <v>1.0296890870286513</v>
      </c>
      <c r="CT409" s="4">
        <f t="shared" si="1432"/>
        <v>10</v>
      </c>
      <c r="DA409" s="4">
        <f t="shared" ref="DA409:DB409" si="1543">CM409</f>
        <v>1.6426498729849517</v>
      </c>
      <c r="DB409" s="4">
        <f t="shared" si="1543"/>
        <v>0.57896116065618985</v>
      </c>
      <c r="DC409" s="4">
        <f t="shared" ref="DC409" si="1544">CP409</f>
        <v>1.4270672320523956</v>
      </c>
      <c r="DD409" s="4">
        <f t="shared" ref="DD409" si="1545">CS409</f>
        <v>1.0296890870286513</v>
      </c>
      <c r="DE409" s="4">
        <f t="shared" ref="DE409:DF409" si="1546">CQ409</f>
        <v>0.83340478977310528</v>
      </c>
      <c r="DF409" s="4">
        <f t="shared" si="1546"/>
        <v>0.84853134899852589</v>
      </c>
      <c r="DI409" s="4">
        <f t="shared" si="1417"/>
        <v>244.602</v>
      </c>
      <c r="DL409" s="4">
        <f t="shared" si="1286"/>
        <v>1.9783833148928252E-5</v>
      </c>
      <c r="DM409" s="4">
        <f t="shared" si="1287"/>
        <v>10.967749282220023</v>
      </c>
      <c r="DN409" s="4">
        <f t="shared" si="1288"/>
        <v>0.26257255643690569</v>
      </c>
      <c r="DO409" s="4">
        <f t="shared" si="1289"/>
        <v>6.4241732862813743</v>
      </c>
      <c r="DP409" s="4">
        <f t="shared" si="1290"/>
        <v>8.9896860463643975</v>
      </c>
      <c r="DQ409" s="4">
        <f t="shared" si="1291"/>
        <v>10.206506761698176</v>
      </c>
      <c r="DR409" s="38">
        <f t="shared" si="1318"/>
        <v>714.14566018409778</v>
      </c>
      <c r="DS409" s="4">
        <f t="shared" si="1292"/>
        <v>1.000108021418886</v>
      </c>
      <c r="DT409" s="4">
        <f t="shared" si="1293"/>
        <v>3.1780497164141401</v>
      </c>
      <c r="DU409" s="4">
        <f t="shared" si="1294"/>
        <v>388.75827858803183</v>
      </c>
      <c r="DY409" s="4">
        <f t="shared" si="1295"/>
        <v>0.85</v>
      </c>
      <c r="DZ409" s="4">
        <f t="shared" si="1296"/>
        <v>0.83499999999999996</v>
      </c>
      <c r="EA409" s="4">
        <f t="shared" si="1319"/>
        <v>0.77500000000000002</v>
      </c>
      <c r="EB409" s="4">
        <f t="shared" si="1297"/>
        <v>0.7</v>
      </c>
      <c r="ED409" s="4">
        <f t="shared" si="1320"/>
        <v>701.41476151181951</v>
      </c>
      <c r="EE409" s="25">
        <f t="shared" si="1321"/>
        <v>384.55648474848294</v>
      </c>
      <c r="EG409" s="4">
        <f t="shared" si="1514"/>
        <v>0.59499999999999997</v>
      </c>
      <c r="EH409" s="4">
        <f t="shared" si="1322"/>
        <v>10.967749282220023</v>
      </c>
      <c r="EK409" s="4">
        <f t="shared" si="1298"/>
        <v>80.72246279691916</v>
      </c>
      <c r="EL409" s="4">
        <f t="shared" si="1299"/>
        <v>3.1780497164141406</v>
      </c>
      <c r="EM409" s="4">
        <f t="shared" si="1300"/>
        <v>0.10263835922414841</v>
      </c>
      <c r="EP409" s="4">
        <f t="shared" si="1433"/>
        <v>0.10263835922414841</v>
      </c>
      <c r="EQ409" s="4">
        <f t="shared" si="1540"/>
        <v>0.26213437177708465</v>
      </c>
      <c r="ER409" s="4">
        <f t="shared" si="1301"/>
        <v>6.4198828382921871</v>
      </c>
      <c r="ES409" s="4">
        <f t="shared" si="1418"/>
        <v>8.9881612318991966</v>
      </c>
      <c r="ET409" s="4">
        <f t="shared" si="1302"/>
        <v>102.72903720308085</v>
      </c>
      <c r="EU409" s="4">
        <f t="shared" si="1303"/>
        <v>61.150499999999994</v>
      </c>
      <c r="EV409" s="4">
        <f t="shared" si="1541"/>
        <v>1.9783833148928249E-5</v>
      </c>
      <c r="EW409" s="4">
        <f t="shared" si="1419"/>
        <v>10.206722179968247</v>
      </c>
      <c r="EX409" s="4">
        <f t="shared" si="1250"/>
        <v>714.0685254887926</v>
      </c>
      <c r="FG409" s="23">
        <f t="shared" si="1459"/>
        <v>1.8</v>
      </c>
      <c r="FH409" s="23">
        <f t="shared" si="1459"/>
        <v>0.6</v>
      </c>
      <c r="FI409" s="23">
        <f t="shared" si="1382"/>
        <v>1.2</v>
      </c>
      <c r="FJ409" s="23">
        <f t="shared" si="1460"/>
        <v>1.6</v>
      </c>
      <c r="FK409" s="23">
        <f t="shared" si="1460"/>
        <v>1</v>
      </c>
      <c r="FL409" s="23">
        <f t="shared" si="1460"/>
        <v>1</v>
      </c>
      <c r="FM409" s="23">
        <f t="shared" si="1330"/>
        <v>0</v>
      </c>
      <c r="FN409" s="23"/>
      <c r="FX409" s="4">
        <f t="shared" si="1500"/>
        <v>1</v>
      </c>
      <c r="FY409" s="4">
        <f t="shared" si="1258"/>
        <v>0.44418604651162791</v>
      </c>
      <c r="FZ409" s="4">
        <f t="shared" si="1501"/>
        <v>0.3</v>
      </c>
      <c r="GA409" s="4">
        <f t="shared" si="1502"/>
        <v>578.01177199088124</v>
      </c>
    </row>
    <row r="410" spans="1:183" ht="12" customHeight="1" x14ac:dyDescent="0.3">
      <c r="A410" s="25">
        <v>392</v>
      </c>
      <c r="B410" s="4" t="s">
        <v>605</v>
      </c>
      <c r="C410" s="4">
        <v>2016</v>
      </c>
      <c r="D410" s="4" t="s">
        <v>309</v>
      </c>
      <c r="E410" s="14" t="s">
        <v>676</v>
      </c>
      <c r="F410" s="7" t="s">
        <v>560</v>
      </c>
      <c r="G410" s="38">
        <f t="shared" si="1532"/>
        <v>889.65517241379314</v>
      </c>
      <c r="H410" s="38">
        <f>9.88*25.4</f>
        <v>250.952</v>
      </c>
      <c r="I410" s="4">
        <f t="shared" si="1420"/>
        <v>250.952</v>
      </c>
      <c r="J410" s="38">
        <f t="shared" ref="J410:J415" si="1547">4880/145</f>
        <v>33.655172413793103</v>
      </c>
      <c r="K410" s="38">
        <f t="shared" si="1526"/>
        <v>25.4</v>
      </c>
      <c r="L410" s="7">
        <f t="shared" si="1421"/>
        <v>9.8800000000000008</v>
      </c>
      <c r="M410" s="7">
        <f t="shared" si="1422"/>
        <v>9.8800000000000008</v>
      </c>
      <c r="N410" s="38">
        <f>17.4*25.4</f>
        <v>441.95999999999992</v>
      </c>
      <c r="O410" s="38">
        <f>2.55*25.4</f>
        <v>64.77</v>
      </c>
      <c r="P410" s="39">
        <f>3.3*25.4</f>
        <v>83.82</v>
      </c>
      <c r="Q410" s="7">
        <f t="shared" si="1423"/>
        <v>261.61999999999989</v>
      </c>
      <c r="R410" s="38">
        <v>2</v>
      </c>
      <c r="S410" s="4">
        <f t="shared" si="1493"/>
        <v>508</v>
      </c>
      <c r="T410" s="7">
        <f t="shared" si="1424"/>
        <v>3.05</v>
      </c>
      <c r="U410" s="7">
        <f t="shared" ref="U410:U449" si="1548">O410/K410+0.5</f>
        <v>3.05</v>
      </c>
      <c r="V410" s="38">
        <v>4.0999999999999996</v>
      </c>
      <c r="W410" s="4">
        <f t="shared" si="1425"/>
        <v>4.0999999999999996</v>
      </c>
      <c r="X410" s="4">
        <f t="shared" si="1426"/>
        <v>5.0999999999999996</v>
      </c>
      <c r="Y410" s="7">
        <f t="shared" si="1427"/>
        <v>57.361276136431961</v>
      </c>
      <c r="AB410" s="38">
        <f t="shared" si="1461"/>
        <v>354.48275862068965</v>
      </c>
      <c r="AC410" s="4">
        <v>51.4</v>
      </c>
      <c r="AD410" s="4">
        <f t="shared" si="1279"/>
        <v>0.61800778838527559</v>
      </c>
      <c r="AE410" s="38">
        <v>0</v>
      </c>
      <c r="AF410" s="38">
        <v>0</v>
      </c>
      <c r="AG410" s="39">
        <f t="shared" si="1515"/>
        <v>250.952</v>
      </c>
      <c r="AH410" s="39"/>
      <c r="AI410" s="39"/>
      <c r="AJ410" s="7"/>
      <c r="AK410" s="4">
        <f t="shared" si="1429"/>
        <v>250.952</v>
      </c>
      <c r="AL410" s="4">
        <f t="shared" si="1304"/>
        <v>0.58704453441295534</v>
      </c>
      <c r="AM410" s="4">
        <f t="shared" si="1305"/>
        <v>227.57502097194012</v>
      </c>
      <c r="AN410" s="4">
        <f t="shared" si="1306"/>
        <v>0.76174089068825901</v>
      </c>
      <c r="AO410" s="4">
        <v>1.25</v>
      </c>
      <c r="AP410" s="4">
        <f t="shared" si="1520"/>
        <v>2.5</v>
      </c>
      <c r="AQ410" s="38">
        <f t="shared" si="1398"/>
        <v>318.01890030575532</v>
      </c>
      <c r="AR410" s="38">
        <f t="shared" si="1307"/>
        <v>318.01890030575532</v>
      </c>
      <c r="AS410" s="38">
        <f t="shared" si="1308"/>
        <v>3.1272010355053257</v>
      </c>
      <c r="AT410" s="38">
        <f t="shared" si="1533"/>
        <v>318.01890030575521</v>
      </c>
      <c r="AU410" s="38">
        <f t="shared" si="1495"/>
        <v>1.0000000000000004</v>
      </c>
      <c r="AV410" s="38">
        <f t="shared" si="1534"/>
        <v>1.3071356264291427</v>
      </c>
      <c r="AW410" s="4">
        <f t="shared" si="1535"/>
        <v>0</v>
      </c>
      <c r="AX410" s="4">
        <f t="shared" si="1430"/>
        <v>301.6680066014568</v>
      </c>
      <c r="AY410" s="4">
        <f t="shared" si="1399"/>
        <v>1</v>
      </c>
      <c r="AZ410" s="38">
        <f t="shared" si="1542"/>
        <v>415.69383446747042</v>
      </c>
      <c r="BA410" s="4">
        <f t="shared" si="1400"/>
        <v>0.42600000000000005</v>
      </c>
      <c r="BB410" s="4">
        <f t="shared" si="1401"/>
        <v>67.146773249385262</v>
      </c>
      <c r="BC410" s="4">
        <f t="shared" si="1402"/>
        <v>482.84060771685569</v>
      </c>
      <c r="BE410" s="4">
        <f t="shared" si="1521"/>
        <v>1.3875</v>
      </c>
      <c r="BF410" s="4">
        <f t="shared" si="1527"/>
        <v>480.06112269757404</v>
      </c>
      <c r="BH410" s="4">
        <f t="shared" ref="BH410:BH449" si="1549">3.4/PI()^0.5*J410*T410*W410^0.5*AY410</f>
        <v>398.70122329767247</v>
      </c>
      <c r="BI410" s="4">
        <f t="shared" si="1481"/>
        <v>0</v>
      </c>
      <c r="BJ410" s="4">
        <f t="shared" ref="BJ410:BJ449" si="1550">BI410/BH410</f>
        <v>0</v>
      </c>
      <c r="BK410" s="4">
        <f t="shared" si="1309"/>
        <v>64.77</v>
      </c>
      <c r="BL410" s="4">
        <f t="shared" si="1310"/>
        <v>64.77</v>
      </c>
      <c r="BM410" s="4">
        <f t="shared" si="1311"/>
        <v>508</v>
      </c>
      <c r="BN410" s="4">
        <f t="shared" si="1312"/>
        <v>77.47</v>
      </c>
      <c r="BO410" s="4">
        <f t="shared" si="1313"/>
        <v>1.25</v>
      </c>
      <c r="BP410" s="25">
        <f t="shared" si="1314"/>
        <v>3.8125000000000004</v>
      </c>
      <c r="BR410" s="4">
        <f t="shared" si="1403"/>
        <v>64.77</v>
      </c>
      <c r="BV410" s="9"/>
      <c r="BX410" s="9"/>
      <c r="BY410" s="9"/>
      <c r="BZ410" s="9">
        <f t="shared" si="1404"/>
        <v>64.77</v>
      </c>
      <c r="CA410" s="9">
        <f t="shared" si="1405"/>
        <v>130.80999999999995</v>
      </c>
      <c r="CB410" s="9">
        <f t="shared" si="1536"/>
        <v>1.7744352138444073</v>
      </c>
      <c r="CC410" s="40">
        <f t="shared" si="1431"/>
        <v>20</v>
      </c>
      <c r="CD410" s="9">
        <f t="shared" si="1406"/>
        <v>0</v>
      </c>
      <c r="CE410" s="9">
        <f t="shared" si="1407"/>
        <v>0</v>
      </c>
      <c r="CF410" s="9">
        <f t="shared" si="1408"/>
        <v>0.99524931562137331</v>
      </c>
      <c r="CG410" s="9">
        <f t="shared" si="1409"/>
        <v>0.68</v>
      </c>
      <c r="CH410" s="9">
        <f t="shared" si="1537"/>
        <v>1.3741519375646418</v>
      </c>
      <c r="CI410" s="9">
        <f t="shared" si="1538"/>
        <v>2.4383435871872217</v>
      </c>
      <c r="CJ410" s="40">
        <v>1</v>
      </c>
      <c r="CK410" s="9">
        <f t="shared" si="1539"/>
        <v>242.66395379687231</v>
      </c>
      <c r="CM410" s="4">
        <f t="shared" si="1410"/>
        <v>1.1750757483839116</v>
      </c>
      <c r="CN410" s="4">
        <f t="shared" si="1411"/>
        <v>0.73416103151904566</v>
      </c>
      <c r="CO410" s="4">
        <f t="shared" si="1376"/>
        <v>0.73841171855110732</v>
      </c>
      <c r="CP410" s="4">
        <f t="shared" si="1412"/>
        <v>1.4607969295572343</v>
      </c>
      <c r="CQ410" s="4">
        <f t="shared" si="1324"/>
        <v>0.61800778838527559</v>
      </c>
      <c r="CR410" s="4">
        <f t="shared" si="1325"/>
        <v>0.6648035989042731</v>
      </c>
      <c r="CS410" s="4">
        <f t="shared" si="1377"/>
        <v>0.74693440629475993</v>
      </c>
      <c r="CT410" s="4">
        <f t="shared" si="1432"/>
        <v>0</v>
      </c>
      <c r="CU410" s="4">
        <f t="shared" ref="CU410:CV411" si="1551">CM410</f>
        <v>1.1750757483839116</v>
      </c>
      <c r="CV410" s="4">
        <f t="shared" si="1551"/>
        <v>0.73416103151904566</v>
      </c>
      <c r="CW410" s="4">
        <f t="shared" ref="CW410:CW411" si="1552">CP410</f>
        <v>1.4607969295572343</v>
      </c>
      <c r="CX410" s="4">
        <f t="shared" ref="CX410:CX411" si="1553">CS410</f>
        <v>0.74693440629475993</v>
      </c>
      <c r="CY410" s="4">
        <f t="shared" ref="CY410:CZ411" si="1554">CQ410</f>
        <v>0.61800778838527559</v>
      </c>
      <c r="CZ410" s="4">
        <f t="shared" si="1554"/>
        <v>0.6648035989042731</v>
      </c>
      <c r="DI410" s="4">
        <f t="shared" si="1417"/>
        <v>250.952</v>
      </c>
      <c r="DL410" s="4">
        <f t="shared" si="1286"/>
        <v>1.8101887802209873E-5</v>
      </c>
      <c r="DM410" s="4">
        <f t="shared" si="1287"/>
        <v>7.3732617603878383</v>
      </c>
      <c r="DN410" s="4">
        <f t="shared" si="1288"/>
        <v>0.51440234096462856</v>
      </c>
      <c r="DO410" s="4">
        <f t="shared" si="1289"/>
        <v>5.651722459899756</v>
      </c>
      <c r="DP410" s="4">
        <f t="shared" si="1290"/>
        <v>6.5692280921920974</v>
      </c>
      <c r="DQ410" s="4">
        <f t="shared" si="1291"/>
        <v>6.9986563688871684</v>
      </c>
      <c r="DR410" s="38">
        <f t="shared" si="1318"/>
        <v>573.58946809857946</v>
      </c>
      <c r="DS410" s="4">
        <f t="shared" si="1292"/>
        <v>1.0001157899551703</v>
      </c>
      <c r="DT410" s="4">
        <f t="shared" si="1293"/>
        <v>2.2583179581272428</v>
      </c>
      <c r="DU410" s="4">
        <f t="shared" si="1294"/>
        <v>318.01890030575521</v>
      </c>
      <c r="DY410" s="4">
        <f t="shared" si="1295"/>
        <v>0.85</v>
      </c>
      <c r="DZ410" s="4">
        <f t="shared" si="1296"/>
        <v>0.84499999999999997</v>
      </c>
      <c r="EA410" s="4">
        <f t="shared" si="1319"/>
        <v>1</v>
      </c>
      <c r="EB410" s="4">
        <f t="shared" si="1297"/>
        <v>0.84499999999999997</v>
      </c>
      <c r="ED410" s="4">
        <f t="shared" si="1320"/>
        <v>533.21425937667436</v>
      </c>
      <c r="EE410" s="25">
        <f t="shared" si="1321"/>
        <v>314.67078079877888</v>
      </c>
      <c r="EG410" s="4">
        <f t="shared" si="1514"/>
        <v>0.71824999999999994</v>
      </c>
      <c r="EH410" s="4">
        <f t="shared" si="1322"/>
        <v>7.3732617603878383</v>
      </c>
      <c r="EK410" s="4">
        <f t="shared" si="1298"/>
        <v>57.361276136431961</v>
      </c>
      <c r="EL410" s="4">
        <f t="shared" si="1299"/>
        <v>2.2583179581272428</v>
      </c>
      <c r="EM410" s="4">
        <f t="shared" si="1300"/>
        <v>0.16317894148531115</v>
      </c>
      <c r="EP410" s="4">
        <f t="shared" si="1433"/>
        <v>0.16317894148531115</v>
      </c>
      <c r="EQ410" s="4">
        <f t="shared" si="1540"/>
        <v>0.51354389932912226</v>
      </c>
      <c r="ER410" s="4">
        <f t="shared" si="1301"/>
        <v>5.6479479008735689</v>
      </c>
      <c r="ES410" s="4">
        <f t="shared" si="1418"/>
        <v>6.5676056541484567</v>
      </c>
      <c r="ET410" s="4">
        <f t="shared" si="1302"/>
        <v>130.85272386356803</v>
      </c>
      <c r="EU410" s="4">
        <f t="shared" si="1303"/>
        <v>62.738</v>
      </c>
      <c r="EV410" s="4">
        <f t="shared" si="1541"/>
        <v>1.8101887802209873E-5</v>
      </c>
      <c r="EW410" s="4">
        <f t="shared" si="1419"/>
        <v>6.9987698858984766</v>
      </c>
      <c r="EX410" s="4">
        <f t="shared" ref="EX410:EX449" si="1555">MIN(4/K410*(1*ER410*EK410+ES410*ET410+EU410*EW410)+DU410,MAX(G410,AB410))</f>
        <v>573.52305988918579</v>
      </c>
      <c r="FG410" s="23">
        <f t="shared" si="1459"/>
        <v>1.2</v>
      </c>
      <c r="FH410" s="23">
        <f t="shared" si="1459"/>
        <v>0.8</v>
      </c>
      <c r="FI410" s="23">
        <f t="shared" si="1382"/>
        <v>0.8</v>
      </c>
      <c r="FJ410" s="23">
        <f t="shared" si="1460"/>
        <v>1.6</v>
      </c>
      <c r="FK410" s="23">
        <f t="shared" si="1460"/>
        <v>0.8</v>
      </c>
      <c r="FL410" s="23">
        <f t="shared" si="1460"/>
        <v>0.8</v>
      </c>
      <c r="FM410" s="23">
        <f t="shared" si="1330"/>
        <v>1</v>
      </c>
      <c r="FN410" s="23"/>
      <c r="FX410" s="4">
        <f t="shared" si="1500"/>
        <v>1</v>
      </c>
      <c r="FY410" s="4">
        <f t="shared" si="1258"/>
        <v>0.5</v>
      </c>
      <c r="FZ410" s="4">
        <f t="shared" si="1501"/>
        <v>0</v>
      </c>
      <c r="GA410" s="4">
        <f t="shared" si="1502"/>
        <v>474.58351849011149</v>
      </c>
    </row>
    <row r="411" spans="1:183" ht="12" customHeight="1" x14ac:dyDescent="0.3">
      <c r="A411" s="25">
        <v>393</v>
      </c>
      <c r="B411" s="4" t="s">
        <v>605</v>
      </c>
      <c r="C411" s="4">
        <v>2016</v>
      </c>
      <c r="D411" s="4" t="s">
        <v>309</v>
      </c>
      <c r="E411" s="14" t="s">
        <v>676</v>
      </c>
      <c r="F411" s="7" t="s">
        <v>561</v>
      </c>
      <c r="G411" s="38">
        <f t="shared" si="1532"/>
        <v>889.65517241379314</v>
      </c>
      <c r="H411" s="38">
        <f>9.75*25.4</f>
        <v>247.64999999999998</v>
      </c>
      <c r="I411" s="4">
        <f t="shared" si="1420"/>
        <v>247.64999999999998</v>
      </c>
      <c r="J411" s="38">
        <f t="shared" si="1547"/>
        <v>33.655172413793103</v>
      </c>
      <c r="K411" s="38">
        <f t="shared" si="1526"/>
        <v>25.4</v>
      </c>
      <c r="L411" s="7">
        <f t="shared" si="1421"/>
        <v>9.75</v>
      </c>
      <c r="M411" s="7">
        <f t="shared" si="1422"/>
        <v>9.75</v>
      </c>
      <c r="N411" s="38">
        <f>17.5*25.4</f>
        <v>444.5</v>
      </c>
      <c r="O411" s="38">
        <f>2.6*25.4</f>
        <v>66.039999999999992</v>
      </c>
      <c r="P411" s="39">
        <f>3.5*25.4</f>
        <v>88.899999999999991</v>
      </c>
      <c r="Q411" s="7">
        <f t="shared" si="1423"/>
        <v>261.62</v>
      </c>
      <c r="R411" s="38">
        <v>2</v>
      </c>
      <c r="S411" s="4">
        <f t="shared" si="1493"/>
        <v>508</v>
      </c>
      <c r="T411" s="7">
        <f t="shared" si="1424"/>
        <v>3.0999999999999996</v>
      </c>
      <c r="U411" s="7">
        <f t="shared" si="1548"/>
        <v>3.0999999999999996</v>
      </c>
      <c r="V411" s="38">
        <v>9.1</v>
      </c>
      <c r="W411" s="4">
        <f t="shared" si="1425"/>
        <v>9.1</v>
      </c>
      <c r="X411" s="4">
        <f t="shared" si="1426"/>
        <v>10.1</v>
      </c>
      <c r="Y411" s="7">
        <f t="shared" si="1427"/>
        <v>80.72246279691916</v>
      </c>
      <c r="AB411" s="38">
        <f t="shared" si="1461"/>
        <v>387.58620689655174</v>
      </c>
      <c r="AC411" s="4">
        <v>56.2</v>
      </c>
      <c r="AD411" s="4">
        <f t="shared" si="1279"/>
        <v>0.70367808719437008</v>
      </c>
      <c r="AE411" s="38">
        <v>0</v>
      </c>
      <c r="AF411" s="38">
        <v>0</v>
      </c>
      <c r="AG411" s="39">
        <f t="shared" si="1515"/>
        <v>247.64999999999998</v>
      </c>
      <c r="AH411" s="39"/>
      <c r="AI411" s="39"/>
      <c r="AJ411" s="7"/>
      <c r="AK411" s="4">
        <f t="shared" si="1429"/>
        <v>247.64999999999998</v>
      </c>
      <c r="AL411" s="4">
        <f t="shared" si="1304"/>
        <v>0.59829059829059839</v>
      </c>
      <c r="AM411" s="4">
        <f t="shared" si="1305"/>
        <v>223.09821631857008</v>
      </c>
      <c r="AN411" s="4">
        <f t="shared" si="1306"/>
        <v>0.76358974358974352</v>
      </c>
      <c r="AO411" s="4">
        <v>1.25</v>
      </c>
      <c r="AP411" s="4">
        <f t="shared" si="1520"/>
        <v>2.5</v>
      </c>
      <c r="AQ411" s="38">
        <f t="shared" si="1398"/>
        <v>318.50656211489917</v>
      </c>
      <c r="AR411" s="38">
        <f t="shared" si="1307"/>
        <v>318.50656211489917</v>
      </c>
      <c r="AS411" s="38">
        <f t="shared" si="1308"/>
        <v>3.1272010355053257</v>
      </c>
      <c r="AT411" s="38">
        <f t="shared" si="1533"/>
        <v>318.5065621148994</v>
      </c>
      <c r="AU411" s="38">
        <f t="shared" si="1495"/>
        <v>0.99999999999999933</v>
      </c>
      <c r="AV411" s="38">
        <f t="shared" si="1534"/>
        <v>1.9762679201452078</v>
      </c>
      <c r="AW411" s="4">
        <f t="shared" si="1535"/>
        <v>0</v>
      </c>
      <c r="AX411" s="4">
        <f t="shared" si="1430"/>
        <v>297.69869072512182</v>
      </c>
      <c r="AY411" s="4">
        <f t="shared" si="1399"/>
        <v>1</v>
      </c>
      <c r="AZ411" s="38">
        <f t="shared" si="1542"/>
        <v>629.45430106341269</v>
      </c>
      <c r="BA411" s="4">
        <f t="shared" si="1400"/>
        <v>0.3</v>
      </c>
      <c r="BB411" s="4">
        <f t="shared" si="1401"/>
        <v>46.664269771162843</v>
      </c>
      <c r="BC411" s="4">
        <f t="shared" si="1402"/>
        <v>676.11857083457551</v>
      </c>
      <c r="BE411" s="4">
        <f t="shared" si="1521"/>
        <v>1.4</v>
      </c>
      <c r="BF411" s="4">
        <f t="shared" si="1527"/>
        <v>481.21848360751608</v>
      </c>
      <c r="BH411" s="4">
        <f t="shared" si="1549"/>
        <v>603.72365196482838</v>
      </c>
      <c r="BI411" s="4">
        <f t="shared" si="1481"/>
        <v>0</v>
      </c>
      <c r="BJ411" s="4">
        <f t="shared" si="1550"/>
        <v>0</v>
      </c>
      <c r="BK411" s="4">
        <f t="shared" si="1309"/>
        <v>66.039999999999992</v>
      </c>
      <c r="BL411" s="4">
        <f t="shared" si="1310"/>
        <v>66.039999999999992</v>
      </c>
      <c r="BM411" s="4">
        <f t="shared" si="1311"/>
        <v>508</v>
      </c>
      <c r="BN411" s="4">
        <f t="shared" si="1312"/>
        <v>78.739999999999995</v>
      </c>
      <c r="BO411" s="4">
        <f t="shared" si="1313"/>
        <v>1.25</v>
      </c>
      <c r="BP411" s="25">
        <f t="shared" si="1314"/>
        <v>3.875</v>
      </c>
      <c r="BR411" s="4">
        <f t="shared" si="1403"/>
        <v>66.039999999999992</v>
      </c>
      <c r="BV411" s="9"/>
      <c r="BX411" s="9"/>
      <c r="BY411" s="9"/>
      <c r="BZ411" s="9">
        <f t="shared" si="1404"/>
        <v>66.039999999999992</v>
      </c>
      <c r="CA411" s="9">
        <f t="shared" si="1405"/>
        <v>130.81</v>
      </c>
      <c r="CB411" s="9">
        <f t="shared" si="1536"/>
        <v>1.7865359348792491</v>
      </c>
      <c r="CC411" s="40">
        <f t="shared" si="1431"/>
        <v>20</v>
      </c>
      <c r="CD411" s="9">
        <f t="shared" si="1406"/>
        <v>0</v>
      </c>
      <c r="CE411" s="9">
        <f t="shared" si="1407"/>
        <v>0</v>
      </c>
      <c r="CF411" s="9">
        <f t="shared" si="1408"/>
        <v>0.99524931562137331</v>
      </c>
      <c r="CG411" s="9">
        <f t="shared" si="1409"/>
        <v>0.68</v>
      </c>
      <c r="CH411" s="9">
        <f t="shared" si="1537"/>
        <v>1.3741519375646418</v>
      </c>
      <c r="CI411" s="9">
        <f t="shared" si="1538"/>
        <v>2.4549718164431789</v>
      </c>
      <c r="CJ411" s="40">
        <v>1</v>
      </c>
      <c r="CK411" s="9">
        <f t="shared" si="1539"/>
        <v>243.04220982787473</v>
      </c>
      <c r="CM411" s="4">
        <f t="shared" si="1410"/>
        <v>1.3019412546037261</v>
      </c>
      <c r="CN411" s="4">
        <f t="shared" si="1411"/>
        <v>0.57325182832669397</v>
      </c>
      <c r="CO411" s="4">
        <f t="shared" si="1376"/>
        <v>0.80542668268051976</v>
      </c>
      <c r="CP411" s="4">
        <f t="shared" si="1412"/>
        <v>1.5947279576294371</v>
      </c>
      <c r="CQ411" s="4">
        <f t="shared" si="1324"/>
        <v>0.70367808719437008</v>
      </c>
      <c r="CR411" s="4">
        <f t="shared" si="1325"/>
        <v>0.72846501506533778</v>
      </c>
      <c r="CS411" s="4">
        <f t="shared" si="1377"/>
        <v>0.8275761961520568</v>
      </c>
      <c r="CT411" s="4">
        <f t="shared" si="1432"/>
        <v>0</v>
      </c>
      <c r="CU411" s="4">
        <f t="shared" si="1551"/>
        <v>1.3019412546037261</v>
      </c>
      <c r="CV411" s="4">
        <f t="shared" si="1551"/>
        <v>0.57325182832669397</v>
      </c>
      <c r="CW411" s="4">
        <f t="shared" si="1552"/>
        <v>1.5947279576294371</v>
      </c>
      <c r="CX411" s="4">
        <f t="shared" si="1553"/>
        <v>0.8275761961520568</v>
      </c>
      <c r="CY411" s="4">
        <f t="shared" si="1554"/>
        <v>0.70367808719437008</v>
      </c>
      <c r="CZ411" s="4">
        <f t="shared" si="1554"/>
        <v>0.72846501506533778</v>
      </c>
      <c r="DI411" s="4">
        <f t="shared" si="1417"/>
        <v>247.64999999999998</v>
      </c>
      <c r="DL411" s="4">
        <f t="shared" si="1286"/>
        <v>1.7863705067970267E-5</v>
      </c>
      <c r="DM411" s="4">
        <f t="shared" si="1287"/>
        <v>7.4171502232472895</v>
      </c>
      <c r="DN411" s="4">
        <f t="shared" si="1288"/>
        <v>0.32665285061685839</v>
      </c>
      <c r="DO411" s="4">
        <f t="shared" si="1289"/>
        <v>4.7410185666214346</v>
      </c>
      <c r="DP411" s="4">
        <f t="shared" si="1290"/>
        <v>6.2252785516665377</v>
      </c>
      <c r="DQ411" s="4">
        <f t="shared" si="1291"/>
        <v>7.084379290649192</v>
      </c>
      <c r="DR411" s="38">
        <f t="shared" si="1318"/>
        <v>550.80044973674535</v>
      </c>
      <c r="DS411" s="4">
        <f t="shared" si="1292"/>
        <v>1.0001074003237229</v>
      </c>
      <c r="DT411" s="4">
        <f t="shared" si="1293"/>
        <v>3.1780497164141401</v>
      </c>
      <c r="DU411" s="4">
        <f t="shared" si="1294"/>
        <v>318.5065621148994</v>
      </c>
      <c r="DY411" s="4">
        <f t="shared" si="1295"/>
        <v>0.85</v>
      </c>
      <c r="DZ411" s="4">
        <f t="shared" si="1296"/>
        <v>0.84000000000000008</v>
      </c>
      <c r="EA411" s="4">
        <f t="shared" si="1319"/>
        <v>1</v>
      </c>
      <c r="EB411" s="4">
        <f t="shared" si="1297"/>
        <v>0.84000000000000008</v>
      </c>
      <c r="ED411" s="4">
        <f t="shared" si="1320"/>
        <v>532.05877959944064</v>
      </c>
      <c r="EE411" s="25">
        <f t="shared" si="1321"/>
        <v>315.1071355694574</v>
      </c>
      <c r="EG411" s="4">
        <f t="shared" si="1514"/>
        <v>0.71400000000000008</v>
      </c>
      <c r="EH411" s="4">
        <f t="shared" si="1322"/>
        <v>7.4171502232472895</v>
      </c>
      <c r="EK411" s="4">
        <f t="shared" si="1298"/>
        <v>80.72246279691916</v>
      </c>
      <c r="EL411" s="4">
        <f t="shared" si="1299"/>
        <v>3.1780497164141406</v>
      </c>
      <c r="EM411" s="4">
        <f t="shared" si="1300"/>
        <v>0.10362096388765003</v>
      </c>
      <c r="EP411" s="4">
        <f t="shared" si="1433"/>
        <v>0.10362096388765003</v>
      </c>
      <c r="EQ411" s="4">
        <f t="shared" si="1540"/>
        <v>0.32610772788899423</v>
      </c>
      <c r="ER411" s="4">
        <f t="shared" si="1301"/>
        <v>4.7378522302432895</v>
      </c>
      <c r="ES411" s="4">
        <f t="shared" si="1418"/>
        <v>6.2240766285072322</v>
      </c>
      <c r="ET411" s="4">
        <f t="shared" si="1302"/>
        <v>105.01503720308082</v>
      </c>
      <c r="EU411" s="4">
        <f t="shared" si="1303"/>
        <v>61.912499999999994</v>
      </c>
      <c r="EV411" s="4">
        <f t="shared" si="1541"/>
        <v>1.7863705067970267E-5</v>
      </c>
      <c r="EW411" s="4">
        <f t="shared" si="1419"/>
        <v>7.0844796465466686</v>
      </c>
      <c r="EX411" s="4">
        <f t="shared" si="1555"/>
        <v>550.74129994284397</v>
      </c>
      <c r="FG411" s="23">
        <f t="shared" si="1459"/>
        <v>1.4</v>
      </c>
      <c r="FH411" s="23">
        <f t="shared" si="1459"/>
        <v>0.6</v>
      </c>
      <c r="FI411" s="23">
        <f t="shared" si="1382"/>
        <v>1</v>
      </c>
      <c r="FJ411" s="23">
        <f t="shared" si="1460"/>
        <v>1.6</v>
      </c>
      <c r="FK411" s="23">
        <f t="shared" si="1460"/>
        <v>0.8</v>
      </c>
      <c r="FL411" s="23">
        <f t="shared" si="1460"/>
        <v>0.8</v>
      </c>
      <c r="FM411" s="23">
        <f t="shared" si="1330"/>
        <v>1</v>
      </c>
      <c r="FN411" s="23"/>
      <c r="FX411" s="4">
        <f t="shared" si="1500"/>
        <v>1</v>
      </c>
      <c r="FY411" s="4">
        <f t="shared" si="1258"/>
        <v>0.5</v>
      </c>
      <c r="FZ411" s="4">
        <f t="shared" si="1501"/>
        <v>0</v>
      </c>
      <c r="GA411" s="4">
        <f t="shared" si="1502"/>
        <v>468.33899850997841</v>
      </c>
    </row>
    <row r="412" spans="1:183" ht="12" customHeight="1" x14ac:dyDescent="0.3">
      <c r="A412" s="25">
        <v>394</v>
      </c>
      <c r="B412" s="4" t="s">
        <v>605</v>
      </c>
      <c r="C412" s="4">
        <v>2016</v>
      </c>
      <c r="D412" s="4" t="s">
        <v>309</v>
      </c>
      <c r="E412" s="14" t="s">
        <v>676</v>
      </c>
      <c r="F412" s="33" t="s">
        <v>562</v>
      </c>
      <c r="G412" s="38">
        <f t="shared" si="1532"/>
        <v>889.65517241379314</v>
      </c>
      <c r="H412" s="38">
        <f>10.13*25.4</f>
        <v>257.30200000000002</v>
      </c>
      <c r="I412" s="4">
        <f t="shared" si="1420"/>
        <v>257.30200000000002</v>
      </c>
      <c r="J412" s="38">
        <f t="shared" si="1547"/>
        <v>33.655172413793103</v>
      </c>
      <c r="K412" s="38">
        <f t="shared" si="1526"/>
        <v>25.4</v>
      </c>
      <c r="L412" s="7">
        <f t="shared" si="1421"/>
        <v>10.130000000000001</v>
      </c>
      <c r="M412" s="7">
        <f t="shared" si="1422"/>
        <v>10.130000000000001</v>
      </c>
      <c r="N412" s="38">
        <f>17.3*25.4</f>
        <v>439.42</v>
      </c>
      <c r="O412" s="38">
        <f>2.5*25.4</f>
        <v>63.5</v>
      </c>
      <c r="P412" s="39">
        <f>3*25.4</f>
        <v>76.199999999999989</v>
      </c>
      <c r="Q412" s="7">
        <f t="shared" si="1423"/>
        <v>261.62</v>
      </c>
      <c r="R412" s="38">
        <v>2</v>
      </c>
      <c r="S412" s="4">
        <f t="shared" si="1493"/>
        <v>508</v>
      </c>
      <c r="T412" s="7">
        <f t="shared" si="1424"/>
        <v>3</v>
      </c>
      <c r="U412" s="7">
        <f t="shared" si="1548"/>
        <v>3</v>
      </c>
      <c r="V412" s="38">
        <v>4.0999999999999996</v>
      </c>
      <c r="W412" s="4">
        <f t="shared" si="1425"/>
        <v>4.0999999999999996</v>
      </c>
      <c r="X412" s="4">
        <f t="shared" si="1426"/>
        <v>5.0999999999999996</v>
      </c>
      <c r="Y412" s="7">
        <f t="shared" si="1427"/>
        <v>57.361276136431961</v>
      </c>
      <c r="AB412" s="38">
        <f t="shared" si="1461"/>
        <v>564.13793103448279</v>
      </c>
      <c r="AC412" s="4">
        <v>81.8</v>
      </c>
      <c r="AD412" s="4">
        <f t="shared" si="1279"/>
        <v>0.9393306132040562</v>
      </c>
      <c r="AE412" s="38">
        <f t="shared" ref="AE412:AE415" si="1556">0.5*25.4</f>
        <v>12.7</v>
      </c>
      <c r="AF412" s="38">
        <v>6</v>
      </c>
      <c r="AG412" s="39">
        <f>7.5*25.4</f>
        <v>190.5</v>
      </c>
      <c r="AH412" s="39">
        <v>1</v>
      </c>
      <c r="AI412" s="39">
        <v>1</v>
      </c>
      <c r="AJ412" s="7"/>
      <c r="AK412" s="4">
        <f t="shared" si="1429"/>
        <v>257.30200000000002</v>
      </c>
      <c r="AL412" s="4">
        <f t="shared" si="1304"/>
        <v>0.56926620598881206</v>
      </c>
      <c r="AM412" s="4">
        <f t="shared" si="1305"/>
        <v>236.26714999168641</v>
      </c>
      <c r="AN412" s="4">
        <f t="shared" si="1306"/>
        <v>0.75923000987166822</v>
      </c>
      <c r="AO412" s="4">
        <v>1.25</v>
      </c>
      <c r="AP412" s="4">
        <f t="shared" si="1520"/>
        <v>2.5</v>
      </c>
      <c r="AQ412" s="38">
        <f t="shared" si="1398"/>
        <v>319.11126334066762</v>
      </c>
      <c r="AR412" s="38">
        <f t="shared" si="1307"/>
        <v>319.11126334066762</v>
      </c>
      <c r="AS412" s="38">
        <f t="shared" si="1308"/>
        <v>3.1272010355053257</v>
      </c>
      <c r="AT412" s="38">
        <f t="shared" si="1533"/>
        <v>319.11126334066768</v>
      </c>
      <c r="AU412" s="38">
        <f t="shared" si="1495"/>
        <v>0.99999999999999978</v>
      </c>
      <c r="AV412" s="38">
        <f t="shared" si="1534"/>
        <v>1.2813060158485035</v>
      </c>
      <c r="AW412" s="4">
        <f t="shared" si="1535"/>
        <v>0</v>
      </c>
      <c r="AX412" s="4">
        <f t="shared" si="1430"/>
        <v>309.30130636363941</v>
      </c>
      <c r="AY412" s="4">
        <f t="shared" si="1399"/>
        <v>1</v>
      </c>
      <c r="AZ412" s="38">
        <f t="shared" si="1542"/>
        <v>408.87918144341347</v>
      </c>
      <c r="BA412" s="4">
        <f t="shared" si="1400"/>
        <v>0.42600000000000005</v>
      </c>
      <c r="BB412" s="4">
        <f t="shared" si="1401"/>
        <v>68.84583127695069</v>
      </c>
      <c r="BC412" s="4">
        <f t="shared" si="1402"/>
        <v>477.72501272036413</v>
      </c>
      <c r="BE412" s="4">
        <f t="shared" si="1521"/>
        <v>1.5</v>
      </c>
      <c r="BF412" s="4">
        <f t="shared" si="1527"/>
        <v>525.51146880755698</v>
      </c>
      <c r="BH412" s="4">
        <f t="shared" si="1549"/>
        <v>392.16513766984178</v>
      </c>
      <c r="BI412" s="4">
        <f t="shared" si="1481"/>
        <v>0</v>
      </c>
      <c r="BJ412" s="4">
        <f t="shared" si="1550"/>
        <v>0</v>
      </c>
      <c r="BK412" s="4">
        <f t="shared" si="1309"/>
        <v>63.5</v>
      </c>
      <c r="BL412" s="4">
        <f t="shared" si="1310"/>
        <v>63.5</v>
      </c>
      <c r="BM412" s="4">
        <f t="shared" si="1311"/>
        <v>508</v>
      </c>
      <c r="BN412" s="4">
        <f t="shared" si="1312"/>
        <v>76.2</v>
      </c>
      <c r="BO412" s="4">
        <f t="shared" si="1313"/>
        <v>1.25</v>
      </c>
      <c r="BP412" s="25">
        <f t="shared" si="1314"/>
        <v>4</v>
      </c>
      <c r="BR412" s="4">
        <f t="shared" si="1403"/>
        <v>63.5</v>
      </c>
      <c r="BV412" s="9"/>
      <c r="BX412" s="9"/>
      <c r="BY412" s="9"/>
      <c r="BZ412" s="9">
        <f t="shared" si="1404"/>
        <v>63.5</v>
      </c>
      <c r="CA412" s="9">
        <f t="shared" si="1405"/>
        <v>130.81</v>
      </c>
      <c r="CB412" s="9">
        <f t="shared" si="1536"/>
        <v>1.7621792676747374</v>
      </c>
      <c r="CC412" s="40">
        <f t="shared" si="1431"/>
        <v>20</v>
      </c>
      <c r="CD412" s="9">
        <f t="shared" si="1406"/>
        <v>0.05</v>
      </c>
      <c r="CE412" s="9">
        <f t="shared" si="1407"/>
        <v>0.8</v>
      </c>
      <c r="CF412" s="9">
        <f t="shared" si="1408"/>
        <v>0.99524931562137331</v>
      </c>
      <c r="CG412" s="9">
        <f t="shared" si="1409"/>
        <v>0.68</v>
      </c>
      <c r="CH412" s="9">
        <f t="shared" si="1537"/>
        <v>1.3741519375646418</v>
      </c>
      <c r="CI412" s="9">
        <f t="shared" si="1538"/>
        <v>3.4353798439116048</v>
      </c>
      <c r="CJ412" s="40">
        <v>1</v>
      </c>
      <c r="CK412" s="9">
        <f t="shared" si="1539"/>
        <v>345.32438190999449</v>
      </c>
      <c r="CM412" s="4">
        <f t="shared" si="1410"/>
        <v>1.8239105992369686</v>
      </c>
      <c r="CN412" s="4">
        <f t="shared" si="1411"/>
        <v>1.180884224215198</v>
      </c>
      <c r="CO412" s="4">
        <f t="shared" si="1376"/>
        <v>1.0735026055940766</v>
      </c>
      <c r="CP412" s="4">
        <f t="shared" si="1412"/>
        <v>1.6336463933251026</v>
      </c>
      <c r="CQ412" s="4">
        <f t="shared" si="1324"/>
        <v>0.9393306132040562</v>
      </c>
      <c r="CR412" s="4">
        <f t="shared" si="1325"/>
        <v>1.0134345640672162</v>
      </c>
      <c r="CS412" s="4">
        <f t="shared" si="1377"/>
        <v>1.0515170046860745</v>
      </c>
      <c r="CT412" s="4">
        <f t="shared" si="1432"/>
        <v>6</v>
      </c>
      <c r="DA412" s="4">
        <f t="shared" ref="DA412:DB415" si="1557">CM412</f>
        <v>1.8239105992369686</v>
      </c>
      <c r="DB412" s="4">
        <f t="shared" si="1557"/>
        <v>1.180884224215198</v>
      </c>
      <c r="DC412" s="4">
        <f t="shared" ref="DC412:DC415" si="1558">CP412</f>
        <v>1.6336463933251026</v>
      </c>
      <c r="DD412" s="4">
        <f t="shared" ref="DD412:DD415" si="1559">CS412</f>
        <v>1.0515170046860745</v>
      </c>
      <c r="DE412" s="4">
        <f t="shared" ref="DE412:DF415" si="1560">CQ412</f>
        <v>0.9393306132040562</v>
      </c>
      <c r="DF412" s="4">
        <f t="shared" si="1560"/>
        <v>1.0134345640672162</v>
      </c>
      <c r="DI412" s="4">
        <f t="shared" si="1417"/>
        <v>257.30200000000002</v>
      </c>
      <c r="DL412" s="4">
        <f t="shared" si="1286"/>
        <v>1.855993152190142E-5</v>
      </c>
      <c r="DM412" s="4">
        <f t="shared" si="1287"/>
        <v>7.9242050079843862</v>
      </c>
      <c r="DN412" s="4">
        <f t="shared" si="1288"/>
        <v>0.51616926142690911</v>
      </c>
      <c r="DO412" s="4">
        <f t="shared" si="1289"/>
        <v>6.0823661140843202</v>
      </c>
      <c r="DP412" s="4">
        <f t="shared" si="1290"/>
        <v>7.063678327525893</v>
      </c>
      <c r="DQ412" s="4">
        <f t="shared" si="1291"/>
        <v>7.4691435952565444</v>
      </c>
      <c r="DR412" s="38">
        <f t="shared" si="1318"/>
        <v>600.57441235754959</v>
      </c>
      <c r="DS412" s="4">
        <f t="shared" si="1292"/>
        <v>1.0001209489672991</v>
      </c>
      <c r="DT412" s="4">
        <f t="shared" si="1293"/>
        <v>2.2583179581272428</v>
      </c>
      <c r="DU412" s="4">
        <f t="shared" si="1294"/>
        <v>319.11126334066768</v>
      </c>
      <c r="DY412" s="4">
        <f t="shared" si="1295"/>
        <v>0.85</v>
      </c>
      <c r="DZ412" s="4">
        <f t="shared" si="1296"/>
        <v>0.85</v>
      </c>
      <c r="EA412" s="4">
        <f t="shared" si="1319"/>
        <v>0.92500000000000004</v>
      </c>
      <c r="EB412" s="4">
        <f t="shared" si="1297"/>
        <v>0.78625</v>
      </c>
      <c r="ED412" s="4">
        <f t="shared" si="1320"/>
        <v>556.65945393694528</v>
      </c>
      <c r="EE412" s="25">
        <f t="shared" si="1321"/>
        <v>315.84286374429968</v>
      </c>
      <c r="EG412" s="4">
        <f t="shared" si="1514"/>
        <v>0.66831249999999998</v>
      </c>
      <c r="EH412" s="4">
        <f t="shared" si="1322"/>
        <v>7.9242050079843862</v>
      </c>
      <c r="EK412" s="4">
        <f t="shared" si="1298"/>
        <v>57.361276136431961</v>
      </c>
      <c r="EL412" s="4">
        <f t="shared" si="1299"/>
        <v>2.2583179581272428</v>
      </c>
      <c r="EM412" s="4">
        <f t="shared" si="1300"/>
        <v>0.16373944478742095</v>
      </c>
      <c r="EP412" s="4">
        <f t="shared" si="1433"/>
        <v>0.16373944478742095</v>
      </c>
      <c r="EQ412" s="4">
        <f t="shared" si="1540"/>
        <v>0.5153078711304605</v>
      </c>
      <c r="ER412" s="4">
        <f t="shared" si="1301"/>
        <v>6.0783039454128431</v>
      </c>
      <c r="ES412" s="4">
        <f t="shared" si="1418"/>
        <v>7.0619307396611051</v>
      </c>
      <c r="ET412" s="4">
        <f t="shared" si="1302"/>
        <v>135.61522386356805</v>
      </c>
      <c r="EU412" s="4">
        <f t="shared" si="1303"/>
        <v>64.325500000000005</v>
      </c>
      <c r="EV412" s="4">
        <f t="shared" si="1541"/>
        <v>1.855993152190142E-5</v>
      </c>
      <c r="EW412" s="4">
        <f t="shared" si="1419"/>
        <v>7.4692805510696889</v>
      </c>
      <c r="EX412" s="4">
        <f t="shared" si="1555"/>
        <v>600.5017822871207</v>
      </c>
      <c r="FG412" s="23">
        <f t="shared" si="1459"/>
        <v>2</v>
      </c>
      <c r="FH412" s="23">
        <f t="shared" si="1459"/>
        <v>1.2</v>
      </c>
      <c r="FI412" s="23">
        <f t="shared" si="1382"/>
        <v>1.2</v>
      </c>
      <c r="FJ412" s="23">
        <f t="shared" si="1460"/>
        <v>1.8</v>
      </c>
      <c r="FK412" s="23">
        <f t="shared" si="1460"/>
        <v>1</v>
      </c>
      <c r="FL412" s="23">
        <f t="shared" si="1460"/>
        <v>1.2</v>
      </c>
      <c r="FM412" s="23">
        <f t="shared" si="1330"/>
        <v>0</v>
      </c>
      <c r="FN412" s="23"/>
      <c r="FX412" s="4">
        <f t="shared" si="1500"/>
        <v>1</v>
      </c>
      <c r="FY412" s="4">
        <f t="shared" ref="FY412:FY449" si="1561">IF(AG412&gt;1, 0.05*(18-MIN(8,(Q412+K412)/K412))*(1-48000/MAX(60000,(G412*145))*(K412/25.4)^0.75*FZ412), 1/12*(14-MIN(8,(Q412+K412)/K412)))</f>
        <v>0.45348837209302328</v>
      </c>
      <c r="FZ412" s="4">
        <f t="shared" si="1501"/>
        <v>0.25</v>
      </c>
      <c r="GA412" s="4">
        <f t="shared" si="1502"/>
        <v>536.4991041708389</v>
      </c>
    </row>
    <row r="413" spans="1:183" ht="12" customHeight="1" x14ac:dyDescent="0.3">
      <c r="A413" s="25">
        <v>395</v>
      </c>
      <c r="B413" s="4" t="s">
        <v>605</v>
      </c>
      <c r="C413" s="4">
        <v>2016</v>
      </c>
      <c r="D413" s="4" t="s">
        <v>309</v>
      </c>
      <c r="E413" s="14" t="s">
        <v>676</v>
      </c>
      <c r="F413" s="33" t="s">
        <v>563</v>
      </c>
      <c r="G413" s="38">
        <f t="shared" si="1532"/>
        <v>889.65517241379314</v>
      </c>
      <c r="H413" s="38">
        <f>9.75*25.4</f>
        <v>247.64999999999998</v>
      </c>
      <c r="I413" s="4">
        <f t="shared" si="1420"/>
        <v>247.64999999999998</v>
      </c>
      <c r="J413" s="38">
        <f t="shared" si="1547"/>
        <v>33.655172413793103</v>
      </c>
      <c r="K413" s="38">
        <f t="shared" si="1526"/>
        <v>25.4</v>
      </c>
      <c r="L413" s="7">
        <f t="shared" si="1421"/>
        <v>9.75</v>
      </c>
      <c r="M413" s="7">
        <f t="shared" si="1422"/>
        <v>9.75</v>
      </c>
      <c r="N413" s="38">
        <f>17.3*25.4</f>
        <v>439.42</v>
      </c>
      <c r="O413" s="38">
        <f>2.6*25.4</f>
        <v>66.039999999999992</v>
      </c>
      <c r="P413" s="39">
        <f>3.6*25.4</f>
        <v>91.44</v>
      </c>
      <c r="Q413" s="7">
        <f t="shared" si="1423"/>
        <v>256.54000000000002</v>
      </c>
      <c r="R413" s="38">
        <v>2</v>
      </c>
      <c r="S413" s="4">
        <f t="shared" si="1493"/>
        <v>508</v>
      </c>
      <c r="T413" s="7">
        <f t="shared" si="1424"/>
        <v>3.0999999999999996</v>
      </c>
      <c r="U413" s="7">
        <f t="shared" si="1548"/>
        <v>3.0999999999999996</v>
      </c>
      <c r="V413" s="38">
        <v>9.1</v>
      </c>
      <c r="W413" s="4">
        <f t="shared" si="1425"/>
        <v>9.1</v>
      </c>
      <c r="X413" s="4">
        <f t="shared" si="1426"/>
        <v>10.1</v>
      </c>
      <c r="Y413" s="7">
        <f t="shared" si="1427"/>
        <v>80.72246279691916</v>
      </c>
      <c r="AB413" s="38">
        <f t="shared" si="1461"/>
        <v>367.58620689655174</v>
      </c>
      <c r="AC413" s="4">
        <v>53.3</v>
      </c>
      <c r="AD413" s="4">
        <f t="shared" si="1279"/>
        <v>0.65027889870200761</v>
      </c>
      <c r="AE413" s="38">
        <f t="shared" si="1556"/>
        <v>12.7</v>
      </c>
      <c r="AF413" s="38">
        <v>6</v>
      </c>
      <c r="AG413" s="39">
        <f>7.5*25.4</f>
        <v>190.5</v>
      </c>
      <c r="AH413" s="39">
        <v>1</v>
      </c>
      <c r="AI413" s="39">
        <v>1</v>
      </c>
      <c r="AJ413" s="7"/>
      <c r="AK413" s="4">
        <f t="shared" si="1429"/>
        <v>247.64999999999998</v>
      </c>
      <c r="AL413" s="4">
        <f t="shared" si="1304"/>
        <v>0.59145299145299157</v>
      </c>
      <c r="AM413" s="4">
        <f t="shared" si="1305"/>
        <v>223.09821631857008</v>
      </c>
      <c r="AN413" s="4">
        <f t="shared" si="1306"/>
        <v>0.76358974358974352</v>
      </c>
      <c r="AO413" s="4">
        <v>1.25</v>
      </c>
      <c r="AP413" s="4">
        <f t="shared" si="1520"/>
        <v>2.5</v>
      </c>
      <c r="AQ413" s="38">
        <f t="shared" si="1398"/>
        <v>314.86648711930036</v>
      </c>
      <c r="AR413" s="38">
        <f t="shared" si="1307"/>
        <v>314.86648711930036</v>
      </c>
      <c r="AS413" s="38">
        <f t="shared" si="1308"/>
        <v>3.1272010355053257</v>
      </c>
      <c r="AT413" s="38">
        <f t="shared" si="1533"/>
        <v>314.86648711930053</v>
      </c>
      <c r="AU413" s="38">
        <f t="shared" si="1495"/>
        <v>0.99999999999999944</v>
      </c>
      <c r="AV413" s="38">
        <f t="shared" si="1534"/>
        <v>1.9991149481237653</v>
      </c>
      <c r="AW413" s="4">
        <f t="shared" si="1535"/>
        <v>0</v>
      </c>
      <c r="AX413" s="4">
        <f t="shared" si="1430"/>
        <v>297.69869072512182</v>
      </c>
      <c r="AY413" s="4">
        <f t="shared" si="1399"/>
        <v>1</v>
      </c>
      <c r="AZ413" s="38">
        <f t="shared" si="1542"/>
        <v>629.45430106341269</v>
      </c>
      <c r="BA413" s="4">
        <f t="shared" si="1400"/>
        <v>0.3</v>
      </c>
      <c r="BB413" s="4">
        <f t="shared" si="1401"/>
        <v>46.664269771162843</v>
      </c>
      <c r="BC413" s="4">
        <f t="shared" si="1402"/>
        <v>676.11857083457551</v>
      </c>
      <c r="BE413" s="4">
        <f t="shared" si="1521"/>
        <v>1.5</v>
      </c>
      <c r="BF413" s="4">
        <f t="shared" si="1527"/>
        <v>515.59123243662441</v>
      </c>
      <c r="BH413" s="4">
        <f t="shared" si="1549"/>
        <v>603.72365196482838</v>
      </c>
      <c r="BI413" s="4">
        <f t="shared" si="1481"/>
        <v>0</v>
      </c>
      <c r="BJ413" s="4">
        <f t="shared" si="1550"/>
        <v>0</v>
      </c>
      <c r="BK413" s="4">
        <f t="shared" si="1309"/>
        <v>66.039999999999992</v>
      </c>
      <c r="BL413" s="4">
        <f t="shared" si="1310"/>
        <v>66.039999999999992</v>
      </c>
      <c r="BM413" s="4">
        <f t="shared" si="1311"/>
        <v>508</v>
      </c>
      <c r="BN413" s="4">
        <f t="shared" si="1312"/>
        <v>78.739999999999995</v>
      </c>
      <c r="BO413" s="4">
        <f t="shared" si="1313"/>
        <v>1.25</v>
      </c>
      <c r="BP413" s="25">
        <f t="shared" si="1314"/>
        <v>4</v>
      </c>
      <c r="BR413" s="4">
        <f t="shared" si="1403"/>
        <v>66.039999999999992</v>
      </c>
      <c r="BV413" s="9"/>
      <c r="BX413" s="9"/>
      <c r="BY413" s="9"/>
      <c r="BZ413" s="9">
        <f t="shared" si="1404"/>
        <v>66.039999999999992</v>
      </c>
      <c r="CA413" s="9">
        <f t="shared" si="1405"/>
        <v>128.27000000000001</v>
      </c>
      <c r="CB413" s="9">
        <f t="shared" si="1536"/>
        <v>1.7812889692205971</v>
      </c>
      <c r="CC413" s="40">
        <f t="shared" si="1431"/>
        <v>20</v>
      </c>
      <c r="CD413" s="9">
        <f t="shared" si="1406"/>
        <v>0.05</v>
      </c>
      <c r="CE413" s="9">
        <f t="shared" si="1407"/>
        <v>0.8</v>
      </c>
      <c r="CF413" s="9">
        <f t="shared" si="1408"/>
        <v>0.99524931562137331</v>
      </c>
      <c r="CG413" s="9">
        <f t="shared" si="1409"/>
        <v>0.68</v>
      </c>
      <c r="CH413" s="9">
        <f t="shared" si="1537"/>
        <v>1.3741519375646418</v>
      </c>
      <c r="CI413" s="9">
        <f t="shared" si="1538"/>
        <v>3.4353798439116048</v>
      </c>
      <c r="CJ413" s="40">
        <v>1</v>
      </c>
      <c r="CK413" s="9">
        <f t="shared" si="1539"/>
        <v>340.10260454724886</v>
      </c>
      <c r="CM413" s="4">
        <f t="shared" si="1410"/>
        <v>1.2347592325690142</v>
      </c>
      <c r="CN413" s="4">
        <f t="shared" si="1411"/>
        <v>0.54367121796819906</v>
      </c>
      <c r="CO413" s="4">
        <f t="shared" si="1376"/>
        <v>0.71294115138339709</v>
      </c>
      <c r="CP413" s="4">
        <f t="shared" si="1412"/>
        <v>1.0808097379491979</v>
      </c>
      <c r="CQ413" s="4">
        <f t="shared" si="1324"/>
        <v>0.65027889870200761</v>
      </c>
      <c r="CR413" s="4">
        <f t="shared" si="1325"/>
        <v>0.67317534853537886</v>
      </c>
      <c r="CS413" s="4">
        <f t="shared" si="1377"/>
        <v>0.71186072951306811</v>
      </c>
      <c r="CT413" s="4">
        <f t="shared" si="1432"/>
        <v>6</v>
      </c>
      <c r="DA413" s="4">
        <f t="shared" si="1557"/>
        <v>1.2347592325690142</v>
      </c>
      <c r="DB413" s="4">
        <f t="shared" si="1557"/>
        <v>0.54367121796819906</v>
      </c>
      <c r="DC413" s="4">
        <f t="shared" si="1558"/>
        <v>1.0808097379491979</v>
      </c>
      <c r="DD413" s="4">
        <f t="shared" si="1559"/>
        <v>0.71186072951306811</v>
      </c>
      <c r="DE413" s="4">
        <f t="shared" si="1560"/>
        <v>0.65027889870200761</v>
      </c>
      <c r="DF413" s="4">
        <f t="shared" si="1560"/>
        <v>0.67317534853537886</v>
      </c>
      <c r="DI413" s="4">
        <f t="shared" si="1417"/>
        <v>247.64999999999998</v>
      </c>
      <c r="DL413" s="4">
        <f t="shared" si="1286"/>
        <v>1.7863705067970267E-5</v>
      </c>
      <c r="DM413" s="4">
        <f t="shared" si="1287"/>
        <v>8.0185407818889605</v>
      </c>
      <c r="DN413" s="4">
        <f t="shared" si="1288"/>
        <v>0.32291967518123715</v>
      </c>
      <c r="DO413" s="4">
        <f t="shared" si="1289"/>
        <v>5.1019141344434411</v>
      </c>
      <c r="DP413" s="4">
        <f t="shared" si="1290"/>
        <v>6.7211189122916251</v>
      </c>
      <c r="DQ413" s="4">
        <f t="shared" si="1291"/>
        <v>7.6306804120184868</v>
      </c>
      <c r="DR413" s="38">
        <f t="shared" si="1318"/>
        <v>565.27469618078339</v>
      </c>
      <c r="DS413" s="4">
        <f t="shared" si="1292"/>
        <v>1.0001123422344698</v>
      </c>
      <c r="DT413" s="4">
        <f t="shared" si="1293"/>
        <v>3.1780497164141401</v>
      </c>
      <c r="DU413" s="4">
        <f t="shared" si="1294"/>
        <v>314.86648711930053</v>
      </c>
      <c r="DY413" s="4">
        <f t="shared" si="1295"/>
        <v>0.85</v>
      </c>
      <c r="DZ413" s="4">
        <f t="shared" si="1296"/>
        <v>0.84000000000000008</v>
      </c>
      <c r="EA413" s="4">
        <f t="shared" si="1319"/>
        <v>0.92500000000000004</v>
      </c>
      <c r="EB413" s="4">
        <f t="shared" si="1297"/>
        <v>0.77700000000000014</v>
      </c>
      <c r="ED413" s="4">
        <f t="shared" si="1320"/>
        <v>546.04822903320144</v>
      </c>
      <c r="EE413" s="25">
        <f t="shared" si="1321"/>
        <v>311.50591116294936</v>
      </c>
      <c r="EG413" s="4">
        <f t="shared" si="1514"/>
        <v>0.66045000000000009</v>
      </c>
      <c r="EH413" s="4">
        <f t="shared" si="1322"/>
        <v>8.0185407818889605</v>
      </c>
      <c r="EK413" s="4">
        <f t="shared" si="1298"/>
        <v>80.72246279691916</v>
      </c>
      <c r="EL413" s="4">
        <f t="shared" si="1299"/>
        <v>3.1780497164141406</v>
      </c>
      <c r="EM413" s="4">
        <f t="shared" si="1300"/>
        <v>0.1024367243003626</v>
      </c>
      <c r="EP413" s="4">
        <f t="shared" si="1433"/>
        <v>0.1024367243003626</v>
      </c>
      <c r="EQ413" s="4">
        <f t="shared" si="1540"/>
        <v>0.32238078242740575</v>
      </c>
      <c r="ER413" s="4">
        <f t="shared" si="1301"/>
        <v>5.0985067703728175</v>
      </c>
      <c r="ES413" s="4">
        <f t="shared" si="1418"/>
        <v>6.7198298466222051</v>
      </c>
      <c r="ET413" s="4">
        <f t="shared" si="1302"/>
        <v>105.01503720308082</v>
      </c>
      <c r="EU413" s="4">
        <f t="shared" si="1303"/>
        <v>61.912499999999994</v>
      </c>
      <c r="EV413" s="4">
        <f t="shared" si="1541"/>
        <v>1.7863705067970267E-5</v>
      </c>
      <c r="EW413" s="4">
        <f t="shared" si="1419"/>
        <v>7.6307969568708121</v>
      </c>
      <c r="EX413" s="4">
        <f t="shared" si="1555"/>
        <v>565.21119909173012</v>
      </c>
      <c r="FG413" s="23">
        <f t="shared" si="1459"/>
        <v>1.4</v>
      </c>
      <c r="FH413" s="23">
        <f t="shared" si="1459"/>
        <v>0.6</v>
      </c>
      <c r="FI413" s="23">
        <f t="shared" si="1382"/>
        <v>0.8</v>
      </c>
      <c r="FJ413" s="23">
        <f t="shared" si="1460"/>
        <v>1.2</v>
      </c>
      <c r="FK413" s="23">
        <f t="shared" si="1460"/>
        <v>0.8</v>
      </c>
      <c r="FL413" s="23">
        <f t="shared" si="1460"/>
        <v>0.8</v>
      </c>
      <c r="FM413" s="23">
        <f t="shared" si="1330"/>
        <v>1</v>
      </c>
      <c r="FN413" s="23"/>
      <c r="FX413" s="4">
        <f t="shared" si="1500"/>
        <v>1</v>
      </c>
      <c r="FY413" s="4">
        <f t="shared" si="1561"/>
        <v>0.45348837209302328</v>
      </c>
      <c r="FZ413" s="4">
        <f t="shared" si="1501"/>
        <v>0.25</v>
      </c>
      <c r="GA413" s="4">
        <f t="shared" si="1502"/>
        <v>516.37376758792493</v>
      </c>
    </row>
    <row r="414" spans="1:183" ht="12" customHeight="1" x14ac:dyDescent="0.3">
      <c r="A414" s="25">
        <v>396</v>
      </c>
      <c r="B414" s="4" t="s">
        <v>605</v>
      </c>
      <c r="C414" s="4">
        <v>2016</v>
      </c>
      <c r="D414" s="4" t="s">
        <v>309</v>
      </c>
      <c r="E414" s="14" t="s">
        <v>676</v>
      </c>
      <c r="F414" s="33" t="s">
        <v>564</v>
      </c>
      <c r="G414" s="38">
        <f t="shared" si="1532"/>
        <v>889.65517241379314</v>
      </c>
      <c r="H414" s="38">
        <f>10.1*25.4</f>
        <v>256.53999999999996</v>
      </c>
      <c r="I414" s="4">
        <f t="shared" si="1420"/>
        <v>256.53999999999996</v>
      </c>
      <c r="J414" s="38">
        <f t="shared" si="1547"/>
        <v>33.655172413793103</v>
      </c>
      <c r="K414" s="38">
        <f t="shared" si="1526"/>
        <v>25.4</v>
      </c>
      <c r="L414" s="7">
        <f t="shared" si="1421"/>
        <v>10.1</v>
      </c>
      <c r="M414" s="7">
        <f t="shared" si="1422"/>
        <v>10.1</v>
      </c>
      <c r="N414" s="38">
        <f>17.5*25.4</f>
        <v>444.5</v>
      </c>
      <c r="O414" s="38">
        <f>2.7*25.4</f>
        <v>68.58</v>
      </c>
      <c r="P414" s="39">
        <f>3.15*25.4</f>
        <v>80.009999999999991</v>
      </c>
      <c r="Q414" s="7">
        <f t="shared" si="1423"/>
        <v>256.53999999999996</v>
      </c>
      <c r="R414" s="38">
        <v>2</v>
      </c>
      <c r="S414" s="4">
        <f t="shared" si="1493"/>
        <v>508</v>
      </c>
      <c r="T414" s="7">
        <f t="shared" si="1424"/>
        <v>3.2</v>
      </c>
      <c r="U414" s="7">
        <f t="shared" si="1548"/>
        <v>3.2</v>
      </c>
      <c r="V414" s="38">
        <v>4.0999999999999996</v>
      </c>
      <c r="W414" s="4">
        <f t="shared" si="1425"/>
        <v>4.0999999999999996</v>
      </c>
      <c r="X414" s="4">
        <f t="shared" si="1426"/>
        <v>5.0999999999999996</v>
      </c>
      <c r="Y414" s="7">
        <f t="shared" si="1427"/>
        <v>57.361276136431961</v>
      </c>
      <c r="AB414" s="38">
        <f t="shared" si="1461"/>
        <v>613.10344827586221</v>
      </c>
      <c r="AC414" s="4">
        <v>88.9</v>
      </c>
      <c r="AD414" s="4">
        <f t="shared" si="1279"/>
        <v>0.95884996399514588</v>
      </c>
      <c r="AE414" s="38">
        <f t="shared" si="1556"/>
        <v>12.7</v>
      </c>
      <c r="AF414" s="38">
        <v>10</v>
      </c>
      <c r="AG414" s="39">
        <f>5*25.4</f>
        <v>127</v>
      </c>
      <c r="AH414" s="39">
        <v>3</v>
      </c>
      <c r="AI414" s="39">
        <f t="shared" ref="AI414:AI415" si="1562">AH414-1</f>
        <v>2</v>
      </c>
      <c r="AJ414" s="7"/>
      <c r="AK414" s="4">
        <f t="shared" si="1429"/>
        <v>256.53999999999996</v>
      </c>
      <c r="AL414" s="4">
        <f t="shared" si="1304"/>
        <v>0.57755775577557766</v>
      </c>
      <c r="AM414" s="4">
        <f t="shared" si="1305"/>
        <v>235.21836952025916</v>
      </c>
      <c r="AN414" s="4">
        <f t="shared" si="1306"/>
        <v>0.76336633663366338</v>
      </c>
      <c r="AO414" s="4">
        <v>1.25</v>
      </c>
      <c r="AP414" s="4">
        <f t="shared" si="1520"/>
        <v>2.5</v>
      </c>
      <c r="AQ414" s="38">
        <f t="shared" si="1398"/>
        <v>324.07809801654423</v>
      </c>
      <c r="AR414" s="38">
        <f t="shared" si="1307"/>
        <v>324.07809801654423</v>
      </c>
      <c r="AS414" s="38">
        <f t="shared" si="1308"/>
        <v>3.1272010355053257</v>
      </c>
      <c r="AT414" s="38">
        <f t="shared" si="1533"/>
        <v>324.07809801654435</v>
      </c>
      <c r="AU414" s="38">
        <f t="shared" si="1495"/>
        <v>0.99999999999999967</v>
      </c>
      <c r="AV414" s="38">
        <f t="shared" si="1534"/>
        <v>1.3457799098702932</v>
      </c>
      <c r="AW414" s="4">
        <f t="shared" si="1535"/>
        <v>0</v>
      </c>
      <c r="AX414" s="4">
        <f t="shared" si="1430"/>
        <v>308.38531039217742</v>
      </c>
      <c r="AY414" s="4">
        <f t="shared" si="1399"/>
        <v>1</v>
      </c>
      <c r="AZ414" s="38">
        <f t="shared" si="1542"/>
        <v>436.13779353964105</v>
      </c>
      <c r="BA414" s="4">
        <f t="shared" si="1400"/>
        <v>0.42600000000000005</v>
      </c>
      <c r="BB414" s="4">
        <f t="shared" si="1401"/>
        <v>68.641944313642824</v>
      </c>
      <c r="BC414" s="4">
        <f t="shared" si="1402"/>
        <v>504.7797378532839</v>
      </c>
      <c r="BE414" s="4">
        <f t="shared" si="1521"/>
        <v>1.5</v>
      </c>
      <c r="BF414" s="4">
        <f t="shared" si="1527"/>
        <v>524.72829225195699</v>
      </c>
      <c r="BH414" s="4">
        <f t="shared" si="1549"/>
        <v>418.30948018116464</v>
      </c>
      <c r="BI414" s="4">
        <f t="shared" si="1481"/>
        <v>0</v>
      </c>
      <c r="BJ414" s="4">
        <f t="shared" si="1550"/>
        <v>0</v>
      </c>
      <c r="BK414" s="4">
        <f t="shared" si="1309"/>
        <v>68.58</v>
      </c>
      <c r="BL414" s="4">
        <f t="shared" si="1310"/>
        <v>68.58</v>
      </c>
      <c r="BM414" s="4">
        <f t="shared" si="1311"/>
        <v>508</v>
      </c>
      <c r="BN414" s="4">
        <f t="shared" si="1312"/>
        <v>81.28</v>
      </c>
      <c r="BO414" s="4">
        <f t="shared" si="1313"/>
        <v>1.25</v>
      </c>
      <c r="BP414" s="25">
        <f t="shared" si="1314"/>
        <v>4</v>
      </c>
      <c r="BR414" s="4">
        <f t="shared" si="1403"/>
        <v>68.58</v>
      </c>
      <c r="BV414" s="9"/>
      <c r="BX414" s="9"/>
      <c r="BY414" s="9"/>
      <c r="BZ414" s="9">
        <f t="shared" si="1404"/>
        <v>68.58</v>
      </c>
      <c r="CA414" s="9">
        <f t="shared" si="1405"/>
        <v>128.26999999999998</v>
      </c>
      <c r="CB414" s="9">
        <f t="shared" si="1536"/>
        <v>1.8049743064805013</v>
      </c>
      <c r="CC414" s="40">
        <f t="shared" si="1431"/>
        <v>20</v>
      </c>
      <c r="CD414" s="9">
        <f t="shared" si="1406"/>
        <v>0.05</v>
      </c>
      <c r="CE414" s="9">
        <f t="shared" si="1407"/>
        <v>0.8</v>
      </c>
      <c r="CF414" s="9">
        <f t="shared" si="1408"/>
        <v>0.99524931562137331</v>
      </c>
      <c r="CG414" s="9">
        <f t="shared" si="1409"/>
        <v>0.68</v>
      </c>
      <c r="CH414" s="9">
        <f t="shared" si="1537"/>
        <v>1.3741519375646418</v>
      </c>
      <c r="CI414" s="9">
        <f t="shared" si="1538"/>
        <v>3.4353798439116048</v>
      </c>
      <c r="CJ414" s="40">
        <v>1</v>
      </c>
      <c r="CK414" s="9">
        <f t="shared" si="1539"/>
        <v>344.91213632872513</v>
      </c>
      <c r="CM414" s="4">
        <f t="shared" si="1410"/>
        <v>1.9881084721453528</v>
      </c>
      <c r="CN414" s="4">
        <f t="shared" si="1411"/>
        <v>1.2145959956381271</v>
      </c>
      <c r="CO414" s="4">
        <f t="shared" si="1376"/>
        <v>1.1684207947786249</v>
      </c>
      <c r="CP414" s="4">
        <f t="shared" si="1412"/>
        <v>1.7775641495303378</v>
      </c>
      <c r="CQ414" s="4">
        <f t="shared" si="1324"/>
        <v>0.95884996399514588</v>
      </c>
      <c r="CR414" s="4">
        <f t="shared" si="1325"/>
        <v>1.0383544149159285</v>
      </c>
      <c r="CS414" s="4">
        <f t="shared" si="1377"/>
        <v>1.1226686234334839</v>
      </c>
      <c r="CT414" s="4">
        <f t="shared" si="1432"/>
        <v>10</v>
      </c>
      <c r="DA414" s="4">
        <f t="shared" si="1557"/>
        <v>1.9881084721453528</v>
      </c>
      <c r="DB414" s="4">
        <f t="shared" si="1557"/>
        <v>1.2145959956381271</v>
      </c>
      <c r="DC414" s="4">
        <f t="shared" si="1558"/>
        <v>1.7775641495303378</v>
      </c>
      <c r="DD414" s="4">
        <f t="shared" si="1559"/>
        <v>1.1226686234334839</v>
      </c>
      <c r="DE414" s="4">
        <f t="shared" si="1560"/>
        <v>0.95884996399514588</v>
      </c>
      <c r="DF414" s="4">
        <f t="shared" si="1560"/>
        <v>1.0383544149159285</v>
      </c>
      <c r="DI414" s="4">
        <f t="shared" si="1417"/>
        <v>256.53999999999996</v>
      </c>
      <c r="DL414" s="4">
        <f t="shared" si="1286"/>
        <v>1.8504966275538429E-5</v>
      </c>
      <c r="DM414" s="4">
        <f t="shared" si="1287"/>
        <v>8.9005802678967481</v>
      </c>
      <c r="DN414" s="4">
        <f t="shared" si="1288"/>
        <v>0.5242032222449573</v>
      </c>
      <c r="DO414" s="4">
        <f t="shared" si="1289"/>
        <v>6.8741371952114356</v>
      </c>
      <c r="DP414" s="4">
        <f t="shared" si="1290"/>
        <v>7.9522777785905845</v>
      </c>
      <c r="DQ414" s="4">
        <f t="shared" si="1291"/>
        <v>8.3289542482658874</v>
      </c>
      <c r="DR414" s="38">
        <f t="shared" si="1318"/>
        <v>639.41541565200077</v>
      </c>
      <c r="DS414" s="4">
        <f t="shared" si="1292"/>
        <v>1.0001280885524086</v>
      </c>
      <c r="DT414" s="4">
        <f t="shared" si="1293"/>
        <v>2.2583179581272428</v>
      </c>
      <c r="DU414" s="4">
        <f t="shared" si="1294"/>
        <v>324.07809801654435</v>
      </c>
      <c r="DY414" s="4">
        <f t="shared" si="1295"/>
        <v>0.85</v>
      </c>
      <c r="DZ414" s="4">
        <f t="shared" si="1296"/>
        <v>0.83</v>
      </c>
      <c r="EA414" s="4">
        <f t="shared" si="1319"/>
        <v>0.77500000000000002</v>
      </c>
      <c r="EB414" s="4">
        <f t="shared" si="1297"/>
        <v>0.7</v>
      </c>
      <c r="ED414" s="4">
        <f t="shared" si="1320"/>
        <v>590.45682232256195</v>
      </c>
      <c r="EE414" s="25">
        <f t="shared" si="1321"/>
        <v>320.76924020529049</v>
      </c>
      <c r="EG414" s="4">
        <f t="shared" si="1514"/>
        <v>0.59499999999999997</v>
      </c>
      <c r="EH414" s="4">
        <f t="shared" si="1322"/>
        <v>8.9005802678967481</v>
      </c>
      <c r="EK414" s="4">
        <f t="shared" si="1298"/>
        <v>57.361276136431961</v>
      </c>
      <c r="EL414" s="4">
        <f t="shared" si="1299"/>
        <v>2.2583179581272428</v>
      </c>
      <c r="EM414" s="4">
        <f t="shared" si="1300"/>
        <v>0.16628798144408777</v>
      </c>
      <c r="EP414" s="4">
        <f t="shared" si="1433"/>
        <v>0.16628798144408777</v>
      </c>
      <c r="EQ414" s="4">
        <f t="shared" si="1540"/>
        <v>0.52332842476523023</v>
      </c>
      <c r="ER414" s="4">
        <f t="shared" si="1301"/>
        <v>6.8695462343527716</v>
      </c>
      <c r="ES414" s="4">
        <f t="shared" si="1418"/>
        <v>7.9502949408059536</v>
      </c>
      <c r="ET414" s="4">
        <f t="shared" si="1302"/>
        <v>135.043723863568</v>
      </c>
      <c r="EU414" s="4">
        <f t="shared" si="1303"/>
        <v>64.134999999999991</v>
      </c>
      <c r="EV414" s="4">
        <f t="shared" si="1541"/>
        <v>1.8504966275538429E-5</v>
      </c>
      <c r="EW414" s="4">
        <f t="shared" si="1419"/>
        <v>8.3291273734079496</v>
      </c>
      <c r="EX414" s="4">
        <f t="shared" si="1555"/>
        <v>639.33352434636095</v>
      </c>
      <c r="FG414" s="23">
        <f t="shared" si="1459"/>
        <v>2</v>
      </c>
      <c r="FH414" s="23">
        <f t="shared" si="1459"/>
        <v>1.4</v>
      </c>
      <c r="FI414" s="23">
        <f t="shared" si="1382"/>
        <v>1.2</v>
      </c>
      <c r="FJ414" s="23">
        <f t="shared" si="1460"/>
        <v>1.8</v>
      </c>
      <c r="FK414" s="23">
        <f t="shared" si="1460"/>
        <v>1</v>
      </c>
      <c r="FL414" s="23">
        <f t="shared" si="1460"/>
        <v>1.2</v>
      </c>
      <c r="FM414" s="23">
        <f t="shared" si="1330"/>
        <v>0</v>
      </c>
      <c r="FN414" s="23"/>
      <c r="FX414" s="4">
        <f t="shared" si="1500"/>
        <v>1</v>
      </c>
      <c r="FY414" s="4">
        <f t="shared" si="1561"/>
        <v>0.44418604651162791</v>
      </c>
      <c r="FZ414" s="4">
        <f t="shared" si="1501"/>
        <v>0.3</v>
      </c>
      <c r="GA414" s="4">
        <f t="shared" si="1502"/>
        <v>546.11257095686301</v>
      </c>
    </row>
    <row r="415" spans="1:183" ht="12" customHeight="1" x14ac:dyDescent="0.3">
      <c r="A415" s="25">
        <v>397</v>
      </c>
      <c r="B415" s="4" t="s">
        <v>605</v>
      </c>
      <c r="C415" s="4">
        <v>2016</v>
      </c>
      <c r="D415" s="4" t="s">
        <v>309</v>
      </c>
      <c r="E415" s="14" t="s">
        <v>676</v>
      </c>
      <c r="F415" s="33" t="s">
        <v>565</v>
      </c>
      <c r="G415" s="38">
        <f t="shared" si="1532"/>
        <v>889.65517241379314</v>
      </c>
      <c r="H415" s="38">
        <f>9.94*25.4</f>
        <v>252.47599999999997</v>
      </c>
      <c r="I415" s="4">
        <f t="shared" si="1420"/>
        <v>252.47599999999997</v>
      </c>
      <c r="J415" s="38">
        <f t="shared" si="1547"/>
        <v>33.655172413793103</v>
      </c>
      <c r="K415" s="38">
        <f t="shared" si="1526"/>
        <v>25.4</v>
      </c>
      <c r="L415" s="7">
        <f t="shared" si="1421"/>
        <v>9.94</v>
      </c>
      <c r="M415" s="7">
        <f t="shared" si="1422"/>
        <v>9.94</v>
      </c>
      <c r="N415" s="38">
        <f>17.3*25.4</f>
        <v>439.42</v>
      </c>
      <c r="O415" s="38">
        <f>2.6*25.4</f>
        <v>66.039999999999992</v>
      </c>
      <c r="P415" s="39">
        <f>3.25*25.4</f>
        <v>82.55</v>
      </c>
      <c r="Q415" s="7">
        <f t="shared" si="1423"/>
        <v>256.54000000000002</v>
      </c>
      <c r="R415" s="38">
        <v>2</v>
      </c>
      <c r="S415" s="4">
        <f t="shared" si="1493"/>
        <v>508</v>
      </c>
      <c r="T415" s="7">
        <f t="shared" si="1424"/>
        <v>3.0999999999999996</v>
      </c>
      <c r="U415" s="7">
        <f t="shared" si="1548"/>
        <v>3.0999999999999996</v>
      </c>
      <c r="V415" s="38">
        <v>9.1</v>
      </c>
      <c r="W415" s="4">
        <f t="shared" si="1425"/>
        <v>9.1</v>
      </c>
      <c r="X415" s="4">
        <f t="shared" si="1426"/>
        <v>10.1</v>
      </c>
      <c r="Y415" s="7">
        <f t="shared" si="1427"/>
        <v>80.72246279691916</v>
      </c>
      <c r="AB415" s="38">
        <f t="shared" si="1461"/>
        <v>615.17241379310349</v>
      </c>
      <c r="AC415" s="4">
        <v>89.2</v>
      </c>
      <c r="AD415" s="4">
        <f t="shared" si="1279"/>
        <v>1.0237310466798923</v>
      </c>
      <c r="AE415" s="38">
        <f t="shared" si="1556"/>
        <v>12.7</v>
      </c>
      <c r="AF415" s="38">
        <v>10</v>
      </c>
      <c r="AG415" s="39">
        <f>5*25.4</f>
        <v>127</v>
      </c>
      <c r="AH415" s="39">
        <v>3</v>
      </c>
      <c r="AI415" s="39">
        <f t="shared" si="1562"/>
        <v>2</v>
      </c>
      <c r="AJ415" s="7"/>
      <c r="AK415" s="4">
        <f t="shared" si="1429"/>
        <v>252.47599999999997</v>
      </c>
      <c r="AL415" s="4">
        <f t="shared" si="1304"/>
        <v>0.58014755197853785</v>
      </c>
      <c r="AM415" s="4">
        <f t="shared" si="1305"/>
        <v>229.651216949939</v>
      </c>
      <c r="AN415" s="4">
        <f t="shared" si="1306"/>
        <v>0.76237424547283694</v>
      </c>
      <c r="AO415" s="4">
        <v>1.25</v>
      </c>
      <c r="AP415" s="4">
        <f t="shared" si="1520"/>
        <v>2.5</v>
      </c>
      <c r="AQ415" s="38">
        <f t="shared" si="1398"/>
        <v>317.41354346112331</v>
      </c>
      <c r="AR415" s="38">
        <f t="shared" si="1307"/>
        <v>317.41354346112331</v>
      </c>
      <c r="AS415" s="38">
        <f t="shared" si="1308"/>
        <v>3.1272010355053257</v>
      </c>
      <c r="AT415" s="38">
        <f t="shared" si="1533"/>
        <v>317.41354346112354</v>
      </c>
      <c r="AU415" s="38">
        <f t="shared" si="1495"/>
        <v>0.99999999999999933</v>
      </c>
      <c r="AV415" s="38">
        <f t="shared" si="1534"/>
        <v>1.9830732305866701</v>
      </c>
      <c r="AW415" s="4">
        <f t="shared" si="1535"/>
        <v>0</v>
      </c>
      <c r="AX415" s="4">
        <f t="shared" si="1430"/>
        <v>303.49999854438056</v>
      </c>
      <c r="AY415" s="4">
        <f t="shared" si="1399"/>
        <v>1</v>
      </c>
      <c r="AZ415" s="38">
        <f t="shared" si="1542"/>
        <v>629.45430106341269</v>
      </c>
      <c r="BA415" s="4">
        <f t="shared" si="1400"/>
        <v>0.3</v>
      </c>
      <c r="BB415" s="4">
        <f t="shared" si="1401"/>
        <v>47.573624771831646</v>
      </c>
      <c r="BC415" s="4">
        <f t="shared" si="1402"/>
        <v>677.02792583524433</v>
      </c>
      <c r="BE415" s="4">
        <f t="shared" si="1521"/>
        <v>1.5</v>
      </c>
      <c r="BF415" s="4">
        <f t="shared" si="1527"/>
        <v>520.55135062209069</v>
      </c>
      <c r="BH415" s="4">
        <f t="shared" si="1549"/>
        <v>603.72365196482838</v>
      </c>
      <c r="BI415" s="4">
        <f t="shared" si="1481"/>
        <v>0</v>
      </c>
      <c r="BJ415" s="4">
        <f t="shared" si="1550"/>
        <v>0</v>
      </c>
      <c r="BK415" s="4">
        <f t="shared" si="1309"/>
        <v>66.039999999999992</v>
      </c>
      <c r="BL415" s="4">
        <f t="shared" si="1310"/>
        <v>66.039999999999992</v>
      </c>
      <c r="BM415" s="4">
        <f t="shared" si="1311"/>
        <v>508</v>
      </c>
      <c r="BN415" s="4">
        <f t="shared" si="1312"/>
        <v>78.739999999999995</v>
      </c>
      <c r="BO415" s="4">
        <f t="shared" si="1313"/>
        <v>1.25</v>
      </c>
      <c r="BP415" s="25">
        <f t="shared" si="1314"/>
        <v>4</v>
      </c>
      <c r="BR415" s="4">
        <f t="shared" si="1403"/>
        <v>66.039999999999992</v>
      </c>
      <c r="BV415" s="9"/>
      <c r="BX415" s="9"/>
      <c r="BY415" s="9"/>
      <c r="BZ415" s="9">
        <f t="shared" si="1404"/>
        <v>66.039999999999992</v>
      </c>
      <c r="CA415" s="9">
        <f t="shared" si="1405"/>
        <v>128.27000000000001</v>
      </c>
      <c r="CB415" s="9">
        <f t="shared" si="1536"/>
        <v>1.7812889692205971</v>
      </c>
      <c r="CC415" s="40">
        <f t="shared" si="1431"/>
        <v>20</v>
      </c>
      <c r="CD415" s="9">
        <f t="shared" si="1406"/>
        <v>0.05</v>
      </c>
      <c r="CE415" s="9">
        <f t="shared" si="1407"/>
        <v>0.8</v>
      </c>
      <c r="CF415" s="9">
        <f t="shared" si="1408"/>
        <v>0.99524931562137331</v>
      </c>
      <c r="CG415" s="9">
        <f t="shared" si="1409"/>
        <v>0.68</v>
      </c>
      <c r="CH415" s="9">
        <f t="shared" si="1537"/>
        <v>1.3741519375646418</v>
      </c>
      <c r="CI415" s="9">
        <f t="shared" si="1538"/>
        <v>3.4353798439116048</v>
      </c>
      <c r="CJ415" s="40">
        <v>1</v>
      </c>
      <c r="CK415" s="9">
        <f t="shared" si="1539"/>
        <v>342.7134932286217</v>
      </c>
      <c r="CM415" s="4">
        <f t="shared" si="1410"/>
        <v>2.0269272380347223</v>
      </c>
      <c r="CN415" s="4">
        <f t="shared" si="1411"/>
        <v>0.90863669033174643</v>
      </c>
      <c r="CO415" s="4">
        <f t="shared" si="1376"/>
        <v>1.1817708532653595</v>
      </c>
      <c r="CP415" s="4">
        <f t="shared" si="1412"/>
        <v>1.7950049412928319</v>
      </c>
      <c r="CQ415" s="4">
        <f t="shared" si="1324"/>
        <v>1.0237310466798923</v>
      </c>
      <c r="CR415" s="4">
        <f t="shared" si="1325"/>
        <v>1.0615276951705674</v>
      </c>
      <c r="CS415" s="4">
        <f t="shared" si="1377"/>
        <v>1.1445892636173558</v>
      </c>
      <c r="CT415" s="4">
        <f t="shared" si="1432"/>
        <v>10</v>
      </c>
      <c r="DA415" s="4">
        <f t="shared" si="1557"/>
        <v>2.0269272380347223</v>
      </c>
      <c r="DB415" s="4">
        <f t="shared" si="1557"/>
        <v>0.90863669033174643</v>
      </c>
      <c r="DC415" s="4">
        <f t="shared" si="1558"/>
        <v>1.7950049412928319</v>
      </c>
      <c r="DD415" s="4">
        <f t="shared" si="1559"/>
        <v>1.1445892636173558</v>
      </c>
      <c r="DE415" s="4">
        <f t="shared" si="1560"/>
        <v>1.0237310466798923</v>
      </c>
      <c r="DF415" s="4">
        <f t="shared" si="1560"/>
        <v>1.0615276951705674</v>
      </c>
      <c r="DI415" s="4">
        <f t="shared" si="1417"/>
        <v>252.47599999999997</v>
      </c>
      <c r="DL415" s="4">
        <f t="shared" si="1286"/>
        <v>1.8211818294935842E-5</v>
      </c>
      <c r="DM415" s="4">
        <f t="shared" si="1287"/>
        <v>8.9005802678967481</v>
      </c>
      <c r="DN415" s="4">
        <f t="shared" si="1288"/>
        <v>0.32553187635289799</v>
      </c>
      <c r="DO415" s="4">
        <f t="shared" si="1289"/>
        <v>5.681404745877507</v>
      </c>
      <c r="DP415" s="4">
        <f t="shared" si="1290"/>
        <v>7.467367537933904</v>
      </c>
      <c r="DQ415" s="4">
        <f t="shared" si="1291"/>
        <v>8.4029386811928486</v>
      </c>
      <c r="DR415" s="38">
        <f t="shared" si="1318"/>
        <v>600.91213975408527</v>
      </c>
      <c r="DS415" s="4">
        <f t="shared" si="1292"/>
        <v>1.0001187924454131</v>
      </c>
      <c r="DT415" s="4">
        <f t="shared" si="1293"/>
        <v>3.1780497164141401</v>
      </c>
      <c r="DU415" s="4">
        <f t="shared" si="1294"/>
        <v>317.41354346112354</v>
      </c>
      <c r="DY415" s="4">
        <f t="shared" si="1295"/>
        <v>0.85</v>
      </c>
      <c r="DZ415" s="4">
        <f t="shared" si="1296"/>
        <v>0.84000000000000008</v>
      </c>
      <c r="EA415" s="4">
        <f t="shared" si="1319"/>
        <v>0.77500000000000002</v>
      </c>
      <c r="EB415" s="4">
        <f t="shared" si="1297"/>
        <v>0.7</v>
      </c>
      <c r="ED415" s="4">
        <f t="shared" si="1320"/>
        <v>579.51612246372611</v>
      </c>
      <c r="EE415" s="25">
        <f t="shared" si="1321"/>
        <v>314.10081887504515</v>
      </c>
      <c r="EG415" s="4">
        <f t="shared" si="1514"/>
        <v>0.59499999999999997</v>
      </c>
      <c r="EH415" s="4">
        <f t="shared" si="1322"/>
        <v>8.9005802678967481</v>
      </c>
      <c r="EK415" s="4">
        <f t="shared" si="1298"/>
        <v>80.72246279691916</v>
      </c>
      <c r="EL415" s="4">
        <f t="shared" si="1299"/>
        <v>3.1780497164141406</v>
      </c>
      <c r="EM415" s="4">
        <f t="shared" si="1300"/>
        <v>0.10326536792849809</v>
      </c>
      <c r="EP415" s="4">
        <f t="shared" si="1433"/>
        <v>0.10326536792849809</v>
      </c>
      <c r="EQ415" s="4">
        <f t="shared" si="1540"/>
        <v>0.32498862432215925</v>
      </c>
      <c r="ER415" s="4">
        <f t="shared" si="1301"/>
        <v>5.6776103632415724</v>
      </c>
      <c r="ES415" s="4">
        <f t="shared" si="1418"/>
        <v>7.4659286608579007</v>
      </c>
      <c r="ET415" s="4">
        <f t="shared" si="1302"/>
        <v>108.63453720308081</v>
      </c>
      <c r="EU415" s="4">
        <f t="shared" si="1303"/>
        <v>63.119</v>
      </c>
      <c r="EV415" s="4">
        <f t="shared" si="1541"/>
        <v>1.8211818294935842E-5</v>
      </c>
      <c r="EW415" s="4">
        <f t="shared" si="1419"/>
        <v>8.4030871344931715</v>
      </c>
      <c r="EX415" s="4">
        <f t="shared" si="1555"/>
        <v>600.84076441037701</v>
      </c>
      <c r="FG415" s="23">
        <f t="shared" si="1459"/>
        <v>2.2000000000000002</v>
      </c>
      <c r="FH415" s="23">
        <f t="shared" si="1459"/>
        <v>1</v>
      </c>
      <c r="FI415" s="23">
        <f t="shared" si="1382"/>
        <v>1.2</v>
      </c>
      <c r="FJ415" s="23">
        <f t="shared" si="1460"/>
        <v>1.8</v>
      </c>
      <c r="FK415" s="23">
        <f t="shared" si="1460"/>
        <v>1.2</v>
      </c>
      <c r="FL415" s="23">
        <f t="shared" si="1460"/>
        <v>1.2</v>
      </c>
      <c r="FM415" s="23">
        <f t="shared" si="1330"/>
        <v>0</v>
      </c>
      <c r="FN415" s="23"/>
      <c r="FX415" s="4">
        <f t="shared" si="1500"/>
        <v>1</v>
      </c>
      <c r="FY415" s="4">
        <f t="shared" si="1561"/>
        <v>0.44418604651162791</v>
      </c>
      <c r="FZ415" s="4">
        <f t="shared" si="1501"/>
        <v>0.3</v>
      </c>
      <c r="GA415" s="4">
        <f t="shared" si="1502"/>
        <v>537.46128270408099</v>
      </c>
    </row>
    <row r="416" spans="1:183" ht="12" customHeight="1" x14ac:dyDescent="0.3">
      <c r="A416" s="25">
        <v>398</v>
      </c>
      <c r="B416" s="4" t="s">
        <v>605</v>
      </c>
      <c r="C416" s="4">
        <v>2016</v>
      </c>
      <c r="D416" s="4" t="s">
        <v>309</v>
      </c>
      <c r="E416" s="14" t="s">
        <v>566</v>
      </c>
      <c r="F416" s="33" t="s">
        <v>567</v>
      </c>
      <c r="G416" s="38">
        <f>135/0.145</f>
        <v>931.0344827586207</v>
      </c>
      <c r="H416" s="38">
        <f>14.5*25.4</f>
        <v>368.29999999999995</v>
      </c>
      <c r="I416" s="4">
        <f t="shared" si="1420"/>
        <v>368.29999999999995</v>
      </c>
      <c r="J416" s="38">
        <f>8660/145</f>
        <v>59.724137931034484</v>
      </c>
      <c r="K416" s="38">
        <f t="shared" ref="K416:K421" si="1563">1.41*25.4</f>
        <v>35.813999999999993</v>
      </c>
      <c r="L416" s="7">
        <f t="shared" si="1421"/>
        <v>10.283687943262413</v>
      </c>
      <c r="M416" s="7">
        <f t="shared" si="1422"/>
        <v>10.283687943262413</v>
      </c>
      <c r="N416" s="38">
        <f>21.8*25.4</f>
        <v>553.72</v>
      </c>
      <c r="O416" s="38">
        <f>2.65*25.4</f>
        <v>67.309999999999988</v>
      </c>
      <c r="P416" s="39">
        <f>3.4*25.4</f>
        <v>86.36</v>
      </c>
      <c r="Q416" s="7">
        <f t="shared" si="1423"/>
        <v>347.47200000000009</v>
      </c>
      <c r="R416" s="38">
        <v>2</v>
      </c>
      <c r="S416" s="4">
        <f t="shared" si="1493"/>
        <v>508</v>
      </c>
      <c r="T416" s="7">
        <f t="shared" si="1424"/>
        <v>2.3794326241134751</v>
      </c>
      <c r="U416" s="7">
        <f t="shared" si="1548"/>
        <v>2.3794326241134751</v>
      </c>
      <c r="V416" s="38">
        <v>3.8</v>
      </c>
      <c r="W416" s="4">
        <f t="shared" si="1425"/>
        <v>3.8</v>
      </c>
      <c r="X416" s="4">
        <f t="shared" si="1426"/>
        <v>4.8</v>
      </c>
      <c r="Y416" s="7">
        <f t="shared" si="1427"/>
        <v>78.464542697960056</v>
      </c>
      <c r="AB416" s="38">
        <f t="shared" si="1461"/>
        <v>349.65517241379314</v>
      </c>
      <c r="AC416" s="4">
        <v>50.7</v>
      </c>
      <c r="AD416" s="4">
        <f t="shared" si="1279"/>
        <v>0.58197921135499686</v>
      </c>
      <c r="AE416" s="38">
        <v>0</v>
      </c>
      <c r="AF416" s="38">
        <v>0</v>
      </c>
      <c r="AG416" s="39">
        <f t="shared" ref="AG416" si="1564">I416</f>
        <v>368.29999999999995</v>
      </c>
      <c r="AH416" s="39"/>
      <c r="AI416" s="39"/>
      <c r="AJ416" s="7"/>
      <c r="AK416" s="4">
        <f t="shared" si="1429"/>
        <v>368.29999999999995</v>
      </c>
      <c r="AL416" s="4">
        <f t="shared" si="1304"/>
        <v>0.50114942528735651</v>
      </c>
      <c r="AM416" s="4">
        <f t="shared" si="1305"/>
        <v>271.11402683702772</v>
      </c>
      <c r="AN416" s="4">
        <f t="shared" si="1306"/>
        <v>0.74627586206896546</v>
      </c>
      <c r="AO416" s="4">
        <v>1.25</v>
      </c>
      <c r="AP416" s="4">
        <f t="shared" si="1520"/>
        <v>2.5</v>
      </c>
      <c r="AQ416" s="38">
        <f t="shared" si="1398"/>
        <v>316.86089219181434</v>
      </c>
      <c r="AR416" s="38">
        <f t="shared" si="1307"/>
        <v>316.86089219181434</v>
      </c>
      <c r="AS416" s="38">
        <f t="shared" si="1308"/>
        <v>4.3472312358327088</v>
      </c>
      <c r="AT416" s="38">
        <f t="shared" si="1533"/>
        <v>316.86089219181434</v>
      </c>
      <c r="AU416" s="38">
        <f t="shared" si="1495"/>
        <v>1</v>
      </c>
      <c r="AV416" s="38">
        <f t="shared" si="1534"/>
        <v>1.7485435555071853</v>
      </c>
      <c r="AW416" s="4">
        <f t="shared" si="1535"/>
        <v>0</v>
      </c>
      <c r="AX416" s="4">
        <f t="shared" si="1430"/>
        <v>418.28301861035618</v>
      </c>
      <c r="AY416" s="4">
        <f t="shared" si="1399"/>
        <v>1</v>
      </c>
      <c r="AZ416" s="38">
        <f t="shared" si="1542"/>
        <v>554.04507103425397</v>
      </c>
      <c r="BA416" s="4">
        <f t="shared" si="1400"/>
        <v>0.46800000000000008</v>
      </c>
      <c r="BB416" s="4">
        <f t="shared" si="1401"/>
        <v>102.28274654079043</v>
      </c>
      <c r="BC416" s="4">
        <f t="shared" si="1402"/>
        <v>656.32781757504438</v>
      </c>
      <c r="BE416" s="4">
        <f t="shared" si="1521"/>
        <v>1.2198581560283688</v>
      </c>
      <c r="BF416" s="4">
        <f t="shared" si="1527"/>
        <v>573.65720730466944</v>
      </c>
      <c r="BH416" s="4">
        <f t="shared" si="1549"/>
        <v>531.39697841895475</v>
      </c>
      <c r="BI416" s="4">
        <f t="shared" si="1481"/>
        <v>0</v>
      </c>
      <c r="BJ416" s="4">
        <f t="shared" si="1550"/>
        <v>0</v>
      </c>
      <c r="BK416" s="4">
        <f t="shared" si="1309"/>
        <v>67.309999999999988</v>
      </c>
      <c r="BL416" s="4">
        <f t="shared" si="1310"/>
        <v>67.309999999999988</v>
      </c>
      <c r="BM416" s="4">
        <f t="shared" si="1311"/>
        <v>508</v>
      </c>
      <c r="BN416" s="4">
        <f t="shared" si="1312"/>
        <v>85.216999999999985</v>
      </c>
      <c r="BO416" s="4">
        <f t="shared" si="1313"/>
        <v>1.25</v>
      </c>
      <c r="BP416" s="25">
        <f t="shared" si="1314"/>
        <v>2.9742907801418439</v>
      </c>
      <c r="BR416" s="4">
        <f t="shared" si="1403"/>
        <v>67.309999999999988</v>
      </c>
      <c r="BV416" s="9"/>
      <c r="BX416" s="9"/>
      <c r="BY416" s="9"/>
      <c r="BZ416" s="9">
        <f t="shared" si="1404"/>
        <v>67.309999999999988</v>
      </c>
      <c r="CA416" s="9">
        <f t="shared" si="1405"/>
        <v>173.73600000000005</v>
      </c>
      <c r="CB416" s="9">
        <f t="shared" si="1536"/>
        <v>1.5804651169733801</v>
      </c>
      <c r="CC416" s="40">
        <f t="shared" si="1431"/>
        <v>20</v>
      </c>
      <c r="CD416" s="9">
        <f t="shared" si="1406"/>
        <v>0</v>
      </c>
      <c r="CE416" s="9">
        <f t="shared" si="1407"/>
        <v>0</v>
      </c>
      <c r="CF416" s="9">
        <f t="shared" si="1408"/>
        <v>0.89777220146327208</v>
      </c>
      <c r="CG416" s="9">
        <f t="shared" si="1409"/>
        <v>0.68</v>
      </c>
      <c r="CH416" s="9">
        <f t="shared" si="1537"/>
        <v>1.6512698668680077</v>
      </c>
      <c r="CI416" s="9">
        <f t="shared" si="1538"/>
        <v>2.6097744232941635</v>
      </c>
      <c r="CJ416" s="40">
        <v>1</v>
      </c>
      <c r="CK416" s="9">
        <f t="shared" si="1539"/>
        <v>263.93888848350906</v>
      </c>
      <c r="CM416" s="4">
        <f t="shared" si="1410"/>
        <v>0.83592963820390698</v>
      </c>
      <c r="CN416" s="4">
        <f t="shared" si="1411"/>
        <v>0.53274470935221885</v>
      </c>
      <c r="CO416" s="4">
        <f t="shared" si="1376"/>
        <v>0.60951935748641473</v>
      </c>
      <c r="CP416" s="4">
        <f t="shared" si="1412"/>
        <v>1.3247580696530805</v>
      </c>
      <c r="CQ416" s="4">
        <f t="shared" si="1324"/>
        <v>0.58197921135499686</v>
      </c>
      <c r="CR416" s="4">
        <f t="shared" si="1325"/>
        <v>0.61746193238869718</v>
      </c>
      <c r="CS416" s="4">
        <f t="shared" si="1377"/>
        <v>0.72823307370272738</v>
      </c>
      <c r="CT416" s="4">
        <f t="shared" si="1432"/>
        <v>0</v>
      </c>
      <c r="CU416" s="4">
        <f t="shared" ref="CU416:CV416" si="1565">CM416</f>
        <v>0.83592963820390698</v>
      </c>
      <c r="CV416" s="4">
        <f t="shared" si="1565"/>
        <v>0.53274470935221885</v>
      </c>
      <c r="CW416" s="4">
        <f t="shared" ref="CW416" si="1566">CP416</f>
        <v>1.3247580696530805</v>
      </c>
      <c r="CX416" s="4">
        <f t="shared" ref="CX416" si="1567">CS416</f>
        <v>0.72823307370272738</v>
      </c>
      <c r="CY416" s="4">
        <f t="shared" ref="CY416:CZ416" si="1568">CQ416</f>
        <v>0.58197921135499686</v>
      </c>
      <c r="CZ416" s="4">
        <f t="shared" si="1568"/>
        <v>0.61746193238869718</v>
      </c>
      <c r="DI416" s="4">
        <f t="shared" si="1417"/>
        <v>368.29999999999995</v>
      </c>
      <c r="DL416" s="4">
        <f t="shared" si="1286"/>
        <v>2.2289464375323425E-5</v>
      </c>
      <c r="DM416" s="4">
        <f t="shared" si="1287"/>
        <v>8.1900405055518455</v>
      </c>
      <c r="DN416" s="4">
        <f t="shared" si="1288"/>
        <v>0.42626088173198085</v>
      </c>
      <c r="DO416" s="4">
        <f t="shared" si="1289"/>
        <v>5.8231267217522005</v>
      </c>
      <c r="DP416" s="4">
        <f t="shared" si="1290"/>
        <v>7.1061034946776394</v>
      </c>
      <c r="DQ416" s="4">
        <f t="shared" si="1291"/>
        <v>7.3859926828278253</v>
      </c>
      <c r="DR416" s="38">
        <f t="shared" si="1318"/>
        <v>600.80354348002606</v>
      </c>
      <c r="DS416" s="4">
        <f t="shared" si="1292"/>
        <v>1.0001114253624004</v>
      </c>
      <c r="DT416" s="4">
        <f t="shared" si="1293"/>
        <v>2.1908902300206643</v>
      </c>
      <c r="DU416" s="4">
        <f t="shared" si="1294"/>
        <v>316.86089219181434</v>
      </c>
      <c r="DY416" s="4">
        <f t="shared" si="1295"/>
        <v>0.85</v>
      </c>
      <c r="DZ416" s="4">
        <f t="shared" si="1296"/>
        <v>0.91205673758865247</v>
      </c>
      <c r="EA416" s="4">
        <f t="shared" si="1319"/>
        <v>1</v>
      </c>
      <c r="EB416" s="4">
        <f t="shared" si="1297"/>
        <v>0.91205673758865247</v>
      </c>
      <c r="ED416" s="4">
        <f t="shared" si="1320"/>
        <v>566.27810407862103</v>
      </c>
      <c r="EE416" s="25">
        <f t="shared" si="1321"/>
        <v>313.6066416732981</v>
      </c>
      <c r="EG416" s="4">
        <f t="shared" si="1514"/>
        <v>0.77524822695035456</v>
      </c>
      <c r="EH416" s="4">
        <f t="shared" si="1322"/>
        <v>8.1900405055518455</v>
      </c>
      <c r="EK416" s="4">
        <f t="shared" si="1298"/>
        <v>78.464542697960056</v>
      </c>
      <c r="EL416" s="4">
        <f t="shared" si="1299"/>
        <v>2.1908902300206643</v>
      </c>
      <c r="EM416" s="4">
        <f t="shared" si="1300"/>
        <v>0.18012985077882213</v>
      </c>
      <c r="EP416" s="4">
        <f t="shared" si="1433"/>
        <v>0.18012985077882213</v>
      </c>
      <c r="EQ416" s="4">
        <f t="shared" si="1540"/>
        <v>0.42554953176459903</v>
      </c>
      <c r="ER416" s="4">
        <f t="shared" si="1301"/>
        <v>5.8192376886858801</v>
      </c>
      <c r="ES416" s="4">
        <f t="shared" si="1418"/>
        <v>7.1045123592589068</v>
      </c>
      <c r="ET416" s="4">
        <f t="shared" si="1302"/>
        <v>197.76045730203992</v>
      </c>
      <c r="EU416" s="4">
        <f t="shared" si="1303"/>
        <v>92.074999999999989</v>
      </c>
      <c r="EV416" s="4">
        <f t="shared" si="1541"/>
        <v>2.2289464375323425E-5</v>
      </c>
      <c r="EW416" s="4">
        <f t="shared" si="1419"/>
        <v>7.3862152384274316</v>
      </c>
      <c r="EX416" s="4">
        <f t="shared" si="1555"/>
        <v>600.73660618597455</v>
      </c>
      <c r="FG416" s="23">
        <f t="shared" si="1459"/>
        <v>1</v>
      </c>
      <c r="FH416" s="23">
        <f t="shared" si="1459"/>
        <v>0.6</v>
      </c>
      <c r="FI416" s="23">
        <f t="shared" si="1382"/>
        <v>0.8</v>
      </c>
      <c r="FJ416" s="23">
        <f t="shared" si="1460"/>
        <v>1.4</v>
      </c>
      <c r="FK416" s="23">
        <f t="shared" si="1460"/>
        <v>0.6</v>
      </c>
      <c r="FL416" s="23">
        <f t="shared" si="1460"/>
        <v>0.8</v>
      </c>
      <c r="FM416" s="23">
        <f t="shared" si="1330"/>
        <v>1</v>
      </c>
      <c r="FN416" s="23"/>
      <c r="FX416" s="4">
        <f t="shared" si="1500"/>
        <v>1</v>
      </c>
      <c r="FY416" s="4">
        <f t="shared" si="1561"/>
        <v>0.5</v>
      </c>
      <c r="FZ416" s="4">
        <f t="shared" si="1501"/>
        <v>0</v>
      </c>
      <c r="GA416" s="4">
        <f t="shared" si="1502"/>
        <v>480.14184612071898</v>
      </c>
    </row>
    <row r="417" spans="1:183" ht="12" customHeight="1" x14ac:dyDescent="0.3">
      <c r="A417" s="25">
        <v>399</v>
      </c>
      <c r="B417" s="4" t="s">
        <v>605</v>
      </c>
      <c r="C417" s="4">
        <v>2016</v>
      </c>
      <c r="D417" s="4" t="s">
        <v>309</v>
      </c>
      <c r="E417" s="14" t="s">
        <v>566</v>
      </c>
      <c r="F417" s="33" t="s">
        <v>568</v>
      </c>
      <c r="G417" s="38">
        <f t="shared" ref="G417:G421" si="1569">135/0.145</f>
        <v>931.0344827586207</v>
      </c>
      <c r="H417" s="38">
        <f>14.69*25.4</f>
        <v>373.12599999999998</v>
      </c>
      <c r="I417" s="4">
        <f t="shared" si="1420"/>
        <v>373.12599999999998</v>
      </c>
      <c r="J417" s="38">
        <f>8660/145</f>
        <v>59.724137931034484</v>
      </c>
      <c r="K417" s="38">
        <f t="shared" si="1563"/>
        <v>35.813999999999993</v>
      </c>
      <c r="L417" s="7">
        <f t="shared" si="1421"/>
        <v>10.418439716312058</v>
      </c>
      <c r="M417" s="7">
        <f t="shared" si="1422"/>
        <v>10.418439716312058</v>
      </c>
      <c r="N417" s="38">
        <f>21.8*25.4</f>
        <v>553.72</v>
      </c>
      <c r="O417" s="38">
        <f>2.55*25.4</f>
        <v>64.77</v>
      </c>
      <c r="P417" s="39">
        <f>3.2*25.4</f>
        <v>81.28</v>
      </c>
      <c r="Q417" s="7">
        <f t="shared" si="1423"/>
        <v>352.55200000000002</v>
      </c>
      <c r="R417" s="38">
        <v>2</v>
      </c>
      <c r="S417" s="4">
        <f t="shared" si="1493"/>
        <v>508</v>
      </c>
      <c r="T417" s="7">
        <f t="shared" si="1424"/>
        <v>2.3085106382978724</v>
      </c>
      <c r="U417" s="7">
        <f t="shared" si="1548"/>
        <v>2.3085106382978724</v>
      </c>
      <c r="V417" s="38">
        <v>3.8</v>
      </c>
      <c r="W417" s="4">
        <f t="shared" si="1425"/>
        <v>3.8</v>
      </c>
      <c r="X417" s="4">
        <f t="shared" si="1426"/>
        <v>4.8</v>
      </c>
      <c r="Y417" s="7">
        <f t="shared" si="1427"/>
        <v>78.464542697960056</v>
      </c>
      <c r="AB417" s="38">
        <f t="shared" si="1461"/>
        <v>391.03448275862075</v>
      </c>
      <c r="AC417" s="4">
        <v>56.7</v>
      </c>
      <c r="AD417" s="4">
        <f t="shared" si="1279"/>
        <v>0.64761509962742803</v>
      </c>
      <c r="AE417" s="38">
        <f t="shared" ref="AE417:AE418" si="1570">0.5*25.4</f>
        <v>12.7</v>
      </c>
      <c r="AF417" s="38">
        <v>4</v>
      </c>
      <c r="AG417" s="39">
        <f>8*25.4</f>
        <v>203.2</v>
      </c>
      <c r="AH417" s="39">
        <v>2</v>
      </c>
      <c r="AI417" s="39">
        <f t="shared" ref="AI417:AI418" si="1571">AH417-1</f>
        <v>1</v>
      </c>
      <c r="AJ417" s="7"/>
      <c r="AK417" s="4">
        <f t="shared" si="1429"/>
        <v>373.12599999999998</v>
      </c>
      <c r="AL417" s="4">
        <f t="shared" si="1304"/>
        <v>0.49466757431359204</v>
      </c>
      <c r="AM417" s="4">
        <f t="shared" si="1305"/>
        <v>276.46023823193622</v>
      </c>
      <c r="AN417" s="4">
        <f t="shared" si="1306"/>
        <v>0.74431586113002035</v>
      </c>
      <c r="AO417" s="4">
        <v>1.25</v>
      </c>
      <c r="AP417" s="4">
        <f t="shared" si="1520"/>
        <v>2.5</v>
      </c>
      <c r="AQ417" s="38">
        <f t="shared" si="1398"/>
        <v>318.09249051752539</v>
      </c>
      <c r="AR417" s="38">
        <f t="shared" si="1307"/>
        <v>318.09249051752539</v>
      </c>
      <c r="AS417" s="38">
        <f t="shared" si="1308"/>
        <v>4.3472312358327088</v>
      </c>
      <c r="AT417" s="38">
        <f t="shared" si="1533"/>
        <v>318.09249051752539</v>
      </c>
      <c r="AU417" s="38">
        <f t="shared" si="1495"/>
        <v>1</v>
      </c>
      <c r="AV417" s="38">
        <f t="shared" si="1534"/>
        <v>1.689857748922543</v>
      </c>
      <c r="AW417" s="4">
        <f t="shared" si="1535"/>
        <v>0</v>
      </c>
      <c r="AX417" s="4">
        <f t="shared" si="1430"/>
        <v>423.76396850938846</v>
      </c>
      <c r="AY417" s="4">
        <f t="shared" si="1399"/>
        <v>1</v>
      </c>
      <c r="AZ417" s="38">
        <f t="shared" si="1542"/>
        <v>537.53105997511079</v>
      </c>
      <c r="BA417" s="4">
        <f t="shared" si="1400"/>
        <v>0.46800000000000008</v>
      </c>
      <c r="BB417" s="4">
        <f t="shared" si="1401"/>
        <v>103.6230032196008</v>
      </c>
      <c r="BC417" s="4">
        <f t="shared" si="1402"/>
        <v>641.15406319471163</v>
      </c>
      <c r="BE417" s="4">
        <f t="shared" si="1521"/>
        <v>1.4806376465948399</v>
      </c>
      <c r="BF417" s="4">
        <f t="shared" si="1527"/>
        <v>700.91852660728603</v>
      </c>
      <c r="BH417" s="4">
        <f t="shared" si="1549"/>
        <v>515.55802228128107</v>
      </c>
      <c r="BI417" s="4">
        <f t="shared" si="1481"/>
        <v>0</v>
      </c>
      <c r="BJ417" s="4">
        <f t="shared" si="1550"/>
        <v>0</v>
      </c>
      <c r="BK417" s="4">
        <f t="shared" si="1309"/>
        <v>64.77</v>
      </c>
      <c r="BL417" s="4">
        <f t="shared" si="1310"/>
        <v>64.77</v>
      </c>
      <c r="BM417" s="4">
        <f t="shared" si="1311"/>
        <v>508</v>
      </c>
      <c r="BN417" s="4">
        <f t="shared" si="1312"/>
        <v>82.676999999999992</v>
      </c>
      <c r="BO417" s="4">
        <f t="shared" si="1313"/>
        <v>1.25</v>
      </c>
      <c r="BP417" s="25">
        <f t="shared" si="1314"/>
        <v>3.9304119224096969</v>
      </c>
      <c r="BR417" s="4">
        <f t="shared" si="1403"/>
        <v>64.77</v>
      </c>
      <c r="BV417" s="9"/>
      <c r="BX417" s="9"/>
      <c r="BY417" s="9"/>
      <c r="BZ417" s="9">
        <f t="shared" si="1404"/>
        <v>64.77</v>
      </c>
      <c r="CA417" s="9">
        <f t="shared" si="1405"/>
        <v>176.27600000000001</v>
      </c>
      <c r="CB417" s="9">
        <f t="shared" si="1536"/>
        <v>1.5627281214384319</v>
      </c>
      <c r="CC417" s="40">
        <f t="shared" si="1431"/>
        <v>20</v>
      </c>
      <c r="CD417" s="9">
        <f t="shared" si="1406"/>
        <v>0.05</v>
      </c>
      <c r="CE417" s="9">
        <f t="shared" si="1407"/>
        <v>0.8</v>
      </c>
      <c r="CF417" s="9">
        <f t="shared" si="1408"/>
        <v>0.89777220146327208</v>
      </c>
      <c r="CG417" s="9">
        <f t="shared" si="1409"/>
        <v>0.68</v>
      </c>
      <c r="CH417" s="9">
        <f t="shared" si="1537"/>
        <v>1.6512698668680077</v>
      </c>
      <c r="CI417" s="9">
        <f t="shared" si="1538"/>
        <v>3.9015017505329372</v>
      </c>
      <c r="CJ417" s="40">
        <v>1</v>
      </c>
      <c r="CK417" s="9">
        <f t="shared" si="1539"/>
        <v>396.68034819602974</v>
      </c>
      <c r="CM417" s="4">
        <f t="shared" si="1410"/>
        <v>0.9227648214974592</v>
      </c>
      <c r="CN417" s="4">
        <f t="shared" si="1411"/>
        <v>0.60989160828240396</v>
      </c>
      <c r="CO417" s="4">
        <f t="shared" si="1376"/>
        <v>0.55788863885703999</v>
      </c>
      <c r="CP417" s="4">
        <f t="shared" si="1412"/>
        <v>0.98576721669453882</v>
      </c>
      <c r="CQ417" s="4">
        <f t="shared" si="1324"/>
        <v>0.64761509962742803</v>
      </c>
      <c r="CR417" s="4">
        <f t="shared" si="1325"/>
        <v>0.68724341538301104</v>
      </c>
      <c r="CS417" s="4">
        <f t="shared" si="1377"/>
        <v>0.71086754061834379</v>
      </c>
      <c r="CT417" s="4">
        <f t="shared" si="1432"/>
        <v>4</v>
      </c>
      <c r="DA417" s="4">
        <f t="shared" ref="DA417:DB418" si="1572">CM417</f>
        <v>0.9227648214974592</v>
      </c>
      <c r="DB417" s="4">
        <f t="shared" si="1572"/>
        <v>0.60989160828240396</v>
      </c>
      <c r="DC417" s="4">
        <f t="shared" ref="DC417:DC418" si="1573">CP417</f>
        <v>0.98576721669453882</v>
      </c>
      <c r="DD417" s="4">
        <f t="shared" ref="DD417:DD418" si="1574">CS417</f>
        <v>0.71086754061834379</v>
      </c>
      <c r="DE417" s="4">
        <f t="shared" ref="DE417:DF418" si="1575">CQ417</f>
        <v>0.64761509962742803</v>
      </c>
      <c r="DF417" s="4">
        <f t="shared" si="1575"/>
        <v>0.68724341538301104</v>
      </c>
      <c r="DI417" s="4">
        <f t="shared" si="1417"/>
        <v>373.12599999999998</v>
      </c>
      <c r="DL417" s="4">
        <f t="shared" si="1286"/>
        <v>2.2581533218862147E-5</v>
      </c>
      <c r="DM417" s="4">
        <f t="shared" si="1287"/>
        <v>8.1304956994783915</v>
      </c>
      <c r="DN417" s="4">
        <f t="shared" si="1288"/>
        <v>0.42791770401959656</v>
      </c>
      <c r="DO417" s="4">
        <f t="shared" si="1289"/>
        <v>5.7897675296534361</v>
      </c>
      <c r="DP417" s="4">
        <f t="shared" si="1290"/>
        <v>7.0581149788874846</v>
      </c>
      <c r="DQ417" s="4">
        <f t="shared" si="1291"/>
        <v>7.3164544580678683</v>
      </c>
      <c r="DR417" s="38">
        <f t="shared" si="1318"/>
        <v>603.80692634186926</v>
      </c>
      <c r="DS417" s="4">
        <f t="shared" si="1292"/>
        <v>1.0001112492309012</v>
      </c>
      <c r="DT417" s="4">
        <f t="shared" si="1293"/>
        <v>2.1908902300206643</v>
      </c>
      <c r="DU417" s="4">
        <f t="shared" si="1294"/>
        <v>318.09249051752539</v>
      </c>
      <c r="DY417" s="4">
        <f t="shared" si="1295"/>
        <v>0.85</v>
      </c>
      <c r="DZ417" s="4">
        <f t="shared" si="1296"/>
        <v>0.91914893617021276</v>
      </c>
      <c r="EA417" s="4">
        <f t="shared" si="1319"/>
        <v>0.9995510789195714</v>
      </c>
      <c r="EB417" s="4">
        <f t="shared" si="1297"/>
        <v>0.91873631083671248</v>
      </c>
      <c r="ED417" s="4">
        <f t="shared" si="1320"/>
        <v>568.98978441385486</v>
      </c>
      <c r="EE417" s="25">
        <f t="shared" si="1321"/>
        <v>314.86854648760465</v>
      </c>
      <c r="EG417" s="4">
        <f t="shared" si="1514"/>
        <v>0.78092586421120558</v>
      </c>
      <c r="EH417" s="4">
        <f t="shared" si="1322"/>
        <v>8.1304956994783915</v>
      </c>
      <c r="EK417" s="4">
        <f t="shared" si="1298"/>
        <v>78.464542697960056</v>
      </c>
      <c r="EL417" s="4">
        <f t="shared" si="1299"/>
        <v>2.1908902300206643</v>
      </c>
      <c r="EM417" s="4">
        <f t="shared" si="1300"/>
        <v>0.18082999279096884</v>
      </c>
      <c r="EP417" s="4">
        <f t="shared" si="1433"/>
        <v>0.18082999279096884</v>
      </c>
      <c r="EQ417" s="4">
        <f t="shared" si="1540"/>
        <v>0.42720358912460649</v>
      </c>
      <c r="ER417" s="4">
        <f t="shared" si="1301"/>
        <v>5.7859007758551693</v>
      </c>
      <c r="ES417" s="4">
        <f t="shared" si="1418"/>
        <v>7.0565312988731881</v>
      </c>
      <c r="ET417" s="4">
        <f t="shared" si="1302"/>
        <v>201.37995730203994</v>
      </c>
      <c r="EU417" s="4">
        <f t="shared" si="1303"/>
        <v>93.281499999999994</v>
      </c>
      <c r="EV417" s="4">
        <f t="shared" si="1541"/>
        <v>2.2581533218862147E-5</v>
      </c>
      <c r="EW417" s="4">
        <f t="shared" si="1419"/>
        <v>7.3166791266825877</v>
      </c>
      <c r="EX417" s="4">
        <f t="shared" si="1555"/>
        <v>603.73976075782048</v>
      </c>
      <c r="FG417" s="23">
        <f t="shared" si="1459"/>
        <v>1</v>
      </c>
      <c r="FH417" s="23">
        <f t="shared" si="1459"/>
        <v>0.8</v>
      </c>
      <c r="FI417" s="23">
        <f t="shared" si="1382"/>
        <v>0.8</v>
      </c>
      <c r="FJ417" s="23">
        <f t="shared" si="1460"/>
        <v>1</v>
      </c>
      <c r="FK417" s="23">
        <f t="shared" si="1460"/>
        <v>0.8</v>
      </c>
      <c r="FL417" s="23">
        <f t="shared" si="1460"/>
        <v>0.8</v>
      </c>
      <c r="FM417" s="23">
        <f t="shared" si="1330"/>
        <v>1</v>
      </c>
      <c r="FN417" s="23"/>
      <c r="FX417" s="4">
        <f t="shared" si="1500"/>
        <v>1</v>
      </c>
      <c r="FY417" s="4">
        <f t="shared" si="1561"/>
        <v>0.44214730608235164</v>
      </c>
      <c r="FZ417" s="4">
        <f t="shared" si="1501"/>
        <v>0.25149640360142855</v>
      </c>
      <c r="GA417" s="4">
        <f t="shared" si="1502"/>
        <v>550.08065555853318</v>
      </c>
    </row>
    <row r="418" spans="1:183" ht="12" customHeight="1" x14ac:dyDescent="0.3">
      <c r="A418" s="25">
        <v>400</v>
      </c>
      <c r="B418" s="4" t="s">
        <v>605</v>
      </c>
      <c r="C418" s="4">
        <v>2016</v>
      </c>
      <c r="D418" s="4" t="s">
        <v>309</v>
      </c>
      <c r="E418" s="14" t="s">
        <v>677</v>
      </c>
      <c r="F418" s="7" t="s">
        <v>569</v>
      </c>
      <c r="G418" s="38">
        <f t="shared" si="1569"/>
        <v>931.0344827586207</v>
      </c>
      <c r="H418" s="38">
        <f>14.69*25.4</f>
        <v>373.12599999999998</v>
      </c>
      <c r="I418" s="4">
        <f t="shared" si="1420"/>
        <v>373.12599999999998</v>
      </c>
      <c r="J418" s="38">
        <f>8660/145</f>
        <v>59.724137931034484</v>
      </c>
      <c r="K418" s="38">
        <f t="shared" si="1563"/>
        <v>35.813999999999993</v>
      </c>
      <c r="L418" s="7">
        <f t="shared" si="1421"/>
        <v>10.418439716312058</v>
      </c>
      <c r="M418" s="7">
        <f t="shared" si="1422"/>
        <v>10.418439716312058</v>
      </c>
      <c r="N418" s="38">
        <f>21.7*25.4</f>
        <v>551.17999999999995</v>
      </c>
      <c r="O418" s="38">
        <f>2.45*25.4</f>
        <v>62.230000000000004</v>
      </c>
      <c r="P418" s="39">
        <f>3.4*25.4</f>
        <v>86.36</v>
      </c>
      <c r="Q418" s="7">
        <f t="shared" si="1423"/>
        <v>355.09199999999998</v>
      </c>
      <c r="R418" s="38">
        <v>2</v>
      </c>
      <c r="S418" s="4">
        <f t="shared" si="1493"/>
        <v>508</v>
      </c>
      <c r="T418" s="7">
        <f t="shared" si="1424"/>
        <v>2.2375886524822697</v>
      </c>
      <c r="U418" s="7">
        <f t="shared" si="1548"/>
        <v>2.2375886524822697</v>
      </c>
      <c r="V418" s="38">
        <v>3.8</v>
      </c>
      <c r="W418" s="4">
        <f t="shared" si="1425"/>
        <v>3.8</v>
      </c>
      <c r="X418" s="4">
        <f t="shared" si="1426"/>
        <v>4.8</v>
      </c>
      <c r="Y418" s="7">
        <f t="shared" si="1427"/>
        <v>78.464542697960056</v>
      </c>
      <c r="AB418" s="38">
        <f t="shared" si="1461"/>
        <v>497.93103448275866</v>
      </c>
      <c r="AC418" s="4">
        <v>72.2</v>
      </c>
      <c r="AD418" s="4">
        <f t="shared" si="1279"/>
        <v>0.80079303363680798</v>
      </c>
      <c r="AE418" s="38">
        <f t="shared" si="1570"/>
        <v>12.7</v>
      </c>
      <c r="AF418" s="38">
        <v>12</v>
      </c>
      <c r="AG418" s="39">
        <f>4*25.4</f>
        <v>101.6</v>
      </c>
      <c r="AH418" s="39">
        <v>3</v>
      </c>
      <c r="AI418" s="39">
        <f t="shared" si="1571"/>
        <v>2</v>
      </c>
      <c r="AJ418" s="7"/>
      <c r="AK418" s="4">
        <f t="shared" si="1429"/>
        <v>373.12599999999998</v>
      </c>
      <c r="AL418" s="4">
        <f t="shared" si="1304"/>
        <v>0.49239845700022689</v>
      </c>
      <c r="AM418" s="4">
        <f t="shared" si="1305"/>
        <v>276.46023823193622</v>
      </c>
      <c r="AN418" s="4">
        <f t="shared" si="1306"/>
        <v>0.74295439074200131</v>
      </c>
      <c r="AO418" s="4">
        <v>1.25</v>
      </c>
      <c r="AP418" s="4">
        <f t="shared" si="1520"/>
        <v>2.5</v>
      </c>
      <c r="AQ418" s="38">
        <f t="shared" si="1398"/>
        <v>316.05417861937889</v>
      </c>
      <c r="AR418" s="38">
        <f t="shared" si="1307"/>
        <v>316.05417861937889</v>
      </c>
      <c r="AS418" s="38">
        <f t="shared" si="1308"/>
        <v>4.3472312358327088</v>
      </c>
      <c r="AT418" s="38">
        <f t="shared" si="1533"/>
        <v>316.05417861937889</v>
      </c>
      <c r="AU418" s="38">
        <f t="shared" si="1495"/>
        <v>1</v>
      </c>
      <c r="AV418" s="38">
        <f t="shared" si="1534"/>
        <v>1.6485054910266623</v>
      </c>
      <c r="AW418" s="4">
        <f t="shared" si="1535"/>
        <v>0</v>
      </c>
      <c r="AX418" s="4">
        <f t="shared" si="1430"/>
        <v>423.76396850938846</v>
      </c>
      <c r="AY418" s="4">
        <f t="shared" si="1399"/>
        <v>1</v>
      </c>
      <c r="AZ418" s="38">
        <f t="shared" si="1542"/>
        <v>521.01704891596762</v>
      </c>
      <c r="BA418" s="4">
        <f t="shared" si="1400"/>
        <v>0.46800000000000008</v>
      </c>
      <c r="BB418" s="4">
        <f t="shared" si="1401"/>
        <v>103.6230032196008</v>
      </c>
      <c r="BC418" s="4">
        <f t="shared" si="1402"/>
        <v>624.64005213556845</v>
      </c>
      <c r="BE418" s="4">
        <f t="shared" si="1521"/>
        <v>1.5</v>
      </c>
      <c r="BF418" s="4">
        <f t="shared" si="1527"/>
        <v>710.08446416912363</v>
      </c>
      <c r="BH418" s="4">
        <f t="shared" si="1549"/>
        <v>499.71906614360728</v>
      </c>
      <c r="BI418" s="4">
        <f t="shared" si="1481"/>
        <v>0</v>
      </c>
      <c r="BJ418" s="4">
        <f t="shared" si="1550"/>
        <v>0</v>
      </c>
      <c r="BK418" s="4">
        <f t="shared" si="1309"/>
        <v>62.230000000000004</v>
      </c>
      <c r="BL418" s="4">
        <f t="shared" si="1310"/>
        <v>62.230000000000004</v>
      </c>
      <c r="BM418" s="4">
        <f t="shared" si="1311"/>
        <v>508</v>
      </c>
      <c r="BN418" s="4">
        <f t="shared" si="1312"/>
        <v>80.137</v>
      </c>
      <c r="BO418" s="4">
        <f t="shared" si="1313"/>
        <v>1.25</v>
      </c>
      <c r="BP418" s="25">
        <f t="shared" si="1314"/>
        <v>4</v>
      </c>
      <c r="BR418" s="4">
        <f t="shared" si="1403"/>
        <v>62.230000000000004</v>
      </c>
      <c r="BV418" s="9"/>
      <c r="BX418" s="9"/>
      <c r="BY418" s="9"/>
      <c r="BZ418" s="9">
        <f t="shared" si="1404"/>
        <v>62.230000000000004</v>
      </c>
      <c r="CA418" s="9">
        <f t="shared" si="1405"/>
        <v>177.54599999999999</v>
      </c>
      <c r="CB418" s="9">
        <f t="shared" si="1536"/>
        <v>1.5426597542601972</v>
      </c>
      <c r="CC418" s="40">
        <f t="shared" si="1431"/>
        <v>20</v>
      </c>
      <c r="CD418" s="9">
        <f t="shared" si="1406"/>
        <v>0.05</v>
      </c>
      <c r="CE418" s="9">
        <f t="shared" si="1407"/>
        <v>0.8</v>
      </c>
      <c r="CF418" s="9">
        <f t="shared" si="1408"/>
        <v>0.89777220146327208</v>
      </c>
      <c r="CG418" s="9">
        <f t="shared" si="1409"/>
        <v>0.68</v>
      </c>
      <c r="CH418" s="9">
        <f t="shared" si="1537"/>
        <v>1.6512698668680077</v>
      </c>
      <c r="CI418" s="9">
        <f t="shared" si="1538"/>
        <v>3.8683634605342756</v>
      </c>
      <c r="CJ418" s="40">
        <v>1</v>
      </c>
      <c r="CK418" s="9">
        <f t="shared" si="1539"/>
        <v>393.31105368949909</v>
      </c>
      <c r="CM418" s="4">
        <f t="shared" si="1410"/>
        <v>1.175019755063784</v>
      </c>
      <c r="CN418" s="4">
        <f t="shared" si="1411"/>
        <v>0.79714874635462929</v>
      </c>
      <c r="CO418" s="4">
        <f t="shared" si="1376"/>
        <v>0.70122789556506115</v>
      </c>
      <c r="CP418" s="4">
        <f t="shared" si="1412"/>
        <v>1.2659980689885524</v>
      </c>
      <c r="CQ418" s="4">
        <f t="shared" si="1324"/>
        <v>0.80079303363680798</v>
      </c>
      <c r="CR418" s="4">
        <f t="shared" si="1325"/>
        <v>0.85028063832166845</v>
      </c>
      <c r="CS418" s="4">
        <f t="shared" si="1377"/>
        <v>1.102942521630832</v>
      </c>
      <c r="CT418" s="4">
        <f t="shared" si="1432"/>
        <v>12</v>
      </c>
      <c r="DA418" s="4">
        <f t="shared" si="1572"/>
        <v>1.175019755063784</v>
      </c>
      <c r="DB418" s="4">
        <f t="shared" si="1572"/>
        <v>0.79714874635462929</v>
      </c>
      <c r="DC418" s="4">
        <f t="shared" si="1573"/>
        <v>1.2659980689885524</v>
      </c>
      <c r="DD418" s="4">
        <f t="shared" si="1574"/>
        <v>1.102942521630832</v>
      </c>
      <c r="DE418" s="4">
        <f t="shared" si="1575"/>
        <v>0.80079303363680798</v>
      </c>
      <c r="DF418" s="4">
        <f t="shared" si="1575"/>
        <v>0.85028063832166845</v>
      </c>
      <c r="DI418" s="4">
        <f t="shared" si="1417"/>
        <v>373.12599999999998</v>
      </c>
      <c r="DL418" s="4">
        <f t="shared" si="1286"/>
        <v>2.2581533218862147E-5</v>
      </c>
      <c r="DM418" s="4">
        <f t="shared" si="1287"/>
        <v>8.7269775139135497</v>
      </c>
      <c r="DN418" s="4">
        <f t="shared" si="1288"/>
        <v>0.4251756407092947</v>
      </c>
      <c r="DO418" s="4">
        <f t="shared" si="1289"/>
        <v>6.1985656734611458</v>
      </c>
      <c r="DP418" s="4">
        <f t="shared" si="1290"/>
        <v>7.5693908977413145</v>
      </c>
      <c r="DQ418" s="4">
        <f t="shared" si="1291"/>
        <v>7.7912639473019434</v>
      </c>
      <c r="DR418" s="38">
        <f t="shared" si="1318"/>
        <v>621.79741027641171</v>
      </c>
      <c r="DS418" s="4">
        <f t="shared" si="1292"/>
        <v>1.0001152655713796</v>
      </c>
      <c r="DT418" s="4">
        <f t="shared" si="1293"/>
        <v>2.1908902300206643</v>
      </c>
      <c r="DU418" s="4">
        <f t="shared" si="1294"/>
        <v>316.05417861937889</v>
      </c>
      <c r="DY418" s="4">
        <f t="shared" si="1295"/>
        <v>0.85</v>
      </c>
      <c r="DZ418" s="4">
        <f t="shared" si="1296"/>
        <v>0.92624113475177294</v>
      </c>
      <c r="EA418" s="4">
        <f t="shared" si="1319"/>
        <v>0.92410215783914285</v>
      </c>
      <c r="EB418" s="4">
        <f t="shared" si="1297"/>
        <v>0.85594143130348965</v>
      </c>
      <c r="ED418" s="4">
        <f t="shared" si="1320"/>
        <v>585.60787114428808</v>
      </c>
      <c r="EE418" s="25">
        <f t="shared" si="1321"/>
        <v>312.84340374133052</v>
      </c>
      <c r="EG418" s="4">
        <f t="shared" si="1514"/>
        <v>0.72755021660796615</v>
      </c>
      <c r="EH418" s="4">
        <f t="shared" si="1322"/>
        <v>8.7269775139135497</v>
      </c>
      <c r="EK418" s="4">
        <f t="shared" si="1298"/>
        <v>78.464542697960056</v>
      </c>
      <c r="EL418" s="4">
        <f t="shared" si="1299"/>
        <v>2.1908902300206643</v>
      </c>
      <c r="EM418" s="4">
        <f t="shared" si="1300"/>
        <v>0.17967124828477851</v>
      </c>
      <c r="EP418" s="4">
        <f t="shared" si="1433"/>
        <v>0.17967124828477851</v>
      </c>
      <c r="EQ418" s="4">
        <f t="shared" si="1540"/>
        <v>0.42446610180691829</v>
      </c>
      <c r="ER418" s="4">
        <f t="shared" si="1301"/>
        <v>6.1944258997588486</v>
      </c>
      <c r="ES418" s="4">
        <f t="shared" si="1418"/>
        <v>7.5676983436658878</v>
      </c>
      <c r="ET418" s="4">
        <f t="shared" si="1302"/>
        <v>201.37995730203994</v>
      </c>
      <c r="EU418" s="4">
        <f t="shared" si="1303"/>
        <v>93.281499999999994</v>
      </c>
      <c r="EV418" s="4">
        <f t="shared" si="1541"/>
        <v>2.2581533218862147E-5</v>
      </c>
      <c r="EW418" s="4">
        <f t="shared" si="1419"/>
        <v>7.7915215773048105</v>
      </c>
      <c r="EX418" s="4">
        <f t="shared" si="1555"/>
        <v>621.72574670297649</v>
      </c>
      <c r="FG418" s="23">
        <f t="shared" si="1459"/>
        <v>1.2</v>
      </c>
      <c r="FH418" s="23">
        <f t="shared" si="1459"/>
        <v>0.8</v>
      </c>
      <c r="FI418" s="23">
        <f t="shared" si="1382"/>
        <v>1.2</v>
      </c>
      <c r="FJ418" s="23">
        <f t="shared" si="1460"/>
        <v>1.4</v>
      </c>
      <c r="FK418" s="23">
        <f t="shared" si="1460"/>
        <v>1</v>
      </c>
      <c r="FL418" s="23">
        <f t="shared" si="1460"/>
        <v>1</v>
      </c>
      <c r="FM418" s="23">
        <f t="shared" si="1330"/>
        <v>0</v>
      </c>
      <c r="FN418" s="23"/>
      <c r="FX418" s="4">
        <f t="shared" si="1500"/>
        <v>1.25</v>
      </c>
      <c r="FY418" s="4">
        <f t="shared" si="1561"/>
        <v>0.43098983553339404</v>
      </c>
      <c r="FZ418" s="4">
        <f t="shared" si="1501"/>
        <v>0.3</v>
      </c>
      <c r="GA418" s="4">
        <f t="shared" si="1502"/>
        <v>451.45692066211052</v>
      </c>
    </row>
    <row r="419" spans="1:183" ht="12" customHeight="1" x14ac:dyDescent="0.3">
      <c r="A419" s="25">
        <v>401</v>
      </c>
      <c r="B419" s="4" t="s">
        <v>605</v>
      </c>
      <c r="C419" s="4">
        <v>2016</v>
      </c>
      <c r="D419" s="4" t="s">
        <v>309</v>
      </c>
      <c r="E419" s="14" t="s">
        <v>677</v>
      </c>
      <c r="F419" s="7" t="s">
        <v>570</v>
      </c>
      <c r="G419" s="38">
        <f t="shared" si="1569"/>
        <v>931.0344827586207</v>
      </c>
      <c r="H419" s="38">
        <f>14.63*25.4</f>
        <v>371.60199999999998</v>
      </c>
      <c r="I419" s="4">
        <f t="shared" si="1420"/>
        <v>371.60199999999998</v>
      </c>
      <c r="J419" s="38">
        <f>8720/145</f>
        <v>60.137931034482762</v>
      </c>
      <c r="K419" s="38">
        <f t="shared" si="1563"/>
        <v>35.813999999999993</v>
      </c>
      <c r="L419" s="7">
        <f t="shared" si="1421"/>
        <v>10.375886524822697</v>
      </c>
      <c r="M419" s="7">
        <f t="shared" si="1422"/>
        <v>10.375886524822697</v>
      </c>
      <c r="N419" s="38">
        <f>22*25.4</f>
        <v>558.79999999999995</v>
      </c>
      <c r="O419" s="38">
        <f>2.8*25.4</f>
        <v>71.11999999999999</v>
      </c>
      <c r="P419" s="39">
        <f>3.3*25.4</f>
        <v>83.82</v>
      </c>
      <c r="Q419" s="7">
        <f t="shared" si="1423"/>
        <v>154.55899999999997</v>
      </c>
      <c r="R419" s="38">
        <v>3</v>
      </c>
      <c r="S419" s="4">
        <f t="shared" si="1493"/>
        <v>508</v>
      </c>
      <c r="T419" s="7">
        <f t="shared" si="1424"/>
        <v>2.4858156028368796</v>
      </c>
      <c r="U419" s="7">
        <f t="shared" si="1548"/>
        <v>2.4858156028368796</v>
      </c>
      <c r="V419" s="38">
        <v>3.8</v>
      </c>
      <c r="W419" s="4">
        <f t="shared" si="1425"/>
        <v>3.8</v>
      </c>
      <c r="X419" s="4">
        <f t="shared" si="1426"/>
        <v>4.8</v>
      </c>
      <c r="Y419" s="7">
        <f t="shared" si="1427"/>
        <v>78.464542697960056</v>
      </c>
      <c r="AB419" s="38">
        <f t="shared" si="1461"/>
        <v>233.79310344827587</v>
      </c>
      <c r="AC419" s="4">
        <v>33.9</v>
      </c>
      <c r="AD419" s="4">
        <f t="shared" si="1279"/>
        <v>0.47564989032534455</v>
      </c>
      <c r="AE419" s="38">
        <v>0</v>
      </c>
      <c r="AF419" s="38">
        <v>0</v>
      </c>
      <c r="AG419" s="39">
        <f t="shared" ref="AG419" si="1576">I419</f>
        <v>371.60199999999998</v>
      </c>
      <c r="AH419" s="39"/>
      <c r="AI419" s="39"/>
      <c r="AJ419" s="7"/>
      <c r="AK419" s="4">
        <f t="shared" si="1429"/>
        <v>371.60199999999998</v>
      </c>
      <c r="AL419" s="4">
        <f t="shared" si="1304"/>
        <v>0.50125313283208028</v>
      </c>
      <c r="AM419" s="4">
        <f t="shared" si="1305"/>
        <v>183.81227524875013</v>
      </c>
      <c r="AN419" s="4">
        <f t="shared" si="1306"/>
        <v>0.74791524265208476</v>
      </c>
      <c r="AO419" s="4">
        <v>1.25</v>
      </c>
      <c r="AP419" s="4">
        <f t="shared" si="1520"/>
        <v>2.5</v>
      </c>
      <c r="AQ419" s="38">
        <f t="shared" si="1398"/>
        <v>215.34461535886712</v>
      </c>
      <c r="AR419" s="38">
        <f t="shared" si="1307"/>
        <v>215.34461535886712</v>
      </c>
      <c r="AS419" s="38">
        <f t="shared" si="1308"/>
        <v>4.3584878994477556</v>
      </c>
      <c r="AT419" s="38">
        <f t="shared" si="1533"/>
        <v>215.3446153588668</v>
      </c>
      <c r="AU419" s="38">
        <f t="shared" si="1495"/>
        <v>1.0000000000000016</v>
      </c>
      <c r="AV419" s="38">
        <f t="shared" si="1534"/>
        <v>2.706482164766975</v>
      </c>
      <c r="AW419" s="4">
        <f t="shared" si="1535"/>
        <v>0</v>
      </c>
      <c r="AX419" s="4">
        <f t="shared" si="1430"/>
        <v>423.49262718866663</v>
      </c>
      <c r="AY419" s="4">
        <f t="shared" si="1399"/>
        <v>1</v>
      </c>
      <c r="AZ419" s="38">
        <f t="shared" si="1542"/>
        <v>582.82636074737741</v>
      </c>
      <c r="BA419" s="4">
        <f t="shared" si="1400"/>
        <v>0.46800000000000008</v>
      </c>
      <c r="BB419" s="4">
        <f t="shared" si="1401"/>
        <v>103.55665212644467</v>
      </c>
      <c r="BC419" s="4">
        <f t="shared" si="1402"/>
        <v>686.38301287382205</v>
      </c>
      <c r="BE419" s="4">
        <f t="shared" si="1521"/>
        <v>1.2464539007092199</v>
      </c>
      <c r="BF419" s="4">
        <f t="shared" si="1527"/>
        <v>590.86495267537066</v>
      </c>
      <c r="BH419" s="4">
        <f t="shared" si="1549"/>
        <v>559.00175497621922</v>
      </c>
      <c r="BI419" s="4">
        <f t="shared" si="1481"/>
        <v>0</v>
      </c>
      <c r="BJ419" s="4">
        <f t="shared" si="1550"/>
        <v>0</v>
      </c>
      <c r="BK419" s="4">
        <f t="shared" si="1309"/>
        <v>71.11999999999999</v>
      </c>
      <c r="BL419" s="4">
        <f t="shared" si="1310"/>
        <v>71.11999999999999</v>
      </c>
      <c r="BM419" s="4">
        <f t="shared" si="1311"/>
        <v>508</v>
      </c>
      <c r="BN419" s="4">
        <f t="shared" si="1312"/>
        <v>89.026999999999987</v>
      </c>
      <c r="BO419" s="4">
        <f t="shared" si="1313"/>
        <v>1.25</v>
      </c>
      <c r="BP419" s="25">
        <f t="shared" si="1314"/>
        <v>3.1072695035460995</v>
      </c>
      <c r="BR419" s="4">
        <f t="shared" si="1403"/>
        <v>71.11999999999999</v>
      </c>
      <c r="BV419" s="9"/>
      <c r="BX419" s="9"/>
      <c r="BY419" s="9"/>
      <c r="BZ419" s="9">
        <f t="shared" si="1404"/>
        <v>71.11999999999999</v>
      </c>
      <c r="CA419" s="9">
        <f t="shared" si="1405"/>
        <v>77.279499999999985</v>
      </c>
      <c r="CB419" s="9">
        <f t="shared" si="1536"/>
        <v>1.4268566467933428</v>
      </c>
      <c r="CC419" s="40">
        <f t="shared" si="1431"/>
        <v>20</v>
      </c>
      <c r="CD419" s="9">
        <f t="shared" si="1406"/>
        <v>0</v>
      </c>
      <c r="CE419" s="9">
        <f t="shared" si="1407"/>
        <v>0</v>
      </c>
      <c r="CF419" s="9">
        <f t="shared" si="1408"/>
        <v>0.89777220146327208</v>
      </c>
      <c r="CG419" s="9">
        <f t="shared" si="1409"/>
        <v>0.68</v>
      </c>
      <c r="CH419" s="9">
        <f t="shared" si="1537"/>
        <v>1.656980327255414</v>
      </c>
      <c r="CI419" s="9">
        <f t="shared" si="1538"/>
        <v>2.3642733935501958</v>
      </c>
      <c r="CJ419" s="40">
        <v>1</v>
      </c>
      <c r="CK419" s="9">
        <f t="shared" si="1539"/>
        <v>239.98213339354899</v>
      </c>
      <c r="CM419" s="4">
        <f t="shared" si="1410"/>
        <v>0.55205944197966095</v>
      </c>
      <c r="CN419" s="4">
        <f t="shared" si="1411"/>
        <v>0.3406160978101801</v>
      </c>
      <c r="CO419" s="4">
        <f t="shared" si="1376"/>
        <v>0.39567942283543261</v>
      </c>
      <c r="CP419" s="4">
        <f t="shared" si="1412"/>
        <v>0.97421045534617501</v>
      </c>
      <c r="CQ419" s="4">
        <f t="shared" si="1324"/>
        <v>0.47564989032534455</v>
      </c>
      <c r="CR419" s="4">
        <f t="shared" si="1325"/>
        <v>0.49532268932934714</v>
      </c>
      <c r="CS419" s="4">
        <f t="shared" si="1377"/>
        <v>0.61109115495116417</v>
      </c>
      <c r="CT419" s="4">
        <f t="shared" si="1432"/>
        <v>0</v>
      </c>
      <c r="CU419" s="4">
        <f t="shared" ref="CU419:CV419" si="1577">CM419</f>
        <v>0.55205944197966095</v>
      </c>
      <c r="CV419" s="4">
        <f t="shared" si="1577"/>
        <v>0.3406160978101801</v>
      </c>
      <c r="CW419" s="4">
        <f t="shared" ref="CW419" si="1578">CP419</f>
        <v>0.97421045534617501</v>
      </c>
      <c r="CX419" s="4">
        <f t="shared" ref="CX419" si="1579">CS419</f>
        <v>0.61109115495116417</v>
      </c>
      <c r="CY419" s="4">
        <f t="shared" ref="CY419:CZ419" si="1580">CQ419</f>
        <v>0.47564989032534455</v>
      </c>
      <c r="CZ419" s="4">
        <f t="shared" si="1580"/>
        <v>0.49532268932934714</v>
      </c>
      <c r="DI419" s="4">
        <f t="shared" si="1417"/>
        <v>371.60199999999998</v>
      </c>
      <c r="DL419" s="4">
        <f t="shared" si="1286"/>
        <v>2.2546529017550049E-5</v>
      </c>
      <c r="DM419" s="4">
        <f t="shared" si="1287"/>
        <v>8.3153544113293236</v>
      </c>
      <c r="DN419" s="4">
        <f t="shared" si="1288"/>
        <v>0.28770159004621326</v>
      </c>
      <c r="DO419" s="4">
        <f t="shared" si="1289"/>
        <v>5.0519340097069563</v>
      </c>
      <c r="DP419" s="4">
        <f t="shared" si="1290"/>
        <v>6.8810495994762375</v>
      </c>
      <c r="DQ419" s="4">
        <f t="shared" si="1291"/>
        <v>7.5191156474869798</v>
      </c>
      <c r="DR419" s="38">
        <f t="shared" si="1318"/>
        <v>491.52350963092073</v>
      </c>
      <c r="DS419" s="4">
        <f t="shared" si="1292"/>
        <v>1.0001122984128716</v>
      </c>
      <c r="DT419" s="4">
        <f t="shared" si="1293"/>
        <v>2.1908902300206643</v>
      </c>
      <c r="DU419" s="4">
        <f t="shared" si="1294"/>
        <v>215.3446153588668</v>
      </c>
      <c r="DY419" s="4">
        <f t="shared" si="1295"/>
        <v>0.85</v>
      </c>
      <c r="DZ419" s="4">
        <f t="shared" si="1296"/>
        <v>0.90141843971631208</v>
      </c>
      <c r="EA419" s="4">
        <f t="shared" si="1319"/>
        <v>1</v>
      </c>
      <c r="EB419" s="4">
        <f t="shared" si="1297"/>
        <v>0.90141843971631208</v>
      </c>
      <c r="ED419" s="4">
        <f t="shared" si="1320"/>
        <v>472.00160316666512</v>
      </c>
      <c r="EE419" s="25">
        <f t="shared" si="1321"/>
        <v>213.16408180975441</v>
      </c>
      <c r="EG419" s="4">
        <f t="shared" si="1514"/>
        <v>0.76620567375886528</v>
      </c>
      <c r="EH419" s="4">
        <f t="shared" si="1322"/>
        <v>8.3153544113293236</v>
      </c>
      <c r="EK419" s="4">
        <f t="shared" si="1298"/>
        <v>78.464542697960056</v>
      </c>
      <c r="EL419" s="4">
        <f t="shared" si="1299"/>
        <v>2.1908902300206643</v>
      </c>
      <c r="EM419" s="4">
        <f t="shared" si="1300"/>
        <v>0.12199773533478737</v>
      </c>
      <c r="EP419" s="4">
        <f t="shared" si="1433"/>
        <v>0.12199773533478737</v>
      </c>
      <c r="EQ419" s="4">
        <f t="shared" si="1540"/>
        <v>0.28722146971271345</v>
      </c>
      <c r="ER419" s="4">
        <f t="shared" si="1301"/>
        <v>5.0485600253594702</v>
      </c>
      <c r="ES419" s="4">
        <f t="shared" si="1418"/>
        <v>6.8798163897573916</v>
      </c>
      <c r="ET419" s="4">
        <f t="shared" si="1302"/>
        <v>200.23695730203997</v>
      </c>
      <c r="EU419" s="4">
        <f t="shared" si="1303"/>
        <v>92.900499999999965</v>
      </c>
      <c r="EV419" s="4">
        <f t="shared" si="1541"/>
        <v>2.2546529017550043E-5</v>
      </c>
      <c r="EW419" s="4">
        <f t="shared" si="1419"/>
        <v>7.5193042221244717</v>
      </c>
      <c r="EX419" s="4">
        <f t="shared" si="1555"/>
        <v>491.46831851877437</v>
      </c>
      <c r="FG419" s="23">
        <f t="shared" si="1459"/>
        <v>0.6</v>
      </c>
      <c r="FH419" s="23">
        <f t="shared" si="1459"/>
        <v>0.6</v>
      </c>
      <c r="FI419" s="23">
        <f t="shared" si="1382"/>
        <v>0.8</v>
      </c>
      <c r="FJ419" s="23">
        <f t="shared" si="1460"/>
        <v>1</v>
      </c>
      <c r="FK419" s="23">
        <f t="shared" si="1460"/>
        <v>0.6</v>
      </c>
      <c r="FL419" s="23">
        <f t="shared" si="1460"/>
        <v>0.6</v>
      </c>
      <c r="FM419" s="23">
        <f t="shared" si="1330"/>
        <v>1</v>
      </c>
      <c r="FN419" s="23"/>
      <c r="FX419" s="4">
        <f t="shared" si="1500"/>
        <v>1</v>
      </c>
      <c r="FY419" s="4">
        <f t="shared" si="1561"/>
        <v>0.63421985815602844</v>
      </c>
      <c r="FZ419" s="4">
        <f t="shared" si="1501"/>
        <v>0</v>
      </c>
      <c r="GA419" s="4">
        <f t="shared" si="1502"/>
        <v>382.58302636856138</v>
      </c>
    </row>
    <row r="420" spans="1:183" ht="12" customHeight="1" x14ac:dyDescent="0.3">
      <c r="A420" s="25">
        <v>402</v>
      </c>
      <c r="B420" s="4" t="s">
        <v>605</v>
      </c>
      <c r="C420" s="4">
        <v>2016</v>
      </c>
      <c r="D420" s="4" t="s">
        <v>309</v>
      </c>
      <c r="E420" s="14" t="s">
        <v>677</v>
      </c>
      <c r="F420" s="7" t="s">
        <v>571</v>
      </c>
      <c r="G420" s="38">
        <f t="shared" si="1569"/>
        <v>931.0344827586207</v>
      </c>
      <c r="H420" s="38">
        <f>14.54*25.4</f>
        <v>369.31599999999997</v>
      </c>
      <c r="I420" s="4">
        <f t="shared" si="1420"/>
        <v>369.31599999999997</v>
      </c>
      <c r="J420" s="38">
        <f>8720/145</f>
        <v>60.137931034482762</v>
      </c>
      <c r="K420" s="38">
        <f t="shared" si="1563"/>
        <v>35.813999999999993</v>
      </c>
      <c r="L420" s="7">
        <f t="shared" si="1421"/>
        <v>10.312056737588653</v>
      </c>
      <c r="M420" s="7">
        <f t="shared" si="1422"/>
        <v>10.312056737588653</v>
      </c>
      <c r="N420" s="38">
        <f>21.8*25.4</f>
        <v>553.72</v>
      </c>
      <c r="O420" s="38">
        <f>2.55*25.4</f>
        <v>64.77</v>
      </c>
      <c r="P420" s="39">
        <f>3.26*25.4</f>
        <v>82.803999999999988</v>
      </c>
      <c r="Q420" s="7">
        <f t="shared" si="1423"/>
        <v>158.36900000000003</v>
      </c>
      <c r="R420" s="38">
        <v>3</v>
      </c>
      <c r="S420" s="4">
        <f t="shared" si="1493"/>
        <v>508</v>
      </c>
      <c r="T420" s="7">
        <f t="shared" si="1424"/>
        <v>2.3085106382978724</v>
      </c>
      <c r="U420" s="7">
        <f t="shared" si="1548"/>
        <v>2.3085106382978724</v>
      </c>
      <c r="V420" s="38">
        <v>3.8</v>
      </c>
      <c r="W420" s="4">
        <f t="shared" si="1425"/>
        <v>3.8</v>
      </c>
      <c r="X420" s="4">
        <f t="shared" si="1426"/>
        <v>4.8</v>
      </c>
      <c r="Y420" s="7">
        <f t="shared" si="1427"/>
        <v>78.464542697960056</v>
      </c>
      <c r="AB420" s="38">
        <f t="shared" si="1461"/>
        <v>320.68965517241384</v>
      </c>
      <c r="AC420" s="4">
        <v>46.5</v>
      </c>
      <c r="AD420" s="4">
        <f t="shared" si="1279"/>
        <v>0.66704150177213273</v>
      </c>
      <c r="AE420" s="38">
        <f t="shared" ref="AE420:AE421" si="1581">0.5*25.4</f>
        <v>12.7</v>
      </c>
      <c r="AF420" s="38">
        <v>4</v>
      </c>
      <c r="AG420" s="39">
        <f>8*25.4</f>
        <v>203.2</v>
      </c>
      <c r="AH420" s="39">
        <v>2</v>
      </c>
      <c r="AI420" s="39">
        <f t="shared" ref="AI420:AI421" si="1582">AH420-1</f>
        <v>1</v>
      </c>
      <c r="AJ420" s="7"/>
      <c r="AK420" s="4">
        <f t="shared" si="1429"/>
        <v>369.31599999999997</v>
      </c>
      <c r="AL420" s="4">
        <f t="shared" si="1304"/>
        <v>0.49977074736359473</v>
      </c>
      <c r="AM420" s="4">
        <f t="shared" si="1305"/>
        <v>182.1187376827082</v>
      </c>
      <c r="AN420" s="4">
        <f t="shared" si="1306"/>
        <v>0.74477303988995869</v>
      </c>
      <c r="AO420" s="4">
        <v>1.25</v>
      </c>
      <c r="AP420" s="4">
        <f t="shared" si="1520"/>
        <v>2.5</v>
      </c>
      <c r="AQ420" s="38">
        <f t="shared" si="1398"/>
        <v>211.83583679291482</v>
      </c>
      <c r="AR420" s="38">
        <f t="shared" si="1307"/>
        <v>211.83583679291482</v>
      </c>
      <c r="AS420" s="38">
        <f t="shared" si="1308"/>
        <v>4.3584878994477556</v>
      </c>
      <c r="AT420" s="38">
        <f t="shared" si="1533"/>
        <v>211.8358367929149</v>
      </c>
      <c r="AU420" s="38">
        <f t="shared" si="1495"/>
        <v>0.99999999999999956</v>
      </c>
      <c r="AV420" s="38">
        <f t="shared" si="1534"/>
        <v>2.5550695380031971</v>
      </c>
      <c r="AW420" s="4">
        <f t="shared" si="1535"/>
        <v>0</v>
      </c>
      <c r="AX420" s="4">
        <f t="shared" si="1430"/>
        <v>420.88740938641234</v>
      </c>
      <c r="AY420" s="4">
        <f t="shared" si="1399"/>
        <v>1</v>
      </c>
      <c r="AZ420" s="38">
        <f t="shared" si="1542"/>
        <v>541.25529364699378</v>
      </c>
      <c r="BA420" s="4">
        <f t="shared" si="1400"/>
        <v>0.46800000000000008</v>
      </c>
      <c r="BB420" s="4">
        <f t="shared" si="1401"/>
        <v>102.91959821725945</v>
      </c>
      <c r="BC420" s="4">
        <f t="shared" si="1402"/>
        <v>644.17489186425325</v>
      </c>
      <c r="BE420" s="4">
        <f t="shared" si="1521"/>
        <v>1.3878009842547159</v>
      </c>
      <c r="BF420" s="4">
        <f t="shared" si="1527"/>
        <v>655.80781580778012</v>
      </c>
      <c r="BH420" s="4">
        <f t="shared" si="1549"/>
        <v>519.1300178167171</v>
      </c>
      <c r="BI420" s="4">
        <f t="shared" si="1481"/>
        <v>0</v>
      </c>
      <c r="BJ420" s="4">
        <f t="shared" si="1550"/>
        <v>0</v>
      </c>
      <c r="BK420" s="4">
        <f t="shared" si="1309"/>
        <v>64.77</v>
      </c>
      <c r="BL420" s="4">
        <f t="shared" si="1310"/>
        <v>64.77</v>
      </c>
      <c r="BM420" s="4">
        <f t="shared" si="1311"/>
        <v>508</v>
      </c>
      <c r="BN420" s="4">
        <f t="shared" si="1312"/>
        <v>82.676999999999992</v>
      </c>
      <c r="BO420" s="4">
        <f t="shared" si="1313"/>
        <v>1.25</v>
      </c>
      <c r="BP420" s="25">
        <f t="shared" si="1314"/>
        <v>3.5845627547520125</v>
      </c>
      <c r="BR420" s="4">
        <f t="shared" si="1403"/>
        <v>64.77</v>
      </c>
      <c r="BV420" s="9"/>
      <c r="BX420" s="9"/>
      <c r="BY420" s="9"/>
      <c r="BZ420" s="9">
        <f t="shared" si="1404"/>
        <v>64.77</v>
      </c>
      <c r="CA420" s="9">
        <f t="shared" si="1405"/>
        <v>79.184500000000014</v>
      </c>
      <c r="CB420" s="9">
        <f t="shared" si="1536"/>
        <v>1.3859592972879591</v>
      </c>
      <c r="CC420" s="40">
        <f t="shared" si="1431"/>
        <v>20</v>
      </c>
      <c r="CD420" s="9">
        <f t="shared" si="1406"/>
        <v>4.6418331170061958E-2</v>
      </c>
      <c r="CE420" s="9">
        <f t="shared" si="1407"/>
        <v>0.72836662340123914</v>
      </c>
      <c r="CF420" s="9">
        <f t="shared" si="1408"/>
        <v>0.89777220146327208</v>
      </c>
      <c r="CG420" s="9">
        <f t="shared" si="1409"/>
        <v>0.68</v>
      </c>
      <c r="CH420" s="9">
        <f t="shared" si="1537"/>
        <v>1.656980327255414</v>
      </c>
      <c r="CI420" s="9">
        <f t="shared" si="1538"/>
        <v>3.503396455988192</v>
      </c>
      <c r="CJ420" s="40">
        <v>1</v>
      </c>
      <c r="CK420" s="9">
        <f t="shared" si="1539"/>
        <v>354.71267947296053</v>
      </c>
      <c r="CM420" s="4">
        <f t="shared" si="1410"/>
        <v>0.7619369171435395</v>
      </c>
      <c r="CN420" s="4">
        <f t="shared" si="1411"/>
        <v>0.49783010673441874</v>
      </c>
      <c r="CO420" s="4">
        <f t="shared" si="1376"/>
        <v>0.48899944075446833</v>
      </c>
      <c r="CP420" s="4">
        <f t="shared" si="1412"/>
        <v>0.90408286404901339</v>
      </c>
      <c r="CQ420" s="4">
        <f t="shared" si="1324"/>
        <v>0.66704150177213273</v>
      </c>
      <c r="CR420" s="4">
        <f t="shared" si="1325"/>
        <v>0.69404556824261776</v>
      </c>
      <c r="CS420" s="4">
        <f t="shared" si="1377"/>
        <v>0.7718247303008392</v>
      </c>
      <c r="CT420" s="4">
        <f t="shared" si="1432"/>
        <v>4</v>
      </c>
      <c r="DA420" s="4">
        <f t="shared" ref="DA420:DB421" si="1583">CM420</f>
        <v>0.7619369171435395</v>
      </c>
      <c r="DB420" s="4">
        <f t="shared" si="1583"/>
        <v>0.49783010673441874</v>
      </c>
      <c r="DC420" s="4">
        <f t="shared" ref="DC420:DC421" si="1584">CP420</f>
        <v>0.90408286404901339</v>
      </c>
      <c r="DD420" s="4">
        <f t="shared" ref="DD420:DD421" si="1585">CS420</f>
        <v>0.7718247303008392</v>
      </c>
      <c r="DE420" s="4">
        <f t="shared" ref="DE420:DF421" si="1586">CQ420</f>
        <v>0.66704150177213273</v>
      </c>
      <c r="DF420" s="4">
        <f t="shared" si="1586"/>
        <v>0.69404556824261776</v>
      </c>
      <c r="DI420" s="4">
        <f t="shared" si="1417"/>
        <v>369.31599999999997</v>
      </c>
      <c r="DL420" s="4">
        <f t="shared" si="1286"/>
        <v>2.2407828565630739E-5</v>
      </c>
      <c r="DM420" s="4">
        <f t="shared" si="1287"/>
        <v>8.1586127714079559</v>
      </c>
      <c r="DN420" s="4">
        <f t="shared" si="1288"/>
        <v>0.28301384259145501</v>
      </c>
      <c r="DO420" s="4">
        <f t="shared" si="1289"/>
        <v>4.9242420460742977</v>
      </c>
      <c r="DP420" s="4">
        <f t="shared" si="1290"/>
        <v>6.7395045997114531</v>
      </c>
      <c r="DQ420" s="4">
        <f t="shared" si="1291"/>
        <v>7.4031824594414859</v>
      </c>
      <c r="DR420" s="38">
        <f t="shared" si="1318"/>
        <v>480.76417182504525</v>
      </c>
      <c r="DS420" s="4">
        <f t="shared" si="1292"/>
        <v>1.0001113002703272</v>
      </c>
      <c r="DT420" s="4">
        <f t="shared" si="1293"/>
        <v>2.1908902300206643</v>
      </c>
      <c r="DU420" s="4">
        <f t="shared" si="1294"/>
        <v>211.8358367929149</v>
      </c>
      <c r="DY420" s="4">
        <f t="shared" si="1295"/>
        <v>0.85</v>
      </c>
      <c r="DZ420" s="4">
        <f t="shared" si="1296"/>
        <v>0.91914893617021276</v>
      </c>
      <c r="EA420" s="4">
        <f t="shared" si="1319"/>
        <v>0.9995510789195714</v>
      </c>
      <c r="EB420" s="4">
        <f t="shared" si="1297"/>
        <v>0.91873631083671248</v>
      </c>
      <c r="ED420" s="4">
        <f t="shared" si="1320"/>
        <v>462.0585014099683</v>
      </c>
      <c r="EE420" s="25">
        <f t="shared" si="1321"/>
        <v>209.66226801364556</v>
      </c>
      <c r="EG420" s="4">
        <f t="shared" si="1514"/>
        <v>0.78092586421120558</v>
      </c>
      <c r="EH420" s="4">
        <f t="shared" si="1322"/>
        <v>8.1586127714079559</v>
      </c>
      <c r="EK420" s="4">
        <f t="shared" si="1298"/>
        <v>78.464542697960056</v>
      </c>
      <c r="EL420" s="4">
        <f t="shared" si="1299"/>
        <v>2.1908902300206643</v>
      </c>
      <c r="EM420" s="4">
        <f t="shared" si="1300"/>
        <v>0.12000993063336024</v>
      </c>
      <c r="EP420" s="4">
        <f t="shared" si="1433"/>
        <v>0.12000993063336024</v>
      </c>
      <c r="EQ420" s="4">
        <f t="shared" si="1540"/>
        <v>0.28254154523477981</v>
      </c>
      <c r="ER420" s="4">
        <f t="shared" si="1301"/>
        <v>4.9209533420740552</v>
      </c>
      <c r="ES420" s="4">
        <f t="shared" si="1418"/>
        <v>6.7383085441162534</v>
      </c>
      <c r="ET420" s="4">
        <f t="shared" si="1302"/>
        <v>198.52245730203992</v>
      </c>
      <c r="EU420" s="4">
        <f t="shared" si="1303"/>
        <v>92.329000000000008</v>
      </c>
      <c r="EV420" s="4">
        <f t="shared" si="1541"/>
        <v>2.2407828565630742E-5</v>
      </c>
      <c r="EW420" s="4">
        <f t="shared" si="1419"/>
        <v>7.4033606202043263</v>
      </c>
      <c r="EX420" s="4">
        <f t="shared" si="1555"/>
        <v>480.71066859768115</v>
      </c>
      <c r="FG420" s="23">
        <f t="shared" si="1459"/>
        <v>0.8</v>
      </c>
      <c r="FH420" s="23">
        <f t="shared" si="1459"/>
        <v>0.6</v>
      </c>
      <c r="FI420" s="23">
        <f t="shared" si="1382"/>
        <v>0.8</v>
      </c>
      <c r="FJ420" s="23">
        <f t="shared" si="1460"/>
        <v>1</v>
      </c>
      <c r="FK420" s="23">
        <f t="shared" si="1460"/>
        <v>0.8</v>
      </c>
      <c r="FL420" s="23">
        <f t="shared" si="1460"/>
        <v>0.8</v>
      </c>
      <c r="FM420" s="23">
        <f t="shared" si="1330"/>
        <v>1</v>
      </c>
      <c r="FN420" s="23"/>
      <c r="FX420" s="4">
        <f t="shared" si="1500"/>
        <v>1</v>
      </c>
      <c r="FY420" s="4">
        <f t="shared" si="1561"/>
        <v>0.58038924223974031</v>
      </c>
      <c r="FZ420" s="4">
        <f t="shared" si="1501"/>
        <v>0.16766426906761905</v>
      </c>
      <c r="GA420" s="4">
        <f t="shared" si="1502"/>
        <v>415.49543903240379</v>
      </c>
    </row>
    <row r="421" spans="1:183" ht="12" customHeight="1" x14ac:dyDescent="0.3">
      <c r="A421" s="25">
        <v>403</v>
      </c>
      <c r="B421" s="4" t="s">
        <v>605</v>
      </c>
      <c r="C421" s="4">
        <v>2016</v>
      </c>
      <c r="D421" s="4" t="s">
        <v>309</v>
      </c>
      <c r="E421" s="14" t="s">
        <v>677</v>
      </c>
      <c r="F421" s="7" t="s">
        <v>572</v>
      </c>
      <c r="G421" s="38">
        <f t="shared" si="1569"/>
        <v>931.0344827586207</v>
      </c>
      <c r="H421" s="38">
        <f>14.92*25.4</f>
        <v>378.96799999999996</v>
      </c>
      <c r="I421" s="4">
        <f t="shared" si="1420"/>
        <v>378.96799999999996</v>
      </c>
      <c r="J421" s="38">
        <f>8720/145</f>
        <v>60.137931034482762</v>
      </c>
      <c r="K421" s="38">
        <f t="shared" si="1563"/>
        <v>35.813999999999993</v>
      </c>
      <c r="L421" s="7">
        <f t="shared" si="1421"/>
        <v>10.581560283687944</v>
      </c>
      <c r="M421" s="7">
        <f t="shared" si="1422"/>
        <v>10.581560283687944</v>
      </c>
      <c r="N421" s="38">
        <f>22.2*25.4</f>
        <v>563.88</v>
      </c>
      <c r="O421" s="38">
        <f>2.8*25.4</f>
        <v>71.11999999999999</v>
      </c>
      <c r="P421" s="39">
        <f>3.3*25.4</f>
        <v>83.82</v>
      </c>
      <c r="Q421" s="7">
        <f t="shared" si="1423"/>
        <v>157.09899999999999</v>
      </c>
      <c r="R421" s="38">
        <v>3</v>
      </c>
      <c r="S421" s="4">
        <f t="shared" si="1493"/>
        <v>508</v>
      </c>
      <c r="T421" s="7">
        <f t="shared" si="1424"/>
        <v>2.4858156028368796</v>
      </c>
      <c r="U421" s="7">
        <f t="shared" si="1548"/>
        <v>2.4858156028368796</v>
      </c>
      <c r="V421" s="38">
        <v>3.8</v>
      </c>
      <c r="W421" s="4">
        <f t="shared" si="1425"/>
        <v>3.8</v>
      </c>
      <c r="X421" s="4">
        <f t="shared" si="1426"/>
        <v>4.8</v>
      </c>
      <c r="Y421" s="7">
        <f t="shared" si="1427"/>
        <v>78.464542697960056</v>
      </c>
      <c r="AB421" s="38">
        <f t="shared" si="1461"/>
        <v>370.34482758620692</v>
      </c>
      <c r="AC421" s="4">
        <v>53.7</v>
      </c>
      <c r="AD421" s="4">
        <f t="shared" ref="AD421:AD449" si="1587">CQ421</f>
        <v>0.70702684009784134</v>
      </c>
      <c r="AE421" s="38">
        <f t="shared" si="1581"/>
        <v>12.7</v>
      </c>
      <c r="AF421" s="38">
        <v>12</v>
      </c>
      <c r="AG421" s="39">
        <f>4*25.4</f>
        <v>101.6</v>
      </c>
      <c r="AH421" s="39">
        <v>3</v>
      </c>
      <c r="AI421" s="39">
        <f t="shared" si="1582"/>
        <v>2</v>
      </c>
      <c r="AJ421" s="7"/>
      <c r="AK421" s="4">
        <f t="shared" si="1429"/>
        <v>378.96799999999996</v>
      </c>
      <c r="AL421" s="4">
        <f t="shared" si="1304"/>
        <v>0.49597855227882043</v>
      </c>
      <c r="AM421" s="4">
        <f t="shared" si="1305"/>
        <v>189.30463885208755</v>
      </c>
      <c r="AN421" s="4">
        <f t="shared" si="1306"/>
        <v>0.74698391420911525</v>
      </c>
      <c r="AO421" s="4">
        <v>1.25</v>
      </c>
      <c r="AP421" s="4">
        <f t="shared" si="1520"/>
        <v>2.5</v>
      </c>
      <c r="AQ421" s="38">
        <f t="shared" si="1398"/>
        <v>219.1721784510718</v>
      </c>
      <c r="AR421" s="38">
        <f t="shared" si="1307"/>
        <v>219.1721784510718</v>
      </c>
      <c r="AS421" s="38">
        <f t="shared" si="1308"/>
        <v>4.3584878994477556</v>
      </c>
      <c r="AT421" s="38">
        <f t="shared" si="1533"/>
        <v>219.1721784510718</v>
      </c>
      <c r="AU421" s="38">
        <f t="shared" si="1495"/>
        <v>1</v>
      </c>
      <c r="AV421" s="38">
        <f t="shared" si="1534"/>
        <v>2.6592168990896266</v>
      </c>
      <c r="AW421" s="4">
        <f t="shared" si="1535"/>
        <v>0</v>
      </c>
      <c r="AX421" s="4">
        <f t="shared" si="1430"/>
        <v>431.88721788481928</v>
      </c>
      <c r="AY421" s="4">
        <f t="shared" si="1399"/>
        <v>1</v>
      </c>
      <c r="AZ421" s="38">
        <f t="shared" si="1542"/>
        <v>582.82636074737741</v>
      </c>
      <c r="BA421" s="4">
        <f t="shared" si="1400"/>
        <v>0.46800000000000008</v>
      </c>
      <c r="BB421" s="4">
        <f t="shared" si="1401"/>
        <v>105.60938138937489</v>
      </c>
      <c r="BC421" s="4">
        <f t="shared" si="1402"/>
        <v>688.43574213675231</v>
      </c>
      <c r="BE421" s="4">
        <f t="shared" si="1521"/>
        <v>1.5</v>
      </c>
      <c r="BF421" s="4">
        <f t="shared" si="1527"/>
        <v>718.23249590348019</v>
      </c>
      <c r="BH421" s="4">
        <f t="shared" si="1549"/>
        <v>559.00175497621922</v>
      </c>
      <c r="BI421" s="4">
        <f t="shared" si="1481"/>
        <v>0</v>
      </c>
      <c r="BJ421" s="4">
        <f t="shared" si="1550"/>
        <v>0</v>
      </c>
      <c r="BK421" s="4">
        <f t="shared" si="1309"/>
        <v>71.11999999999999</v>
      </c>
      <c r="BL421" s="4">
        <f t="shared" si="1310"/>
        <v>71.11999999999999</v>
      </c>
      <c r="BM421" s="4">
        <f t="shared" si="1311"/>
        <v>508</v>
      </c>
      <c r="BN421" s="4">
        <f t="shared" si="1312"/>
        <v>89.026999999999987</v>
      </c>
      <c r="BO421" s="4">
        <f t="shared" si="1313"/>
        <v>1.25</v>
      </c>
      <c r="BP421" s="25">
        <f t="shared" si="1314"/>
        <v>4</v>
      </c>
      <c r="BR421" s="4">
        <f t="shared" si="1403"/>
        <v>71.11999999999999</v>
      </c>
      <c r="BV421" s="9"/>
      <c r="BX421" s="9"/>
      <c r="BY421" s="9"/>
      <c r="BZ421" s="9">
        <f t="shared" si="1404"/>
        <v>71.11999999999999</v>
      </c>
      <c r="CA421" s="9">
        <f t="shared" si="1405"/>
        <v>78.549499999999995</v>
      </c>
      <c r="CB421" s="9">
        <f t="shared" si="1536"/>
        <v>1.4303496396121349</v>
      </c>
      <c r="CC421" s="40">
        <f t="shared" si="1431"/>
        <v>20</v>
      </c>
      <c r="CD421" s="9">
        <f t="shared" si="1406"/>
        <v>0.05</v>
      </c>
      <c r="CE421" s="9">
        <f t="shared" si="1407"/>
        <v>0.8</v>
      </c>
      <c r="CF421" s="9">
        <f t="shared" si="1408"/>
        <v>0.89777220146327208</v>
      </c>
      <c r="CG421" s="9">
        <f t="shared" si="1409"/>
        <v>0.68</v>
      </c>
      <c r="CH421" s="9">
        <f t="shared" si="1537"/>
        <v>1.656980327255414</v>
      </c>
      <c r="CI421" s="9">
        <f t="shared" si="1538"/>
        <v>3.6956454757385102</v>
      </c>
      <c r="CJ421" s="40">
        <v>1</v>
      </c>
      <c r="CK421" s="9">
        <f t="shared" si="1539"/>
        <v>378.16151009897328</v>
      </c>
      <c r="CM421" s="4">
        <f t="shared" si="1410"/>
        <v>0.85750356169367992</v>
      </c>
      <c r="CN421" s="4">
        <f t="shared" si="1411"/>
        <v>0.5379511912567736</v>
      </c>
      <c r="CO421" s="4">
        <f t="shared" si="1376"/>
        <v>0.51563362796658507</v>
      </c>
      <c r="CP421" s="4">
        <f t="shared" si="1412"/>
        <v>0.97932977761083995</v>
      </c>
      <c r="CQ421" s="4">
        <f t="shared" si="1324"/>
        <v>0.70702684009784134</v>
      </c>
      <c r="CR421" s="4">
        <f t="shared" si="1325"/>
        <v>0.73678053201601534</v>
      </c>
      <c r="CS421" s="4">
        <f t="shared" si="1377"/>
        <v>0.8346761269586771</v>
      </c>
      <c r="CT421" s="4">
        <f t="shared" si="1432"/>
        <v>12</v>
      </c>
      <c r="DA421" s="4">
        <f t="shared" si="1583"/>
        <v>0.85750356169367992</v>
      </c>
      <c r="DB421" s="4">
        <f t="shared" si="1583"/>
        <v>0.5379511912567736</v>
      </c>
      <c r="DC421" s="4">
        <f t="shared" si="1584"/>
        <v>0.97932977761083995</v>
      </c>
      <c r="DD421" s="4">
        <f t="shared" si="1585"/>
        <v>0.8346761269586771</v>
      </c>
      <c r="DE421" s="4">
        <f t="shared" si="1586"/>
        <v>0.70702684009784134</v>
      </c>
      <c r="DF421" s="4">
        <f t="shared" si="1586"/>
        <v>0.73678053201601534</v>
      </c>
      <c r="DI421" s="4">
        <f t="shared" si="1417"/>
        <v>378.96799999999996</v>
      </c>
      <c r="DL421" s="4">
        <f t="shared" ref="DL421:DL449" si="1588">H421/4/(1-0.3*(J421/30)^0.5)/200000/K421</f>
        <v>2.2993452695956715E-5</v>
      </c>
      <c r="DM421" s="4">
        <f t="shared" ref="DM421:DM449" si="1589">EH421</f>
        <v>8.9983064543138589</v>
      </c>
      <c r="DN421" s="4">
        <f t="shared" ref="DN421:DN449" si="1590">DU421*Y421/257/J421/V421</f>
        <v>0.29281523538066689</v>
      </c>
      <c r="DO421" s="4">
        <f t="shared" ref="DO421:DO449" si="1591">DM421*DN421^0.4</f>
        <v>5.505518770359167</v>
      </c>
      <c r="DP421" s="4">
        <f t="shared" ref="DP421:DP449" si="1592">MIN(DM421, DM421/1.4*(1-DN421^1.4)/(1-DN421))</f>
        <v>7.4603727031590674</v>
      </c>
      <c r="DQ421" s="4">
        <f t="shared" ref="DQ421:DQ449" si="1593">MAX(DM421/2, (4-DL421*(8*Y421*(DO421-DP421)+6*H421*DP421))/(4+DL421*H421*DM421)*DM421)</f>
        <v>8.026987180468911</v>
      </c>
      <c r="DR421" s="38">
        <f t="shared" si="1318"/>
        <v>523.80589615941176</v>
      </c>
      <c r="DS421" s="4">
        <f t="shared" ref="DS421:DS449" si="1594">DR421/EX421</f>
        <v>1.0001161634265323</v>
      </c>
      <c r="DT421" s="4">
        <f t="shared" ref="DT421:DT449" si="1595">Y421/K421</f>
        <v>2.1908902300206643</v>
      </c>
      <c r="DU421" s="4">
        <f t="shared" ref="DU421:DU449" si="1596">MIN(DT$10*AT421)</f>
        <v>219.1721784510718</v>
      </c>
      <c r="DY421" s="4">
        <f t="shared" ref="DY421:DY449" si="1597">IF(P421&gt;1*K421,0.85,1)</f>
        <v>0.85</v>
      </c>
      <c r="DZ421" s="4">
        <f t="shared" ref="DZ421:DZ449" si="1598">MIN(1,MAX(0.7,(1-0.1*(BR421-1*K421)/K421)))</f>
        <v>0.90141843971631208</v>
      </c>
      <c r="EA421" s="4">
        <f t="shared" si="1319"/>
        <v>0.92410215783914285</v>
      </c>
      <c r="EB421" s="4">
        <f t="shared" ref="EB421:EB449" si="1599">IF(DZ421*EA421&lt;0.7,0.7,DZ421*EA421)</f>
        <v>0.83300272525783725</v>
      </c>
      <c r="ED421" s="4">
        <f t="shared" si="1320"/>
        <v>502.65284096588584</v>
      </c>
      <c r="EE421" s="25">
        <f t="shared" si="1321"/>
        <v>217.00447437362462</v>
      </c>
      <c r="EG421" s="4">
        <f t="shared" si="1514"/>
        <v>0.70805231646916167</v>
      </c>
      <c r="EH421" s="4">
        <f t="shared" si="1322"/>
        <v>8.9983064543138589</v>
      </c>
      <c r="EK421" s="4">
        <f t="shared" ref="EK421:EK449" si="1600">EL421*K421</f>
        <v>78.464542697960056</v>
      </c>
      <c r="EL421" s="4">
        <f t="shared" ref="EL421:EL449" si="1601">X421^0.5</f>
        <v>2.1908902300206643</v>
      </c>
      <c r="EM421" s="4">
        <f t="shared" ref="EM421:EM449" si="1602">MIN(DU421)/(4700*J421^0.5)/W421*EK421</f>
        <v>0.12416613888795661</v>
      </c>
      <c r="EP421" s="4">
        <f t="shared" si="1433"/>
        <v>0.12416613888795661</v>
      </c>
      <c r="EQ421" s="4">
        <f t="shared" si="1540"/>
        <v>0.29232658132615785</v>
      </c>
      <c r="ER421" s="4">
        <f t="shared" ref="ER421:ER449" si="1603">EH421/1*EQ421^0.4</f>
        <v>5.5018418549203876</v>
      </c>
      <c r="ES421" s="4">
        <f t="shared" si="1418"/>
        <v>7.4590215919052358</v>
      </c>
      <c r="ET421" s="4">
        <f t="shared" ref="ET421:ET449" si="1604">MAX(0,DI421*ET$9-EK421)</f>
        <v>205.76145730203996</v>
      </c>
      <c r="EU421" s="4">
        <f t="shared" ref="EU421:EU449" si="1605">MAX(0,DI421-EK421-ET421)</f>
        <v>94.741999999999962</v>
      </c>
      <c r="EV421" s="4">
        <f t="shared" si="1541"/>
        <v>2.2993452695956704E-5</v>
      </c>
      <c r="EW421" s="4">
        <f t="shared" si="1419"/>
        <v>8.0272170994784275</v>
      </c>
      <c r="EX421" s="4">
        <f t="shared" si="1555"/>
        <v>523.74505613906126</v>
      </c>
      <c r="FG421" s="23">
        <f t="shared" si="1459"/>
        <v>1</v>
      </c>
      <c r="FH421" s="23">
        <f t="shared" si="1459"/>
        <v>0.6</v>
      </c>
      <c r="FI421" s="23">
        <f t="shared" si="1382"/>
        <v>1</v>
      </c>
      <c r="FJ421" s="23">
        <f t="shared" si="1460"/>
        <v>1</v>
      </c>
      <c r="FK421" s="23">
        <f t="shared" si="1460"/>
        <v>0.8</v>
      </c>
      <c r="FL421" s="23">
        <f t="shared" si="1460"/>
        <v>0.8</v>
      </c>
      <c r="FM421" s="23">
        <f t="shared" si="1330"/>
        <v>1</v>
      </c>
      <c r="FN421" s="23"/>
      <c r="FX421" s="4">
        <f t="shared" si="1500"/>
        <v>1</v>
      </c>
      <c r="FY421" s="4">
        <f t="shared" si="1561"/>
        <v>0.55770140699820026</v>
      </c>
      <c r="FZ421" s="4">
        <f t="shared" si="1501"/>
        <v>0.25149640360142861</v>
      </c>
      <c r="GA421" s="4">
        <f t="shared" si="1502"/>
        <v>443.6988379380615</v>
      </c>
    </row>
    <row r="422" spans="1:183" ht="12" customHeight="1" x14ac:dyDescent="0.3">
      <c r="A422" s="25">
        <v>404</v>
      </c>
      <c r="B422" s="4" t="s">
        <v>605</v>
      </c>
      <c r="C422" s="4">
        <v>2016</v>
      </c>
      <c r="D422" s="4" t="s">
        <v>309</v>
      </c>
      <c r="E422" s="14" t="s">
        <v>677</v>
      </c>
      <c r="F422" s="48" t="s">
        <v>573</v>
      </c>
      <c r="G422" s="38">
        <f>115.9/0.145</f>
        <v>799.31034482758628</v>
      </c>
      <c r="H422" s="38">
        <f>9.69*25.4</f>
        <v>246.12599999999998</v>
      </c>
      <c r="I422" s="4">
        <f t="shared" si="1420"/>
        <v>246.12599999999998</v>
      </c>
      <c r="J422" s="38">
        <f>8800/145</f>
        <v>60.689655172413794</v>
      </c>
      <c r="K422" s="38">
        <f t="shared" si="1526"/>
        <v>25.4</v>
      </c>
      <c r="L422" s="7">
        <f t="shared" si="1421"/>
        <v>9.69</v>
      </c>
      <c r="M422" s="7">
        <f t="shared" si="1422"/>
        <v>9.69</v>
      </c>
      <c r="N422" s="38">
        <f>16.9*25.4</f>
        <v>429.25999999999993</v>
      </c>
      <c r="O422" s="38">
        <f>2.5*25.4</f>
        <v>63.5</v>
      </c>
      <c r="P422" s="39">
        <f>2.95*25.4</f>
        <v>74.930000000000007</v>
      </c>
      <c r="Q422" s="7">
        <f t="shared" si="1423"/>
        <v>251.45999999999992</v>
      </c>
      <c r="R422" s="38">
        <v>2</v>
      </c>
      <c r="S422" s="4">
        <f t="shared" si="1493"/>
        <v>508</v>
      </c>
      <c r="T422" s="7">
        <f t="shared" si="1424"/>
        <v>3</v>
      </c>
      <c r="U422" s="7">
        <f t="shared" si="1548"/>
        <v>3</v>
      </c>
      <c r="V422" s="38">
        <v>12.9</v>
      </c>
      <c r="W422" s="4">
        <f t="shared" si="1425"/>
        <v>12.9</v>
      </c>
      <c r="X422" s="4">
        <f t="shared" si="1426"/>
        <v>13.9</v>
      </c>
      <c r="Y422" s="7">
        <f t="shared" si="1427"/>
        <v>94.698067562120812</v>
      </c>
      <c r="AB422" s="38">
        <f t="shared" si="1461"/>
        <v>743.44827586206895</v>
      </c>
      <c r="AC422" s="4">
        <v>107.8</v>
      </c>
      <c r="AD422" s="4">
        <f t="shared" si="1587"/>
        <v>1.0814969925658282</v>
      </c>
      <c r="AE422" s="38">
        <v>0</v>
      </c>
      <c r="AF422" s="38">
        <v>0</v>
      </c>
      <c r="AG422" s="39">
        <f t="shared" ref="AG422:AG423" si="1606">I422</f>
        <v>246.12599999999998</v>
      </c>
      <c r="AH422" s="39"/>
      <c r="AI422" s="39"/>
      <c r="AJ422" s="7"/>
      <c r="AK422" s="4">
        <f t="shared" si="1429"/>
        <v>246.12599999999998</v>
      </c>
      <c r="AL422" s="4">
        <f t="shared" ref="AL422:AL449" si="1607">IF(H422*3&gt;Q422+K422, N422, (O422+K422/2)*2+1.5*H422*(2*R422-2))*(3*H422)/(9*H422^2)</f>
        <v>0.58135534915720666</v>
      </c>
      <c r="AM422" s="4">
        <f t="shared" ref="AM422:AM449" si="1608">MIN(10*J422^0.5*H422^1.5,100*3.9*J422^0.5*H422^(5/3))/(PI()/4*K422^2)/R422</f>
        <v>296.82895641194636</v>
      </c>
      <c r="AN422" s="4">
        <f t="shared" ref="AN422:AN449" si="1609">MIN(0.7+0.3*(MIN(O422,S422)+0.5*K422)/1.5/H422,1)</f>
        <v>0.76191950464396285</v>
      </c>
      <c r="AO422" s="4">
        <v>1.25</v>
      </c>
      <c r="AP422" s="4">
        <f t="shared" si="1520"/>
        <v>2.5</v>
      </c>
      <c r="AQ422" s="38">
        <f t="shared" si="1398"/>
        <v>410.87247777176111</v>
      </c>
      <c r="AR422" s="38">
        <f t="shared" ref="AR422:AR449" si="1610">AQ422</f>
        <v>410.87247777176111</v>
      </c>
      <c r="AS422" s="38">
        <f t="shared" ref="AS422:AS449" si="1611">IF(J422&lt;50, 0.3*J422^(2/3), 2.12*LN(1+0.1*(J422+8)))</f>
        <v>4.3734044077759826</v>
      </c>
      <c r="AT422" s="38">
        <f t="shared" si="1533"/>
        <v>410.87247777176123</v>
      </c>
      <c r="AU422" s="38">
        <f t="shared" si="1495"/>
        <v>0.99999999999999978</v>
      </c>
      <c r="AV422" s="38">
        <f t="shared" si="1534"/>
        <v>3.183125226035874</v>
      </c>
      <c r="AW422" s="4">
        <f t="shared" si="1535"/>
        <v>0</v>
      </c>
      <c r="AX422" s="4">
        <f t="shared" si="1430"/>
        <v>397.30818403784269</v>
      </c>
      <c r="AY422" s="4">
        <f t="shared" si="1399"/>
        <v>1</v>
      </c>
      <c r="AZ422" s="38">
        <f t="shared" si="1542"/>
        <v>1307.8585486791571</v>
      </c>
      <c r="BA422" s="4">
        <f t="shared" si="1400"/>
        <v>0.3</v>
      </c>
      <c r="BB422" s="4">
        <f t="shared" si="1401"/>
        <v>62.278057847931834</v>
      </c>
      <c r="BC422" s="4">
        <f t="shared" si="1402"/>
        <v>1370.136606527089</v>
      </c>
      <c r="BE422" s="4">
        <f t="shared" si="1521"/>
        <v>1.375</v>
      </c>
      <c r="BF422" s="4">
        <f t="shared" si="1527"/>
        <v>632.74249691732609</v>
      </c>
      <c r="BH422" s="4">
        <f t="shared" si="1549"/>
        <v>1254.3962888617332</v>
      </c>
      <c r="BI422" s="4">
        <f t="shared" si="1481"/>
        <v>0</v>
      </c>
      <c r="BJ422" s="4">
        <f t="shared" si="1550"/>
        <v>0</v>
      </c>
      <c r="BK422" s="4">
        <f t="shared" ref="BK422:BK485" si="1612">IF(R422=1,O422,MIN(O422,Q422/2+6.4))</f>
        <v>63.5</v>
      </c>
      <c r="BL422" s="4">
        <f t="shared" ref="BL422:BL485" si="1613">MIN(S422,BK422)</f>
        <v>63.5</v>
      </c>
      <c r="BM422" s="4">
        <f t="shared" ref="BM422:BM485" si="1614">MAX(S422,BK422)</f>
        <v>508</v>
      </c>
      <c r="BN422" s="4">
        <f t="shared" ref="BN422:BN485" si="1615">BL422+K422/2</f>
        <v>76.2</v>
      </c>
      <c r="BO422" s="4">
        <f t="shared" ref="BO422:BO485" si="1616">MIN(1.25, 0.1*BM422/BL422+0.9)</f>
        <v>1.25</v>
      </c>
      <c r="BP422" s="25">
        <f t="shared" ref="BP422:BP485" si="1617">MIN(4, (BN422*BO422+(6*J422^0.5*(0.03*K422+0.22)*(AE422^2/4*PI())*2/AG422/R422))/K422)</f>
        <v>3.75</v>
      </c>
      <c r="BR422" s="4">
        <f t="shared" si="1403"/>
        <v>63.5</v>
      </c>
      <c r="BV422" s="9"/>
      <c r="BX422" s="9"/>
      <c r="BY422" s="9"/>
      <c r="BZ422" s="9">
        <f t="shared" si="1404"/>
        <v>63.5</v>
      </c>
      <c r="CA422" s="9">
        <f t="shared" si="1405"/>
        <v>125.72999999999996</v>
      </c>
      <c r="CB422" s="9">
        <f t="shared" si="1536"/>
        <v>1.7517405482385959</v>
      </c>
      <c r="CC422" s="40">
        <f t="shared" si="1431"/>
        <v>20</v>
      </c>
      <c r="CD422" s="9">
        <f t="shared" si="1406"/>
        <v>0</v>
      </c>
      <c r="CE422" s="9">
        <f t="shared" si="1407"/>
        <v>0</v>
      </c>
      <c r="CF422" s="9">
        <f t="shared" si="1408"/>
        <v>0.99524931562137331</v>
      </c>
      <c r="CG422" s="9">
        <f t="shared" si="1409"/>
        <v>0.68048275862068963</v>
      </c>
      <c r="CH422" s="9">
        <f t="shared" si="1537"/>
        <v>1.8466066401443861</v>
      </c>
      <c r="CI422" s="9">
        <f t="shared" si="1538"/>
        <v>3.2347757281875587</v>
      </c>
      <c r="CJ422" s="40">
        <v>1</v>
      </c>
      <c r="CK422" s="9">
        <f t="shared" si="1539"/>
        <v>319.46645091580331</v>
      </c>
      <c r="CM422" s="4">
        <f t="shared" si="1410"/>
        <v>1.8712130928348991</v>
      </c>
      <c r="CN422" s="4">
        <f t="shared" si="1411"/>
        <v>0.54260887003559544</v>
      </c>
      <c r="CO422" s="4">
        <f t="shared" si="1376"/>
        <v>1.1749618201465732</v>
      </c>
      <c r="CP422" s="4">
        <f t="shared" si="1412"/>
        <v>2.3271560244615728</v>
      </c>
      <c r="CQ422" s="4">
        <f t="shared" si="1324"/>
        <v>1.0814969925658282</v>
      </c>
      <c r="CR422" s="4">
        <f t="shared" si="1325"/>
        <v>1.0734511207027237</v>
      </c>
      <c r="CS422" s="4">
        <f t="shared" si="1377"/>
        <v>1.378337467570502</v>
      </c>
      <c r="CT422" s="4">
        <f t="shared" si="1432"/>
        <v>0</v>
      </c>
      <c r="CU422" s="4">
        <f t="shared" ref="CU422:CV423" si="1618">CM422</f>
        <v>1.8712130928348991</v>
      </c>
      <c r="CV422" s="4">
        <f t="shared" si="1618"/>
        <v>0.54260887003559544</v>
      </c>
      <c r="CW422" s="4">
        <f t="shared" ref="CW422:CW423" si="1619">CP422</f>
        <v>2.3271560244615728</v>
      </c>
      <c r="CX422" s="4">
        <f t="shared" ref="CX422:CX423" si="1620">CS422</f>
        <v>1.378337467570502</v>
      </c>
      <c r="CY422" s="4">
        <f t="shared" ref="CY422:CZ423" si="1621">CQ422</f>
        <v>1.0814969925658282</v>
      </c>
      <c r="CZ422" s="4">
        <f t="shared" si="1621"/>
        <v>1.0734511207027237</v>
      </c>
      <c r="DI422" s="4">
        <f t="shared" si="1417"/>
        <v>246.12599999999998</v>
      </c>
      <c r="DL422" s="4">
        <f t="shared" si="1588"/>
        <v>2.1127512369735255E-5</v>
      </c>
      <c r="DM422" s="4">
        <f t="shared" si="1589"/>
        <v>9.8430311725779873</v>
      </c>
      <c r="DN422" s="4">
        <f t="shared" si="1590"/>
        <v>0.19337960299149198</v>
      </c>
      <c r="DO422" s="4">
        <f t="shared" si="1591"/>
        <v>5.1014440303118125</v>
      </c>
      <c r="DP422" s="4">
        <f t="shared" si="1592"/>
        <v>7.8427012828187666</v>
      </c>
      <c r="DQ422" s="4">
        <f t="shared" si="1593"/>
        <v>9.2307511883463249</v>
      </c>
      <c r="DR422" s="38">
        <f t="shared" ref="DR422:DR449" si="1622">MIN(1/K422*(4*Y422*(DO422-DP422)+(3*DP422+DQ422)*H422)+DU422 -FB422,MAX(G422,AB422))</f>
        <v>687.42519024325156</v>
      </c>
      <c r="DS422" s="4">
        <f t="shared" si="1594"/>
        <v>1.0000940744101987</v>
      </c>
      <c r="DT422" s="4">
        <f t="shared" si="1595"/>
        <v>3.7282703764614493</v>
      </c>
      <c r="DU422" s="4">
        <f t="shared" si="1596"/>
        <v>410.87247777176123</v>
      </c>
      <c r="DY422" s="4">
        <f t="shared" si="1597"/>
        <v>0.85</v>
      </c>
      <c r="DZ422" s="4">
        <f t="shared" si="1598"/>
        <v>0.85</v>
      </c>
      <c r="EA422" s="4">
        <f t="shared" ref="EA422:EA449" si="1623">MIN(1,MAX(0.7,1-0.3*(PI()*AE422^2/4*AI422*2-0.25*PI()/4*K422^2)/(PI()/4*K422^2)))</f>
        <v>1</v>
      </c>
      <c r="EB422" s="4">
        <f t="shared" si="1599"/>
        <v>0.85</v>
      </c>
      <c r="ED422" s="4">
        <f t="shared" ref="ED422:ED449" si="1624">MIN(DM422/K422*3*H422+EE422-FB422,MAX(G422,AB422))</f>
        <v>692.57766983873307</v>
      </c>
      <c r="EE422" s="25">
        <f t="shared" ref="EE422:EE449" si="1625">13.3*N422*H422^0.5*J422^0.5/R422/K422^2*(0.7+O422/5/H422)</f>
        <v>406.44075365189104</v>
      </c>
      <c r="EG422" s="4">
        <f t="shared" si="1514"/>
        <v>0.72249999999999992</v>
      </c>
      <c r="EH422" s="4">
        <f t="shared" ref="EH422:EH449" si="1626">IF(K422&lt;22.2,1.1*5*(J422/30)^0.5,IF(K422&gt;=31.8,0.9*5*(J422/30)^0.5,1*5*(J422/30)^0.5))/DY422/EB422</f>
        <v>9.8430311725779873</v>
      </c>
      <c r="EK422" s="4">
        <f t="shared" si="1600"/>
        <v>94.698067562120812</v>
      </c>
      <c r="EL422" s="4">
        <f t="shared" si="1601"/>
        <v>3.7282703764614498</v>
      </c>
      <c r="EM422" s="4">
        <f t="shared" si="1602"/>
        <v>8.237648650767096E-2</v>
      </c>
      <c r="EP422" s="4">
        <f t="shared" si="1433"/>
        <v>8.237648650767096E-2</v>
      </c>
      <c r="EQ422" s="4">
        <f t="shared" si="1540"/>
        <v>0.19305688847515784</v>
      </c>
      <c r="ER422" s="4">
        <f t="shared" si="1603"/>
        <v>5.0980369802049079</v>
      </c>
      <c r="ES422" s="4">
        <f t="shared" si="1418"/>
        <v>7.8416043118474654</v>
      </c>
      <c r="ET422" s="4">
        <f t="shared" si="1604"/>
        <v>89.89643243787917</v>
      </c>
      <c r="EU422" s="4">
        <f t="shared" si="1605"/>
        <v>61.531500000000008</v>
      </c>
      <c r="EV422" s="4">
        <f t="shared" si="1541"/>
        <v>2.1127512369735259E-5</v>
      </c>
      <c r="EW422" s="4">
        <f t="shared" si="1419"/>
        <v>9.2309241819870902</v>
      </c>
      <c r="EX422" s="4">
        <f t="shared" si="1555"/>
        <v>687.36052720706061</v>
      </c>
      <c r="FA422" s="4">
        <f>5.25*25.4</f>
        <v>133.35</v>
      </c>
      <c r="FG422" s="23">
        <f t="shared" si="1459"/>
        <v>2</v>
      </c>
      <c r="FH422" s="23">
        <f t="shared" si="1459"/>
        <v>0.6</v>
      </c>
      <c r="FI422" s="23">
        <f t="shared" si="1382"/>
        <v>1.4</v>
      </c>
      <c r="FJ422" s="23">
        <f t="shared" si="1460"/>
        <v>2.2000000000000002</v>
      </c>
      <c r="FK422" s="23">
        <f t="shared" si="1460"/>
        <v>1.2</v>
      </c>
      <c r="FL422" s="23">
        <f t="shared" si="1460"/>
        <v>1.2</v>
      </c>
      <c r="FM422" s="23">
        <f t="shared" si="1330"/>
        <v>0</v>
      </c>
      <c r="FN422" s="23"/>
      <c r="FX422" s="4">
        <f t="shared" si="1500"/>
        <v>1</v>
      </c>
      <c r="FY422" s="4">
        <f t="shared" si="1561"/>
        <v>0.5</v>
      </c>
      <c r="FZ422" s="4">
        <f t="shared" si="1501"/>
        <v>0</v>
      </c>
      <c r="GA422" s="4">
        <f t="shared" si="1502"/>
        <v>539.3804444513089</v>
      </c>
    </row>
    <row r="423" spans="1:183" ht="12" customHeight="1" x14ac:dyDescent="0.3">
      <c r="A423" s="25">
        <v>405</v>
      </c>
      <c r="B423" s="4" t="s">
        <v>605</v>
      </c>
      <c r="C423" s="4">
        <v>2016</v>
      </c>
      <c r="D423" s="4" t="s">
        <v>309</v>
      </c>
      <c r="E423" s="14" t="s">
        <v>677</v>
      </c>
      <c r="F423" s="7" t="s">
        <v>574</v>
      </c>
      <c r="G423" s="38">
        <f>115.9/0.145</f>
        <v>799.31034482758628</v>
      </c>
      <c r="H423" s="38">
        <f>8.25*25.4</f>
        <v>209.54999999999998</v>
      </c>
      <c r="I423" s="4">
        <f t="shared" si="1420"/>
        <v>209.54999999999998</v>
      </c>
      <c r="J423" s="38">
        <f>8800/145</f>
        <v>60.689655172413794</v>
      </c>
      <c r="K423" s="38">
        <f t="shared" si="1526"/>
        <v>25.4</v>
      </c>
      <c r="L423" s="7">
        <f t="shared" si="1421"/>
        <v>8.25</v>
      </c>
      <c r="M423" s="7">
        <f t="shared" si="1422"/>
        <v>8.25</v>
      </c>
      <c r="N423" s="38">
        <f>17.3*25.4</f>
        <v>439.42</v>
      </c>
      <c r="O423" s="38">
        <f>2.6*25.4</f>
        <v>66.039999999999992</v>
      </c>
      <c r="P423" s="39">
        <f>3.3*25.4</f>
        <v>83.82</v>
      </c>
      <c r="Q423" s="7">
        <f t="shared" si="1423"/>
        <v>256.54000000000002</v>
      </c>
      <c r="R423" s="38">
        <v>2</v>
      </c>
      <c r="S423" s="4">
        <f t="shared" si="1493"/>
        <v>508</v>
      </c>
      <c r="T423" s="7">
        <f t="shared" si="1424"/>
        <v>3.0999999999999996</v>
      </c>
      <c r="U423" s="7">
        <f t="shared" si="1548"/>
        <v>3.0999999999999996</v>
      </c>
      <c r="V423" s="38">
        <v>14.9</v>
      </c>
      <c r="W423" s="4">
        <f t="shared" si="1425"/>
        <v>14.9</v>
      </c>
      <c r="X423" s="4">
        <f t="shared" si="1426"/>
        <v>15.9</v>
      </c>
      <c r="Y423" s="7">
        <f t="shared" si="1427"/>
        <v>101.28200234987457</v>
      </c>
      <c r="AB423" s="38">
        <f t="shared" si="1461"/>
        <v>618.62068965517244</v>
      </c>
      <c r="AC423" s="4">
        <v>89.7</v>
      </c>
      <c r="AD423" s="4">
        <f t="shared" si="1587"/>
        <v>0.99576500752813224</v>
      </c>
      <c r="AE423" s="38">
        <v>0</v>
      </c>
      <c r="AF423" s="38">
        <v>0</v>
      </c>
      <c r="AG423" s="39">
        <f t="shared" si="1606"/>
        <v>209.54999999999998</v>
      </c>
      <c r="AH423" s="39"/>
      <c r="AI423" s="39"/>
      <c r="AJ423" s="7"/>
      <c r="AK423" s="4">
        <f t="shared" si="1429"/>
        <v>209.54999999999998</v>
      </c>
      <c r="AL423" s="4">
        <f t="shared" si="1607"/>
        <v>0.69898989898989905</v>
      </c>
      <c r="AM423" s="4">
        <f t="shared" si="1608"/>
        <v>233.18548975839079</v>
      </c>
      <c r="AN423" s="4">
        <f t="shared" si="1609"/>
        <v>0.77515151515151515</v>
      </c>
      <c r="AO423" s="4">
        <v>1.25</v>
      </c>
      <c r="AP423" s="4">
        <f t="shared" si="1520"/>
        <v>2.5</v>
      </c>
      <c r="AQ423" s="38">
        <f t="shared" si="1398"/>
        <v>394.82900032422606</v>
      </c>
      <c r="AR423" s="38">
        <f t="shared" si="1610"/>
        <v>394.82900032422606</v>
      </c>
      <c r="AS423" s="38">
        <f t="shared" si="1611"/>
        <v>4.3734044077759826</v>
      </c>
      <c r="AT423" s="38">
        <f t="shared" si="1533"/>
        <v>394.82900032422566</v>
      </c>
      <c r="AU423" s="38">
        <f t="shared" si="1495"/>
        <v>1.0000000000000011</v>
      </c>
      <c r="AV423" s="38">
        <f t="shared" si="1534"/>
        <v>3.6786667707318781</v>
      </c>
      <c r="AW423" s="4">
        <f t="shared" si="1535"/>
        <v>0</v>
      </c>
      <c r="AX423" s="4">
        <f t="shared" si="1430"/>
        <v>338.26548176596515</v>
      </c>
      <c r="AY423" s="4">
        <f t="shared" si="1399"/>
        <v>1</v>
      </c>
      <c r="AZ423" s="38">
        <f t="shared" si="1542"/>
        <v>1452.4443236140148</v>
      </c>
      <c r="BA423" s="4">
        <f t="shared" si="1400"/>
        <v>0.3</v>
      </c>
      <c r="BB423" s="4">
        <f t="shared" si="1401"/>
        <v>53.023114266815028</v>
      </c>
      <c r="BC423" s="4">
        <f t="shared" si="1402"/>
        <v>1505.4674378808299</v>
      </c>
      <c r="BE423" s="4">
        <f t="shared" si="1521"/>
        <v>1.4</v>
      </c>
      <c r="BF423" s="4">
        <f t="shared" si="1527"/>
        <v>597.13082953922822</v>
      </c>
      <c r="BH423" s="4">
        <f t="shared" si="1549"/>
        <v>1393.0717287123591</v>
      </c>
      <c r="BI423" s="4">
        <f t="shared" si="1481"/>
        <v>0</v>
      </c>
      <c r="BJ423" s="4">
        <f t="shared" si="1550"/>
        <v>0</v>
      </c>
      <c r="BK423" s="4">
        <f t="shared" si="1612"/>
        <v>66.039999999999992</v>
      </c>
      <c r="BL423" s="4">
        <f t="shared" si="1613"/>
        <v>66.039999999999992</v>
      </c>
      <c r="BM423" s="4">
        <f t="shared" si="1614"/>
        <v>508</v>
      </c>
      <c r="BN423" s="4">
        <f t="shared" si="1615"/>
        <v>78.739999999999995</v>
      </c>
      <c r="BO423" s="4">
        <f t="shared" si="1616"/>
        <v>1.25</v>
      </c>
      <c r="BP423" s="25">
        <f t="shared" si="1617"/>
        <v>3.875</v>
      </c>
      <c r="BR423" s="4">
        <f t="shared" si="1403"/>
        <v>66.039999999999992</v>
      </c>
      <c r="BV423" s="9"/>
      <c r="BX423" s="9"/>
      <c r="BY423" s="9"/>
      <c r="BZ423" s="9">
        <f t="shared" si="1404"/>
        <v>66.039999999999992</v>
      </c>
      <c r="CA423" s="9">
        <f t="shared" si="1405"/>
        <v>128.27000000000001</v>
      </c>
      <c r="CB423" s="9">
        <f t="shared" si="1536"/>
        <v>1.7812889692205971</v>
      </c>
      <c r="CC423" s="40">
        <f t="shared" si="1431"/>
        <v>20</v>
      </c>
      <c r="CD423" s="9">
        <f t="shared" si="1406"/>
        <v>0</v>
      </c>
      <c r="CE423" s="9">
        <f t="shared" si="1407"/>
        <v>0</v>
      </c>
      <c r="CF423" s="9">
        <f t="shared" si="1408"/>
        <v>0.99524931562137331</v>
      </c>
      <c r="CG423" s="9">
        <f t="shared" si="1409"/>
        <v>0.68048275862068963</v>
      </c>
      <c r="CH423" s="9">
        <f t="shared" si="1537"/>
        <v>1.8466066401443861</v>
      </c>
      <c r="CI423" s="9">
        <f t="shared" si="1538"/>
        <v>3.2893400385787035</v>
      </c>
      <c r="CJ423" s="40">
        <v>1</v>
      </c>
      <c r="CK423" s="9">
        <f t="shared" si="1539"/>
        <v>305.90862358781942</v>
      </c>
      <c r="CM423" s="4">
        <f t="shared" si="1410"/>
        <v>1.828802295834536</v>
      </c>
      <c r="CN423" s="4">
        <f t="shared" si="1411"/>
        <v>0.41091602122326432</v>
      </c>
      <c r="CO423" s="4">
        <f t="shared" si="1376"/>
        <v>1.0359885288999844</v>
      </c>
      <c r="CP423" s="4">
        <f t="shared" si="1412"/>
        <v>2.0222401134029506</v>
      </c>
      <c r="CQ423" s="4">
        <f t="shared" ref="CQ423:CQ449" si="1627">AB423/DR423</f>
        <v>0.99576500752813224</v>
      </c>
      <c r="CR423" s="4">
        <f t="shared" ref="CR423:CR449" si="1628">AB423/ED423</f>
        <v>0.97228115444619168</v>
      </c>
      <c r="CS423" s="4">
        <f t="shared" si="1377"/>
        <v>1.3470976313599901</v>
      </c>
      <c r="CT423" s="4">
        <f t="shared" si="1432"/>
        <v>0</v>
      </c>
      <c r="CU423" s="4">
        <f t="shared" si="1618"/>
        <v>1.828802295834536</v>
      </c>
      <c r="CV423" s="4">
        <f t="shared" si="1618"/>
        <v>0.41091602122326432</v>
      </c>
      <c r="CW423" s="4">
        <f t="shared" si="1619"/>
        <v>2.0222401134029506</v>
      </c>
      <c r="CX423" s="4">
        <f t="shared" si="1620"/>
        <v>1.3470976313599901</v>
      </c>
      <c r="CY423" s="4">
        <f t="shared" si="1621"/>
        <v>0.99576500752813224</v>
      </c>
      <c r="CZ423" s="4">
        <f t="shared" si="1621"/>
        <v>0.97228115444619168</v>
      </c>
      <c r="DI423" s="4">
        <f t="shared" si="1417"/>
        <v>209.54999999999998</v>
      </c>
      <c r="DL423" s="4">
        <f t="shared" si="1588"/>
        <v>1.7987820129031567E-5</v>
      </c>
      <c r="DM423" s="4">
        <f t="shared" si="1589"/>
        <v>9.9602101151086764</v>
      </c>
      <c r="DN423" s="4">
        <f t="shared" si="1590"/>
        <v>0.17207083308907464</v>
      </c>
      <c r="DO423" s="4">
        <f t="shared" si="1591"/>
        <v>4.926646535132214</v>
      </c>
      <c r="DP423" s="4">
        <f t="shared" si="1592"/>
        <v>7.8616783602674873</v>
      </c>
      <c r="DQ423" s="4">
        <f t="shared" si="1593"/>
        <v>9.5345059053681016</v>
      </c>
      <c r="DR423" s="38">
        <f t="shared" si="1622"/>
        <v>621.25168586795837</v>
      </c>
      <c r="DS423" s="4">
        <f t="shared" si="1594"/>
        <v>1.0000970678143974</v>
      </c>
      <c r="DT423" s="4">
        <f t="shared" si="1595"/>
        <v>3.9874804074753771</v>
      </c>
      <c r="DU423" s="4">
        <f t="shared" si="1596"/>
        <v>394.82900032422566</v>
      </c>
      <c r="DY423" s="4">
        <f t="shared" si="1597"/>
        <v>0.85</v>
      </c>
      <c r="DZ423" s="4">
        <f t="shared" si="1598"/>
        <v>0.84000000000000008</v>
      </c>
      <c r="EA423" s="4">
        <f t="shared" si="1623"/>
        <v>1</v>
      </c>
      <c r="EB423" s="4">
        <f t="shared" si="1599"/>
        <v>0.84000000000000008</v>
      </c>
      <c r="ED423" s="4">
        <f t="shared" si="1624"/>
        <v>636.25699914705933</v>
      </c>
      <c r="EE423" s="25">
        <f t="shared" si="1625"/>
        <v>389.74179879811953</v>
      </c>
      <c r="EG423" s="4">
        <f t="shared" si="1514"/>
        <v>0.71400000000000008</v>
      </c>
      <c r="EH423" s="4">
        <f t="shared" si="1626"/>
        <v>9.9602101151086764</v>
      </c>
      <c r="EK423" s="4">
        <f t="shared" si="1600"/>
        <v>101.28200234987457</v>
      </c>
      <c r="EL423" s="4">
        <f t="shared" si="1601"/>
        <v>3.9874804074753771</v>
      </c>
      <c r="EM423" s="4">
        <f t="shared" si="1602"/>
        <v>7.3299305826734412E-2</v>
      </c>
      <c r="EP423" s="4">
        <f t="shared" si="1433"/>
        <v>7.3299305826734412E-2</v>
      </c>
      <c r="EQ423" s="4">
        <f t="shared" si="1540"/>
        <v>0.17178367893829274</v>
      </c>
      <c r="ER423" s="4">
        <f t="shared" si="1603"/>
        <v>4.9233562252700516</v>
      </c>
      <c r="ES423" s="4">
        <f t="shared" si="1418"/>
        <v>7.8606601734919019</v>
      </c>
      <c r="ET423" s="4">
        <f t="shared" si="1604"/>
        <v>55.88049765012542</v>
      </c>
      <c r="EU423" s="4">
        <f t="shared" si="1605"/>
        <v>52.387499999999989</v>
      </c>
      <c r="EV423" s="4">
        <f t="shared" si="1541"/>
        <v>1.7987820129031563E-5</v>
      </c>
      <c r="EW423" s="4">
        <f t="shared" si="1419"/>
        <v>9.5346444044574525</v>
      </c>
      <c r="EX423" s="4">
        <f t="shared" si="1555"/>
        <v>621.1913881775854</v>
      </c>
      <c r="FG423" s="23">
        <f t="shared" si="1459"/>
        <v>2</v>
      </c>
      <c r="FH423" s="23">
        <f t="shared" si="1459"/>
        <v>0.6</v>
      </c>
      <c r="FI423" s="23">
        <f t="shared" si="1382"/>
        <v>1.4</v>
      </c>
      <c r="FJ423" s="23">
        <f t="shared" si="1460"/>
        <v>2.2000000000000002</v>
      </c>
      <c r="FK423" s="23">
        <f t="shared" si="1460"/>
        <v>1</v>
      </c>
      <c r="FL423" s="23">
        <f t="shared" si="1460"/>
        <v>1</v>
      </c>
      <c r="FM423" s="23">
        <f t="shared" ref="FM423:FM449" si="1629">IF(FK423&lt;1,1,0)</f>
        <v>0</v>
      </c>
      <c r="FN423" s="23"/>
      <c r="FX423" s="4">
        <f t="shared" si="1500"/>
        <v>1</v>
      </c>
      <c r="FY423" s="4">
        <f t="shared" si="1561"/>
        <v>0.5</v>
      </c>
      <c r="FZ423" s="4">
        <f t="shared" si="1501"/>
        <v>0</v>
      </c>
      <c r="GA423" s="4">
        <f t="shared" si="1502"/>
        <v>459.22483660715164</v>
      </c>
    </row>
    <row r="424" spans="1:183" ht="12" customHeight="1" x14ac:dyDescent="0.3">
      <c r="A424" s="25">
        <v>406</v>
      </c>
      <c r="B424" s="4" t="s">
        <v>605</v>
      </c>
      <c r="C424" s="4">
        <v>2016</v>
      </c>
      <c r="D424" s="4" t="s">
        <v>309</v>
      </c>
      <c r="E424" s="14" t="s">
        <v>677</v>
      </c>
      <c r="F424" s="48" t="s">
        <v>575</v>
      </c>
      <c r="G424" s="38">
        <f>115.9/0.145</f>
        <v>799.31034482758628</v>
      </c>
      <c r="H424" s="38">
        <f>9.38*25.4</f>
        <v>238.25200000000001</v>
      </c>
      <c r="I424" s="4">
        <f t="shared" si="1420"/>
        <v>238.25200000000001</v>
      </c>
      <c r="J424" s="38">
        <f>8800/145</f>
        <v>60.689655172413794</v>
      </c>
      <c r="K424" s="38">
        <f t="shared" si="1526"/>
        <v>25.4</v>
      </c>
      <c r="L424" s="7">
        <f t="shared" si="1421"/>
        <v>9.3800000000000008</v>
      </c>
      <c r="M424" s="7">
        <f t="shared" si="1422"/>
        <v>9.3800000000000008</v>
      </c>
      <c r="N424" s="38">
        <f>17.1*25.4</f>
        <v>434.34000000000003</v>
      </c>
      <c r="O424" s="38">
        <f>2.55*25.4</f>
        <v>64.77</v>
      </c>
      <c r="P424" s="39">
        <f>3.2*25.4</f>
        <v>81.28</v>
      </c>
      <c r="Q424" s="7">
        <f t="shared" si="1423"/>
        <v>254.00000000000003</v>
      </c>
      <c r="R424" s="38">
        <v>2</v>
      </c>
      <c r="S424" s="4">
        <f t="shared" si="1493"/>
        <v>508</v>
      </c>
      <c r="T424" s="7">
        <f t="shared" si="1424"/>
        <v>3.05</v>
      </c>
      <c r="U424" s="7">
        <f t="shared" si="1548"/>
        <v>3.05</v>
      </c>
      <c r="V424" s="38">
        <v>12.9</v>
      </c>
      <c r="W424" s="4">
        <f t="shared" si="1425"/>
        <v>12.9</v>
      </c>
      <c r="X424" s="4">
        <f t="shared" si="1426"/>
        <v>13.9</v>
      </c>
      <c r="Y424" s="7">
        <f t="shared" si="1427"/>
        <v>94.698067562120812</v>
      </c>
      <c r="AB424" s="38">
        <f t="shared" si="1461"/>
        <v>728.96551724137942</v>
      </c>
      <c r="AC424" s="4">
        <v>105.7</v>
      </c>
      <c r="AD424" s="4">
        <f t="shared" si="1587"/>
        <v>0.99413885294838056</v>
      </c>
      <c r="AE424" s="38">
        <f t="shared" ref="AE424:AE433" si="1630">0.5*25.4</f>
        <v>12.7</v>
      </c>
      <c r="AF424" s="38">
        <v>10</v>
      </c>
      <c r="AG424" s="39">
        <f>3*25.4</f>
        <v>76.199999999999989</v>
      </c>
      <c r="AH424" s="39">
        <v>3</v>
      </c>
      <c r="AI424" s="39">
        <f t="shared" ref="AI424:AI425" si="1631">AH424-1</f>
        <v>2</v>
      </c>
      <c r="AJ424" s="7"/>
      <c r="AK424" s="4">
        <f t="shared" si="1429"/>
        <v>238.25200000000001</v>
      </c>
      <c r="AL424" s="4">
        <f t="shared" si="1607"/>
        <v>0.60767590618336897</v>
      </c>
      <c r="AM424" s="4">
        <f t="shared" si="1608"/>
        <v>282.69938075844567</v>
      </c>
      <c r="AN424" s="4">
        <f t="shared" si="1609"/>
        <v>0.76503198294243069</v>
      </c>
      <c r="AO424" s="4">
        <v>1.25</v>
      </c>
      <c r="AP424" s="4">
        <f t="shared" si="1520"/>
        <v>2.5</v>
      </c>
      <c r="AQ424" s="38">
        <f t="shared" si="1398"/>
        <v>410.70168799237626</v>
      </c>
      <c r="AR424" s="38">
        <f t="shared" si="1610"/>
        <v>410.70168799237626</v>
      </c>
      <c r="AS424" s="38">
        <f t="shared" si="1611"/>
        <v>4.3734044077759826</v>
      </c>
      <c r="AT424" s="38">
        <f t="shared" si="1533"/>
        <v>410.70168799237581</v>
      </c>
      <c r="AU424" s="38">
        <f t="shared" si="1495"/>
        <v>1.0000000000000011</v>
      </c>
      <c r="AV424" s="38">
        <f t="shared" si="1534"/>
        <v>3.2375230733939095</v>
      </c>
      <c r="AW424" s="4">
        <f t="shared" si="1535"/>
        <v>0</v>
      </c>
      <c r="AX424" s="4">
        <f t="shared" si="1430"/>
        <v>384.59760229875792</v>
      </c>
      <c r="AY424" s="4">
        <f t="shared" si="1399"/>
        <v>1</v>
      </c>
      <c r="AZ424" s="38">
        <f t="shared" si="1542"/>
        <v>1329.656191157143</v>
      </c>
      <c r="BA424" s="4">
        <f t="shared" si="1400"/>
        <v>0.3</v>
      </c>
      <c r="BB424" s="4">
        <f t="shared" si="1401"/>
        <v>60.285674160330302</v>
      </c>
      <c r="BC424" s="4">
        <f t="shared" si="1402"/>
        <v>1389.9418653174732</v>
      </c>
      <c r="BE424" s="4">
        <f t="shared" si="1521"/>
        <v>1.5</v>
      </c>
      <c r="BF424" s="4">
        <f t="shared" si="1527"/>
        <v>679.39699470471101</v>
      </c>
      <c r="BH424" s="4">
        <f t="shared" si="1549"/>
        <v>1275.3028936760954</v>
      </c>
      <c r="BI424" s="4">
        <f t="shared" si="1481"/>
        <v>0</v>
      </c>
      <c r="BJ424" s="4">
        <f t="shared" si="1550"/>
        <v>0</v>
      </c>
      <c r="BK424" s="4">
        <f t="shared" si="1612"/>
        <v>64.77</v>
      </c>
      <c r="BL424" s="4">
        <f t="shared" si="1613"/>
        <v>64.77</v>
      </c>
      <c r="BM424" s="4">
        <f t="shared" si="1614"/>
        <v>508</v>
      </c>
      <c r="BN424" s="4">
        <f t="shared" si="1615"/>
        <v>77.47</v>
      </c>
      <c r="BO424" s="4">
        <f t="shared" si="1616"/>
        <v>1.25</v>
      </c>
      <c r="BP424" s="25">
        <f t="shared" si="1617"/>
        <v>4</v>
      </c>
      <c r="BR424" s="4">
        <f t="shared" si="1403"/>
        <v>64.77</v>
      </c>
      <c r="BV424" s="9"/>
      <c r="BX424" s="9"/>
      <c r="BY424" s="9"/>
      <c r="BZ424" s="9">
        <f t="shared" si="1404"/>
        <v>64.77</v>
      </c>
      <c r="CA424" s="9">
        <f t="shared" si="1405"/>
        <v>127.00000000000001</v>
      </c>
      <c r="CB424" s="9">
        <f t="shared" si="1536"/>
        <v>1.7665851027593089</v>
      </c>
      <c r="CC424" s="40">
        <f t="shared" si="1431"/>
        <v>20</v>
      </c>
      <c r="CD424" s="9">
        <f t="shared" si="1406"/>
        <v>0.05</v>
      </c>
      <c r="CE424" s="9">
        <f t="shared" si="1407"/>
        <v>0.8</v>
      </c>
      <c r="CF424" s="9">
        <f t="shared" si="1408"/>
        <v>0.99524931562137331</v>
      </c>
      <c r="CG424" s="9">
        <f t="shared" si="1409"/>
        <v>0.68048275862068963</v>
      </c>
      <c r="CH424" s="9">
        <f t="shared" si="1537"/>
        <v>1.8466066401443861</v>
      </c>
      <c r="CI424" s="9">
        <f t="shared" si="1538"/>
        <v>4.6165166003609652</v>
      </c>
      <c r="CJ424" s="40">
        <v>1</v>
      </c>
      <c r="CK424" s="9">
        <f t="shared" si="1539"/>
        <v>450.20269886720132</v>
      </c>
      <c r="CM424" s="4">
        <f t="shared" si="1410"/>
        <v>1.8953979767016702</v>
      </c>
      <c r="CN424" s="4">
        <f t="shared" si="1411"/>
        <v>0.5244575585719754</v>
      </c>
      <c r="CO424" s="4">
        <f t="shared" si="1376"/>
        <v>1.0729595846360971</v>
      </c>
      <c r="CP424" s="4">
        <f t="shared" si="1412"/>
        <v>1.619194018773322</v>
      </c>
      <c r="CQ424" s="4">
        <f t="shared" si="1627"/>
        <v>0.99413885294838056</v>
      </c>
      <c r="CR424" s="4">
        <f t="shared" si="1628"/>
        <v>0.98184147159351287</v>
      </c>
      <c r="CS424" s="4">
        <f t="shared" si="1377"/>
        <v>1.2226871085348725</v>
      </c>
      <c r="CT424" s="4">
        <f t="shared" si="1432"/>
        <v>10</v>
      </c>
      <c r="DA424" s="4">
        <f t="shared" ref="DA424:DB425" si="1632">CM424</f>
        <v>1.8953979767016702</v>
      </c>
      <c r="DB424" s="4">
        <f t="shared" si="1632"/>
        <v>0.5244575585719754</v>
      </c>
      <c r="DC424" s="4">
        <f t="shared" ref="DC424:DC425" si="1633">CP424</f>
        <v>1.619194018773322</v>
      </c>
      <c r="DD424" s="4">
        <f t="shared" ref="DD424:DD425" si="1634">CS424</f>
        <v>1.2226871085348725</v>
      </c>
      <c r="DE424" s="4">
        <f t="shared" ref="DE424:DF425" si="1635">CQ424</f>
        <v>0.99413885294838056</v>
      </c>
      <c r="DF424" s="4">
        <f t="shared" si="1635"/>
        <v>0.98184147159351287</v>
      </c>
      <c r="DI424" s="4">
        <f t="shared" si="1417"/>
        <v>238.25200000000001</v>
      </c>
      <c r="DL424" s="4">
        <f t="shared" si="1588"/>
        <v>2.0451606401250436E-5</v>
      </c>
      <c r="DM424" s="4">
        <f t="shared" si="1589"/>
        <v>11.952252138130413</v>
      </c>
      <c r="DN424" s="4">
        <f t="shared" si="1590"/>
        <v>0.19329921975455272</v>
      </c>
      <c r="DO424" s="4">
        <f t="shared" si="1591"/>
        <v>6.1935804996758534</v>
      </c>
      <c r="DP424" s="4">
        <f t="shared" si="1592"/>
        <v>9.5229483944501201</v>
      </c>
      <c r="DQ424" s="4">
        <f t="shared" si="1593"/>
        <v>11.112682316132476</v>
      </c>
      <c r="DR424" s="38">
        <f t="shared" si="1622"/>
        <v>733.26328115981005</v>
      </c>
      <c r="DS424" s="4">
        <f t="shared" si="1594"/>
        <v>1.0001050543831476</v>
      </c>
      <c r="DT424" s="4">
        <f t="shared" si="1595"/>
        <v>3.7282703764614493</v>
      </c>
      <c r="DU424" s="4">
        <f t="shared" si="1596"/>
        <v>410.70168799237581</v>
      </c>
      <c r="DY424" s="4">
        <f t="shared" si="1597"/>
        <v>0.85</v>
      </c>
      <c r="DZ424" s="4">
        <f t="shared" si="1598"/>
        <v>0.84499999999999997</v>
      </c>
      <c r="EA424" s="4">
        <f t="shared" si="1623"/>
        <v>0.77500000000000002</v>
      </c>
      <c r="EB424" s="4">
        <f t="shared" si="1599"/>
        <v>0.7</v>
      </c>
      <c r="ED424" s="4">
        <f t="shared" si="1624"/>
        <v>742.44726703006359</v>
      </c>
      <c r="EE424" s="25">
        <f t="shared" si="1625"/>
        <v>406.11089186307373</v>
      </c>
      <c r="EG424" s="4">
        <f t="shared" si="1514"/>
        <v>0.59499999999999997</v>
      </c>
      <c r="EH424" s="4">
        <f t="shared" si="1626"/>
        <v>11.952252138130413</v>
      </c>
      <c r="EK424" s="4">
        <f t="shared" si="1600"/>
        <v>94.698067562120812</v>
      </c>
      <c r="EL424" s="4">
        <f t="shared" si="1601"/>
        <v>3.7282703764614498</v>
      </c>
      <c r="EM424" s="4">
        <f t="shared" si="1602"/>
        <v>8.2342244589026295E-2</v>
      </c>
      <c r="EP424" s="4">
        <f t="shared" si="1433"/>
        <v>8.2342244589026295E-2</v>
      </c>
      <c r="EQ424" s="4">
        <f t="shared" si="1540"/>
        <v>0.19297663938285961</v>
      </c>
      <c r="ER424" s="4">
        <f t="shared" si="1603"/>
        <v>6.1894440553714247</v>
      </c>
      <c r="ES424" s="4">
        <f t="shared" si="1418"/>
        <v>9.5216167653525225</v>
      </c>
      <c r="ET424" s="4">
        <f t="shared" si="1604"/>
        <v>83.990932437879209</v>
      </c>
      <c r="EU424" s="4">
        <f t="shared" si="1605"/>
        <v>59.563000000000002</v>
      </c>
      <c r="EV424" s="4">
        <f t="shared" si="1541"/>
        <v>2.0451606401250436E-5</v>
      </c>
      <c r="EW424" s="4">
        <f t="shared" si="1419"/>
        <v>11.112924965456761</v>
      </c>
      <c r="EX424" s="4">
        <f t="shared" si="1555"/>
        <v>733.18625672987696</v>
      </c>
      <c r="FA424" s="4">
        <f>5.25*25.4</f>
        <v>133.35</v>
      </c>
      <c r="FG424" s="23">
        <f t="shared" si="1459"/>
        <v>2</v>
      </c>
      <c r="FH424" s="23">
        <f t="shared" si="1459"/>
        <v>0.6</v>
      </c>
      <c r="FI424" s="23">
        <f t="shared" si="1382"/>
        <v>1.4</v>
      </c>
      <c r="FJ424" s="23">
        <f t="shared" si="1460"/>
        <v>1.8</v>
      </c>
      <c r="FK424" s="23">
        <f t="shared" si="1460"/>
        <v>1</v>
      </c>
      <c r="FL424" s="23">
        <f t="shared" si="1460"/>
        <v>1</v>
      </c>
      <c r="FM424" s="23">
        <f t="shared" si="1629"/>
        <v>0</v>
      </c>
      <c r="FN424" s="23"/>
      <c r="FX424" s="4">
        <f t="shared" si="1500"/>
        <v>1</v>
      </c>
      <c r="FY424" s="4">
        <f t="shared" si="1561"/>
        <v>0.43787748058671272</v>
      </c>
      <c r="FZ424" s="4">
        <f t="shared" si="1501"/>
        <v>0.3</v>
      </c>
      <c r="GA424" s="4">
        <f t="shared" si="1502"/>
        <v>596.1995609121027</v>
      </c>
    </row>
    <row r="425" spans="1:183" ht="12" customHeight="1" x14ac:dyDescent="0.3">
      <c r="A425" s="25">
        <v>407</v>
      </c>
      <c r="B425" s="4" t="s">
        <v>605</v>
      </c>
      <c r="C425" s="4">
        <v>2016</v>
      </c>
      <c r="D425" s="4" t="s">
        <v>309</v>
      </c>
      <c r="E425" s="14" t="s">
        <v>677</v>
      </c>
      <c r="F425" s="7" t="s">
        <v>576</v>
      </c>
      <c r="G425" s="38">
        <f>115.9/0.145</f>
        <v>799.31034482758628</v>
      </c>
      <c r="H425" s="38">
        <f>8.25*25.4</f>
        <v>209.54999999999998</v>
      </c>
      <c r="I425" s="4">
        <f t="shared" si="1420"/>
        <v>209.54999999999998</v>
      </c>
      <c r="J425" s="38">
        <f>8800/145</f>
        <v>60.689655172413794</v>
      </c>
      <c r="K425" s="38">
        <f t="shared" si="1526"/>
        <v>25.4</v>
      </c>
      <c r="L425" s="7">
        <f t="shared" si="1421"/>
        <v>8.25</v>
      </c>
      <c r="M425" s="7">
        <f t="shared" si="1422"/>
        <v>8.25</v>
      </c>
      <c r="N425" s="38">
        <f>17.3*25.4</f>
        <v>439.42</v>
      </c>
      <c r="O425" s="38">
        <f>2.65*25.4</f>
        <v>67.309999999999988</v>
      </c>
      <c r="P425" s="39">
        <f>3.1*25.4</f>
        <v>78.739999999999995</v>
      </c>
      <c r="Q425" s="7">
        <f t="shared" si="1423"/>
        <v>254.00000000000003</v>
      </c>
      <c r="R425" s="38">
        <v>2</v>
      </c>
      <c r="S425" s="4">
        <f t="shared" si="1493"/>
        <v>508</v>
      </c>
      <c r="T425" s="7">
        <f t="shared" si="1424"/>
        <v>3.1499999999999995</v>
      </c>
      <c r="U425" s="7">
        <f t="shared" si="1548"/>
        <v>3.1499999999999995</v>
      </c>
      <c r="V425" s="38">
        <v>14.9</v>
      </c>
      <c r="W425" s="4">
        <f t="shared" si="1425"/>
        <v>14.9</v>
      </c>
      <c r="X425" s="4">
        <f t="shared" si="1426"/>
        <v>15.9</v>
      </c>
      <c r="Y425" s="7">
        <f t="shared" si="1427"/>
        <v>101.28200234987457</v>
      </c>
      <c r="AB425" s="38">
        <f t="shared" si="1461"/>
        <v>759.31034482758616</v>
      </c>
      <c r="AC425" s="4">
        <v>110.1</v>
      </c>
      <c r="AD425" s="4">
        <f t="shared" si="1587"/>
        <v>1.1394424782402843</v>
      </c>
      <c r="AE425" s="38">
        <f t="shared" si="1630"/>
        <v>12.7</v>
      </c>
      <c r="AF425" s="38">
        <v>10</v>
      </c>
      <c r="AG425" s="39">
        <f>3*25.4</f>
        <v>76.199999999999989</v>
      </c>
      <c r="AH425" s="39">
        <v>3</v>
      </c>
      <c r="AI425" s="39">
        <f t="shared" si="1631"/>
        <v>2</v>
      </c>
      <c r="AJ425" s="7"/>
      <c r="AK425" s="4">
        <f t="shared" si="1429"/>
        <v>209.54999999999998</v>
      </c>
      <c r="AL425" s="4">
        <f t="shared" si="1607"/>
        <v>0.69898989898989905</v>
      </c>
      <c r="AM425" s="4">
        <f t="shared" si="1608"/>
        <v>233.18548975839079</v>
      </c>
      <c r="AN425" s="4">
        <f t="shared" si="1609"/>
        <v>0.77636363636363637</v>
      </c>
      <c r="AO425" s="4">
        <v>1.25</v>
      </c>
      <c r="AP425" s="4">
        <f t="shared" si="1520"/>
        <v>2.5</v>
      </c>
      <c r="AQ425" s="38">
        <f t="shared" si="1398"/>
        <v>395.44640298305984</v>
      </c>
      <c r="AR425" s="38">
        <f t="shared" si="1610"/>
        <v>395.44640298305984</v>
      </c>
      <c r="AS425" s="38">
        <f t="shared" si="1611"/>
        <v>4.3734044077759826</v>
      </c>
      <c r="AT425" s="38">
        <f t="shared" si="1533"/>
        <v>395.44640298305944</v>
      </c>
      <c r="AU425" s="38">
        <f t="shared" si="1495"/>
        <v>1.0000000000000011</v>
      </c>
      <c r="AV425" s="38">
        <f t="shared" si="1534"/>
        <v>3.7321640400048164</v>
      </c>
      <c r="AW425" s="4">
        <f t="shared" si="1535"/>
        <v>0</v>
      </c>
      <c r="AX425" s="4">
        <f t="shared" si="1430"/>
        <v>338.26548176596515</v>
      </c>
      <c r="AY425" s="4">
        <f t="shared" si="1399"/>
        <v>1</v>
      </c>
      <c r="AZ425" s="38">
        <f t="shared" si="1542"/>
        <v>1475.8708449626279</v>
      </c>
      <c r="BA425" s="4">
        <f t="shared" si="1400"/>
        <v>0.3</v>
      </c>
      <c r="BB425" s="4">
        <f t="shared" si="1401"/>
        <v>53.023114266815028</v>
      </c>
      <c r="BC425" s="4">
        <f t="shared" si="1402"/>
        <v>1528.893959229443</v>
      </c>
      <c r="BE425" s="4">
        <f t="shared" si="1521"/>
        <v>1.5</v>
      </c>
      <c r="BF425" s="4">
        <f t="shared" si="1527"/>
        <v>639.78303164917315</v>
      </c>
      <c r="BH425" s="4">
        <f t="shared" si="1549"/>
        <v>1415.5406275625585</v>
      </c>
      <c r="BI425" s="4">
        <f t="shared" si="1481"/>
        <v>0</v>
      </c>
      <c r="BJ425" s="4">
        <f t="shared" si="1550"/>
        <v>0</v>
      </c>
      <c r="BK425" s="4">
        <f t="shared" si="1612"/>
        <v>67.309999999999988</v>
      </c>
      <c r="BL425" s="4">
        <f t="shared" si="1613"/>
        <v>67.309999999999988</v>
      </c>
      <c r="BM425" s="4">
        <f t="shared" si="1614"/>
        <v>508</v>
      </c>
      <c r="BN425" s="4">
        <f t="shared" si="1615"/>
        <v>80.009999999999991</v>
      </c>
      <c r="BO425" s="4">
        <f t="shared" si="1616"/>
        <v>1.25</v>
      </c>
      <c r="BP425" s="25">
        <f t="shared" si="1617"/>
        <v>4</v>
      </c>
      <c r="BR425" s="4">
        <f t="shared" si="1403"/>
        <v>67.309999999999988</v>
      </c>
      <c r="BV425" s="9"/>
      <c r="BX425" s="9"/>
      <c r="BY425" s="9"/>
      <c r="BZ425" s="9">
        <f t="shared" si="1404"/>
        <v>67.309999999999988</v>
      </c>
      <c r="CA425" s="9">
        <f t="shared" si="1405"/>
        <v>127.00000000000001</v>
      </c>
      <c r="CB425" s="9">
        <f t="shared" si="1536"/>
        <v>1.7905298128039189</v>
      </c>
      <c r="CC425" s="40">
        <f t="shared" si="1431"/>
        <v>20</v>
      </c>
      <c r="CD425" s="9">
        <f t="shared" si="1406"/>
        <v>0.05</v>
      </c>
      <c r="CE425" s="9">
        <f t="shared" si="1407"/>
        <v>0.8</v>
      </c>
      <c r="CF425" s="9">
        <f t="shared" si="1408"/>
        <v>0.99524931562137331</v>
      </c>
      <c r="CG425" s="9">
        <f t="shared" si="1409"/>
        <v>0.68048275862068963</v>
      </c>
      <c r="CH425" s="9">
        <f t="shared" si="1537"/>
        <v>1.8466066401443861</v>
      </c>
      <c r="CI425" s="9">
        <f t="shared" si="1538"/>
        <v>4.6165166003609652</v>
      </c>
      <c r="CJ425" s="40">
        <v>1</v>
      </c>
      <c r="CK425" s="9">
        <f t="shared" si="1539"/>
        <v>429.33604383356976</v>
      </c>
      <c r="CM425" s="4">
        <f t="shared" si="1410"/>
        <v>2.2447171992350321</v>
      </c>
      <c r="CN425" s="4">
        <f t="shared" si="1411"/>
        <v>0.49664029362132861</v>
      </c>
      <c r="CO425" s="4">
        <f t="shared" si="1376"/>
        <v>1.1868247628736053</v>
      </c>
      <c r="CP425" s="4">
        <f t="shared" si="1412"/>
        <v>1.7685688302516001</v>
      </c>
      <c r="CQ425" s="4">
        <f t="shared" si="1627"/>
        <v>1.1394424782402843</v>
      </c>
      <c r="CR425" s="4">
        <f t="shared" si="1628"/>
        <v>1.1065773777959143</v>
      </c>
      <c r="CS425" s="4">
        <f t="shared" si="1377"/>
        <v>1.4480266495732195</v>
      </c>
      <c r="CT425" s="4">
        <f t="shared" si="1432"/>
        <v>10</v>
      </c>
      <c r="DA425" s="4">
        <f t="shared" si="1632"/>
        <v>2.2447171992350321</v>
      </c>
      <c r="DB425" s="4">
        <f t="shared" si="1632"/>
        <v>0.49664029362132861</v>
      </c>
      <c r="DC425" s="4">
        <f t="shared" si="1633"/>
        <v>1.7685688302516001</v>
      </c>
      <c r="DD425" s="4">
        <f t="shared" si="1634"/>
        <v>1.4480266495732195</v>
      </c>
      <c r="DE425" s="4">
        <f t="shared" si="1635"/>
        <v>1.1394424782402843</v>
      </c>
      <c r="DF425" s="4">
        <f t="shared" si="1635"/>
        <v>1.1065773777959143</v>
      </c>
      <c r="DI425" s="4">
        <f t="shared" si="1417"/>
        <v>209.54999999999998</v>
      </c>
      <c r="DL425" s="4">
        <f t="shared" si="1588"/>
        <v>1.7987820129031567E-5</v>
      </c>
      <c r="DM425" s="4">
        <f t="shared" si="1589"/>
        <v>11.952252138130413</v>
      </c>
      <c r="DN425" s="4">
        <f t="shared" si="1590"/>
        <v>0.17233990397740784</v>
      </c>
      <c r="DO425" s="4">
        <f t="shared" si="1591"/>
        <v>5.9156719827356019</v>
      </c>
      <c r="DP425" s="4">
        <f t="shared" si="1592"/>
        <v>9.435158440042839</v>
      </c>
      <c r="DQ425" s="4">
        <f t="shared" si="1593"/>
        <v>11.34018962755985</v>
      </c>
      <c r="DR425" s="38">
        <f t="shared" si="1622"/>
        <v>666.38760562993832</v>
      </c>
      <c r="DS425" s="4">
        <f t="shared" si="1594"/>
        <v>1.0001082622051274</v>
      </c>
      <c r="DT425" s="4">
        <f t="shared" si="1595"/>
        <v>3.9874804074753771</v>
      </c>
      <c r="DU425" s="4">
        <f t="shared" si="1596"/>
        <v>395.44640298305944</v>
      </c>
      <c r="DY425" s="4">
        <f t="shared" si="1597"/>
        <v>0.85</v>
      </c>
      <c r="DZ425" s="4">
        <f t="shared" si="1598"/>
        <v>0.83499999999999996</v>
      </c>
      <c r="EA425" s="4">
        <f t="shared" si="1623"/>
        <v>0.77500000000000002</v>
      </c>
      <c r="EB425" s="4">
        <f t="shared" si="1599"/>
        <v>0.7</v>
      </c>
      <c r="ED425" s="4">
        <f t="shared" si="1624"/>
        <v>686.17916836505719</v>
      </c>
      <c r="EE425" s="25">
        <f t="shared" si="1625"/>
        <v>390.36092794632941</v>
      </c>
      <c r="EG425" s="4">
        <f t="shared" si="1514"/>
        <v>0.59499999999999997</v>
      </c>
      <c r="EH425" s="4">
        <f t="shared" si="1626"/>
        <v>11.952252138130413</v>
      </c>
      <c r="EK425" s="4">
        <f t="shared" si="1600"/>
        <v>101.28200234987457</v>
      </c>
      <c r="EL425" s="4">
        <f t="shared" si="1601"/>
        <v>3.9874804074753771</v>
      </c>
      <c r="EM425" s="4">
        <f t="shared" si="1602"/>
        <v>7.3413925538738684E-2</v>
      </c>
      <c r="EP425" s="4">
        <f t="shared" si="1433"/>
        <v>7.3413925538738684E-2</v>
      </c>
      <c r="EQ425" s="4">
        <f t="shared" si="1540"/>
        <v>0.17205230079746128</v>
      </c>
      <c r="ER425" s="4">
        <f t="shared" si="1603"/>
        <v>5.9117211423967806</v>
      </c>
      <c r="ES425" s="4">
        <f t="shared" si="1418"/>
        <v>9.4339351942507346</v>
      </c>
      <c r="ET425" s="4">
        <f t="shared" si="1604"/>
        <v>55.88049765012542</v>
      </c>
      <c r="EU425" s="4">
        <f t="shared" si="1605"/>
        <v>52.387499999999989</v>
      </c>
      <c r="EV425" s="4">
        <f t="shared" si="1541"/>
        <v>1.7987820129031563E-5</v>
      </c>
      <c r="EW425" s="4">
        <f t="shared" si="1419"/>
        <v>11.340388836122862</v>
      </c>
      <c r="EX425" s="4">
        <f t="shared" si="1555"/>
        <v>666.31546884797035</v>
      </c>
      <c r="FG425" s="23">
        <f t="shared" si="1459"/>
        <v>2.2000000000000002</v>
      </c>
      <c r="FH425" s="23">
        <f t="shared" si="1459"/>
        <v>0.6</v>
      </c>
      <c r="FI425" s="23">
        <f t="shared" si="1382"/>
        <v>1.6</v>
      </c>
      <c r="FJ425" s="23">
        <f t="shared" si="1460"/>
        <v>1.8</v>
      </c>
      <c r="FK425" s="23">
        <f t="shared" si="1460"/>
        <v>1.2</v>
      </c>
      <c r="FL425" s="23">
        <f t="shared" si="1460"/>
        <v>1.2</v>
      </c>
      <c r="FM425" s="23">
        <f t="shared" si="1629"/>
        <v>0</v>
      </c>
      <c r="FN425" s="23"/>
      <c r="FX425" s="4">
        <f t="shared" si="1500"/>
        <v>1</v>
      </c>
      <c r="FY425" s="4">
        <f t="shared" si="1561"/>
        <v>0.43787748058671272</v>
      </c>
      <c r="FZ425" s="4">
        <f t="shared" si="1501"/>
        <v>0.3</v>
      </c>
      <c r="GA425" s="4">
        <f t="shared" si="1502"/>
        <v>524.37594643122043</v>
      </c>
    </row>
    <row r="426" spans="1:183" ht="12" customHeight="1" x14ac:dyDescent="0.3">
      <c r="A426" s="25">
        <v>408</v>
      </c>
      <c r="B426" s="4" t="s">
        <v>605</v>
      </c>
      <c r="C426" s="4">
        <v>2016</v>
      </c>
      <c r="D426" s="4" t="s">
        <v>309</v>
      </c>
      <c r="E426" s="14" t="s">
        <v>577</v>
      </c>
      <c r="F426" s="7" t="s">
        <v>578</v>
      </c>
      <c r="G426" s="38">
        <f>135/0.145</f>
        <v>931.0344827586207</v>
      </c>
      <c r="H426" s="38">
        <f>12.13*25.4</f>
        <v>308.10199999999998</v>
      </c>
      <c r="I426" s="4">
        <f t="shared" si="1420"/>
        <v>308.10199999999998</v>
      </c>
      <c r="J426" s="38">
        <f>5760/145</f>
        <v>39.724137931034484</v>
      </c>
      <c r="K426" s="38">
        <f>1.41*25.4</f>
        <v>35.813999999999993</v>
      </c>
      <c r="L426" s="7">
        <f t="shared" si="1421"/>
        <v>8.6028368794326244</v>
      </c>
      <c r="M426" s="7">
        <f t="shared" si="1422"/>
        <v>8.6028368794326244</v>
      </c>
      <c r="N426" s="38">
        <f>21.7*25.4</f>
        <v>551.17999999999995</v>
      </c>
      <c r="O426" s="38">
        <f>2.65*25.4</f>
        <v>67.309999999999988</v>
      </c>
      <c r="P426" s="39">
        <f>3.5*25.4</f>
        <v>88.899999999999991</v>
      </c>
      <c r="Q426" s="7">
        <f t="shared" si="1423"/>
        <v>344.93200000000002</v>
      </c>
      <c r="R426" s="38">
        <v>2</v>
      </c>
      <c r="S426" s="4">
        <f t="shared" si="1493"/>
        <v>508</v>
      </c>
      <c r="T426" s="7">
        <f t="shared" si="1424"/>
        <v>2.3794326241134751</v>
      </c>
      <c r="U426" s="7">
        <f t="shared" si="1548"/>
        <v>2.3794326241134751</v>
      </c>
      <c r="V426" s="38">
        <v>3.9</v>
      </c>
      <c r="W426" s="4">
        <f t="shared" si="1425"/>
        <v>3.9</v>
      </c>
      <c r="X426" s="4">
        <f t="shared" si="1426"/>
        <v>4.9000000000000004</v>
      </c>
      <c r="Y426" s="7">
        <f t="shared" si="1427"/>
        <v>79.277668484889219</v>
      </c>
      <c r="AB426" s="38">
        <f t="shared" si="1461"/>
        <v>293.79310344827587</v>
      </c>
      <c r="AC426" s="4">
        <v>42.6</v>
      </c>
      <c r="AD426" s="4">
        <f t="shared" si="1587"/>
        <v>0.67339603919552049</v>
      </c>
      <c r="AE426" s="38">
        <v>0</v>
      </c>
      <c r="AF426" s="38">
        <v>0</v>
      </c>
      <c r="AG426" s="39">
        <f t="shared" ref="AG426" si="1636">I426</f>
        <v>308.10199999999998</v>
      </c>
      <c r="AH426" s="39"/>
      <c r="AI426" s="39"/>
      <c r="AJ426" s="7"/>
      <c r="AK426" s="4">
        <f t="shared" si="1429"/>
        <v>308.10199999999998</v>
      </c>
      <c r="AL426" s="4">
        <f t="shared" si="1607"/>
        <v>0.59631766968947519</v>
      </c>
      <c r="AM426" s="4">
        <f t="shared" si="1608"/>
        <v>169.17784214061564</v>
      </c>
      <c r="AN426" s="4">
        <f t="shared" si="1609"/>
        <v>0.75531739488870564</v>
      </c>
      <c r="AO426" s="4">
        <v>1.25</v>
      </c>
      <c r="AP426" s="4">
        <f t="shared" si="1520"/>
        <v>2.5</v>
      </c>
      <c r="AQ426" s="38">
        <f t="shared" si="1398"/>
        <v>238.12262845805614</v>
      </c>
      <c r="AR426" s="38">
        <f t="shared" si="1610"/>
        <v>238.12262845805614</v>
      </c>
      <c r="AS426" s="38">
        <f t="shared" si="1611"/>
        <v>3.4926701740126327</v>
      </c>
      <c r="AT426" s="38">
        <f t="shared" si="1533"/>
        <v>238.12262845805651</v>
      </c>
      <c r="AU426" s="38">
        <f t="shared" si="1495"/>
        <v>0.99999999999999845</v>
      </c>
      <c r="AV426" s="38">
        <f t="shared" si="1534"/>
        <v>1.5677959002994157</v>
      </c>
      <c r="AW426" s="4">
        <f t="shared" si="1535"/>
        <v>0</v>
      </c>
      <c r="AX426" s="4">
        <f t="shared" si="1430"/>
        <v>285.37460794417643</v>
      </c>
      <c r="AY426" s="4">
        <f t="shared" si="1399"/>
        <v>1</v>
      </c>
      <c r="AZ426" s="38">
        <f t="shared" si="1542"/>
        <v>373.32768066506196</v>
      </c>
      <c r="BA426" s="4">
        <f t="shared" si="1400"/>
        <v>0.45399999999999996</v>
      </c>
      <c r="BB426" s="4">
        <f t="shared" si="1401"/>
        <v>67.695137623477819</v>
      </c>
      <c r="BC426" s="4">
        <f t="shared" si="1402"/>
        <v>441.02281828853978</v>
      </c>
      <c r="BE426" s="4">
        <f t="shared" si="1521"/>
        <v>1.2198581560283688</v>
      </c>
      <c r="BF426" s="4">
        <f t="shared" si="1527"/>
        <v>429.07875073434849</v>
      </c>
      <c r="BH426" s="4">
        <f t="shared" si="1549"/>
        <v>358.06690075816078</v>
      </c>
      <c r="BI426" s="4">
        <f t="shared" si="1481"/>
        <v>0</v>
      </c>
      <c r="BJ426" s="4">
        <f t="shared" si="1550"/>
        <v>0</v>
      </c>
      <c r="BK426" s="4">
        <f t="shared" si="1612"/>
        <v>67.309999999999988</v>
      </c>
      <c r="BL426" s="4">
        <f t="shared" si="1613"/>
        <v>67.309999999999988</v>
      </c>
      <c r="BM426" s="4">
        <f t="shared" si="1614"/>
        <v>508</v>
      </c>
      <c r="BN426" s="4">
        <f t="shared" si="1615"/>
        <v>85.216999999999985</v>
      </c>
      <c r="BO426" s="4">
        <f t="shared" si="1616"/>
        <v>1.25</v>
      </c>
      <c r="BP426" s="25">
        <f t="shared" si="1617"/>
        <v>2.9742907801418439</v>
      </c>
      <c r="BR426" s="4">
        <f t="shared" si="1403"/>
        <v>67.309999999999988</v>
      </c>
      <c r="BV426" s="9"/>
      <c r="BX426" s="9"/>
      <c r="BY426" s="9"/>
      <c r="BZ426" s="9">
        <f t="shared" si="1404"/>
        <v>67.309999999999988</v>
      </c>
      <c r="CA426" s="9">
        <f t="shared" si="1405"/>
        <v>172.46600000000001</v>
      </c>
      <c r="CB426" s="9">
        <f t="shared" si="1536"/>
        <v>1.5787267425904519</v>
      </c>
      <c r="CC426" s="40">
        <f t="shared" si="1431"/>
        <v>20</v>
      </c>
      <c r="CD426" s="9">
        <f t="shared" si="1406"/>
        <v>0</v>
      </c>
      <c r="CE426" s="9">
        <f t="shared" si="1407"/>
        <v>0</v>
      </c>
      <c r="CF426" s="9">
        <f t="shared" si="1408"/>
        <v>0.89777220146327208</v>
      </c>
      <c r="CG426" s="9">
        <f t="shared" si="1409"/>
        <v>0.68</v>
      </c>
      <c r="CH426" s="9">
        <f t="shared" si="1537"/>
        <v>1.3466984227273664</v>
      </c>
      <c r="CI426" s="9">
        <f t="shared" si="1538"/>
        <v>2.1260688141640744</v>
      </c>
      <c r="CJ426" s="40">
        <v>1</v>
      </c>
      <c r="CK426" s="9">
        <f t="shared" si="1539"/>
        <v>200.72502166065362</v>
      </c>
      <c r="CM426" s="4">
        <f t="shared" si="1410"/>
        <v>1.029499805763189</v>
      </c>
      <c r="CN426" s="4">
        <f t="shared" si="1411"/>
        <v>0.66616304477937771</v>
      </c>
      <c r="CO426" s="4">
        <f t="shared" si="1376"/>
        <v>0.68470671862790344</v>
      </c>
      <c r="CP426" s="4">
        <f t="shared" si="1412"/>
        <v>1.4636595926987293</v>
      </c>
      <c r="CQ426" s="4">
        <f t="shared" si="1627"/>
        <v>0.67339603919552049</v>
      </c>
      <c r="CR426" s="4">
        <f t="shared" si="1628"/>
        <v>0.72096580896252627</v>
      </c>
      <c r="CS426" s="4">
        <f t="shared" si="1377"/>
        <v>0.80994045632785505</v>
      </c>
      <c r="CT426" s="4">
        <f t="shared" si="1432"/>
        <v>0</v>
      </c>
      <c r="CU426" s="4">
        <f t="shared" ref="CU426:CV426" si="1637">CM426</f>
        <v>1.029499805763189</v>
      </c>
      <c r="CV426" s="4">
        <f t="shared" si="1637"/>
        <v>0.66616304477937771</v>
      </c>
      <c r="CW426" s="4">
        <f t="shared" ref="CW426" si="1638">CP426</f>
        <v>1.4636595926987293</v>
      </c>
      <c r="CX426" s="4">
        <f t="shared" ref="CX426" si="1639">CS426</f>
        <v>0.80994045632785505</v>
      </c>
      <c r="CY426" s="4">
        <f t="shared" ref="CY426:CZ426" si="1640">CQ426</f>
        <v>0.67339603919552049</v>
      </c>
      <c r="CZ426" s="4">
        <f t="shared" si="1640"/>
        <v>0.72096580896252627</v>
      </c>
      <c r="DI426" s="4">
        <f t="shared" si="1417"/>
        <v>308.10199999999998</v>
      </c>
      <c r="DL426" s="4">
        <f t="shared" si="1588"/>
        <v>1.6422982705051898E-5</v>
      </c>
      <c r="DM426" s="4">
        <f t="shared" si="1589"/>
        <v>6.6794137361809804</v>
      </c>
      <c r="DN426" s="4">
        <f t="shared" si="1590"/>
        <v>0.47413206320930545</v>
      </c>
      <c r="DO426" s="4">
        <f t="shared" si="1591"/>
        <v>4.9556208963323414</v>
      </c>
      <c r="DP426" s="4">
        <f t="shared" si="1592"/>
        <v>5.8811547174806602</v>
      </c>
      <c r="DQ426" s="4">
        <f t="shared" si="1593"/>
        <v>6.343757885764715</v>
      </c>
      <c r="DR426" s="38">
        <f t="shared" si="1622"/>
        <v>436.28576104970682</v>
      </c>
      <c r="DS426" s="4">
        <f t="shared" si="1594"/>
        <v>1.0001192823101088</v>
      </c>
      <c r="DT426" s="4">
        <f t="shared" si="1595"/>
        <v>2.2135943621178655</v>
      </c>
      <c r="DU426" s="4">
        <f t="shared" si="1596"/>
        <v>238.12262845805651</v>
      </c>
      <c r="DY426" s="4">
        <f t="shared" si="1597"/>
        <v>0.85</v>
      </c>
      <c r="DZ426" s="4">
        <f t="shared" si="1598"/>
        <v>0.91205673758865247</v>
      </c>
      <c r="EA426" s="4">
        <f t="shared" si="1623"/>
        <v>1</v>
      </c>
      <c r="EB426" s="4">
        <f t="shared" si="1599"/>
        <v>0.91205673758865247</v>
      </c>
      <c r="ED426" s="4">
        <f t="shared" si="1624"/>
        <v>407.49935682948092</v>
      </c>
      <c r="EE426" s="25">
        <f t="shared" si="1625"/>
        <v>235.11363636166115</v>
      </c>
      <c r="EG426" s="4">
        <f t="shared" si="1514"/>
        <v>0.77524822695035456</v>
      </c>
      <c r="EH426" s="4">
        <f t="shared" si="1626"/>
        <v>6.6794137361809804</v>
      </c>
      <c r="EK426" s="4">
        <f t="shared" si="1600"/>
        <v>79.277668484889219</v>
      </c>
      <c r="EL426" s="4">
        <f t="shared" si="1601"/>
        <v>2.2135943621178655</v>
      </c>
      <c r="EM426" s="4">
        <f t="shared" si="1602"/>
        <v>0.1634036794271963</v>
      </c>
      <c r="EP426" s="4">
        <f t="shared" si="1433"/>
        <v>0.1634036794271963</v>
      </c>
      <c r="EQ426" s="4">
        <f t="shared" si="1540"/>
        <v>0.47334082516201326</v>
      </c>
      <c r="ER426" s="4">
        <f t="shared" si="1603"/>
        <v>4.9523112356550287</v>
      </c>
      <c r="ES426" s="4">
        <f t="shared" si="1418"/>
        <v>5.879761735540094</v>
      </c>
      <c r="ET426" s="4">
        <f t="shared" si="1604"/>
        <v>151.79883151511075</v>
      </c>
      <c r="EU426" s="4">
        <f t="shared" si="1605"/>
        <v>77.025500000000022</v>
      </c>
      <c r="EV426" s="4">
        <f t="shared" si="1541"/>
        <v>1.6422982705051901E-5</v>
      </c>
      <c r="EW426" s="4">
        <f t="shared" si="1419"/>
        <v>6.3438609703207192</v>
      </c>
      <c r="EX426" s="4">
        <f t="shared" si="1555"/>
        <v>436.23372608311223</v>
      </c>
      <c r="FG426" s="23">
        <f t="shared" si="1459"/>
        <v>1.2</v>
      </c>
      <c r="FH426" s="23">
        <f t="shared" si="1459"/>
        <v>0.8</v>
      </c>
      <c r="FI426" s="23">
        <f t="shared" si="1382"/>
        <v>1</v>
      </c>
      <c r="FJ426" s="23">
        <f t="shared" si="1460"/>
        <v>1.6</v>
      </c>
      <c r="FK426" s="23">
        <f t="shared" si="1460"/>
        <v>0.8</v>
      </c>
      <c r="FL426" s="23">
        <f t="shared" si="1460"/>
        <v>0.8</v>
      </c>
      <c r="FM426" s="23">
        <f t="shared" si="1629"/>
        <v>1</v>
      </c>
      <c r="FN426" s="23"/>
      <c r="FX426" s="4">
        <f t="shared" si="1500"/>
        <v>1</v>
      </c>
      <c r="FY426" s="4">
        <f t="shared" si="1561"/>
        <v>0.5</v>
      </c>
      <c r="FZ426" s="4">
        <f t="shared" si="1501"/>
        <v>0</v>
      </c>
      <c r="GA426" s="4">
        <f t="shared" si="1502"/>
        <v>362.73419996858587</v>
      </c>
    </row>
    <row r="427" spans="1:183" ht="12" customHeight="1" x14ac:dyDescent="0.3">
      <c r="A427" s="25">
        <v>409</v>
      </c>
      <c r="B427" s="4" t="s">
        <v>605</v>
      </c>
      <c r="C427" s="4">
        <v>2016</v>
      </c>
      <c r="D427" s="4" t="s">
        <v>309</v>
      </c>
      <c r="E427" s="14" t="s">
        <v>577</v>
      </c>
      <c r="F427" s="7" t="s">
        <v>579</v>
      </c>
      <c r="G427" s="38">
        <f t="shared" ref="G427:G433" si="1641">135/0.145</f>
        <v>931.0344827586207</v>
      </c>
      <c r="H427" s="38">
        <f>12.5*25.4</f>
        <v>317.5</v>
      </c>
      <c r="I427" s="4">
        <f t="shared" si="1420"/>
        <v>317.5</v>
      </c>
      <c r="J427" s="38">
        <f>5760/145</f>
        <v>39.724137931034484</v>
      </c>
      <c r="K427" s="38">
        <f t="shared" ref="K427:K449" si="1642">1.41*25.4</f>
        <v>35.813999999999993</v>
      </c>
      <c r="L427" s="7">
        <f t="shared" si="1421"/>
        <v>8.8652482269503565</v>
      </c>
      <c r="M427" s="7">
        <f t="shared" si="1422"/>
        <v>8.8652482269503565</v>
      </c>
      <c r="N427" s="38">
        <f>21.8*25.4</f>
        <v>553.72</v>
      </c>
      <c r="O427" s="38">
        <f>2.7*25.4</f>
        <v>68.58</v>
      </c>
      <c r="P427" s="39">
        <f>3.1*25.4</f>
        <v>78.739999999999995</v>
      </c>
      <c r="Q427" s="7">
        <f t="shared" si="1423"/>
        <v>344.93200000000002</v>
      </c>
      <c r="R427" s="38">
        <v>2</v>
      </c>
      <c r="S427" s="4">
        <f t="shared" si="1493"/>
        <v>508</v>
      </c>
      <c r="T427" s="7">
        <f t="shared" si="1424"/>
        <v>2.4148936170212769</v>
      </c>
      <c r="U427" s="7">
        <f t="shared" si="1548"/>
        <v>2.4148936170212769</v>
      </c>
      <c r="V427" s="38">
        <v>3.9</v>
      </c>
      <c r="W427" s="4">
        <f t="shared" si="1425"/>
        <v>3.9</v>
      </c>
      <c r="X427" s="4">
        <f t="shared" si="1426"/>
        <v>4.9000000000000004</v>
      </c>
      <c r="Y427" s="7">
        <f t="shared" si="1427"/>
        <v>79.277668484889219</v>
      </c>
      <c r="AB427" s="38">
        <f t="shared" si="1461"/>
        <v>390.34482758620692</v>
      </c>
      <c r="AC427" s="4">
        <v>56.6</v>
      </c>
      <c r="AD427" s="4">
        <f t="shared" si="1587"/>
        <v>0.8706995887826271</v>
      </c>
      <c r="AE427" s="38">
        <f t="shared" si="1630"/>
        <v>12.7</v>
      </c>
      <c r="AF427" s="38">
        <v>12</v>
      </c>
      <c r="AG427" s="39">
        <f>4*25.4</f>
        <v>101.6</v>
      </c>
      <c r="AH427" s="39">
        <v>2</v>
      </c>
      <c r="AI427" s="39">
        <f>AH427-1</f>
        <v>1</v>
      </c>
      <c r="AJ427" s="7"/>
      <c r="AK427" s="4">
        <f t="shared" si="1429"/>
        <v>317.5</v>
      </c>
      <c r="AL427" s="4">
        <f t="shared" si="1607"/>
        <v>0.58133333333333337</v>
      </c>
      <c r="AM427" s="4">
        <f t="shared" si="1608"/>
        <v>176.97719173373653</v>
      </c>
      <c r="AN427" s="4">
        <f t="shared" si="1609"/>
        <v>0.75447999999999993</v>
      </c>
      <c r="AO427" s="4">
        <v>1.25</v>
      </c>
      <c r="AP427" s="4">
        <f t="shared" si="1520"/>
        <v>2.5</v>
      </c>
      <c r="AQ427" s="38">
        <f t="shared" si="1398"/>
        <v>242.57178210833959</v>
      </c>
      <c r="AR427" s="38">
        <f t="shared" si="1610"/>
        <v>242.57178210833959</v>
      </c>
      <c r="AS427" s="38">
        <f t="shared" si="1611"/>
        <v>3.4926701740126327</v>
      </c>
      <c r="AT427" s="38">
        <f t="shared" si="1533"/>
        <v>242.57178210833953</v>
      </c>
      <c r="AU427" s="38">
        <f t="shared" si="1495"/>
        <v>1.0000000000000002</v>
      </c>
      <c r="AV427" s="38">
        <f t="shared" si="1534"/>
        <v>1.5619765341272129</v>
      </c>
      <c r="AW427" s="4">
        <f t="shared" si="1535"/>
        <v>0</v>
      </c>
      <c r="AX427" s="4">
        <f t="shared" si="1430"/>
        <v>294.07935690867322</v>
      </c>
      <c r="AY427" s="4">
        <f t="shared" si="1399"/>
        <v>1</v>
      </c>
      <c r="AZ427" s="38">
        <f t="shared" si="1542"/>
        <v>378.89143149464564</v>
      </c>
      <c r="BA427" s="4">
        <f t="shared" si="1400"/>
        <v>0.45399999999999996</v>
      </c>
      <c r="BB427" s="4">
        <f t="shared" si="1401"/>
        <v>69.760034649090912</v>
      </c>
      <c r="BC427" s="4">
        <f t="shared" si="1402"/>
        <v>448.65146614373657</v>
      </c>
      <c r="BE427" s="4">
        <f t="shared" si="1521"/>
        <v>1.5</v>
      </c>
      <c r="BF427" s="4">
        <f t="shared" si="1527"/>
        <v>535.05974513391641</v>
      </c>
      <c r="BH427" s="4">
        <f t="shared" si="1549"/>
        <v>363.40321820612149</v>
      </c>
      <c r="BI427" s="4">
        <f t="shared" si="1481"/>
        <v>0</v>
      </c>
      <c r="BJ427" s="4">
        <f t="shared" si="1550"/>
        <v>0</v>
      </c>
      <c r="BK427" s="4">
        <f t="shared" si="1612"/>
        <v>68.58</v>
      </c>
      <c r="BL427" s="4">
        <f t="shared" si="1613"/>
        <v>68.58</v>
      </c>
      <c r="BM427" s="4">
        <f t="shared" si="1614"/>
        <v>508</v>
      </c>
      <c r="BN427" s="4">
        <f t="shared" si="1615"/>
        <v>86.486999999999995</v>
      </c>
      <c r="BO427" s="4">
        <f t="shared" si="1616"/>
        <v>1.25</v>
      </c>
      <c r="BP427" s="25">
        <f t="shared" si="1617"/>
        <v>4</v>
      </c>
      <c r="BR427" s="4">
        <f t="shared" si="1403"/>
        <v>68.58</v>
      </c>
      <c r="BV427" s="9"/>
      <c r="BX427" s="9"/>
      <c r="BY427" s="9"/>
      <c r="BZ427" s="9">
        <f t="shared" si="1404"/>
        <v>68.58</v>
      </c>
      <c r="CA427" s="9">
        <f t="shared" si="1405"/>
        <v>172.46600000000001</v>
      </c>
      <c r="CB427" s="9">
        <f t="shared" si="1536"/>
        <v>1.5890890215144411</v>
      </c>
      <c r="CC427" s="40">
        <f t="shared" si="1431"/>
        <v>20</v>
      </c>
      <c r="CD427" s="9">
        <f t="shared" si="1406"/>
        <v>0.05</v>
      </c>
      <c r="CE427" s="9">
        <f t="shared" si="1407"/>
        <v>0.8</v>
      </c>
      <c r="CF427" s="9">
        <f t="shared" si="1408"/>
        <v>0.89777220146327208</v>
      </c>
      <c r="CG427" s="9">
        <f t="shared" si="1409"/>
        <v>0.68</v>
      </c>
      <c r="CH427" s="9">
        <f t="shared" si="1537"/>
        <v>1.3466984227273664</v>
      </c>
      <c r="CI427" s="9">
        <f t="shared" si="1538"/>
        <v>3.217382417028765</v>
      </c>
      <c r="CJ427" s="40">
        <v>1</v>
      </c>
      <c r="CK427" s="9">
        <f t="shared" si="1539"/>
        <v>307.13452009366796</v>
      </c>
      <c r="CM427" s="4">
        <f t="shared" si="1410"/>
        <v>1.3273452162350488</v>
      </c>
      <c r="CN427" s="4">
        <f t="shared" si="1411"/>
        <v>0.87004023622459381</v>
      </c>
      <c r="CO427" s="4">
        <f t="shared" si="1376"/>
        <v>0.72953503068804071</v>
      </c>
      <c r="CP427" s="4">
        <f t="shared" si="1412"/>
        <v>1.2709246341543179</v>
      </c>
      <c r="CQ427" s="4">
        <f t="shared" si="1627"/>
        <v>0.8706995887826271</v>
      </c>
      <c r="CR427" s="4">
        <f t="shared" si="1628"/>
        <v>0.93377048827409681</v>
      </c>
      <c r="CS427" s="4">
        <f t="shared" si="1377"/>
        <v>0.92343789210776062</v>
      </c>
      <c r="CT427" s="4">
        <f t="shared" si="1432"/>
        <v>12</v>
      </c>
      <c r="DA427" s="4">
        <f t="shared" ref="DA427:DB427" si="1643">CM427</f>
        <v>1.3273452162350488</v>
      </c>
      <c r="DB427" s="4">
        <f t="shared" si="1643"/>
        <v>0.87004023622459381</v>
      </c>
      <c r="DC427" s="4">
        <f t="shared" ref="DC427" si="1644">CP427</f>
        <v>1.2709246341543179</v>
      </c>
      <c r="DD427" s="4">
        <f t="shared" ref="DD427" si="1645">CS427</f>
        <v>0.92343789210776062</v>
      </c>
      <c r="DE427" s="4">
        <f t="shared" ref="DE427:DF427" si="1646">CQ427</f>
        <v>0.8706995887826271</v>
      </c>
      <c r="DF427" s="4">
        <f t="shared" si="1646"/>
        <v>0.93377048827409681</v>
      </c>
      <c r="DI427" s="4">
        <f t="shared" si="1417"/>
        <v>317.5</v>
      </c>
      <c r="DL427" s="4">
        <f t="shared" si="1588"/>
        <v>1.6923931064562959E-5</v>
      </c>
      <c r="DM427" s="4">
        <f t="shared" si="1589"/>
        <v>6.7084964135054195</v>
      </c>
      <c r="DN427" s="4">
        <f t="shared" si="1590"/>
        <v>0.48299088697336229</v>
      </c>
      <c r="DO427" s="4">
        <f t="shared" si="1591"/>
        <v>5.0141897708041316</v>
      </c>
      <c r="DP427" s="4">
        <f t="shared" si="1592"/>
        <v>5.92237204977069</v>
      </c>
      <c r="DQ427" s="4">
        <f t="shared" si="1593"/>
        <v>6.3474171439442504</v>
      </c>
      <c r="DR427" s="38">
        <f t="shared" si="1622"/>
        <v>448.31171694013256</v>
      </c>
      <c r="DS427" s="4">
        <f t="shared" si="1594"/>
        <v>1.0001200187532864</v>
      </c>
      <c r="DT427" s="4">
        <f t="shared" si="1595"/>
        <v>2.2135943621178655</v>
      </c>
      <c r="DU427" s="4">
        <f t="shared" si="1596"/>
        <v>242.57178210833953</v>
      </c>
      <c r="DY427" s="4">
        <f t="shared" si="1597"/>
        <v>0.85</v>
      </c>
      <c r="DZ427" s="4">
        <f t="shared" si="1598"/>
        <v>0.90851063829787226</v>
      </c>
      <c r="EA427" s="4">
        <f t="shared" si="1623"/>
        <v>0.9995510789195714</v>
      </c>
      <c r="EB427" s="4">
        <f t="shared" si="1599"/>
        <v>0.90810278872054673</v>
      </c>
      <c r="ED427" s="4">
        <f t="shared" si="1624"/>
        <v>418.03080359466878</v>
      </c>
      <c r="EE427" s="25">
        <f t="shared" si="1625"/>
        <v>239.61334578867351</v>
      </c>
      <c r="EG427" s="4">
        <f t="shared" si="1514"/>
        <v>0.77188737041246469</v>
      </c>
      <c r="EH427" s="4">
        <f t="shared" si="1626"/>
        <v>6.7084964135054195</v>
      </c>
      <c r="EK427" s="4">
        <f t="shared" si="1600"/>
        <v>79.277668484889219</v>
      </c>
      <c r="EL427" s="4">
        <f t="shared" si="1601"/>
        <v>2.2135943621178655</v>
      </c>
      <c r="EM427" s="4">
        <f t="shared" si="1602"/>
        <v>0.16645676212454794</v>
      </c>
      <c r="EP427" s="4">
        <f t="shared" si="1433"/>
        <v>0.16645676212454794</v>
      </c>
      <c r="EQ427" s="4">
        <f t="shared" si="1540"/>
        <v>0.4821848652002681</v>
      </c>
      <c r="ER427" s="4">
        <f t="shared" si="1603"/>
        <v>5.0108409943217955</v>
      </c>
      <c r="ES427" s="4">
        <f t="shared" si="1418"/>
        <v>5.9209557835987123</v>
      </c>
      <c r="ET427" s="4">
        <f t="shared" si="1604"/>
        <v>158.8473315151108</v>
      </c>
      <c r="EU427" s="4">
        <f t="shared" si="1605"/>
        <v>79.375</v>
      </c>
      <c r="EV427" s="4">
        <f t="shared" si="1541"/>
        <v>1.6923931064562959E-5</v>
      </c>
      <c r="EW427" s="4">
        <f t="shared" si="1419"/>
        <v>6.347527515676302</v>
      </c>
      <c r="EX427" s="4">
        <f t="shared" si="1555"/>
        <v>448.25791758371344</v>
      </c>
      <c r="FG427" s="23">
        <f t="shared" si="1459"/>
        <v>1.4</v>
      </c>
      <c r="FH427" s="23">
        <f t="shared" si="1459"/>
        <v>1</v>
      </c>
      <c r="FI427" s="23">
        <f t="shared" si="1382"/>
        <v>1</v>
      </c>
      <c r="FJ427" s="23">
        <f t="shared" si="1460"/>
        <v>1.4</v>
      </c>
      <c r="FK427" s="23">
        <f t="shared" si="1460"/>
        <v>1</v>
      </c>
      <c r="FL427" s="23">
        <f t="shared" si="1460"/>
        <v>1</v>
      </c>
      <c r="FM427" s="23">
        <f t="shared" si="1629"/>
        <v>0</v>
      </c>
      <c r="FN427" s="23"/>
      <c r="FX427" s="4">
        <f t="shared" si="1500"/>
        <v>1</v>
      </c>
      <c r="FY427" s="4">
        <f t="shared" si="1561"/>
        <v>0.44214730608235164</v>
      </c>
      <c r="FZ427" s="4">
        <f t="shared" si="1501"/>
        <v>0.25149640360142855</v>
      </c>
      <c r="GA427" s="4">
        <f t="shared" si="1502"/>
        <v>422.7082632436049</v>
      </c>
    </row>
    <row r="428" spans="1:183" ht="12" customHeight="1" x14ac:dyDescent="0.3">
      <c r="A428" s="25">
        <v>410</v>
      </c>
      <c r="B428" s="4" t="s">
        <v>605</v>
      </c>
      <c r="C428" s="4">
        <v>2016</v>
      </c>
      <c r="D428" s="4" t="s">
        <v>309</v>
      </c>
      <c r="E428" s="14" t="s">
        <v>678</v>
      </c>
      <c r="F428" s="7" t="s">
        <v>580</v>
      </c>
      <c r="G428" s="38">
        <f t="shared" si="1641"/>
        <v>931.0344827586207</v>
      </c>
      <c r="H428" s="38">
        <f>17.25*25.4</f>
        <v>438.15</v>
      </c>
      <c r="I428" s="4">
        <f t="shared" si="1420"/>
        <v>438.15</v>
      </c>
      <c r="J428" s="38">
        <f>5760/145</f>
        <v>39.724137931034484</v>
      </c>
      <c r="K428" s="38">
        <f t="shared" si="1642"/>
        <v>35.813999999999993</v>
      </c>
      <c r="L428" s="7">
        <f t="shared" si="1421"/>
        <v>12.234042553191491</v>
      </c>
      <c r="M428" s="7">
        <f t="shared" si="1422"/>
        <v>12.234042553191491</v>
      </c>
      <c r="N428" s="38">
        <f>21.9*25.4</f>
        <v>556.25999999999988</v>
      </c>
      <c r="O428" s="38">
        <f>2.75*25.4</f>
        <v>69.849999999999994</v>
      </c>
      <c r="P428" s="39">
        <f>3.25*25.4</f>
        <v>82.55</v>
      </c>
      <c r="Q428" s="7">
        <f t="shared" si="1423"/>
        <v>344.9319999999999</v>
      </c>
      <c r="R428" s="38">
        <v>2</v>
      </c>
      <c r="S428" s="4">
        <f t="shared" si="1493"/>
        <v>508</v>
      </c>
      <c r="T428" s="7">
        <f t="shared" si="1424"/>
        <v>2.4503546099290783</v>
      </c>
      <c r="U428" s="7">
        <f t="shared" si="1548"/>
        <v>2.4503546099290783</v>
      </c>
      <c r="V428" s="38">
        <v>3.9</v>
      </c>
      <c r="W428" s="4">
        <f t="shared" si="1425"/>
        <v>3.9</v>
      </c>
      <c r="X428" s="4">
        <f t="shared" si="1426"/>
        <v>4.9000000000000004</v>
      </c>
      <c r="Y428" s="7">
        <f t="shared" si="1427"/>
        <v>79.277668484889219</v>
      </c>
      <c r="AB428" s="38">
        <f t="shared" si="1461"/>
        <v>586.89655172413791</v>
      </c>
      <c r="AC428" s="4">
        <v>85.1</v>
      </c>
      <c r="AD428" s="4">
        <f t="shared" si="1587"/>
        <v>1.0281950348313329</v>
      </c>
      <c r="AE428" s="38">
        <v>0</v>
      </c>
      <c r="AF428" s="38">
        <v>0</v>
      </c>
      <c r="AG428" s="39">
        <f t="shared" ref="AG428" si="1647">I428</f>
        <v>438.15</v>
      </c>
      <c r="AH428" s="39"/>
      <c r="AI428" s="39"/>
      <c r="AJ428" s="7"/>
      <c r="AK428" s="4">
        <f t="shared" si="1429"/>
        <v>438.15</v>
      </c>
      <c r="AL428" s="4">
        <f t="shared" si="1607"/>
        <v>0.42318840579710132</v>
      </c>
      <c r="AM428" s="4">
        <f t="shared" si="1608"/>
        <v>286.90355464864228</v>
      </c>
      <c r="AN428" s="4">
        <f t="shared" si="1609"/>
        <v>0.74005797101449267</v>
      </c>
      <c r="AO428" s="4">
        <v>1.25</v>
      </c>
      <c r="AP428" s="4">
        <f t="shared" si="1520"/>
        <v>2.5</v>
      </c>
      <c r="AQ428" s="38">
        <f t="shared" si="1398"/>
        <v>280.79246675178877</v>
      </c>
      <c r="AR428" s="38">
        <f t="shared" si="1610"/>
        <v>280.79246675178877</v>
      </c>
      <c r="AS428" s="38">
        <f t="shared" si="1611"/>
        <v>3.4926701740126327</v>
      </c>
      <c r="AT428" s="38">
        <f t="shared" si="1533"/>
        <v>280.79246675178882</v>
      </c>
      <c r="AU428" s="38">
        <f t="shared" si="1495"/>
        <v>0.99999999999999978</v>
      </c>
      <c r="AV428" s="38">
        <f t="shared" si="1534"/>
        <v>1.3691791192677361</v>
      </c>
      <c r="AW428" s="4">
        <f t="shared" si="1535"/>
        <v>0</v>
      </c>
      <c r="AX428" s="4">
        <f t="shared" si="1430"/>
        <v>405.82951253396902</v>
      </c>
      <c r="AY428" s="4">
        <f t="shared" si="1399"/>
        <v>1</v>
      </c>
      <c r="AZ428" s="38">
        <f t="shared" si="1542"/>
        <v>384.45518232422927</v>
      </c>
      <c r="BA428" s="4">
        <f t="shared" si="1400"/>
        <v>0.45399999999999996</v>
      </c>
      <c r="BB428" s="4">
        <f t="shared" si="1401"/>
        <v>96.26884781574546</v>
      </c>
      <c r="BC428" s="4">
        <f t="shared" si="1402"/>
        <v>480.72403013997473</v>
      </c>
      <c r="BE428" s="4">
        <f t="shared" si="1521"/>
        <v>1.2375886524822697</v>
      </c>
      <c r="BF428" s="4">
        <f t="shared" si="1527"/>
        <v>520.28732562540654</v>
      </c>
      <c r="BH428" s="4">
        <f t="shared" si="1549"/>
        <v>368.7395356540822</v>
      </c>
      <c r="BI428" s="4">
        <f t="shared" si="1481"/>
        <v>0</v>
      </c>
      <c r="BJ428" s="4">
        <f t="shared" si="1550"/>
        <v>0</v>
      </c>
      <c r="BK428" s="4">
        <f t="shared" si="1612"/>
        <v>69.849999999999994</v>
      </c>
      <c r="BL428" s="4">
        <f t="shared" si="1613"/>
        <v>69.849999999999994</v>
      </c>
      <c r="BM428" s="4">
        <f t="shared" si="1614"/>
        <v>508</v>
      </c>
      <c r="BN428" s="4">
        <f t="shared" si="1615"/>
        <v>87.756999999999991</v>
      </c>
      <c r="BO428" s="4">
        <f t="shared" si="1616"/>
        <v>1.25</v>
      </c>
      <c r="BP428" s="25">
        <f t="shared" si="1617"/>
        <v>3.062943262411348</v>
      </c>
      <c r="BR428" s="4">
        <f t="shared" si="1403"/>
        <v>69.849999999999994</v>
      </c>
      <c r="BV428" s="9"/>
      <c r="BX428" s="9"/>
      <c r="BY428" s="9"/>
      <c r="BZ428" s="9">
        <f t="shared" si="1404"/>
        <v>69.849999999999994</v>
      </c>
      <c r="CA428" s="9">
        <f t="shared" si="1405"/>
        <v>172.46599999999995</v>
      </c>
      <c r="CB428" s="9">
        <f t="shared" si="1536"/>
        <v>1.5993273076622354</v>
      </c>
      <c r="CC428" s="40">
        <f t="shared" si="1431"/>
        <v>20</v>
      </c>
      <c r="CD428" s="9">
        <f t="shared" si="1406"/>
        <v>0</v>
      </c>
      <c r="CE428" s="9">
        <f t="shared" si="1407"/>
        <v>0</v>
      </c>
      <c r="CF428" s="9">
        <f t="shared" si="1408"/>
        <v>0.89777220146327208</v>
      </c>
      <c r="CG428" s="9">
        <f t="shared" si="1409"/>
        <v>0.68</v>
      </c>
      <c r="CH428" s="9">
        <f t="shared" si="1537"/>
        <v>1.3466984227273664</v>
      </c>
      <c r="CI428" s="9">
        <f t="shared" si="1538"/>
        <v>2.1538115626535377</v>
      </c>
      <c r="CJ428" s="40">
        <v>1</v>
      </c>
      <c r="CK428" s="9">
        <f t="shared" si="1539"/>
        <v>234.62798299544923</v>
      </c>
      <c r="CM428" s="4">
        <f t="shared" si="1410"/>
        <v>1.4461652827060305</v>
      </c>
      <c r="CN428" s="4">
        <f t="shared" si="1411"/>
        <v>1.2208596095211808</v>
      </c>
      <c r="CO428" s="4">
        <f t="shared" si="1376"/>
        <v>1.1280239260463714</v>
      </c>
      <c r="CP428" s="4">
        <f t="shared" si="1412"/>
        <v>2.5013919662580109</v>
      </c>
      <c r="CQ428" s="4">
        <f t="shared" si="1627"/>
        <v>1.0281950348313329</v>
      </c>
      <c r="CR428" s="4">
        <f t="shared" si="1628"/>
        <v>1.1167546869959355</v>
      </c>
      <c r="CS428" s="4">
        <f t="shared" si="1377"/>
        <v>1.1377445264616732</v>
      </c>
      <c r="CT428" s="4">
        <f t="shared" si="1432"/>
        <v>0</v>
      </c>
      <c r="CU428" s="4">
        <f t="shared" ref="CU428:CV428" si="1648">CM428</f>
        <v>1.4461652827060305</v>
      </c>
      <c r="CV428" s="4">
        <f t="shared" si="1648"/>
        <v>1.2208596095211808</v>
      </c>
      <c r="CW428" s="4">
        <f t="shared" ref="CW428" si="1649">CP428</f>
        <v>2.5013919662580109</v>
      </c>
      <c r="CX428" s="4">
        <f t="shared" ref="CX428" si="1650">CS428</f>
        <v>1.1377445264616732</v>
      </c>
      <c r="CY428" s="4">
        <f t="shared" ref="CY428:CZ428" si="1651">CQ428</f>
        <v>1.0281950348313329</v>
      </c>
      <c r="CZ428" s="4">
        <f t="shared" si="1651"/>
        <v>1.1167546869959355</v>
      </c>
      <c r="DI428" s="4">
        <f t="shared" si="1417"/>
        <v>438.15</v>
      </c>
      <c r="DL428" s="4">
        <f t="shared" si="1588"/>
        <v>2.3355024869096883E-5</v>
      </c>
      <c r="DM428" s="4">
        <f t="shared" si="1589"/>
        <v>6.7317602388156281</v>
      </c>
      <c r="DN428" s="4">
        <f t="shared" si="1590"/>
        <v>0.55909307089689819</v>
      </c>
      <c r="DO428" s="4">
        <f t="shared" si="1591"/>
        <v>5.3348508677845992</v>
      </c>
      <c r="DP428" s="4">
        <f t="shared" si="1592"/>
        <v>6.0736531857113283</v>
      </c>
      <c r="DQ428" s="4">
        <f t="shared" si="1593"/>
        <v>6.0189362004704252</v>
      </c>
      <c r="DR428" s="38">
        <f t="shared" si="1622"/>
        <v>570.80274835251817</v>
      </c>
      <c r="DS428" s="4">
        <f t="shared" si="1594"/>
        <v>1.0001271266917837</v>
      </c>
      <c r="DT428" s="4">
        <f t="shared" si="1595"/>
        <v>2.2135943621178655</v>
      </c>
      <c r="DU428" s="4">
        <f t="shared" si="1596"/>
        <v>280.79246675178882</v>
      </c>
      <c r="DY428" s="4">
        <f t="shared" si="1597"/>
        <v>0.85</v>
      </c>
      <c r="DZ428" s="4">
        <f t="shared" si="1598"/>
        <v>0.90496453900709217</v>
      </c>
      <c r="EA428" s="4">
        <f t="shared" si="1623"/>
        <v>1</v>
      </c>
      <c r="EB428" s="4">
        <f t="shared" si="1599"/>
        <v>0.90496453900709217</v>
      </c>
      <c r="ED428" s="4">
        <f t="shared" si="1624"/>
        <v>525.53757647786256</v>
      </c>
      <c r="EE428" s="25">
        <f t="shared" si="1625"/>
        <v>278.46765281920381</v>
      </c>
      <c r="EG428" s="4">
        <f t="shared" si="1514"/>
        <v>0.76921985815602834</v>
      </c>
      <c r="EH428" s="4">
        <f t="shared" si="1626"/>
        <v>6.7317602388156281</v>
      </c>
      <c r="EK428" s="4">
        <f t="shared" si="1600"/>
        <v>79.277668484889219</v>
      </c>
      <c r="EL428" s="4">
        <f t="shared" si="1601"/>
        <v>2.2135943621178655</v>
      </c>
      <c r="EM428" s="4">
        <f t="shared" si="1602"/>
        <v>0.19268442701052596</v>
      </c>
      <c r="EP428" s="4">
        <f t="shared" si="1433"/>
        <v>0.19268442701052596</v>
      </c>
      <c r="EQ428" s="4">
        <f t="shared" si="1540"/>
        <v>0.5581600487623547</v>
      </c>
      <c r="ER428" s="4">
        <f t="shared" si="1603"/>
        <v>5.3312879346010904</v>
      </c>
      <c r="ES428" s="4">
        <f t="shared" si="1418"/>
        <v>6.0720893144862593</v>
      </c>
      <c r="ET428" s="4">
        <f t="shared" si="1604"/>
        <v>249.33483151511075</v>
      </c>
      <c r="EU428" s="4">
        <f t="shared" si="1605"/>
        <v>109.53750000000002</v>
      </c>
      <c r="EV428" s="4">
        <f t="shared" si="1541"/>
        <v>2.3355024869096893E-5</v>
      </c>
      <c r="EW428" s="4">
        <f t="shared" si="1419"/>
        <v>6.0191440474744464</v>
      </c>
      <c r="EX428" s="4">
        <f t="shared" si="1555"/>
        <v>570.73019331114142</v>
      </c>
      <c r="FG428" s="23">
        <f t="shared" si="1459"/>
        <v>1.6</v>
      </c>
      <c r="FH428" s="23">
        <f t="shared" si="1459"/>
        <v>1.4</v>
      </c>
      <c r="FI428" s="23">
        <f t="shared" si="1382"/>
        <v>1.2</v>
      </c>
      <c r="FJ428" s="23">
        <f t="shared" si="1460"/>
        <v>2.2000000000000002</v>
      </c>
      <c r="FK428" s="23">
        <f t="shared" si="1460"/>
        <v>1.2</v>
      </c>
      <c r="FL428" s="23">
        <f t="shared" si="1460"/>
        <v>1.2</v>
      </c>
      <c r="FM428" s="23">
        <f t="shared" si="1629"/>
        <v>0</v>
      </c>
      <c r="FN428" s="23"/>
      <c r="FX428" s="4">
        <f t="shared" si="1500"/>
        <v>1</v>
      </c>
      <c r="FY428" s="4">
        <f t="shared" si="1561"/>
        <v>0.5</v>
      </c>
      <c r="FZ428" s="4">
        <f t="shared" si="1501"/>
        <v>0</v>
      </c>
      <c r="GA428" s="4">
        <f t="shared" si="1502"/>
        <v>515.84212279127007</v>
      </c>
    </row>
    <row r="429" spans="1:183" ht="12" customHeight="1" x14ac:dyDescent="0.3">
      <c r="A429" s="25">
        <v>411</v>
      </c>
      <c r="B429" s="4" t="s">
        <v>605</v>
      </c>
      <c r="C429" s="4">
        <v>2016</v>
      </c>
      <c r="D429" s="4" t="s">
        <v>309</v>
      </c>
      <c r="E429" s="14" t="s">
        <v>678</v>
      </c>
      <c r="F429" s="7" t="s">
        <v>581</v>
      </c>
      <c r="G429" s="38">
        <f t="shared" si="1641"/>
        <v>931.0344827586207</v>
      </c>
      <c r="H429" s="38">
        <f>16.94*25.4</f>
        <v>430.27600000000001</v>
      </c>
      <c r="I429" s="4">
        <f t="shared" si="1420"/>
        <v>430.27600000000001</v>
      </c>
      <c r="J429" s="38">
        <f>5970/145</f>
        <v>41.172413793103445</v>
      </c>
      <c r="K429" s="38">
        <f t="shared" si="1642"/>
        <v>35.813999999999993</v>
      </c>
      <c r="L429" s="7">
        <f t="shared" si="1421"/>
        <v>12.014184397163124</v>
      </c>
      <c r="M429" s="7">
        <f t="shared" si="1422"/>
        <v>12.014184397163124</v>
      </c>
      <c r="N429" s="38">
        <f>21.5*25.4</f>
        <v>546.1</v>
      </c>
      <c r="O429" s="38">
        <f>2.55*25.4</f>
        <v>64.77</v>
      </c>
      <c r="P429" s="39">
        <f>3.7*25.4</f>
        <v>93.98</v>
      </c>
      <c r="Q429" s="7">
        <f t="shared" si="1423"/>
        <v>344.93200000000002</v>
      </c>
      <c r="R429" s="38">
        <v>2</v>
      </c>
      <c r="S429" s="4">
        <f t="shared" si="1493"/>
        <v>508</v>
      </c>
      <c r="T429" s="7">
        <f t="shared" si="1424"/>
        <v>2.3085106382978724</v>
      </c>
      <c r="U429" s="7">
        <f t="shared" si="1548"/>
        <v>2.3085106382978724</v>
      </c>
      <c r="V429" s="38">
        <v>3.9</v>
      </c>
      <c r="W429" s="4">
        <f t="shared" si="1425"/>
        <v>3.9</v>
      </c>
      <c r="X429" s="4">
        <f t="shared" si="1426"/>
        <v>4.9000000000000004</v>
      </c>
      <c r="Y429" s="7">
        <f t="shared" si="1427"/>
        <v>79.277668484889219</v>
      </c>
      <c r="AB429" s="38">
        <f t="shared" si="1461"/>
        <v>671.72413793103453</v>
      </c>
      <c r="AC429" s="4">
        <v>97.4</v>
      </c>
      <c r="AD429" s="4">
        <f t="shared" si="1587"/>
        <v>1.1970277979743196</v>
      </c>
      <c r="AE429" s="38">
        <f t="shared" si="1630"/>
        <v>12.7</v>
      </c>
      <c r="AF429" s="38">
        <v>12</v>
      </c>
      <c r="AG429" s="39">
        <f>4*25.4</f>
        <v>101.6</v>
      </c>
      <c r="AH429" s="39">
        <v>2</v>
      </c>
      <c r="AI429" s="39">
        <f>AH429-1</f>
        <v>1</v>
      </c>
      <c r="AJ429" s="7"/>
      <c r="AK429" s="4">
        <f t="shared" si="1429"/>
        <v>430.27600000000001</v>
      </c>
      <c r="AL429" s="4">
        <f t="shared" si="1607"/>
        <v>0.42306178669815031</v>
      </c>
      <c r="AM429" s="4">
        <f t="shared" si="1608"/>
        <v>284.24858588831904</v>
      </c>
      <c r="AN429" s="4">
        <f t="shared" si="1609"/>
        <v>0.73842975206611561</v>
      </c>
      <c r="AO429" s="4">
        <v>1.25</v>
      </c>
      <c r="AP429" s="4">
        <f t="shared" si="1520"/>
        <v>2.5</v>
      </c>
      <c r="AQ429" s="38">
        <f t="shared" si="1398"/>
        <v>277.49893467489983</v>
      </c>
      <c r="AR429" s="38">
        <f t="shared" si="1610"/>
        <v>277.49893467489983</v>
      </c>
      <c r="AS429" s="38">
        <f t="shared" si="1611"/>
        <v>3.5770538153249696</v>
      </c>
      <c r="AT429" s="38">
        <f t="shared" si="1533"/>
        <v>277.49893467490006</v>
      </c>
      <c r="AU429" s="38">
        <f t="shared" si="1495"/>
        <v>0.99999999999999922</v>
      </c>
      <c r="AV429" s="38">
        <f t="shared" si="1534"/>
        <v>1.3528174236246544</v>
      </c>
      <c r="AW429" s="4">
        <f t="shared" si="1535"/>
        <v>0</v>
      </c>
      <c r="AX429" s="4">
        <f t="shared" si="1430"/>
        <v>405.73629287821291</v>
      </c>
      <c r="AY429" s="4">
        <f t="shared" si="1399"/>
        <v>1</v>
      </c>
      <c r="AZ429" s="38">
        <f t="shared" si="1542"/>
        <v>375.4053938654846</v>
      </c>
      <c r="BA429" s="4">
        <f t="shared" si="1400"/>
        <v>0.45399999999999996</v>
      </c>
      <c r="BB429" s="4">
        <f t="shared" si="1401"/>
        <v>96.246734715105291</v>
      </c>
      <c r="BC429" s="4">
        <f t="shared" si="1402"/>
        <v>471.65212858058987</v>
      </c>
      <c r="BE429" s="4">
        <f t="shared" si="1521"/>
        <v>1.5</v>
      </c>
      <c r="BF429" s="4">
        <f t="shared" si="1527"/>
        <v>635.65033199253048</v>
      </c>
      <c r="BH429" s="4">
        <f t="shared" si="1549"/>
        <v>360.05968180513355</v>
      </c>
      <c r="BI429" s="4">
        <f t="shared" si="1481"/>
        <v>0</v>
      </c>
      <c r="BJ429" s="4">
        <f t="shared" si="1550"/>
        <v>0</v>
      </c>
      <c r="BK429" s="4">
        <f t="shared" si="1612"/>
        <v>64.77</v>
      </c>
      <c r="BL429" s="4">
        <f t="shared" si="1613"/>
        <v>64.77</v>
      </c>
      <c r="BM429" s="4">
        <f t="shared" si="1614"/>
        <v>508</v>
      </c>
      <c r="BN429" s="4">
        <f t="shared" si="1615"/>
        <v>82.676999999999992</v>
      </c>
      <c r="BO429" s="4">
        <f t="shared" si="1616"/>
        <v>1.25</v>
      </c>
      <c r="BP429" s="25">
        <f t="shared" si="1617"/>
        <v>4</v>
      </c>
      <c r="BR429" s="4">
        <f t="shared" si="1403"/>
        <v>64.77</v>
      </c>
      <c r="BV429" s="9"/>
      <c r="BX429" s="9"/>
      <c r="BY429" s="9"/>
      <c r="BZ429" s="9">
        <f t="shared" si="1404"/>
        <v>64.77</v>
      </c>
      <c r="CA429" s="9">
        <f t="shared" si="1405"/>
        <v>172.46600000000001</v>
      </c>
      <c r="CB429" s="9">
        <f t="shared" si="1536"/>
        <v>1.5576144696639249</v>
      </c>
      <c r="CC429" s="40">
        <f t="shared" si="1431"/>
        <v>20</v>
      </c>
      <c r="CD429" s="9">
        <f t="shared" si="1406"/>
        <v>0.05</v>
      </c>
      <c r="CE429" s="9">
        <f t="shared" si="1407"/>
        <v>0.8</v>
      </c>
      <c r="CF429" s="9">
        <f t="shared" si="1408"/>
        <v>0.89777220146327208</v>
      </c>
      <c r="CG429" s="9">
        <f t="shared" si="1409"/>
        <v>0.68</v>
      </c>
      <c r="CH429" s="9">
        <f t="shared" si="1537"/>
        <v>1.3710278453315501</v>
      </c>
      <c r="CI429" s="9">
        <f t="shared" si="1538"/>
        <v>3.2323550864658164</v>
      </c>
      <c r="CJ429" s="40">
        <v>1</v>
      </c>
      <c r="CK429" s="9">
        <f t="shared" si="1539"/>
        <v>349.27774537158291</v>
      </c>
      <c r="CM429" s="4">
        <f t="shared" si="1410"/>
        <v>1.6555682834433088</v>
      </c>
      <c r="CN429" s="4">
        <f t="shared" si="1411"/>
        <v>1.4241940133982856</v>
      </c>
      <c r="CO429" s="4">
        <f t="shared" si="1376"/>
        <v>1.056751021942246</v>
      </c>
      <c r="CP429" s="4">
        <f t="shared" si="1412"/>
        <v>1.9231804683588229</v>
      </c>
      <c r="CQ429" s="4">
        <f t="shared" si="1627"/>
        <v>1.1970277979743196</v>
      </c>
      <c r="CR429" s="4">
        <f t="shared" si="1628"/>
        <v>1.2956424138648808</v>
      </c>
      <c r="CS429" s="4">
        <f t="shared" si="1377"/>
        <v>1.1621411039397247</v>
      </c>
      <c r="CT429" s="4">
        <f t="shared" si="1432"/>
        <v>12</v>
      </c>
      <c r="DA429" s="4">
        <f t="shared" ref="DA429:DB429" si="1652">CM429</f>
        <v>1.6555682834433088</v>
      </c>
      <c r="DB429" s="4">
        <f t="shared" si="1652"/>
        <v>1.4241940133982856</v>
      </c>
      <c r="DC429" s="4">
        <f t="shared" ref="DC429" si="1653">CP429</f>
        <v>1.9231804683588229</v>
      </c>
      <c r="DD429" s="4">
        <f t="shared" ref="DD429" si="1654">CS429</f>
        <v>1.1621411039397247</v>
      </c>
      <c r="DE429" s="4">
        <f t="shared" ref="DE429:DF429" si="1655">CQ429</f>
        <v>1.1970277979743196</v>
      </c>
      <c r="DF429" s="4">
        <f t="shared" si="1655"/>
        <v>1.2956424138648808</v>
      </c>
      <c r="DI429" s="4">
        <f t="shared" si="1417"/>
        <v>430.27600000000001</v>
      </c>
      <c r="DL429" s="4">
        <f t="shared" si="1588"/>
        <v>2.3155863189575028E-5</v>
      </c>
      <c r="DM429" s="4">
        <f t="shared" si="1589"/>
        <v>6.7506445941972286</v>
      </c>
      <c r="DN429" s="4">
        <f t="shared" si="1590"/>
        <v>0.53309932205670096</v>
      </c>
      <c r="DO429" s="4">
        <f t="shared" si="1591"/>
        <v>5.248902383941342</v>
      </c>
      <c r="DP429" s="4">
        <f t="shared" si="1592"/>
        <v>6.0466489501837426</v>
      </c>
      <c r="DQ429" s="4">
        <f t="shared" si="1593"/>
        <v>6.0585023027312088</v>
      </c>
      <c r="DR429" s="38">
        <f t="shared" si="1622"/>
        <v>561.16001572207881</v>
      </c>
      <c r="DS429" s="4">
        <f t="shared" si="1594"/>
        <v>1.0001247299749658</v>
      </c>
      <c r="DT429" s="4">
        <f t="shared" si="1595"/>
        <v>2.2135943621178655</v>
      </c>
      <c r="DU429" s="4">
        <f t="shared" si="1596"/>
        <v>277.49893467490006</v>
      </c>
      <c r="DY429" s="4">
        <f t="shared" si="1597"/>
        <v>0.85</v>
      </c>
      <c r="DZ429" s="4">
        <f t="shared" si="1598"/>
        <v>0.91914893617021276</v>
      </c>
      <c r="EA429" s="4">
        <f t="shared" si="1623"/>
        <v>0.9995510789195714</v>
      </c>
      <c r="EB429" s="4">
        <f t="shared" si="1599"/>
        <v>0.91873631083671248</v>
      </c>
      <c r="ED429" s="4">
        <f t="shared" si="1624"/>
        <v>518.44870987766762</v>
      </c>
      <c r="EE429" s="25">
        <f t="shared" si="1625"/>
        <v>275.13824301447386</v>
      </c>
      <c r="EG429" s="4">
        <f t="shared" si="1514"/>
        <v>0.78092586421120558</v>
      </c>
      <c r="EH429" s="4">
        <f t="shared" si="1626"/>
        <v>6.7506445941972286</v>
      </c>
      <c r="EK429" s="4">
        <f t="shared" si="1600"/>
        <v>79.277668484889219</v>
      </c>
      <c r="EL429" s="4">
        <f t="shared" si="1601"/>
        <v>2.2135943621178655</v>
      </c>
      <c r="EM429" s="4">
        <f t="shared" si="1602"/>
        <v>0.1870451967137802</v>
      </c>
      <c r="EP429" s="4">
        <f t="shared" si="1433"/>
        <v>0.1870451967137802</v>
      </c>
      <c r="EQ429" s="4">
        <f t="shared" si="1540"/>
        <v>0.53220967864439561</v>
      </c>
      <c r="ER429" s="4">
        <f t="shared" si="1603"/>
        <v>5.2453968523071453</v>
      </c>
      <c r="ES429" s="4">
        <f t="shared" si="1418"/>
        <v>6.0451284632882327</v>
      </c>
      <c r="ET429" s="4">
        <f t="shared" si="1604"/>
        <v>243.42933151511079</v>
      </c>
      <c r="EU429" s="4">
        <f t="shared" si="1605"/>
        <v>107.56900000000002</v>
      </c>
      <c r="EV429" s="4">
        <f t="shared" si="1541"/>
        <v>2.3155863189575032E-5</v>
      </c>
      <c r="EW429" s="4">
        <f t="shared" si="1419"/>
        <v>6.0587015521833836</v>
      </c>
      <c r="EX429" s="4">
        <f t="shared" si="1555"/>
        <v>561.09003097656159</v>
      </c>
      <c r="FG429" s="23">
        <f t="shared" si="1459"/>
        <v>1.8</v>
      </c>
      <c r="FH429" s="23">
        <f t="shared" si="1459"/>
        <v>1.6</v>
      </c>
      <c r="FI429" s="23">
        <f t="shared" si="1382"/>
        <v>1.2</v>
      </c>
      <c r="FJ429" s="23">
        <f t="shared" si="1460"/>
        <v>2</v>
      </c>
      <c r="FK429" s="23">
        <f t="shared" si="1460"/>
        <v>1.2</v>
      </c>
      <c r="FL429" s="23">
        <f t="shared" si="1460"/>
        <v>1.4</v>
      </c>
      <c r="FM429" s="23">
        <f t="shared" si="1629"/>
        <v>0</v>
      </c>
      <c r="FN429" s="23"/>
      <c r="FX429" s="4">
        <f t="shared" si="1500"/>
        <v>1</v>
      </c>
      <c r="FY429" s="4">
        <f t="shared" si="1561"/>
        <v>0.44214730608235164</v>
      </c>
      <c r="FZ429" s="4">
        <f t="shared" si="1501"/>
        <v>0.25149640360142855</v>
      </c>
      <c r="GA429" s="4">
        <f t="shared" si="1502"/>
        <v>578.00566183732019</v>
      </c>
    </row>
    <row r="430" spans="1:183" ht="12" customHeight="1" x14ac:dyDescent="0.3">
      <c r="A430" s="25">
        <v>412</v>
      </c>
      <c r="B430" s="4" t="s">
        <v>605</v>
      </c>
      <c r="C430" s="4">
        <v>2016</v>
      </c>
      <c r="D430" s="4" t="s">
        <v>309</v>
      </c>
      <c r="E430" s="14" t="s">
        <v>678</v>
      </c>
      <c r="F430" s="7" t="s">
        <v>582</v>
      </c>
      <c r="G430" s="38">
        <f t="shared" si="1641"/>
        <v>931.0344827586207</v>
      </c>
      <c r="H430" s="38">
        <f>14.5*25.4</f>
        <v>368.29999999999995</v>
      </c>
      <c r="I430" s="4">
        <f t="shared" si="1420"/>
        <v>368.29999999999995</v>
      </c>
      <c r="J430" s="38">
        <f>5970/145</f>
        <v>41.172413793103445</v>
      </c>
      <c r="K430" s="38">
        <f t="shared" si="1642"/>
        <v>35.813999999999993</v>
      </c>
      <c r="L430" s="7">
        <f t="shared" si="1421"/>
        <v>10.283687943262413</v>
      </c>
      <c r="M430" s="7">
        <f t="shared" si="1422"/>
        <v>10.283687943262413</v>
      </c>
      <c r="N430" s="38">
        <f>21.7*25.4</f>
        <v>551.17999999999995</v>
      </c>
      <c r="O430" s="38">
        <f>2.55*25.4</f>
        <v>64.77</v>
      </c>
      <c r="P430" s="39">
        <f>3.3*25.4</f>
        <v>83.82</v>
      </c>
      <c r="Q430" s="7">
        <f t="shared" si="1423"/>
        <v>350.01199999999994</v>
      </c>
      <c r="R430" s="38">
        <v>2</v>
      </c>
      <c r="S430" s="4">
        <f t="shared" si="1493"/>
        <v>508</v>
      </c>
      <c r="T430" s="7">
        <f t="shared" si="1424"/>
        <v>2.3085106382978724</v>
      </c>
      <c r="U430" s="7">
        <f t="shared" si="1548"/>
        <v>2.3085106382978724</v>
      </c>
      <c r="V430" s="38">
        <v>8.6</v>
      </c>
      <c r="W430" s="4">
        <f t="shared" si="1425"/>
        <v>8.6</v>
      </c>
      <c r="X430" s="4">
        <f t="shared" si="1426"/>
        <v>9.6</v>
      </c>
      <c r="Y430" s="7">
        <f t="shared" si="1427"/>
        <v>110.96562044885792</v>
      </c>
      <c r="AB430" s="38">
        <f t="shared" si="1461"/>
        <v>366.20689655172418</v>
      </c>
      <c r="AC430" s="4">
        <v>53.1</v>
      </c>
      <c r="AD430" s="4">
        <f t="shared" si="1587"/>
        <v>0.75774169091366828</v>
      </c>
      <c r="AE430" s="38">
        <v>0</v>
      </c>
      <c r="AF430" s="38">
        <v>0</v>
      </c>
      <c r="AG430" s="39">
        <f t="shared" ref="AG430" si="1656">I430</f>
        <v>368.29999999999995</v>
      </c>
      <c r="AH430" s="39"/>
      <c r="AI430" s="39"/>
      <c r="AJ430" s="7"/>
      <c r="AK430" s="4">
        <f t="shared" si="1429"/>
        <v>368.29999999999995</v>
      </c>
      <c r="AL430" s="4">
        <f t="shared" si="1607"/>
        <v>0.49885057471264377</v>
      </c>
      <c r="AM430" s="4">
        <f t="shared" si="1608"/>
        <v>225.10244237578763</v>
      </c>
      <c r="AN430" s="4">
        <f t="shared" si="1609"/>
        <v>0.74489655172413793</v>
      </c>
      <c r="AO430" s="4">
        <v>1.25</v>
      </c>
      <c r="AP430" s="4">
        <f t="shared" si="1520"/>
        <v>2.5</v>
      </c>
      <c r="AQ430" s="38">
        <f t="shared" si="1398"/>
        <v>261.39463494941117</v>
      </c>
      <c r="AR430" s="38">
        <f t="shared" si="1610"/>
        <v>261.39463494941117</v>
      </c>
      <c r="AS430" s="38">
        <f t="shared" si="1611"/>
        <v>3.5770538153249696</v>
      </c>
      <c r="AT430" s="38">
        <f t="shared" si="1533"/>
        <v>261.39463494941111</v>
      </c>
      <c r="AU430" s="38">
        <f t="shared" si="1495"/>
        <v>1.0000000000000002</v>
      </c>
      <c r="AV430" s="38">
        <f t="shared" si="1534"/>
        <v>2.1326557642509187</v>
      </c>
      <c r="AW430" s="4">
        <f t="shared" si="1535"/>
        <v>0</v>
      </c>
      <c r="AX430" s="4">
        <f t="shared" si="1430"/>
        <v>347.29493782373595</v>
      </c>
      <c r="AY430" s="4">
        <f t="shared" si="1399"/>
        <v>1</v>
      </c>
      <c r="AZ430" s="38">
        <f t="shared" si="1542"/>
        <v>557.46477496912632</v>
      </c>
      <c r="BA430" s="4">
        <f t="shared" si="1400"/>
        <v>0.3</v>
      </c>
      <c r="BB430" s="4">
        <f t="shared" si="1401"/>
        <v>54.438481503870605</v>
      </c>
      <c r="BC430" s="4">
        <f t="shared" si="1402"/>
        <v>611.90325647299687</v>
      </c>
      <c r="BE430" s="4">
        <f t="shared" si="1521"/>
        <v>1.2021276595744681</v>
      </c>
      <c r="BF430" s="4">
        <f t="shared" si="1527"/>
        <v>469.37713472743013</v>
      </c>
      <c r="BH430" s="4">
        <f t="shared" si="1549"/>
        <v>534.67689269503751</v>
      </c>
      <c r="BI430" s="4">
        <f t="shared" si="1481"/>
        <v>0</v>
      </c>
      <c r="BJ430" s="4">
        <f t="shared" si="1550"/>
        <v>0</v>
      </c>
      <c r="BK430" s="4">
        <f t="shared" si="1612"/>
        <v>64.77</v>
      </c>
      <c r="BL430" s="4">
        <f t="shared" si="1613"/>
        <v>64.77</v>
      </c>
      <c r="BM430" s="4">
        <f t="shared" si="1614"/>
        <v>508</v>
      </c>
      <c r="BN430" s="4">
        <f t="shared" si="1615"/>
        <v>82.676999999999992</v>
      </c>
      <c r="BO430" s="4">
        <f t="shared" si="1616"/>
        <v>1.25</v>
      </c>
      <c r="BP430" s="25">
        <f t="shared" si="1617"/>
        <v>2.8856382978723407</v>
      </c>
      <c r="BR430" s="4">
        <f t="shared" si="1403"/>
        <v>64.77</v>
      </c>
      <c r="BV430" s="9"/>
      <c r="BX430" s="9"/>
      <c r="BY430" s="9"/>
      <c r="BZ430" s="9">
        <f t="shared" si="1404"/>
        <v>64.77</v>
      </c>
      <c r="CA430" s="9">
        <f t="shared" si="1405"/>
        <v>175.00599999999997</v>
      </c>
      <c r="CB430" s="9">
        <f t="shared" si="1536"/>
        <v>1.561034100003972</v>
      </c>
      <c r="CC430" s="40">
        <f t="shared" si="1431"/>
        <v>20</v>
      </c>
      <c r="CD430" s="9">
        <f t="shared" si="1406"/>
        <v>0</v>
      </c>
      <c r="CE430" s="9">
        <f t="shared" si="1407"/>
        <v>0</v>
      </c>
      <c r="CF430" s="9">
        <f t="shared" si="1408"/>
        <v>0.89777220146327208</v>
      </c>
      <c r="CG430" s="9">
        <f t="shared" si="1409"/>
        <v>0.68</v>
      </c>
      <c r="CH430" s="9">
        <f t="shared" si="1537"/>
        <v>1.3710278453315501</v>
      </c>
      <c r="CI430" s="9">
        <f t="shared" si="1538"/>
        <v>2.1402212186175213</v>
      </c>
      <c r="CJ430" s="40">
        <v>1</v>
      </c>
      <c r="CK430" s="9">
        <f t="shared" si="1539"/>
        <v>216.45074168429687</v>
      </c>
      <c r="CM430" s="4">
        <f t="shared" si="1410"/>
        <v>1.0544550371119625</v>
      </c>
      <c r="CN430" s="4">
        <f t="shared" si="1411"/>
        <v>0.59847188698183496</v>
      </c>
      <c r="CO430" s="4">
        <f t="shared" si="1376"/>
        <v>0.78019756280710717</v>
      </c>
      <c r="CP430" s="4">
        <f t="shared" si="1412"/>
        <v>1.6918717566043429</v>
      </c>
      <c r="CQ430" s="4">
        <f t="shared" si="1627"/>
        <v>0.75774169091366828</v>
      </c>
      <c r="CR430" s="4">
        <f t="shared" si="1628"/>
        <v>0.78437925291382093</v>
      </c>
      <c r="CS430" s="4">
        <f t="shared" si="1377"/>
        <v>0.83703352176496904</v>
      </c>
      <c r="CT430" s="4">
        <f t="shared" si="1432"/>
        <v>0</v>
      </c>
      <c r="CU430" s="4">
        <f t="shared" ref="CU430:CV430" si="1657">CM430</f>
        <v>1.0544550371119625</v>
      </c>
      <c r="CV430" s="4">
        <f t="shared" si="1657"/>
        <v>0.59847188698183496</v>
      </c>
      <c r="CW430" s="4">
        <f t="shared" ref="CW430" si="1658">CP430</f>
        <v>1.6918717566043429</v>
      </c>
      <c r="CX430" s="4">
        <f t="shared" ref="CX430" si="1659">CS430</f>
        <v>0.83703352176496904</v>
      </c>
      <c r="CY430" s="4">
        <f t="shared" ref="CY430:CZ430" si="1660">CQ430</f>
        <v>0.75774169091366828</v>
      </c>
      <c r="CZ430" s="4">
        <f t="shared" si="1660"/>
        <v>0.78437925291382093</v>
      </c>
      <c r="DI430" s="4">
        <f t="shared" si="1417"/>
        <v>368.29999999999995</v>
      </c>
      <c r="DL430" s="4">
        <f t="shared" si="1588"/>
        <v>1.9820544052469766E-5</v>
      </c>
      <c r="DM430" s="4">
        <f t="shared" si="1589"/>
        <v>6.747614087532412</v>
      </c>
      <c r="DN430" s="4">
        <f t="shared" si="1590"/>
        <v>0.31874781170116245</v>
      </c>
      <c r="DO430" s="4">
        <f t="shared" si="1591"/>
        <v>4.2709955706034792</v>
      </c>
      <c r="DP430" s="4">
        <f t="shared" si="1592"/>
        <v>5.6474194433333995</v>
      </c>
      <c r="DQ430" s="4">
        <f t="shared" si="1593"/>
        <v>6.2937040988749562</v>
      </c>
      <c r="DR430" s="38">
        <f t="shared" si="1622"/>
        <v>483.28724807283595</v>
      </c>
      <c r="DS430" s="4">
        <f t="shared" si="1594"/>
        <v>1.0001114384707104</v>
      </c>
      <c r="DT430" s="4">
        <f t="shared" si="1595"/>
        <v>3.0983866769659336</v>
      </c>
      <c r="DU430" s="4">
        <f t="shared" si="1596"/>
        <v>261.39463494941111</v>
      </c>
      <c r="DY430" s="4">
        <f t="shared" si="1597"/>
        <v>0.85</v>
      </c>
      <c r="DZ430" s="4">
        <f t="shared" si="1598"/>
        <v>0.91914893617021276</v>
      </c>
      <c r="EA430" s="4">
        <f t="shared" si="1623"/>
        <v>1</v>
      </c>
      <c r="EB430" s="4">
        <f t="shared" si="1599"/>
        <v>0.91914893617021276</v>
      </c>
      <c r="ED430" s="4">
        <f t="shared" si="1624"/>
        <v>466.87478689847376</v>
      </c>
      <c r="EE430" s="25">
        <f t="shared" si="1625"/>
        <v>258.70371398523974</v>
      </c>
      <c r="EG430" s="4">
        <f t="shared" si="1514"/>
        <v>0.78127659574468078</v>
      </c>
      <c r="EH430" s="4">
        <f t="shared" si="1626"/>
        <v>6.747614087532412</v>
      </c>
      <c r="EK430" s="4">
        <f t="shared" si="1600"/>
        <v>110.96562044885792</v>
      </c>
      <c r="EL430" s="4">
        <f t="shared" si="1601"/>
        <v>3.0983866769659336</v>
      </c>
      <c r="EM430" s="4">
        <f t="shared" si="1602"/>
        <v>0.11183703425417155</v>
      </c>
      <c r="EP430" s="4">
        <f t="shared" si="1433"/>
        <v>0.11183703425417155</v>
      </c>
      <c r="EQ430" s="4">
        <f t="shared" si="1540"/>
        <v>0.31821588100994969</v>
      </c>
      <c r="ER430" s="4">
        <f t="shared" si="1603"/>
        <v>4.2681431437555215</v>
      </c>
      <c r="ES430" s="4">
        <f t="shared" si="1418"/>
        <v>5.6463444393818696</v>
      </c>
      <c r="ET430" s="4">
        <f t="shared" si="1604"/>
        <v>165.25937955114205</v>
      </c>
      <c r="EU430" s="4">
        <f t="shared" si="1605"/>
        <v>92.074999999999989</v>
      </c>
      <c r="EV430" s="4">
        <f t="shared" si="1541"/>
        <v>1.9820544052469766E-5</v>
      </c>
      <c r="EW430" s="4">
        <f t="shared" si="1419"/>
        <v>6.2938346744457556</v>
      </c>
      <c r="EX430" s="4">
        <f t="shared" si="1555"/>
        <v>483.23339728204667</v>
      </c>
      <c r="FG430" s="23">
        <f t="shared" si="1459"/>
        <v>1.2</v>
      </c>
      <c r="FH430" s="23">
        <f t="shared" si="1459"/>
        <v>0.6</v>
      </c>
      <c r="FI430" s="23">
        <f t="shared" si="1382"/>
        <v>1</v>
      </c>
      <c r="FJ430" s="23">
        <f t="shared" si="1460"/>
        <v>1.8</v>
      </c>
      <c r="FK430" s="23">
        <f t="shared" si="1460"/>
        <v>0.8</v>
      </c>
      <c r="FL430" s="23">
        <f t="shared" si="1460"/>
        <v>0.8</v>
      </c>
      <c r="FM430" s="23">
        <f t="shared" si="1629"/>
        <v>1</v>
      </c>
      <c r="FN430" s="23"/>
      <c r="FX430" s="4">
        <f t="shared" si="1500"/>
        <v>1</v>
      </c>
      <c r="FY430" s="4">
        <f t="shared" si="1561"/>
        <v>0.5</v>
      </c>
      <c r="FZ430" s="4">
        <f t="shared" si="1501"/>
        <v>0</v>
      </c>
      <c r="GA430" s="4">
        <f t="shared" si="1502"/>
        <v>437.50565184001266</v>
      </c>
    </row>
    <row r="431" spans="1:183" ht="12" customHeight="1" x14ac:dyDescent="0.3">
      <c r="A431" s="25">
        <v>413</v>
      </c>
      <c r="B431" s="4" t="s">
        <v>605</v>
      </c>
      <c r="C431" s="4">
        <v>2016</v>
      </c>
      <c r="D431" s="4" t="s">
        <v>309</v>
      </c>
      <c r="E431" s="14" t="s">
        <v>678</v>
      </c>
      <c r="F431" s="7" t="s">
        <v>583</v>
      </c>
      <c r="G431" s="38">
        <f t="shared" si="1641"/>
        <v>931.0344827586207</v>
      </c>
      <c r="H431" s="38">
        <f>14.63*25.4</f>
        <v>371.60199999999998</v>
      </c>
      <c r="I431" s="4">
        <f t="shared" si="1420"/>
        <v>371.60199999999998</v>
      </c>
      <c r="J431" s="38">
        <f>5970/145</f>
        <v>41.172413793103445</v>
      </c>
      <c r="K431" s="38">
        <f t="shared" si="1642"/>
        <v>35.813999999999993</v>
      </c>
      <c r="L431" s="7">
        <f t="shared" si="1421"/>
        <v>10.375886524822697</v>
      </c>
      <c r="M431" s="7">
        <f t="shared" si="1422"/>
        <v>10.375886524822697</v>
      </c>
      <c r="N431" s="38">
        <f>21.5*25.4</f>
        <v>546.1</v>
      </c>
      <c r="O431" s="38">
        <f>2.6*25.4</f>
        <v>66.039999999999992</v>
      </c>
      <c r="P431" s="39">
        <f>3.5*25.4</f>
        <v>88.899999999999991</v>
      </c>
      <c r="Q431" s="7">
        <f t="shared" si="1423"/>
        <v>342.39200000000005</v>
      </c>
      <c r="R431" s="38">
        <v>2</v>
      </c>
      <c r="S431" s="4">
        <f t="shared" si="1493"/>
        <v>508</v>
      </c>
      <c r="T431" s="7">
        <f t="shared" si="1424"/>
        <v>2.3439716312056742</v>
      </c>
      <c r="U431" s="7">
        <f t="shared" si="1548"/>
        <v>2.3439716312056742</v>
      </c>
      <c r="V431" s="38">
        <v>8.6</v>
      </c>
      <c r="W431" s="4">
        <f t="shared" si="1425"/>
        <v>8.6</v>
      </c>
      <c r="X431" s="4">
        <f t="shared" si="1426"/>
        <v>9.6</v>
      </c>
      <c r="Y431" s="7">
        <f t="shared" si="1427"/>
        <v>110.96562044885792</v>
      </c>
      <c r="AB431" s="38">
        <f t="shared" si="1461"/>
        <v>496.55172413793105</v>
      </c>
      <c r="AC431" s="4">
        <v>72</v>
      </c>
      <c r="AD431" s="4">
        <f t="shared" si="1587"/>
        <v>1.0238289667935871</v>
      </c>
      <c r="AE431" s="38">
        <f t="shared" si="1630"/>
        <v>12.7</v>
      </c>
      <c r="AF431" s="38">
        <v>12</v>
      </c>
      <c r="AG431" s="39">
        <f>4*25.4</f>
        <v>101.6</v>
      </c>
      <c r="AH431" s="39">
        <v>2</v>
      </c>
      <c r="AI431" s="39">
        <f>AH431-1</f>
        <v>1</v>
      </c>
      <c r="AJ431" s="7"/>
      <c r="AK431" s="4">
        <f t="shared" si="1429"/>
        <v>371.60199999999998</v>
      </c>
      <c r="AL431" s="4">
        <f t="shared" si="1607"/>
        <v>0.48986101617680572</v>
      </c>
      <c r="AM431" s="4">
        <f t="shared" si="1608"/>
        <v>228.13645720575076</v>
      </c>
      <c r="AN431" s="4">
        <f t="shared" si="1609"/>
        <v>0.74518113465481883</v>
      </c>
      <c r="AO431" s="4">
        <v>1.25</v>
      </c>
      <c r="AP431" s="4">
        <f t="shared" si="1520"/>
        <v>2.5</v>
      </c>
      <c r="AQ431" s="38">
        <f t="shared" si="1398"/>
        <v>260.24323285410298</v>
      </c>
      <c r="AR431" s="38">
        <f t="shared" si="1610"/>
        <v>260.24323285410298</v>
      </c>
      <c r="AS431" s="38">
        <f t="shared" si="1611"/>
        <v>3.5770538153249696</v>
      </c>
      <c r="AT431" s="38">
        <f t="shared" si="1533"/>
        <v>260.24323285410264</v>
      </c>
      <c r="AU431" s="38">
        <f t="shared" si="1495"/>
        <v>1.0000000000000013</v>
      </c>
      <c r="AV431" s="38">
        <f t="shared" si="1534"/>
        <v>2.1749959672351045</v>
      </c>
      <c r="AW431" s="4">
        <f t="shared" si="1535"/>
        <v>0</v>
      </c>
      <c r="AX431" s="4">
        <f t="shared" si="1430"/>
        <v>350.40861657663839</v>
      </c>
      <c r="AY431" s="4">
        <f t="shared" si="1399"/>
        <v>1</v>
      </c>
      <c r="AZ431" s="38">
        <f t="shared" si="1542"/>
        <v>566.02798195789944</v>
      </c>
      <c r="BA431" s="4">
        <f t="shared" si="1400"/>
        <v>0.3</v>
      </c>
      <c r="BB431" s="4">
        <f t="shared" si="1401"/>
        <v>54.926550648388073</v>
      </c>
      <c r="BC431" s="4">
        <f t="shared" si="1402"/>
        <v>620.95453260628756</v>
      </c>
      <c r="BE431" s="4">
        <f t="shared" si="1521"/>
        <v>1.5</v>
      </c>
      <c r="BF431" s="4">
        <f t="shared" si="1527"/>
        <v>588.34516875468432</v>
      </c>
      <c r="BH431" s="4">
        <f t="shared" si="1549"/>
        <v>542.89005540924711</v>
      </c>
      <c r="BI431" s="4">
        <f t="shared" si="1481"/>
        <v>0</v>
      </c>
      <c r="BJ431" s="4">
        <f t="shared" si="1550"/>
        <v>0</v>
      </c>
      <c r="BK431" s="4">
        <f t="shared" si="1612"/>
        <v>66.039999999999992</v>
      </c>
      <c r="BL431" s="4">
        <f t="shared" si="1613"/>
        <v>66.039999999999992</v>
      </c>
      <c r="BM431" s="4">
        <f t="shared" si="1614"/>
        <v>508</v>
      </c>
      <c r="BN431" s="4">
        <f t="shared" si="1615"/>
        <v>83.946999999999989</v>
      </c>
      <c r="BO431" s="4">
        <f t="shared" si="1616"/>
        <v>1.25</v>
      </c>
      <c r="BP431" s="25">
        <f t="shared" si="1617"/>
        <v>4</v>
      </c>
      <c r="BR431" s="4">
        <f t="shared" si="1403"/>
        <v>66.039999999999992</v>
      </c>
      <c r="BV431" s="9"/>
      <c r="BX431" s="9"/>
      <c r="BY431" s="9"/>
      <c r="BZ431" s="9">
        <f t="shared" si="1404"/>
        <v>66.039999999999992</v>
      </c>
      <c r="CA431" s="9">
        <f t="shared" si="1405"/>
        <v>171.19600000000003</v>
      </c>
      <c r="CB431" s="9">
        <f t="shared" si="1536"/>
        <v>1.5664989205143935</v>
      </c>
      <c r="CC431" s="40">
        <f t="shared" si="1431"/>
        <v>20</v>
      </c>
      <c r="CD431" s="9">
        <f t="shared" si="1406"/>
        <v>0.05</v>
      </c>
      <c r="CE431" s="9">
        <f t="shared" si="1407"/>
        <v>0.8</v>
      </c>
      <c r="CF431" s="9">
        <f t="shared" si="1408"/>
        <v>0.89777220146327208</v>
      </c>
      <c r="CG431" s="9">
        <f t="shared" si="1409"/>
        <v>0.68</v>
      </c>
      <c r="CH431" s="9">
        <f t="shared" si="1537"/>
        <v>1.3710278453315501</v>
      </c>
      <c r="CI431" s="9">
        <f t="shared" si="1538"/>
        <v>3.2445359159722882</v>
      </c>
      <c r="CJ431" s="40">
        <v>1</v>
      </c>
      <c r="CK431" s="9">
        <f t="shared" si="1539"/>
        <v>329.33190091769779</v>
      </c>
      <c r="CM431" s="4">
        <f t="shared" si="1410"/>
        <v>1.417064822746245</v>
      </c>
      <c r="CN431" s="4">
        <f t="shared" si="1411"/>
        <v>0.79965874804680204</v>
      </c>
      <c r="CO431" s="4">
        <f t="shared" si="1376"/>
        <v>0.8439802865874686</v>
      </c>
      <c r="CP431" s="4">
        <f t="shared" si="1412"/>
        <v>1.5077547081053122</v>
      </c>
      <c r="CQ431" s="4">
        <f t="shared" si="1627"/>
        <v>1.0238289667935871</v>
      </c>
      <c r="CR431" s="4">
        <f t="shared" si="1628"/>
        <v>1.059782127050285</v>
      </c>
      <c r="CS431" s="4">
        <f t="shared" si="1377"/>
        <v>0.99472144636362514</v>
      </c>
      <c r="CT431" s="4">
        <f t="shared" si="1432"/>
        <v>12</v>
      </c>
      <c r="DA431" s="4">
        <f t="shared" ref="DA431:DB431" si="1661">CM431</f>
        <v>1.417064822746245</v>
      </c>
      <c r="DB431" s="4">
        <f t="shared" si="1661"/>
        <v>0.79965874804680204</v>
      </c>
      <c r="DC431" s="4">
        <f t="shared" ref="DC431" si="1662">CP431</f>
        <v>1.5077547081053122</v>
      </c>
      <c r="DD431" s="4">
        <f t="shared" ref="DD431" si="1663">CS431</f>
        <v>0.99472144636362514</v>
      </c>
      <c r="DE431" s="4">
        <f t="shared" ref="DE431:DF431" si="1664">CQ431</f>
        <v>1.0238289667935871</v>
      </c>
      <c r="DF431" s="4">
        <f t="shared" si="1664"/>
        <v>1.059782127050285</v>
      </c>
      <c r="DI431" s="4">
        <f t="shared" si="1417"/>
        <v>371.60199999999998</v>
      </c>
      <c r="DL431" s="4">
        <f t="shared" si="1588"/>
        <v>1.9998245481905705E-5</v>
      </c>
      <c r="DM431" s="4">
        <f t="shared" si="1589"/>
        <v>6.7767896158633691</v>
      </c>
      <c r="DN431" s="4">
        <f t="shared" si="1590"/>
        <v>0.31734377791776541</v>
      </c>
      <c r="DO431" s="4">
        <f t="shared" si="1591"/>
        <v>4.2818948513947275</v>
      </c>
      <c r="DP431" s="4">
        <f t="shared" si="1592"/>
        <v>5.668986978278669</v>
      </c>
      <c r="DQ431" s="4">
        <f t="shared" si="1593"/>
        <v>6.310811171007674</v>
      </c>
      <c r="DR431" s="38">
        <f t="shared" si="1622"/>
        <v>484.99479917336646</v>
      </c>
      <c r="DS431" s="4">
        <f t="shared" si="1594"/>
        <v>1.0001118147189711</v>
      </c>
      <c r="DT431" s="4">
        <f t="shared" si="1595"/>
        <v>3.0983866769659336</v>
      </c>
      <c r="DU431" s="4">
        <f t="shared" si="1596"/>
        <v>260.24323285410264</v>
      </c>
      <c r="DY431" s="4">
        <f t="shared" si="1597"/>
        <v>0.85</v>
      </c>
      <c r="DZ431" s="4">
        <f t="shared" si="1598"/>
        <v>0.91560283687943256</v>
      </c>
      <c r="EA431" s="4">
        <f t="shared" si="1623"/>
        <v>0.9995510789195714</v>
      </c>
      <c r="EB431" s="4">
        <f t="shared" si="1599"/>
        <v>0.91519180346465712</v>
      </c>
      <c r="ED431" s="4">
        <f t="shared" si="1624"/>
        <v>468.54132699896951</v>
      </c>
      <c r="EE431" s="25">
        <f t="shared" si="1625"/>
        <v>257.59572682858419</v>
      </c>
      <c r="EG431" s="4">
        <f t="shared" si="1514"/>
        <v>0.7779130329449585</v>
      </c>
      <c r="EH431" s="4">
        <f t="shared" si="1626"/>
        <v>6.7767896158633691</v>
      </c>
      <c r="EK431" s="4">
        <f t="shared" si="1600"/>
        <v>110.96562044885792</v>
      </c>
      <c r="EL431" s="4">
        <f t="shared" si="1601"/>
        <v>3.0983866769659336</v>
      </c>
      <c r="EM431" s="4">
        <f t="shared" si="1602"/>
        <v>0.11134440977625042</v>
      </c>
      <c r="EP431" s="4">
        <f t="shared" si="1433"/>
        <v>0.11134440977625042</v>
      </c>
      <c r="EQ431" s="4">
        <f t="shared" si="1540"/>
        <v>0.31681419029726077</v>
      </c>
      <c r="ER431" s="4">
        <f t="shared" si="1603"/>
        <v>4.2790351453537481</v>
      </c>
      <c r="ES431" s="4">
        <f t="shared" si="1418"/>
        <v>5.6679106328475442</v>
      </c>
      <c r="ET431" s="4">
        <f t="shared" si="1604"/>
        <v>167.73587955114209</v>
      </c>
      <c r="EU431" s="4">
        <f t="shared" si="1605"/>
        <v>92.900499999999965</v>
      </c>
      <c r="EV431" s="4">
        <f t="shared" si="1541"/>
        <v>1.9998245481905698E-5</v>
      </c>
      <c r="EW431" s="4">
        <f t="shared" si="1419"/>
        <v>6.3109444399085284</v>
      </c>
      <c r="EX431" s="4">
        <f t="shared" si="1555"/>
        <v>484.94057567917923</v>
      </c>
      <c r="FG431" s="23">
        <f t="shared" si="1459"/>
        <v>1.6</v>
      </c>
      <c r="FH431" s="23">
        <f t="shared" si="1459"/>
        <v>0.8</v>
      </c>
      <c r="FI431" s="23">
        <f t="shared" si="1382"/>
        <v>1</v>
      </c>
      <c r="FJ431" s="23">
        <f t="shared" si="1460"/>
        <v>1.6</v>
      </c>
      <c r="FK431" s="23">
        <f t="shared" si="1460"/>
        <v>1.2</v>
      </c>
      <c r="FL431" s="23">
        <f t="shared" si="1460"/>
        <v>1.2</v>
      </c>
      <c r="FM431" s="23">
        <f t="shared" si="1629"/>
        <v>0</v>
      </c>
      <c r="FN431" s="23"/>
      <c r="FX431" s="4">
        <f t="shared" si="1500"/>
        <v>1</v>
      </c>
      <c r="FY431" s="4">
        <f t="shared" si="1561"/>
        <v>0.44214730608235164</v>
      </c>
      <c r="FZ431" s="4">
        <f t="shared" si="1501"/>
        <v>0.25149640360142855</v>
      </c>
      <c r="GA431" s="4">
        <f t="shared" si="1502"/>
        <v>499.18670795041271</v>
      </c>
    </row>
    <row r="432" spans="1:183" ht="12" customHeight="1" x14ac:dyDescent="0.3">
      <c r="A432" s="25">
        <v>414</v>
      </c>
      <c r="B432" s="4" t="s">
        <v>605</v>
      </c>
      <c r="C432" s="4">
        <v>2016</v>
      </c>
      <c r="D432" s="4" t="s">
        <v>309</v>
      </c>
      <c r="E432" s="14" t="s">
        <v>678</v>
      </c>
      <c r="F432" s="7" t="s">
        <v>584</v>
      </c>
      <c r="G432" s="38">
        <f t="shared" si="1641"/>
        <v>931.0344827586207</v>
      </c>
      <c r="H432" s="38">
        <f>14.71*25.4</f>
        <v>373.63400000000001</v>
      </c>
      <c r="I432" s="4">
        <f t="shared" si="1420"/>
        <v>373.63400000000001</v>
      </c>
      <c r="J432" s="38">
        <f>6240/145</f>
        <v>43.03448275862069</v>
      </c>
      <c r="K432" s="38">
        <f t="shared" si="1642"/>
        <v>35.813999999999993</v>
      </c>
      <c r="L432" s="7">
        <f t="shared" si="1421"/>
        <v>10.43262411347518</v>
      </c>
      <c r="M432" s="7">
        <f t="shared" si="1422"/>
        <v>10.43262411347518</v>
      </c>
      <c r="N432" s="38">
        <f>21.3*25.4</f>
        <v>541.02</v>
      </c>
      <c r="O432" s="38">
        <f>2.55*25.4</f>
        <v>64.77</v>
      </c>
      <c r="P432" s="39">
        <f>3.1*25.4</f>
        <v>78.739999999999995</v>
      </c>
      <c r="Q432" s="7">
        <f t="shared" si="1423"/>
        <v>152.01900000000001</v>
      </c>
      <c r="R432" s="38">
        <v>3</v>
      </c>
      <c r="S432" s="4">
        <f t="shared" si="1493"/>
        <v>508</v>
      </c>
      <c r="T432" s="7">
        <f t="shared" si="1424"/>
        <v>2.3085106382978724</v>
      </c>
      <c r="U432" s="7">
        <f t="shared" si="1548"/>
        <v>2.3085106382978724</v>
      </c>
      <c r="V432" s="38">
        <v>8.6</v>
      </c>
      <c r="W432" s="4">
        <f t="shared" si="1425"/>
        <v>8.6</v>
      </c>
      <c r="X432" s="4">
        <f t="shared" si="1426"/>
        <v>9.6</v>
      </c>
      <c r="Y432" s="7">
        <f t="shared" si="1427"/>
        <v>110.96562044885792</v>
      </c>
      <c r="AB432" s="38">
        <f t="shared" si="1461"/>
        <v>287.58620689655174</v>
      </c>
      <c r="AC432" s="4">
        <v>41.7</v>
      </c>
      <c r="AD432" s="4">
        <f t="shared" si="1587"/>
        <v>0.73182258163771818</v>
      </c>
      <c r="AE432" s="38">
        <v>0</v>
      </c>
      <c r="AF432" s="38">
        <v>0</v>
      </c>
      <c r="AG432" s="39">
        <f t="shared" ref="AG432" si="1665">I432</f>
        <v>373.63400000000001</v>
      </c>
      <c r="AH432" s="39"/>
      <c r="AI432" s="39"/>
      <c r="AJ432" s="7"/>
      <c r="AK432" s="4">
        <f t="shared" si="1429"/>
        <v>373.63400000000001</v>
      </c>
      <c r="AL432" s="4">
        <f t="shared" si="1607"/>
        <v>0.48266485384092445</v>
      </c>
      <c r="AM432" s="4">
        <f t="shared" si="1608"/>
        <v>156.76932308663888</v>
      </c>
      <c r="AN432" s="4">
        <f t="shared" si="1609"/>
        <v>0.74425560842963967</v>
      </c>
      <c r="AO432" s="4">
        <v>1.25</v>
      </c>
      <c r="AP432" s="4">
        <f t="shared" si="1520"/>
        <v>2.5</v>
      </c>
      <c r="AQ432" s="38">
        <f t="shared" si="1398"/>
        <v>175.98631465676814</v>
      </c>
      <c r="AR432" s="38">
        <f t="shared" si="1610"/>
        <v>175.98631465676814</v>
      </c>
      <c r="AS432" s="38">
        <f t="shared" si="1611"/>
        <v>3.684107660000056</v>
      </c>
      <c r="AT432" s="38">
        <f t="shared" si="1533"/>
        <v>175.98631465676814</v>
      </c>
      <c r="AU432" s="38">
        <f t="shared" si="1495"/>
        <v>1</v>
      </c>
      <c r="AV432" s="38">
        <f t="shared" si="1534"/>
        <v>3.3109208000229291</v>
      </c>
      <c r="AW432" s="4">
        <f t="shared" si="1535"/>
        <v>0</v>
      </c>
      <c r="AX432" s="4">
        <f t="shared" si="1430"/>
        <v>360.2037690712994</v>
      </c>
      <c r="AY432" s="4">
        <f t="shared" si="1399"/>
        <v>1</v>
      </c>
      <c r="AZ432" s="38">
        <f t="shared" si="1542"/>
        <v>582.67674971647375</v>
      </c>
      <c r="BA432" s="4">
        <f t="shared" si="1400"/>
        <v>0.3</v>
      </c>
      <c r="BB432" s="4">
        <f t="shared" si="1401"/>
        <v>56.461940801926183</v>
      </c>
      <c r="BC432" s="4">
        <f t="shared" si="1402"/>
        <v>639.13869051839993</v>
      </c>
      <c r="BE432" s="4">
        <f t="shared" si="1521"/>
        <v>1.2021276595744681</v>
      </c>
      <c r="BF432" s="4">
        <f t="shared" si="1527"/>
        <v>483.39737080367365</v>
      </c>
      <c r="BH432" s="4">
        <f t="shared" si="1549"/>
        <v>558.8582597013459</v>
      </c>
      <c r="BI432" s="4">
        <f t="shared" si="1481"/>
        <v>0</v>
      </c>
      <c r="BJ432" s="4">
        <f t="shared" si="1550"/>
        <v>0</v>
      </c>
      <c r="BK432" s="4">
        <f t="shared" si="1612"/>
        <v>64.77</v>
      </c>
      <c r="BL432" s="4">
        <f t="shared" si="1613"/>
        <v>64.77</v>
      </c>
      <c r="BM432" s="4">
        <f t="shared" si="1614"/>
        <v>508</v>
      </c>
      <c r="BN432" s="4">
        <f t="shared" si="1615"/>
        <v>82.676999999999992</v>
      </c>
      <c r="BO432" s="4">
        <f t="shared" si="1616"/>
        <v>1.25</v>
      </c>
      <c r="BP432" s="25">
        <f t="shared" si="1617"/>
        <v>2.8856382978723407</v>
      </c>
      <c r="BR432" s="4">
        <f t="shared" si="1403"/>
        <v>64.77</v>
      </c>
      <c r="BV432" s="9"/>
      <c r="BX432" s="9"/>
      <c r="BY432" s="9"/>
      <c r="BZ432" s="9">
        <f t="shared" si="1404"/>
        <v>64.77</v>
      </c>
      <c r="CA432" s="9">
        <f t="shared" si="1405"/>
        <v>76.009500000000003</v>
      </c>
      <c r="CB432" s="9">
        <f t="shared" si="1536"/>
        <v>1.3774778709669167</v>
      </c>
      <c r="CC432" s="40">
        <f t="shared" si="1431"/>
        <v>20</v>
      </c>
      <c r="CD432" s="9">
        <f t="shared" si="1406"/>
        <v>0</v>
      </c>
      <c r="CE432" s="9">
        <f t="shared" si="1407"/>
        <v>0</v>
      </c>
      <c r="CF432" s="9">
        <f t="shared" si="1408"/>
        <v>0.89777220146327208</v>
      </c>
      <c r="CG432" s="9">
        <f t="shared" si="1409"/>
        <v>0.68</v>
      </c>
      <c r="CH432" s="9">
        <f t="shared" si="1537"/>
        <v>1.4016881590631138</v>
      </c>
      <c r="CI432" s="9">
        <f t="shared" si="1538"/>
        <v>1.9307944211057948</v>
      </c>
      <c r="CJ432" s="40">
        <v>1</v>
      </c>
      <c r="CK432" s="9">
        <f t="shared" si="1539"/>
        <v>196.42067500951435</v>
      </c>
      <c r="CM432" s="4">
        <f t="shared" si="1410"/>
        <v>0.79839866095245215</v>
      </c>
      <c r="CN432" s="4">
        <f t="shared" si="1411"/>
        <v>0.44995900132926242</v>
      </c>
      <c r="CO432" s="4">
        <f t="shared" si="1376"/>
        <v>0.59492712262465242</v>
      </c>
      <c r="CP432" s="4">
        <f t="shared" si="1412"/>
        <v>1.4641340932293478</v>
      </c>
      <c r="CQ432" s="4">
        <f t="shared" si="1627"/>
        <v>0.73182258163771818</v>
      </c>
      <c r="CR432" s="4">
        <f t="shared" si="1628"/>
        <v>0.73718451657272832</v>
      </c>
      <c r="CS432" s="4">
        <f t="shared" si="1377"/>
        <v>0.81738841739739598</v>
      </c>
      <c r="CT432" s="4">
        <f t="shared" si="1432"/>
        <v>0</v>
      </c>
      <c r="CU432" s="4">
        <f t="shared" ref="CU432:CV432" si="1666">CM432</f>
        <v>0.79839866095245215</v>
      </c>
      <c r="CV432" s="4">
        <f t="shared" si="1666"/>
        <v>0.44995900132926242</v>
      </c>
      <c r="CW432" s="4">
        <f t="shared" ref="CW432" si="1667">CP432</f>
        <v>1.4641340932293478</v>
      </c>
      <c r="CX432" s="4">
        <f t="shared" ref="CX432" si="1668">CS432</f>
        <v>0.81738841739739598</v>
      </c>
      <c r="CY432" s="4">
        <f t="shared" ref="CY432:CZ432" si="1669">CQ432</f>
        <v>0.73182258163771818</v>
      </c>
      <c r="CZ432" s="4">
        <f t="shared" si="1669"/>
        <v>0.73718451657272832</v>
      </c>
      <c r="DI432" s="4">
        <f t="shared" si="1417"/>
        <v>373.63400000000001</v>
      </c>
      <c r="DL432" s="4">
        <f t="shared" si="1588"/>
        <v>2.0354264447591749E-5</v>
      </c>
      <c r="DM432" s="4">
        <f t="shared" si="1589"/>
        <v>6.8985110700902181</v>
      </c>
      <c r="DN432" s="4">
        <f t="shared" si="1590"/>
        <v>0.20531429140864466</v>
      </c>
      <c r="DO432" s="4">
        <f t="shared" si="1591"/>
        <v>3.6620396124227161</v>
      </c>
      <c r="DP432" s="4">
        <f t="shared" si="1592"/>
        <v>5.5247735367075226</v>
      </c>
      <c r="DQ432" s="4">
        <f t="shared" si="1593"/>
        <v>6.4373532609562742</v>
      </c>
      <c r="DR432" s="38">
        <f t="shared" si="1622"/>
        <v>392.9725784806659</v>
      </c>
      <c r="DS432" s="4">
        <f t="shared" si="1594"/>
        <v>1.0001127920233142</v>
      </c>
      <c r="DT432" s="4">
        <f t="shared" si="1595"/>
        <v>3.0983866769659336</v>
      </c>
      <c r="DU432" s="4">
        <f t="shared" si="1596"/>
        <v>175.98631465676814</v>
      </c>
      <c r="DY432" s="4">
        <f t="shared" si="1597"/>
        <v>0.85</v>
      </c>
      <c r="DZ432" s="4">
        <f t="shared" si="1598"/>
        <v>0.91914893617021276</v>
      </c>
      <c r="EA432" s="4">
        <f t="shared" si="1623"/>
        <v>1</v>
      </c>
      <c r="EB432" s="4">
        <f t="shared" si="1599"/>
        <v>0.91914893617021276</v>
      </c>
      <c r="ED432" s="4">
        <f t="shared" si="1624"/>
        <v>390.11427998186855</v>
      </c>
      <c r="EE432" s="25">
        <f t="shared" si="1625"/>
        <v>174.20556117117252</v>
      </c>
      <c r="EG432" s="4">
        <f t="shared" si="1514"/>
        <v>0.78127659574468078</v>
      </c>
      <c r="EH432" s="4">
        <f t="shared" si="1626"/>
        <v>6.8985110700902181</v>
      </c>
      <c r="EK432" s="4">
        <f t="shared" si="1600"/>
        <v>110.96562044885792</v>
      </c>
      <c r="EL432" s="4">
        <f t="shared" si="1601"/>
        <v>3.0983866769659336</v>
      </c>
      <c r="EM432" s="4">
        <f t="shared" si="1602"/>
        <v>7.3648302216110448E-2</v>
      </c>
      <c r="EP432" s="4">
        <f t="shared" si="1433"/>
        <v>7.3648302216110448E-2</v>
      </c>
      <c r="EQ432" s="4">
        <f t="shared" si="1540"/>
        <v>0.20497166012166579</v>
      </c>
      <c r="ER432" s="4">
        <f t="shared" si="1603"/>
        <v>3.6595938828647983</v>
      </c>
      <c r="ES432" s="4">
        <f t="shared" si="1418"/>
        <v>5.5239702322069224</v>
      </c>
      <c r="ET432" s="4">
        <f t="shared" si="1604"/>
        <v>169.25987955114209</v>
      </c>
      <c r="EU432" s="4">
        <f t="shared" si="1605"/>
        <v>93.408500000000004</v>
      </c>
      <c r="EV432" s="4">
        <f t="shared" si="1541"/>
        <v>2.0354264447591749E-5</v>
      </c>
      <c r="EW432" s="4">
        <f t="shared" si="1419"/>
        <v>6.4374661778959545</v>
      </c>
      <c r="EX432" s="4">
        <f t="shared" si="1555"/>
        <v>392.92825930728134</v>
      </c>
      <c r="FG432" s="23">
        <f t="shared" si="1459"/>
        <v>0.8</v>
      </c>
      <c r="FH432" s="23">
        <f t="shared" si="1459"/>
        <v>0.6</v>
      </c>
      <c r="FI432" s="23">
        <f t="shared" si="1382"/>
        <v>1</v>
      </c>
      <c r="FJ432" s="23">
        <f t="shared" si="1460"/>
        <v>1.6</v>
      </c>
      <c r="FK432" s="23">
        <f t="shared" si="1460"/>
        <v>0.8</v>
      </c>
      <c r="FL432" s="23">
        <f t="shared" si="1460"/>
        <v>0.8</v>
      </c>
      <c r="FM432" s="23">
        <f t="shared" si="1629"/>
        <v>1</v>
      </c>
      <c r="FN432" s="23"/>
      <c r="FX432" s="4">
        <f t="shared" si="1500"/>
        <v>1</v>
      </c>
      <c r="FY432" s="4">
        <f t="shared" si="1561"/>
        <v>0.63776595744680853</v>
      </c>
      <c r="FZ432" s="4">
        <f t="shared" si="1501"/>
        <v>0</v>
      </c>
      <c r="GA432" s="4">
        <f t="shared" si="1502"/>
        <v>351.83543193851466</v>
      </c>
    </row>
    <row r="433" spans="1:183" ht="12" customHeight="1" x14ac:dyDescent="0.3">
      <c r="A433" s="25">
        <v>415</v>
      </c>
      <c r="B433" s="4" t="s">
        <v>605</v>
      </c>
      <c r="C433" s="4">
        <v>2016</v>
      </c>
      <c r="D433" s="4" t="s">
        <v>309</v>
      </c>
      <c r="E433" s="14" t="s">
        <v>678</v>
      </c>
      <c r="F433" s="7" t="s">
        <v>585</v>
      </c>
      <c r="G433" s="38">
        <f t="shared" si="1641"/>
        <v>931.0344827586207</v>
      </c>
      <c r="H433" s="38">
        <f>14.54*25.4</f>
        <v>369.31599999999997</v>
      </c>
      <c r="I433" s="4">
        <f t="shared" si="1420"/>
        <v>369.31599999999997</v>
      </c>
      <c r="J433" s="38">
        <f>6240/145</f>
        <v>43.03448275862069</v>
      </c>
      <c r="K433" s="38">
        <f t="shared" si="1642"/>
        <v>35.813999999999993</v>
      </c>
      <c r="L433" s="7">
        <f t="shared" si="1421"/>
        <v>10.312056737588653</v>
      </c>
      <c r="M433" s="7">
        <f t="shared" si="1422"/>
        <v>10.312056737588653</v>
      </c>
      <c r="N433" s="38">
        <f>21.4*25.4</f>
        <v>543.55999999999995</v>
      </c>
      <c r="O433" s="38">
        <f>2.65*25.4</f>
        <v>67.309999999999988</v>
      </c>
      <c r="P433" s="39">
        <f>3.2*25.4</f>
        <v>81.28</v>
      </c>
      <c r="Q433" s="7">
        <f t="shared" si="1423"/>
        <v>150.74899999999997</v>
      </c>
      <c r="R433" s="38">
        <v>3</v>
      </c>
      <c r="S433" s="4">
        <f t="shared" si="1493"/>
        <v>508</v>
      </c>
      <c r="T433" s="7">
        <f t="shared" si="1424"/>
        <v>2.3794326241134751</v>
      </c>
      <c r="U433" s="7">
        <f t="shared" si="1548"/>
        <v>2.3794326241134751</v>
      </c>
      <c r="V433" s="38">
        <v>8.6</v>
      </c>
      <c r="W433" s="4">
        <f t="shared" si="1425"/>
        <v>8.6</v>
      </c>
      <c r="X433" s="4">
        <f t="shared" si="1426"/>
        <v>9.6</v>
      </c>
      <c r="Y433" s="7">
        <f t="shared" si="1427"/>
        <v>110.96562044885792</v>
      </c>
      <c r="AB433" s="38">
        <f t="shared" si="1461"/>
        <v>334.48275862068965</v>
      </c>
      <c r="AC433" s="4">
        <v>48.5</v>
      </c>
      <c r="AD433" s="4">
        <f t="shared" si="1587"/>
        <v>0.85256630700679548</v>
      </c>
      <c r="AE433" s="38">
        <f t="shared" si="1630"/>
        <v>12.7</v>
      </c>
      <c r="AF433" s="38">
        <v>12</v>
      </c>
      <c r="AG433" s="39">
        <f>4*25.4</f>
        <v>101.6</v>
      </c>
      <c r="AH433" s="39">
        <v>2</v>
      </c>
      <c r="AI433" s="39">
        <f>AH433-1</f>
        <v>1</v>
      </c>
      <c r="AJ433" s="7"/>
      <c r="AK433" s="4">
        <f t="shared" si="1429"/>
        <v>369.31599999999997</v>
      </c>
      <c r="AL433" s="4">
        <f t="shared" si="1607"/>
        <v>0.4906006419073819</v>
      </c>
      <c r="AM433" s="4">
        <f t="shared" si="1608"/>
        <v>154.05957086781055</v>
      </c>
      <c r="AN433" s="4">
        <f t="shared" si="1609"/>
        <v>0.74614855570839056</v>
      </c>
      <c r="AO433" s="4">
        <v>1.25</v>
      </c>
      <c r="AP433" s="4">
        <f t="shared" si="1520"/>
        <v>2.5</v>
      </c>
      <c r="AQ433" s="38">
        <f t="shared" si="1398"/>
        <v>176.23498271549212</v>
      </c>
      <c r="AR433" s="38">
        <f t="shared" si="1610"/>
        <v>176.23498271549212</v>
      </c>
      <c r="AS433" s="38">
        <f t="shared" si="1611"/>
        <v>3.684107660000056</v>
      </c>
      <c r="AT433" s="38">
        <f t="shared" si="1533"/>
        <v>176.23498271549224</v>
      </c>
      <c r="AU433" s="38">
        <f t="shared" si="1495"/>
        <v>0.99999999999999933</v>
      </c>
      <c r="AV433" s="38">
        <f t="shared" si="1534"/>
        <v>3.4078235539634179</v>
      </c>
      <c r="AW433" s="4">
        <f t="shared" si="1535"/>
        <v>0</v>
      </c>
      <c r="AX433" s="4">
        <f t="shared" si="1430"/>
        <v>356.04097908203204</v>
      </c>
      <c r="AY433" s="4">
        <f t="shared" si="1399"/>
        <v>1</v>
      </c>
      <c r="AZ433" s="38">
        <f t="shared" si="1542"/>
        <v>600.57772513019029</v>
      </c>
      <c r="BA433" s="4">
        <f t="shared" si="1400"/>
        <v>0.3</v>
      </c>
      <c r="BB433" s="4">
        <f t="shared" si="1401"/>
        <v>55.809423471108531</v>
      </c>
      <c r="BC433" s="4">
        <f t="shared" si="1402"/>
        <v>656.3871486012988</v>
      </c>
      <c r="BE433" s="4">
        <f t="shared" si="1521"/>
        <v>1.5</v>
      </c>
      <c r="BF433" s="4">
        <f t="shared" si="1527"/>
        <v>599.61806485402587</v>
      </c>
      <c r="BH433" s="4">
        <f t="shared" si="1549"/>
        <v>576.02748426974358</v>
      </c>
      <c r="BI433" s="4">
        <f t="shared" si="1481"/>
        <v>0</v>
      </c>
      <c r="BJ433" s="4">
        <f t="shared" si="1550"/>
        <v>0</v>
      </c>
      <c r="BK433" s="4">
        <f t="shared" si="1612"/>
        <v>67.309999999999988</v>
      </c>
      <c r="BL433" s="4">
        <f t="shared" si="1613"/>
        <v>67.309999999999988</v>
      </c>
      <c r="BM433" s="4">
        <f t="shared" si="1614"/>
        <v>508</v>
      </c>
      <c r="BN433" s="4">
        <f t="shared" si="1615"/>
        <v>85.216999999999985</v>
      </c>
      <c r="BO433" s="4">
        <f t="shared" si="1616"/>
        <v>1.25</v>
      </c>
      <c r="BP433" s="25">
        <f t="shared" si="1617"/>
        <v>4</v>
      </c>
      <c r="BR433" s="4">
        <f t="shared" si="1403"/>
        <v>67.309999999999988</v>
      </c>
      <c r="BV433" s="9"/>
      <c r="BX433" s="9"/>
      <c r="BY433" s="9"/>
      <c r="BZ433" s="9">
        <f t="shared" si="1404"/>
        <v>67.309999999999988</v>
      </c>
      <c r="CA433" s="9">
        <f t="shared" si="1405"/>
        <v>75.374499999999983</v>
      </c>
      <c r="CB433" s="9">
        <f t="shared" si="1536"/>
        <v>1.3943927264184584</v>
      </c>
      <c r="CC433" s="40">
        <f t="shared" si="1431"/>
        <v>20</v>
      </c>
      <c r="CD433" s="9">
        <f t="shared" si="1406"/>
        <v>0.05</v>
      </c>
      <c r="CE433" s="9">
        <f t="shared" si="1407"/>
        <v>0.8</v>
      </c>
      <c r="CF433" s="9">
        <f t="shared" si="1408"/>
        <v>0.89777220146327208</v>
      </c>
      <c r="CG433" s="9">
        <f t="shared" si="1409"/>
        <v>0.68</v>
      </c>
      <c r="CH433" s="9">
        <f t="shared" si="1537"/>
        <v>1.4016881590631138</v>
      </c>
      <c r="CI433" s="9">
        <f t="shared" si="1538"/>
        <v>3.0758543009549761</v>
      </c>
      <c r="CJ433" s="40">
        <v>1</v>
      </c>
      <c r="CK433" s="9">
        <f t="shared" si="1539"/>
        <v>311.42479432931378</v>
      </c>
      <c r="CM433" s="4">
        <f t="shared" si="1410"/>
        <v>0.93945017082886029</v>
      </c>
      <c r="CN433" s="4">
        <f t="shared" si="1411"/>
        <v>0.50958151653858841</v>
      </c>
      <c r="CO433" s="4">
        <f t="shared" si="1376"/>
        <v>0.55782635351741428</v>
      </c>
      <c r="CP433" s="4">
        <f t="shared" si="1412"/>
        <v>1.0740402328627483</v>
      </c>
      <c r="CQ433" s="4">
        <f t="shared" si="1627"/>
        <v>0.85256630700679548</v>
      </c>
      <c r="CR433" s="4">
        <f t="shared" si="1628"/>
        <v>0.85852739822939572</v>
      </c>
      <c r="CS433" s="4">
        <f t="shared" si="1377"/>
        <v>0.8900725411588033</v>
      </c>
      <c r="CT433" s="4">
        <f t="shared" si="1432"/>
        <v>12</v>
      </c>
      <c r="DA433" s="4">
        <f t="shared" ref="DA433:DB433" si="1670">CM433</f>
        <v>0.93945017082886029</v>
      </c>
      <c r="DB433" s="4">
        <f t="shared" si="1670"/>
        <v>0.50958151653858841</v>
      </c>
      <c r="DC433" s="4">
        <f t="shared" ref="DC433" si="1671">CP433</f>
        <v>1.0740402328627483</v>
      </c>
      <c r="DD433" s="4">
        <f t="shared" ref="DD433" si="1672">CS433</f>
        <v>0.8900725411588033</v>
      </c>
      <c r="DE433" s="4">
        <f t="shared" ref="DE433:DF433" si="1673">CQ433</f>
        <v>0.85256630700679548</v>
      </c>
      <c r="DF433" s="4">
        <f t="shared" si="1673"/>
        <v>0.85852739822939572</v>
      </c>
      <c r="DI433" s="4">
        <f t="shared" si="1417"/>
        <v>369.31599999999997</v>
      </c>
      <c r="DL433" s="4">
        <f t="shared" si="1588"/>
        <v>2.0119035014818761E-5</v>
      </c>
      <c r="DM433" s="4">
        <f t="shared" si="1589"/>
        <v>6.9552766057760431</v>
      </c>
      <c r="DN433" s="4">
        <f t="shared" si="1590"/>
        <v>0.20560439979788206</v>
      </c>
      <c r="DO433" s="4">
        <f t="shared" si="1591"/>
        <v>3.6942592364830715</v>
      </c>
      <c r="DP433" s="4">
        <f t="shared" si="1592"/>
        <v>5.5709205222766514</v>
      </c>
      <c r="DQ433" s="4">
        <f t="shared" si="1593"/>
        <v>6.4977521014947346</v>
      </c>
      <c r="DR433" s="38">
        <f t="shared" si="1622"/>
        <v>392.32462727151102</v>
      </c>
      <c r="DS433" s="4">
        <f t="shared" si="1594"/>
        <v>1.000113306336438</v>
      </c>
      <c r="DT433" s="4">
        <f t="shared" si="1595"/>
        <v>3.0983866769659336</v>
      </c>
      <c r="DU433" s="4">
        <f t="shared" si="1596"/>
        <v>176.23498271549224</v>
      </c>
      <c r="DY433" s="4">
        <f t="shared" si="1597"/>
        <v>0.85</v>
      </c>
      <c r="DZ433" s="4">
        <f t="shared" si="1598"/>
        <v>0.91205673758865247</v>
      </c>
      <c r="EA433" s="4">
        <f t="shared" si="1623"/>
        <v>0.9995510789195714</v>
      </c>
      <c r="EB433" s="4">
        <f t="shared" si="1599"/>
        <v>0.91164729609260198</v>
      </c>
      <c r="ED433" s="4">
        <f t="shared" si="1624"/>
        <v>389.600564071127</v>
      </c>
      <c r="EE433" s="25">
        <f t="shared" si="1625"/>
        <v>174.4309431179702</v>
      </c>
      <c r="EG433" s="4">
        <f t="shared" si="1514"/>
        <v>0.77490020167871165</v>
      </c>
      <c r="EH433" s="4">
        <f t="shared" si="1626"/>
        <v>6.9552766057760431</v>
      </c>
      <c r="EK433" s="4">
        <f t="shared" si="1600"/>
        <v>110.96562044885792</v>
      </c>
      <c r="EL433" s="4">
        <f t="shared" si="1601"/>
        <v>3.0983866769659336</v>
      </c>
      <c r="EM433" s="4">
        <f t="shared" si="1602"/>
        <v>7.375236701442231E-2</v>
      </c>
      <c r="EP433" s="4">
        <f t="shared" si="1433"/>
        <v>7.375236701442231E-2</v>
      </c>
      <c r="EQ433" s="4">
        <f t="shared" si="1540"/>
        <v>0.2052612843740704</v>
      </c>
      <c r="ER433" s="4">
        <f t="shared" si="1603"/>
        <v>3.6917919887289439</v>
      </c>
      <c r="ES433" s="4">
        <f t="shared" si="1418"/>
        <v>5.5701097719955328</v>
      </c>
      <c r="ET433" s="4">
        <f t="shared" si="1604"/>
        <v>166.02137955114205</v>
      </c>
      <c r="EU433" s="4">
        <f t="shared" si="1605"/>
        <v>92.329000000000008</v>
      </c>
      <c r="EV433" s="4">
        <f t="shared" si="1541"/>
        <v>2.0119035014818764E-5</v>
      </c>
      <c r="EW433" s="4">
        <f t="shared" si="1419"/>
        <v>6.4978649361638707</v>
      </c>
      <c r="EX433" s="4">
        <f t="shared" si="1555"/>
        <v>392.28017944152123</v>
      </c>
      <c r="FG433" s="23">
        <f t="shared" si="1459"/>
        <v>1</v>
      </c>
      <c r="FH433" s="23">
        <f t="shared" si="1459"/>
        <v>0.6</v>
      </c>
      <c r="FI433" s="23">
        <f t="shared" si="1382"/>
        <v>1</v>
      </c>
      <c r="FJ433" s="23">
        <f t="shared" si="1460"/>
        <v>1.2</v>
      </c>
      <c r="FK433" s="23">
        <f t="shared" si="1460"/>
        <v>1</v>
      </c>
      <c r="FL433" s="23">
        <f t="shared" si="1460"/>
        <v>1</v>
      </c>
      <c r="FM433" s="23">
        <f t="shared" si="1629"/>
        <v>0</v>
      </c>
      <c r="FN433" s="23"/>
      <c r="FX433" s="4">
        <f t="shared" si="1500"/>
        <v>1</v>
      </c>
      <c r="FY433" s="4">
        <f t="shared" si="1561"/>
        <v>0.59020693452459627</v>
      </c>
      <c r="FZ433" s="4">
        <f t="shared" si="1501"/>
        <v>0.16766426906761905</v>
      </c>
      <c r="GA433" s="4">
        <f t="shared" si="1502"/>
        <v>375.79269458781397</v>
      </c>
    </row>
    <row r="434" spans="1:183" ht="12" customHeight="1" x14ac:dyDescent="0.3">
      <c r="A434" s="25">
        <v>416</v>
      </c>
      <c r="B434" s="4" t="s">
        <v>605</v>
      </c>
      <c r="C434" s="4">
        <v>2016</v>
      </c>
      <c r="D434" s="4" t="s">
        <v>309</v>
      </c>
      <c r="E434" s="14" t="s">
        <v>586</v>
      </c>
      <c r="F434" s="48" t="s">
        <v>587</v>
      </c>
      <c r="G434" s="38">
        <f>115.9/0.145</f>
        <v>799.31034482758628</v>
      </c>
      <c r="H434" s="38">
        <f>17.13*25.4</f>
        <v>435.10199999999998</v>
      </c>
      <c r="I434" s="4">
        <f t="shared" si="1420"/>
        <v>435.10199999999998</v>
      </c>
      <c r="J434" s="38">
        <f>10860/145</f>
        <v>74.896551724137936</v>
      </c>
      <c r="K434" s="38">
        <f t="shared" si="1642"/>
        <v>35.813999999999993</v>
      </c>
      <c r="L434" s="7">
        <f t="shared" si="1421"/>
        <v>12.148936170212767</v>
      </c>
      <c r="M434" s="7">
        <f t="shared" si="1422"/>
        <v>12.148936170212767</v>
      </c>
      <c r="N434" s="38">
        <f>21.9*25.4</f>
        <v>556.25999999999988</v>
      </c>
      <c r="O434" s="38">
        <f>2.8*25.4</f>
        <v>71.11999999999999</v>
      </c>
      <c r="P434" s="39">
        <f>3.9*25.4</f>
        <v>99.059999999999988</v>
      </c>
      <c r="Q434" s="7">
        <f t="shared" si="1423"/>
        <v>342.39199999999994</v>
      </c>
      <c r="R434" s="38">
        <v>2</v>
      </c>
      <c r="S434" s="4">
        <f t="shared" si="1493"/>
        <v>508</v>
      </c>
      <c r="T434" s="7">
        <f t="shared" si="1424"/>
        <v>2.4858156028368796</v>
      </c>
      <c r="U434" s="7">
        <f t="shared" si="1548"/>
        <v>2.4858156028368796</v>
      </c>
      <c r="V434" s="38">
        <v>4.5</v>
      </c>
      <c r="W434" s="4">
        <f t="shared" si="1425"/>
        <v>4.5</v>
      </c>
      <c r="X434" s="4">
        <f t="shared" si="1426"/>
        <v>5.5</v>
      </c>
      <c r="Y434" s="7">
        <f t="shared" si="1427"/>
        <v>83.991275011158137</v>
      </c>
      <c r="AB434" s="38">
        <f t="shared" si="1461"/>
        <v>749.65517241379314</v>
      </c>
      <c r="AC434" s="4">
        <v>108.7</v>
      </c>
      <c r="AD434" s="4">
        <f t="shared" si="1587"/>
        <v>0.99737956201403044</v>
      </c>
      <c r="AE434" s="38">
        <v>0</v>
      </c>
      <c r="AF434" s="38">
        <v>0</v>
      </c>
      <c r="AG434" s="39">
        <f t="shared" ref="AG434:AG435" si="1674">I434</f>
        <v>435.10199999999998</v>
      </c>
      <c r="AH434" s="39"/>
      <c r="AI434" s="39"/>
      <c r="AJ434" s="7"/>
      <c r="AK434" s="4">
        <f t="shared" si="1429"/>
        <v>435.10199999999998</v>
      </c>
      <c r="AL434" s="4">
        <f t="shared" si="1607"/>
        <v>0.42615294804436654</v>
      </c>
      <c r="AM434" s="4">
        <f t="shared" si="1608"/>
        <v>389.84502406210481</v>
      </c>
      <c r="AN434" s="4">
        <f t="shared" si="1609"/>
        <v>0.74092235843549326</v>
      </c>
      <c r="AO434" s="4">
        <v>1.25</v>
      </c>
      <c r="AP434" s="4">
        <f t="shared" si="1520"/>
        <v>2.5</v>
      </c>
      <c r="AQ434" s="38">
        <f t="shared" si="1398"/>
        <v>384.66282307406311</v>
      </c>
      <c r="AR434" s="38">
        <f t="shared" si="1610"/>
        <v>384.66282307406311</v>
      </c>
      <c r="AS434" s="38">
        <f t="shared" si="1611"/>
        <v>4.7252710400583542</v>
      </c>
      <c r="AT434" s="38">
        <f t="shared" si="1533"/>
        <v>384.662823074063</v>
      </c>
      <c r="AU434" s="38">
        <f t="shared" si="1495"/>
        <v>1.0000000000000002</v>
      </c>
      <c r="AV434" s="38">
        <f t="shared" si="1534"/>
        <v>2.0534624733612792</v>
      </c>
      <c r="AW434" s="4">
        <f t="shared" si="1535"/>
        <v>0</v>
      </c>
      <c r="AX434" s="4">
        <f t="shared" si="1430"/>
        <v>553.3699362263194</v>
      </c>
      <c r="AY434" s="4">
        <f t="shared" si="1399"/>
        <v>1</v>
      </c>
      <c r="AZ434" s="38">
        <f t="shared" si="1542"/>
        <v>789.89067207979758</v>
      </c>
      <c r="BA434" s="4">
        <f t="shared" si="1400"/>
        <v>0.37</v>
      </c>
      <c r="BB434" s="4">
        <f t="shared" si="1401"/>
        <v>106.98024292095322</v>
      </c>
      <c r="BC434" s="4">
        <f t="shared" si="1402"/>
        <v>896.87091500075076</v>
      </c>
      <c r="BE434" s="4">
        <f t="shared" si="1521"/>
        <v>1.2464539007092199</v>
      </c>
      <c r="BF434" s="4">
        <f t="shared" si="1527"/>
        <v>716.77237488729395</v>
      </c>
      <c r="BH434" s="4">
        <f t="shared" si="1549"/>
        <v>757.60175185922924</v>
      </c>
      <c r="BI434" s="4">
        <f t="shared" si="1481"/>
        <v>0</v>
      </c>
      <c r="BJ434" s="4">
        <f t="shared" si="1550"/>
        <v>0</v>
      </c>
      <c r="BK434" s="4">
        <f t="shared" si="1612"/>
        <v>71.11999999999999</v>
      </c>
      <c r="BL434" s="4">
        <f t="shared" si="1613"/>
        <v>71.11999999999999</v>
      </c>
      <c r="BM434" s="4">
        <f t="shared" si="1614"/>
        <v>508</v>
      </c>
      <c r="BN434" s="4">
        <f t="shared" si="1615"/>
        <v>89.026999999999987</v>
      </c>
      <c r="BO434" s="4">
        <f t="shared" si="1616"/>
        <v>1.25</v>
      </c>
      <c r="BP434" s="25">
        <f t="shared" si="1617"/>
        <v>3.1072695035460995</v>
      </c>
      <c r="BR434" s="4">
        <f t="shared" si="1403"/>
        <v>71.11999999999999</v>
      </c>
      <c r="BV434" s="9"/>
      <c r="BX434" s="9"/>
      <c r="BY434" s="9"/>
      <c r="BZ434" s="9">
        <f t="shared" si="1404"/>
        <v>71.11999999999999</v>
      </c>
      <c r="CA434" s="9">
        <f t="shared" si="1405"/>
        <v>171.19599999999997</v>
      </c>
      <c r="CB434" s="9">
        <f t="shared" si="1536"/>
        <v>1.6076619725091519</v>
      </c>
      <c r="CC434" s="40">
        <f t="shared" si="1431"/>
        <v>20</v>
      </c>
      <c r="CD434" s="9">
        <f t="shared" si="1406"/>
        <v>0</v>
      </c>
      <c r="CE434" s="9">
        <f t="shared" si="1407"/>
        <v>0</v>
      </c>
      <c r="CF434" s="9">
        <f t="shared" si="1408"/>
        <v>0.89777220146327208</v>
      </c>
      <c r="CG434" s="9">
        <f t="shared" si="1409"/>
        <v>0.68048275862068963</v>
      </c>
      <c r="CH434" s="9">
        <f t="shared" si="1537"/>
        <v>1.8504707967044269</v>
      </c>
      <c r="CI434" s="9">
        <f t="shared" si="1538"/>
        <v>2.9749315311004207</v>
      </c>
      <c r="CJ434" s="40">
        <v>1</v>
      </c>
      <c r="CK434" s="9">
        <f t="shared" si="1539"/>
        <v>323.06490499439462</v>
      </c>
      <c r="CM434" s="4">
        <f t="shared" si="1410"/>
        <v>1.3547088906311604</v>
      </c>
      <c r="CN434" s="4">
        <f t="shared" si="1411"/>
        <v>0.83585626412376812</v>
      </c>
      <c r="CO434" s="4">
        <f t="shared" si="1376"/>
        <v>1.0458762065595366</v>
      </c>
      <c r="CP434" s="4">
        <f t="shared" si="1412"/>
        <v>2.3204475658747277</v>
      </c>
      <c r="CQ434" s="4">
        <f t="shared" si="1627"/>
        <v>0.99737956201403044</v>
      </c>
      <c r="CR434" s="4">
        <f t="shared" si="1628"/>
        <v>1.0416632154626597</v>
      </c>
      <c r="CS434" s="4">
        <f t="shared" si="1377"/>
        <v>1.2488912988332597</v>
      </c>
      <c r="CT434" s="4">
        <f t="shared" si="1432"/>
        <v>0</v>
      </c>
      <c r="CU434" s="4">
        <f t="shared" ref="CU434:CV435" si="1675">CM434</f>
        <v>1.3547088906311604</v>
      </c>
      <c r="CV434" s="4">
        <f t="shared" si="1675"/>
        <v>0.83585626412376812</v>
      </c>
      <c r="CW434" s="4">
        <f t="shared" ref="CW434:CW435" si="1676">CP434</f>
        <v>2.3204475658747277</v>
      </c>
      <c r="CX434" s="4">
        <f t="shared" ref="CX434:CX435" si="1677">CS434</f>
        <v>1.2488912988332597</v>
      </c>
      <c r="CY434" s="4">
        <f t="shared" ref="CY434:CZ435" si="1678">CQ434</f>
        <v>0.99737956201403044</v>
      </c>
      <c r="CZ434" s="4">
        <f t="shared" si="1678"/>
        <v>1.0416632154626597</v>
      </c>
      <c r="DI434" s="4">
        <f t="shared" si="1417"/>
        <v>435.10199999999998</v>
      </c>
      <c r="DL434" s="4">
        <f t="shared" si="1588"/>
        <v>2.8871836657560902E-5</v>
      </c>
      <c r="DM434" s="4">
        <f t="shared" si="1589"/>
        <v>9.2797747433667563</v>
      </c>
      <c r="DN434" s="4">
        <f t="shared" si="1590"/>
        <v>0.37299836532167074</v>
      </c>
      <c r="DO434" s="4">
        <f t="shared" si="1591"/>
        <v>6.2548976220947603</v>
      </c>
      <c r="DP434" s="4">
        <f t="shared" si="1592"/>
        <v>7.9137503349969922</v>
      </c>
      <c r="DQ434" s="4">
        <f t="shared" si="1593"/>
        <v>7.7449094179753031</v>
      </c>
      <c r="DR434" s="38">
        <f t="shared" si="1622"/>
        <v>751.62475848211488</v>
      </c>
      <c r="DS434" s="4">
        <f t="shared" si="1594"/>
        <v>1.0001051543164863</v>
      </c>
      <c r="DT434" s="4">
        <f t="shared" si="1595"/>
        <v>2.3452078799117149</v>
      </c>
      <c r="DU434" s="4">
        <f t="shared" si="1596"/>
        <v>384.662823074063</v>
      </c>
      <c r="DY434" s="4">
        <f t="shared" si="1597"/>
        <v>0.85</v>
      </c>
      <c r="DZ434" s="4">
        <f t="shared" si="1598"/>
        <v>0.90141843971631208</v>
      </c>
      <c r="EA434" s="4">
        <f t="shared" si="1623"/>
        <v>1</v>
      </c>
      <c r="EB434" s="4">
        <f t="shared" si="1599"/>
        <v>0.90141843971631208</v>
      </c>
      <c r="ED434" s="4">
        <f t="shared" si="1624"/>
        <v>719.67134990058207</v>
      </c>
      <c r="EE434" s="25">
        <f t="shared" si="1625"/>
        <v>381.45317680723616</v>
      </c>
      <c r="EG434" s="4">
        <f t="shared" si="1514"/>
        <v>0.76620567375886528</v>
      </c>
      <c r="EH434" s="4">
        <f t="shared" si="1626"/>
        <v>9.2797747433667563</v>
      </c>
      <c r="EK434" s="4">
        <f t="shared" si="1600"/>
        <v>83.991275011158137</v>
      </c>
      <c r="EL434" s="4">
        <f t="shared" si="1601"/>
        <v>2.3452078799117149</v>
      </c>
      <c r="EM434" s="4">
        <f t="shared" si="1602"/>
        <v>0.17651154056078713</v>
      </c>
      <c r="EP434" s="4">
        <f t="shared" si="1433"/>
        <v>0.17651154056078713</v>
      </c>
      <c r="EQ434" s="4">
        <f t="shared" si="1540"/>
        <v>0.37237590056739411</v>
      </c>
      <c r="ER434" s="4">
        <f t="shared" si="1603"/>
        <v>6.2507202265405981</v>
      </c>
      <c r="ES434" s="4">
        <f t="shared" si="1418"/>
        <v>7.9121030475986087</v>
      </c>
      <c r="ET434" s="4">
        <f t="shared" si="1604"/>
        <v>242.33522498884187</v>
      </c>
      <c r="EU434" s="4">
        <f t="shared" si="1605"/>
        <v>108.77549999999999</v>
      </c>
      <c r="EV434" s="4">
        <f t="shared" si="1541"/>
        <v>2.8871836657560902E-5</v>
      </c>
      <c r="EW434" s="4">
        <f t="shared" si="1419"/>
        <v>7.7452999549797257</v>
      </c>
      <c r="EX434" s="4">
        <f t="shared" si="1555"/>
        <v>751.545730204547</v>
      </c>
      <c r="FA434" s="4">
        <f>6.75*25.4</f>
        <v>171.45</v>
      </c>
      <c r="FG434" s="23">
        <f t="shared" si="1459"/>
        <v>1.4</v>
      </c>
      <c r="FH434" s="23">
        <f t="shared" si="1459"/>
        <v>1</v>
      </c>
      <c r="FI434" s="23">
        <f t="shared" si="1382"/>
        <v>1.4</v>
      </c>
      <c r="FJ434" s="23">
        <f t="shared" si="1460"/>
        <v>2.2000000000000002</v>
      </c>
      <c r="FK434" s="23">
        <f t="shared" si="1460"/>
        <v>1</v>
      </c>
      <c r="FL434" s="23">
        <f t="shared" si="1460"/>
        <v>1.2</v>
      </c>
      <c r="FM434" s="23">
        <f t="shared" si="1629"/>
        <v>0</v>
      </c>
      <c r="FN434" s="23"/>
      <c r="FX434" s="4">
        <f t="shared" si="1500"/>
        <v>1</v>
      </c>
      <c r="FY434" s="4">
        <f t="shared" si="1561"/>
        <v>0.5</v>
      </c>
      <c r="FZ434" s="4">
        <f t="shared" si="1501"/>
        <v>0</v>
      </c>
      <c r="GA434" s="4">
        <f t="shared" si="1502"/>
        <v>600.25654203383169</v>
      </c>
    </row>
    <row r="435" spans="1:183" ht="12" customHeight="1" x14ac:dyDescent="0.3">
      <c r="A435" s="25">
        <v>417</v>
      </c>
      <c r="B435" s="4" t="s">
        <v>605</v>
      </c>
      <c r="C435" s="4">
        <v>2016</v>
      </c>
      <c r="D435" s="4" t="s">
        <v>309</v>
      </c>
      <c r="E435" s="14" t="s">
        <v>586</v>
      </c>
      <c r="F435" s="7" t="s">
        <v>588</v>
      </c>
      <c r="G435" s="38">
        <f>135/0.145</f>
        <v>931.0344827586207</v>
      </c>
      <c r="H435" s="38">
        <f>16.94*25.4</f>
        <v>430.27600000000001</v>
      </c>
      <c r="I435" s="4">
        <f t="shared" si="1420"/>
        <v>430.27600000000001</v>
      </c>
      <c r="J435" s="38">
        <f>10120/145</f>
        <v>69.793103448275858</v>
      </c>
      <c r="K435" s="38">
        <f t="shared" si="1642"/>
        <v>35.813999999999993</v>
      </c>
      <c r="L435" s="7">
        <f t="shared" si="1421"/>
        <v>12.014184397163124</v>
      </c>
      <c r="M435" s="7">
        <f t="shared" si="1422"/>
        <v>12.014184397163124</v>
      </c>
      <c r="N435" s="38">
        <f>22.3*25.4</f>
        <v>566.41999999999996</v>
      </c>
      <c r="O435" s="38">
        <f>2.85*25.4</f>
        <v>72.39</v>
      </c>
      <c r="P435" s="39">
        <f>3.4*25.4</f>
        <v>86.36</v>
      </c>
      <c r="Q435" s="7">
        <f t="shared" si="1423"/>
        <v>350.01199999999994</v>
      </c>
      <c r="R435" s="38">
        <v>2</v>
      </c>
      <c r="S435" s="4">
        <f t="shared" si="1493"/>
        <v>508</v>
      </c>
      <c r="T435" s="7">
        <f t="shared" si="1424"/>
        <v>2.5212765957446814</v>
      </c>
      <c r="U435" s="7">
        <f t="shared" si="1548"/>
        <v>2.5212765957446814</v>
      </c>
      <c r="V435" s="38">
        <v>5.5</v>
      </c>
      <c r="W435" s="4">
        <f t="shared" si="1425"/>
        <v>5.5</v>
      </c>
      <c r="X435" s="4">
        <f t="shared" si="1426"/>
        <v>6.5</v>
      </c>
      <c r="Y435" s="7">
        <f t="shared" si="1427"/>
        <v>91.308142429905971</v>
      </c>
      <c r="AB435" s="38">
        <f t="shared" si="1461"/>
        <v>777.93103448275861</v>
      </c>
      <c r="AC435" s="4">
        <v>112.8</v>
      </c>
      <c r="AD435" s="4">
        <f t="shared" si="1587"/>
        <v>1.0728433505360115</v>
      </c>
      <c r="AE435" s="38">
        <v>0</v>
      </c>
      <c r="AF435" s="38">
        <v>0</v>
      </c>
      <c r="AG435" s="39">
        <f t="shared" si="1674"/>
        <v>430.27600000000001</v>
      </c>
      <c r="AH435" s="39"/>
      <c r="AI435" s="39"/>
      <c r="AJ435" s="7"/>
      <c r="AK435" s="4">
        <f t="shared" si="1429"/>
        <v>430.27600000000001</v>
      </c>
      <c r="AL435" s="4">
        <f t="shared" si="1607"/>
        <v>0.43880362062180234</v>
      </c>
      <c r="AM435" s="4">
        <f t="shared" si="1608"/>
        <v>370.08493226495057</v>
      </c>
      <c r="AN435" s="4">
        <f t="shared" si="1609"/>
        <v>0.74197166469893738</v>
      </c>
      <c r="AO435" s="4">
        <v>1.25</v>
      </c>
      <c r="AP435" s="4">
        <f t="shared" si="1520"/>
        <v>2.5</v>
      </c>
      <c r="AQ435" s="38">
        <f t="shared" si="1398"/>
        <v>376.53811811168083</v>
      </c>
      <c r="AR435" s="38">
        <f t="shared" si="1610"/>
        <v>376.53811811168083</v>
      </c>
      <c r="AS435" s="38">
        <f t="shared" si="1611"/>
        <v>4.6054834550100843</v>
      </c>
      <c r="AT435" s="38">
        <f t="shared" si="1533"/>
        <v>376.53811811168123</v>
      </c>
      <c r="AU435" s="38">
        <f t="shared" si="1495"/>
        <v>0.99999999999999889</v>
      </c>
      <c r="AV435" s="38">
        <f t="shared" si="1534"/>
        <v>2.191973984270188</v>
      </c>
      <c r="AW435" s="4">
        <f t="shared" si="1535"/>
        <v>0</v>
      </c>
      <c r="AX435" s="4">
        <f t="shared" si="1430"/>
        <v>528.25905183662746</v>
      </c>
      <c r="AY435" s="4">
        <f t="shared" si="1399"/>
        <v>1</v>
      </c>
      <c r="AZ435" s="38">
        <f t="shared" si="1542"/>
        <v>825.36175898686054</v>
      </c>
      <c r="BA435" s="4">
        <f t="shared" si="1400"/>
        <v>0.3</v>
      </c>
      <c r="BB435" s="4">
        <f t="shared" si="1401"/>
        <v>82.804606375391359</v>
      </c>
      <c r="BC435" s="4">
        <f t="shared" si="1402"/>
        <v>908.1663653622519</v>
      </c>
      <c r="BE435" s="4">
        <f t="shared" si="1521"/>
        <v>1.2553191489361704</v>
      </c>
      <c r="BF435" s="4">
        <f t="shared" si="1527"/>
        <v>692.60283276114683</v>
      </c>
      <c r="BH435" s="4">
        <f t="shared" si="1549"/>
        <v>791.62286203436884</v>
      </c>
      <c r="BI435" s="4">
        <f t="shared" si="1481"/>
        <v>0</v>
      </c>
      <c r="BJ435" s="4">
        <f t="shared" si="1550"/>
        <v>0</v>
      </c>
      <c r="BK435" s="4">
        <f t="shared" si="1612"/>
        <v>72.39</v>
      </c>
      <c r="BL435" s="4">
        <f t="shared" si="1613"/>
        <v>72.39</v>
      </c>
      <c r="BM435" s="4">
        <f t="shared" si="1614"/>
        <v>508</v>
      </c>
      <c r="BN435" s="4">
        <f t="shared" si="1615"/>
        <v>90.296999999999997</v>
      </c>
      <c r="BO435" s="4">
        <f t="shared" si="1616"/>
        <v>1.25</v>
      </c>
      <c r="BP435" s="25">
        <f t="shared" si="1617"/>
        <v>3.1515957446808516</v>
      </c>
      <c r="BR435" s="4">
        <f t="shared" si="1403"/>
        <v>72.39</v>
      </c>
      <c r="BV435" s="9"/>
      <c r="BX435" s="9"/>
      <c r="BY435" s="9"/>
      <c r="BZ435" s="9">
        <f t="shared" si="1404"/>
        <v>72.39</v>
      </c>
      <c r="CA435" s="9">
        <f t="shared" si="1405"/>
        <v>175.00599999999997</v>
      </c>
      <c r="CB435" s="9">
        <f t="shared" si="1536"/>
        <v>1.6230018989509365</v>
      </c>
      <c r="CC435" s="40">
        <f t="shared" si="1431"/>
        <v>20</v>
      </c>
      <c r="CD435" s="9">
        <f t="shared" si="1406"/>
        <v>0</v>
      </c>
      <c r="CE435" s="9">
        <f t="shared" si="1407"/>
        <v>0</v>
      </c>
      <c r="CF435" s="9">
        <f t="shared" si="1408"/>
        <v>0.89777220146327208</v>
      </c>
      <c r="CG435" s="9">
        <f t="shared" si="1409"/>
        <v>0.68</v>
      </c>
      <c r="CH435" s="9">
        <f t="shared" si="1537"/>
        <v>1.7850458101214393</v>
      </c>
      <c r="CI435" s="9">
        <f t="shared" si="1538"/>
        <v>2.8971327395415085</v>
      </c>
      <c r="CJ435" s="40">
        <v>1</v>
      </c>
      <c r="CK435" s="9">
        <f t="shared" si="1539"/>
        <v>313.05471219613071</v>
      </c>
      <c r="CM435" s="4">
        <f t="shared" si="1410"/>
        <v>1.4726317169163174</v>
      </c>
      <c r="CN435" s="4">
        <f t="shared" si="1411"/>
        <v>0.85659529371851961</v>
      </c>
      <c r="CO435" s="4">
        <f t="shared" ref="CO435:CO449" si="1679">AB435/BF435</f>
        <v>1.1231993253354746</v>
      </c>
      <c r="CP435" s="4">
        <f t="shared" si="1412"/>
        <v>2.4849682952396512</v>
      </c>
      <c r="CQ435" s="4">
        <f t="shared" si="1627"/>
        <v>1.0728433505360115</v>
      </c>
      <c r="CR435" s="4">
        <f t="shared" si="1628"/>
        <v>1.1153119606929831</v>
      </c>
      <c r="CS435" s="4">
        <f t="shared" ref="CS435:CS449" si="1680">AB435/GA435</f>
        <v>1.3338607110128451</v>
      </c>
      <c r="CT435" s="4">
        <f t="shared" si="1432"/>
        <v>0</v>
      </c>
      <c r="CU435" s="4">
        <f t="shared" si="1675"/>
        <v>1.4726317169163174</v>
      </c>
      <c r="CV435" s="4">
        <f t="shared" si="1675"/>
        <v>0.85659529371851961</v>
      </c>
      <c r="CW435" s="4">
        <f t="shared" si="1676"/>
        <v>2.4849682952396512</v>
      </c>
      <c r="CX435" s="4">
        <f t="shared" si="1677"/>
        <v>1.3338607110128451</v>
      </c>
      <c r="CY435" s="4">
        <f t="shared" si="1678"/>
        <v>1.0728433505360115</v>
      </c>
      <c r="CZ435" s="4">
        <f t="shared" si="1678"/>
        <v>1.1153119606929831</v>
      </c>
      <c r="DI435" s="4">
        <f t="shared" si="1417"/>
        <v>430.27600000000001</v>
      </c>
      <c r="DL435" s="4">
        <f t="shared" si="1588"/>
        <v>2.7686527188922619E-5</v>
      </c>
      <c r="DM435" s="4">
        <f t="shared" si="1589"/>
        <v>8.9934147612306088</v>
      </c>
      <c r="DN435" s="4">
        <f t="shared" si="1590"/>
        <v>0.34850589790084407</v>
      </c>
      <c r="DO435" s="4">
        <f t="shared" si="1591"/>
        <v>5.8994112997014136</v>
      </c>
      <c r="DP435" s="4">
        <f t="shared" si="1592"/>
        <v>7.6060716291421739</v>
      </c>
      <c r="DQ435" s="4">
        <f t="shared" si="1593"/>
        <v>7.6439407512249238</v>
      </c>
      <c r="DR435" s="38">
        <f t="shared" si="1622"/>
        <v>725.11148444373589</v>
      </c>
      <c r="DS435" s="4">
        <f t="shared" si="1594"/>
        <v>1.0001040148811704</v>
      </c>
      <c r="DT435" s="4">
        <f t="shared" si="1595"/>
        <v>2.5495097567963922</v>
      </c>
      <c r="DU435" s="4">
        <f t="shared" si="1596"/>
        <v>376.53811811168123</v>
      </c>
      <c r="DY435" s="4">
        <f t="shared" si="1597"/>
        <v>0.85</v>
      </c>
      <c r="DZ435" s="4">
        <f t="shared" si="1598"/>
        <v>0.89787234042553188</v>
      </c>
      <c r="EA435" s="4">
        <f t="shared" si="1623"/>
        <v>1</v>
      </c>
      <c r="EB435" s="4">
        <f t="shared" si="1599"/>
        <v>0.89787234042553188</v>
      </c>
      <c r="ED435" s="4">
        <f t="shared" si="1624"/>
        <v>697.50084451654436</v>
      </c>
      <c r="EE435" s="25">
        <f t="shared" si="1625"/>
        <v>373.3552146117645</v>
      </c>
      <c r="EG435" s="4">
        <f t="shared" si="1514"/>
        <v>0.76319148936170211</v>
      </c>
      <c r="EH435" s="4">
        <f t="shared" si="1626"/>
        <v>8.9934147612306088</v>
      </c>
      <c r="EK435" s="4">
        <f t="shared" si="1600"/>
        <v>91.308142429905971</v>
      </c>
      <c r="EL435" s="4">
        <f t="shared" si="1601"/>
        <v>2.5495097567963922</v>
      </c>
      <c r="EM435" s="4">
        <f t="shared" si="1602"/>
        <v>0.1592031486457379</v>
      </c>
      <c r="EP435" s="4">
        <f t="shared" si="1433"/>
        <v>0.1592031486457379</v>
      </c>
      <c r="EQ435" s="4">
        <f t="shared" si="1540"/>
        <v>0.34792430650991729</v>
      </c>
      <c r="ER435" s="4">
        <f t="shared" si="1603"/>
        <v>5.8954713192213966</v>
      </c>
      <c r="ES435" s="4">
        <f t="shared" si="1418"/>
        <v>7.6045476887426728</v>
      </c>
      <c r="ET435" s="4">
        <f t="shared" si="1604"/>
        <v>231.39885757009404</v>
      </c>
      <c r="EU435" s="4">
        <f t="shared" si="1605"/>
        <v>107.56900000000002</v>
      </c>
      <c r="EV435" s="4">
        <f t="shared" si="1541"/>
        <v>2.7686527188922619E-5</v>
      </c>
      <c r="EW435" s="4">
        <f t="shared" si="1419"/>
        <v>7.6442862622600236</v>
      </c>
      <c r="EX435" s="4">
        <f t="shared" si="1555"/>
        <v>725.03606990308072</v>
      </c>
      <c r="FG435" s="23">
        <f t="shared" si="1459"/>
        <v>1.6</v>
      </c>
      <c r="FH435" s="23">
        <f t="shared" si="1459"/>
        <v>1</v>
      </c>
      <c r="FI435" s="23">
        <f t="shared" ref="FI435:FI449" si="1681">IF(CS435&lt;0.6,0.6,IF(CS435&lt;0.8,0.8,IF(CS435&lt;1,1,IF(CS435&lt;1.2,1.2,IF(CS435&lt;1.4,1.4,IF(CS435&lt;1.6,1.6,IF(CS435&lt;1.8,1.8,IF(CS435&lt;2,2,2.2))))))))</f>
        <v>1.4</v>
      </c>
      <c r="FJ435" s="23">
        <f t="shared" si="1460"/>
        <v>2.2000000000000002</v>
      </c>
      <c r="FK435" s="23">
        <f t="shared" si="1460"/>
        <v>1.2</v>
      </c>
      <c r="FL435" s="23">
        <f t="shared" si="1460"/>
        <v>1.2</v>
      </c>
      <c r="FM435" s="23">
        <f t="shared" si="1629"/>
        <v>0</v>
      </c>
      <c r="FN435" s="23"/>
      <c r="FX435" s="4">
        <f t="shared" si="1500"/>
        <v>1</v>
      </c>
      <c r="FY435" s="4">
        <f t="shared" si="1561"/>
        <v>0.5</v>
      </c>
      <c r="FZ435" s="4">
        <f t="shared" si="1501"/>
        <v>0</v>
      </c>
      <c r="GA435" s="4">
        <f t="shared" si="1502"/>
        <v>583.21759390607554</v>
      </c>
    </row>
    <row r="436" spans="1:183" ht="12" customHeight="1" x14ac:dyDescent="0.3">
      <c r="A436" s="25">
        <v>418</v>
      </c>
      <c r="B436" s="4" t="s">
        <v>605</v>
      </c>
      <c r="C436" s="4">
        <v>2016</v>
      </c>
      <c r="D436" s="4" t="s">
        <v>309</v>
      </c>
      <c r="E436" s="14" t="s">
        <v>679</v>
      </c>
      <c r="F436" s="48" t="s">
        <v>589</v>
      </c>
      <c r="G436" s="38">
        <f>115.9/0.145</f>
        <v>799.31034482758628</v>
      </c>
      <c r="H436" s="38">
        <f>16.81*25.4</f>
        <v>426.97399999999993</v>
      </c>
      <c r="I436" s="4">
        <f t="shared" si="1420"/>
        <v>426.97399999999993</v>
      </c>
      <c r="J436" s="38">
        <f>10860/145</f>
        <v>74.896551724137936</v>
      </c>
      <c r="K436" s="38">
        <f t="shared" si="1642"/>
        <v>35.813999999999993</v>
      </c>
      <c r="L436" s="7">
        <f t="shared" si="1421"/>
        <v>11.921985815602838</v>
      </c>
      <c r="M436" s="7">
        <f t="shared" si="1422"/>
        <v>11.921985815602838</v>
      </c>
      <c r="N436" s="38">
        <f>21.7*25.4</f>
        <v>551.17999999999995</v>
      </c>
      <c r="O436" s="38">
        <f>2.65*25.4</f>
        <v>67.309999999999988</v>
      </c>
      <c r="P436" s="39">
        <f>4.2*25.4</f>
        <v>106.67999999999999</v>
      </c>
      <c r="Q436" s="7">
        <f t="shared" si="1423"/>
        <v>344.93200000000002</v>
      </c>
      <c r="R436" s="38">
        <v>2</v>
      </c>
      <c r="S436" s="4">
        <f t="shared" si="1493"/>
        <v>508</v>
      </c>
      <c r="T436" s="7">
        <f t="shared" si="1424"/>
        <v>2.3794326241134751</v>
      </c>
      <c r="U436" s="7">
        <f t="shared" si="1548"/>
        <v>2.3794326241134751</v>
      </c>
      <c r="V436" s="38">
        <v>4.5</v>
      </c>
      <c r="W436" s="4">
        <f t="shared" si="1425"/>
        <v>4.5</v>
      </c>
      <c r="X436" s="4">
        <f t="shared" si="1426"/>
        <v>5.5</v>
      </c>
      <c r="Y436" s="7">
        <f t="shared" si="1427"/>
        <v>83.991275011158137</v>
      </c>
      <c r="AB436" s="38">
        <f t="shared" si="1461"/>
        <v>891.0344827586207</v>
      </c>
      <c r="AC436" s="4">
        <v>129.19999999999999</v>
      </c>
      <c r="AD436" s="4">
        <f t="shared" si="1587"/>
        <v>1.2159686517391213</v>
      </c>
      <c r="AE436" s="38">
        <f t="shared" ref="AE436:AE437" si="1682">0.5*25.4</f>
        <v>12.7</v>
      </c>
      <c r="AF436" s="38">
        <v>12</v>
      </c>
      <c r="AG436" s="39">
        <f t="shared" ref="AG436:AG437" si="1683">4*25.4</f>
        <v>101.6</v>
      </c>
      <c r="AH436" s="39">
        <v>2</v>
      </c>
      <c r="AI436" s="39">
        <f t="shared" ref="AI436:AI437" si="1684">AH436-1</f>
        <v>1</v>
      </c>
      <c r="AJ436" s="7"/>
      <c r="AK436" s="4">
        <f t="shared" si="1429"/>
        <v>426.97399999999993</v>
      </c>
      <c r="AL436" s="4">
        <f t="shared" si="1607"/>
        <v>0.43029942494546902</v>
      </c>
      <c r="AM436" s="4">
        <f t="shared" si="1608"/>
        <v>378.97234670320694</v>
      </c>
      <c r="AN436" s="4">
        <f t="shared" si="1609"/>
        <v>0.73991671624033306</v>
      </c>
      <c r="AO436" s="4">
        <v>1.25</v>
      </c>
      <c r="AP436" s="4">
        <f t="shared" si="1520"/>
        <v>2.5</v>
      </c>
      <c r="AQ436" s="38">
        <f t="shared" si="1398"/>
        <v>377.06059406058517</v>
      </c>
      <c r="AR436" s="38">
        <f t="shared" si="1610"/>
        <v>377.06059406058517</v>
      </c>
      <c r="AS436" s="38">
        <f t="shared" si="1611"/>
        <v>4.7252710400583542</v>
      </c>
      <c r="AT436" s="38">
        <f t="shared" si="1533"/>
        <v>377.06059406058517</v>
      </c>
      <c r="AU436" s="38">
        <f t="shared" si="1495"/>
        <v>1</v>
      </c>
      <c r="AV436" s="38">
        <f t="shared" si="1534"/>
        <v>2.0052122080112209</v>
      </c>
      <c r="AW436" s="4">
        <f t="shared" si="1535"/>
        <v>0</v>
      </c>
      <c r="AX436" s="4">
        <f t="shared" si="1430"/>
        <v>543.03261108957565</v>
      </c>
      <c r="AY436" s="4">
        <f t="shared" si="1399"/>
        <v>1</v>
      </c>
      <c r="AZ436" s="38">
        <f t="shared" si="1542"/>
        <v>756.08650637024857</v>
      </c>
      <c r="BA436" s="4">
        <f t="shared" si="1400"/>
        <v>0.37</v>
      </c>
      <c r="BB436" s="4">
        <f t="shared" si="1401"/>
        <v>104.98177953889221</v>
      </c>
      <c r="BC436" s="4">
        <f t="shared" si="1402"/>
        <v>861.06828590914074</v>
      </c>
      <c r="BE436" s="4">
        <f t="shared" si="1521"/>
        <v>1.5</v>
      </c>
      <c r="BF436" s="4">
        <f t="shared" si="1527"/>
        <v>853.73545493788572</v>
      </c>
      <c r="BH436" s="4">
        <f t="shared" si="1549"/>
        <v>725.17942296368437</v>
      </c>
      <c r="BI436" s="4">
        <f t="shared" si="1481"/>
        <v>0</v>
      </c>
      <c r="BJ436" s="4">
        <f t="shared" si="1550"/>
        <v>0</v>
      </c>
      <c r="BK436" s="4">
        <f t="shared" si="1612"/>
        <v>67.309999999999988</v>
      </c>
      <c r="BL436" s="4">
        <f t="shared" si="1613"/>
        <v>67.309999999999988</v>
      </c>
      <c r="BM436" s="4">
        <f t="shared" si="1614"/>
        <v>508</v>
      </c>
      <c r="BN436" s="4">
        <f t="shared" si="1615"/>
        <v>85.216999999999985</v>
      </c>
      <c r="BO436" s="4">
        <f t="shared" si="1616"/>
        <v>1.25</v>
      </c>
      <c r="BP436" s="25">
        <f t="shared" si="1617"/>
        <v>4</v>
      </c>
      <c r="BR436" s="4">
        <f t="shared" si="1403"/>
        <v>67.309999999999988</v>
      </c>
      <c r="BV436" s="9"/>
      <c r="BX436" s="9"/>
      <c r="BY436" s="9"/>
      <c r="BZ436" s="9">
        <f t="shared" si="1404"/>
        <v>67.309999999999988</v>
      </c>
      <c r="CA436" s="9">
        <f t="shared" si="1405"/>
        <v>172.46600000000001</v>
      </c>
      <c r="CB436" s="9">
        <f t="shared" si="1536"/>
        <v>1.5787267425904519</v>
      </c>
      <c r="CC436" s="40">
        <f t="shared" si="1431"/>
        <v>20</v>
      </c>
      <c r="CD436" s="9">
        <f t="shared" si="1406"/>
        <v>0.05</v>
      </c>
      <c r="CE436" s="9">
        <f t="shared" si="1407"/>
        <v>0.8</v>
      </c>
      <c r="CF436" s="9">
        <f t="shared" si="1408"/>
        <v>0.89777220146327208</v>
      </c>
      <c r="CG436" s="9">
        <f t="shared" si="1409"/>
        <v>0.68048275862068963</v>
      </c>
      <c r="CH436" s="9">
        <f t="shared" si="1537"/>
        <v>1.8504707967044269</v>
      </c>
      <c r="CI436" s="9">
        <f t="shared" si="1538"/>
        <v>4.4017643705034795</v>
      </c>
      <c r="CJ436" s="40">
        <v>1</v>
      </c>
      <c r="CK436" s="9">
        <f t="shared" si="1539"/>
        <v>474.01695178528246</v>
      </c>
      <c r="CM436" s="4">
        <f t="shared" si="1410"/>
        <v>1.6408489371767041</v>
      </c>
      <c r="CN436" s="4">
        <f t="shared" si="1411"/>
        <v>1.0348011851555312</v>
      </c>
      <c r="CO436" s="4">
        <f t="shared" si="1679"/>
        <v>1.0436892102875694</v>
      </c>
      <c r="CP436" s="4">
        <f t="shared" si="1412"/>
        <v>1.8797523578064703</v>
      </c>
      <c r="CQ436" s="4">
        <f t="shared" si="1627"/>
        <v>1.2159686517391213</v>
      </c>
      <c r="CR436" s="4">
        <f t="shared" si="1628"/>
        <v>1.2692714892463186</v>
      </c>
      <c r="CS436" s="4">
        <f t="shared" si="1680"/>
        <v>1.3088116847320996</v>
      </c>
      <c r="CT436" s="4">
        <f t="shared" si="1432"/>
        <v>12</v>
      </c>
      <c r="DA436" s="4">
        <f t="shared" ref="DA436:DB437" si="1685">CM436</f>
        <v>1.6408489371767041</v>
      </c>
      <c r="DB436" s="4">
        <f t="shared" si="1685"/>
        <v>1.0348011851555312</v>
      </c>
      <c r="DC436" s="4">
        <f t="shared" ref="DC436:DC437" si="1686">CP436</f>
        <v>1.8797523578064703</v>
      </c>
      <c r="DD436" s="4">
        <f t="shared" ref="DD436:DD437" si="1687">CS436</f>
        <v>1.3088116847320996</v>
      </c>
      <c r="DE436" s="4">
        <f t="shared" ref="DE436:DF437" si="1688">CQ436</f>
        <v>1.2159686517391213</v>
      </c>
      <c r="DF436" s="4">
        <f t="shared" si="1688"/>
        <v>1.2692714892463186</v>
      </c>
      <c r="DI436" s="4">
        <f t="shared" si="1417"/>
        <v>426.97399999999993</v>
      </c>
      <c r="DL436" s="4">
        <f t="shared" si="1588"/>
        <v>2.8332491197524731E-5</v>
      </c>
      <c r="DM436" s="4">
        <f t="shared" si="1589"/>
        <v>9.175653902487765</v>
      </c>
      <c r="DN436" s="4">
        <f t="shared" si="1590"/>
        <v>0.36562666516056047</v>
      </c>
      <c r="DO436" s="4">
        <f t="shared" si="1591"/>
        <v>6.1355311948268501</v>
      </c>
      <c r="DP436" s="4">
        <f t="shared" si="1592"/>
        <v>7.8056110225120436</v>
      </c>
      <c r="DQ436" s="4">
        <f t="shared" si="1593"/>
        <v>7.7343241921128305</v>
      </c>
      <c r="DR436" s="38">
        <f t="shared" si="1622"/>
        <v>732.77751156185786</v>
      </c>
      <c r="DS436" s="4">
        <f t="shared" si="1594"/>
        <v>1.0001043661323701</v>
      </c>
      <c r="DT436" s="4">
        <f t="shared" si="1595"/>
        <v>2.3452078799117149</v>
      </c>
      <c r="DU436" s="4">
        <f t="shared" si="1596"/>
        <v>377.06059406058517</v>
      </c>
      <c r="DY436" s="4">
        <f t="shared" si="1597"/>
        <v>0.85</v>
      </c>
      <c r="DZ436" s="4">
        <f t="shared" si="1598"/>
        <v>0.91205673758865247</v>
      </c>
      <c r="EA436" s="4">
        <f t="shared" si="1623"/>
        <v>0.9995510789195714</v>
      </c>
      <c r="EB436" s="4">
        <f t="shared" si="1599"/>
        <v>0.91164729609260198</v>
      </c>
      <c r="ED436" s="4">
        <f t="shared" si="1624"/>
        <v>702.00464621458445</v>
      </c>
      <c r="EE436" s="25">
        <f t="shared" si="1625"/>
        <v>373.82859919156465</v>
      </c>
      <c r="EG436" s="4">
        <f t="shared" si="1514"/>
        <v>0.77490020167871165</v>
      </c>
      <c r="EH436" s="4">
        <f t="shared" si="1626"/>
        <v>9.175653902487765</v>
      </c>
      <c r="EK436" s="4">
        <f t="shared" si="1600"/>
        <v>83.991275011158137</v>
      </c>
      <c r="EL436" s="4">
        <f t="shared" si="1601"/>
        <v>2.3452078799117149</v>
      </c>
      <c r="EM436" s="4">
        <f t="shared" si="1602"/>
        <v>0.17302307982485968</v>
      </c>
      <c r="EP436" s="4">
        <f t="shared" si="1433"/>
        <v>0.17302307982485968</v>
      </c>
      <c r="EQ436" s="4">
        <f t="shared" si="1540"/>
        <v>0.36501650239995459</v>
      </c>
      <c r="ER436" s="4">
        <f t="shared" si="1603"/>
        <v>6.1314335193277074</v>
      </c>
      <c r="ES436" s="4">
        <f t="shared" si="1418"/>
        <v>7.8040042556627496</v>
      </c>
      <c r="ET436" s="4">
        <f t="shared" si="1604"/>
        <v>236.23922498884181</v>
      </c>
      <c r="EU436" s="4">
        <f t="shared" si="1605"/>
        <v>106.74350000000001</v>
      </c>
      <c r="EV436" s="4">
        <f t="shared" si="1541"/>
        <v>2.8332491197524738E-5</v>
      </c>
      <c r="EW436" s="4">
        <f t="shared" si="1419"/>
        <v>7.7346903370843023</v>
      </c>
      <c r="EX436" s="4">
        <f t="shared" si="1555"/>
        <v>732.70104238788031</v>
      </c>
      <c r="FA436" s="4">
        <f>6.75*25.4</f>
        <v>171.45</v>
      </c>
      <c r="FG436" s="23">
        <f t="shared" si="1459"/>
        <v>1.8</v>
      </c>
      <c r="FH436" s="23">
        <f t="shared" si="1459"/>
        <v>1.2</v>
      </c>
      <c r="FI436" s="23">
        <f t="shared" si="1681"/>
        <v>1.4</v>
      </c>
      <c r="FJ436" s="23">
        <f t="shared" si="1460"/>
        <v>2</v>
      </c>
      <c r="FK436" s="23">
        <f t="shared" si="1460"/>
        <v>1.4</v>
      </c>
      <c r="FL436" s="23">
        <f t="shared" si="1460"/>
        <v>1.4</v>
      </c>
      <c r="FM436" s="23">
        <f t="shared" si="1629"/>
        <v>0</v>
      </c>
      <c r="FN436" s="23"/>
      <c r="FX436" s="4">
        <f t="shared" si="1500"/>
        <v>1</v>
      </c>
      <c r="FY436" s="4">
        <f t="shared" si="1561"/>
        <v>0.43261334185606104</v>
      </c>
      <c r="FZ436" s="4">
        <f t="shared" si="1501"/>
        <v>0.25149640360142855</v>
      </c>
      <c r="GA436" s="4">
        <f t="shared" si="1502"/>
        <v>680.79655243986178</v>
      </c>
    </row>
    <row r="437" spans="1:183" ht="12" customHeight="1" x14ac:dyDescent="0.3">
      <c r="A437" s="25">
        <v>419</v>
      </c>
      <c r="B437" s="4" t="s">
        <v>605</v>
      </c>
      <c r="C437" s="4">
        <v>2016</v>
      </c>
      <c r="D437" s="4" t="s">
        <v>309</v>
      </c>
      <c r="E437" s="14" t="s">
        <v>679</v>
      </c>
      <c r="F437" s="7" t="s">
        <v>590</v>
      </c>
      <c r="G437" s="38">
        <f>135/0.145</f>
        <v>931.0344827586207</v>
      </c>
      <c r="H437" s="38">
        <f>16.81*25.4</f>
        <v>426.97399999999993</v>
      </c>
      <c r="I437" s="4">
        <f t="shared" si="1420"/>
        <v>426.97399999999993</v>
      </c>
      <c r="J437" s="38">
        <f>10120/145</f>
        <v>69.793103448275858</v>
      </c>
      <c r="K437" s="38">
        <f t="shared" si="1642"/>
        <v>35.813999999999993</v>
      </c>
      <c r="L437" s="7">
        <f t="shared" si="1421"/>
        <v>11.921985815602838</v>
      </c>
      <c r="M437" s="7">
        <f t="shared" si="1422"/>
        <v>11.921985815602838</v>
      </c>
      <c r="N437" s="38">
        <f>22.4*25.4</f>
        <v>568.95999999999992</v>
      </c>
      <c r="O437" s="38">
        <f>2.8*25.4</f>
        <v>71.11999999999999</v>
      </c>
      <c r="P437" s="39">
        <f>3.1*25.4</f>
        <v>78.739999999999995</v>
      </c>
      <c r="Q437" s="7">
        <f t="shared" si="1423"/>
        <v>355.09199999999998</v>
      </c>
      <c r="R437" s="38">
        <v>2</v>
      </c>
      <c r="S437" s="4">
        <f t="shared" si="1493"/>
        <v>508</v>
      </c>
      <c r="T437" s="7">
        <f t="shared" si="1424"/>
        <v>2.4858156028368796</v>
      </c>
      <c r="U437" s="7">
        <f t="shared" si="1548"/>
        <v>2.4858156028368796</v>
      </c>
      <c r="V437" s="38">
        <v>5.5</v>
      </c>
      <c r="W437" s="4">
        <f t="shared" si="1425"/>
        <v>5.5</v>
      </c>
      <c r="X437" s="4">
        <f t="shared" si="1426"/>
        <v>6.5</v>
      </c>
      <c r="Y437" s="7">
        <f t="shared" si="1427"/>
        <v>91.308142429905971</v>
      </c>
      <c r="AB437" s="38">
        <f t="shared" si="1461"/>
        <v>872.41379310344837</v>
      </c>
      <c r="AC437" s="4">
        <v>126.5</v>
      </c>
      <c r="AD437" s="4">
        <f t="shared" si="1587"/>
        <v>1.2091576243153148</v>
      </c>
      <c r="AE437" s="38">
        <f t="shared" si="1682"/>
        <v>12.7</v>
      </c>
      <c r="AF437" s="38">
        <v>12</v>
      </c>
      <c r="AG437" s="39">
        <f t="shared" si="1683"/>
        <v>101.6</v>
      </c>
      <c r="AH437" s="39">
        <v>2</v>
      </c>
      <c r="AI437" s="39">
        <f t="shared" si="1684"/>
        <v>1</v>
      </c>
      <c r="AJ437" s="7"/>
      <c r="AK437" s="4">
        <f t="shared" si="1429"/>
        <v>426.97399999999993</v>
      </c>
      <c r="AL437" s="4">
        <f t="shared" si="1607"/>
        <v>0.44418005155661316</v>
      </c>
      <c r="AM437" s="4">
        <f t="shared" si="1608"/>
        <v>365.83298834249337</v>
      </c>
      <c r="AN437" s="4">
        <f t="shared" si="1609"/>
        <v>0.74170136823319444</v>
      </c>
      <c r="AO437" s="4">
        <v>1.25</v>
      </c>
      <c r="AP437" s="4">
        <f t="shared" si="1520"/>
        <v>2.5</v>
      </c>
      <c r="AQ437" s="38">
        <f t="shared" si="1398"/>
        <v>376.63529565521696</v>
      </c>
      <c r="AR437" s="38">
        <f t="shared" si="1610"/>
        <v>376.63529565521696</v>
      </c>
      <c r="AS437" s="38">
        <f t="shared" si="1611"/>
        <v>4.6054834550100843</v>
      </c>
      <c r="AT437" s="38">
        <f t="shared" si="1533"/>
        <v>376.63529565521696</v>
      </c>
      <c r="AU437" s="38">
        <f t="shared" si="1495"/>
        <v>1</v>
      </c>
      <c r="AV437" s="38">
        <f t="shared" si="1534"/>
        <v>2.1605869253783649</v>
      </c>
      <c r="AW437" s="4">
        <f t="shared" si="1535"/>
        <v>0</v>
      </c>
      <c r="AX437" s="4">
        <f t="shared" si="1430"/>
        <v>524.20511578357173</v>
      </c>
      <c r="AY437" s="4">
        <f t="shared" si="1399"/>
        <v>1</v>
      </c>
      <c r="AZ437" s="38">
        <f t="shared" si="1542"/>
        <v>813.75329542867667</v>
      </c>
      <c r="BA437" s="4">
        <f t="shared" si="1400"/>
        <v>0.3</v>
      </c>
      <c r="BB437" s="4">
        <f t="shared" si="1401"/>
        <v>82.16915189907489</v>
      </c>
      <c r="BC437" s="4">
        <f t="shared" si="1402"/>
        <v>895.92244732775157</v>
      </c>
      <c r="BE437" s="4">
        <f t="shared" si="1521"/>
        <v>1.5</v>
      </c>
      <c r="BF437" s="4">
        <f t="shared" si="1527"/>
        <v>824.13557466888903</v>
      </c>
      <c r="BH437" s="4">
        <f t="shared" si="1549"/>
        <v>780.48892585948306</v>
      </c>
      <c r="BI437" s="4">
        <f t="shared" si="1481"/>
        <v>0</v>
      </c>
      <c r="BJ437" s="4">
        <f t="shared" si="1550"/>
        <v>0</v>
      </c>
      <c r="BK437" s="4">
        <f t="shared" si="1612"/>
        <v>71.11999999999999</v>
      </c>
      <c r="BL437" s="4">
        <f t="shared" si="1613"/>
        <v>71.11999999999999</v>
      </c>
      <c r="BM437" s="4">
        <f t="shared" si="1614"/>
        <v>508</v>
      </c>
      <c r="BN437" s="4">
        <f t="shared" si="1615"/>
        <v>89.026999999999987</v>
      </c>
      <c r="BO437" s="4">
        <f t="shared" si="1616"/>
        <v>1.25</v>
      </c>
      <c r="BP437" s="25">
        <f t="shared" si="1617"/>
        <v>4</v>
      </c>
      <c r="BR437" s="4">
        <f t="shared" si="1403"/>
        <v>71.11999999999999</v>
      </c>
      <c r="BV437" s="9"/>
      <c r="BX437" s="9"/>
      <c r="BY437" s="9"/>
      <c r="BZ437" s="9">
        <f t="shared" si="1404"/>
        <v>71.11999999999999</v>
      </c>
      <c r="CA437" s="9">
        <f t="shared" si="1405"/>
        <v>177.54599999999999</v>
      </c>
      <c r="CB437" s="9">
        <f t="shared" si="1536"/>
        <v>1.6164688165154646</v>
      </c>
      <c r="CC437" s="40">
        <f t="shared" si="1431"/>
        <v>20</v>
      </c>
      <c r="CD437" s="9">
        <f t="shared" si="1406"/>
        <v>0.05</v>
      </c>
      <c r="CE437" s="9">
        <f t="shared" si="1407"/>
        <v>0.8</v>
      </c>
      <c r="CF437" s="9">
        <f t="shared" si="1408"/>
        <v>0.89777220146327208</v>
      </c>
      <c r="CG437" s="9">
        <f t="shared" si="1409"/>
        <v>0.68</v>
      </c>
      <c r="CH437" s="9">
        <f t="shared" si="1537"/>
        <v>1.7850458101214393</v>
      </c>
      <c r="CI437" s="9">
        <f t="shared" si="1538"/>
        <v>4.313507536210043</v>
      </c>
      <c r="CJ437" s="40">
        <v>1</v>
      </c>
      <c r="CK437" s="9">
        <f t="shared" si="1539"/>
        <v>464.51275482137089</v>
      </c>
      <c r="CM437" s="4">
        <f t="shared" si="1410"/>
        <v>1.6642603569394416</v>
      </c>
      <c r="CN437" s="4">
        <f t="shared" si="1411"/>
        <v>0.9737603915445785</v>
      </c>
      <c r="CO437" s="4">
        <f t="shared" si="1679"/>
        <v>1.0585804325386099</v>
      </c>
      <c r="CP437" s="4">
        <f t="shared" si="1412"/>
        <v>1.8781266693934733</v>
      </c>
      <c r="CQ437" s="4">
        <f t="shared" si="1627"/>
        <v>1.2091576243153148</v>
      </c>
      <c r="CR437" s="4">
        <f t="shared" si="1628"/>
        <v>1.2571639757274684</v>
      </c>
      <c r="CS437" s="4">
        <f t="shared" si="1680"/>
        <v>1.3330135927123574</v>
      </c>
      <c r="CT437" s="4">
        <f t="shared" si="1432"/>
        <v>12</v>
      </c>
      <c r="DA437" s="4">
        <f t="shared" si="1685"/>
        <v>1.6642603569394416</v>
      </c>
      <c r="DB437" s="4">
        <f t="shared" si="1685"/>
        <v>0.9737603915445785</v>
      </c>
      <c r="DC437" s="4">
        <f t="shared" si="1686"/>
        <v>1.8781266693934733</v>
      </c>
      <c r="DD437" s="4">
        <f t="shared" si="1687"/>
        <v>1.3330135927123574</v>
      </c>
      <c r="DE437" s="4">
        <f t="shared" si="1688"/>
        <v>1.2091576243153148</v>
      </c>
      <c r="DF437" s="4">
        <f t="shared" si="1688"/>
        <v>1.2571639757274684</v>
      </c>
      <c r="DI437" s="4">
        <f t="shared" si="1417"/>
        <v>426.97399999999993</v>
      </c>
      <c r="DL437" s="4">
        <f t="shared" si="1588"/>
        <v>2.7474056791368898E-5</v>
      </c>
      <c r="DM437" s="4">
        <f t="shared" si="1589"/>
        <v>8.9620587312961906</v>
      </c>
      <c r="DN437" s="4">
        <f t="shared" si="1590"/>
        <v>0.34859584084536072</v>
      </c>
      <c r="DO437" s="4">
        <f t="shared" si="1591"/>
        <v>5.8794495225591783</v>
      </c>
      <c r="DP437" s="4">
        <f t="shared" si="1592"/>
        <v>7.5797874309844042</v>
      </c>
      <c r="DQ437" s="4">
        <f t="shared" si="1593"/>
        <v>7.6423420206231123</v>
      </c>
      <c r="DR437" s="38">
        <f t="shared" si="1622"/>
        <v>721.50543118598989</v>
      </c>
      <c r="DS437" s="4">
        <f t="shared" si="1594"/>
        <v>1.0001037369255086</v>
      </c>
      <c r="DT437" s="4">
        <f t="shared" si="1595"/>
        <v>2.5495097567963922</v>
      </c>
      <c r="DU437" s="4">
        <f t="shared" si="1596"/>
        <v>376.63529565521696</v>
      </c>
      <c r="DY437" s="4">
        <f t="shared" si="1597"/>
        <v>0.85</v>
      </c>
      <c r="DZ437" s="4">
        <f t="shared" si="1598"/>
        <v>0.90141843971631208</v>
      </c>
      <c r="EA437" s="4">
        <f t="shared" si="1623"/>
        <v>0.9995510789195714</v>
      </c>
      <c r="EB437" s="4">
        <f t="shared" si="1599"/>
        <v>0.90101377397643634</v>
      </c>
      <c r="ED437" s="4">
        <f t="shared" si="1624"/>
        <v>693.95385959784517</v>
      </c>
      <c r="EE437" s="25">
        <f t="shared" si="1625"/>
        <v>373.417248378507</v>
      </c>
      <c r="EG437" s="4">
        <f t="shared" si="1514"/>
        <v>0.76586170787997088</v>
      </c>
      <c r="EH437" s="4">
        <f t="shared" si="1626"/>
        <v>8.9620587312961906</v>
      </c>
      <c r="EK437" s="4">
        <f t="shared" si="1600"/>
        <v>91.308142429905971</v>
      </c>
      <c r="EL437" s="4">
        <f t="shared" si="1601"/>
        <v>2.5495097567963922</v>
      </c>
      <c r="EM437" s="4">
        <f t="shared" si="1602"/>
        <v>0.1592442360421113</v>
      </c>
      <c r="EP437" s="4">
        <f t="shared" si="1433"/>
        <v>0.1592442360421113</v>
      </c>
      <c r="EQ437" s="4">
        <f t="shared" si="1540"/>
        <v>0.34801409935642263</v>
      </c>
      <c r="ER437" s="4">
        <f t="shared" si="1603"/>
        <v>5.875522873750457</v>
      </c>
      <c r="ES437" s="4">
        <f t="shared" si="1418"/>
        <v>7.5782685345449767</v>
      </c>
      <c r="ET437" s="4">
        <f t="shared" si="1604"/>
        <v>228.92235757009399</v>
      </c>
      <c r="EU437" s="4">
        <f t="shared" si="1605"/>
        <v>106.74349999999998</v>
      </c>
      <c r="EV437" s="4">
        <f t="shared" si="1541"/>
        <v>2.7474056791368898E-5</v>
      </c>
      <c r="EW437" s="4">
        <f t="shared" si="1419"/>
        <v>7.6426809026272471</v>
      </c>
      <c r="EX437" s="4">
        <f t="shared" si="1555"/>
        <v>721.43059219438783</v>
      </c>
      <c r="FG437" s="23">
        <f t="shared" si="1459"/>
        <v>1.8</v>
      </c>
      <c r="FH437" s="23">
        <f t="shared" si="1459"/>
        <v>1</v>
      </c>
      <c r="FI437" s="23">
        <f t="shared" si="1681"/>
        <v>1.4</v>
      </c>
      <c r="FJ437" s="23">
        <f t="shared" si="1460"/>
        <v>2</v>
      </c>
      <c r="FK437" s="23">
        <f t="shared" si="1460"/>
        <v>1.4</v>
      </c>
      <c r="FL437" s="23">
        <f t="shared" si="1460"/>
        <v>1.4</v>
      </c>
      <c r="FM437" s="23">
        <f t="shared" si="1629"/>
        <v>0</v>
      </c>
      <c r="FN437" s="23"/>
      <c r="FX437" s="4">
        <f t="shared" si="1500"/>
        <v>1</v>
      </c>
      <c r="FY437" s="4">
        <f t="shared" si="1561"/>
        <v>0.44214730608235164</v>
      </c>
      <c r="FZ437" s="4">
        <f t="shared" si="1501"/>
        <v>0.25149640360142855</v>
      </c>
      <c r="GA437" s="4">
        <f t="shared" si="1502"/>
        <v>654.46728966078967</v>
      </c>
    </row>
    <row r="438" spans="1:183" ht="12" customHeight="1" x14ac:dyDescent="0.3">
      <c r="A438" s="25">
        <v>420</v>
      </c>
      <c r="B438" s="4" t="s">
        <v>605</v>
      </c>
      <c r="C438" s="4">
        <v>2016</v>
      </c>
      <c r="D438" s="4" t="s">
        <v>309</v>
      </c>
      <c r="E438" s="14" t="s">
        <v>679</v>
      </c>
      <c r="F438" s="48" t="s">
        <v>591</v>
      </c>
      <c r="G438" s="38">
        <f>115.9/0.145</f>
        <v>799.31034482758628</v>
      </c>
      <c r="H438" s="38">
        <f>16.92*25.4</f>
        <v>429.76800000000003</v>
      </c>
      <c r="I438" s="4">
        <f t="shared" si="1420"/>
        <v>429.76800000000003</v>
      </c>
      <c r="J438" s="38">
        <f>10860/145</f>
        <v>74.896551724137936</v>
      </c>
      <c r="K438" s="38">
        <f t="shared" si="1642"/>
        <v>35.813999999999993</v>
      </c>
      <c r="L438" s="7">
        <f t="shared" si="1421"/>
        <v>12.000000000000004</v>
      </c>
      <c r="M438" s="7">
        <f t="shared" si="1422"/>
        <v>12.000000000000004</v>
      </c>
      <c r="N438" s="38">
        <f>21.8*25.4</f>
        <v>553.72</v>
      </c>
      <c r="O438" s="38">
        <f>2.75*25.4</f>
        <v>69.849999999999994</v>
      </c>
      <c r="P438" s="39">
        <f>3.9*25.4</f>
        <v>99.059999999999988</v>
      </c>
      <c r="Q438" s="7">
        <f t="shared" si="1423"/>
        <v>153.28900000000002</v>
      </c>
      <c r="R438" s="38">
        <v>3</v>
      </c>
      <c r="S438" s="4">
        <f t="shared" si="1493"/>
        <v>508</v>
      </c>
      <c r="T438" s="7">
        <f t="shared" si="1424"/>
        <v>2.4503546099290783</v>
      </c>
      <c r="U438" s="7">
        <f t="shared" si="1548"/>
        <v>2.4503546099290783</v>
      </c>
      <c r="V438" s="38">
        <v>4.5</v>
      </c>
      <c r="W438" s="4">
        <f t="shared" si="1425"/>
        <v>4.5</v>
      </c>
      <c r="X438" s="4">
        <f t="shared" si="1426"/>
        <v>5.5</v>
      </c>
      <c r="Y438" s="7">
        <f t="shared" si="1427"/>
        <v>83.991275011158137</v>
      </c>
      <c r="AB438" s="38">
        <f t="shared" si="1461"/>
        <v>472.41379310344831</v>
      </c>
      <c r="AC438" s="4">
        <v>68.5</v>
      </c>
      <c r="AD438" s="4">
        <f t="shared" si="1587"/>
        <v>0.79048475314469613</v>
      </c>
      <c r="AE438" s="38">
        <v>0</v>
      </c>
      <c r="AF438" s="38">
        <v>0</v>
      </c>
      <c r="AG438" s="39">
        <f t="shared" ref="AG438:AG439" si="1689">I438</f>
        <v>429.76800000000003</v>
      </c>
      <c r="AH438" s="39"/>
      <c r="AI438" s="39"/>
      <c r="AJ438" s="7"/>
      <c r="AK438" s="4">
        <f t="shared" si="1429"/>
        <v>429.76800000000003</v>
      </c>
      <c r="AL438" s="4">
        <f t="shared" si="1607"/>
        <v>0.42947202521670608</v>
      </c>
      <c r="AM438" s="4">
        <f t="shared" si="1608"/>
        <v>255.13217408187629</v>
      </c>
      <c r="AN438" s="4">
        <f t="shared" si="1609"/>
        <v>0.74083924349881791</v>
      </c>
      <c r="AO438" s="4">
        <v>1.25</v>
      </c>
      <c r="AP438" s="4">
        <f t="shared" si="1520"/>
        <v>2.5</v>
      </c>
      <c r="AQ438" s="38">
        <f t="shared" si="1398"/>
        <v>253.67292190521363</v>
      </c>
      <c r="AR438" s="38">
        <f t="shared" si="1610"/>
        <v>253.67292190521363</v>
      </c>
      <c r="AS438" s="38">
        <f t="shared" si="1611"/>
        <v>4.7252710400583542</v>
      </c>
      <c r="AT438" s="38">
        <f t="shared" si="1533"/>
        <v>253.67292190521368</v>
      </c>
      <c r="AU438" s="38">
        <f t="shared" si="1495"/>
        <v>0.99999999999999978</v>
      </c>
      <c r="AV438" s="38">
        <f t="shared" si="1534"/>
        <v>3.0693958621812145</v>
      </c>
      <c r="AW438" s="4">
        <f t="shared" si="1535"/>
        <v>0</v>
      </c>
      <c r="AX438" s="4">
        <f t="shared" si="1430"/>
        <v>546.58606660533144</v>
      </c>
      <c r="AY438" s="4">
        <f t="shared" si="1399"/>
        <v>1</v>
      </c>
      <c r="AZ438" s="38">
        <f t="shared" si="1542"/>
        <v>778.62261684328121</v>
      </c>
      <c r="BA438" s="4">
        <f t="shared" si="1400"/>
        <v>0.37</v>
      </c>
      <c r="BB438" s="4">
        <f t="shared" si="1401"/>
        <v>105.66875132647569</v>
      </c>
      <c r="BC438" s="4">
        <f t="shared" si="1402"/>
        <v>884.29136816975688</v>
      </c>
      <c r="BE438" s="4">
        <f t="shared" si="1521"/>
        <v>1.2375886524822697</v>
      </c>
      <c r="BF438" s="4">
        <f t="shared" si="1527"/>
        <v>706.88890574928166</v>
      </c>
      <c r="BH438" s="4">
        <f t="shared" si="1549"/>
        <v>746.79430889404762</v>
      </c>
      <c r="BI438" s="4">
        <f t="shared" si="1481"/>
        <v>0</v>
      </c>
      <c r="BJ438" s="4">
        <f t="shared" si="1550"/>
        <v>0</v>
      </c>
      <c r="BK438" s="4">
        <f t="shared" si="1612"/>
        <v>69.849999999999994</v>
      </c>
      <c r="BL438" s="4">
        <f t="shared" si="1613"/>
        <v>69.849999999999994</v>
      </c>
      <c r="BM438" s="4">
        <f t="shared" si="1614"/>
        <v>508</v>
      </c>
      <c r="BN438" s="4">
        <f t="shared" si="1615"/>
        <v>87.756999999999991</v>
      </c>
      <c r="BO438" s="4">
        <f t="shared" si="1616"/>
        <v>1.25</v>
      </c>
      <c r="BP438" s="25">
        <f t="shared" si="1617"/>
        <v>3.062943262411348</v>
      </c>
      <c r="BR438" s="4">
        <f t="shared" si="1403"/>
        <v>69.849999999999994</v>
      </c>
      <c r="BV438" s="9"/>
      <c r="BX438" s="9"/>
      <c r="BY438" s="9"/>
      <c r="BZ438" s="9">
        <f t="shared" si="1404"/>
        <v>69.849999999999994</v>
      </c>
      <c r="CA438" s="9">
        <f t="shared" si="1405"/>
        <v>76.644500000000008</v>
      </c>
      <c r="CB438" s="9">
        <f t="shared" si="1536"/>
        <v>1.4161327883964441</v>
      </c>
      <c r="CC438" s="40">
        <f t="shared" si="1431"/>
        <v>20</v>
      </c>
      <c r="CD438" s="9">
        <f t="shared" si="1406"/>
        <v>0</v>
      </c>
      <c r="CE438" s="9">
        <f t="shared" si="1407"/>
        <v>0</v>
      </c>
      <c r="CF438" s="9">
        <f t="shared" si="1408"/>
        <v>0.89777220146327208</v>
      </c>
      <c r="CG438" s="9">
        <f t="shared" si="1409"/>
        <v>0.68048275862068963</v>
      </c>
      <c r="CH438" s="9">
        <f t="shared" si="1537"/>
        <v>1.8504707967044269</v>
      </c>
      <c r="CI438" s="9">
        <f t="shared" si="1538"/>
        <v>2.6205123691832295</v>
      </c>
      <c r="CJ438" s="40">
        <v>1</v>
      </c>
      <c r="CK438" s="9">
        <f t="shared" si="1539"/>
        <v>283.01533587178881</v>
      </c>
      <c r="CM438" s="4">
        <f t="shared" si="1410"/>
        <v>0.8642990042491514</v>
      </c>
      <c r="CN438" s="4">
        <f t="shared" si="1411"/>
        <v>0.5342286604936749</v>
      </c>
      <c r="CO438" s="4">
        <f t="shared" si="1679"/>
        <v>0.66829991143050049</v>
      </c>
      <c r="CP438" s="4">
        <f t="shared" si="1412"/>
        <v>1.6692162339833787</v>
      </c>
      <c r="CQ438" s="4">
        <f t="shared" si="1627"/>
        <v>0.79048475314469613</v>
      </c>
      <c r="CR438" s="4">
        <f t="shared" si="1628"/>
        <v>0.8085349544542425</v>
      </c>
      <c r="CS438" s="4">
        <f t="shared" si="1680"/>
        <v>1.0135027696838101</v>
      </c>
      <c r="CT438" s="4">
        <f t="shared" si="1432"/>
        <v>0</v>
      </c>
      <c r="CU438" s="4">
        <f t="shared" ref="CU438:CV439" si="1690">CM438</f>
        <v>0.8642990042491514</v>
      </c>
      <c r="CV438" s="4">
        <f t="shared" si="1690"/>
        <v>0.5342286604936749</v>
      </c>
      <c r="CW438" s="4">
        <f t="shared" ref="CW438:CW439" si="1691">CP438</f>
        <v>1.6692162339833787</v>
      </c>
      <c r="CX438" s="4">
        <f t="shared" ref="CX438:CX439" si="1692">CS438</f>
        <v>1.0135027696838101</v>
      </c>
      <c r="CY438" s="4">
        <f t="shared" ref="CY438:CZ439" si="1693">CQ438</f>
        <v>0.79048475314469613</v>
      </c>
      <c r="CZ438" s="4">
        <f t="shared" si="1693"/>
        <v>0.8085349544542425</v>
      </c>
      <c r="DI438" s="4">
        <f t="shared" si="1417"/>
        <v>429.76800000000003</v>
      </c>
      <c r="DL438" s="4">
        <f t="shared" si="1588"/>
        <v>2.8517891199412165E-5</v>
      </c>
      <c r="DM438" s="4">
        <f t="shared" si="1589"/>
        <v>9.2434119896701787</v>
      </c>
      <c r="DN438" s="4">
        <f t="shared" si="1590"/>
        <v>0.24598058226905511</v>
      </c>
      <c r="DO438" s="4">
        <f t="shared" si="1591"/>
        <v>5.2746377732798102</v>
      </c>
      <c r="DP438" s="4">
        <f t="shared" si="1592"/>
        <v>7.5272346460747395</v>
      </c>
      <c r="DQ438" s="4">
        <f t="shared" si="1593"/>
        <v>7.8419413222228735</v>
      </c>
      <c r="DR438" s="38">
        <f t="shared" si="1622"/>
        <v>597.62543328520621</v>
      </c>
      <c r="DS438" s="4">
        <f t="shared" si="1594"/>
        <v>1.0001038867962624</v>
      </c>
      <c r="DT438" s="4">
        <f t="shared" si="1595"/>
        <v>2.3452078799117149</v>
      </c>
      <c r="DU438" s="4">
        <f t="shared" si="1596"/>
        <v>253.67292190521368</v>
      </c>
      <c r="DY438" s="4">
        <f t="shared" si="1597"/>
        <v>0.85</v>
      </c>
      <c r="DZ438" s="4">
        <f t="shared" si="1598"/>
        <v>0.90496453900709217</v>
      </c>
      <c r="EA438" s="4">
        <f t="shared" si="1623"/>
        <v>1</v>
      </c>
      <c r="EB438" s="4">
        <f t="shared" si="1599"/>
        <v>0.90496453900709217</v>
      </c>
      <c r="ED438" s="4">
        <f t="shared" si="1624"/>
        <v>584.28369794145203</v>
      </c>
      <c r="EE438" s="25">
        <f t="shared" si="1625"/>
        <v>251.52086631332557</v>
      </c>
      <c r="EG438" s="4">
        <f t="shared" si="1514"/>
        <v>0.76921985815602834</v>
      </c>
      <c r="EH438" s="4">
        <f t="shared" si="1626"/>
        <v>9.2434119896701787</v>
      </c>
      <c r="EK438" s="4">
        <f t="shared" si="1600"/>
        <v>83.991275011158137</v>
      </c>
      <c r="EL438" s="4">
        <f t="shared" si="1601"/>
        <v>2.3452078799117149</v>
      </c>
      <c r="EM438" s="4">
        <f t="shared" si="1602"/>
        <v>0.11640375819584806</v>
      </c>
      <c r="EP438" s="4">
        <f t="shared" si="1433"/>
        <v>0.11640375819584806</v>
      </c>
      <c r="EQ438" s="4">
        <f t="shared" si="1540"/>
        <v>0.24557008652179657</v>
      </c>
      <c r="ER438" s="4">
        <f t="shared" si="1603"/>
        <v>5.2711150540100196</v>
      </c>
      <c r="ES438" s="4">
        <f t="shared" si="1418"/>
        <v>7.5260080187500336</v>
      </c>
      <c r="ET438" s="4">
        <f t="shared" si="1604"/>
        <v>238.33472498884188</v>
      </c>
      <c r="EU438" s="4">
        <f t="shared" si="1605"/>
        <v>107.44200000000004</v>
      </c>
      <c r="EV438" s="4">
        <f t="shared" si="1541"/>
        <v>2.8517891199412171E-5</v>
      </c>
      <c r="EW438" s="4">
        <f t="shared" si="1419"/>
        <v>7.8422428966339846</v>
      </c>
      <c r="EX438" s="4">
        <f t="shared" si="1555"/>
        <v>597.56335434275979</v>
      </c>
      <c r="FA438" s="4">
        <f>6.75*25.4</f>
        <v>171.45</v>
      </c>
      <c r="FG438" s="23">
        <f t="shared" si="1459"/>
        <v>1</v>
      </c>
      <c r="FH438" s="23">
        <f t="shared" si="1459"/>
        <v>0.6</v>
      </c>
      <c r="FI438" s="23">
        <f t="shared" si="1681"/>
        <v>1.2</v>
      </c>
      <c r="FJ438" s="23">
        <f t="shared" si="1460"/>
        <v>1.8</v>
      </c>
      <c r="FK438" s="23">
        <f t="shared" si="1460"/>
        <v>0.8</v>
      </c>
      <c r="FL438" s="23">
        <f t="shared" si="1460"/>
        <v>1</v>
      </c>
      <c r="FM438" s="23">
        <f t="shared" si="1629"/>
        <v>1</v>
      </c>
      <c r="FN438" s="23"/>
      <c r="FX438" s="4">
        <f t="shared" si="1500"/>
        <v>1</v>
      </c>
      <c r="FY438" s="4">
        <f t="shared" si="1561"/>
        <v>0.63599290780141837</v>
      </c>
      <c r="FZ438" s="4">
        <f t="shared" si="1501"/>
        <v>0</v>
      </c>
      <c r="GA438" s="4">
        <f t="shared" si="1502"/>
        <v>466.11988366921844</v>
      </c>
    </row>
    <row r="439" spans="1:183" ht="12" customHeight="1" x14ac:dyDescent="0.3">
      <c r="A439" s="25">
        <v>421</v>
      </c>
      <c r="B439" s="4" t="s">
        <v>605</v>
      </c>
      <c r="C439" s="4">
        <v>2016</v>
      </c>
      <c r="D439" s="4" t="s">
        <v>309</v>
      </c>
      <c r="E439" s="14" t="s">
        <v>679</v>
      </c>
      <c r="F439" s="7" t="s">
        <v>592</v>
      </c>
      <c r="G439" s="38">
        <f>135/0.145</f>
        <v>931.0344827586207</v>
      </c>
      <c r="H439" s="38">
        <f>16.92*25.4</f>
        <v>429.76800000000003</v>
      </c>
      <c r="I439" s="4">
        <f t="shared" si="1420"/>
        <v>429.76800000000003</v>
      </c>
      <c r="J439" s="38">
        <f>10120/145</f>
        <v>69.793103448275858</v>
      </c>
      <c r="K439" s="38">
        <f t="shared" si="1642"/>
        <v>35.813999999999993</v>
      </c>
      <c r="L439" s="7">
        <f t="shared" si="1421"/>
        <v>12.000000000000004</v>
      </c>
      <c r="M439" s="7">
        <f t="shared" si="1422"/>
        <v>12.000000000000004</v>
      </c>
      <c r="N439" s="38">
        <f>21.9*25.4</f>
        <v>556.25999999999988</v>
      </c>
      <c r="O439" s="38">
        <f>2.8*25.4</f>
        <v>71.11999999999999</v>
      </c>
      <c r="P439" s="39">
        <f>3.5*25.4</f>
        <v>88.899999999999991</v>
      </c>
      <c r="Q439" s="7">
        <f t="shared" si="1423"/>
        <v>153.28899999999993</v>
      </c>
      <c r="R439" s="38">
        <v>3</v>
      </c>
      <c r="S439" s="4">
        <f t="shared" si="1493"/>
        <v>508</v>
      </c>
      <c r="T439" s="7">
        <f t="shared" si="1424"/>
        <v>2.4858156028368796</v>
      </c>
      <c r="U439" s="7">
        <f t="shared" si="1548"/>
        <v>2.4858156028368796</v>
      </c>
      <c r="V439" s="38">
        <v>5.5</v>
      </c>
      <c r="W439" s="4">
        <f t="shared" si="1425"/>
        <v>5.5</v>
      </c>
      <c r="X439" s="4">
        <f t="shared" si="1426"/>
        <v>6.5</v>
      </c>
      <c r="Y439" s="7">
        <f t="shared" si="1427"/>
        <v>91.308142429905971</v>
      </c>
      <c r="AB439" s="38">
        <f t="shared" si="1461"/>
        <v>482.06896551724145</v>
      </c>
      <c r="AC439" s="4">
        <v>69.900000000000006</v>
      </c>
      <c r="AD439" s="4">
        <f t="shared" si="1587"/>
        <v>0.83691102883897983</v>
      </c>
      <c r="AE439" s="38">
        <v>0</v>
      </c>
      <c r="AF439" s="38">
        <v>0</v>
      </c>
      <c r="AG439" s="39">
        <f t="shared" si="1689"/>
        <v>429.76800000000003</v>
      </c>
      <c r="AH439" s="39"/>
      <c r="AI439" s="39"/>
      <c r="AJ439" s="7"/>
      <c r="AK439" s="4">
        <f t="shared" si="1429"/>
        <v>429.76800000000003</v>
      </c>
      <c r="AL439" s="4">
        <f t="shared" si="1607"/>
        <v>0.43144208037825049</v>
      </c>
      <c r="AM439" s="4">
        <f t="shared" si="1608"/>
        <v>246.2864810022304</v>
      </c>
      <c r="AN439" s="4">
        <f t="shared" si="1609"/>
        <v>0.7414302600472813</v>
      </c>
      <c r="AO439" s="4">
        <v>1.25</v>
      </c>
      <c r="AP439" s="4">
        <f t="shared" si="1520"/>
        <v>2.5</v>
      </c>
      <c r="AQ439" s="38">
        <f t="shared" si="1398"/>
        <v>246.19736674164787</v>
      </c>
      <c r="AR439" s="38">
        <f t="shared" si="1610"/>
        <v>246.19736674164787</v>
      </c>
      <c r="AS439" s="38">
        <f t="shared" si="1611"/>
        <v>4.6054834550100843</v>
      </c>
      <c r="AT439" s="38">
        <f t="shared" si="1533"/>
        <v>246.19736674164798</v>
      </c>
      <c r="AU439" s="38">
        <f t="shared" si="1495"/>
        <v>0.99999999999999956</v>
      </c>
      <c r="AV439" s="38">
        <f t="shared" si="1534"/>
        <v>3.3052883798006034</v>
      </c>
      <c r="AW439" s="4">
        <f t="shared" si="1535"/>
        <v>0</v>
      </c>
      <c r="AX439" s="4">
        <f t="shared" si="1430"/>
        <v>527.63536936692662</v>
      </c>
      <c r="AY439" s="4">
        <f t="shared" si="1399"/>
        <v>1</v>
      </c>
      <c r="AZ439" s="38">
        <f t="shared" si="1542"/>
        <v>813.75329542867667</v>
      </c>
      <c r="BA439" s="4">
        <f t="shared" si="1400"/>
        <v>0.3</v>
      </c>
      <c r="BB439" s="4">
        <f t="shared" si="1401"/>
        <v>82.706844148265759</v>
      </c>
      <c r="BC439" s="4">
        <f t="shared" si="1402"/>
        <v>896.46013957694242</v>
      </c>
      <c r="BE439" s="4">
        <f t="shared" si="1521"/>
        <v>1.2464539007092199</v>
      </c>
      <c r="BF439" s="4">
        <f t="shared" si="1527"/>
        <v>687.26845669303566</v>
      </c>
      <c r="BH439" s="4">
        <f t="shared" si="1549"/>
        <v>780.48892585948306</v>
      </c>
      <c r="BI439" s="4">
        <f t="shared" si="1481"/>
        <v>0</v>
      </c>
      <c r="BJ439" s="4">
        <f t="shared" si="1550"/>
        <v>0</v>
      </c>
      <c r="BK439" s="4">
        <f t="shared" si="1612"/>
        <v>71.11999999999999</v>
      </c>
      <c r="BL439" s="4">
        <f t="shared" si="1613"/>
        <v>71.11999999999999</v>
      </c>
      <c r="BM439" s="4">
        <f t="shared" si="1614"/>
        <v>508</v>
      </c>
      <c r="BN439" s="4">
        <f t="shared" si="1615"/>
        <v>89.026999999999987</v>
      </c>
      <c r="BO439" s="4">
        <f t="shared" si="1616"/>
        <v>1.25</v>
      </c>
      <c r="BP439" s="25">
        <f t="shared" si="1617"/>
        <v>3.1072695035460995</v>
      </c>
      <c r="BR439" s="4">
        <f t="shared" si="1403"/>
        <v>71.11999999999999</v>
      </c>
      <c r="BV439" s="9"/>
      <c r="BX439" s="9"/>
      <c r="BY439" s="9"/>
      <c r="BZ439" s="9">
        <f t="shared" si="1404"/>
        <v>71.11999999999999</v>
      </c>
      <c r="CA439" s="9">
        <f t="shared" si="1405"/>
        <v>76.644499999999965</v>
      </c>
      <c r="CB439" s="9">
        <f t="shared" si="1536"/>
        <v>1.4250918174124854</v>
      </c>
      <c r="CC439" s="40">
        <f t="shared" si="1431"/>
        <v>20</v>
      </c>
      <c r="CD439" s="9">
        <f t="shared" si="1406"/>
        <v>0</v>
      </c>
      <c r="CE439" s="9">
        <f t="shared" si="1407"/>
        <v>0</v>
      </c>
      <c r="CF439" s="9">
        <f t="shared" si="1408"/>
        <v>0.89777220146327208</v>
      </c>
      <c r="CG439" s="9">
        <f t="shared" si="1409"/>
        <v>0.68</v>
      </c>
      <c r="CH439" s="9">
        <f t="shared" si="1537"/>
        <v>1.7850458101214393</v>
      </c>
      <c r="CI439" s="9">
        <f t="shared" si="1538"/>
        <v>2.5438541777105041</v>
      </c>
      <c r="CJ439" s="40">
        <v>1</v>
      </c>
      <c r="CK439" s="9">
        <f t="shared" si="1539"/>
        <v>274.73625119273447</v>
      </c>
      <c r="CM439" s="4">
        <f t="shared" si="1410"/>
        <v>0.91364035374588859</v>
      </c>
      <c r="CN439" s="4">
        <f t="shared" si="1411"/>
        <v>0.53774723965388971</v>
      </c>
      <c r="CO439" s="4">
        <f t="shared" si="1679"/>
        <v>0.70142745650926142</v>
      </c>
      <c r="CP439" s="4">
        <f t="shared" si="1412"/>
        <v>1.7546609281607246</v>
      </c>
      <c r="CQ439" s="4">
        <f t="shared" si="1627"/>
        <v>0.83691102883897983</v>
      </c>
      <c r="CR439" s="4">
        <f t="shared" si="1628"/>
        <v>0.85080970194489203</v>
      </c>
      <c r="CS439" s="4">
        <f t="shared" si="1680"/>
        <v>1.0526254652208762</v>
      </c>
      <c r="CT439" s="4">
        <f t="shared" si="1432"/>
        <v>0</v>
      </c>
      <c r="CU439" s="4">
        <f t="shared" si="1690"/>
        <v>0.91364035374588859</v>
      </c>
      <c r="CV439" s="4">
        <f t="shared" si="1690"/>
        <v>0.53774723965388971</v>
      </c>
      <c r="CW439" s="4">
        <f t="shared" si="1691"/>
        <v>1.7546609281607246</v>
      </c>
      <c r="CX439" s="4">
        <f t="shared" si="1692"/>
        <v>1.0526254652208762</v>
      </c>
      <c r="CY439" s="4">
        <f t="shared" si="1693"/>
        <v>0.83691102883897983</v>
      </c>
      <c r="CZ439" s="4">
        <f t="shared" si="1693"/>
        <v>0.85080970194489203</v>
      </c>
      <c r="DI439" s="4">
        <f t="shared" si="1417"/>
        <v>429.76800000000003</v>
      </c>
      <c r="DL439" s="4">
        <f t="shared" si="1588"/>
        <v>2.7653839435452814E-5</v>
      </c>
      <c r="DM439" s="4">
        <f t="shared" si="1589"/>
        <v>8.9580354742076711</v>
      </c>
      <c r="DN439" s="4">
        <f t="shared" si="1590"/>
        <v>0.22786865453997082</v>
      </c>
      <c r="DO439" s="4">
        <f t="shared" si="1591"/>
        <v>4.9577727165186403</v>
      </c>
      <c r="DP439" s="4">
        <f t="shared" si="1592"/>
        <v>7.2418419869406607</v>
      </c>
      <c r="DQ439" s="4">
        <f t="shared" si="1593"/>
        <v>7.6999302204328206</v>
      </c>
      <c r="DR439" s="38">
        <f t="shared" si="1622"/>
        <v>576.00981335614665</v>
      </c>
      <c r="DS439" s="4">
        <f t="shared" si="1594"/>
        <v>1.0001033798539654</v>
      </c>
      <c r="DT439" s="4">
        <f t="shared" si="1595"/>
        <v>2.5495097567963922</v>
      </c>
      <c r="DU439" s="4">
        <f t="shared" si="1596"/>
        <v>246.19736674164798</v>
      </c>
      <c r="DY439" s="4">
        <f t="shared" si="1597"/>
        <v>0.85</v>
      </c>
      <c r="DZ439" s="4">
        <f t="shared" si="1598"/>
        <v>0.90141843971631208</v>
      </c>
      <c r="EA439" s="4">
        <f t="shared" si="1623"/>
        <v>1</v>
      </c>
      <c r="EB439" s="4">
        <f t="shared" si="1599"/>
        <v>0.90141843971631208</v>
      </c>
      <c r="ED439" s="4">
        <f t="shared" si="1624"/>
        <v>566.6002214305563</v>
      </c>
      <c r="EE439" s="25">
        <f t="shared" si="1625"/>
        <v>244.11094435908009</v>
      </c>
      <c r="EG439" s="4">
        <f t="shared" si="1514"/>
        <v>0.76620567375886528</v>
      </c>
      <c r="EH439" s="4">
        <f t="shared" si="1626"/>
        <v>8.9580354742076711</v>
      </c>
      <c r="EK439" s="4">
        <f t="shared" si="1600"/>
        <v>91.308142429905971</v>
      </c>
      <c r="EL439" s="4">
        <f t="shared" si="1601"/>
        <v>2.5495097567963922</v>
      </c>
      <c r="EM439" s="4">
        <f t="shared" si="1602"/>
        <v>0.10409409854737328</v>
      </c>
      <c r="EP439" s="4">
        <f t="shared" si="1433"/>
        <v>0.10409409854737328</v>
      </c>
      <c r="EQ439" s="4">
        <f t="shared" si="1540"/>
        <v>0.22748838422448764</v>
      </c>
      <c r="ER439" s="4">
        <f t="shared" si="1603"/>
        <v>4.9544616187268264</v>
      </c>
      <c r="ES439" s="4">
        <f t="shared" si="1418"/>
        <v>7.2407168346772508</v>
      </c>
      <c r="ET439" s="4">
        <f t="shared" si="1604"/>
        <v>231.01785757009407</v>
      </c>
      <c r="EU439" s="4">
        <f t="shared" si="1605"/>
        <v>107.44200000000001</v>
      </c>
      <c r="EV439" s="4">
        <f t="shared" si="1541"/>
        <v>2.7653839435452814E-5</v>
      </c>
      <c r="EW439" s="4">
        <f t="shared" si="1419"/>
        <v>7.7002015691255705</v>
      </c>
      <c r="EX439" s="4">
        <f t="shared" si="1555"/>
        <v>575.95027170116691</v>
      </c>
      <c r="FG439" s="23">
        <f t="shared" si="1459"/>
        <v>1</v>
      </c>
      <c r="FH439" s="23">
        <f t="shared" si="1459"/>
        <v>0.6</v>
      </c>
      <c r="FI439" s="23">
        <f t="shared" si="1681"/>
        <v>1.2</v>
      </c>
      <c r="FJ439" s="23">
        <f t="shared" si="1460"/>
        <v>1.8</v>
      </c>
      <c r="FK439" s="23">
        <f t="shared" si="1460"/>
        <v>1</v>
      </c>
      <c r="FL439" s="23">
        <f t="shared" si="1460"/>
        <v>1</v>
      </c>
      <c r="FM439" s="23">
        <f t="shared" si="1629"/>
        <v>0</v>
      </c>
      <c r="FN439" s="23"/>
      <c r="FX439" s="4">
        <f t="shared" si="1500"/>
        <v>1</v>
      </c>
      <c r="FY439" s="4">
        <f t="shared" si="1561"/>
        <v>0.63599290780141848</v>
      </c>
      <c r="FZ439" s="4">
        <f t="shared" si="1501"/>
        <v>0</v>
      </c>
      <c r="GA439" s="4">
        <f t="shared" si="1502"/>
        <v>457.96817713894768</v>
      </c>
    </row>
    <row r="440" spans="1:183" ht="12" customHeight="1" x14ac:dyDescent="0.3">
      <c r="A440" s="25">
        <v>422</v>
      </c>
      <c r="B440" s="4" t="s">
        <v>605</v>
      </c>
      <c r="C440" s="4">
        <v>2016</v>
      </c>
      <c r="D440" s="4" t="s">
        <v>309</v>
      </c>
      <c r="E440" s="14" t="s">
        <v>679</v>
      </c>
      <c r="F440" s="48" t="s">
        <v>593</v>
      </c>
      <c r="G440" s="38">
        <f>115.9/0.145</f>
        <v>799.31034482758628</v>
      </c>
      <c r="H440" s="38">
        <f>17*25.4</f>
        <v>431.79999999999995</v>
      </c>
      <c r="I440" s="4">
        <f t="shared" si="1420"/>
        <v>431.79999999999995</v>
      </c>
      <c r="J440" s="38">
        <f>10860/145</f>
        <v>74.896551724137936</v>
      </c>
      <c r="K440" s="38">
        <f t="shared" si="1642"/>
        <v>35.813999999999993</v>
      </c>
      <c r="L440" s="7">
        <f t="shared" si="1421"/>
        <v>12.056737588652483</v>
      </c>
      <c r="M440" s="7">
        <f t="shared" si="1422"/>
        <v>12.056737588652483</v>
      </c>
      <c r="N440" s="38">
        <f>21.8*25.4</f>
        <v>553.72</v>
      </c>
      <c r="O440" s="38">
        <f>2.65*25.4</f>
        <v>67.309999999999988</v>
      </c>
      <c r="P440" s="39">
        <f>3.8*25.4</f>
        <v>96.52</v>
      </c>
      <c r="Q440" s="7">
        <f t="shared" si="1423"/>
        <v>155.82900000000001</v>
      </c>
      <c r="R440" s="38">
        <v>3</v>
      </c>
      <c r="S440" s="4">
        <f t="shared" si="1493"/>
        <v>508</v>
      </c>
      <c r="T440" s="7">
        <f t="shared" si="1424"/>
        <v>2.3794326241134751</v>
      </c>
      <c r="U440" s="7">
        <f t="shared" si="1548"/>
        <v>2.3794326241134751</v>
      </c>
      <c r="V440" s="38">
        <v>4.5</v>
      </c>
      <c r="W440" s="4">
        <f t="shared" si="1425"/>
        <v>4.5</v>
      </c>
      <c r="X440" s="4">
        <f t="shared" si="1426"/>
        <v>5.5</v>
      </c>
      <c r="Y440" s="7">
        <f t="shared" si="1427"/>
        <v>83.991275011158137</v>
      </c>
      <c r="AB440" s="38">
        <f t="shared" si="1461"/>
        <v>600.68965517241384</v>
      </c>
      <c r="AC440" s="4">
        <v>87.1</v>
      </c>
      <c r="AD440" s="4">
        <f t="shared" si="1587"/>
        <v>1.006304469333855</v>
      </c>
      <c r="AE440" s="38">
        <f t="shared" ref="AE440:AE441" si="1694">0.5*25.4</f>
        <v>12.7</v>
      </c>
      <c r="AF440" s="38">
        <v>12</v>
      </c>
      <c r="AG440" s="39">
        <f t="shared" ref="AG440:AG441" si="1695">4*25.4</f>
        <v>101.6</v>
      </c>
      <c r="AH440" s="39">
        <v>2</v>
      </c>
      <c r="AI440" s="39">
        <f t="shared" ref="AI440:AI441" si="1696">AH440-1</f>
        <v>1</v>
      </c>
      <c r="AJ440" s="7"/>
      <c r="AK440" s="4">
        <f t="shared" si="1429"/>
        <v>431.79999999999995</v>
      </c>
      <c r="AL440" s="4">
        <f t="shared" si="1607"/>
        <v>0.4274509803921569</v>
      </c>
      <c r="AM440" s="4">
        <f t="shared" si="1608"/>
        <v>256.94375927002261</v>
      </c>
      <c r="AN440" s="4">
        <f t="shared" si="1609"/>
        <v>0.7394705882352941</v>
      </c>
      <c r="AO440" s="4">
        <v>1.25</v>
      </c>
      <c r="AP440" s="4">
        <f t="shared" si="1520"/>
        <v>2.5</v>
      </c>
      <c r="AQ440" s="38">
        <f t="shared" ref="AQ440:AQ449" si="1697">AL440*AN440*AO440*AP440*AM440</f>
        <v>253.80216245559149</v>
      </c>
      <c r="AR440" s="38">
        <f t="shared" si="1610"/>
        <v>253.80216245559149</v>
      </c>
      <c r="AS440" s="38">
        <f t="shared" si="1611"/>
        <v>4.7252710400583542</v>
      </c>
      <c r="AT440" s="38">
        <f t="shared" si="1533"/>
        <v>253.80216245559126</v>
      </c>
      <c r="AU440" s="38">
        <f t="shared" si="1495"/>
        <v>1.0000000000000009</v>
      </c>
      <c r="AV440" s="38">
        <f t="shared" si="1534"/>
        <v>2.9790388665523837</v>
      </c>
      <c r="AW440" s="4">
        <f t="shared" si="1535"/>
        <v>0</v>
      </c>
      <c r="AX440" s="4">
        <f t="shared" si="1430"/>
        <v>549.17039788951729</v>
      </c>
      <c r="AY440" s="4">
        <f t="shared" ref="AY440:AY449" si="1698">MIN(0.6+0.4*(U440/T440),2)</f>
        <v>1</v>
      </c>
      <c r="AZ440" s="38">
        <f t="shared" si="1542"/>
        <v>756.08650637024857</v>
      </c>
      <c r="BA440" s="4">
        <f t="shared" ref="BA440:BA449" si="1699">MAX(1-0.7*W440/5,0.3)</f>
        <v>0.37</v>
      </c>
      <c r="BB440" s="4">
        <f t="shared" ref="BB440:BB449" si="1700">BA440*G440*I440/(G440*K440/2.75/J440^0.5)</f>
        <v>106.16836717199092</v>
      </c>
      <c r="BC440" s="4">
        <f t="shared" ref="BC440:BC449" si="1701">AZ440+BB440</f>
        <v>862.25487354223947</v>
      </c>
      <c r="BE440" s="4">
        <f t="shared" si="1521"/>
        <v>1.5</v>
      </c>
      <c r="BF440" s="4">
        <f t="shared" si="1527"/>
        <v>858.98326265183573</v>
      </c>
      <c r="BH440" s="4">
        <f t="shared" si="1549"/>
        <v>725.17942296368437</v>
      </c>
      <c r="BI440" s="4">
        <f t="shared" si="1481"/>
        <v>0</v>
      </c>
      <c r="BJ440" s="4">
        <f t="shared" si="1550"/>
        <v>0</v>
      </c>
      <c r="BK440" s="4">
        <f t="shared" si="1612"/>
        <v>67.309999999999988</v>
      </c>
      <c r="BL440" s="4">
        <f t="shared" si="1613"/>
        <v>67.309999999999988</v>
      </c>
      <c r="BM440" s="4">
        <f t="shared" si="1614"/>
        <v>508</v>
      </c>
      <c r="BN440" s="4">
        <f t="shared" si="1615"/>
        <v>85.216999999999985</v>
      </c>
      <c r="BO440" s="4">
        <f t="shared" si="1616"/>
        <v>1.25</v>
      </c>
      <c r="BP440" s="25">
        <f t="shared" si="1617"/>
        <v>4</v>
      </c>
      <c r="BR440" s="4">
        <f t="shared" ref="BR440:BR449" si="1702">IF(Q440=0,O440,MIN(Q440/2,O440))</f>
        <v>67.309999999999988</v>
      </c>
      <c r="BV440" s="9"/>
      <c r="BX440" s="9"/>
      <c r="BY440" s="9"/>
      <c r="BZ440" s="9">
        <f t="shared" ref="BZ440:BZ449" si="1703">IF(Q440=0,MIN(O440,P440),MIN(Q440/2,O440,P440))</f>
        <v>67.309999999999988</v>
      </c>
      <c r="CA440" s="9">
        <f t="shared" ref="CA440:CA449" si="1704">MAX(Q440/2,O440)</f>
        <v>77.914500000000004</v>
      </c>
      <c r="CB440" s="9">
        <f t="shared" si="1536"/>
        <v>1.40134215068795</v>
      </c>
      <c r="CC440" s="40">
        <f t="shared" si="1431"/>
        <v>20</v>
      </c>
      <c r="CD440" s="9">
        <f t="shared" ref="CD440:CD449" si="1705">MIN(PI()*AE440^2/4*AF440*2/R440/K440/MAX(0.01,AG440),0.05)</f>
        <v>0.05</v>
      </c>
      <c r="CE440" s="9">
        <f t="shared" ref="CE440:CE449" si="1706">MAX(0,CC440*(CD440-0.5/50))</f>
        <v>0.8</v>
      </c>
      <c r="CF440" s="9">
        <f t="shared" ref="CF440:CF449" si="1707">MIN(1,(25/K440)^0.3)</f>
        <v>0.89777220146327208</v>
      </c>
      <c r="CG440" s="9">
        <f t="shared" ref="CG440:CG449" si="1708">IF(G440&gt;=800,0.68,IF(G440&gt;=700,0.75-(G440-700)*0.07/100,IF(G440&gt;=600,0.85-(G440-600)*0.1/100,IF(G440&gt;=500,1-(G440-500)*0.15/100,1.2-(G440-400)*0.2/100))))</f>
        <v>0.68048275862068963</v>
      </c>
      <c r="CH440" s="9">
        <f t="shared" si="1537"/>
        <v>1.8504707967044269</v>
      </c>
      <c r="CI440" s="9">
        <f t="shared" si="1538"/>
        <v>4.0735193634025677</v>
      </c>
      <c r="CJ440" s="40">
        <v>1</v>
      </c>
      <c r="CK440" s="9">
        <f t="shared" si="1539"/>
        <v>440.86457791151196</v>
      </c>
      <c r="CM440" s="4">
        <f t="shared" ref="CM440:CM449" si="1709">AB440/AX440</f>
        <v>1.0938128811765657</v>
      </c>
      <c r="CN440" s="4">
        <f t="shared" ref="CN440:CN449" si="1710">AB440/BC440</f>
        <v>0.69664976517292798</v>
      </c>
      <c r="CO440" s="4">
        <f t="shared" si="1679"/>
        <v>0.69930309621863518</v>
      </c>
      <c r="CP440" s="4">
        <f t="shared" ref="CP440:CP449" si="1711">AB440/CK440</f>
        <v>1.362526465650822</v>
      </c>
      <c r="CQ440" s="4">
        <f t="shared" si="1627"/>
        <v>1.006304469333855</v>
      </c>
      <c r="CR440" s="4">
        <f t="shared" si="1628"/>
        <v>1.0293844757547645</v>
      </c>
      <c r="CS440" s="4">
        <f t="shared" si="1680"/>
        <v>1.1608850073852048</v>
      </c>
      <c r="CT440" s="4">
        <f t="shared" si="1432"/>
        <v>12</v>
      </c>
      <c r="DA440" s="4">
        <f t="shared" ref="DA440:DB441" si="1712">CM440</f>
        <v>1.0938128811765657</v>
      </c>
      <c r="DB440" s="4">
        <f t="shared" si="1712"/>
        <v>0.69664976517292798</v>
      </c>
      <c r="DC440" s="4">
        <f t="shared" ref="DC440:DC441" si="1713">CP440</f>
        <v>1.362526465650822</v>
      </c>
      <c r="DD440" s="4">
        <f t="shared" ref="DD440:DD441" si="1714">CS440</f>
        <v>1.1608850073852048</v>
      </c>
      <c r="DE440" s="4">
        <f t="shared" ref="DE440:DF441" si="1715">CQ440</f>
        <v>1.006304469333855</v>
      </c>
      <c r="DF440" s="4">
        <f t="shared" si="1715"/>
        <v>1.0293844757547645</v>
      </c>
      <c r="DI440" s="4">
        <f t="shared" ref="DI440:DI449" si="1716">I440</f>
        <v>431.79999999999995</v>
      </c>
      <c r="DL440" s="4">
        <f t="shared" si="1588"/>
        <v>2.8652727564421202E-5</v>
      </c>
      <c r="DM440" s="4">
        <f t="shared" si="1589"/>
        <v>9.175653902487765</v>
      </c>
      <c r="DN440" s="4">
        <f t="shared" si="1590"/>
        <v>0.24610590374836747</v>
      </c>
      <c r="DO440" s="4">
        <f t="shared" si="1591"/>
        <v>5.2370393460986371</v>
      </c>
      <c r="DP440" s="4">
        <f t="shared" si="1592"/>
        <v>7.4724284792628914</v>
      </c>
      <c r="DQ440" s="4">
        <f t="shared" si="1593"/>
        <v>7.7810990756344607</v>
      </c>
      <c r="DR440" s="38">
        <f t="shared" si="1622"/>
        <v>596.92635129609766</v>
      </c>
      <c r="DS440" s="4">
        <f t="shared" si="1594"/>
        <v>1.0001035913282026</v>
      </c>
      <c r="DT440" s="4">
        <f t="shared" si="1595"/>
        <v>2.3452078799117149</v>
      </c>
      <c r="DU440" s="4">
        <f t="shared" si="1596"/>
        <v>253.80216245559126</v>
      </c>
      <c r="DY440" s="4">
        <f t="shared" si="1597"/>
        <v>0.85</v>
      </c>
      <c r="DZ440" s="4">
        <f t="shared" si="1598"/>
        <v>0.91205673758865247</v>
      </c>
      <c r="EA440" s="4">
        <f t="shared" si="1623"/>
        <v>0.9995510789195714</v>
      </c>
      <c r="EB440" s="4">
        <f t="shared" si="1599"/>
        <v>0.91164729609260198</v>
      </c>
      <c r="ED440" s="4">
        <f t="shared" si="1624"/>
        <v>583.54256288154784</v>
      </c>
      <c r="EE440" s="25">
        <f t="shared" si="1625"/>
        <v>251.65720896177749</v>
      </c>
      <c r="EG440" s="4">
        <f t="shared" si="1514"/>
        <v>0.77490020167871165</v>
      </c>
      <c r="EH440" s="4">
        <f t="shared" si="1626"/>
        <v>9.175653902487765</v>
      </c>
      <c r="EK440" s="4">
        <f t="shared" si="1600"/>
        <v>83.991275011158137</v>
      </c>
      <c r="EL440" s="4">
        <f t="shared" si="1601"/>
        <v>2.3452078799117149</v>
      </c>
      <c r="EM440" s="4">
        <f t="shared" si="1602"/>
        <v>0.11646306324765357</v>
      </c>
      <c r="EP440" s="4">
        <f t="shared" si="1433"/>
        <v>0.11646306324765357</v>
      </c>
      <c r="EQ440" s="4">
        <f t="shared" si="1540"/>
        <v>0.24569519886291669</v>
      </c>
      <c r="ER440" s="4">
        <f t="shared" si="1603"/>
        <v>5.233541737312188</v>
      </c>
      <c r="ES440" s="4">
        <f t="shared" ref="ES440:ES449" si="1717">EH440/1.4*(1-EQ440^1.4)/(1-EQ440)</f>
        <v>7.4712103995701256</v>
      </c>
      <c r="ET440" s="4">
        <f t="shared" si="1604"/>
        <v>239.85872498884183</v>
      </c>
      <c r="EU440" s="4">
        <f t="shared" si="1605"/>
        <v>107.95000000000002</v>
      </c>
      <c r="EV440" s="4">
        <f t="shared" si="1541"/>
        <v>2.8652727564421212E-5</v>
      </c>
      <c r="EW440" s="4">
        <f t="shared" ref="EW440:EW449" si="1718">MAX(0.5*EH440, (1-2*EV440*(EK440*ER440+ET440*ES440))/(1/EH440+EV440*EU440))</f>
        <v>7.7813986667534705</v>
      </c>
      <c r="EX440" s="4">
        <f t="shared" si="1555"/>
        <v>596.86452130757834</v>
      </c>
      <c r="FA440" s="4">
        <f>6.75*25.4</f>
        <v>171.45</v>
      </c>
      <c r="FG440" s="23">
        <f t="shared" si="1459"/>
        <v>1.2</v>
      </c>
      <c r="FH440" s="23">
        <f t="shared" si="1459"/>
        <v>0.8</v>
      </c>
      <c r="FI440" s="23">
        <f t="shared" si="1681"/>
        <v>1.2</v>
      </c>
      <c r="FJ440" s="23">
        <f t="shared" si="1460"/>
        <v>1.4</v>
      </c>
      <c r="FK440" s="23">
        <f t="shared" si="1460"/>
        <v>1.2</v>
      </c>
      <c r="FL440" s="23">
        <f t="shared" si="1460"/>
        <v>1.2</v>
      </c>
      <c r="FM440" s="23">
        <f t="shared" si="1629"/>
        <v>0</v>
      </c>
      <c r="FN440" s="23"/>
      <c r="FX440" s="4">
        <f t="shared" si="1500"/>
        <v>1</v>
      </c>
      <c r="FY440" s="4">
        <f t="shared" si="1561"/>
        <v>0.57562217267152949</v>
      </c>
      <c r="FZ440" s="4">
        <f t="shared" si="1501"/>
        <v>0.16766426906761905</v>
      </c>
      <c r="GA440" s="4">
        <f t="shared" si="1502"/>
        <v>517.4411344370933</v>
      </c>
    </row>
    <row r="441" spans="1:183" ht="12" customHeight="1" x14ac:dyDescent="0.3">
      <c r="A441" s="25">
        <v>423</v>
      </c>
      <c r="B441" s="4" t="s">
        <v>605</v>
      </c>
      <c r="C441" s="4">
        <v>2016</v>
      </c>
      <c r="D441" s="4" t="s">
        <v>309</v>
      </c>
      <c r="E441" s="14" t="s">
        <v>679</v>
      </c>
      <c r="F441" s="7" t="s">
        <v>594</v>
      </c>
      <c r="G441" s="38">
        <f>135/0.145</f>
        <v>931.0344827586207</v>
      </c>
      <c r="H441" s="38">
        <f>16.75*25.4</f>
        <v>425.45</v>
      </c>
      <c r="I441" s="4">
        <f t="shared" ref="I441:I449" si="1719">H441</f>
        <v>425.45</v>
      </c>
      <c r="J441" s="38">
        <f>10120/145</f>
        <v>69.793103448275858</v>
      </c>
      <c r="K441" s="38">
        <f t="shared" si="1642"/>
        <v>35.813999999999993</v>
      </c>
      <c r="L441" s="7">
        <f t="shared" ref="L441:L449" si="1720">H441/K441</f>
        <v>11.879432624113477</v>
      </c>
      <c r="M441" s="7">
        <f t="shared" ref="M441:M449" si="1721">I441/K441</f>
        <v>11.879432624113477</v>
      </c>
      <c r="N441" s="38">
        <f>21.9*25.4</f>
        <v>556.25999999999988</v>
      </c>
      <c r="O441" s="38">
        <f>2.8*25.4</f>
        <v>71.11999999999999</v>
      </c>
      <c r="P441" s="39">
        <f>3.3*25.4</f>
        <v>83.82</v>
      </c>
      <c r="Q441" s="7">
        <f t="shared" ref="Q441:Q448" si="1722">(N441-R441*K441-2*O441)/(R441-1)</f>
        <v>153.28899999999993</v>
      </c>
      <c r="R441" s="38">
        <v>3</v>
      </c>
      <c r="S441" s="4">
        <f t="shared" si="1493"/>
        <v>508</v>
      </c>
      <c r="T441" s="7">
        <f t="shared" ref="T441:T449" si="1723">MIN(O441/K441+0.5, Q441/2/K441+0.5)</f>
        <v>2.4858156028368796</v>
      </c>
      <c r="U441" s="7">
        <f t="shared" si="1548"/>
        <v>2.4858156028368796</v>
      </c>
      <c r="V441" s="38">
        <v>5.5</v>
      </c>
      <c r="W441" s="4">
        <f t="shared" ref="W441:W449" si="1724">V441</f>
        <v>5.5</v>
      </c>
      <c r="X441" s="4">
        <f t="shared" ref="X441:X449" si="1725">W441+1</f>
        <v>6.5</v>
      </c>
      <c r="Y441" s="7">
        <f t="shared" ref="Y441:Y449" si="1726">K441*X441^0.5</f>
        <v>91.308142429905971</v>
      </c>
      <c r="AB441" s="38">
        <f t="shared" si="1461"/>
        <v>680</v>
      </c>
      <c r="AC441" s="4">
        <v>98.6</v>
      </c>
      <c r="AD441" s="4">
        <f t="shared" si="1587"/>
        <v>1.189548271882735</v>
      </c>
      <c r="AE441" s="38">
        <f t="shared" si="1694"/>
        <v>12.7</v>
      </c>
      <c r="AF441" s="38">
        <v>12</v>
      </c>
      <c r="AG441" s="39">
        <f t="shared" si="1695"/>
        <v>101.6</v>
      </c>
      <c r="AH441" s="39">
        <v>2</v>
      </c>
      <c r="AI441" s="39">
        <f t="shared" si="1696"/>
        <v>1</v>
      </c>
      <c r="AJ441" s="7"/>
      <c r="AK441" s="4">
        <f t="shared" ref="AK441:AK449" si="1727">H441</f>
        <v>425.45</v>
      </c>
      <c r="AL441" s="4">
        <f t="shared" si="1607"/>
        <v>0.43582089552238795</v>
      </c>
      <c r="AM441" s="4">
        <f t="shared" si="1608"/>
        <v>242.58405561741927</v>
      </c>
      <c r="AN441" s="4">
        <f t="shared" si="1609"/>
        <v>0.74185074626865666</v>
      </c>
      <c r="AO441" s="4">
        <v>1.25</v>
      </c>
      <c r="AP441" s="4">
        <f t="shared" si="1520"/>
        <v>2.5</v>
      </c>
      <c r="AQ441" s="38">
        <f t="shared" si="1697"/>
        <v>245.09635963739103</v>
      </c>
      <c r="AR441" s="38">
        <f t="shared" si="1610"/>
        <v>245.09635963739103</v>
      </c>
      <c r="AS441" s="38">
        <f t="shared" si="1611"/>
        <v>4.6054834550100843</v>
      </c>
      <c r="AT441" s="38">
        <f t="shared" si="1533"/>
        <v>245.0963596373912</v>
      </c>
      <c r="AU441" s="38">
        <f t="shared" si="1495"/>
        <v>0.99999999999999933</v>
      </c>
      <c r="AV441" s="38">
        <f t="shared" si="1534"/>
        <v>3.3201361971780701</v>
      </c>
      <c r="AW441" s="4">
        <f t="shared" si="1535"/>
        <v>0</v>
      </c>
      <c r="AX441" s="4">
        <f t="shared" ref="AX441:AX449" si="1728">I441/K441*J441^0.5/0.19</f>
        <v>522.33406837446921</v>
      </c>
      <c r="AY441" s="4">
        <f t="shared" si="1698"/>
        <v>1</v>
      </c>
      <c r="AZ441" s="38">
        <f t="shared" si="1542"/>
        <v>813.75329542867667</v>
      </c>
      <c r="BA441" s="4">
        <f t="shared" si="1699"/>
        <v>0.3</v>
      </c>
      <c r="BB441" s="4">
        <f t="shared" si="1700"/>
        <v>81.875865217698063</v>
      </c>
      <c r="BC441" s="4">
        <f t="shared" si="1701"/>
        <v>895.62916064637477</v>
      </c>
      <c r="BE441" s="4">
        <f t="shared" si="1521"/>
        <v>1.5</v>
      </c>
      <c r="BF441" s="4">
        <f t="shared" si="1527"/>
        <v>822.53582913410628</v>
      </c>
      <c r="BH441" s="4">
        <f t="shared" si="1549"/>
        <v>780.48892585948306</v>
      </c>
      <c r="BI441" s="4">
        <f t="shared" si="1481"/>
        <v>0</v>
      </c>
      <c r="BJ441" s="4">
        <f t="shared" si="1550"/>
        <v>0</v>
      </c>
      <c r="BK441" s="4">
        <f t="shared" si="1612"/>
        <v>71.11999999999999</v>
      </c>
      <c r="BL441" s="4">
        <f t="shared" si="1613"/>
        <v>71.11999999999999</v>
      </c>
      <c r="BM441" s="4">
        <f t="shared" si="1614"/>
        <v>508</v>
      </c>
      <c r="BN441" s="4">
        <f t="shared" si="1615"/>
        <v>89.026999999999987</v>
      </c>
      <c r="BO441" s="4">
        <f t="shared" si="1616"/>
        <v>1.25</v>
      </c>
      <c r="BP441" s="25">
        <f t="shared" si="1617"/>
        <v>4</v>
      </c>
      <c r="BR441" s="4">
        <f t="shared" si="1702"/>
        <v>71.11999999999999</v>
      </c>
      <c r="BV441" s="9"/>
      <c r="BX441" s="9"/>
      <c r="BY441" s="9"/>
      <c r="BZ441" s="9">
        <f t="shared" si="1703"/>
        <v>71.11999999999999</v>
      </c>
      <c r="CA441" s="9">
        <f t="shared" si="1704"/>
        <v>76.644499999999965</v>
      </c>
      <c r="CB441" s="9">
        <f t="shared" si="1536"/>
        <v>1.4250918174124854</v>
      </c>
      <c r="CC441" s="40">
        <f t="shared" ref="CC441:CC449" si="1729">IF(AG441&gt;1,20,0)</f>
        <v>20</v>
      </c>
      <c r="CD441" s="9">
        <f t="shared" si="1705"/>
        <v>0.05</v>
      </c>
      <c r="CE441" s="9">
        <f t="shared" si="1706"/>
        <v>0.8</v>
      </c>
      <c r="CF441" s="9">
        <f t="shared" si="1707"/>
        <v>0.89777220146327208</v>
      </c>
      <c r="CG441" s="9">
        <f t="shared" si="1708"/>
        <v>0.68</v>
      </c>
      <c r="CH441" s="9">
        <f t="shared" si="1537"/>
        <v>1.7850458101214393</v>
      </c>
      <c r="CI441" s="9">
        <f t="shared" si="1538"/>
        <v>3.9718908258076553</v>
      </c>
      <c r="CJ441" s="40">
        <v>1</v>
      </c>
      <c r="CK441" s="9">
        <f t="shared" si="1539"/>
        <v>427.04868737052527</v>
      </c>
      <c r="CM441" s="4">
        <f t="shared" si="1709"/>
        <v>1.3018488380744442</v>
      </c>
      <c r="CN441" s="4">
        <f t="shared" si="1710"/>
        <v>0.75924280927749677</v>
      </c>
      <c r="CO441" s="4">
        <f t="shared" si="1679"/>
        <v>0.8267117077633499</v>
      </c>
      <c r="CP441" s="4">
        <f t="shared" si="1711"/>
        <v>1.5923242948877245</v>
      </c>
      <c r="CQ441" s="4">
        <f t="shared" si="1627"/>
        <v>1.189548271882735</v>
      </c>
      <c r="CR441" s="4">
        <f t="shared" si="1628"/>
        <v>1.2091353781823571</v>
      </c>
      <c r="CS441" s="4">
        <f t="shared" si="1680"/>
        <v>1.3841922978836163</v>
      </c>
      <c r="CT441" s="4">
        <f t="shared" ref="CT441:CT449" si="1730">AF441</f>
        <v>12</v>
      </c>
      <c r="DA441" s="4">
        <f t="shared" si="1712"/>
        <v>1.3018488380744442</v>
      </c>
      <c r="DB441" s="4">
        <f t="shared" si="1712"/>
        <v>0.75924280927749677</v>
      </c>
      <c r="DC441" s="4">
        <f t="shared" si="1713"/>
        <v>1.5923242948877245</v>
      </c>
      <c r="DD441" s="4">
        <f t="shared" si="1714"/>
        <v>1.3841922978836163</v>
      </c>
      <c r="DE441" s="4">
        <f t="shared" si="1715"/>
        <v>1.189548271882735</v>
      </c>
      <c r="DF441" s="4">
        <f t="shared" si="1715"/>
        <v>1.2091353781823571</v>
      </c>
      <c r="DI441" s="4">
        <f t="shared" si="1716"/>
        <v>425.45</v>
      </c>
      <c r="DL441" s="4">
        <f t="shared" si="1588"/>
        <v>2.737599353095949E-5</v>
      </c>
      <c r="DM441" s="4">
        <f t="shared" si="1589"/>
        <v>8.9620587312961906</v>
      </c>
      <c r="DN441" s="4">
        <f t="shared" si="1590"/>
        <v>0.22684961436579537</v>
      </c>
      <c r="DO441" s="4">
        <f t="shared" si="1591"/>
        <v>4.951114885337712</v>
      </c>
      <c r="DP441" s="4">
        <f t="shared" si="1592"/>
        <v>7.2420767721723385</v>
      </c>
      <c r="DQ441" s="4">
        <f t="shared" si="1593"/>
        <v>7.7290930335956531</v>
      </c>
      <c r="DR441" s="38">
        <f t="shared" si="1622"/>
        <v>571.64557006479686</v>
      </c>
      <c r="DS441" s="4">
        <f t="shared" si="1594"/>
        <v>1.0001033942474591</v>
      </c>
      <c r="DT441" s="4">
        <f t="shared" si="1595"/>
        <v>2.5495097567963922</v>
      </c>
      <c r="DU441" s="4">
        <f t="shared" si="1596"/>
        <v>245.0963596373912</v>
      </c>
      <c r="DY441" s="4">
        <f t="shared" si="1597"/>
        <v>0.85</v>
      </c>
      <c r="DZ441" s="4">
        <f t="shared" si="1598"/>
        <v>0.90141843971631208</v>
      </c>
      <c r="EA441" s="4">
        <f t="shared" si="1623"/>
        <v>0.9995510789195714</v>
      </c>
      <c r="EB441" s="4">
        <f t="shared" si="1599"/>
        <v>0.90101377397643634</v>
      </c>
      <c r="ED441" s="4">
        <f t="shared" si="1624"/>
        <v>562.38533109685011</v>
      </c>
      <c r="EE441" s="25">
        <f t="shared" si="1625"/>
        <v>242.99281248150706</v>
      </c>
      <c r="EG441" s="4">
        <f t="shared" si="1514"/>
        <v>0.76586170787997088</v>
      </c>
      <c r="EH441" s="4">
        <f t="shared" si="1626"/>
        <v>8.9620587312961906</v>
      </c>
      <c r="EK441" s="4">
        <f t="shared" si="1600"/>
        <v>91.308142429905971</v>
      </c>
      <c r="EL441" s="4">
        <f t="shared" si="1601"/>
        <v>2.5495097567963922</v>
      </c>
      <c r="EM441" s="4">
        <f t="shared" si="1602"/>
        <v>0.10362858446195203</v>
      </c>
      <c r="EP441" s="4">
        <f t="shared" ref="EP441:EP449" si="1731">EM441</f>
        <v>0.10362858446195203</v>
      </c>
      <c r="EQ441" s="4">
        <f t="shared" si="1540"/>
        <v>0.22647104463843967</v>
      </c>
      <c r="ER441" s="4">
        <f t="shared" si="1603"/>
        <v>4.9478082340446354</v>
      </c>
      <c r="ES441" s="4">
        <f t="shared" si="1717"/>
        <v>7.2409547526210769</v>
      </c>
      <c r="ET441" s="4">
        <f t="shared" si="1604"/>
        <v>227.77935757009402</v>
      </c>
      <c r="EU441" s="4">
        <f t="shared" si="1605"/>
        <v>106.36250000000001</v>
      </c>
      <c r="EV441" s="4">
        <f t="shared" si="1541"/>
        <v>2.7375993530959494E-5</v>
      </c>
      <c r="EW441" s="4">
        <f t="shared" si="1718"/>
        <v>7.7293596350227221</v>
      </c>
      <c r="EX441" s="4">
        <f t="shared" si="1555"/>
        <v>571.5864713117378</v>
      </c>
      <c r="FG441" s="23">
        <f t="shared" si="1459"/>
        <v>1.4</v>
      </c>
      <c r="FH441" s="23">
        <f t="shared" si="1459"/>
        <v>0.8</v>
      </c>
      <c r="FI441" s="23">
        <f t="shared" si="1681"/>
        <v>1.4</v>
      </c>
      <c r="FJ441" s="23">
        <f t="shared" si="1460"/>
        <v>1.6</v>
      </c>
      <c r="FK441" s="23">
        <f t="shared" si="1460"/>
        <v>1.2</v>
      </c>
      <c r="FL441" s="23">
        <f t="shared" si="1460"/>
        <v>1.4</v>
      </c>
      <c r="FM441" s="23">
        <f t="shared" si="1629"/>
        <v>0</v>
      </c>
      <c r="FN441" s="23"/>
      <c r="FX441" s="4">
        <f t="shared" si="1500"/>
        <v>1</v>
      </c>
      <c r="FY441" s="4">
        <f t="shared" si="1561"/>
        <v>0.58693437042964436</v>
      </c>
      <c r="FZ441" s="4">
        <f t="shared" si="1501"/>
        <v>0.16766426906761905</v>
      </c>
      <c r="GA441" s="4">
        <f t="shared" si="1502"/>
        <v>491.2612221869008</v>
      </c>
    </row>
    <row r="442" spans="1:183" ht="12" customHeight="1" x14ac:dyDescent="0.3">
      <c r="A442" s="25">
        <v>424</v>
      </c>
      <c r="B442" s="4" t="s">
        <v>605</v>
      </c>
      <c r="C442" s="4">
        <v>2016</v>
      </c>
      <c r="D442" s="4" t="s">
        <v>309</v>
      </c>
      <c r="E442" s="14" t="s">
        <v>595</v>
      </c>
      <c r="F442" s="48" t="s">
        <v>596</v>
      </c>
      <c r="G442" s="38">
        <f>115.9/0.145</f>
        <v>799.31034482758628</v>
      </c>
      <c r="H442" s="38">
        <f>19.44*25.4</f>
        <v>493.77600000000001</v>
      </c>
      <c r="I442" s="4">
        <f t="shared" si="1719"/>
        <v>493.77600000000001</v>
      </c>
      <c r="J442" s="38">
        <f>5430/145</f>
        <v>37.448275862068968</v>
      </c>
      <c r="K442" s="38">
        <f t="shared" si="1642"/>
        <v>35.813999999999993</v>
      </c>
      <c r="L442" s="7">
        <f t="shared" si="1720"/>
        <v>13.787234042553195</v>
      </c>
      <c r="M442" s="7">
        <f t="shared" si="1721"/>
        <v>13.787234042553195</v>
      </c>
      <c r="N442" s="38">
        <f t="shared" ref="N442" si="1732">21.9*25.4</f>
        <v>556.25999999999988</v>
      </c>
      <c r="O442" s="38">
        <f>2.7*25.4</f>
        <v>68.58</v>
      </c>
      <c r="P442" s="39">
        <f>4.1*25.4</f>
        <v>104.13999999999999</v>
      </c>
      <c r="Q442" s="7">
        <f t="shared" si="1722"/>
        <v>347.47199999999987</v>
      </c>
      <c r="R442" s="38">
        <v>2</v>
      </c>
      <c r="S442" s="4">
        <f t="shared" si="1493"/>
        <v>508</v>
      </c>
      <c r="T442" s="7">
        <f t="shared" si="1723"/>
        <v>2.4148936170212769</v>
      </c>
      <c r="U442" s="7">
        <f t="shared" si="1548"/>
        <v>2.4148936170212769</v>
      </c>
      <c r="V442" s="38">
        <v>4.5</v>
      </c>
      <c r="W442" s="4">
        <f t="shared" si="1724"/>
        <v>4.5</v>
      </c>
      <c r="X442" s="4">
        <f t="shared" si="1725"/>
        <v>5.5</v>
      </c>
      <c r="Y442" s="7">
        <f t="shared" si="1726"/>
        <v>83.991275011158137</v>
      </c>
      <c r="AB442" s="38">
        <f t="shared" si="1461"/>
        <v>697.93103448275872</v>
      </c>
      <c r="AC442" s="4">
        <v>101.2</v>
      </c>
      <c r="AD442" s="4">
        <f t="shared" si="1587"/>
        <v>1.1596127136690846</v>
      </c>
      <c r="AE442" s="38">
        <v>0</v>
      </c>
      <c r="AF442" s="38">
        <v>0</v>
      </c>
      <c r="AG442" s="39">
        <f t="shared" ref="AG442:AG443" si="1733">I442</f>
        <v>493.77600000000001</v>
      </c>
      <c r="AH442" s="39"/>
      <c r="AI442" s="39"/>
      <c r="AJ442" s="7"/>
      <c r="AK442" s="4">
        <f t="shared" si="1727"/>
        <v>493.77600000000001</v>
      </c>
      <c r="AL442" s="4">
        <f t="shared" si="1607"/>
        <v>0.375514403292181</v>
      </c>
      <c r="AM442" s="4">
        <f t="shared" si="1608"/>
        <v>333.26165284168025</v>
      </c>
      <c r="AN442" s="4">
        <f t="shared" si="1609"/>
        <v>0.73503086419753083</v>
      </c>
      <c r="AO442" s="4">
        <v>1.25</v>
      </c>
      <c r="AP442" s="4">
        <f t="shared" si="1520"/>
        <v>2.5</v>
      </c>
      <c r="AQ442" s="38">
        <f t="shared" si="1697"/>
        <v>287.45346017432786</v>
      </c>
      <c r="AR442" s="38">
        <f t="shared" si="1610"/>
        <v>287.45346017432786</v>
      </c>
      <c r="AS442" s="38">
        <f t="shared" si="1611"/>
        <v>3.3579622250305636</v>
      </c>
      <c r="AT442" s="38">
        <f t="shared" si="1533"/>
        <v>287.45346017432786</v>
      </c>
      <c r="AU442" s="38">
        <f t="shared" si="1495"/>
        <v>1</v>
      </c>
      <c r="AV442" s="38">
        <f t="shared" si="1534"/>
        <v>1.3347457378690069</v>
      </c>
      <c r="AW442" s="4">
        <f t="shared" si="1535"/>
        <v>0</v>
      </c>
      <c r="AX442" s="4">
        <f t="shared" si="1728"/>
        <v>444.05775673894539</v>
      </c>
      <c r="AY442" s="4">
        <f t="shared" si="1698"/>
        <v>1</v>
      </c>
      <c r="AZ442" s="38">
        <f t="shared" si="1542"/>
        <v>383.67728080338242</v>
      </c>
      <c r="BA442" s="4">
        <f t="shared" si="1699"/>
        <v>0.37</v>
      </c>
      <c r="BB442" s="4">
        <f t="shared" si="1700"/>
        <v>85.847465821556639</v>
      </c>
      <c r="BC442" s="4">
        <f t="shared" si="1701"/>
        <v>469.52474662493904</v>
      </c>
      <c r="BE442" s="4">
        <f t="shared" si="1521"/>
        <v>1.2287234042553192</v>
      </c>
      <c r="BF442" s="4">
        <f t="shared" si="1527"/>
        <v>536.58094332590736</v>
      </c>
      <c r="BH442" s="4">
        <f t="shared" si="1549"/>
        <v>367.993432964433</v>
      </c>
      <c r="BI442" s="4">
        <f t="shared" si="1481"/>
        <v>0</v>
      </c>
      <c r="BJ442" s="4">
        <f t="shared" si="1550"/>
        <v>0</v>
      </c>
      <c r="BK442" s="4">
        <f t="shared" si="1612"/>
        <v>68.58</v>
      </c>
      <c r="BL442" s="4">
        <f t="shared" si="1613"/>
        <v>68.58</v>
      </c>
      <c r="BM442" s="4">
        <f t="shared" si="1614"/>
        <v>508</v>
      </c>
      <c r="BN442" s="4">
        <f t="shared" si="1615"/>
        <v>86.486999999999995</v>
      </c>
      <c r="BO442" s="4">
        <f t="shared" si="1616"/>
        <v>1.25</v>
      </c>
      <c r="BP442" s="25">
        <f t="shared" si="1617"/>
        <v>3.0186170212765959</v>
      </c>
      <c r="BR442" s="4">
        <f t="shared" si="1702"/>
        <v>68.58</v>
      </c>
      <c r="BV442" s="9"/>
      <c r="BX442" s="9"/>
      <c r="BY442" s="9"/>
      <c r="BZ442" s="9">
        <f t="shared" si="1703"/>
        <v>68.58</v>
      </c>
      <c r="CA442" s="9">
        <f t="shared" si="1704"/>
        <v>173.73599999999993</v>
      </c>
      <c r="CB442" s="9">
        <f t="shared" si="1536"/>
        <v>1.5908388060545191</v>
      </c>
      <c r="CC442" s="40">
        <f t="shared" si="1729"/>
        <v>20</v>
      </c>
      <c r="CD442" s="9">
        <f t="shared" si="1705"/>
        <v>0</v>
      </c>
      <c r="CE442" s="9">
        <f t="shared" si="1706"/>
        <v>0</v>
      </c>
      <c r="CF442" s="9">
        <f t="shared" si="1707"/>
        <v>0.89777220146327208</v>
      </c>
      <c r="CG442" s="9">
        <f t="shared" si="1708"/>
        <v>0.68048275862068963</v>
      </c>
      <c r="CH442" s="9">
        <f t="shared" si="1537"/>
        <v>1.3084804487373733</v>
      </c>
      <c r="CI442" s="9">
        <f t="shared" si="1538"/>
        <v>2.0815814748150445</v>
      </c>
      <c r="CJ442" s="40">
        <v>1</v>
      </c>
      <c r="CK442" s="9">
        <f t="shared" si="1539"/>
        <v>239.69189237657491</v>
      </c>
      <c r="CM442" s="4">
        <f t="shared" si="1709"/>
        <v>1.5717122916807</v>
      </c>
      <c r="CN442" s="4">
        <f t="shared" si="1710"/>
        <v>1.4864627253401679</v>
      </c>
      <c r="CO442" s="4">
        <f t="shared" si="1679"/>
        <v>1.3007003755234947</v>
      </c>
      <c r="CP442" s="4">
        <f t="shared" si="1711"/>
        <v>2.9117840723050152</v>
      </c>
      <c r="CQ442" s="4">
        <f t="shared" si="1627"/>
        <v>1.1596127136690846</v>
      </c>
      <c r="CR442" s="4">
        <f t="shared" si="1628"/>
        <v>1.2582112350998493</v>
      </c>
      <c r="CS442" s="4">
        <f t="shared" si="1680"/>
        <v>1.2184121174982501</v>
      </c>
      <c r="CT442" s="4">
        <f t="shared" si="1730"/>
        <v>0</v>
      </c>
      <c r="CU442" s="4">
        <f t="shared" ref="CU442:CV443" si="1734">CM442</f>
        <v>1.5717122916807</v>
      </c>
      <c r="CV442" s="4">
        <f t="shared" si="1734"/>
        <v>1.4864627253401679</v>
      </c>
      <c r="CW442" s="4">
        <f t="shared" ref="CW442:CW443" si="1735">CP442</f>
        <v>2.9117840723050152</v>
      </c>
      <c r="CX442" s="4">
        <f t="shared" ref="CX442:CX443" si="1736">CS442</f>
        <v>1.2184121174982501</v>
      </c>
      <c r="CY442" s="4">
        <f t="shared" ref="CY442:CZ443" si="1737">CQ442</f>
        <v>1.1596127136690846</v>
      </c>
      <c r="CZ442" s="4">
        <f t="shared" si="1737"/>
        <v>1.2582112350998493</v>
      </c>
      <c r="DI442" s="4">
        <f t="shared" si="1716"/>
        <v>493.77600000000001</v>
      </c>
      <c r="DL442" s="4">
        <f t="shared" si="1588"/>
        <v>2.5922823367202814E-5</v>
      </c>
      <c r="DM442" s="4">
        <f t="shared" si="1589"/>
        <v>6.5105676703943356</v>
      </c>
      <c r="DN442" s="4">
        <f t="shared" si="1590"/>
        <v>0.55747352912469106</v>
      </c>
      <c r="DO442" s="4">
        <f t="shared" si="1591"/>
        <v>5.1535744861924577</v>
      </c>
      <c r="DP442" s="4">
        <f t="shared" si="1592"/>
        <v>5.8714587929856847</v>
      </c>
      <c r="DQ442" s="4">
        <f t="shared" si="1593"/>
        <v>5.6786582394970564</v>
      </c>
      <c r="DR442" s="38">
        <f t="shared" si="1622"/>
        <v>601.86562828762271</v>
      </c>
      <c r="DS442" s="4">
        <f t="shared" si="1594"/>
        <v>1.0001284152167191</v>
      </c>
      <c r="DT442" s="4">
        <f t="shared" si="1595"/>
        <v>2.3452078799117149</v>
      </c>
      <c r="DU442" s="4">
        <f t="shared" si="1596"/>
        <v>287.45346017432786</v>
      </c>
      <c r="DY442" s="4">
        <f t="shared" si="1597"/>
        <v>0.85</v>
      </c>
      <c r="DZ442" s="4">
        <f t="shared" si="1598"/>
        <v>0.90851063829787226</v>
      </c>
      <c r="EA442" s="4">
        <f t="shared" si="1623"/>
        <v>1</v>
      </c>
      <c r="EB442" s="4">
        <f t="shared" si="1599"/>
        <v>0.90851063829787226</v>
      </c>
      <c r="ED442" s="4">
        <f t="shared" si="1624"/>
        <v>554.70100330758225</v>
      </c>
      <c r="EE442" s="25">
        <f t="shared" si="1625"/>
        <v>285.41284264276118</v>
      </c>
      <c r="EG442" s="4">
        <f t="shared" si="1514"/>
        <v>0.77223404255319139</v>
      </c>
      <c r="EH442" s="4">
        <f t="shared" si="1626"/>
        <v>6.5105676703943356</v>
      </c>
      <c r="EK442" s="4">
        <f t="shared" si="1600"/>
        <v>83.991275011158137</v>
      </c>
      <c r="EL442" s="4">
        <f t="shared" si="1601"/>
        <v>2.3452078799117149</v>
      </c>
      <c r="EM442" s="4">
        <f t="shared" si="1602"/>
        <v>0.18654148485840832</v>
      </c>
      <c r="EP442" s="4">
        <f t="shared" si="1731"/>
        <v>0.18654148485840832</v>
      </c>
      <c r="EQ442" s="4">
        <f t="shared" si="1540"/>
        <v>0.55654320970352378</v>
      </c>
      <c r="ER442" s="4">
        <f t="shared" si="1603"/>
        <v>5.1501326202423856</v>
      </c>
      <c r="ES442" s="4">
        <f t="shared" si="1717"/>
        <v>5.8699491476777874</v>
      </c>
      <c r="ET442" s="4">
        <f t="shared" si="1604"/>
        <v>286.34072498884188</v>
      </c>
      <c r="EU442" s="4">
        <f t="shared" si="1605"/>
        <v>123.44399999999996</v>
      </c>
      <c r="EV442" s="4">
        <f t="shared" si="1541"/>
        <v>2.5922823367202804E-5</v>
      </c>
      <c r="EW442" s="4">
        <f t="shared" si="1718"/>
        <v>5.6788967611987706</v>
      </c>
      <c r="EX442" s="4">
        <f t="shared" si="1555"/>
        <v>601.78834950630176</v>
      </c>
      <c r="FA442" s="4">
        <f>6.75*25.4</f>
        <v>171.45</v>
      </c>
      <c r="FG442" s="23">
        <f t="shared" si="1459"/>
        <v>1.6</v>
      </c>
      <c r="FH442" s="23">
        <f t="shared" si="1459"/>
        <v>1.6</v>
      </c>
      <c r="FI442" s="23">
        <f t="shared" si="1681"/>
        <v>1.4</v>
      </c>
      <c r="FJ442" s="23">
        <f t="shared" si="1460"/>
        <v>2.2000000000000002</v>
      </c>
      <c r="FK442" s="23">
        <f t="shared" si="1460"/>
        <v>1.2</v>
      </c>
      <c r="FL442" s="23">
        <f t="shared" si="1460"/>
        <v>1.4</v>
      </c>
      <c r="FM442" s="23">
        <f t="shared" si="1629"/>
        <v>0</v>
      </c>
      <c r="FN442" s="23"/>
      <c r="FX442" s="4">
        <f t="shared" si="1500"/>
        <v>1</v>
      </c>
      <c r="FY442" s="4">
        <f t="shared" si="1561"/>
        <v>0.5</v>
      </c>
      <c r="FZ442" s="4">
        <f t="shared" si="1501"/>
        <v>0</v>
      </c>
      <c r="GA442" s="4">
        <f t="shared" si="1502"/>
        <v>572.82016852870072</v>
      </c>
    </row>
    <row r="443" spans="1:183" ht="12" customHeight="1" x14ac:dyDescent="0.3">
      <c r="A443" s="25">
        <v>425</v>
      </c>
      <c r="B443" s="4" t="s">
        <v>605</v>
      </c>
      <c r="C443" s="4">
        <v>2016</v>
      </c>
      <c r="D443" s="4" t="s">
        <v>309</v>
      </c>
      <c r="E443" s="14" t="s">
        <v>595</v>
      </c>
      <c r="F443" s="7" t="s">
        <v>597</v>
      </c>
      <c r="G443" s="38">
        <f>135/0.145</f>
        <v>931.0344827586207</v>
      </c>
      <c r="H443" s="38">
        <f>19.38*25.4</f>
        <v>492.25199999999995</v>
      </c>
      <c r="I443" s="4">
        <f t="shared" si="1719"/>
        <v>492.25199999999995</v>
      </c>
      <c r="J443" s="38">
        <f>6320/145</f>
        <v>43.586206896551722</v>
      </c>
      <c r="K443" s="38">
        <f t="shared" si="1642"/>
        <v>35.813999999999993</v>
      </c>
      <c r="L443" s="7">
        <f t="shared" si="1720"/>
        <v>13.744680851063832</v>
      </c>
      <c r="M443" s="7">
        <f t="shared" si="1721"/>
        <v>13.744680851063832</v>
      </c>
      <c r="N443" s="38">
        <f>22*25.4</f>
        <v>558.79999999999995</v>
      </c>
      <c r="O443" s="38">
        <f>2.75*25.4</f>
        <v>69.849999999999994</v>
      </c>
      <c r="P443" s="39">
        <f>3.3*25.4</f>
        <v>83.82</v>
      </c>
      <c r="Q443" s="7">
        <f t="shared" si="1722"/>
        <v>347.47199999999998</v>
      </c>
      <c r="R443" s="38">
        <v>2</v>
      </c>
      <c r="S443" s="4">
        <f t="shared" si="1493"/>
        <v>508</v>
      </c>
      <c r="T443" s="7">
        <f t="shared" si="1723"/>
        <v>2.4503546099290783</v>
      </c>
      <c r="U443" s="7">
        <f t="shared" si="1548"/>
        <v>2.4503546099290783</v>
      </c>
      <c r="V443" s="38">
        <v>5.5</v>
      </c>
      <c r="W443" s="4">
        <f t="shared" si="1724"/>
        <v>5.5</v>
      </c>
      <c r="X443" s="4">
        <f t="shared" si="1725"/>
        <v>6.5</v>
      </c>
      <c r="Y443" s="7">
        <f t="shared" si="1726"/>
        <v>91.308142429905971</v>
      </c>
      <c r="AB443" s="38">
        <f t="shared" si="1461"/>
        <v>781.37931034482767</v>
      </c>
      <c r="AC443" s="4">
        <v>113.3</v>
      </c>
      <c r="AD443" s="4">
        <f t="shared" si="1587"/>
        <v>1.2217011324137843</v>
      </c>
      <c r="AE443" s="38">
        <v>0</v>
      </c>
      <c r="AF443" s="38">
        <v>0</v>
      </c>
      <c r="AG443" s="39">
        <f t="shared" si="1733"/>
        <v>492.25199999999995</v>
      </c>
      <c r="AH443" s="39"/>
      <c r="AI443" s="39"/>
      <c r="AJ443" s="7"/>
      <c r="AK443" s="4">
        <f t="shared" si="1727"/>
        <v>492.25199999999995</v>
      </c>
      <c r="AL443" s="4">
        <f t="shared" si="1607"/>
        <v>0.37839697282421741</v>
      </c>
      <c r="AM443" s="4">
        <f t="shared" si="1608"/>
        <v>357.87407330106765</v>
      </c>
      <c r="AN443" s="4">
        <f t="shared" si="1609"/>
        <v>0.73565531475748192</v>
      </c>
      <c r="AO443" s="4">
        <v>1.25</v>
      </c>
      <c r="AP443" s="4">
        <f t="shared" si="1520"/>
        <v>2.5</v>
      </c>
      <c r="AQ443" s="38">
        <f t="shared" si="1697"/>
        <v>311.31660694188923</v>
      </c>
      <c r="AR443" s="38">
        <f t="shared" si="1610"/>
        <v>311.31660694188923</v>
      </c>
      <c r="AS443" s="38">
        <f t="shared" si="1611"/>
        <v>3.7155288579258352</v>
      </c>
      <c r="AT443" s="38">
        <f t="shared" si="1533"/>
        <v>311.31660694188946</v>
      </c>
      <c r="AU443" s="38">
        <f t="shared" si="1495"/>
        <v>0.99999999999999922</v>
      </c>
      <c r="AV443" s="38">
        <f t="shared" si="1534"/>
        <v>1.609114940007129</v>
      </c>
      <c r="AW443" s="4">
        <f t="shared" si="1535"/>
        <v>0</v>
      </c>
      <c r="AX443" s="4">
        <f t="shared" si="1728"/>
        <v>477.5904094947345</v>
      </c>
      <c r="AY443" s="4">
        <f t="shared" si="1698"/>
        <v>1</v>
      </c>
      <c r="AZ443" s="38">
        <f t="shared" si="1542"/>
        <v>500.94420330252137</v>
      </c>
      <c r="BA443" s="4">
        <f t="shared" si="1699"/>
        <v>0.3</v>
      </c>
      <c r="BB443" s="4">
        <f t="shared" si="1700"/>
        <v>74.862296688299637</v>
      </c>
      <c r="BC443" s="4">
        <f t="shared" si="1701"/>
        <v>575.80649999082107</v>
      </c>
      <c r="BE443" s="4">
        <f t="shared" si="1521"/>
        <v>1.2375886524822697</v>
      </c>
      <c r="BF443" s="4">
        <f t="shared" si="1527"/>
        <v>582.02072294007257</v>
      </c>
      <c r="BH443" s="4">
        <f t="shared" si="1549"/>
        <v>480.46675245125056</v>
      </c>
      <c r="BI443" s="4">
        <f t="shared" si="1481"/>
        <v>0</v>
      </c>
      <c r="BJ443" s="4">
        <f t="shared" si="1550"/>
        <v>0</v>
      </c>
      <c r="BK443" s="4">
        <f t="shared" si="1612"/>
        <v>69.849999999999994</v>
      </c>
      <c r="BL443" s="4">
        <f t="shared" si="1613"/>
        <v>69.849999999999994</v>
      </c>
      <c r="BM443" s="4">
        <f t="shared" si="1614"/>
        <v>508</v>
      </c>
      <c r="BN443" s="4">
        <f t="shared" si="1615"/>
        <v>87.756999999999991</v>
      </c>
      <c r="BO443" s="4">
        <f t="shared" si="1616"/>
        <v>1.25</v>
      </c>
      <c r="BP443" s="25">
        <f t="shared" si="1617"/>
        <v>3.062943262411348</v>
      </c>
      <c r="BR443" s="4">
        <f t="shared" si="1702"/>
        <v>69.849999999999994</v>
      </c>
      <c r="BV443" s="9"/>
      <c r="BX443" s="9"/>
      <c r="BY443" s="9"/>
      <c r="BZ443" s="9">
        <f t="shared" si="1703"/>
        <v>69.849999999999994</v>
      </c>
      <c r="CA443" s="9">
        <f t="shared" si="1704"/>
        <v>173.73599999999999</v>
      </c>
      <c r="CB443" s="9">
        <f t="shared" si="1536"/>
        <v>1.6010883658280048</v>
      </c>
      <c r="CC443" s="40">
        <f t="shared" si="1729"/>
        <v>20</v>
      </c>
      <c r="CD443" s="9">
        <f t="shared" si="1705"/>
        <v>0</v>
      </c>
      <c r="CE443" s="9">
        <f t="shared" si="1706"/>
        <v>0</v>
      </c>
      <c r="CF443" s="9">
        <f t="shared" si="1707"/>
        <v>0.89777220146327208</v>
      </c>
      <c r="CG443" s="9">
        <f t="shared" si="1708"/>
        <v>0.68</v>
      </c>
      <c r="CH443" s="9">
        <f t="shared" si="1537"/>
        <v>1.4106447240551518</v>
      </c>
      <c r="CI443" s="9">
        <f t="shared" si="1538"/>
        <v>2.2585668560013601</v>
      </c>
      <c r="CJ443" s="40">
        <v>1</v>
      </c>
      <c r="CK443" s="9">
        <f t="shared" si="1539"/>
        <v>259.68713382619899</v>
      </c>
      <c r="CM443" s="4">
        <f t="shared" si="1709"/>
        <v>1.6360866860192729</v>
      </c>
      <c r="CN443" s="4">
        <f t="shared" si="1710"/>
        <v>1.3570171756610661</v>
      </c>
      <c r="CO443" s="4">
        <f t="shared" si="1679"/>
        <v>1.3425283319770762</v>
      </c>
      <c r="CP443" s="4">
        <f t="shared" si="1711"/>
        <v>3.0089257747662694</v>
      </c>
      <c r="CQ443" s="4">
        <f t="shared" si="1627"/>
        <v>1.2217011324137843</v>
      </c>
      <c r="CR443" s="4">
        <f t="shared" si="1628"/>
        <v>1.3026075869753657</v>
      </c>
      <c r="CS443" s="4">
        <f t="shared" si="1680"/>
        <v>1.3173670073694528</v>
      </c>
      <c r="CT443" s="4">
        <f t="shared" si="1730"/>
        <v>0</v>
      </c>
      <c r="CU443" s="4">
        <f t="shared" si="1734"/>
        <v>1.6360866860192729</v>
      </c>
      <c r="CV443" s="4">
        <f t="shared" si="1734"/>
        <v>1.3570171756610661</v>
      </c>
      <c r="CW443" s="4">
        <f t="shared" si="1735"/>
        <v>3.0089257747662694</v>
      </c>
      <c r="CX443" s="4">
        <f t="shared" si="1736"/>
        <v>1.3173670073694528</v>
      </c>
      <c r="CY443" s="4">
        <f t="shared" si="1737"/>
        <v>1.2217011324137843</v>
      </c>
      <c r="CZ443" s="4">
        <f t="shared" si="1737"/>
        <v>1.3026075869753657</v>
      </c>
      <c r="DI443" s="4">
        <f t="shared" si="1716"/>
        <v>492.25199999999995</v>
      </c>
      <c r="DL443" s="4">
        <f t="shared" si="1588"/>
        <v>2.6912597390312449E-5</v>
      </c>
      <c r="DM443" s="4">
        <f t="shared" si="1589"/>
        <v>7.0514095095305276</v>
      </c>
      <c r="DN443" s="4">
        <f t="shared" si="1590"/>
        <v>0.46138865032032206</v>
      </c>
      <c r="DO443" s="4">
        <f t="shared" si="1591"/>
        <v>5.1749087932933691</v>
      </c>
      <c r="DP443" s="4">
        <f t="shared" si="1592"/>
        <v>6.1849067031831817</v>
      </c>
      <c r="DQ443" s="4">
        <f t="shared" si="1593"/>
        <v>6.0778212680975621</v>
      </c>
      <c r="DR443" s="38">
        <f t="shared" si="1622"/>
        <v>639.58302862584094</v>
      </c>
      <c r="DS443" s="4">
        <f t="shared" si="1594"/>
        <v>1.0001194901621364</v>
      </c>
      <c r="DT443" s="4">
        <f t="shared" si="1595"/>
        <v>2.5495097567963922</v>
      </c>
      <c r="DU443" s="4">
        <f t="shared" si="1596"/>
        <v>311.31660694188946</v>
      </c>
      <c r="DY443" s="4">
        <f t="shared" si="1597"/>
        <v>0.85</v>
      </c>
      <c r="DZ443" s="4">
        <f t="shared" si="1598"/>
        <v>0.90496453900709217</v>
      </c>
      <c r="EA443" s="4">
        <f t="shared" si="1623"/>
        <v>1</v>
      </c>
      <c r="EB443" s="4">
        <f t="shared" si="1599"/>
        <v>0.90496453900709217</v>
      </c>
      <c r="ED443" s="4">
        <f t="shared" si="1624"/>
        <v>599.85779152352256</v>
      </c>
      <c r="EE443" s="25">
        <f t="shared" si="1625"/>
        <v>309.09967174756156</v>
      </c>
      <c r="EG443" s="4">
        <f t="shared" si="1514"/>
        <v>0.76921985815602834</v>
      </c>
      <c r="EH443" s="4">
        <f t="shared" si="1626"/>
        <v>7.0514095095305276</v>
      </c>
      <c r="EK443" s="4">
        <f t="shared" si="1600"/>
        <v>91.308142429905971</v>
      </c>
      <c r="EL443" s="4">
        <f t="shared" si="1601"/>
        <v>2.5495097567963922</v>
      </c>
      <c r="EM443" s="4">
        <f t="shared" si="1602"/>
        <v>0.16656230050522144</v>
      </c>
      <c r="EP443" s="4">
        <f t="shared" si="1731"/>
        <v>0.16656230050522144</v>
      </c>
      <c r="EQ443" s="4">
        <f t="shared" si="1540"/>
        <v>0.46061867865409239</v>
      </c>
      <c r="ER443" s="4">
        <f t="shared" si="1603"/>
        <v>5.1714526790142257</v>
      </c>
      <c r="ES443" s="4">
        <f t="shared" si="1717"/>
        <v>6.1834624557175362</v>
      </c>
      <c r="ET443" s="4">
        <f t="shared" si="1604"/>
        <v>277.88085757009401</v>
      </c>
      <c r="EU443" s="4">
        <f t="shared" si="1605"/>
        <v>123.06299999999999</v>
      </c>
      <c r="EV443" s="4">
        <f t="shared" si="1541"/>
        <v>2.6912597390312449E-5</v>
      </c>
      <c r="EW443" s="4">
        <f t="shared" si="1718"/>
        <v>6.0780871534096637</v>
      </c>
      <c r="EX443" s="4">
        <f t="shared" si="1555"/>
        <v>639.50661387686148</v>
      </c>
      <c r="FG443" s="23">
        <f t="shared" si="1459"/>
        <v>1.8</v>
      </c>
      <c r="FH443" s="23">
        <f t="shared" si="1459"/>
        <v>1.4</v>
      </c>
      <c r="FI443" s="23">
        <f t="shared" si="1681"/>
        <v>1.4</v>
      </c>
      <c r="FJ443" s="23">
        <f t="shared" si="1460"/>
        <v>2.2000000000000002</v>
      </c>
      <c r="FK443" s="23">
        <f t="shared" si="1460"/>
        <v>1.4</v>
      </c>
      <c r="FL443" s="23">
        <f t="shared" si="1460"/>
        <v>1.4</v>
      </c>
      <c r="FM443" s="23">
        <f t="shared" si="1629"/>
        <v>0</v>
      </c>
      <c r="FN443" s="23"/>
      <c r="FX443" s="4">
        <f t="shared" si="1500"/>
        <v>1</v>
      </c>
      <c r="FY443" s="4">
        <f t="shared" si="1561"/>
        <v>0.5</v>
      </c>
      <c r="FZ443" s="4">
        <f t="shared" si="1501"/>
        <v>0</v>
      </c>
      <c r="GA443" s="4">
        <f t="shared" si="1502"/>
        <v>593.13714854989644</v>
      </c>
    </row>
    <row r="444" spans="1:183" ht="12" customHeight="1" x14ac:dyDescent="0.3">
      <c r="A444" s="25">
        <v>426</v>
      </c>
      <c r="B444" s="4" t="s">
        <v>605</v>
      </c>
      <c r="C444" s="4">
        <v>2016</v>
      </c>
      <c r="D444" s="4" t="s">
        <v>309</v>
      </c>
      <c r="E444" s="14" t="s">
        <v>680</v>
      </c>
      <c r="F444" s="48" t="s">
        <v>598</v>
      </c>
      <c r="G444" s="38">
        <f t="shared" ref="G444" si="1738">115.9/0.145</f>
        <v>799.31034482758628</v>
      </c>
      <c r="H444" s="38">
        <f>19.63*25.4</f>
        <v>498.60199999999992</v>
      </c>
      <c r="I444" s="4">
        <f t="shared" si="1719"/>
        <v>498.60199999999992</v>
      </c>
      <c r="J444" s="38">
        <f>5430/145</f>
        <v>37.448275862068968</v>
      </c>
      <c r="K444" s="38">
        <f t="shared" si="1642"/>
        <v>35.813999999999993</v>
      </c>
      <c r="L444" s="7">
        <f t="shared" si="1720"/>
        <v>13.921985815602838</v>
      </c>
      <c r="M444" s="7">
        <f t="shared" si="1721"/>
        <v>13.921985815602838</v>
      </c>
      <c r="N444" s="38">
        <f>21.7*25.4</f>
        <v>551.17999999999995</v>
      </c>
      <c r="O444" s="38">
        <f>2.65*25.4</f>
        <v>67.309999999999988</v>
      </c>
      <c r="P444" s="39">
        <f>3.8*25.4</f>
        <v>96.52</v>
      </c>
      <c r="Q444" s="7">
        <f t="shared" si="1722"/>
        <v>344.93200000000002</v>
      </c>
      <c r="R444" s="38">
        <v>2</v>
      </c>
      <c r="S444" s="4">
        <f t="shared" si="1493"/>
        <v>508</v>
      </c>
      <c r="T444" s="7">
        <f t="shared" si="1723"/>
        <v>2.3794326241134751</v>
      </c>
      <c r="U444" s="7">
        <f t="shared" si="1548"/>
        <v>2.3794326241134751</v>
      </c>
      <c r="V444" s="38">
        <v>4.5</v>
      </c>
      <c r="W444" s="4">
        <f t="shared" si="1724"/>
        <v>4.5</v>
      </c>
      <c r="X444" s="4">
        <f t="shared" si="1725"/>
        <v>5.5</v>
      </c>
      <c r="Y444" s="7">
        <f t="shared" si="1726"/>
        <v>83.991275011158137</v>
      </c>
      <c r="AB444" s="38">
        <f t="shared" si="1461"/>
        <v>802.06896551724139</v>
      </c>
      <c r="AC444" s="4">
        <v>116.3</v>
      </c>
      <c r="AD444" s="4">
        <f t="shared" si="1587"/>
        <v>1.3325481105008794</v>
      </c>
      <c r="AE444" s="38">
        <f t="shared" ref="AE444:AE445" si="1739">0.5*25.4</f>
        <v>12.7</v>
      </c>
      <c r="AF444" s="38">
        <v>12</v>
      </c>
      <c r="AG444" s="39">
        <f t="shared" ref="AG444:AG445" si="1740">4*25.4</f>
        <v>101.6</v>
      </c>
      <c r="AH444" s="39">
        <v>2</v>
      </c>
      <c r="AI444" s="39">
        <f t="shared" ref="AI444:AI445" si="1741">AH444-1</f>
        <v>1</v>
      </c>
      <c r="AJ444" s="7"/>
      <c r="AK444" s="4">
        <f t="shared" si="1727"/>
        <v>498.60199999999992</v>
      </c>
      <c r="AL444" s="4">
        <f t="shared" si="1607"/>
        <v>0.36848361351672609</v>
      </c>
      <c r="AM444" s="4">
        <f t="shared" si="1608"/>
        <v>338.15935186284662</v>
      </c>
      <c r="AN444" s="4">
        <f t="shared" si="1609"/>
        <v>0.73418237391747321</v>
      </c>
      <c r="AO444" s="4">
        <v>1.25</v>
      </c>
      <c r="AP444" s="4">
        <f t="shared" si="1520"/>
        <v>2.5</v>
      </c>
      <c r="AQ444" s="38">
        <f t="shared" si="1697"/>
        <v>285.88644055513333</v>
      </c>
      <c r="AR444" s="38">
        <f t="shared" si="1610"/>
        <v>285.88644055513333</v>
      </c>
      <c r="AS444" s="38">
        <f t="shared" si="1611"/>
        <v>3.3579622250305636</v>
      </c>
      <c r="AT444" s="38">
        <f t="shared" si="1533"/>
        <v>285.88644055513362</v>
      </c>
      <c r="AU444" s="38">
        <f t="shared" si="1495"/>
        <v>0.999999999999999</v>
      </c>
      <c r="AV444" s="38">
        <f t="shared" si="1534"/>
        <v>1.3223546120307097</v>
      </c>
      <c r="AW444" s="4">
        <f t="shared" si="1535"/>
        <v>0</v>
      </c>
      <c r="AX444" s="4">
        <f t="shared" si="1728"/>
        <v>448.39782740666135</v>
      </c>
      <c r="AY444" s="4">
        <f t="shared" si="1698"/>
        <v>1</v>
      </c>
      <c r="AZ444" s="38">
        <f t="shared" si="1542"/>
        <v>378.04325318512429</v>
      </c>
      <c r="BA444" s="4">
        <f t="shared" si="1699"/>
        <v>0.37</v>
      </c>
      <c r="BB444" s="4">
        <f t="shared" si="1700"/>
        <v>86.68650998339281</v>
      </c>
      <c r="BC444" s="4">
        <f t="shared" si="1701"/>
        <v>464.72976316851708</v>
      </c>
      <c r="BE444" s="4">
        <f t="shared" si="1521"/>
        <v>1.5</v>
      </c>
      <c r="BF444" s="4">
        <f t="shared" si="1527"/>
        <v>658.7576262992776</v>
      </c>
      <c r="BH444" s="4">
        <f t="shared" si="1549"/>
        <v>362.58971148184219</v>
      </c>
      <c r="BI444" s="4">
        <f t="shared" si="1481"/>
        <v>0</v>
      </c>
      <c r="BJ444" s="4">
        <f t="shared" si="1550"/>
        <v>0</v>
      </c>
      <c r="BK444" s="4">
        <f t="shared" si="1612"/>
        <v>67.309999999999988</v>
      </c>
      <c r="BL444" s="4">
        <f t="shared" si="1613"/>
        <v>67.309999999999988</v>
      </c>
      <c r="BM444" s="4">
        <f t="shared" si="1614"/>
        <v>508</v>
      </c>
      <c r="BN444" s="4">
        <f t="shared" si="1615"/>
        <v>85.216999999999985</v>
      </c>
      <c r="BO444" s="4">
        <f t="shared" si="1616"/>
        <v>1.25</v>
      </c>
      <c r="BP444" s="25">
        <f t="shared" si="1617"/>
        <v>4</v>
      </c>
      <c r="BR444" s="4">
        <f t="shared" si="1702"/>
        <v>67.309999999999988</v>
      </c>
      <c r="BV444" s="9"/>
      <c r="BX444" s="9"/>
      <c r="BY444" s="9"/>
      <c r="BZ444" s="9">
        <f t="shared" si="1703"/>
        <v>67.309999999999988</v>
      </c>
      <c r="CA444" s="9">
        <f t="shared" si="1704"/>
        <v>172.46600000000001</v>
      </c>
      <c r="CB444" s="9">
        <f t="shared" si="1536"/>
        <v>1.5787267425904519</v>
      </c>
      <c r="CC444" s="40">
        <f t="shared" si="1729"/>
        <v>20</v>
      </c>
      <c r="CD444" s="9">
        <f t="shared" si="1705"/>
        <v>0.05</v>
      </c>
      <c r="CE444" s="9">
        <f t="shared" si="1706"/>
        <v>0.8</v>
      </c>
      <c r="CF444" s="9">
        <f t="shared" si="1707"/>
        <v>0.89777220146327208</v>
      </c>
      <c r="CG444" s="9">
        <f t="shared" si="1708"/>
        <v>0.68048275862068963</v>
      </c>
      <c r="CH444" s="9">
        <f t="shared" si="1537"/>
        <v>1.3084804487373733</v>
      </c>
      <c r="CI444" s="9">
        <f t="shared" si="1538"/>
        <v>3.1125174355683445</v>
      </c>
      <c r="CJ444" s="40">
        <v>1</v>
      </c>
      <c r="CK444" s="9">
        <f t="shared" si="1539"/>
        <v>360.08074048929672</v>
      </c>
      <c r="CM444" s="4">
        <f t="shared" si="1709"/>
        <v>1.7887440939579493</v>
      </c>
      <c r="CN444" s="4">
        <f t="shared" si="1710"/>
        <v>1.725882500076503</v>
      </c>
      <c r="CO444" s="4">
        <f t="shared" si="1679"/>
        <v>1.2175479015295021</v>
      </c>
      <c r="CP444" s="4">
        <f t="shared" si="1711"/>
        <v>2.2274697736606179</v>
      </c>
      <c r="CQ444" s="4">
        <f t="shared" si="1627"/>
        <v>1.3325481105008794</v>
      </c>
      <c r="CR444" s="4">
        <f t="shared" si="1628"/>
        <v>1.4455193526381414</v>
      </c>
      <c r="CS444" s="4">
        <f t="shared" si="1680"/>
        <v>1.1997735337343924</v>
      </c>
      <c r="CT444" s="4">
        <f t="shared" si="1730"/>
        <v>12</v>
      </c>
      <c r="DA444" s="4">
        <f t="shared" ref="DA444:DB445" si="1742">CM444</f>
        <v>1.7887440939579493</v>
      </c>
      <c r="DB444" s="4">
        <f t="shared" si="1742"/>
        <v>1.725882500076503</v>
      </c>
      <c r="DC444" s="4">
        <f t="shared" ref="DC444:DC445" si="1743">CP444</f>
        <v>2.2274697736606179</v>
      </c>
      <c r="DD444" s="4">
        <f t="shared" ref="DD444:DD445" si="1744">CS444</f>
        <v>1.1997735337343924</v>
      </c>
      <c r="DE444" s="4">
        <f t="shared" ref="DE444:DF445" si="1745">CQ444</f>
        <v>1.3325481105008794</v>
      </c>
      <c r="DF444" s="4">
        <f t="shared" si="1745"/>
        <v>1.4455193526381414</v>
      </c>
      <c r="DI444" s="4">
        <f t="shared" si="1716"/>
        <v>498.60199999999992</v>
      </c>
      <c r="DL444" s="4">
        <f t="shared" si="1588"/>
        <v>2.6176184295174446E-5</v>
      </c>
      <c r="DM444" s="4">
        <f t="shared" si="1589"/>
        <v>6.4881670962699065</v>
      </c>
      <c r="DN444" s="4">
        <f t="shared" si="1590"/>
        <v>0.55443452602210153</v>
      </c>
      <c r="DO444" s="4">
        <f t="shared" si="1591"/>
        <v>5.1246254963864439</v>
      </c>
      <c r="DP444" s="4">
        <f t="shared" si="1592"/>
        <v>5.8463394128645252</v>
      </c>
      <c r="DQ444" s="4">
        <f t="shared" si="1593"/>
        <v>5.6466132783961722</v>
      </c>
      <c r="DR444" s="38">
        <f t="shared" si="1622"/>
        <v>601.90619700459365</v>
      </c>
      <c r="DS444" s="4">
        <f t="shared" si="1594"/>
        <v>1.0001284609546075</v>
      </c>
      <c r="DT444" s="4">
        <f t="shared" si="1595"/>
        <v>2.3452078799117149</v>
      </c>
      <c r="DU444" s="4">
        <f t="shared" si="1596"/>
        <v>285.88644055513362</v>
      </c>
      <c r="DY444" s="4">
        <f t="shared" si="1597"/>
        <v>0.85</v>
      </c>
      <c r="DZ444" s="4">
        <f t="shared" si="1598"/>
        <v>0.91205673758865247</v>
      </c>
      <c r="EA444" s="4">
        <f t="shared" si="1623"/>
        <v>0.9995510789195714</v>
      </c>
      <c r="EB444" s="4">
        <f t="shared" si="1599"/>
        <v>0.91164729609260198</v>
      </c>
      <c r="ED444" s="4">
        <f t="shared" si="1624"/>
        <v>554.86560180147535</v>
      </c>
      <c r="EE444" s="25">
        <f t="shared" si="1625"/>
        <v>283.88109095088328</v>
      </c>
      <c r="EG444" s="4">
        <f t="shared" si="1514"/>
        <v>0.77490020167871165</v>
      </c>
      <c r="EH444" s="4">
        <f t="shared" si="1626"/>
        <v>6.4881670962699065</v>
      </c>
      <c r="EK444" s="4">
        <f t="shared" si="1600"/>
        <v>83.991275011158137</v>
      </c>
      <c r="EL444" s="4">
        <f t="shared" si="1601"/>
        <v>2.3452078799117149</v>
      </c>
      <c r="EM444" s="4">
        <f t="shared" si="1602"/>
        <v>0.1855245753162881</v>
      </c>
      <c r="EP444" s="4">
        <f t="shared" si="1731"/>
        <v>0.1855245753162881</v>
      </c>
      <c r="EQ444" s="4">
        <f t="shared" si="1540"/>
        <v>0.55350927813071948</v>
      </c>
      <c r="ER444" s="4">
        <f t="shared" si="1603"/>
        <v>5.121202964306983</v>
      </c>
      <c r="ES444" s="4">
        <f t="shared" si="1717"/>
        <v>5.8448402834818527</v>
      </c>
      <c r="ET444" s="4">
        <f t="shared" si="1604"/>
        <v>289.96022498884179</v>
      </c>
      <c r="EU444" s="4">
        <f t="shared" si="1605"/>
        <v>124.65049999999997</v>
      </c>
      <c r="EV444" s="4">
        <f t="shared" si="1541"/>
        <v>2.6176184295174439E-5</v>
      </c>
      <c r="EW444" s="4">
        <f t="shared" si="1718"/>
        <v>5.6468534867652087</v>
      </c>
      <c r="EX444" s="4">
        <f t="shared" si="1555"/>
        <v>601.82888549145309</v>
      </c>
      <c r="FA444" s="4">
        <f>6.75*25.4</f>
        <v>171.45</v>
      </c>
      <c r="FG444" s="23">
        <f t="shared" si="1459"/>
        <v>1.8</v>
      </c>
      <c r="FH444" s="23">
        <f t="shared" si="1459"/>
        <v>1.8</v>
      </c>
      <c r="FI444" s="23">
        <f t="shared" si="1681"/>
        <v>1.2</v>
      </c>
      <c r="FJ444" s="23">
        <f t="shared" si="1460"/>
        <v>2.2000000000000002</v>
      </c>
      <c r="FK444" s="23">
        <f t="shared" si="1460"/>
        <v>1.4</v>
      </c>
      <c r="FL444" s="23">
        <f t="shared" si="1460"/>
        <v>1.6</v>
      </c>
      <c r="FM444" s="23">
        <f t="shared" si="1629"/>
        <v>0</v>
      </c>
      <c r="FN444" s="23"/>
      <c r="FX444" s="4">
        <f t="shared" si="1500"/>
        <v>1</v>
      </c>
      <c r="FY444" s="4">
        <f t="shared" si="1561"/>
        <v>0.43261334185606104</v>
      </c>
      <c r="FZ444" s="4">
        <f t="shared" si="1501"/>
        <v>0.25149640360142855</v>
      </c>
      <c r="GA444" s="4">
        <f t="shared" si="1502"/>
        <v>668.51696838213854</v>
      </c>
    </row>
    <row r="445" spans="1:183" ht="12" customHeight="1" x14ac:dyDescent="0.3">
      <c r="A445" s="25">
        <v>427</v>
      </c>
      <c r="B445" s="4" t="s">
        <v>605</v>
      </c>
      <c r="C445" s="4">
        <v>2016</v>
      </c>
      <c r="D445" s="4" t="s">
        <v>309</v>
      </c>
      <c r="E445" s="14" t="s">
        <v>680</v>
      </c>
      <c r="F445" s="7" t="s">
        <v>599</v>
      </c>
      <c r="G445" s="38">
        <f t="shared" ref="G445" si="1746">135/0.145</f>
        <v>931.0344827586207</v>
      </c>
      <c r="H445" s="38">
        <f>19.13*25.4</f>
        <v>485.90199999999993</v>
      </c>
      <c r="I445" s="4">
        <f t="shared" si="1719"/>
        <v>485.90199999999993</v>
      </c>
      <c r="J445" s="38">
        <f>6320/145</f>
        <v>43.586206896551722</v>
      </c>
      <c r="K445" s="38">
        <f t="shared" si="1642"/>
        <v>35.813999999999993</v>
      </c>
      <c r="L445" s="7">
        <f t="shared" si="1720"/>
        <v>13.567375886524824</v>
      </c>
      <c r="M445" s="7">
        <f t="shared" si="1721"/>
        <v>13.567375886524824</v>
      </c>
      <c r="N445" s="38">
        <f>22.2*25.4</f>
        <v>563.88</v>
      </c>
      <c r="O445" s="38">
        <f>2.8*25.4</f>
        <v>71.11999999999999</v>
      </c>
      <c r="P445" s="39">
        <f>3.4*25.4</f>
        <v>86.36</v>
      </c>
      <c r="Q445" s="7">
        <f t="shared" si="1722"/>
        <v>350.01200000000006</v>
      </c>
      <c r="R445" s="38">
        <v>2</v>
      </c>
      <c r="S445" s="4">
        <f t="shared" si="1493"/>
        <v>508</v>
      </c>
      <c r="T445" s="7">
        <f t="shared" si="1723"/>
        <v>2.4858156028368796</v>
      </c>
      <c r="U445" s="7">
        <f t="shared" si="1548"/>
        <v>2.4858156028368796</v>
      </c>
      <c r="V445" s="38">
        <v>5.5</v>
      </c>
      <c r="W445" s="4">
        <f t="shared" si="1724"/>
        <v>5.5</v>
      </c>
      <c r="X445" s="4">
        <f t="shared" si="1725"/>
        <v>6.5</v>
      </c>
      <c r="Y445" s="7">
        <f t="shared" si="1726"/>
        <v>91.308142429905971</v>
      </c>
      <c r="AB445" s="38">
        <f t="shared" si="1461"/>
        <v>837.93103448275872</v>
      </c>
      <c r="AC445" s="4">
        <v>121.5</v>
      </c>
      <c r="AD445" s="4">
        <f t="shared" si="1587"/>
        <v>1.3127262358757383</v>
      </c>
      <c r="AE445" s="38">
        <f t="shared" si="1739"/>
        <v>12.7</v>
      </c>
      <c r="AF445" s="38">
        <v>12</v>
      </c>
      <c r="AG445" s="39">
        <f t="shared" si="1740"/>
        <v>101.6</v>
      </c>
      <c r="AH445" s="39">
        <v>2</v>
      </c>
      <c r="AI445" s="39">
        <f t="shared" si="1741"/>
        <v>1</v>
      </c>
      <c r="AJ445" s="7"/>
      <c r="AK445" s="4">
        <f t="shared" si="1727"/>
        <v>485.90199999999993</v>
      </c>
      <c r="AL445" s="4">
        <f t="shared" si="1607"/>
        <v>0.38682697334030319</v>
      </c>
      <c r="AM445" s="4">
        <f t="shared" si="1608"/>
        <v>350.9716459559333</v>
      </c>
      <c r="AN445" s="4">
        <f t="shared" si="1609"/>
        <v>0.73664401463669626</v>
      </c>
      <c r="AO445" s="4">
        <v>1.25</v>
      </c>
      <c r="AP445" s="4">
        <f t="shared" si="1520"/>
        <v>2.5</v>
      </c>
      <c r="AQ445" s="38">
        <f t="shared" si="1697"/>
        <v>312.53342280198751</v>
      </c>
      <c r="AR445" s="38">
        <f t="shared" si="1610"/>
        <v>312.53342280198751</v>
      </c>
      <c r="AS445" s="38">
        <f t="shared" si="1611"/>
        <v>3.7155288579258352</v>
      </c>
      <c r="AT445" s="38">
        <f t="shared" si="1533"/>
        <v>312.53342280198746</v>
      </c>
      <c r="AU445" s="38">
        <f t="shared" si="1495"/>
        <v>1.0000000000000002</v>
      </c>
      <c r="AV445" s="38">
        <f t="shared" si="1534"/>
        <v>1.626046113927045</v>
      </c>
      <c r="AW445" s="4">
        <f t="shared" si="1535"/>
        <v>0</v>
      </c>
      <c r="AX445" s="4">
        <f t="shared" si="1728"/>
        <v>471.42954249918836</v>
      </c>
      <c r="AY445" s="4">
        <f t="shared" si="1698"/>
        <v>1</v>
      </c>
      <c r="AZ445" s="38">
        <f t="shared" si="1542"/>
        <v>508.19375761948982</v>
      </c>
      <c r="BA445" s="4">
        <f t="shared" si="1699"/>
        <v>0.3</v>
      </c>
      <c r="BB445" s="4">
        <f t="shared" si="1700"/>
        <v>73.896580786747791</v>
      </c>
      <c r="BC445" s="4">
        <f t="shared" si="1701"/>
        <v>582.09033840623761</v>
      </c>
      <c r="BE445" s="4">
        <f t="shared" si="1521"/>
        <v>1.5</v>
      </c>
      <c r="BF445" s="4">
        <f t="shared" si="1527"/>
        <v>700.16158709603053</v>
      </c>
      <c r="BH445" s="4">
        <f t="shared" si="1549"/>
        <v>487.41996160394592</v>
      </c>
      <c r="BI445" s="4">
        <f t="shared" si="1481"/>
        <v>0</v>
      </c>
      <c r="BJ445" s="4">
        <f t="shared" si="1550"/>
        <v>0</v>
      </c>
      <c r="BK445" s="4">
        <f t="shared" si="1612"/>
        <v>71.11999999999999</v>
      </c>
      <c r="BL445" s="4">
        <f t="shared" si="1613"/>
        <v>71.11999999999999</v>
      </c>
      <c r="BM445" s="4">
        <f t="shared" si="1614"/>
        <v>508</v>
      </c>
      <c r="BN445" s="4">
        <f t="shared" si="1615"/>
        <v>89.026999999999987</v>
      </c>
      <c r="BO445" s="4">
        <f t="shared" si="1616"/>
        <v>1.25</v>
      </c>
      <c r="BP445" s="25">
        <f t="shared" si="1617"/>
        <v>4</v>
      </c>
      <c r="BR445" s="4">
        <f t="shared" si="1702"/>
        <v>71.11999999999999</v>
      </c>
      <c r="BV445" s="9"/>
      <c r="BX445" s="9"/>
      <c r="BY445" s="9"/>
      <c r="BZ445" s="9">
        <f t="shared" si="1703"/>
        <v>71.11999999999999</v>
      </c>
      <c r="CA445" s="9">
        <f t="shared" si="1704"/>
        <v>175.00600000000003</v>
      </c>
      <c r="CB445" s="9">
        <f t="shared" si="1536"/>
        <v>1.6129787205235528</v>
      </c>
      <c r="CC445" s="40">
        <f t="shared" si="1729"/>
        <v>20</v>
      </c>
      <c r="CD445" s="9">
        <f t="shared" si="1705"/>
        <v>0.05</v>
      </c>
      <c r="CE445" s="9">
        <f t="shared" si="1706"/>
        <v>0.8</v>
      </c>
      <c r="CF445" s="9">
        <f t="shared" si="1707"/>
        <v>0.89777220146327208</v>
      </c>
      <c r="CG445" s="9">
        <f t="shared" si="1708"/>
        <v>0.68</v>
      </c>
      <c r="CH445" s="9">
        <f t="shared" si="1537"/>
        <v>1.4106447240551518</v>
      </c>
      <c r="CI445" s="9">
        <f t="shared" si="1538"/>
        <v>3.4038557013639004</v>
      </c>
      <c r="CJ445" s="40">
        <v>1</v>
      </c>
      <c r="CK445" s="9">
        <f t="shared" si="1539"/>
        <v>388.9569011374125</v>
      </c>
      <c r="CM445" s="4">
        <f t="shared" si="1709"/>
        <v>1.7774258058598467</v>
      </c>
      <c r="CN445" s="4">
        <f t="shared" si="1710"/>
        <v>1.4395206022092937</v>
      </c>
      <c r="CO445" s="4">
        <f t="shared" si="1679"/>
        <v>1.1967680745785221</v>
      </c>
      <c r="CP445" s="4">
        <f t="shared" si="1711"/>
        <v>2.1543030398289051</v>
      </c>
      <c r="CQ445" s="4">
        <f t="shared" si="1627"/>
        <v>1.3127262358757383</v>
      </c>
      <c r="CR445" s="4">
        <f t="shared" si="1628"/>
        <v>1.3999644400429421</v>
      </c>
      <c r="CS445" s="4">
        <f t="shared" si="1680"/>
        <v>1.265578045451847</v>
      </c>
      <c r="CT445" s="4">
        <f t="shared" si="1730"/>
        <v>12</v>
      </c>
      <c r="DA445" s="4">
        <f t="shared" si="1742"/>
        <v>1.7774258058598467</v>
      </c>
      <c r="DB445" s="4">
        <f t="shared" si="1742"/>
        <v>1.4395206022092937</v>
      </c>
      <c r="DC445" s="4">
        <f t="shared" si="1743"/>
        <v>2.1543030398289051</v>
      </c>
      <c r="DD445" s="4">
        <f t="shared" si="1744"/>
        <v>1.265578045451847</v>
      </c>
      <c r="DE445" s="4">
        <f t="shared" si="1745"/>
        <v>1.3127262358757383</v>
      </c>
      <c r="DF445" s="4">
        <f t="shared" si="1745"/>
        <v>1.3999644400429421</v>
      </c>
      <c r="DI445" s="4">
        <f t="shared" si="1716"/>
        <v>485.90199999999993</v>
      </c>
      <c r="DL445" s="4">
        <f t="shared" si="1588"/>
        <v>2.656542766133525E-5</v>
      </c>
      <c r="DM445" s="4">
        <f t="shared" si="1589"/>
        <v>7.0823285286528881</v>
      </c>
      <c r="DN445" s="4">
        <f t="shared" si="1590"/>
        <v>0.46319203958661892</v>
      </c>
      <c r="DO445" s="4">
        <f t="shared" si="1591"/>
        <v>5.2057163841338339</v>
      </c>
      <c r="DP445" s="4">
        <f t="shared" si="1592"/>
        <v>6.215420575543555</v>
      </c>
      <c r="DQ445" s="4">
        <f t="shared" si="1593"/>
        <v>6.1247184421615026</v>
      </c>
      <c r="DR445" s="38">
        <f t="shared" si="1622"/>
        <v>638.31361907973371</v>
      </c>
      <c r="DS445" s="4">
        <f t="shared" si="1594"/>
        <v>1.0001194724108122</v>
      </c>
      <c r="DT445" s="4">
        <f t="shared" si="1595"/>
        <v>2.5495097567963922</v>
      </c>
      <c r="DU445" s="4">
        <f t="shared" si="1596"/>
        <v>312.53342280198746</v>
      </c>
      <c r="DY445" s="4">
        <f t="shared" si="1597"/>
        <v>0.85</v>
      </c>
      <c r="DZ445" s="4">
        <f t="shared" si="1598"/>
        <v>0.90141843971631208</v>
      </c>
      <c r="EA445" s="4">
        <f t="shared" si="1623"/>
        <v>0.9995510789195714</v>
      </c>
      <c r="EB445" s="4">
        <f t="shared" si="1599"/>
        <v>0.90101377397643634</v>
      </c>
      <c r="ED445" s="4">
        <f t="shared" si="1624"/>
        <v>598.537370318532</v>
      </c>
      <c r="EE445" s="25">
        <f t="shared" si="1625"/>
        <v>310.27153041825591</v>
      </c>
      <c r="EG445" s="4">
        <f t="shared" si="1514"/>
        <v>0.76586170787997088</v>
      </c>
      <c r="EH445" s="4">
        <f t="shared" si="1626"/>
        <v>7.0823285286528881</v>
      </c>
      <c r="EK445" s="4">
        <f t="shared" si="1600"/>
        <v>91.308142429905971</v>
      </c>
      <c r="EL445" s="4">
        <f t="shared" si="1601"/>
        <v>2.5495097567963922</v>
      </c>
      <c r="EM445" s="4">
        <f t="shared" si="1602"/>
        <v>0.16721332793013166</v>
      </c>
      <c r="EP445" s="4">
        <f t="shared" si="1731"/>
        <v>0.16721332793013166</v>
      </c>
      <c r="EQ445" s="4">
        <f t="shared" si="1540"/>
        <v>0.4624190583998099</v>
      </c>
      <c r="ER445" s="4">
        <f t="shared" si="1603"/>
        <v>5.2022396946989016</v>
      </c>
      <c r="ES445" s="4">
        <f t="shared" si="1717"/>
        <v>6.2139662348721574</v>
      </c>
      <c r="ET445" s="4">
        <f t="shared" si="1604"/>
        <v>273.11835757009396</v>
      </c>
      <c r="EU445" s="4">
        <f t="shared" si="1605"/>
        <v>121.47550000000001</v>
      </c>
      <c r="EV445" s="4">
        <f t="shared" si="1541"/>
        <v>2.6565427661335253E-5</v>
      </c>
      <c r="EW445" s="4">
        <f t="shared" si="1718"/>
        <v>6.124981351833207</v>
      </c>
      <c r="EX445" s="4">
        <f t="shared" si="1555"/>
        <v>638.23736732278917</v>
      </c>
      <c r="FG445" s="23">
        <f t="shared" si="1459"/>
        <v>1.8</v>
      </c>
      <c r="FH445" s="23">
        <f t="shared" si="1459"/>
        <v>1.6</v>
      </c>
      <c r="FI445" s="23">
        <f t="shared" si="1681"/>
        <v>1.4</v>
      </c>
      <c r="FJ445" s="23">
        <f t="shared" si="1460"/>
        <v>2.2000000000000002</v>
      </c>
      <c r="FK445" s="23">
        <f t="shared" si="1460"/>
        <v>1.4</v>
      </c>
      <c r="FL445" s="23">
        <f t="shared" si="1460"/>
        <v>1.4</v>
      </c>
      <c r="FM445" s="23">
        <f t="shared" si="1629"/>
        <v>0</v>
      </c>
      <c r="FN445" s="23"/>
      <c r="FX445" s="4">
        <f t="shared" si="1500"/>
        <v>1</v>
      </c>
      <c r="FY445" s="4">
        <f t="shared" si="1561"/>
        <v>0.44214730608235164</v>
      </c>
      <c r="FZ445" s="4">
        <f t="shared" si="1501"/>
        <v>0.25149640360142855</v>
      </c>
      <c r="GA445" s="4">
        <f t="shared" si="1502"/>
        <v>662.09352911427425</v>
      </c>
    </row>
    <row r="446" spans="1:183" ht="12" customHeight="1" x14ac:dyDescent="0.3">
      <c r="A446" s="25">
        <v>428</v>
      </c>
      <c r="B446" s="4" t="s">
        <v>605</v>
      </c>
      <c r="C446" s="4">
        <v>2016</v>
      </c>
      <c r="D446" s="4" t="s">
        <v>309</v>
      </c>
      <c r="E446" s="14" t="s">
        <v>680</v>
      </c>
      <c r="F446" s="48" t="s">
        <v>600</v>
      </c>
      <c r="G446" s="38">
        <f t="shared" ref="G446" si="1747">115.9/0.145</f>
        <v>799.31034482758628</v>
      </c>
      <c r="H446" s="38">
        <f>19.5*25.4</f>
        <v>495.29999999999995</v>
      </c>
      <c r="I446" s="4">
        <f t="shared" si="1719"/>
        <v>495.29999999999995</v>
      </c>
      <c r="J446" s="38">
        <f>5430/145</f>
        <v>37.448275862068968</v>
      </c>
      <c r="K446" s="38">
        <f t="shared" si="1642"/>
        <v>35.813999999999993</v>
      </c>
      <c r="L446" s="7">
        <f t="shared" si="1720"/>
        <v>13.829787234042554</v>
      </c>
      <c r="M446" s="7">
        <f t="shared" si="1721"/>
        <v>13.829787234042554</v>
      </c>
      <c r="N446" s="38">
        <f>22*25.4</f>
        <v>558.79999999999995</v>
      </c>
      <c r="O446" s="38">
        <f>2.8*25.4</f>
        <v>71.11999999999999</v>
      </c>
      <c r="P446" s="39">
        <f>3.7*25.4</f>
        <v>93.98</v>
      </c>
      <c r="Q446" s="7">
        <f t="shared" si="1722"/>
        <v>154.55899999999997</v>
      </c>
      <c r="R446" s="38">
        <v>3</v>
      </c>
      <c r="S446" s="4">
        <f t="shared" si="1493"/>
        <v>508</v>
      </c>
      <c r="T446" s="7">
        <f t="shared" si="1723"/>
        <v>2.4858156028368796</v>
      </c>
      <c r="U446" s="7">
        <f t="shared" si="1548"/>
        <v>2.4858156028368796</v>
      </c>
      <c r="V446" s="38">
        <v>4.5</v>
      </c>
      <c r="W446" s="4">
        <f t="shared" si="1724"/>
        <v>4.5</v>
      </c>
      <c r="X446" s="4">
        <f t="shared" si="1725"/>
        <v>5.5</v>
      </c>
      <c r="Y446" s="7">
        <f t="shared" si="1726"/>
        <v>83.991275011158137</v>
      </c>
      <c r="AB446" s="38">
        <f t="shared" si="1461"/>
        <v>568.9655172413793</v>
      </c>
      <c r="AC446" s="4">
        <v>82.5</v>
      </c>
      <c r="AD446" s="4">
        <f t="shared" si="1587"/>
        <v>1.1515856076091984</v>
      </c>
      <c r="AE446" s="38">
        <v>0</v>
      </c>
      <c r="AF446" s="38">
        <v>0</v>
      </c>
      <c r="AG446" s="39">
        <f t="shared" ref="AG446:AG447" si="1748">I446</f>
        <v>495.29999999999995</v>
      </c>
      <c r="AH446" s="39"/>
      <c r="AI446" s="39"/>
      <c r="AJ446" s="7"/>
      <c r="AK446" s="4">
        <f t="shared" si="1727"/>
        <v>495.29999999999995</v>
      </c>
      <c r="AL446" s="4">
        <f t="shared" si="1607"/>
        <v>0.37606837606837606</v>
      </c>
      <c r="AM446" s="4">
        <f t="shared" si="1608"/>
        <v>223.2038138298075</v>
      </c>
      <c r="AN446" s="4">
        <f t="shared" si="1609"/>
        <v>0.73594871794871786</v>
      </c>
      <c r="AO446" s="4">
        <v>1.25</v>
      </c>
      <c r="AP446" s="4">
        <f t="shared" si="1520"/>
        <v>2.5</v>
      </c>
      <c r="AQ446" s="38">
        <f t="shared" si="1697"/>
        <v>193.04830843188273</v>
      </c>
      <c r="AR446" s="38">
        <f t="shared" si="1610"/>
        <v>193.04830843188273</v>
      </c>
      <c r="AS446" s="38">
        <f t="shared" si="1611"/>
        <v>3.3579622250305636</v>
      </c>
      <c r="AT446" s="38">
        <f t="shared" si="1533"/>
        <v>193.0483084318827</v>
      </c>
      <c r="AU446" s="38">
        <f t="shared" si="1495"/>
        <v>1.0000000000000002</v>
      </c>
      <c r="AV446" s="38">
        <f t="shared" si="1534"/>
        <v>2.0458368128061357</v>
      </c>
      <c r="AW446" s="4">
        <f t="shared" si="1535"/>
        <v>0</v>
      </c>
      <c r="AX446" s="4">
        <f t="shared" si="1728"/>
        <v>445.42830537085564</v>
      </c>
      <c r="AY446" s="4">
        <f t="shared" si="1698"/>
        <v>1</v>
      </c>
      <c r="AZ446" s="38">
        <f t="shared" si="1542"/>
        <v>394.94533603989879</v>
      </c>
      <c r="BA446" s="4">
        <f t="shared" si="1699"/>
        <v>0.37</v>
      </c>
      <c r="BB446" s="4">
        <f t="shared" si="1700"/>
        <v>86.112427135820681</v>
      </c>
      <c r="BC446" s="4">
        <f t="shared" si="1701"/>
        <v>481.05776317571946</v>
      </c>
      <c r="BE446" s="4">
        <f t="shared" si="1521"/>
        <v>1.2464539007092199</v>
      </c>
      <c r="BF446" s="4">
        <f t="shared" si="1527"/>
        <v>545.29755972333407</v>
      </c>
      <c r="BH446" s="4">
        <f t="shared" si="1549"/>
        <v>378.80087592961462</v>
      </c>
      <c r="BI446" s="4">
        <f t="shared" si="1481"/>
        <v>0</v>
      </c>
      <c r="BJ446" s="4">
        <f t="shared" si="1550"/>
        <v>0</v>
      </c>
      <c r="BK446" s="4">
        <f t="shared" si="1612"/>
        <v>71.11999999999999</v>
      </c>
      <c r="BL446" s="4">
        <f t="shared" si="1613"/>
        <v>71.11999999999999</v>
      </c>
      <c r="BM446" s="4">
        <f t="shared" si="1614"/>
        <v>508</v>
      </c>
      <c r="BN446" s="4">
        <f t="shared" si="1615"/>
        <v>89.026999999999987</v>
      </c>
      <c r="BO446" s="4">
        <f t="shared" si="1616"/>
        <v>1.25</v>
      </c>
      <c r="BP446" s="25">
        <f t="shared" si="1617"/>
        <v>3.1072695035460995</v>
      </c>
      <c r="BR446" s="4">
        <f t="shared" si="1702"/>
        <v>71.11999999999999</v>
      </c>
      <c r="BV446" s="9"/>
      <c r="BX446" s="9"/>
      <c r="BY446" s="9"/>
      <c r="BZ446" s="9">
        <f t="shared" si="1703"/>
        <v>71.11999999999999</v>
      </c>
      <c r="CA446" s="9">
        <f t="shared" si="1704"/>
        <v>77.279499999999985</v>
      </c>
      <c r="CB446" s="9">
        <f t="shared" si="1536"/>
        <v>1.4268566467933428</v>
      </c>
      <c r="CC446" s="40">
        <f t="shared" si="1729"/>
        <v>20</v>
      </c>
      <c r="CD446" s="9">
        <f t="shared" si="1705"/>
        <v>0</v>
      </c>
      <c r="CE446" s="9">
        <f t="shared" si="1706"/>
        <v>0</v>
      </c>
      <c r="CF446" s="9">
        <f t="shared" si="1707"/>
        <v>0.89777220146327208</v>
      </c>
      <c r="CG446" s="9">
        <f t="shared" si="1708"/>
        <v>0.68048275862068963</v>
      </c>
      <c r="CH446" s="9">
        <f t="shared" si="1537"/>
        <v>1.3084804487373733</v>
      </c>
      <c r="CI446" s="9">
        <f t="shared" si="1538"/>
        <v>1.8670140254800569</v>
      </c>
      <c r="CJ446" s="40">
        <v>1</v>
      </c>
      <c r="CK446" s="9">
        <f t="shared" si="1539"/>
        <v>215.30246847025336</v>
      </c>
      <c r="CM446" s="4">
        <f t="shared" si="1709"/>
        <v>1.2773447721685958</v>
      </c>
      <c r="CN446" s="4">
        <f t="shared" si="1710"/>
        <v>1.1827384584448524</v>
      </c>
      <c r="CO446" s="4">
        <f t="shared" si="1679"/>
        <v>1.0434037473596134</v>
      </c>
      <c r="CP446" s="4">
        <f t="shared" si="1711"/>
        <v>2.6426335066380755</v>
      </c>
      <c r="CQ446" s="4">
        <f t="shared" si="1627"/>
        <v>1.1515856076091984</v>
      </c>
      <c r="CR446" s="4">
        <f t="shared" si="1628"/>
        <v>1.2264020383181997</v>
      </c>
      <c r="CS446" s="4">
        <f t="shared" si="1680"/>
        <v>1.2560274378694603</v>
      </c>
      <c r="CT446" s="4">
        <f t="shared" si="1730"/>
        <v>0</v>
      </c>
      <c r="CU446" s="4">
        <f t="shared" ref="CU446:CV447" si="1749">CM446</f>
        <v>1.2773447721685958</v>
      </c>
      <c r="CV446" s="4">
        <f t="shared" si="1749"/>
        <v>1.1827384584448524</v>
      </c>
      <c r="CW446" s="4">
        <f t="shared" ref="CW446:CW447" si="1750">CP446</f>
        <v>2.6426335066380755</v>
      </c>
      <c r="CX446" s="4">
        <f t="shared" ref="CX446:CX447" si="1751">CS446</f>
        <v>1.2560274378694603</v>
      </c>
      <c r="CY446" s="4">
        <f t="shared" ref="CY446:CZ447" si="1752">CQ446</f>
        <v>1.1515856076091984</v>
      </c>
      <c r="CZ446" s="4">
        <f t="shared" si="1752"/>
        <v>1.2264020383181997</v>
      </c>
      <c r="DI446" s="4">
        <f t="shared" si="1716"/>
        <v>495.29999999999995</v>
      </c>
      <c r="DL446" s="4">
        <f t="shared" si="1588"/>
        <v>2.6002832081299119E-5</v>
      </c>
      <c r="DM446" s="4">
        <f t="shared" si="1589"/>
        <v>6.5617916489182875</v>
      </c>
      <c r="DN446" s="4">
        <f t="shared" si="1590"/>
        <v>0.374388680963545</v>
      </c>
      <c r="DO446" s="4">
        <f t="shared" si="1591"/>
        <v>4.4294675101243914</v>
      </c>
      <c r="DP446" s="4">
        <f t="shared" si="1592"/>
        <v>5.5984659680939437</v>
      </c>
      <c r="DQ446" s="4">
        <f t="shared" si="1593"/>
        <v>5.7638264156492829</v>
      </c>
      <c r="DR446" s="38">
        <f t="shared" si="1622"/>
        <v>494.07140336062901</v>
      </c>
      <c r="DS446" s="4">
        <f t="shared" si="1594"/>
        <v>1.0001266095478294</v>
      </c>
      <c r="DT446" s="4">
        <f t="shared" si="1595"/>
        <v>2.3452078799117149</v>
      </c>
      <c r="DU446" s="4">
        <f t="shared" si="1596"/>
        <v>193.0483084318827</v>
      </c>
      <c r="DY446" s="4">
        <f t="shared" si="1597"/>
        <v>0.85</v>
      </c>
      <c r="DZ446" s="4">
        <f t="shared" si="1598"/>
        <v>0.90141843971631208</v>
      </c>
      <c r="EA446" s="4">
        <f t="shared" si="1623"/>
        <v>1</v>
      </c>
      <c r="EB446" s="4">
        <f t="shared" si="1599"/>
        <v>0.90141843971631208</v>
      </c>
      <c r="ED446" s="4">
        <f t="shared" si="1624"/>
        <v>463.93066829994672</v>
      </c>
      <c r="EE446" s="25">
        <f t="shared" si="1625"/>
        <v>191.6861211639752</v>
      </c>
      <c r="EG446" s="4">
        <f t="shared" si="1514"/>
        <v>0.76620567375886528</v>
      </c>
      <c r="EH446" s="4">
        <f t="shared" si="1626"/>
        <v>6.5617916489182875</v>
      </c>
      <c r="EK446" s="4">
        <f t="shared" si="1600"/>
        <v>83.991275011158137</v>
      </c>
      <c r="EL446" s="4">
        <f t="shared" si="1601"/>
        <v>2.3452078799117149</v>
      </c>
      <c r="EM446" s="4">
        <f t="shared" si="1602"/>
        <v>0.12527773394151523</v>
      </c>
      <c r="EP446" s="4">
        <f t="shared" si="1731"/>
        <v>0.12527773394151523</v>
      </c>
      <c r="EQ446" s="4">
        <f t="shared" si="1540"/>
        <v>0.37376389603158156</v>
      </c>
      <c r="ER446" s="4">
        <f t="shared" si="1603"/>
        <v>4.4265092462163222</v>
      </c>
      <c r="ES446" s="4">
        <f t="shared" si="1717"/>
        <v>5.5972982030890188</v>
      </c>
      <c r="ET446" s="4">
        <f t="shared" si="1604"/>
        <v>287.4837249888418</v>
      </c>
      <c r="EU446" s="4">
        <f t="shared" si="1605"/>
        <v>123.82500000000005</v>
      </c>
      <c r="EV446" s="4">
        <f t="shared" si="1541"/>
        <v>2.6002832081299129E-5</v>
      </c>
      <c r="EW446" s="4">
        <f t="shared" si="1718"/>
        <v>5.7640216431787659</v>
      </c>
      <c r="EX446" s="4">
        <f t="shared" si="1555"/>
        <v>494.00885712260504</v>
      </c>
      <c r="FA446" s="4">
        <f>6.75*25.4</f>
        <v>171.45</v>
      </c>
      <c r="FG446" s="23">
        <f t="shared" si="1459"/>
        <v>1.4</v>
      </c>
      <c r="FH446" s="23">
        <f t="shared" si="1459"/>
        <v>1.2</v>
      </c>
      <c r="FI446" s="23">
        <f t="shared" si="1681"/>
        <v>1.4</v>
      </c>
      <c r="FJ446" s="23">
        <f t="shared" si="1460"/>
        <v>2.2000000000000002</v>
      </c>
      <c r="FK446" s="23">
        <f t="shared" si="1460"/>
        <v>1.2</v>
      </c>
      <c r="FL446" s="23">
        <f t="shared" si="1460"/>
        <v>1.4</v>
      </c>
      <c r="FM446" s="23">
        <f t="shared" si="1629"/>
        <v>0</v>
      </c>
      <c r="FN446" s="23"/>
      <c r="FX446" s="4">
        <f t="shared" si="1500"/>
        <v>1</v>
      </c>
      <c r="FY446" s="4">
        <f t="shared" si="1561"/>
        <v>0.63421985815602844</v>
      </c>
      <c r="FZ446" s="4">
        <f t="shared" si="1501"/>
        <v>0</v>
      </c>
      <c r="GA446" s="4">
        <f t="shared" si="1502"/>
        <v>452.98812755753852</v>
      </c>
    </row>
    <row r="447" spans="1:183" ht="12" customHeight="1" x14ac:dyDescent="0.3">
      <c r="A447" s="25">
        <v>429</v>
      </c>
      <c r="B447" s="4" t="s">
        <v>605</v>
      </c>
      <c r="C447" s="4">
        <v>2016</v>
      </c>
      <c r="D447" s="4" t="s">
        <v>309</v>
      </c>
      <c r="E447" s="14" t="s">
        <v>680</v>
      </c>
      <c r="F447" s="7" t="s">
        <v>601</v>
      </c>
      <c r="G447" s="38">
        <f t="shared" ref="G447" si="1753">135/0.145</f>
        <v>931.0344827586207</v>
      </c>
      <c r="H447" s="38">
        <f>19.29*25.4</f>
        <v>489.96599999999995</v>
      </c>
      <c r="I447" s="4">
        <f t="shared" si="1719"/>
        <v>489.96599999999995</v>
      </c>
      <c r="J447" s="38">
        <f>6320/145</f>
        <v>43.586206896551722</v>
      </c>
      <c r="K447" s="38">
        <f t="shared" si="1642"/>
        <v>35.813999999999993</v>
      </c>
      <c r="L447" s="7">
        <f t="shared" si="1720"/>
        <v>13.680851063829788</v>
      </c>
      <c r="M447" s="7">
        <f t="shared" si="1721"/>
        <v>13.680851063829788</v>
      </c>
      <c r="N447" s="38">
        <f>21.9*25.4</f>
        <v>556.25999999999988</v>
      </c>
      <c r="O447" s="38">
        <f t="shared" ref="O447" si="1754">2.8*25.4</f>
        <v>71.11999999999999</v>
      </c>
      <c r="P447" s="39">
        <f>3.45*25.4</f>
        <v>87.63</v>
      </c>
      <c r="Q447" s="7">
        <f t="shared" si="1722"/>
        <v>153.28899999999993</v>
      </c>
      <c r="R447" s="38">
        <v>3</v>
      </c>
      <c r="S447" s="4">
        <f t="shared" si="1493"/>
        <v>508</v>
      </c>
      <c r="T447" s="7">
        <f t="shared" si="1723"/>
        <v>2.4858156028368796</v>
      </c>
      <c r="U447" s="7">
        <f t="shared" si="1548"/>
        <v>2.4858156028368796</v>
      </c>
      <c r="V447" s="38">
        <v>5.5</v>
      </c>
      <c r="W447" s="4">
        <f t="shared" si="1724"/>
        <v>5.5</v>
      </c>
      <c r="X447" s="4">
        <f t="shared" si="1725"/>
        <v>6.5</v>
      </c>
      <c r="Y447" s="7">
        <f t="shared" si="1726"/>
        <v>91.308142429905971</v>
      </c>
      <c r="AB447" s="38">
        <f t="shared" si="1461"/>
        <v>607.58620689655174</v>
      </c>
      <c r="AC447" s="4">
        <v>88.1</v>
      </c>
      <c r="AD447" s="4">
        <f t="shared" si="1587"/>
        <v>1.1740740153975369</v>
      </c>
      <c r="AE447" s="38">
        <v>0</v>
      </c>
      <c r="AF447" s="38">
        <v>0</v>
      </c>
      <c r="AG447" s="39">
        <f t="shared" si="1748"/>
        <v>489.96599999999995</v>
      </c>
      <c r="AH447" s="39"/>
      <c r="AI447" s="39"/>
      <c r="AJ447" s="7"/>
      <c r="AK447" s="4">
        <f t="shared" si="1727"/>
        <v>489.96599999999995</v>
      </c>
      <c r="AL447" s="4">
        <f t="shared" si="1607"/>
        <v>0.37843442198030064</v>
      </c>
      <c r="AM447" s="4">
        <f t="shared" si="1608"/>
        <v>236.92269264234707</v>
      </c>
      <c r="AN447" s="4">
        <f t="shared" si="1609"/>
        <v>0.73634007257646439</v>
      </c>
      <c r="AO447" s="4">
        <v>1.25</v>
      </c>
      <c r="AP447" s="4">
        <f t="shared" si="1520"/>
        <v>2.5</v>
      </c>
      <c r="AQ447" s="38">
        <f t="shared" si="1697"/>
        <v>206.31259893006796</v>
      </c>
      <c r="AR447" s="38">
        <f t="shared" si="1610"/>
        <v>206.31259893006796</v>
      </c>
      <c r="AS447" s="38">
        <f t="shared" si="1611"/>
        <v>3.7155288579258352</v>
      </c>
      <c r="AT447" s="38">
        <f t="shared" si="1533"/>
        <v>206.31259893006799</v>
      </c>
      <c r="AU447" s="38">
        <f t="shared" si="1495"/>
        <v>0.99999999999999989</v>
      </c>
      <c r="AV447" s="38">
        <f t="shared" si="1534"/>
        <v>2.4632221214553547</v>
      </c>
      <c r="AW447" s="4">
        <f t="shared" si="1535"/>
        <v>0</v>
      </c>
      <c r="AX447" s="4">
        <f t="shared" si="1728"/>
        <v>475.37249737633783</v>
      </c>
      <c r="AY447" s="4">
        <f t="shared" si="1698"/>
        <v>1</v>
      </c>
      <c r="AZ447" s="38">
        <f t="shared" si="1542"/>
        <v>508.19375761948982</v>
      </c>
      <c r="BA447" s="4">
        <f t="shared" si="1699"/>
        <v>0.3</v>
      </c>
      <c r="BB447" s="4">
        <f t="shared" si="1700"/>
        <v>74.514638963740964</v>
      </c>
      <c r="BC447" s="4">
        <f t="shared" si="1701"/>
        <v>582.70839658323075</v>
      </c>
      <c r="BE447" s="4">
        <f t="shared" si="1521"/>
        <v>1.2464539007092199</v>
      </c>
      <c r="BF447" s="4">
        <f t="shared" si="1527"/>
        <v>584.61414645596142</v>
      </c>
      <c r="BH447" s="4">
        <f t="shared" si="1549"/>
        <v>487.41996160394592</v>
      </c>
      <c r="BI447" s="4">
        <f t="shared" si="1481"/>
        <v>0</v>
      </c>
      <c r="BJ447" s="4">
        <f t="shared" si="1550"/>
        <v>0</v>
      </c>
      <c r="BK447" s="4">
        <f t="shared" si="1612"/>
        <v>71.11999999999999</v>
      </c>
      <c r="BL447" s="4">
        <f t="shared" si="1613"/>
        <v>71.11999999999999</v>
      </c>
      <c r="BM447" s="4">
        <f t="shared" si="1614"/>
        <v>508</v>
      </c>
      <c r="BN447" s="4">
        <f t="shared" si="1615"/>
        <v>89.026999999999987</v>
      </c>
      <c r="BO447" s="4">
        <f t="shared" si="1616"/>
        <v>1.25</v>
      </c>
      <c r="BP447" s="25">
        <f t="shared" si="1617"/>
        <v>3.1072695035460995</v>
      </c>
      <c r="BR447" s="4">
        <f t="shared" si="1702"/>
        <v>71.11999999999999</v>
      </c>
      <c r="BV447" s="9"/>
      <c r="BX447" s="9"/>
      <c r="BY447" s="9"/>
      <c r="BZ447" s="9">
        <f t="shared" si="1703"/>
        <v>71.11999999999999</v>
      </c>
      <c r="CA447" s="9">
        <f t="shared" si="1704"/>
        <v>76.644499999999965</v>
      </c>
      <c r="CB447" s="9">
        <f t="shared" si="1536"/>
        <v>1.4250918174124854</v>
      </c>
      <c r="CC447" s="40">
        <f t="shared" si="1729"/>
        <v>20</v>
      </c>
      <c r="CD447" s="9">
        <f t="shared" si="1705"/>
        <v>0</v>
      </c>
      <c r="CE447" s="9">
        <f t="shared" si="1706"/>
        <v>0</v>
      </c>
      <c r="CF447" s="9">
        <f t="shared" si="1707"/>
        <v>0.89777220146327208</v>
      </c>
      <c r="CG447" s="9">
        <f t="shared" si="1708"/>
        <v>0.68</v>
      </c>
      <c r="CH447" s="9">
        <f t="shared" si="1537"/>
        <v>1.4106447240551518</v>
      </c>
      <c r="CI447" s="9">
        <f t="shared" si="1538"/>
        <v>2.0102982535270901</v>
      </c>
      <c r="CJ447" s="40">
        <v>1</v>
      </c>
      <c r="CK447" s="9">
        <f t="shared" si="1539"/>
        <v>230.62825921315044</v>
      </c>
      <c r="CM447" s="4">
        <f t="shared" si="1709"/>
        <v>1.2781265433947568</v>
      </c>
      <c r="CN447" s="4">
        <f t="shared" si="1710"/>
        <v>1.0426934131363037</v>
      </c>
      <c r="CO447" s="4">
        <f t="shared" si="1679"/>
        <v>1.0392943971333077</v>
      </c>
      <c r="CP447" s="4">
        <f t="shared" si="1711"/>
        <v>2.6344829075564871</v>
      </c>
      <c r="CQ447" s="4">
        <f t="shared" si="1627"/>
        <v>1.1740740153975369</v>
      </c>
      <c r="CR447" s="4">
        <f t="shared" si="1628"/>
        <v>1.2265000402860071</v>
      </c>
      <c r="CS447" s="4">
        <f t="shared" si="1680"/>
        <v>1.3090510837932749</v>
      </c>
      <c r="CT447" s="4">
        <f t="shared" si="1730"/>
        <v>0</v>
      </c>
      <c r="CU447" s="4">
        <f t="shared" si="1749"/>
        <v>1.2781265433947568</v>
      </c>
      <c r="CV447" s="4">
        <f t="shared" si="1749"/>
        <v>1.0426934131363037</v>
      </c>
      <c r="CW447" s="4">
        <f t="shared" si="1750"/>
        <v>2.6344829075564871</v>
      </c>
      <c r="CX447" s="4">
        <f t="shared" si="1751"/>
        <v>1.3090510837932749</v>
      </c>
      <c r="CY447" s="4">
        <f t="shared" si="1752"/>
        <v>1.1740740153975369</v>
      </c>
      <c r="CZ447" s="4">
        <f t="shared" si="1752"/>
        <v>1.2265000402860071</v>
      </c>
      <c r="DI447" s="4">
        <f t="shared" si="1716"/>
        <v>489.96599999999995</v>
      </c>
      <c r="DL447" s="4">
        <f t="shared" si="1588"/>
        <v>2.6787616287880659E-5</v>
      </c>
      <c r="DM447" s="4">
        <f t="shared" si="1589"/>
        <v>7.0791491220778546</v>
      </c>
      <c r="DN447" s="4">
        <f t="shared" si="1590"/>
        <v>0.30576682850134701</v>
      </c>
      <c r="DO447" s="4">
        <f t="shared" si="1591"/>
        <v>4.4069407164747778</v>
      </c>
      <c r="DP447" s="4">
        <f t="shared" si="1592"/>
        <v>5.8972084710745278</v>
      </c>
      <c r="DQ447" s="4">
        <f t="shared" si="1593"/>
        <v>6.1656391419605026</v>
      </c>
      <c r="DR447" s="38">
        <f t="shared" si="1622"/>
        <v>517.50247337756252</v>
      </c>
      <c r="DS447" s="4">
        <f t="shared" si="1594"/>
        <v>1.000117718318323</v>
      </c>
      <c r="DT447" s="4">
        <f t="shared" si="1595"/>
        <v>2.5495097567963922</v>
      </c>
      <c r="DU447" s="4">
        <f t="shared" si="1596"/>
        <v>206.31259893006799</v>
      </c>
      <c r="DY447" s="4">
        <f t="shared" si="1597"/>
        <v>0.85</v>
      </c>
      <c r="DZ447" s="4">
        <f t="shared" si="1598"/>
        <v>0.90141843971631208</v>
      </c>
      <c r="EA447" s="4">
        <f t="shared" si="1623"/>
        <v>1</v>
      </c>
      <c r="EB447" s="4">
        <f t="shared" si="1599"/>
        <v>0.90141843971631208</v>
      </c>
      <c r="ED447" s="4">
        <f t="shared" si="1624"/>
        <v>495.38213366456063</v>
      </c>
      <c r="EE447" s="25">
        <f t="shared" si="1625"/>
        <v>204.83577927119507</v>
      </c>
      <c r="EG447" s="4">
        <f t="shared" si="1514"/>
        <v>0.76620567375886528</v>
      </c>
      <c r="EH447" s="4">
        <f t="shared" si="1626"/>
        <v>7.0791491220778546</v>
      </c>
      <c r="EK447" s="4">
        <f t="shared" si="1600"/>
        <v>91.308142429905971</v>
      </c>
      <c r="EL447" s="4">
        <f t="shared" si="1601"/>
        <v>2.5495097567963922</v>
      </c>
      <c r="EM447" s="4">
        <f t="shared" si="1602"/>
        <v>0.11038248630089174</v>
      </c>
      <c r="EP447" s="4">
        <f t="shared" si="1731"/>
        <v>0.11038248630089174</v>
      </c>
      <c r="EQ447" s="4">
        <f t="shared" si="1540"/>
        <v>0.30525656065176843</v>
      </c>
      <c r="ER447" s="4">
        <f t="shared" si="1603"/>
        <v>4.4039974973097769</v>
      </c>
      <c r="ES447" s="4">
        <f t="shared" si="1717"/>
        <v>5.8961128342265017</v>
      </c>
      <c r="ET447" s="4">
        <f t="shared" si="1604"/>
        <v>276.16635757009402</v>
      </c>
      <c r="EU447" s="4">
        <f t="shared" si="1605"/>
        <v>122.49149999999997</v>
      </c>
      <c r="EV447" s="4">
        <f t="shared" si="1541"/>
        <v>2.6787616287880659E-5</v>
      </c>
      <c r="EW447" s="4">
        <f t="shared" si="1718"/>
        <v>6.1658509050869394</v>
      </c>
      <c r="EX447" s="4">
        <f t="shared" si="1555"/>
        <v>517.44156102716795</v>
      </c>
      <c r="FG447" s="23">
        <f t="shared" si="1459"/>
        <v>1.4</v>
      </c>
      <c r="FH447" s="23">
        <f t="shared" si="1459"/>
        <v>1.2</v>
      </c>
      <c r="FI447" s="23">
        <f t="shared" si="1681"/>
        <v>1.4</v>
      </c>
      <c r="FJ447" s="23">
        <f t="shared" si="1460"/>
        <v>2.2000000000000002</v>
      </c>
      <c r="FK447" s="23">
        <f t="shared" si="1460"/>
        <v>1.2</v>
      </c>
      <c r="FL447" s="23">
        <f t="shared" si="1460"/>
        <v>1.4</v>
      </c>
      <c r="FM447" s="23">
        <f t="shared" si="1629"/>
        <v>0</v>
      </c>
      <c r="FN447" s="23"/>
      <c r="FX447" s="4">
        <f t="shared" si="1500"/>
        <v>1</v>
      </c>
      <c r="FY447" s="4">
        <f t="shared" si="1561"/>
        <v>0.63599290780141848</v>
      </c>
      <c r="FZ447" s="4">
        <f t="shared" si="1501"/>
        <v>0</v>
      </c>
      <c r="GA447" s="4">
        <f t="shared" si="1502"/>
        <v>464.14247268023468</v>
      </c>
    </row>
    <row r="448" spans="1:183" ht="12" customHeight="1" x14ac:dyDescent="0.3">
      <c r="A448" s="25">
        <v>430</v>
      </c>
      <c r="B448" s="4" t="s">
        <v>605</v>
      </c>
      <c r="C448" s="4">
        <v>2016</v>
      </c>
      <c r="D448" s="4" t="s">
        <v>309</v>
      </c>
      <c r="E448" s="14" t="s">
        <v>680</v>
      </c>
      <c r="F448" s="48" t="s">
        <v>602</v>
      </c>
      <c r="G448" s="38">
        <f t="shared" ref="G448" si="1755">115.9/0.145</f>
        <v>799.31034482758628</v>
      </c>
      <c r="H448" s="38">
        <f>19.38*25.4</f>
        <v>492.25199999999995</v>
      </c>
      <c r="I448" s="4">
        <f t="shared" si="1719"/>
        <v>492.25199999999995</v>
      </c>
      <c r="J448" s="38">
        <f>5430/145</f>
        <v>37.448275862068968</v>
      </c>
      <c r="K448" s="38">
        <f t="shared" si="1642"/>
        <v>35.813999999999993</v>
      </c>
      <c r="L448" s="7">
        <f t="shared" si="1720"/>
        <v>13.744680851063832</v>
      </c>
      <c r="M448" s="7">
        <f t="shared" si="1721"/>
        <v>13.744680851063832</v>
      </c>
      <c r="N448" s="38">
        <f>21.8*25.4</f>
        <v>553.72</v>
      </c>
      <c r="O448" s="38">
        <f>2.55*25.4</f>
        <v>64.77</v>
      </c>
      <c r="P448" s="39">
        <f>3.8*25.4</f>
        <v>96.52</v>
      </c>
      <c r="Q448" s="7">
        <f t="shared" si="1722"/>
        <v>158.36900000000003</v>
      </c>
      <c r="R448" s="38">
        <v>3</v>
      </c>
      <c r="S448" s="4">
        <f t="shared" si="1493"/>
        <v>508</v>
      </c>
      <c r="T448" s="7">
        <f t="shared" si="1723"/>
        <v>2.3085106382978724</v>
      </c>
      <c r="U448" s="7">
        <f t="shared" si="1548"/>
        <v>2.3085106382978724</v>
      </c>
      <c r="V448" s="38">
        <v>4.5</v>
      </c>
      <c r="W448" s="4">
        <f t="shared" si="1724"/>
        <v>4.5</v>
      </c>
      <c r="X448" s="4">
        <f t="shared" si="1725"/>
        <v>5.5</v>
      </c>
      <c r="Y448" s="7">
        <f t="shared" si="1726"/>
        <v>83.991275011158137</v>
      </c>
      <c r="AB448" s="38">
        <f t="shared" si="1461"/>
        <v>626.20689655172418</v>
      </c>
      <c r="AC448" s="4">
        <v>90.8</v>
      </c>
      <c r="AD448" s="4">
        <f t="shared" si="1587"/>
        <v>1.2956263023911716</v>
      </c>
      <c r="AE448" s="38">
        <f t="shared" ref="AE448:AE449" si="1756">0.5*25.4</f>
        <v>12.7</v>
      </c>
      <c r="AF448" s="38">
        <v>12</v>
      </c>
      <c r="AG448" s="39">
        <f t="shared" ref="AG448:AG449" si="1757">4*25.4</f>
        <v>101.6</v>
      </c>
      <c r="AH448" s="39">
        <v>2</v>
      </c>
      <c r="AI448" s="39">
        <f t="shared" ref="AI448:AI449" si="1758">AH448-1</f>
        <v>1</v>
      </c>
      <c r="AK448" s="4">
        <f t="shared" si="1727"/>
        <v>492.25199999999995</v>
      </c>
      <c r="AL448" s="4">
        <f t="shared" si="1607"/>
        <v>0.37495700034399726</v>
      </c>
      <c r="AM448" s="4">
        <f t="shared" si="1608"/>
        <v>221.14664394977936</v>
      </c>
      <c r="AN448" s="4">
        <f t="shared" si="1609"/>
        <v>0.73359133126934983</v>
      </c>
      <c r="AO448" s="4">
        <v>1.25</v>
      </c>
      <c r="AP448" s="4">
        <f t="shared" si="1520"/>
        <v>2.5</v>
      </c>
      <c r="AQ448" s="38">
        <f t="shared" si="1697"/>
        <v>190.09295926378746</v>
      </c>
      <c r="AR448" s="38">
        <f t="shared" si="1610"/>
        <v>190.09295926378746</v>
      </c>
      <c r="AS448" s="38">
        <f t="shared" si="1611"/>
        <v>3.3579622250305636</v>
      </c>
      <c r="AT448" s="38">
        <f t="shared" si="1533"/>
        <v>190.09295926378758</v>
      </c>
      <c r="AU448" s="38">
        <f t="shared" si="1495"/>
        <v>0.99999999999999944</v>
      </c>
      <c r="AV448" s="38">
        <f t="shared" si="1534"/>
        <v>1.9294517764839594</v>
      </c>
      <c r="AW448" s="4">
        <f t="shared" si="1535"/>
        <v>0</v>
      </c>
      <c r="AX448" s="4">
        <f t="shared" si="1728"/>
        <v>442.68720810703502</v>
      </c>
      <c r="AY448" s="4">
        <f t="shared" si="1698"/>
        <v>1</v>
      </c>
      <c r="AZ448" s="38">
        <f t="shared" si="1542"/>
        <v>366.77519794860785</v>
      </c>
      <c r="BA448" s="4">
        <f t="shared" si="1699"/>
        <v>0.37</v>
      </c>
      <c r="BB448" s="4">
        <f t="shared" si="1700"/>
        <v>85.582504507292555</v>
      </c>
      <c r="BC448" s="4">
        <f t="shared" si="1701"/>
        <v>452.35770245590038</v>
      </c>
      <c r="BE448" s="4">
        <f t="shared" si="1521"/>
        <v>1.5</v>
      </c>
      <c r="BF448" s="4">
        <f t="shared" si="1527"/>
        <v>653.87504679809706</v>
      </c>
      <c r="BH448" s="4">
        <f t="shared" si="1549"/>
        <v>351.78226851666062</v>
      </c>
      <c r="BI448" s="4">
        <f t="shared" si="1481"/>
        <v>0</v>
      </c>
      <c r="BJ448" s="4">
        <f t="shared" si="1550"/>
        <v>0</v>
      </c>
      <c r="BK448" s="4">
        <f t="shared" si="1612"/>
        <v>64.77</v>
      </c>
      <c r="BL448" s="4">
        <f t="shared" si="1613"/>
        <v>64.77</v>
      </c>
      <c r="BM448" s="4">
        <f t="shared" si="1614"/>
        <v>508</v>
      </c>
      <c r="BN448" s="4">
        <f t="shared" si="1615"/>
        <v>82.676999999999992</v>
      </c>
      <c r="BO448" s="4">
        <f t="shared" si="1616"/>
        <v>1.25</v>
      </c>
      <c r="BP448" s="25">
        <f t="shared" si="1617"/>
        <v>3.9887053320637578</v>
      </c>
      <c r="BR448" s="4">
        <f t="shared" si="1702"/>
        <v>64.77</v>
      </c>
      <c r="BV448" s="9"/>
      <c r="BX448" s="9"/>
      <c r="BY448" s="9"/>
      <c r="BZ448" s="9">
        <f t="shared" si="1703"/>
        <v>64.77</v>
      </c>
      <c r="CA448" s="9">
        <f t="shared" si="1704"/>
        <v>79.184500000000014</v>
      </c>
      <c r="CB448" s="9">
        <f t="shared" si="1536"/>
        <v>1.3859592972879591</v>
      </c>
      <c r="CC448" s="40">
        <f t="shared" si="1729"/>
        <v>20</v>
      </c>
      <c r="CD448" s="9">
        <f t="shared" si="1705"/>
        <v>0.05</v>
      </c>
      <c r="CE448" s="9">
        <f t="shared" si="1706"/>
        <v>0.8</v>
      </c>
      <c r="CF448" s="9">
        <f t="shared" si="1707"/>
        <v>0.89777220146327208</v>
      </c>
      <c r="CG448" s="9">
        <f t="shared" si="1708"/>
        <v>0.68048275862068963</v>
      </c>
      <c r="CH448" s="9">
        <f t="shared" si="1537"/>
        <v>1.3084804487373733</v>
      </c>
      <c r="CI448" s="9">
        <f t="shared" si="1538"/>
        <v>2.8602850022369819</v>
      </c>
      <c r="CJ448" s="40">
        <v>1</v>
      </c>
      <c r="CK448" s="9">
        <f t="shared" si="1539"/>
        <v>328.87191812954575</v>
      </c>
      <c r="CM448" s="4">
        <f t="shared" si="1709"/>
        <v>1.4145583723311854</v>
      </c>
      <c r="CN448" s="4">
        <f t="shared" si="1710"/>
        <v>1.3843179703848905</v>
      </c>
      <c r="CO448" s="4">
        <f t="shared" si="1679"/>
        <v>0.9576858753337375</v>
      </c>
      <c r="CP448" s="4">
        <f t="shared" si="1711"/>
        <v>1.9041057081226844</v>
      </c>
      <c r="CQ448" s="4">
        <f t="shared" si="1627"/>
        <v>1.2956263023911716</v>
      </c>
      <c r="CR448" s="4">
        <f t="shared" si="1628"/>
        <v>1.3786937883911297</v>
      </c>
      <c r="CS448" s="4">
        <f t="shared" si="1680"/>
        <v>1.255358081169357</v>
      </c>
      <c r="CT448" s="4">
        <f t="shared" si="1730"/>
        <v>12</v>
      </c>
      <c r="DA448" s="4">
        <f t="shared" ref="DA448:DB449" si="1759">CM448</f>
        <v>1.4145583723311854</v>
      </c>
      <c r="DB448" s="4">
        <f t="shared" si="1759"/>
        <v>1.3843179703848905</v>
      </c>
      <c r="DC448" s="4">
        <f t="shared" ref="DC448:DC449" si="1760">CP448</f>
        <v>1.9041057081226844</v>
      </c>
      <c r="DD448" s="4">
        <f t="shared" ref="DD448:DD449" si="1761">CS448</f>
        <v>1.255358081169357</v>
      </c>
      <c r="DE448" s="4">
        <f t="shared" ref="DE448:DF449" si="1762">CQ448</f>
        <v>1.2956263023911716</v>
      </c>
      <c r="DF448" s="4">
        <f t="shared" si="1762"/>
        <v>1.3786937883911297</v>
      </c>
      <c r="DI448" s="4">
        <f t="shared" si="1716"/>
        <v>492.25199999999995</v>
      </c>
      <c r="DL448" s="4">
        <f t="shared" si="1588"/>
        <v>2.584281465310651E-5</v>
      </c>
      <c r="DM448" s="4">
        <f t="shared" si="1589"/>
        <v>6.438104078551774</v>
      </c>
      <c r="DN448" s="4">
        <f t="shared" si="1590"/>
        <v>0.3686572177571722</v>
      </c>
      <c r="DO448" s="4">
        <f t="shared" si="1591"/>
        <v>4.3192375459773444</v>
      </c>
      <c r="DP448" s="4">
        <f t="shared" si="1592"/>
        <v>5.4824032186546567</v>
      </c>
      <c r="DQ448" s="4">
        <f t="shared" si="1593"/>
        <v>5.6807832669566087</v>
      </c>
      <c r="DR448" s="38">
        <f t="shared" si="1622"/>
        <v>483.32369865910744</v>
      </c>
      <c r="DS448" s="4">
        <f t="shared" si="1594"/>
        <v>1.0001254787734011</v>
      </c>
      <c r="DT448" s="4">
        <f t="shared" si="1595"/>
        <v>2.3452078799117149</v>
      </c>
      <c r="DU448" s="4">
        <f t="shared" si="1596"/>
        <v>190.09295926378758</v>
      </c>
      <c r="DY448" s="4">
        <f t="shared" si="1597"/>
        <v>0.85</v>
      </c>
      <c r="DZ448" s="4">
        <f t="shared" si="1598"/>
        <v>0.91914893617021276</v>
      </c>
      <c r="EA448" s="4">
        <f t="shared" si="1623"/>
        <v>0.9995510789195714</v>
      </c>
      <c r="EB448" s="4">
        <f t="shared" si="1599"/>
        <v>0.91873631083671248</v>
      </c>
      <c r="ED448" s="4">
        <f t="shared" si="1624"/>
        <v>454.20303030630026</v>
      </c>
      <c r="EE448" s="25">
        <f t="shared" si="1625"/>
        <v>188.73397276942069</v>
      </c>
      <c r="EG448" s="4">
        <f t="shared" si="1514"/>
        <v>0.78092586421120558</v>
      </c>
      <c r="EH448" s="4">
        <f t="shared" si="1626"/>
        <v>6.438104078551774</v>
      </c>
      <c r="EK448" s="4">
        <f t="shared" si="1600"/>
        <v>83.991275011158137</v>
      </c>
      <c r="EL448" s="4">
        <f t="shared" si="1601"/>
        <v>2.3452078799117149</v>
      </c>
      <c r="EM448" s="4">
        <f t="shared" si="1602"/>
        <v>0.12335987488441015</v>
      </c>
      <c r="EP448" s="4">
        <f t="shared" si="1731"/>
        <v>0.12335987488441015</v>
      </c>
      <c r="EQ448" s="4">
        <f t="shared" si="1540"/>
        <v>0.36804199756910061</v>
      </c>
      <c r="ER448" s="4">
        <f t="shared" si="1603"/>
        <v>4.3163529002465797</v>
      </c>
      <c r="ES448" s="4">
        <f t="shared" si="1717"/>
        <v>5.4812694562858182</v>
      </c>
      <c r="ET448" s="4">
        <f t="shared" si="1604"/>
        <v>285.19772498884186</v>
      </c>
      <c r="EU448" s="4">
        <f t="shared" si="1605"/>
        <v>123.06299999999999</v>
      </c>
      <c r="EV448" s="4">
        <f t="shared" si="1541"/>
        <v>2.584281465310651E-5</v>
      </c>
      <c r="EW448" s="4">
        <f t="shared" si="1718"/>
        <v>5.6809677086103774</v>
      </c>
      <c r="EX448" s="4">
        <f t="shared" si="1555"/>
        <v>483.26305940318349</v>
      </c>
      <c r="FA448" s="4">
        <f>6.75*25.4</f>
        <v>171.45</v>
      </c>
      <c r="FG448" s="23">
        <f t="shared" si="1459"/>
        <v>1.6</v>
      </c>
      <c r="FH448" s="23">
        <f t="shared" si="1459"/>
        <v>1.4</v>
      </c>
      <c r="FI448" s="23">
        <f t="shared" si="1681"/>
        <v>1.4</v>
      </c>
      <c r="FJ448" s="23">
        <f t="shared" si="1460"/>
        <v>2</v>
      </c>
      <c r="FK448" s="23">
        <f t="shared" si="1460"/>
        <v>1.4</v>
      </c>
      <c r="FL448" s="23">
        <f t="shared" si="1460"/>
        <v>1.4</v>
      </c>
      <c r="FM448" s="23">
        <f t="shared" si="1629"/>
        <v>0</v>
      </c>
      <c r="FN448" s="23"/>
      <c r="FX448" s="4">
        <f t="shared" si="1500"/>
        <v>1</v>
      </c>
      <c r="FY448" s="4">
        <f t="shared" si="1561"/>
        <v>0.57239468642161906</v>
      </c>
      <c r="FZ448" s="4">
        <f t="shared" si="1501"/>
        <v>0.16766426906761905</v>
      </c>
      <c r="GA448" s="4">
        <f t="shared" si="1502"/>
        <v>498.82731146193521</v>
      </c>
    </row>
    <row r="449" spans="1:183" ht="12" customHeight="1" x14ac:dyDescent="0.3">
      <c r="A449" s="25">
        <v>431</v>
      </c>
      <c r="B449" s="4" t="s">
        <v>605</v>
      </c>
      <c r="C449" s="4">
        <v>2016</v>
      </c>
      <c r="D449" s="4" t="s">
        <v>309</v>
      </c>
      <c r="E449" s="14" t="s">
        <v>680</v>
      </c>
      <c r="F449" s="7" t="s">
        <v>609</v>
      </c>
      <c r="G449" s="38">
        <f t="shared" ref="G449" si="1763">135/0.145</f>
        <v>931.0344827586207</v>
      </c>
      <c r="H449" s="38">
        <f>19.25*25.4</f>
        <v>488.95</v>
      </c>
      <c r="I449" s="4">
        <f t="shared" si="1719"/>
        <v>488.95</v>
      </c>
      <c r="J449" s="38">
        <f>6320/145</f>
        <v>43.586206896551722</v>
      </c>
      <c r="K449" s="38">
        <f t="shared" si="1642"/>
        <v>35.813999999999993</v>
      </c>
      <c r="L449" s="7">
        <f t="shared" si="1720"/>
        <v>13.652482269503549</v>
      </c>
      <c r="M449" s="7">
        <f t="shared" si="1721"/>
        <v>13.652482269503549</v>
      </c>
      <c r="N449" s="38">
        <f>21.8*25.4</f>
        <v>553.72</v>
      </c>
      <c r="O449" s="38">
        <f>2.7*25.4</f>
        <v>68.58</v>
      </c>
      <c r="P449" s="39">
        <f>3.4*25.4</f>
        <v>86.36</v>
      </c>
      <c r="Q449" s="7">
        <f>(N449-R449*K449-2*O449)/(R449-1)</f>
        <v>154.55900000000003</v>
      </c>
      <c r="R449" s="38">
        <v>3</v>
      </c>
      <c r="S449" s="4">
        <f t="shared" si="1493"/>
        <v>508</v>
      </c>
      <c r="T449" s="7">
        <f t="shared" si="1723"/>
        <v>2.4148936170212769</v>
      </c>
      <c r="U449" s="7">
        <f t="shared" si="1548"/>
        <v>2.4148936170212769</v>
      </c>
      <c r="V449" s="38">
        <v>5.5</v>
      </c>
      <c r="W449" s="4">
        <f t="shared" si="1724"/>
        <v>5.5</v>
      </c>
      <c r="X449" s="4">
        <f t="shared" si="1725"/>
        <v>6.5</v>
      </c>
      <c r="Y449" s="7">
        <f t="shared" si="1726"/>
        <v>91.308142429905971</v>
      </c>
      <c r="AB449" s="38">
        <f t="shared" si="1461"/>
        <v>675.86206896551732</v>
      </c>
      <c r="AC449" s="4">
        <v>98</v>
      </c>
      <c r="AD449" s="4">
        <f t="shared" si="1587"/>
        <v>1.3174526875888106</v>
      </c>
      <c r="AE449" s="38">
        <f t="shared" si="1756"/>
        <v>12.7</v>
      </c>
      <c r="AF449" s="38">
        <v>12</v>
      </c>
      <c r="AG449" s="39">
        <f t="shared" si="1757"/>
        <v>101.6</v>
      </c>
      <c r="AH449" s="39">
        <v>2</v>
      </c>
      <c r="AI449" s="39">
        <f t="shared" si="1758"/>
        <v>1</v>
      </c>
      <c r="AK449" s="4">
        <f t="shared" si="1727"/>
        <v>488.95</v>
      </c>
      <c r="AL449" s="4">
        <f t="shared" si="1607"/>
        <v>0.37748917748917754</v>
      </c>
      <c r="AM449" s="4">
        <f t="shared" si="1608"/>
        <v>236.18614574140781</v>
      </c>
      <c r="AN449" s="4">
        <f t="shared" si="1609"/>
        <v>0.73537662337662335</v>
      </c>
      <c r="AO449" s="4">
        <v>1.25</v>
      </c>
      <c r="AP449" s="4">
        <f t="shared" si="1520"/>
        <v>2.5</v>
      </c>
      <c r="AQ449" s="38">
        <f t="shared" si="1697"/>
        <v>204.88905808937724</v>
      </c>
      <c r="AR449" s="38">
        <f t="shared" si="1610"/>
        <v>204.88905808937724</v>
      </c>
      <c r="AS449" s="38">
        <f t="shared" si="1611"/>
        <v>3.7155288579258352</v>
      </c>
      <c r="AT449" s="38">
        <f t="shared" si="1533"/>
        <v>204.88905808937713</v>
      </c>
      <c r="AU449" s="38">
        <f>AQ449/AT449</f>
        <v>1.0000000000000004</v>
      </c>
      <c r="AV449" s="38">
        <f t="shared" si="1534"/>
        <v>2.4095705919551471</v>
      </c>
      <c r="AW449" s="4">
        <f t="shared" si="1535"/>
        <v>0</v>
      </c>
      <c r="AX449" s="4">
        <f t="shared" si="1728"/>
        <v>474.38675865705051</v>
      </c>
      <c r="AY449" s="4">
        <f t="shared" si="1698"/>
        <v>1</v>
      </c>
      <c r="AZ449" s="38">
        <f t="shared" si="1542"/>
        <v>493.69464898555299</v>
      </c>
      <c r="BA449" s="4">
        <f t="shared" si="1699"/>
        <v>0.3</v>
      </c>
      <c r="BB449" s="4">
        <f t="shared" si="1700"/>
        <v>74.360124419492692</v>
      </c>
      <c r="BC449" s="4">
        <f t="shared" si="1701"/>
        <v>568.05477340504569</v>
      </c>
      <c r="BE449" s="4">
        <f t="shared" si="1521"/>
        <v>1.5</v>
      </c>
      <c r="BF449" s="4">
        <f t="shared" si="1527"/>
        <v>702.69000691100257</v>
      </c>
      <c r="BH449" s="4">
        <f t="shared" si="1549"/>
        <v>473.51354329855519</v>
      </c>
      <c r="BI449" s="4">
        <f t="shared" si="1481"/>
        <v>0</v>
      </c>
      <c r="BJ449" s="4">
        <f t="shared" si="1550"/>
        <v>0</v>
      </c>
      <c r="BK449" s="4">
        <f t="shared" si="1612"/>
        <v>68.58</v>
      </c>
      <c r="BL449" s="4">
        <f t="shared" si="1613"/>
        <v>68.58</v>
      </c>
      <c r="BM449" s="4">
        <f t="shared" si="1614"/>
        <v>508</v>
      </c>
      <c r="BN449" s="4">
        <f t="shared" si="1615"/>
        <v>86.486999999999995</v>
      </c>
      <c r="BO449" s="4">
        <f t="shared" si="1616"/>
        <v>1.25</v>
      </c>
      <c r="BP449" s="25">
        <f t="shared" si="1617"/>
        <v>4</v>
      </c>
      <c r="BR449" s="4">
        <f t="shared" si="1702"/>
        <v>68.58</v>
      </c>
      <c r="BV449" s="9"/>
      <c r="BX449" s="9"/>
      <c r="BY449" s="9"/>
      <c r="BZ449" s="9">
        <f t="shared" si="1703"/>
        <v>68.58</v>
      </c>
      <c r="CA449" s="9">
        <f t="shared" si="1704"/>
        <v>77.279500000000013</v>
      </c>
      <c r="CB449" s="9">
        <f t="shared" si="1536"/>
        <v>1.4088097518045952</v>
      </c>
      <c r="CC449" s="40">
        <f t="shared" si="1729"/>
        <v>20</v>
      </c>
      <c r="CD449" s="9">
        <f t="shared" si="1705"/>
        <v>0.05</v>
      </c>
      <c r="CE449" s="9">
        <f t="shared" si="1706"/>
        <v>0.8</v>
      </c>
      <c r="CF449" s="9">
        <f t="shared" si="1707"/>
        <v>0.89777220146327208</v>
      </c>
      <c r="CG449" s="9">
        <f t="shared" si="1708"/>
        <v>0.68</v>
      </c>
      <c r="CH449" s="9">
        <f t="shared" si="1537"/>
        <v>1.4106447240551518</v>
      </c>
      <c r="CI449" s="9">
        <f t="shared" si="1538"/>
        <v>3.1158458228247214</v>
      </c>
      <c r="CJ449" s="40">
        <v>1</v>
      </c>
      <c r="CK449" s="9">
        <f t="shared" si="1539"/>
        <v>357.1068687719681</v>
      </c>
      <c r="CM449" s="4">
        <f t="shared" si="1709"/>
        <v>1.4247068591855867</v>
      </c>
      <c r="CN449" s="4">
        <f t="shared" si="1710"/>
        <v>1.1897832755004432</v>
      </c>
      <c r="CO449" s="4">
        <f t="shared" si="1679"/>
        <v>0.96182109083432143</v>
      </c>
      <c r="CP449" s="4">
        <f t="shared" si="1711"/>
        <v>1.8926045060115926</v>
      </c>
      <c r="CQ449" s="4">
        <f t="shared" si="1627"/>
        <v>1.3174526875888106</v>
      </c>
      <c r="CR449" s="4">
        <f t="shared" si="1628"/>
        <v>1.375870186901017</v>
      </c>
      <c r="CS449" s="4">
        <f t="shared" si="1680"/>
        <v>1.3428672695579413</v>
      </c>
      <c r="CT449" s="4">
        <f t="shared" si="1730"/>
        <v>12</v>
      </c>
      <c r="DA449" s="4">
        <f t="shared" si="1759"/>
        <v>1.4247068591855867</v>
      </c>
      <c r="DB449" s="4">
        <f t="shared" si="1759"/>
        <v>1.1897832755004432</v>
      </c>
      <c r="DC449" s="4">
        <f t="shared" si="1760"/>
        <v>1.8926045060115926</v>
      </c>
      <c r="DD449" s="4">
        <f t="shared" si="1761"/>
        <v>1.3428672695579413</v>
      </c>
      <c r="DE449" s="4">
        <f t="shared" si="1762"/>
        <v>1.3174526875888106</v>
      </c>
      <c r="DF449" s="4">
        <f t="shared" si="1762"/>
        <v>1.375870186901017</v>
      </c>
      <c r="DI449" s="4">
        <f t="shared" si="1716"/>
        <v>488.95</v>
      </c>
      <c r="DL449" s="4">
        <f t="shared" si="1588"/>
        <v>2.6732069131244309E-5</v>
      </c>
      <c r="DM449" s="4">
        <f t="shared" si="1589"/>
        <v>7.0270410303808131</v>
      </c>
      <c r="DN449" s="4">
        <f t="shared" si="1590"/>
        <v>0.30365706123382441</v>
      </c>
      <c r="DO449" s="4">
        <f t="shared" si="1591"/>
        <v>4.3624036014569079</v>
      </c>
      <c r="DP449" s="4">
        <f t="shared" si="1592"/>
        <v>5.8493001235347482</v>
      </c>
      <c r="DQ449" s="4">
        <f t="shared" si="1593"/>
        <v>6.1313891816785455</v>
      </c>
      <c r="DR449" s="38">
        <f t="shared" si="1622"/>
        <v>513.00671009482221</v>
      </c>
      <c r="DS449" s="4">
        <f t="shared" si="1594"/>
        <v>1.0001173124414451</v>
      </c>
      <c r="DT449" s="4">
        <f t="shared" si="1595"/>
        <v>2.5495097567963922</v>
      </c>
      <c r="DU449" s="4">
        <f t="shared" si="1596"/>
        <v>204.88905808937713</v>
      </c>
      <c r="DY449" s="4">
        <f t="shared" si="1597"/>
        <v>0.85</v>
      </c>
      <c r="DZ449" s="4">
        <f t="shared" si="1598"/>
        <v>0.90851063829787226</v>
      </c>
      <c r="EA449" s="4">
        <f t="shared" si="1623"/>
        <v>0.9995510789195714</v>
      </c>
      <c r="EB449" s="4">
        <f t="shared" si="1599"/>
        <v>0.90810278872054673</v>
      </c>
      <c r="ED449" s="4">
        <f t="shared" si="1624"/>
        <v>491.22517182221657</v>
      </c>
      <c r="EE449" s="25">
        <f t="shared" si="1625"/>
        <v>203.41551259917256</v>
      </c>
      <c r="EG449" s="4">
        <f t="shared" si="1514"/>
        <v>0.77188737041246469</v>
      </c>
      <c r="EH449" s="4">
        <f t="shared" si="1626"/>
        <v>7.0270410303808131</v>
      </c>
      <c r="EK449" s="4">
        <f t="shared" si="1600"/>
        <v>91.308142429905971</v>
      </c>
      <c r="EL449" s="4">
        <f t="shared" si="1601"/>
        <v>2.5495097567963922</v>
      </c>
      <c r="EM449" s="4">
        <f t="shared" si="1602"/>
        <v>0.10962085575500549</v>
      </c>
      <c r="EP449" s="4">
        <f t="shared" si="1731"/>
        <v>0.10962085575500549</v>
      </c>
      <c r="EQ449" s="4">
        <f t="shared" si="1540"/>
        <v>0.30315031419260807</v>
      </c>
      <c r="ER449" s="4">
        <f t="shared" si="1603"/>
        <v>4.3594901268468966</v>
      </c>
      <c r="ES449" s="4">
        <f t="shared" si="1717"/>
        <v>5.8482177976005572</v>
      </c>
      <c r="ET449" s="4">
        <f t="shared" si="1604"/>
        <v>275.40435757009402</v>
      </c>
      <c r="EU449" s="4">
        <f t="shared" si="1605"/>
        <v>122.23750000000001</v>
      </c>
      <c r="EV449" s="4">
        <f t="shared" si="1541"/>
        <v>2.6732069131244312E-5</v>
      </c>
      <c r="EW449" s="4">
        <f t="shared" si="1718"/>
        <v>6.1315963544198961</v>
      </c>
      <c r="EX449" s="4">
        <f t="shared" si="1555"/>
        <v>512.94653508446061</v>
      </c>
      <c r="FG449" s="23">
        <f t="shared" si="1459"/>
        <v>1.6</v>
      </c>
      <c r="FH449" s="23">
        <f t="shared" si="1459"/>
        <v>1.2</v>
      </c>
      <c r="FI449" s="23">
        <f t="shared" si="1681"/>
        <v>1.4</v>
      </c>
      <c r="FJ449" s="23">
        <f t="shared" si="1460"/>
        <v>2</v>
      </c>
      <c r="FK449" s="23">
        <f t="shared" si="1460"/>
        <v>1.4</v>
      </c>
      <c r="FL449" s="23">
        <f t="shared" si="1460"/>
        <v>1.4</v>
      </c>
      <c r="FM449" s="23">
        <f t="shared" si="1629"/>
        <v>0</v>
      </c>
      <c r="FN449" s="23"/>
      <c r="FX449" s="4">
        <f t="shared" si="1500"/>
        <v>1</v>
      </c>
      <c r="FY449" s="4">
        <f t="shared" si="1561"/>
        <v>0.58529808838216824</v>
      </c>
      <c r="FZ449" s="4">
        <f t="shared" si="1501"/>
        <v>0.16766426906761905</v>
      </c>
      <c r="GA449" s="4">
        <f t="shared" si="1502"/>
        <v>503.29774527009243</v>
      </c>
    </row>
    <row r="450" spans="1:183" ht="12" customHeight="1" x14ac:dyDescent="0.3">
      <c r="B450" s="14"/>
      <c r="C450" s="14"/>
      <c r="D450" s="14"/>
      <c r="E450" s="14"/>
      <c r="F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K450" s="7"/>
      <c r="AL450" s="7"/>
      <c r="AM450" s="7"/>
      <c r="AN450" s="7"/>
      <c r="AO450" s="7"/>
      <c r="AP450" s="7"/>
      <c r="AQ450" s="39"/>
      <c r="AR450" s="39"/>
      <c r="AS450" s="39"/>
      <c r="AU450" s="39"/>
      <c r="AV450" s="39"/>
      <c r="AW450" s="7"/>
      <c r="BP450" s="25"/>
      <c r="BV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FG450" s="23"/>
      <c r="FH450" s="23"/>
      <c r="FI450" s="23"/>
      <c r="FJ450" s="23"/>
      <c r="FK450" s="23"/>
      <c r="FL450" s="23"/>
      <c r="FM450" s="23"/>
      <c r="FN450" s="23"/>
    </row>
    <row r="451" spans="1:183" ht="12" customHeight="1" x14ac:dyDescent="0.3">
      <c r="B451" s="14"/>
      <c r="C451" s="14"/>
      <c r="D451" s="14"/>
      <c r="E451" s="14"/>
      <c r="F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K451" s="7"/>
      <c r="AL451" s="7"/>
      <c r="AM451" s="7"/>
      <c r="AN451" s="7"/>
      <c r="AO451" s="7"/>
      <c r="AP451" s="7"/>
      <c r="AQ451" s="39"/>
      <c r="AR451" s="39"/>
      <c r="AS451" s="39"/>
      <c r="AU451" s="39"/>
      <c r="AV451" s="39"/>
      <c r="AW451" s="7"/>
      <c r="BP451" s="25"/>
      <c r="BV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FG451" s="23"/>
      <c r="FH451" s="23"/>
      <c r="FI451" s="23"/>
      <c r="FJ451" s="23"/>
      <c r="FK451" s="23"/>
      <c r="FL451" s="23"/>
      <c r="FM451" s="23"/>
      <c r="FN451" s="23"/>
    </row>
    <row r="452" spans="1:183" ht="12" customHeight="1" x14ac:dyDescent="0.3">
      <c r="B452" s="14"/>
      <c r="C452" s="14"/>
      <c r="D452" s="14"/>
      <c r="E452" s="14"/>
      <c r="F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K452" s="7"/>
      <c r="AL452" s="7"/>
      <c r="AM452" s="7"/>
      <c r="AN452" s="7"/>
      <c r="AO452" s="7"/>
      <c r="AP452" s="7"/>
      <c r="AQ452" s="39"/>
      <c r="AR452" s="39"/>
      <c r="AS452" s="39"/>
      <c r="AU452" s="39"/>
      <c r="AV452" s="39"/>
      <c r="AW452" s="7"/>
      <c r="BP452" s="25"/>
      <c r="BV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FG452" s="23"/>
      <c r="FH452" s="23"/>
      <c r="FI452" s="23"/>
      <c r="FJ452" s="23"/>
      <c r="FK452" s="23"/>
      <c r="FL452" s="23"/>
      <c r="FM452" s="23"/>
      <c r="FN452" s="23"/>
    </row>
    <row r="453" spans="1:183" ht="12" customHeight="1" x14ac:dyDescent="0.3">
      <c r="B453" s="14"/>
      <c r="C453" s="14"/>
      <c r="D453" s="14"/>
      <c r="E453" s="14"/>
      <c r="F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K453" s="7"/>
      <c r="AL453" s="7"/>
      <c r="AM453" s="7"/>
      <c r="AN453" s="7"/>
      <c r="AO453" s="7"/>
      <c r="AP453" s="7"/>
      <c r="AQ453" s="39"/>
      <c r="AR453" s="39"/>
      <c r="AS453" s="39"/>
      <c r="AU453" s="39"/>
      <c r="AV453" s="39"/>
      <c r="AW453" s="7"/>
      <c r="BP453" s="25"/>
      <c r="BV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FG453" s="23"/>
      <c r="FH453" s="23"/>
      <c r="FI453" s="23"/>
      <c r="FJ453" s="23"/>
      <c r="FK453" s="23"/>
      <c r="FL453" s="23"/>
      <c r="FM453" s="23"/>
      <c r="FN453" s="23"/>
    </row>
    <row r="454" spans="1:183" ht="12" customHeight="1" x14ac:dyDescent="0.3">
      <c r="B454" s="14"/>
      <c r="C454" s="14"/>
      <c r="D454" s="14"/>
      <c r="E454" s="14"/>
      <c r="F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K454" s="7"/>
      <c r="AL454" s="7"/>
      <c r="AM454" s="7"/>
      <c r="AN454" s="7"/>
      <c r="AO454" s="7"/>
      <c r="AP454" s="7"/>
      <c r="AQ454" s="39"/>
      <c r="AR454" s="39"/>
      <c r="AS454" s="39"/>
      <c r="AU454" s="39"/>
      <c r="AV454" s="39"/>
      <c r="AW454" s="7"/>
      <c r="BP454" s="25"/>
      <c r="BV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FG454" s="23"/>
      <c r="FH454" s="23"/>
      <c r="FI454" s="23"/>
      <c r="FJ454" s="23"/>
      <c r="FK454" s="23"/>
      <c r="FL454" s="23"/>
      <c r="FM454" s="23"/>
      <c r="FN454" s="23"/>
    </row>
    <row r="455" spans="1:183" ht="12" customHeight="1" x14ac:dyDescent="0.3">
      <c r="B455" s="14"/>
      <c r="C455" s="14"/>
      <c r="D455" s="14"/>
      <c r="E455" s="14"/>
      <c r="F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K455" s="7"/>
      <c r="AL455" s="7"/>
      <c r="AM455" s="7"/>
      <c r="AN455" s="7"/>
      <c r="AO455" s="7"/>
      <c r="AP455" s="7"/>
      <c r="AQ455" s="39"/>
      <c r="AR455" s="39"/>
      <c r="AS455" s="39"/>
      <c r="AU455" s="39"/>
      <c r="AV455" s="39"/>
      <c r="AW455" s="7"/>
      <c r="BP455" s="25"/>
      <c r="BV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FG455" s="23"/>
      <c r="FH455" s="23"/>
      <c r="FI455" s="23"/>
      <c r="FJ455" s="23"/>
      <c r="FK455" s="23"/>
      <c r="FL455" s="23"/>
      <c r="FM455" s="23"/>
      <c r="FN455" s="23"/>
    </row>
    <row r="456" spans="1:183" ht="12" customHeight="1" x14ac:dyDescent="0.3">
      <c r="B456" s="14"/>
      <c r="C456" s="14"/>
      <c r="D456" s="14"/>
      <c r="E456" s="14"/>
      <c r="F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K456" s="7"/>
      <c r="AL456" s="7"/>
      <c r="AM456" s="7"/>
      <c r="AN456" s="7"/>
      <c r="AO456" s="7"/>
      <c r="AP456" s="7"/>
      <c r="AQ456" s="39"/>
      <c r="AR456" s="39"/>
      <c r="AS456" s="39"/>
      <c r="AU456" s="39"/>
      <c r="AV456" s="39"/>
      <c r="AW456" s="7"/>
      <c r="BP456" s="25"/>
      <c r="BV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FG456" s="23"/>
      <c r="FH456" s="23"/>
      <c r="FI456" s="23"/>
      <c r="FJ456" s="23"/>
      <c r="FK456" s="23"/>
      <c r="FL456" s="23"/>
      <c r="FM456" s="23"/>
      <c r="FN456" s="23"/>
    </row>
    <row r="457" spans="1:183" ht="12" customHeight="1" x14ac:dyDescent="0.3">
      <c r="B457" s="14"/>
      <c r="C457" s="14"/>
      <c r="D457" s="14"/>
      <c r="E457" s="14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K457" s="7"/>
      <c r="AL457" s="7"/>
      <c r="AM457" s="7"/>
      <c r="AN457" s="7"/>
      <c r="AO457" s="7"/>
      <c r="AP457" s="7"/>
      <c r="AQ457" s="39"/>
      <c r="AR457" s="39"/>
      <c r="AS457" s="39"/>
      <c r="AU457" s="39"/>
      <c r="AV457" s="39"/>
      <c r="AW457" s="7"/>
      <c r="BP457" s="25"/>
      <c r="BV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FG457" s="23"/>
      <c r="FH457" s="23"/>
      <c r="FI457" s="23"/>
      <c r="FJ457" s="23"/>
      <c r="FK457" s="23"/>
      <c r="FL457" s="23"/>
      <c r="FM457" s="23"/>
      <c r="FN457" s="23"/>
    </row>
    <row r="458" spans="1:183" ht="12" customHeight="1" x14ac:dyDescent="0.3">
      <c r="B458" s="14"/>
      <c r="C458" s="14"/>
      <c r="D458" s="14"/>
      <c r="E458" s="14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K458" s="7"/>
      <c r="AL458" s="7"/>
      <c r="AM458" s="7"/>
      <c r="AN458" s="7"/>
      <c r="AO458" s="7"/>
      <c r="AP458" s="7"/>
      <c r="AQ458" s="39"/>
      <c r="AR458" s="39"/>
      <c r="AS458" s="39"/>
      <c r="AU458" s="39"/>
      <c r="AV458" s="39"/>
      <c r="AW458" s="7"/>
      <c r="BP458" s="25"/>
      <c r="BV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FG458" s="23"/>
      <c r="FH458" s="23"/>
      <c r="FI458" s="23"/>
      <c r="FJ458" s="23"/>
      <c r="FK458" s="23"/>
      <c r="FL458" s="23"/>
      <c r="FM458" s="23"/>
      <c r="FN458" s="23"/>
    </row>
    <row r="459" spans="1:183" ht="12" customHeight="1" x14ac:dyDescent="0.3">
      <c r="B459" s="14"/>
      <c r="C459" s="14"/>
      <c r="D459" s="14"/>
      <c r="E459" s="14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K459" s="7"/>
      <c r="AL459" s="7"/>
      <c r="AM459" s="7"/>
      <c r="AN459" s="7"/>
      <c r="AO459" s="7"/>
      <c r="AP459" s="7"/>
      <c r="AQ459" s="39"/>
      <c r="AR459" s="39"/>
      <c r="AS459" s="39"/>
      <c r="AU459" s="39"/>
      <c r="AV459" s="39"/>
      <c r="AW459" s="7"/>
      <c r="BP459" s="25"/>
      <c r="BV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FG459" s="23"/>
      <c r="FH459" s="23"/>
      <c r="FI459" s="23"/>
      <c r="FJ459" s="23"/>
      <c r="FK459" s="23"/>
      <c r="FL459" s="23"/>
      <c r="FM459" s="23"/>
      <c r="FN459" s="23"/>
    </row>
    <row r="460" spans="1:183" ht="12" customHeight="1" x14ac:dyDescent="0.3">
      <c r="B460" s="14"/>
      <c r="C460" s="14"/>
      <c r="D460" s="14"/>
      <c r="E460" s="14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K460" s="7"/>
      <c r="AL460" s="7"/>
      <c r="AM460" s="7"/>
      <c r="AN460" s="7"/>
      <c r="AO460" s="7"/>
      <c r="AP460" s="7"/>
      <c r="AQ460" s="39"/>
      <c r="AR460" s="39"/>
      <c r="AS460" s="39"/>
      <c r="AU460" s="39"/>
      <c r="AV460" s="39"/>
      <c r="AW460" s="7"/>
      <c r="BP460" s="25"/>
      <c r="BV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FG460" s="23"/>
      <c r="FH460" s="23"/>
      <c r="FI460" s="23"/>
      <c r="FJ460" s="23"/>
      <c r="FK460" s="23"/>
      <c r="FL460" s="23"/>
      <c r="FM460" s="23"/>
      <c r="FN460" s="23"/>
    </row>
    <row r="461" spans="1:183" ht="12" customHeight="1" x14ac:dyDescent="0.3">
      <c r="B461" s="14"/>
      <c r="C461" s="14"/>
      <c r="D461" s="14"/>
      <c r="E461" s="14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K461" s="7"/>
      <c r="AL461" s="7"/>
      <c r="AM461" s="7"/>
      <c r="AN461" s="7"/>
      <c r="AO461" s="7"/>
      <c r="AP461" s="7"/>
      <c r="AQ461" s="39"/>
      <c r="AR461" s="39"/>
      <c r="AS461" s="39"/>
      <c r="AU461" s="39"/>
      <c r="AV461" s="39"/>
      <c r="AW461" s="7"/>
      <c r="BP461" s="25"/>
      <c r="BV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FG461" s="23"/>
      <c r="FH461" s="23"/>
      <c r="FI461" s="23"/>
      <c r="FJ461" s="23"/>
      <c r="FK461" s="23"/>
      <c r="FL461" s="23"/>
      <c r="FM461" s="23"/>
      <c r="FN461" s="23"/>
    </row>
    <row r="462" spans="1:183" ht="12" customHeight="1" x14ac:dyDescent="0.3">
      <c r="B462" s="14"/>
      <c r="C462" s="14"/>
      <c r="D462" s="14"/>
      <c r="E462" s="14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K462" s="7"/>
      <c r="AL462" s="7"/>
      <c r="AM462" s="7"/>
      <c r="AN462" s="7"/>
      <c r="AO462" s="7"/>
      <c r="AP462" s="7"/>
      <c r="AQ462" s="39"/>
      <c r="AR462" s="39"/>
      <c r="AS462" s="39"/>
      <c r="AU462" s="39"/>
      <c r="AV462" s="39"/>
      <c r="AW462" s="7"/>
      <c r="BP462" s="25"/>
      <c r="BV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FG462" s="23"/>
      <c r="FH462" s="23"/>
      <c r="FI462" s="23"/>
      <c r="FJ462" s="23"/>
      <c r="FK462" s="23"/>
      <c r="FL462" s="23"/>
      <c r="FM462" s="23"/>
      <c r="FN462" s="23"/>
    </row>
    <row r="463" spans="1:183" ht="12" customHeight="1" x14ac:dyDescent="0.3">
      <c r="B463" s="14"/>
      <c r="C463" s="14"/>
      <c r="D463" s="14"/>
      <c r="E463" s="14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K463" s="7"/>
      <c r="AL463" s="7"/>
      <c r="AM463" s="7"/>
      <c r="AN463" s="7"/>
      <c r="AO463" s="7"/>
      <c r="AP463" s="7"/>
      <c r="AQ463" s="39"/>
      <c r="AR463" s="39"/>
      <c r="AS463" s="39"/>
      <c r="AU463" s="39"/>
      <c r="AV463" s="39"/>
      <c r="AW463" s="7"/>
      <c r="BP463" s="25"/>
      <c r="BV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FG463" s="23"/>
      <c r="FH463" s="23"/>
      <c r="FI463" s="23"/>
      <c r="FJ463" s="23"/>
      <c r="FK463" s="23"/>
      <c r="FL463" s="23"/>
      <c r="FM463" s="23"/>
      <c r="FN463" s="23"/>
    </row>
    <row r="464" spans="1:183" ht="12" customHeight="1" x14ac:dyDescent="0.3">
      <c r="B464" s="14"/>
      <c r="C464" s="14"/>
      <c r="D464" s="14"/>
      <c r="E464" s="14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K464" s="7"/>
      <c r="AL464" s="7"/>
      <c r="AM464" s="7"/>
      <c r="AN464" s="7"/>
      <c r="AO464" s="7"/>
      <c r="AP464" s="7"/>
      <c r="AQ464" s="39"/>
      <c r="AR464" s="39"/>
      <c r="AS464" s="39"/>
      <c r="AU464" s="39"/>
      <c r="AV464" s="39"/>
      <c r="AW464" s="7"/>
      <c r="BP464" s="25"/>
      <c r="BV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FG464" s="23"/>
      <c r="FH464" s="23"/>
      <c r="FI464" s="23"/>
      <c r="FJ464" s="23"/>
      <c r="FK464" s="23"/>
      <c r="FL464" s="23"/>
      <c r="FM464" s="23"/>
      <c r="FN464" s="23"/>
    </row>
    <row r="465" spans="1:183" ht="12" customHeight="1" x14ac:dyDescent="0.3">
      <c r="B465" s="14" t="s">
        <v>605</v>
      </c>
      <c r="C465" s="14"/>
      <c r="D465" s="14" t="s">
        <v>365</v>
      </c>
      <c r="E465" s="14"/>
      <c r="F465" s="43" t="s">
        <v>623</v>
      </c>
      <c r="G465" s="38">
        <f t="shared" ref="G465:G496" si="1764">129/0.145</f>
        <v>889.65517241379314</v>
      </c>
      <c r="H465" s="45">
        <v>203.2</v>
      </c>
      <c r="I465" s="4">
        <f t="shared" ref="I465:I496" si="1765">H465</f>
        <v>203.2</v>
      </c>
      <c r="J465" s="45">
        <v>48.551724137931032</v>
      </c>
      <c r="K465" s="7">
        <v>25.4</v>
      </c>
      <c r="L465" s="7">
        <f t="shared" ref="L465:L496" si="1766">H465/K465</f>
        <v>8</v>
      </c>
      <c r="M465" s="7">
        <f t="shared" ref="M465:M496" si="1767">I465/K465</f>
        <v>8</v>
      </c>
      <c r="N465" s="45">
        <v>1219.1999999999998</v>
      </c>
      <c r="O465" s="45">
        <v>596.9</v>
      </c>
      <c r="P465" s="45">
        <v>596.9</v>
      </c>
      <c r="Q465" s="7"/>
      <c r="R465" s="38">
        <v>1</v>
      </c>
      <c r="T465" s="7">
        <f>MIN(O465/K465+0.5)</f>
        <v>24</v>
      </c>
      <c r="U465" s="7">
        <f t="shared" ref="U465:U496" si="1768">O465/K465+0.5</f>
        <v>24</v>
      </c>
      <c r="V465" s="45">
        <v>9.5</v>
      </c>
      <c r="W465" s="4">
        <f t="shared" ref="W465:W496" si="1769">V465</f>
        <v>9.5</v>
      </c>
      <c r="X465" s="4">
        <f t="shared" ref="X465:X496" si="1770">W465+1</f>
        <v>10.5</v>
      </c>
      <c r="Y465" s="7">
        <f t="shared" ref="Y465:Y496" si="1771">K465*X465^0.5</f>
        <v>82.305406869779816</v>
      </c>
      <c r="AB465" s="45">
        <v>572.41379310344837</v>
      </c>
      <c r="AE465" s="38">
        <f>25.4*5/8</f>
        <v>15.875</v>
      </c>
      <c r="AF465" s="38">
        <v>4</v>
      </c>
      <c r="AG465" s="39">
        <f>6*25.4</f>
        <v>152.39999999999998</v>
      </c>
      <c r="AH465" s="39">
        <v>2</v>
      </c>
      <c r="AI465" s="39"/>
      <c r="AK465" s="4">
        <f t="shared" ref="AK465:AK496" si="1772">H465</f>
        <v>203.2</v>
      </c>
      <c r="AL465" s="4">
        <f t="shared" ref="AL465:AL496" si="1773">MIN(9*H465^2,MIN(N465,3*H465)*(3*H465))/(9*H465^2)</f>
        <v>0.99999999999999989</v>
      </c>
      <c r="AM465" s="4">
        <f t="shared" ref="AM465:AM496" si="1774">MIN(10*J465^0.5*H465^1.5,100*3.9*J465^0.5*H465^(5/3))/(PI()/4*K465^2)/R465</f>
        <v>398.31858389679627</v>
      </c>
      <c r="AN465" s="4">
        <f t="shared" ref="AN465:AN496" si="1775">MIN(0.7+0.3*(O465+K465/2)/1.5/H465,1)</f>
        <v>1</v>
      </c>
      <c r="AO465" s="4">
        <v>1.25</v>
      </c>
      <c r="AP465" s="4">
        <v>1</v>
      </c>
      <c r="AQ465" s="38">
        <f t="shared" ref="AQ465:AQ496" si="1776">AL465*AN465*AO465*AP465*AM465</f>
        <v>497.89822987099524</v>
      </c>
      <c r="AR465" s="38">
        <f>AS465*H465*(PI()*H465*1)*MIN(1, (300/(H465+P465))^0.25)/ (PI()/4*K465^2)/R465/1.25</f>
        <v>639.85547595156208</v>
      </c>
      <c r="AS465" s="38">
        <f t="shared" ref="AS465:AS496" si="1777">IF(J465&lt;50, 0.3*J465^(2/3), 2.12*LN(1+0.1*(J465+8)))</f>
        <v>3.9926173774513112</v>
      </c>
      <c r="AX465" s="4">
        <f t="shared" ref="AX465:AX496" si="1778">I465/K465*J465^0.5/0.19</f>
        <v>293.3855463448877</v>
      </c>
      <c r="AY465" s="4">
        <f t="shared" ref="AY465:AY496" si="1779">MIN(0.6+0.4*(U465/T465),2)</f>
        <v>1</v>
      </c>
      <c r="AZ465" s="38">
        <f t="shared" ref="AZ465:AZ496" si="1780">2*J465*T465*V465^0.5*AY465*0.7/0.7</f>
        <v>7183.0302754595714</v>
      </c>
      <c r="BA465" s="4">
        <f t="shared" ref="BA465:BA496" si="1781">MAX(1-0.7*W465/5,0.3)</f>
        <v>0.3</v>
      </c>
      <c r="BB465" s="4">
        <f t="shared" ref="BB465:BB496" si="1782">BA465*G465*I465/(G465*K465/2.75/J465^0.5)</f>
        <v>45.988184389561141</v>
      </c>
      <c r="BC465" s="4">
        <f t="shared" ref="BC465:BC496" si="1783">AZ465+BB465</f>
        <v>7229.0184598491323</v>
      </c>
      <c r="BE465" s="4">
        <f t="shared" ref="BE465:BE496" si="1784">MIN(1.5, 0.75+0.25*MIN(3,MAX(1,O465/K465))+0.4*MIN(1,(40*2*PI()*AE465^2/4/AG465/R465)/K465))</f>
        <v>1.5</v>
      </c>
      <c r="BF465" s="4">
        <f t="shared" ref="BF465:BF496" si="1785">(3*M465+30)*BE465*J465^0.5</f>
        <v>564.40044478097775</v>
      </c>
      <c r="BH465" s="4">
        <f t="shared" ref="BH465:BH496" si="1786">3.4/PI()^0.5*J465*T465*W465^0.5*AY465</f>
        <v>6889.4044615281846</v>
      </c>
      <c r="BI465" s="4">
        <f t="shared" ref="BI465:BI496" si="1787">8/3*Z465*AA465^2/(Y465-K465-22)/K465*(Y465^2-K465^2)/(Y465^2-(K465+22)^2)</f>
        <v>0</v>
      </c>
      <c r="BJ465" s="4">
        <f t="shared" ref="BJ465:BJ496" si="1788">BI465/BH465</f>
        <v>0</v>
      </c>
      <c r="BK465" s="4">
        <f t="shared" si="1612"/>
        <v>596.9</v>
      </c>
      <c r="BL465" s="4">
        <f t="shared" si="1613"/>
        <v>596.9</v>
      </c>
      <c r="BM465" s="4">
        <f t="shared" si="1614"/>
        <v>596.9</v>
      </c>
      <c r="BN465" s="4">
        <f t="shared" si="1615"/>
        <v>609.6</v>
      </c>
      <c r="BO465" s="4">
        <f t="shared" si="1616"/>
        <v>1</v>
      </c>
      <c r="BP465" s="25">
        <f t="shared" si="1617"/>
        <v>4</v>
      </c>
      <c r="BR465" s="4">
        <f t="shared" ref="BR465:BR496" si="1789">IF(Q465=0,O465,MIN(Q465/2,O465))</f>
        <v>596.9</v>
      </c>
      <c r="BV465" s="9"/>
      <c r="BX465" s="9"/>
      <c r="BY465" s="9"/>
      <c r="BZ465" s="9">
        <f t="shared" ref="BZ465:BZ496" si="1790">IF(Q465=0,MIN(O465,P465),MIN(Q465/2,O465,P465))</f>
        <v>596.9</v>
      </c>
      <c r="CA465" s="9">
        <f t="shared" ref="CA465:CA496" si="1791">MAX(Q465/2,O465)</f>
        <v>596.9</v>
      </c>
      <c r="CB465" s="9">
        <f t="shared" ref="CB465:CB496" si="1792">(BZ465/K465)^0.5*(CA465/BZ465)^0.15</f>
        <v>4.8476798574163293</v>
      </c>
      <c r="CC465" s="40">
        <f t="shared" ref="CC465:CC496" si="1793">IF(AG465&gt;1,20,0)</f>
        <v>20</v>
      </c>
      <c r="CD465" s="9">
        <f t="shared" ref="CD465:CD496" si="1794">MIN(PI()*AE465^2/4*AF465*2/R465/K465/MAX(0.01,AG465),0.05)</f>
        <v>0.05</v>
      </c>
      <c r="CE465" s="9">
        <f t="shared" ref="CE465:CE496" si="1795">MAX(0,CC465*(CD465-0.5/50))</f>
        <v>0.8</v>
      </c>
      <c r="CF465" s="9">
        <f t="shared" ref="CF465:CF496" si="1796">MIN(1,(25/K465)^0.3)</f>
        <v>0.99524931562137331</v>
      </c>
      <c r="CG465" s="9">
        <f t="shared" ref="CG465:CG496" si="1797">IF(G465&gt;=800,0.68,IF(G465&gt;=700,0.75-(G465-700)*0.07/100,IF(G465&gt;=600,0.85-(G465-600)*0.1/100,IF(G465&gt;=500,1-(G465-500)*0.15/100,1.2-(G465-400)*0.2/100))))</f>
        <v>0.68</v>
      </c>
      <c r="CH465" s="9">
        <f t="shared" ref="CH465:CH496" si="1798">1.75*CF465*CG465*(J465/25)^0.5</f>
        <v>1.6504834472137122</v>
      </c>
      <c r="CI465" s="9">
        <f t="shared" ref="CI465:CI496" si="1799">MIN((CB465+CE465)*CH465,2.5*CH465,J465^0.5)</f>
        <v>4.1262086180342807</v>
      </c>
      <c r="CJ465" s="40">
        <v>1</v>
      </c>
      <c r="CK465" s="9">
        <f t="shared" ref="CK465:CK496" si="1800">4*CI465*M465+60*CI465</f>
        <v>379.61119285915379</v>
      </c>
      <c r="DI465" s="4">
        <f t="shared" ref="DI465:DI496" si="1801">I465</f>
        <v>203.2</v>
      </c>
      <c r="DL465" s="4">
        <f t="shared" ref="DL465:DL496" si="1802">H465/4/(1-0.3*(J465/30)^0.5)/200000/K465</f>
        <v>1.617201772180078E-5</v>
      </c>
      <c r="DM465" s="4">
        <f t="shared" ref="DM465:DM496" si="1803">EH465</f>
        <v>10.690419306030725</v>
      </c>
      <c r="DN465" s="4">
        <f t="shared" ref="DN465:DN496" si="1804">EQ465</f>
        <v>0.44353052005319737</v>
      </c>
      <c r="DO465" s="4">
        <f t="shared" ref="DO465:DO496" si="1805">DM465*DN465^0.4</f>
        <v>7.7226107205649352</v>
      </c>
      <c r="DP465" s="4">
        <f t="shared" ref="DP465:DP496" si="1806">MIN(DM465, DM465/1.4*(1-DN465^1.4)/(1-DN465))</f>
        <v>9.3256375606551067</v>
      </c>
      <c r="DQ465" s="4">
        <f t="shared" ref="DQ465:DQ496" si="1807">MAX(DM465/2, (4-DL465*(8*Y465*(DO465-DP465)+6*H465*DP465))/(4+DL465*H465*DM465)*DM465)</f>
        <v>10.155429056789377</v>
      </c>
      <c r="DR465" s="38">
        <f t="shared" ref="DR465:DR496" si="1808">MIN(1/K465*(4*Y465*(DO465-DP465)+(3*DP465+DQ465)*H465)+MIN(DT$10*AR465, DT$11/0.7*2.8*J465*T465*W465^0.5*MIN(0.3+0.2*U465/T465,1)) -FB465,MAX(G465,AB465))</f>
        <v>889.65517241379314</v>
      </c>
      <c r="DS465" s="4">
        <f t="shared" ref="DS465:DS496" si="1809">DR465/EX465</f>
        <v>1</v>
      </c>
      <c r="DT465" s="4">
        <f t="shared" ref="DT465:DT496" si="1810">Y465/K465</f>
        <v>3.2403703492039297</v>
      </c>
      <c r="DU465" s="4">
        <f t="shared" ref="DU465:DU496" si="1811">MIN(DT$10*AR465, DT$11*AZ465)</f>
        <v>639.85547595156208</v>
      </c>
      <c r="DY465" s="4">
        <f t="shared" ref="DY465:DY496" si="1812">IF(P465&gt;1*K465,0.85,1)</f>
        <v>0.85</v>
      </c>
      <c r="DZ465" s="4">
        <f t="shared" ref="DZ465:DZ496" si="1813">MIN(1,MAX(0.7,(1-0.1*(BR465-1*K465)/K465)))</f>
        <v>0.7</v>
      </c>
      <c r="EA465" s="4">
        <f t="shared" ref="EA465:EA496" si="1814">MIN(1,MAX(0.7,1-0.3*(PI()*AE465^2/4*AI465*2-0.25*PI()/4*K465^2)/(PI()/4*K465^2)))</f>
        <v>1</v>
      </c>
      <c r="EB465" s="4">
        <f t="shared" ref="EB465:EB496" si="1815">IF(DZ465*EA465&lt;0.7,0.7,DZ465*EA465)</f>
        <v>0.7</v>
      </c>
      <c r="ED465" s="4">
        <f t="shared" ref="ED465:ED496" si="1816">MIN(DM465/K465*(3.1*H465-0*1.4*K465)+2.8*J465*T465-FB465,MAX(G465,AB465))</f>
        <v>889.65517241379314</v>
      </c>
      <c r="EH465" s="4">
        <f t="shared" ref="EH465:EH496" si="1817">IF(K465&lt;22.2,1.1*5*(J465/30)^0.5,IF(K465&gt;=31.8,0.9*5*(J465/30)^0.5,1*5*(J465/30)^0.5))/EB465/DY465</f>
        <v>10.690419306030725</v>
      </c>
      <c r="EK465" s="4">
        <f t="shared" ref="EK465:EK496" si="1818">EL465*K465</f>
        <v>82.305406869779816</v>
      </c>
      <c r="EL465" s="4">
        <f t="shared" ref="EL465:EL496" si="1819">X465^0.5</f>
        <v>3.2403703492039302</v>
      </c>
      <c r="EM465" s="4">
        <f t="shared" ref="EM465:EM496" si="1820">MIN(DU465)/(4700*J465^0.5)/W465*EK465</f>
        <v>0.16927252226774256</v>
      </c>
      <c r="EP465" s="4">
        <f t="shared" ref="EP465:EP496" si="1821">EM465</f>
        <v>0.16927252226774256</v>
      </c>
      <c r="EQ465" s="4">
        <f t="shared" ref="EQ465:EQ496" si="1822">MIN(0.999, EP465/(0.3*(J465/30)^0.5))</f>
        <v>0.44353052005319737</v>
      </c>
      <c r="ER465" s="4">
        <f t="shared" ref="ER465:ER496" si="1823">EH465/1*EQ465^0.4</f>
        <v>7.7226107205649352</v>
      </c>
      <c r="ES465" s="4">
        <f t="shared" ref="ES465:ES496" si="1824">EH465/1.4*(1-EQ465^1.4)/(1-EQ465)</f>
        <v>9.3256375606551067</v>
      </c>
      <c r="ET465" s="4">
        <f t="shared" ref="ET465:ET496" si="1825">MAX(0,DI465*ET$9-EK465)</f>
        <v>70.094593130220161</v>
      </c>
      <c r="EU465" s="4">
        <f t="shared" ref="EU465:EU496" si="1826">MAX(0,DI465-EK465-ET465)</f>
        <v>50.800000000000011</v>
      </c>
      <c r="EV465" s="4">
        <f t="shared" ref="EV465:EV496" si="1827">EU465/(1-0.3*(J465/30)^0.5)/200000/K465</f>
        <v>1.617201772180078E-5</v>
      </c>
      <c r="EW465" s="4">
        <f t="shared" ref="EW465:EW496" si="1828">MAX(0.5*EH465, (1-2*EV465*(EK465*ER465+ET465*ES465))/(1/EH465+EV465*EU465))</f>
        <v>10.155429056789377</v>
      </c>
      <c r="EX465" s="4">
        <f t="shared" ref="EX465:EX496" si="1829">MIN(4/K465*(1*ER465*EK465+ES465*ET465+EU465*EW465)+DU465,MAX(G465,AB465))</f>
        <v>889.65517241379314</v>
      </c>
      <c r="FG465" s="23"/>
      <c r="FH465" s="23"/>
      <c r="FI465" s="23"/>
      <c r="FJ465" s="23"/>
      <c r="FK465" s="23"/>
      <c r="FL465" s="23"/>
      <c r="FM465" s="23"/>
      <c r="FN465" s="23"/>
      <c r="FX465" s="4">
        <f t="shared" ref="FX465:FX496" si="1830">IF(O465&gt;=2.5*25.4,1,1.25)</f>
        <v>1</v>
      </c>
      <c r="FY465" s="4">
        <f t="shared" ref="FY465:FY496" si="1831">IF(AG465&gt;1, 0.05*(18-MIN(8,(Q465+K465)/K465))*(1-48000/MAX(60000,(G465*145))*(K465/25.4)^0.75*FZ465), 1/12*(14-MIN(8,(Q465+K465)/K465)))</f>
        <v>0.75511627906976753</v>
      </c>
      <c r="FZ465" s="4">
        <f t="shared" ref="FZ465:FZ496" si="1832">MIN(0.3, AE465^2*PI()/4*2*AH465/(K465^2*PI()/4*R465))</f>
        <v>0.3</v>
      </c>
      <c r="GA465" s="4">
        <f t="shared" ref="GA465:GA496" si="1833">(H465/25.4)/(K465/25.4)^1.5/0.0024*(J465*145)^0.25/FX465/FY465/145</f>
        <v>278.86247321680872</v>
      </c>
    </row>
    <row r="466" spans="1:183" ht="12" customHeight="1" x14ac:dyDescent="0.3">
      <c r="B466" s="14" t="s">
        <v>605</v>
      </c>
      <c r="C466" s="14"/>
      <c r="D466" s="14" t="s">
        <v>365</v>
      </c>
      <c r="E466" s="14"/>
      <c r="F466" s="43" t="s">
        <v>623</v>
      </c>
      <c r="G466" s="38">
        <f t="shared" si="1764"/>
        <v>889.65517241379314</v>
      </c>
      <c r="H466" s="45">
        <v>210.82</v>
      </c>
      <c r="I466" s="4">
        <f t="shared" si="1765"/>
        <v>210.82</v>
      </c>
      <c r="J466" s="45">
        <v>48.551724137931032</v>
      </c>
      <c r="K466" s="7">
        <v>25.4</v>
      </c>
      <c r="L466" s="7">
        <f t="shared" si="1766"/>
        <v>8.3000000000000007</v>
      </c>
      <c r="M466" s="7">
        <f t="shared" si="1767"/>
        <v>8.3000000000000007</v>
      </c>
      <c r="N466" s="45">
        <v>1219.1999999999998</v>
      </c>
      <c r="O466" s="45">
        <v>596.9</v>
      </c>
      <c r="P466" s="45">
        <v>596.9</v>
      </c>
      <c r="Q466" s="7"/>
      <c r="R466" s="38">
        <v>1</v>
      </c>
      <c r="T466" s="7">
        <f t="shared" ref="T466:T496" si="1834">MIN(O466/K466+0.5)</f>
        <v>24</v>
      </c>
      <c r="U466" s="7">
        <f t="shared" si="1768"/>
        <v>24</v>
      </c>
      <c r="V466" s="45">
        <v>9.5</v>
      </c>
      <c r="W466" s="4">
        <f t="shared" si="1769"/>
        <v>9.5</v>
      </c>
      <c r="X466" s="4">
        <f t="shared" si="1770"/>
        <v>10.5</v>
      </c>
      <c r="Y466" s="7">
        <f t="shared" si="1771"/>
        <v>82.305406869779816</v>
      </c>
      <c r="AB466" s="45">
        <v>591.72413793103453</v>
      </c>
      <c r="AE466" s="38"/>
      <c r="AF466" s="38"/>
      <c r="AG466" s="39">
        <v>1</v>
      </c>
      <c r="AH466" s="39"/>
      <c r="AI466" s="39"/>
      <c r="AK466" s="4">
        <f t="shared" si="1772"/>
        <v>210.82</v>
      </c>
      <c r="AL466" s="4">
        <f t="shared" si="1773"/>
        <v>1</v>
      </c>
      <c r="AM466" s="4">
        <f t="shared" si="1774"/>
        <v>420.93276036185819</v>
      </c>
      <c r="AN466" s="4">
        <f t="shared" si="1775"/>
        <v>1</v>
      </c>
      <c r="AO466" s="4">
        <v>1.25</v>
      </c>
      <c r="AP466" s="4">
        <v>1</v>
      </c>
      <c r="AQ466" s="38">
        <f t="shared" si="1776"/>
        <v>526.1659504523227</v>
      </c>
      <c r="AR466" s="38">
        <f t="shared" ref="AR466:AR496" si="1835">AQ466</f>
        <v>526.1659504523227</v>
      </c>
      <c r="AS466" s="38">
        <f t="shared" si="1777"/>
        <v>3.9926173774513112</v>
      </c>
      <c r="AX466" s="4">
        <f t="shared" si="1778"/>
        <v>304.38750433282104</v>
      </c>
      <c r="AY466" s="4">
        <f t="shared" si="1779"/>
        <v>1</v>
      </c>
      <c r="AZ466" s="38">
        <f t="shared" si="1780"/>
        <v>7183.0302754595714</v>
      </c>
      <c r="BA466" s="4">
        <f t="shared" si="1781"/>
        <v>0.3</v>
      </c>
      <c r="BB466" s="4">
        <f t="shared" si="1782"/>
        <v>47.712741304169683</v>
      </c>
      <c r="BC466" s="4">
        <f t="shared" si="1783"/>
        <v>7230.7430167637413</v>
      </c>
      <c r="BE466" s="4">
        <f t="shared" si="1784"/>
        <v>1.5</v>
      </c>
      <c r="BF466" s="4">
        <f t="shared" si="1785"/>
        <v>573.80711886066081</v>
      </c>
      <c r="BH466" s="4">
        <f t="shared" si="1786"/>
        <v>6889.4044615281846</v>
      </c>
      <c r="BI466" s="4">
        <f t="shared" si="1787"/>
        <v>0</v>
      </c>
      <c r="BJ466" s="4">
        <f t="shared" si="1788"/>
        <v>0</v>
      </c>
      <c r="BK466" s="4">
        <f t="shared" si="1612"/>
        <v>596.9</v>
      </c>
      <c r="BL466" s="4">
        <f t="shared" si="1613"/>
        <v>596.9</v>
      </c>
      <c r="BM466" s="4">
        <f t="shared" si="1614"/>
        <v>596.9</v>
      </c>
      <c r="BN466" s="4">
        <f t="shared" si="1615"/>
        <v>609.6</v>
      </c>
      <c r="BO466" s="4">
        <f t="shared" si="1616"/>
        <v>1</v>
      </c>
      <c r="BP466" s="25">
        <f t="shared" si="1617"/>
        <v>4</v>
      </c>
      <c r="BR466" s="4">
        <f t="shared" si="1789"/>
        <v>596.9</v>
      </c>
      <c r="BV466" s="9"/>
      <c r="BX466" s="9"/>
      <c r="BY466" s="9"/>
      <c r="BZ466" s="9">
        <f t="shared" si="1790"/>
        <v>596.9</v>
      </c>
      <c r="CA466" s="9">
        <f t="shared" si="1791"/>
        <v>596.9</v>
      </c>
      <c r="CB466" s="9">
        <f t="shared" si="1792"/>
        <v>4.8476798574163293</v>
      </c>
      <c r="CC466" s="40">
        <f t="shared" si="1793"/>
        <v>0</v>
      </c>
      <c r="CD466" s="9">
        <f t="shared" si="1794"/>
        <v>0</v>
      </c>
      <c r="CE466" s="9">
        <f t="shared" si="1795"/>
        <v>0</v>
      </c>
      <c r="CF466" s="9">
        <f t="shared" si="1796"/>
        <v>0.99524931562137331</v>
      </c>
      <c r="CG466" s="9">
        <f t="shared" si="1797"/>
        <v>0.68</v>
      </c>
      <c r="CH466" s="9">
        <f t="shared" si="1798"/>
        <v>1.6504834472137122</v>
      </c>
      <c r="CI466" s="9">
        <f t="shared" si="1799"/>
        <v>4.1262086180342807</v>
      </c>
      <c r="CJ466" s="40">
        <v>1</v>
      </c>
      <c r="CK466" s="9">
        <f t="shared" si="1800"/>
        <v>384.56264320079498</v>
      </c>
      <c r="DI466" s="4">
        <f t="shared" si="1801"/>
        <v>210.82</v>
      </c>
      <c r="DL466" s="4">
        <f t="shared" si="1802"/>
        <v>1.6778468386368307E-5</v>
      </c>
      <c r="DM466" s="4">
        <f t="shared" si="1803"/>
        <v>10.690419306030725</v>
      </c>
      <c r="DN466" s="4">
        <f t="shared" si="1804"/>
        <v>0.36472401410857042</v>
      </c>
      <c r="DO466" s="4">
        <f t="shared" si="1805"/>
        <v>7.1413527097240266</v>
      </c>
      <c r="DP466" s="4">
        <f t="shared" si="1806"/>
        <v>9.0914327666231785</v>
      </c>
      <c r="DQ466" s="4">
        <f t="shared" si="1807"/>
        <v>10.136488236253166</v>
      </c>
      <c r="DR466" s="38">
        <f t="shared" si="1808"/>
        <v>811.39955232234138</v>
      </c>
      <c r="DS466" s="4">
        <f t="shared" si="1809"/>
        <v>1</v>
      </c>
      <c r="DT466" s="4">
        <f t="shared" si="1810"/>
        <v>3.2403703492039297</v>
      </c>
      <c r="DU466" s="4">
        <f t="shared" si="1811"/>
        <v>526.1659504523227</v>
      </c>
      <c r="DY466" s="4">
        <f t="shared" si="1812"/>
        <v>0.85</v>
      </c>
      <c r="DZ466" s="4">
        <f t="shared" si="1813"/>
        <v>0.7</v>
      </c>
      <c r="EA466" s="4">
        <f t="shared" si="1814"/>
        <v>1</v>
      </c>
      <c r="EB466" s="4">
        <f t="shared" si="1815"/>
        <v>0.7</v>
      </c>
      <c r="ED466" s="4">
        <f t="shared" si="1816"/>
        <v>889.65517241379314</v>
      </c>
      <c r="EH466" s="4">
        <f t="shared" si="1817"/>
        <v>10.690419306030725</v>
      </c>
      <c r="EK466" s="4">
        <f t="shared" si="1818"/>
        <v>82.305406869779816</v>
      </c>
      <c r="EL466" s="4">
        <f t="shared" si="1819"/>
        <v>3.2403703492039302</v>
      </c>
      <c r="EM466" s="4">
        <f t="shared" si="1820"/>
        <v>0.13919617931223441</v>
      </c>
      <c r="EP466" s="4">
        <f t="shared" si="1821"/>
        <v>0.13919617931223441</v>
      </c>
      <c r="EQ466" s="4">
        <f t="shared" si="1822"/>
        <v>0.36472401410857042</v>
      </c>
      <c r="ER466" s="4">
        <f t="shared" si="1823"/>
        <v>7.1413527097240266</v>
      </c>
      <c r="ES466" s="4">
        <f t="shared" si="1824"/>
        <v>9.0914327666231785</v>
      </c>
      <c r="ET466" s="4">
        <f t="shared" si="1825"/>
        <v>75.809593130220193</v>
      </c>
      <c r="EU466" s="4">
        <f t="shared" si="1826"/>
        <v>52.704999999999998</v>
      </c>
      <c r="EV466" s="4">
        <f t="shared" si="1827"/>
        <v>1.6778468386368307E-5</v>
      </c>
      <c r="EW466" s="4">
        <f t="shared" si="1828"/>
        <v>10.136488236253166</v>
      </c>
      <c r="EX466" s="4">
        <f t="shared" si="1829"/>
        <v>811.39955232234138</v>
      </c>
      <c r="FG466" s="23"/>
      <c r="FH466" s="23"/>
      <c r="FI466" s="23"/>
      <c r="FJ466" s="23"/>
      <c r="FK466" s="23"/>
      <c r="FL466" s="23"/>
      <c r="FM466" s="23"/>
      <c r="FN466" s="23"/>
      <c r="FX466" s="4">
        <f t="shared" si="1830"/>
        <v>1</v>
      </c>
      <c r="FY466" s="4">
        <f t="shared" si="1831"/>
        <v>1.0833333333333333</v>
      </c>
      <c r="FZ466" s="4">
        <f t="shared" si="1832"/>
        <v>0</v>
      </c>
      <c r="GA466" s="4">
        <f t="shared" si="1833"/>
        <v>201.66471036065258</v>
      </c>
    </row>
    <row r="467" spans="1:183" ht="12" customHeight="1" x14ac:dyDescent="0.3">
      <c r="B467" s="14" t="s">
        <v>605</v>
      </c>
      <c r="C467" s="14"/>
      <c r="D467" s="14" t="s">
        <v>365</v>
      </c>
      <c r="E467" s="14"/>
      <c r="F467" s="43" t="s">
        <v>624</v>
      </c>
      <c r="G467" s="38">
        <f t="shared" si="1764"/>
        <v>889.65517241379314</v>
      </c>
      <c r="H467" s="45">
        <v>215.89999999999998</v>
      </c>
      <c r="I467" s="4">
        <f t="shared" si="1765"/>
        <v>215.89999999999998</v>
      </c>
      <c r="J467" s="45">
        <v>48.551724137931032</v>
      </c>
      <c r="K467" s="7">
        <v>25.4</v>
      </c>
      <c r="L467" s="7">
        <f t="shared" si="1766"/>
        <v>8.5</v>
      </c>
      <c r="M467" s="7">
        <f t="shared" si="1767"/>
        <v>8.5</v>
      </c>
      <c r="N467" s="45">
        <v>1219.1999999999998</v>
      </c>
      <c r="O467" s="45">
        <v>596.9</v>
      </c>
      <c r="P467" s="45">
        <v>596.9</v>
      </c>
      <c r="Q467" s="7"/>
      <c r="R467" s="38">
        <v>1</v>
      </c>
      <c r="T467" s="7">
        <f t="shared" si="1834"/>
        <v>24</v>
      </c>
      <c r="U467" s="7">
        <f t="shared" si="1768"/>
        <v>24</v>
      </c>
      <c r="V467" s="45">
        <v>4</v>
      </c>
      <c r="W467" s="4">
        <f t="shared" si="1769"/>
        <v>4</v>
      </c>
      <c r="X467" s="4">
        <f t="shared" si="1770"/>
        <v>5</v>
      </c>
      <c r="Y467" s="7">
        <f t="shared" si="1771"/>
        <v>56.796126628494655</v>
      </c>
      <c r="AB467" s="45">
        <v>539.31034482758628</v>
      </c>
      <c r="AE467" s="38"/>
      <c r="AF467" s="38"/>
      <c r="AG467" s="39">
        <v>1</v>
      </c>
      <c r="AH467" s="39"/>
      <c r="AI467" s="39"/>
      <c r="AK467" s="4">
        <f t="shared" si="1772"/>
        <v>215.89999999999998</v>
      </c>
      <c r="AL467" s="4">
        <f t="shared" si="1773"/>
        <v>1</v>
      </c>
      <c r="AM467" s="4">
        <f t="shared" si="1774"/>
        <v>436.23848592031243</v>
      </c>
      <c r="AN467" s="4">
        <f t="shared" si="1775"/>
        <v>1</v>
      </c>
      <c r="AO467" s="4">
        <v>1.25</v>
      </c>
      <c r="AP467" s="4">
        <v>1</v>
      </c>
      <c r="AQ467" s="38">
        <f t="shared" si="1776"/>
        <v>545.29810740039056</v>
      </c>
      <c r="AR467" s="38">
        <f t="shared" si="1835"/>
        <v>545.29810740039056</v>
      </c>
      <c r="AS467" s="38">
        <f t="shared" si="1777"/>
        <v>3.9926173774513112</v>
      </c>
      <c r="AX467" s="4">
        <f t="shared" si="1778"/>
        <v>311.72214299144321</v>
      </c>
      <c r="AY467" s="4">
        <f t="shared" si="1779"/>
        <v>1</v>
      </c>
      <c r="AZ467" s="38">
        <f t="shared" si="1780"/>
        <v>4660.9655172413786</v>
      </c>
      <c r="BA467" s="4">
        <f t="shared" si="1781"/>
        <v>0.44000000000000006</v>
      </c>
      <c r="BB467" s="4">
        <f t="shared" si="1782"/>
        <v>71.664920673732794</v>
      </c>
      <c r="BC467" s="4">
        <f t="shared" si="1783"/>
        <v>4732.6304379151115</v>
      </c>
      <c r="BE467" s="4">
        <f t="shared" si="1784"/>
        <v>1.5</v>
      </c>
      <c r="BF467" s="4">
        <f t="shared" si="1785"/>
        <v>580.07823491378269</v>
      </c>
      <c r="BH467" s="4">
        <f t="shared" si="1786"/>
        <v>4470.4359299748721</v>
      </c>
      <c r="BI467" s="4">
        <f t="shared" si="1787"/>
        <v>0</v>
      </c>
      <c r="BJ467" s="4">
        <f t="shared" si="1788"/>
        <v>0</v>
      </c>
      <c r="BK467" s="4">
        <f t="shared" si="1612"/>
        <v>596.9</v>
      </c>
      <c r="BL467" s="4">
        <f t="shared" si="1613"/>
        <v>596.9</v>
      </c>
      <c r="BM467" s="4">
        <f t="shared" si="1614"/>
        <v>596.9</v>
      </c>
      <c r="BN467" s="4">
        <f t="shared" si="1615"/>
        <v>609.6</v>
      </c>
      <c r="BO467" s="4">
        <f t="shared" si="1616"/>
        <v>1</v>
      </c>
      <c r="BP467" s="25">
        <f t="shared" si="1617"/>
        <v>4</v>
      </c>
      <c r="BR467" s="4">
        <f t="shared" si="1789"/>
        <v>596.9</v>
      </c>
      <c r="BV467" s="9"/>
      <c r="BX467" s="9"/>
      <c r="BY467" s="9"/>
      <c r="BZ467" s="9">
        <f t="shared" si="1790"/>
        <v>596.9</v>
      </c>
      <c r="CA467" s="9">
        <f t="shared" si="1791"/>
        <v>596.9</v>
      </c>
      <c r="CB467" s="9">
        <f t="shared" si="1792"/>
        <v>4.8476798574163293</v>
      </c>
      <c r="CC467" s="40">
        <f t="shared" si="1793"/>
        <v>0</v>
      </c>
      <c r="CD467" s="9">
        <f t="shared" si="1794"/>
        <v>0</v>
      </c>
      <c r="CE467" s="9">
        <f t="shared" si="1795"/>
        <v>0</v>
      </c>
      <c r="CF467" s="9">
        <f t="shared" si="1796"/>
        <v>0.99524931562137331</v>
      </c>
      <c r="CG467" s="9">
        <f t="shared" si="1797"/>
        <v>0.68</v>
      </c>
      <c r="CH467" s="9">
        <f t="shared" si="1798"/>
        <v>1.6504834472137122</v>
      </c>
      <c r="CI467" s="9">
        <f t="shared" si="1799"/>
        <v>4.1262086180342807</v>
      </c>
      <c r="CJ467" s="40">
        <v>1</v>
      </c>
      <c r="CK467" s="9">
        <f t="shared" si="1800"/>
        <v>387.86361009522238</v>
      </c>
      <c r="DI467" s="4">
        <f t="shared" si="1801"/>
        <v>215.89999999999998</v>
      </c>
      <c r="DL467" s="4">
        <f t="shared" si="1802"/>
        <v>1.7182768829413324E-5</v>
      </c>
      <c r="DM467" s="4">
        <f t="shared" si="1803"/>
        <v>10.690419306030725</v>
      </c>
      <c r="DN467" s="4">
        <f t="shared" si="1804"/>
        <v>0.61948326067862303</v>
      </c>
      <c r="DO467" s="4">
        <f t="shared" si="1805"/>
        <v>8.8268667378225558</v>
      </c>
      <c r="DP467" s="4">
        <f t="shared" si="1806"/>
        <v>9.8030662330807399</v>
      </c>
      <c r="DQ467" s="4">
        <f t="shared" si="1807"/>
        <v>10.028193756194481</v>
      </c>
      <c r="DR467" s="38">
        <f t="shared" si="1808"/>
        <v>871.78454954760934</v>
      </c>
      <c r="DS467" s="4">
        <f t="shared" si="1809"/>
        <v>1</v>
      </c>
      <c r="DT467" s="4">
        <f t="shared" si="1810"/>
        <v>2.2360679774997898</v>
      </c>
      <c r="DU467" s="4">
        <f t="shared" si="1811"/>
        <v>545.29810740039056</v>
      </c>
      <c r="DY467" s="4">
        <f t="shared" si="1812"/>
        <v>0.85</v>
      </c>
      <c r="DZ467" s="4">
        <f t="shared" si="1813"/>
        <v>0.7</v>
      </c>
      <c r="EA467" s="4">
        <f t="shared" si="1814"/>
        <v>1</v>
      </c>
      <c r="EB467" s="4">
        <f t="shared" si="1815"/>
        <v>0.7</v>
      </c>
      <c r="ED467" s="4">
        <f t="shared" si="1816"/>
        <v>889.65517241379314</v>
      </c>
      <c r="EH467" s="4">
        <f t="shared" si="1817"/>
        <v>10.690419306030725</v>
      </c>
      <c r="EK467" s="4">
        <f t="shared" si="1818"/>
        <v>56.796126628494655</v>
      </c>
      <c r="EL467" s="4">
        <f t="shared" si="1819"/>
        <v>2.2360679774997898</v>
      </c>
      <c r="EM467" s="4">
        <f t="shared" si="1820"/>
        <v>0.23642452840706166</v>
      </c>
      <c r="EP467" s="4">
        <f t="shared" si="1821"/>
        <v>0.23642452840706166</v>
      </c>
      <c r="EQ467" s="4">
        <f t="shared" si="1822"/>
        <v>0.61948326067862303</v>
      </c>
      <c r="ER467" s="4">
        <f t="shared" si="1823"/>
        <v>8.8268667378225558</v>
      </c>
      <c r="ES467" s="4">
        <f t="shared" si="1824"/>
        <v>9.8030662330807399</v>
      </c>
      <c r="ET467" s="4">
        <f t="shared" si="1825"/>
        <v>105.12887337150534</v>
      </c>
      <c r="EU467" s="4">
        <f t="shared" si="1826"/>
        <v>53.974999999999994</v>
      </c>
      <c r="EV467" s="4">
        <f t="shared" si="1827"/>
        <v>1.7182768829413324E-5</v>
      </c>
      <c r="EW467" s="4">
        <f t="shared" si="1828"/>
        <v>10.028193756194481</v>
      </c>
      <c r="EX467" s="4">
        <f t="shared" si="1829"/>
        <v>871.78454954760934</v>
      </c>
      <c r="FG467" s="23"/>
      <c r="FH467" s="23"/>
      <c r="FI467" s="23"/>
      <c r="FJ467" s="23"/>
      <c r="FK467" s="23"/>
      <c r="FL467" s="23"/>
      <c r="FM467" s="23"/>
      <c r="FN467" s="23"/>
      <c r="FX467" s="4">
        <f t="shared" si="1830"/>
        <v>1</v>
      </c>
      <c r="FY467" s="4">
        <f t="shared" si="1831"/>
        <v>1.0833333333333333</v>
      </c>
      <c r="FZ467" s="4">
        <f t="shared" si="1832"/>
        <v>0</v>
      </c>
      <c r="GA467" s="4">
        <f t="shared" si="1833"/>
        <v>206.52410097175263</v>
      </c>
    </row>
    <row r="468" spans="1:183" ht="12" customHeight="1" x14ac:dyDescent="0.3">
      <c r="B468" s="14" t="s">
        <v>605</v>
      </c>
      <c r="C468" s="14"/>
      <c r="D468" s="14" t="s">
        <v>365</v>
      </c>
      <c r="E468" s="14"/>
      <c r="F468" s="43" t="s">
        <v>624</v>
      </c>
      <c r="G468" s="38">
        <f t="shared" si="1764"/>
        <v>889.65517241379314</v>
      </c>
      <c r="H468" s="45">
        <v>190.5</v>
      </c>
      <c r="I468" s="4">
        <f t="shared" si="1765"/>
        <v>190.5</v>
      </c>
      <c r="J468" s="45">
        <v>48.551724137931032</v>
      </c>
      <c r="K468" s="7">
        <v>25.4</v>
      </c>
      <c r="L468" s="7">
        <f t="shared" si="1766"/>
        <v>7.5</v>
      </c>
      <c r="M468" s="7">
        <f t="shared" si="1767"/>
        <v>7.5</v>
      </c>
      <c r="N468" s="45">
        <v>1219.1999999999998</v>
      </c>
      <c r="O468" s="45">
        <v>596.9</v>
      </c>
      <c r="P468" s="45">
        <v>596.9</v>
      </c>
      <c r="Q468" s="7"/>
      <c r="R468" s="38">
        <v>1</v>
      </c>
      <c r="T468" s="7">
        <f t="shared" si="1834"/>
        <v>24</v>
      </c>
      <c r="U468" s="7">
        <f t="shared" si="1768"/>
        <v>24</v>
      </c>
      <c r="V468" s="45">
        <v>4</v>
      </c>
      <c r="W468" s="4">
        <f t="shared" si="1769"/>
        <v>4</v>
      </c>
      <c r="X468" s="4">
        <f t="shared" si="1770"/>
        <v>5</v>
      </c>
      <c r="Y468" s="7">
        <f t="shared" si="1771"/>
        <v>56.796126628494655</v>
      </c>
      <c r="AB468" s="45">
        <v>491.72413793103448</v>
      </c>
      <c r="AE468" s="38"/>
      <c r="AF468" s="38"/>
      <c r="AG468" s="39">
        <v>1</v>
      </c>
      <c r="AH468" s="39"/>
      <c r="AI468" s="39"/>
      <c r="AK468" s="4">
        <f t="shared" si="1772"/>
        <v>190.5</v>
      </c>
      <c r="AL468" s="4">
        <f t="shared" si="1773"/>
        <v>1</v>
      </c>
      <c r="AM468" s="4">
        <f t="shared" si="1774"/>
        <v>361.56591607434706</v>
      </c>
      <c r="AN468" s="4">
        <f t="shared" si="1775"/>
        <v>1</v>
      </c>
      <c r="AO468" s="4">
        <v>1.25</v>
      </c>
      <c r="AP468" s="4">
        <v>1</v>
      </c>
      <c r="AQ468" s="38">
        <f t="shared" si="1776"/>
        <v>451.95739509293384</v>
      </c>
      <c r="AR468" s="38">
        <f t="shared" si="1835"/>
        <v>451.95739509293384</v>
      </c>
      <c r="AS468" s="38">
        <f t="shared" si="1777"/>
        <v>3.9926173774513112</v>
      </c>
      <c r="AX468" s="4">
        <f t="shared" si="1778"/>
        <v>275.04894969833225</v>
      </c>
      <c r="AY468" s="4">
        <f t="shared" si="1779"/>
        <v>1</v>
      </c>
      <c r="AZ468" s="38">
        <f t="shared" si="1780"/>
        <v>4660.9655172413786</v>
      </c>
      <c r="BA468" s="4">
        <f t="shared" si="1781"/>
        <v>0.44000000000000006</v>
      </c>
      <c r="BB468" s="4">
        <f t="shared" si="1782"/>
        <v>63.233753535646585</v>
      </c>
      <c r="BC468" s="4">
        <f t="shared" si="1783"/>
        <v>4724.199270777025</v>
      </c>
      <c r="BE468" s="4">
        <f t="shared" si="1784"/>
        <v>1.5</v>
      </c>
      <c r="BF468" s="4">
        <f t="shared" si="1785"/>
        <v>548.72265464817281</v>
      </c>
      <c r="BH468" s="4">
        <f t="shared" si="1786"/>
        <v>4470.4359299748721</v>
      </c>
      <c r="BI468" s="4">
        <f t="shared" si="1787"/>
        <v>0</v>
      </c>
      <c r="BJ468" s="4">
        <f t="shared" si="1788"/>
        <v>0</v>
      </c>
      <c r="BK468" s="4">
        <f t="shared" si="1612"/>
        <v>596.9</v>
      </c>
      <c r="BL468" s="4">
        <f t="shared" si="1613"/>
        <v>596.9</v>
      </c>
      <c r="BM468" s="4">
        <f t="shared" si="1614"/>
        <v>596.9</v>
      </c>
      <c r="BN468" s="4">
        <f t="shared" si="1615"/>
        <v>609.6</v>
      </c>
      <c r="BO468" s="4">
        <f t="shared" si="1616"/>
        <v>1</v>
      </c>
      <c r="BP468" s="25">
        <f t="shared" si="1617"/>
        <v>4</v>
      </c>
      <c r="BR468" s="4">
        <f t="shared" si="1789"/>
        <v>596.9</v>
      </c>
      <c r="BV468" s="9"/>
      <c r="BX468" s="9"/>
      <c r="BY468" s="9"/>
      <c r="BZ468" s="9">
        <f t="shared" si="1790"/>
        <v>596.9</v>
      </c>
      <c r="CA468" s="9">
        <f t="shared" si="1791"/>
        <v>596.9</v>
      </c>
      <c r="CB468" s="9">
        <f t="shared" si="1792"/>
        <v>4.8476798574163293</v>
      </c>
      <c r="CC468" s="40">
        <f t="shared" si="1793"/>
        <v>0</v>
      </c>
      <c r="CD468" s="9">
        <f t="shared" si="1794"/>
        <v>0</v>
      </c>
      <c r="CE468" s="9">
        <f t="shared" si="1795"/>
        <v>0</v>
      </c>
      <c r="CF468" s="9">
        <f t="shared" si="1796"/>
        <v>0.99524931562137331</v>
      </c>
      <c r="CG468" s="9">
        <f t="shared" si="1797"/>
        <v>0.68</v>
      </c>
      <c r="CH468" s="9">
        <f t="shared" si="1798"/>
        <v>1.6504834472137122</v>
      </c>
      <c r="CI468" s="9">
        <f t="shared" si="1799"/>
        <v>4.1262086180342807</v>
      </c>
      <c r="CJ468" s="40">
        <v>1</v>
      </c>
      <c r="CK468" s="9">
        <f t="shared" si="1800"/>
        <v>371.35877562308525</v>
      </c>
      <c r="DI468" s="4">
        <f t="shared" si="1801"/>
        <v>190.5</v>
      </c>
      <c r="DL468" s="4">
        <f t="shared" si="1802"/>
        <v>1.5161266614188229E-5</v>
      </c>
      <c r="DM468" s="4">
        <f t="shared" si="1803"/>
        <v>10.690419306030725</v>
      </c>
      <c r="DN468" s="4">
        <f t="shared" si="1804"/>
        <v>0.51344399879680713</v>
      </c>
      <c r="DO468" s="4">
        <f t="shared" si="1805"/>
        <v>8.1882665666777861</v>
      </c>
      <c r="DP468" s="4">
        <f t="shared" si="1806"/>
        <v>9.5220326434042857</v>
      </c>
      <c r="DQ468" s="4">
        <f t="shared" si="1807"/>
        <v>10.195269662186318</v>
      </c>
      <c r="DR468" s="38">
        <f t="shared" si="1808"/>
        <v>730.73808558135306</v>
      </c>
      <c r="DS468" s="4">
        <f t="shared" si="1809"/>
        <v>1</v>
      </c>
      <c r="DT468" s="4">
        <f t="shared" si="1810"/>
        <v>2.2360679774997898</v>
      </c>
      <c r="DU468" s="4">
        <f t="shared" si="1811"/>
        <v>451.95739509293384</v>
      </c>
      <c r="DY468" s="4">
        <f t="shared" si="1812"/>
        <v>0.85</v>
      </c>
      <c r="DZ468" s="4">
        <f t="shared" si="1813"/>
        <v>0.7</v>
      </c>
      <c r="EA468" s="4">
        <f t="shared" si="1814"/>
        <v>1</v>
      </c>
      <c r="EB468" s="4">
        <f t="shared" si="1815"/>
        <v>0.7</v>
      </c>
      <c r="ED468" s="4">
        <f t="shared" si="1816"/>
        <v>889.65517241379314</v>
      </c>
      <c r="EH468" s="4">
        <f t="shared" si="1817"/>
        <v>10.690419306030725</v>
      </c>
      <c r="EK468" s="4">
        <f t="shared" si="1818"/>
        <v>56.796126628494655</v>
      </c>
      <c r="EL468" s="4">
        <f t="shared" si="1819"/>
        <v>2.2360679774997898</v>
      </c>
      <c r="EM468" s="4">
        <f t="shared" si="1820"/>
        <v>0.1959548594517172</v>
      </c>
      <c r="EP468" s="4">
        <f t="shared" si="1821"/>
        <v>0.1959548594517172</v>
      </c>
      <c r="EQ468" s="4">
        <f t="shared" si="1822"/>
        <v>0.51344399879680713</v>
      </c>
      <c r="ER468" s="4">
        <f t="shared" si="1823"/>
        <v>8.1882665666777861</v>
      </c>
      <c r="ES468" s="4">
        <f t="shared" si="1824"/>
        <v>9.5220326434042857</v>
      </c>
      <c r="ET468" s="4">
        <f t="shared" si="1825"/>
        <v>86.078873371505352</v>
      </c>
      <c r="EU468" s="4">
        <f t="shared" si="1826"/>
        <v>47.625</v>
      </c>
      <c r="EV468" s="4">
        <f t="shared" si="1827"/>
        <v>1.5161266614188229E-5</v>
      </c>
      <c r="EW468" s="4">
        <f t="shared" si="1828"/>
        <v>10.195269662186318</v>
      </c>
      <c r="EX468" s="4">
        <f t="shared" si="1829"/>
        <v>730.73808558135306</v>
      </c>
      <c r="FG468" s="23"/>
      <c r="FH468" s="23"/>
      <c r="FI468" s="23"/>
      <c r="FJ468" s="23"/>
      <c r="FK468" s="23"/>
      <c r="FL468" s="23"/>
      <c r="FM468" s="23"/>
      <c r="FN468" s="23"/>
      <c r="FX468" s="4">
        <f t="shared" si="1830"/>
        <v>1</v>
      </c>
      <c r="FY468" s="4">
        <f t="shared" si="1831"/>
        <v>1.0833333333333333</v>
      </c>
      <c r="FZ468" s="4">
        <f t="shared" si="1832"/>
        <v>0</v>
      </c>
      <c r="GA468" s="4">
        <f t="shared" si="1833"/>
        <v>182.22714791625231</v>
      </c>
    </row>
    <row r="469" spans="1:183" ht="12" customHeight="1" x14ac:dyDescent="0.3">
      <c r="B469" s="14" t="s">
        <v>605</v>
      </c>
      <c r="C469" s="14"/>
      <c r="D469" s="14" t="s">
        <v>365</v>
      </c>
      <c r="E469" s="14"/>
      <c r="F469" s="43" t="s">
        <v>625</v>
      </c>
      <c r="G469" s="38">
        <f t="shared" si="1764"/>
        <v>889.65517241379314</v>
      </c>
      <c r="H469" s="45">
        <v>187.96</v>
      </c>
      <c r="I469" s="4">
        <f t="shared" si="1765"/>
        <v>187.96</v>
      </c>
      <c r="J469" s="45">
        <v>36</v>
      </c>
      <c r="K469" s="7">
        <v>25.4</v>
      </c>
      <c r="L469" s="7">
        <f t="shared" si="1766"/>
        <v>7.4</v>
      </c>
      <c r="M469" s="7">
        <f t="shared" si="1767"/>
        <v>7.4</v>
      </c>
      <c r="N469" s="45">
        <v>1219.1999999999998</v>
      </c>
      <c r="O469" s="45">
        <v>596.9</v>
      </c>
      <c r="P469" s="45">
        <v>596.9</v>
      </c>
      <c r="Q469" s="7"/>
      <c r="R469" s="38">
        <v>1</v>
      </c>
      <c r="T469" s="7">
        <f t="shared" si="1834"/>
        <v>24</v>
      </c>
      <c r="U469" s="7">
        <f t="shared" si="1768"/>
        <v>24</v>
      </c>
      <c r="V469" s="45">
        <v>4.0999999999999996</v>
      </c>
      <c r="W469" s="4">
        <f t="shared" si="1769"/>
        <v>4.0999999999999996</v>
      </c>
      <c r="X469" s="4">
        <f t="shared" si="1770"/>
        <v>5.0999999999999996</v>
      </c>
      <c r="Y469" s="7">
        <f t="shared" si="1771"/>
        <v>57.361276136431961</v>
      </c>
      <c r="AB469" s="45">
        <v>601.37931034482767</v>
      </c>
      <c r="AE469" s="38"/>
      <c r="AF469" s="38"/>
      <c r="AG469" s="39">
        <v>1</v>
      </c>
      <c r="AH469" s="39"/>
      <c r="AI469" s="39"/>
      <c r="AK469" s="4">
        <f t="shared" si="1772"/>
        <v>187.96</v>
      </c>
      <c r="AL469" s="4">
        <f t="shared" si="1773"/>
        <v>1</v>
      </c>
      <c r="AM469" s="4">
        <f t="shared" si="1774"/>
        <v>305.13504551575329</v>
      </c>
      <c r="AN469" s="4">
        <f t="shared" si="1775"/>
        <v>1</v>
      </c>
      <c r="AO469" s="4">
        <v>1.25</v>
      </c>
      <c r="AP469" s="4">
        <v>1</v>
      </c>
      <c r="AQ469" s="38">
        <f t="shared" si="1776"/>
        <v>381.41880689469161</v>
      </c>
      <c r="AR469" s="38">
        <f t="shared" si="1835"/>
        <v>381.41880689469161</v>
      </c>
      <c r="AS469" s="38">
        <f t="shared" si="1777"/>
        <v>3.2708170670978505</v>
      </c>
      <c r="AX469" s="4">
        <f t="shared" si="1778"/>
        <v>233.68421052631581</v>
      </c>
      <c r="AY469" s="4">
        <f t="shared" si="1779"/>
        <v>1</v>
      </c>
      <c r="AZ469" s="38">
        <f t="shared" si="1780"/>
        <v>3498.9333231715059</v>
      </c>
      <c r="BA469" s="4">
        <f t="shared" si="1781"/>
        <v>0.42600000000000005</v>
      </c>
      <c r="BB469" s="4">
        <f t="shared" si="1782"/>
        <v>52.014600000000009</v>
      </c>
      <c r="BC469" s="4">
        <f t="shared" si="1783"/>
        <v>3550.9479231715059</v>
      </c>
      <c r="BE469" s="4">
        <f t="shared" si="1784"/>
        <v>1.5</v>
      </c>
      <c r="BF469" s="4">
        <f t="shared" si="1785"/>
        <v>469.80000000000007</v>
      </c>
      <c r="BH469" s="4">
        <f t="shared" si="1786"/>
        <v>3355.904948584548</v>
      </c>
      <c r="BI469" s="4">
        <f t="shared" si="1787"/>
        <v>0</v>
      </c>
      <c r="BJ469" s="4">
        <f t="shared" si="1788"/>
        <v>0</v>
      </c>
      <c r="BK469" s="4">
        <f t="shared" si="1612"/>
        <v>596.9</v>
      </c>
      <c r="BL469" s="4">
        <f t="shared" si="1613"/>
        <v>596.9</v>
      </c>
      <c r="BM469" s="4">
        <f t="shared" si="1614"/>
        <v>596.9</v>
      </c>
      <c r="BN469" s="4">
        <f t="shared" si="1615"/>
        <v>609.6</v>
      </c>
      <c r="BO469" s="4">
        <f t="shared" si="1616"/>
        <v>1</v>
      </c>
      <c r="BP469" s="25">
        <f t="shared" si="1617"/>
        <v>4</v>
      </c>
      <c r="BR469" s="4">
        <f t="shared" si="1789"/>
        <v>596.9</v>
      </c>
      <c r="BV469" s="9"/>
      <c r="BX469" s="9"/>
      <c r="BY469" s="9"/>
      <c r="BZ469" s="9">
        <f t="shared" si="1790"/>
        <v>596.9</v>
      </c>
      <c r="CA469" s="9">
        <f t="shared" si="1791"/>
        <v>596.9</v>
      </c>
      <c r="CB469" s="9">
        <f t="shared" si="1792"/>
        <v>4.8476798574163293</v>
      </c>
      <c r="CC469" s="40">
        <f t="shared" si="1793"/>
        <v>0</v>
      </c>
      <c r="CD469" s="9">
        <f t="shared" si="1794"/>
        <v>0</v>
      </c>
      <c r="CE469" s="9">
        <f t="shared" si="1795"/>
        <v>0</v>
      </c>
      <c r="CF469" s="9">
        <f t="shared" si="1796"/>
        <v>0.99524931562137331</v>
      </c>
      <c r="CG469" s="9">
        <f t="shared" si="1797"/>
        <v>0.68</v>
      </c>
      <c r="CH469" s="9">
        <f t="shared" si="1798"/>
        <v>1.4212160227073209</v>
      </c>
      <c r="CI469" s="9">
        <f t="shared" si="1799"/>
        <v>3.5530400567683023</v>
      </c>
      <c r="CJ469" s="40">
        <v>1</v>
      </c>
      <c r="CK469" s="9">
        <f t="shared" si="1800"/>
        <v>318.35238908643987</v>
      </c>
      <c r="DI469" s="4">
        <f t="shared" si="1801"/>
        <v>187.96</v>
      </c>
      <c r="DL469" s="4">
        <f t="shared" si="1802"/>
        <v>1.377787017281802E-5</v>
      </c>
      <c r="DM469" s="4">
        <f t="shared" si="1803"/>
        <v>9.2054211345406056</v>
      </c>
      <c r="DN469" s="4">
        <f t="shared" si="1804"/>
        <v>0.57580583984844791</v>
      </c>
      <c r="DO469" s="4">
        <f t="shared" si="1805"/>
        <v>7.3816608504860692</v>
      </c>
      <c r="DP469" s="4">
        <f t="shared" si="1806"/>
        <v>8.3435810675533659</v>
      </c>
      <c r="DQ469" s="4">
        <f t="shared" si="1807"/>
        <v>8.8682086466934464</v>
      </c>
      <c r="DR469" s="38">
        <f t="shared" si="1808"/>
        <v>623.58176377795292</v>
      </c>
      <c r="DS469" s="4">
        <f t="shared" si="1809"/>
        <v>1</v>
      </c>
      <c r="DT469" s="4">
        <f t="shared" si="1810"/>
        <v>2.2583179581272428</v>
      </c>
      <c r="DU469" s="4">
        <f t="shared" si="1811"/>
        <v>381.41880689469161</v>
      </c>
      <c r="DY469" s="4">
        <f t="shared" si="1812"/>
        <v>0.85</v>
      </c>
      <c r="DZ469" s="4">
        <f t="shared" si="1813"/>
        <v>0.7</v>
      </c>
      <c r="EA469" s="4">
        <f t="shared" si="1814"/>
        <v>1</v>
      </c>
      <c r="EB469" s="4">
        <f t="shared" si="1815"/>
        <v>0.7</v>
      </c>
      <c r="ED469" s="4">
        <f t="shared" si="1816"/>
        <v>889.65517241379314</v>
      </c>
      <c r="EH469" s="4">
        <f t="shared" si="1817"/>
        <v>9.2054211345406056</v>
      </c>
      <c r="EK469" s="4">
        <f t="shared" si="1818"/>
        <v>57.361276136431961</v>
      </c>
      <c r="EL469" s="4">
        <f t="shared" si="1819"/>
        <v>2.2583179581272428</v>
      </c>
      <c r="EM469" s="4">
        <f t="shared" si="1820"/>
        <v>0.18922910833692116</v>
      </c>
      <c r="EP469" s="4">
        <f t="shared" si="1821"/>
        <v>0.18922910833692116</v>
      </c>
      <c r="EQ469" s="4">
        <f t="shared" si="1822"/>
        <v>0.57580583984844791</v>
      </c>
      <c r="ER469" s="4">
        <f t="shared" si="1823"/>
        <v>7.3816608504860692</v>
      </c>
      <c r="ES469" s="4">
        <f t="shared" si="1824"/>
        <v>8.3435810675533659</v>
      </c>
      <c r="ET469" s="4">
        <f t="shared" si="1825"/>
        <v>83.608723863568031</v>
      </c>
      <c r="EU469" s="4">
        <f t="shared" si="1826"/>
        <v>46.990000000000009</v>
      </c>
      <c r="EV469" s="4">
        <f t="shared" si="1827"/>
        <v>1.377787017281802E-5</v>
      </c>
      <c r="EW469" s="4">
        <f t="shared" si="1828"/>
        <v>8.8682086466934464</v>
      </c>
      <c r="EX469" s="4">
        <f t="shared" si="1829"/>
        <v>623.58176377795292</v>
      </c>
      <c r="FG469" s="23"/>
      <c r="FH469" s="23"/>
      <c r="FI469" s="23"/>
      <c r="FJ469" s="23"/>
      <c r="FK469" s="23"/>
      <c r="FL469" s="23"/>
      <c r="FM469" s="23"/>
      <c r="FN469" s="23"/>
      <c r="FX469" s="4">
        <f t="shared" si="1830"/>
        <v>1</v>
      </c>
      <c r="FY469" s="4">
        <f t="shared" si="1831"/>
        <v>1.0833333333333333</v>
      </c>
      <c r="FZ469" s="4">
        <f t="shared" si="1832"/>
        <v>0</v>
      </c>
      <c r="GA469" s="4">
        <f t="shared" si="1833"/>
        <v>166.84300191817573</v>
      </c>
    </row>
    <row r="470" spans="1:183" ht="12" customHeight="1" x14ac:dyDescent="0.3">
      <c r="B470" s="14" t="s">
        <v>605</v>
      </c>
      <c r="C470" s="14"/>
      <c r="D470" s="14" t="s">
        <v>365</v>
      </c>
      <c r="E470" s="14"/>
      <c r="F470" s="43" t="s">
        <v>625</v>
      </c>
      <c r="G470" s="38">
        <f t="shared" si="1764"/>
        <v>889.65517241379314</v>
      </c>
      <c r="H470" s="45">
        <v>187.96</v>
      </c>
      <c r="I470" s="4">
        <f t="shared" si="1765"/>
        <v>187.96</v>
      </c>
      <c r="J470" s="45">
        <v>36</v>
      </c>
      <c r="K470" s="7">
        <v>25.4</v>
      </c>
      <c r="L470" s="7">
        <f t="shared" si="1766"/>
        <v>7.4</v>
      </c>
      <c r="M470" s="7">
        <f t="shared" si="1767"/>
        <v>7.4</v>
      </c>
      <c r="N470" s="45">
        <v>1219.1999999999998</v>
      </c>
      <c r="O470" s="45">
        <v>596.9</v>
      </c>
      <c r="P470" s="45">
        <v>596.9</v>
      </c>
      <c r="Q470" s="7"/>
      <c r="R470" s="38">
        <v>1</v>
      </c>
      <c r="T470" s="7">
        <f t="shared" si="1834"/>
        <v>24</v>
      </c>
      <c r="U470" s="7">
        <f t="shared" si="1768"/>
        <v>24</v>
      </c>
      <c r="V470" s="45">
        <v>4.0999999999999996</v>
      </c>
      <c r="W470" s="4">
        <f t="shared" si="1769"/>
        <v>4.0999999999999996</v>
      </c>
      <c r="X470" s="4">
        <f t="shared" si="1770"/>
        <v>5.0999999999999996</v>
      </c>
      <c r="Y470" s="7">
        <f t="shared" si="1771"/>
        <v>57.361276136431961</v>
      </c>
      <c r="AB470" s="45">
        <v>562.06896551724139</v>
      </c>
      <c r="AE470" s="38"/>
      <c r="AF470" s="38"/>
      <c r="AG470" s="39">
        <v>1</v>
      </c>
      <c r="AH470" s="39"/>
      <c r="AI470" s="39"/>
      <c r="AK470" s="4">
        <f t="shared" si="1772"/>
        <v>187.96</v>
      </c>
      <c r="AL470" s="4">
        <f t="shared" si="1773"/>
        <v>1</v>
      </c>
      <c r="AM470" s="4">
        <f t="shared" si="1774"/>
        <v>305.13504551575329</v>
      </c>
      <c r="AN470" s="4">
        <f t="shared" si="1775"/>
        <v>1</v>
      </c>
      <c r="AO470" s="4">
        <v>1.25</v>
      </c>
      <c r="AP470" s="4">
        <v>1</v>
      </c>
      <c r="AQ470" s="38">
        <f t="shared" si="1776"/>
        <v>381.41880689469161</v>
      </c>
      <c r="AR470" s="38">
        <f t="shared" si="1835"/>
        <v>381.41880689469161</v>
      </c>
      <c r="AS470" s="38">
        <f t="shared" si="1777"/>
        <v>3.2708170670978505</v>
      </c>
      <c r="AX470" s="4">
        <f t="shared" si="1778"/>
        <v>233.68421052631581</v>
      </c>
      <c r="AY470" s="4">
        <f t="shared" si="1779"/>
        <v>1</v>
      </c>
      <c r="AZ470" s="38">
        <f t="shared" si="1780"/>
        <v>3498.9333231715059</v>
      </c>
      <c r="BA470" s="4">
        <f t="shared" si="1781"/>
        <v>0.42600000000000005</v>
      </c>
      <c r="BB470" s="4">
        <f t="shared" si="1782"/>
        <v>52.014600000000009</v>
      </c>
      <c r="BC470" s="4">
        <f t="shared" si="1783"/>
        <v>3550.9479231715059</v>
      </c>
      <c r="BE470" s="4">
        <f t="shared" si="1784"/>
        <v>1.5</v>
      </c>
      <c r="BF470" s="4">
        <f t="shared" si="1785"/>
        <v>469.80000000000007</v>
      </c>
      <c r="BH470" s="4">
        <f t="shared" si="1786"/>
        <v>3355.904948584548</v>
      </c>
      <c r="BI470" s="4">
        <f t="shared" si="1787"/>
        <v>0</v>
      </c>
      <c r="BJ470" s="4">
        <f t="shared" si="1788"/>
        <v>0</v>
      </c>
      <c r="BK470" s="4">
        <f t="shared" si="1612"/>
        <v>596.9</v>
      </c>
      <c r="BL470" s="4">
        <f t="shared" si="1613"/>
        <v>596.9</v>
      </c>
      <c r="BM470" s="4">
        <f t="shared" si="1614"/>
        <v>596.9</v>
      </c>
      <c r="BN470" s="4">
        <f t="shared" si="1615"/>
        <v>609.6</v>
      </c>
      <c r="BO470" s="4">
        <f t="shared" si="1616"/>
        <v>1</v>
      </c>
      <c r="BP470" s="25">
        <f t="shared" si="1617"/>
        <v>4</v>
      </c>
      <c r="BR470" s="4">
        <f t="shared" si="1789"/>
        <v>596.9</v>
      </c>
      <c r="BV470" s="9"/>
      <c r="BX470" s="9"/>
      <c r="BY470" s="9"/>
      <c r="BZ470" s="9">
        <f t="shared" si="1790"/>
        <v>596.9</v>
      </c>
      <c r="CA470" s="9">
        <f t="shared" si="1791"/>
        <v>596.9</v>
      </c>
      <c r="CB470" s="9">
        <f t="shared" si="1792"/>
        <v>4.8476798574163293</v>
      </c>
      <c r="CC470" s="40">
        <f t="shared" si="1793"/>
        <v>0</v>
      </c>
      <c r="CD470" s="9">
        <f t="shared" si="1794"/>
        <v>0</v>
      </c>
      <c r="CE470" s="9">
        <f t="shared" si="1795"/>
        <v>0</v>
      </c>
      <c r="CF470" s="9">
        <f t="shared" si="1796"/>
        <v>0.99524931562137331</v>
      </c>
      <c r="CG470" s="9">
        <f t="shared" si="1797"/>
        <v>0.68</v>
      </c>
      <c r="CH470" s="9">
        <f t="shared" si="1798"/>
        <v>1.4212160227073209</v>
      </c>
      <c r="CI470" s="9">
        <f t="shared" si="1799"/>
        <v>3.5530400567683023</v>
      </c>
      <c r="CJ470" s="40">
        <v>1</v>
      </c>
      <c r="CK470" s="9">
        <f t="shared" si="1800"/>
        <v>318.35238908643987</v>
      </c>
      <c r="DI470" s="4">
        <f t="shared" si="1801"/>
        <v>187.96</v>
      </c>
      <c r="DL470" s="4">
        <f t="shared" si="1802"/>
        <v>1.377787017281802E-5</v>
      </c>
      <c r="DM470" s="4">
        <f t="shared" si="1803"/>
        <v>9.2054211345406056</v>
      </c>
      <c r="DN470" s="4">
        <f t="shared" si="1804"/>
        <v>0.57580583984844791</v>
      </c>
      <c r="DO470" s="4">
        <f t="shared" si="1805"/>
        <v>7.3816608504860692</v>
      </c>
      <c r="DP470" s="4">
        <f t="shared" si="1806"/>
        <v>8.3435810675533659</v>
      </c>
      <c r="DQ470" s="4">
        <f t="shared" si="1807"/>
        <v>8.8682086466934464</v>
      </c>
      <c r="DR470" s="38">
        <f t="shared" si="1808"/>
        <v>623.58176377795292</v>
      </c>
      <c r="DS470" s="4">
        <f t="shared" si="1809"/>
        <v>1</v>
      </c>
      <c r="DT470" s="4">
        <f t="shared" si="1810"/>
        <v>2.2583179581272428</v>
      </c>
      <c r="DU470" s="4">
        <f t="shared" si="1811"/>
        <v>381.41880689469161</v>
      </c>
      <c r="DY470" s="4">
        <f t="shared" si="1812"/>
        <v>0.85</v>
      </c>
      <c r="DZ470" s="4">
        <f t="shared" si="1813"/>
        <v>0.7</v>
      </c>
      <c r="EA470" s="4">
        <f t="shared" si="1814"/>
        <v>1</v>
      </c>
      <c r="EB470" s="4">
        <f t="shared" si="1815"/>
        <v>0.7</v>
      </c>
      <c r="ED470" s="4">
        <f t="shared" si="1816"/>
        <v>889.65517241379314</v>
      </c>
      <c r="EH470" s="4">
        <f t="shared" si="1817"/>
        <v>9.2054211345406056</v>
      </c>
      <c r="EK470" s="4">
        <f t="shared" si="1818"/>
        <v>57.361276136431961</v>
      </c>
      <c r="EL470" s="4">
        <f t="shared" si="1819"/>
        <v>2.2583179581272428</v>
      </c>
      <c r="EM470" s="4">
        <f t="shared" si="1820"/>
        <v>0.18922910833692116</v>
      </c>
      <c r="EP470" s="4">
        <f t="shared" si="1821"/>
        <v>0.18922910833692116</v>
      </c>
      <c r="EQ470" s="4">
        <f t="shared" si="1822"/>
        <v>0.57580583984844791</v>
      </c>
      <c r="ER470" s="4">
        <f t="shared" si="1823"/>
        <v>7.3816608504860692</v>
      </c>
      <c r="ES470" s="4">
        <f t="shared" si="1824"/>
        <v>8.3435810675533659</v>
      </c>
      <c r="ET470" s="4">
        <f t="shared" si="1825"/>
        <v>83.608723863568031</v>
      </c>
      <c r="EU470" s="4">
        <f t="shared" si="1826"/>
        <v>46.990000000000009</v>
      </c>
      <c r="EV470" s="4">
        <f t="shared" si="1827"/>
        <v>1.377787017281802E-5</v>
      </c>
      <c r="EW470" s="4">
        <f t="shared" si="1828"/>
        <v>8.8682086466934464</v>
      </c>
      <c r="EX470" s="4">
        <f t="shared" si="1829"/>
        <v>623.58176377795292</v>
      </c>
      <c r="FG470" s="23"/>
      <c r="FH470" s="23"/>
      <c r="FI470" s="23"/>
      <c r="FJ470" s="23"/>
      <c r="FK470" s="23"/>
      <c r="FL470" s="23"/>
      <c r="FM470" s="23"/>
      <c r="FN470" s="23"/>
      <c r="FX470" s="4">
        <f t="shared" si="1830"/>
        <v>1</v>
      </c>
      <c r="FY470" s="4">
        <f t="shared" si="1831"/>
        <v>1.0833333333333333</v>
      </c>
      <c r="FZ470" s="4">
        <f t="shared" si="1832"/>
        <v>0</v>
      </c>
      <c r="GA470" s="4">
        <f t="shared" si="1833"/>
        <v>166.84300191817573</v>
      </c>
    </row>
    <row r="471" spans="1:183" ht="12" customHeight="1" x14ac:dyDescent="0.3">
      <c r="A471" s="52"/>
      <c r="B471" s="14" t="s">
        <v>605</v>
      </c>
      <c r="C471" s="24"/>
      <c r="D471" s="14" t="s">
        <v>365</v>
      </c>
      <c r="E471" s="24"/>
      <c r="F471" s="43" t="s">
        <v>626</v>
      </c>
      <c r="G471" s="38">
        <f t="shared" si="1764"/>
        <v>889.65517241379314</v>
      </c>
      <c r="H471" s="45">
        <v>180.33999999999997</v>
      </c>
      <c r="I471" s="4">
        <f t="shared" si="1765"/>
        <v>180.33999999999997</v>
      </c>
      <c r="J471" s="45">
        <v>36</v>
      </c>
      <c r="K471" s="7">
        <v>25.4</v>
      </c>
      <c r="L471" s="7">
        <f t="shared" si="1766"/>
        <v>7.1</v>
      </c>
      <c r="M471" s="7">
        <f t="shared" si="1767"/>
        <v>7.1</v>
      </c>
      <c r="N471" s="45">
        <v>1219.1999999999998</v>
      </c>
      <c r="O471" s="45">
        <v>596.9</v>
      </c>
      <c r="P471" s="45">
        <v>596.9</v>
      </c>
      <c r="Q471" s="7"/>
      <c r="R471" s="38">
        <v>1</v>
      </c>
      <c r="T471" s="7">
        <f t="shared" si="1834"/>
        <v>24</v>
      </c>
      <c r="U471" s="7">
        <f t="shared" si="1768"/>
        <v>24</v>
      </c>
      <c r="V471" s="45">
        <v>9.1</v>
      </c>
      <c r="W471" s="4">
        <f t="shared" si="1769"/>
        <v>9.1</v>
      </c>
      <c r="X471" s="4">
        <f t="shared" si="1770"/>
        <v>10.1</v>
      </c>
      <c r="Y471" s="7">
        <f t="shared" si="1771"/>
        <v>80.72246279691916</v>
      </c>
      <c r="AB471" s="45">
        <v>610.34482758620697</v>
      </c>
      <c r="AE471" s="38"/>
      <c r="AF471" s="38"/>
      <c r="AG471" s="39">
        <v>1</v>
      </c>
      <c r="AH471" s="39"/>
      <c r="AI471" s="39"/>
      <c r="AK471" s="4">
        <f t="shared" si="1772"/>
        <v>180.33999999999997</v>
      </c>
      <c r="AL471" s="4">
        <f t="shared" si="1773"/>
        <v>1</v>
      </c>
      <c r="AM471" s="4">
        <f t="shared" si="1774"/>
        <v>286.76888899995987</v>
      </c>
      <c r="AN471" s="4">
        <f t="shared" si="1775"/>
        <v>1</v>
      </c>
      <c r="AO471" s="4">
        <v>1.25</v>
      </c>
      <c r="AP471" s="4">
        <v>1</v>
      </c>
      <c r="AQ471" s="38">
        <f t="shared" si="1776"/>
        <v>358.46111124994985</v>
      </c>
      <c r="AR471" s="38">
        <f t="shared" si="1835"/>
        <v>358.46111124994985</v>
      </c>
      <c r="AS471" s="38">
        <f t="shared" si="1777"/>
        <v>3.2708170670978505</v>
      </c>
      <c r="AX471" s="4">
        <f t="shared" si="1778"/>
        <v>224.21052631578945</v>
      </c>
      <c r="AY471" s="4">
        <f t="shared" si="1779"/>
        <v>1</v>
      </c>
      <c r="AZ471" s="38">
        <f t="shared" si="1780"/>
        <v>5212.7204413818317</v>
      </c>
      <c r="BA471" s="4">
        <f t="shared" si="1781"/>
        <v>0.3</v>
      </c>
      <c r="BB471" s="4">
        <f t="shared" si="1782"/>
        <v>35.144999999999989</v>
      </c>
      <c r="BC471" s="4">
        <f t="shared" si="1783"/>
        <v>5247.8654413818322</v>
      </c>
      <c r="BE471" s="4">
        <f t="shared" si="1784"/>
        <v>1.5</v>
      </c>
      <c r="BF471" s="4">
        <f t="shared" si="1785"/>
        <v>461.69999999999993</v>
      </c>
      <c r="BH471" s="4">
        <f t="shared" si="1786"/>
        <v>4999.6363774559568</v>
      </c>
      <c r="BI471" s="4">
        <f t="shared" si="1787"/>
        <v>0</v>
      </c>
      <c r="BJ471" s="4">
        <f t="shared" si="1788"/>
        <v>0</v>
      </c>
      <c r="BK471" s="4">
        <f t="shared" si="1612"/>
        <v>596.9</v>
      </c>
      <c r="BL471" s="4">
        <f t="shared" si="1613"/>
        <v>596.9</v>
      </c>
      <c r="BM471" s="4">
        <f t="shared" si="1614"/>
        <v>596.9</v>
      </c>
      <c r="BN471" s="4">
        <f t="shared" si="1615"/>
        <v>609.6</v>
      </c>
      <c r="BO471" s="4">
        <f t="shared" si="1616"/>
        <v>1</v>
      </c>
      <c r="BP471" s="25">
        <f t="shared" si="1617"/>
        <v>4</v>
      </c>
      <c r="BR471" s="4">
        <f t="shared" si="1789"/>
        <v>596.9</v>
      </c>
      <c r="BV471" s="9"/>
      <c r="BX471" s="9"/>
      <c r="BY471" s="9"/>
      <c r="BZ471" s="9">
        <f t="shared" si="1790"/>
        <v>596.9</v>
      </c>
      <c r="CA471" s="9">
        <f t="shared" si="1791"/>
        <v>596.9</v>
      </c>
      <c r="CB471" s="9">
        <f t="shared" si="1792"/>
        <v>4.8476798574163293</v>
      </c>
      <c r="CC471" s="40">
        <f t="shared" si="1793"/>
        <v>0</v>
      </c>
      <c r="CD471" s="9">
        <f t="shared" si="1794"/>
        <v>0</v>
      </c>
      <c r="CE471" s="9">
        <f t="shared" si="1795"/>
        <v>0</v>
      </c>
      <c r="CF471" s="9">
        <f t="shared" si="1796"/>
        <v>0.99524931562137331</v>
      </c>
      <c r="CG471" s="9">
        <f t="shared" si="1797"/>
        <v>0.68</v>
      </c>
      <c r="CH471" s="9">
        <f t="shared" si="1798"/>
        <v>1.4212160227073209</v>
      </c>
      <c r="CI471" s="9">
        <f t="shared" si="1799"/>
        <v>3.5530400567683023</v>
      </c>
      <c r="CJ471" s="40">
        <v>1</v>
      </c>
      <c r="CK471" s="9">
        <f t="shared" si="1800"/>
        <v>314.08874101831793</v>
      </c>
      <c r="DI471" s="4">
        <f t="shared" si="1801"/>
        <v>180.33999999999997</v>
      </c>
      <c r="DL471" s="4">
        <f t="shared" si="1802"/>
        <v>1.3219307868514583E-5</v>
      </c>
      <c r="DM471" s="4">
        <f t="shared" si="1803"/>
        <v>9.2054211345406056</v>
      </c>
      <c r="DN471" s="4">
        <f t="shared" si="1804"/>
        <v>0.34311054994209239</v>
      </c>
      <c r="DO471" s="4">
        <f t="shared" si="1805"/>
        <v>6.0009124459143566</v>
      </c>
      <c r="DP471" s="4">
        <f t="shared" si="1806"/>
        <v>7.7708713439840205</v>
      </c>
      <c r="DQ471" s="4">
        <f t="shared" si="1807"/>
        <v>8.9353684179504107</v>
      </c>
      <c r="DR471" s="38">
        <f t="shared" si="1808"/>
        <v>564.92171714795745</v>
      </c>
      <c r="DS471" s="4">
        <f t="shared" si="1809"/>
        <v>1</v>
      </c>
      <c r="DT471" s="4">
        <f t="shared" si="1810"/>
        <v>3.1780497164141401</v>
      </c>
      <c r="DU471" s="4">
        <f t="shared" si="1811"/>
        <v>358.46111124994985</v>
      </c>
      <c r="DY471" s="4">
        <f t="shared" si="1812"/>
        <v>0.85</v>
      </c>
      <c r="DZ471" s="4">
        <f t="shared" si="1813"/>
        <v>0.7</v>
      </c>
      <c r="EA471" s="4">
        <f t="shared" si="1814"/>
        <v>1</v>
      </c>
      <c r="EB471" s="4">
        <f t="shared" si="1815"/>
        <v>0.7</v>
      </c>
      <c r="ED471" s="4">
        <f t="shared" si="1816"/>
        <v>889.65517241379314</v>
      </c>
      <c r="EH471" s="4">
        <f t="shared" si="1817"/>
        <v>9.2054211345406056</v>
      </c>
      <c r="EK471" s="4">
        <f t="shared" si="1818"/>
        <v>80.72246279691916</v>
      </c>
      <c r="EL471" s="4">
        <f t="shared" si="1819"/>
        <v>3.1780497164141406</v>
      </c>
      <c r="EM471" s="4">
        <f t="shared" si="1820"/>
        <v>0.11275763275277211</v>
      </c>
      <c r="EP471" s="4">
        <f t="shared" si="1821"/>
        <v>0.11275763275277211</v>
      </c>
      <c r="EQ471" s="4">
        <f t="shared" si="1822"/>
        <v>0.34311054994209239</v>
      </c>
      <c r="ER471" s="4">
        <f t="shared" si="1823"/>
        <v>6.0009124459143566</v>
      </c>
      <c r="ES471" s="4">
        <f t="shared" si="1824"/>
        <v>7.7708713439840205</v>
      </c>
      <c r="ET471" s="4">
        <f t="shared" si="1825"/>
        <v>54.532537203080835</v>
      </c>
      <c r="EU471" s="4">
        <f t="shared" si="1826"/>
        <v>45.08499999999998</v>
      </c>
      <c r="EV471" s="4">
        <f t="shared" si="1827"/>
        <v>1.3219307868514577E-5</v>
      </c>
      <c r="EW471" s="4">
        <f t="shared" si="1828"/>
        <v>8.9353684179504107</v>
      </c>
      <c r="EX471" s="4">
        <f t="shared" si="1829"/>
        <v>564.92171714795745</v>
      </c>
      <c r="FG471" s="23"/>
      <c r="FH471" s="23"/>
      <c r="FI471" s="23"/>
      <c r="FJ471" s="23"/>
      <c r="FK471" s="23"/>
      <c r="FL471" s="23"/>
      <c r="FM471" s="23"/>
      <c r="FN471" s="23"/>
      <c r="FX471" s="4">
        <f t="shared" si="1830"/>
        <v>1</v>
      </c>
      <c r="FY471" s="4">
        <f t="shared" si="1831"/>
        <v>1.0833333333333333</v>
      </c>
      <c r="FZ471" s="4">
        <f t="shared" si="1832"/>
        <v>0</v>
      </c>
      <c r="GA471" s="4">
        <f t="shared" si="1833"/>
        <v>160.07909643500642</v>
      </c>
    </row>
    <row r="472" spans="1:183" ht="12" customHeight="1" x14ac:dyDescent="0.3">
      <c r="A472" s="52"/>
      <c r="B472" s="14" t="s">
        <v>605</v>
      </c>
      <c r="C472" s="24"/>
      <c r="D472" s="14" t="s">
        <v>365</v>
      </c>
      <c r="E472" s="24"/>
      <c r="F472" s="43" t="s">
        <v>626</v>
      </c>
      <c r="G472" s="38">
        <f t="shared" si="1764"/>
        <v>889.65517241379314</v>
      </c>
      <c r="H472" s="45">
        <v>177.79999999999998</v>
      </c>
      <c r="I472" s="4">
        <f t="shared" si="1765"/>
        <v>177.79999999999998</v>
      </c>
      <c r="J472" s="45">
        <v>36</v>
      </c>
      <c r="K472" s="7">
        <v>25.4</v>
      </c>
      <c r="L472" s="7">
        <f t="shared" si="1766"/>
        <v>7</v>
      </c>
      <c r="M472" s="7">
        <f t="shared" si="1767"/>
        <v>7</v>
      </c>
      <c r="N472" s="45">
        <v>1219.1999999999998</v>
      </c>
      <c r="O472" s="45">
        <v>596.9</v>
      </c>
      <c r="P472" s="45">
        <v>596.9</v>
      </c>
      <c r="Q472" s="7"/>
      <c r="R472" s="38">
        <v>1</v>
      </c>
      <c r="T472" s="7">
        <f t="shared" si="1834"/>
        <v>24</v>
      </c>
      <c r="U472" s="7">
        <f t="shared" si="1768"/>
        <v>24</v>
      </c>
      <c r="V472" s="45">
        <v>9.1</v>
      </c>
      <c r="W472" s="4">
        <f t="shared" si="1769"/>
        <v>9.1</v>
      </c>
      <c r="X472" s="4">
        <f t="shared" si="1770"/>
        <v>10.1</v>
      </c>
      <c r="Y472" s="7">
        <f t="shared" si="1771"/>
        <v>80.72246279691916</v>
      </c>
      <c r="AB472" s="45">
        <v>479.31034482758622</v>
      </c>
      <c r="AE472" s="38"/>
      <c r="AF472" s="38"/>
      <c r="AG472" s="39">
        <v>1</v>
      </c>
      <c r="AH472" s="39"/>
      <c r="AI472" s="39"/>
      <c r="AK472" s="4">
        <f t="shared" si="1772"/>
        <v>177.79999999999998</v>
      </c>
      <c r="AL472" s="4">
        <f t="shared" si="1773"/>
        <v>1</v>
      </c>
      <c r="AM472" s="4">
        <f t="shared" si="1774"/>
        <v>280.73177442647159</v>
      </c>
      <c r="AN472" s="4">
        <f t="shared" si="1775"/>
        <v>1</v>
      </c>
      <c r="AO472" s="4">
        <v>1.25</v>
      </c>
      <c r="AP472" s="4">
        <v>1</v>
      </c>
      <c r="AQ472" s="38">
        <f t="shared" si="1776"/>
        <v>350.91471803308946</v>
      </c>
      <c r="AR472" s="38">
        <f t="shared" si="1835"/>
        <v>350.91471803308946</v>
      </c>
      <c r="AS472" s="38">
        <f t="shared" si="1777"/>
        <v>3.2708170670978505</v>
      </c>
      <c r="AX472" s="4">
        <f t="shared" si="1778"/>
        <v>221.05263157894737</v>
      </c>
      <c r="AY472" s="4">
        <f t="shared" si="1779"/>
        <v>1</v>
      </c>
      <c r="AZ472" s="38">
        <f t="shared" si="1780"/>
        <v>5212.7204413818317</v>
      </c>
      <c r="BA472" s="4">
        <f t="shared" si="1781"/>
        <v>0.3</v>
      </c>
      <c r="BB472" s="4">
        <f t="shared" si="1782"/>
        <v>34.65</v>
      </c>
      <c r="BC472" s="4">
        <f t="shared" si="1783"/>
        <v>5247.3704413818314</v>
      </c>
      <c r="BE472" s="4">
        <f t="shared" si="1784"/>
        <v>1.5</v>
      </c>
      <c r="BF472" s="4">
        <f t="shared" si="1785"/>
        <v>459</v>
      </c>
      <c r="BH472" s="4">
        <f t="shared" si="1786"/>
        <v>4999.6363774559568</v>
      </c>
      <c r="BI472" s="4">
        <f t="shared" si="1787"/>
        <v>0</v>
      </c>
      <c r="BJ472" s="4">
        <f t="shared" si="1788"/>
        <v>0</v>
      </c>
      <c r="BK472" s="4">
        <f t="shared" si="1612"/>
        <v>596.9</v>
      </c>
      <c r="BL472" s="4">
        <f t="shared" si="1613"/>
        <v>596.9</v>
      </c>
      <c r="BM472" s="4">
        <f t="shared" si="1614"/>
        <v>596.9</v>
      </c>
      <c r="BN472" s="4">
        <f t="shared" si="1615"/>
        <v>609.6</v>
      </c>
      <c r="BO472" s="4">
        <f t="shared" si="1616"/>
        <v>1</v>
      </c>
      <c r="BP472" s="25">
        <f t="shared" si="1617"/>
        <v>4</v>
      </c>
      <c r="BR472" s="4">
        <f t="shared" si="1789"/>
        <v>596.9</v>
      </c>
      <c r="BV472" s="9"/>
      <c r="BX472" s="9"/>
      <c r="BY472" s="9"/>
      <c r="BZ472" s="9">
        <f t="shared" si="1790"/>
        <v>596.9</v>
      </c>
      <c r="CA472" s="9">
        <f t="shared" si="1791"/>
        <v>596.9</v>
      </c>
      <c r="CB472" s="9">
        <f t="shared" si="1792"/>
        <v>4.8476798574163293</v>
      </c>
      <c r="CC472" s="40">
        <f t="shared" si="1793"/>
        <v>0</v>
      </c>
      <c r="CD472" s="9">
        <f t="shared" si="1794"/>
        <v>0</v>
      </c>
      <c r="CE472" s="9">
        <f t="shared" si="1795"/>
        <v>0</v>
      </c>
      <c r="CF472" s="9">
        <f t="shared" si="1796"/>
        <v>0.99524931562137331</v>
      </c>
      <c r="CG472" s="9">
        <f t="shared" si="1797"/>
        <v>0.68</v>
      </c>
      <c r="CH472" s="9">
        <f t="shared" si="1798"/>
        <v>1.4212160227073209</v>
      </c>
      <c r="CI472" s="9">
        <f t="shared" si="1799"/>
        <v>3.5530400567683023</v>
      </c>
      <c r="CJ472" s="40">
        <v>1</v>
      </c>
      <c r="CK472" s="9">
        <f t="shared" si="1800"/>
        <v>312.66752499561062</v>
      </c>
      <c r="DI472" s="4">
        <f t="shared" si="1801"/>
        <v>177.79999999999998</v>
      </c>
      <c r="DL472" s="4">
        <f t="shared" si="1802"/>
        <v>1.3033120433746772E-5</v>
      </c>
      <c r="DM472" s="4">
        <f t="shared" si="1803"/>
        <v>9.2054211345406056</v>
      </c>
      <c r="DN472" s="4">
        <f t="shared" si="1804"/>
        <v>0.33588731973536912</v>
      </c>
      <c r="DO472" s="4">
        <f t="shared" si="1805"/>
        <v>5.9500567122923123</v>
      </c>
      <c r="DP472" s="4">
        <f t="shared" si="1806"/>
        <v>7.7513443849227031</v>
      </c>
      <c r="DQ472" s="4">
        <f t="shared" si="1807"/>
        <v>8.9445872946317113</v>
      </c>
      <c r="DR472" s="38">
        <f t="shared" si="1808"/>
        <v>553.40673407015493</v>
      </c>
      <c r="DS472" s="4">
        <f t="shared" si="1809"/>
        <v>1</v>
      </c>
      <c r="DT472" s="4">
        <f t="shared" si="1810"/>
        <v>3.1780497164141401</v>
      </c>
      <c r="DU472" s="4">
        <f t="shared" si="1811"/>
        <v>350.91471803308946</v>
      </c>
      <c r="DY472" s="4">
        <f t="shared" si="1812"/>
        <v>0.85</v>
      </c>
      <c r="DZ472" s="4">
        <f t="shared" si="1813"/>
        <v>0.7</v>
      </c>
      <c r="EA472" s="4">
        <f t="shared" si="1814"/>
        <v>1</v>
      </c>
      <c r="EB472" s="4">
        <f t="shared" si="1815"/>
        <v>0.7</v>
      </c>
      <c r="ED472" s="4">
        <f t="shared" si="1816"/>
        <v>889.65517241379314</v>
      </c>
      <c r="EH472" s="4">
        <f t="shared" si="1817"/>
        <v>9.2054211345406056</v>
      </c>
      <c r="EK472" s="4">
        <f t="shared" si="1818"/>
        <v>80.72246279691916</v>
      </c>
      <c r="EL472" s="4">
        <f t="shared" si="1819"/>
        <v>3.1780497164141406</v>
      </c>
      <c r="EM472" s="4">
        <f t="shared" si="1820"/>
        <v>0.11038383707940708</v>
      </c>
      <c r="EP472" s="4">
        <f t="shared" si="1821"/>
        <v>0.11038383707940708</v>
      </c>
      <c r="EQ472" s="4">
        <f t="shared" si="1822"/>
        <v>0.33588731973536912</v>
      </c>
      <c r="ER472" s="4">
        <f t="shared" si="1823"/>
        <v>5.9500567122923123</v>
      </c>
      <c r="ES472" s="4">
        <f t="shared" si="1824"/>
        <v>7.7513443849227031</v>
      </c>
      <c r="ET472" s="4">
        <f t="shared" si="1825"/>
        <v>52.627537203080834</v>
      </c>
      <c r="EU472" s="4">
        <f t="shared" si="1826"/>
        <v>44.449999999999989</v>
      </c>
      <c r="EV472" s="4">
        <f t="shared" si="1827"/>
        <v>1.3033120433746768E-5</v>
      </c>
      <c r="EW472" s="4">
        <f t="shared" si="1828"/>
        <v>8.9445872946317113</v>
      </c>
      <c r="EX472" s="4">
        <f t="shared" si="1829"/>
        <v>553.40673407015493</v>
      </c>
      <c r="FG472" s="23"/>
      <c r="FH472" s="23"/>
      <c r="FI472" s="23"/>
      <c r="FJ472" s="23"/>
      <c r="FK472" s="23"/>
      <c r="FL472" s="23"/>
      <c r="FM472" s="23"/>
      <c r="FN472" s="23"/>
      <c r="FX472" s="4">
        <f t="shared" si="1830"/>
        <v>1</v>
      </c>
      <c r="FY472" s="4">
        <f t="shared" si="1831"/>
        <v>1.0833333333333333</v>
      </c>
      <c r="FZ472" s="4">
        <f t="shared" si="1832"/>
        <v>0</v>
      </c>
      <c r="GA472" s="4">
        <f t="shared" si="1833"/>
        <v>157.82446127394999</v>
      </c>
    </row>
    <row r="473" spans="1:183" ht="12" customHeight="1" x14ac:dyDescent="0.3">
      <c r="A473" s="52"/>
      <c r="B473" s="14" t="s">
        <v>605</v>
      </c>
      <c r="C473" s="24"/>
      <c r="D473" s="14" t="s">
        <v>365</v>
      </c>
      <c r="E473" s="24"/>
      <c r="F473" s="43" t="s">
        <v>627</v>
      </c>
      <c r="G473" s="38">
        <f t="shared" si="1764"/>
        <v>889.65517241379314</v>
      </c>
      <c r="H473" s="45">
        <v>152.39999999999998</v>
      </c>
      <c r="I473" s="4">
        <f t="shared" si="1765"/>
        <v>152.39999999999998</v>
      </c>
      <c r="J473" s="45">
        <v>50.96551724137931</v>
      </c>
      <c r="K473" s="7">
        <v>25.4</v>
      </c>
      <c r="L473" s="7">
        <f t="shared" si="1766"/>
        <v>5.9999999999999991</v>
      </c>
      <c r="M473" s="7">
        <f t="shared" si="1767"/>
        <v>5.9999999999999991</v>
      </c>
      <c r="N473" s="45">
        <v>1219.1999999999998</v>
      </c>
      <c r="O473" s="45">
        <v>596.9</v>
      </c>
      <c r="P473" s="45">
        <v>596.9</v>
      </c>
      <c r="Q473" s="7"/>
      <c r="R473" s="38">
        <v>1</v>
      </c>
      <c r="T473" s="7">
        <f t="shared" si="1834"/>
        <v>24</v>
      </c>
      <c r="U473" s="7">
        <f t="shared" si="1768"/>
        <v>24</v>
      </c>
      <c r="V473" s="45">
        <v>4.0999999999999996</v>
      </c>
      <c r="W473" s="4">
        <f t="shared" si="1769"/>
        <v>4.0999999999999996</v>
      </c>
      <c r="X473" s="4">
        <f t="shared" si="1770"/>
        <v>5.0999999999999996</v>
      </c>
      <c r="Y473" s="7">
        <f t="shared" si="1771"/>
        <v>57.361276136431961</v>
      </c>
      <c r="AB473" s="45">
        <v>562.06896551724139</v>
      </c>
      <c r="AE473" s="38"/>
      <c r="AF473" s="38"/>
      <c r="AG473" s="39">
        <v>1</v>
      </c>
      <c r="AH473" s="39"/>
      <c r="AI473" s="39"/>
      <c r="AK473" s="4">
        <f t="shared" si="1772"/>
        <v>152.39999999999998</v>
      </c>
      <c r="AL473" s="4">
        <f t="shared" si="1773"/>
        <v>0.99999999999999989</v>
      </c>
      <c r="AM473" s="4">
        <f t="shared" si="1774"/>
        <v>265.0686425289295</v>
      </c>
      <c r="AN473" s="4">
        <f t="shared" si="1775"/>
        <v>1</v>
      </c>
      <c r="AO473" s="4">
        <v>1.25</v>
      </c>
      <c r="AP473" s="4">
        <v>1</v>
      </c>
      <c r="AQ473" s="38">
        <f t="shared" si="1776"/>
        <v>331.33580316116183</v>
      </c>
      <c r="AR473" s="38">
        <f t="shared" si="1835"/>
        <v>331.33580316116183</v>
      </c>
      <c r="AS473" s="38">
        <f t="shared" si="1777"/>
        <v>4.093765657510513</v>
      </c>
      <c r="AX473" s="4">
        <f t="shared" si="1778"/>
        <v>225.44253929385007</v>
      </c>
      <c r="AY473" s="4">
        <f t="shared" si="1779"/>
        <v>1</v>
      </c>
      <c r="AZ473" s="38">
        <f t="shared" si="1780"/>
        <v>4953.4707391259444</v>
      </c>
      <c r="BA473" s="4">
        <f t="shared" si="1781"/>
        <v>0.42600000000000005</v>
      </c>
      <c r="BB473" s="4">
        <f t="shared" si="1782"/>
        <v>50.180127608721627</v>
      </c>
      <c r="BC473" s="4">
        <f t="shared" si="1783"/>
        <v>5003.6508667346661</v>
      </c>
      <c r="BE473" s="4">
        <f t="shared" si="1784"/>
        <v>1.5</v>
      </c>
      <c r="BF473" s="4">
        <f t="shared" si="1785"/>
        <v>514.00898958997823</v>
      </c>
      <c r="BH473" s="4">
        <f t="shared" si="1786"/>
        <v>4750.9842088198866</v>
      </c>
      <c r="BI473" s="4">
        <f t="shared" si="1787"/>
        <v>0</v>
      </c>
      <c r="BJ473" s="4">
        <f t="shared" si="1788"/>
        <v>0</v>
      </c>
      <c r="BK473" s="4">
        <f t="shared" si="1612"/>
        <v>596.9</v>
      </c>
      <c r="BL473" s="4">
        <f t="shared" si="1613"/>
        <v>596.9</v>
      </c>
      <c r="BM473" s="4">
        <f t="shared" si="1614"/>
        <v>596.9</v>
      </c>
      <c r="BN473" s="4">
        <f t="shared" si="1615"/>
        <v>609.6</v>
      </c>
      <c r="BO473" s="4">
        <f t="shared" si="1616"/>
        <v>1</v>
      </c>
      <c r="BP473" s="25">
        <f t="shared" si="1617"/>
        <v>4</v>
      </c>
      <c r="BR473" s="4">
        <f t="shared" si="1789"/>
        <v>596.9</v>
      </c>
      <c r="BV473" s="9"/>
      <c r="BX473" s="9"/>
      <c r="BY473" s="9"/>
      <c r="BZ473" s="9">
        <f t="shared" si="1790"/>
        <v>596.9</v>
      </c>
      <c r="CA473" s="9">
        <f t="shared" si="1791"/>
        <v>596.9</v>
      </c>
      <c r="CB473" s="9">
        <f t="shared" si="1792"/>
        <v>4.8476798574163293</v>
      </c>
      <c r="CC473" s="40">
        <f t="shared" si="1793"/>
        <v>0</v>
      </c>
      <c r="CD473" s="9">
        <f t="shared" si="1794"/>
        <v>0</v>
      </c>
      <c r="CE473" s="9">
        <f t="shared" si="1795"/>
        <v>0</v>
      </c>
      <c r="CF473" s="9">
        <f t="shared" si="1796"/>
        <v>0.99524931562137331</v>
      </c>
      <c r="CG473" s="9">
        <f t="shared" si="1797"/>
        <v>0.68</v>
      </c>
      <c r="CH473" s="9">
        <f t="shared" si="1798"/>
        <v>1.6910134532890686</v>
      </c>
      <c r="CI473" s="9">
        <f t="shared" si="1799"/>
        <v>4.2275336332226718</v>
      </c>
      <c r="CJ473" s="40">
        <v>1</v>
      </c>
      <c r="CK473" s="9">
        <f t="shared" si="1800"/>
        <v>355.11282519070443</v>
      </c>
      <c r="DI473" s="4">
        <f t="shared" si="1801"/>
        <v>152.39999999999998</v>
      </c>
      <c r="DL473" s="4">
        <f t="shared" si="1802"/>
        <v>1.2315673098492836E-5</v>
      </c>
      <c r="DM473" s="4">
        <f t="shared" si="1803"/>
        <v>10.952938000267244</v>
      </c>
      <c r="DN473" s="4">
        <f t="shared" si="1804"/>
        <v>0.35332013969964099</v>
      </c>
      <c r="DO473" s="4">
        <f t="shared" si="1805"/>
        <v>7.2243368340770866</v>
      </c>
      <c r="DP473" s="4">
        <f t="shared" si="1806"/>
        <v>9.2786409214601537</v>
      </c>
      <c r="DQ473" s="4">
        <f t="shared" si="1807"/>
        <v>10.643904646822243</v>
      </c>
      <c r="DR473" s="38">
        <f t="shared" si="1808"/>
        <v>543.65768038041256</v>
      </c>
      <c r="DS473" s="4">
        <f t="shared" si="1809"/>
        <v>1</v>
      </c>
      <c r="DT473" s="4">
        <f t="shared" si="1810"/>
        <v>2.2583179581272428</v>
      </c>
      <c r="DU473" s="4">
        <f t="shared" si="1811"/>
        <v>331.33580316116183</v>
      </c>
      <c r="DY473" s="4">
        <f t="shared" si="1812"/>
        <v>0.85</v>
      </c>
      <c r="DZ473" s="4">
        <f t="shared" si="1813"/>
        <v>0.7</v>
      </c>
      <c r="EA473" s="4">
        <f t="shared" si="1814"/>
        <v>1</v>
      </c>
      <c r="EB473" s="4">
        <f t="shared" si="1815"/>
        <v>0.7</v>
      </c>
      <c r="ED473" s="4">
        <f t="shared" si="1816"/>
        <v>889.65517241379314</v>
      </c>
      <c r="EH473" s="4">
        <f t="shared" si="1817"/>
        <v>10.952938000267244</v>
      </c>
      <c r="EK473" s="4">
        <f t="shared" si="1818"/>
        <v>57.361276136431961</v>
      </c>
      <c r="EL473" s="4">
        <f t="shared" si="1819"/>
        <v>2.2583179581272428</v>
      </c>
      <c r="EM473" s="4">
        <f t="shared" si="1820"/>
        <v>0.13815520096222064</v>
      </c>
      <c r="EP473" s="4">
        <f t="shared" si="1821"/>
        <v>0.13815520096222064</v>
      </c>
      <c r="EQ473" s="4">
        <f t="shared" si="1822"/>
        <v>0.35332013969964099</v>
      </c>
      <c r="ER473" s="4">
        <f t="shared" si="1823"/>
        <v>7.2243368340770866</v>
      </c>
      <c r="ES473" s="4">
        <f t="shared" si="1824"/>
        <v>9.2786409214601537</v>
      </c>
      <c r="ET473" s="4">
        <f t="shared" si="1825"/>
        <v>56.938723863568022</v>
      </c>
      <c r="EU473" s="4">
        <f t="shared" si="1826"/>
        <v>38.099999999999987</v>
      </c>
      <c r="EV473" s="4">
        <f t="shared" si="1827"/>
        <v>1.2315673098492833E-5</v>
      </c>
      <c r="EW473" s="4">
        <f t="shared" si="1828"/>
        <v>10.643904646822241</v>
      </c>
      <c r="EX473" s="4">
        <f t="shared" si="1829"/>
        <v>543.65768038041256</v>
      </c>
      <c r="FG473" s="23"/>
      <c r="FH473" s="23"/>
      <c r="FI473" s="23"/>
      <c r="FJ473" s="23"/>
      <c r="FK473" s="23"/>
      <c r="FL473" s="23"/>
      <c r="FM473" s="23"/>
      <c r="FN473" s="23"/>
      <c r="FX473" s="4">
        <f t="shared" si="1830"/>
        <v>1</v>
      </c>
      <c r="FY473" s="4">
        <f t="shared" si="1831"/>
        <v>1.0833333333333333</v>
      </c>
      <c r="FZ473" s="4">
        <f t="shared" si="1832"/>
        <v>0</v>
      </c>
      <c r="GA473" s="4">
        <f t="shared" si="1833"/>
        <v>147.56080295276789</v>
      </c>
    </row>
    <row r="474" spans="1:183" ht="12" customHeight="1" x14ac:dyDescent="0.3">
      <c r="A474" s="52"/>
      <c r="B474" s="14" t="s">
        <v>605</v>
      </c>
      <c r="C474" s="24"/>
      <c r="D474" s="14" t="s">
        <v>365</v>
      </c>
      <c r="E474" s="24"/>
      <c r="F474" s="43" t="s">
        <v>628</v>
      </c>
      <c r="G474" s="38">
        <f t="shared" si="1764"/>
        <v>889.65517241379314</v>
      </c>
      <c r="H474" s="45">
        <v>152.39999999999998</v>
      </c>
      <c r="I474" s="4">
        <f t="shared" si="1765"/>
        <v>152.39999999999998</v>
      </c>
      <c r="J474" s="45">
        <v>50.96551724137931</v>
      </c>
      <c r="K474" s="7">
        <v>25.4</v>
      </c>
      <c r="L474" s="7">
        <f t="shared" si="1766"/>
        <v>5.9999999999999991</v>
      </c>
      <c r="M474" s="7">
        <f t="shared" si="1767"/>
        <v>5.9999999999999991</v>
      </c>
      <c r="N474" s="45">
        <v>1219.1999999999998</v>
      </c>
      <c r="O474" s="45">
        <v>596.9</v>
      </c>
      <c r="P474" s="45">
        <v>596.9</v>
      </c>
      <c r="Q474" s="7"/>
      <c r="R474" s="38">
        <v>1</v>
      </c>
      <c r="T474" s="7">
        <f t="shared" si="1834"/>
        <v>24</v>
      </c>
      <c r="U474" s="7">
        <f t="shared" si="1768"/>
        <v>24</v>
      </c>
      <c r="V474" s="45">
        <v>9.1</v>
      </c>
      <c r="W474" s="4">
        <f t="shared" si="1769"/>
        <v>9.1</v>
      </c>
      <c r="X474" s="4">
        <f t="shared" si="1770"/>
        <v>10.1</v>
      </c>
      <c r="Y474" s="7">
        <f t="shared" si="1771"/>
        <v>80.72246279691916</v>
      </c>
      <c r="AB474" s="45">
        <v>567.58620689655174</v>
      </c>
      <c r="AE474" s="38"/>
      <c r="AF474" s="38"/>
      <c r="AG474" s="39">
        <v>1</v>
      </c>
      <c r="AH474" s="39"/>
      <c r="AI474" s="39"/>
      <c r="AK474" s="4">
        <f t="shared" si="1772"/>
        <v>152.39999999999998</v>
      </c>
      <c r="AL474" s="4">
        <f t="shared" si="1773"/>
        <v>0.99999999999999989</v>
      </c>
      <c r="AM474" s="4">
        <f t="shared" si="1774"/>
        <v>265.0686425289295</v>
      </c>
      <c r="AN474" s="4">
        <f t="shared" si="1775"/>
        <v>1</v>
      </c>
      <c r="AO474" s="4">
        <v>1.25</v>
      </c>
      <c r="AP474" s="4">
        <v>1</v>
      </c>
      <c r="AQ474" s="38">
        <f t="shared" si="1776"/>
        <v>331.33580316116183</v>
      </c>
      <c r="AR474" s="38">
        <f t="shared" si="1835"/>
        <v>331.33580316116183</v>
      </c>
      <c r="AS474" s="38">
        <f t="shared" si="1777"/>
        <v>4.093765657510513</v>
      </c>
      <c r="AX474" s="4">
        <f t="shared" si="1778"/>
        <v>225.44253929385007</v>
      </c>
      <c r="AY474" s="4">
        <f t="shared" si="1779"/>
        <v>1</v>
      </c>
      <c r="AZ474" s="38">
        <f t="shared" si="1780"/>
        <v>7379.6942647148926</v>
      </c>
      <c r="BA474" s="4">
        <f t="shared" si="1781"/>
        <v>0.3</v>
      </c>
      <c r="BB474" s="4">
        <f t="shared" si="1782"/>
        <v>35.338118034310995</v>
      </c>
      <c r="BC474" s="4">
        <f t="shared" si="1783"/>
        <v>7415.0323827492039</v>
      </c>
      <c r="BE474" s="4">
        <f t="shared" si="1784"/>
        <v>1.5</v>
      </c>
      <c r="BF474" s="4">
        <f t="shared" si="1785"/>
        <v>514.00898958997823</v>
      </c>
      <c r="BH474" s="4">
        <f t="shared" si="1786"/>
        <v>7078.029277662743</v>
      </c>
      <c r="BI474" s="4">
        <f t="shared" si="1787"/>
        <v>0</v>
      </c>
      <c r="BJ474" s="4">
        <f t="shared" si="1788"/>
        <v>0</v>
      </c>
      <c r="BK474" s="4">
        <f t="shared" si="1612"/>
        <v>596.9</v>
      </c>
      <c r="BL474" s="4">
        <f t="shared" si="1613"/>
        <v>596.9</v>
      </c>
      <c r="BM474" s="4">
        <f t="shared" si="1614"/>
        <v>596.9</v>
      </c>
      <c r="BN474" s="4">
        <f t="shared" si="1615"/>
        <v>609.6</v>
      </c>
      <c r="BO474" s="4">
        <f t="shared" si="1616"/>
        <v>1</v>
      </c>
      <c r="BP474" s="25">
        <f t="shared" si="1617"/>
        <v>4</v>
      </c>
      <c r="BR474" s="4">
        <f t="shared" si="1789"/>
        <v>596.9</v>
      </c>
      <c r="BV474" s="9"/>
      <c r="BX474" s="9"/>
      <c r="BY474" s="9"/>
      <c r="BZ474" s="9">
        <f t="shared" si="1790"/>
        <v>596.9</v>
      </c>
      <c r="CA474" s="9">
        <f t="shared" si="1791"/>
        <v>596.9</v>
      </c>
      <c r="CB474" s="9">
        <f t="shared" si="1792"/>
        <v>4.8476798574163293</v>
      </c>
      <c r="CC474" s="40">
        <f t="shared" si="1793"/>
        <v>0</v>
      </c>
      <c r="CD474" s="9">
        <f t="shared" si="1794"/>
        <v>0</v>
      </c>
      <c r="CE474" s="9">
        <f t="shared" si="1795"/>
        <v>0</v>
      </c>
      <c r="CF474" s="9">
        <f t="shared" si="1796"/>
        <v>0.99524931562137331</v>
      </c>
      <c r="CG474" s="9">
        <f t="shared" si="1797"/>
        <v>0.68</v>
      </c>
      <c r="CH474" s="9">
        <f t="shared" si="1798"/>
        <v>1.6910134532890686</v>
      </c>
      <c r="CI474" s="9">
        <f t="shared" si="1799"/>
        <v>4.2275336332226718</v>
      </c>
      <c r="CJ474" s="40">
        <v>1</v>
      </c>
      <c r="CK474" s="9">
        <f t="shared" si="1800"/>
        <v>355.11282519070443</v>
      </c>
      <c r="DI474" s="4">
        <f t="shared" si="1801"/>
        <v>152.39999999999998</v>
      </c>
      <c r="DL474" s="4">
        <f t="shared" si="1802"/>
        <v>1.2315673098492836E-5</v>
      </c>
      <c r="DM474" s="4">
        <f t="shared" si="1803"/>
        <v>10.952938000267244</v>
      </c>
      <c r="DN474" s="4">
        <f t="shared" si="1804"/>
        <v>0.2240198265930059</v>
      </c>
      <c r="DO474" s="4">
        <f t="shared" si="1805"/>
        <v>6.0206753837110494</v>
      </c>
      <c r="DP474" s="4">
        <f t="shared" si="1806"/>
        <v>8.8406045061947474</v>
      </c>
      <c r="DQ474" s="4">
        <f t="shared" si="1807"/>
        <v>10.68681250650315</v>
      </c>
      <c r="DR474" s="38">
        <f t="shared" si="1808"/>
        <v>518.74005951961703</v>
      </c>
      <c r="DS474" s="4">
        <f t="shared" si="1809"/>
        <v>1</v>
      </c>
      <c r="DT474" s="4">
        <f t="shared" si="1810"/>
        <v>3.1780497164141401</v>
      </c>
      <c r="DU474" s="4">
        <f t="shared" si="1811"/>
        <v>331.33580316116183</v>
      </c>
      <c r="DY474" s="4">
        <f t="shared" si="1812"/>
        <v>0.85</v>
      </c>
      <c r="DZ474" s="4">
        <f t="shared" si="1813"/>
        <v>0.7</v>
      </c>
      <c r="EA474" s="4">
        <f t="shared" si="1814"/>
        <v>1</v>
      </c>
      <c r="EB474" s="4">
        <f t="shared" si="1815"/>
        <v>0.7</v>
      </c>
      <c r="ED474" s="4">
        <f t="shared" si="1816"/>
        <v>889.65517241379314</v>
      </c>
      <c r="EH474" s="4">
        <f t="shared" si="1817"/>
        <v>10.952938000267244</v>
      </c>
      <c r="EK474" s="4">
        <f t="shared" si="1818"/>
        <v>80.72246279691916</v>
      </c>
      <c r="EL474" s="4">
        <f t="shared" si="1819"/>
        <v>3.1780497164141406</v>
      </c>
      <c r="EM474" s="4">
        <f t="shared" si="1820"/>
        <v>8.7596207192686099E-2</v>
      </c>
      <c r="EP474" s="4">
        <f t="shared" si="1821"/>
        <v>8.7596207192686099E-2</v>
      </c>
      <c r="EQ474" s="4">
        <f t="shared" si="1822"/>
        <v>0.2240198265930059</v>
      </c>
      <c r="ER474" s="4">
        <f t="shared" si="1823"/>
        <v>6.0206753837110494</v>
      </c>
      <c r="ES474" s="4">
        <f t="shared" si="1824"/>
        <v>8.8406045061947474</v>
      </c>
      <c r="ET474" s="4">
        <f t="shared" si="1825"/>
        <v>33.577537203080823</v>
      </c>
      <c r="EU474" s="4">
        <f t="shared" si="1826"/>
        <v>38.099999999999994</v>
      </c>
      <c r="EV474" s="4">
        <f t="shared" si="1827"/>
        <v>1.2315673098492836E-5</v>
      </c>
      <c r="EW474" s="4">
        <f t="shared" si="1828"/>
        <v>10.686812506503149</v>
      </c>
      <c r="EX474" s="4">
        <f t="shared" si="1829"/>
        <v>518.74005951961703</v>
      </c>
      <c r="FG474" s="23"/>
      <c r="FH474" s="23"/>
      <c r="FI474" s="23"/>
      <c r="FJ474" s="23"/>
      <c r="FK474" s="23"/>
      <c r="FL474" s="23"/>
      <c r="FM474" s="23"/>
      <c r="FN474" s="23"/>
      <c r="FX474" s="4">
        <f t="shared" si="1830"/>
        <v>1</v>
      </c>
      <c r="FY474" s="4">
        <f t="shared" si="1831"/>
        <v>1.0833333333333333</v>
      </c>
      <c r="FZ474" s="4">
        <f t="shared" si="1832"/>
        <v>0</v>
      </c>
      <c r="GA474" s="4">
        <f t="shared" si="1833"/>
        <v>147.56080295276789</v>
      </c>
    </row>
    <row r="475" spans="1:183" ht="12" customHeight="1" x14ac:dyDescent="0.3">
      <c r="A475" s="52"/>
      <c r="B475" s="14" t="s">
        <v>605</v>
      </c>
      <c r="C475" s="24"/>
      <c r="D475" s="14" t="s">
        <v>365</v>
      </c>
      <c r="E475" s="24"/>
      <c r="F475" s="43" t="s">
        <v>629</v>
      </c>
      <c r="G475" s="38">
        <f t="shared" si="1764"/>
        <v>889.65517241379314</v>
      </c>
      <c r="H475" s="45">
        <v>154.93999999999997</v>
      </c>
      <c r="I475" s="4">
        <f t="shared" si="1765"/>
        <v>154.93999999999997</v>
      </c>
      <c r="J475" s="45">
        <v>50.96551724137931</v>
      </c>
      <c r="K475" s="7">
        <v>25.4</v>
      </c>
      <c r="L475" s="7">
        <f t="shared" si="1766"/>
        <v>6.0999999999999988</v>
      </c>
      <c r="M475" s="7">
        <f t="shared" si="1767"/>
        <v>6.0999999999999988</v>
      </c>
      <c r="N475" s="45">
        <v>1219.1999999999998</v>
      </c>
      <c r="O475" s="45">
        <v>596.9</v>
      </c>
      <c r="P475" s="45">
        <v>596.9</v>
      </c>
      <c r="Q475" s="7"/>
      <c r="R475" s="38">
        <v>1</v>
      </c>
      <c r="T475" s="7">
        <f t="shared" si="1834"/>
        <v>24</v>
      </c>
      <c r="U475" s="7">
        <f t="shared" si="1768"/>
        <v>24</v>
      </c>
      <c r="V475" s="45">
        <v>4</v>
      </c>
      <c r="W475" s="4">
        <f t="shared" si="1769"/>
        <v>4</v>
      </c>
      <c r="X475" s="4">
        <f t="shared" si="1770"/>
        <v>5</v>
      </c>
      <c r="Y475" s="7">
        <f t="shared" si="1771"/>
        <v>56.796126628494655</v>
      </c>
      <c r="AB475" s="45">
        <v>528.27586206896547</v>
      </c>
      <c r="AE475" s="38"/>
      <c r="AF475" s="38"/>
      <c r="AG475" s="39">
        <v>1</v>
      </c>
      <c r="AH475" s="39"/>
      <c r="AI475" s="39"/>
      <c r="AK475" s="4">
        <f t="shared" si="1772"/>
        <v>154.93999999999997</v>
      </c>
      <c r="AL475" s="4">
        <f t="shared" si="1773"/>
        <v>1</v>
      </c>
      <c r="AM475" s="4">
        <f t="shared" si="1774"/>
        <v>271.72289368638678</v>
      </c>
      <c r="AN475" s="4">
        <f t="shared" si="1775"/>
        <v>1</v>
      </c>
      <c r="AO475" s="4">
        <v>1.25</v>
      </c>
      <c r="AP475" s="4">
        <v>1</v>
      </c>
      <c r="AQ475" s="38">
        <f t="shared" si="1776"/>
        <v>339.65361710798345</v>
      </c>
      <c r="AR475" s="38">
        <f t="shared" si="1835"/>
        <v>339.65361710798345</v>
      </c>
      <c r="AS475" s="38">
        <f t="shared" si="1777"/>
        <v>4.093765657510513</v>
      </c>
      <c r="AX475" s="4">
        <f t="shared" si="1778"/>
        <v>229.19991494874753</v>
      </c>
      <c r="AY475" s="4">
        <f t="shared" si="1779"/>
        <v>1</v>
      </c>
      <c r="AZ475" s="38">
        <f t="shared" si="1780"/>
        <v>4892.6896551724139</v>
      </c>
      <c r="BA475" s="4">
        <f t="shared" si="1781"/>
        <v>0.44000000000000006</v>
      </c>
      <c r="BB475" s="4">
        <f t="shared" si="1782"/>
        <v>52.69306044671707</v>
      </c>
      <c r="BC475" s="4">
        <f t="shared" si="1783"/>
        <v>4945.382715619131</v>
      </c>
      <c r="BE475" s="4">
        <f t="shared" si="1784"/>
        <v>1.5</v>
      </c>
      <c r="BF475" s="4">
        <f t="shared" si="1785"/>
        <v>517.22154577491551</v>
      </c>
      <c r="BH475" s="4">
        <f t="shared" si="1786"/>
        <v>4692.6877162662367</v>
      </c>
      <c r="BI475" s="4">
        <f t="shared" si="1787"/>
        <v>0</v>
      </c>
      <c r="BJ475" s="4">
        <f t="shared" si="1788"/>
        <v>0</v>
      </c>
      <c r="BK475" s="4">
        <f t="shared" si="1612"/>
        <v>596.9</v>
      </c>
      <c r="BL475" s="4">
        <f t="shared" si="1613"/>
        <v>596.9</v>
      </c>
      <c r="BM475" s="4">
        <f t="shared" si="1614"/>
        <v>596.9</v>
      </c>
      <c r="BN475" s="4">
        <f t="shared" si="1615"/>
        <v>609.6</v>
      </c>
      <c r="BO475" s="4">
        <f t="shared" si="1616"/>
        <v>1</v>
      </c>
      <c r="BP475" s="25">
        <f t="shared" si="1617"/>
        <v>4</v>
      </c>
      <c r="BR475" s="4">
        <f t="shared" si="1789"/>
        <v>596.9</v>
      </c>
      <c r="BV475" s="9"/>
      <c r="BX475" s="9"/>
      <c r="BY475" s="9"/>
      <c r="BZ475" s="9">
        <f t="shared" si="1790"/>
        <v>596.9</v>
      </c>
      <c r="CA475" s="9">
        <f t="shared" si="1791"/>
        <v>596.9</v>
      </c>
      <c r="CB475" s="9">
        <f t="shared" si="1792"/>
        <v>4.8476798574163293</v>
      </c>
      <c r="CC475" s="40">
        <f t="shared" si="1793"/>
        <v>0</v>
      </c>
      <c r="CD475" s="9">
        <f t="shared" si="1794"/>
        <v>0</v>
      </c>
      <c r="CE475" s="9">
        <f t="shared" si="1795"/>
        <v>0</v>
      </c>
      <c r="CF475" s="9">
        <f t="shared" si="1796"/>
        <v>0.99524931562137331</v>
      </c>
      <c r="CG475" s="9">
        <f t="shared" si="1797"/>
        <v>0.68</v>
      </c>
      <c r="CH475" s="9">
        <f t="shared" si="1798"/>
        <v>1.6910134532890686</v>
      </c>
      <c r="CI475" s="9">
        <f t="shared" si="1799"/>
        <v>4.2275336332226718</v>
      </c>
      <c r="CJ475" s="40">
        <v>1</v>
      </c>
      <c r="CK475" s="9">
        <f t="shared" si="1800"/>
        <v>356.80383864399346</v>
      </c>
      <c r="DI475" s="4">
        <f t="shared" si="1801"/>
        <v>154.93999999999997</v>
      </c>
      <c r="DL475" s="4">
        <f t="shared" si="1802"/>
        <v>1.2520934316801049E-5</v>
      </c>
      <c r="DM475" s="4">
        <f t="shared" si="1803"/>
        <v>10.952938000267244</v>
      </c>
      <c r="DN475" s="4">
        <f t="shared" si="1804"/>
        <v>0.36758692053052205</v>
      </c>
      <c r="DO475" s="4">
        <f t="shared" si="1805"/>
        <v>7.3396381486517051</v>
      </c>
      <c r="DP475" s="4">
        <f t="shared" si="1806"/>
        <v>9.3236788279505589</v>
      </c>
      <c r="DQ475" s="4">
        <f t="shared" si="1807"/>
        <v>10.630203294189718</v>
      </c>
      <c r="DR475" s="38">
        <f t="shared" si="1808"/>
        <v>557.37538043788754</v>
      </c>
      <c r="DS475" s="4">
        <f t="shared" si="1809"/>
        <v>1</v>
      </c>
      <c r="DT475" s="4">
        <f t="shared" si="1810"/>
        <v>2.2360679774997898</v>
      </c>
      <c r="DU475" s="4">
        <f t="shared" si="1811"/>
        <v>339.65361710798345</v>
      </c>
      <c r="DY475" s="4">
        <f t="shared" si="1812"/>
        <v>0.85</v>
      </c>
      <c r="DZ475" s="4">
        <f t="shared" si="1813"/>
        <v>0.7</v>
      </c>
      <c r="EA475" s="4">
        <f t="shared" si="1814"/>
        <v>1</v>
      </c>
      <c r="EB475" s="4">
        <f t="shared" si="1815"/>
        <v>0.7</v>
      </c>
      <c r="ED475" s="4">
        <f t="shared" si="1816"/>
        <v>889.65517241379314</v>
      </c>
      <c r="EH475" s="4">
        <f t="shared" si="1817"/>
        <v>10.952938000267244</v>
      </c>
      <c r="EK475" s="4">
        <f t="shared" si="1818"/>
        <v>56.796126628494655</v>
      </c>
      <c r="EL475" s="4">
        <f t="shared" si="1819"/>
        <v>2.2360679774997898</v>
      </c>
      <c r="EM475" s="4">
        <f t="shared" si="1820"/>
        <v>0.14373379598499492</v>
      </c>
      <c r="EP475" s="4">
        <f t="shared" si="1821"/>
        <v>0.14373379598499492</v>
      </c>
      <c r="EQ475" s="4">
        <f t="shared" si="1822"/>
        <v>0.36758692053052205</v>
      </c>
      <c r="ER475" s="4">
        <f t="shared" si="1823"/>
        <v>7.3396381486517051</v>
      </c>
      <c r="ES475" s="4">
        <f t="shared" si="1824"/>
        <v>9.3236788279505589</v>
      </c>
      <c r="ET475" s="4">
        <f t="shared" si="1825"/>
        <v>59.408873371505329</v>
      </c>
      <c r="EU475" s="4">
        <f t="shared" si="1826"/>
        <v>38.734999999999992</v>
      </c>
      <c r="EV475" s="4">
        <f t="shared" si="1827"/>
        <v>1.2520934316801049E-5</v>
      </c>
      <c r="EW475" s="4">
        <f t="shared" si="1828"/>
        <v>10.630203294189718</v>
      </c>
      <c r="EX475" s="4">
        <f t="shared" si="1829"/>
        <v>557.37538043788754</v>
      </c>
      <c r="FG475" s="23"/>
      <c r="FH475" s="23"/>
      <c r="FI475" s="23"/>
      <c r="FJ475" s="23"/>
      <c r="FK475" s="23"/>
      <c r="FL475" s="23"/>
      <c r="FM475" s="23"/>
      <c r="FN475" s="23"/>
      <c r="FX475" s="4">
        <f t="shared" si="1830"/>
        <v>1</v>
      </c>
      <c r="FY475" s="4">
        <f t="shared" si="1831"/>
        <v>1.0833333333333333</v>
      </c>
      <c r="FZ475" s="4">
        <f t="shared" si="1832"/>
        <v>0</v>
      </c>
      <c r="GA475" s="4">
        <f t="shared" si="1833"/>
        <v>150.02014966864735</v>
      </c>
    </row>
    <row r="476" spans="1:183" ht="12" customHeight="1" x14ac:dyDescent="0.3">
      <c r="A476" s="52"/>
      <c r="B476" s="14" t="s">
        <v>605</v>
      </c>
      <c r="C476" s="24"/>
      <c r="D476" s="14" t="s">
        <v>365</v>
      </c>
      <c r="E476" s="24"/>
      <c r="F476" s="43" t="s">
        <v>630</v>
      </c>
      <c r="G476" s="38">
        <f t="shared" si="1764"/>
        <v>889.65517241379314</v>
      </c>
      <c r="H476" s="45">
        <v>154.93999999999997</v>
      </c>
      <c r="I476" s="4">
        <f t="shared" si="1765"/>
        <v>154.93999999999997</v>
      </c>
      <c r="J476" s="45">
        <v>50.96551724137931</v>
      </c>
      <c r="K476" s="7">
        <v>25.4</v>
      </c>
      <c r="L476" s="7">
        <f t="shared" si="1766"/>
        <v>6.0999999999999988</v>
      </c>
      <c r="M476" s="7">
        <f t="shared" si="1767"/>
        <v>6.0999999999999988</v>
      </c>
      <c r="N476" s="45">
        <v>1219.1999999999998</v>
      </c>
      <c r="O476" s="45">
        <v>596.9</v>
      </c>
      <c r="P476" s="45">
        <v>596.9</v>
      </c>
      <c r="Q476" s="7"/>
      <c r="R476" s="38">
        <v>1</v>
      </c>
      <c r="T476" s="7">
        <f t="shared" si="1834"/>
        <v>24</v>
      </c>
      <c r="U476" s="7">
        <f t="shared" si="1768"/>
        <v>24</v>
      </c>
      <c r="V476" s="45">
        <v>9.5</v>
      </c>
      <c r="W476" s="4">
        <f t="shared" si="1769"/>
        <v>9.5</v>
      </c>
      <c r="X476" s="4">
        <f t="shared" si="1770"/>
        <v>10.5</v>
      </c>
      <c r="Y476" s="7">
        <f t="shared" si="1771"/>
        <v>82.305406869779816</v>
      </c>
      <c r="AB476" s="45">
        <v>503.44827586206901</v>
      </c>
      <c r="AE476" s="38"/>
      <c r="AF476" s="38"/>
      <c r="AG476" s="39">
        <v>1</v>
      </c>
      <c r="AH476" s="39"/>
      <c r="AI476" s="39"/>
      <c r="AK476" s="4">
        <f t="shared" si="1772"/>
        <v>154.93999999999997</v>
      </c>
      <c r="AL476" s="4">
        <f t="shared" si="1773"/>
        <v>1</v>
      </c>
      <c r="AM476" s="4">
        <f t="shared" si="1774"/>
        <v>271.72289368638678</v>
      </c>
      <c r="AN476" s="4">
        <f t="shared" si="1775"/>
        <v>1</v>
      </c>
      <c r="AO476" s="4">
        <v>1.25</v>
      </c>
      <c r="AP476" s="4">
        <v>1</v>
      </c>
      <c r="AQ476" s="38">
        <f t="shared" si="1776"/>
        <v>339.65361710798345</v>
      </c>
      <c r="AR476" s="38">
        <f t="shared" si="1835"/>
        <v>339.65361710798345</v>
      </c>
      <c r="AS476" s="38">
        <f t="shared" si="1777"/>
        <v>4.093765657510513</v>
      </c>
      <c r="AX476" s="4">
        <f t="shared" si="1778"/>
        <v>229.19991494874753</v>
      </c>
      <c r="AY476" s="4">
        <f t="shared" si="1779"/>
        <v>1</v>
      </c>
      <c r="AZ476" s="38">
        <f t="shared" si="1780"/>
        <v>7540.1411556315707</v>
      </c>
      <c r="BA476" s="4">
        <f t="shared" si="1781"/>
        <v>0.3</v>
      </c>
      <c r="BB476" s="4">
        <f t="shared" si="1782"/>
        <v>35.927086668216177</v>
      </c>
      <c r="BC476" s="4">
        <f t="shared" si="1783"/>
        <v>7576.068242299787</v>
      </c>
      <c r="BE476" s="4">
        <f t="shared" si="1784"/>
        <v>1.5</v>
      </c>
      <c r="BF476" s="4">
        <f t="shared" si="1785"/>
        <v>517.22154577491551</v>
      </c>
      <c r="BH476" s="4">
        <f t="shared" si="1786"/>
        <v>7231.9174674280239</v>
      </c>
      <c r="BI476" s="4">
        <f t="shared" si="1787"/>
        <v>0</v>
      </c>
      <c r="BJ476" s="4">
        <f t="shared" si="1788"/>
        <v>0</v>
      </c>
      <c r="BK476" s="4">
        <f t="shared" si="1612"/>
        <v>596.9</v>
      </c>
      <c r="BL476" s="4">
        <f t="shared" si="1613"/>
        <v>596.9</v>
      </c>
      <c r="BM476" s="4">
        <f t="shared" si="1614"/>
        <v>596.9</v>
      </c>
      <c r="BN476" s="4">
        <f t="shared" si="1615"/>
        <v>609.6</v>
      </c>
      <c r="BO476" s="4">
        <f t="shared" si="1616"/>
        <v>1</v>
      </c>
      <c r="BP476" s="25">
        <f t="shared" si="1617"/>
        <v>4</v>
      </c>
      <c r="BR476" s="4">
        <f t="shared" si="1789"/>
        <v>596.9</v>
      </c>
      <c r="BV476" s="9"/>
      <c r="BX476" s="9"/>
      <c r="BY476" s="9"/>
      <c r="BZ476" s="9">
        <f t="shared" si="1790"/>
        <v>596.9</v>
      </c>
      <c r="CA476" s="9">
        <f t="shared" si="1791"/>
        <v>596.9</v>
      </c>
      <c r="CB476" s="9">
        <f t="shared" si="1792"/>
        <v>4.8476798574163293</v>
      </c>
      <c r="CC476" s="40">
        <f t="shared" si="1793"/>
        <v>0</v>
      </c>
      <c r="CD476" s="9">
        <f t="shared" si="1794"/>
        <v>0</v>
      </c>
      <c r="CE476" s="9">
        <f t="shared" si="1795"/>
        <v>0</v>
      </c>
      <c r="CF476" s="9">
        <f t="shared" si="1796"/>
        <v>0.99524931562137331</v>
      </c>
      <c r="CG476" s="9">
        <f t="shared" si="1797"/>
        <v>0.68</v>
      </c>
      <c r="CH476" s="9">
        <f t="shared" si="1798"/>
        <v>1.6910134532890686</v>
      </c>
      <c r="CI476" s="9">
        <f t="shared" si="1799"/>
        <v>4.2275336332226718</v>
      </c>
      <c r="CJ476" s="40">
        <v>1</v>
      </c>
      <c r="CK476" s="9">
        <f t="shared" si="1800"/>
        <v>356.80383864399346</v>
      </c>
      <c r="DI476" s="4">
        <f t="shared" si="1801"/>
        <v>154.93999999999997</v>
      </c>
      <c r="DL476" s="4">
        <f t="shared" si="1802"/>
        <v>1.2520934316801049E-5</v>
      </c>
      <c r="DM476" s="4">
        <f t="shared" si="1803"/>
        <v>10.952938000267244</v>
      </c>
      <c r="DN476" s="4">
        <f t="shared" si="1804"/>
        <v>0.22428802325807964</v>
      </c>
      <c r="DO476" s="4">
        <f t="shared" si="1805"/>
        <v>6.0235575312584908</v>
      </c>
      <c r="DP476" s="4">
        <f t="shared" si="1806"/>
        <v>8.841578977482591</v>
      </c>
      <c r="DQ476" s="4">
        <f t="shared" si="1807"/>
        <v>10.678024043481885</v>
      </c>
      <c r="DR476" s="38">
        <f t="shared" si="1808"/>
        <v>530.0647265100929</v>
      </c>
      <c r="DS476" s="4">
        <f t="shared" si="1809"/>
        <v>1</v>
      </c>
      <c r="DT476" s="4">
        <f t="shared" si="1810"/>
        <v>3.2403703492039297</v>
      </c>
      <c r="DU476" s="4">
        <f t="shared" si="1811"/>
        <v>339.65361710798345</v>
      </c>
      <c r="DY476" s="4">
        <f t="shared" si="1812"/>
        <v>0.85</v>
      </c>
      <c r="DZ476" s="4">
        <f t="shared" si="1813"/>
        <v>0.7</v>
      </c>
      <c r="EA476" s="4">
        <f t="shared" si="1814"/>
        <v>1</v>
      </c>
      <c r="EB476" s="4">
        <f t="shared" si="1815"/>
        <v>0.7</v>
      </c>
      <c r="ED476" s="4">
        <f t="shared" si="1816"/>
        <v>889.65517241379314</v>
      </c>
      <c r="EH476" s="4">
        <f t="shared" si="1817"/>
        <v>10.952938000267244</v>
      </c>
      <c r="EK476" s="4">
        <f t="shared" si="1818"/>
        <v>82.305406869779816</v>
      </c>
      <c r="EL476" s="4">
        <f t="shared" si="1819"/>
        <v>3.2403703492039302</v>
      </c>
      <c r="EM476" s="4">
        <f t="shared" si="1820"/>
        <v>8.7701077422252291E-2</v>
      </c>
      <c r="EP476" s="4">
        <f t="shared" si="1821"/>
        <v>8.7701077422252291E-2</v>
      </c>
      <c r="EQ476" s="4">
        <f t="shared" si="1822"/>
        <v>0.22428802325807964</v>
      </c>
      <c r="ER476" s="4">
        <f t="shared" si="1823"/>
        <v>6.0235575312584908</v>
      </c>
      <c r="ES476" s="4">
        <f t="shared" si="1824"/>
        <v>8.841578977482591</v>
      </c>
      <c r="ET476" s="4">
        <f t="shared" si="1825"/>
        <v>33.899593130220168</v>
      </c>
      <c r="EU476" s="4">
        <f t="shared" si="1826"/>
        <v>38.734999999999985</v>
      </c>
      <c r="EV476" s="4">
        <f t="shared" si="1827"/>
        <v>1.2520934316801048E-5</v>
      </c>
      <c r="EW476" s="4">
        <f t="shared" si="1828"/>
        <v>10.678024043481887</v>
      </c>
      <c r="EX476" s="4">
        <f t="shared" si="1829"/>
        <v>530.0647265100929</v>
      </c>
      <c r="FG476" s="23"/>
      <c r="FH476" s="23"/>
      <c r="FI476" s="23"/>
      <c r="FJ476" s="23"/>
      <c r="FK476" s="23"/>
      <c r="FL476" s="23"/>
      <c r="FM476" s="23"/>
      <c r="FN476" s="23"/>
      <c r="FX476" s="4">
        <f t="shared" si="1830"/>
        <v>1</v>
      </c>
      <c r="FY476" s="4">
        <f t="shared" si="1831"/>
        <v>1.0833333333333333</v>
      </c>
      <c r="FZ476" s="4">
        <f t="shared" si="1832"/>
        <v>0</v>
      </c>
      <c r="GA476" s="4">
        <f t="shared" si="1833"/>
        <v>150.02014966864735</v>
      </c>
    </row>
    <row r="477" spans="1:183" ht="12" customHeight="1" x14ac:dyDescent="0.3">
      <c r="A477" s="52"/>
      <c r="B477" s="14" t="s">
        <v>605</v>
      </c>
      <c r="C477" s="24"/>
      <c r="D477" s="14" t="s">
        <v>365</v>
      </c>
      <c r="E477" s="24"/>
      <c r="F477" s="43" t="s">
        <v>631</v>
      </c>
      <c r="G477" s="38">
        <f t="shared" si="1764"/>
        <v>889.65517241379314</v>
      </c>
      <c r="H477" s="45">
        <v>160.01999999999998</v>
      </c>
      <c r="I477" s="4">
        <f t="shared" si="1765"/>
        <v>160.01999999999998</v>
      </c>
      <c r="J477" s="45">
        <v>59.448275862068968</v>
      </c>
      <c r="K477" s="7">
        <v>25.4</v>
      </c>
      <c r="L477" s="7">
        <f t="shared" si="1766"/>
        <v>6.3</v>
      </c>
      <c r="M477" s="7">
        <f t="shared" si="1767"/>
        <v>6.3</v>
      </c>
      <c r="N477" s="45">
        <v>1219.1999999999998</v>
      </c>
      <c r="O477" s="45">
        <v>596.9</v>
      </c>
      <c r="P477" s="45">
        <v>596.9</v>
      </c>
      <c r="Q477" s="7"/>
      <c r="R477" s="38">
        <v>1</v>
      </c>
      <c r="T477" s="7">
        <f t="shared" si="1834"/>
        <v>24</v>
      </c>
      <c r="U477" s="7">
        <f t="shared" si="1768"/>
        <v>24</v>
      </c>
      <c r="V477" s="45">
        <v>12.9</v>
      </c>
      <c r="W477" s="4">
        <f t="shared" si="1769"/>
        <v>12.9</v>
      </c>
      <c r="X477" s="4">
        <f t="shared" si="1770"/>
        <v>13.9</v>
      </c>
      <c r="Y477" s="7">
        <f t="shared" si="1771"/>
        <v>94.698067562120812</v>
      </c>
      <c r="AB477" s="45">
        <v>689.65517241379314</v>
      </c>
      <c r="AE477" s="38"/>
      <c r="AF477" s="38"/>
      <c r="AG477" s="39">
        <v>1</v>
      </c>
      <c r="AH477" s="39"/>
      <c r="AI477" s="39"/>
      <c r="AK477" s="4">
        <f t="shared" si="1772"/>
        <v>160.01999999999998</v>
      </c>
      <c r="AL477" s="4">
        <f t="shared" si="1773"/>
        <v>1</v>
      </c>
      <c r="AM477" s="4">
        <f t="shared" si="1774"/>
        <v>308.01631180193135</v>
      </c>
      <c r="AN477" s="4">
        <f t="shared" si="1775"/>
        <v>1</v>
      </c>
      <c r="AO477" s="4">
        <v>1.25</v>
      </c>
      <c r="AP477" s="4">
        <v>1</v>
      </c>
      <c r="AQ477" s="38">
        <f t="shared" si="1776"/>
        <v>385.02038975241419</v>
      </c>
      <c r="AR477" s="38">
        <f t="shared" si="1835"/>
        <v>385.02038975241419</v>
      </c>
      <c r="AS477" s="38">
        <f t="shared" si="1777"/>
        <v>4.3396934501138817</v>
      </c>
      <c r="AX477" s="4">
        <f t="shared" si="1778"/>
        <v>255.65634769234322</v>
      </c>
      <c r="AY477" s="4">
        <f t="shared" si="1779"/>
        <v>1</v>
      </c>
      <c r="AZ477" s="38">
        <f t="shared" si="1780"/>
        <v>10248.855172376669</v>
      </c>
      <c r="BA477" s="4">
        <f t="shared" si="1781"/>
        <v>0.3</v>
      </c>
      <c r="BB477" s="4">
        <f t="shared" si="1782"/>
        <v>40.074132500774788</v>
      </c>
      <c r="BC477" s="4">
        <f t="shared" si="1783"/>
        <v>10288.929304877443</v>
      </c>
      <c r="BE477" s="4">
        <f t="shared" si="1784"/>
        <v>1.5</v>
      </c>
      <c r="BF477" s="4">
        <f t="shared" si="1785"/>
        <v>565.54836343084776</v>
      </c>
      <c r="BH477" s="4">
        <f t="shared" si="1786"/>
        <v>9829.9054636255823</v>
      </c>
      <c r="BI477" s="4">
        <f t="shared" si="1787"/>
        <v>0</v>
      </c>
      <c r="BJ477" s="4">
        <f t="shared" si="1788"/>
        <v>0</v>
      </c>
      <c r="BK477" s="4">
        <f t="shared" si="1612"/>
        <v>596.9</v>
      </c>
      <c r="BL477" s="4">
        <f t="shared" si="1613"/>
        <v>596.9</v>
      </c>
      <c r="BM477" s="4">
        <f t="shared" si="1614"/>
        <v>596.9</v>
      </c>
      <c r="BN477" s="4">
        <f t="shared" si="1615"/>
        <v>609.6</v>
      </c>
      <c r="BO477" s="4">
        <f t="shared" si="1616"/>
        <v>1</v>
      </c>
      <c r="BP477" s="25">
        <f t="shared" si="1617"/>
        <v>4</v>
      </c>
      <c r="BR477" s="4">
        <f t="shared" si="1789"/>
        <v>596.9</v>
      </c>
      <c r="BV477" s="9"/>
      <c r="BX477" s="9"/>
      <c r="BY477" s="9"/>
      <c r="BZ477" s="9">
        <f t="shared" si="1790"/>
        <v>596.9</v>
      </c>
      <c r="CA477" s="9">
        <f t="shared" si="1791"/>
        <v>596.9</v>
      </c>
      <c r="CB477" s="9">
        <f t="shared" si="1792"/>
        <v>4.8476798574163293</v>
      </c>
      <c r="CC477" s="40">
        <f t="shared" si="1793"/>
        <v>0</v>
      </c>
      <c r="CD477" s="9">
        <f t="shared" si="1794"/>
        <v>0</v>
      </c>
      <c r="CE477" s="9">
        <f t="shared" si="1795"/>
        <v>0</v>
      </c>
      <c r="CF477" s="9">
        <f t="shared" si="1796"/>
        <v>0.99524931562137331</v>
      </c>
      <c r="CG477" s="9">
        <f t="shared" si="1797"/>
        <v>0.68</v>
      </c>
      <c r="CH477" s="9">
        <f t="shared" si="1798"/>
        <v>1.8263267342054628</v>
      </c>
      <c r="CI477" s="9">
        <f t="shared" si="1799"/>
        <v>4.5658168355136572</v>
      </c>
      <c r="CJ477" s="40">
        <v>1</v>
      </c>
      <c r="CK477" s="9">
        <f t="shared" si="1800"/>
        <v>389.00759438576358</v>
      </c>
      <c r="DI477" s="4">
        <f t="shared" si="1801"/>
        <v>160.01999999999998</v>
      </c>
      <c r="DL477" s="4">
        <f t="shared" si="1802"/>
        <v>1.3631853306974178E-5</v>
      </c>
      <c r="DM477" s="4">
        <f t="shared" si="1803"/>
        <v>11.829381634472119</v>
      </c>
      <c r="DN477" s="4">
        <f t="shared" si="1804"/>
        <v>0.18468745080108853</v>
      </c>
      <c r="DO477" s="4">
        <f t="shared" si="1805"/>
        <v>6.0191753840793982</v>
      </c>
      <c r="DP477" s="4">
        <f t="shared" si="1806"/>
        <v>9.3896641998498129</v>
      </c>
      <c r="DQ477" s="4">
        <f t="shared" si="1807"/>
        <v>11.494727829289342</v>
      </c>
      <c r="DR477" s="38">
        <f t="shared" si="1808"/>
        <v>584.63745402997267</v>
      </c>
      <c r="DS477" s="4">
        <f t="shared" si="1809"/>
        <v>1.0000000000000002</v>
      </c>
      <c r="DT477" s="4">
        <f t="shared" si="1810"/>
        <v>3.7282703764614493</v>
      </c>
      <c r="DU477" s="4">
        <f t="shared" si="1811"/>
        <v>385.02038975241419</v>
      </c>
      <c r="DY477" s="4">
        <f t="shared" si="1812"/>
        <v>0.85</v>
      </c>
      <c r="DZ477" s="4">
        <f t="shared" si="1813"/>
        <v>0.7</v>
      </c>
      <c r="EA477" s="4">
        <f t="shared" si="1814"/>
        <v>1</v>
      </c>
      <c r="EB477" s="4">
        <f t="shared" si="1815"/>
        <v>0.7</v>
      </c>
      <c r="ED477" s="4">
        <f t="shared" si="1816"/>
        <v>889.65517241379314</v>
      </c>
      <c r="EH477" s="4">
        <f t="shared" si="1817"/>
        <v>11.829381634472119</v>
      </c>
      <c r="EK477" s="4">
        <f t="shared" si="1818"/>
        <v>94.698067562120812</v>
      </c>
      <c r="EL477" s="4">
        <f t="shared" si="1819"/>
        <v>3.7282703764614498</v>
      </c>
      <c r="EM477" s="4">
        <f t="shared" si="1820"/>
        <v>7.7995158688872135E-2</v>
      </c>
      <c r="EP477" s="4">
        <f t="shared" si="1821"/>
        <v>7.7995158688872135E-2</v>
      </c>
      <c r="EQ477" s="4">
        <f t="shared" si="1822"/>
        <v>0.18468745080108853</v>
      </c>
      <c r="ER477" s="4">
        <f t="shared" si="1823"/>
        <v>6.0191753840793982</v>
      </c>
      <c r="ES477" s="4">
        <f t="shared" si="1824"/>
        <v>9.3896641998498129</v>
      </c>
      <c r="ET477" s="4">
        <f t="shared" si="1825"/>
        <v>25.316932437879174</v>
      </c>
      <c r="EU477" s="4">
        <f t="shared" si="1826"/>
        <v>40.004999999999995</v>
      </c>
      <c r="EV477" s="4">
        <f t="shared" si="1827"/>
        <v>1.3631853306974178E-5</v>
      </c>
      <c r="EW477" s="4">
        <f t="shared" si="1828"/>
        <v>11.494727829289342</v>
      </c>
      <c r="EX477" s="4">
        <f t="shared" si="1829"/>
        <v>584.63745402997256</v>
      </c>
      <c r="FG477" s="23"/>
      <c r="FH477" s="23"/>
      <c r="FI477" s="23"/>
      <c r="FJ477" s="23"/>
      <c r="FK477" s="23"/>
      <c r="FL477" s="23"/>
      <c r="FM477" s="23"/>
      <c r="FN477" s="23"/>
      <c r="FX477" s="4">
        <f t="shared" si="1830"/>
        <v>1</v>
      </c>
      <c r="FY477" s="4">
        <f t="shared" si="1831"/>
        <v>1.0833333333333333</v>
      </c>
      <c r="FZ477" s="4">
        <f t="shared" si="1832"/>
        <v>0</v>
      </c>
      <c r="GA477" s="4">
        <f t="shared" si="1833"/>
        <v>161.01858866173305</v>
      </c>
    </row>
    <row r="478" spans="1:183" ht="12" customHeight="1" x14ac:dyDescent="0.3">
      <c r="A478" s="52"/>
      <c r="B478" s="14" t="s">
        <v>605</v>
      </c>
      <c r="C478" s="24"/>
      <c r="D478" s="14" t="s">
        <v>365</v>
      </c>
      <c r="E478" s="24"/>
      <c r="F478" s="43" t="s">
        <v>632</v>
      </c>
      <c r="G478" s="38">
        <f t="shared" si="1764"/>
        <v>889.65517241379314</v>
      </c>
      <c r="H478" s="45">
        <v>160.01999999999998</v>
      </c>
      <c r="I478" s="4">
        <f t="shared" si="1765"/>
        <v>160.01999999999998</v>
      </c>
      <c r="J478" s="45">
        <v>59.448275862068968</v>
      </c>
      <c r="K478" s="7">
        <v>25.4</v>
      </c>
      <c r="L478" s="7">
        <f t="shared" si="1766"/>
        <v>6.3</v>
      </c>
      <c r="M478" s="7">
        <f t="shared" si="1767"/>
        <v>6.3</v>
      </c>
      <c r="N478" s="45">
        <v>1219.1999999999998</v>
      </c>
      <c r="O478" s="45">
        <v>596.9</v>
      </c>
      <c r="P478" s="45">
        <v>596.9</v>
      </c>
      <c r="Q478" s="7"/>
      <c r="R478" s="38">
        <v>1</v>
      </c>
      <c r="T478" s="7">
        <f t="shared" si="1834"/>
        <v>24</v>
      </c>
      <c r="U478" s="7">
        <f t="shared" si="1768"/>
        <v>24</v>
      </c>
      <c r="V478" s="45">
        <v>9.1</v>
      </c>
      <c r="W478" s="4">
        <f t="shared" si="1769"/>
        <v>9.1</v>
      </c>
      <c r="X478" s="4">
        <f t="shared" si="1770"/>
        <v>10.1</v>
      </c>
      <c r="Y478" s="7">
        <f t="shared" si="1771"/>
        <v>80.72246279691916</v>
      </c>
      <c r="AB478" s="45">
        <v>618.62068965517244</v>
      </c>
      <c r="AE478" s="38"/>
      <c r="AF478" s="38"/>
      <c r="AG478" s="39">
        <v>1</v>
      </c>
      <c r="AH478" s="39"/>
      <c r="AI478" s="39"/>
      <c r="AK478" s="4">
        <f t="shared" si="1772"/>
        <v>160.01999999999998</v>
      </c>
      <c r="AL478" s="4">
        <f t="shared" si="1773"/>
        <v>1</v>
      </c>
      <c r="AM478" s="4">
        <f t="shared" si="1774"/>
        <v>308.01631180193135</v>
      </c>
      <c r="AN478" s="4">
        <f t="shared" si="1775"/>
        <v>1</v>
      </c>
      <c r="AO478" s="4">
        <v>1.25</v>
      </c>
      <c r="AP478" s="4">
        <v>1</v>
      </c>
      <c r="AQ478" s="38">
        <f t="shared" si="1776"/>
        <v>385.02038975241419</v>
      </c>
      <c r="AR478" s="38">
        <f t="shared" si="1835"/>
        <v>385.02038975241419</v>
      </c>
      <c r="AS478" s="38">
        <f t="shared" si="1777"/>
        <v>4.3396934501138817</v>
      </c>
      <c r="AX478" s="4">
        <f t="shared" si="1778"/>
        <v>255.65634769234322</v>
      </c>
      <c r="AY478" s="4">
        <f t="shared" si="1779"/>
        <v>1</v>
      </c>
      <c r="AZ478" s="38">
        <f t="shared" si="1780"/>
        <v>8607.978966419807</v>
      </c>
      <c r="BA478" s="4">
        <f t="shared" si="1781"/>
        <v>0.3</v>
      </c>
      <c r="BB478" s="4">
        <f t="shared" si="1782"/>
        <v>40.074132500774788</v>
      </c>
      <c r="BC478" s="4">
        <f t="shared" si="1783"/>
        <v>8648.0530989205818</v>
      </c>
      <c r="BE478" s="4">
        <f t="shared" si="1784"/>
        <v>1.5</v>
      </c>
      <c r="BF478" s="4">
        <f t="shared" si="1785"/>
        <v>565.54836343084776</v>
      </c>
      <c r="BH478" s="4">
        <f t="shared" si="1786"/>
        <v>8256.1045160288031</v>
      </c>
      <c r="BI478" s="4">
        <f t="shared" si="1787"/>
        <v>0</v>
      </c>
      <c r="BJ478" s="4">
        <f t="shared" si="1788"/>
        <v>0</v>
      </c>
      <c r="BK478" s="4">
        <f t="shared" si="1612"/>
        <v>596.9</v>
      </c>
      <c r="BL478" s="4">
        <f t="shared" si="1613"/>
        <v>596.9</v>
      </c>
      <c r="BM478" s="4">
        <f t="shared" si="1614"/>
        <v>596.9</v>
      </c>
      <c r="BN478" s="4">
        <f t="shared" si="1615"/>
        <v>609.6</v>
      </c>
      <c r="BO478" s="4">
        <f t="shared" si="1616"/>
        <v>1</v>
      </c>
      <c r="BP478" s="25">
        <f t="shared" si="1617"/>
        <v>4</v>
      </c>
      <c r="BR478" s="4">
        <f t="shared" si="1789"/>
        <v>596.9</v>
      </c>
      <c r="BV478" s="9"/>
      <c r="BX478" s="9"/>
      <c r="BY478" s="9"/>
      <c r="BZ478" s="9">
        <f t="shared" si="1790"/>
        <v>596.9</v>
      </c>
      <c r="CA478" s="9">
        <f t="shared" si="1791"/>
        <v>596.9</v>
      </c>
      <c r="CB478" s="9">
        <f t="shared" si="1792"/>
        <v>4.8476798574163293</v>
      </c>
      <c r="CC478" s="40">
        <f t="shared" si="1793"/>
        <v>0</v>
      </c>
      <c r="CD478" s="9">
        <f t="shared" si="1794"/>
        <v>0</v>
      </c>
      <c r="CE478" s="9">
        <f t="shared" si="1795"/>
        <v>0</v>
      </c>
      <c r="CF478" s="9">
        <f t="shared" si="1796"/>
        <v>0.99524931562137331</v>
      </c>
      <c r="CG478" s="9">
        <f t="shared" si="1797"/>
        <v>0.68</v>
      </c>
      <c r="CH478" s="9">
        <f t="shared" si="1798"/>
        <v>1.8263267342054628</v>
      </c>
      <c r="CI478" s="9">
        <f t="shared" si="1799"/>
        <v>4.5658168355136572</v>
      </c>
      <c r="CJ478" s="40">
        <v>1</v>
      </c>
      <c r="CK478" s="9">
        <f t="shared" si="1800"/>
        <v>389.00759438576358</v>
      </c>
      <c r="DI478" s="4">
        <f t="shared" si="1801"/>
        <v>160.01999999999998</v>
      </c>
      <c r="DL478" s="4">
        <f t="shared" si="1802"/>
        <v>1.3631853306974178E-5</v>
      </c>
      <c r="DM478" s="4">
        <f t="shared" si="1803"/>
        <v>11.829381634472119</v>
      </c>
      <c r="DN478" s="4">
        <f t="shared" si="1804"/>
        <v>0.22317163317275795</v>
      </c>
      <c r="DO478" s="4">
        <f t="shared" si="1805"/>
        <v>6.4925849346268336</v>
      </c>
      <c r="DP478" s="4">
        <f t="shared" si="1806"/>
        <v>9.5446904861318114</v>
      </c>
      <c r="DQ478" s="4">
        <f t="shared" si="1807"/>
        <v>11.465435649076939</v>
      </c>
      <c r="DR478" s="38">
        <f t="shared" si="1808"/>
        <v>598.84831179978437</v>
      </c>
      <c r="DS478" s="4">
        <f t="shared" si="1809"/>
        <v>1</v>
      </c>
      <c r="DT478" s="4">
        <f t="shared" si="1810"/>
        <v>3.1780497164141401</v>
      </c>
      <c r="DU478" s="4">
        <f t="shared" si="1811"/>
        <v>385.02038975241419</v>
      </c>
      <c r="DY478" s="4">
        <f t="shared" si="1812"/>
        <v>0.85</v>
      </c>
      <c r="DZ478" s="4">
        <f t="shared" si="1813"/>
        <v>0.7</v>
      </c>
      <c r="EA478" s="4">
        <f t="shared" si="1814"/>
        <v>1</v>
      </c>
      <c r="EB478" s="4">
        <f t="shared" si="1815"/>
        <v>0.7</v>
      </c>
      <c r="ED478" s="4">
        <f t="shared" si="1816"/>
        <v>889.65517241379314</v>
      </c>
      <c r="EH478" s="4">
        <f t="shared" si="1817"/>
        <v>11.829381634472119</v>
      </c>
      <c r="EK478" s="4">
        <f t="shared" si="1818"/>
        <v>80.72246279691916</v>
      </c>
      <c r="EL478" s="4">
        <f t="shared" si="1819"/>
        <v>3.1780497164141406</v>
      </c>
      <c r="EM478" s="4">
        <f t="shared" si="1820"/>
        <v>9.4247372350766273E-2</v>
      </c>
      <c r="EP478" s="4">
        <f t="shared" si="1821"/>
        <v>9.4247372350766273E-2</v>
      </c>
      <c r="EQ478" s="4">
        <f t="shared" si="1822"/>
        <v>0.22317163317275795</v>
      </c>
      <c r="ER478" s="4">
        <f t="shared" si="1823"/>
        <v>6.4925849346268336</v>
      </c>
      <c r="ES478" s="4">
        <f t="shared" si="1824"/>
        <v>9.5446904861318114</v>
      </c>
      <c r="ET478" s="4">
        <f t="shared" si="1825"/>
        <v>39.292537203080826</v>
      </c>
      <c r="EU478" s="4">
        <f t="shared" si="1826"/>
        <v>40.004999999999995</v>
      </c>
      <c r="EV478" s="4">
        <f t="shared" si="1827"/>
        <v>1.3631853306974178E-5</v>
      </c>
      <c r="EW478" s="4">
        <f t="shared" si="1828"/>
        <v>11.465435649076939</v>
      </c>
      <c r="EX478" s="4">
        <f t="shared" si="1829"/>
        <v>598.84831179978437</v>
      </c>
      <c r="FG478" s="23"/>
      <c r="FH478" s="23"/>
      <c r="FI478" s="23"/>
      <c r="FJ478" s="23"/>
      <c r="FK478" s="23"/>
      <c r="FL478" s="23"/>
      <c r="FM478" s="23"/>
      <c r="FN478" s="23"/>
      <c r="FX478" s="4">
        <f t="shared" si="1830"/>
        <v>1</v>
      </c>
      <c r="FY478" s="4">
        <f t="shared" si="1831"/>
        <v>1.0833333333333333</v>
      </c>
      <c r="FZ478" s="4">
        <f t="shared" si="1832"/>
        <v>0</v>
      </c>
      <c r="GA478" s="4">
        <f t="shared" si="1833"/>
        <v>161.01858866173305</v>
      </c>
    </row>
    <row r="479" spans="1:183" ht="12" customHeight="1" x14ac:dyDescent="0.3">
      <c r="A479" s="52"/>
      <c r="B479" s="14" t="s">
        <v>605</v>
      </c>
      <c r="C479" s="24"/>
      <c r="D479" s="14" t="s">
        <v>365</v>
      </c>
      <c r="E479" s="24"/>
      <c r="F479" s="43" t="s">
        <v>633</v>
      </c>
      <c r="G479" s="38">
        <f t="shared" si="1764"/>
        <v>889.65517241379314</v>
      </c>
      <c r="H479" s="45">
        <v>162.56</v>
      </c>
      <c r="I479" s="4">
        <f t="shared" si="1765"/>
        <v>162.56</v>
      </c>
      <c r="J479" s="45">
        <v>59.448275862068968</v>
      </c>
      <c r="K479" s="7">
        <v>25.4</v>
      </c>
      <c r="L479" s="7">
        <f t="shared" si="1766"/>
        <v>6.4</v>
      </c>
      <c r="M479" s="7">
        <f t="shared" si="1767"/>
        <v>6.4</v>
      </c>
      <c r="N479" s="45">
        <v>1219.1999999999998</v>
      </c>
      <c r="O479" s="45">
        <v>596.9</v>
      </c>
      <c r="P479" s="45">
        <v>596.9</v>
      </c>
      <c r="Q479" s="7"/>
      <c r="R479" s="38">
        <v>1</v>
      </c>
      <c r="T479" s="7">
        <f t="shared" si="1834"/>
        <v>24</v>
      </c>
      <c r="U479" s="7">
        <f t="shared" si="1768"/>
        <v>24</v>
      </c>
      <c r="V479" s="45">
        <v>6.5</v>
      </c>
      <c r="W479" s="4">
        <f t="shared" si="1769"/>
        <v>6.5</v>
      </c>
      <c r="X479" s="4">
        <f t="shared" si="1770"/>
        <v>7.5</v>
      </c>
      <c r="Y479" s="7">
        <f t="shared" si="1771"/>
        <v>69.56076480315609</v>
      </c>
      <c r="AB479" s="45">
        <v>806.89655172413802</v>
      </c>
      <c r="AE479" s="38"/>
      <c r="AF479" s="38"/>
      <c r="AG479" s="39">
        <v>1</v>
      </c>
      <c r="AH479" s="39"/>
      <c r="AI479" s="39"/>
      <c r="AK479" s="4">
        <f t="shared" si="1772"/>
        <v>162.56</v>
      </c>
      <c r="AL479" s="4">
        <f t="shared" si="1773"/>
        <v>1</v>
      </c>
      <c r="AM479" s="4">
        <f t="shared" si="1774"/>
        <v>315.37905904684118</v>
      </c>
      <c r="AN479" s="4">
        <f t="shared" si="1775"/>
        <v>1</v>
      </c>
      <c r="AO479" s="4">
        <v>1.25</v>
      </c>
      <c r="AP479" s="4">
        <v>1</v>
      </c>
      <c r="AQ479" s="38">
        <f t="shared" si="1776"/>
        <v>394.22382380855146</v>
      </c>
      <c r="AR479" s="38">
        <f t="shared" si="1835"/>
        <v>394.22382380855146</v>
      </c>
      <c r="AS479" s="38">
        <f t="shared" si="1777"/>
        <v>4.3396934501138817</v>
      </c>
      <c r="AX479" s="4">
        <f t="shared" si="1778"/>
        <v>259.71438495730104</v>
      </c>
      <c r="AY479" s="4">
        <f t="shared" si="1779"/>
        <v>1</v>
      </c>
      <c r="AZ479" s="38">
        <f t="shared" si="1780"/>
        <v>7275.0700480832784</v>
      </c>
      <c r="BA479" s="4">
        <f t="shared" si="1781"/>
        <v>0.3</v>
      </c>
      <c r="BB479" s="4">
        <f t="shared" si="1782"/>
        <v>40.71022984205694</v>
      </c>
      <c r="BC479" s="4">
        <f t="shared" si="1783"/>
        <v>7315.7802779253352</v>
      </c>
      <c r="BE479" s="4">
        <f t="shared" si="1784"/>
        <v>1.5</v>
      </c>
      <c r="BF479" s="4">
        <f t="shared" si="1785"/>
        <v>569.01798529238681</v>
      </c>
      <c r="BH479" s="4">
        <f t="shared" si="1786"/>
        <v>6977.6818592050622</v>
      </c>
      <c r="BI479" s="4">
        <f t="shared" si="1787"/>
        <v>0</v>
      </c>
      <c r="BJ479" s="4">
        <f t="shared" si="1788"/>
        <v>0</v>
      </c>
      <c r="BK479" s="4">
        <f t="shared" si="1612"/>
        <v>596.9</v>
      </c>
      <c r="BL479" s="4">
        <f t="shared" si="1613"/>
        <v>596.9</v>
      </c>
      <c r="BM479" s="4">
        <f t="shared" si="1614"/>
        <v>596.9</v>
      </c>
      <c r="BN479" s="4">
        <f t="shared" si="1615"/>
        <v>609.6</v>
      </c>
      <c r="BO479" s="4">
        <f t="shared" si="1616"/>
        <v>1</v>
      </c>
      <c r="BP479" s="25">
        <f t="shared" si="1617"/>
        <v>4</v>
      </c>
      <c r="BR479" s="4">
        <f t="shared" si="1789"/>
        <v>596.9</v>
      </c>
      <c r="BV479" s="9"/>
      <c r="BX479" s="9"/>
      <c r="BY479" s="9"/>
      <c r="BZ479" s="9">
        <f t="shared" si="1790"/>
        <v>596.9</v>
      </c>
      <c r="CA479" s="9">
        <f t="shared" si="1791"/>
        <v>596.9</v>
      </c>
      <c r="CB479" s="9">
        <f t="shared" si="1792"/>
        <v>4.8476798574163293</v>
      </c>
      <c r="CC479" s="40">
        <f t="shared" si="1793"/>
        <v>0</v>
      </c>
      <c r="CD479" s="9">
        <f t="shared" si="1794"/>
        <v>0</v>
      </c>
      <c r="CE479" s="9">
        <f t="shared" si="1795"/>
        <v>0</v>
      </c>
      <c r="CF479" s="9">
        <f t="shared" si="1796"/>
        <v>0.99524931562137331</v>
      </c>
      <c r="CG479" s="9">
        <f t="shared" si="1797"/>
        <v>0.68</v>
      </c>
      <c r="CH479" s="9">
        <f t="shared" si="1798"/>
        <v>1.8263267342054628</v>
      </c>
      <c r="CI479" s="9">
        <f t="shared" si="1799"/>
        <v>4.5658168355136572</v>
      </c>
      <c r="CJ479" s="40">
        <v>1</v>
      </c>
      <c r="CK479" s="9">
        <f t="shared" si="1800"/>
        <v>390.83392111996909</v>
      </c>
      <c r="DI479" s="4">
        <f t="shared" si="1801"/>
        <v>162.56</v>
      </c>
      <c r="DL479" s="4">
        <f t="shared" si="1802"/>
        <v>1.3848231930894405E-5</v>
      </c>
      <c r="DM479" s="4">
        <f t="shared" si="1803"/>
        <v>11.829381634472119</v>
      </c>
      <c r="DN479" s="4">
        <f t="shared" si="1804"/>
        <v>0.27567419108435354</v>
      </c>
      <c r="DO479" s="4">
        <f t="shared" si="1805"/>
        <v>7.0651353558258458</v>
      </c>
      <c r="DP479" s="4">
        <f t="shared" si="1806"/>
        <v>9.7447329036587558</v>
      </c>
      <c r="DQ479" s="4">
        <f t="shared" si="1807"/>
        <v>11.425135548573715</v>
      </c>
      <c r="DR479" s="38">
        <f t="shared" si="1808"/>
        <v>625.09004262999906</v>
      </c>
      <c r="DS479" s="4">
        <f t="shared" si="1809"/>
        <v>1</v>
      </c>
      <c r="DT479" s="4">
        <f t="shared" si="1810"/>
        <v>2.7386127875258306</v>
      </c>
      <c r="DU479" s="4">
        <f t="shared" si="1811"/>
        <v>394.22382380855146</v>
      </c>
      <c r="DY479" s="4">
        <f t="shared" si="1812"/>
        <v>0.85</v>
      </c>
      <c r="DZ479" s="4">
        <f t="shared" si="1813"/>
        <v>0.7</v>
      </c>
      <c r="EA479" s="4">
        <f t="shared" si="1814"/>
        <v>1</v>
      </c>
      <c r="EB479" s="4">
        <f t="shared" si="1815"/>
        <v>0.7</v>
      </c>
      <c r="ED479" s="4">
        <f t="shared" si="1816"/>
        <v>889.65517241379314</v>
      </c>
      <c r="EH479" s="4">
        <f t="shared" si="1817"/>
        <v>11.829381634472119</v>
      </c>
      <c r="EK479" s="4">
        <f t="shared" si="1818"/>
        <v>69.56076480315609</v>
      </c>
      <c r="EL479" s="4">
        <f t="shared" si="1819"/>
        <v>2.7386127875258306</v>
      </c>
      <c r="EM479" s="4">
        <f t="shared" si="1820"/>
        <v>0.11641967110807015</v>
      </c>
      <c r="EP479" s="4">
        <f t="shared" si="1821"/>
        <v>0.11641967110807015</v>
      </c>
      <c r="EQ479" s="4">
        <f t="shared" si="1822"/>
        <v>0.27567419108435354</v>
      </c>
      <c r="ER479" s="4">
        <f t="shared" si="1823"/>
        <v>7.0651353558258458</v>
      </c>
      <c r="ES479" s="4">
        <f t="shared" si="1824"/>
        <v>9.7447329036587558</v>
      </c>
      <c r="ET479" s="4">
        <f t="shared" si="1825"/>
        <v>52.359235196843912</v>
      </c>
      <c r="EU479" s="4">
        <f t="shared" si="1826"/>
        <v>40.64</v>
      </c>
      <c r="EV479" s="4">
        <f t="shared" si="1827"/>
        <v>1.3848231930894405E-5</v>
      </c>
      <c r="EW479" s="4">
        <f t="shared" si="1828"/>
        <v>11.425135548573714</v>
      </c>
      <c r="EX479" s="4">
        <f t="shared" si="1829"/>
        <v>625.09004262999906</v>
      </c>
      <c r="FG479" s="23"/>
      <c r="FH479" s="23"/>
      <c r="FI479" s="23"/>
      <c r="FJ479" s="23"/>
      <c r="FK479" s="23"/>
      <c r="FL479" s="23"/>
      <c r="FM479" s="23"/>
      <c r="FN479" s="23"/>
      <c r="FX479" s="4">
        <f t="shared" si="1830"/>
        <v>1</v>
      </c>
      <c r="FY479" s="4">
        <f t="shared" si="1831"/>
        <v>1.0833333333333333</v>
      </c>
      <c r="FZ479" s="4">
        <f t="shared" si="1832"/>
        <v>0</v>
      </c>
      <c r="GA479" s="4">
        <f t="shared" si="1833"/>
        <v>163.57443927541135</v>
      </c>
    </row>
    <row r="480" spans="1:183" ht="12" customHeight="1" x14ac:dyDescent="0.3">
      <c r="A480" s="52"/>
      <c r="B480" s="14" t="s">
        <v>605</v>
      </c>
      <c r="C480" s="24"/>
      <c r="D480" s="14" t="s">
        <v>365</v>
      </c>
      <c r="E480" s="24"/>
      <c r="F480" s="43" t="s">
        <v>634</v>
      </c>
      <c r="G480" s="38">
        <f t="shared" si="1764"/>
        <v>889.65517241379314</v>
      </c>
      <c r="H480" s="45">
        <v>165.1</v>
      </c>
      <c r="I480" s="4">
        <f t="shared" si="1765"/>
        <v>165.1</v>
      </c>
      <c r="J480" s="45">
        <v>59.448275862068968</v>
      </c>
      <c r="K480" s="7">
        <v>25.4</v>
      </c>
      <c r="L480" s="7">
        <f t="shared" si="1766"/>
        <v>6.5</v>
      </c>
      <c r="M480" s="7">
        <f t="shared" si="1767"/>
        <v>6.5</v>
      </c>
      <c r="N480" s="45">
        <v>1219.1999999999998</v>
      </c>
      <c r="O480" s="45">
        <v>596.9</v>
      </c>
      <c r="P480" s="45">
        <v>596.9</v>
      </c>
      <c r="Q480" s="7"/>
      <c r="R480" s="38">
        <v>1</v>
      </c>
      <c r="T480" s="7">
        <f t="shared" si="1834"/>
        <v>24</v>
      </c>
      <c r="U480" s="7">
        <f t="shared" si="1768"/>
        <v>24</v>
      </c>
      <c r="V480" s="45">
        <v>4.5</v>
      </c>
      <c r="W480" s="4">
        <f t="shared" si="1769"/>
        <v>4.5</v>
      </c>
      <c r="X480" s="4">
        <f t="shared" si="1770"/>
        <v>5.5</v>
      </c>
      <c r="Y480" s="7">
        <f t="shared" si="1771"/>
        <v>59.568280149757555</v>
      </c>
      <c r="AB480" s="45">
        <v>646.20689655172418</v>
      </c>
      <c r="AE480" s="38"/>
      <c r="AF480" s="38"/>
      <c r="AG480" s="39">
        <v>1</v>
      </c>
      <c r="AH480" s="39"/>
      <c r="AI480" s="39"/>
      <c r="AK480" s="4">
        <f t="shared" si="1772"/>
        <v>165.1</v>
      </c>
      <c r="AL480" s="4">
        <f t="shared" si="1773"/>
        <v>0.99999999999999989</v>
      </c>
      <c r="AM480" s="4">
        <f t="shared" si="1774"/>
        <v>322.79955480341323</v>
      </c>
      <c r="AN480" s="4">
        <f t="shared" si="1775"/>
        <v>1</v>
      </c>
      <c r="AO480" s="4">
        <v>1.25</v>
      </c>
      <c r="AP480" s="4">
        <v>1</v>
      </c>
      <c r="AQ480" s="38">
        <f t="shared" si="1776"/>
        <v>403.49944350426648</v>
      </c>
      <c r="AR480" s="38">
        <f t="shared" si="1835"/>
        <v>403.49944350426648</v>
      </c>
      <c r="AS480" s="38">
        <f t="shared" si="1777"/>
        <v>4.3396934501138817</v>
      </c>
      <c r="AX480" s="4">
        <f t="shared" si="1778"/>
        <v>263.77242222225891</v>
      </c>
      <c r="AY480" s="4">
        <f t="shared" si="1779"/>
        <v>1</v>
      </c>
      <c r="AZ480" s="38">
        <f t="shared" si="1780"/>
        <v>6053.2241748361221</v>
      </c>
      <c r="BA480" s="4">
        <f t="shared" si="1781"/>
        <v>0.37</v>
      </c>
      <c r="BB480" s="4">
        <f t="shared" si="1782"/>
        <v>50.993803526118185</v>
      </c>
      <c r="BC480" s="4">
        <f t="shared" si="1783"/>
        <v>6104.2179783622405</v>
      </c>
      <c r="BE480" s="4">
        <f t="shared" si="1784"/>
        <v>1.5</v>
      </c>
      <c r="BF480" s="4">
        <f t="shared" si="1785"/>
        <v>572.48760715392575</v>
      </c>
      <c r="BH480" s="4">
        <f t="shared" si="1786"/>
        <v>5805.7822447474036</v>
      </c>
      <c r="BI480" s="4">
        <f t="shared" si="1787"/>
        <v>0</v>
      </c>
      <c r="BJ480" s="4">
        <f t="shared" si="1788"/>
        <v>0</v>
      </c>
      <c r="BK480" s="4">
        <f t="shared" si="1612"/>
        <v>596.9</v>
      </c>
      <c r="BL480" s="4">
        <f t="shared" si="1613"/>
        <v>596.9</v>
      </c>
      <c r="BM480" s="4">
        <f t="shared" si="1614"/>
        <v>596.9</v>
      </c>
      <c r="BN480" s="4">
        <f t="shared" si="1615"/>
        <v>609.6</v>
      </c>
      <c r="BO480" s="4">
        <f t="shared" si="1616"/>
        <v>1</v>
      </c>
      <c r="BP480" s="25">
        <f t="shared" si="1617"/>
        <v>4</v>
      </c>
      <c r="BR480" s="4">
        <f t="shared" si="1789"/>
        <v>596.9</v>
      </c>
      <c r="BV480" s="9"/>
      <c r="BX480" s="9"/>
      <c r="BY480" s="9"/>
      <c r="BZ480" s="9">
        <f t="shared" si="1790"/>
        <v>596.9</v>
      </c>
      <c r="CA480" s="9">
        <f t="shared" si="1791"/>
        <v>596.9</v>
      </c>
      <c r="CB480" s="9">
        <f t="shared" si="1792"/>
        <v>4.8476798574163293</v>
      </c>
      <c r="CC480" s="40">
        <f t="shared" si="1793"/>
        <v>0</v>
      </c>
      <c r="CD480" s="9">
        <f t="shared" si="1794"/>
        <v>0</v>
      </c>
      <c r="CE480" s="9">
        <f t="shared" si="1795"/>
        <v>0</v>
      </c>
      <c r="CF480" s="9">
        <f t="shared" si="1796"/>
        <v>0.99524931562137331</v>
      </c>
      <c r="CG480" s="9">
        <f t="shared" si="1797"/>
        <v>0.68</v>
      </c>
      <c r="CH480" s="9">
        <f t="shared" si="1798"/>
        <v>1.8263267342054628</v>
      </c>
      <c r="CI480" s="9">
        <f t="shared" si="1799"/>
        <v>4.5658168355136572</v>
      </c>
      <c r="CJ480" s="40">
        <v>1</v>
      </c>
      <c r="CK480" s="9">
        <f t="shared" si="1800"/>
        <v>392.66024785417449</v>
      </c>
      <c r="DI480" s="4">
        <f t="shared" si="1801"/>
        <v>165.1</v>
      </c>
      <c r="DL480" s="4">
        <f t="shared" si="1802"/>
        <v>1.406461055481463E-5</v>
      </c>
      <c r="DM480" s="4">
        <f t="shared" si="1803"/>
        <v>11.829381634472119</v>
      </c>
      <c r="DN480" s="4">
        <f t="shared" si="1804"/>
        <v>0.34901793030288153</v>
      </c>
      <c r="DO480" s="4">
        <f t="shared" si="1805"/>
        <v>7.7642791021983317</v>
      </c>
      <c r="DP480" s="4">
        <f t="shared" si="1806"/>
        <v>10.006320161093534</v>
      </c>
      <c r="DQ480" s="4">
        <f t="shared" si="1807"/>
        <v>11.383361078397993</v>
      </c>
      <c r="DR480" s="38">
        <f t="shared" si="1808"/>
        <v>651.58232422155083</v>
      </c>
      <c r="DS480" s="4">
        <f t="shared" si="1809"/>
        <v>1</v>
      </c>
      <c r="DT480" s="4">
        <f t="shared" si="1810"/>
        <v>2.3452078799117149</v>
      </c>
      <c r="DU480" s="4">
        <f t="shared" si="1811"/>
        <v>403.49944350426648</v>
      </c>
      <c r="DY480" s="4">
        <f t="shared" si="1812"/>
        <v>0.85</v>
      </c>
      <c r="DZ480" s="4">
        <f t="shared" si="1813"/>
        <v>0.7</v>
      </c>
      <c r="EA480" s="4">
        <f t="shared" si="1814"/>
        <v>1</v>
      </c>
      <c r="EB480" s="4">
        <f t="shared" si="1815"/>
        <v>0.7</v>
      </c>
      <c r="ED480" s="4">
        <f t="shared" si="1816"/>
        <v>889.65517241379314</v>
      </c>
      <c r="EH480" s="4">
        <f t="shared" si="1817"/>
        <v>11.829381634472119</v>
      </c>
      <c r="EK480" s="4">
        <f t="shared" si="1818"/>
        <v>59.568280149757555</v>
      </c>
      <c r="EL480" s="4">
        <f t="shared" si="1819"/>
        <v>2.3452078799117149</v>
      </c>
      <c r="EM480" s="4">
        <f t="shared" si="1820"/>
        <v>0.14739338672530164</v>
      </c>
      <c r="EP480" s="4">
        <f t="shared" si="1821"/>
        <v>0.14739338672530164</v>
      </c>
      <c r="EQ480" s="4">
        <f t="shared" si="1822"/>
        <v>0.34901793030288153</v>
      </c>
      <c r="ER480" s="4">
        <f t="shared" si="1823"/>
        <v>7.7642791021983317</v>
      </c>
      <c r="ES480" s="4">
        <f t="shared" si="1824"/>
        <v>10.006320161093534</v>
      </c>
      <c r="ET480" s="4">
        <f t="shared" si="1825"/>
        <v>64.256719850242433</v>
      </c>
      <c r="EU480" s="4">
        <f t="shared" si="1826"/>
        <v>41.275000000000006</v>
      </c>
      <c r="EV480" s="4">
        <f t="shared" si="1827"/>
        <v>1.4064610554814634E-5</v>
      </c>
      <c r="EW480" s="4">
        <f t="shared" si="1828"/>
        <v>11.383361078397993</v>
      </c>
      <c r="EX480" s="4">
        <f t="shared" si="1829"/>
        <v>651.58232422155083</v>
      </c>
      <c r="FG480" s="23"/>
      <c r="FH480" s="23"/>
      <c r="FI480" s="23"/>
      <c r="FJ480" s="23"/>
      <c r="FK480" s="23"/>
      <c r="FL480" s="23"/>
      <c r="FM480" s="23"/>
      <c r="FN480" s="23"/>
      <c r="FX480" s="4">
        <f t="shared" si="1830"/>
        <v>1</v>
      </c>
      <c r="FY480" s="4">
        <f t="shared" si="1831"/>
        <v>1.0833333333333333</v>
      </c>
      <c r="FZ480" s="4">
        <f t="shared" si="1832"/>
        <v>0</v>
      </c>
      <c r="GA480" s="4">
        <f t="shared" si="1833"/>
        <v>166.13028988908965</v>
      </c>
    </row>
    <row r="481" spans="1:184" ht="12" customHeight="1" x14ac:dyDescent="0.3">
      <c r="A481" s="52"/>
      <c r="B481" s="14" t="s">
        <v>605</v>
      </c>
      <c r="C481" s="24"/>
      <c r="D481" s="14" t="s">
        <v>365</v>
      </c>
      <c r="E481" s="24"/>
      <c r="F481" s="43" t="s">
        <v>635</v>
      </c>
      <c r="G481" s="38">
        <f t="shared" si="1764"/>
        <v>889.65517241379314</v>
      </c>
      <c r="H481" s="45">
        <v>165.1</v>
      </c>
      <c r="I481" s="4">
        <f t="shared" si="1765"/>
        <v>165.1</v>
      </c>
      <c r="J481" s="45">
        <v>28.96551724137931</v>
      </c>
      <c r="K481" s="7">
        <v>25.4</v>
      </c>
      <c r="L481" s="7">
        <f t="shared" si="1766"/>
        <v>6.5</v>
      </c>
      <c r="M481" s="7">
        <f t="shared" si="1767"/>
        <v>6.5</v>
      </c>
      <c r="N481" s="45">
        <v>1219.1999999999998</v>
      </c>
      <c r="O481" s="45">
        <v>596.9</v>
      </c>
      <c r="P481" s="45">
        <v>596.9</v>
      </c>
      <c r="Q481" s="7"/>
      <c r="R481" s="38">
        <v>1</v>
      </c>
      <c r="T481" s="7">
        <f t="shared" si="1834"/>
        <v>24</v>
      </c>
      <c r="U481" s="7">
        <f t="shared" si="1768"/>
        <v>24</v>
      </c>
      <c r="V481" s="45">
        <v>14</v>
      </c>
      <c r="W481" s="4">
        <f t="shared" si="1769"/>
        <v>14</v>
      </c>
      <c r="X481" s="4">
        <f t="shared" si="1770"/>
        <v>15</v>
      </c>
      <c r="Y481" s="7">
        <f t="shared" si="1771"/>
        <v>98.373776993668386</v>
      </c>
      <c r="AB481" s="45">
        <v>539.31034482758628</v>
      </c>
      <c r="AE481" s="38"/>
      <c r="AF481" s="38"/>
      <c r="AG481" s="39">
        <v>1</v>
      </c>
      <c r="AH481" s="39"/>
      <c r="AI481" s="39"/>
      <c r="AK481" s="4">
        <f t="shared" si="1772"/>
        <v>165.1</v>
      </c>
      <c r="AL481" s="4">
        <f t="shared" si="1773"/>
        <v>0.99999999999999989</v>
      </c>
      <c r="AM481" s="4">
        <f t="shared" si="1774"/>
        <v>225.32217739115345</v>
      </c>
      <c r="AN481" s="4">
        <f t="shared" si="1775"/>
        <v>1</v>
      </c>
      <c r="AO481" s="4">
        <v>1.25</v>
      </c>
      <c r="AP481" s="4">
        <v>1</v>
      </c>
      <c r="AQ481" s="38">
        <f t="shared" si="1776"/>
        <v>281.65272173894175</v>
      </c>
      <c r="AR481" s="38">
        <f t="shared" si="1835"/>
        <v>281.65272173894175</v>
      </c>
      <c r="AS481" s="38">
        <f t="shared" si="1777"/>
        <v>2.8294940183703567</v>
      </c>
      <c r="AX481" s="4">
        <f t="shared" si="1778"/>
        <v>184.11975985237513</v>
      </c>
      <c r="AY481" s="4">
        <f t="shared" si="1779"/>
        <v>1</v>
      </c>
      <c r="AZ481" s="38">
        <f t="shared" si="1780"/>
        <v>5202.1939943008729</v>
      </c>
      <c r="BA481" s="4">
        <f t="shared" si="1781"/>
        <v>0.3</v>
      </c>
      <c r="BB481" s="4">
        <f t="shared" si="1782"/>
        <v>28.860772356859794</v>
      </c>
      <c r="BC481" s="4">
        <f t="shared" si="1783"/>
        <v>5231.0547666577322</v>
      </c>
      <c r="BE481" s="4">
        <f t="shared" si="1784"/>
        <v>1.5</v>
      </c>
      <c r="BF481" s="4">
        <f t="shared" si="1785"/>
        <v>399.61069417190492</v>
      </c>
      <c r="BH481" s="4">
        <f t="shared" si="1786"/>
        <v>4989.5402274047219</v>
      </c>
      <c r="BI481" s="4">
        <f t="shared" si="1787"/>
        <v>0</v>
      </c>
      <c r="BJ481" s="4">
        <f t="shared" si="1788"/>
        <v>0</v>
      </c>
      <c r="BK481" s="4">
        <f t="shared" si="1612"/>
        <v>596.9</v>
      </c>
      <c r="BL481" s="4">
        <f t="shared" si="1613"/>
        <v>596.9</v>
      </c>
      <c r="BM481" s="4">
        <f t="shared" si="1614"/>
        <v>596.9</v>
      </c>
      <c r="BN481" s="4">
        <f t="shared" si="1615"/>
        <v>609.6</v>
      </c>
      <c r="BO481" s="4">
        <f t="shared" si="1616"/>
        <v>1</v>
      </c>
      <c r="BP481" s="25">
        <f t="shared" si="1617"/>
        <v>4</v>
      </c>
      <c r="BR481" s="4">
        <f t="shared" si="1789"/>
        <v>596.9</v>
      </c>
      <c r="BV481" s="9"/>
      <c r="BX481" s="9"/>
      <c r="BY481" s="9"/>
      <c r="BZ481" s="9">
        <f t="shared" si="1790"/>
        <v>596.9</v>
      </c>
      <c r="CA481" s="9">
        <f t="shared" si="1791"/>
        <v>596.9</v>
      </c>
      <c r="CB481" s="9">
        <f t="shared" si="1792"/>
        <v>4.8476798574163293</v>
      </c>
      <c r="CC481" s="40">
        <f t="shared" si="1793"/>
        <v>0</v>
      </c>
      <c r="CD481" s="9">
        <f t="shared" si="1794"/>
        <v>0</v>
      </c>
      <c r="CE481" s="9">
        <f t="shared" si="1795"/>
        <v>0</v>
      </c>
      <c r="CF481" s="9">
        <f t="shared" si="1796"/>
        <v>0.99524931562137331</v>
      </c>
      <c r="CG481" s="9">
        <f t="shared" si="1797"/>
        <v>0.68</v>
      </c>
      <c r="CH481" s="9">
        <f t="shared" si="1798"/>
        <v>1.2748218213295317</v>
      </c>
      <c r="CI481" s="9">
        <f t="shared" si="1799"/>
        <v>3.1870545533238293</v>
      </c>
      <c r="CJ481" s="40">
        <v>1</v>
      </c>
      <c r="CK481" s="9">
        <f t="shared" si="1800"/>
        <v>274.08669158584928</v>
      </c>
      <c r="DI481" s="4">
        <f t="shared" si="1801"/>
        <v>165.1</v>
      </c>
      <c r="DL481" s="4">
        <f t="shared" si="1802"/>
        <v>1.1521263534281654E-5</v>
      </c>
      <c r="DM481" s="4">
        <f t="shared" si="1803"/>
        <v>8.2572047805129003</v>
      </c>
      <c r="DN481" s="4">
        <f t="shared" si="1804"/>
        <v>0.26541501582698523</v>
      </c>
      <c r="DO481" s="4">
        <f t="shared" si="1805"/>
        <v>4.8573930946961532</v>
      </c>
      <c r="DP481" s="4">
        <f t="shared" si="1806"/>
        <v>6.7754289501989868</v>
      </c>
      <c r="DQ481" s="4">
        <f t="shared" si="1807"/>
        <v>8.1016652006466714</v>
      </c>
      <c r="DR481" s="38">
        <f t="shared" si="1808"/>
        <v>436.7203263688607</v>
      </c>
      <c r="DS481" s="4">
        <f t="shared" si="1809"/>
        <v>1</v>
      </c>
      <c r="DT481" s="4">
        <f t="shared" si="1810"/>
        <v>3.872983346207417</v>
      </c>
      <c r="DU481" s="4">
        <f t="shared" si="1811"/>
        <v>281.65272173894175</v>
      </c>
      <c r="DY481" s="4">
        <f t="shared" si="1812"/>
        <v>0.85</v>
      </c>
      <c r="DZ481" s="4">
        <f t="shared" si="1813"/>
        <v>0.7</v>
      </c>
      <c r="EA481" s="4">
        <f t="shared" si="1814"/>
        <v>1</v>
      </c>
      <c r="EB481" s="4">
        <f t="shared" si="1815"/>
        <v>0.7</v>
      </c>
      <c r="ED481" s="4">
        <f t="shared" si="1816"/>
        <v>889.65517241379314</v>
      </c>
      <c r="EH481" s="4">
        <f t="shared" si="1817"/>
        <v>8.2572047805129003</v>
      </c>
      <c r="EK481" s="4">
        <f t="shared" si="1818"/>
        <v>98.373776993668386</v>
      </c>
      <c r="EL481" s="4">
        <f t="shared" si="1819"/>
        <v>3.872983346207417</v>
      </c>
      <c r="EM481" s="4">
        <f t="shared" si="1820"/>
        <v>7.8239625108981664E-2</v>
      </c>
      <c r="EP481" s="4">
        <f t="shared" si="1821"/>
        <v>7.8239625108981664E-2</v>
      </c>
      <c r="EQ481" s="4">
        <f t="shared" si="1822"/>
        <v>0.26541501582698523</v>
      </c>
      <c r="ER481" s="4">
        <f t="shared" si="1823"/>
        <v>4.8573930946961532</v>
      </c>
      <c r="ES481" s="4">
        <f t="shared" si="1824"/>
        <v>6.7754289501989868</v>
      </c>
      <c r="ET481" s="4">
        <f t="shared" si="1825"/>
        <v>25.451223006331603</v>
      </c>
      <c r="EU481" s="4">
        <f t="shared" si="1826"/>
        <v>41.275000000000006</v>
      </c>
      <c r="EV481" s="4">
        <f t="shared" si="1827"/>
        <v>1.1521263534281654E-5</v>
      </c>
      <c r="EW481" s="4">
        <f t="shared" si="1828"/>
        <v>8.1016652006466714</v>
      </c>
      <c r="EX481" s="4">
        <f t="shared" si="1829"/>
        <v>436.7203263688607</v>
      </c>
      <c r="FG481" s="23"/>
      <c r="FH481" s="23"/>
      <c r="FI481" s="23"/>
      <c r="FJ481" s="23"/>
      <c r="FK481" s="23"/>
      <c r="FL481" s="23"/>
      <c r="FM481" s="23"/>
      <c r="FN481" s="23"/>
      <c r="FX481" s="4">
        <f t="shared" si="1830"/>
        <v>1</v>
      </c>
      <c r="FY481" s="4">
        <f t="shared" si="1831"/>
        <v>1.0833333333333333</v>
      </c>
      <c r="FZ481" s="4">
        <f t="shared" si="1832"/>
        <v>0</v>
      </c>
      <c r="GA481" s="4">
        <f t="shared" si="1833"/>
        <v>138.79835820431603</v>
      </c>
    </row>
    <row r="482" spans="1:184" ht="12" customHeight="1" x14ac:dyDescent="0.3">
      <c r="A482" s="52"/>
      <c r="B482" s="14" t="s">
        <v>605</v>
      </c>
      <c r="C482" s="24"/>
      <c r="D482" s="14" t="s">
        <v>365</v>
      </c>
      <c r="E482" s="24"/>
      <c r="F482" s="43" t="s">
        <v>636</v>
      </c>
      <c r="G482" s="38">
        <f t="shared" si="1764"/>
        <v>889.65517241379314</v>
      </c>
      <c r="H482" s="45">
        <v>165.1</v>
      </c>
      <c r="I482" s="4">
        <f t="shared" si="1765"/>
        <v>165.1</v>
      </c>
      <c r="J482" s="45">
        <v>28.96551724137931</v>
      </c>
      <c r="K482" s="7">
        <v>25.4</v>
      </c>
      <c r="L482" s="7">
        <f t="shared" si="1766"/>
        <v>6.5</v>
      </c>
      <c r="M482" s="7">
        <f t="shared" si="1767"/>
        <v>6.5</v>
      </c>
      <c r="N482" s="45">
        <v>1219.1999999999998</v>
      </c>
      <c r="O482" s="45">
        <v>596.9</v>
      </c>
      <c r="P482" s="45">
        <v>596.9</v>
      </c>
      <c r="Q482" s="7"/>
      <c r="R482" s="38">
        <v>1</v>
      </c>
      <c r="T482" s="7">
        <f t="shared" si="1834"/>
        <v>24</v>
      </c>
      <c r="U482" s="7">
        <f t="shared" si="1768"/>
        <v>24</v>
      </c>
      <c r="V482" s="45">
        <v>6.5</v>
      </c>
      <c r="W482" s="4">
        <f t="shared" si="1769"/>
        <v>6.5</v>
      </c>
      <c r="X482" s="4">
        <f t="shared" si="1770"/>
        <v>7.5</v>
      </c>
      <c r="Y482" s="7">
        <f t="shared" si="1771"/>
        <v>69.56076480315609</v>
      </c>
      <c r="AB482" s="45">
        <v>429.65517241379314</v>
      </c>
      <c r="AE482" s="38"/>
      <c r="AF482" s="38"/>
      <c r="AG482" s="39">
        <v>1</v>
      </c>
      <c r="AH482" s="39"/>
      <c r="AI482" s="39"/>
      <c r="AK482" s="4">
        <f t="shared" si="1772"/>
        <v>165.1</v>
      </c>
      <c r="AL482" s="4">
        <f t="shared" si="1773"/>
        <v>0.99999999999999989</v>
      </c>
      <c r="AM482" s="4">
        <f t="shared" si="1774"/>
        <v>225.32217739115345</v>
      </c>
      <c r="AN482" s="4">
        <f t="shared" si="1775"/>
        <v>1</v>
      </c>
      <c r="AO482" s="4">
        <v>1.25</v>
      </c>
      <c r="AP482" s="4">
        <v>1</v>
      </c>
      <c r="AQ482" s="38">
        <f t="shared" si="1776"/>
        <v>281.65272173894175</v>
      </c>
      <c r="AR482" s="38">
        <f t="shared" si="1835"/>
        <v>281.65272173894175</v>
      </c>
      <c r="AS482" s="38">
        <f t="shared" si="1777"/>
        <v>2.8294940183703567</v>
      </c>
      <c r="AX482" s="4">
        <f t="shared" si="1778"/>
        <v>184.11975985237513</v>
      </c>
      <c r="AY482" s="4">
        <f t="shared" si="1779"/>
        <v>1</v>
      </c>
      <c r="AZ482" s="38">
        <f t="shared" si="1780"/>
        <v>3544.697703242432</v>
      </c>
      <c r="BA482" s="4">
        <f t="shared" si="1781"/>
        <v>0.3</v>
      </c>
      <c r="BB482" s="4">
        <f t="shared" si="1782"/>
        <v>28.860772356859794</v>
      </c>
      <c r="BC482" s="4">
        <f t="shared" si="1783"/>
        <v>3573.5584755992918</v>
      </c>
      <c r="BE482" s="4">
        <f t="shared" si="1784"/>
        <v>1.5</v>
      </c>
      <c r="BF482" s="4">
        <f t="shared" si="1785"/>
        <v>399.61069417190492</v>
      </c>
      <c r="BH482" s="4">
        <f t="shared" si="1786"/>
        <v>3399.7985856915611</v>
      </c>
      <c r="BI482" s="4">
        <f t="shared" si="1787"/>
        <v>0</v>
      </c>
      <c r="BJ482" s="4">
        <f t="shared" si="1788"/>
        <v>0</v>
      </c>
      <c r="BK482" s="4">
        <f t="shared" si="1612"/>
        <v>596.9</v>
      </c>
      <c r="BL482" s="4">
        <f t="shared" si="1613"/>
        <v>596.9</v>
      </c>
      <c r="BM482" s="4">
        <f t="shared" si="1614"/>
        <v>596.9</v>
      </c>
      <c r="BN482" s="4">
        <f t="shared" si="1615"/>
        <v>609.6</v>
      </c>
      <c r="BO482" s="4">
        <f t="shared" si="1616"/>
        <v>1</v>
      </c>
      <c r="BP482" s="25">
        <f t="shared" si="1617"/>
        <v>4</v>
      </c>
      <c r="BR482" s="4">
        <f t="shared" si="1789"/>
        <v>596.9</v>
      </c>
      <c r="BV482" s="9"/>
      <c r="BX482" s="9"/>
      <c r="BY482" s="9"/>
      <c r="BZ482" s="9">
        <f t="shared" si="1790"/>
        <v>596.9</v>
      </c>
      <c r="CA482" s="9">
        <f t="shared" si="1791"/>
        <v>596.9</v>
      </c>
      <c r="CB482" s="9">
        <f t="shared" si="1792"/>
        <v>4.8476798574163293</v>
      </c>
      <c r="CC482" s="40">
        <f t="shared" si="1793"/>
        <v>0</v>
      </c>
      <c r="CD482" s="9">
        <f t="shared" si="1794"/>
        <v>0</v>
      </c>
      <c r="CE482" s="9">
        <f t="shared" si="1795"/>
        <v>0</v>
      </c>
      <c r="CF482" s="9">
        <f t="shared" si="1796"/>
        <v>0.99524931562137331</v>
      </c>
      <c r="CG482" s="9">
        <f t="shared" si="1797"/>
        <v>0.68</v>
      </c>
      <c r="CH482" s="9">
        <f t="shared" si="1798"/>
        <v>1.2748218213295317</v>
      </c>
      <c r="CI482" s="9">
        <f t="shared" si="1799"/>
        <v>3.1870545533238293</v>
      </c>
      <c r="CJ482" s="40">
        <v>1</v>
      </c>
      <c r="CK482" s="9">
        <f t="shared" si="1800"/>
        <v>274.08669158584928</v>
      </c>
      <c r="DI482" s="4">
        <f t="shared" si="1801"/>
        <v>165.1</v>
      </c>
      <c r="DL482" s="4">
        <f t="shared" si="1802"/>
        <v>1.1521263534281654E-5</v>
      </c>
      <c r="DM482" s="4">
        <f t="shared" si="1803"/>
        <v>8.2572047805129003</v>
      </c>
      <c r="DN482" s="4">
        <f t="shared" si="1804"/>
        <v>0.40422686235076083</v>
      </c>
      <c r="DO482" s="4">
        <f t="shared" si="1805"/>
        <v>5.7475548374367609</v>
      </c>
      <c r="DP482" s="4">
        <f t="shared" si="1806"/>
        <v>7.114271652605928</v>
      </c>
      <c r="DQ482" s="4">
        <f t="shared" si="1807"/>
        <v>8.0759712771072891</v>
      </c>
      <c r="DR482" s="38">
        <f t="shared" si="1808"/>
        <v>457.90319967815924</v>
      </c>
      <c r="DS482" s="4">
        <f t="shared" si="1809"/>
        <v>1</v>
      </c>
      <c r="DT482" s="4">
        <f t="shared" si="1810"/>
        <v>2.7386127875258306</v>
      </c>
      <c r="DU482" s="4">
        <f t="shared" si="1811"/>
        <v>281.65272173894175</v>
      </c>
      <c r="DY482" s="4">
        <f t="shared" si="1812"/>
        <v>0.85</v>
      </c>
      <c r="DZ482" s="4">
        <f t="shared" si="1813"/>
        <v>0.7</v>
      </c>
      <c r="EA482" s="4">
        <f t="shared" si="1814"/>
        <v>1</v>
      </c>
      <c r="EB482" s="4">
        <f t="shared" si="1815"/>
        <v>0.7</v>
      </c>
      <c r="ED482" s="4">
        <f t="shared" si="1816"/>
        <v>889.65517241379314</v>
      </c>
      <c r="EH482" s="4">
        <f t="shared" si="1817"/>
        <v>8.2572047805129003</v>
      </c>
      <c r="EK482" s="4">
        <f t="shared" si="1818"/>
        <v>69.56076480315609</v>
      </c>
      <c r="EL482" s="4">
        <f t="shared" si="1819"/>
        <v>2.7386127875258306</v>
      </c>
      <c r="EM482" s="4">
        <f t="shared" si="1820"/>
        <v>0.11915888809365521</v>
      </c>
      <c r="EP482" s="4">
        <f t="shared" si="1821"/>
        <v>0.11915888809365521</v>
      </c>
      <c r="EQ482" s="4">
        <f t="shared" si="1822"/>
        <v>0.40422686235076083</v>
      </c>
      <c r="ER482" s="4">
        <f t="shared" si="1823"/>
        <v>5.7475548374367609</v>
      </c>
      <c r="ES482" s="4">
        <f t="shared" si="1824"/>
        <v>7.114271652605928</v>
      </c>
      <c r="ET482" s="4">
        <f t="shared" si="1825"/>
        <v>54.264235196843899</v>
      </c>
      <c r="EU482" s="4">
        <f t="shared" si="1826"/>
        <v>41.275000000000006</v>
      </c>
      <c r="EV482" s="4">
        <f t="shared" si="1827"/>
        <v>1.1521263534281654E-5</v>
      </c>
      <c r="EW482" s="4">
        <f t="shared" si="1828"/>
        <v>8.0759712771072891</v>
      </c>
      <c r="EX482" s="4">
        <f t="shared" si="1829"/>
        <v>457.90319967815924</v>
      </c>
      <c r="FG482" s="23"/>
      <c r="FH482" s="23"/>
      <c r="FI482" s="23"/>
      <c r="FJ482" s="23"/>
      <c r="FK482" s="23"/>
      <c r="FL482" s="23"/>
      <c r="FM482" s="23"/>
      <c r="FN482" s="23"/>
      <c r="FX482" s="4">
        <f t="shared" si="1830"/>
        <v>1</v>
      </c>
      <c r="FY482" s="4">
        <f t="shared" si="1831"/>
        <v>1.0833333333333333</v>
      </c>
      <c r="FZ482" s="4">
        <f t="shared" si="1832"/>
        <v>0</v>
      </c>
      <c r="GA482" s="4">
        <f t="shared" si="1833"/>
        <v>138.79835820431603</v>
      </c>
    </row>
    <row r="483" spans="1:184" ht="12" customHeight="1" x14ac:dyDescent="0.3">
      <c r="A483" s="52"/>
      <c r="B483" s="14" t="s">
        <v>605</v>
      </c>
      <c r="C483" s="24"/>
      <c r="D483" s="14" t="s">
        <v>365</v>
      </c>
      <c r="E483" s="24"/>
      <c r="F483" s="43" t="s">
        <v>637</v>
      </c>
      <c r="G483" s="38">
        <f t="shared" si="1764"/>
        <v>889.65517241379314</v>
      </c>
      <c r="H483" s="45">
        <v>167.64</v>
      </c>
      <c r="I483" s="4">
        <f t="shared" si="1765"/>
        <v>167.64</v>
      </c>
      <c r="J483" s="45">
        <v>28.96551724137931</v>
      </c>
      <c r="K483" s="7">
        <v>25.4</v>
      </c>
      <c r="L483" s="7">
        <f t="shared" si="1766"/>
        <v>6.6</v>
      </c>
      <c r="M483" s="7">
        <f t="shared" si="1767"/>
        <v>6.6</v>
      </c>
      <c r="N483" s="45">
        <v>1219.1999999999998</v>
      </c>
      <c r="O483" s="45">
        <v>596.9</v>
      </c>
      <c r="P483" s="45">
        <v>596.9</v>
      </c>
      <c r="Q483" s="7"/>
      <c r="R483" s="38">
        <v>1</v>
      </c>
      <c r="T483" s="7">
        <f t="shared" si="1834"/>
        <v>24</v>
      </c>
      <c r="U483" s="7">
        <f t="shared" si="1768"/>
        <v>24</v>
      </c>
      <c r="V483" s="45">
        <v>12.9</v>
      </c>
      <c r="W483" s="4">
        <f t="shared" si="1769"/>
        <v>12.9</v>
      </c>
      <c r="X483" s="4">
        <f t="shared" si="1770"/>
        <v>13.9</v>
      </c>
      <c r="Y483" s="7">
        <f t="shared" si="1771"/>
        <v>94.698067562120812</v>
      </c>
      <c r="AB483" s="45">
        <v>457.24137931034483</v>
      </c>
      <c r="AE483" s="38"/>
      <c r="AF483" s="38"/>
      <c r="AG483" s="39">
        <v>1</v>
      </c>
      <c r="AH483" s="39"/>
      <c r="AI483" s="39"/>
      <c r="AK483" s="4">
        <f t="shared" si="1772"/>
        <v>167.64</v>
      </c>
      <c r="AL483" s="4">
        <f t="shared" si="1773"/>
        <v>1</v>
      </c>
      <c r="AM483" s="4">
        <f t="shared" si="1774"/>
        <v>230.54186797023712</v>
      </c>
      <c r="AN483" s="4">
        <f t="shared" si="1775"/>
        <v>1</v>
      </c>
      <c r="AO483" s="4">
        <v>1.25</v>
      </c>
      <c r="AP483" s="4">
        <v>1</v>
      </c>
      <c r="AQ483" s="38">
        <f t="shared" si="1776"/>
        <v>288.17733496279641</v>
      </c>
      <c r="AR483" s="38">
        <f t="shared" si="1835"/>
        <v>288.17733496279641</v>
      </c>
      <c r="AS483" s="38">
        <f t="shared" si="1777"/>
        <v>2.8294940183703567</v>
      </c>
      <c r="AX483" s="4">
        <f t="shared" si="1778"/>
        <v>186.95237154241164</v>
      </c>
      <c r="AY483" s="4">
        <f t="shared" si="1779"/>
        <v>1</v>
      </c>
      <c r="AZ483" s="38">
        <f t="shared" si="1780"/>
        <v>4993.6417313204183</v>
      </c>
      <c r="BA483" s="4">
        <f t="shared" si="1781"/>
        <v>0.3</v>
      </c>
      <c r="BB483" s="4">
        <f t="shared" si="1782"/>
        <v>29.304784239273019</v>
      </c>
      <c r="BC483" s="4">
        <f t="shared" si="1783"/>
        <v>5022.9465155596918</v>
      </c>
      <c r="BE483" s="4">
        <f t="shared" si="1784"/>
        <v>1.5</v>
      </c>
      <c r="BF483" s="4">
        <f t="shared" si="1785"/>
        <v>402.03257716688609</v>
      </c>
      <c r="BH483" s="4">
        <f t="shared" si="1786"/>
        <v>4789.5131029266167</v>
      </c>
      <c r="BI483" s="4">
        <f t="shared" si="1787"/>
        <v>0</v>
      </c>
      <c r="BJ483" s="4">
        <f t="shared" si="1788"/>
        <v>0</v>
      </c>
      <c r="BK483" s="4">
        <f t="shared" si="1612"/>
        <v>596.9</v>
      </c>
      <c r="BL483" s="4">
        <f t="shared" si="1613"/>
        <v>596.9</v>
      </c>
      <c r="BM483" s="4">
        <f t="shared" si="1614"/>
        <v>596.9</v>
      </c>
      <c r="BN483" s="4">
        <f t="shared" si="1615"/>
        <v>609.6</v>
      </c>
      <c r="BO483" s="4">
        <f t="shared" si="1616"/>
        <v>1</v>
      </c>
      <c r="BP483" s="25">
        <f t="shared" si="1617"/>
        <v>4</v>
      </c>
      <c r="BR483" s="4">
        <f t="shared" si="1789"/>
        <v>596.9</v>
      </c>
      <c r="BV483" s="9"/>
      <c r="BX483" s="9"/>
      <c r="BY483" s="9"/>
      <c r="BZ483" s="9">
        <f t="shared" si="1790"/>
        <v>596.9</v>
      </c>
      <c r="CA483" s="9">
        <f t="shared" si="1791"/>
        <v>596.9</v>
      </c>
      <c r="CB483" s="9">
        <f t="shared" si="1792"/>
        <v>4.8476798574163293</v>
      </c>
      <c r="CC483" s="40">
        <f t="shared" si="1793"/>
        <v>0</v>
      </c>
      <c r="CD483" s="9">
        <f t="shared" si="1794"/>
        <v>0</v>
      </c>
      <c r="CE483" s="9">
        <f t="shared" si="1795"/>
        <v>0</v>
      </c>
      <c r="CF483" s="9">
        <f t="shared" si="1796"/>
        <v>0.99524931562137331</v>
      </c>
      <c r="CG483" s="9">
        <f t="shared" si="1797"/>
        <v>0.68</v>
      </c>
      <c r="CH483" s="9">
        <f t="shared" si="1798"/>
        <v>1.2748218213295317</v>
      </c>
      <c r="CI483" s="9">
        <f t="shared" si="1799"/>
        <v>3.1870545533238293</v>
      </c>
      <c r="CJ483" s="40">
        <v>1</v>
      </c>
      <c r="CK483" s="9">
        <f t="shared" si="1800"/>
        <v>275.36151340717885</v>
      </c>
      <c r="DI483" s="4">
        <f t="shared" si="1801"/>
        <v>167.64</v>
      </c>
      <c r="DL483" s="4">
        <f t="shared" si="1802"/>
        <v>1.1698513742501371E-5</v>
      </c>
      <c r="DM483" s="4">
        <f t="shared" si="1803"/>
        <v>8.2572047805129003</v>
      </c>
      <c r="DN483" s="4">
        <f t="shared" si="1804"/>
        <v>0.2837079160613234</v>
      </c>
      <c r="DO483" s="4">
        <f t="shared" si="1805"/>
        <v>4.9886339367525627</v>
      </c>
      <c r="DP483" s="4">
        <f t="shared" si="1806"/>
        <v>6.8227253695393193</v>
      </c>
      <c r="DQ483" s="4">
        <f t="shared" si="1807"/>
        <v>8.0922731041582345</v>
      </c>
      <c r="DR483" s="38">
        <f t="shared" si="1808"/>
        <v>449.32434474079685</v>
      </c>
      <c r="DS483" s="4">
        <f t="shared" si="1809"/>
        <v>1</v>
      </c>
      <c r="DT483" s="4">
        <f t="shared" si="1810"/>
        <v>3.7282703764614493</v>
      </c>
      <c r="DU483" s="4">
        <f t="shared" si="1811"/>
        <v>288.17733496279641</v>
      </c>
      <c r="DY483" s="4">
        <f t="shared" si="1812"/>
        <v>0.85</v>
      </c>
      <c r="DZ483" s="4">
        <f t="shared" si="1813"/>
        <v>0.7</v>
      </c>
      <c r="EA483" s="4">
        <f t="shared" si="1814"/>
        <v>1</v>
      </c>
      <c r="EB483" s="4">
        <f t="shared" si="1815"/>
        <v>0.7</v>
      </c>
      <c r="ED483" s="4">
        <f t="shared" si="1816"/>
        <v>889.65517241379314</v>
      </c>
      <c r="EH483" s="4">
        <f t="shared" si="1817"/>
        <v>8.2572047805129003</v>
      </c>
      <c r="EK483" s="4">
        <f t="shared" si="1818"/>
        <v>94.698067562120812</v>
      </c>
      <c r="EL483" s="4">
        <f t="shared" si="1819"/>
        <v>3.7282703764614498</v>
      </c>
      <c r="EM483" s="4">
        <f t="shared" si="1820"/>
        <v>8.3632046679521552E-2</v>
      </c>
      <c r="EP483" s="4">
        <f t="shared" si="1821"/>
        <v>8.3632046679521552E-2</v>
      </c>
      <c r="EQ483" s="4">
        <f t="shared" si="1822"/>
        <v>0.2837079160613234</v>
      </c>
      <c r="ER483" s="4">
        <f t="shared" si="1823"/>
        <v>4.9886339367525627</v>
      </c>
      <c r="ES483" s="4">
        <f t="shared" si="1824"/>
        <v>6.8227253695393193</v>
      </c>
      <c r="ET483" s="4">
        <f t="shared" si="1825"/>
        <v>31.031932437879178</v>
      </c>
      <c r="EU483" s="4">
        <f t="shared" si="1826"/>
        <v>41.91</v>
      </c>
      <c r="EV483" s="4">
        <f t="shared" si="1827"/>
        <v>1.1698513742501371E-5</v>
      </c>
      <c r="EW483" s="4">
        <f t="shared" si="1828"/>
        <v>8.0922731041582345</v>
      </c>
      <c r="EX483" s="4">
        <f t="shared" si="1829"/>
        <v>449.32434474079685</v>
      </c>
      <c r="FG483" s="23"/>
      <c r="FH483" s="23"/>
      <c r="FI483" s="23"/>
      <c r="FJ483" s="23"/>
      <c r="FK483" s="23"/>
      <c r="FL483" s="23"/>
      <c r="FM483" s="23"/>
      <c r="FN483" s="23"/>
      <c r="FX483" s="4">
        <f t="shared" si="1830"/>
        <v>1</v>
      </c>
      <c r="FY483" s="4">
        <f t="shared" si="1831"/>
        <v>1.0833333333333333</v>
      </c>
      <c r="FZ483" s="4">
        <f t="shared" si="1832"/>
        <v>0</v>
      </c>
      <c r="GA483" s="4">
        <f t="shared" si="1833"/>
        <v>140.93371756130549</v>
      </c>
    </row>
    <row r="484" spans="1:184" ht="12" customHeight="1" x14ac:dyDescent="0.3">
      <c r="A484" s="52"/>
      <c r="B484" s="14" t="s">
        <v>605</v>
      </c>
      <c r="C484" s="24"/>
      <c r="D484" s="14" t="s">
        <v>365</v>
      </c>
      <c r="E484" s="24"/>
      <c r="F484" s="43" t="s">
        <v>638</v>
      </c>
      <c r="G484" s="38">
        <f t="shared" si="1764"/>
        <v>889.65517241379314</v>
      </c>
      <c r="H484" s="45">
        <v>165.1</v>
      </c>
      <c r="I484" s="4">
        <f t="shared" si="1765"/>
        <v>165.1</v>
      </c>
      <c r="J484" s="45">
        <v>28.96551724137931</v>
      </c>
      <c r="K484" s="7">
        <v>25.4</v>
      </c>
      <c r="L484" s="7">
        <f t="shared" si="1766"/>
        <v>6.5</v>
      </c>
      <c r="M484" s="7">
        <f t="shared" si="1767"/>
        <v>6.5</v>
      </c>
      <c r="N484" s="45">
        <v>1219.1999999999998</v>
      </c>
      <c r="O484" s="45">
        <v>596.9</v>
      </c>
      <c r="P484" s="45">
        <v>596.9</v>
      </c>
      <c r="Q484" s="7"/>
      <c r="R484" s="38">
        <v>1</v>
      </c>
      <c r="T484" s="7">
        <f t="shared" si="1834"/>
        <v>24</v>
      </c>
      <c r="U484" s="7">
        <f t="shared" si="1768"/>
        <v>24</v>
      </c>
      <c r="V484" s="45">
        <v>4.5</v>
      </c>
      <c r="W484" s="4">
        <f t="shared" si="1769"/>
        <v>4.5</v>
      </c>
      <c r="X484" s="4">
        <f t="shared" si="1770"/>
        <v>5.5</v>
      </c>
      <c r="Y484" s="7">
        <f t="shared" si="1771"/>
        <v>59.568280149757555</v>
      </c>
      <c r="AB484" s="45">
        <v>437.24137931034483</v>
      </c>
      <c r="AE484" s="38"/>
      <c r="AF484" s="38"/>
      <c r="AG484" s="39">
        <v>1</v>
      </c>
      <c r="AH484" s="39"/>
      <c r="AI484" s="39"/>
      <c r="AK484" s="4">
        <f t="shared" si="1772"/>
        <v>165.1</v>
      </c>
      <c r="AL484" s="4">
        <f t="shared" si="1773"/>
        <v>0.99999999999999989</v>
      </c>
      <c r="AM484" s="4">
        <f t="shared" si="1774"/>
        <v>225.32217739115345</v>
      </c>
      <c r="AN484" s="4">
        <f t="shared" si="1775"/>
        <v>1</v>
      </c>
      <c r="AO484" s="4">
        <v>1.25</v>
      </c>
      <c r="AP484" s="4">
        <v>1</v>
      </c>
      <c r="AQ484" s="38">
        <f t="shared" si="1776"/>
        <v>281.65272173894175</v>
      </c>
      <c r="AR484" s="38">
        <f t="shared" si="1835"/>
        <v>281.65272173894175</v>
      </c>
      <c r="AS484" s="38">
        <f t="shared" si="1777"/>
        <v>2.8294940183703567</v>
      </c>
      <c r="AX484" s="4">
        <f t="shared" si="1778"/>
        <v>184.11975985237513</v>
      </c>
      <c r="AY484" s="4">
        <f t="shared" si="1779"/>
        <v>1</v>
      </c>
      <c r="AZ484" s="38">
        <f t="shared" si="1780"/>
        <v>2949.3667673215441</v>
      </c>
      <c r="BA484" s="4">
        <f t="shared" si="1781"/>
        <v>0.37</v>
      </c>
      <c r="BB484" s="4">
        <f t="shared" si="1782"/>
        <v>35.594952573460411</v>
      </c>
      <c r="BC484" s="4">
        <f t="shared" si="1783"/>
        <v>2984.9617198950045</v>
      </c>
      <c r="BE484" s="4">
        <f t="shared" si="1784"/>
        <v>1.5</v>
      </c>
      <c r="BF484" s="4">
        <f t="shared" si="1785"/>
        <v>399.61069417190492</v>
      </c>
      <c r="BH484" s="4">
        <f t="shared" si="1786"/>
        <v>2828.8034139140482</v>
      </c>
      <c r="BI484" s="4">
        <f t="shared" si="1787"/>
        <v>0</v>
      </c>
      <c r="BJ484" s="4">
        <f t="shared" si="1788"/>
        <v>0</v>
      </c>
      <c r="BK484" s="4">
        <f t="shared" si="1612"/>
        <v>596.9</v>
      </c>
      <c r="BL484" s="4">
        <f t="shared" si="1613"/>
        <v>596.9</v>
      </c>
      <c r="BM484" s="4">
        <f t="shared" si="1614"/>
        <v>596.9</v>
      </c>
      <c r="BN484" s="4">
        <f t="shared" si="1615"/>
        <v>609.6</v>
      </c>
      <c r="BO484" s="4">
        <f t="shared" si="1616"/>
        <v>1</v>
      </c>
      <c r="BP484" s="25">
        <f t="shared" si="1617"/>
        <v>4</v>
      </c>
      <c r="BR484" s="4">
        <f t="shared" si="1789"/>
        <v>596.9</v>
      </c>
      <c r="BV484" s="9"/>
      <c r="BX484" s="9"/>
      <c r="BY484" s="9"/>
      <c r="BZ484" s="9">
        <f t="shared" si="1790"/>
        <v>596.9</v>
      </c>
      <c r="CA484" s="9">
        <f t="shared" si="1791"/>
        <v>596.9</v>
      </c>
      <c r="CB484" s="9">
        <f t="shared" si="1792"/>
        <v>4.8476798574163293</v>
      </c>
      <c r="CC484" s="40">
        <f t="shared" si="1793"/>
        <v>0</v>
      </c>
      <c r="CD484" s="9">
        <f t="shared" si="1794"/>
        <v>0</v>
      </c>
      <c r="CE484" s="9">
        <f t="shared" si="1795"/>
        <v>0</v>
      </c>
      <c r="CF484" s="9">
        <f t="shared" si="1796"/>
        <v>0.99524931562137331</v>
      </c>
      <c r="CG484" s="9">
        <f t="shared" si="1797"/>
        <v>0.68</v>
      </c>
      <c r="CH484" s="9">
        <f t="shared" si="1798"/>
        <v>1.2748218213295317</v>
      </c>
      <c r="CI484" s="9">
        <f t="shared" si="1799"/>
        <v>3.1870545533238293</v>
      </c>
      <c r="CJ484" s="40">
        <v>1</v>
      </c>
      <c r="CK484" s="9">
        <f t="shared" si="1800"/>
        <v>274.08669158584928</v>
      </c>
      <c r="DI484" s="4">
        <f t="shared" si="1801"/>
        <v>165.1</v>
      </c>
      <c r="DL484" s="4">
        <f t="shared" si="1802"/>
        <v>1.1521263534281654E-5</v>
      </c>
      <c r="DM484" s="4">
        <f t="shared" si="1803"/>
        <v>8.2572047805129003</v>
      </c>
      <c r="DN484" s="4">
        <f t="shared" si="1804"/>
        <v>0.50000773924973707</v>
      </c>
      <c r="DO484" s="4">
        <f t="shared" si="1805"/>
        <v>6.257829783752344</v>
      </c>
      <c r="DP484" s="4">
        <f t="shared" si="1806"/>
        <v>7.3261726234865572</v>
      </c>
      <c r="DQ484" s="4">
        <f t="shared" si="1807"/>
        <v>8.0650416635962614</v>
      </c>
      <c r="DR484" s="38">
        <f t="shared" si="1808"/>
        <v>466.91391452553756</v>
      </c>
      <c r="DS484" s="4">
        <f t="shared" si="1809"/>
        <v>1</v>
      </c>
      <c r="DT484" s="4">
        <f t="shared" si="1810"/>
        <v>2.3452078799117149</v>
      </c>
      <c r="DU484" s="4">
        <f t="shared" si="1811"/>
        <v>281.65272173894175</v>
      </c>
      <c r="DY484" s="4">
        <f t="shared" si="1812"/>
        <v>0.85</v>
      </c>
      <c r="DZ484" s="4">
        <f t="shared" si="1813"/>
        <v>0.7</v>
      </c>
      <c r="EA484" s="4">
        <f t="shared" si="1814"/>
        <v>1</v>
      </c>
      <c r="EB484" s="4">
        <f t="shared" si="1815"/>
        <v>0.7</v>
      </c>
      <c r="ED484" s="4">
        <f t="shared" si="1816"/>
        <v>889.65517241379314</v>
      </c>
      <c r="EH484" s="4">
        <f t="shared" si="1817"/>
        <v>8.2572047805129003</v>
      </c>
      <c r="EK484" s="4">
        <f t="shared" si="1818"/>
        <v>59.568280149757555</v>
      </c>
      <c r="EL484" s="4">
        <f t="shared" si="1819"/>
        <v>2.3452078799117149</v>
      </c>
      <c r="EM484" s="4">
        <f t="shared" si="1820"/>
        <v>0.14739338672530161</v>
      </c>
      <c r="EP484" s="4">
        <f t="shared" si="1821"/>
        <v>0.14739338672530161</v>
      </c>
      <c r="EQ484" s="4">
        <f t="shared" si="1822"/>
        <v>0.50000773924973707</v>
      </c>
      <c r="ER484" s="4">
        <f t="shared" si="1823"/>
        <v>6.257829783752344</v>
      </c>
      <c r="ES484" s="4">
        <f t="shared" si="1824"/>
        <v>7.3261726234865572</v>
      </c>
      <c r="ET484" s="4">
        <f t="shared" si="1825"/>
        <v>64.256719850242433</v>
      </c>
      <c r="EU484" s="4">
        <f t="shared" si="1826"/>
        <v>41.275000000000006</v>
      </c>
      <c r="EV484" s="4">
        <f t="shared" si="1827"/>
        <v>1.1521263534281654E-5</v>
      </c>
      <c r="EW484" s="4">
        <f t="shared" si="1828"/>
        <v>8.0650416635962596</v>
      </c>
      <c r="EX484" s="4">
        <f t="shared" si="1829"/>
        <v>466.91391452553756</v>
      </c>
      <c r="FG484" s="23"/>
      <c r="FH484" s="23"/>
      <c r="FI484" s="23"/>
      <c r="FJ484" s="23"/>
      <c r="FK484" s="23"/>
      <c r="FL484" s="23"/>
      <c r="FM484" s="23"/>
      <c r="FN484" s="23"/>
      <c r="FX484" s="4">
        <f t="shared" si="1830"/>
        <v>1</v>
      </c>
      <c r="FY484" s="4">
        <f t="shared" si="1831"/>
        <v>1.0833333333333333</v>
      </c>
      <c r="FZ484" s="4">
        <f t="shared" si="1832"/>
        <v>0</v>
      </c>
      <c r="GA484" s="4">
        <f t="shared" si="1833"/>
        <v>138.79835820431603</v>
      </c>
    </row>
    <row r="485" spans="1:184" ht="12" customHeight="1" x14ac:dyDescent="0.3">
      <c r="A485" s="52"/>
      <c r="B485" s="14" t="s">
        <v>605</v>
      </c>
      <c r="C485" s="24"/>
      <c r="D485" s="14" t="s">
        <v>365</v>
      </c>
      <c r="E485" s="24"/>
      <c r="F485" s="43" t="s">
        <v>639</v>
      </c>
      <c r="G485" s="38">
        <f t="shared" si="1764"/>
        <v>889.65517241379314</v>
      </c>
      <c r="H485" s="45">
        <v>165.1</v>
      </c>
      <c r="I485" s="4">
        <f t="shared" si="1765"/>
        <v>165.1</v>
      </c>
      <c r="J485" s="45">
        <v>28.96551724137931</v>
      </c>
      <c r="K485" s="7">
        <v>25.4</v>
      </c>
      <c r="L485" s="7">
        <f t="shared" si="1766"/>
        <v>6.5</v>
      </c>
      <c r="M485" s="7">
        <f t="shared" si="1767"/>
        <v>6.5</v>
      </c>
      <c r="N485" s="45">
        <v>1219.1999999999998</v>
      </c>
      <c r="O485" s="45">
        <v>596.9</v>
      </c>
      <c r="P485" s="45">
        <v>596.9</v>
      </c>
      <c r="Q485" s="7"/>
      <c r="R485" s="38">
        <v>1</v>
      </c>
      <c r="T485" s="7">
        <f t="shared" si="1834"/>
        <v>24</v>
      </c>
      <c r="U485" s="7">
        <f t="shared" si="1768"/>
        <v>24</v>
      </c>
      <c r="V485" s="45">
        <v>9.5</v>
      </c>
      <c r="W485" s="4">
        <f t="shared" si="1769"/>
        <v>9.5</v>
      </c>
      <c r="X485" s="4">
        <f t="shared" si="1770"/>
        <v>10.5</v>
      </c>
      <c r="Y485" s="7">
        <f t="shared" si="1771"/>
        <v>82.305406869779816</v>
      </c>
      <c r="AB485" s="45">
        <v>426.89655172413796</v>
      </c>
      <c r="AE485" s="38"/>
      <c r="AF485" s="38"/>
      <c r="AG485" s="39">
        <v>1</v>
      </c>
      <c r="AH485" s="39"/>
      <c r="AI485" s="39"/>
      <c r="AK485" s="4">
        <f t="shared" si="1772"/>
        <v>165.1</v>
      </c>
      <c r="AL485" s="4">
        <f t="shared" si="1773"/>
        <v>0.99999999999999989</v>
      </c>
      <c r="AM485" s="4">
        <f t="shared" si="1774"/>
        <v>225.32217739115345</v>
      </c>
      <c r="AN485" s="4">
        <f t="shared" si="1775"/>
        <v>1</v>
      </c>
      <c r="AO485" s="4">
        <v>1.25</v>
      </c>
      <c r="AP485" s="4">
        <v>1</v>
      </c>
      <c r="AQ485" s="38">
        <f t="shared" si="1776"/>
        <v>281.65272173894175</v>
      </c>
      <c r="AR485" s="38">
        <f t="shared" si="1835"/>
        <v>281.65272173894175</v>
      </c>
      <c r="AS485" s="38">
        <f t="shared" si="1777"/>
        <v>2.8294940183703567</v>
      </c>
      <c r="AX485" s="4">
        <f t="shared" si="1778"/>
        <v>184.11975985237513</v>
      </c>
      <c r="AY485" s="4">
        <f t="shared" si="1779"/>
        <v>1</v>
      </c>
      <c r="AZ485" s="38">
        <f t="shared" si="1780"/>
        <v>4285.3305620639503</v>
      </c>
      <c r="BA485" s="4">
        <f t="shared" si="1781"/>
        <v>0.3</v>
      </c>
      <c r="BB485" s="4">
        <f t="shared" si="1782"/>
        <v>28.860772356859794</v>
      </c>
      <c r="BC485" s="4">
        <f t="shared" si="1783"/>
        <v>4314.1913344208097</v>
      </c>
      <c r="BE485" s="4">
        <f t="shared" si="1784"/>
        <v>1.5</v>
      </c>
      <c r="BF485" s="4">
        <f t="shared" si="1785"/>
        <v>399.61069417190492</v>
      </c>
      <c r="BH485" s="4">
        <f t="shared" si="1786"/>
        <v>4110.1560707980652</v>
      </c>
      <c r="BI485" s="4">
        <f t="shared" si="1787"/>
        <v>0</v>
      </c>
      <c r="BJ485" s="4">
        <f t="shared" si="1788"/>
        <v>0</v>
      </c>
      <c r="BK485" s="4">
        <f t="shared" si="1612"/>
        <v>596.9</v>
      </c>
      <c r="BL485" s="4">
        <f t="shared" si="1613"/>
        <v>596.9</v>
      </c>
      <c r="BM485" s="4">
        <f t="shared" si="1614"/>
        <v>596.9</v>
      </c>
      <c r="BN485" s="4">
        <f t="shared" si="1615"/>
        <v>609.6</v>
      </c>
      <c r="BO485" s="4">
        <f t="shared" si="1616"/>
        <v>1</v>
      </c>
      <c r="BP485" s="25">
        <f t="shared" si="1617"/>
        <v>4</v>
      </c>
      <c r="BR485" s="4">
        <f t="shared" si="1789"/>
        <v>596.9</v>
      </c>
      <c r="BV485" s="9"/>
      <c r="BX485" s="9"/>
      <c r="BY485" s="9"/>
      <c r="BZ485" s="9">
        <f t="shared" si="1790"/>
        <v>596.9</v>
      </c>
      <c r="CA485" s="9">
        <f t="shared" si="1791"/>
        <v>596.9</v>
      </c>
      <c r="CB485" s="9">
        <f t="shared" si="1792"/>
        <v>4.8476798574163293</v>
      </c>
      <c r="CC485" s="40">
        <f t="shared" si="1793"/>
        <v>0</v>
      </c>
      <c r="CD485" s="9">
        <f t="shared" si="1794"/>
        <v>0</v>
      </c>
      <c r="CE485" s="9">
        <f t="shared" si="1795"/>
        <v>0</v>
      </c>
      <c r="CF485" s="9">
        <f t="shared" si="1796"/>
        <v>0.99524931562137331</v>
      </c>
      <c r="CG485" s="9">
        <f t="shared" si="1797"/>
        <v>0.68</v>
      </c>
      <c r="CH485" s="9">
        <f t="shared" si="1798"/>
        <v>1.2748218213295317</v>
      </c>
      <c r="CI485" s="9">
        <f t="shared" si="1799"/>
        <v>3.1870545533238293</v>
      </c>
      <c r="CJ485" s="40">
        <v>1</v>
      </c>
      <c r="CK485" s="9">
        <f t="shared" si="1800"/>
        <v>274.08669158584928</v>
      </c>
      <c r="DI485" s="4">
        <f t="shared" si="1801"/>
        <v>165.1</v>
      </c>
      <c r="DL485" s="4">
        <f t="shared" si="1802"/>
        <v>1.1521263534281654E-5</v>
      </c>
      <c r="DM485" s="4">
        <f t="shared" si="1803"/>
        <v>8.2572047805129003</v>
      </c>
      <c r="DN485" s="4">
        <f t="shared" si="1804"/>
        <v>0.32724946090324902</v>
      </c>
      <c r="DO485" s="4">
        <f t="shared" si="1805"/>
        <v>5.2818325815863334</v>
      </c>
      <c r="DP485" s="4">
        <f t="shared" si="1806"/>
        <v>6.9318072770896242</v>
      </c>
      <c r="DQ485" s="4">
        <f t="shared" si="1807"/>
        <v>8.0879729188138541</v>
      </c>
      <c r="DR485" s="38">
        <f t="shared" si="1808"/>
        <v>448.00867129349689</v>
      </c>
      <c r="DS485" s="4">
        <f t="shared" si="1809"/>
        <v>1</v>
      </c>
      <c r="DT485" s="4">
        <f t="shared" si="1810"/>
        <v>3.2403703492039297</v>
      </c>
      <c r="DU485" s="4">
        <f t="shared" si="1811"/>
        <v>281.65272173894175</v>
      </c>
      <c r="DY485" s="4">
        <f t="shared" si="1812"/>
        <v>0.85</v>
      </c>
      <c r="DZ485" s="4">
        <f t="shared" si="1813"/>
        <v>0.7</v>
      </c>
      <c r="EA485" s="4">
        <f t="shared" si="1814"/>
        <v>1</v>
      </c>
      <c r="EB485" s="4">
        <f t="shared" si="1815"/>
        <v>0.7</v>
      </c>
      <c r="ED485" s="4">
        <f t="shared" si="1816"/>
        <v>889.65517241379314</v>
      </c>
      <c r="EH485" s="4">
        <f t="shared" si="1817"/>
        <v>8.2572047805129003</v>
      </c>
      <c r="EK485" s="4">
        <f t="shared" si="1818"/>
        <v>82.305406869779816</v>
      </c>
      <c r="EL485" s="4">
        <f t="shared" si="1819"/>
        <v>3.2403703492039302</v>
      </c>
      <c r="EM485" s="4">
        <f t="shared" si="1820"/>
        <v>9.6467319523763598E-2</v>
      </c>
      <c r="EP485" s="4">
        <f t="shared" si="1821"/>
        <v>9.6467319523763598E-2</v>
      </c>
      <c r="EQ485" s="4">
        <f t="shared" si="1822"/>
        <v>0.32724946090324902</v>
      </c>
      <c r="ER485" s="4">
        <f t="shared" si="1823"/>
        <v>5.2818325815863334</v>
      </c>
      <c r="ES485" s="4">
        <f t="shared" si="1824"/>
        <v>6.9318072770896242</v>
      </c>
      <c r="ET485" s="4">
        <f t="shared" si="1825"/>
        <v>41.519593130220173</v>
      </c>
      <c r="EU485" s="4">
        <f t="shared" si="1826"/>
        <v>41.275000000000006</v>
      </c>
      <c r="EV485" s="4">
        <f t="shared" si="1827"/>
        <v>1.1521263534281654E-5</v>
      </c>
      <c r="EW485" s="4">
        <f t="shared" si="1828"/>
        <v>8.0879729188138541</v>
      </c>
      <c r="EX485" s="4">
        <f t="shared" si="1829"/>
        <v>448.00867129349689</v>
      </c>
      <c r="FG485" s="23"/>
      <c r="FH485" s="23"/>
      <c r="FI485" s="23"/>
      <c r="FJ485" s="23"/>
      <c r="FK485" s="23"/>
      <c r="FL485" s="23"/>
      <c r="FM485" s="23"/>
      <c r="FN485" s="23"/>
      <c r="FX485" s="4">
        <f t="shared" si="1830"/>
        <v>1</v>
      </c>
      <c r="FY485" s="4">
        <f t="shared" si="1831"/>
        <v>1.0833333333333333</v>
      </c>
      <c r="FZ485" s="4">
        <f t="shared" si="1832"/>
        <v>0</v>
      </c>
      <c r="GA485" s="4">
        <f t="shared" si="1833"/>
        <v>138.79835820431603</v>
      </c>
    </row>
    <row r="486" spans="1:184" ht="12" customHeight="1" x14ac:dyDescent="0.3">
      <c r="A486" s="52"/>
      <c r="B486" s="14" t="s">
        <v>605</v>
      </c>
      <c r="C486" s="24"/>
      <c r="D486" s="14" t="s">
        <v>365</v>
      </c>
      <c r="E486" s="24"/>
      <c r="F486" s="43" t="s">
        <v>639</v>
      </c>
      <c r="G486" s="38">
        <f t="shared" si="1764"/>
        <v>889.65517241379314</v>
      </c>
      <c r="H486" s="45">
        <v>162.56</v>
      </c>
      <c r="I486" s="4">
        <f t="shared" si="1765"/>
        <v>162.56</v>
      </c>
      <c r="J486" s="45">
        <v>28.96551724137931</v>
      </c>
      <c r="K486" s="7">
        <v>25.4</v>
      </c>
      <c r="L486" s="7">
        <f t="shared" si="1766"/>
        <v>6.4</v>
      </c>
      <c r="M486" s="7">
        <f t="shared" si="1767"/>
        <v>6.4</v>
      </c>
      <c r="N486" s="45">
        <v>1219.1999999999998</v>
      </c>
      <c r="O486" s="45">
        <v>596.9</v>
      </c>
      <c r="P486" s="45">
        <v>596.9</v>
      </c>
      <c r="Q486" s="7"/>
      <c r="R486" s="38">
        <v>1</v>
      </c>
      <c r="T486" s="7">
        <f t="shared" si="1834"/>
        <v>24</v>
      </c>
      <c r="U486" s="7">
        <f t="shared" si="1768"/>
        <v>24</v>
      </c>
      <c r="V486" s="45">
        <v>9.5</v>
      </c>
      <c r="W486" s="4">
        <f t="shared" si="1769"/>
        <v>9.5</v>
      </c>
      <c r="X486" s="4">
        <f t="shared" si="1770"/>
        <v>10.5</v>
      </c>
      <c r="Y486" s="7">
        <f t="shared" si="1771"/>
        <v>82.305406869779816</v>
      </c>
      <c r="AB486" s="45">
        <v>475.86206896551727</v>
      </c>
      <c r="AE486" s="38"/>
      <c r="AF486" s="38"/>
      <c r="AG486" s="39">
        <v>1</v>
      </c>
      <c r="AH486" s="39"/>
      <c r="AI486" s="39"/>
      <c r="AK486" s="4">
        <f t="shared" si="1772"/>
        <v>162.56</v>
      </c>
      <c r="AL486" s="4">
        <f t="shared" si="1773"/>
        <v>1</v>
      </c>
      <c r="AM486" s="4">
        <f t="shared" si="1774"/>
        <v>220.14248542345268</v>
      </c>
      <c r="AN486" s="4">
        <f t="shared" si="1775"/>
        <v>1</v>
      </c>
      <c r="AO486" s="4">
        <v>1.25</v>
      </c>
      <c r="AP486" s="4">
        <v>1</v>
      </c>
      <c r="AQ486" s="38">
        <f t="shared" si="1776"/>
        <v>275.17810677931584</v>
      </c>
      <c r="AR486" s="38">
        <f t="shared" si="1835"/>
        <v>275.17810677931584</v>
      </c>
      <c r="AS486" s="38">
        <f t="shared" si="1777"/>
        <v>2.8294940183703567</v>
      </c>
      <c r="AX486" s="4">
        <f t="shared" si="1778"/>
        <v>181.28714816233858</v>
      </c>
      <c r="AY486" s="4">
        <f t="shared" si="1779"/>
        <v>1</v>
      </c>
      <c r="AZ486" s="38">
        <f t="shared" si="1780"/>
        <v>4285.3305620639503</v>
      </c>
      <c r="BA486" s="4">
        <f t="shared" si="1781"/>
        <v>0.3</v>
      </c>
      <c r="BB486" s="4">
        <f t="shared" si="1782"/>
        <v>28.416760474446569</v>
      </c>
      <c r="BC486" s="4">
        <f t="shared" si="1783"/>
        <v>4313.7473225383965</v>
      </c>
      <c r="BE486" s="4">
        <f t="shared" si="1784"/>
        <v>1.5</v>
      </c>
      <c r="BF486" s="4">
        <f t="shared" si="1785"/>
        <v>397.18881117692376</v>
      </c>
      <c r="BH486" s="4">
        <f t="shared" si="1786"/>
        <v>4110.1560707980652</v>
      </c>
      <c r="BI486" s="4">
        <f t="shared" si="1787"/>
        <v>0</v>
      </c>
      <c r="BJ486" s="4">
        <f t="shared" si="1788"/>
        <v>0</v>
      </c>
      <c r="BK486" s="4">
        <f t="shared" ref="BK486:BK496" si="1836">IF(R486=1,O486,MIN(O486,Q486/2+6.4))</f>
        <v>596.9</v>
      </c>
      <c r="BL486" s="4">
        <f t="shared" ref="BL486:BL496" si="1837">MIN(S486,BK486)</f>
        <v>596.9</v>
      </c>
      <c r="BM486" s="4">
        <f t="shared" ref="BM486:BM496" si="1838">MAX(S486,BK486)</f>
        <v>596.9</v>
      </c>
      <c r="BN486" s="4">
        <f t="shared" ref="BN486:BN496" si="1839">BL486+K486/2</f>
        <v>609.6</v>
      </c>
      <c r="BO486" s="4">
        <f t="shared" ref="BO486:BO496" si="1840">MIN(1.25, 0.1*BM486/BL486+0.9)</f>
        <v>1</v>
      </c>
      <c r="BP486" s="25">
        <f t="shared" ref="BP486:BP496" si="1841">MIN(4, (BN486*BO486+(6*J486^0.5*(0.03*K486+0.22)*(AE486^2/4*PI())*2/AG486/R486))/K486)</f>
        <v>4</v>
      </c>
      <c r="BR486" s="4">
        <f t="shared" si="1789"/>
        <v>596.9</v>
      </c>
      <c r="BV486" s="9"/>
      <c r="BX486" s="9"/>
      <c r="BY486" s="9"/>
      <c r="BZ486" s="9">
        <f t="shared" si="1790"/>
        <v>596.9</v>
      </c>
      <c r="CA486" s="9">
        <f t="shared" si="1791"/>
        <v>596.9</v>
      </c>
      <c r="CB486" s="9">
        <f t="shared" si="1792"/>
        <v>4.8476798574163293</v>
      </c>
      <c r="CC486" s="40">
        <f t="shared" si="1793"/>
        <v>0</v>
      </c>
      <c r="CD486" s="9">
        <f t="shared" si="1794"/>
        <v>0</v>
      </c>
      <c r="CE486" s="9">
        <f t="shared" si="1795"/>
        <v>0</v>
      </c>
      <c r="CF486" s="9">
        <f t="shared" si="1796"/>
        <v>0.99524931562137331</v>
      </c>
      <c r="CG486" s="9">
        <f t="shared" si="1797"/>
        <v>0.68</v>
      </c>
      <c r="CH486" s="9">
        <f t="shared" si="1798"/>
        <v>1.2748218213295317</v>
      </c>
      <c r="CI486" s="9">
        <f t="shared" si="1799"/>
        <v>3.1870545533238293</v>
      </c>
      <c r="CJ486" s="40">
        <v>1</v>
      </c>
      <c r="CK486" s="9">
        <f t="shared" si="1800"/>
        <v>272.81186976451977</v>
      </c>
      <c r="DI486" s="4">
        <f t="shared" si="1801"/>
        <v>162.56</v>
      </c>
      <c r="DL486" s="4">
        <f t="shared" si="1802"/>
        <v>1.1344013326061937E-5</v>
      </c>
      <c r="DM486" s="4">
        <f t="shared" si="1803"/>
        <v>8.2572047805129003</v>
      </c>
      <c r="DN486" s="4">
        <f t="shared" si="1804"/>
        <v>0.31972667098660273</v>
      </c>
      <c r="DO486" s="4">
        <f t="shared" si="1805"/>
        <v>5.2329261002744616</v>
      </c>
      <c r="DP486" s="4">
        <f t="shared" si="1806"/>
        <v>6.9132912758781213</v>
      </c>
      <c r="DQ486" s="4">
        <f t="shared" si="1807"/>
        <v>8.0943984457206888</v>
      </c>
      <c r="DR486" s="38">
        <f t="shared" si="1808"/>
        <v>437.93742736534432</v>
      </c>
      <c r="DS486" s="4">
        <f t="shared" si="1809"/>
        <v>0.99999999999999989</v>
      </c>
      <c r="DT486" s="4">
        <f t="shared" si="1810"/>
        <v>3.2403703492039297</v>
      </c>
      <c r="DU486" s="4">
        <f t="shared" si="1811"/>
        <v>275.17810677931584</v>
      </c>
      <c r="DY486" s="4">
        <f t="shared" si="1812"/>
        <v>0.85</v>
      </c>
      <c r="DZ486" s="4">
        <f t="shared" si="1813"/>
        <v>0.7</v>
      </c>
      <c r="EA486" s="4">
        <f t="shared" si="1814"/>
        <v>1</v>
      </c>
      <c r="EB486" s="4">
        <f t="shared" si="1815"/>
        <v>0.7</v>
      </c>
      <c r="ED486" s="4">
        <f t="shared" si="1816"/>
        <v>889.65517241379314</v>
      </c>
      <c r="EH486" s="4">
        <f t="shared" si="1817"/>
        <v>8.2572047805129003</v>
      </c>
      <c r="EK486" s="4">
        <f t="shared" si="1818"/>
        <v>82.305406869779816</v>
      </c>
      <c r="EL486" s="4">
        <f t="shared" si="1819"/>
        <v>3.2403703492039302</v>
      </c>
      <c r="EM486" s="4">
        <f t="shared" si="1820"/>
        <v>9.4249734881771408E-2</v>
      </c>
      <c r="EP486" s="4">
        <f t="shared" si="1821"/>
        <v>9.4249734881771408E-2</v>
      </c>
      <c r="EQ486" s="4">
        <f t="shared" si="1822"/>
        <v>0.31972667098660273</v>
      </c>
      <c r="ER486" s="4">
        <f t="shared" si="1823"/>
        <v>5.2329261002744616</v>
      </c>
      <c r="ES486" s="4">
        <f t="shared" si="1824"/>
        <v>6.9132912758781213</v>
      </c>
      <c r="ET486" s="4">
        <f t="shared" si="1825"/>
        <v>39.614593130220186</v>
      </c>
      <c r="EU486" s="4">
        <f t="shared" si="1826"/>
        <v>40.64</v>
      </c>
      <c r="EV486" s="4">
        <f t="shared" si="1827"/>
        <v>1.1344013326061937E-5</v>
      </c>
      <c r="EW486" s="4">
        <f t="shared" si="1828"/>
        <v>8.0943984457206888</v>
      </c>
      <c r="EX486" s="4">
        <f t="shared" si="1829"/>
        <v>437.93742736534438</v>
      </c>
      <c r="FG486" s="23"/>
      <c r="FH486" s="23"/>
      <c r="FI486" s="23"/>
      <c r="FJ486" s="23"/>
      <c r="FK486" s="23"/>
      <c r="FL486" s="23"/>
      <c r="FM486" s="23"/>
      <c r="FN486" s="23"/>
      <c r="FX486" s="4">
        <f t="shared" si="1830"/>
        <v>1</v>
      </c>
      <c r="FY486" s="4">
        <f t="shared" si="1831"/>
        <v>1.0833333333333333</v>
      </c>
      <c r="FZ486" s="4">
        <f t="shared" si="1832"/>
        <v>0</v>
      </c>
      <c r="GA486" s="4">
        <f t="shared" si="1833"/>
        <v>136.66299884732655</v>
      </c>
    </row>
    <row r="487" spans="1:184" ht="12" customHeight="1" x14ac:dyDescent="0.3">
      <c r="A487" s="52"/>
      <c r="B487" s="14" t="s">
        <v>605</v>
      </c>
      <c r="C487" s="24"/>
      <c r="D487" s="14" t="s">
        <v>365</v>
      </c>
      <c r="E487" s="24"/>
      <c r="F487" s="43" t="s">
        <v>640</v>
      </c>
      <c r="G487" s="38">
        <f t="shared" si="1764"/>
        <v>889.65517241379314</v>
      </c>
      <c r="H487" s="45">
        <v>213.35999999999999</v>
      </c>
      <c r="I487" s="4">
        <f t="shared" si="1765"/>
        <v>213.35999999999999</v>
      </c>
      <c r="J487" s="45">
        <v>28.96551724137931</v>
      </c>
      <c r="K487" s="7">
        <v>25.4</v>
      </c>
      <c r="L487" s="7">
        <f t="shared" si="1766"/>
        <v>8.4</v>
      </c>
      <c r="M487" s="7">
        <f t="shared" si="1767"/>
        <v>8.4</v>
      </c>
      <c r="N487" s="45">
        <v>1219.1999999999998</v>
      </c>
      <c r="O487" s="45">
        <v>596.9</v>
      </c>
      <c r="P487" s="45">
        <v>596.9</v>
      </c>
      <c r="Q487" s="7"/>
      <c r="R487" s="38">
        <v>1</v>
      </c>
      <c r="T487" s="7">
        <f t="shared" si="1834"/>
        <v>24</v>
      </c>
      <c r="U487" s="7">
        <f t="shared" si="1768"/>
        <v>24</v>
      </c>
      <c r="V487" s="45">
        <v>4.0999999999999996</v>
      </c>
      <c r="W487" s="4">
        <f t="shared" si="1769"/>
        <v>4.0999999999999996</v>
      </c>
      <c r="X487" s="4">
        <f t="shared" si="1770"/>
        <v>5.0999999999999996</v>
      </c>
      <c r="Y487" s="7">
        <f t="shared" si="1771"/>
        <v>57.361276136431961</v>
      </c>
      <c r="AB487" s="45">
        <v>341.37931034482762</v>
      </c>
      <c r="AE487" s="38"/>
      <c r="AF487" s="38"/>
      <c r="AG487" s="39">
        <v>1</v>
      </c>
      <c r="AH487" s="39"/>
      <c r="AI487" s="39"/>
      <c r="AK487" s="4">
        <f t="shared" si="1772"/>
        <v>213.35999999999999</v>
      </c>
      <c r="AL487" s="4">
        <f t="shared" si="1773"/>
        <v>1</v>
      </c>
      <c r="AM487" s="4">
        <f t="shared" si="1774"/>
        <v>331.01893227659951</v>
      </c>
      <c r="AN487" s="4">
        <f t="shared" si="1775"/>
        <v>1</v>
      </c>
      <c r="AO487" s="4">
        <v>1.25</v>
      </c>
      <c r="AP487" s="4">
        <v>1</v>
      </c>
      <c r="AQ487" s="38">
        <f t="shared" si="1776"/>
        <v>413.77366534574941</v>
      </c>
      <c r="AR487" s="38">
        <f t="shared" si="1835"/>
        <v>413.77366534574941</v>
      </c>
      <c r="AS487" s="38">
        <f t="shared" si="1777"/>
        <v>2.8294940183703567</v>
      </c>
      <c r="AX487" s="4">
        <f t="shared" si="1778"/>
        <v>237.93938196306939</v>
      </c>
      <c r="AY487" s="4">
        <f t="shared" si="1779"/>
        <v>1</v>
      </c>
      <c r="AZ487" s="38">
        <f t="shared" si="1780"/>
        <v>2815.2337082989129</v>
      </c>
      <c r="BA487" s="4">
        <f t="shared" si="1781"/>
        <v>0.42600000000000005</v>
      </c>
      <c r="BB487" s="4">
        <f t="shared" si="1782"/>
        <v>52.961737334249797</v>
      </c>
      <c r="BC487" s="4">
        <f t="shared" si="1783"/>
        <v>2868.1954456331628</v>
      </c>
      <c r="BE487" s="4">
        <f t="shared" si="1784"/>
        <v>1.5</v>
      </c>
      <c r="BF487" s="4">
        <f t="shared" si="1785"/>
        <v>445.62647107654857</v>
      </c>
      <c r="BH487" s="4">
        <f t="shared" si="1786"/>
        <v>2700.1534069071072</v>
      </c>
      <c r="BI487" s="4">
        <f t="shared" si="1787"/>
        <v>0</v>
      </c>
      <c r="BJ487" s="4">
        <f t="shared" si="1788"/>
        <v>0</v>
      </c>
      <c r="BK487" s="4">
        <f t="shared" si="1836"/>
        <v>596.9</v>
      </c>
      <c r="BL487" s="4">
        <f t="shared" si="1837"/>
        <v>596.9</v>
      </c>
      <c r="BM487" s="4">
        <f t="shared" si="1838"/>
        <v>596.9</v>
      </c>
      <c r="BN487" s="4">
        <f t="shared" si="1839"/>
        <v>609.6</v>
      </c>
      <c r="BO487" s="4">
        <f t="shared" si="1840"/>
        <v>1</v>
      </c>
      <c r="BP487" s="25">
        <f t="shared" si="1841"/>
        <v>4</v>
      </c>
      <c r="BR487" s="4">
        <f t="shared" si="1789"/>
        <v>596.9</v>
      </c>
      <c r="BV487" s="9"/>
      <c r="BX487" s="9"/>
      <c r="BY487" s="9"/>
      <c r="BZ487" s="9">
        <f t="shared" si="1790"/>
        <v>596.9</v>
      </c>
      <c r="CA487" s="9">
        <f t="shared" si="1791"/>
        <v>596.9</v>
      </c>
      <c r="CB487" s="9">
        <f t="shared" si="1792"/>
        <v>4.8476798574163293</v>
      </c>
      <c r="CC487" s="40">
        <f t="shared" si="1793"/>
        <v>0</v>
      </c>
      <c r="CD487" s="9">
        <f t="shared" si="1794"/>
        <v>0</v>
      </c>
      <c r="CE487" s="9">
        <f t="shared" si="1795"/>
        <v>0</v>
      </c>
      <c r="CF487" s="9">
        <f t="shared" si="1796"/>
        <v>0.99524931562137331</v>
      </c>
      <c r="CG487" s="9">
        <f t="shared" si="1797"/>
        <v>0.68</v>
      </c>
      <c r="CH487" s="9">
        <f t="shared" si="1798"/>
        <v>1.2748218213295317</v>
      </c>
      <c r="CI487" s="9">
        <f t="shared" si="1799"/>
        <v>3.1870545533238293</v>
      </c>
      <c r="CJ487" s="40">
        <v>1</v>
      </c>
      <c r="CK487" s="9">
        <f t="shared" si="1800"/>
        <v>298.30830619111043</v>
      </c>
      <c r="DI487" s="4">
        <f t="shared" si="1801"/>
        <v>213.35999999999999</v>
      </c>
      <c r="DL487" s="4">
        <f t="shared" si="1802"/>
        <v>1.4889017490456289E-5</v>
      </c>
      <c r="DM487" s="4">
        <f t="shared" si="1803"/>
        <v>8.2572047805129003</v>
      </c>
      <c r="DN487" s="4">
        <f t="shared" si="1804"/>
        <v>0.77635082883803019</v>
      </c>
      <c r="DO487" s="4">
        <f t="shared" si="1805"/>
        <v>7.4620175087624512</v>
      </c>
      <c r="DP487" s="4">
        <f t="shared" si="1806"/>
        <v>7.8696638067407143</v>
      </c>
      <c r="DQ487" s="4">
        <f t="shared" si="1807"/>
        <v>7.901496818500239</v>
      </c>
      <c r="DR487" s="38">
        <f t="shared" si="1808"/>
        <v>674.77938672986375</v>
      </c>
      <c r="DS487" s="4">
        <f t="shared" si="1809"/>
        <v>1</v>
      </c>
      <c r="DT487" s="4">
        <f t="shared" si="1810"/>
        <v>2.2583179581272428</v>
      </c>
      <c r="DU487" s="4">
        <f t="shared" si="1811"/>
        <v>413.77366534574941</v>
      </c>
      <c r="DY487" s="4">
        <f t="shared" si="1812"/>
        <v>0.85</v>
      </c>
      <c r="DZ487" s="4">
        <f t="shared" si="1813"/>
        <v>0.7</v>
      </c>
      <c r="EA487" s="4">
        <f t="shared" si="1814"/>
        <v>1</v>
      </c>
      <c r="EB487" s="4">
        <f t="shared" si="1815"/>
        <v>0.7</v>
      </c>
      <c r="ED487" s="4">
        <f t="shared" si="1816"/>
        <v>889.65517241379314</v>
      </c>
      <c r="EH487" s="4">
        <f t="shared" si="1817"/>
        <v>8.2572047805129003</v>
      </c>
      <c r="EK487" s="4">
        <f t="shared" si="1818"/>
        <v>57.361276136431961</v>
      </c>
      <c r="EL487" s="4">
        <f t="shared" si="1819"/>
        <v>2.2583179581272428</v>
      </c>
      <c r="EM487" s="4">
        <f t="shared" si="1820"/>
        <v>0.22885441357594427</v>
      </c>
      <c r="EP487" s="4">
        <f t="shared" si="1821"/>
        <v>0.22885441357594427</v>
      </c>
      <c r="EQ487" s="4">
        <f t="shared" si="1822"/>
        <v>0.77635082883803019</v>
      </c>
      <c r="ER487" s="4">
        <f t="shared" si="1823"/>
        <v>7.4620175087624512</v>
      </c>
      <c r="ES487" s="4">
        <f t="shared" si="1824"/>
        <v>7.8696638067407143</v>
      </c>
      <c r="ET487" s="4">
        <f t="shared" si="1825"/>
        <v>102.65872386356801</v>
      </c>
      <c r="EU487" s="4">
        <f t="shared" si="1826"/>
        <v>53.34</v>
      </c>
      <c r="EV487" s="4">
        <f t="shared" si="1827"/>
        <v>1.4889017490456294E-5</v>
      </c>
      <c r="EW487" s="4">
        <f t="shared" si="1828"/>
        <v>7.9014968185002399</v>
      </c>
      <c r="EX487" s="4">
        <f t="shared" si="1829"/>
        <v>674.77938672986375</v>
      </c>
      <c r="FG487" s="23"/>
      <c r="FH487" s="23"/>
      <c r="FI487" s="23"/>
      <c r="FJ487" s="23"/>
      <c r="FK487" s="23"/>
      <c r="FL487" s="23"/>
      <c r="FM487" s="23"/>
      <c r="FN487" s="23"/>
      <c r="FX487" s="4">
        <f t="shared" si="1830"/>
        <v>1</v>
      </c>
      <c r="FY487" s="4">
        <f t="shared" si="1831"/>
        <v>1.0833333333333333</v>
      </c>
      <c r="FZ487" s="4">
        <f t="shared" si="1832"/>
        <v>0</v>
      </c>
      <c r="GA487" s="4">
        <f t="shared" si="1833"/>
        <v>179.37018598711612</v>
      </c>
    </row>
    <row r="488" spans="1:184" ht="12" customHeight="1" x14ac:dyDescent="0.3">
      <c r="A488" s="52"/>
      <c r="B488" s="14" t="s">
        <v>605</v>
      </c>
      <c r="C488" s="24"/>
      <c r="D488" s="14" t="s">
        <v>365</v>
      </c>
      <c r="E488" s="24"/>
      <c r="F488" s="43" t="s">
        <v>641</v>
      </c>
      <c r="G488" s="38">
        <f t="shared" si="1764"/>
        <v>889.65517241379314</v>
      </c>
      <c r="H488" s="45">
        <v>165.1</v>
      </c>
      <c r="I488" s="4">
        <f t="shared" si="1765"/>
        <v>165.1</v>
      </c>
      <c r="J488" s="45">
        <v>35.724137931034484</v>
      </c>
      <c r="K488" s="7">
        <v>25.4</v>
      </c>
      <c r="L488" s="7">
        <f t="shared" si="1766"/>
        <v>6.5</v>
      </c>
      <c r="M488" s="7">
        <f t="shared" si="1767"/>
        <v>6.5</v>
      </c>
      <c r="N488" s="45">
        <v>1524</v>
      </c>
      <c r="O488" s="45">
        <v>769.62</v>
      </c>
      <c r="P488" s="45">
        <v>769.62</v>
      </c>
      <c r="Q488" s="7"/>
      <c r="R488" s="38">
        <v>1</v>
      </c>
      <c r="T488" s="7">
        <f t="shared" si="1834"/>
        <v>30.8</v>
      </c>
      <c r="U488" s="7">
        <f t="shared" si="1768"/>
        <v>30.8</v>
      </c>
      <c r="V488" s="45">
        <v>4.0999999999999996</v>
      </c>
      <c r="W488" s="4">
        <f t="shared" si="1769"/>
        <v>4.0999999999999996</v>
      </c>
      <c r="X488" s="4">
        <f t="shared" si="1770"/>
        <v>5.0999999999999996</v>
      </c>
      <c r="Y488" s="7">
        <f t="shared" si="1771"/>
        <v>57.361276136431961</v>
      </c>
      <c r="AB488" s="45">
        <v>440.68965517241384</v>
      </c>
      <c r="AE488" s="38"/>
      <c r="AF488" s="38"/>
      <c r="AG488" s="39">
        <v>1</v>
      </c>
      <c r="AH488" s="39"/>
      <c r="AI488" s="39"/>
      <c r="AK488" s="4">
        <f t="shared" si="1772"/>
        <v>165.1</v>
      </c>
      <c r="AL488" s="4">
        <f t="shared" si="1773"/>
        <v>0.99999999999999989</v>
      </c>
      <c r="AM488" s="4">
        <f t="shared" si="1774"/>
        <v>250.23276458121583</v>
      </c>
      <c r="AN488" s="4">
        <f t="shared" si="1775"/>
        <v>1</v>
      </c>
      <c r="AO488" s="4">
        <v>1.25</v>
      </c>
      <c r="AP488" s="4">
        <v>1</v>
      </c>
      <c r="AQ488" s="38">
        <f t="shared" si="1776"/>
        <v>312.79095572651971</v>
      </c>
      <c r="AR488" s="38">
        <f t="shared" si="1835"/>
        <v>312.79095572651971</v>
      </c>
      <c r="AS488" s="38">
        <f t="shared" si="1777"/>
        <v>3.2540864993004175</v>
      </c>
      <c r="AX488" s="4">
        <f t="shared" si="1778"/>
        <v>204.47519660662698</v>
      </c>
      <c r="AY488" s="4">
        <f t="shared" si="1779"/>
        <v>1</v>
      </c>
      <c r="AZ488" s="38">
        <f t="shared" si="1780"/>
        <v>4455.8893527464461</v>
      </c>
      <c r="BA488" s="4">
        <f t="shared" si="1781"/>
        <v>0.42600000000000005</v>
      </c>
      <c r="BB488" s="4">
        <f t="shared" si="1782"/>
        <v>45.51311163668607</v>
      </c>
      <c r="BC488" s="4">
        <f t="shared" si="1783"/>
        <v>4501.4024643831326</v>
      </c>
      <c r="BE488" s="4">
        <f t="shared" si="1784"/>
        <v>1.5</v>
      </c>
      <c r="BF488" s="4">
        <f t="shared" si="1785"/>
        <v>443.78982094276768</v>
      </c>
      <c r="BH488" s="4">
        <f t="shared" si="1786"/>
        <v>4273.7428090435269</v>
      </c>
      <c r="BI488" s="4">
        <f t="shared" si="1787"/>
        <v>0</v>
      </c>
      <c r="BJ488" s="4">
        <f t="shared" si="1788"/>
        <v>0</v>
      </c>
      <c r="BK488" s="4">
        <f t="shared" si="1836"/>
        <v>769.62</v>
      </c>
      <c r="BL488" s="4">
        <f t="shared" si="1837"/>
        <v>769.62</v>
      </c>
      <c r="BM488" s="4">
        <f t="shared" si="1838"/>
        <v>769.62</v>
      </c>
      <c r="BN488" s="4">
        <f t="shared" si="1839"/>
        <v>782.32</v>
      </c>
      <c r="BO488" s="4">
        <f t="shared" si="1840"/>
        <v>1</v>
      </c>
      <c r="BP488" s="25">
        <f t="shared" si="1841"/>
        <v>4</v>
      </c>
      <c r="BR488" s="4">
        <f t="shared" si="1789"/>
        <v>769.62</v>
      </c>
      <c r="BV488" s="9"/>
      <c r="BX488" s="9"/>
      <c r="BY488" s="9"/>
      <c r="BZ488" s="9">
        <f t="shared" si="1790"/>
        <v>769.62</v>
      </c>
      <c r="CA488" s="9">
        <f t="shared" si="1791"/>
        <v>769.62</v>
      </c>
      <c r="CB488" s="9">
        <f t="shared" si="1792"/>
        <v>5.5045435778091543</v>
      </c>
      <c r="CC488" s="40">
        <f t="shared" si="1793"/>
        <v>0</v>
      </c>
      <c r="CD488" s="9">
        <f t="shared" si="1794"/>
        <v>0</v>
      </c>
      <c r="CE488" s="9">
        <f t="shared" si="1795"/>
        <v>0</v>
      </c>
      <c r="CF488" s="9">
        <f t="shared" si="1796"/>
        <v>0.99524931562137331</v>
      </c>
      <c r="CG488" s="9">
        <f t="shared" si="1797"/>
        <v>0.68</v>
      </c>
      <c r="CH488" s="9">
        <f t="shared" si="1798"/>
        <v>1.4157602788737922</v>
      </c>
      <c r="CI488" s="9">
        <f t="shared" si="1799"/>
        <v>3.5394006971844805</v>
      </c>
      <c r="CJ488" s="40">
        <v>1</v>
      </c>
      <c r="CK488" s="9">
        <f t="shared" si="1800"/>
        <v>304.38845995786528</v>
      </c>
      <c r="DI488" s="4">
        <f t="shared" si="1801"/>
        <v>165.1</v>
      </c>
      <c r="DL488" s="4">
        <f t="shared" si="1802"/>
        <v>1.2079484897608146E-5</v>
      </c>
      <c r="DM488" s="4">
        <f t="shared" si="1803"/>
        <v>9.1700834949507204</v>
      </c>
      <c r="DN488" s="4">
        <f t="shared" si="1804"/>
        <v>0.47584870550152752</v>
      </c>
      <c r="DO488" s="4">
        <f t="shared" si="1805"/>
        <v>6.8133523183375004</v>
      </c>
      <c r="DP488" s="4">
        <f t="shared" si="1806"/>
        <v>8.0783090634384216</v>
      </c>
      <c r="DQ488" s="4">
        <f t="shared" si="1807"/>
        <v>8.9237531933943313</v>
      </c>
      <c r="DR488" s="38">
        <f t="shared" si="1808"/>
        <v>516.89568008576975</v>
      </c>
      <c r="DS488" s="4">
        <f t="shared" si="1809"/>
        <v>1</v>
      </c>
      <c r="DT488" s="4">
        <f t="shared" si="1810"/>
        <v>2.2583179581272428</v>
      </c>
      <c r="DU488" s="4">
        <f t="shared" si="1811"/>
        <v>312.79095572651971</v>
      </c>
      <c r="DY488" s="4">
        <f t="shared" si="1812"/>
        <v>0.85</v>
      </c>
      <c r="DZ488" s="4">
        <f t="shared" si="1813"/>
        <v>0.7</v>
      </c>
      <c r="EA488" s="4">
        <f t="shared" si="1814"/>
        <v>1</v>
      </c>
      <c r="EB488" s="4">
        <f t="shared" si="1815"/>
        <v>0.7</v>
      </c>
      <c r="ED488" s="4">
        <f t="shared" si="1816"/>
        <v>889.65517241379314</v>
      </c>
      <c r="EH488" s="4">
        <f t="shared" si="1817"/>
        <v>9.1700834949507204</v>
      </c>
      <c r="EK488" s="4">
        <f t="shared" si="1818"/>
        <v>57.361276136431961</v>
      </c>
      <c r="EL488" s="4">
        <f t="shared" si="1819"/>
        <v>2.2583179581272428</v>
      </c>
      <c r="EM488" s="4">
        <f t="shared" si="1820"/>
        <v>0.15577953326675206</v>
      </c>
      <c r="EP488" s="4">
        <f t="shared" si="1821"/>
        <v>0.15577953326675206</v>
      </c>
      <c r="EQ488" s="4">
        <f t="shared" si="1822"/>
        <v>0.47584870550152752</v>
      </c>
      <c r="ER488" s="4">
        <f t="shared" si="1823"/>
        <v>6.8133523183375004</v>
      </c>
      <c r="ES488" s="4">
        <f t="shared" si="1824"/>
        <v>8.0783090634384216</v>
      </c>
      <c r="ET488" s="4">
        <f t="shared" si="1825"/>
        <v>66.463723863568021</v>
      </c>
      <c r="EU488" s="4">
        <f t="shared" si="1826"/>
        <v>41.275000000000006</v>
      </c>
      <c r="EV488" s="4">
        <f t="shared" si="1827"/>
        <v>1.2079484897608148E-5</v>
      </c>
      <c r="EW488" s="4">
        <f t="shared" si="1828"/>
        <v>8.9237531933943295</v>
      </c>
      <c r="EX488" s="4">
        <f t="shared" si="1829"/>
        <v>516.89568008576975</v>
      </c>
      <c r="FG488" s="23"/>
      <c r="FH488" s="23"/>
      <c r="FI488" s="23"/>
      <c r="FJ488" s="23"/>
      <c r="FK488" s="23"/>
      <c r="FL488" s="23"/>
      <c r="FM488" s="23"/>
      <c r="FN488" s="23"/>
      <c r="FX488" s="4">
        <f t="shared" si="1830"/>
        <v>1</v>
      </c>
      <c r="FY488" s="4">
        <f t="shared" si="1831"/>
        <v>1.0833333333333333</v>
      </c>
      <c r="FZ488" s="4">
        <f t="shared" si="1832"/>
        <v>0</v>
      </c>
      <c r="GA488" s="4">
        <f t="shared" si="1833"/>
        <v>146.26972550267718</v>
      </c>
    </row>
    <row r="489" spans="1:184" ht="12" customHeight="1" x14ac:dyDescent="0.3">
      <c r="A489" s="52"/>
      <c r="B489" s="14" t="s">
        <v>605</v>
      </c>
      <c r="C489" s="24"/>
      <c r="D489" s="14" t="s">
        <v>365</v>
      </c>
      <c r="E489" s="24"/>
      <c r="F489" s="43" t="s">
        <v>641</v>
      </c>
      <c r="G489" s="38">
        <f t="shared" si="1764"/>
        <v>889.65517241379314</v>
      </c>
      <c r="H489" s="45">
        <v>160.01999999999998</v>
      </c>
      <c r="I489" s="4">
        <f t="shared" si="1765"/>
        <v>160.01999999999998</v>
      </c>
      <c r="J489" s="45">
        <v>35.724137931034484</v>
      </c>
      <c r="K489" s="7">
        <v>25.4</v>
      </c>
      <c r="L489" s="7">
        <f t="shared" si="1766"/>
        <v>6.3</v>
      </c>
      <c r="M489" s="7">
        <f t="shared" si="1767"/>
        <v>6.3</v>
      </c>
      <c r="N489" s="45">
        <v>1524</v>
      </c>
      <c r="O489" s="45">
        <v>774.69999999999993</v>
      </c>
      <c r="P489" s="45">
        <v>774.69999999999993</v>
      </c>
      <c r="Q489" s="7"/>
      <c r="R489" s="38">
        <v>1</v>
      </c>
      <c r="T489" s="7">
        <f t="shared" si="1834"/>
        <v>31</v>
      </c>
      <c r="U489" s="7">
        <f t="shared" si="1768"/>
        <v>31</v>
      </c>
      <c r="V489" s="45">
        <v>4.0999999999999996</v>
      </c>
      <c r="W489" s="4">
        <f t="shared" si="1769"/>
        <v>4.0999999999999996</v>
      </c>
      <c r="X489" s="4">
        <f t="shared" si="1770"/>
        <v>5.0999999999999996</v>
      </c>
      <c r="Y489" s="7">
        <f t="shared" si="1771"/>
        <v>57.361276136431961</v>
      </c>
      <c r="AB489" s="45">
        <v>426.89655172413796</v>
      </c>
      <c r="AE489" s="38"/>
      <c r="AF489" s="38"/>
      <c r="AG489" s="39">
        <v>1</v>
      </c>
      <c r="AH489" s="39"/>
      <c r="AI489" s="39"/>
      <c r="AK489" s="4">
        <f t="shared" si="1772"/>
        <v>160.01999999999998</v>
      </c>
      <c r="AL489" s="4">
        <f t="shared" si="1773"/>
        <v>1</v>
      </c>
      <c r="AM489" s="4">
        <f t="shared" si="1774"/>
        <v>238.77286102592873</v>
      </c>
      <c r="AN489" s="4">
        <f t="shared" si="1775"/>
        <v>1</v>
      </c>
      <c r="AO489" s="4">
        <v>1.25</v>
      </c>
      <c r="AP489" s="4">
        <v>1</v>
      </c>
      <c r="AQ489" s="38">
        <f t="shared" si="1776"/>
        <v>298.46607628241094</v>
      </c>
      <c r="AR489" s="38">
        <f t="shared" si="1835"/>
        <v>298.46607628241094</v>
      </c>
      <c r="AS489" s="38">
        <f t="shared" si="1777"/>
        <v>3.2540864993004175</v>
      </c>
      <c r="AX489" s="4">
        <f t="shared" si="1778"/>
        <v>198.18365209565383</v>
      </c>
      <c r="AY489" s="4">
        <f t="shared" si="1779"/>
        <v>1</v>
      </c>
      <c r="AZ489" s="38">
        <f t="shared" si="1780"/>
        <v>4484.8236991928516</v>
      </c>
      <c r="BA489" s="4">
        <f t="shared" si="1781"/>
        <v>0.42600000000000005</v>
      </c>
      <c r="BB489" s="4">
        <f t="shared" si="1782"/>
        <v>44.112708201711108</v>
      </c>
      <c r="BC489" s="4">
        <f t="shared" si="1783"/>
        <v>4528.9364073945626</v>
      </c>
      <c r="BE489" s="4">
        <f t="shared" si="1784"/>
        <v>1.5</v>
      </c>
      <c r="BF489" s="4">
        <f t="shared" si="1785"/>
        <v>438.41055038588564</v>
      </c>
      <c r="BH489" s="4">
        <f t="shared" si="1786"/>
        <v>4301.4943857256276</v>
      </c>
      <c r="BI489" s="4">
        <f t="shared" si="1787"/>
        <v>0</v>
      </c>
      <c r="BJ489" s="4">
        <f t="shared" si="1788"/>
        <v>0</v>
      </c>
      <c r="BK489" s="4">
        <f t="shared" si="1836"/>
        <v>774.69999999999993</v>
      </c>
      <c r="BL489" s="4">
        <f t="shared" si="1837"/>
        <v>774.69999999999993</v>
      </c>
      <c r="BM489" s="4">
        <f t="shared" si="1838"/>
        <v>774.69999999999993</v>
      </c>
      <c r="BN489" s="4">
        <f t="shared" si="1839"/>
        <v>787.4</v>
      </c>
      <c r="BO489" s="4">
        <f t="shared" si="1840"/>
        <v>1</v>
      </c>
      <c r="BP489" s="25">
        <f t="shared" si="1841"/>
        <v>4</v>
      </c>
      <c r="BR489" s="4">
        <f t="shared" si="1789"/>
        <v>774.69999999999993</v>
      </c>
      <c r="BV489" s="9"/>
      <c r="BX489" s="9"/>
      <c r="BY489" s="9"/>
      <c r="BZ489" s="9">
        <f t="shared" si="1790"/>
        <v>774.69999999999993</v>
      </c>
      <c r="CA489" s="9">
        <f t="shared" si="1791"/>
        <v>774.69999999999993</v>
      </c>
      <c r="CB489" s="9">
        <f t="shared" si="1792"/>
        <v>5.5226805085936306</v>
      </c>
      <c r="CC489" s="40">
        <f t="shared" si="1793"/>
        <v>0</v>
      </c>
      <c r="CD489" s="9">
        <f t="shared" si="1794"/>
        <v>0</v>
      </c>
      <c r="CE489" s="9">
        <f t="shared" si="1795"/>
        <v>0</v>
      </c>
      <c r="CF489" s="9">
        <f t="shared" si="1796"/>
        <v>0.99524931562137331</v>
      </c>
      <c r="CG489" s="9">
        <f t="shared" si="1797"/>
        <v>0.68</v>
      </c>
      <c r="CH489" s="9">
        <f t="shared" si="1798"/>
        <v>1.4157602788737922</v>
      </c>
      <c r="CI489" s="9">
        <f t="shared" si="1799"/>
        <v>3.5394006971844805</v>
      </c>
      <c r="CJ489" s="40">
        <v>1</v>
      </c>
      <c r="CK489" s="9">
        <f t="shared" si="1800"/>
        <v>301.5569394001177</v>
      </c>
      <c r="DI489" s="4">
        <f t="shared" si="1801"/>
        <v>160.01999999999998</v>
      </c>
      <c r="DL489" s="4">
        <f t="shared" si="1802"/>
        <v>1.1707808439220202E-5</v>
      </c>
      <c r="DM489" s="4">
        <f t="shared" si="1803"/>
        <v>9.1700834949507204</v>
      </c>
      <c r="DN489" s="4">
        <f t="shared" si="1804"/>
        <v>0.45405627443806551</v>
      </c>
      <c r="DO489" s="4">
        <f t="shared" si="1805"/>
        <v>6.6867819668177608</v>
      </c>
      <c r="DP489" s="4">
        <f t="shared" si="1806"/>
        <v>8.0253014837540988</v>
      </c>
      <c r="DQ489" s="4">
        <f t="shared" si="1807"/>
        <v>8.9413546249557605</v>
      </c>
      <c r="DR489" s="38">
        <f t="shared" si="1808"/>
        <v>494.38359781298016</v>
      </c>
      <c r="DS489" s="4">
        <f t="shared" si="1809"/>
        <v>1.0000000000000002</v>
      </c>
      <c r="DT489" s="4">
        <f t="shared" si="1810"/>
        <v>2.2583179581272428</v>
      </c>
      <c r="DU489" s="4">
        <f t="shared" si="1811"/>
        <v>298.46607628241094</v>
      </c>
      <c r="DY489" s="4">
        <f t="shared" si="1812"/>
        <v>0.85</v>
      </c>
      <c r="DZ489" s="4">
        <f t="shared" si="1813"/>
        <v>0.7</v>
      </c>
      <c r="EA489" s="4">
        <f t="shared" si="1814"/>
        <v>1</v>
      </c>
      <c r="EB489" s="4">
        <f t="shared" si="1815"/>
        <v>0.7</v>
      </c>
      <c r="ED489" s="4">
        <f t="shared" si="1816"/>
        <v>889.65517241379314</v>
      </c>
      <c r="EH489" s="4">
        <f t="shared" si="1817"/>
        <v>9.1700834949507204</v>
      </c>
      <c r="EK489" s="4">
        <f t="shared" si="1818"/>
        <v>57.361276136431961</v>
      </c>
      <c r="EL489" s="4">
        <f t="shared" si="1819"/>
        <v>2.2583179581272428</v>
      </c>
      <c r="EM489" s="4">
        <f t="shared" si="1820"/>
        <v>0.14864530194371847</v>
      </c>
      <c r="EP489" s="4">
        <f t="shared" si="1821"/>
        <v>0.14864530194371847</v>
      </c>
      <c r="EQ489" s="4">
        <f t="shared" si="1822"/>
        <v>0.45405627443806551</v>
      </c>
      <c r="ER489" s="4">
        <f t="shared" si="1823"/>
        <v>6.6867819668177608</v>
      </c>
      <c r="ES489" s="4">
        <f t="shared" si="1824"/>
        <v>8.0253014837540988</v>
      </c>
      <c r="ET489" s="4">
        <f t="shared" si="1825"/>
        <v>62.653723863568025</v>
      </c>
      <c r="EU489" s="4">
        <f t="shared" si="1826"/>
        <v>40.004999999999988</v>
      </c>
      <c r="EV489" s="4">
        <f t="shared" si="1827"/>
        <v>1.17078084392202E-5</v>
      </c>
      <c r="EW489" s="4">
        <f t="shared" si="1828"/>
        <v>8.9413546249557587</v>
      </c>
      <c r="EX489" s="4">
        <f t="shared" si="1829"/>
        <v>494.3835978129801</v>
      </c>
      <c r="FG489" s="23"/>
      <c r="FH489" s="23"/>
      <c r="FI489" s="23"/>
      <c r="FJ489" s="23"/>
      <c r="FK489" s="23"/>
      <c r="FL489" s="23"/>
      <c r="FM489" s="23"/>
      <c r="FN489" s="23"/>
      <c r="FX489" s="4">
        <f t="shared" si="1830"/>
        <v>1</v>
      </c>
      <c r="FY489" s="4">
        <f t="shared" si="1831"/>
        <v>1.0833333333333333</v>
      </c>
      <c r="FZ489" s="4">
        <f t="shared" si="1832"/>
        <v>0</v>
      </c>
      <c r="GA489" s="4">
        <f t="shared" si="1833"/>
        <v>141.76911856413327</v>
      </c>
    </row>
    <row r="490" spans="1:184" ht="12" customHeight="1" x14ac:dyDescent="0.3">
      <c r="A490" s="52"/>
      <c r="B490" s="14" t="s">
        <v>605</v>
      </c>
      <c r="C490" s="24"/>
      <c r="D490" s="14" t="s">
        <v>365</v>
      </c>
      <c r="E490" s="24"/>
      <c r="F490" s="43" t="s">
        <v>642</v>
      </c>
      <c r="G490" s="38">
        <f t="shared" si="1764"/>
        <v>889.65517241379314</v>
      </c>
      <c r="H490" s="45">
        <v>172.72</v>
      </c>
      <c r="I490" s="4">
        <f t="shared" si="1765"/>
        <v>172.72</v>
      </c>
      <c r="J490" s="45">
        <v>35.724137931034484</v>
      </c>
      <c r="K490" s="7">
        <v>25.4</v>
      </c>
      <c r="L490" s="7">
        <f t="shared" si="1766"/>
        <v>6.8000000000000007</v>
      </c>
      <c r="M490" s="7">
        <f t="shared" si="1767"/>
        <v>6.8000000000000007</v>
      </c>
      <c r="N490" s="45">
        <v>1524</v>
      </c>
      <c r="O490" s="45">
        <v>769.62</v>
      </c>
      <c r="P490" s="45">
        <v>769.62</v>
      </c>
      <c r="Q490" s="7"/>
      <c r="R490" s="38">
        <v>1</v>
      </c>
      <c r="T490" s="7">
        <f t="shared" si="1834"/>
        <v>30.8</v>
      </c>
      <c r="U490" s="7">
        <f t="shared" si="1768"/>
        <v>30.8</v>
      </c>
      <c r="V490" s="45">
        <v>4.0999999999999996</v>
      </c>
      <c r="W490" s="4">
        <f t="shared" si="1769"/>
        <v>4.0999999999999996</v>
      </c>
      <c r="X490" s="4">
        <f t="shared" si="1770"/>
        <v>5.0999999999999996</v>
      </c>
      <c r="Y490" s="7">
        <f t="shared" si="1771"/>
        <v>57.361276136431961</v>
      </c>
      <c r="AB490" s="45">
        <v>536.55172413793105</v>
      </c>
      <c r="AE490" s="38"/>
      <c r="AF490" s="38"/>
      <c r="AG490" s="39">
        <v>1</v>
      </c>
      <c r="AH490" s="39"/>
      <c r="AI490" s="39"/>
      <c r="AK490" s="4">
        <f t="shared" si="1772"/>
        <v>172.72</v>
      </c>
      <c r="AL490" s="4">
        <f t="shared" si="1773"/>
        <v>0.99999999999999978</v>
      </c>
      <c r="AM490" s="4">
        <f t="shared" si="1774"/>
        <v>267.75494983665135</v>
      </c>
      <c r="AN490" s="4">
        <f t="shared" si="1775"/>
        <v>1</v>
      </c>
      <c r="AO490" s="4">
        <v>1.25</v>
      </c>
      <c r="AP490" s="4">
        <v>1</v>
      </c>
      <c r="AQ490" s="38">
        <f t="shared" si="1776"/>
        <v>334.69368729581413</v>
      </c>
      <c r="AR490" s="38">
        <f t="shared" si="1835"/>
        <v>334.69368729581413</v>
      </c>
      <c r="AS490" s="38">
        <f t="shared" si="1777"/>
        <v>3.2540864993004175</v>
      </c>
      <c r="AX490" s="4">
        <f t="shared" si="1778"/>
        <v>213.91251337308668</v>
      </c>
      <c r="AY490" s="4">
        <f t="shared" si="1779"/>
        <v>1</v>
      </c>
      <c r="AZ490" s="38">
        <f t="shared" si="1780"/>
        <v>4455.8893527464461</v>
      </c>
      <c r="BA490" s="4">
        <f t="shared" si="1781"/>
        <v>0.42600000000000005</v>
      </c>
      <c r="BB490" s="4">
        <f t="shared" si="1782"/>
        <v>47.613716789148498</v>
      </c>
      <c r="BC490" s="4">
        <f t="shared" si="1783"/>
        <v>4503.5030695355945</v>
      </c>
      <c r="BE490" s="4">
        <f t="shared" si="1784"/>
        <v>1.5</v>
      </c>
      <c r="BF490" s="4">
        <f t="shared" si="1785"/>
        <v>451.85872677809078</v>
      </c>
      <c r="BH490" s="4">
        <f t="shared" si="1786"/>
        <v>4273.7428090435269</v>
      </c>
      <c r="BI490" s="4">
        <f t="shared" si="1787"/>
        <v>0</v>
      </c>
      <c r="BJ490" s="4">
        <f t="shared" si="1788"/>
        <v>0</v>
      </c>
      <c r="BK490" s="4">
        <f t="shared" si="1836"/>
        <v>769.62</v>
      </c>
      <c r="BL490" s="4">
        <f t="shared" si="1837"/>
        <v>769.62</v>
      </c>
      <c r="BM490" s="4">
        <f t="shared" si="1838"/>
        <v>769.62</v>
      </c>
      <c r="BN490" s="4">
        <f t="shared" si="1839"/>
        <v>782.32</v>
      </c>
      <c r="BO490" s="4">
        <f t="shared" si="1840"/>
        <v>1</v>
      </c>
      <c r="BP490" s="25">
        <f t="shared" si="1841"/>
        <v>4</v>
      </c>
      <c r="BR490" s="4">
        <f t="shared" si="1789"/>
        <v>769.62</v>
      </c>
      <c r="BV490" s="9"/>
      <c r="BX490" s="9"/>
      <c r="BY490" s="9"/>
      <c r="BZ490" s="9">
        <f t="shared" si="1790"/>
        <v>769.62</v>
      </c>
      <c r="CA490" s="9">
        <f t="shared" si="1791"/>
        <v>769.62</v>
      </c>
      <c r="CB490" s="9">
        <f t="shared" si="1792"/>
        <v>5.5045435778091543</v>
      </c>
      <c r="CC490" s="40">
        <f t="shared" si="1793"/>
        <v>0</v>
      </c>
      <c r="CD490" s="9">
        <f t="shared" si="1794"/>
        <v>0</v>
      </c>
      <c r="CE490" s="9">
        <f t="shared" si="1795"/>
        <v>0</v>
      </c>
      <c r="CF490" s="9">
        <f t="shared" si="1796"/>
        <v>0.99524931562137331</v>
      </c>
      <c r="CG490" s="9">
        <f t="shared" si="1797"/>
        <v>0.68</v>
      </c>
      <c r="CH490" s="9">
        <f t="shared" si="1798"/>
        <v>1.4157602788737922</v>
      </c>
      <c r="CI490" s="9">
        <f t="shared" si="1799"/>
        <v>3.5394006971844805</v>
      </c>
      <c r="CJ490" s="40">
        <v>1</v>
      </c>
      <c r="CK490" s="9">
        <f t="shared" si="1800"/>
        <v>308.63574079448671</v>
      </c>
      <c r="DI490" s="4">
        <f t="shared" si="1801"/>
        <v>172.72</v>
      </c>
      <c r="DL490" s="4">
        <f t="shared" si="1802"/>
        <v>1.2636999585190061E-5</v>
      </c>
      <c r="DM490" s="4">
        <f t="shared" si="1803"/>
        <v>9.1700834949507204</v>
      </c>
      <c r="DN490" s="4">
        <f t="shared" si="1804"/>
        <v>0.50916931875259841</v>
      </c>
      <c r="DO490" s="4">
        <f t="shared" si="1805"/>
        <v>7.000324634104059</v>
      </c>
      <c r="DP490" s="4">
        <f t="shared" si="1806"/>
        <v>8.1577927613746901</v>
      </c>
      <c r="DQ490" s="4">
        <f t="shared" si="1807"/>
        <v>8.8960375003236987</v>
      </c>
      <c r="DR490" s="38">
        <f t="shared" si="1808"/>
        <v>551.14999039895827</v>
      </c>
      <c r="DS490" s="4">
        <f t="shared" si="1809"/>
        <v>1</v>
      </c>
      <c r="DT490" s="4">
        <f t="shared" si="1810"/>
        <v>2.2583179581272428</v>
      </c>
      <c r="DU490" s="4">
        <f t="shared" si="1811"/>
        <v>334.69368729581413</v>
      </c>
      <c r="DY490" s="4">
        <f t="shared" si="1812"/>
        <v>0.85</v>
      </c>
      <c r="DZ490" s="4">
        <f t="shared" si="1813"/>
        <v>0.7</v>
      </c>
      <c r="EA490" s="4">
        <f t="shared" si="1814"/>
        <v>1</v>
      </c>
      <c r="EB490" s="4">
        <f t="shared" si="1815"/>
        <v>0.7</v>
      </c>
      <c r="ED490" s="4">
        <f t="shared" si="1816"/>
        <v>889.65517241379314</v>
      </c>
      <c r="EH490" s="4">
        <f t="shared" si="1817"/>
        <v>9.1700834949507204</v>
      </c>
      <c r="EK490" s="4">
        <f t="shared" si="1818"/>
        <v>57.361276136431961</v>
      </c>
      <c r="EL490" s="4">
        <f t="shared" si="1819"/>
        <v>2.2583179581272428</v>
      </c>
      <c r="EM490" s="4">
        <f t="shared" si="1820"/>
        <v>0.16668776842721761</v>
      </c>
      <c r="EP490" s="4">
        <f t="shared" si="1821"/>
        <v>0.16668776842721761</v>
      </c>
      <c r="EQ490" s="4">
        <f t="shared" si="1822"/>
        <v>0.50916931875259841</v>
      </c>
      <c r="ER490" s="4">
        <f t="shared" si="1823"/>
        <v>7.000324634104059</v>
      </c>
      <c r="ES490" s="4">
        <f t="shared" si="1824"/>
        <v>8.1577927613746901</v>
      </c>
      <c r="ET490" s="4">
        <f t="shared" si="1825"/>
        <v>72.178723863568024</v>
      </c>
      <c r="EU490" s="4">
        <f t="shared" si="1826"/>
        <v>43.180000000000007</v>
      </c>
      <c r="EV490" s="4">
        <f t="shared" si="1827"/>
        <v>1.2636999585190062E-5</v>
      </c>
      <c r="EW490" s="4">
        <f t="shared" si="1828"/>
        <v>8.8960375003236987</v>
      </c>
      <c r="EX490" s="4">
        <f t="shared" si="1829"/>
        <v>551.14999039895827</v>
      </c>
      <c r="FG490" s="23"/>
      <c r="FH490" s="23"/>
      <c r="FI490" s="23"/>
      <c r="FJ490" s="23"/>
      <c r="FK490" s="23"/>
      <c r="FL490" s="23"/>
      <c r="FM490" s="23"/>
      <c r="FN490" s="23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832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3">
      <c r="A491" s="52"/>
      <c r="B491" s="14" t="s">
        <v>605</v>
      </c>
      <c r="C491" s="24"/>
      <c r="D491" s="14" t="s">
        <v>365</v>
      </c>
      <c r="E491" s="24"/>
      <c r="F491" s="43" t="s">
        <v>643</v>
      </c>
      <c r="G491" s="38">
        <f t="shared" si="1764"/>
        <v>889.65517241379314</v>
      </c>
      <c r="H491" s="45">
        <v>152.39999999999998</v>
      </c>
      <c r="I491" s="4">
        <f t="shared" si="1765"/>
        <v>152.39999999999998</v>
      </c>
      <c r="J491" s="45">
        <v>35.724137931034484</v>
      </c>
      <c r="K491" s="7">
        <v>25.4</v>
      </c>
      <c r="L491" s="7">
        <f t="shared" si="1766"/>
        <v>5.9999999999999991</v>
      </c>
      <c r="M491" s="7">
        <f t="shared" si="1767"/>
        <v>5.9999999999999991</v>
      </c>
      <c r="N491" s="45">
        <v>1524</v>
      </c>
      <c r="O491" s="45">
        <v>762</v>
      </c>
      <c r="P491" s="45">
        <v>762</v>
      </c>
      <c r="Q491" s="7"/>
      <c r="R491" s="38">
        <v>1</v>
      </c>
      <c r="T491" s="7">
        <f t="shared" si="1834"/>
        <v>30.5</v>
      </c>
      <c r="U491" s="7">
        <f t="shared" si="1768"/>
        <v>30.5</v>
      </c>
      <c r="V491" s="45">
        <v>4.0999999999999996</v>
      </c>
      <c r="W491" s="4">
        <f t="shared" si="1769"/>
        <v>4.0999999999999996</v>
      </c>
      <c r="X491" s="4">
        <f t="shared" si="1770"/>
        <v>5.0999999999999996</v>
      </c>
      <c r="Y491" s="7">
        <f t="shared" si="1771"/>
        <v>57.361276136431961</v>
      </c>
      <c r="AB491" s="45">
        <v>466.20689655172413</v>
      </c>
      <c r="AE491" s="38">
        <f t="shared" ref="AE491:AE495" si="1842">25.4*5/8</f>
        <v>15.875</v>
      </c>
      <c r="AF491" s="38">
        <v>2</v>
      </c>
      <c r="AG491" s="39">
        <v>25.4</v>
      </c>
      <c r="AH491" s="39">
        <v>2</v>
      </c>
      <c r="AI491" s="39">
        <v>2</v>
      </c>
      <c r="AK491" s="4">
        <f t="shared" si="1772"/>
        <v>152.39999999999998</v>
      </c>
      <c r="AL491" s="4">
        <f t="shared" si="1773"/>
        <v>0.99999999999999989</v>
      </c>
      <c r="AM491" s="4">
        <f t="shared" si="1774"/>
        <v>221.92233570793715</v>
      </c>
      <c r="AN491" s="4">
        <f t="shared" si="1775"/>
        <v>1</v>
      </c>
      <c r="AO491" s="4">
        <v>1.25</v>
      </c>
      <c r="AP491" s="4">
        <v>1</v>
      </c>
      <c r="AQ491" s="38">
        <f t="shared" si="1776"/>
        <v>277.40291963492137</v>
      </c>
      <c r="AR491" s="38">
        <f t="shared" si="1835"/>
        <v>277.40291963492137</v>
      </c>
      <c r="AS491" s="38">
        <f t="shared" si="1777"/>
        <v>3.2540864993004175</v>
      </c>
      <c r="AX491" s="4">
        <f t="shared" si="1778"/>
        <v>188.7463353291941</v>
      </c>
      <c r="AY491" s="4">
        <f t="shared" si="1779"/>
        <v>1</v>
      </c>
      <c r="AZ491" s="38">
        <f t="shared" si="1780"/>
        <v>4412.4878330768379</v>
      </c>
      <c r="BA491" s="4">
        <f t="shared" si="1781"/>
        <v>0.42600000000000005</v>
      </c>
      <c r="BB491" s="4">
        <f t="shared" si="1782"/>
        <v>42.012103049248672</v>
      </c>
      <c r="BC491" s="4">
        <f t="shared" si="1783"/>
        <v>4454.4999361260861</v>
      </c>
      <c r="BE491" s="4">
        <f t="shared" si="1784"/>
        <v>1.5</v>
      </c>
      <c r="BF491" s="4">
        <f t="shared" si="1785"/>
        <v>430.34164455056259</v>
      </c>
      <c r="BH491" s="4">
        <f t="shared" si="1786"/>
        <v>4232.1154440203763</v>
      </c>
      <c r="BI491" s="4">
        <f t="shared" si="1787"/>
        <v>0</v>
      </c>
      <c r="BJ491" s="4">
        <f t="shared" si="1788"/>
        <v>0</v>
      </c>
      <c r="BK491" s="4">
        <f t="shared" si="1836"/>
        <v>762</v>
      </c>
      <c r="BL491" s="4">
        <f t="shared" si="1837"/>
        <v>762</v>
      </c>
      <c r="BM491" s="4">
        <f t="shared" si="1838"/>
        <v>762</v>
      </c>
      <c r="BN491" s="4">
        <f t="shared" si="1839"/>
        <v>774.7</v>
      </c>
      <c r="BO491" s="4">
        <f t="shared" si="1840"/>
        <v>1</v>
      </c>
      <c r="BP491" s="25">
        <f t="shared" si="1841"/>
        <v>4</v>
      </c>
      <c r="BR491" s="4">
        <f t="shared" si="1789"/>
        <v>762</v>
      </c>
      <c r="BV491" s="9"/>
      <c r="BX491" s="9"/>
      <c r="BY491" s="9"/>
      <c r="BZ491" s="9">
        <f t="shared" si="1790"/>
        <v>762</v>
      </c>
      <c r="CA491" s="9">
        <f t="shared" si="1791"/>
        <v>762</v>
      </c>
      <c r="CB491" s="9">
        <f t="shared" si="1792"/>
        <v>5.4772255750516612</v>
      </c>
      <c r="CC491" s="40">
        <f t="shared" si="1793"/>
        <v>20</v>
      </c>
      <c r="CD491" s="9">
        <f t="shared" si="1794"/>
        <v>0.05</v>
      </c>
      <c r="CE491" s="9">
        <f t="shared" si="1795"/>
        <v>0.8</v>
      </c>
      <c r="CF491" s="9">
        <f t="shared" si="1796"/>
        <v>0.99524931562137331</v>
      </c>
      <c r="CG491" s="9">
        <f t="shared" si="1797"/>
        <v>0.68</v>
      </c>
      <c r="CH491" s="9">
        <f t="shared" si="1798"/>
        <v>1.4157602788737922</v>
      </c>
      <c r="CI491" s="9">
        <f t="shared" si="1799"/>
        <v>3.5394006971844805</v>
      </c>
      <c r="CJ491" s="40">
        <v>1</v>
      </c>
      <c r="CK491" s="9">
        <f t="shared" si="1800"/>
        <v>297.30965856349633</v>
      </c>
      <c r="DI491" s="4">
        <f t="shared" si="1801"/>
        <v>152.39999999999998</v>
      </c>
      <c r="DL491" s="4">
        <f t="shared" si="1802"/>
        <v>1.1150293751638287E-5</v>
      </c>
      <c r="DM491" s="4">
        <f t="shared" si="1803"/>
        <v>9.1700834949507204</v>
      </c>
      <c r="DN491" s="4">
        <f t="shared" si="1804"/>
        <v>0.42201290604461672</v>
      </c>
      <c r="DO491" s="4">
        <f t="shared" si="1805"/>
        <v>6.4938698928930743</v>
      </c>
      <c r="DP491" s="4">
        <f t="shared" si="1806"/>
        <v>7.9457861568390831</v>
      </c>
      <c r="DQ491" s="4">
        <f t="shared" si="1807"/>
        <v>8.9664583264786533</v>
      </c>
      <c r="DR491" s="38">
        <f t="shared" si="1808"/>
        <v>461.11026612663159</v>
      </c>
      <c r="DS491" s="4">
        <f t="shared" si="1809"/>
        <v>0.99999999999999989</v>
      </c>
      <c r="DT491" s="4">
        <f t="shared" si="1810"/>
        <v>2.2583179581272428</v>
      </c>
      <c r="DU491" s="4">
        <f t="shared" si="1811"/>
        <v>277.40291963492137</v>
      </c>
      <c r="DY491" s="4">
        <f t="shared" si="1812"/>
        <v>0.85</v>
      </c>
      <c r="DZ491" s="4">
        <f t="shared" si="1813"/>
        <v>0.7</v>
      </c>
      <c r="EA491" s="4">
        <f t="shared" si="1814"/>
        <v>0.7</v>
      </c>
      <c r="EB491" s="4">
        <f t="shared" si="1815"/>
        <v>0.7</v>
      </c>
      <c r="ED491" s="4">
        <f t="shared" si="1816"/>
        <v>889.65517241379314</v>
      </c>
      <c r="EH491" s="4">
        <f t="shared" si="1817"/>
        <v>9.1700834949507204</v>
      </c>
      <c r="EK491" s="4">
        <f t="shared" si="1818"/>
        <v>57.361276136431961</v>
      </c>
      <c r="EL491" s="4">
        <f t="shared" si="1819"/>
        <v>2.2583179581272428</v>
      </c>
      <c r="EM491" s="4">
        <f t="shared" si="1820"/>
        <v>0.13815520096222064</v>
      </c>
      <c r="EP491" s="4">
        <f t="shared" si="1821"/>
        <v>0.13815520096222064</v>
      </c>
      <c r="EQ491" s="4">
        <f t="shared" si="1822"/>
        <v>0.42201290604461672</v>
      </c>
      <c r="ER491" s="4">
        <f t="shared" si="1823"/>
        <v>6.4938698928930743</v>
      </c>
      <c r="ES491" s="4">
        <f t="shared" si="1824"/>
        <v>7.9457861568390831</v>
      </c>
      <c r="ET491" s="4">
        <f t="shared" si="1825"/>
        <v>56.938723863568022</v>
      </c>
      <c r="EU491" s="4">
        <f t="shared" si="1826"/>
        <v>38.099999999999987</v>
      </c>
      <c r="EV491" s="4">
        <f t="shared" si="1827"/>
        <v>1.1150293751638286E-5</v>
      </c>
      <c r="EW491" s="4">
        <f t="shared" si="1828"/>
        <v>8.966458326478655</v>
      </c>
      <c r="EX491" s="4">
        <f t="shared" si="1829"/>
        <v>461.11026612663164</v>
      </c>
      <c r="FG491" s="23"/>
      <c r="FH491" s="23"/>
      <c r="FI491" s="23"/>
      <c r="FJ491" s="23"/>
      <c r="FK491" s="23"/>
      <c r="FL491" s="23"/>
      <c r="FM491" s="23"/>
      <c r="FN491" s="23"/>
      <c r="FX491" s="4">
        <f t="shared" si="1830"/>
        <v>1</v>
      </c>
      <c r="FY491" s="4">
        <f t="shared" si="1831"/>
        <v>0.75511627906976753</v>
      </c>
      <c r="FZ491" s="4">
        <f t="shared" si="1832"/>
        <v>0.3</v>
      </c>
      <c r="GA491" s="4">
        <f t="shared" si="1833"/>
        <v>193.70490288312646</v>
      </c>
    </row>
    <row r="492" spans="1:184" ht="12" customHeight="1" x14ac:dyDescent="0.3">
      <c r="A492" s="52"/>
      <c r="B492" s="14" t="s">
        <v>605</v>
      </c>
      <c r="C492" s="24"/>
      <c r="D492" s="14" t="s">
        <v>365</v>
      </c>
      <c r="E492" s="24"/>
      <c r="F492" s="43" t="s">
        <v>643</v>
      </c>
      <c r="G492" s="38">
        <f t="shared" si="1764"/>
        <v>889.65517241379314</v>
      </c>
      <c r="H492" s="45">
        <v>154.93999999999997</v>
      </c>
      <c r="I492" s="4">
        <f t="shared" si="1765"/>
        <v>154.93999999999997</v>
      </c>
      <c r="J492" s="45">
        <v>35.724137931034484</v>
      </c>
      <c r="K492" s="7">
        <v>25.4</v>
      </c>
      <c r="L492" s="7">
        <f t="shared" si="1766"/>
        <v>6.0999999999999988</v>
      </c>
      <c r="M492" s="7">
        <f t="shared" si="1767"/>
        <v>6.0999999999999988</v>
      </c>
      <c r="N492" s="45">
        <v>1524</v>
      </c>
      <c r="O492" s="45">
        <v>769.62</v>
      </c>
      <c r="P492" s="45">
        <v>769.62</v>
      </c>
      <c r="Q492" s="7"/>
      <c r="R492" s="38">
        <v>1</v>
      </c>
      <c r="T492" s="7">
        <f t="shared" si="1834"/>
        <v>30.8</v>
      </c>
      <c r="U492" s="7">
        <f t="shared" si="1768"/>
        <v>30.8</v>
      </c>
      <c r="V492" s="45">
        <v>4.0999999999999996</v>
      </c>
      <c r="W492" s="4">
        <f t="shared" si="1769"/>
        <v>4.0999999999999996</v>
      </c>
      <c r="X492" s="4">
        <f t="shared" si="1770"/>
        <v>5.0999999999999996</v>
      </c>
      <c r="Y492" s="7">
        <f t="shared" si="1771"/>
        <v>57.361276136431961</v>
      </c>
      <c r="AB492" s="45">
        <v>457.24137931034483</v>
      </c>
      <c r="AE492" s="38">
        <f t="shared" si="1842"/>
        <v>15.875</v>
      </c>
      <c r="AF492" s="38">
        <v>2</v>
      </c>
      <c r="AG492" s="39">
        <v>25.4</v>
      </c>
      <c r="AH492" s="39">
        <v>2</v>
      </c>
      <c r="AI492" s="39">
        <v>2</v>
      </c>
      <c r="AK492" s="4">
        <f t="shared" si="1772"/>
        <v>154.93999999999997</v>
      </c>
      <c r="AL492" s="4">
        <f t="shared" si="1773"/>
        <v>1</v>
      </c>
      <c r="AM492" s="4">
        <f t="shared" si="1774"/>
        <v>227.49344719498902</v>
      </c>
      <c r="AN492" s="4">
        <f t="shared" si="1775"/>
        <v>1</v>
      </c>
      <c r="AO492" s="4">
        <v>1.25</v>
      </c>
      <c r="AP492" s="4">
        <v>1</v>
      </c>
      <c r="AQ492" s="38">
        <f t="shared" si="1776"/>
        <v>284.3668089937363</v>
      </c>
      <c r="AR492" s="38">
        <f t="shared" si="1835"/>
        <v>284.3668089937363</v>
      </c>
      <c r="AS492" s="38">
        <f t="shared" si="1777"/>
        <v>3.2540864993004175</v>
      </c>
      <c r="AX492" s="4">
        <f t="shared" si="1778"/>
        <v>191.89210758468064</v>
      </c>
      <c r="AY492" s="4">
        <f t="shared" si="1779"/>
        <v>1</v>
      </c>
      <c r="AZ492" s="38">
        <f t="shared" si="1780"/>
        <v>4455.8893527464461</v>
      </c>
      <c r="BA492" s="4">
        <f t="shared" si="1781"/>
        <v>0.42600000000000005</v>
      </c>
      <c r="BB492" s="4">
        <f t="shared" si="1782"/>
        <v>42.712304766736146</v>
      </c>
      <c r="BC492" s="4">
        <f t="shared" si="1783"/>
        <v>4498.6016575131825</v>
      </c>
      <c r="BE492" s="4">
        <f t="shared" si="1784"/>
        <v>1.5</v>
      </c>
      <c r="BF492" s="4">
        <f t="shared" si="1785"/>
        <v>433.03127982900355</v>
      </c>
      <c r="BH492" s="4">
        <f t="shared" si="1786"/>
        <v>4273.7428090435269</v>
      </c>
      <c r="BI492" s="4">
        <f t="shared" si="1787"/>
        <v>0</v>
      </c>
      <c r="BJ492" s="4">
        <f t="shared" si="1788"/>
        <v>0</v>
      </c>
      <c r="BK492" s="4">
        <f t="shared" si="1836"/>
        <v>769.62</v>
      </c>
      <c r="BL492" s="4">
        <f t="shared" si="1837"/>
        <v>769.62</v>
      </c>
      <c r="BM492" s="4">
        <f t="shared" si="1838"/>
        <v>769.62</v>
      </c>
      <c r="BN492" s="4">
        <f t="shared" si="1839"/>
        <v>782.32</v>
      </c>
      <c r="BO492" s="4">
        <f t="shared" si="1840"/>
        <v>1</v>
      </c>
      <c r="BP492" s="25">
        <f t="shared" si="1841"/>
        <v>4</v>
      </c>
      <c r="BR492" s="4">
        <f t="shared" si="1789"/>
        <v>769.62</v>
      </c>
      <c r="BV492" s="9"/>
      <c r="BX492" s="9"/>
      <c r="BY492" s="9"/>
      <c r="BZ492" s="9">
        <f t="shared" si="1790"/>
        <v>769.62</v>
      </c>
      <c r="CA492" s="9">
        <f t="shared" si="1791"/>
        <v>769.62</v>
      </c>
      <c r="CB492" s="9">
        <f t="shared" si="1792"/>
        <v>5.5045435778091543</v>
      </c>
      <c r="CC492" s="40">
        <f t="shared" si="1793"/>
        <v>20</v>
      </c>
      <c r="CD492" s="9">
        <f t="shared" si="1794"/>
        <v>0.05</v>
      </c>
      <c r="CE492" s="9">
        <f t="shared" si="1795"/>
        <v>0.8</v>
      </c>
      <c r="CF492" s="9">
        <f t="shared" si="1796"/>
        <v>0.99524931562137331</v>
      </c>
      <c r="CG492" s="9">
        <f t="shared" si="1797"/>
        <v>0.68</v>
      </c>
      <c r="CH492" s="9">
        <f t="shared" si="1798"/>
        <v>1.4157602788737922</v>
      </c>
      <c r="CI492" s="9">
        <f t="shared" si="1799"/>
        <v>3.5394006971844805</v>
      </c>
      <c r="CJ492" s="40">
        <v>1</v>
      </c>
      <c r="CK492" s="9">
        <f t="shared" si="1800"/>
        <v>298.72541884237012</v>
      </c>
      <c r="DI492" s="4">
        <f t="shared" si="1801"/>
        <v>154.93999999999997</v>
      </c>
      <c r="DL492" s="4">
        <f t="shared" si="1802"/>
        <v>1.1336131980832258E-5</v>
      </c>
      <c r="DM492" s="4">
        <f t="shared" si="1803"/>
        <v>9.1700834949507204</v>
      </c>
      <c r="DN492" s="4">
        <f t="shared" si="1804"/>
        <v>0.43260706702011897</v>
      </c>
      <c r="DO492" s="4">
        <f t="shared" si="1805"/>
        <v>6.5585937964406824</v>
      </c>
      <c r="DP492" s="4">
        <f t="shared" si="1806"/>
        <v>7.9722900767464155</v>
      </c>
      <c r="DQ492" s="4">
        <f t="shared" si="1807"/>
        <v>8.9582625401394136</v>
      </c>
      <c r="DR492" s="38">
        <f t="shared" si="1808"/>
        <v>472.13481610443762</v>
      </c>
      <c r="DS492" s="4">
        <f t="shared" si="1809"/>
        <v>1</v>
      </c>
      <c r="DT492" s="4">
        <f t="shared" si="1810"/>
        <v>2.2583179581272428</v>
      </c>
      <c r="DU492" s="4">
        <f t="shared" si="1811"/>
        <v>284.3668089937363</v>
      </c>
      <c r="DY492" s="4">
        <f t="shared" si="1812"/>
        <v>0.85</v>
      </c>
      <c r="DZ492" s="4">
        <f t="shared" si="1813"/>
        <v>0.7</v>
      </c>
      <c r="EA492" s="4">
        <f t="shared" si="1814"/>
        <v>0.7</v>
      </c>
      <c r="EB492" s="4">
        <f t="shared" si="1815"/>
        <v>0.7</v>
      </c>
      <c r="ED492" s="4">
        <f t="shared" si="1816"/>
        <v>889.65517241379314</v>
      </c>
      <c r="EH492" s="4">
        <f t="shared" si="1817"/>
        <v>9.1700834949507204</v>
      </c>
      <c r="EK492" s="4">
        <f t="shared" si="1818"/>
        <v>57.361276136431961</v>
      </c>
      <c r="EL492" s="4">
        <f t="shared" si="1819"/>
        <v>2.2583179581272428</v>
      </c>
      <c r="EM492" s="4">
        <f t="shared" si="1820"/>
        <v>0.14162343242536429</v>
      </c>
      <c r="EP492" s="4">
        <f t="shared" si="1821"/>
        <v>0.14162343242536429</v>
      </c>
      <c r="EQ492" s="4">
        <f t="shared" si="1822"/>
        <v>0.43260706702011897</v>
      </c>
      <c r="ER492" s="4">
        <f t="shared" si="1823"/>
        <v>6.5585937964406824</v>
      </c>
      <c r="ES492" s="4">
        <f t="shared" si="1824"/>
        <v>7.9722900767464155</v>
      </c>
      <c r="ET492" s="4">
        <f t="shared" si="1825"/>
        <v>58.843723863568023</v>
      </c>
      <c r="EU492" s="4">
        <f t="shared" si="1826"/>
        <v>38.734999999999978</v>
      </c>
      <c r="EV492" s="4">
        <f t="shared" si="1827"/>
        <v>1.1336131980832255E-5</v>
      </c>
      <c r="EW492" s="4">
        <f t="shared" si="1828"/>
        <v>8.9582625401394136</v>
      </c>
      <c r="EX492" s="4">
        <f t="shared" si="1829"/>
        <v>472.13481610443762</v>
      </c>
      <c r="FG492" s="23"/>
      <c r="FH492" s="23"/>
      <c r="FI492" s="23"/>
      <c r="FJ492" s="23"/>
      <c r="FK492" s="23"/>
      <c r="FL492" s="23"/>
      <c r="FM492" s="23"/>
      <c r="FN492" s="23"/>
      <c r="FX492" s="4">
        <f t="shared" si="1830"/>
        <v>1</v>
      </c>
      <c r="FY492" s="4">
        <f t="shared" si="1831"/>
        <v>0.75511627906976753</v>
      </c>
      <c r="FZ492" s="4">
        <f t="shared" si="1832"/>
        <v>0.3</v>
      </c>
      <c r="GA492" s="4">
        <f t="shared" si="1833"/>
        <v>196.93331793117858</v>
      </c>
    </row>
    <row r="493" spans="1:184" ht="12" customHeight="1" x14ac:dyDescent="0.3">
      <c r="A493" s="52"/>
      <c r="B493" s="14" t="s">
        <v>605</v>
      </c>
      <c r="C493" s="24"/>
      <c r="D493" s="14" t="s">
        <v>365</v>
      </c>
      <c r="E493" s="24"/>
      <c r="F493" s="43" t="s">
        <v>643</v>
      </c>
      <c r="G493" s="38">
        <f t="shared" si="1764"/>
        <v>889.65517241379314</v>
      </c>
      <c r="H493" s="45">
        <v>172.72</v>
      </c>
      <c r="I493" s="4">
        <f t="shared" si="1765"/>
        <v>172.72</v>
      </c>
      <c r="J493" s="45">
        <v>37.655172413793103</v>
      </c>
      <c r="K493" s="7">
        <v>25.4</v>
      </c>
      <c r="L493" s="7">
        <f t="shared" si="1766"/>
        <v>6.8000000000000007</v>
      </c>
      <c r="M493" s="7">
        <f t="shared" si="1767"/>
        <v>6.8000000000000007</v>
      </c>
      <c r="N493" s="45">
        <v>1524</v>
      </c>
      <c r="O493" s="45">
        <v>769.62</v>
      </c>
      <c r="P493" s="45">
        <v>769.62</v>
      </c>
      <c r="Q493" s="7"/>
      <c r="R493" s="38">
        <v>1</v>
      </c>
      <c r="T493" s="7">
        <f t="shared" si="1834"/>
        <v>30.8</v>
      </c>
      <c r="U493" s="7">
        <f t="shared" si="1768"/>
        <v>30.8</v>
      </c>
      <c r="V493" s="45">
        <v>4.0999999999999996</v>
      </c>
      <c r="W493" s="4">
        <f t="shared" si="1769"/>
        <v>4.0999999999999996</v>
      </c>
      <c r="X493" s="4">
        <f t="shared" si="1770"/>
        <v>5.0999999999999996</v>
      </c>
      <c r="Y493" s="7">
        <f t="shared" si="1771"/>
        <v>57.361276136431961</v>
      </c>
      <c r="AB493" s="45">
        <v>466.89655172413796</v>
      </c>
      <c r="AE493" s="38">
        <f t="shared" si="1842"/>
        <v>15.875</v>
      </c>
      <c r="AF493" s="38">
        <v>2</v>
      </c>
      <c r="AG493" s="39">
        <v>25.4</v>
      </c>
      <c r="AH493" s="39">
        <v>2</v>
      </c>
      <c r="AI493" s="39">
        <v>2</v>
      </c>
      <c r="AK493" s="4">
        <f t="shared" si="1772"/>
        <v>172.72</v>
      </c>
      <c r="AL493" s="4">
        <f t="shared" si="1773"/>
        <v>0.99999999999999978</v>
      </c>
      <c r="AM493" s="4">
        <f t="shared" si="1774"/>
        <v>274.89633492385769</v>
      </c>
      <c r="AN493" s="4">
        <f t="shared" si="1775"/>
        <v>1</v>
      </c>
      <c r="AO493" s="4">
        <v>1.25</v>
      </c>
      <c r="AP493" s="4">
        <v>1</v>
      </c>
      <c r="AQ493" s="38">
        <f t="shared" si="1776"/>
        <v>343.62041865482206</v>
      </c>
      <c r="AR493" s="38">
        <f t="shared" si="1835"/>
        <v>343.62041865482206</v>
      </c>
      <c r="AS493" s="38">
        <f t="shared" si="1777"/>
        <v>3.3703190491443937</v>
      </c>
      <c r="AX493" s="4">
        <f t="shared" si="1778"/>
        <v>219.61784817231765</v>
      </c>
      <c r="AY493" s="4">
        <f t="shared" si="1779"/>
        <v>1</v>
      </c>
      <c r="AZ493" s="38">
        <f t="shared" si="1780"/>
        <v>4696.7482366786853</v>
      </c>
      <c r="BA493" s="4">
        <f t="shared" si="1781"/>
        <v>0.42600000000000005</v>
      </c>
      <c r="BB493" s="4">
        <f t="shared" si="1782"/>
        <v>48.883638735435319</v>
      </c>
      <c r="BC493" s="4">
        <f t="shared" si="1783"/>
        <v>4745.6318754141203</v>
      </c>
      <c r="BE493" s="4">
        <f t="shared" si="1784"/>
        <v>1.5</v>
      </c>
      <c r="BF493" s="4">
        <f t="shared" si="1785"/>
        <v>463.9104075216427</v>
      </c>
      <c r="BH493" s="4">
        <f t="shared" si="1786"/>
        <v>4504.7559338566916</v>
      </c>
      <c r="BI493" s="4">
        <f t="shared" si="1787"/>
        <v>0</v>
      </c>
      <c r="BJ493" s="4">
        <f t="shared" si="1788"/>
        <v>0</v>
      </c>
      <c r="BK493" s="4">
        <f t="shared" si="1836"/>
        <v>769.62</v>
      </c>
      <c r="BL493" s="4">
        <f t="shared" si="1837"/>
        <v>769.62</v>
      </c>
      <c r="BM493" s="4">
        <f t="shared" si="1838"/>
        <v>769.62</v>
      </c>
      <c r="BN493" s="4">
        <f t="shared" si="1839"/>
        <v>782.32</v>
      </c>
      <c r="BO493" s="4">
        <f t="shared" si="1840"/>
        <v>1</v>
      </c>
      <c r="BP493" s="25">
        <f t="shared" si="1841"/>
        <v>4</v>
      </c>
      <c r="BR493" s="4">
        <f t="shared" si="1789"/>
        <v>769.62</v>
      </c>
      <c r="BV493" s="9"/>
      <c r="BX493" s="9"/>
      <c r="BY493" s="9"/>
      <c r="BZ493" s="9">
        <f t="shared" si="1790"/>
        <v>769.62</v>
      </c>
      <c r="CA493" s="9">
        <f t="shared" si="1791"/>
        <v>769.62</v>
      </c>
      <c r="CB493" s="9">
        <f t="shared" si="1792"/>
        <v>5.5045435778091543</v>
      </c>
      <c r="CC493" s="40">
        <f t="shared" si="1793"/>
        <v>20</v>
      </c>
      <c r="CD493" s="9">
        <f t="shared" si="1794"/>
        <v>0.05</v>
      </c>
      <c r="CE493" s="9">
        <f t="shared" si="1795"/>
        <v>0.8</v>
      </c>
      <c r="CF493" s="9">
        <f t="shared" si="1796"/>
        <v>0.99524931562137331</v>
      </c>
      <c r="CG493" s="9">
        <f t="shared" si="1797"/>
        <v>0.68</v>
      </c>
      <c r="CH493" s="9">
        <f t="shared" si="1798"/>
        <v>1.4535205120600561</v>
      </c>
      <c r="CI493" s="9">
        <f t="shared" si="1799"/>
        <v>3.63380128015014</v>
      </c>
      <c r="CJ493" s="40">
        <v>1</v>
      </c>
      <c r="CK493" s="9">
        <f t="shared" si="1800"/>
        <v>316.86747162909222</v>
      </c>
      <c r="DI493" s="4">
        <f t="shared" si="1801"/>
        <v>172.72</v>
      </c>
      <c r="DL493" s="4">
        <f t="shared" si="1802"/>
        <v>1.2803199194359958E-5</v>
      </c>
      <c r="DM493" s="4">
        <f t="shared" si="1803"/>
        <v>9.414661970751931</v>
      </c>
      <c r="DN493" s="4">
        <f t="shared" si="1804"/>
        <v>0.49594188092295277</v>
      </c>
      <c r="DO493" s="4">
        <f t="shared" si="1805"/>
        <v>7.111759235242249</v>
      </c>
      <c r="DP493" s="4">
        <f t="shared" si="1806"/>
        <v>8.3432027494528445</v>
      </c>
      <c r="DQ493" s="4">
        <f t="shared" si="1807"/>
        <v>9.1236545658066053</v>
      </c>
      <c r="DR493" s="38">
        <f t="shared" si="1808"/>
        <v>564.73864178090059</v>
      </c>
      <c r="DS493" s="4">
        <f t="shared" si="1809"/>
        <v>1</v>
      </c>
      <c r="DT493" s="4">
        <f t="shared" si="1810"/>
        <v>2.2583179581272428</v>
      </c>
      <c r="DU493" s="4">
        <f t="shared" si="1811"/>
        <v>343.62041865482206</v>
      </c>
      <c r="DY493" s="4">
        <f t="shared" si="1812"/>
        <v>0.85</v>
      </c>
      <c r="DZ493" s="4">
        <f t="shared" si="1813"/>
        <v>0.7</v>
      </c>
      <c r="EA493" s="4">
        <f t="shared" si="1814"/>
        <v>0.7</v>
      </c>
      <c r="EB493" s="4">
        <f t="shared" si="1815"/>
        <v>0.7</v>
      </c>
      <c r="ED493" s="4">
        <f t="shared" si="1816"/>
        <v>889.65517241379314</v>
      </c>
      <c r="EH493" s="4">
        <f t="shared" si="1817"/>
        <v>9.414661970751931</v>
      </c>
      <c r="EK493" s="4">
        <f t="shared" si="1818"/>
        <v>57.361276136431961</v>
      </c>
      <c r="EL493" s="4">
        <f t="shared" si="1819"/>
        <v>2.2583179581272428</v>
      </c>
      <c r="EM493" s="4">
        <f t="shared" si="1820"/>
        <v>0.16668776842721764</v>
      </c>
      <c r="EP493" s="4">
        <f t="shared" si="1821"/>
        <v>0.16668776842721764</v>
      </c>
      <c r="EQ493" s="4">
        <f t="shared" si="1822"/>
        <v>0.49594188092295277</v>
      </c>
      <c r="ER493" s="4">
        <f t="shared" si="1823"/>
        <v>7.111759235242249</v>
      </c>
      <c r="ES493" s="4">
        <f t="shared" si="1824"/>
        <v>8.3432027494528445</v>
      </c>
      <c r="ET493" s="4">
        <f t="shared" si="1825"/>
        <v>72.178723863568024</v>
      </c>
      <c r="EU493" s="4">
        <f t="shared" si="1826"/>
        <v>43.180000000000007</v>
      </c>
      <c r="EV493" s="4">
        <f t="shared" si="1827"/>
        <v>1.280319919435996E-5</v>
      </c>
      <c r="EW493" s="4">
        <f t="shared" si="1828"/>
        <v>9.1236545658066071</v>
      </c>
      <c r="EX493" s="4">
        <f t="shared" si="1829"/>
        <v>564.73864178090059</v>
      </c>
      <c r="FG493" s="23"/>
      <c r="FH493" s="23"/>
      <c r="FI493" s="23"/>
      <c r="FJ493" s="23"/>
      <c r="FK493" s="23"/>
      <c r="FL493" s="23"/>
      <c r="FM493" s="23"/>
      <c r="FN493" s="23"/>
      <c r="FX493" s="4">
        <f t="shared" si="1830"/>
        <v>1</v>
      </c>
      <c r="FY493" s="4">
        <f t="shared" si="1831"/>
        <v>0.75511627906976753</v>
      </c>
      <c r="FZ493" s="4">
        <f t="shared" si="1832"/>
        <v>0.3</v>
      </c>
      <c r="GA493" s="4">
        <f t="shared" si="1833"/>
        <v>222.44056852042061</v>
      </c>
    </row>
    <row r="494" spans="1:184" ht="12" customHeight="1" x14ac:dyDescent="0.3">
      <c r="A494" s="52"/>
      <c r="B494" s="14" t="s">
        <v>605</v>
      </c>
      <c r="C494" s="24"/>
      <c r="D494" s="14" t="s">
        <v>365</v>
      </c>
      <c r="E494" s="24"/>
      <c r="F494" s="43" t="s">
        <v>644</v>
      </c>
      <c r="G494" s="38">
        <f t="shared" si="1764"/>
        <v>889.65517241379314</v>
      </c>
      <c r="H494" s="45">
        <v>160.01999999999998</v>
      </c>
      <c r="I494" s="4">
        <f t="shared" si="1765"/>
        <v>160.01999999999998</v>
      </c>
      <c r="J494" s="45">
        <v>37.655172413793103</v>
      </c>
      <c r="K494" s="7">
        <v>25.4</v>
      </c>
      <c r="L494" s="7">
        <f t="shared" si="1766"/>
        <v>6.3</v>
      </c>
      <c r="M494" s="7">
        <f t="shared" si="1767"/>
        <v>6.3</v>
      </c>
      <c r="N494" s="45">
        <v>1524</v>
      </c>
      <c r="O494" s="45">
        <v>774.69999999999993</v>
      </c>
      <c r="P494" s="45">
        <v>774.69999999999993</v>
      </c>
      <c r="Q494" s="7"/>
      <c r="R494" s="38">
        <v>1</v>
      </c>
      <c r="T494" s="7">
        <f t="shared" si="1834"/>
        <v>31</v>
      </c>
      <c r="U494" s="7">
        <f t="shared" si="1768"/>
        <v>31</v>
      </c>
      <c r="V494" s="45">
        <v>4.0999999999999996</v>
      </c>
      <c r="W494" s="4">
        <f t="shared" si="1769"/>
        <v>4.0999999999999996</v>
      </c>
      <c r="X494" s="4">
        <f t="shared" si="1770"/>
        <v>5.0999999999999996</v>
      </c>
      <c r="Y494" s="7">
        <f t="shared" si="1771"/>
        <v>57.361276136431961</v>
      </c>
      <c r="AB494" s="45">
        <v>412.41379310344826</v>
      </c>
      <c r="AE494" s="38">
        <f t="shared" si="1842"/>
        <v>15.875</v>
      </c>
      <c r="AF494" s="38">
        <v>3</v>
      </c>
      <c r="AG494" s="39">
        <v>25.4</v>
      </c>
      <c r="AH494" s="39">
        <v>3</v>
      </c>
      <c r="AI494" s="39">
        <v>1</v>
      </c>
      <c r="AK494" s="4">
        <f t="shared" si="1772"/>
        <v>160.01999999999998</v>
      </c>
      <c r="AL494" s="4">
        <f t="shared" si="1773"/>
        <v>1</v>
      </c>
      <c r="AM494" s="4">
        <f t="shared" si="1774"/>
        <v>245.14125477551366</v>
      </c>
      <c r="AN494" s="4">
        <f t="shared" si="1775"/>
        <v>1</v>
      </c>
      <c r="AO494" s="4">
        <v>1.25</v>
      </c>
      <c r="AP494" s="4">
        <v>1</v>
      </c>
      <c r="AQ494" s="38">
        <f t="shared" si="1776"/>
        <v>306.42656846939207</v>
      </c>
      <c r="AR494" s="38">
        <f t="shared" si="1835"/>
        <v>306.42656846939207</v>
      </c>
      <c r="AS494" s="38">
        <f t="shared" si="1777"/>
        <v>3.3703190491443937</v>
      </c>
      <c r="AX494" s="4">
        <f t="shared" si="1778"/>
        <v>203.46947698317661</v>
      </c>
      <c r="AY494" s="4">
        <f t="shared" si="1779"/>
        <v>1</v>
      </c>
      <c r="AZ494" s="38">
        <f t="shared" si="1780"/>
        <v>4727.2466018519244</v>
      </c>
      <c r="BA494" s="4">
        <f t="shared" si="1781"/>
        <v>0.42600000000000005</v>
      </c>
      <c r="BB494" s="4">
        <f t="shared" si="1782"/>
        <v>45.289253534300364</v>
      </c>
      <c r="BC494" s="4">
        <f t="shared" si="1783"/>
        <v>4772.5358553862252</v>
      </c>
      <c r="BE494" s="4">
        <f t="shared" si="1784"/>
        <v>1.5</v>
      </c>
      <c r="BF494" s="4">
        <f t="shared" si="1785"/>
        <v>450.10355015492706</v>
      </c>
      <c r="BH494" s="4">
        <f t="shared" si="1786"/>
        <v>4534.0075957648514</v>
      </c>
      <c r="BI494" s="4">
        <f t="shared" si="1787"/>
        <v>0</v>
      </c>
      <c r="BJ494" s="4">
        <f t="shared" si="1788"/>
        <v>0</v>
      </c>
      <c r="BK494" s="4">
        <f t="shared" si="1836"/>
        <v>774.69999999999993</v>
      </c>
      <c r="BL494" s="4">
        <f t="shared" si="1837"/>
        <v>774.69999999999993</v>
      </c>
      <c r="BM494" s="4">
        <f t="shared" si="1838"/>
        <v>774.69999999999993</v>
      </c>
      <c r="BN494" s="4">
        <f t="shared" si="1839"/>
        <v>787.4</v>
      </c>
      <c r="BO494" s="4">
        <f t="shared" si="1840"/>
        <v>1</v>
      </c>
      <c r="BP494" s="25">
        <f t="shared" si="1841"/>
        <v>4</v>
      </c>
      <c r="BR494" s="4">
        <f t="shared" si="1789"/>
        <v>774.69999999999993</v>
      </c>
      <c r="BV494" s="9"/>
      <c r="BX494" s="9"/>
      <c r="BY494" s="9"/>
      <c r="BZ494" s="9">
        <f t="shared" si="1790"/>
        <v>774.69999999999993</v>
      </c>
      <c r="CA494" s="9">
        <f t="shared" si="1791"/>
        <v>774.69999999999993</v>
      </c>
      <c r="CB494" s="9">
        <f t="shared" si="1792"/>
        <v>5.5226805085936306</v>
      </c>
      <c r="CC494" s="40">
        <f t="shared" si="1793"/>
        <v>20</v>
      </c>
      <c r="CD494" s="9">
        <f t="shared" si="1794"/>
        <v>0.05</v>
      </c>
      <c r="CE494" s="9">
        <f t="shared" si="1795"/>
        <v>0.8</v>
      </c>
      <c r="CF494" s="9">
        <f t="shared" si="1796"/>
        <v>0.99524931562137331</v>
      </c>
      <c r="CG494" s="9">
        <f t="shared" si="1797"/>
        <v>0.68</v>
      </c>
      <c r="CH494" s="9">
        <f t="shared" si="1798"/>
        <v>1.4535205120600561</v>
      </c>
      <c r="CI494" s="9">
        <f t="shared" si="1799"/>
        <v>3.63380128015014</v>
      </c>
      <c r="CJ494" s="40">
        <v>1</v>
      </c>
      <c r="CK494" s="9">
        <f t="shared" si="1800"/>
        <v>309.59986906879192</v>
      </c>
      <c r="DI494" s="4">
        <f t="shared" si="1801"/>
        <v>160.01999999999998</v>
      </c>
      <c r="DL494" s="4">
        <f t="shared" si="1802"/>
        <v>1.1861787488892311E-5</v>
      </c>
      <c r="DM494" s="4">
        <f t="shared" si="1803"/>
        <v>9.414661970751931</v>
      </c>
      <c r="DN494" s="4">
        <f t="shared" si="1804"/>
        <v>0.44226058895567227</v>
      </c>
      <c r="DO494" s="4">
        <f t="shared" si="1805"/>
        <v>6.7932254419875013</v>
      </c>
      <c r="DP494" s="4">
        <f t="shared" si="1806"/>
        <v>8.2095252459350316</v>
      </c>
      <c r="DQ494" s="4">
        <f t="shared" si="1807"/>
        <v>9.1717730741209333</v>
      </c>
      <c r="DR494" s="38">
        <f t="shared" si="1808"/>
        <v>506.57494485913878</v>
      </c>
      <c r="DS494" s="4">
        <f t="shared" si="1809"/>
        <v>1</v>
      </c>
      <c r="DT494" s="4">
        <f t="shared" si="1810"/>
        <v>2.2583179581272428</v>
      </c>
      <c r="DU494" s="4">
        <f t="shared" si="1811"/>
        <v>306.42656846939207</v>
      </c>
      <c r="DY494" s="4">
        <f t="shared" si="1812"/>
        <v>0.85</v>
      </c>
      <c r="DZ494" s="4">
        <f t="shared" si="1813"/>
        <v>0.7</v>
      </c>
      <c r="EA494" s="4">
        <f t="shared" si="1814"/>
        <v>0.84062499999999996</v>
      </c>
      <c r="EB494" s="4">
        <f t="shared" si="1815"/>
        <v>0.7</v>
      </c>
      <c r="ED494" s="4">
        <f t="shared" si="1816"/>
        <v>889.65517241379314</v>
      </c>
      <c r="EH494" s="4">
        <f t="shared" si="1817"/>
        <v>9.414661970751931</v>
      </c>
      <c r="EK494" s="4">
        <f t="shared" si="1818"/>
        <v>57.361276136431961</v>
      </c>
      <c r="EL494" s="4">
        <f t="shared" si="1819"/>
        <v>2.2583179581272428</v>
      </c>
      <c r="EM494" s="4">
        <f t="shared" si="1820"/>
        <v>0.14864530194371847</v>
      </c>
      <c r="EP494" s="4">
        <f t="shared" si="1821"/>
        <v>0.14864530194371847</v>
      </c>
      <c r="EQ494" s="4">
        <f t="shared" si="1822"/>
        <v>0.44226058895567227</v>
      </c>
      <c r="ER494" s="4">
        <f t="shared" si="1823"/>
        <v>6.7932254419875013</v>
      </c>
      <c r="ES494" s="4">
        <f t="shared" si="1824"/>
        <v>8.2095252459350316</v>
      </c>
      <c r="ET494" s="4">
        <f t="shared" si="1825"/>
        <v>62.653723863568025</v>
      </c>
      <c r="EU494" s="4">
        <f t="shared" si="1826"/>
        <v>40.004999999999988</v>
      </c>
      <c r="EV494" s="4">
        <f t="shared" si="1827"/>
        <v>1.1861787488892309E-5</v>
      </c>
      <c r="EW494" s="4">
        <f t="shared" si="1828"/>
        <v>9.1717730741209316</v>
      </c>
      <c r="EX494" s="4">
        <f t="shared" si="1829"/>
        <v>506.57494485913878</v>
      </c>
      <c r="FG494" s="23"/>
      <c r="FH494" s="23"/>
      <c r="FI494" s="23"/>
      <c r="FJ494" s="23"/>
      <c r="FK494" s="23"/>
      <c r="FL494" s="23"/>
      <c r="FM494" s="23"/>
      <c r="FN494" s="23"/>
      <c r="FX494" s="4">
        <f t="shared" si="1830"/>
        <v>1</v>
      </c>
      <c r="FY494" s="4">
        <f t="shared" si="1831"/>
        <v>0.75511627906976753</v>
      </c>
      <c r="FZ494" s="4">
        <f t="shared" si="1832"/>
        <v>0.3</v>
      </c>
      <c r="GA494" s="4">
        <f t="shared" si="1833"/>
        <v>206.08464436450731</v>
      </c>
    </row>
    <row r="495" spans="1:184" ht="12" customHeight="1" x14ac:dyDescent="0.3">
      <c r="A495" s="52"/>
      <c r="B495" s="14" t="s">
        <v>605</v>
      </c>
      <c r="C495" s="24"/>
      <c r="D495" s="14" t="s">
        <v>365</v>
      </c>
      <c r="E495" s="24"/>
      <c r="F495" s="43" t="s">
        <v>644</v>
      </c>
      <c r="G495" s="38">
        <f t="shared" si="1764"/>
        <v>889.65517241379314</v>
      </c>
      <c r="H495" s="45">
        <v>167.64</v>
      </c>
      <c r="I495" s="4">
        <f t="shared" si="1765"/>
        <v>167.64</v>
      </c>
      <c r="J495" s="45">
        <v>37.655172413793103</v>
      </c>
      <c r="K495" s="7">
        <v>25.4</v>
      </c>
      <c r="L495" s="7">
        <f t="shared" si="1766"/>
        <v>6.6</v>
      </c>
      <c r="M495" s="7">
        <f t="shared" si="1767"/>
        <v>6.6</v>
      </c>
      <c r="N495" s="45">
        <v>1524</v>
      </c>
      <c r="O495" s="45">
        <v>762</v>
      </c>
      <c r="P495" s="45">
        <v>762</v>
      </c>
      <c r="Q495" s="7"/>
      <c r="R495" s="38">
        <v>1</v>
      </c>
      <c r="T495" s="7">
        <f t="shared" si="1834"/>
        <v>30.5</v>
      </c>
      <c r="U495" s="7">
        <f t="shared" si="1768"/>
        <v>30.5</v>
      </c>
      <c r="V495" s="45">
        <v>4.0999999999999996</v>
      </c>
      <c r="W495" s="4">
        <f t="shared" si="1769"/>
        <v>4.0999999999999996</v>
      </c>
      <c r="X495" s="4">
        <f t="shared" si="1770"/>
        <v>5.0999999999999996</v>
      </c>
      <c r="Y495" s="7">
        <f t="shared" si="1771"/>
        <v>57.361276136431961</v>
      </c>
      <c r="AB495" s="45">
        <v>488.27586206896552</v>
      </c>
      <c r="AE495" s="38">
        <f t="shared" si="1842"/>
        <v>15.875</v>
      </c>
      <c r="AF495" s="38">
        <v>3</v>
      </c>
      <c r="AG495" s="39">
        <v>25.4</v>
      </c>
      <c r="AH495" s="39">
        <v>3</v>
      </c>
      <c r="AI495" s="39">
        <v>1</v>
      </c>
      <c r="AK495" s="4">
        <f t="shared" si="1772"/>
        <v>167.64</v>
      </c>
      <c r="AL495" s="4">
        <f t="shared" si="1773"/>
        <v>1</v>
      </c>
      <c r="AM495" s="4">
        <f t="shared" si="1774"/>
        <v>262.85817231611441</v>
      </c>
      <c r="AN495" s="4">
        <f t="shared" si="1775"/>
        <v>1</v>
      </c>
      <c r="AO495" s="4">
        <v>1.25</v>
      </c>
      <c r="AP495" s="4">
        <v>1</v>
      </c>
      <c r="AQ495" s="38">
        <f t="shared" si="1776"/>
        <v>328.57271539514301</v>
      </c>
      <c r="AR495" s="38">
        <f t="shared" si="1835"/>
        <v>328.57271539514301</v>
      </c>
      <c r="AS495" s="38">
        <f t="shared" si="1777"/>
        <v>3.3703190491443937</v>
      </c>
      <c r="AX495" s="4">
        <f t="shared" si="1778"/>
        <v>213.15849969666118</v>
      </c>
      <c r="AY495" s="4">
        <f t="shared" si="1779"/>
        <v>1</v>
      </c>
      <c r="AZ495" s="38">
        <f t="shared" si="1780"/>
        <v>4651.000688918828</v>
      </c>
      <c r="BA495" s="4">
        <f t="shared" si="1781"/>
        <v>0.42600000000000005</v>
      </c>
      <c r="BB495" s="4">
        <f t="shared" si="1782"/>
        <v>47.445884654981334</v>
      </c>
      <c r="BC495" s="4">
        <f t="shared" si="1783"/>
        <v>4698.4465735738095</v>
      </c>
      <c r="BE495" s="4">
        <f t="shared" si="1784"/>
        <v>1.5</v>
      </c>
      <c r="BF495" s="4">
        <f t="shared" si="1785"/>
        <v>458.38766457495637</v>
      </c>
      <c r="BH495" s="4">
        <f t="shared" si="1786"/>
        <v>4460.878440994451</v>
      </c>
      <c r="BI495" s="4">
        <f t="shared" si="1787"/>
        <v>0</v>
      </c>
      <c r="BJ495" s="4">
        <f t="shared" si="1788"/>
        <v>0</v>
      </c>
      <c r="BK495" s="4">
        <f t="shared" si="1836"/>
        <v>762</v>
      </c>
      <c r="BL495" s="4">
        <f t="shared" si="1837"/>
        <v>762</v>
      </c>
      <c r="BM495" s="4">
        <f t="shared" si="1838"/>
        <v>762</v>
      </c>
      <c r="BN495" s="4">
        <f t="shared" si="1839"/>
        <v>774.7</v>
      </c>
      <c r="BO495" s="4">
        <f t="shared" si="1840"/>
        <v>1</v>
      </c>
      <c r="BP495" s="25">
        <f t="shared" si="1841"/>
        <v>4</v>
      </c>
      <c r="BR495" s="4">
        <f t="shared" si="1789"/>
        <v>762</v>
      </c>
      <c r="BV495" s="9"/>
      <c r="BX495" s="9"/>
      <c r="BY495" s="9"/>
      <c r="BZ495" s="9">
        <f t="shared" si="1790"/>
        <v>762</v>
      </c>
      <c r="CA495" s="9">
        <f t="shared" si="1791"/>
        <v>762</v>
      </c>
      <c r="CB495" s="9">
        <f t="shared" si="1792"/>
        <v>5.4772255750516612</v>
      </c>
      <c r="CC495" s="40">
        <f t="shared" si="1793"/>
        <v>20</v>
      </c>
      <c r="CD495" s="9">
        <f t="shared" si="1794"/>
        <v>0.05</v>
      </c>
      <c r="CE495" s="9">
        <f t="shared" si="1795"/>
        <v>0.8</v>
      </c>
      <c r="CF495" s="9">
        <f t="shared" si="1796"/>
        <v>0.99524931562137331</v>
      </c>
      <c r="CG495" s="9">
        <f t="shared" si="1797"/>
        <v>0.68</v>
      </c>
      <c r="CH495" s="9">
        <f t="shared" si="1798"/>
        <v>1.4535205120600561</v>
      </c>
      <c r="CI495" s="9">
        <f t="shared" si="1799"/>
        <v>3.63380128015014</v>
      </c>
      <c r="CJ495" s="40">
        <v>1</v>
      </c>
      <c r="CK495" s="9">
        <f t="shared" si="1800"/>
        <v>313.96043060497209</v>
      </c>
      <c r="DI495" s="4">
        <f t="shared" si="1801"/>
        <v>167.64</v>
      </c>
      <c r="DL495" s="4">
        <f t="shared" si="1802"/>
        <v>1.2426634512172898E-5</v>
      </c>
      <c r="DM495" s="4">
        <f t="shared" si="1803"/>
        <v>9.414661970751931</v>
      </c>
      <c r="DN495" s="4">
        <f t="shared" si="1804"/>
        <v>0.47422377031884377</v>
      </c>
      <c r="DO495" s="4">
        <f t="shared" si="1805"/>
        <v>6.985509041533815</v>
      </c>
      <c r="DP495" s="4">
        <f t="shared" si="1806"/>
        <v>8.2897399950379445</v>
      </c>
      <c r="DQ495" s="4">
        <f t="shared" si="1807"/>
        <v>9.1434596716302359</v>
      </c>
      <c r="DR495" s="38">
        <f t="shared" si="1808"/>
        <v>541.27492839427873</v>
      </c>
      <c r="DS495" s="4">
        <f t="shared" si="1809"/>
        <v>1</v>
      </c>
      <c r="DT495" s="4">
        <f t="shared" si="1810"/>
        <v>2.2583179581272428</v>
      </c>
      <c r="DU495" s="4">
        <f t="shared" si="1811"/>
        <v>328.57271539514301</v>
      </c>
      <c r="DY495" s="4">
        <f t="shared" si="1812"/>
        <v>0.85</v>
      </c>
      <c r="DZ495" s="4">
        <f t="shared" si="1813"/>
        <v>0.7</v>
      </c>
      <c r="EA495" s="4">
        <f t="shared" si="1814"/>
        <v>0.84062499999999996</v>
      </c>
      <c r="EB495" s="4">
        <f t="shared" si="1815"/>
        <v>0.7</v>
      </c>
      <c r="ED495" s="4">
        <f t="shared" si="1816"/>
        <v>889.65517241379314</v>
      </c>
      <c r="EH495" s="4">
        <f t="shared" si="1817"/>
        <v>9.414661970751931</v>
      </c>
      <c r="EK495" s="4">
        <f t="shared" si="1818"/>
        <v>57.361276136431961</v>
      </c>
      <c r="EL495" s="4">
        <f t="shared" si="1819"/>
        <v>2.2583179581272428</v>
      </c>
      <c r="EM495" s="4">
        <f t="shared" si="1820"/>
        <v>0.15938823690889276</v>
      </c>
      <c r="EP495" s="4">
        <f t="shared" si="1821"/>
        <v>0.15938823690889276</v>
      </c>
      <c r="EQ495" s="4">
        <f t="shared" si="1822"/>
        <v>0.47422377031884377</v>
      </c>
      <c r="ER495" s="4">
        <f t="shared" si="1823"/>
        <v>6.985509041533815</v>
      </c>
      <c r="ES495" s="4">
        <f t="shared" si="1824"/>
        <v>8.2897399950379445</v>
      </c>
      <c r="ET495" s="4">
        <f t="shared" si="1825"/>
        <v>68.368723863568022</v>
      </c>
      <c r="EU495" s="4">
        <f t="shared" si="1826"/>
        <v>41.91</v>
      </c>
      <c r="EV495" s="4">
        <f t="shared" si="1827"/>
        <v>1.2426634512172898E-5</v>
      </c>
      <c r="EW495" s="4">
        <f t="shared" si="1828"/>
        <v>9.1434596716302359</v>
      </c>
      <c r="EX495" s="4">
        <f t="shared" si="1829"/>
        <v>541.27492839427873</v>
      </c>
      <c r="FG495" s="23"/>
      <c r="FH495" s="23"/>
      <c r="FI495" s="23"/>
      <c r="FJ495" s="23"/>
      <c r="FK495" s="23"/>
      <c r="FL495" s="23"/>
      <c r="FM495" s="23"/>
      <c r="FN495" s="23"/>
      <c r="FX495" s="4">
        <f t="shared" si="1830"/>
        <v>1</v>
      </c>
      <c r="FY495" s="4">
        <f t="shared" si="1831"/>
        <v>0.75511627906976753</v>
      </c>
      <c r="FZ495" s="4">
        <f t="shared" si="1832"/>
        <v>0.3</v>
      </c>
      <c r="GA495" s="4">
        <f t="shared" si="1833"/>
        <v>215.89819885805528</v>
      </c>
    </row>
    <row r="496" spans="1:184" ht="12" customHeight="1" x14ac:dyDescent="0.3">
      <c r="A496" s="52"/>
      <c r="B496" s="14" t="s">
        <v>605</v>
      </c>
      <c r="C496" s="24"/>
      <c r="D496" s="14" t="s">
        <v>365</v>
      </c>
      <c r="E496" s="24"/>
      <c r="F496" s="43" t="s">
        <v>644</v>
      </c>
      <c r="G496" s="38">
        <f t="shared" si="1764"/>
        <v>889.65517241379314</v>
      </c>
      <c r="H496" s="45">
        <v>175.26</v>
      </c>
      <c r="I496" s="4">
        <f t="shared" si="1765"/>
        <v>175.26</v>
      </c>
      <c r="J496" s="45">
        <v>37.655172413793103</v>
      </c>
      <c r="K496" s="7">
        <v>25.4</v>
      </c>
      <c r="L496" s="7">
        <f t="shared" si="1766"/>
        <v>6.9</v>
      </c>
      <c r="M496" s="7">
        <f t="shared" si="1767"/>
        <v>6.9</v>
      </c>
      <c r="N496" s="45">
        <v>1524</v>
      </c>
      <c r="O496" s="45">
        <v>769.62</v>
      </c>
      <c r="P496" s="45">
        <v>769.62</v>
      </c>
      <c r="Q496" s="7"/>
      <c r="R496" s="38">
        <v>1</v>
      </c>
      <c r="T496" s="7">
        <f t="shared" si="1834"/>
        <v>30.8</v>
      </c>
      <c r="U496" s="7">
        <f t="shared" si="1768"/>
        <v>30.8</v>
      </c>
      <c r="V496" s="45">
        <v>4.0999999999999996</v>
      </c>
      <c r="W496" s="4">
        <f t="shared" si="1769"/>
        <v>4.0999999999999996</v>
      </c>
      <c r="X496" s="4">
        <f t="shared" si="1770"/>
        <v>5.0999999999999996</v>
      </c>
      <c r="Y496" s="7">
        <f t="shared" si="1771"/>
        <v>57.361276136431961</v>
      </c>
      <c r="AB496" s="45">
        <v>459.31034482758622</v>
      </c>
      <c r="AD496" s="4">
        <f>AB496*0.145*PI()/4</f>
        <v>52.307517682270053</v>
      </c>
      <c r="AE496" s="38">
        <f>25.4*5/8</f>
        <v>15.875</v>
      </c>
      <c r="AF496" s="38">
        <v>3</v>
      </c>
      <c r="AG496" s="39">
        <v>25.4</v>
      </c>
      <c r="AH496" s="39">
        <v>3</v>
      </c>
      <c r="AI496" s="39">
        <v>1</v>
      </c>
      <c r="AK496" s="4">
        <f t="shared" si="1772"/>
        <v>175.26</v>
      </c>
      <c r="AL496" s="4">
        <f t="shared" si="1773"/>
        <v>1</v>
      </c>
      <c r="AM496" s="4">
        <f t="shared" si="1774"/>
        <v>280.98246403479141</v>
      </c>
      <c r="AN496" s="4">
        <f t="shared" si="1775"/>
        <v>1</v>
      </c>
      <c r="AO496" s="4">
        <v>1.25</v>
      </c>
      <c r="AP496" s="4">
        <v>1</v>
      </c>
      <c r="AQ496" s="38">
        <f t="shared" si="1776"/>
        <v>351.22808004348929</v>
      </c>
      <c r="AR496" s="38">
        <f t="shared" si="1835"/>
        <v>351.22808004348929</v>
      </c>
      <c r="AS496" s="38">
        <f t="shared" si="1777"/>
        <v>3.3703190491443937</v>
      </c>
      <c r="AX496" s="4">
        <f t="shared" si="1778"/>
        <v>222.84752241014584</v>
      </c>
      <c r="AY496" s="4">
        <f t="shared" si="1779"/>
        <v>1</v>
      </c>
      <c r="AZ496" s="38">
        <f t="shared" si="1780"/>
        <v>4696.7482366786853</v>
      </c>
      <c r="BA496" s="4">
        <f t="shared" si="1781"/>
        <v>0.42600000000000005</v>
      </c>
      <c r="BB496" s="4">
        <f t="shared" si="1782"/>
        <v>49.602515775662305</v>
      </c>
      <c r="BC496" s="4">
        <f t="shared" si="1783"/>
        <v>4746.3507524543475</v>
      </c>
      <c r="BE496" s="4">
        <f t="shared" si="1784"/>
        <v>1.5</v>
      </c>
      <c r="BF496" s="4">
        <f t="shared" si="1785"/>
        <v>466.67177899498586</v>
      </c>
      <c r="BH496" s="4">
        <f t="shared" si="1786"/>
        <v>4504.7559338566916</v>
      </c>
      <c r="BI496" s="4">
        <f t="shared" si="1787"/>
        <v>0</v>
      </c>
      <c r="BJ496" s="4">
        <f t="shared" si="1788"/>
        <v>0</v>
      </c>
      <c r="BK496" s="4">
        <f t="shared" si="1836"/>
        <v>769.62</v>
      </c>
      <c r="BL496" s="4">
        <f t="shared" si="1837"/>
        <v>769.62</v>
      </c>
      <c r="BM496" s="4">
        <f t="shared" si="1838"/>
        <v>769.62</v>
      </c>
      <c r="BN496" s="4">
        <f t="shared" si="1839"/>
        <v>782.32</v>
      </c>
      <c r="BO496" s="4">
        <f t="shared" si="1840"/>
        <v>1</v>
      </c>
      <c r="BP496" s="25">
        <f t="shared" si="1841"/>
        <v>4</v>
      </c>
      <c r="BR496" s="4">
        <f t="shared" si="1789"/>
        <v>769.62</v>
      </c>
      <c r="BV496" s="9"/>
      <c r="BX496" s="9"/>
      <c r="BY496" s="9"/>
      <c r="BZ496" s="9">
        <f t="shared" si="1790"/>
        <v>769.62</v>
      </c>
      <c r="CA496" s="9">
        <f t="shared" si="1791"/>
        <v>769.62</v>
      </c>
      <c r="CB496" s="9">
        <f t="shared" si="1792"/>
        <v>5.5045435778091543</v>
      </c>
      <c r="CC496" s="40">
        <f t="shared" si="1793"/>
        <v>20</v>
      </c>
      <c r="CD496" s="9">
        <f t="shared" si="1794"/>
        <v>0.05</v>
      </c>
      <c r="CE496" s="9">
        <f t="shared" si="1795"/>
        <v>0.8</v>
      </c>
      <c r="CF496" s="9">
        <f t="shared" si="1796"/>
        <v>0.99524931562137331</v>
      </c>
      <c r="CG496" s="9">
        <f t="shared" si="1797"/>
        <v>0.68</v>
      </c>
      <c r="CH496" s="9">
        <f t="shared" si="1798"/>
        <v>1.4535205120600561</v>
      </c>
      <c r="CI496" s="9">
        <f t="shared" si="1799"/>
        <v>3.63380128015014</v>
      </c>
      <c r="CJ496" s="40">
        <v>1</v>
      </c>
      <c r="CK496" s="9">
        <f t="shared" si="1800"/>
        <v>318.32099214115226</v>
      </c>
      <c r="DI496" s="4">
        <f t="shared" si="1801"/>
        <v>175.26</v>
      </c>
      <c r="DL496" s="4">
        <f t="shared" si="1802"/>
        <v>1.2991481535453484E-5</v>
      </c>
      <c r="DM496" s="4">
        <f t="shared" si="1803"/>
        <v>9.414661970751931</v>
      </c>
      <c r="DN496" s="4">
        <f t="shared" si="1804"/>
        <v>0.50692189751594396</v>
      </c>
      <c r="DO496" s="4">
        <f t="shared" si="1805"/>
        <v>7.1743267463293359</v>
      </c>
      <c r="DP496" s="4">
        <f t="shared" si="1806"/>
        <v>8.3699267548594403</v>
      </c>
      <c r="DQ496" s="4">
        <f t="shared" si="1807"/>
        <v>9.1134708215683489</v>
      </c>
      <c r="DR496" s="38">
        <f t="shared" si="1808"/>
        <v>576.56833265789874</v>
      </c>
      <c r="DS496" s="4">
        <f t="shared" si="1809"/>
        <v>0.99999999999999978</v>
      </c>
      <c r="DT496" s="4">
        <f t="shared" si="1810"/>
        <v>2.2583179581272428</v>
      </c>
      <c r="DU496" s="4">
        <f t="shared" si="1811"/>
        <v>351.22808004348929</v>
      </c>
      <c r="DY496" s="4">
        <f t="shared" si="1812"/>
        <v>0.85</v>
      </c>
      <c r="DZ496" s="4">
        <f t="shared" si="1813"/>
        <v>0.7</v>
      </c>
      <c r="EA496" s="4">
        <f t="shared" si="1814"/>
        <v>0.84062499999999996</v>
      </c>
      <c r="EB496" s="4">
        <f t="shared" si="1815"/>
        <v>0.7</v>
      </c>
      <c r="ED496" s="4">
        <f t="shared" si="1816"/>
        <v>889.65517241379314</v>
      </c>
      <c r="EH496" s="4">
        <f t="shared" si="1817"/>
        <v>9.414661970751931</v>
      </c>
      <c r="EK496" s="4">
        <f t="shared" si="1818"/>
        <v>57.361276136431961</v>
      </c>
      <c r="EL496" s="4">
        <f t="shared" si="1819"/>
        <v>2.2583179581272428</v>
      </c>
      <c r="EM496" s="4">
        <f t="shared" si="1820"/>
        <v>0.17037818969144611</v>
      </c>
      <c r="EP496" s="4">
        <f t="shared" si="1821"/>
        <v>0.17037818969144611</v>
      </c>
      <c r="EQ496" s="4">
        <f t="shared" si="1822"/>
        <v>0.50692189751594396</v>
      </c>
      <c r="ER496" s="4">
        <f t="shared" si="1823"/>
        <v>7.1743267463293359</v>
      </c>
      <c r="ES496" s="4">
        <f t="shared" si="1824"/>
        <v>8.3699267548594403</v>
      </c>
      <c r="ET496" s="4">
        <f t="shared" si="1825"/>
        <v>74.083723863568025</v>
      </c>
      <c r="EU496" s="4">
        <f t="shared" si="1826"/>
        <v>43.814999999999998</v>
      </c>
      <c r="EV496" s="4">
        <f t="shared" si="1827"/>
        <v>1.2991481535453484E-5</v>
      </c>
      <c r="EW496" s="4">
        <f t="shared" si="1828"/>
        <v>9.1134708215683489</v>
      </c>
      <c r="EX496" s="4">
        <f t="shared" si="1829"/>
        <v>576.56833265789885</v>
      </c>
      <c r="FG496" s="23"/>
      <c r="FH496" s="23"/>
      <c r="FI496" s="23"/>
      <c r="FJ496" s="23"/>
      <c r="FK496" s="23"/>
      <c r="FL496" s="23"/>
      <c r="FM496" s="23"/>
      <c r="FN496" s="23"/>
      <c r="FX496" s="4">
        <f t="shared" si="1830"/>
        <v>1</v>
      </c>
      <c r="FY496" s="4">
        <f t="shared" si="1831"/>
        <v>0.75511627906976753</v>
      </c>
      <c r="FZ496" s="4">
        <f t="shared" si="1832"/>
        <v>0.3</v>
      </c>
      <c r="GA496" s="4">
        <f t="shared" si="1833"/>
        <v>225.71175335160328</v>
      </c>
      <c r="GB496" s="4">
        <f>GA496*0.145*PI()/4</f>
        <v>25.704671498237222</v>
      </c>
    </row>
    <row r="497" spans="1:170" ht="12" customHeight="1" x14ac:dyDescent="0.3">
      <c r="A497" s="52"/>
      <c r="B497" s="24"/>
      <c r="C497" s="24"/>
      <c r="D497" s="24"/>
      <c r="E497" s="24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BP497" s="25"/>
      <c r="BV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FG497" s="23"/>
      <c r="FH497" s="23"/>
      <c r="FI497" s="23"/>
      <c r="FJ497" s="23"/>
      <c r="FK497" s="23"/>
      <c r="FL497" s="23"/>
      <c r="FM497" s="23"/>
      <c r="FN497" s="23"/>
    </row>
    <row r="498" spans="1:170" ht="12" customHeight="1" x14ac:dyDescent="0.3">
      <c r="A498" s="52"/>
      <c r="B498" s="24"/>
      <c r="C498" s="24"/>
      <c r="D498" s="24"/>
      <c r="E498" s="24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BP498" s="25"/>
      <c r="BV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FG498" s="23"/>
      <c r="FH498" s="23"/>
      <c r="FI498" s="23"/>
      <c r="FJ498" s="23"/>
      <c r="FK498" s="23"/>
      <c r="FL498" s="23"/>
      <c r="FM498" s="23"/>
      <c r="FN498" s="23"/>
    </row>
    <row r="499" spans="1:170" ht="12" customHeight="1" x14ac:dyDescent="0.3">
      <c r="A499" s="52"/>
      <c r="B499" s="24"/>
      <c r="C499" s="24"/>
      <c r="D499" s="24"/>
      <c r="E499" s="24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34"/>
      <c r="AF499" s="7"/>
      <c r="AG499" s="7"/>
      <c r="AH499" s="7"/>
      <c r="AI499" s="7"/>
      <c r="AJ499" s="7"/>
      <c r="BP499" s="25"/>
      <c r="BV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FG499" s="23"/>
      <c r="FH499" s="23"/>
      <c r="FI499" s="23"/>
      <c r="FJ499" s="23"/>
      <c r="FK499" s="23"/>
      <c r="FL499" s="23"/>
      <c r="FM499" s="23"/>
      <c r="FN499" s="23"/>
    </row>
    <row r="500" spans="1:170" ht="12" customHeight="1" x14ac:dyDescent="0.3">
      <c r="A500" s="52"/>
      <c r="B500" s="24"/>
      <c r="C500" s="24"/>
      <c r="D500" s="24"/>
      <c r="E500" s="24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34"/>
      <c r="AF500" s="7"/>
      <c r="AG500" s="7"/>
      <c r="AH500" s="7"/>
      <c r="AI500" s="7"/>
      <c r="AJ500" s="7"/>
      <c r="BP500" s="25"/>
      <c r="BV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FG500" s="23"/>
      <c r="FH500" s="23"/>
      <c r="FI500" s="23"/>
      <c r="FJ500" s="23"/>
      <c r="FK500" s="23"/>
      <c r="FL500" s="23"/>
      <c r="FM500" s="23"/>
      <c r="FN500" s="23"/>
    </row>
    <row r="501" spans="1:170" ht="12" customHeight="1" x14ac:dyDescent="0.3">
      <c r="A501" s="52"/>
      <c r="B501" s="24"/>
      <c r="C501" s="24"/>
      <c r="D501" s="24"/>
      <c r="E501" s="24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BP501" s="25"/>
      <c r="BV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FG501" s="23"/>
      <c r="FH501" s="23"/>
      <c r="FI501" s="23"/>
      <c r="FJ501" s="23"/>
      <c r="FK501" s="23"/>
      <c r="FL501" s="23"/>
      <c r="FM501" s="23"/>
      <c r="FN501" s="23"/>
    </row>
    <row r="502" spans="1:170" ht="12" customHeight="1" x14ac:dyDescent="0.3">
      <c r="A502" s="52"/>
      <c r="B502" s="24"/>
      <c r="C502" s="24"/>
      <c r="D502" s="24"/>
      <c r="E502" s="24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BP502" s="25"/>
      <c r="BV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FG502" s="23"/>
      <c r="FH502" s="23"/>
      <c r="FI502" s="23"/>
      <c r="FJ502" s="23"/>
      <c r="FK502" s="23"/>
      <c r="FL502" s="23"/>
      <c r="FM502" s="23"/>
      <c r="FN502" s="23"/>
    </row>
    <row r="503" spans="1:170" ht="12" customHeight="1" x14ac:dyDescent="0.3">
      <c r="A503" s="52"/>
      <c r="B503" s="24"/>
      <c r="C503" s="24"/>
      <c r="D503" s="24"/>
      <c r="E503" s="24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34"/>
      <c r="AF503" s="7"/>
      <c r="AG503" s="7"/>
      <c r="AH503" s="7"/>
      <c r="AI503" s="7"/>
      <c r="AJ503" s="7"/>
      <c r="BP503" s="25"/>
      <c r="BV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FG503" s="23"/>
      <c r="FH503" s="23"/>
      <c r="FI503" s="23"/>
      <c r="FJ503" s="23"/>
      <c r="FK503" s="23"/>
      <c r="FL503" s="23"/>
      <c r="FM503" s="23"/>
      <c r="FN503" s="23"/>
    </row>
    <row r="504" spans="1:170" ht="12" customHeight="1" x14ac:dyDescent="0.3">
      <c r="A504" s="52"/>
      <c r="B504" s="24"/>
      <c r="C504" s="24"/>
      <c r="D504" s="24"/>
      <c r="E504" s="24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34"/>
      <c r="AF504" s="7"/>
      <c r="AG504" s="7"/>
      <c r="AH504" s="7"/>
      <c r="AI504" s="7"/>
      <c r="AJ504" s="7"/>
      <c r="BV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FG504" s="23"/>
      <c r="FH504" s="23"/>
      <c r="FI504" s="23"/>
      <c r="FJ504" s="23"/>
      <c r="FK504" s="23"/>
      <c r="FL504" s="23"/>
      <c r="FM504" s="23"/>
      <c r="FN504" s="23"/>
    </row>
    <row r="505" spans="1:170" ht="12" customHeight="1" x14ac:dyDescent="0.3">
      <c r="A505" s="52"/>
      <c r="B505" s="24"/>
      <c r="C505" s="24"/>
      <c r="D505" s="24"/>
      <c r="E505" s="24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34"/>
      <c r="AF505" s="7"/>
      <c r="AG505" s="7"/>
      <c r="AH505" s="7"/>
      <c r="AI505" s="7"/>
      <c r="AJ505" s="7"/>
      <c r="BV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FG505" s="23"/>
      <c r="FH505" s="23"/>
      <c r="FI505" s="23"/>
      <c r="FJ505" s="23"/>
      <c r="FK505" s="23"/>
      <c r="FL505" s="23"/>
      <c r="FM505" s="23"/>
      <c r="FN505" s="23"/>
    </row>
    <row r="506" spans="1:170" ht="12" customHeight="1" x14ac:dyDescent="0.3">
      <c r="A506" s="52"/>
      <c r="B506" s="24"/>
      <c r="C506" s="24"/>
      <c r="D506" s="24"/>
      <c r="E506" s="24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34"/>
      <c r="AF506" s="7"/>
      <c r="AG506" s="7"/>
      <c r="AH506" s="7"/>
      <c r="AI506" s="7"/>
      <c r="AJ506" s="7"/>
      <c r="BV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FG506" s="23"/>
      <c r="FH506" s="23"/>
      <c r="FI506" s="23"/>
      <c r="FJ506" s="23"/>
      <c r="FK506" s="23"/>
      <c r="FL506" s="23"/>
      <c r="FM506" s="23"/>
      <c r="FN506" s="23"/>
    </row>
    <row r="507" spans="1:170" ht="12" customHeight="1" x14ac:dyDescent="0.3">
      <c r="A507" s="52"/>
      <c r="B507" s="24"/>
      <c r="C507" s="24"/>
      <c r="D507" s="24"/>
      <c r="E507" s="24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34"/>
      <c r="AF507" s="7"/>
      <c r="AG507" s="7"/>
      <c r="AH507" s="7"/>
      <c r="AI507" s="7"/>
      <c r="AJ507" s="7"/>
      <c r="BV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FG507" s="23"/>
      <c r="FH507" s="23"/>
      <c r="FI507" s="23"/>
      <c r="FJ507" s="23"/>
      <c r="FK507" s="23"/>
      <c r="FL507" s="23"/>
      <c r="FM507" s="23"/>
      <c r="FN507" s="23"/>
    </row>
    <row r="508" spans="1:170" ht="12" customHeight="1" x14ac:dyDescent="0.3">
      <c r="A508" s="52"/>
      <c r="B508" s="24"/>
      <c r="C508" s="24"/>
      <c r="D508" s="24"/>
      <c r="E508" s="24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34"/>
      <c r="AF508" s="7"/>
      <c r="AG508" s="7"/>
      <c r="AH508" s="7"/>
      <c r="AI508" s="7"/>
      <c r="AJ508" s="7"/>
      <c r="BV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FG508" s="23"/>
      <c r="FH508" s="23"/>
      <c r="FI508" s="23"/>
      <c r="FJ508" s="23"/>
      <c r="FK508" s="23"/>
      <c r="FL508" s="23"/>
      <c r="FM508" s="23"/>
      <c r="FN508" s="23"/>
    </row>
    <row r="509" spans="1:170" ht="12" customHeight="1" x14ac:dyDescent="0.3">
      <c r="A509" s="52"/>
      <c r="B509" s="24"/>
      <c r="C509" s="24"/>
      <c r="D509" s="24"/>
      <c r="E509" s="24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BV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FG509" s="23"/>
      <c r="FH509" s="23"/>
      <c r="FI509" s="23"/>
      <c r="FJ509" s="23"/>
      <c r="FK509" s="23"/>
      <c r="FL509" s="23"/>
      <c r="FM509" s="23"/>
      <c r="FN509" s="23"/>
    </row>
    <row r="510" spans="1:170" ht="12" customHeight="1" x14ac:dyDescent="0.3">
      <c r="A510" s="52"/>
      <c r="B510" s="24"/>
      <c r="C510" s="24"/>
      <c r="D510" s="24"/>
      <c r="E510" s="24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BV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FG510" s="23"/>
      <c r="FH510" s="23"/>
      <c r="FI510" s="23"/>
      <c r="FJ510" s="23"/>
      <c r="FK510" s="23"/>
      <c r="FL510" s="23"/>
      <c r="FM510" s="23"/>
      <c r="FN510" s="23"/>
    </row>
    <row r="511" spans="1:170" ht="12" customHeight="1" x14ac:dyDescent="0.3">
      <c r="A511" s="52"/>
      <c r="B511" s="24"/>
      <c r="C511" s="24"/>
      <c r="D511" s="24"/>
      <c r="E511" s="24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BV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FG511" s="23"/>
      <c r="FH511" s="23"/>
      <c r="FI511" s="23"/>
      <c r="FJ511" s="23"/>
      <c r="FK511" s="23"/>
      <c r="FL511" s="23"/>
      <c r="FM511" s="23"/>
      <c r="FN511" s="23"/>
    </row>
    <row r="512" spans="1:170" ht="12" customHeight="1" x14ac:dyDescent="0.3">
      <c r="A512" s="52"/>
      <c r="B512" s="24"/>
      <c r="C512" s="24"/>
      <c r="D512" s="24"/>
      <c r="E512" s="24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BV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FG512" s="23"/>
      <c r="FH512" s="23"/>
      <c r="FI512" s="23"/>
      <c r="FJ512" s="23"/>
      <c r="FK512" s="23"/>
      <c r="FL512" s="23"/>
      <c r="FM512" s="23"/>
      <c r="FN512" s="23"/>
    </row>
    <row r="513" spans="1:170" ht="12" customHeight="1" x14ac:dyDescent="0.3">
      <c r="A513" s="52"/>
      <c r="B513" s="24"/>
      <c r="C513" s="24"/>
      <c r="D513" s="24"/>
      <c r="E513" s="24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BV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FG513" s="23"/>
      <c r="FH513" s="23"/>
      <c r="FI513" s="23"/>
      <c r="FJ513" s="23"/>
      <c r="FK513" s="23"/>
      <c r="FL513" s="23"/>
      <c r="FM513" s="23"/>
      <c r="FN513" s="23"/>
    </row>
    <row r="514" spans="1:170" ht="12" customHeight="1" x14ac:dyDescent="0.3">
      <c r="A514" s="52"/>
      <c r="B514" s="24"/>
      <c r="C514" s="24"/>
      <c r="D514" s="24"/>
      <c r="E514" s="24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BV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FG514" s="23"/>
      <c r="FH514" s="23"/>
      <c r="FI514" s="23"/>
      <c r="FJ514" s="23"/>
      <c r="FK514" s="23"/>
      <c r="FL514" s="23"/>
      <c r="FM514" s="23"/>
      <c r="FN514" s="23"/>
    </row>
    <row r="515" spans="1:170" ht="12" customHeight="1" x14ac:dyDescent="0.3">
      <c r="A515" s="52"/>
      <c r="B515" s="24"/>
      <c r="C515" s="24"/>
      <c r="D515" s="24"/>
      <c r="E515" s="24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BV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FG515" s="23"/>
      <c r="FH515" s="23"/>
      <c r="FI515" s="23"/>
      <c r="FJ515" s="23"/>
      <c r="FK515" s="23"/>
      <c r="FL515" s="23"/>
      <c r="FM515" s="23"/>
      <c r="FN515" s="23"/>
    </row>
    <row r="516" spans="1:170" ht="12" customHeight="1" x14ac:dyDescent="0.3">
      <c r="A516" s="52"/>
      <c r="B516" s="24"/>
      <c r="C516" s="24"/>
      <c r="D516" s="24"/>
      <c r="E516" s="24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BV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FG516" s="23"/>
      <c r="FH516" s="23"/>
      <c r="FI516" s="23"/>
      <c r="FJ516" s="23"/>
      <c r="FK516" s="23"/>
      <c r="FL516" s="23"/>
      <c r="FM516" s="23"/>
      <c r="FN516" s="23"/>
    </row>
    <row r="517" spans="1:170" ht="12" customHeight="1" x14ac:dyDescent="0.3">
      <c r="A517" s="52"/>
      <c r="B517" s="24"/>
      <c r="C517" s="24"/>
      <c r="D517" s="24"/>
      <c r="E517" s="24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BV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FG517" s="23"/>
      <c r="FH517" s="23"/>
      <c r="FI517" s="23"/>
      <c r="FJ517" s="23"/>
      <c r="FK517" s="23"/>
      <c r="FL517" s="23"/>
      <c r="FM517" s="23"/>
      <c r="FN517" s="23"/>
    </row>
    <row r="518" spans="1:170" ht="12" customHeight="1" x14ac:dyDescent="0.3">
      <c r="A518" s="52"/>
      <c r="B518" s="24"/>
      <c r="C518" s="24"/>
      <c r="D518" s="24"/>
      <c r="E518" s="24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BV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FG518" s="23"/>
      <c r="FH518" s="23"/>
      <c r="FI518" s="23"/>
      <c r="FJ518" s="23"/>
      <c r="FK518" s="23"/>
      <c r="FL518" s="23"/>
      <c r="FM518" s="23"/>
      <c r="FN518" s="23"/>
    </row>
    <row r="519" spans="1:170" ht="12" customHeight="1" x14ac:dyDescent="0.3">
      <c r="A519" s="52"/>
      <c r="B519" s="24"/>
      <c r="C519" s="24"/>
      <c r="D519" s="24"/>
      <c r="E519" s="24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BV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FG519" s="23"/>
      <c r="FH519" s="23"/>
      <c r="FI519" s="23"/>
      <c r="FJ519" s="23"/>
      <c r="FK519" s="23"/>
      <c r="FL519" s="23"/>
      <c r="FM519" s="23"/>
      <c r="FN519" s="23"/>
    </row>
    <row r="520" spans="1:170" ht="12" customHeight="1" x14ac:dyDescent="0.3">
      <c r="A520" s="52"/>
      <c r="B520" s="24"/>
      <c r="C520" s="24"/>
      <c r="D520" s="24"/>
      <c r="E520" s="24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BV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FG520" s="23"/>
      <c r="FH520" s="23"/>
      <c r="FI520" s="23"/>
      <c r="FJ520" s="23"/>
      <c r="FK520" s="23"/>
      <c r="FL520" s="23"/>
      <c r="FM520" s="23"/>
      <c r="FN520" s="23"/>
    </row>
    <row r="521" spans="1:170" ht="12" customHeight="1" x14ac:dyDescent="0.3">
      <c r="B521" s="14"/>
      <c r="C521" s="14"/>
      <c r="D521" s="14"/>
      <c r="E521" s="14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BV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FG521" s="23"/>
      <c r="FH521" s="23"/>
      <c r="FI521" s="23"/>
      <c r="FJ521" s="23"/>
      <c r="FK521" s="23"/>
      <c r="FL521" s="23"/>
      <c r="FM521" s="23"/>
      <c r="FN521" s="23"/>
    </row>
    <row r="522" spans="1:170" ht="12" customHeight="1" x14ac:dyDescent="0.3">
      <c r="B522" s="14"/>
      <c r="C522" s="14"/>
      <c r="D522" s="14"/>
      <c r="E522" s="14"/>
      <c r="F522" s="7"/>
      <c r="G522" s="7"/>
      <c r="H522" s="7"/>
      <c r="I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E522" s="7"/>
      <c r="AF522" s="7"/>
      <c r="AG522" s="7"/>
      <c r="AH522" s="7"/>
      <c r="AI522" s="7"/>
      <c r="AJ522" s="7"/>
      <c r="BV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FG522" s="23"/>
      <c r="FH522" s="23"/>
      <c r="FI522" s="23"/>
      <c r="FJ522" s="23"/>
      <c r="FK522" s="23"/>
      <c r="FL522" s="23"/>
      <c r="FM522" s="23"/>
      <c r="FN522" s="23"/>
    </row>
    <row r="523" spans="1:170" ht="12" customHeight="1" x14ac:dyDescent="0.3">
      <c r="B523" s="14"/>
      <c r="C523" s="14"/>
      <c r="D523" s="14"/>
      <c r="E523" s="14"/>
      <c r="F523" s="7"/>
      <c r="G523" s="7"/>
      <c r="H523" s="7"/>
      <c r="I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E523" s="7"/>
      <c r="AF523" s="7"/>
      <c r="AG523" s="7"/>
      <c r="AH523" s="7"/>
      <c r="AI523" s="7"/>
      <c r="AJ523" s="7"/>
      <c r="BV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FG523" s="23"/>
      <c r="FH523" s="23"/>
      <c r="FI523" s="23"/>
      <c r="FJ523" s="23"/>
      <c r="FK523" s="23"/>
      <c r="FL523" s="23"/>
      <c r="FM523" s="23"/>
      <c r="FN523" s="23"/>
    </row>
    <row r="524" spans="1:170" ht="12" customHeight="1" x14ac:dyDescent="0.3">
      <c r="B524" s="14"/>
      <c r="C524" s="14"/>
      <c r="D524" s="14"/>
      <c r="E524" s="14"/>
      <c r="F524" s="7"/>
      <c r="G524" s="7"/>
      <c r="H524" s="7"/>
      <c r="I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E524" s="7"/>
      <c r="AF524" s="7"/>
      <c r="AG524" s="7"/>
      <c r="AH524" s="7"/>
      <c r="AI524" s="7"/>
      <c r="AJ524" s="7"/>
      <c r="BV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FG524" s="23"/>
      <c r="FH524" s="23"/>
      <c r="FI524" s="23"/>
      <c r="FJ524" s="23"/>
      <c r="FK524" s="23"/>
      <c r="FL524" s="23"/>
      <c r="FM524" s="23"/>
      <c r="FN524" s="23"/>
    </row>
    <row r="525" spans="1:170" ht="12" customHeight="1" x14ac:dyDescent="0.3">
      <c r="B525" s="14"/>
      <c r="C525" s="14"/>
      <c r="D525" s="14"/>
      <c r="E525" s="14"/>
      <c r="F525" s="7"/>
      <c r="G525" s="7"/>
      <c r="H525" s="7"/>
      <c r="I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E525" s="7"/>
      <c r="AF525" s="7"/>
      <c r="AG525" s="7"/>
      <c r="AH525" s="7"/>
      <c r="AI525" s="7"/>
      <c r="AJ525" s="7"/>
      <c r="BV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FG525" s="23"/>
      <c r="FH525" s="23"/>
      <c r="FI525" s="23"/>
      <c r="FJ525" s="23"/>
      <c r="FK525" s="23"/>
      <c r="FL525" s="23"/>
      <c r="FM525" s="23"/>
      <c r="FN525" s="23"/>
    </row>
    <row r="526" spans="1:170" ht="12" customHeight="1" x14ac:dyDescent="0.3">
      <c r="B526" s="14"/>
      <c r="C526" s="14"/>
      <c r="D526" s="14"/>
      <c r="E526" s="14"/>
      <c r="F526" s="7"/>
      <c r="G526" s="7"/>
      <c r="H526" s="7"/>
      <c r="I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E526" s="7"/>
      <c r="AF526" s="7"/>
      <c r="AG526" s="7"/>
      <c r="AH526" s="7"/>
      <c r="AI526" s="7"/>
      <c r="AJ526" s="7"/>
      <c r="BV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FG526" s="23"/>
      <c r="FH526" s="23"/>
      <c r="FI526" s="23"/>
      <c r="FJ526" s="23"/>
      <c r="FK526" s="23"/>
      <c r="FL526" s="23"/>
      <c r="FM526" s="23"/>
      <c r="FN526" s="23"/>
    </row>
    <row r="527" spans="1:170" ht="12" customHeight="1" x14ac:dyDescent="0.3">
      <c r="B527" s="14"/>
      <c r="C527" s="14"/>
      <c r="D527" s="14"/>
      <c r="E527" s="14"/>
      <c r="F527" s="7"/>
      <c r="G527" s="7"/>
      <c r="H527" s="7"/>
      <c r="I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E527" s="7"/>
      <c r="AF527" s="7"/>
      <c r="AG527" s="7"/>
      <c r="AH527" s="7"/>
      <c r="AI527" s="7"/>
      <c r="AJ527" s="7"/>
      <c r="BV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FG527" s="23"/>
      <c r="FH527" s="23"/>
      <c r="FI527" s="23"/>
      <c r="FJ527" s="23"/>
      <c r="FK527" s="23"/>
      <c r="FL527" s="23"/>
      <c r="FM527" s="23"/>
      <c r="FN527" s="23"/>
    </row>
    <row r="528" spans="1:170" ht="12" customHeight="1" x14ac:dyDescent="0.3">
      <c r="B528" s="14"/>
      <c r="C528" s="14"/>
      <c r="D528" s="14"/>
      <c r="E528" s="14"/>
      <c r="F528" s="7"/>
      <c r="G528" s="7"/>
      <c r="H528" s="7"/>
      <c r="I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E528" s="7"/>
      <c r="AF528" s="7"/>
      <c r="AG528" s="7"/>
      <c r="AH528" s="7"/>
      <c r="AI528" s="7"/>
      <c r="AJ528" s="7"/>
      <c r="BV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FG528" s="23"/>
      <c r="FH528" s="23"/>
      <c r="FI528" s="23"/>
      <c r="FJ528" s="23"/>
      <c r="FK528" s="23"/>
      <c r="FL528" s="23"/>
      <c r="FM528" s="23"/>
      <c r="FN528" s="23"/>
    </row>
    <row r="529" spans="2:170" ht="12" customHeight="1" x14ac:dyDescent="0.3">
      <c r="B529" s="14"/>
      <c r="C529" s="14"/>
      <c r="D529" s="14"/>
      <c r="E529" s="14"/>
      <c r="F529" s="7"/>
      <c r="G529" s="7"/>
      <c r="H529" s="7"/>
      <c r="I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E529" s="7"/>
      <c r="AF529" s="7"/>
      <c r="AG529" s="7"/>
      <c r="AH529" s="7"/>
      <c r="AI529" s="7"/>
      <c r="AJ529" s="7"/>
      <c r="BV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FG529" s="23"/>
      <c r="FH529" s="23"/>
      <c r="FI529" s="23"/>
      <c r="FJ529" s="23"/>
      <c r="FK529" s="23"/>
      <c r="FL529" s="23"/>
      <c r="FM529" s="23"/>
      <c r="FN529" s="23"/>
    </row>
    <row r="530" spans="2:170" ht="12" customHeight="1" x14ac:dyDescent="0.3">
      <c r="B530" s="14"/>
      <c r="C530" s="14"/>
      <c r="D530" s="14"/>
      <c r="E530" s="14"/>
      <c r="F530" s="7"/>
      <c r="G530" s="7"/>
      <c r="H530" s="7"/>
      <c r="I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E530" s="7"/>
      <c r="AF530" s="7"/>
      <c r="AG530" s="7"/>
      <c r="AH530" s="7"/>
      <c r="AI530" s="7"/>
      <c r="AJ530" s="7"/>
      <c r="BV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FG530" s="23"/>
      <c r="FH530" s="23"/>
      <c r="FI530" s="23"/>
      <c r="FJ530" s="23"/>
      <c r="FK530" s="23"/>
      <c r="FL530" s="23"/>
      <c r="FM530" s="23"/>
      <c r="FN530" s="23"/>
    </row>
    <row r="531" spans="2:170" ht="12" customHeight="1" x14ac:dyDescent="0.3">
      <c r="B531" s="14"/>
      <c r="C531" s="14"/>
      <c r="D531" s="14"/>
      <c r="E531" s="14"/>
      <c r="F531" s="7"/>
      <c r="G531" s="7"/>
      <c r="H531" s="7"/>
      <c r="I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E531" s="7"/>
      <c r="AF531" s="7"/>
      <c r="AG531" s="7"/>
      <c r="AH531" s="7"/>
      <c r="AI531" s="7"/>
      <c r="AJ531" s="7"/>
      <c r="BV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FG531" s="23"/>
      <c r="FH531" s="23"/>
      <c r="FI531" s="23"/>
      <c r="FJ531" s="23"/>
      <c r="FK531" s="23"/>
      <c r="FL531" s="23"/>
      <c r="FM531" s="23"/>
      <c r="FN531" s="23"/>
    </row>
    <row r="532" spans="2:170" ht="12" customHeight="1" x14ac:dyDescent="0.3">
      <c r="B532" s="14"/>
      <c r="C532" s="14"/>
      <c r="D532" s="14"/>
      <c r="E532" s="14"/>
      <c r="F532" s="7"/>
      <c r="G532" s="7"/>
      <c r="H532" s="7"/>
      <c r="I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E532" s="7"/>
      <c r="AF532" s="7"/>
      <c r="AG532" s="7"/>
      <c r="AH532" s="7"/>
      <c r="AI532" s="7"/>
      <c r="AJ532" s="7"/>
      <c r="BV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FG532" s="23"/>
      <c r="FH532" s="23"/>
      <c r="FI532" s="23"/>
      <c r="FJ532" s="23"/>
      <c r="FK532" s="23"/>
      <c r="FL532" s="23"/>
      <c r="FM532" s="23"/>
      <c r="FN532" s="23"/>
    </row>
    <row r="533" spans="2:170" ht="12" customHeight="1" x14ac:dyDescent="0.3">
      <c r="B533" s="14"/>
      <c r="C533" s="14"/>
      <c r="D533" s="14"/>
      <c r="E533" s="14"/>
      <c r="F533" s="7"/>
      <c r="G533" s="7"/>
      <c r="H533" s="7"/>
      <c r="I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E533" s="7"/>
      <c r="AF533" s="7"/>
      <c r="AG533" s="7"/>
      <c r="AH533" s="7"/>
      <c r="AI533" s="7"/>
      <c r="AJ533" s="7"/>
      <c r="BV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FG533" s="23"/>
      <c r="FH533" s="23"/>
      <c r="FI533" s="23"/>
      <c r="FJ533" s="23"/>
      <c r="FK533" s="23"/>
      <c r="FL533" s="23"/>
      <c r="FM533" s="23"/>
      <c r="FN533" s="23"/>
    </row>
    <row r="534" spans="2:170" ht="12" customHeight="1" x14ac:dyDescent="0.3">
      <c r="FG534" s="23"/>
      <c r="FH534" s="23"/>
      <c r="FI534" s="23"/>
      <c r="FJ534" s="23"/>
      <c r="FK534" s="23"/>
      <c r="FL534" s="23"/>
    </row>
    <row r="535" spans="2:170" ht="12" customHeight="1" x14ac:dyDescent="0.3">
      <c r="FG535" s="23"/>
      <c r="FH535" s="23"/>
      <c r="FI535" s="23"/>
      <c r="FJ535" s="23"/>
      <c r="FK535" s="23"/>
      <c r="FL535" s="23"/>
    </row>
    <row r="536" spans="2:170" ht="12" customHeight="1" x14ac:dyDescent="0.3">
      <c r="FG536" s="23"/>
      <c r="FH536" s="23"/>
      <c r="FI536" s="23"/>
      <c r="FJ536" s="23"/>
      <c r="FK536" s="23"/>
      <c r="FL536" s="23"/>
    </row>
    <row r="537" spans="2:170" ht="12" customHeight="1" x14ac:dyDescent="0.3">
      <c r="B537" s="24"/>
      <c r="C537" s="24"/>
      <c r="D537" s="24"/>
      <c r="E537" s="24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D537" s="7"/>
      <c r="AE537" s="7"/>
      <c r="AF537" s="7"/>
      <c r="AG537" s="7"/>
      <c r="AH537" s="7"/>
      <c r="AI537" s="7"/>
      <c r="AJ537" s="7"/>
      <c r="BV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FG537" s="23"/>
      <c r="FH537" s="23"/>
      <c r="FI537" s="23"/>
      <c r="FJ537" s="23"/>
      <c r="FK537" s="23"/>
      <c r="FL537" s="23"/>
      <c r="FM537" s="23"/>
      <c r="FN537" s="23"/>
    </row>
    <row r="538" spans="2:170" ht="12" customHeight="1" x14ac:dyDescent="0.3">
      <c r="B538" s="24"/>
      <c r="C538" s="24"/>
      <c r="D538" s="24"/>
      <c r="E538" s="24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D538" s="7"/>
      <c r="AE538" s="7"/>
      <c r="AF538" s="7"/>
      <c r="AG538" s="7"/>
      <c r="AH538" s="7"/>
      <c r="AI538" s="7"/>
      <c r="AJ538" s="7"/>
      <c r="BV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FG538" s="23"/>
      <c r="FH538" s="23"/>
      <c r="FI538" s="23"/>
      <c r="FJ538" s="23"/>
      <c r="FK538" s="23"/>
      <c r="FL538" s="23"/>
      <c r="FM538" s="23"/>
      <c r="FN538" s="23"/>
    </row>
    <row r="539" spans="2:170" ht="12" customHeight="1" x14ac:dyDescent="0.3">
      <c r="B539" s="24"/>
      <c r="C539" s="24"/>
      <c r="D539" s="24"/>
      <c r="E539" s="24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D539" s="7"/>
      <c r="AE539" s="7"/>
      <c r="AF539" s="7"/>
      <c r="AG539" s="7"/>
      <c r="AH539" s="7"/>
      <c r="AI539" s="7"/>
      <c r="AJ539" s="7"/>
      <c r="BV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FG539" s="23"/>
      <c r="FH539" s="23"/>
      <c r="FI539" s="23"/>
      <c r="FJ539" s="23"/>
      <c r="FK539" s="23"/>
      <c r="FL539" s="23"/>
      <c r="FM539" s="23"/>
      <c r="FN539" s="23"/>
    </row>
    <row r="540" spans="2:170" ht="12" customHeight="1" x14ac:dyDescent="0.3">
      <c r="B540" s="24"/>
      <c r="C540" s="24"/>
      <c r="D540" s="24"/>
      <c r="E540" s="24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D540" s="7"/>
      <c r="AE540" s="7"/>
      <c r="AF540" s="7"/>
      <c r="AG540" s="7"/>
      <c r="AH540" s="7"/>
      <c r="AI540" s="7"/>
      <c r="AJ540" s="7"/>
      <c r="AK540" s="35"/>
      <c r="AL540" s="35"/>
      <c r="AM540" s="35"/>
      <c r="AN540" s="35"/>
      <c r="AO540" s="35"/>
      <c r="AP540" s="35"/>
      <c r="AQ540" s="42"/>
      <c r="AR540" s="42"/>
      <c r="AS540" s="42"/>
      <c r="AT540" s="42"/>
      <c r="AU540" s="42"/>
      <c r="AV540" s="42"/>
      <c r="AW540" s="35"/>
      <c r="BV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FG540" s="23"/>
      <c r="FH540" s="23"/>
      <c r="FI540" s="23"/>
      <c r="FJ540" s="23"/>
      <c r="FK540" s="23"/>
      <c r="FL540" s="23"/>
      <c r="FM540" s="23"/>
      <c r="FN540" s="23"/>
    </row>
    <row r="541" spans="2:170" ht="12" customHeight="1" x14ac:dyDescent="0.3">
      <c r="B541" s="24"/>
      <c r="C541" s="24"/>
      <c r="D541" s="24"/>
      <c r="E541" s="24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D541" s="7"/>
      <c r="AE541" s="7"/>
      <c r="AF541" s="7"/>
      <c r="AG541" s="7"/>
      <c r="AH541" s="7"/>
      <c r="AI541" s="7"/>
      <c r="AJ541" s="7"/>
      <c r="AK541" s="35"/>
      <c r="AL541" s="35"/>
      <c r="AM541" s="35"/>
      <c r="AN541" s="35"/>
      <c r="AO541" s="35"/>
      <c r="AP541" s="35"/>
      <c r="AQ541" s="42"/>
      <c r="AR541" s="42"/>
      <c r="AS541" s="42"/>
      <c r="AT541" s="42"/>
      <c r="AU541" s="42"/>
      <c r="AV541" s="42"/>
      <c r="AW541" s="35"/>
      <c r="BV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FG541" s="23"/>
      <c r="FH541" s="23"/>
      <c r="FI541" s="23"/>
      <c r="FJ541" s="23"/>
      <c r="FK541" s="23"/>
      <c r="FL541" s="23"/>
      <c r="FM541" s="23"/>
      <c r="FN541" s="23"/>
    </row>
    <row r="542" spans="2:170" ht="12" customHeight="1" x14ac:dyDescent="0.3">
      <c r="B542" s="24"/>
      <c r="C542" s="24"/>
      <c r="D542" s="24"/>
      <c r="E542" s="24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D542" s="7"/>
      <c r="AE542" s="7"/>
      <c r="AF542" s="7"/>
      <c r="AG542" s="7"/>
      <c r="AH542" s="7"/>
      <c r="AI542" s="7"/>
      <c r="AJ542" s="7"/>
      <c r="AK542" s="35"/>
      <c r="AL542" s="35"/>
      <c r="AM542" s="35"/>
      <c r="AN542" s="35"/>
      <c r="AO542" s="35"/>
      <c r="AP542" s="35"/>
      <c r="AQ542" s="42"/>
      <c r="AR542" s="42"/>
      <c r="AS542" s="42"/>
      <c r="AT542" s="42"/>
      <c r="AU542" s="42"/>
      <c r="AV542" s="42"/>
      <c r="AW542" s="35"/>
      <c r="BV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FG542" s="23"/>
      <c r="FH542" s="23"/>
      <c r="FI542" s="23"/>
      <c r="FJ542" s="23"/>
      <c r="FK542" s="23"/>
      <c r="FL542" s="23"/>
      <c r="FM542" s="23"/>
      <c r="FN542" s="23"/>
    </row>
    <row r="543" spans="2:170" ht="12" customHeight="1" x14ac:dyDescent="0.3">
      <c r="B543" s="24"/>
      <c r="C543" s="24"/>
      <c r="D543" s="24"/>
      <c r="E543" s="24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D543" s="7"/>
      <c r="AE543" s="7"/>
      <c r="AF543" s="7"/>
      <c r="AG543" s="7"/>
      <c r="AH543" s="7"/>
      <c r="AI543" s="7"/>
      <c r="AJ543" s="7"/>
      <c r="AK543" s="35"/>
      <c r="AL543" s="35"/>
      <c r="AM543" s="35"/>
      <c r="AN543" s="35"/>
      <c r="AO543" s="35"/>
      <c r="AP543" s="35"/>
      <c r="AQ543" s="42"/>
      <c r="AR543" s="42"/>
      <c r="AS543" s="42"/>
      <c r="AT543" s="42"/>
      <c r="AU543" s="42"/>
      <c r="AV543" s="42"/>
      <c r="AW543" s="35"/>
      <c r="BV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FG543" s="23"/>
      <c r="FH543" s="23"/>
      <c r="FI543" s="23"/>
      <c r="FJ543" s="23"/>
      <c r="FK543" s="23"/>
      <c r="FL543" s="23"/>
      <c r="FM543" s="23"/>
      <c r="FN543" s="23"/>
    </row>
    <row r="544" spans="2:170" ht="12" customHeight="1" x14ac:dyDescent="0.3">
      <c r="B544" s="24"/>
      <c r="C544" s="24"/>
      <c r="D544" s="24"/>
      <c r="E544" s="24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D544" s="7"/>
      <c r="AE544" s="7"/>
      <c r="AF544" s="7"/>
      <c r="AG544" s="7"/>
      <c r="AH544" s="7"/>
      <c r="AI544" s="7"/>
      <c r="AJ544" s="7"/>
      <c r="AK544" s="35"/>
      <c r="AL544" s="35"/>
      <c r="AM544" s="35"/>
      <c r="AN544" s="35"/>
      <c r="AO544" s="35"/>
      <c r="AP544" s="35"/>
      <c r="AQ544" s="42"/>
      <c r="AR544" s="42"/>
      <c r="AS544" s="42"/>
      <c r="AT544" s="42"/>
      <c r="AU544" s="42"/>
      <c r="AV544" s="42"/>
      <c r="AW544" s="35"/>
      <c r="BV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FG544" s="23"/>
      <c r="FH544" s="23"/>
      <c r="FI544" s="23"/>
      <c r="FJ544" s="23"/>
      <c r="FK544" s="23"/>
      <c r="FL544" s="23"/>
      <c r="FM544" s="23"/>
      <c r="FN544" s="23"/>
    </row>
    <row r="545" spans="2:170" ht="12" customHeight="1" x14ac:dyDescent="0.3">
      <c r="B545" s="24"/>
      <c r="C545" s="24"/>
      <c r="D545" s="24"/>
      <c r="E545" s="24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D545" s="7"/>
      <c r="AE545" s="7"/>
      <c r="AF545" s="7"/>
      <c r="AG545" s="7"/>
      <c r="AH545" s="7"/>
      <c r="AI545" s="7"/>
      <c r="AJ545" s="7"/>
      <c r="AK545" s="35"/>
      <c r="AL545" s="35"/>
      <c r="AM545" s="35"/>
      <c r="AN545" s="35"/>
      <c r="AO545" s="35"/>
      <c r="AP545" s="35"/>
      <c r="AQ545" s="42"/>
      <c r="AR545" s="42"/>
      <c r="AS545" s="42"/>
      <c r="AT545" s="42"/>
      <c r="AU545" s="42"/>
      <c r="AV545" s="42"/>
      <c r="AW545" s="35"/>
      <c r="BV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FG545" s="23"/>
      <c r="FH545" s="23"/>
      <c r="FI545" s="23"/>
      <c r="FJ545" s="23"/>
      <c r="FK545" s="23"/>
      <c r="FL545" s="23"/>
      <c r="FM545" s="23"/>
      <c r="FN545" s="23"/>
    </row>
    <row r="546" spans="2:170" ht="12" customHeight="1" x14ac:dyDescent="0.3">
      <c r="B546" s="24"/>
      <c r="C546" s="24"/>
      <c r="D546" s="24"/>
      <c r="E546" s="24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D546" s="7"/>
      <c r="AE546" s="7"/>
      <c r="AF546" s="7"/>
      <c r="AG546" s="7"/>
      <c r="AH546" s="7"/>
      <c r="AI546" s="7"/>
      <c r="AJ546" s="7"/>
      <c r="AK546" s="35"/>
      <c r="AL546" s="35"/>
      <c r="AM546" s="35"/>
      <c r="AN546" s="35"/>
      <c r="AO546" s="35"/>
      <c r="AP546" s="35"/>
      <c r="AQ546" s="42"/>
      <c r="AR546" s="42"/>
      <c r="AS546" s="42"/>
      <c r="AT546" s="42"/>
      <c r="AU546" s="42"/>
      <c r="AV546" s="42"/>
      <c r="AW546" s="35"/>
      <c r="BV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FG546" s="23"/>
      <c r="FH546" s="23"/>
      <c r="FI546" s="23"/>
      <c r="FJ546" s="23"/>
      <c r="FK546" s="23"/>
      <c r="FL546" s="23"/>
      <c r="FM546" s="23"/>
      <c r="FN546" s="23"/>
    </row>
    <row r="547" spans="2:170" ht="12" customHeight="1" x14ac:dyDescent="0.3">
      <c r="B547" s="24"/>
      <c r="C547" s="24"/>
      <c r="D547" s="24"/>
      <c r="E547" s="24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D547" s="7"/>
      <c r="AE547" s="7"/>
      <c r="AF547" s="7"/>
      <c r="AG547" s="7"/>
      <c r="AH547" s="7"/>
      <c r="AI547" s="7"/>
      <c r="AJ547" s="7"/>
      <c r="AK547" s="35"/>
      <c r="AL547" s="35"/>
      <c r="AM547" s="35"/>
      <c r="AN547" s="35"/>
      <c r="AO547" s="35"/>
      <c r="AP547" s="35"/>
      <c r="AQ547" s="42"/>
      <c r="AR547" s="42"/>
      <c r="AS547" s="42"/>
      <c r="AT547" s="42"/>
      <c r="AU547" s="42"/>
      <c r="AV547" s="42"/>
      <c r="AW547" s="35"/>
      <c r="BV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FG547" s="23"/>
      <c r="FH547" s="23"/>
      <c r="FI547" s="23"/>
      <c r="FJ547" s="23"/>
      <c r="FK547" s="23"/>
      <c r="FL547" s="23"/>
      <c r="FM547" s="23"/>
      <c r="FN547" s="23"/>
    </row>
    <row r="548" spans="2:170" ht="12" customHeight="1" x14ac:dyDescent="0.3">
      <c r="B548" s="24"/>
      <c r="C548" s="24"/>
      <c r="D548" s="24"/>
      <c r="E548" s="24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D548" s="7"/>
      <c r="AE548" s="7"/>
      <c r="AF548" s="7"/>
      <c r="AG548" s="7"/>
      <c r="AH548" s="7"/>
      <c r="AI548" s="7"/>
      <c r="AJ548" s="7"/>
      <c r="AK548" s="35"/>
      <c r="AL548" s="35"/>
      <c r="AM548" s="35"/>
      <c r="AN548" s="35"/>
      <c r="AO548" s="35"/>
      <c r="AP548" s="35"/>
      <c r="AQ548" s="42"/>
      <c r="AR548" s="42"/>
      <c r="AS548" s="42"/>
      <c r="AT548" s="42"/>
      <c r="AU548" s="42"/>
      <c r="AV548" s="42"/>
      <c r="AW548" s="35"/>
      <c r="BV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FG548" s="23"/>
      <c r="FH548" s="23"/>
      <c r="FI548" s="23"/>
      <c r="FJ548" s="23"/>
      <c r="FK548" s="23"/>
      <c r="FL548" s="23"/>
      <c r="FM548" s="23"/>
      <c r="FN548" s="23"/>
    </row>
    <row r="549" spans="2:170" ht="12" customHeight="1" x14ac:dyDescent="0.3">
      <c r="B549" s="24"/>
      <c r="C549" s="24"/>
      <c r="D549" s="24"/>
      <c r="E549" s="24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D549" s="7"/>
      <c r="AE549" s="7"/>
      <c r="AF549" s="7"/>
      <c r="AG549" s="7"/>
      <c r="AH549" s="7"/>
      <c r="AI549" s="7"/>
      <c r="AJ549" s="7"/>
      <c r="AK549" s="35"/>
      <c r="AL549" s="35"/>
      <c r="AM549" s="35"/>
      <c r="AN549" s="35"/>
      <c r="AO549" s="35"/>
      <c r="AP549" s="35"/>
      <c r="AQ549" s="42"/>
      <c r="AR549" s="42"/>
      <c r="AS549" s="42"/>
      <c r="AT549" s="42"/>
      <c r="AU549" s="42"/>
      <c r="AV549" s="42"/>
      <c r="AW549" s="35"/>
      <c r="BV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FG549" s="23"/>
      <c r="FH549" s="23"/>
      <c r="FI549" s="23"/>
      <c r="FJ549" s="23"/>
      <c r="FK549" s="23"/>
      <c r="FL549" s="23"/>
      <c r="FM549" s="23"/>
      <c r="FN549" s="23"/>
    </row>
    <row r="550" spans="2:170" ht="12" customHeight="1" x14ac:dyDescent="0.3">
      <c r="B550" s="24"/>
      <c r="C550" s="24"/>
      <c r="D550" s="24"/>
      <c r="E550" s="24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D550" s="7"/>
      <c r="AE550" s="7"/>
      <c r="AF550" s="7"/>
      <c r="AG550" s="7"/>
      <c r="AH550" s="7"/>
      <c r="AI550" s="7"/>
      <c r="AJ550" s="7"/>
      <c r="AK550" s="35"/>
      <c r="AL550" s="35"/>
      <c r="AM550" s="35"/>
      <c r="AN550" s="35"/>
      <c r="AO550" s="35"/>
      <c r="AP550" s="35"/>
      <c r="AQ550" s="42"/>
      <c r="AR550" s="42"/>
      <c r="AS550" s="42"/>
      <c r="AT550" s="42"/>
      <c r="AU550" s="42"/>
      <c r="AV550" s="42"/>
      <c r="AW550" s="35"/>
      <c r="BV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FG550" s="23"/>
      <c r="FH550" s="23"/>
      <c r="FI550" s="23"/>
      <c r="FJ550" s="23"/>
      <c r="FK550" s="23"/>
      <c r="FL550" s="23"/>
      <c r="FM550" s="23"/>
      <c r="FN550" s="23"/>
    </row>
    <row r="551" spans="2:170" ht="12" customHeight="1" x14ac:dyDescent="0.3">
      <c r="B551" s="24"/>
      <c r="C551" s="24"/>
      <c r="D551" s="24"/>
      <c r="E551" s="24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D551" s="7"/>
      <c r="AE551" s="7"/>
      <c r="AF551" s="7"/>
      <c r="AG551" s="7"/>
      <c r="AH551" s="7"/>
      <c r="AI551" s="7"/>
      <c r="AJ551" s="7"/>
      <c r="AK551" s="35"/>
      <c r="AL551" s="35"/>
      <c r="AM551" s="35"/>
      <c r="AN551" s="35"/>
      <c r="AO551" s="35"/>
      <c r="AP551" s="35"/>
      <c r="AQ551" s="42"/>
      <c r="AR551" s="42"/>
      <c r="AS551" s="42"/>
      <c r="AT551" s="42"/>
      <c r="AU551" s="42"/>
      <c r="AV551" s="42"/>
      <c r="AW551" s="35"/>
      <c r="BV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FG551" s="23"/>
      <c r="FH551" s="23"/>
      <c r="FI551" s="23"/>
      <c r="FJ551" s="23"/>
      <c r="FK551" s="23"/>
      <c r="FL551" s="23"/>
      <c r="FM551" s="23"/>
      <c r="FN551" s="23"/>
    </row>
    <row r="552" spans="2:170" ht="12" customHeight="1" x14ac:dyDescent="0.3">
      <c r="B552" s="24"/>
      <c r="C552" s="24"/>
      <c r="D552" s="24"/>
      <c r="E552" s="24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D552" s="7"/>
      <c r="AE552" s="7"/>
      <c r="AF552" s="7"/>
      <c r="AG552" s="7"/>
      <c r="AH552" s="7"/>
      <c r="AI552" s="7"/>
      <c r="AJ552" s="7"/>
      <c r="AK552" s="35"/>
      <c r="AL552" s="35"/>
      <c r="AM552" s="35"/>
      <c r="AN552" s="35"/>
      <c r="AO552" s="35"/>
      <c r="AP552" s="35"/>
      <c r="AQ552" s="42"/>
      <c r="AR552" s="42"/>
      <c r="AS552" s="42"/>
      <c r="AT552" s="42"/>
      <c r="AU552" s="42"/>
      <c r="AV552" s="42"/>
      <c r="AW552" s="35"/>
      <c r="BV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FG552" s="23"/>
      <c r="FH552" s="23"/>
      <c r="FI552" s="23"/>
      <c r="FJ552" s="23"/>
      <c r="FK552" s="23"/>
      <c r="FL552" s="23"/>
      <c r="FM552" s="23"/>
      <c r="FN552" s="23"/>
    </row>
    <row r="553" spans="2:170" ht="12" customHeight="1" x14ac:dyDescent="0.3">
      <c r="B553" s="24"/>
      <c r="C553" s="24"/>
      <c r="D553" s="24"/>
      <c r="E553" s="24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D553" s="7"/>
      <c r="AE553" s="7"/>
      <c r="AF553" s="7"/>
      <c r="AG553" s="7"/>
      <c r="AH553" s="7"/>
      <c r="AI553" s="7"/>
      <c r="AJ553" s="7"/>
      <c r="AK553" s="35"/>
      <c r="AL553" s="35"/>
      <c r="AM553" s="35"/>
      <c r="AN553" s="35"/>
      <c r="AO553" s="35"/>
      <c r="AP553" s="35"/>
      <c r="AQ553" s="42"/>
      <c r="AR553" s="42"/>
      <c r="AS553" s="42"/>
      <c r="AT553" s="42"/>
      <c r="AU553" s="42"/>
      <c r="AV553" s="42"/>
      <c r="AW553" s="35"/>
      <c r="BV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FG553" s="23"/>
      <c r="FH553" s="23"/>
      <c r="FI553" s="23"/>
      <c r="FJ553" s="23"/>
      <c r="FK553" s="23"/>
      <c r="FL553" s="23"/>
      <c r="FM553" s="23"/>
      <c r="FN553" s="23"/>
    </row>
    <row r="554" spans="2:170" ht="12" customHeight="1" x14ac:dyDescent="0.3">
      <c r="B554" s="24"/>
      <c r="C554" s="24"/>
      <c r="D554" s="24"/>
      <c r="E554" s="24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D554" s="7"/>
      <c r="AE554" s="7"/>
      <c r="AF554" s="7"/>
      <c r="AG554" s="7"/>
      <c r="AH554" s="7"/>
      <c r="AI554" s="7"/>
      <c r="AJ554" s="7"/>
      <c r="AK554" s="35"/>
      <c r="AL554" s="35"/>
      <c r="AM554" s="35"/>
      <c r="AN554" s="35"/>
      <c r="AO554" s="35"/>
      <c r="AP554" s="35"/>
      <c r="AQ554" s="42"/>
      <c r="AR554" s="42"/>
      <c r="AS554" s="42"/>
      <c r="AT554" s="42"/>
      <c r="AU554" s="42"/>
      <c r="AV554" s="42"/>
      <c r="AW554" s="35"/>
      <c r="BV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FG554" s="23"/>
      <c r="FH554" s="23"/>
      <c r="FI554" s="23"/>
      <c r="FJ554" s="23"/>
      <c r="FK554" s="23"/>
      <c r="FL554" s="23"/>
      <c r="FM554" s="23"/>
      <c r="FN554" s="23"/>
    </row>
    <row r="555" spans="2:170" ht="12" customHeight="1" x14ac:dyDescent="0.3">
      <c r="B555" s="24"/>
      <c r="C555" s="24"/>
      <c r="D555" s="24"/>
      <c r="E555" s="24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D555" s="7"/>
      <c r="AE555" s="7"/>
      <c r="AF555" s="7"/>
      <c r="AG555" s="7"/>
      <c r="AH555" s="7"/>
      <c r="AI555" s="7"/>
      <c r="AJ555" s="7"/>
      <c r="AK555" s="35"/>
      <c r="AL555" s="35"/>
      <c r="AM555" s="35"/>
      <c r="AN555" s="35"/>
      <c r="AO555" s="35"/>
      <c r="AP555" s="35"/>
      <c r="AQ555" s="42"/>
      <c r="AR555" s="42"/>
      <c r="AS555" s="42"/>
      <c r="AT555" s="42"/>
      <c r="AU555" s="42"/>
      <c r="AV555" s="42"/>
      <c r="AW555" s="35"/>
      <c r="BV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FG555" s="23"/>
      <c r="FH555" s="23"/>
      <c r="FI555" s="23"/>
      <c r="FJ555" s="23"/>
      <c r="FK555" s="23"/>
      <c r="FL555" s="23"/>
      <c r="FM555" s="23"/>
      <c r="FN555" s="23"/>
    </row>
    <row r="556" spans="2:170" ht="12" customHeight="1" x14ac:dyDescent="0.3">
      <c r="B556" s="24"/>
      <c r="C556" s="24"/>
      <c r="D556" s="24"/>
      <c r="E556" s="24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D556" s="7"/>
      <c r="AE556" s="7"/>
      <c r="AF556" s="7"/>
      <c r="AG556" s="7"/>
      <c r="AH556" s="7"/>
      <c r="AI556" s="7"/>
      <c r="AJ556" s="7"/>
      <c r="AK556" s="35"/>
      <c r="AL556" s="35"/>
      <c r="AM556" s="35"/>
      <c r="AN556" s="35"/>
      <c r="AO556" s="35"/>
      <c r="AP556" s="35"/>
      <c r="AQ556" s="42"/>
      <c r="AR556" s="42"/>
      <c r="AS556" s="42"/>
      <c r="AT556" s="42"/>
      <c r="AU556" s="42"/>
      <c r="AV556" s="42"/>
      <c r="AW556" s="35"/>
      <c r="BV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FG556" s="23"/>
      <c r="FH556" s="23"/>
      <c r="FI556" s="23"/>
      <c r="FJ556" s="23"/>
      <c r="FK556" s="23"/>
      <c r="FL556" s="23"/>
      <c r="FM556" s="23"/>
      <c r="FN556" s="23"/>
    </row>
    <row r="557" spans="2:170" ht="12" customHeight="1" x14ac:dyDescent="0.3">
      <c r="B557" s="24"/>
      <c r="C557" s="24"/>
      <c r="D557" s="24"/>
      <c r="E557" s="24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D557" s="7"/>
      <c r="AE557" s="7"/>
      <c r="AF557" s="7"/>
      <c r="AG557" s="7"/>
      <c r="AH557" s="7"/>
      <c r="AI557" s="7"/>
      <c r="AJ557" s="7"/>
      <c r="AK557" s="35"/>
      <c r="AL557" s="35"/>
      <c r="AM557" s="35"/>
      <c r="AN557" s="35"/>
      <c r="AO557" s="35"/>
      <c r="AP557" s="35"/>
      <c r="AQ557" s="42"/>
      <c r="AR557" s="42"/>
      <c r="AS557" s="42"/>
      <c r="AT557" s="42"/>
      <c r="AU557" s="42"/>
      <c r="AV557" s="42"/>
      <c r="AW557" s="35"/>
      <c r="BV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FG557" s="23"/>
      <c r="FH557" s="23"/>
      <c r="FI557" s="23"/>
      <c r="FJ557" s="23"/>
      <c r="FK557" s="23"/>
      <c r="FL557" s="23"/>
      <c r="FM557" s="23"/>
      <c r="FN557" s="23"/>
    </row>
    <row r="558" spans="2:170" ht="12" customHeight="1" x14ac:dyDescent="0.3">
      <c r="B558" s="24"/>
      <c r="C558" s="24"/>
      <c r="D558" s="24"/>
      <c r="E558" s="24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D558" s="7"/>
      <c r="AE558" s="7"/>
      <c r="AF558" s="7"/>
      <c r="AG558" s="7"/>
      <c r="AH558" s="7"/>
      <c r="AI558" s="7"/>
      <c r="AJ558" s="7"/>
      <c r="AK558" s="35"/>
      <c r="AL558" s="35"/>
      <c r="AM558" s="35"/>
      <c r="AN558" s="35"/>
      <c r="AO558" s="35"/>
      <c r="AP558" s="35"/>
      <c r="AQ558" s="42"/>
      <c r="AR558" s="42"/>
      <c r="AS558" s="42"/>
      <c r="AT558" s="42"/>
      <c r="AU558" s="42"/>
      <c r="AV558" s="42"/>
      <c r="AW558" s="35"/>
      <c r="BV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FG558" s="23"/>
      <c r="FH558" s="23"/>
      <c r="FI558" s="23"/>
      <c r="FJ558" s="23"/>
      <c r="FK558" s="23"/>
      <c r="FL558" s="23"/>
      <c r="FM558" s="23"/>
      <c r="FN558" s="23"/>
    </row>
    <row r="559" spans="2:170" ht="12" customHeight="1" x14ac:dyDescent="0.3">
      <c r="B559" s="24"/>
      <c r="C559" s="24"/>
      <c r="D559" s="24"/>
      <c r="E559" s="24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D559" s="7"/>
      <c r="AE559" s="7"/>
      <c r="AF559" s="7"/>
      <c r="AG559" s="7"/>
      <c r="AH559" s="7"/>
      <c r="AI559" s="7"/>
      <c r="AJ559" s="7"/>
      <c r="AK559" s="35"/>
      <c r="AL559" s="35"/>
      <c r="AM559" s="35"/>
      <c r="AN559" s="35"/>
      <c r="AO559" s="35"/>
      <c r="AP559" s="35"/>
      <c r="AQ559" s="42"/>
      <c r="AR559" s="42"/>
      <c r="AS559" s="42"/>
      <c r="AT559" s="42"/>
      <c r="AU559" s="42"/>
      <c r="AV559" s="42"/>
      <c r="AW559" s="35"/>
      <c r="BV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FG559" s="23"/>
      <c r="FH559" s="23"/>
      <c r="FI559" s="23"/>
      <c r="FJ559" s="23"/>
      <c r="FK559" s="23"/>
      <c r="FL559" s="23"/>
      <c r="FM559" s="23"/>
      <c r="FN559" s="23"/>
    </row>
    <row r="560" spans="2:170" ht="12" customHeight="1" x14ac:dyDescent="0.3">
      <c r="B560" s="24"/>
      <c r="C560" s="24"/>
      <c r="D560" s="24"/>
      <c r="E560" s="24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D560" s="7"/>
      <c r="AE560" s="7"/>
      <c r="AF560" s="7"/>
      <c r="AG560" s="7"/>
      <c r="AH560" s="7"/>
      <c r="AI560" s="7"/>
      <c r="AJ560" s="7"/>
      <c r="AK560" s="35"/>
      <c r="AL560" s="35"/>
      <c r="AM560" s="35"/>
      <c r="AN560" s="35"/>
      <c r="AO560" s="35"/>
      <c r="AP560" s="35"/>
      <c r="AQ560" s="42"/>
      <c r="AR560" s="42"/>
      <c r="AS560" s="42"/>
      <c r="AT560" s="42"/>
      <c r="AU560" s="42"/>
      <c r="AV560" s="42"/>
      <c r="AW560" s="35"/>
      <c r="BV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FG560" s="23"/>
      <c r="FH560" s="23"/>
      <c r="FI560" s="23"/>
      <c r="FJ560" s="23"/>
      <c r="FK560" s="23"/>
      <c r="FL560" s="23"/>
      <c r="FM560" s="23"/>
      <c r="FN560" s="23"/>
    </row>
    <row r="561" spans="2:170" ht="12" customHeight="1" x14ac:dyDescent="0.3">
      <c r="B561" s="24"/>
      <c r="C561" s="24"/>
      <c r="D561" s="24"/>
      <c r="E561" s="24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D561" s="7"/>
      <c r="AE561" s="7"/>
      <c r="AF561" s="7"/>
      <c r="AG561" s="7"/>
      <c r="AH561" s="7"/>
      <c r="AI561" s="7"/>
      <c r="AJ561" s="7"/>
      <c r="AK561" s="35"/>
      <c r="AL561" s="35"/>
      <c r="AM561" s="35"/>
      <c r="AN561" s="35"/>
      <c r="AO561" s="35"/>
      <c r="AP561" s="35"/>
      <c r="AQ561" s="42"/>
      <c r="AR561" s="42"/>
      <c r="AS561" s="42"/>
      <c r="AT561" s="42"/>
      <c r="AU561" s="42"/>
      <c r="AV561" s="42"/>
      <c r="AW561" s="35"/>
      <c r="BV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FG561" s="23"/>
      <c r="FH561" s="23"/>
      <c r="FI561" s="23"/>
      <c r="FJ561" s="23"/>
      <c r="FK561" s="23"/>
      <c r="FL561" s="23"/>
      <c r="FM561" s="23"/>
      <c r="FN561" s="23"/>
    </row>
    <row r="562" spans="2:170" ht="12" customHeight="1" x14ac:dyDescent="0.3">
      <c r="B562" s="24"/>
      <c r="C562" s="24"/>
      <c r="D562" s="24"/>
      <c r="E562" s="24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D562" s="7"/>
      <c r="AE562" s="7"/>
      <c r="AF562" s="7"/>
      <c r="AG562" s="7"/>
      <c r="AH562" s="7"/>
      <c r="AI562" s="7"/>
      <c r="AJ562" s="7"/>
      <c r="AK562" s="35"/>
      <c r="AL562" s="35"/>
      <c r="AM562" s="35"/>
      <c r="AN562" s="35"/>
      <c r="AO562" s="35"/>
      <c r="AP562" s="35"/>
      <c r="AQ562" s="42"/>
      <c r="AR562" s="42"/>
      <c r="AS562" s="42"/>
      <c r="AT562" s="42"/>
      <c r="AU562" s="42"/>
      <c r="AV562" s="42"/>
      <c r="AW562" s="35"/>
      <c r="BV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FG562" s="23"/>
      <c r="FH562" s="23"/>
      <c r="FI562" s="23"/>
      <c r="FJ562" s="23"/>
      <c r="FK562" s="23"/>
      <c r="FL562" s="23"/>
      <c r="FM562" s="23"/>
      <c r="FN562" s="23"/>
    </row>
    <row r="563" spans="2:170" ht="12" customHeight="1" x14ac:dyDescent="0.3">
      <c r="B563" s="24"/>
      <c r="C563" s="24"/>
      <c r="D563" s="24"/>
      <c r="E563" s="24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D563" s="7"/>
      <c r="AE563" s="7"/>
      <c r="AF563" s="7"/>
      <c r="AG563" s="7"/>
      <c r="AH563" s="7"/>
      <c r="AI563" s="7"/>
      <c r="AJ563" s="7"/>
      <c r="AK563" s="35"/>
      <c r="AL563" s="35"/>
      <c r="AM563" s="35"/>
      <c r="AN563" s="35"/>
      <c r="AO563" s="35"/>
      <c r="AP563" s="35"/>
      <c r="AQ563" s="42"/>
      <c r="AR563" s="42"/>
      <c r="AS563" s="42"/>
      <c r="AT563" s="42"/>
      <c r="AU563" s="42"/>
      <c r="AV563" s="42"/>
      <c r="AW563" s="35"/>
      <c r="BV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FG563" s="23"/>
      <c r="FH563" s="23"/>
      <c r="FI563" s="23"/>
      <c r="FJ563" s="23"/>
      <c r="FK563" s="23"/>
      <c r="FL563" s="23"/>
      <c r="FM563" s="23"/>
      <c r="FN563" s="23"/>
    </row>
    <row r="564" spans="2:170" ht="12" customHeight="1" x14ac:dyDescent="0.3">
      <c r="B564" s="24"/>
      <c r="C564" s="24"/>
      <c r="D564" s="24"/>
      <c r="E564" s="24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D564" s="7"/>
      <c r="AE564" s="7"/>
      <c r="AF564" s="7"/>
      <c r="AG564" s="7"/>
      <c r="AH564" s="7"/>
      <c r="AI564" s="7"/>
      <c r="AJ564" s="7"/>
      <c r="AK564" s="35"/>
      <c r="AL564" s="35"/>
      <c r="AM564" s="35"/>
      <c r="AN564" s="35"/>
      <c r="AO564" s="35"/>
      <c r="AP564" s="35"/>
      <c r="AQ564" s="42"/>
      <c r="AR564" s="42"/>
      <c r="AS564" s="42"/>
      <c r="AT564" s="42"/>
      <c r="AU564" s="42"/>
      <c r="AV564" s="42"/>
      <c r="AW564" s="35"/>
      <c r="BV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FG564" s="23"/>
      <c r="FH564" s="23"/>
      <c r="FI564" s="23"/>
      <c r="FJ564" s="23"/>
      <c r="FK564" s="23"/>
      <c r="FL564" s="23"/>
      <c r="FM564" s="23"/>
      <c r="FN564" s="23"/>
    </row>
    <row r="565" spans="2:170" ht="12" customHeight="1" x14ac:dyDescent="0.3">
      <c r="B565" s="24"/>
      <c r="C565" s="24"/>
      <c r="D565" s="24"/>
      <c r="E565" s="24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D565" s="7"/>
      <c r="AE565" s="7"/>
      <c r="AF565" s="7"/>
      <c r="AG565" s="7"/>
      <c r="AH565" s="7"/>
      <c r="AI565" s="7"/>
      <c r="AJ565" s="7"/>
      <c r="AK565" s="35"/>
      <c r="AL565" s="35"/>
      <c r="AM565" s="35"/>
      <c r="AN565" s="35"/>
      <c r="AO565" s="35"/>
      <c r="AP565" s="35"/>
      <c r="AQ565" s="42"/>
      <c r="AR565" s="42"/>
      <c r="AS565" s="42"/>
      <c r="AT565" s="42"/>
      <c r="AU565" s="42"/>
      <c r="AV565" s="42"/>
      <c r="AW565" s="35"/>
      <c r="BV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FG565" s="23"/>
      <c r="FH565" s="23"/>
      <c r="FI565" s="23"/>
      <c r="FJ565" s="23"/>
      <c r="FK565" s="23"/>
      <c r="FL565" s="23"/>
      <c r="FM565" s="23"/>
      <c r="FN565" s="23"/>
    </row>
    <row r="566" spans="2:170" ht="12" customHeight="1" x14ac:dyDescent="0.3">
      <c r="B566" s="24"/>
      <c r="C566" s="24"/>
      <c r="D566" s="24"/>
      <c r="E566" s="24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D566" s="7"/>
      <c r="AE566" s="7"/>
      <c r="AF566" s="7"/>
      <c r="AG566" s="7"/>
      <c r="AH566" s="7"/>
      <c r="AI566" s="7"/>
      <c r="AJ566" s="7"/>
      <c r="AK566" s="35"/>
      <c r="AL566" s="35"/>
      <c r="AM566" s="35"/>
      <c r="AN566" s="35"/>
      <c r="AO566" s="35"/>
      <c r="AP566" s="35"/>
      <c r="AQ566" s="42"/>
      <c r="AR566" s="42"/>
      <c r="AS566" s="42"/>
      <c r="AT566" s="42"/>
      <c r="AU566" s="42"/>
      <c r="AV566" s="42"/>
      <c r="AW566" s="35"/>
      <c r="BV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FG566" s="23"/>
      <c r="FH566" s="23"/>
      <c r="FI566" s="23"/>
      <c r="FJ566" s="23"/>
      <c r="FK566" s="23"/>
      <c r="FL566" s="23"/>
      <c r="FM566" s="23"/>
      <c r="FN566" s="23"/>
    </row>
    <row r="567" spans="2:170" ht="12" customHeight="1" x14ac:dyDescent="0.3">
      <c r="B567" s="24"/>
      <c r="C567" s="24"/>
      <c r="D567" s="24"/>
      <c r="E567" s="24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D567" s="7"/>
      <c r="AE567" s="7"/>
      <c r="AF567" s="7"/>
      <c r="AG567" s="7"/>
      <c r="AH567" s="7"/>
      <c r="AI567" s="7"/>
      <c r="AJ567" s="7"/>
      <c r="AK567" s="35"/>
      <c r="AL567" s="35"/>
      <c r="AM567" s="35"/>
      <c r="AN567" s="35"/>
      <c r="AO567" s="35"/>
      <c r="AP567" s="35"/>
      <c r="AQ567" s="42"/>
      <c r="AR567" s="42"/>
      <c r="AS567" s="42"/>
      <c r="AT567" s="42"/>
      <c r="AU567" s="42"/>
      <c r="AV567" s="42"/>
      <c r="AW567" s="35"/>
      <c r="BV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FG567" s="23"/>
      <c r="FH567" s="23"/>
      <c r="FI567" s="23"/>
      <c r="FJ567" s="23"/>
      <c r="FK567" s="23"/>
      <c r="FL567" s="23"/>
      <c r="FM567" s="23"/>
      <c r="FN567" s="23"/>
    </row>
    <row r="568" spans="2:170" ht="12" customHeight="1" x14ac:dyDescent="0.3">
      <c r="B568" s="24"/>
      <c r="C568" s="24"/>
      <c r="D568" s="24"/>
      <c r="E568" s="24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D568" s="7"/>
      <c r="AE568" s="7"/>
      <c r="AF568" s="7"/>
      <c r="AG568" s="7"/>
      <c r="AH568" s="7"/>
      <c r="AI568" s="7"/>
      <c r="AJ568" s="7"/>
      <c r="AK568" s="35"/>
      <c r="AL568" s="35"/>
      <c r="AM568" s="35"/>
      <c r="AN568" s="35"/>
      <c r="AO568" s="35"/>
      <c r="AP568" s="35"/>
      <c r="AQ568" s="42"/>
      <c r="AR568" s="42"/>
      <c r="AS568" s="42"/>
      <c r="AT568" s="42"/>
      <c r="AU568" s="42"/>
      <c r="AV568" s="42"/>
      <c r="AW568" s="35"/>
      <c r="BV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FG568" s="23"/>
      <c r="FH568" s="23"/>
      <c r="FI568" s="23"/>
      <c r="FJ568" s="23"/>
      <c r="FK568" s="23"/>
      <c r="FL568" s="23"/>
      <c r="FM568" s="23"/>
      <c r="FN568" s="23"/>
    </row>
    <row r="569" spans="2:170" ht="12" customHeight="1" x14ac:dyDescent="0.3">
      <c r="B569" s="24"/>
      <c r="C569" s="24"/>
      <c r="D569" s="24"/>
      <c r="E569" s="24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D569" s="7"/>
      <c r="AE569" s="7"/>
      <c r="AF569" s="7"/>
      <c r="AG569" s="7"/>
      <c r="AH569" s="7"/>
      <c r="AI569" s="7"/>
      <c r="AJ569" s="7"/>
      <c r="AK569" s="35"/>
      <c r="AL569" s="35"/>
      <c r="AM569" s="35"/>
      <c r="AN569" s="35"/>
      <c r="AO569" s="35"/>
      <c r="AP569" s="35"/>
      <c r="AQ569" s="42"/>
      <c r="AR569" s="42"/>
      <c r="AS569" s="42"/>
      <c r="AT569" s="42"/>
      <c r="AU569" s="42"/>
      <c r="AV569" s="42"/>
      <c r="AW569" s="35"/>
      <c r="BV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FG569" s="23"/>
      <c r="FH569" s="23"/>
      <c r="FI569" s="23"/>
      <c r="FJ569" s="23"/>
      <c r="FK569" s="23"/>
      <c r="FL569" s="23"/>
      <c r="FM569" s="23"/>
      <c r="FN569" s="23"/>
    </row>
    <row r="570" spans="2:170" ht="12" customHeight="1" x14ac:dyDescent="0.3">
      <c r="B570" s="24"/>
      <c r="C570" s="24"/>
      <c r="D570" s="24"/>
      <c r="E570" s="24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D570" s="7"/>
      <c r="AE570" s="7"/>
      <c r="AF570" s="7"/>
      <c r="AG570" s="7"/>
      <c r="AH570" s="7"/>
      <c r="AI570" s="7"/>
      <c r="AJ570" s="7"/>
      <c r="AK570" s="35"/>
      <c r="AL570" s="35"/>
      <c r="AM570" s="35"/>
      <c r="AN570" s="35"/>
      <c r="AO570" s="35"/>
      <c r="AP570" s="35"/>
      <c r="AQ570" s="42"/>
      <c r="AR570" s="42"/>
      <c r="AS570" s="42"/>
      <c r="AT570" s="42"/>
      <c r="AU570" s="42"/>
      <c r="AV570" s="42"/>
      <c r="AW570" s="35"/>
      <c r="BV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FG570" s="23"/>
      <c r="FH570" s="23"/>
      <c r="FI570" s="23"/>
      <c r="FJ570" s="23"/>
      <c r="FK570" s="23"/>
      <c r="FL570" s="23"/>
      <c r="FM570" s="23"/>
      <c r="FN570" s="23"/>
    </row>
    <row r="571" spans="2:170" ht="12" customHeight="1" x14ac:dyDescent="0.3">
      <c r="B571" s="24"/>
      <c r="C571" s="24"/>
      <c r="D571" s="24"/>
      <c r="E571" s="24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D571" s="7"/>
      <c r="AE571" s="7"/>
      <c r="AF571" s="7"/>
      <c r="AG571" s="7"/>
      <c r="AH571" s="7"/>
      <c r="AI571" s="7"/>
      <c r="AJ571" s="7"/>
      <c r="AK571" s="35"/>
      <c r="AL571" s="35"/>
      <c r="AM571" s="35"/>
      <c r="AN571" s="35"/>
      <c r="AO571" s="35"/>
      <c r="AP571" s="35"/>
      <c r="AQ571" s="42"/>
      <c r="AR571" s="42"/>
      <c r="AS571" s="42"/>
      <c r="AT571" s="42"/>
      <c r="AU571" s="42"/>
      <c r="AV571" s="42"/>
      <c r="AW571" s="35"/>
      <c r="BV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FG571" s="23"/>
      <c r="FH571" s="23"/>
      <c r="FI571" s="23"/>
      <c r="FJ571" s="23"/>
      <c r="FK571" s="23"/>
      <c r="FL571" s="23"/>
      <c r="FM571" s="23"/>
      <c r="FN571" s="23"/>
    </row>
    <row r="572" spans="2:170" ht="12" customHeight="1" x14ac:dyDescent="0.3">
      <c r="B572" s="24"/>
      <c r="C572" s="24"/>
      <c r="D572" s="24"/>
      <c r="E572" s="24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D572" s="7"/>
      <c r="AE572" s="7"/>
      <c r="AF572" s="7"/>
      <c r="AG572" s="7"/>
      <c r="AH572" s="7"/>
      <c r="AI572" s="7"/>
      <c r="AJ572" s="7"/>
      <c r="AK572" s="35"/>
      <c r="AL572" s="35"/>
      <c r="AM572" s="35"/>
      <c r="AN572" s="35"/>
      <c r="AO572" s="35"/>
      <c r="AP572" s="35"/>
      <c r="AQ572" s="42"/>
      <c r="AR572" s="42"/>
      <c r="AS572" s="42"/>
      <c r="AT572" s="42"/>
      <c r="AU572" s="42"/>
      <c r="AV572" s="42"/>
      <c r="AW572" s="35"/>
      <c r="BV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FG572" s="23"/>
      <c r="FH572" s="23"/>
      <c r="FI572" s="23"/>
      <c r="FJ572" s="23"/>
      <c r="FK572" s="23"/>
      <c r="FL572" s="23"/>
      <c r="FM572" s="23"/>
      <c r="FN572" s="23"/>
    </row>
    <row r="573" spans="2:170" ht="12" customHeight="1" x14ac:dyDescent="0.3">
      <c r="B573" s="24"/>
      <c r="C573" s="24"/>
      <c r="D573" s="24"/>
      <c r="E573" s="24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D573" s="7"/>
      <c r="AE573" s="7"/>
      <c r="AF573" s="7"/>
      <c r="AG573" s="7"/>
      <c r="AH573" s="7"/>
      <c r="AI573" s="7"/>
      <c r="AJ573" s="7"/>
      <c r="AK573" s="35"/>
      <c r="AL573" s="35"/>
      <c r="AM573" s="35"/>
      <c r="AN573" s="35"/>
      <c r="AO573" s="35"/>
      <c r="AP573" s="35"/>
      <c r="AQ573" s="42"/>
      <c r="AR573" s="42"/>
      <c r="AS573" s="42"/>
      <c r="AT573" s="42"/>
      <c r="AU573" s="42"/>
      <c r="AV573" s="42"/>
      <c r="AW573" s="35"/>
      <c r="BV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FG573" s="23"/>
      <c r="FH573" s="23"/>
      <c r="FI573" s="23"/>
      <c r="FJ573" s="23"/>
      <c r="FK573" s="23"/>
      <c r="FL573" s="23"/>
      <c r="FM573" s="23"/>
      <c r="FN573" s="23"/>
    </row>
    <row r="574" spans="2:170" ht="12" customHeight="1" x14ac:dyDescent="0.3">
      <c r="B574" s="24"/>
      <c r="C574" s="24"/>
      <c r="D574" s="24"/>
      <c r="E574" s="24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D574" s="7"/>
      <c r="AE574" s="7"/>
      <c r="AF574" s="7"/>
      <c r="AG574" s="7"/>
      <c r="AH574" s="7"/>
      <c r="AI574" s="7"/>
      <c r="AJ574" s="7"/>
      <c r="AK574" s="35"/>
      <c r="AL574" s="35"/>
      <c r="AM574" s="35"/>
      <c r="AN574" s="35"/>
      <c r="AO574" s="35"/>
      <c r="AP574" s="35"/>
      <c r="AQ574" s="42"/>
      <c r="AR574" s="42"/>
      <c r="AS574" s="42"/>
      <c r="AT574" s="42"/>
      <c r="AU574" s="42"/>
      <c r="AV574" s="42"/>
      <c r="AW574" s="35"/>
      <c r="BV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FG574" s="23"/>
      <c r="FH574" s="23"/>
      <c r="FI574" s="23"/>
      <c r="FJ574" s="23"/>
      <c r="FK574" s="23"/>
      <c r="FL574" s="23"/>
      <c r="FM574" s="23"/>
      <c r="FN574" s="23"/>
    </row>
    <row r="575" spans="2:170" ht="12" customHeight="1" x14ac:dyDescent="0.3">
      <c r="B575" s="24"/>
      <c r="C575" s="24"/>
      <c r="D575" s="24"/>
      <c r="E575" s="24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D575" s="7"/>
      <c r="AE575" s="7"/>
      <c r="AF575" s="7"/>
      <c r="AG575" s="7"/>
      <c r="AH575" s="7"/>
      <c r="AI575" s="7"/>
      <c r="AJ575" s="7"/>
      <c r="AK575" s="35"/>
      <c r="AL575" s="35"/>
      <c r="AM575" s="35"/>
      <c r="AN575" s="35"/>
      <c r="AO575" s="35"/>
      <c r="AP575" s="35"/>
      <c r="AQ575" s="42"/>
      <c r="AR575" s="42"/>
      <c r="AS575" s="42"/>
      <c r="AT575" s="42"/>
      <c r="AU575" s="42"/>
      <c r="AV575" s="42"/>
      <c r="AW575" s="35"/>
      <c r="BV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FG575" s="23"/>
      <c r="FH575" s="23"/>
      <c r="FI575" s="23"/>
      <c r="FJ575" s="23"/>
      <c r="FK575" s="23"/>
      <c r="FL575" s="23"/>
      <c r="FM575" s="23"/>
      <c r="FN575" s="23"/>
    </row>
    <row r="576" spans="2:170" ht="12" customHeight="1" x14ac:dyDescent="0.3">
      <c r="B576" s="24"/>
      <c r="C576" s="24"/>
      <c r="D576" s="24"/>
      <c r="E576" s="24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D576" s="7"/>
      <c r="AE576" s="7"/>
      <c r="AF576" s="7"/>
      <c r="AG576" s="7"/>
      <c r="AH576" s="7"/>
      <c r="AI576" s="7"/>
      <c r="AJ576" s="7"/>
      <c r="AK576" s="35"/>
      <c r="AL576" s="35"/>
      <c r="AM576" s="35"/>
      <c r="AN576" s="35"/>
      <c r="AO576" s="35"/>
      <c r="AP576" s="35"/>
      <c r="AQ576" s="42"/>
      <c r="AR576" s="42"/>
      <c r="AS576" s="42"/>
      <c r="AT576" s="42"/>
      <c r="AU576" s="42"/>
      <c r="AV576" s="42"/>
      <c r="AW576" s="35"/>
      <c r="BV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FG576" s="23"/>
      <c r="FH576" s="23"/>
      <c r="FI576" s="23"/>
      <c r="FJ576" s="23"/>
      <c r="FK576" s="23"/>
      <c r="FL576" s="23"/>
      <c r="FM576" s="23"/>
      <c r="FN576" s="23"/>
    </row>
    <row r="577" spans="2:170" ht="12" customHeight="1" x14ac:dyDescent="0.3">
      <c r="B577" s="24"/>
      <c r="C577" s="24"/>
      <c r="D577" s="24"/>
      <c r="E577" s="24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D577" s="7"/>
      <c r="AE577" s="7"/>
      <c r="AF577" s="7"/>
      <c r="AG577" s="7"/>
      <c r="AH577" s="7"/>
      <c r="AI577" s="7"/>
      <c r="AJ577" s="7"/>
      <c r="AK577" s="35"/>
      <c r="AL577" s="35"/>
      <c r="AM577" s="35"/>
      <c r="AN577" s="35"/>
      <c r="AO577" s="35"/>
      <c r="AP577" s="35"/>
      <c r="AQ577" s="42"/>
      <c r="AR577" s="42"/>
      <c r="AS577" s="42"/>
      <c r="AT577" s="42"/>
      <c r="AU577" s="42"/>
      <c r="AV577" s="42"/>
      <c r="AW577" s="35"/>
      <c r="BV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FG577" s="23"/>
      <c r="FH577" s="23"/>
      <c r="FI577" s="23"/>
      <c r="FJ577" s="23"/>
      <c r="FK577" s="23"/>
      <c r="FL577" s="23"/>
      <c r="FM577" s="23"/>
      <c r="FN577" s="23"/>
    </row>
    <row r="578" spans="2:170" ht="12" customHeight="1" x14ac:dyDescent="0.3">
      <c r="B578" s="24"/>
      <c r="C578" s="24"/>
      <c r="D578" s="24"/>
      <c r="E578" s="24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D578" s="7"/>
      <c r="AE578" s="7"/>
      <c r="AF578" s="7"/>
      <c r="AG578" s="7"/>
      <c r="AH578" s="7"/>
      <c r="AI578" s="7"/>
      <c r="AJ578" s="7"/>
      <c r="AK578" s="35"/>
      <c r="AL578" s="35"/>
      <c r="AM578" s="35"/>
      <c r="AN578" s="35"/>
      <c r="AO578" s="35"/>
      <c r="AP578" s="35"/>
      <c r="AQ578" s="42"/>
      <c r="AR578" s="42"/>
      <c r="AS578" s="42"/>
      <c r="AT578" s="42"/>
      <c r="AU578" s="42"/>
      <c r="AV578" s="42"/>
      <c r="AW578" s="35"/>
      <c r="BV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FG578" s="23"/>
      <c r="FH578" s="23"/>
      <c r="FI578" s="23"/>
      <c r="FJ578" s="23"/>
      <c r="FK578" s="23"/>
      <c r="FL578" s="23"/>
      <c r="FM578" s="23"/>
      <c r="FN578" s="23"/>
    </row>
    <row r="579" spans="2:170" ht="12" customHeight="1" x14ac:dyDescent="0.3">
      <c r="B579" s="24"/>
      <c r="C579" s="24"/>
      <c r="D579" s="24"/>
      <c r="E579" s="24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D579" s="7"/>
      <c r="AE579" s="7"/>
      <c r="AF579" s="7"/>
      <c r="AG579" s="7"/>
      <c r="AH579" s="7"/>
      <c r="AI579" s="7"/>
      <c r="AJ579" s="7"/>
      <c r="AK579" s="35"/>
      <c r="AL579" s="35"/>
      <c r="AM579" s="35"/>
      <c r="AN579" s="35"/>
      <c r="AO579" s="35"/>
      <c r="AP579" s="35"/>
      <c r="AQ579" s="42"/>
      <c r="AR579" s="42"/>
      <c r="AS579" s="42"/>
      <c r="AT579" s="42"/>
      <c r="AU579" s="42"/>
      <c r="AV579" s="42"/>
      <c r="AW579" s="35"/>
      <c r="BV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FG579" s="23"/>
      <c r="FH579" s="23"/>
      <c r="FI579" s="23"/>
      <c r="FJ579" s="23"/>
      <c r="FK579" s="23"/>
      <c r="FL579" s="23"/>
      <c r="FM579" s="23"/>
      <c r="FN579" s="23"/>
    </row>
    <row r="580" spans="2:170" ht="12" customHeight="1" x14ac:dyDescent="0.3">
      <c r="B580" s="24"/>
      <c r="C580" s="24"/>
      <c r="D580" s="24"/>
      <c r="E580" s="24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D580" s="7"/>
      <c r="AE580" s="7"/>
      <c r="AF580" s="7"/>
      <c r="AG580" s="7"/>
      <c r="AH580" s="7"/>
      <c r="AI580" s="7"/>
      <c r="AJ580" s="7"/>
      <c r="AK580" s="35"/>
      <c r="AL580" s="35"/>
      <c r="AM580" s="35"/>
      <c r="AN580" s="35"/>
      <c r="AO580" s="35"/>
      <c r="AP580" s="35"/>
      <c r="AQ580" s="42"/>
      <c r="AR580" s="42"/>
      <c r="AS580" s="42"/>
      <c r="AT580" s="42"/>
      <c r="AU580" s="42"/>
      <c r="AV580" s="42"/>
      <c r="AW580" s="35"/>
      <c r="BV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FG580" s="23"/>
      <c r="FH580" s="23"/>
      <c r="FI580" s="23"/>
      <c r="FJ580" s="23"/>
      <c r="FK580" s="23"/>
      <c r="FL580" s="23"/>
      <c r="FM580" s="23"/>
      <c r="FN580" s="23"/>
    </row>
    <row r="581" spans="2:170" ht="12" customHeight="1" x14ac:dyDescent="0.3">
      <c r="B581" s="24"/>
      <c r="C581" s="24"/>
      <c r="D581" s="24"/>
      <c r="E581" s="24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D581" s="7"/>
      <c r="AE581" s="7"/>
      <c r="AF581" s="7"/>
      <c r="AG581" s="7"/>
      <c r="AH581" s="7"/>
      <c r="AI581" s="7"/>
      <c r="AJ581" s="7"/>
      <c r="AK581" s="35"/>
      <c r="AL581" s="35"/>
      <c r="AM581" s="35"/>
      <c r="AN581" s="35"/>
      <c r="AO581" s="35"/>
      <c r="AP581" s="35"/>
      <c r="AQ581" s="42"/>
      <c r="AR581" s="42"/>
      <c r="AS581" s="42"/>
      <c r="AT581" s="42"/>
      <c r="AU581" s="42"/>
      <c r="AV581" s="42"/>
      <c r="AW581" s="35"/>
      <c r="BV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FG581" s="23"/>
      <c r="FH581" s="23"/>
      <c r="FI581" s="23"/>
      <c r="FJ581" s="23"/>
      <c r="FK581" s="23"/>
      <c r="FL581" s="23"/>
      <c r="FM581" s="23"/>
      <c r="FN581" s="23"/>
    </row>
    <row r="582" spans="2:170" ht="12" customHeight="1" x14ac:dyDescent="0.3">
      <c r="B582" s="24"/>
      <c r="C582" s="24"/>
      <c r="D582" s="24"/>
      <c r="E582" s="24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D582" s="7"/>
      <c r="AE582" s="7"/>
      <c r="AF582" s="7"/>
      <c r="AG582" s="7"/>
      <c r="AH582" s="7"/>
      <c r="AI582" s="7"/>
      <c r="AJ582" s="7"/>
      <c r="AK582" s="35"/>
      <c r="AL582" s="35"/>
      <c r="AM582" s="35"/>
      <c r="AN582" s="35"/>
      <c r="AO582" s="35"/>
      <c r="AP582" s="35"/>
      <c r="AQ582" s="42"/>
      <c r="AR582" s="42"/>
      <c r="AS582" s="42"/>
      <c r="AT582" s="42"/>
      <c r="AU582" s="42"/>
      <c r="AV582" s="42"/>
      <c r="AW582" s="35"/>
      <c r="BV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FG582" s="23"/>
      <c r="FH582" s="23"/>
      <c r="FI582" s="23"/>
      <c r="FJ582" s="23"/>
      <c r="FK582" s="23"/>
      <c r="FL582" s="23"/>
      <c r="FM582" s="23"/>
      <c r="FN582" s="23"/>
    </row>
    <row r="583" spans="2:170" ht="12" customHeight="1" x14ac:dyDescent="0.3">
      <c r="B583" s="24"/>
      <c r="C583" s="24"/>
      <c r="D583" s="24"/>
      <c r="E583" s="24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D583" s="7"/>
      <c r="AE583" s="7"/>
      <c r="AF583" s="7"/>
      <c r="AG583" s="7"/>
      <c r="AH583" s="7"/>
      <c r="AI583" s="7"/>
      <c r="AJ583" s="7"/>
      <c r="AK583" s="35"/>
      <c r="AL583" s="35"/>
      <c r="AM583" s="35"/>
      <c r="AN583" s="35"/>
      <c r="AO583" s="35"/>
      <c r="AP583" s="35"/>
      <c r="AQ583" s="42"/>
      <c r="AR583" s="42"/>
      <c r="AS583" s="42"/>
      <c r="AT583" s="42"/>
      <c r="AU583" s="42"/>
      <c r="AV583" s="42"/>
      <c r="AW583" s="35"/>
      <c r="BV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FG583" s="23"/>
      <c r="FH583" s="23"/>
      <c r="FI583" s="23"/>
      <c r="FJ583" s="23"/>
      <c r="FK583" s="23"/>
      <c r="FL583" s="23"/>
      <c r="FM583" s="23"/>
      <c r="FN583" s="23"/>
    </row>
    <row r="584" spans="2:170" ht="12" customHeight="1" x14ac:dyDescent="0.3">
      <c r="B584" s="24"/>
      <c r="C584" s="24"/>
      <c r="D584" s="24"/>
      <c r="E584" s="24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D584" s="7"/>
      <c r="AE584" s="7"/>
      <c r="AF584" s="7"/>
      <c r="AG584" s="7"/>
      <c r="AH584" s="7"/>
      <c r="AI584" s="7"/>
      <c r="AJ584" s="7"/>
      <c r="AK584" s="35"/>
      <c r="AL584" s="35"/>
      <c r="AM584" s="35"/>
      <c r="AN584" s="35"/>
      <c r="AO584" s="35"/>
      <c r="AP584" s="35"/>
      <c r="AQ584" s="42"/>
      <c r="AR584" s="42"/>
      <c r="AS584" s="42"/>
      <c r="AT584" s="42"/>
      <c r="AU584" s="42"/>
      <c r="AV584" s="42"/>
      <c r="AW584" s="35"/>
      <c r="BV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FG584" s="23"/>
      <c r="FH584" s="23"/>
      <c r="FI584" s="23"/>
      <c r="FJ584" s="23"/>
      <c r="FK584" s="23"/>
      <c r="FL584" s="23"/>
      <c r="FM584" s="23"/>
      <c r="FN584" s="23"/>
    </row>
    <row r="585" spans="2:170" ht="12" customHeight="1" x14ac:dyDescent="0.3">
      <c r="B585" s="24"/>
      <c r="C585" s="24"/>
      <c r="D585" s="24"/>
      <c r="E585" s="24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D585" s="7"/>
      <c r="AE585" s="7"/>
      <c r="AF585" s="7"/>
      <c r="AG585" s="7"/>
      <c r="AH585" s="7"/>
      <c r="AI585" s="7"/>
      <c r="AJ585" s="7"/>
      <c r="AK585" s="35"/>
      <c r="AL585" s="35"/>
      <c r="AM585" s="35"/>
      <c r="AN585" s="35"/>
      <c r="AO585" s="35"/>
      <c r="AP585" s="35"/>
      <c r="AQ585" s="42"/>
      <c r="AR585" s="42"/>
      <c r="AS585" s="42"/>
      <c r="AT585" s="42"/>
      <c r="AU585" s="42"/>
      <c r="AV585" s="42"/>
      <c r="AW585" s="35"/>
      <c r="BV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FG585" s="23"/>
      <c r="FH585" s="23"/>
      <c r="FI585" s="23"/>
      <c r="FJ585" s="23"/>
      <c r="FK585" s="23"/>
      <c r="FL585" s="23"/>
      <c r="FM585" s="23"/>
      <c r="FN585" s="23"/>
    </row>
    <row r="586" spans="2:170" ht="12" customHeight="1" x14ac:dyDescent="0.3">
      <c r="B586" s="24"/>
      <c r="C586" s="24"/>
      <c r="D586" s="24"/>
      <c r="E586" s="24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D586" s="7"/>
      <c r="AE586" s="7"/>
      <c r="AF586" s="7"/>
      <c r="AG586" s="7"/>
      <c r="AH586" s="7"/>
      <c r="AI586" s="7"/>
      <c r="AJ586" s="7"/>
      <c r="AK586" s="35"/>
      <c r="AL586" s="35"/>
      <c r="AM586" s="35"/>
      <c r="AN586" s="35"/>
      <c r="AO586" s="35"/>
      <c r="AP586" s="35"/>
      <c r="AQ586" s="42"/>
      <c r="AR586" s="42"/>
      <c r="AS586" s="42"/>
      <c r="AT586" s="42"/>
      <c r="AU586" s="42"/>
      <c r="AV586" s="42"/>
      <c r="AW586" s="35"/>
      <c r="BV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FG586" s="23"/>
      <c r="FH586" s="23"/>
      <c r="FI586" s="23"/>
      <c r="FJ586" s="23"/>
      <c r="FK586" s="23"/>
      <c r="FL586" s="23"/>
      <c r="FM586" s="23"/>
      <c r="FN586" s="23"/>
    </row>
    <row r="587" spans="2:170" ht="12" customHeight="1" x14ac:dyDescent="0.3">
      <c r="B587" s="24"/>
      <c r="C587" s="24"/>
      <c r="D587" s="24"/>
      <c r="E587" s="24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D587" s="7"/>
      <c r="AE587" s="7"/>
      <c r="AF587" s="7"/>
      <c r="AG587" s="7"/>
      <c r="AH587" s="7"/>
      <c r="AI587" s="7"/>
      <c r="AJ587" s="7"/>
      <c r="AK587" s="35"/>
      <c r="AL587" s="35"/>
      <c r="AM587" s="35"/>
      <c r="AN587" s="35"/>
      <c r="AO587" s="35"/>
      <c r="AP587" s="35"/>
      <c r="AQ587" s="42"/>
      <c r="AR587" s="42"/>
      <c r="AS587" s="42"/>
      <c r="AT587" s="42"/>
      <c r="AU587" s="42"/>
      <c r="AV587" s="42"/>
      <c r="AW587" s="35"/>
      <c r="BV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FG587" s="23"/>
      <c r="FH587" s="23"/>
      <c r="FI587" s="23"/>
      <c r="FJ587" s="23"/>
      <c r="FK587" s="23"/>
      <c r="FL587" s="23"/>
      <c r="FM587" s="23"/>
      <c r="FN587" s="23"/>
    </row>
    <row r="588" spans="2:170" ht="12" customHeight="1" x14ac:dyDescent="0.3">
      <c r="B588" s="24"/>
      <c r="C588" s="24"/>
      <c r="D588" s="24"/>
      <c r="E588" s="24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D588" s="7"/>
      <c r="AE588" s="7"/>
      <c r="AF588" s="7"/>
      <c r="AG588" s="7"/>
      <c r="AH588" s="7"/>
      <c r="AI588" s="7"/>
      <c r="AJ588" s="7"/>
      <c r="AK588" s="35"/>
      <c r="AL588" s="35"/>
      <c r="AM588" s="35"/>
      <c r="AN588" s="35"/>
      <c r="AO588" s="35"/>
      <c r="AP588" s="35"/>
      <c r="AQ588" s="42"/>
      <c r="AR588" s="42"/>
      <c r="AS588" s="42"/>
      <c r="AT588" s="42"/>
      <c r="AU588" s="42"/>
      <c r="AV588" s="42"/>
      <c r="AW588" s="35"/>
      <c r="BV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FG588" s="23"/>
      <c r="FH588" s="23"/>
      <c r="FI588" s="23"/>
      <c r="FJ588" s="23"/>
      <c r="FK588" s="23"/>
      <c r="FL588" s="23"/>
      <c r="FM588" s="23"/>
      <c r="FN588" s="23"/>
    </row>
    <row r="589" spans="2:170" ht="12" customHeight="1" x14ac:dyDescent="0.3">
      <c r="B589" s="24"/>
      <c r="C589" s="24"/>
      <c r="D589" s="24"/>
      <c r="E589" s="24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D589" s="7"/>
      <c r="AE589" s="7"/>
      <c r="AF589" s="7"/>
      <c r="AG589" s="7"/>
      <c r="AH589" s="7"/>
      <c r="AI589" s="7"/>
      <c r="AJ589" s="7"/>
      <c r="AK589" s="35"/>
      <c r="AL589" s="35"/>
      <c r="AM589" s="35"/>
      <c r="AN589" s="35"/>
      <c r="AO589" s="35"/>
      <c r="AP589" s="35"/>
      <c r="AQ589" s="42"/>
      <c r="AR589" s="42"/>
      <c r="AS589" s="42"/>
      <c r="AT589" s="42"/>
      <c r="AU589" s="42"/>
      <c r="AV589" s="42"/>
      <c r="AW589" s="35"/>
      <c r="BV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FG589" s="23"/>
      <c r="FH589" s="23"/>
      <c r="FI589" s="23"/>
      <c r="FJ589" s="23"/>
      <c r="FK589" s="23"/>
      <c r="FL589" s="23"/>
      <c r="FM589" s="23"/>
      <c r="FN589" s="23"/>
    </row>
    <row r="590" spans="2:170" ht="12" customHeight="1" x14ac:dyDescent="0.3">
      <c r="B590" s="24"/>
      <c r="C590" s="24"/>
      <c r="D590" s="24"/>
      <c r="E590" s="24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D590" s="7"/>
      <c r="AE590" s="7"/>
      <c r="AF590" s="7"/>
      <c r="AG590" s="7"/>
      <c r="AH590" s="7"/>
      <c r="AI590" s="7"/>
      <c r="AJ590" s="7"/>
      <c r="AK590" s="35"/>
      <c r="AL590" s="35"/>
      <c r="AM590" s="35"/>
      <c r="AN590" s="35"/>
      <c r="AO590" s="35"/>
      <c r="AP590" s="35"/>
      <c r="AQ590" s="42"/>
      <c r="AR590" s="42"/>
      <c r="AS590" s="42"/>
      <c r="AT590" s="42"/>
      <c r="AU590" s="42"/>
      <c r="AV590" s="42"/>
      <c r="AW590" s="35"/>
      <c r="BV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FG590" s="23"/>
      <c r="FH590" s="23"/>
      <c r="FI590" s="23"/>
      <c r="FJ590" s="23"/>
      <c r="FK590" s="23"/>
      <c r="FL590" s="23"/>
      <c r="FM590" s="23"/>
      <c r="FN590" s="23"/>
    </row>
    <row r="591" spans="2:170" ht="12" customHeight="1" x14ac:dyDescent="0.3">
      <c r="B591" s="24"/>
      <c r="C591" s="24"/>
      <c r="D591" s="24"/>
      <c r="E591" s="24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D591" s="7"/>
      <c r="AE591" s="7"/>
      <c r="AF591" s="7"/>
      <c r="AG591" s="7"/>
      <c r="AH591" s="7"/>
      <c r="AI591" s="7"/>
      <c r="AJ591" s="7"/>
      <c r="AK591" s="35"/>
      <c r="AL591" s="35"/>
      <c r="AM591" s="35"/>
      <c r="AN591" s="35"/>
      <c r="AO591" s="35"/>
      <c r="AP591" s="35"/>
      <c r="AQ591" s="42"/>
      <c r="AR591" s="42"/>
      <c r="AS591" s="42"/>
      <c r="AT591" s="42"/>
      <c r="AU591" s="42"/>
      <c r="AV591" s="42"/>
      <c r="AW591" s="35"/>
      <c r="BV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FG591" s="23"/>
      <c r="FH591" s="23"/>
      <c r="FI591" s="23"/>
      <c r="FJ591" s="23"/>
      <c r="FK591" s="23"/>
      <c r="FL591" s="23"/>
      <c r="FM591" s="23"/>
      <c r="FN591" s="23"/>
    </row>
    <row r="592" spans="2:170" ht="12" customHeight="1" x14ac:dyDescent="0.3">
      <c r="B592" s="24"/>
      <c r="C592" s="24"/>
      <c r="D592" s="24"/>
      <c r="E592" s="24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D592" s="7"/>
      <c r="AE592" s="7"/>
      <c r="AF592" s="7"/>
      <c r="AG592" s="7"/>
      <c r="AH592" s="7"/>
      <c r="AI592" s="7"/>
      <c r="AJ592" s="7"/>
      <c r="AK592" s="35"/>
      <c r="AL592" s="35"/>
      <c r="AM592" s="35"/>
      <c r="AN592" s="35"/>
      <c r="AO592" s="35"/>
      <c r="AP592" s="35"/>
      <c r="AQ592" s="42"/>
      <c r="AR592" s="42"/>
      <c r="AS592" s="42"/>
      <c r="AT592" s="42"/>
      <c r="AU592" s="42"/>
      <c r="AV592" s="42"/>
      <c r="AW592" s="35"/>
      <c r="BV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FG592" s="23"/>
      <c r="FH592" s="23"/>
      <c r="FI592" s="23"/>
      <c r="FJ592" s="23"/>
      <c r="FK592" s="23"/>
      <c r="FL592" s="23"/>
      <c r="FM592" s="23"/>
      <c r="FN592" s="23"/>
    </row>
    <row r="593" spans="2:170" ht="12" customHeight="1" x14ac:dyDescent="0.3">
      <c r="B593" s="24"/>
      <c r="C593" s="24"/>
      <c r="D593" s="24"/>
      <c r="E593" s="24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D593" s="7"/>
      <c r="AE593" s="7"/>
      <c r="AF593" s="7"/>
      <c r="AG593" s="7"/>
      <c r="AH593" s="7"/>
      <c r="AI593" s="7"/>
      <c r="AJ593" s="7"/>
      <c r="AK593" s="35"/>
      <c r="AL593" s="35"/>
      <c r="AM593" s="35"/>
      <c r="AN593" s="35"/>
      <c r="AO593" s="35"/>
      <c r="AP593" s="35"/>
      <c r="AQ593" s="42"/>
      <c r="AR593" s="42"/>
      <c r="AS593" s="42"/>
      <c r="AT593" s="42"/>
      <c r="AU593" s="42"/>
      <c r="AV593" s="42"/>
      <c r="AW593" s="35"/>
      <c r="BV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FG593" s="23"/>
      <c r="FH593" s="23"/>
      <c r="FI593" s="23"/>
      <c r="FJ593" s="23"/>
      <c r="FK593" s="23"/>
      <c r="FL593" s="23"/>
      <c r="FM593" s="23"/>
      <c r="FN593" s="23"/>
    </row>
    <row r="594" spans="2:170" ht="12" customHeight="1" x14ac:dyDescent="0.3">
      <c r="B594" s="24"/>
      <c r="C594" s="24"/>
      <c r="D594" s="24"/>
      <c r="E594" s="24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D594" s="7"/>
      <c r="AE594" s="7"/>
      <c r="AF594" s="7"/>
      <c r="AG594" s="7"/>
      <c r="AH594" s="7"/>
      <c r="AI594" s="7"/>
      <c r="AJ594" s="7"/>
      <c r="AK594" s="35"/>
      <c r="AL594" s="35"/>
      <c r="AM594" s="35"/>
      <c r="AN594" s="35"/>
      <c r="AO594" s="35"/>
      <c r="AP594" s="35"/>
      <c r="AQ594" s="42"/>
      <c r="AR594" s="42"/>
      <c r="AS594" s="42"/>
      <c r="AT594" s="42"/>
      <c r="AU594" s="42"/>
      <c r="AV594" s="42"/>
      <c r="AW594" s="35"/>
      <c r="BV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FG594" s="23"/>
      <c r="FH594" s="23"/>
      <c r="FI594" s="23"/>
      <c r="FJ594" s="23"/>
      <c r="FK594" s="23"/>
      <c r="FL594" s="23"/>
      <c r="FM594" s="23"/>
      <c r="FN594" s="23"/>
    </row>
    <row r="595" spans="2:170" ht="12" customHeight="1" x14ac:dyDescent="0.3">
      <c r="B595" s="24"/>
      <c r="C595" s="24"/>
      <c r="D595" s="24"/>
      <c r="E595" s="24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D595" s="7"/>
      <c r="AE595" s="7"/>
      <c r="AF595" s="7"/>
      <c r="AG595" s="7"/>
      <c r="AH595" s="7"/>
      <c r="AI595" s="7"/>
      <c r="AJ595" s="7"/>
      <c r="AK595" s="35"/>
      <c r="AL595" s="35"/>
      <c r="AM595" s="35"/>
      <c r="AN595" s="35"/>
      <c r="AO595" s="35"/>
      <c r="AP595" s="35"/>
      <c r="AQ595" s="42"/>
      <c r="AR595" s="42"/>
      <c r="AS595" s="42"/>
      <c r="AT595" s="42"/>
      <c r="AU595" s="42"/>
      <c r="AV595" s="42"/>
      <c r="AW595" s="35"/>
      <c r="BV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FG595" s="23"/>
      <c r="FH595" s="23"/>
      <c r="FI595" s="23"/>
      <c r="FJ595" s="23"/>
      <c r="FK595" s="23"/>
      <c r="FL595" s="23"/>
      <c r="FM595" s="23"/>
      <c r="FN595" s="23"/>
    </row>
    <row r="596" spans="2:170" ht="12" customHeight="1" x14ac:dyDescent="0.3">
      <c r="B596" s="24"/>
      <c r="C596" s="24"/>
      <c r="D596" s="24"/>
      <c r="E596" s="24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D596" s="7"/>
      <c r="AE596" s="7"/>
      <c r="AF596" s="7"/>
      <c r="AG596" s="7"/>
      <c r="AH596" s="7"/>
      <c r="AI596" s="7"/>
      <c r="AJ596" s="7"/>
      <c r="AK596" s="35"/>
      <c r="AL596" s="35"/>
      <c r="AM596" s="35"/>
      <c r="AN596" s="35"/>
      <c r="AO596" s="35"/>
      <c r="AP596" s="35"/>
      <c r="AQ596" s="42"/>
      <c r="AR596" s="42"/>
      <c r="AS596" s="42"/>
      <c r="AT596" s="42"/>
      <c r="AU596" s="42"/>
      <c r="AV596" s="42"/>
      <c r="AW596" s="35"/>
      <c r="BV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FG596" s="23"/>
      <c r="FH596" s="23"/>
      <c r="FI596" s="23"/>
      <c r="FJ596" s="23"/>
      <c r="FK596" s="23"/>
      <c r="FL596" s="23"/>
      <c r="FM596" s="23"/>
      <c r="FN596" s="23"/>
    </row>
    <row r="597" spans="2:170" ht="12" customHeight="1" x14ac:dyDescent="0.3">
      <c r="B597" s="24"/>
      <c r="C597" s="24"/>
      <c r="D597" s="24"/>
      <c r="E597" s="24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D597" s="7"/>
      <c r="AE597" s="7"/>
      <c r="AF597" s="7"/>
      <c r="AG597" s="7"/>
      <c r="AH597" s="7"/>
      <c r="AI597" s="7"/>
      <c r="AJ597" s="7"/>
      <c r="AK597" s="35"/>
      <c r="AL597" s="35"/>
      <c r="AM597" s="35"/>
      <c r="AN597" s="35"/>
      <c r="AO597" s="35"/>
      <c r="AP597" s="35"/>
      <c r="AQ597" s="42"/>
      <c r="AR597" s="42"/>
      <c r="AS597" s="42"/>
      <c r="AT597" s="42"/>
      <c r="AU597" s="42"/>
      <c r="AV597" s="42"/>
      <c r="AW597" s="35"/>
      <c r="BV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FG597" s="23"/>
      <c r="FH597" s="23"/>
      <c r="FI597" s="23"/>
      <c r="FJ597" s="23"/>
      <c r="FK597" s="23"/>
      <c r="FL597" s="23"/>
      <c r="FM597" s="23"/>
      <c r="FN597" s="23"/>
    </row>
    <row r="598" spans="2:170" ht="12" customHeight="1" x14ac:dyDescent="0.3">
      <c r="B598" s="24"/>
      <c r="C598" s="24"/>
      <c r="D598" s="24"/>
      <c r="E598" s="24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D598" s="7"/>
      <c r="AE598" s="7"/>
      <c r="AF598" s="7"/>
      <c r="AG598" s="7"/>
      <c r="AH598" s="7"/>
      <c r="AI598" s="7"/>
      <c r="AJ598" s="7"/>
      <c r="AK598" s="35"/>
      <c r="AL598" s="35"/>
      <c r="AM598" s="35"/>
      <c r="AN598" s="35"/>
      <c r="AO598" s="35"/>
      <c r="AP598" s="35"/>
      <c r="AQ598" s="42"/>
      <c r="AR598" s="42"/>
      <c r="AS598" s="42"/>
      <c r="AT598" s="42"/>
      <c r="AU598" s="42"/>
      <c r="AV598" s="42"/>
      <c r="AW598" s="35"/>
      <c r="BV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FG598" s="23"/>
      <c r="FH598" s="23"/>
      <c r="FI598" s="23"/>
      <c r="FJ598" s="23"/>
      <c r="FK598" s="23"/>
      <c r="FL598" s="23"/>
      <c r="FM598" s="23"/>
      <c r="FN598" s="23"/>
    </row>
    <row r="599" spans="2:170" ht="12" customHeight="1" x14ac:dyDescent="0.3">
      <c r="B599" s="24"/>
      <c r="C599" s="24"/>
      <c r="D599" s="24"/>
      <c r="E599" s="24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D599" s="7"/>
      <c r="AE599" s="7"/>
      <c r="AF599" s="7"/>
      <c r="AG599" s="7"/>
      <c r="AH599" s="7"/>
      <c r="AI599" s="7"/>
      <c r="AJ599" s="7"/>
      <c r="AK599" s="35"/>
      <c r="AL599" s="35"/>
      <c r="AM599" s="35"/>
      <c r="AN599" s="35"/>
      <c r="AO599" s="35"/>
      <c r="AP599" s="35"/>
      <c r="AQ599" s="42"/>
      <c r="AR599" s="42"/>
      <c r="AS599" s="42"/>
      <c r="AT599" s="42"/>
      <c r="AU599" s="42"/>
      <c r="AV599" s="42"/>
      <c r="AW599" s="35"/>
      <c r="BV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FG599" s="23"/>
      <c r="FH599" s="23"/>
      <c r="FI599" s="23"/>
      <c r="FJ599" s="23"/>
      <c r="FK599" s="23"/>
      <c r="FL599" s="23"/>
      <c r="FM599" s="23"/>
      <c r="FN599" s="23"/>
    </row>
    <row r="600" spans="2:170" ht="12" customHeight="1" x14ac:dyDescent="0.3">
      <c r="B600" s="14"/>
      <c r="C600" s="14"/>
      <c r="D600" s="14"/>
      <c r="E600" s="14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E600" s="7"/>
      <c r="AF600" s="7"/>
      <c r="AG600" s="7"/>
      <c r="AH600" s="7"/>
      <c r="AI600" s="7"/>
      <c r="AJ600" s="7"/>
      <c r="BV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FG600" s="23"/>
      <c r="FH600" s="23"/>
      <c r="FI600" s="23"/>
      <c r="FJ600" s="23"/>
      <c r="FK600" s="23"/>
      <c r="FL600" s="23"/>
      <c r="FM600" s="23"/>
      <c r="FN600" s="23"/>
    </row>
    <row r="601" spans="2:170" ht="12" customHeight="1" x14ac:dyDescent="0.3">
      <c r="B601" s="14"/>
      <c r="C601" s="14"/>
      <c r="D601" s="14"/>
      <c r="E601" s="14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E601" s="7"/>
      <c r="AF601" s="7"/>
      <c r="AG601" s="7"/>
      <c r="AH601" s="7"/>
      <c r="AI601" s="7"/>
      <c r="AJ601" s="7"/>
      <c r="BV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FG601" s="23"/>
      <c r="FH601" s="23"/>
      <c r="FI601" s="23"/>
      <c r="FJ601" s="23"/>
      <c r="FK601" s="23"/>
      <c r="FL601" s="23"/>
      <c r="FM601" s="23"/>
      <c r="FN601" s="23"/>
    </row>
    <row r="602" spans="2:170" ht="12" customHeight="1" x14ac:dyDescent="0.3">
      <c r="B602" s="14"/>
      <c r="C602" s="14"/>
      <c r="D602" s="14"/>
      <c r="E602" s="14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39"/>
      <c r="AR602" s="39"/>
      <c r="AS602" s="39"/>
      <c r="AT602" s="39"/>
      <c r="AU602" s="39"/>
      <c r="AV602" s="39"/>
      <c r="AW602" s="7"/>
      <c r="BV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FG602" s="23"/>
      <c r="FH602" s="23"/>
      <c r="FI602" s="23"/>
      <c r="FJ602" s="23"/>
      <c r="FK602" s="23"/>
      <c r="FL602" s="23"/>
      <c r="FM602" s="23"/>
      <c r="FN602" s="23"/>
    </row>
    <row r="603" spans="2:170" ht="12" customHeight="1" x14ac:dyDescent="0.3">
      <c r="B603" s="14"/>
      <c r="C603" s="14"/>
      <c r="D603" s="14"/>
      <c r="E603" s="14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39"/>
      <c r="AR603" s="39"/>
      <c r="AS603" s="39"/>
      <c r="AT603" s="39"/>
      <c r="AU603" s="39"/>
      <c r="AV603" s="39"/>
      <c r="AW603" s="7"/>
      <c r="BV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FG603" s="23"/>
      <c r="FH603" s="23"/>
      <c r="FI603" s="23"/>
      <c r="FJ603" s="23"/>
      <c r="FK603" s="23"/>
      <c r="FL603" s="23"/>
      <c r="FM603" s="23"/>
      <c r="FN603" s="23"/>
    </row>
    <row r="604" spans="2:170" ht="12" customHeight="1" x14ac:dyDescent="0.3">
      <c r="B604" s="14"/>
      <c r="C604" s="14"/>
      <c r="D604" s="14"/>
      <c r="E604" s="14"/>
      <c r="F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39"/>
      <c r="AR604" s="39"/>
      <c r="AS604" s="39"/>
      <c r="AT604" s="39"/>
      <c r="AU604" s="39"/>
      <c r="AV604" s="39"/>
      <c r="AW604" s="7"/>
      <c r="BV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FG604" s="23"/>
      <c r="FH604" s="23"/>
      <c r="FI604" s="23"/>
      <c r="FJ604" s="23"/>
      <c r="FK604" s="23"/>
      <c r="FL604" s="23"/>
      <c r="FM604" s="23"/>
      <c r="FN604" s="23"/>
    </row>
    <row r="605" spans="2:170" ht="12" customHeight="1" x14ac:dyDescent="0.3">
      <c r="B605" s="14"/>
      <c r="C605" s="14"/>
      <c r="D605" s="14"/>
      <c r="E605" s="14"/>
      <c r="F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K605" s="7"/>
      <c r="AL605" s="7"/>
      <c r="AM605" s="7"/>
      <c r="AN605" s="7"/>
      <c r="AO605" s="7"/>
      <c r="AP605" s="7"/>
      <c r="AQ605" s="39"/>
      <c r="AR605" s="39"/>
      <c r="AS605" s="39"/>
      <c r="AT605" s="39"/>
      <c r="AU605" s="39"/>
      <c r="AV605" s="39"/>
      <c r="AW605" s="7"/>
      <c r="BV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FG605" s="23"/>
      <c r="FH605" s="23"/>
      <c r="FI605" s="23"/>
      <c r="FJ605" s="23"/>
      <c r="FK605" s="23"/>
      <c r="FL605" s="23"/>
      <c r="FM605" s="23"/>
      <c r="FN605" s="23"/>
    </row>
    <row r="606" spans="2:170" ht="12" customHeight="1" x14ac:dyDescent="0.3">
      <c r="B606" s="24"/>
      <c r="C606" s="24"/>
      <c r="D606" s="24"/>
      <c r="E606" s="24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D606" s="7"/>
      <c r="AE606" s="7"/>
      <c r="AF606" s="7"/>
      <c r="AG606" s="7"/>
      <c r="AH606" s="7"/>
      <c r="AI606" s="7"/>
      <c r="AJ606" s="7"/>
      <c r="BV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FG606" s="23"/>
      <c r="FH606" s="23"/>
      <c r="FI606" s="23"/>
      <c r="FJ606" s="23"/>
      <c r="FK606" s="23"/>
      <c r="FL606" s="23"/>
      <c r="FM606" s="23"/>
      <c r="FN606" s="23"/>
    </row>
    <row r="607" spans="2:170" ht="12" customHeight="1" x14ac:dyDescent="0.3">
      <c r="B607" s="24"/>
      <c r="C607" s="24"/>
      <c r="D607" s="24"/>
      <c r="E607" s="24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D607" s="7"/>
      <c r="AE607" s="7"/>
      <c r="AF607" s="7"/>
      <c r="AG607" s="7"/>
      <c r="AH607" s="7"/>
      <c r="AI607" s="7"/>
      <c r="AJ607" s="7"/>
      <c r="BV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FG607" s="23"/>
      <c r="FH607" s="23"/>
      <c r="FI607" s="23"/>
      <c r="FJ607" s="23"/>
      <c r="FK607" s="23"/>
      <c r="FL607" s="23"/>
      <c r="FM607" s="23"/>
      <c r="FN607" s="23"/>
    </row>
    <row r="608" spans="2:170" ht="12" customHeight="1" x14ac:dyDescent="0.3">
      <c r="B608" s="24"/>
      <c r="C608" s="24"/>
      <c r="D608" s="24"/>
      <c r="E608" s="24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D608" s="7"/>
      <c r="AE608" s="34"/>
      <c r="AF608" s="7"/>
      <c r="AG608" s="7"/>
      <c r="AH608" s="7"/>
      <c r="AI608" s="7"/>
      <c r="AJ608" s="7"/>
      <c r="BV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FG608" s="23"/>
      <c r="FH608" s="23"/>
      <c r="FI608" s="23"/>
      <c r="FJ608" s="23"/>
      <c r="FK608" s="23"/>
      <c r="FL608" s="23"/>
      <c r="FM608" s="23"/>
      <c r="FN608" s="23"/>
    </row>
    <row r="609" spans="2:170" ht="12" customHeight="1" x14ac:dyDescent="0.3">
      <c r="B609" s="24"/>
      <c r="C609" s="24"/>
      <c r="D609" s="24"/>
      <c r="E609" s="24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D609" s="7"/>
      <c r="AE609" s="34"/>
      <c r="AF609" s="7"/>
      <c r="AG609" s="7"/>
      <c r="AH609" s="7"/>
      <c r="AI609" s="7"/>
      <c r="AJ609" s="7"/>
      <c r="BV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FG609" s="23"/>
      <c r="FH609" s="23"/>
      <c r="FI609" s="23"/>
      <c r="FJ609" s="23"/>
      <c r="FK609" s="23"/>
      <c r="FL609" s="23"/>
      <c r="FM609" s="23"/>
      <c r="FN609" s="23"/>
    </row>
    <row r="610" spans="2:170" ht="12" customHeight="1" x14ac:dyDescent="0.3">
      <c r="B610" s="24"/>
      <c r="C610" s="24"/>
      <c r="D610" s="24"/>
      <c r="E610" s="24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D610" s="7"/>
      <c r="AE610" s="7"/>
      <c r="AF610" s="7"/>
      <c r="AG610" s="7"/>
      <c r="AH610" s="7"/>
      <c r="AI610" s="7"/>
      <c r="AJ610" s="7"/>
      <c r="BV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FG610" s="23"/>
      <c r="FH610" s="23"/>
      <c r="FI610" s="23"/>
      <c r="FJ610" s="23"/>
      <c r="FK610" s="23"/>
      <c r="FL610" s="23"/>
      <c r="FM610" s="23"/>
      <c r="FN610" s="23"/>
    </row>
    <row r="611" spans="2:170" ht="12" customHeight="1" x14ac:dyDescent="0.3">
      <c r="B611" s="24"/>
      <c r="C611" s="24"/>
      <c r="D611" s="24"/>
      <c r="E611" s="24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D611" s="7"/>
      <c r="AE611" s="7"/>
      <c r="AF611" s="7"/>
      <c r="AG611" s="7"/>
      <c r="AH611" s="7"/>
      <c r="AI611" s="7"/>
      <c r="AJ611" s="7"/>
      <c r="BV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FG611" s="23"/>
      <c r="FH611" s="23"/>
      <c r="FI611" s="23"/>
      <c r="FJ611" s="23"/>
      <c r="FK611" s="23"/>
      <c r="FL611" s="23"/>
      <c r="FM611" s="23"/>
      <c r="FN611" s="23"/>
    </row>
    <row r="612" spans="2:170" ht="12" customHeight="1" x14ac:dyDescent="0.3">
      <c r="B612" s="24"/>
      <c r="C612" s="24"/>
      <c r="D612" s="24"/>
      <c r="E612" s="24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D612" s="7"/>
      <c r="AE612" s="34"/>
      <c r="AF612" s="7"/>
      <c r="AG612" s="7"/>
      <c r="AH612" s="7"/>
      <c r="AI612" s="7"/>
      <c r="AJ612" s="7"/>
      <c r="BV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FG612" s="23"/>
      <c r="FH612" s="23"/>
      <c r="FI612" s="23"/>
      <c r="FJ612" s="23"/>
      <c r="FK612" s="23"/>
      <c r="FL612" s="23"/>
      <c r="FM612" s="23"/>
      <c r="FN612" s="23"/>
    </row>
    <row r="613" spans="2:170" ht="12" customHeight="1" x14ac:dyDescent="0.3">
      <c r="B613" s="24"/>
      <c r="C613" s="24"/>
      <c r="D613" s="24"/>
      <c r="E613" s="24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D613" s="7"/>
      <c r="AE613" s="34"/>
      <c r="AF613" s="7"/>
      <c r="AG613" s="7"/>
      <c r="AH613" s="7"/>
      <c r="AI613" s="7"/>
      <c r="AJ613" s="7"/>
      <c r="BV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FG613" s="23"/>
      <c r="FH613" s="23"/>
      <c r="FI613" s="23"/>
      <c r="FJ613" s="23"/>
      <c r="FK613" s="23"/>
      <c r="FL613" s="23"/>
      <c r="FM613" s="23"/>
      <c r="FN613" s="23"/>
    </row>
    <row r="614" spans="2:170" ht="12" customHeight="1" x14ac:dyDescent="0.3">
      <c r="B614" s="24"/>
      <c r="C614" s="24"/>
      <c r="D614" s="24"/>
      <c r="E614" s="24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D614" s="7"/>
      <c r="AE614" s="7"/>
      <c r="AF614" s="7"/>
      <c r="AG614" s="7"/>
      <c r="AH614" s="7"/>
      <c r="AI614" s="7"/>
      <c r="AJ614" s="7"/>
      <c r="BV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FG614" s="23"/>
      <c r="FH614" s="23"/>
      <c r="FI614" s="23"/>
      <c r="FJ614" s="23"/>
      <c r="FK614" s="23"/>
      <c r="FL614" s="23"/>
      <c r="FM614" s="23"/>
      <c r="FN614" s="23"/>
    </row>
    <row r="615" spans="2:170" ht="12" customHeight="1" x14ac:dyDescent="0.3">
      <c r="B615" s="24"/>
      <c r="C615" s="24"/>
      <c r="D615" s="24"/>
      <c r="E615" s="24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D615" s="7"/>
      <c r="AE615" s="7"/>
      <c r="AF615" s="7"/>
      <c r="AG615" s="7"/>
      <c r="AH615" s="7"/>
      <c r="AI615" s="7"/>
      <c r="AJ615" s="7"/>
      <c r="BV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FG615" s="23"/>
      <c r="FH615" s="23"/>
      <c r="FI615" s="23"/>
      <c r="FJ615" s="23"/>
      <c r="FK615" s="23"/>
      <c r="FL615" s="23"/>
      <c r="FM615" s="23"/>
      <c r="FN615" s="23"/>
    </row>
    <row r="616" spans="2:170" ht="12" customHeight="1" x14ac:dyDescent="0.3">
      <c r="B616" s="24"/>
      <c r="C616" s="24"/>
      <c r="D616" s="24"/>
      <c r="E616" s="24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D616" s="7"/>
      <c r="AE616" s="7"/>
      <c r="AF616" s="7"/>
      <c r="AG616" s="7"/>
      <c r="AH616" s="7"/>
      <c r="AI616" s="7"/>
      <c r="AJ616" s="7"/>
      <c r="BV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FG616" s="23"/>
      <c r="FH616" s="23"/>
      <c r="FI616" s="23"/>
      <c r="FJ616" s="23"/>
      <c r="FK616" s="23"/>
      <c r="FL616" s="23"/>
      <c r="FM616" s="23"/>
      <c r="FN616" s="23"/>
    </row>
    <row r="617" spans="2:170" ht="12" customHeight="1" x14ac:dyDescent="0.3">
      <c r="B617" s="24"/>
      <c r="C617" s="24"/>
      <c r="D617" s="24"/>
      <c r="E617" s="24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D617" s="7"/>
      <c r="AE617" s="7"/>
      <c r="AF617" s="7"/>
      <c r="AG617" s="7"/>
      <c r="AH617" s="7"/>
      <c r="AI617" s="7"/>
      <c r="AJ617" s="7"/>
      <c r="BV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FG617" s="23"/>
      <c r="FH617" s="23"/>
      <c r="FI617" s="23"/>
      <c r="FJ617" s="23"/>
      <c r="FK617" s="23"/>
      <c r="FL617" s="23"/>
      <c r="FM617" s="23"/>
      <c r="FN617" s="23"/>
    </row>
    <row r="618" spans="2:170" ht="12" customHeight="1" x14ac:dyDescent="0.3">
      <c r="B618" s="24"/>
      <c r="C618" s="24"/>
      <c r="D618" s="24"/>
      <c r="E618" s="24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D618" s="7"/>
      <c r="AE618" s="34"/>
      <c r="AF618" s="7"/>
      <c r="AG618" s="7"/>
      <c r="AH618" s="7"/>
      <c r="AI618" s="7"/>
      <c r="AJ618" s="7"/>
      <c r="BV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FG618" s="23"/>
      <c r="FH618" s="23"/>
      <c r="FI618" s="23"/>
      <c r="FJ618" s="23"/>
      <c r="FK618" s="23"/>
      <c r="FL618" s="23"/>
      <c r="FM618" s="23"/>
      <c r="FN618" s="23"/>
    </row>
    <row r="619" spans="2:170" ht="12" customHeight="1" x14ac:dyDescent="0.3">
      <c r="B619" s="24"/>
      <c r="C619" s="24"/>
      <c r="D619" s="24"/>
      <c r="E619" s="24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D619" s="7"/>
      <c r="AE619" s="34"/>
      <c r="AF619" s="7"/>
      <c r="AG619" s="7"/>
      <c r="AH619" s="7"/>
      <c r="AI619" s="7"/>
      <c r="AJ619" s="7"/>
      <c r="BV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FG619" s="23"/>
      <c r="FH619" s="23"/>
      <c r="FI619" s="23"/>
      <c r="FJ619" s="23"/>
      <c r="FK619" s="23"/>
      <c r="FL619" s="23"/>
      <c r="FM619" s="23"/>
      <c r="FN619" s="23"/>
    </row>
    <row r="620" spans="2:170" ht="12" customHeight="1" x14ac:dyDescent="0.3">
      <c r="FG620" s="23"/>
      <c r="FH620" s="23"/>
      <c r="FI620" s="23"/>
      <c r="FJ620" s="23"/>
      <c r="FK620" s="23"/>
      <c r="FL620" s="23"/>
    </row>
  </sheetData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1:FZ624"/>
  <sheetViews>
    <sheetView zoomScale="80" zoomScaleNormal="80" workbookViewId="0">
      <pane xSplit="3" ySplit="18" topLeftCell="D96" activePane="bottomRight" state="frozen"/>
      <selection pane="topRight" activeCell="E1" sqref="E1"/>
      <selection pane="bottomLeft" activeCell="A3" sqref="A3"/>
      <selection pane="bottomRight" activeCell="C117" sqref="C117"/>
    </sheetView>
  </sheetViews>
  <sheetFormatPr defaultColWidth="9" defaultRowHeight="12" customHeight="1" x14ac:dyDescent="0.3"/>
  <cols>
    <col min="1" max="1" width="2.375" style="4" customWidth="1"/>
    <col min="2" max="2" width="7.875" style="4" customWidth="1"/>
    <col min="3" max="3" width="31.375" style="4" bestFit="1" customWidth="1"/>
    <col min="4" max="13" width="5" style="4" customWidth="1"/>
    <col min="14" max="14" width="5.25" style="4" customWidth="1"/>
    <col min="15" max="22" width="5" style="4" customWidth="1"/>
    <col min="23" max="23" width="4" style="4" customWidth="1"/>
    <col min="24" max="24" width="5.375" style="4" customWidth="1"/>
    <col min="25" max="25" width="4.75" style="4" customWidth="1"/>
    <col min="26" max="26" width="4.75" style="4" bestFit="1" customWidth="1"/>
    <col min="27" max="30" width="4.75" style="4" customWidth="1"/>
    <col min="31" max="36" width="4.125" style="4" customWidth="1"/>
    <col min="37" max="38" width="6.25" style="38" customWidth="1"/>
    <col min="39" max="41" width="4.25" style="38" customWidth="1"/>
    <col min="42" max="42" width="4.75" style="38" customWidth="1"/>
    <col min="43" max="43" width="2.875" style="4" customWidth="1"/>
    <col min="44" max="45" width="5.625" style="4" customWidth="1"/>
    <col min="46" max="46" width="5.625" style="38" customWidth="1"/>
    <col min="47" max="56" width="5.625" style="4" customWidth="1"/>
    <col min="57" max="61" width="4.625" style="4" customWidth="1"/>
    <col min="62" max="62" width="7.25" style="4" customWidth="1"/>
    <col min="63" max="63" width="4.625" style="4" customWidth="1"/>
    <col min="64" max="91" width="6.5" style="4" customWidth="1"/>
    <col min="92" max="92" width="2.625" style="4" customWidth="1"/>
    <col min="93" max="104" width="4.375" style="4" customWidth="1"/>
    <col min="105" max="105" width="9" style="4"/>
    <col min="106" max="106" width="6.125" style="4" customWidth="1"/>
    <col min="107" max="109" width="9" style="4"/>
    <col min="110" max="110" width="6.5" style="4" customWidth="1"/>
    <col min="111" max="117" width="7" style="4" customWidth="1"/>
    <col min="118" max="118" width="9" style="4"/>
    <col min="119" max="119" width="7" style="4" customWidth="1"/>
    <col min="120" max="122" width="9" style="4"/>
    <col min="123" max="131" width="5.625" style="4" customWidth="1"/>
    <col min="132" max="133" width="9" style="4"/>
    <col min="134" max="134" width="4.125" style="4" customWidth="1"/>
    <col min="135" max="171" width="6.25" style="4" customWidth="1"/>
    <col min="172" max="173" width="9" style="4"/>
    <col min="174" max="177" width="4.875" style="4" customWidth="1"/>
    <col min="178" max="16384" width="9" style="4"/>
  </cols>
  <sheetData>
    <row r="1" spans="4:167" ht="12" customHeight="1" x14ac:dyDescent="0.3">
      <c r="L1" s="4" t="str">
        <f>CE1</f>
        <v>Total</v>
      </c>
      <c r="M1" s="4" t="str">
        <f>CF1</f>
        <v>avg</v>
      </c>
      <c r="N1" s="4" t="e">
        <f>CK1</f>
        <v>#REF!</v>
      </c>
      <c r="AY1" s="4" t="s">
        <v>374</v>
      </c>
      <c r="BX1" s="4" t="e">
        <f t="shared" ref="BX1:CC1" si="0">AVERAGE(CG19:CG637)</f>
        <v>#REF!</v>
      </c>
      <c r="BY1" s="4" t="e">
        <f t="shared" si="0"/>
        <v>#REF!</v>
      </c>
      <c r="BZ1" s="4" t="e">
        <f t="shared" si="0"/>
        <v>#REF!</v>
      </c>
      <c r="CA1" s="4" t="e">
        <f t="shared" si="0"/>
        <v>#REF!</v>
      </c>
      <c r="CB1" s="4" t="e">
        <f t="shared" si="0"/>
        <v>#REF!</v>
      </c>
      <c r="CC1" s="4" t="e">
        <f t="shared" si="0"/>
        <v>#REF!</v>
      </c>
      <c r="CE1" s="4" t="s">
        <v>198</v>
      </c>
      <c r="CF1" s="5" t="s">
        <v>27</v>
      </c>
      <c r="CG1" s="5" t="e">
        <f t="shared" ref="CG1:CK1" si="1">AVERAGE(CG20:CG1251)</f>
        <v>#REF!</v>
      </c>
      <c r="CH1" s="5" t="e">
        <f t="shared" si="1"/>
        <v>#REF!</v>
      </c>
      <c r="CI1" s="5" t="e">
        <f t="shared" si="1"/>
        <v>#REF!</v>
      </c>
      <c r="CJ1" s="5" t="e">
        <f t="shared" si="1"/>
        <v>#REF!</v>
      </c>
      <c r="CK1" s="5" t="e">
        <f t="shared" si="1"/>
        <v>#REF!</v>
      </c>
      <c r="CL1" s="5" t="e">
        <f>AVERAGE(CL20:CL1251)</f>
        <v>#REF!</v>
      </c>
      <c r="CM1" s="5" t="e">
        <f>AVERAGE(CM20:CM1251)</f>
        <v>#REF!</v>
      </c>
      <c r="CN1" s="5"/>
      <c r="CO1" s="5" t="e">
        <f t="shared" ref="CO1:CZ1" si="2">AVERAGE(CO20:CO1251)</f>
        <v>#REF!</v>
      </c>
      <c r="CP1" s="5" t="e">
        <f t="shared" si="2"/>
        <v>#REF!</v>
      </c>
      <c r="CQ1" s="5" t="e">
        <f t="shared" si="2"/>
        <v>#REF!</v>
      </c>
      <c r="CR1" s="5" t="e">
        <f t="shared" si="2"/>
        <v>#REF!</v>
      </c>
      <c r="CS1" s="5" t="e">
        <f t="shared" si="2"/>
        <v>#REF!</v>
      </c>
      <c r="CT1" s="5" t="e">
        <f t="shared" si="2"/>
        <v>#REF!</v>
      </c>
      <c r="CU1" s="5" t="e">
        <f t="shared" si="2"/>
        <v>#REF!</v>
      </c>
      <c r="CV1" s="5" t="e">
        <f t="shared" si="2"/>
        <v>#REF!</v>
      </c>
      <c r="CW1" s="5" t="e">
        <f t="shared" si="2"/>
        <v>#REF!</v>
      </c>
      <c r="CX1" s="5" t="e">
        <f t="shared" si="2"/>
        <v>#REF!</v>
      </c>
      <c r="CY1" s="5" t="e">
        <f t="shared" si="2"/>
        <v>#REF!</v>
      </c>
      <c r="CZ1" s="5" t="e">
        <f t="shared" si="2"/>
        <v>#REF!</v>
      </c>
      <c r="DC1" s="4" t="e">
        <f>EW1</f>
        <v>#DIV/0!</v>
      </c>
      <c r="DH1" s="6" t="e">
        <f>AVERAGE(DH19:DH1537)</f>
        <v>#REF!</v>
      </c>
      <c r="DJ1" s="4">
        <f>3*PI()/8</f>
        <v>1.1780972450961724</v>
      </c>
      <c r="DK1" s="4">
        <f>3*3.141592/8/(3*3.141592-4)/12.7/0.3^0.5</f>
        <v>3.122014327313467E-2</v>
      </c>
      <c r="DL1" s="4">
        <f>1/DK1</f>
        <v>32.030602526430833</v>
      </c>
      <c r="DN1" s="4">
        <f>0.24*PI()/4</f>
        <v>0.18849555921538758</v>
      </c>
      <c r="DO1" s="4">
        <f>1/DN1</f>
        <v>5.3051647697298447</v>
      </c>
      <c r="DP1" s="4">
        <f>DO1*2.5</f>
        <v>13.262911924324612</v>
      </c>
      <c r="DQ1" s="4" t="e">
        <f>AVERAGE(DQ19:DQ564)</f>
        <v>#DIV/0!</v>
      </c>
      <c r="DS1" s="4" t="e">
        <f>CB1</f>
        <v>#REF!</v>
      </c>
      <c r="DT1" s="4">
        <f>1-1/22.45</f>
        <v>0.95545657015590202</v>
      </c>
      <c r="DU1" s="4">
        <f>1-1/17.8</f>
        <v>0.9438202247191011</v>
      </c>
      <c r="DV1" s="4">
        <f>3.1/3.5</f>
        <v>0.88571428571428579</v>
      </c>
      <c r="DY1" s="4" t="e">
        <f>AVERAGE(DY19:DY674)</f>
        <v>#REF!</v>
      </c>
      <c r="DZ1" s="4" t="e">
        <f>AVERAGE(DZ19:DZ674)</f>
        <v>#DIV/0!</v>
      </c>
      <c r="EB1" s="4" t="e">
        <f>CK6</f>
        <v>#REF!</v>
      </c>
      <c r="EE1" s="4">
        <v>1.0780224324532159</v>
      </c>
      <c r="EH1" s="4">
        <f>AVERAGE(EH19:EH564)</f>
        <v>269.875</v>
      </c>
      <c r="EJ1" s="4">
        <f>4700*0.003^0.5</f>
        <v>257.42960202742807</v>
      </c>
      <c r="EW1" s="4" t="e">
        <f>AVERAGE(EW19:EW674)</f>
        <v>#DIV/0!</v>
      </c>
      <c r="EX1" s="4" t="e">
        <f>AVERAGE(EX19:EX674)</f>
        <v>#DIV/0!</v>
      </c>
      <c r="FK1" s="4" t="s">
        <v>605</v>
      </c>
    </row>
    <row r="2" spans="4:167" ht="12" customHeight="1" x14ac:dyDescent="0.3">
      <c r="M2" s="4" t="str">
        <f>CF2</f>
        <v>cov</v>
      </c>
      <c r="N2" s="4" t="e">
        <f>CK2</f>
        <v>#REF!</v>
      </c>
      <c r="AS2" s="4" t="s">
        <v>214</v>
      </c>
      <c r="BE2" s="52" t="s">
        <v>215</v>
      </c>
      <c r="BF2" s="52"/>
      <c r="BG2" s="52"/>
      <c r="BH2" s="52"/>
      <c r="BI2" s="52"/>
      <c r="BJ2" s="52"/>
      <c r="BL2" s="52" t="s">
        <v>216</v>
      </c>
      <c r="BM2" s="52"/>
      <c r="BN2" s="52"/>
      <c r="BO2" s="52"/>
      <c r="BP2" s="52"/>
      <c r="BQ2" s="52"/>
      <c r="BR2" s="52"/>
      <c r="BS2" s="52"/>
      <c r="BT2" s="7" t="s">
        <v>40</v>
      </c>
      <c r="BU2" s="7"/>
      <c r="BV2" s="7"/>
      <c r="BW2" s="7"/>
      <c r="BX2" s="7" t="e">
        <f t="shared" ref="BX2:CC2" si="3">STDEVP(CG19:CG637)/CG1</f>
        <v>#REF!</v>
      </c>
      <c r="BY2" s="7" t="e">
        <f t="shared" si="3"/>
        <v>#REF!</v>
      </c>
      <c r="BZ2" s="7" t="e">
        <f t="shared" si="3"/>
        <v>#REF!</v>
      </c>
      <c r="CA2" s="7" t="e">
        <f t="shared" si="3"/>
        <v>#REF!</v>
      </c>
      <c r="CB2" s="7" t="e">
        <f t="shared" si="3"/>
        <v>#REF!</v>
      </c>
      <c r="CC2" s="7" t="e">
        <f t="shared" si="3"/>
        <v>#REF!</v>
      </c>
      <c r="CD2" s="7"/>
      <c r="CE2" s="7"/>
      <c r="CF2" s="8" t="s">
        <v>217</v>
      </c>
      <c r="CG2" s="5" t="e">
        <f t="shared" ref="CG2:CM2" si="4">STDEVP(CG20:CG1251)/CG1</f>
        <v>#REF!</v>
      </c>
      <c r="CH2" s="5" t="e">
        <f t="shared" si="4"/>
        <v>#REF!</v>
      </c>
      <c r="CI2" s="5" t="e">
        <f t="shared" si="4"/>
        <v>#REF!</v>
      </c>
      <c r="CJ2" s="5" t="e">
        <f t="shared" si="4"/>
        <v>#REF!</v>
      </c>
      <c r="CK2" s="5" t="e">
        <f t="shared" si="4"/>
        <v>#REF!</v>
      </c>
      <c r="CL2" s="5" t="e">
        <f t="shared" si="4"/>
        <v>#REF!</v>
      </c>
      <c r="CM2" s="5" t="e">
        <f t="shared" si="4"/>
        <v>#REF!</v>
      </c>
      <c r="CN2" s="5"/>
      <c r="CO2" s="5" t="e">
        <f t="shared" ref="CO2:CZ2" si="5">STDEVP(CO20:CO1251)/CO1</f>
        <v>#REF!</v>
      </c>
      <c r="CP2" s="5" t="e">
        <f t="shared" si="5"/>
        <v>#REF!</v>
      </c>
      <c r="CQ2" s="5" t="e">
        <f t="shared" si="5"/>
        <v>#REF!</v>
      </c>
      <c r="CR2" s="5" t="e">
        <f t="shared" si="5"/>
        <v>#REF!</v>
      </c>
      <c r="CS2" s="5" t="e">
        <f t="shared" si="5"/>
        <v>#REF!</v>
      </c>
      <c r="CT2" s="5" t="e">
        <f t="shared" si="5"/>
        <v>#REF!</v>
      </c>
      <c r="CU2" s="5" t="e">
        <f t="shared" si="5"/>
        <v>#REF!</v>
      </c>
      <c r="CV2" s="5" t="e">
        <f t="shared" si="5"/>
        <v>#REF!</v>
      </c>
      <c r="CW2" s="5" t="e">
        <f t="shared" si="5"/>
        <v>#REF!</v>
      </c>
      <c r="CX2" s="5" t="e">
        <f t="shared" si="5"/>
        <v>#REF!</v>
      </c>
      <c r="CY2" s="5" t="e">
        <f t="shared" si="5"/>
        <v>#REF!</v>
      </c>
      <c r="CZ2" s="5" t="e">
        <f t="shared" si="5"/>
        <v>#REF!</v>
      </c>
      <c r="DC2" s="4" t="e">
        <f t="shared" ref="DC2:DC4" si="6">EW2</f>
        <v>#DIV/0!</v>
      </c>
      <c r="DI2" s="4">
        <v>0.75</v>
      </c>
      <c r="DJ2" s="4">
        <f>1/DJ1</f>
        <v>0.84882636315677518</v>
      </c>
      <c r="DK2" s="4">
        <f>3*3.141592/8/12.7/0.3^0.5</f>
        <v>0.16936228394466243</v>
      </c>
      <c r="DL2" s="4">
        <f>1/DK2</f>
        <v>5.9045023290235079</v>
      </c>
      <c r="DN2" s="4">
        <f>0.72*PI()/4</f>
        <v>0.56548667764616278</v>
      </c>
      <c r="DO2" s="4">
        <f>1/DN2</f>
        <v>1.7683882565766149</v>
      </c>
      <c r="DP2" s="4">
        <f>5*DO2</f>
        <v>8.8419412828830737</v>
      </c>
      <c r="DQ2" s="4" t="e">
        <f>STDEVP(DQ19:DQ564)/DQ1</f>
        <v>#DIV/0!</v>
      </c>
      <c r="DS2" s="4" t="e">
        <f>CB2</f>
        <v>#REF!</v>
      </c>
      <c r="DT2" s="4">
        <f>3.45/DT1</f>
        <v>3.610839160839161</v>
      </c>
      <c r="DU2" s="4">
        <f>3.5/DU1</f>
        <v>3.7083333333333335</v>
      </c>
      <c r="DY2" s="4" t="e">
        <f>STDEVP(DY19:DY674)/DY1</f>
        <v>#REF!</v>
      </c>
      <c r="DZ2" s="4" t="e">
        <f>STDEVP(DZ19:DZ674)/DZ1</f>
        <v>#DIV/0!</v>
      </c>
      <c r="EB2" s="4" t="e">
        <f t="shared" ref="EB2:EB3" si="7">CK7</f>
        <v>#REF!</v>
      </c>
      <c r="EE2" s="4">
        <v>0.17292711593762511</v>
      </c>
      <c r="EW2" s="4" t="e">
        <f>STDEVP(EW19:EW674)/EW1</f>
        <v>#DIV/0!</v>
      </c>
      <c r="EX2" s="4" t="e">
        <f>STDEVP(EX19:EX674)/EX1</f>
        <v>#DIV/0!</v>
      </c>
    </row>
    <row r="3" spans="4:167" ht="12" customHeight="1" x14ac:dyDescent="0.3">
      <c r="N3" s="4" t="e">
        <f>CK3</f>
        <v>#REF!</v>
      </c>
      <c r="AR3" s="7"/>
      <c r="AS3" s="7"/>
      <c r="AT3" s="39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 t="e">
        <f t="shared" ref="BX3:CC3" si="8">MAX(CG19:CG637)</f>
        <v>#REF!</v>
      </c>
      <c r="BY3" s="7" t="e">
        <f t="shared" si="8"/>
        <v>#REF!</v>
      </c>
      <c r="BZ3" s="7" t="e">
        <f t="shared" si="8"/>
        <v>#REF!</v>
      </c>
      <c r="CA3" s="7" t="e">
        <f t="shared" si="8"/>
        <v>#REF!</v>
      </c>
      <c r="CB3" s="7" t="e">
        <f t="shared" si="8"/>
        <v>#REF!</v>
      </c>
      <c r="CC3" s="7" t="e">
        <f t="shared" si="8"/>
        <v>#REF!</v>
      </c>
      <c r="CD3" s="7"/>
      <c r="CE3" s="7"/>
      <c r="CF3" s="7" t="s">
        <v>28</v>
      </c>
      <c r="CG3" s="4" t="e">
        <f t="shared" ref="CG3:CK3" si="9">MAX(CG20:CG1251)</f>
        <v>#REF!</v>
      </c>
      <c r="CH3" s="4" t="e">
        <f t="shared" si="9"/>
        <v>#REF!</v>
      </c>
      <c r="CI3" s="4" t="e">
        <f t="shared" si="9"/>
        <v>#REF!</v>
      </c>
      <c r="CJ3" s="4" t="e">
        <f t="shared" si="9"/>
        <v>#REF!</v>
      </c>
      <c r="CK3" s="4" t="e">
        <f t="shared" si="9"/>
        <v>#REF!</v>
      </c>
      <c r="CL3" s="4" t="e">
        <f>MAX(CL20:CL1251)</f>
        <v>#REF!</v>
      </c>
      <c r="CM3" s="4" t="e">
        <f>MAX(CM20:CM1251)</f>
        <v>#REF!</v>
      </c>
      <c r="CO3" s="4" t="e">
        <f t="shared" ref="CO3:CZ3" si="10">MAX(CO20:CO1251)</f>
        <v>#REF!</v>
      </c>
      <c r="CP3" s="4" t="e">
        <f t="shared" si="10"/>
        <v>#REF!</v>
      </c>
      <c r="CQ3" s="4" t="e">
        <f t="shared" si="10"/>
        <v>#REF!</v>
      </c>
      <c r="CR3" s="4" t="e">
        <f t="shared" si="10"/>
        <v>#REF!</v>
      </c>
      <c r="CS3" s="4" t="e">
        <f t="shared" si="10"/>
        <v>#REF!</v>
      </c>
      <c r="CT3" s="4" t="e">
        <f t="shared" si="10"/>
        <v>#REF!</v>
      </c>
      <c r="CU3" s="4" t="e">
        <f t="shared" si="10"/>
        <v>#REF!</v>
      </c>
      <c r="CV3" s="4" t="e">
        <f t="shared" si="10"/>
        <v>#REF!</v>
      </c>
      <c r="CW3" s="4" t="e">
        <f t="shared" si="10"/>
        <v>#REF!</v>
      </c>
      <c r="CX3" s="4" t="e">
        <f t="shared" si="10"/>
        <v>#REF!</v>
      </c>
      <c r="CY3" s="4" t="e">
        <f t="shared" si="10"/>
        <v>#REF!</v>
      </c>
      <c r="CZ3" s="4" t="e">
        <f t="shared" si="10"/>
        <v>#REF!</v>
      </c>
      <c r="DC3" s="4">
        <f t="shared" si="6"/>
        <v>0</v>
      </c>
      <c r="DD3" s="4" t="e">
        <f>CL3*CL4</f>
        <v>#REF!</v>
      </c>
      <c r="DF3" s="4">
        <f>2*PI()*0.689</f>
        <v>4.3291146766467348</v>
      </c>
      <c r="DH3" s="4" t="e">
        <f>DH1^0.4/1.4</f>
        <v>#REF!</v>
      </c>
      <c r="DJ3" s="4">
        <f>2*0.696*PI()</f>
        <v>4.3730969737969918</v>
      </c>
      <c r="DM3" s="4">
        <f>2*0.696*PI()</f>
        <v>4.3730969737969918</v>
      </c>
      <c r="DP3" s="4">
        <f>DO1*5</f>
        <v>26.525823848649225</v>
      </c>
      <c r="DT3" s="4">
        <f>3.96/3.45</f>
        <v>1.1478260869565218</v>
      </c>
      <c r="DY3" s="4" t="e">
        <f>MAX(DY19:DY667)</f>
        <v>#REF!</v>
      </c>
      <c r="DZ3" s="4">
        <f>MAX(DZ19:DZ667)</f>
        <v>0</v>
      </c>
      <c r="EB3" s="4" t="e">
        <f t="shared" si="7"/>
        <v>#REF!</v>
      </c>
      <c r="EE3" s="4">
        <v>1.634314671293621</v>
      </c>
      <c r="EH3" s="4">
        <f>MAX(EH19:EH537)</f>
        <v>285.75</v>
      </c>
      <c r="EW3" s="4">
        <f>MAX(EW19:EW667)</f>
        <v>0</v>
      </c>
      <c r="EX3" s="4">
        <f>MAX(EX19:EX667)</f>
        <v>0</v>
      </c>
    </row>
    <row r="4" spans="4:167" ht="12" customHeight="1" x14ac:dyDescent="0.3">
      <c r="F4" s="4">
        <f>500*0.145</f>
        <v>72.5</v>
      </c>
      <c r="N4" s="4" t="e">
        <f>CK4</f>
        <v>#REF!</v>
      </c>
      <c r="AR4" s="7"/>
      <c r="AS4" s="7"/>
      <c r="AT4" s="39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 t="e">
        <f t="shared" ref="BX4:CC4" si="11">MIN(CG19:CG637)</f>
        <v>#REF!</v>
      </c>
      <c r="BY4" s="7" t="e">
        <f t="shared" si="11"/>
        <v>#REF!</v>
      </c>
      <c r="BZ4" s="7" t="e">
        <f t="shared" si="11"/>
        <v>#REF!</v>
      </c>
      <c r="CA4" s="7" t="e">
        <f t="shared" si="11"/>
        <v>#REF!</v>
      </c>
      <c r="CB4" s="7" t="e">
        <f t="shared" si="11"/>
        <v>#REF!</v>
      </c>
      <c r="CC4" s="7" t="e">
        <f t="shared" si="11"/>
        <v>#REF!</v>
      </c>
      <c r="CD4" s="7"/>
      <c r="CE4" s="7"/>
      <c r="CF4" s="7" t="s">
        <v>29</v>
      </c>
      <c r="CG4" s="4" t="e">
        <f t="shared" ref="CG4:CK4" si="12">MIN(CG20:CG1251)</f>
        <v>#REF!</v>
      </c>
      <c r="CH4" s="4" t="e">
        <f t="shared" si="12"/>
        <v>#REF!</v>
      </c>
      <c r="CI4" s="4" t="e">
        <f t="shared" si="12"/>
        <v>#REF!</v>
      </c>
      <c r="CJ4" s="4" t="e">
        <f t="shared" si="12"/>
        <v>#REF!</v>
      </c>
      <c r="CK4" s="4" t="e">
        <f t="shared" si="12"/>
        <v>#REF!</v>
      </c>
      <c r="CL4" s="4" t="e">
        <f>MIN(CL20:CL1251)</f>
        <v>#REF!</v>
      </c>
      <c r="CM4" s="4" t="e">
        <f>MIN(CM20:CM1251)</f>
        <v>#REF!</v>
      </c>
      <c r="CO4" s="4" t="e">
        <f t="shared" ref="CO4:CZ4" si="13">MIN(CO20:CO1251)</f>
        <v>#REF!</v>
      </c>
      <c r="CP4" s="4" t="e">
        <f t="shared" si="13"/>
        <v>#REF!</v>
      </c>
      <c r="CQ4" s="4" t="e">
        <f t="shared" si="13"/>
        <v>#REF!</v>
      </c>
      <c r="CR4" s="4" t="e">
        <f t="shared" si="13"/>
        <v>#REF!</v>
      </c>
      <c r="CS4" s="4" t="e">
        <f t="shared" si="13"/>
        <v>#REF!</v>
      </c>
      <c r="CT4" s="4" t="e">
        <f t="shared" si="13"/>
        <v>#REF!</v>
      </c>
      <c r="CU4" s="4" t="e">
        <f t="shared" si="13"/>
        <v>#REF!</v>
      </c>
      <c r="CV4" s="4" t="e">
        <f t="shared" si="13"/>
        <v>#REF!</v>
      </c>
      <c r="CW4" s="4" t="e">
        <f t="shared" si="13"/>
        <v>#REF!</v>
      </c>
      <c r="CX4" s="4" t="e">
        <f t="shared" si="13"/>
        <v>#REF!</v>
      </c>
      <c r="CY4" s="4" t="e">
        <f t="shared" si="13"/>
        <v>#REF!</v>
      </c>
      <c r="CZ4" s="4" t="e">
        <f t="shared" si="13"/>
        <v>#REF!</v>
      </c>
      <c r="DC4" s="4">
        <f t="shared" si="6"/>
        <v>0</v>
      </c>
      <c r="DD4" s="4">
        <f>DA3*DA4</f>
        <v>0</v>
      </c>
      <c r="DF4" s="4">
        <f>3*0.982+0.5</f>
        <v>3.4459999999999997</v>
      </c>
      <c r="DH4" s="4" t="e">
        <f>1/1.4*(1-DH1^1.4)/(1-DH1)</f>
        <v>#REF!</v>
      </c>
      <c r="DJ4" s="4">
        <f>3*0.988+0.5</f>
        <v>3.464</v>
      </c>
      <c r="DK4" s="4">
        <f>(1-1/13.8)/3.46</f>
        <v>0.2680740554578202</v>
      </c>
      <c r="DL4" s="4">
        <f>1/DK4</f>
        <v>3.7303125000000001</v>
      </c>
      <c r="DM4" s="4">
        <f>3*0.988+0.5</f>
        <v>3.464</v>
      </c>
      <c r="DN4" s="4">
        <f>(1-1/18.4)/3.46</f>
        <v>0.27330987685348079</v>
      </c>
      <c r="DO4" s="4">
        <f>1/DN4</f>
        <v>3.6588505747126434</v>
      </c>
      <c r="DY4" s="4" t="e">
        <f>MIN(DY19:DY667)</f>
        <v>#REF!</v>
      </c>
      <c r="DZ4" s="4">
        <f>MIN(DZ19:DZ667)</f>
        <v>0</v>
      </c>
      <c r="EB4" s="4" t="e">
        <f>CK9</f>
        <v>#REF!</v>
      </c>
      <c r="EE4" s="4">
        <v>0.66282847381341337</v>
      </c>
      <c r="EH4" s="4">
        <f>MIN(EH19:EH537)</f>
        <v>254</v>
      </c>
      <c r="EW4" s="4">
        <f>MIN(EW19:EW667)</f>
        <v>0</v>
      </c>
      <c r="EX4" s="4">
        <f>MIN(EX19:EX667)</f>
        <v>0</v>
      </c>
    </row>
    <row r="5" spans="4:167" ht="12" customHeight="1" x14ac:dyDescent="0.3">
      <c r="F5" s="4">
        <f>28.7/25.4</f>
        <v>1.1299212598425197</v>
      </c>
      <c r="AR5" s="7"/>
      <c r="AS5" s="7"/>
      <c r="AT5" s="39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DF5" s="4">
        <f>4.33-3.45</f>
        <v>0.87999999999999989</v>
      </c>
      <c r="DJ5" s="4">
        <f>4.37-3.46</f>
        <v>0.91000000000000014</v>
      </c>
      <c r="DK5" s="4">
        <f>3.19/3.46</f>
        <v>0.9219653179190751</v>
      </c>
      <c r="DL5" s="4">
        <f>1/DK5</f>
        <v>1.084639498432602</v>
      </c>
      <c r="DM5" s="4">
        <f>4.37-3.46</f>
        <v>0.91000000000000014</v>
      </c>
      <c r="DN5" s="4">
        <f>4.1/3.46</f>
        <v>1.1849710982658959</v>
      </c>
      <c r="DO5" s="4">
        <f>1/DN5</f>
        <v>0.84390243902439033</v>
      </c>
      <c r="DP5" s="4">
        <f>1/3.1</f>
        <v>0.32258064516129031</v>
      </c>
    </row>
    <row r="6" spans="4:167" ht="12" customHeight="1" x14ac:dyDescent="0.3">
      <c r="D6" s="9"/>
      <c r="E6" s="9"/>
      <c r="F6" s="4">
        <f>130*0.145</f>
        <v>18.849999999999998</v>
      </c>
      <c r="L6" s="4" t="str">
        <f>CE6</f>
        <v>CCT</v>
      </c>
      <c r="M6" s="4" t="str">
        <f>CF6</f>
        <v>avg</v>
      </c>
      <c r="N6" s="4" t="e">
        <f t="shared" ref="N6:N17" si="14">CK6</f>
        <v>#REF!</v>
      </c>
      <c r="AR6" s="7"/>
      <c r="AS6" s="7"/>
      <c r="AT6" s="39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 t="s">
        <v>218</v>
      </c>
      <c r="CF6" s="5" t="s">
        <v>27</v>
      </c>
      <c r="CG6" s="5" t="e">
        <f t="shared" ref="CG6:CM6" si="15">AVERAGE(CG20:CG104)</f>
        <v>#REF!</v>
      </c>
      <c r="CH6" s="5" t="e">
        <f t="shared" si="15"/>
        <v>#REF!</v>
      </c>
      <c r="CI6" s="5" t="e">
        <f t="shared" si="15"/>
        <v>#REF!</v>
      </c>
      <c r="CJ6" s="5" t="e">
        <f t="shared" si="15"/>
        <v>#REF!</v>
      </c>
      <c r="CK6" s="5" t="e">
        <f t="shared" si="15"/>
        <v>#REF!</v>
      </c>
      <c r="CL6" s="5" t="e">
        <f t="shared" si="15"/>
        <v>#REF!</v>
      </c>
      <c r="CM6" s="5">
        <f t="shared" si="15"/>
        <v>1.7000387287419887</v>
      </c>
      <c r="CN6" s="5"/>
      <c r="CO6" s="5" t="e">
        <f t="shared" ref="CO6:CZ6" si="16">AVERAGE(CO20:CO104)</f>
        <v>#REF!</v>
      </c>
      <c r="CP6" s="5" t="e">
        <f t="shared" si="16"/>
        <v>#REF!</v>
      </c>
      <c r="CQ6" s="5" t="e">
        <f t="shared" si="16"/>
        <v>#REF!</v>
      </c>
      <c r="CR6" s="5">
        <f t="shared" si="16"/>
        <v>1.7335735354059274</v>
      </c>
      <c r="CS6" s="5" t="e">
        <f t="shared" si="16"/>
        <v>#REF!</v>
      </c>
      <c r="CT6" s="5" t="e">
        <f t="shared" si="16"/>
        <v>#REF!</v>
      </c>
      <c r="CU6" s="5" t="e">
        <f t="shared" si="16"/>
        <v>#REF!</v>
      </c>
      <c r="CV6" s="5" t="e">
        <f t="shared" si="16"/>
        <v>#REF!</v>
      </c>
      <c r="CW6" s="5" t="e">
        <f t="shared" si="16"/>
        <v>#REF!</v>
      </c>
      <c r="CX6" s="5">
        <f t="shared" si="16"/>
        <v>0.89520336880745377</v>
      </c>
      <c r="CY6" s="5" t="e">
        <f t="shared" si="16"/>
        <v>#REF!</v>
      </c>
      <c r="CZ6" s="5" t="e">
        <f t="shared" si="16"/>
        <v>#REF!</v>
      </c>
      <c r="DF6" s="4">
        <f>0.88*4.5</f>
        <v>3.96</v>
      </c>
      <c r="DJ6" s="4">
        <f>0.91*3.5</f>
        <v>3.1850000000000001</v>
      </c>
      <c r="DK6" s="4">
        <f>4.6*3</f>
        <v>13.799999999999999</v>
      </c>
      <c r="DM6" s="4">
        <f>0.91*4.5</f>
        <v>4.0949999999999998</v>
      </c>
      <c r="DN6" s="4">
        <f>4.6*4</f>
        <v>18.399999999999999</v>
      </c>
    </row>
    <row r="7" spans="4:167" ht="12" customHeight="1" x14ac:dyDescent="0.3">
      <c r="D7" s="9"/>
      <c r="E7" s="9"/>
      <c r="F7" s="4">
        <f>226*0.145</f>
        <v>32.769999999999996</v>
      </c>
      <c r="M7" s="4" t="str">
        <f>CF7</f>
        <v>cov</v>
      </c>
      <c r="N7" s="4" t="e">
        <f t="shared" si="14"/>
        <v>#REF!</v>
      </c>
      <c r="AR7" s="7"/>
      <c r="AS7" s="7"/>
      <c r="AT7" s="39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8" t="s">
        <v>217</v>
      </c>
      <c r="CG7" s="5" t="e">
        <f t="shared" ref="CG7:CM7" si="17">STDEVP(CG20:CG104)/CG6</f>
        <v>#REF!</v>
      </c>
      <c r="CH7" s="5" t="e">
        <f t="shared" si="17"/>
        <v>#REF!</v>
      </c>
      <c r="CI7" s="5" t="e">
        <f t="shared" si="17"/>
        <v>#REF!</v>
      </c>
      <c r="CJ7" s="5" t="e">
        <f t="shared" si="17"/>
        <v>#REF!</v>
      </c>
      <c r="CK7" s="5" t="e">
        <f t="shared" si="17"/>
        <v>#REF!</v>
      </c>
      <c r="CL7" s="5" t="e">
        <f t="shared" si="17"/>
        <v>#REF!</v>
      </c>
      <c r="CM7" s="5">
        <f t="shared" si="17"/>
        <v>0.2785268190443011</v>
      </c>
      <c r="CN7" s="5"/>
      <c r="CO7" s="5" t="e">
        <f t="shared" ref="CO7" si="18">STDEVP(CO20:CO104)/CO6</f>
        <v>#REF!</v>
      </c>
      <c r="CP7" s="5" t="e">
        <f t="shared" ref="CP7" si="19">STDEVP(CP20:CP104)/CP6</f>
        <v>#REF!</v>
      </c>
      <c r="CQ7" s="5" t="e">
        <f t="shared" ref="CQ7" si="20">STDEVP(CQ20:CQ104)/CQ6</f>
        <v>#REF!</v>
      </c>
      <c r="CR7" s="5">
        <f t="shared" ref="CR7" si="21">STDEVP(CR20:CR104)/CR6</f>
        <v>0.26144668984660624</v>
      </c>
      <c r="CS7" s="5" t="e">
        <f t="shared" ref="CS7" si="22">STDEVP(CS20:CS104)/CS6</f>
        <v>#REF!</v>
      </c>
      <c r="CT7" s="5" t="e">
        <f t="shared" ref="CT7" si="23">STDEVP(CT20:CT104)/CT6</f>
        <v>#REF!</v>
      </c>
      <c r="CU7" s="5" t="e">
        <f t="shared" ref="CU7" si="24">STDEVP(CU20:CU104)/CU6</f>
        <v>#REF!</v>
      </c>
      <c r="CV7" s="5" t="e">
        <f t="shared" ref="CV7" si="25">STDEVP(CV20:CV104)/CV6</f>
        <v>#REF!</v>
      </c>
      <c r="CW7" s="5" t="e">
        <f t="shared" ref="CW7" si="26">STDEVP(CW20:CW104)/CW6</f>
        <v>#REF!</v>
      </c>
      <c r="CX7" s="5">
        <f t="shared" ref="CX7" si="27">STDEVP(CX20:CX104)/CX6</f>
        <v>1.88679245283019E-2</v>
      </c>
      <c r="CY7" s="5" t="e">
        <f t="shared" ref="CY7" si="28">STDEVP(CY20:CY104)/CY6</f>
        <v>#REF!</v>
      </c>
      <c r="CZ7" s="5" t="e">
        <f t="shared" ref="CZ7" si="29">STDEVP(CZ20:CZ104)/CZ6</f>
        <v>#REF!</v>
      </c>
      <c r="DF7" s="4">
        <f>0.85*4.5*(3*PI()-4+2/4.5)</f>
        <v>22.449775699942876</v>
      </c>
      <c r="EF7" s="4">
        <f>SQRT(EF8-1)*1.4</f>
        <v>2.7854122361862532</v>
      </c>
    </row>
    <row r="8" spans="4:167" ht="12" customHeight="1" x14ac:dyDescent="0.3">
      <c r="N8" s="4" t="e">
        <f t="shared" si="14"/>
        <v>#REF!</v>
      </c>
      <c r="AR8" s="7"/>
      <c r="AS8" s="7"/>
      <c r="AT8" s="39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>
        <f>500*0.154</f>
        <v>77</v>
      </c>
      <c r="CE8" s="7"/>
      <c r="CF8" s="7" t="s">
        <v>28</v>
      </c>
      <c r="CG8" s="4" t="e">
        <f t="shared" ref="CG8:CM8" si="30">MAX(CG20:CG104)</f>
        <v>#REF!</v>
      </c>
      <c r="CH8" s="4" t="e">
        <f t="shared" si="30"/>
        <v>#REF!</v>
      </c>
      <c r="CI8" s="4" t="e">
        <f t="shared" si="30"/>
        <v>#REF!</v>
      </c>
      <c r="CJ8" s="4" t="e">
        <f t="shared" si="30"/>
        <v>#REF!</v>
      </c>
      <c r="CK8" s="4" t="e">
        <f t="shared" si="30"/>
        <v>#REF!</v>
      </c>
      <c r="CL8" s="4" t="e">
        <f t="shared" si="30"/>
        <v>#REF!</v>
      </c>
      <c r="CM8" s="4">
        <f t="shared" si="30"/>
        <v>2.3452641252972923</v>
      </c>
      <c r="CO8" s="4" t="e">
        <f t="shared" ref="CO8:CZ8" si="31">MAX(CO20:CO104)</f>
        <v>#REF!</v>
      </c>
      <c r="CP8" s="4" t="e">
        <f t="shared" si="31"/>
        <v>#REF!</v>
      </c>
      <c r="CQ8" s="4" t="e">
        <f t="shared" si="31"/>
        <v>#REF!</v>
      </c>
      <c r="CR8" s="4">
        <f t="shared" si="31"/>
        <v>2.3452641252972923</v>
      </c>
      <c r="CS8" s="4" t="e">
        <f t="shared" si="31"/>
        <v>#REF!</v>
      </c>
      <c r="CT8" s="4" t="e">
        <f t="shared" si="31"/>
        <v>#REF!</v>
      </c>
      <c r="CU8" s="4" t="e">
        <f t="shared" si="31"/>
        <v>#REF!</v>
      </c>
      <c r="CV8" s="4" t="e">
        <f t="shared" si="31"/>
        <v>#REF!</v>
      </c>
      <c r="CW8" s="4" t="e">
        <f t="shared" si="31"/>
        <v>#REF!</v>
      </c>
      <c r="CX8" s="4">
        <f t="shared" si="31"/>
        <v>0.91209399840759442</v>
      </c>
      <c r="CY8" s="4" t="e">
        <f t="shared" si="31"/>
        <v>#REF!</v>
      </c>
      <c r="CZ8" s="4" t="e">
        <f t="shared" si="31"/>
        <v>#REF!</v>
      </c>
      <c r="DC8" s="4">
        <f>1.4/3.1</f>
        <v>0.45161290322580638</v>
      </c>
      <c r="EF8" s="4">
        <f>EF9^2</f>
        <v>4.9584292477020941</v>
      </c>
      <c r="EL8" s="4" t="e">
        <f>(EL9-EM9)*4*EF9</f>
        <v>#REF!</v>
      </c>
      <c r="EM8" s="4" t="e">
        <f>3*EM9+0.5</f>
        <v>#REF!</v>
      </c>
      <c r="EN8" s="4" t="s">
        <v>30</v>
      </c>
    </row>
    <row r="9" spans="4:167" ht="12" customHeight="1" x14ac:dyDescent="0.3">
      <c r="N9" s="4" t="e">
        <f t="shared" si="14"/>
        <v>#REF!</v>
      </c>
      <c r="AR9" s="7"/>
      <c r="AS9" s="7"/>
      <c r="AT9" s="39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 t="s">
        <v>29</v>
      </c>
      <c r="CG9" s="4" t="e">
        <f t="shared" ref="CG9:CM9" si="32">MIN(CG20:CG104)</f>
        <v>#REF!</v>
      </c>
      <c r="CH9" s="4" t="e">
        <f t="shared" si="32"/>
        <v>#REF!</v>
      </c>
      <c r="CI9" s="4" t="e">
        <f t="shared" si="32"/>
        <v>#REF!</v>
      </c>
      <c r="CJ9" s="4" t="e">
        <f t="shared" si="32"/>
        <v>#REF!</v>
      </c>
      <c r="CK9" s="4" t="e">
        <f t="shared" si="32"/>
        <v>#REF!</v>
      </c>
      <c r="CL9" s="4" t="e">
        <f t="shared" si="32"/>
        <v>#REF!</v>
      </c>
      <c r="CM9" s="4">
        <f t="shared" si="32"/>
        <v>0.778335876421405</v>
      </c>
      <c r="CO9" s="4" t="e">
        <f t="shared" ref="CO9:CZ9" si="33">MIN(CO20:CO104)</f>
        <v>#REF!</v>
      </c>
      <c r="CP9" s="4" t="e">
        <f t="shared" si="33"/>
        <v>#REF!</v>
      </c>
      <c r="CQ9" s="4" t="e">
        <f t="shared" si="33"/>
        <v>#REF!</v>
      </c>
      <c r="CR9" s="4">
        <f t="shared" si="33"/>
        <v>0.778335876421405</v>
      </c>
      <c r="CS9" s="4" t="e">
        <f t="shared" si="33"/>
        <v>#REF!</v>
      </c>
      <c r="CT9" s="4" t="e">
        <f t="shared" si="33"/>
        <v>#REF!</v>
      </c>
      <c r="CU9" s="4" t="e">
        <f t="shared" si="33"/>
        <v>#REF!</v>
      </c>
      <c r="CV9" s="4" t="e">
        <f t="shared" si="33"/>
        <v>#REF!</v>
      </c>
      <c r="CW9" s="4" t="e">
        <f t="shared" si="33"/>
        <v>#REF!</v>
      </c>
      <c r="CX9" s="4">
        <f t="shared" si="33"/>
        <v>0.87831273920731312</v>
      </c>
      <c r="CY9" s="4" t="e">
        <f t="shared" si="33"/>
        <v>#REF!</v>
      </c>
      <c r="CZ9" s="4" t="e">
        <f t="shared" si="33"/>
        <v>#REF!</v>
      </c>
      <c r="DF9" s="53" t="s">
        <v>219</v>
      </c>
      <c r="DG9" s="53"/>
      <c r="DH9" s="53"/>
      <c r="DI9" s="53"/>
      <c r="DJ9" s="53"/>
      <c r="DK9" s="53"/>
      <c r="DL9" s="53"/>
      <c r="DT9" s="4" t="e">
        <f>MIN(1,MAX(0.85,(1-0.2*(BL9-2*#REF!)/#REF!)*IF(J9&gt;=2,0.7,1)))</f>
        <v>#REF!</v>
      </c>
      <c r="DX9" s="53" t="s">
        <v>51</v>
      </c>
      <c r="DY9" s="53"/>
      <c r="DZ9" s="53"/>
      <c r="EB9" s="4" t="s">
        <v>196</v>
      </c>
      <c r="EC9" s="4" t="s">
        <v>197</v>
      </c>
      <c r="EF9" s="4">
        <f>AVERAGE(EF53:EF302)</f>
        <v>2.226753072907298</v>
      </c>
      <c r="EI9" s="4">
        <f>0.00045*EE9</f>
        <v>0</v>
      </c>
      <c r="EK9" s="4" t="e">
        <f>AVERAGE(EK53:EK302)</f>
        <v>#REF!</v>
      </c>
      <c r="EL9" s="4" t="e">
        <f>EK9^0.4</f>
        <v>#REF!</v>
      </c>
      <c r="EM9" s="4" t="e">
        <f>1/1.4*(1-EK9^1.4)/(1-EK9)</f>
        <v>#REF!</v>
      </c>
      <c r="EN9" s="4">
        <v>0.75</v>
      </c>
      <c r="EW9" s="4" t="s">
        <v>41</v>
      </c>
    </row>
    <row r="10" spans="4:167" ht="12" customHeight="1" x14ac:dyDescent="0.3">
      <c r="L10" s="4" t="str">
        <f>CE10</f>
        <v>Splice</v>
      </c>
      <c r="M10" s="4" t="str">
        <f>CF10</f>
        <v>avg</v>
      </c>
      <c r="N10" s="4" t="e">
        <f t="shared" si="14"/>
        <v>#REF!</v>
      </c>
      <c r="AR10" s="7"/>
      <c r="AS10" s="7"/>
      <c r="AT10" s="39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 t="s">
        <v>199</v>
      </c>
      <c r="CF10" s="5" t="s">
        <v>27</v>
      </c>
      <c r="CG10" s="5" t="e">
        <f t="shared" ref="CG10:CM10" si="34">AVERAGE(CG105:CG153)</f>
        <v>#REF!</v>
      </c>
      <c r="CH10" s="5" t="e">
        <f t="shared" si="34"/>
        <v>#REF!</v>
      </c>
      <c r="CI10" s="5" t="e">
        <f t="shared" si="34"/>
        <v>#REF!</v>
      </c>
      <c r="CJ10" s="5" t="e">
        <f t="shared" si="34"/>
        <v>#REF!</v>
      </c>
      <c r="CK10" s="5" t="e">
        <f t="shared" si="34"/>
        <v>#REF!</v>
      </c>
      <c r="CL10" s="5" t="e">
        <f t="shared" si="34"/>
        <v>#REF!</v>
      </c>
      <c r="CM10" s="5" t="e">
        <f t="shared" si="34"/>
        <v>#REF!</v>
      </c>
      <c r="CN10" s="5"/>
      <c r="CO10" s="5" t="e">
        <f t="shared" ref="CO10:CZ10" si="35">AVERAGE(CO105:CO153)</f>
        <v>#REF!</v>
      </c>
      <c r="CP10" s="5" t="e">
        <f t="shared" si="35"/>
        <v>#REF!</v>
      </c>
      <c r="CQ10" s="5" t="e">
        <f t="shared" si="35"/>
        <v>#REF!</v>
      </c>
      <c r="CR10" s="5" t="e">
        <f t="shared" si="35"/>
        <v>#REF!</v>
      </c>
      <c r="CS10" s="5" t="e">
        <f t="shared" si="35"/>
        <v>#REF!</v>
      </c>
      <c r="CT10" s="5" t="e">
        <f t="shared" si="35"/>
        <v>#REF!</v>
      </c>
      <c r="CU10" s="5" t="e">
        <f t="shared" si="35"/>
        <v>#REF!</v>
      </c>
      <c r="CV10" s="5" t="e">
        <f t="shared" si="35"/>
        <v>#REF!</v>
      </c>
      <c r="CW10" s="5" t="e">
        <f t="shared" si="35"/>
        <v>#REF!</v>
      </c>
      <c r="CX10" s="5" t="e">
        <f t="shared" si="35"/>
        <v>#REF!</v>
      </c>
      <c r="CY10" s="5" t="e">
        <f t="shared" si="35"/>
        <v>#REF!</v>
      </c>
      <c r="CZ10" s="5" t="e">
        <f t="shared" si="35"/>
        <v>#REF!</v>
      </c>
      <c r="DC10" s="4">
        <f>1/3.1</f>
        <v>0.32258064516129031</v>
      </c>
      <c r="DF10" s="10"/>
      <c r="DG10" s="10"/>
      <c r="DH10" s="10"/>
      <c r="DI10" s="10"/>
      <c r="DJ10" s="10"/>
      <c r="DK10" s="10"/>
      <c r="DL10" s="10"/>
      <c r="DN10" s="4">
        <v>1</v>
      </c>
      <c r="DX10" s="10"/>
      <c r="DY10" s="10"/>
      <c r="DZ10" s="10"/>
    </row>
    <row r="11" spans="4:167" ht="12" customHeight="1" x14ac:dyDescent="0.3">
      <c r="M11" s="4" t="str">
        <f>CF11</f>
        <v>cov</v>
      </c>
      <c r="N11" s="4" t="e">
        <f t="shared" si="14"/>
        <v>#REF!</v>
      </c>
      <c r="AR11" s="7"/>
      <c r="AS11" s="7"/>
      <c r="AT11" s="39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8" t="s">
        <v>217</v>
      </c>
      <c r="CG11" s="5" t="e">
        <f t="shared" ref="CG11:CM11" si="36">STDEVP(CG105:CG153)/CG10</f>
        <v>#REF!</v>
      </c>
      <c r="CH11" s="5" t="e">
        <f t="shared" si="36"/>
        <v>#REF!</v>
      </c>
      <c r="CI11" s="5" t="e">
        <f t="shared" si="36"/>
        <v>#REF!</v>
      </c>
      <c r="CJ11" s="5" t="e">
        <f t="shared" si="36"/>
        <v>#REF!</v>
      </c>
      <c r="CK11" s="5" t="e">
        <f t="shared" si="36"/>
        <v>#REF!</v>
      </c>
      <c r="CL11" s="5" t="e">
        <f t="shared" si="36"/>
        <v>#REF!</v>
      </c>
      <c r="CM11" s="5" t="e">
        <f t="shared" si="36"/>
        <v>#REF!</v>
      </c>
      <c r="CN11" s="5"/>
      <c r="CO11" s="5" t="e">
        <f t="shared" ref="CO11" si="37">STDEVP(CO105:CO153)/CO10</f>
        <v>#REF!</v>
      </c>
      <c r="CP11" s="5" t="e">
        <f t="shared" ref="CP11" si="38">STDEVP(CP105:CP153)/CP10</f>
        <v>#REF!</v>
      </c>
      <c r="CQ11" s="5" t="e">
        <f t="shared" ref="CQ11" si="39">STDEVP(CQ105:CQ153)/CQ10</f>
        <v>#REF!</v>
      </c>
      <c r="CR11" s="5" t="e">
        <f t="shared" ref="CR11" si="40">STDEVP(CR105:CR153)/CR10</f>
        <v>#REF!</v>
      </c>
      <c r="CS11" s="5" t="e">
        <f t="shared" ref="CS11" si="41">STDEVP(CS105:CS153)/CS10</f>
        <v>#REF!</v>
      </c>
      <c r="CT11" s="5" t="e">
        <f t="shared" ref="CT11" si="42">STDEVP(CT105:CT153)/CT10</f>
        <v>#REF!</v>
      </c>
      <c r="CU11" s="5" t="e">
        <f t="shared" ref="CU11" si="43">STDEVP(CU105:CU153)/CU10</f>
        <v>#REF!</v>
      </c>
      <c r="CV11" s="5" t="e">
        <f t="shared" ref="CV11" si="44">STDEVP(CV105:CV153)/CV10</f>
        <v>#REF!</v>
      </c>
      <c r="CW11" s="5" t="e">
        <f t="shared" ref="CW11" si="45">STDEVP(CW105:CW153)/CW10</f>
        <v>#REF!</v>
      </c>
      <c r="CX11" s="5" t="e">
        <f t="shared" ref="CX11" si="46">STDEVP(CX105:CX153)/CX10</f>
        <v>#REF!</v>
      </c>
      <c r="CY11" s="5" t="e">
        <f t="shared" ref="CY11" si="47">STDEVP(CY105:CY153)/CY10</f>
        <v>#REF!</v>
      </c>
      <c r="CZ11" s="5" t="e">
        <f t="shared" ref="CZ11" si="48">STDEVP(CZ105:CZ153)/CZ10</f>
        <v>#REF!</v>
      </c>
      <c r="DC11" s="4">
        <f>2.8/3.1</f>
        <v>0.90322580645161277</v>
      </c>
      <c r="DF11" s="10"/>
      <c r="DG11" s="10"/>
      <c r="DH11" s="10"/>
      <c r="DI11" s="10"/>
      <c r="DJ11" s="10"/>
      <c r="DK11" s="10"/>
      <c r="DL11" s="10"/>
      <c r="DN11" s="4">
        <v>1</v>
      </c>
      <c r="DX11" s="10"/>
      <c r="DY11" s="10"/>
      <c r="DZ11" s="10"/>
    </row>
    <row r="12" spans="4:167" ht="12" customHeight="1" x14ac:dyDescent="0.3">
      <c r="N12" s="4" t="e">
        <f t="shared" si="14"/>
        <v>#REF!</v>
      </c>
      <c r="AR12" s="7"/>
      <c r="AS12" s="7"/>
      <c r="AT12" s="39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 t="s">
        <v>28</v>
      </c>
      <c r="CG12" s="4" t="e">
        <f t="shared" ref="CG12" si="49">MAX(CG105:CG153)</f>
        <v>#REF!</v>
      </c>
      <c r="CH12" s="4" t="e">
        <f t="shared" ref="CH12:CM12" si="50">MAX(CH105:CH153)</f>
        <v>#REF!</v>
      </c>
      <c r="CI12" s="4" t="e">
        <f t="shared" si="50"/>
        <v>#REF!</v>
      </c>
      <c r="CJ12" s="4" t="e">
        <f t="shared" si="50"/>
        <v>#REF!</v>
      </c>
      <c r="CK12" s="4" t="e">
        <f t="shared" si="50"/>
        <v>#REF!</v>
      </c>
      <c r="CL12" s="4" t="e">
        <f t="shared" si="50"/>
        <v>#REF!</v>
      </c>
      <c r="CM12" s="4" t="e">
        <f t="shared" si="50"/>
        <v>#REF!</v>
      </c>
      <c r="CO12" s="4" t="e">
        <f t="shared" ref="CO12:CZ12" si="51">MAX(CO105:CO153)</f>
        <v>#REF!</v>
      </c>
      <c r="CP12" s="4" t="e">
        <f t="shared" si="51"/>
        <v>#REF!</v>
      </c>
      <c r="CQ12" s="4" t="e">
        <f t="shared" si="51"/>
        <v>#REF!</v>
      </c>
      <c r="CR12" s="4" t="e">
        <f t="shared" si="51"/>
        <v>#REF!</v>
      </c>
      <c r="CS12" s="4" t="e">
        <f t="shared" si="51"/>
        <v>#REF!</v>
      </c>
      <c r="CT12" s="4" t="e">
        <f t="shared" si="51"/>
        <v>#REF!</v>
      </c>
      <c r="CU12" s="4" t="e">
        <f t="shared" si="51"/>
        <v>#REF!</v>
      </c>
      <c r="CV12" s="4" t="e">
        <f t="shared" si="51"/>
        <v>#REF!</v>
      </c>
      <c r="CW12" s="4" t="e">
        <f t="shared" si="51"/>
        <v>#REF!</v>
      </c>
      <c r="CX12" s="4" t="e">
        <f t="shared" si="51"/>
        <v>#REF!</v>
      </c>
      <c r="CY12" s="4" t="e">
        <f t="shared" si="51"/>
        <v>#REF!</v>
      </c>
      <c r="CZ12" s="4" t="e">
        <f t="shared" si="51"/>
        <v>#REF!</v>
      </c>
      <c r="DF12" s="10"/>
      <c r="DG12" s="10"/>
      <c r="DH12" s="10"/>
      <c r="DI12" s="10"/>
      <c r="DJ12" s="10"/>
      <c r="DK12" s="10"/>
      <c r="DL12" s="10"/>
      <c r="DX12" s="10"/>
      <c r="DY12" s="10"/>
      <c r="DZ12" s="10"/>
      <c r="EA12" s="4">
        <f>MIN(EA252:EA453)</f>
        <v>0.59499999999999997</v>
      </c>
    </row>
    <row r="13" spans="4:167" ht="12" customHeight="1" x14ac:dyDescent="0.3">
      <c r="N13" s="4" t="e">
        <f t="shared" si="14"/>
        <v>#REF!</v>
      </c>
      <c r="AR13" s="7"/>
      <c r="AS13" s="7"/>
      <c r="AT13" s="39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 t="s">
        <v>29</v>
      </c>
      <c r="CG13" s="4" t="e">
        <f t="shared" ref="CG13" si="52">MIN(CG105:CG153)</f>
        <v>#REF!</v>
      </c>
      <c r="CH13" s="4" t="e">
        <f t="shared" ref="CH13:CM13" si="53">MIN(CH105:CH153)</f>
        <v>#REF!</v>
      </c>
      <c r="CI13" s="4" t="e">
        <f t="shared" si="53"/>
        <v>#REF!</v>
      </c>
      <c r="CJ13" s="4" t="e">
        <f t="shared" si="53"/>
        <v>#REF!</v>
      </c>
      <c r="CK13" s="4" t="e">
        <f t="shared" si="53"/>
        <v>#REF!</v>
      </c>
      <c r="CL13" s="4" t="e">
        <f t="shared" si="53"/>
        <v>#REF!</v>
      </c>
      <c r="CM13" s="4" t="e">
        <f t="shared" si="53"/>
        <v>#REF!</v>
      </c>
      <c r="CO13" s="4" t="e">
        <f t="shared" ref="CO13:CZ13" si="54">MIN(CO105:CO153)</f>
        <v>#REF!</v>
      </c>
      <c r="CP13" s="4" t="e">
        <f t="shared" si="54"/>
        <v>#REF!</v>
      </c>
      <c r="CQ13" s="4" t="e">
        <f t="shared" si="54"/>
        <v>#REF!</v>
      </c>
      <c r="CR13" s="4" t="e">
        <f t="shared" si="54"/>
        <v>#REF!</v>
      </c>
      <c r="CS13" s="4" t="e">
        <f t="shared" si="54"/>
        <v>#REF!</v>
      </c>
      <c r="CT13" s="4" t="e">
        <f t="shared" si="54"/>
        <v>#REF!</v>
      </c>
      <c r="CU13" s="4" t="e">
        <f t="shared" si="54"/>
        <v>#REF!</v>
      </c>
      <c r="CV13" s="4" t="e">
        <f t="shared" si="54"/>
        <v>#REF!</v>
      </c>
      <c r="CW13" s="4" t="e">
        <f t="shared" si="54"/>
        <v>#REF!</v>
      </c>
      <c r="CX13" s="4" t="e">
        <f t="shared" si="54"/>
        <v>#REF!</v>
      </c>
      <c r="CY13" s="4" t="e">
        <f t="shared" si="54"/>
        <v>#REF!</v>
      </c>
      <c r="CZ13" s="4" t="e">
        <f t="shared" si="54"/>
        <v>#REF!</v>
      </c>
      <c r="DF13" s="10"/>
      <c r="DG13" s="10"/>
      <c r="DH13" s="10"/>
      <c r="DI13" s="10"/>
      <c r="DJ13" s="10"/>
      <c r="DK13" s="10"/>
      <c r="DL13" s="10"/>
      <c r="DN13" s="4">
        <f>DN14/2</f>
        <v>4.4708269225635169</v>
      </c>
      <c r="DX13" s="10"/>
      <c r="DY13" s="10"/>
      <c r="DZ13" s="10"/>
      <c r="EA13" s="4">
        <f>MAX(EA252:EA453)</f>
        <v>0.85</v>
      </c>
    </row>
    <row r="14" spans="4:167" ht="12" customHeight="1" x14ac:dyDescent="0.3">
      <c r="L14" s="4" t="str">
        <f>CE14</f>
        <v>Joint</v>
      </c>
      <c r="M14" s="4" t="str">
        <f>CF14</f>
        <v>avg</v>
      </c>
      <c r="N14" s="4" t="e">
        <f t="shared" si="14"/>
        <v>#REF!</v>
      </c>
      <c r="P14" s="4">
        <f>MIN(P53:P453)</f>
        <v>1.1000000000000001</v>
      </c>
      <c r="AR14" s="7"/>
      <c r="AS14" s="7"/>
      <c r="AT14" s="39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 t="s">
        <v>200</v>
      </c>
      <c r="CF14" s="5" t="s">
        <v>27</v>
      </c>
      <c r="CG14" s="5" t="e">
        <f>AVERAGE(CG156:CG1254)</f>
        <v>#REF!</v>
      </c>
      <c r="CH14" s="5" t="e">
        <f t="shared" ref="CH14:CJ14" si="55">AVERAGE(CH156:CH1254)</f>
        <v>#REF!</v>
      </c>
      <c r="CI14" s="5" t="e">
        <f t="shared" si="55"/>
        <v>#REF!</v>
      </c>
      <c r="CJ14" s="5" t="e">
        <f t="shared" si="55"/>
        <v>#REF!</v>
      </c>
      <c r="CK14" s="5" t="e">
        <f t="shared" ref="CK14:CM14" si="56">AVERAGE(CK156:CK1254)</f>
        <v>#REF!</v>
      </c>
      <c r="CL14" s="5" t="e">
        <f t="shared" si="56"/>
        <v>#REF!</v>
      </c>
      <c r="CM14" s="5">
        <f t="shared" si="56"/>
        <v>1.4389569226467425</v>
      </c>
      <c r="CN14" s="5"/>
      <c r="CO14" s="5" t="e">
        <f t="shared" ref="CO14:CZ14" si="57">AVERAGE(CO156:CO254)</f>
        <v>#REF!</v>
      </c>
      <c r="CP14" s="5" t="e">
        <f t="shared" si="57"/>
        <v>#REF!</v>
      </c>
      <c r="CQ14" s="5" t="e">
        <f t="shared" si="57"/>
        <v>#REF!</v>
      </c>
      <c r="CR14" s="5">
        <f t="shared" ref="CR14" si="58">AVERAGE(CR156:CR254)</f>
        <v>2.0679009828844626</v>
      </c>
      <c r="CS14" s="5" t="e">
        <f t="shared" si="57"/>
        <v>#REF!</v>
      </c>
      <c r="CT14" s="5" t="e">
        <f t="shared" si="57"/>
        <v>#REF!</v>
      </c>
      <c r="CU14" s="5" t="e">
        <f t="shared" si="57"/>
        <v>#REF!</v>
      </c>
      <c r="CV14" s="5" t="e">
        <f t="shared" si="57"/>
        <v>#REF!</v>
      </c>
      <c r="CW14" s="5" t="e">
        <f t="shared" si="57"/>
        <v>#REF!</v>
      </c>
      <c r="CX14" s="5">
        <f t="shared" ref="CX14" si="59">AVERAGE(CX156:CX254)</f>
        <v>1.5458349786497587</v>
      </c>
      <c r="CY14" s="5" t="e">
        <f t="shared" si="57"/>
        <v>#REF!</v>
      </c>
      <c r="CZ14" s="5" t="e">
        <f t="shared" si="57"/>
        <v>#REF!</v>
      </c>
      <c r="DF14" s="10"/>
      <c r="DG14" s="10"/>
      <c r="DH14" s="10"/>
      <c r="DI14" s="10"/>
      <c r="DJ14" s="10"/>
      <c r="DK14" s="10"/>
      <c r="DL14" s="10"/>
      <c r="DN14" s="4">
        <f>4*SQRT(DN16-1)</f>
        <v>8.9416538451270338</v>
      </c>
      <c r="DX14" s="10"/>
      <c r="DY14" s="10"/>
      <c r="DZ14" s="10"/>
      <c r="EU14" s="4" t="e">
        <f>CK14</f>
        <v>#REF!</v>
      </c>
    </row>
    <row r="15" spans="4:167" ht="12" customHeight="1" x14ac:dyDescent="0.3">
      <c r="D15" s="4">
        <f>MIN(D252:D453)</f>
        <v>799.31034482758628</v>
      </c>
      <c r="E15" s="4">
        <f>MIN(E252:E453)</f>
        <v>96.774000000000001</v>
      </c>
      <c r="F15" s="4">
        <f t="shared" ref="F15:G15" si="60">MIN(F252:F453)</f>
        <v>27.310344827586206</v>
      </c>
      <c r="G15" s="4">
        <f t="shared" si="60"/>
        <v>15.875</v>
      </c>
      <c r="M15" s="4" t="str">
        <f>CF15</f>
        <v>cov</v>
      </c>
      <c r="N15" s="4" t="e">
        <f t="shared" si="14"/>
        <v>#REF!</v>
      </c>
      <c r="P15" s="4">
        <f>MAX(P53:P453)</f>
        <v>14.9</v>
      </c>
      <c r="AR15" s="7"/>
      <c r="AS15" s="7"/>
      <c r="AT15" s="39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8" t="s">
        <v>217</v>
      </c>
      <c r="CG15" s="5" t="e">
        <f>STDEVP(CG156:CG1254)/CG14</f>
        <v>#REF!</v>
      </c>
      <c r="CH15" s="5" t="e">
        <f>STDEVP(CH156:CH1254)/CH14</f>
        <v>#REF!</v>
      </c>
      <c r="CI15" s="5" t="e">
        <f>STDEVP(CI156:CI1254)/CI14</f>
        <v>#REF!</v>
      </c>
      <c r="CJ15" s="5" t="e">
        <f>STDEVP(CJ156:CJ1254)/CJ14</f>
        <v>#REF!</v>
      </c>
      <c r="CK15" s="5" t="e">
        <f t="shared" ref="CK15:CM15" si="61">STDEVP(CK156:CK1254)/CK14</f>
        <v>#REF!</v>
      </c>
      <c r="CL15" s="5" t="e">
        <f t="shared" si="61"/>
        <v>#REF!</v>
      </c>
      <c r="CM15" s="5">
        <f t="shared" si="61"/>
        <v>0.37188573220880466</v>
      </c>
      <c r="CN15" s="5"/>
      <c r="CO15" s="5" t="e">
        <f t="shared" ref="CO15:CZ15" si="62">STDEVP(CO156:CO254)/CO14</f>
        <v>#REF!</v>
      </c>
      <c r="CP15" s="5" t="e">
        <f t="shared" si="62"/>
        <v>#REF!</v>
      </c>
      <c r="CQ15" s="5" t="e">
        <f t="shared" si="62"/>
        <v>#REF!</v>
      </c>
      <c r="CR15" s="5">
        <f t="shared" si="62"/>
        <v>0.36758877623706776</v>
      </c>
      <c r="CS15" s="5" t="e">
        <f t="shared" si="62"/>
        <v>#REF!</v>
      </c>
      <c r="CT15" s="5" t="e">
        <f t="shared" si="62"/>
        <v>#REF!</v>
      </c>
      <c r="CU15" s="5" t="e">
        <f t="shared" si="62"/>
        <v>#REF!</v>
      </c>
      <c r="CV15" s="5" t="e">
        <f t="shared" si="62"/>
        <v>#REF!</v>
      </c>
      <c r="CW15" s="5" t="e">
        <f t="shared" si="62"/>
        <v>#REF!</v>
      </c>
      <c r="CX15" s="5">
        <f t="shared" si="62"/>
        <v>0.42698748516502844</v>
      </c>
      <c r="CY15" s="5" t="e">
        <f t="shared" si="62"/>
        <v>#REF!</v>
      </c>
      <c r="CZ15" s="5" t="e">
        <f t="shared" si="62"/>
        <v>#REF!</v>
      </c>
      <c r="DF15" s="10"/>
      <c r="DG15" s="10"/>
      <c r="DH15" s="10"/>
      <c r="DI15" s="10"/>
      <c r="DJ15" s="10"/>
      <c r="DK15" s="10"/>
      <c r="DL15" s="10"/>
      <c r="DX15" s="10"/>
      <c r="DY15" s="10"/>
      <c r="DZ15" s="10"/>
      <c r="EU15" s="4" t="e">
        <f t="shared" ref="EU15:EU17" si="63">CK15</f>
        <v>#REF!</v>
      </c>
    </row>
    <row r="16" spans="4:167" ht="12" customHeight="1" x14ac:dyDescent="0.3">
      <c r="D16" s="4">
        <f>MAX(D252:D453)</f>
        <v>958.62068965517244</v>
      </c>
      <c r="E16" s="4">
        <f>MAX(E252:E453)</f>
        <v>498.60199999999992</v>
      </c>
      <c r="F16" s="4">
        <f t="shared" ref="F16:G16" si="64">MAX(F252:F453)</f>
        <v>110.55172413793103</v>
      </c>
      <c r="G16" s="4">
        <f t="shared" si="64"/>
        <v>35.813999999999993</v>
      </c>
      <c r="N16" s="4" t="e">
        <f t="shared" si="14"/>
        <v>#REF!</v>
      </c>
      <c r="AO16" s="4"/>
      <c r="AP16" s="4" t="e">
        <f>MIN(AP20:AP453)</f>
        <v>#REF!</v>
      </c>
      <c r="AR16" s="7"/>
      <c r="AS16" s="7"/>
      <c r="AT16" s="39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 t="s">
        <v>378</v>
      </c>
      <c r="CC16" s="7"/>
      <c r="CD16" s="7"/>
      <c r="CE16" s="7"/>
      <c r="CF16" s="7" t="s">
        <v>28</v>
      </c>
      <c r="CG16" s="4" t="e">
        <f>MAX(CG156:CG1254)</f>
        <v>#REF!</v>
      </c>
      <c r="CH16" s="4" t="e">
        <f t="shared" ref="CH16:CJ16" si="65">MAX(CH156:CH1254)</f>
        <v>#REF!</v>
      </c>
      <c r="CI16" s="4" t="e">
        <f t="shared" si="65"/>
        <v>#REF!</v>
      </c>
      <c r="CJ16" s="4" t="e">
        <f t="shared" si="65"/>
        <v>#REF!</v>
      </c>
      <c r="CK16" s="4" t="e">
        <f t="shared" ref="CK16:CM16" si="66">MAX(CK156:CK1254)</f>
        <v>#REF!</v>
      </c>
      <c r="CL16" s="4" t="e">
        <f t="shared" si="66"/>
        <v>#REF!</v>
      </c>
      <c r="CM16" s="4">
        <f t="shared" si="66"/>
        <v>3.7678109166826239</v>
      </c>
      <c r="CO16" s="4" t="e">
        <f t="shared" ref="CO16:CZ16" si="67">MAX(CO156:CO254)</f>
        <v>#REF!</v>
      </c>
      <c r="CP16" s="4" t="e">
        <f t="shared" si="67"/>
        <v>#REF!</v>
      </c>
      <c r="CQ16" s="4" t="e">
        <f t="shared" si="67"/>
        <v>#REF!</v>
      </c>
      <c r="CR16" s="4">
        <f t="shared" ref="CR16" si="68">MAX(CR156:CR254)</f>
        <v>3.7678109166826239</v>
      </c>
      <c r="CS16" s="4" t="e">
        <f t="shared" si="67"/>
        <v>#REF!</v>
      </c>
      <c r="CT16" s="4" t="e">
        <f t="shared" si="67"/>
        <v>#REF!</v>
      </c>
      <c r="CU16" s="4" t="e">
        <f t="shared" si="67"/>
        <v>#REF!</v>
      </c>
      <c r="CV16" s="4" t="e">
        <f t="shared" si="67"/>
        <v>#REF!</v>
      </c>
      <c r="CW16" s="4" t="e">
        <f t="shared" si="67"/>
        <v>#REF!</v>
      </c>
      <c r="CX16" s="4">
        <f t="shared" ref="CX16" si="69">MAX(CX156:CX254)</f>
        <v>3.0790396611328834</v>
      </c>
      <c r="CY16" s="4" t="e">
        <f t="shared" si="67"/>
        <v>#REF!</v>
      </c>
      <c r="CZ16" s="4" t="e">
        <f t="shared" si="67"/>
        <v>#REF!</v>
      </c>
      <c r="DF16" s="10"/>
      <c r="DG16" s="10"/>
      <c r="DI16" s="4" t="e">
        <f>(DI17-DJ17)*4*DN17</f>
        <v>#REF!</v>
      </c>
      <c r="DJ16" s="4" t="e">
        <f>3*DJ17+0.5</f>
        <v>#REF!</v>
      </c>
      <c r="DK16" s="10"/>
      <c r="DL16" s="10"/>
      <c r="DN16" s="4">
        <f>DN17^2</f>
        <v>5.9970733428796921</v>
      </c>
      <c r="DX16" s="10"/>
      <c r="DY16" s="10"/>
      <c r="DZ16" s="10"/>
      <c r="EU16" s="4" t="e">
        <f t="shared" si="63"/>
        <v>#REF!</v>
      </c>
    </row>
    <row r="17" spans="1:178" ht="12" customHeight="1" x14ac:dyDescent="0.3">
      <c r="N17" s="4" t="e">
        <f t="shared" si="14"/>
        <v>#REF!</v>
      </c>
      <c r="AB17" s="4" t="s">
        <v>607</v>
      </c>
      <c r="AC17" s="4" t="s">
        <v>608</v>
      </c>
      <c r="AO17" s="4"/>
      <c r="AP17" s="4" t="e">
        <f>MAX(AP20:AP453)</f>
        <v>#REF!</v>
      </c>
      <c r="AQ17" s="4" t="e">
        <f>SUM(AQ53:AQ453)</f>
        <v>#REF!</v>
      </c>
      <c r="AR17" s="7"/>
      <c r="AS17" s="7"/>
      <c r="AT17" s="39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 t="s">
        <v>29</v>
      </c>
      <c r="CG17" s="4" t="e">
        <f>MIN(CG156:CG1254)</f>
        <v>#REF!</v>
      </c>
      <c r="CH17" s="4" t="e">
        <f t="shared" ref="CH17:CJ17" si="70">MIN(CH156:CH1254)</f>
        <v>#REF!</v>
      </c>
      <c r="CI17" s="4" t="e">
        <f t="shared" si="70"/>
        <v>#REF!</v>
      </c>
      <c r="CJ17" s="4" t="e">
        <f t="shared" si="70"/>
        <v>#REF!</v>
      </c>
      <c r="CK17" s="4" t="e">
        <f t="shared" ref="CK17:CM17" si="71">MIN(CK156:CK1254)</f>
        <v>#REF!</v>
      </c>
      <c r="CL17" s="4" t="e">
        <f t="shared" si="71"/>
        <v>#REF!</v>
      </c>
      <c r="CM17" s="4">
        <f t="shared" si="71"/>
        <v>0.69730791094744238</v>
      </c>
      <c r="CO17" s="4" t="e">
        <f t="shared" ref="CO17:CZ17" si="72">MIN(CO156:CO254)</f>
        <v>#REF!</v>
      </c>
      <c r="CP17" s="4" t="e">
        <f t="shared" si="72"/>
        <v>#REF!</v>
      </c>
      <c r="CQ17" s="4" t="e">
        <f t="shared" si="72"/>
        <v>#REF!</v>
      </c>
      <c r="CR17" s="4">
        <f t="shared" ref="CR17" si="73">MIN(CR156:CR254)</f>
        <v>0.92942217759542134</v>
      </c>
      <c r="CS17" s="4" t="e">
        <f t="shared" si="72"/>
        <v>#REF!</v>
      </c>
      <c r="CT17" s="4" t="e">
        <f t="shared" si="72"/>
        <v>#REF!</v>
      </c>
      <c r="CU17" s="4" t="e">
        <f t="shared" si="72"/>
        <v>#REF!</v>
      </c>
      <c r="CV17" s="4" t="e">
        <f t="shared" si="72"/>
        <v>#REF!</v>
      </c>
      <c r="CW17" s="4" t="e">
        <f t="shared" si="72"/>
        <v>#REF!</v>
      </c>
      <c r="CX17" s="4">
        <f t="shared" ref="CX17" si="74">MIN(CX156:CX254)</f>
        <v>0.83618018255731019</v>
      </c>
      <c r="CY17" s="4" t="e">
        <f t="shared" si="72"/>
        <v>#REF!</v>
      </c>
      <c r="CZ17" s="4" t="e">
        <f t="shared" si="72"/>
        <v>#REF!</v>
      </c>
      <c r="DF17" s="10"/>
      <c r="DG17" s="10"/>
      <c r="DH17" s="4" t="e">
        <f>AVERAGE(DH20:DH453)</f>
        <v>#REF!</v>
      </c>
      <c r="DI17" s="4" t="e">
        <f>DH17^0.4</f>
        <v>#REF!</v>
      </c>
      <c r="DJ17" s="4" t="e">
        <f>1/1.4*(1-DH17^1.4)/(1-DH17)</f>
        <v>#REF!</v>
      </c>
      <c r="DK17" s="10"/>
      <c r="DL17" s="10"/>
      <c r="DN17" s="4">
        <f>AVERAGE(DN53:DN453)</f>
        <v>2.4488922685327936</v>
      </c>
      <c r="DX17" s="10"/>
      <c r="DY17" s="10"/>
      <c r="DZ17" s="10"/>
      <c r="EU17" s="4" t="e">
        <f t="shared" si="63"/>
        <v>#REF!</v>
      </c>
    </row>
    <row r="18" spans="1:178" ht="80.25" customHeight="1" x14ac:dyDescent="0.3">
      <c r="C18" s="10" t="s">
        <v>0</v>
      </c>
      <c r="D18" s="50" t="s">
        <v>4</v>
      </c>
      <c r="E18" s="50" t="s">
        <v>220</v>
      </c>
      <c r="F18" s="50" t="s">
        <v>221</v>
      </c>
      <c r="G18" s="50" t="s">
        <v>52</v>
      </c>
      <c r="H18" s="50" t="s">
        <v>222</v>
      </c>
      <c r="I18" s="50" t="s">
        <v>223</v>
      </c>
      <c r="J18" s="50" t="s">
        <v>224</v>
      </c>
      <c r="K18" s="49" t="s">
        <v>53</v>
      </c>
      <c r="L18" s="49" t="s">
        <v>225</v>
      </c>
      <c r="M18" s="49" t="s">
        <v>58</v>
      </c>
      <c r="N18" s="12" t="s">
        <v>59</v>
      </c>
      <c r="O18" s="12" t="s">
        <v>60</v>
      </c>
      <c r="P18" s="12" t="s">
        <v>56</v>
      </c>
      <c r="Q18" s="12" t="s">
        <v>377</v>
      </c>
      <c r="R18" s="49" t="s">
        <v>57</v>
      </c>
      <c r="S18" s="12" t="s">
        <v>65</v>
      </c>
      <c r="T18" s="12" t="s">
        <v>187</v>
      </c>
      <c r="U18" s="12" t="s">
        <v>186</v>
      </c>
      <c r="V18" s="50" t="s">
        <v>78</v>
      </c>
      <c r="W18" s="13"/>
      <c r="X18" s="13" t="s">
        <v>226</v>
      </c>
      <c r="Y18" s="49" t="s">
        <v>227</v>
      </c>
      <c r="Z18" s="49" t="s">
        <v>228</v>
      </c>
      <c r="AA18" s="49" t="s">
        <v>73</v>
      </c>
      <c r="AB18" s="49" t="s">
        <v>228</v>
      </c>
      <c r="AC18" s="49" t="s">
        <v>228</v>
      </c>
      <c r="AD18" s="12"/>
      <c r="AE18" s="12" t="s">
        <v>125</v>
      </c>
      <c r="AF18" s="12" t="s">
        <v>126</v>
      </c>
      <c r="AG18" s="12" t="s">
        <v>124</v>
      </c>
      <c r="AJ18" s="14" t="s">
        <v>652</v>
      </c>
      <c r="AK18" s="38" t="s">
        <v>229</v>
      </c>
      <c r="AL18" s="38" t="s">
        <v>603</v>
      </c>
      <c r="AM18" s="38" t="s">
        <v>604</v>
      </c>
      <c r="AR18" s="14" t="s">
        <v>1</v>
      </c>
      <c r="AS18" s="14" t="s">
        <v>61</v>
      </c>
      <c r="AT18" s="41" t="s">
        <v>62</v>
      </c>
      <c r="AU18" s="14" t="s">
        <v>63</v>
      </c>
      <c r="AV18" s="14" t="s">
        <v>64</v>
      </c>
      <c r="AW18" s="14" t="s">
        <v>39</v>
      </c>
      <c r="AX18" s="14"/>
      <c r="AY18" s="14" t="s">
        <v>375</v>
      </c>
      <c r="AZ18" s="14" t="s">
        <v>39</v>
      </c>
      <c r="BA18" s="14"/>
      <c r="BB18" s="15" t="s">
        <v>184</v>
      </c>
      <c r="BC18" s="15" t="s">
        <v>185</v>
      </c>
      <c r="BD18" s="15"/>
      <c r="BE18" s="14" t="s">
        <v>190</v>
      </c>
      <c r="BF18" s="14" t="s">
        <v>191</v>
      </c>
      <c r="BG18" s="14" t="s">
        <v>192</v>
      </c>
      <c r="BH18" s="14" t="s">
        <v>193</v>
      </c>
      <c r="BI18" s="14" t="s">
        <v>194</v>
      </c>
      <c r="BJ18" s="14" t="s">
        <v>195</v>
      </c>
      <c r="BK18" s="14"/>
      <c r="BL18" s="14" t="s">
        <v>230</v>
      </c>
      <c r="BM18" s="14" t="s">
        <v>8</v>
      </c>
      <c r="BN18" s="14" t="s">
        <v>9</v>
      </c>
      <c r="BO18" s="14" t="s">
        <v>231</v>
      </c>
      <c r="BP18" s="14" t="s">
        <v>13</v>
      </c>
      <c r="BQ18" s="4" t="s">
        <v>10</v>
      </c>
      <c r="BR18" s="9" t="s">
        <v>11</v>
      </c>
      <c r="BS18" s="9" t="s">
        <v>12</v>
      </c>
      <c r="BT18" s="9" t="s">
        <v>205</v>
      </c>
      <c r="BU18" s="9" t="s">
        <v>206</v>
      </c>
      <c r="BV18" s="9" t="s">
        <v>207</v>
      </c>
      <c r="BW18" s="9" t="s">
        <v>208</v>
      </c>
      <c r="BX18" s="9" t="s">
        <v>209</v>
      </c>
      <c r="BY18" s="9" t="s">
        <v>210</v>
      </c>
      <c r="BZ18" s="9" t="s">
        <v>211</v>
      </c>
      <c r="CA18" s="9" t="s">
        <v>212</v>
      </c>
      <c r="CB18" s="9" t="s">
        <v>213</v>
      </c>
      <c r="CC18" s="9" t="s">
        <v>232</v>
      </c>
      <c r="CD18" s="9" t="s">
        <v>233</v>
      </c>
      <c r="CE18" s="9" t="s">
        <v>234</v>
      </c>
      <c r="CF18" s="14"/>
      <c r="CG18" s="4" t="s">
        <v>235</v>
      </c>
      <c r="CH18" s="9" t="s">
        <v>236</v>
      </c>
      <c r="CI18" s="4" t="s">
        <v>376</v>
      </c>
      <c r="CJ18" s="4" t="s">
        <v>237</v>
      </c>
      <c r="CK18" s="4" t="s">
        <v>238</v>
      </c>
      <c r="CL18" s="4" t="s">
        <v>239</v>
      </c>
      <c r="CM18" s="4" t="s">
        <v>605</v>
      </c>
      <c r="CO18" s="14" t="s">
        <v>240</v>
      </c>
      <c r="CP18" s="14" t="s">
        <v>241</v>
      </c>
      <c r="CQ18" s="14" t="s">
        <v>242</v>
      </c>
      <c r="CR18" s="14" t="s">
        <v>655</v>
      </c>
      <c r="CS18" s="14" t="s">
        <v>243</v>
      </c>
      <c r="CT18" s="14" t="s">
        <v>244</v>
      </c>
      <c r="CU18" s="14" t="s">
        <v>201</v>
      </c>
      <c r="CV18" s="14" t="s">
        <v>202</v>
      </c>
      <c r="CW18" s="14" t="s">
        <v>366</v>
      </c>
      <c r="CX18" s="14" t="s">
        <v>656</v>
      </c>
      <c r="CY18" s="14" t="s">
        <v>203</v>
      </c>
      <c r="CZ18" s="14" t="s">
        <v>204</v>
      </c>
      <c r="DA18" s="14"/>
      <c r="DB18" s="14"/>
      <c r="DC18" s="14" t="s">
        <v>245</v>
      </c>
      <c r="DD18" s="14"/>
      <c r="DE18" s="14" t="s">
        <v>246</v>
      </c>
      <c r="DF18" s="4" t="s">
        <v>247</v>
      </c>
      <c r="DG18" s="16" t="s">
        <v>248</v>
      </c>
      <c r="DH18" s="17" t="s">
        <v>249</v>
      </c>
      <c r="DI18" s="9" t="s">
        <v>250</v>
      </c>
      <c r="DJ18" s="9" t="s">
        <v>23</v>
      </c>
      <c r="DK18" s="9" t="s">
        <v>251</v>
      </c>
      <c r="DL18" s="9" t="s">
        <v>24</v>
      </c>
      <c r="DM18" s="9"/>
      <c r="DN18" s="18" t="s">
        <v>369</v>
      </c>
      <c r="DO18" s="18" t="s">
        <v>368</v>
      </c>
      <c r="DP18" s="9" t="s">
        <v>24</v>
      </c>
      <c r="DQ18" s="9" t="s">
        <v>252</v>
      </c>
      <c r="DR18" s="9"/>
      <c r="DS18" s="9" t="s">
        <v>233</v>
      </c>
      <c r="DT18" s="9" t="s">
        <v>253</v>
      </c>
      <c r="DU18" s="9" t="s">
        <v>254</v>
      </c>
      <c r="DV18" s="14" t="s">
        <v>13</v>
      </c>
      <c r="DW18" s="14"/>
      <c r="DX18" s="9" t="s">
        <v>24</v>
      </c>
      <c r="DY18" s="9" t="s">
        <v>653</v>
      </c>
      <c r="DZ18" s="9"/>
      <c r="EA18" s="14"/>
      <c r="EB18" s="16" t="s">
        <v>248</v>
      </c>
      <c r="EC18" s="16"/>
      <c r="ED18" s="17" t="s">
        <v>256</v>
      </c>
      <c r="EE18" s="17" t="s">
        <v>257</v>
      </c>
      <c r="EF18" s="17"/>
      <c r="EG18" s="17" t="s">
        <v>258</v>
      </c>
      <c r="EH18" s="17" t="s">
        <v>259</v>
      </c>
      <c r="EI18" s="17" t="s">
        <v>260</v>
      </c>
      <c r="EJ18" s="17" t="s">
        <v>261</v>
      </c>
      <c r="EK18" s="17" t="s">
        <v>249</v>
      </c>
      <c r="EL18" s="17" t="s">
        <v>262</v>
      </c>
      <c r="EM18" s="17" t="s">
        <v>263</v>
      </c>
      <c r="EN18" s="17" t="s">
        <v>264</v>
      </c>
      <c r="EO18" s="17" t="s">
        <v>265</v>
      </c>
      <c r="EP18" s="17" t="s">
        <v>247</v>
      </c>
      <c r="EQ18" s="17" t="s">
        <v>251</v>
      </c>
      <c r="ER18" s="16" t="s">
        <v>266</v>
      </c>
      <c r="ES18" s="17" t="s">
        <v>267</v>
      </c>
      <c r="ET18" s="17" t="s">
        <v>268</v>
      </c>
      <c r="EU18" s="17"/>
      <c r="EV18" s="9" t="s">
        <v>367</v>
      </c>
      <c r="EW18" s="9" t="s">
        <v>252</v>
      </c>
      <c r="EX18" s="9" t="s">
        <v>255</v>
      </c>
      <c r="EY18" s="9"/>
      <c r="EZ18" s="9"/>
      <c r="FA18" s="9" t="s">
        <v>269</v>
      </c>
      <c r="FB18" s="4" t="s">
        <v>370</v>
      </c>
      <c r="FC18" s="4" t="s">
        <v>605</v>
      </c>
      <c r="FD18" s="4" t="s">
        <v>270</v>
      </c>
      <c r="FE18" s="4" t="s">
        <v>271</v>
      </c>
      <c r="FF18" s="4" t="s">
        <v>239</v>
      </c>
      <c r="FG18" s="9" t="e">
        <f>SUM(FG19:FG623)</f>
        <v>#REF!</v>
      </c>
      <c r="FH18" s="9"/>
      <c r="FI18" s="9"/>
      <c r="FK18" s="1" t="s">
        <v>606</v>
      </c>
      <c r="FL18" s="1" t="s">
        <v>3</v>
      </c>
      <c r="FM18" s="1"/>
      <c r="FN18" s="2" t="s">
        <v>5</v>
      </c>
      <c r="FR18" s="1" t="s">
        <v>606</v>
      </c>
      <c r="FS18" s="1" t="s">
        <v>3</v>
      </c>
      <c r="FT18" s="1"/>
      <c r="FU18" s="2" t="s">
        <v>5</v>
      </c>
    </row>
    <row r="19" spans="1:178" s="19" customFormat="1" ht="12" customHeight="1" x14ac:dyDescent="0.3">
      <c r="B19" s="20"/>
      <c r="C19" s="21"/>
      <c r="D19" s="21"/>
      <c r="E19" s="7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7"/>
      <c r="S19" s="7"/>
      <c r="T19" s="7"/>
      <c r="U19" s="7"/>
      <c r="V19" s="21"/>
      <c r="W19" s="21"/>
      <c r="X19" s="21"/>
      <c r="Y19" s="21"/>
      <c r="Z19" s="21"/>
      <c r="AA19" s="21"/>
      <c r="AB19" s="21"/>
      <c r="AC19" s="21"/>
      <c r="AD19" s="21"/>
      <c r="AE19" s="21">
        <v>0</v>
      </c>
      <c r="AF19" s="4"/>
      <c r="AG19" s="4"/>
      <c r="AH19" s="4"/>
      <c r="AI19" s="4"/>
      <c r="AJ19" s="4"/>
      <c r="AK19" s="38"/>
      <c r="AL19" s="38"/>
      <c r="AM19" s="38"/>
      <c r="AN19" s="38"/>
      <c r="AO19" s="38"/>
      <c r="AP19" s="38"/>
      <c r="AQ19" s="4"/>
      <c r="AT19" s="38"/>
      <c r="BE19" s="4"/>
      <c r="BF19" s="4"/>
      <c r="BG19" s="4"/>
      <c r="BH19" s="4"/>
      <c r="BI19" s="4"/>
      <c r="BJ19" s="4"/>
      <c r="BK19" s="4"/>
      <c r="BP19" s="18"/>
      <c r="BR19" s="18"/>
      <c r="BS19" s="18"/>
      <c r="BT19" s="18"/>
      <c r="BU19" s="18"/>
      <c r="BV19" s="18"/>
      <c r="BW19" s="18"/>
      <c r="BX19" s="9"/>
      <c r="BY19" s="9"/>
      <c r="BZ19" s="9"/>
      <c r="CA19" s="9"/>
      <c r="CB19" s="9"/>
      <c r="CC19" s="9"/>
      <c r="CD19" s="9"/>
      <c r="CE19" s="9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 t="e">
        <f t="shared" ref="EB19:EB50" si="75">IF(G19&lt;22.2,1.1*5*(F19/30)^0.5,IF(G19&gt;=31.8,0.9*5*(F19/30)^0.5,1*5*(F19/30)^0.5))/DS19/DV19</f>
        <v>#DIV/0!</v>
      </c>
      <c r="EC19" s="4"/>
      <c r="ED19" s="4"/>
      <c r="EE19" s="4"/>
      <c r="EF19" s="4"/>
      <c r="EG19" s="4"/>
      <c r="EH19" s="4"/>
      <c r="EI19" s="4"/>
      <c r="EJ19" s="4"/>
      <c r="EK19" s="4"/>
      <c r="EL19" s="4" t="e">
        <f>EB19/1.4*EK19^0.4</f>
        <v>#DIV/0!</v>
      </c>
      <c r="EM19" s="4"/>
      <c r="EN19" s="4">
        <f>MAX(0,DC19-EE19)*EN$9</f>
        <v>0</v>
      </c>
      <c r="EO19" s="4">
        <f t="shared" ref="EO19" si="76">MAX(0,DC19-EE19)*(1-EN$9)</f>
        <v>0</v>
      </c>
      <c r="EP19" s="4"/>
      <c r="EQ19" s="4"/>
      <c r="ER19" s="4"/>
      <c r="ES19" s="4">
        <f>IF(DD19&lt;=EN$9, MAX(0,DC19*DD19-EE19), MAX(0,DC19-EE19)*EN$9)</f>
        <v>0</v>
      </c>
      <c r="ET19" s="4">
        <f>MAX(0, DC19*DD19-ES19-EE19)</f>
        <v>0</v>
      </c>
      <c r="EU19" s="4"/>
      <c r="EV19" s="4"/>
      <c r="EW19" s="4"/>
      <c r="EX19" s="4"/>
      <c r="EY19" s="4"/>
      <c r="FA19" s="22"/>
      <c r="FB19" s="22"/>
      <c r="FC19" s="22"/>
      <c r="FD19" s="22"/>
      <c r="FE19" s="22"/>
      <c r="FF19" s="22"/>
      <c r="FG19" s="22"/>
      <c r="FH19" s="22"/>
    </row>
    <row r="20" spans="1:178" s="25" customFormat="1" ht="12" customHeight="1" x14ac:dyDescent="0.3">
      <c r="A20" s="25">
        <v>3</v>
      </c>
      <c r="B20" s="26" t="s">
        <v>298</v>
      </c>
      <c r="C20" s="27" t="s">
        <v>299</v>
      </c>
      <c r="D20" s="28">
        <f>75*6.9</f>
        <v>517.5</v>
      </c>
      <c r="E20" s="28">
        <f>0.5*25.4</f>
        <v>12.7</v>
      </c>
      <c r="F20" s="28">
        <v>28.46</v>
      </c>
      <c r="G20" s="28">
        <v>25.4</v>
      </c>
      <c r="H20" s="28">
        <v>229</v>
      </c>
      <c r="I20" s="28">
        <f t="shared" ref="I20:I51" si="77">(H20-G20)/2</f>
        <v>101.8</v>
      </c>
      <c r="J20" s="28">
        <v>305</v>
      </c>
      <c r="K20" s="28">
        <v>0</v>
      </c>
      <c r="L20" s="28">
        <v>1</v>
      </c>
      <c r="M20" s="28">
        <v>45.47</v>
      </c>
      <c r="N20" s="7">
        <f t="shared" ref="N20:N51" si="78">MIN(H20/2/G20, (M20+G20/2)/G20)</f>
        <v>2.2901574803149609</v>
      </c>
      <c r="O20" s="28">
        <f>N20</f>
        <v>2.2901574803149609</v>
      </c>
      <c r="P20" s="28">
        <f t="shared" ref="P20:P52" si="79">(44+25)^2/(PI()/4*G20^2)-1</f>
        <v>8.3959536742577185</v>
      </c>
      <c r="Q20" s="7">
        <f t="shared" ref="Q20:Q52" si="80">MIN(Q$16,P20)</f>
        <v>8.3959536742577185</v>
      </c>
      <c r="R20" s="28">
        <f t="shared" ref="R20:R51" si="81">Q20+1</f>
        <v>9.3959536742577185</v>
      </c>
      <c r="S20" s="28">
        <f t="shared" ref="S20:S51" si="82">G20*R20^0.5</f>
        <v>77.858162529590359</v>
      </c>
      <c r="T20" s="28"/>
      <c r="U20" s="28"/>
      <c r="V20" s="28">
        <f>190.6/(PI()/4*G20^2)*1000</f>
        <v>376.15391100893112</v>
      </c>
      <c r="W20" s="28"/>
      <c r="X20" s="28"/>
      <c r="Y20" s="28"/>
      <c r="Z20" s="28"/>
      <c r="AA20" s="28">
        <v>1</v>
      </c>
      <c r="AB20" s="28"/>
      <c r="AC20" s="28"/>
      <c r="AD20" s="28"/>
      <c r="AE20" s="4">
        <v>35</v>
      </c>
      <c r="AF20" s="25">
        <f t="shared" ref="AF20:AF52" si="83">MIN(9*AE20^2,H20*(1.5*AE20+M20+G20/2))/(9*AE20^2)</f>
        <v>1</v>
      </c>
      <c r="AG20" s="25">
        <f t="shared" ref="AG20:AG51" si="84">MIN(10*F20^0.5*AE20^1.5,100*3.9*F20^0.5*AE20^(5/3))/(PI()/4*G20^2)/L20</f>
        <v>21.800286431765276</v>
      </c>
      <c r="AH20" s="4">
        <f t="shared" ref="AH20:AH51" si="85">MIN(0.7+0.3*(MIN(I20,M20)+0.5*G20)/1.5/E20,1)</f>
        <v>1</v>
      </c>
      <c r="AI20" s="25">
        <v>1.25</v>
      </c>
      <c r="AJ20" s="25">
        <v>5</v>
      </c>
      <c r="AK20" s="38">
        <f>AF20*AH20*AI20*AJ20*AG20</f>
        <v>136.25179019853297</v>
      </c>
      <c r="AL20" s="38">
        <f>AK20</f>
        <v>136.25179019853297</v>
      </c>
      <c r="AM20" s="38"/>
      <c r="AN20" s="38">
        <f t="shared" ref="AN20:AN50" si="86">AJ20* (F20^0.5/AE20^0.5)/(PI()/4*G20^2)/L20/0.72 *(0.7+(MIN(I20,M20)+0.5*G20)/5/E20) *(H20*MIN(M20+0.5*G20+1.5*E20,1000))</f>
        <v>353.17274725274638</v>
      </c>
      <c r="AO20" s="38">
        <f t="shared" ref="AO20:AO83" si="87">AK20/AN20</f>
        <v>0.38579361306444476</v>
      </c>
      <c r="AP20" s="38"/>
      <c r="AR20" s="25" t="e">
        <f>#REF!/G20*F20^0.5/0.19</f>
        <v>#REF!</v>
      </c>
      <c r="AS20" s="25">
        <f t="shared" ref="AS20:AS51" si="88">MIN(0.6+0.4*(O20/N20),2)</f>
        <v>1</v>
      </c>
      <c r="AT20" s="38">
        <f t="shared" ref="AT20:AT51" si="89">2*F20*N20*P20^0.5*AS20*0.7/0.7</f>
        <v>377.71589001257809</v>
      </c>
      <c r="AU20" s="25">
        <f t="shared" ref="AU20:AU51" si="90">MAX(1-0.7*Q20/5,0.3)</f>
        <v>0.3</v>
      </c>
      <c r="AV20" s="25" t="e">
        <f>AU20*D20*#REF!/(D20*G20/2.75/F20^0.5)</f>
        <v>#REF!</v>
      </c>
      <c r="AW20" s="25" t="e">
        <f t="shared" ref="AW20:AW52" si="91">AT20+AV20</f>
        <v>#REF!</v>
      </c>
      <c r="AY20" s="36">
        <f t="shared" ref="AY20:AY51" si="92">MAX(1, (0.9+0.1*MIN(2,N20-0.5))*(0.9+0.1*MIN(3.5,I20/I20))+0.45*MIN(2.5,(40*2*PI()*Y20^2/4/AA20/L20)/G20))</f>
        <v>1.0790157480314961</v>
      </c>
      <c r="AZ20" s="36" t="e">
        <f>(1.6*#REF!+22)*AY20*F20^0.5</f>
        <v>#REF!</v>
      </c>
      <c r="BE20" s="25">
        <f t="shared" ref="BE20:BE51" si="93">IF(L20=1,I20,MIN(I20,K20/2+6.4))</f>
        <v>101.8</v>
      </c>
      <c r="BF20" s="25">
        <f t="shared" ref="BF20:BF51" si="94">MIN(M20,BE20)</f>
        <v>45.47</v>
      </c>
      <c r="BG20" s="25">
        <f t="shared" ref="BG20:BG51" si="95">MAX(M20,BE20)</f>
        <v>101.8</v>
      </c>
      <c r="BH20" s="25">
        <f t="shared" ref="BH20:BH51" si="96">BF20+G20/2</f>
        <v>58.17</v>
      </c>
      <c r="BI20" s="25">
        <f t="shared" ref="BI20:BI52" si="97">MIN(1.25, 0.1*BG20/BF20+0.9)</f>
        <v>1.1238838794809765</v>
      </c>
      <c r="BJ20" s="25">
        <f t="shared" ref="BJ20:BJ51" si="98">MIN(4, (BH20*BI20+(6*F20^0.5*(0.03*G20+0.22)*(Y20^2/4*PI())*2/AA20/L20))/G20)</f>
        <v>2.573871073598756</v>
      </c>
      <c r="BL20" s="25">
        <f t="shared" ref="BL20:BL51" si="99">IF(K20=0,I20,MIN(K20/2,I20))</f>
        <v>101.8</v>
      </c>
      <c r="BP20" s="29"/>
      <c r="BR20" s="29"/>
      <c r="BS20" s="29"/>
      <c r="BT20" s="29">
        <f t="shared" ref="BT20:BT51" si="100">IF(K20=0,MIN(I20,J20),MIN(K20/2,I20,J20))</f>
        <v>101.8</v>
      </c>
      <c r="BU20" s="29">
        <f t="shared" ref="BU20:BU51" si="101">MAX(K20/2,I20)</f>
        <v>101.8</v>
      </c>
      <c r="BV20" s="29">
        <f t="shared" ref="BV20:BV51" si="102">(BT20/G20)^0.5*(BU20/BT20)^0.15</f>
        <v>2.001967536137395</v>
      </c>
      <c r="BW20" s="29">
        <v>0</v>
      </c>
      <c r="BX20" s="29">
        <f t="shared" ref="BX20:BX51" si="103">MIN(PI()*Y20^2/4*Z20*2/L20/G20/MAX(0.01,AA20),0.05)</f>
        <v>0</v>
      </c>
      <c r="BY20" s="29">
        <f t="shared" ref="BY20:BY52" si="104">MAX(0,BW20*(BX20-0.5/50))</f>
        <v>0</v>
      </c>
      <c r="BZ20" s="29">
        <f t="shared" ref="BZ20:BZ51" si="105">MIN(1,(25/G20)^0.3)</f>
        <v>0.99524931562137331</v>
      </c>
      <c r="CA20" s="29">
        <f t="shared" ref="CA20:CA51" si="106">IF(D20&gt;=800,0.68,IF(D20&gt;=700,0.75-(D20-700)*0.07/100,IF(D20&gt;=600,0.85-(D20-600)*0.1/100,IF(D20&gt;=500,1-(D20-500)*0.15/100,1.2-(D20-400)*0.2/100))))</f>
        <v>0.97375</v>
      </c>
      <c r="CB20" s="29">
        <f t="shared" ref="CB20:CB51" si="107">1.75*BZ20*CA20*(F20/25)^0.5</f>
        <v>1.8095260954698043</v>
      </c>
      <c r="CC20" s="29">
        <f t="shared" ref="CC20:CC51" si="108">MIN((BV20+BY20)*CB20,2.5*CB20,F20^0.5)</f>
        <v>3.6226124989240045</v>
      </c>
      <c r="CD20" s="29">
        <v>1</v>
      </c>
      <c r="CE20" s="29" t="e">
        <f>4*CC20*#REF!+60*CC20</f>
        <v>#REF!</v>
      </c>
      <c r="CG20" s="4"/>
      <c r="CH20" s="4"/>
      <c r="CI20" s="4"/>
      <c r="CJ20" s="4"/>
      <c r="CK20" s="4"/>
      <c r="CL20" s="4"/>
      <c r="CM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B20" s="4">
        <f t="shared" ref="DB20:DB52" si="109">Z20</f>
        <v>0</v>
      </c>
      <c r="DC20" s="25">
        <f t="shared" ref="DC20:DC51" si="110">E20</f>
        <v>12.7</v>
      </c>
      <c r="DD20" s="25" t="e">
        <f>#REF!/E20</f>
        <v>#REF!</v>
      </c>
      <c r="DF20" s="4">
        <f t="shared" ref="DF20:DF51" si="111">E20/4/(1-0.3*(F20/30)^0.5)/200000/G20</f>
        <v>8.8301600844121163E-7</v>
      </c>
      <c r="DG20" s="4">
        <f t="shared" ref="DG20:DG52" si="112">EB20</f>
        <v>8.1848336869692275</v>
      </c>
      <c r="DH20" s="4"/>
      <c r="DI20" s="4">
        <f t="shared" ref="DI20" si="113">DG20*DH20^0.4</f>
        <v>0</v>
      </c>
      <c r="DJ20" s="4">
        <f t="shared" ref="DJ20" si="114">MIN(DG20, DG20/1.4*(1-DH20^1.4)/(1-DH20))</f>
        <v>5.8463097764065912</v>
      </c>
      <c r="DK20" s="4">
        <f t="shared" ref="DK20:DK51" si="115">MAX(DG20/2, (4-DF20*(8*S20*(DI20-DJ20)+6*E20*DJ20))/(4+DF20*E20*DG20)*DG20)</f>
        <v>8.1904203412824206</v>
      </c>
      <c r="DL20" s="38" t="e">
        <f t="shared" ref="DL20:DL51" si="116">MIN(1/G20*(4*S20*(DI20-DJ20)+(3*DJ20+DK20)*E20)+DO20 -EV20,MAX(D20,V20))</f>
        <v>#REF!</v>
      </c>
      <c r="DM20" s="4" t="e">
        <f t="shared" ref="DM20" si="117">DL20/ER20</f>
        <v>#REF!</v>
      </c>
      <c r="DN20" s="4"/>
      <c r="DO20" s="4">
        <f>MIN(DN$10*AN20)</f>
        <v>353.17274725274638</v>
      </c>
      <c r="DS20" s="25">
        <f t="shared" ref="DS20:DS51" si="118">IF(J20&gt;1*G20,0.85,1)</f>
        <v>0.85</v>
      </c>
      <c r="DT20" s="25">
        <f t="shared" ref="DT20:DT51" si="119">MIN(1,MAX(0.7,(1-0.1*(BL20-1*G20)/G20)))</f>
        <v>0.7</v>
      </c>
      <c r="DU20" s="25">
        <f t="shared" ref="DU20:DU51" si="120">MIN(1,MAX(0.7,1-0.3*(PI()*Y20^2/4*Z20*2-0.25*PI()/4*G20^2)/(PI()/4*G20^2)))</f>
        <v>1</v>
      </c>
      <c r="DV20" s="25">
        <f t="shared" ref="DV20:DV52" si="121">IF(DT20*DU20&lt;0.7,0.7,DT20*DU20)</f>
        <v>0.7</v>
      </c>
      <c r="DX20" s="4" t="e">
        <f t="shared" ref="DX20:DX51" si="122">MIN(DG20/G20*3*E20+DY20-EV20,MAX(D20,V20))</f>
        <v>#REF!</v>
      </c>
      <c r="DY20" s="25">
        <f t="shared" ref="DY20:DY51" si="123">8.8*H20*508*F20^0.5/L20/G20^2/E20^0.5*(0.7+MIN(M20,I20)/5/E20)</f>
        <v>3363.6638970811728</v>
      </c>
      <c r="EB20" s="4">
        <f t="shared" si="75"/>
        <v>8.1848336869692275</v>
      </c>
      <c r="EC20" s="25">
        <f t="shared" ref="EC20:EC51" si="124">IF(G20&lt;22.2,1.1*5*(F20/30)^0.5,IF(G20&gt;=31.8,0.9*5*(F20/30)^0.5,1*5*(F20/30)^0.5))*BJ20/2.5</f>
        <v>5.0138761872474067</v>
      </c>
      <c r="EE20" s="4">
        <f t="shared" ref="EE20:EE51" si="125">EF20*G20</f>
        <v>77.858162529590359</v>
      </c>
      <c r="EF20" s="4">
        <f t="shared" ref="EF20:EF52" si="126">R20^0.5</f>
        <v>3.0652819893539514</v>
      </c>
      <c r="EG20" s="4">
        <f t="shared" ref="EG20:EG51" si="127">MIN(DO20)/(4700*F20^0.5)/Q20*EE20</f>
        <v>0.130618891639665</v>
      </c>
      <c r="EJ20" s="25">
        <f t="shared" ref="EJ20:EJ52" si="128">EG20</f>
        <v>0.130618891639665</v>
      </c>
      <c r="EK20" s="25">
        <f t="shared" ref="EK20:EK51" si="129">MIN(0.999, EJ20/(0.3*(F20/30)^0.5))</f>
        <v>0.44702099307513243</v>
      </c>
      <c r="EL20" s="4">
        <f t="shared" ref="EL20:EL52" si="130">EB20/1*EK20^0.4</f>
        <v>5.9311789414130152</v>
      </c>
      <c r="EM20" s="25">
        <f t="shared" ref="EM20:EM52" si="131">EB20/1.4*(1-EK20^1.4)/(1-EK20)</f>
        <v>7.1476133518602776</v>
      </c>
      <c r="EN20" s="4">
        <f t="shared" ref="EN20:EN52" si="132">MAX(0,DC20*EN$9-EE20)</f>
        <v>0</v>
      </c>
      <c r="EO20" s="4">
        <f t="shared" ref="EO20:EO52" si="133">MAX(0,DC20-EE20-EN20)</f>
        <v>0</v>
      </c>
      <c r="EP20" s="25">
        <f t="shared" ref="EP20:EP51" si="134">EO20/(1-0.3*(F20/30)^0.5)/200000/G20</f>
        <v>0</v>
      </c>
      <c r="EQ20" s="25">
        <f t="shared" ref="EQ20:EQ52" si="135">MAX(0.5*EB20, (1-2*EP20*(EE20*EL20+EN20*EM20))/(1/EB20+EP20*EO20))</f>
        <v>8.1848336869692275</v>
      </c>
      <c r="ER20" s="4" t="e">
        <f t="shared" ref="ER20:ER51" si="136">MIN(4/G20*(1*EL20*EE20+EM20*ES20+ET20*EQ20)+DO20,MAX(D20,V20))</f>
        <v>#REF!</v>
      </c>
      <c r="ES20" s="4" t="e">
        <f t="shared" ref="ES20:ES52" si="137">IF(DD20&lt;=EN$9, MAX(0,DC20*DD20-EE20), MAX(0,DC20*EN$9-EE20))</f>
        <v>#REF!</v>
      </c>
      <c r="ET20" s="4" t="e">
        <f t="shared" ref="ET20:ET52" si="138">MAX(0, DC20*DD20-ES20-EE20)</f>
        <v>#REF!</v>
      </c>
      <c r="EV20" s="4" t="e">
        <f t="shared" ref="EV20:EV51" si="139">4/G20*(1*EL20*EE20+EM20*EN20+EO20*EQ20)+DO20 - (4/G20*(1*EL20*EE20+EM20*ES20+ET20*EQ20)+DO20)</f>
        <v>#REF!</v>
      </c>
      <c r="FA20" s="23"/>
      <c r="FB20" s="23"/>
      <c r="FC20" s="23"/>
      <c r="FD20" s="23"/>
      <c r="FE20" s="23"/>
      <c r="FF20" s="23"/>
      <c r="FG20" s="30"/>
      <c r="FH20" s="30"/>
      <c r="FR20" s="4">
        <f t="shared" ref="FR20:FR83" si="140">IF(I20&gt;=2.5*25.4,1,1.25)</f>
        <v>1</v>
      </c>
      <c r="FS20" s="4">
        <f t="shared" ref="FS20:FS83" si="141">IF(AA20&gt;1, 0.05*(18-MIN(8,(K20+G20)/G20))*(1-48000/MAX(60000,(D20*145))*(G20/25.4)^0.75*FT20), 1/12*(14-MIN(8,(K20+G20)/G20)))</f>
        <v>1.0833333333333333</v>
      </c>
      <c r="FT20" s="4">
        <f t="shared" ref="FT20:FT83" si="142">MIN(0.3, Y20^2*PI()/4*2*AB20/(G20^2*PI()/4*L20))</f>
        <v>0</v>
      </c>
      <c r="FU20" s="4">
        <f t="shared" ref="FU20:FU83" si="143">(E20/25.4)/(G20/25.4)^1.5/0.0024*(F20*145)^0.25/FR20/FS20/145</f>
        <v>10.629904887340729</v>
      </c>
      <c r="FV20" s="4"/>
    </row>
    <row r="21" spans="1:178" s="25" customFormat="1" ht="12" customHeight="1" x14ac:dyDescent="0.3">
      <c r="B21" s="26" t="s">
        <v>82</v>
      </c>
      <c r="C21" s="28" t="s">
        <v>300</v>
      </c>
      <c r="D21" s="28">
        <f t="shared" ref="D21:D52" si="144">75*6.9</f>
        <v>517.5</v>
      </c>
      <c r="E21" s="28">
        <f>0.5*25.4</f>
        <v>12.7</v>
      </c>
      <c r="F21" s="28">
        <v>28.46</v>
      </c>
      <c r="G21" s="28">
        <v>25.4</v>
      </c>
      <c r="H21" s="28">
        <v>229</v>
      </c>
      <c r="I21" s="28">
        <f t="shared" si="77"/>
        <v>101.8</v>
      </c>
      <c r="J21" s="28">
        <v>305</v>
      </c>
      <c r="K21" s="28">
        <v>0</v>
      </c>
      <c r="L21" s="28">
        <v>1</v>
      </c>
      <c r="M21" s="28">
        <v>45.39</v>
      </c>
      <c r="N21" s="7">
        <f t="shared" si="78"/>
        <v>2.2870078740157482</v>
      </c>
      <c r="O21" s="28">
        <f t="shared" ref="O21:O52" si="145">N21</f>
        <v>2.2870078740157482</v>
      </c>
      <c r="P21" s="28">
        <f t="shared" si="79"/>
        <v>8.3959536742577185</v>
      </c>
      <c r="Q21" s="7">
        <f t="shared" si="80"/>
        <v>8.3959536742577185</v>
      </c>
      <c r="R21" s="28">
        <f t="shared" si="81"/>
        <v>9.3959536742577185</v>
      </c>
      <c r="S21" s="28">
        <f t="shared" si="82"/>
        <v>77.858162529590359</v>
      </c>
      <c r="T21" s="28"/>
      <c r="U21" s="28"/>
      <c r="V21" s="28">
        <f>196.74/(PI()/4*G21^2)*1000</f>
        <v>388.27135599106572</v>
      </c>
      <c r="W21" s="28"/>
      <c r="X21" s="28"/>
      <c r="Y21" s="28"/>
      <c r="Z21" s="28"/>
      <c r="AA21" s="28">
        <v>1</v>
      </c>
      <c r="AB21" s="28"/>
      <c r="AC21" s="28"/>
      <c r="AD21" s="28"/>
      <c r="AE21" s="4">
        <v>1</v>
      </c>
      <c r="AF21" s="25">
        <f t="shared" si="83"/>
        <v>1</v>
      </c>
      <c r="AG21" s="25">
        <f t="shared" si="84"/>
        <v>0.10528345618346728</v>
      </c>
      <c r="AH21" s="4">
        <f t="shared" si="85"/>
        <v>1</v>
      </c>
      <c r="AI21" s="25">
        <v>1.25</v>
      </c>
      <c r="AJ21" s="25">
        <f t="shared" ref="AJ21:AJ84" si="146">AJ20</f>
        <v>5</v>
      </c>
      <c r="AK21" s="38">
        <f t="shared" ref="AK21:AK52" si="147">AF21*AH21*AI21*AJ21*AG21</f>
        <v>0.65802160114667052</v>
      </c>
      <c r="AL21" s="38">
        <f t="shared" ref="AL21:AL84" si="148">AK21</f>
        <v>0.65802160114667052</v>
      </c>
      <c r="AM21" s="38"/>
      <c r="AN21" s="38">
        <f t="shared" si="86"/>
        <v>2085.6063759609842</v>
      </c>
      <c r="AO21" s="38">
        <f t="shared" si="87"/>
        <v>3.155061322841776E-4</v>
      </c>
      <c r="AP21" s="38"/>
      <c r="AR21" s="25" t="e">
        <f>#REF!/G21*F21^0.5/0.19</f>
        <v>#REF!</v>
      </c>
      <c r="AS21" s="25">
        <f t="shared" si="88"/>
        <v>1</v>
      </c>
      <c r="AT21" s="38">
        <f t="shared" si="89"/>
        <v>377.19642514751001</v>
      </c>
      <c r="AU21" s="25">
        <f t="shared" si="90"/>
        <v>0.3</v>
      </c>
      <c r="AV21" s="25" t="e">
        <f>AU21*D21*#REF!/(D21*G21/2.75/F21^0.5)</f>
        <v>#REF!</v>
      </c>
      <c r="AW21" s="25" t="e">
        <f t="shared" si="91"/>
        <v>#REF!</v>
      </c>
      <c r="AY21" s="36">
        <f t="shared" si="92"/>
        <v>1.0787007874015748</v>
      </c>
      <c r="AZ21" s="36" t="e">
        <f>(1.6*#REF!+22)*AY21*F21^0.5</f>
        <v>#REF!</v>
      </c>
      <c r="BE21" s="25">
        <f t="shared" si="93"/>
        <v>101.8</v>
      </c>
      <c r="BF21" s="25">
        <f t="shared" si="94"/>
        <v>45.39</v>
      </c>
      <c r="BG21" s="25">
        <f t="shared" si="95"/>
        <v>101.8</v>
      </c>
      <c r="BH21" s="25">
        <f t="shared" si="96"/>
        <v>58.09</v>
      </c>
      <c r="BI21" s="25">
        <f t="shared" si="97"/>
        <v>1.1242784754351178</v>
      </c>
      <c r="BJ21" s="25">
        <f t="shared" si="98"/>
        <v>2.5712337259065356</v>
      </c>
      <c r="BL21" s="25">
        <f t="shared" si="99"/>
        <v>101.8</v>
      </c>
      <c r="BP21" s="29"/>
      <c r="BR21" s="29"/>
      <c r="BS21" s="29"/>
      <c r="BT21" s="29">
        <f t="shared" si="100"/>
        <v>101.8</v>
      </c>
      <c r="BU21" s="29">
        <f t="shared" si="101"/>
        <v>101.8</v>
      </c>
      <c r="BV21" s="29">
        <f t="shared" si="102"/>
        <v>2.001967536137395</v>
      </c>
      <c r="BW21" s="29">
        <v>0</v>
      </c>
      <c r="BX21" s="29">
        <f t="shared" si="103"/>
        <v>0</v>
      </c>
      <c r="BY21" s="29">
        <f t="shared" si="104"/>
        <v>0</v>
      </c>
      <c r="BZ21" s="29">
        <f t="shared" si="105"/>
        <v>0.99524931562137331</v>
      </c>
      <c r="CA21" s="29">
        <f t="shared" si="106"/>
        <v>0.97375</v>
      </c>
      <c r="CB21" s="29">
        <f t="shared" si="107"/>
        <v>1.8095260954698043</v>
      </c>
      <c r="CC21" s="29">
        <f t="shared" si="108"/>
        <v>3.6226124989240045</v>
      </c>
      <c r="CD21" s="29">
        <v>1</v>
      </c>
      <c r="CE21" s="29" t="e">
        <f>4*CC21*#REF!+60*CC21</f>
        <v>#REF!</v>
      </c>
      <c r="CG21" s="4"/>
      <c r="CH21" s="4"/>
      <c r="CI21" s="4"/>
      <c r="CJ21" s="4"/>
      <c r="CK21" s="4"/>
      <c r="CL21" s="4"/>
      <c r="CM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B21" s="4">
        <f t="shared" si="109"/>
        <v>0</v>
      </c>
      <c r="DC21" s="25">
        <f t="shared" si="110"/>
        <v>12.7</v>
      </c>
      <c r="DD21" s="25" t="e">
        <f>#REF!/E21</f>
        <v>#REF!</v>
      </c>
      <c r="DF21" s="4">
        <f t="shared" si="111"/>
        <v>8.8301600844121163E-7</v>
      </c>
      <c r="DG21" s="4">
        <f t="shared" si="112"/>
        <v>8.1848336869692275</v>
      </c>
      <c r="DH21" s="4"/>
      <c r="DI21" s="4">
        <f t="shared" ref="DI21:DI84" si="149">DG21*DH21^0.4</f>
        <v>0</v>
      </c>
      <c r="DJ21" s="4">
        <f t="shared" ref="DJ21:DJ84" si="150">MIN(DG21, DG21/1.4*(1-DH21^1.4)/(1-DH21))</f>
        <v>5.8463097764065912</v>
      </c>
      <c r="DK21" s="4">
        <f t="shared" si="115"/>
        <v>8.1904203412824206</v>
      </c>
      <c r="DL21" s="38" t="e">
        <f t="shared" si="116"/>
        <v>#REF!</v>
      </c>
      <c r="DM21" s="4" t="e">
        <f t="shared" ref="DM21:DM84" si="151">DL21/ER21</f>
        <v>#REF!</v>
      </c>
      <c r="DN21" s="4"/>
      <c r="DO21" s="4">
        <f t="shared" ref="DO21:DO84" si="152">MIN(DN$10*AN21)</f>
        <v>2085.6063759609842</v>
      </c>
      <c r="DS21" s="25">
        <f t="shared" si="118"/>
        <v>0.85</v>
      </c>
      <c r="DT21" s="25">
        <f t="shared" si="119"/>
        <v>0.7</v>
      </c>
      <c r="DU21" s="25">
        <f t="shared" si="120"/>
        <v>1</v>
      </c>
      <c r="DV21" s="25">
        <f t="shared" si="121"/>
        <v>0.7</v>
      </c>
      <c r="DX21" s="4" t="e">
        <f t="shared" si="122"/>
        <v>#REF!</v>
      </c>
      <c r="DY21" s="25">
        <f t="shared" si="123"/>
        <v>3360.6713135428445</v>
      </c>
      <c r="EB21" s="4">
        <f t="shared" si="75"/>
        <v>8.1848336869692275</v>
      </c>
      <c r="EC21" s="25">
        <f t="shared" si="124"/>
        <v>5.0087386592153482</v>
      </c>
      <c r="EE21" s="4">
        <f t="shared" si="125"/>
        <v>77.858162529590359</v>
      </c>
      <c r="EF21" s="4">
        <f t="shared" si="126"/>
        <v>3.0652819893539514</v>
      </c>
      <c r="EG21" s="4">
        <f t="shared" si="127"/>
        <v>0.77134941850336602</v>
      </c>
      <c r="EJ21" s="25">
        <f t="shared" si="128"/>
        <v>0.77134941850336602</v>
      </c>
      <c r="EK21" s="25">
        <f t="shared" si="129"/>
        <v>0.999</v>
      </c>
      <c r="EL21" s="4">
        <f t="shared" si="130"/>
        <v>8.1815587707902271</v>
      </c>
      <c r="EM21" s="25">
        <f t="shared" si="131"/>
        <v>8.1831963927074298</v>
      </c>
      <c r="EN21" s="4">
        <f t="shared" si="132"/>
        <v>0</v>
      </c>
      <c r="EO21" s="4">
        <f t="shared" si="133"/>
        <v>0</v>
      </c>
      <c r="EP21" s="25">
        <f t="shared" si="134"/>
        <v>0</v>
      </c>
      <c r="EQ21" s="25">
        <f t="shared" si="135"/>
        <v>8.1848336869692275</v>
      </c>
      <c r="ER21" s="4" t="e">
        <f t="shared" si="136"/>
        <v>#REF!</v>
      </c>
      <c r="ES21" s="4" t="e">
        <f t="shared" si="137"/>
        <v>#REF!</v>
      </c>
      <c r="ET21" s="4" t="e">
        <f t="shared" si="138"/>
        <v>#REF!</v>
      </c>
      <c r="EV21" s="4" t="e">
        <f t="shared" si="139"/>
        <v>#REF!</v>
      </c>
      <c r="FA21" s="23"/>
      <c r="FB21" s="23"/>
      <c r="FC21" s="23"/>
      <c r="FD21" s="23"/>
      <c r="FE21" s="23"/>
      <c r="FF21" s="23"/>
      <c r="FG21" s="30"/>
      <c r="FH21" s="30"/>
      <c r="FR21" s="4">
        <f t="shared" si="140"/>
        <v>1</v>
      </c>
      <c r="FS21" s="4">
        <f t="shared" si="141"/>
        <v>1.0833333333333333</v>
      </c>
      <c r="FT21" s="4">
        <f t="shared" si="142"/>
        <v>0</v>
      </c>
      <c r="FU21" s="4">
        <f t="shared" si="143"/>
        <v>10.629904887340729</v>
      </c>
      <c r="FV21" s="4"/>
    </row>
    <row r="22" spans="1:178" s="25" customFormat="1" ht="12" customHeight="1" x14ac:dyDescent="0.3">
      <c r="B22" s="26"/>
      <c r="C22" s="28" t="s">
        <v>301</v>
      </c>
      <c r="D22" s="28">
        <f t="shared" si="144"/>
        <v>517.5</v>
      </c>
      <c r="E22" s="28">
        <f>0.5*25.4</f>
        <v>12.7</v>
      </c>
      <c r="F22" s="28">
        <v>28.46</v>
      </c>
      <c r="G22" s="28">
        <v>25.4</v>
      </c>
      <c r="H22" s="28">
        <v>229</v>
      </c>
      <c r="I22" s="28">
        <f t="shared" si="77"/>
        <v>101.8</v>
      </c>
      <c r="J22" s="28">
        <v>305</v>
      </c>
      <c r="K22" s="28">
        <v>0</v>
      </c>
      <c r="L22" s="28">
        <v>1</v>
      </c>
      <c r="M22" s="28">
        <v>47.12</v>
      </c>
      <c r="N22" s="7">
        <f t="shared" si="78"/>
        <v>2.3551181102362202</v>
      </c>
      <c r="O22" s="28">
        <f t="shared" si="145"/>
        <v>2.3551181102362202</v>
      </c>
      <c r="P22" s="28">
        <f t="shared" si="79"/>
        <v>8.3959536742577185</v>
      </c>
      <c r="Q22" s="7">
        <f t="shared" si="80"/>
        <v>8.3959536742577185</v>
      </c>
      <c r="R22" s="28">
        <f t="shared" si="81"/>
        <v>9.3959536742577185</v>
      </c>
      <c r="S22" s="28">
        <f t="shared" si="82"/>
        <v>77.858162529590359</v>
      </c>
      <c r="T22" s="28"/>
      <c r="U22" s="28"/>
      <c r="V22" s="28">
        <f>184.68/(PI()/4*G22^2)*1000</f>
        <v>364.47064157990252</v>
      </c>
      <c r="W22" s="28"/>
      <c r="X22" s="28"/>
      <c r="Y22" s="28"/>
      <c r="Z22" s="28"/>
      <c r="AA22" s="28">
        <v>1</v>
      </c>
      <c r="AB22" s="28"/>
      <c r="AC22" s="28"/>
      <c r="AD22" s="28"/>
      <c r="AE22" s="4">
        <v>1</v>
      </c>
      <c r="AF22" s="25">
        <f t="shared" si="83"/>
        <v>1</v>
      </c>
      <c r="AG22" s="25">
        <f t="shared" si="84"/>
        <v>0.10528345618346728</v>
      </c>
      <c r="AH22" s="4">
        <f t="shared" si="85"/>
        <v>1</v>
      </c>
      <c r="AI22" s="25">
        <v>1.25</v>
      </c>
      <c r="AJ22" s="25">
        <f t="shared" si="146"/>
        <v>5</v>
      </c>
      <c r="AK22" s="38">
        <f t="shared" si="147"/>
        <v>0.65802160114667052</v>
      </c>
      <c r="AL22" s="38">
        <f t="shared" si="148"/>
        <v>0.65802160114667052</v>
      </c>
      <c r="AM22" s="38"/>
      <c r="AN22" s="38">
        <f t="shared" si="86"/>
        <v>2168.3561324959337</v>
      </c>
      <c r="AO22" s="38">
        <f t="shared" si="87"/>
        <v>3.0346564906256443E-4</v>
      </c>
      <c r="AP22" s="38"/>
      <c r="AR22" s="25" t="e">
        <f>#REF!/G22*F22^0.5/0.19</f>
        <v>#REF!</v>
      </c>
      <c r="AS22" s="25">
        <f t="shared" si="88"/>
        <v>1</v>
      </c>
      <c r="AT22" s="38">
        <f t="shared" si="89"/>
        <v>388.42985285460571</v>
      </c>
      <c r="AU22" s="25">
        <f t="shared" si="90"/>
        <v>0.3</v>
      </c>
      <c r="AV22" s="25" t="e">
        <f>AU22*D22*#REF!/(D22*G22/2.75/F22^0.5)</f>
        <v>#REF!</v>
      </c>
      <c r="AW22" s="25" t="e">
        <f t="shared" si="91"/>
        <v>#REF!</v>
      </c>
      <c r="AY22" s="36">
        <f t="shared" si="92"/>
        <v>1.0855118110236219</v>
      </c>
      <c r="AZ22" s="36" t="e">
        <f>(1.6*#REF!+22)*AY22*F22^0.5</f>
        <v>#REF!</v>
      </c>
      <c r="BE22" s="25">
        <f t="shared" si="93"/>
        <v>101.8</v>
      </c>
      <c r="BF22" s="25">
        <f t="shared" si="94"/>
        <v>47.12</v>
      </c>
      <c r="BG22" s="25">
        <f t="shared" si="95"/>
        <v>101.8</v>
      </c>
      <c r="BH22" s="25">
        <f t="shared" si="96"/>
        <v>59.819999999999993</v>
      </c>
      <c r="BI22" s="25">
        <f t="shared" si="97"/>
        <v>1.1160441426146011</v>
      </c>
      <c r="BJ22" s="25">
        <f t="shared" si="98"/>
        <v>2.6284157720947023</v>
      </c>
      <c r="BL22" s="25">
        <f t="shared" si="99"/>
        <v>101.8</v>
      </c>
      <c r="BP22" s="29"/>
      <c r="BR22" s="29"/>
      <c r="BS22" s="29"/>
      <c r="BT22" s="29">
        <f t="shared" si="100"/>
        <v>101.8</v>
      </c>
      <c r="BU22" s="29">
        <f t="shared" si="101"/>
        <v>101.8</v>
      </c>
      <c r="BV22" s="29">
        <f t="shared" si="102"/>
        <v>2.001967536137395</v>
      </c>
      <c r="BW22" s="29">
        <v>0</v>
      </c>
      <c r="BX22" s="29">
        <f t="shared" si="103"/>
        <v>0</v>
      </c>
      <c r="BY22" s="29">
        <f t="shared" si="104"/>
        <v>0</v>
      </c>
      <c r="BZ22" s="29">
        <f t="shared" si="105"/>
        <v>0.99524931562137331</v>
      </c>
      <c r="CA22" s="29">
        <f t="shared" si="106"/>
        <v>0.97375</v>
      </c>
      <c r="CB22" s="29">
        <f t="shared" si="107"/>
        <v>1.8095260954698043</v>
      </c>
      <c r="CC22" s="29">
        <f t="shared" si="108"/>
        <v>3.6226124989240045</v>
      </c>
      <c r="CD22" s="29">
        <v>1</v>
      </c>
      <c r="CE22" s="29" t="e">
        <f>4*CC22*#REF!+60*CC22</f>
        <v>#REF!</v>
      </c>
      <c r="CG22" s="4"/>
      <c r="CH22" s="4"/>
      <c r="CI22" s="4"/>
      <c r="CJ22" s="4"/>
      <c r="CK22" s="4"/>
      <c r="CL22" s="4"/>
      <c r="CM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B22" s="4">
        <f t="shared" si="109"/>
        <v>0</v>
      </c>
      <c r="DC22" s="25">
        <f t="shared" si="110"/>
        <v>12.7</v>
      </c>
      <c r="DD22" s="25" t="e">
        <f>#REF!/E22</f>
        <v>#REF!</v>
      </c>
      <c r="DF22" s="4">
        <f t="shared" si="111"/>
        <v>8.8301600844121163E-7</v>
      </c>
      <c r="DG22" s="4">
        <f t="shared" si="112"/>
        <v>8.1848336869692275</v>
      </c>
      <c r="DH22" s="4"/>
      <c r="DI22" s="4">
        <f t="shared" si="149"/>
        <v>0</v>
      </c>
      <c r="DJ22" s="4">
        <f t="shared" si="150"/>
        <v>5.8463097764065912</v>
      </c>
      <c r="DK22" s="4">
        <f t="shared" si="115"/>
        <v>8.1904203412824206</v>
      </c>
      <c r="DL22" s="38" t="e">
        <f t="shared" si="116"/>
        <v>#REF!</v>
      </c>
      <c r="DM22" s="4" t="e">
        <f t="shared" si="151"/>
        <v>#REF!</v>
      </c>
      <c r="DN22" s="4"/>
      <c r="DO22" s="4">
        <f t="shared" si="152"/>
        <v>2168.3561324959337</v>
      </c>
      <c r="DS22" s="25">
        <f t="shared" si="118"/>
        <v>0.85</v>
      </c>
      <c r="DT22" s="25">
        <f t="shared" si="119"/>
        <v>0.7</v>
      </c>
      <c r="DU22" s="25">
        <f t="shared" si="120"/>
        <v>1</v>
      </c>
      <c r="DV22" s="25">
        <f t="shared" si="121"/>
        <v>0.7</v>
      </c>
      <c r="DX22" s="4" t="e">
        <f t="shared" si="122"/>
        <v>#REF!</v>
      </c>
      <c r="DY22" s="25">
        <f t="shared" si="123"/>
        <v>3425.3859325591975</v>
      </c>
      <c r="EB22" s="4">
        <f t="shared" si="75"/>
        <v>8.1848336869692275</v>
      </c>
      <c r="EC22" s="25">
        <f t="shared" si="124"/>
        <v>5.1201287372428643</v>
      </c>
      <c r="EE22" s="4">
        <f t="shared" si="125"/>
        <v>77.858162529590359</v>
      </c>
      <c r="EF22" s="4">
        <f t="shared" si="126"/>
        <v>3.0652819893539514</v>
      </c>
      <c r="EG22" s="4">
        <f t="shared" si="127"/>
        <v>0.80195393588508823</v>
      </c>
      <c r="EJ22" s="25">
        <f t="shared" si="128"/>
        <v>0.80195393588508823</v>
      </c>
      <c r="EK22" s="25">
        <f t="shared" si="129"/>
        <v>0.999</v>
      </c>
      <c r="EL22" s="4">
        <f t="shared" si="130"/>
        <v>8.1815587707902271</v>
      </c>
      <c r="EM22" s="25">
        <f t="shared" si="131"/>
        <v>8.1831963927074298</v>
      </c>
      <c r="EN22" s="4">
        <f t="shared" si="132"/>
        <v>0</v>
      </c>
      <c r="EO22" s="4">
        <f t="shared" si="133"/>
        <v>0</v>
      </c>
      <c r="EP22" s="25">
        <f t="shared" si="134"/>
        <v>0</v>
      </c>
      <c r="EQ22" s="25">
        <f t="shared" si="135"/>
        <v>8.1848336869692275</v>
      </c>
      <c r="ER22" s="4" t="e">
        <f t="shared" si="136"/>
        <v>#REF!</v>
      </c>
      <c r="ES22" s="4" t="e">
        <f t="shared" si="137"/>
        <v>#REF!</v>
      </c>
      <c r="ET22" s="4" t="e">
        <f t="shared" si="138"/>
        <v>#REF!</v>
      </c>
      <c r="EV22" s="4" t="e">
        <f t="shared" si="139"/>
        <v>#REF!</v>
      </c>
      <c r="FA22" s="23"/>
      <c r="FB22" s="23"/>
      <c r="FC22" s="23"/>
      <c r="FD22" s="23"/>
      <c r="FE22" s="23"/>
      <c r="FF22" s="23"/>
      <c r="FG22" s="30"/>
      <c r="FH22" s="30"/>
      <c r="FR22" s="4">
        <f t="shared" si="140"/>
        <v>1</v>
      </c>
      <c r="FS22" s="4">
        <f t="shared" si="141"/>
        <v>1.0833333333333333</v>
      </c>
      <c r="FT22" s="4">
        <f t="shared" si="142"/>
        <v>0</v>
      </c>
      <c r="FU22" s="4">
        <f t="shared" si="143"/>
        <v>10.629904887340729</v>
      </c>
      <c r="FV22" s="4"/>
    </row>
    <row r="23" spans="1:178" ht="12" customHeight="1" x14ac:dyDescent="0.3">
      <c r="B23" s="24"/>
      <c r="C23" s="7" t="s">
        <v>302</v>
      </c>
      <c r="D23" s="28">
        <f t="shared" si="144"/>
        <v>517.5</v>
      </c>
      <c r="E23" s="7">
        <f t="shared" ref="E23:E24" si="153">11.25*25.4</f>
        <v>285.75</v>
      </c>
      <c r="F23" s="7">
        <v>33.630000000000003</v>
      </c>
      <c r="G23" s="7">
        <v>25.4</v>
      </c>
      <c r="H23" s="7">
        <v>229</v>
      </c>
      <c r="I23" s="7">
        <f t="shared" si="77"/>
        <v>101.8</v>
      </c>
      <c r="J23" s="7">
        <v>305</v>
      </c>
      <c r="K23" s="7">
        <v>0</v>
      </c>
      <c r="L23" s="7">
        <v>1</v>
      </c>
      <c r="M23" s="7">
        <v>47.96</v>
      </c>
      <c r="N23" s="7">
        <f t="shared" si="78"/>
        <v>2.3881889763779527</v>
      </c>
      <c r="O23" s="28">
        <f t="shared" si="145"/>
        <v>2.3881889763779527</v>
      </c>
      <c r="P23" s="28">
        <f t="shared" si="79"/>
        <v>8.3959536742577185</v>
      </c>
      <c r="Q23" s="7">
        <f t="shared" si="80"/>
        <v>8.3959536742577185</v>
      </c>
      <c r="R23" s="7">
        <f t="shared" si="81"/>
        <v>9.3959536742577185</v>
      </c>
      <c r="S23" s="7">
        <f t="shared" si="82"/>
        <v>77.858162529590359</v>
      </c>
      <c r="T23" s="7"/>
      <c r="U23" s="7"/>
      <c r="V23" s="7">
        <f>244.28/(PI()/4*G23^2)*1000</f>
        <v>482.09274596674555</v>
      </c>
      <c r="W23" s="7"/>
      <c r="X23" s="7"/>
      <c r="Y23" s="7">
        <v>9.5</v>
      </c>
      <c r="Z23" s="7">
        <v>3</v>
      </c>
      <c r="AA23" s="7">
        <v>127</v>
      </c>
      <c r="AB23" s="7">
        <v>3</v>
      </c>
      <c r="AC23" s="7"/>
      <c r="AD23" s="7"/>
      <c r="AE23" s="4">
        <f t="shared" ref="AE23:AE54" si="154">E23</f>
        <v>285.75</v>
      </c>
      <c r="AF23" s="4">
        <f t="shared" si="83"/>
        <v>0.15246929654353136</v>
      </c>
      <c r="AG23" s="25">
        <f t="shared" si="84"/>
        <v>552.82220346472604</v>
      </c>
      <c r="AH23" s="4">
        <f t="shared" si="85"/>
        <v>0.74245669291338579</v>
      </c>
      <c r="AI23" s="4">
        <v>1.25</v>
      </c>
      <c r="AJ23" s="25">
        <f t="shared" si="146"/>
        <v>5</v>
      </c>
      <c r="AK23" s="38">
        <f t="shared" si="147"/>
        <v>391.12809986115502</v>
      </c>
      <c r="AL23" s="38">
        <f t="shared" si="148"/>
        <v>391.12809986115502</v>
      </c>
      <c r="AN23" s="38">
        <f t="shared" si="86"/>
        <v>391.12809986115491</v>
      </c>
      <c r="AO23" s="38">
        <f t="shared" si="87"/>
        <v>1.0000000000000002</v>
      </c>
      <c r="AR23" s="4" t="e">
        <f>#REF!/G23*F23^0.5/0.19</f>
        <v>#REF!</v>
      </c>
      <c r="AS23" s="4">
        <f t="shared" si="88"/>
        <v>1</v>
      </c>
      <c r="AT23" s="38">
        <f t="shared" si="89"/>
        <v>465.43664045428261</v>
      </c>
      <c r="AU23" s="4">
        <f t="shared" si="90"/>
        <v>0.3</v>
      </c>
      <c r="AV23" s="4" t="e">
        <f>AU23*D23*#REF!/(D23*G23/2.75/F23^0.5)</f>
        <v>#REF!</v>
      </c>
      <c r="AW23" s="4" t="e">
        <f t="shared" si="91"/>
        <v>#REF!</v>
      </c>
      <c r="AY23" s="36">
        <f t="shared" si="92"/>
        <v>1.8798656559235878</v>
      </c>
      <c r="AZ23" s="36" t="e">
        <f>(1.6*#REF!+22)*AY23*F23^0.5</f>
        <v>#REF!</v>
      </c>
      <c r="BE23" s="4">
        <f t="shared" si="93"/>
        <v>101.8</v>
      </c>
      <c r="BF23" s="4">
        <f t="shared" si="94"/>
        <v>47.96</v>
      </c>
      <c r="BG23" s="4">
        <f t="shared" si="95"/>
        <v>101.8</v>
      </c>
      <c r="BH23" s="4">
        <f t="shared" si="96"/>
        <v>60.66</v>
      </c>
      <c r="BI23" s="4">
        <f t="shared" si="97"/>
        <v>1.1122602168473728</v>
      </c>
      <c r="BJ23" s="25">
        <f t="shared" si="98"/>
        <v>4</v>
      </c>
      <c r="BL23" s="4">
        <f t="shared" si="99"/>
        <v>101.8</v>
      </c>
      <c r="BP23" s="9"/>
      <c r="BR23" s="9"/>
      <c r="BS23" s="9"/>
      <c r="BT23" s="9">
        <f t="shared" si="100"/>
        <v>101.8</v>
      </c>
      <c r="BU23" s="9">
        <f t="shared" si="101"/>
        <v>101.8</v>
      </c>
      <c r="BV23" s="9">
        <f t="shared" si="102"/>
        <v>2.001967536137395</v>
      </c>
      <c r="BW23" s="9">
        <v>20</v>
      </c>
      <c r="BX23" s="9">
        <f t="shared" si="103"/>
        <v>0.05</v>
      </c>
      <c r="BY23" s="9">
        <f t="shared" si="104"/>
        <v>0.8</v>
      </c>
      <c r="BZ23" s="9">
        <f t="shared" si="105"/>
        <v>0.99524931562137331</v>
      </c>
      <c r="CA23" s="9">
        <f t="shared" si="106"/>
        <v>0.97375</v>
      </c>
      <c r="CB23" s="9">
        <f t="shared" si="107"/>
        <v>1.9670293329614872</v>
      </c>
      <c r="CC23" s="9">
        <f t="shared" si="108"/>
        <v>4.9175733324037179</v>
      </c>
      <c r="CD23" s="9">
        <v>1</v>
      </c>
      <c r="CE23" s="9" t="e">
        <f>4*CC23*#REF!+60*CC23</f>
        <v>#REF!</v>
      </c>
      <c r="DB23" s="4">
        <f t="shared" si="109"/>
        <v>3</v>
      </c>
      <c r="DC23" s="4">
        <f t="shared" si="110"/>
        <v>285.75</v>
      </c>
      <c r="DD23" s="4" t="e">
        <f>#REF!/E23</f>
        <v>#REF!</v>
      </c>
      <c r="DF23" s="4">
        <f t="shared" si="111"/>
        <v>2.0608377244988005E-5</v>
      </c>
      <c r="DG23" s="4">
        <f t="shared" si="112"/>
        <v>8.8972510471034791</v>
      </c>
      <c r="DI23" s="4">
        <f t="shared" si="149"/>
        <v>0</v>
      </c>
      <c r="DJ23" s="4">
        <f t="shared" si="150"/>
        <v>6.3551793193596282</v>
      </c>
      <c r="DK23" s="4">
        <f t="shared" si="115"/>
        <v>8.4683147824653329</v>
      </c>
      <c r="DL23" s="38" t="e">
        <f t="shared" si="116"/>
        <v>#REF!</v>
      </c>
      <c r="DM23" s="4" t="e">
        <f t="shared" si="151"/>
        <v>#REF!</v>
      </c>
      <c r="DO23" s="4">
        <f t="shared" si="152"/>
        <v>391.12809986115491</v>
      </c>
      <c r="DS23" s="4">
        <f t="shared" si="118"/>
        <v>0.85</v>
      </c>
      <c r="DT23" s="4">
        <f t="shared" si="119"/>
        <v>0.7</v>
      </c>
      <c r="DU23" s="4">
        <f t="shared" si="120"/>
        <v>0.82320199640399283</v>
      </c>
      <c r="DV23" s="4">
        <f t="shared" si="121"/>
        <v>0.7</v>
      </c>
      <c r="DX23" s="4" t="e">
        <f t="shared" si="122"/>
        <v>#REF!</v>
      </c>
      <c r="DY23" s="25">
        <f t="shared" si="123"/>
        <v>399.32362943258647</v>
      </c>
      <c r="EB23" s="4">
        <f t="shared" si="75"/>
        <v>8.8972510471034791</v>
      </c>
      <c r="EC23" s="4">
        <f t="shared" si="124"/>
        <v>8.470182996842512</v>
      </c>
      <c r="EE23" s="4">
        <f t="shared" si="125"/>
        <v>77.858162529590359</v>
      </c>
      <c r="EF23" s="4">
        <f t="shared" si="126"/>
        <v>3.0652819893539514</v>
      </c>
      <c r="EG23" s="4">
        <f t="shared" si="127"/>
        <v>0.13307358072180214</v>
      </c>
      <c r="EJ23" s="4">
        <f t="shared" si="128"/>
        <v>0.13307358072180214</v>
      </c>
      <c r="EK23" s="4">
        <f t="shared" si="129"/>
        <v>0.41895538981517921</v>
      </c>
      <c r="EL23" s="4">
        <f t="shared" si="130"/>
        <v>6.2823620020062467</v>
      </c>
      <c r="EM23" s="4">
        <f t="shared" si="131"/>
        <v>7.7019186230321308</v>
      </c>
      <c r="EN23" s="4">
        <f t="shared" si="132"/>
        <v>136.45433747040965</v>
      </c>
      <c r="EO23" s="4">
        <f t="shared" si="133"/>
        <v>71.4375</v>
      </c>
      <c r="EP23" s="4">
        <f t="shared" si="134"/>
        <v>2.0608377244988005E-5</v>
      </c>
      <c r="EQ23" s="4">
        <f t="shared" si="135"/>
        <v>8.2247416076663136</v>
      </c>
      <c r="ER23" s="4" t="e">
        <f t="shared" si="136"/>
        <v>#REF!</v>
      </c>
      <c r="ES23" s="4" t="e">
        <f t="shared" si="137"/>
        <v>#REF!</v>
      </c>
      <c r="ET23" s="4" t="e">
        <f t="shared" si="138"/>
        <v>#REF!</v>
      </c>
      <c r="EV23" s="4" t="e">
        <f t="shared" si="139"/>
        <v>#REF!</v>
      </c>
      <c r="FA23" s="23"/>
      <c r="FB23" s="23"/>
      <c r="FC23" s="23"/>
      <c r="FD23" s="23"/>
      <c r="FE23" s="23"/>
      <c r="FF23" s="23"/>
      <c r="FG23" s="23"/>
      <c r="FH23" s="23"/>
      <c r="FR23" s="4">
        <f t="shared" si="140"/>
        <v>1</v>
      </c>
      <c r="FS23" s="4">
        <f t="shared" si="141"/>
        <v>0.68688155922038985</v>
      </c>
      <c r="FT23" s="4">
        <f t="shared" si="142"/>
        <v>0.3</v>
      </c>
      <c r="FU23" s="4">
        <f t="shared" si="143"/>
        <v>393.29202394425954</v>
      </c>
    </row>
    <row r="24" spans="1:178" ht="12" customHeight="1" x14ac:dyDescent="0.3">
      <c r="B24" s="24"/>
      <c r="C24" s="7" t="s">
        <v>303</v>
      </c>
      <c r="D24" s="28">
        <f t="shared" si="144"/>
        <v>517.5</v>
      </c>
      <c r="E24" s="7">
        <f t="shared" si="153"/>
        <v>285.75</v>
      </c>
      <c r="F24" s="7">
        <v>33.630000000000003</v>
      </c>
      <c r="G24" s="7">
        <v>25.4</v>
      </c>
      <c r="H24" s="7">
        <v>229</v>
      </c>
      <c r="I24" s="7">
        <f t="shared" si="77"/>
        <v>101.8</v>
      </c>
      <c r="J24" s="7">
        <v>305</v>
      </c>
      <c r="K24" s="7">
        <v>0</v>
      </c>
      <c r="L24" s="7">
        <v>1</v>
      </c>
      <c r="M24" s="7">
        <v>50.8</v>
      </c>
      <c r="N24" s="7">
        <f t="shared" si="78"/>
        <v>2.5</v>
      </c>
      <c r="O24" s="28">
        <f t="shared" si="145"/>
        <v>2.5</v>
      </c>
      <c r="P24" s="28">
        <f t="shared" si="79"/>
        <v>8.3959536742577185</v>
      </c>
      <c r="Q24" s="7">
        <f t="shared" si="80"/>
        <v>8.3959536742577185</v>
      </c>
      <c r="R24" s="7">
        <f t="shared" si="81"/>
        <v>9.3959536742577185</v>
      </c>
      <c r="S24" s="7">
        <f t="shared" si="82"/>
        <v>77.858162529590359</v>
      </c>
      <c r="T24" s="7"/>
      <c r="U24" s="7"/>
      <c r="V24" s="7">
        <f>234.45/(PI()/4*G24^2)*1000</f>
        <v>462.692992843882</v>
      </c>
      <c r="W24" s="7"/>
      <c r="X24" s="7"/>
      <c r="Y24" s="7">
        <v>9.5</v>
      </c>
      <c r="Z24" s="7">
        <v>3</v>
      </c>
      <c r="AA24" s="7">
        <v>127</v>
      </c>
      <c r="AB24" s="7">
        <v>3</v>
      </c>
      <c r="AC24" s="7"/>
      <c r="AD24" s="7"/>
      <c r="AE24" s="4">
        <f t="shared" si="154"/>
        <v>285.75</v>
      </c>
      <c r="AF24" s="4">
        <f t="shared" si="83"/>
        <v>0.15335428750418542</v>
      </c>
      <c r="AG24" s="25">
        <f t="shared" si="84"/>
        <v>552.82220346472604</v>
      </c>
      <c r="AH24" s="4">
        <f t="shared" si="85"/>
        <v>0.74444444444444435</v>
      </c>
      <c r="AI24" s="4">
        <v>1.25</v>
      </c>
      <c r="AJ24" s="25">
        <f t="shared" si="146"/>
        <v>5</v>
      </c>
      <c r="AK24" s="38">
        <f t="shared" si="147"/>
        <v>394.45158983551403</v>
      </c>
      <c r="AL24" s="38">
        <f t="shared" si="148"/>
        <v>394.45158983551403</v>
      </c>
      <c r="AN24" s="38">
        <f t="shared" si="86"/>
        <v>394.45158983551386</v>
      </c>
      <c r="AO24" s="38">
        <f t="shared" si="87"/>
        <v>1.0000000000000004</v>
      </c>
      <c r="AR24" s="4" t="e">
        <f>#REF!/G24*F24^0.5/0.19</f>
        <v>#REF!</v>
      </c>
      <c r="AS24" s="4">
        <f t="shared" si="88"/>
        <v>1</v>
      </c>
      <c r="AT24" s="38">
        <f t="shared" si="89"/>
        <v>487.22760746533044</v>
      </c>
      <c r="AU24" s="4">
        <f t="shared" si="90"/>
        <v>0.3</v>
      </c>
      <c r="AV24" s="4" t="e">
        <f>AU24*D24*#REF!/(D24*G24/2.75/F24^0.5)</f>
        <v>#REF!</v>
      </c>
      <c r="AW24" s="4" t="e">
        <f t="shared" si="91"/>
        <v>#REF!</v>
      </c>
      <c r="AY24" s="36">
        <f t="shared" si="92"/>
        <v>1.8910467582857926</v>
      </c>
      <c r="AZ24" s="36" t="e">
        <f>(1.6*#REF!+22)*AY24*F24^0.5</f>
        <v>#REF!</v>
      </c>
      <c r="BE24" s="4">
        <f t="shared" si="93"/>
        <v>101.8</v>
      </c>
      <c r="BF24" s="4">
        <f t="shared" si="94"/>
        <v>50.8</v>
      </c>
      <c r="BG24" s="4">
        <f t="shared" si="95"/>
        <v>101.8</v>
      </c>
      <c r="BH24" s="4">
        <f t="shared" si="96"/>
        <v>63.5</v>
      </c>
      <c r="BI24" s="4">
        <f t="shared" si="97"/>
        <v>1.1003937007874016</v>
      </c>
      <c r="BJ24" s="25">
        <f t="shared" si="98"/>
        <v>4</v>
      </c>
      <c r="BL24" s="4">
        <f t="shared" si="99"/>
        <v>101.8</v>
      </c>
      <c r="BP24" s="9"/>
      <c r="BR24" s="9"/>
      <c r="BS24" s="9"/>
      <c r="BT24" s="9">
        <f t="shared" si="100"/>
        <v>101.8</v>
      </c>
      <c r="BU24" s="9">
        <f t="shared" si="101"/>
        <v>101.8</v>
      </c>
      <c r="BV24" s="9">
        <f t="shared" si="102"/>
        <v>2.001967536137395</v>
      </c>
      <c r="BW24" s="9">
        <v>20</v>
      </c>
      <c r="BX24" s="9">
        <f t="shared" si="103"/>
        <v>0.05</v>
      </c>
      <c r="BY24" s="9">
        <f t="shared" si="104"/>
        <v>0.8</v>
      </c>
      <c r="BZ24" s="9">
        <f t="shared" si="105"/>
        <v>0.99524931562137331</v>
      </c>
      <c r="CA24" s="9">
        <f t="shared" si="106"/>
        <v>0.97375</v>
      </c>
      <c r="CB24" s="9">
        <f t="shared" si="107"/>
        <v>1.9670293329614872</v>
      </c>
      <c r="CC24" s="9">
        <f t="shared" si="108"/>
        <v>4.9175733324037179</v>
      </c>
      <c r="CD24" s="9">
        <v>1</v>
      </c>
      <c r="CE24" s="9" t="e">
        <f>4*CC24*#REF!+60*CC24</f>
        <v>#REF!</v>
      </c>
      <c r="DB24" s="4">
        <f t="shared" si="109"/>
        <v>3</v>
      </c>
      <c r="DC24" s="4">
        <f t="shared" si="110"/>
        <v>285.75</v>
      </c>
      <c r="DD24" s="4" t="e">
        <f>#REF!/E24</f>
        <v>#REF!</v>
      </c>
      <c r="DF24" s="4">
        <f t="shared" si="111"/>
        <v>2.0608377244988005E-5</v>
      </c>
      <c r="DG24" s="4">
        <f t="shared" si="112"/>
        <v>8.8972510471034791</v>
      </c>
      <c r="DI24" s="4">
        <f t="shared" si="149"/>
        <v>0</v>
      </c>
      <c r="DJ24" s="4">
        <f t="shared" si="150"/>
        <v>6.3551793193596282</v>
      </c>
      <c r="DK24" s="4">
        <f t="shared" si="115"/>
        <v>8.4683147824653329</v>
      </c>
      <c r="DL24" s="38" t="e">
        <f t="shared" si="116"/>
        <v>#REF!</v>
      </c>
      <c r="DM24" s="4" t="e">
        <f t="shared" si="151"/>
        <v>#REF!</v>
      </c>
      <c r="DO24" s="4">
        <f t="shared" si="152"/>
        <v>394.45158983551386</v>
      </c>
      <c r="DS24" s="4">
        <f t="shared" si="118"/>
        <v>0.85</v>
      </c>
      <c r="DT24" s="4">
        <f t="shared" si="119"/>
        <v>0.7</v>
      </c>
      <c r="DU24" s="4">
        <f t="shared" si="120"/>
        <v>0.82320199640399283</v>
      </c>
      <c r="DV24" s="4">
        <f t="shared" si="121"/>
        <v>0.7</v>
      </c>
      <c r="DX24" s="4" t="e">
        <f t="shared" si="122"/>
        <v>#REF!</v>
      </c>
      <c r="DY24" s="25">
        <f t="shared" si="123"/>
        <v>400.40567822403813</v>
      </c>
      <c r="EB24" s="4">
        <f t="shared" si="75"/>
        <v>8.8972510471034791</v>
      </c>
      <c r="EC24" s="4">
        <f t="shared" si="124"/>
        <v>8.470182996842512</v>
      </c>
      <c r="EE24" s="4">
        <f t="shared" si="125"/>
        <v>77.858162529590359</v>
      </c>
      <c r="EF24" s="4">
        <f t="shared" si="126"/>
        <v>3.0652819893539514</v>
      </c>
      <c r="EG24" s="4">
        <f t="shared" si="127"/>
        <v>0.13420433228769058</v>
      </c>
      <c r="EJ24" s="4">
        <f t="shared" si="128"/>
        <v>0.13420433228769058</v>
      </c>
      <c r="EK24" s="4">
        <f t="shared" si="129"/>
        <v>0.42251533357337173</v>
      </c>
      <c r="EL24" s="4">
        <f t="shared" si="130"/>
        <v>6.3036607859393676</v>
      </c>
      <c r="EM24" s="4">
        <f t="shared" si="131"/>
        <v>7.7106038725457431</v>
      </c>
      <c r="EN24" s="4">
        <f t="shared" si="132"/>
        <v>136.45433747040965</v>
      </c>
      <c r="EO24" s="4">
        <f t="shared" si="133"/>
        <v>71.4375</v>
      </c>
      <c r="EP24" s="4">
        <f t="shared" si="134"/>
        <v>2.0608377244988005E-5</v>
      </c>
      <c r="EQ24" s="4">
        <f t="shared" si="135"/>
        <v>8.2237123607947922</v>
      </c>
      <c r="ER24" s="4" t="e">
        <f t="shared" si="136"/>
        <v>#REF!</v>
      </c>
      <c r="ES24" s="4" t="e">
        <f t="shared" si="137"/>
        <v>#REF!</v>
      </c>
      <c r="ET24" s="4" t="e">
        <f t="shared" si="138"/>
        <v>#REF!</v>
      </c>
      <c r="EV24" s="4" t="e">
        <f t="shared" si="139"/>
        <v>#REF!</v>
      </c>
      <c r="FA24" s="23"/>
      <c r="FB24" s="23"/>
      <c r="FC24" s="23"/>
      <c r="FD24" s="23"/>
      <c r="FE24" s="23"/>
      <c r="FF24" s="23"/>
      <c r="FG24" s="23"/>
      <c r="FH24" s="23"/>
      <c r="FR24" s="4">
        <f t="shared" si="140"/>
        <v>1</v>
      </c>
      <c r="FS24" s="4">
        <f t="shared" si="141"/>
        <v>0.68688155922038985</v>
      </c>
      <c r="FT24" s="4">
        <f t="shared" si="142"/>
        <v>0.3</v>
      </c>
      <c r="FU24" s="4">
        <f t="shared" si="143"/>
        <v>393.29202394425954</v>
      </c>
    </row>
    <row r="25" spans="1:178" ht="12" customHeight="1" x14ac:dyDescent="0.3">
      <c r="B25" s="24"/>
      <c r="C25" s="7" t="s">
        <v>83</v>
      </c>
      <c r="D25" s="28">
        <f t="shared" si="144"/>
        <v>517.5</v>
      </c>
      <c r="E25" s="7">
        <f>11.5*25.4</f>
        <v>292.09999999999997</v>
      </c>
      <c r="F25" s="7">
        <v>33.630000000000003</v>
      </c>
      <c r="G25" s="7">
        <v>25.4</v>
      </c>
      <c r="H25" s="7">
        <v>229</v>
      </c>
      <c r="I25" s="7">
        <f t="shared" si="77"/>
        <v>101.8</v>
      </c>
      <c r="J25" s="7">
        <v>305</v>
      </c>
      <c r="K25" s="7">
        <v>0</v>
      </c>
      <c r="L25" s="7">
        <v>1</v>
      </c>
      <c r="M25" s="7">
        <v>47.73</v>
      </c>
      <c r="N25" s="7">
        <f t="shared" si="78"/>
        <v>2.3791338582677164</v>
      </c>
      <c r="O25" s="28">
        <f t="shared" si="145"/>
        <v>2.3791338582677164</v>
      </c>
      <c r="P25" s="28">
        <f t="shared" si="79"/>
        <v>8.3959536742577185</v>
      </c>
      <c r="Q25" s="7">
        <f t="shared" si="80"/>
        <v>8.3959536742577185</v>
      </c>
      <c r="R25" s="7">
        <f t="shared" si="81"/>
        <v>9.3959536742577185</v>
      </c>
      <c r="S25" s="7">
        <f t="shared" si="82"/>
        <v>77.858162529590359</v>
      </c>
      <c r="T25" s="7"/>
      <c r="U25" s="7"/>
      <c r="V25" s="7">
        <f>229.78/(PI()/4*G25^2)*1000</f>
        <v>453.47662996659079</v>
      </c>
      <c r="W25" s="7"/>
      <c r="X25" s="7"/>
      <c r="Y25" s="7">
        <v>9.5</v>
      </c>
      <c r="Z25" s="7">
        <v>3</v>
      </c>
      <c r="AA25" s="7">
        <v>127</v>
      </c>
      <c r="AB25" s="7">
        <v>3</v>
      </c>
      <c r="AC25" s="7"/>
      <c r="AD25" s="7"/>
      <c r="AE25" s="4">
        <f t="shared" si="154"/>
        <v>292.09999999999997</v>
      </c>
      <c r="AF25" s="4">
        <f t="shared" si="83"/>
        <v>0.14868416294278508</v>
      </c>
      <c r="AG25" s="25">
        <f t="shared" si="84"/>
        <v>571.35160868930427</v>
      </c>
      <c r="AH25" s="4">
        <f t="shared" si="85"/>
        <v>0.74137624101335153</v>
      </c>
      <c r="AI25" s="4">
        <v>1.25</v>
      </c>
      <c r="AJ25" s="25">
        <f t="shared" si="146"/>
        <v>5</v>
      </c>
      <c r="AK25" s="38">
        <f t="shared" si="147"/>
        <v>393.62878354973896</v>
      </c>
      <c r="AL25" s="38">
        <f t="shared" si="148"/>
        <v>393.62878354973896</v>
      </c>
      <c r="AN25" s="38">
        <f t="shared" si="86"/>
        <v>393.62878354973918</v>
      </c>
      <c r="AO25" s="38">
        <f t="shared" si="87"/>
        <v>0.99999999999999944</v>
      </c>
      <c r="AR25" s="4" t="e">
        <f>#REF!/G25*F25^0.5/0.19</f>
        <v>#REF!</v>
      </c>
      <c r="AS25" s="4">
        <f t="shared" si="88"/>
        <v>1</v>
      </c>
      <c r="AT25" s="38">
        <f t="shared" si="89"/>
        <v>463.67187904141605</v>
      </c>
      <c r="AU25" s="4">
        <f t="shared" si="90"/>
        <v>0.3</v>
      </c>
      <c r="AV25" s="4" t="e">
        <f>AU25*D25*#REF!/(D25*G25/2.75/F25^0.5)</f>
        <v>#REF!</v>
      </c>
      <c r="AW25" s="4" t="e">
        <f t="shared" si="91"/>
        <v>#REF!</v>
      </c>
      <c r="AY25" s="36">
        <f t="shared" si="92"/>
        <v>1.8789601441125643</v>
      </c>
      <c r="AZ25" s="36" t="e">
        <f>(1.6*#REF!+22)*AY25*F25^0.5</f>
        <v>#REF!</v>
      </c>
      <c r="BE25" s="4">
        <f t="shared" si="93"/>
        <v>101.8</v>
      </c>
      <c r="BF25" s="4">
        <f t="shared" si="94"/>
        <v>47.73</v>
      </c>
      <c r="BG25" s="4">
        <f t="shared" si="95"/>
        <v>101.8</v>
      </c>
      <c r="BH25" s="4">
        <f t="shared" si="96"/>
        <v>60.429999999999993</v>
      </c>
      <c r="BI25" s="4">
        <f t="shared" si="97"/>
        <v>1.1132830504923528</v>
      </c>
      <c r="BJ25" s="25">
        <f t="shared" si="98"/>
        <v>4</v>
      </c>
      <c r="BL25" s="4">
        <f t="shared" si="99"/>
        <v>101.8</v>
      </c>
      <c r="BP25" s="9"/>
      <c r="BR25" s="9"/>
      <c r="BS25" s="9"/>
      <c r="BT25" s="9">
        <f t="shared" si="100"/>
        <v>101.8</v>
      </c>
      <c r="BU25" s="9">
        <f t="shared" si="101"/>
        <v>101.8</v>
      </c>
      <c r="BV25" s="9">
        <f t="shared" si="102"/>
        <v>2.001967536137395</v>
      </c>
      <c r="BW25" s="9">
        <v>20</v>
      </c>
      <c r="BX25" s="9">
        <f t="shared" si="103"/>
        <v>0.05</v>
      </c>
      <c r="BY25" s="9">
        <f t="shared" si="104"/>
        <v>0.8</v>
      </c>
      <c r="BZ25" s="9">
        <f t="shared" si="105"/>
        <v>0.99524931562137331</v>
      </c>
      <c r="CA25" s="9">
        <f t="shared" si="106"/>
        <v>0.97375</v>
      </c>
      <c r="CB25" s="9">
        <f t="shared" si="107"/>
        <v>1.9670293329614872</v>
      </c>
      <c r="CC25" s="9">
        <f t="shared" si="108"/>
        <v>4.9175733324037179</v>
      </c>
      <c r="CD25" s="9">
        <v>1</v>
      </c>
      <c r="CE25" s="9" t="e">
        <f>4*CC25*#REF!+60*CC25</f>
        <v>#REF!</v>
      </c>
      <c r="DB25" s="4">
        <f t="shared" si="109"/>
        <v>3</v>
      </c>
      <c r="DC25" s="4">
        <f t="shared" si="110"/>
        <v>292.09999999999997</v>
      </c>
      <c r="DD25" s="4" t="e">
        <f>#REF!/E25</f>
        <v>#REF!</v>
      </c>
      <c r="DF25" s="4">
        <f t="shared" si="111"/>
        <v>2.1066341183765516E-5</v>
      </c>
      <c r="DG25" s="4">
        <f t="shared" si="112"/>
        <v>8.8972510471034791</v>
      </c>
      <c r="DI25" s="4">
        <f t="shared" si="149"/>
        <v>0</v>
      </c>
      <c r="DJ25" s="4">
        <f t="shared" si="150"/>
        <v>6.3551793193596282</v>
      </c>
      <c r="DK25" s="4">
        <f t="shared" si="115"/>
        <v>8.445233180953025</v>
      </c>
      <c r="DL25" s="38" t="e">
        <f t="shared" si="116"/>
        <v>#REF!</v>
      </c>
      <c r="DM25" s="4" t="e">
        <f t="shared" si="151"/>
        <v>#REF!</v>
      </c>
      <c r="DO25" s="4">
        <f t="shared" si="152"/>
        <v>393.62878354973918</v>
      </c>
      <c r="DS25" s="4">
        <f t="shared" si="118"/>
        <v>0.85</v>
      </c>
      <c r="DT25" s="4">
        <f t="shared" si="119"/>
        <v>0.7</v>
      </c>
      <c r="DU25" s="4">
        <f t="shared" si="120"/>
        <v>0.82320199640399283</v>
      </c>
      <c r="DV25" s="4">
        <f t="shared" si="121"/>
        <v>0.7</v>
      </c>
      <c r="DX25" s="4" t="e">
        <f t="shared" si="122"/>
        <v>#REF!</v>
      </c>
      <c r="DY25" s="25">
        <f t="shared" si="123"/>
        <v>394.48162132390439</v>
      </c>
      <c r="EB25" s="4">
        <f t="shared" si="75"/>
        <v>8.8972510471034791</v>
      </c>
      <c r="EC25" s="4">
        <f t="shared" si="124"/>
        <v>8.470182996842512</v>
      </c>
      <c r="EE25" s="4">
        <f t="shared" si="125"/>
        <v>77.858162529590359</v>
      </c>
      <c r="EF25" s="4">
        <f t="shared" si="126"/>
        <v>3.0652819893539514</v>
      </c>
      <c r="EG25" s="4">
        <f t="shared" si="127"/>
        <v>0.13392438876349141</v>
      </c>
      <c r="EJ25" s="4">
        <f t="shared" si="128"/>
        <v>0.13392438876349141</v>
      </c>
      <c r="EK25" s="4">
        <f t="shared" si="129"/>
        <v>0.42163398772191918</v>
      </c>
      <c r="EL25" s="4">
        <f t="shared" si="130"/>
        <v>6.2983978424284564</v>
      </c>
      <c r="EM25" s="4">
        <f t="shared" si="131"/>
        <v>7.7084558863593733</v>
      </c>
      <c r="EN25" s="4">
        <f t="shared" si="132"/>
        <v>141.21683747040964</v>
      </c>
      <c r="EO25" s="4">
        <f t="shared" si="133"/>
        <v>73.024999999999977</v>
      </c>
      <c r="EP25" s="4">
        <f t="shared" si="134"/>
        <v>2.1066341183765513E-5</v>
      </c>
      <c r="EQ25" s="4">
        <f t="shared" si="135"/>
        <v>8.1932168886722874</v>
      </c>
      <c r="ER25" s="4" t="e">
        <f t="shared" si="136"/>
        <v>#REF!</v>
      </c>
      <c r="ES25" s="4" t="e">
        <f t="shared" si="137"/>
        <v>#REF!</v>
      </c>
      <c r="ET25" s="4" t="e">
        <f t="shared" si="138"/>
        <v>#REF!</v>
      </c>
      <c r="EV25" s="4" t="e">
        <f t="shared" si="139"/>
        <v>#REF!</v>
      </c>
      <c r="FA25" s="23"/>
      <c r="FB25" s="23"/>
      <c r="FC25" s="23"/>
      <c r="FD25" s="23"/>
      <c r="FE25" s="23"/>
      <c r="FF25" s="23"/>
      <c r="FG25" s="23"/>
      <c r="FH25" s="23"/>
      <c r="FR25" s="4">
        <f t="shared" si="140"/>
        <v>1</v>
      </c>
      <c r="FS25" s="4">
        <f t="shared" si="141"/>
        <v>0.68688155922038985</v>
      </c>
      <c r="FT25" s="4">
        <f t="shared" si="142"/>
        <v>0.3</v>
      </c>
      <c r="FU25" s="4">
        <f t="shared" si="143"/>
        <v>402.03184669857649</v>
      </c>
    </row>
    <row r="26" spans="1:178" s="25" customFormat="1" ht="12" customHeight="1" x14ac:dyDescent="0.3">
      <c r="B26" s="26"/>
      <c r="C26" s="28" t="s">
        <v>85</v>
      </c>
      <c r="D26" s="28">
        <f t="shared" si="144"/>
        <v>517.5</v>
      </c>
      <c r="E26" s="28">
        <f>11.38*25.4</f>
        <v>289.05200000000002</v>
      </c>
      <c r="F26" s="28">
        <v>33.630000000000003</v>
      </c>
      <c r="G26" s="28">
        <v>25.4</v>
      </c>
      <c r="H26" s="28">
        <v>229</v>
      </c>
      <c r="I26" s="28">
        <f t="shared" si="77"/>
        <v>101.8</v>
      </c>
      <c r="J26" s="28">
        <v>305</v>
      </c>
      <c r="K26" s="28">
        <v>0</v>
      </c>
      <c r="L26" s="28">
        <v>1</v>
      </c>
      <c r="M26" s="28">
        <v>47.68</v>
      </c>
      <c r="N26" s="7">
        <f t="shared" si="78"/>
        <v>2.3771653543307085</v>
      </c>
      <c r="O26" s="28">
        <f t="shared" si="145"/>
        <v>2.3771653543307085</v>
      </c>
      <c r="P26" s="28">
        <f t="shared" si="79"/>
        <v>8.3959536742577185</v>
      </c>
      <c r="Q26" s="7">
        <f t="shared" si="80"/>
        <v>8.3959536742577185</v>
      </c>
      <c r="R26" s="28">
        <f t="shared" si="81"/>
        <v>9.3959536742577185</v>
      </c>
      <c r="S26" s="28">
        <f t="shared" si="82"/>
        <v>77.858162529590359</v>
      </c>
      <c r="T26" s="28"/>
      <c r="U26" s="28"/>
      <c r="V26" s="28">
        <f>148.74/(PI()/4*G26^2)*1000</f>
        <v>293.5421444043464</v>
      </c>
      <c r="W26" s="28"/>
      <c r="X26" s="28"/>
      <c r="Y26" s="28"/>
      <c r="Z26" s="28"/>
      <c r="AA26" s="28">
        <v>1</v>
      </c>
      <c r="AB26" s="28"/>
      <c r="AC26" s="28"/>
      <c r="AD26" s="28"/>
      <c r="AE26" s="4">
        <f t="shared" si="154"/>
        <v>289.05200000000002</v>
      </c>
      <c r="AF26" s="25">
        <f t="shared" si="83"/>
        <v>0.15042881662835439</v>
      </c>
      <c r="AG26" s="25">
        <f t="shared" si="84"/>
        <v>562.43208396751641</v>
      </c>
      <c r="AH26" s="4">
        <f t="shared" si="85"/>
        <v>0.74177794998823732</v>
      </c>
      <c r="AI26" s="25">
        <v>1.25</v>
      </c>
      <c r="AJ26" s="25">
        <f t="shared" si="146"/>
        <v>5</v>
      </c>
      <c r="AK26" s="38">
        <f t="shared" si="147"/>
        <v>392.24287446554456</v>
      </c>
      <c r="AL26" s="38">
        <f t="shared" si="148"/>
        <v>392.24287446554456</v>
      </c>
      <c r="AM26" s="38"/>
      <c r="AN26" s="38">
        <f t="shared" si="86"/>
        <v>392.24287446554479</v>
      </c>
      <c r="AO26" s="38">
        <f t="shared" si="87"/>
        <v>0.99999999999999944</v>
      </c>
      <c r="AP26" s="38"/>
      <c r="AR26" s="25" t="e">
        <f>#REF!/G26*F26^0.5/0.19</f>
        <v>#REF!</v>
      </c>
      <c r="AS26" s="25">
        <f t="shared" si="88"/>
        <v>1</v>
      </c>
      <c r="AT26" s="38">
        <f t="shared" si="89"/>
        <v>463.2882352560103</v>
      </c>
      <c r="AU26" s="25">
        <f t="shared" si="90"/>
        <v>0.3</v>
      </c>
      <c r="AV26" s="25" t="e">
        <f>AU26*D26*#REF!/(D26*G26/2.75/F26^0.5)</f>
        <v>#REF!</v>
      </c>
      <c r="AW26" s="25" t="e">
        <f t="shared" si="91"/>
        <v>#REF!</v>
      </c>
      <c r="AY26" s="36">
        <f t="shared" si="92"/>
        <v>1.0877165354330709</v>
      </c>
      <c r="AZ26" s="36" t="e">
        <f>(1.6*#REF!+22)*AY26*F26^0.5</f>
        <v>#REF!</v>
      </c>
      <c r="BE26" s="25">
        <f t="shared" si="93"/>
        <v>101.8</v>
      </c>
      <c r="BF26" s="25">
        <f t="shared" si="94"/>
        <v>47.68</v>
      </c>
      <c r="BG26" s="25">
        <f t="shared" si="95"/>
        <v>101.8</v>
      </c>
      <c r="BH26" s="25">
        <f t="shared" si="96"/>
        <v>60.379999999999995</v>
      </c>
      <c r="BI26" s="25">
        <f t="shared" si="97"/>
        <v>1.1135067114093959</v>
      </c>
      <c r="BJ26" s="25">
        <f t="shared" si="98"/>
        <v>2.6469895761771389</v>
      </c>
      <c r="BL26" s="25">
        <f t="shared" si="99"/>
        <v>101.8</v>
      </c>
      <c r="BP26" s="29"/>
      <c r="BR26" s="29"/>
      <c r="BS26" s="29"/>
      <c r="BT26" s="29">
        <f t="shared" si="100"/>
        <v>101.8</v>
      </c>
      <c r="BU26" s="29">
        <f t="shared" si="101"/>
        <v>101.8</v>
      </c>
      <c r="BV26" s="29">
        <f t="shared" si="102"/>
        <v>2.001967536137395</v>
      </c>
      <c r="BW26" s="29">
        <v>0</v>
      </c>
      <c r="BX26" s="29">
        <f t="shared" si="103"/>
        <v>0</v>
      </c>
      <c r="BY26" s="29">
        <f t="shared" si="104"/>
        <v>0</v>
      </c>
      <c r="BZ26" s="29">
        <f t="shared" si="105"/>
        <v>0.99524931562137331</v>
      </c>
      <c r="CA26" s="29">
        <f t="shared" si="106"/>
        <v>0.97375</v>
      </c>
      <c r="CB26" s="29">
        <f t="shared" si="107"/>
        <v>1.9670293329614872</v>
      </c>
      <c r="CC26" s="29">
        <f t="shared" si="108"/>
        <v>3.9379288672188921</v>
      </c>
      <c r="CD26" s="29">
        <v>1</v>
      </c>
      <c r="CE26" s="29" t="e">
        <f>4*CC26*#REF!+60*CC26</f>
        <v>#REF!</v>
      </c>
      <c r="CG26" s="4"/>
      <c r="CH26" s="4"/>
      <c r="CI26" s="4"/>
      <c r="CJ26" s="4"/>
      <c r="CK26" s="4"/>
      <c r="CL26" s="4"/>
      <c r="CM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B26" s="4">
        <f t="shared" si="109"/>
        <v>0</v>
      </c>
      <c r="DC26" s="25">
        <f t="shared" si="110"/>
        <v>289.05200000000002</v>
      </c>
      <c r="DD26" s="25" t="e">
        <f>#REF!/E26</f>
        <v>#REF!</v>
      </c>
      <c r="DF26" s="4">
        <f t="shared" si="111"/>
        <v>2.0846518493152316E-5</v>
      </c>
      <c r="DG26" s="4">
        <f t="shared" si="112"/>
        <v>8.8972510471034791</v>
      </c>
      <c r="DH26" s="4"/>
      <c r="DI26" s="4">
        <f t="shared" si="149"/>
        <v>0</v>
      </c>
      <c r="DJ26" s="4">
        <f t="shared" si="150"/>
        <v>6.3551793193596282</v>
      </c>
      <c r="DK26" s="4">
        <f t="shared" si="115"/>
        <v>8.4563832251512334</v>
      </c>
      <c r="DL26" s="38" t="e">
        <f t="shared" si="116"/>
        <v>#REF!</v>
      </c>
      <c r="DM26" s="4" t="e">
        <f t="shared" si="151"/>
        <v>#REF!</v>
      </c>
      <c r="DN26" s="4"/>
      <c r="DO26" s="4">
        <f t="shared" si="152"/>
        <v>392.24287446554479</v>
      </c>
      <c r="DS26" s="25">
        <f t="shared" si="118"/>
        <v>0.85</v>
      </c>
      <c r="DT26" s="25">
        <f t="shared" si="119"/>
        <v>0.7</v>
      </c>
      <c r="DU26" s="25">
        <f t="shared" si="120"/>
        <v>1</v>
      </c>
      <c r="DV26" s="25">
        <f t="shared" si="121"/>
        <v>0.7</v>
      </c>
      <c r="DX26" s="4" t="e">
        <f t="shared" si="122"/>
        <v>#REF!</v>
      </c>
      <c r="DY26" s="25">
        <f t="shared" si="123"/>
        <v>396.72382751434384</v>
      </c>
      <c r="EB26" s="4">
        <f t="shared" si="75"/>
        <v>8.8972510471034791</v>
      </c>
      <c r="EC26" s="25">
        <f t="shared" si="124"/>
        <v>5.6051215252387419</v>
      </c>
      <c r="EE26" s="4">
        <f t="shared" si="125"/>
        <v>77.858162529590359</v>
      </c>
      <c r="EF26" s="4">
        <f t="shared" si="126"/>
        <v>3.0652819893539514</v>
      </c>
      <c r="EG26" s="4">
        <f t="shared" si="127"/>
        <v>0.13345286067728618</v>
      </c>
      <c r="EJ26" s="25">
        <f t="shared" si="128"/>
        <v>0.13345286067728618</v>
      </c>
      <c r="EK26" s="25">
        <f t="shared" si="129"/>
        <v>0.42014947643054645</v>
      </c>
      <c r="EL26" s="4">
        <f t="shared" si="130"/>
        <v>6.2895181623147547</v>
      </c>
      <c r="EM26" s="25">
        <f t="shared" si="131"/>
        <v>7.7048345465996162</v>
      </c>
      <c r="EN26" s="4">
        <f t="shared" si="132"/>
        <v>138.93083747040964</v>
      </c>
      <c r="EO26" s="4">
        <f t="shared" si="133"/>
        <v>72.263000000000034</v>
      </c>
      <c r="EP26" s="25">
        <f t="shared" si="134"/>
        <v>2.0846518493152323E-5</v>
      </c>
      <c r="EQ26" s="25">
        <f t="shared" si="135"/>
        <v>8.2084963735849374</v>
      </c>
      <c r="ER26" s="4" t="e">
        <f t="shared" si="136"/>
        <v>#REF!</v>
      </c>
      <c r="ES26" s="4" t="e">
        <f t="shared" si="137"/>
        <v>#REF!</v>
      </c>
      <c r="ET26" s="4" t="e">
        <f t="shared" si="138"/>
        <v>#REF!</v>
      </c>
      <c r="EV26" s="4" t="e">
        <f t="shared" si="139"/>
        <v>#REF!</v>
      </c>
      <c r="FA26" s="23"/>
      <c r="FB26" s="23"/>
      <c r="FC26" s="23"/>
      <c r="FD26" s="23"/>
      <c r="FE26" s="23"/>
      <c r="FF26" s="23"/>
      <c r="FG26" s="30"/>
      <c r="FH26" s="30"/>
      <c r="FR26" s="4">
        <f t="shared" si="140"/>
        <v>1</v>
      </c>
      <c r="FS26" s="4">
        <f t="shared" si="141"/>
        <v>1.0833333333333333</v>
      </c>
      <c r="FT26" s="4">
        <f t="shared" si="142"/>
        <v>0</v>
      </c>
      <c r="FU26" s="4">
        <f t="shared" si="143"/>
        <v>252.24619812719015</v>
      </c>
      <c r="FV26" s="4"/>
    </row>
    <row r="27" spans="1:178" s="25" customFormat="1" ht="12" customHeight="1" x14ac:dyDescent="0.3">
      <c r="B27" s="26"/>
      <c r="C27" s="28" t="s">
        <v>86</v>
      </c>
      <c r="D27" s="28">
        <f t="shared" si="144"/>
        <v>517.5</v>
      </c>
      <c r="E27" s="28">
        <f>11.38*25.4</f>
        <v>289.05200000000002</v>
      </c>
      <c r="F27" s="28">
        <v>33.630000000000003</v>
      </c>
      <c r="G27" s="28">
        <v>25.4</v>
      </c>
      <c r="H27" s="28">
        <v>229</v>
      </c>
      <c r="I27" s="28">
        <f t="shared" si="77"/>
        <v>101.8</v>
      </c>
      <c r="J27" s="28">
        <v>305</v>
      </c>
      <c r="K27" s="28">
        <v>0</v>
      </c>
      <c r="L27" s="28">
        <v>1</v>
      </c>
      <c r="M27" s="28">
        <v>47.68</v>
      </c>
      <c r="N27" s="7">
        <f t="shared" si="78"/>
        <v>2.3771653543307085</v>
      </c>
      <c r="O27" s="28">
        <f t="shared" si="145"/>
        <v>2.3771653543307085</v>
      </c>
      <c r="P27" s="28">
        <f t="shared" si="79"/>
        <v>8.3959536742577185</v>
      </c>
      <c r="Q27" s="7">
        <f t="shared" si="80"/>
        <v>8.3959536742577185</v>
      </c>
      <c r="R27" s="28">
        <f t="shared" si="81"/>
        <v>9.3959536742577185</v>
      </c>
      <c r="S27" s="28">
        <f t="shared" si="82"/>
        <v>77.858162529590359</v>
      </c>
      <c r="T27" s="28"/>
      <c r="U27" s="28"/>
      <c r="V27" s="28">
        <f>155.72/(PI()/4*G27^2)*1000</f>
        <v>307.31735058924846</v>
      </c>
      <c r="W27" s="28"/>
      <c r="X27" s="28"/>
      <c r="Y27" s="28"/>
      <c r="Z27" s="28"/>
      <c r="AA27" s="28">
        <v>1</v>
      </c>
      <c r="AB27" s="28"/>
      <c r="AC27" s="28"/>
      <c r="AD27" s="28"/>
      <c r="AE27" s="4">
        <f t="shared" si="154"/>
        <v>289.05200000000002</v>
      </c>
      <c r="AF27" s="25">
        <f t="shared" si="83"/>
        <v>0.15042881662835439</v>
      </c>
      <c r="AG27" s="25">
        <f t="shared" si="84"/>
        <v>562.43208396751641</v>
      </c>
      <c r="AH27" s="4">
        <f t="shared" si="85"/>
        <v>0.74177794998823732</v>
      </c>
      <c r="AI27" s="25">
        <v>1.25</v>
      </c>
      <c r="AJ27" s="25">
        <f t="shared" si="146"/>
        <v>5</v>
      </c>
      <c r="AK27" s="38">
        <f t="shared" si="147"/>
        <v>392.24287446554456</v>
      </c>
      <c r="AL27" s="38">
        <f t="shared" si="148"/>
        <v>392.24287446554456</v>
      </c>
      <c r="AM27" s="38"/>
      <c r="AN27" s="38">
        <f t="shared" si="86"/>
        <v>392.24287446554479</v>
      </c>
      <c r="AO27" s="38">
        <f t="shared" si="87"/>
        <v>0.99999999999999944</v>
      </c>
      <c r="AP27" s="38"/>
      <c r="AR27" s="25" t="e">
        <f>#REF!/G27*F27^0.5/0.19</f>
        <v>#REF!</v>
      </c>
      <c r="AS27" s="25">
        <f t="shared" si="88"/>
        <v>1</v>
      </c>
      <c r="AT27" s="38">
        <f t="shared" si="89"/>
        <v>463.2882352560103</v>
      </c>
      <c r="AU27" s="25">
        <f t="shared" si="90"/>
        <v>0.3</v>
      </c>
      <c r="AV27" s="25" t="e">
        <f>AU27*D27*#REF!/(D27*G27/2.75/F27^0.5)</f>
        <v>#REF!</v>
      </c>
      <c r="AW27" s="25" t="e">
        <f t="shared" si="91"/>
        <v>#REF!</v>
      </c>
      <c r="AY27" s="36">
        <f t="shared" si="92"/>
        <v>1.0877165354330709</v>
      </c>
      <c r="AZ27" s="36" t="e">
        <f>(1.6*#REF!+22)*AY27*F27^0.5</f>
        <v>#REF!</v>
      </c>
      <c r="BE27" s="25">
        <f t="shared" si="93"/>
        <v>101.8</v>
      </c>
      <c r="BF27" s="25">
        <f t="shared" si="94"/>
        <v>47.68</v>
      </c>
      <c r="BG27" s="25">
        <f t="shared" si="95"/>
        <v>101.8</v>
      </c>
      <c r="BH27" s="25">
        <f t="shared" si="96"/>
        <v>60.379999999999995</v>
      </c>
      <c r="BI27" s="25">
        <f t="shared" si="97"/>
        <v>1.1135067114093959</v>
      </c>
      <c r="BJ27" s="25">
        <f t="shared" si="98"/>
        <v>2.6469895761771389</v>
      </c>
      <c r="BL27" s="25">
        <f t="shared" si="99"/>
        <v>101.8</v>
      </c>
      <c r="BP27" s="29"/>
      <c r="BR27" s="29"/>
      <c r="BS27" s="29"/>
      <c r="BT27" s="29">
        <f t="shared" si="100"/>
        <v>101.8</v>
      </c>
      <c r="BU27" s="29">
        <f t="shared" si="101"/>
        <v>101.8</v>
      </c>
      <c r="BV27" s="29">
        <f t="shared" si="102"/>
        <v>2.001967536137395</v>
      </c>
      <c r="BW27" s="29">
        <v>0</v>
      </c>
      <c r="BX27" s="29">
        <f t="shared" si="103"/>
        <v>0</v>
      </c>
      <c r="BY27" s="29">
        <f t="shared" si="104"/>
        <v>0</v>
      </c>
      <c r="BZ27" s="29">
        <f t="shared" si="105"/>
        <v>0.99524931562137331</v>
      </c>
      <c r="CA27" s="29">
        <f t="shared" si="106"/>
        <v>0.97375</v>
      </c>
      <c r="CB27" s="29">
        <f t="shared" si="107"/>
        <v>1.9670293329614872</v>
      </c>
      <c r="CC27" s="29">
        <f t="shared" si="108"/>
        <v>3.9379288672188921</v>
      </c>
      <c r="CD27" s="29">
        <v>1</v>
      </c>
      <c r="CE27" s="29" t="e">
        <f>4*CC27*#REF!+60*CC27</f>
        <v>#REF!</v>
      </c>
      <c r="CG27" s="4"/>
      <c r="CH27" s="4"/>
      <c r="CI27" s="4"/>
      <c r="CJ27" s="4"/>
      <c r="CK27" s="4"/>
      <c r="CL27" s="4"/>
      <c r="CM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B27" s="4">
        <f t="shared" si="109"/>
        <v>0</v>
      </c>
      <c r="DC27" s="25">
        <f t="shared" si="110"/>
        <v>289.05200000000002</v>
      </c>
      <c r="DD27" s="25" t="e">
        <f>#REF!/E27</f>
        <v>#REF!</v>
      </c>
      <c r="DF27" s="4">
        <f t="shared" si="111"/>
        <v>2.0846518493152316E-5</v>
      </c>
      <c r="DG27" s="4">
        <f t="shared" si="112"/>
        <v>8.8972510471034791</v>
      </c>
      <c r="DH27" s="4"/>
      <c r="DI27" s="4">
        <f t="shared" si="149"/>
        <v>0</v>
      </c>
      <c r="DJ27" s="4">
        <f t="shared" si="150"/>
        <v>6.3551793193596282</v>
      </c>
      <c r="DK27" s="4">
        <f t="shared" si="115"/>
        <v>8.4563832251512334</v>
      </c>
      <c r="DL27" s="38" t="e">
        <f t="shared" si="116"/>
        <v>#REF!</v>
      </c>
      <c r="DM27" s="4" t="e">
        <f t="shared" si="151"/>
        <v>#REF!</v>
      </c>
      <c r="DN27" s="4"/>
      <c r="DO27" s="4">
        <f t="shared" si="152"/>
        <v>392.24287446554479</v>
      </c>
      <c r="DS27" s="25">
        <f t="shared" si="118"/>
        <v>0.85</v>
      </c>
      <c r="DT27" s="25">
        <f t="shared" si="119"/>
        <v>0.7</v>
      </c>
      <c r="DU27" s="25">
        <f t="shared" si="120"/>
        <v>1</v>
      </c>
      <c r="DV27" s="25">
        <f t="shared" si="121"/>
        <v>0.7</v>
      </c>
      <c r="DX27" s="4" t="e">
        <f t="shared" si="122"/>
        <v>#REF!</v>
      </c>
      <c r="DY27" s="25">
        <f t="shared" si="123"/>
        <v>396.72382751434384</v>
      </c>
      <c r="EB27" s="4">
        <f t="shared" si="75"/>
        <v>8.8972510471034791</v>
      </c>
      <c r="EC27" s="25">
        <f t="shared" si="124"/>
        <v>5.6051215252387419</v>
      </c>
      <c r="EE27" s="4">
        <f t="shared" si="125"/>
        <v>77.858162529590359</v>
      </c>
      <c r="EF27" s="4">
        <f t="shared" si="126"/>
        <v>3.0652819893539514</v>
      </c>
      <c r="EG27" s="4">
        <f t="shared" si="127"/>
        <v>0.13345286067728618</v>
      </c>
      <c r="EJ27" s="25">
        <f t="shared" si="128"/>
        <v>0.13345286067728618</v>
      </c>
      <c r="EK27" s="25">
        <f t="shared" si="129"/>
        <v>0.42014947643054645</v>
      </c>
      <c r="EL27" s="4">
        <f t="shared" si="130"/>
        <v>6.2895181623147547</v>
      </c>
      <c r="EM27" s="25">
        <f t="shared" si="131"/>
        <v>7.7048345465996162</v>
      </c>
      <c r="EN27" s="4">
        <f t="shared" si="132"/>
        <v>138.93083747040964</v>
      </c>
      <c r="EO27" s="4">
        <f t="shared" si="133"/>
        <v>72.263000000000034</v>
      </c>
      <c r="EP27" s="25">
        <f t="shared" si="134"/>
        <v>2.0846518493152323E-5</v>
      </c>
      <c r="EQ27" s="25">
        <f t="shared" si="135"/>
        <v>8.2084963735849374</v>
      </c>
      <c r="ER27" s="4" t="e">
        <f t="shared" si="136"/>
        <v>#REF!</v>
      </c>
      <c r="ES27" s="4" t="e">
        <f t="shared" si="137"/>
        <v>#REF!</v>
      </c>
      <c r="ET27" s="4" t="e">
        <f t="shared" si="138"/>
        <v>#REF!</v>
      </c>
      <c r="EV27" s="4" t="e">
        <f t="shared" si="139"/>
        <v>#REF!</v>
      </c>
      <c r="FA27" s="23"/>
      <c r="FB27" s="23"/>
      <c r="FC27" s="23"/>
      <c r="FD27" s="23"/>
      <c r="FE27" s="23"/>
      <c r="FF27" s="23"/>
      <c r="FG27" s="30"/>
      <c r="FH27" s="30"/>
      <c r="FR27" s="4">
        <f t="shared" si="140"/>
        <v>1</v>
      </c>
      <c r="FS27" s="4">
        <f t="shared" si="141"/>
        <v>1.0833333333333333</v>
      </c>
      <c r="FT27" s="4">
        <f t="shared" si="142"/>
        <v>0</v>
      </c>
      <c r="FU27" s="4">
        <f t="shared" si="143"/>
        <v>252.24619812719015</v>
      </c>
      <c r="FV27" s="4"/>
    </row>
    <row r="28" spans="1:178" s="25" customFormat="1" ht="12" customHeight="1" x14ac:dyDescent="0.3">
      <c r="B28" s="26"/>
      <c r="C28" s="28" t="s">
        <v>87</v>
      </c>
      <c r="D28" s="28">
        <f t="shared" si="144"/>
        <v>517.5</v>
      </c>
      <c r="E28" s="28">
        <f>11.38*25.4</f>
        <v>289.05200000000002</v>
      </c>
      <c r="F28" s="28">
        <v>33.630000000000003</v>
      </c>
      <c r="G28" s="28">
        <v>25.4</v>
      </c>
      <c r="H28" s="28">
        <v>229</v>
      </c>
      <c r="I28" s="28">
        <f t="shared" si="77"/>
        <v>101.8</v>
      </c>
      <c r="J28" s="28">
        <v>305</v>
      </c>
      <c r="K28" s="28">
        <v>0</v>
      </c>
      <c r="L28" s="28">
        <v>1</v>
      </c>
      <c r="M28" s="28">
        <v>49.48</v>
      </c>
      <c r="N28" s="7">
        <f t="shared" si="78"/>
        <v>2.4480314960629919</v>
      </c>
      <c r="O28" s="28">
        <f t="shared" si="145"/>
        <v>2.4480314960629919</v>
      </c>
      <c r="P28" s="28">
        <f t="shared" si="79"/>
        <v>8.3959536742577185</v>
      </c>
      <c r="Q28" s="7">
        <f t="shared" si="80"/>
        <v>8.3959536742577185</v>
      </c>
      <c r="R28" s="28">
        <f t="shared" si="81"/>
        <v>9.3959536742577185</v>
      </c>
      <c r="S28" s="28">
        <f t="shared" si="82"/>
        <v>77.858162529590359</v>
      </c>
      <c r="T28" s="28"/>
      <c r="U28" s="28"/>
      <c r="V28" s="28">
        <f>167.51/(PI()/4*G28^2)*1000</f>
        <v>330.5852131852364</v>
      </c>
      <c r="W28" s="28"/>
      <c r="X28" s="28"/>
      <c r="Y28" s="28"/>
      <c r="Z28" s="28"/>
      <c r="AA28" s="28">
        <v>1</v>
      </c>
      <c r="AB28" s="28"/>
      <c r="AC28" s="28"/>
      <c r="AD28" s="28"/>
      <c r="AE28" s="4">
        <f t="shared" si="154"/>
        <v>289.05200000000002</v>
      </c>
      <c r="AF28" s="25">
        <f t="shared" si="83"/>
        <v>0.15097698442790625</v>
      </c>
      <c r="AG28" s="25">
        <f t="shared" si="84"/>
        <v>562.43208396751641</v>
      </c>
      <c r="AH28" s="4">
        <f t="shared" si="85"/>
        <v>0.74302340063379591</v>
      </c>
      <c r="AI28" s="25">
        <v>1.25</v>
      </c>
      <c r="AJ28" s="25">
        <f t="shared" si="146"/>
        <v>5</v>
      </c>
      <c r="AK28" s="38">
        <f t="shared" si="147"/>
        <v>394.33319959841521</v>
      </c>
      <c r="AL28" s="38">
        <f t="shared" si="148"/>
        <v>394.33319959841521</v>
      </c>
      <c r="AM28" s="38"/>
      <c r="AN28" s="38">
        <f t="shared" si="86"/>
        <v>394.33319959841538</v>
      </c>
      <c r="AO28" s="38">
        <f t="shared" si="87"/>
        <v>0.99999999999999956</v>
      </c>
      <c r="AP28" s="38"/>
      <c r="AR28" s="25" t="e">
        <f>#REF!/G28*F28^0.5/0.19</f>
        <v>#REF!</v>
      </c>
      <c r="AS28" s="25">
        <f t="shared" si="88"/>
        <v>1</v>
      </c>
      <c r="AT28" s="38">
        <f t="shared" si="89"/>
        <v>477.09941153061794</v>
      </c>
      <c r="AU28" s="25">
        <f t="shared" si="90"/>
        <v>0.3</v>
      </c>
      <c r="AV28" s="25" t="e">
        <f>AU28*D28*#REF!/(D28*G28/2.75/F28^0.5)</f>
        <v>#REF!</v>
      </c>
      <c r="AW28" s="25" t="e">
        <f t="shared" si="91"/>
        <v>#REF!</v>
      </c>
      <c r="AY28" s="36">
        <f t="shared" si="92"/>
        <v>1.0948031496062991</v>
      </c>
      <c r="AZ28" s="36" t="e">
        <f>(1.6*#REF!+22)*AY28*F28^0.5</f>
        <v>#REF!</v>
      </c>
      <c r="BE28" s="25">
        <f t="shared" si="93"/>
        <v>101.8</v>
      </c>
      <c r="BF28" s="25">
        <f t="shared" si="94"/>
        <v>49.48</v>
      </c>
      <c r="BG28" s="25">
        <f t="shared" si="95"/>
        <v>101.8</v>
      </c>
      <c r="BH28" s="25">
        <f t="shared" si="96"/>
        <v>62.179999999999993</v>
      </c>
      <c r="BI28" s="25">
        <f t="shared" si="97"/>
        <v>1.1057396928051739</v>
      </c>
      <c r="BJ28" s="25">
        <f t="shared" si="98"/>
        <v>2.7068855944340835</v>
      </c>
      <c r="BL28" s="25">
        <f t="shared" si="99"/>
        <v>101.8</v>
      </c>
      <c r="BP28" s="29"/>
      <c r="BR28" s="29"/>
      <c r="BS28" s="29"/>
      <c r="BT28" s="29">
        <f t="shared" si="100"/>
        <v>101.8</v>
      </c>
      <c r="BU28" s="29">
        <f t="shared" si="101"/>
        <v>101.8</v>
      </c>
      <c r="BV28" s="29">
        <f t="shared" si="102"/>
        <v>2.001967536137395</v>
      </c>
      <c r="BW28" s="29">
        <v>0</v>
      </c>
      <c r="BX28" s="29">
        <f t="shared" si="103"/>
        <v>0</v>
      </c>
      <c r="BY28" s="29">
        <f t="shared" si="104"/>
        <v>0</v>
      </c>
      <c r="BZ28" s="29">
        <f t="shared" si="105"/>
        <v>0.99524931562137331</v>
      </c>
      <c r="CA28" s="29">
        <f t="shared" si="106"/>
        <v>0.97375</v>
      </c>
      <c r="CB28" s="29">
        <f t="shared" si="107"/>
        <v>1.9670293329614872</v>
      </c>
      <c r="CC28" s="29">
        <f t="shared" si="108"/>
        <v>3.9379288672188921</v>
      </c>
      <c r="CD28" s="29">
        <v>1</v>
      </c>
      <c r="CE28" s="29" t="e">
        <f>4*CC28*#REF!+60*CC28</f>
        <v>#REF!</v>
      </c>
      <c r="CG28" s="4"/>
      <c r="CH28" s="4"/>
      <c r="CI28" s="4"/>
      <c r="CJ28" s="4"/>
      <c r="CK28" s="4"/>
      <c r="CL28" s="4"/>
      <c r="CM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B28" s="4">
        <f t="shared" si="109"/>
        <v>0</v>
      </c>
      <c r="DC28" s="25">
        <f t="shared" si="110"/>
        <v>289.05200000000002</v>
      </c>
      <c r="DD28" s="25" t="e">
        <f>#REF!/E28</f>
        <v>#REF!</v>
      </c>
      <c r="DF28" s="4">
        <f t="shared" si="111"/>
        <v>2.0846518493152316E-5</v>
      </c>
      <c r="DG28" s="4">
        <f t="shared" si="112"/>
        <v>8.8972510471034791</v>
      </c>
      <c r="DH28" s="4"/>
      <c r="DI28" s="4">
        <f t="shared" si="149"/>
        <v>0</v>
      </c>
      <c r="DJ28" s="4">
        <f t="shared" si="150"/>
        <v>6.3551793193596282</v>
      </c>
      <c r="DK28" s="4">
        <f t="shared" si="115"/>
        <v>8.4563832251512334</v>
      </c>
      <c r="DL28" s="38" t="e">
        <f t="shared" si="116"/>
        <v>#REF!</v>
      </c>
      <c r="DM28" s="4" t="e">
        <f t="shared" si="151"/>
        <v>#REF!</v>
      </c>
      <c r="DN28" s="4"/>
      <c r="DO28" s="4">
        <f t="shared" si="152"/>
        <v>394.33319959841538</v>
      </c>
      <c r="DS28" s="25">
        <f t="shared" si="118"/>
        <v>0.85</v>
      </c>
      <c r="DT28" s="25">
        <f t="shared" si="119"/>
        <v>0.7</v>
      </c>
      <c r="DU28" s="25">
        <f t="shared" si="120"/>
        <v>1</v>
      </c>
      <c r="DV28" s="25">
        <f t="shared" si="121"/>
        <v>0.7</v>
      </c>
      <c r="DX28" s="4" t="e">
        <f t="shared" si="122"/>
        <v>#REF!</v>
      </c>
      <c r="DY28" s="25">
        <f t="shared" si="123"/>
        <v>397.39791521007561</v>
      </c>
      <c r="EB28" s="4">
        <f t="shared" si="75"/>
        <v>8.8972510471034791</v>
      </c>
      <c r="EC28" s="25">
        <f t="shared" si="124"/>
        <v>5.7319540840933767</v>
      </c>
      <c r="EE28" s="4">
        <f t="shared" si="125"/>
        <v>77.858162529590359</v>
      </c>
      <c r="EF28" s="4">
        <f t="shared" si="126"/>
        <v>3.0652819893539514</v>
      </c>
      <c r="EG28" s="4">
        <f t="shared" si="127"/>
        <v>0.13416405235694975</v>
      </c>
      <c r="EJ28" s="25">
        <f t="shared" si="128"/>
        <v>0.13416405235694975</v>
      </c>
      <c r="EK28" s="25">
        <f t="shared" si="129"/>
        <v>0.42238852031717383</v>
      </c>
      <c r="EL28" s="4">
        <f t="shared" si="130"/>
        <v>6.3029039284467085</v>
      </c>
      <c r="EM28" s="25">
        <f t="shared" si="131"/>
        <v>7.7102948983845332</v>
      </c>
      <c r="EN28" s="4">
        <f t="shared" si="132"/>
        <v>138.93083747040964</v>
      </c>
      <c r="EO28" s="4">
        <f t="shared" si="133"/>
        <v>72.263000000000034</v>
      </c>
      <c r="EP28" s="25">
        <f t="shared" si="134"/>
        <v>2.0846518493152323E-5</v>
      </c>
      <c r="EQ28" s="25">
        <f t="shared" si="135"/>
        <v>8.20783719482192</v>
      </c>
      <c r="ER28" s="4" t="e">
        <f t="shared" si="136"/>
        <v>#REF!</v>
      </c>
      <c r="ES28" s="4" t="e">
        <f t="shared" si="137"/>
        <v>#REF!</v>
      </c>
      <c r="ET28" s="4" t="e">
        <f t="shared" si="138"/>
        <v>#REF!</v>
      </c>
      <c r="EV28" s="4" t="e">
        <f t="shared" si="139"/>
        <v>#REF!</v>
      </c>
      <c r="FA28" s="23"/>
      <c r="FB28" s="23"/>
      <c r="FC28" s="23"/>
      <c r="FD28" s="23"/>
      <c r="FE28" s="23"/>
      <c r="FF28" s="23"/>
      <c r="FG28" s="30"/>
      <c r="FH28" s="30"/>
      <c r="FR28" s="4">
        <f t="shared" si="140"/>
        <v>1</v>
      </c>
      <c r="FS28" s="4">
        <f t="shared" si="141"/>
        <v>1.0833333333333333</v>
      </c>
      <c r="FT28" s="4">
        <f t="shared" si="142"/>
        <v>0</v>
      </c>
      <c r="FU28" s="4">
        <f t="shared" si="143"/>
        <v>252.24619812719015</v>
      </c>
      <c r="FV28" s="4"/>
    </row>
    <row r="29" spans="1:178" ht="12" customHeight="1" x14ac:dyDescent="0.3">
      <c r="B29" s="24"/>
      <c r="C29" s="7" t="s">
        <v>88</v>
      </c>
      <c r="D29" s="28">
        <f t="shared" si="144"/>
        <v>517.5</v>
      </c>
      <c r="E29" s="7">
        <f t="shared" ref="E29:E34" si="155">11.25*25.4</f>
        <v>285.75</v>
      </c>
      <c r="F29" s="7">
        <v>33.44</v>
      </c>
      <c r="G29" s="7">
        <v>25.4</v>
      </c>
      <c r="H29" s="7">
        <v>229</v>
      </c>
      <c r="I29" s="7">
        <f t="shared" si="77"/>
        <v>101.8</v>
      </c>
      <c r="J29" s="7">
        <v>305</v>
      </c>
      <c r="K29" s="7">
        <v>0</v>
      </c>
      <c r="L29" s="7">
        <v>1</v>
      </c>
      <c r="M29" s="7">
        <v>82.19</v>
      </c>
      <c r="N29" s="7">
        <f t="shared" si="78"/>
        <v>3.7358267716535436</v>
      </c>
      <c r="O29" s="28">
        <f t="shared" si="145"/>
        <v>3.7358267716535436</v>
      </c>
      <c r="P29" s="28">
        <f t="shared" si="79"/>
        <v>8.3959536742577185</v>
      </c>
      <c r="Q29" s="7">
        <f t="shared" si="80"/>
        <v>8.3959536742577185</v>
      </c>
      <c r="R29" s="7">
        <f t="shared" si="81"/>
        <v>9.3959536742577185</v>
      </c>
      <c r="S29" s="7">
        <f t="shared" si="82"/>
        <v>77.858162529590359</v>
      </c>
      <c r="T29" s="7"/>
      <c r="U29" s="7"/>
      <c r="V29" s="7">
        <f>243.35/(PI()/4*G29^2)*1000</f>
        <v>480.25736749225291</v>
      </c>
      <c r="W29" s="7"/>
      <c r="X29" s="7"/>
      <c r="Y29" s="7">
        <v>9.5</v>
      </c>
      <c r="Z29" s="7">
        <v>3</v>
      </c>
      <c r="AA29" s="7">
        <v>76</v>
      </c>
      <c r="AB29" s="7">
        <v>3</v>
      </c>
      <c r="AC29" s="7"/>
      <c r="AD29" s="7"/>
      <c r="AE29" s="4">
        <f t="shared" si="154"/>
        <v>285.75</v>
      </c>
      <c r="AF29" s="4">
        <f t="shared" si="83"/>
        <v>0.16313593055169648</v>
      </c>
      <c r="AG29" s="25">
        <f t="shared" si="84"/>
        <v>551.25834685648249</v>
      </c>
      <c r="AH29" s="4">
        <f t="shared" si="85"/>
        <v>0.76641469816272956</v>
      </c>
      <c r="AI29" s="4">
        <v>1.25</v>
      </c>
      <c r="AJ29" s="25">
        <f t="shared" si="146"/>
        <v>5</v>
      </c>
      <c r="AK29" s="38">
        <f t="shared" si="147"/>
        <v>430.77316912253309</v>
      </c>
      <c r="AL29" s="38">
        <f t="shared" si="148"/>
        <v>430.77316912253309</v>
      </c>
      <c r="AN29" s="38">
        <f t="shared" si="86"/>
        <v>430.77316912253286</v>
      </c>
      <c r="AO29" s="38">
        <f t="shared" si="87"/>
        <v>1.0000000000000004</v>
      </c>
      <c r="AR29" s="4" t="e">
        <f>#REF!/G29*F29^0.5/0.19</f>
        <v>#REF!</v>
      </c>
      <c r="AS29" s="4">
        <f t="shared" si="88"/>
        <v>1</v>
      </c>
      <c r="AT29" s="38">
        <f t="shared" si="89"/>
        <v>723.96573427107933</v>
      </c>
      <c r="AU29" s="4">
        <f t="shared" si="90"/>
        <v>0.3</v>
      </c>
      <c r="AV29" s="4" t="e">
        <f>AU29*D29*#REF!/(D29*G29/2.75/F29^0.5)</f>
        <v>#REF!</v>
      </c>
      <c r="AW29" s="4" t="e">
        <f t="shared" si="91"/>
        <v>#REF!</v>
      </c>
      <c r="AY29" s="36">
        <f t="shared" si="92"/>
        <v>2.2250000000000001</v>
      </c>
      <c r="AZ29" s="36" t="e">
        <f>(1.6*#REF!+22)*AY29*F29^0.5</f>
        <v>#REF!</v>
      </c>
      <c r="BE29" s="4">
        <f t="shared" si="93"/>
        <v>101.8</v>
      </c>
      <c r="BF29" s="4">
        <f t="shared" si="94"/>
        <v>82.19</v>
      </c>
      <c r="BG29" s="4">
        <f t="shared" si="95"/>
        <v>101.8</v>
      </c>
      <c r="BH29" s="4">
        <f t="shared" si="96"/>
        <v>94.89</v>
      </c>
      <c r="BI29" s="4">
        <f t="shared" si="97"/>
        <v>1.0238593502859228</v>
      </c>
      <c r="BJ29" s="25">
        <f t="shared" si="98"/>
        <v>4</v>
      </c>
      <c r="BL29" s="4">
        <f t="shared" si="99"/>
        <v>101.8</v>
      </c>
      <c r="BP29" s="9"/>
      <c r="BR29" s="9"/>
      <c r="BS29" s="9"/>
      <c r="BT29" s="9">
        <f t="shared" si="100"/>
        <v>101.8</v>
      </c>
      <c r="BU29" s="9">
        <f t="shared" si="101"/>
        <v>101.8</v>
      </c>
      <c r="BV29" s="9">
        <f t="shared" si="102"/>
        <v>2.001967536137395</v>
      </c>
      <c r="BW29" s="9">
        <v>20</v>
      </c>
      <c r="BX29" s="9">
        <f t="shared" si="103"/>
        <v>0.05</v>
      </c>
      <c r="BY29" s="9">
        <f t="shared" si="104"/>
        <v>0.8</v>
      </c>
      <c r="BZ29" s="9">
        <f t="shared" si="105"/>
        <v>0.99524931562137331</v>
      </c>
      <c r="CA29" s="9">
        <f t="shared" si="106"/>
        <v>0.97375</v>
      </c>
      <c r="CB29" s="9">
        <f t="shared" si="107"/>
        <v>1.961464882399115</v>
      </c>
      <c r="CC29" s="9">
        <f t="shared" si="108"/>
        <v>4.9036622059977875</v>
      </c>
      <c r="CD29" s="9">
        <v>1</v>
      </c>
      <c r="CE29" s="9" t="e">
        <f>4*CC29*#REF!+60*CC29</f>
        <v>#REF!</v>
      </c>
      <c r="DB29" s="4">
        <f t="shared" si="109"/>
        <v>3</v>
      </c>
      <c r="DC29" s="4">
        <f t="shared" si="110"/>
        <v>285.75</v>
      </c>
      <c r="DD29" s="4" t="e">
        <f>#REF!/E29</f>
        <v>#REF!</v>
      </c>
      <c r="DF29" s="4">
        <f t="shared" si="111"/>
        <v>2.058127601073333E-5</v>
      </c>
      <c r="DG29" s="4">
        <f t="shared" si="112"/>
        <v>8.8720819696713296</v>
      </c>
      <c r="DI29" s="4">
        <f t="shared" si="149"/>
        <v>0</v>
      </c>
      <c r="DJ29" s="4">
        <f t="shared" si="150"/>
        <v>6.3372014069080933</v>
      </c>
      <c r="DK29" s="4">
        <f t="shared" si="115"/>
        <v>8.446107161096263</v>
      </c>
      <c r="DL29" s="38" t="e">
        <f t="shared" si="116"/>
        <v>#REF!</v>
      </c>
      <c r="DM29" s="4" t="e">
        <f t="shared" si="151"/>
        <v>#REF!</v>
      </c>
      <c r="DO29" s="4">
        <f t="shared" si="152"/>
        <v>430.77316912253286</v>
      </c>
      <c r="DS29" s="4">
        <f t="shared" si="118"/>
        <v>0.85</v>
      </c>
      <c r="DT29" s="4">
        <f t="shared" si="119"/>
        <v>0.7</v>
      </c>
      <c r="DU29" s="4">
        <f t="shared" si="120"/>
        <v>0.82320199640399283</v>
      </c>
      <c r="DV29" s="4">
        <f t="shared" si="121"/>
        <v>0.7</v>
      </c>
      <c r="DX29" s="4" t="e">
        <f t="shared" si="122"/>
        <v>#REF!</v>
      </c>
      <c r="DY29" s="25">
        <f t="shared" si="123"/>
        <v>411.19884151443893</v>
      </c>
      <c r="EB29" s="4">
        <f t="shared" si="75"/>
        <v>8.8720819696713296</v>
      </c>
      <c r="EC29" s="4">
        <f t="shared" si="124"/>
        <v>8.4462220351271053</v>
      </c>
      <c r="EE29" s="4">
        <f t="shared" si="125"/>
        <v>77.858162529590359</v>
      </c>
      <c r="EF29" s="4">
        <f t="shared" si="126"/>
        <v>3.0652819893539514</v>
      </c>
      <c r="EG29" s="4">
        <f t="shared" si="127"/>
        <v>0.14697780910112584</v>
      </c>
      <c r="EJ29" s="4">
        <f t="shared" si="128"/>
        <v>0.14697780910112584</v>
      </c>
      <c r="EK29" s="4">
        <f t="shared" si="129"/>
        <v>0.46404276686028506</v>
      </c>
      <c r="EL29" s="4">
        <f t="shared" si="130"/>
        <v>6.526025233208558</v>
      </c>
      <c r="EM29" s="4">
        <f t="shared" si="131"/>
        <v>7.7881042986793609</v>
      </c>
      <c r="EN29" s="4">
        <f t="shared" si="132"/>
        <v>136.45433747040965</v>
      </c>
      <c r="EO29" s="4">
        <f t="shared" si="133"/>
        <v>71.4375</v>
      </c>
      <c r="EP29" s="4">
        <f t="shared" si="134"/>
        <v>2.058127601073333E-5</v>
      </c>
      <c r="EQ29" s="4">
        <f t="shared" si="135"/>
        <v>8.1915665048717425</v>
      </c>
      <c r="ER29" s="4" t="e">
        <f t="shared" si="136"/>
        <v>#REF!</v>
      </c>
      <c r="ES29" s="4" t="e">
        <f t="shared" si="137"/>
        <v>#REF!</v>
      </c>
      <c r="ET29" s="4" t="e">
        <f t="shared" si="138"/>
        <v>#REF!</v>
      </c>
      <c r="EV29" s="4" t="e">
        <f t="shared" si="139"/>
        <v>#REF!</v>
      </c>
      <c r="FA29" s="23"/>
      <c r="FB29" s="23"/>
      <c r="FC29" s="23"/>
      <c r="FD29" s="23"/>
      <c r="FE29" s="23"/>
      <c r="FF29" s="23"/>
      <c r="FG29" s="23"/>
      <c r="FH29" s="23"/>
      <c r="FR29" s="4">
        <f t="shared" si="140"/>
        <v>1</v>
      </c>
      <c r="FS29" s="4">
        <f t="shared" si="141"/>
        <v>0.68688155922038985</v>
      </c>
      <c r="FT29" s="4">
        <f t="shared" si="142"/>
        <v>0.3</v>
      </c>
      <c r="FU29" s="4">
        <f t="shared" si="143"/>
        <v>392.73534594062755</v>
      </c>
    </row>
    <row r="30" spans="1:178" ht="12" customHeight="1" x14ac:dyDescent="0.3">
      <c r="B30" s="24"/>
      <c r="C30" s="7" t="s">
        <v>89</v>
      </c>
      <c r="D30" s="28">
        <f t="shared" si="144"/>
        <v>517.5</v>
      </c>
      <c r="E30" s="7">
        <f t="shared" si="155"/>
        <v>285.75</v>
      </c>
      <c r="F30" s="7">
        <v>33.44</v>
      </c>
      <c r="G30" s="7">
        <v>25.4</v>
      </c>
      <c r="H30" s="7">
        <v>229</v>
      </c>
      <c r="I30" s="7">
        <f t="shared" si="77"/>
        <v>101.8</v>
      </c>
      <c r="J30" s="7">
        <v>305</v>
      </c>
      <c r="K30" s="7">
        <v>0</v>
      </c>
      <c r="L30" s="7">
        <v>1</v>
      </c>
      <c r="M30" s="7">
        <v>83.24</v>
      </c>
      <c r="N30" s="7">
        <f t="shared" si="78"/>
        <v>3.7771653543307089</v>
      </c>
      <c r="O30" s="28">
        <f t="shared" si="145"/>
        <v>3.7771653543307089</v>
      </c>
      <c r="P30" s="28">
        <f t="shared" si="79"/>
        <v>8.3959536742577185</v>
      </c>
      <c r="Q30" s="7">
        <f t="shared" si="80"/>
        <v>8.3959536742577185</v>
      </c>
      <c r="R30" s="7">
        <f t="shared" si="81"/>
        <v>9.3959536742577185</v>
      </c>
      <c r="S30" s="7">
        <f t="shared" si="82"/>
        <v>77.858162529590359</v>
      </c>
      <c r="T30" s="7"/>
      <c r="U30" s="7"/>
      <c r="V30" s="7">
        <f>246.33/(PI()/4*G30^2)*1000</f>
        <v>486.13847271159506</v>
      </c>
      <c r="W30" s="7"/>
      <c r="X30" s="7"/>
      <c r="Y30" s="7">
        <v>9.5</v>
      </c>
      <c r="Z30" s="7">
        <v>3</v>
      </c>
      <c r="AA30" s="7">
        <v>76</v>
      </c>
      <c r="AB30" s="7">
        <v>3</v>
      </c>
      <c r="AC30" s="7"/>
      <c r="AD30" s="7"/>
      <c r="AE30" s="4">
        <f t="shared" si="154"/>
        <v>285.75</v>
      </c>
      <c r="AF30" s="4">
        <f t="shared" si="83"/>
        <v>0.16346312791391016</v>
      </c>
      <c r="AG30" s="25">
        <f t="shared" si="84"/>
        <v>551.25834685648249</v>
      </c>
      <c r="AH30" s="4">
        <f t="shared" si="85"/>
        <v>0.76714960629921258</v>
      </c>
      <c r="AI30" s="4">
        <v>1.25</v>
      </c>
      <c r="AJ30" s="25">
        <f t="shared" si="146"/>
        <v>5</v>
      </c>
      <c r="AK30" s="38">
        <f t="shared" si="147"/>
        <v>432.05105229491716</v>
      </c>
      <c r="AL30" s="38">
        <f t="shared" si="148"/>
        <v>432.05105229491716</v>
      </c>
      <c r="AN30" s="38">
        <f t="shared" si="86"/>
        <v>432.05105229491693</v>
      </c>
      <c r="AO30" s="38">
        <f t="shared" si="87"/>
        <v>1.0000000000000004</v>
      </c>
      <c r="AR30" s="4" t="e">
        <f>#REF!/G30*F30^0.5/0.19</f>
        <v>#REF!</v>
      </c>
      <c r="AS30" s="4">
        <f t="shared" si="88"/>
        <v>1</v>
      </c>
      <c r="AT30" s="38">
        <f t="shared" si="89"/>
        <v>731.97673670531515</v>
      </c>
      <c r="AU30" s="4">
        <f t="shared" si="90"/>
        <v>0.3</v>
      </c>
      <c r="AV30" s="4" t="e">
        <f>AU30*D30*#REF!/(D30*G30/2.75/F30^0.5)</f>
        <v>#REF!</v>
      </c>
      <c r="AW30" s="4" t="e">
        <f t="shared" si="91"/>
        <v>#REF!</v>
      </c>
      <c r="AY30" s="36">
        <f t="shared" si="92"/>
        <v>2.2250000000000001</v>
      </c>
      <c r="AZ30" s="36" t="e">
        <f>(1.6*#REF!+22)*AY30*F30^0.5</f>
        <v>#REF!</v>
      </c>
      <c r="BE30" s="4">
        <f t="shared" si="93"/>
        <v>101.8</v>
      </c>
      <c r="BF30" s="4">
        <f t="shared" si="94"/>
        <v>83.24</v>
      </c>
      <c r="BG30" s="4">
        <f t="shared" si="95"/>
        <v>101.8</v>
      </c>
      <c r="BH30" s="4">
        <f t="shared" si="96"/>
        <v>95.94</v>
      </c>
      <c r="BI30" s="4">
        <f t="shared" si="97"/>
        <v>1.0222969726093225</v>
      </c>
      <c r="BJ30" s="25">
        <f t="shared" si="98"/>
        <v>4</v>
      </c>
      <c r="BL30" s="4">
        <f t="shared" si="99"/>
        <v>101.8</v>
      </c>
      <c r="BP30" s="9"/>
      <c r="BR30" s="9"/>
      <c r="BS30" s="9"/>
      <c r="BT30" s="9">
        <f t="shared" si="100"/>
        <v>101.8</v>
      </c>
      <c r="BU30" s="9">
        <f t="shared" si="101"/>
        <v>101.8</v>
      </c>
      <c r="BV30" s="9">
        <f t="shared" si="102"/>
        <v>2.001967536137395</v>
      </c>
      <c r="BW30" s="9">
        <v>20</v>
      </c>
      <c r="BX30" s="9">
        <f t="shared" si="103"/>
        <v>0.05</v>
      </c>
      <c r="BY30" s="9">
        <f t="shared" si="104"/>
        <v>0.8</v>
      </c>
      <c r="BZ30" s="9">
        <f t="shared" si="105"/>
        <v>0.99524931562137331</v>
      </c>
      <c r="CA30" s="9">
        <f t="shared" si="106"/>
        <v>0.97375</v>
      </c>
      <c r="CB30" s="9">
        <f t="shared" si="107"/>
        <v>1.961464882399115</v>
      </c>
      <c r="CC30" s="9">
        <f t="shared" si="108"/>
        <v>4.9036622059977875</v>
      </c>
      <c r="CD30" s="9">
        <v>1</v>
      </c>
      <c r="CE30" s="9" t="e">
        <f>4*CC30*#REF!+60*CC30</f>
        <v>#REF!</v>
      </c>
      <c r="DB30" s="4">
        <f t="shared" si="109"/>
        <v>3</v>
      </c>
      <c r="DC30" s="4">
        <f t="shared" si="110"/>
        <v>285.75</v>
      </c>
      <c r="DD30" s="4" t="e">
        <f>#REF!/E30</f>
        <v>#REF!</v>
      </c>
      <c r="DF30" s="4">
        <f t="shared" si="111"/>
        <v>2.058127601073333E-5</v>
      </c>
      <c r="DG30" s="4">
        <f t="shared" si="112"/>
        <v>8.8720819696713296</v>
      </c>
      <c r="DI30" s="4">
        <f t="shared" si="149"/>
        <v>0</v>
      </c>
      <c r="DJ30" s="4">
        <f t="shared" si="150"/>
        <v>6.3372014069080933</v>
      </c>
      <c r="DK30" s="4">
        <f t="shared" si="115"/>
        <v>8.446107161096263</v>
      </c>
      <c r="DL30" s="38" t="e">
        <f t="shared" si="116"/>
        <v>#REF!</v>
      </c>
      <c r="DM30" s="4" t="e">
        <f t="shared" si="151"/>
        <v>#REF!</v>
      </c>
      <c r="DO30" s="4">
        <f t="shared" si="152"/>
        <v>432.05105229491693</v>
      </c>
      <c r="DS30" s="4">
        <f t="shared" si="118"/>
        <v>0.85</v>
      </c>
      <c r="DT30" s="4">
        <f t="shared" si="119"/>
        <v>0.7</v>
      </c>
      <c r="DU30" s="4">
        <f t="shared" si="120"/>
        <v>0.82320199640399283</v>
      </c>
      <c r="DV30" s="4">
        <f t="shared" si="121"/>
        <v>0.7</v>
      </c>
      <c r="DX30" s="4" t="e">
        <f t="shared" si="122"/>
        <v>#REF!</v>
      </c>
      <c r="DY30" s="25">
        <f t="shared" si="123"/>
        <v>411.59776307016909</v>
      </c>
      <c r="EB30" s="4">
        <f t="shared" si="75"/>
        <v>8.8720819696713296</v>
      </c>
      <c r="EC30" s="4">
        <f t="shared" si="124"/>
        <v>8.4462220351271053</v>
      </c>
      <c r="EE30" s="4">
        <f t="shared" si="125"/>
        <v>77.858162529590359</v>
      </c>
      <c r="EF30" s="4">
        <f t="shared" si="126"/>
        <v>3.0652819893539514</v>
      </c>
      <c r="EG30" s="4">
        <f t="shared" si="127"/>
        <v>0.14741381691783081</v>
      </c>
      <c r="EJ30" s="4">
        <f t="shared" si="128"/>
        <v>0.14741381691783081</v>
      </c>
      <c r="EK30" s="4">
        <f t="shared" si="129"/>
        <v>0.46541934387469186</v>
      </c>
      <c r="EL30" s="4">
        <f t="shared" si="130"/>
        <v>6.5337621011847986</v>
      </c>
      <c r="EM30" s="4">
        <f t="shared" si="131"/>
        <v>7.7913442630090861</v>
      </c>
      <c r="EN30" s="4">
        <f t="shared" si="132"/>
        <v>136.45433747040965</v>
      </c>
      <c r="EO30" s="4">
        <f t="shared" si="133"/>
        <v>71.4375</v>
      </c>
      <c r="EP30" s="4">
        <f t="shared" si="134"/>
        <v>2.058127601073333E-5</v>
      </c>
      <c r="EQ30" s="4">
        <f t="shared" si="135"/>
        <v>8.1911899729698998</v>
      </c>
      <c r="ER30" s="4" t="e">
        <f t="shared" si="136"/>
        <v>#REF!</v>
      </c>
      <c r="ES30" s="4" t="e">
        <f t="shared" si="137"/>
        <v>#REF!</v>
      </c>
      <c r="ET30" s="4" t="e">
        <f t="shared" si="138"/>
        <v>#REF!</v>
      </c>
      <c r="EV30" s="4" t="e">
        <f t="shared" si="139"/>
        <v>#REF!</v>
      </c>
      <c r="FA30" s="23"/>
      <c r="FB30" s="23"/>
      <c r="FC30" s="23"/>
      <c r="FD30" s="23"/>
      <c r="FE30" s="23"/>
      <c r="FF30" s="23"/>
      <c r="FG30" s="23"/>
      <c r="FH30" s="23"/>
      <c r="FR30" s="4">
        <f t="shared" si="140"/>
        <v>1</v>
      </c>
      <c r="FS30" s="4">
        <f t="shared" si="141"/>
        <v>0.68688155922038985</v>
      </c>
      <c r="FT30" s="4">
        <f t="shared" si="142"/>
        <v>0.3</v>
      </c>
      <c r="FU30" s="4">
        <f t="shared" si="143"/>
        <v>392.73534594062755</v>
      </c>
    </row>
    <row r="31" spans="1:178" ht="12" customHeight="1" x14ac:dyDescent="0.3">
      <c r="B31" s="24"/>
      <c r="C31" s="7" t="s">
        <v>90</v>
      </c>
      <c r="D31" s="28">
        <f t="shared" si="144"/>
        <v>517.5</v>
      </c>
      <c r="E31" s="7">
        <f t="shared" si="155"/>
        <v>285.75</v>
      </c>
      <c r="F31" s="7">
        <v>33.44</v>
      </c>
      <c r="G31" s="7">
        <v>25.4</v>
      </c>
      <c r="H31" s="7">
        <v>229</v>
      </c>
      <c r="I31" s="7">
        <f t="shared" si="77"/>
        <v>101.8</v>
      </c>
      <c r="J31" s="7">
        <v>305</v>
      </c>
      <c r="K31" s="7">
        <v>0</v>
      </c>
      <c r="L31" s="7">
        <v>1</v>
      </c>
      <c r="M31" s="7">
        <v>81.69</v>
      </c>
      <c r="N31" s="7">
        <f t="shared" si="78"/>
        <v>3.7161417322834649</v>
      </c>
      <c r="O31" s="28">
        <f t="shared" si="145"/>
        <v>3.7161417322834649</v>
      </c>
      <c r="P31" s="28">
        <f t="shared" si="79"/>
        <v>8.3959536742577185</v>
      </c>
      <c r="Q31" s="7">
        <f t="shared" si="80"/>
        <v>8.3959536742577185</v>
      </c>
      <c r="R31" s="7">
        <f t="shared" si="81"/>
        <v>9.3959536742577185</v>
      </c>
      <c r="S31" s="7">
        <f t="shared" si="82"/>
        <v>77.858162529590359</v>
      </c>
      <c r="T31" s="7"/>
      <c r="U31" s="7"/>
      <c r="V31" s="7">
        <f>225.65/(PI()/4*G31^2)*1000</f>
        <v>445.32597071965017</v>
      </c>
      <c r="W31" s="7"/>
      <c r="X31" s="7"/>
      <c r="Y31" s="7">
        <v>9.5</v>
      </c>
      <c r="Z31" s="7">
        <v>3</v>
      </c>
      <c r="AA31" s="7">
        <v>76</v>
      </c>
      <c r="AB31" s="7">
        <v>3</v>
      </c>
      <c r="AC31" s="7"/>
      <c r="AD31" s="7"/>
      <c r="AE31" s="4">
        <f t="shared" si="154"/>
        <v>285.75</v>
      </c>
      <c r="AF31" s="4">
        <f t="shared" si="83"/>
        <v>0.16298012228397571</v>
      </c>
      <c r="AG31" s="25">
        <f t="shared" si="84"/>
        <v>551.25834685648249</v>
      </c>
      <c r="AH31" s="4">
        <f t="shared" si="85"/>
        <v>0.76606474190726159</v>
      </c>
      <c r="AI31" s="4">
        <v>1.25</v>
      </c>
      <c r="AJ31" s="25">
        <f t="shared" si="146"/>
        <v>5</v>
      </c>
      <c r="AK31" s="38">
        <f t="shared" si="147"/>
        <v>430.16523569904933</v>
      </c>
      <c r="AL31" s="38">
        <f t="shared" si="148"/>
        <v>430.16523569904933</v>
      </c>
      <c r="AN31" s="38">
        <f t="shared" si="86"/>
        <v>430.16523569904911</v>
      </c>
      <c r="AO31" s="38">
        <f t="shared" si="87"/>
        <v>1.0000000000000004</v>
      </c>
      <c r="AR31" s="4" t="e">
        <f>#REF!/G31*F31^0.5/0.19</f>
        <v>#REF!</v>
      </c>
      <c r="AS31" s="4">
        <f t="shared" si="88"/>
        <v>1</v>
      </c>
      <c r="AT31" s="38">
        <f t="shared" si="89"/>
        <v>720.15097120715757</v>
      </c>
      <c r="AU31" s="4">
        <f t="shared" si="90"/>
        <v>0.3</v>
      </c>
      <c r="AV31" s="4" t="e">
        <f>AU31*D31*#REF!/(D31*G31/2.75/F31^0.5)</f>
        <v>#REF!</v>
      </c>
      <c r="AW31" s="4" t="e">
        <f t="shared" si="91"/>
        <v>#REF!</v>
      </c>
      <c r="AY31" s="36">
        <f t="shared" si="92"/>
        <v>2.2250000000000001</v>
      </c>
      <c r="AZ31" s="36" t="e">
        <f>(1.6*#REF!+22)*AY31*F31^0.5</f>
        <v>#REF!</v>
      </c>
      <c r="BE31" s="4">
        <f t="shared" si="93"/>
        <v>101.8</v>
      </c>
      <c r="BF31" s="4">
        <f t="shared" si="94"/>
        <v>81.69</v>
      </c>
      <c r="BG31" s="4">
        <f t="shared" si="95"/>
        <v>101.8</v>
      </c>
      <c r="BH31" s="4">
        <f t="shared" si="96"/>
        <v>94.39</v>
      </c>
      <c r="BI31" s="4">
        <f t="shared" si="97"/>
        <v>1.0246174562369936</v>
      </c>
      <c r="BJ31" s="25">
        <f t="shared" si="98"/>
        <v>4</v>
      </c>
      <c r="BL31" s="4">
        <f t="shared" si="99"/>
        <v>101.8</v>
      </c>
      <c r="BP31" s="9"/>
      <c r="BR31" s="9"/>
      <c r="BS31" s="9"/>
      <c r="BT31" s="9">
        <f t="shared" si="100"/>
        <v>101.8</v>
      </c>
      <c r="BU31" s="9">
        <f t="shared" si="101"/>
        <v>101.8</v>
      </c>
      <c r="BV31" s="9">
        <f t="shared" si="102"/>
        <v>2.001967536137395</v>
      </c>
      <c r="BW31" s="9">
        <v>20</v>
      </c>
      <c r="BX31" s="9">
        <f t="shared" si="103"/>
        <v>0.05</v>
      </c>
      <c r="BY31" s="9">
        <f t="shared" si="104"/>
        <v>0.8</v>
      </c>
      <c r="BZ31" s="9">
        <f t="shared" si="105"/>
        <v>0.99524931562137331</v>
      </c>
      <c r="CA31" s="9">
        <f t="shared" si="106"/>
        <v>0.97375</v>
      </c>
      <c r="CB31" s="9">
        <f t="shared" si="107"/>
        <v>1.961464882399115</v>
      </c>
      <c r="CC31" s="9">
        <f t="shared" si="108"/>
        <v>4.9036622059977875</v>
      </c>
      <c r="CD31" s="9">
        <v>1</v>
      </c>
      <c r="CE31" s="9" t="e">
        <f>4*CC31*#REF!+60*CC31</f>
        <v>#REF!</v>
      </c>
      <c r="DB31" s="4">
        <f t="shared" si="109"/>
        <v>3</v>
      </c>
      <c r="DC31" s="4">
        <f t="shared" si="110"/>
        <v>285.75</v>
      </c>
      <c r="DD31" s="4" t="e">
        <f>#REF!/E31</f>
        <v>#REF!</v>
      </c>
      <c r="DF31" s="4">
        <f t="shared" si="111"/>
        <v>2.058127601073333E-5</v>
      </c>
      <c r="DG31" s="4">
        <f t="shared" si="112"/>
        <v>8.8720819696713296</v>
      </c>
      <c r="DI31" s="4">
        <f t="shared" si="149"/>
        <v>0</v>
      </c>
      <c r="DJ31" s="4">
        <f t="shared" si="150"/>
        <v>6.3372014069080933</v>
      </c>
      <c r="DK31" s="4">
        <f t="shared" si="115"/>
        <v>8.446107161096263</v>
      </c>
      <c r="DL31" s="38" t="e">
        <f t="shared" si="116"/>
        <v>#REF!</v>
      </c>
      <c r="DM31" s="4" t="e">
        <f t="shared" si="151"/>
        <v>#REF!</v>
      </c>
      <c r="DO31" s="4">
        <f t="shared" si="152"/>
        <v>430.16523569904911</v>
      </c>
      <c r="DS31" s="4">
        <f t="shared" si="118"/>
        <v>0.85</v>
      </c>
      <c r="DT31" s="4">
        <f t="shared" si="119"/>
        <v>0.7</v>
      </c>
      <c r="DU31" s="4">
        <f t="shared" si="120"/>
        <v>0.82320199640399283</v>
      </c>
      <c r="DV31" s="4">
        <f t="shared" si="121"/>
        <v>0.7</v>
      </c>
      <c r="DX31" s="4" t="e">
        <f t="shared" si="122"/>
        <v>#REF!</v>
      </c>
      <c r="DY31" s="25">
        <f t="shared" si="123"/>
        <v>411.00887886885306</v>
      </c>
      <c r="EB31" s="4">
        <f t="shared" si="75"/>
        <v>8.8720819696713296</v>
      </c>
      <c r="EC31" s="4">
        <f t="shared" si="124"/>
        <v>8.4462220351271053</v>
      </c>
      <c r="EE31" s="4">
        <f t="shared" si="125"/>
        <v>77.858162529590359</v>
      </c>
      <c r="EF31" s="4">
        <f t="shared" si="126"/>
        <v>3.0652819893539514</v>
      </c>
      <c r="EG31" s="4">
        <f t="shared" si="127"/>
        <v>0.14677038503419751</v>
      </c>
      <c r="EJ31" s="4">
        <f t="shared" si="128"/>
        <v>0.14677038503419751</v>
      </c>
      <c r="EK31" s="4">
        <f t="shared" si="129"/>
        <v>0.46338788134716236</v>
      </c>
      <c r="EL31" s="4">
        <f t="shared" si="130"/>
        <v>6.5223397020583498</v>
      </c>
      <c r="EM31" s="4">
        <f t="shared" si="131"/>
        <v>7.7865617991761473</v>
      </c>
      <c r="EN31" s="4">
        <f t="shared" si="132"/>
        <v>136.45433747040965</v>
      </c>
      <c r="EO31" s="4">
        <f t="shared" si="133"/>
        <v>71.4375</v>
      </c>
      <c r="EP31" s="4">
        <f t="shared" si="134"/>
        <v>2.058127601073333E-5</v>
      </c>
      <c r="EQ31" s="4">
        <f t="shared" si="135"/>
        <v>8.1917458257410534</v>
      </c>
      <c r="ER31" s="4" t="e">
        <f t="shared" si="136"/>
        <v>#REF!</v>
      </c>
      <c r="ES31" s="4" t="e">
        <f t="shared" si="137"/>
        <v>#REF!</v>
      </c>
      <c r="ET31" s="4" t="e">
        <f t="shared" si="138"/>
        <v>#REF!</v>
      </c>
      <c r="EV31" s="4" t="e">
        <f t="shared" si="139"/>
        <v>#REF!</v>
      </c>
      <c r="FA31" s="23"/>
      <c r="FB31" s="23"/>
      <c r="FC31" s="23"/>
      <c r="FD31" s="23"/>
      <c r="FE31" s="23"/>
      <c r="FF31" s="23"/>
      <c r="FG31" s="23"/>
      <c r="FH31" s="23"/>
      <c r="FR31" s="4">
        <f t="shared" si="140"/>
        <v>1</v>
      </c>
      <c r="FS31" s="4">
        <f t="shared" si="141"/>
        <v>0.68688155922038985</v>
      </c>
      <c r="FT31" s="4">
        <f t="shared" si="142"/>
        <v>0.3</v>
      </c>
      <c r="FU31" s="4">
        <f t="shared" si="143"/>
        <v>392.73534594062755</v>
      </c>
    </row>
    <row r="32" spans="1:178" ht="12" customHeight="1" x14ac:dyDescent="0.3">
      <c r="B32" s="24"/>
      <c r="C32" s="7" t="s">
        <v>91</v>
      </c>
      <c r="D32" s="28">
        <f t="shared" si="144"/>
        <v>517.5</v>
      </c>
      <c r="E32" s="7">
        <f t="shared" si="155"/>
        <v>285.75</v>
      </c>
      <c r="F32" s="7">
        <v>33.44</v>
      </c>
      <c r="G32" s="7">
        <v>25.4</v>
      </c>
      <c r="H32" s="7">
        <v>229</v>
      </c>
      <c r="I32" s="7">
        <f t="shared" si="77"/>
        <v>101.8</v>
      </c>
      <c r="J32" s="7">
        <v>305</v>
      </c>
      <c r="K32" s="7">
        <v>0</v>
      </c>
      <c r="L32" s="7">
        <v>1</v>
      </c>
      <c r="M32" s="7">
        <v>53.72</v>
      </c>
      <c r="N32" s="7">
        <f t="shared" si="78"/>
        <v>2.61496062992126</v>
      </c>
      <c r="O32" s="28">
        <f t="shared" si="145"/>
        <v>2.61496062992126</v>
      </c>
      <c r="P32" s="28">
        <f t="shared" si="79"/>
        <v>8.3959536742577185</v>
      </c>
      <c r="Q32" s="7">
        <f t="shared" si="80"/>
        <v>8.3959536742577185</v>
      </c>
      <c r="R32" s="7">
        <f t="shared" si="81"/>
        <v>9.3959536742577185</v>
      </c>
      <c r="S32" s="7">
        <f t="shared" si="82"/>
        <v>77.858162529590359</v>
      </c>
      <c r="T32" s="7"/>
      <c r="U32" s="7"/>
      <c r="V32" s="7">
        <f>228.81/(PI()/4*G32^2)*1000</f>
        <v>451.56231048244251</v>
      </c>
      <c r="W32" s="7"/>
      <c r="X32" s="7"/>
      <c r="Y32" s="7">
        <v>9.5</v>
      </c>
      <c r="Z32" s="7">
        <v>3</v>
      </c>
      <c r="AA32" s="7">
        <v>76</v>
      </c>
      <c r="AB32" s="7">
        <v>3</v>
      </c>
      <c r="AC32" s="7"/>
      <c r="AD32" s="7"/>
      <c r="AE32" s="4">
        <f t="shared" si="154"/>
        <v>285.75</v>
      </c>
      <c r="AF32" s="4">
        <f t="shared" si="83"/>
        <v>0.15426420778767486</v>
      </c>
      <c r="AG32" s="25">
        <f t="shared" si="84"/>
        <v>551.25834685648249</v>
      </c>
      <c r="AH32" s="4">
        <f t="shared" si="85"/>
        <v>0.74648818897637792</v>
      </c>
      <c r="AI32" s="4">
        <v>1.25</v>
      </c>
      <c r="AJ32" s="25">
        <f t="shared" si="146"/>
        <v>5</v>
      </c>
      <c r="AK32" s="38">
        <f t="shared" si="147"/>
        <v>396.7558231737641</v>
      </c>
      <c r="AL32" s="38">
        <f t="shared" si="148"/>
        <v>396.7558231737641</v>
      </c>
      <c r="AN32" s="38">
        <f t="shared" si="86"/>
        <v>396.75582317376393</v>
      </c>
      <c r="AO32" s="38">
        <f t="shared" si="87"/>
        <v>1.0000000000000004</v>
      </c>
      <c r="AR32" s="4" t="e">
        <f>#REF!/G32*F32^0.5/0.19</f>
        <v>#REF!</v>
      </c>
      <c r="AS32" s="4">
        <f t="shared" si="88"/>
        <v>1</v>
      </c>
      <c r="AT32" s="38">
        <f t="shared" si="89"/>
        <v>506.75312541137197</v>
      </c>
      <c r="AU32" s="4">
        <f t="shared" si="90"/>
        <v>0.3</v>
      </c>
      <c r="AV32" s="4" t="e">
        <f>AU32*D32*#REF!/(D32*G32/2.75/F32^0.5)</f>
        <v>#REF!</v>
      </c>
      <c r="AW32" s="4" t="e">
        <f t="shared" si="91"/>
        <v>#REF!</v>
      </c>
      <c r="AY32" s="36">
        <f t="shared" si="92"/>
        <v>2.2250000000000001</v>
      </c>
      <c r="AZ32" s="36" t="e">
        <f>(1.6*#REF!+22)*AY32*F32^0.5</f>
        <v>#REF!</v>
      </c>
      <c r="BE32" s="4">
        <f t="shared" si="93"/>
        <v>101.8</v>
      </c>
      <c r="BF32" s="4">
        <f t="shared" si="94"/>
        <v>53.72</v>
      </c>
      <c r="BG32" s="4">
        <f t="shared" si="95"/>
        <v>101.8</v>
      </c>
      <c r="BH32" s="4">
        <f t="shared" si="96"/>
        <v>66.42</v>
      </c>
      <c r="BI32" s="4">
        <f t="shared" si="97"/>
        <v>1.0895011169024573</v>
      </c>
      <c r="BJ32" s="25">
        <f t="shared" si="98"/>
        <v>4</v>
      </c>
      <c r="BL32" s="4">
        <f t="shared" si="99"/>
        <v>101.8</v>
      </c>
      <c r="BP32" s="9"/>
      <c r="BR32" s="9"/>
      <c r="BS32" s="9"/>
      <c r="BT32" s="9">
        <f t="shared" si="100"/>
        <v>101.8</v>
      </c>
      <c r="BU32" s="9">
        <f t="shared" si="101"/>
        <v>101.8</v>
      </c>
      <c r="BV32" s="9">
        <f t="shared" si="102"/>
        <v>2.001967536137395</v>
      </c>
      <c r="BW32" s="9">
        <v>20</v>
      </c>
      <c r="BX32" s="9">
        <f t="shared" si="103"/>
        <v>0.05</v>
      </c>
      <c r="BY32" s="9">
        <f t="shared" si="104"/>
        <v>0.8</v>
      </c>
      <c r="BZ32" s="9">
        <f t="shared" si="105"/>
        <v>0.99524931562137331</v>
      </c>
      <c r="CA32" s="9">
        <f t="shared" si="106"/>
        <v>0.97375</v>
      </c>
      <c r="CB32" s="9">
        <f t="shared" si="107"/>
        <v>1.961464882399115</v>
      </c>
      <c r="CC32" s="9">
        <f t="shared" si="108"/>
        <v>4.9036622059977875</v>
      </c>
      <c r="CD32" s="9">
        <v>1</v>
      </c>
      <c r="CE32" s="9" t="e">
        <f>4*CC32*#REF!+60*CC32</f>
        <v>#REF!</v>
      </c>
      <c r="DB32" s="4">
        <f t="shared" si="109"/>
        <v>3</v>
      </c>
      <c r="DC32" s="4">
        <f t="shared" si="110"/>
        <v>285.75</v>
      </c>
      <c r="DD32" s="4" t="e">
        <f>#REF!/E32</f>
        <v>#REF!</v>
      </c>
      <c r="DF32" s="4">
        <f t="shared" si="111"/>
        <v>2.058127601073333E-5</v>
      </c>
      <c r="DG32" s="4">
        <f t="shared" si="112"/>
        <v>8.8720819696713296</v>
      </c>
      <c r="DI32" s="4">
        <f t="shared" si="149"/>
        <v>0</v>
      </c>
      <c r="DJ32" s="4">
        <f t="shared" si="150"/>
        <v>6.3372014069080933</v>
      </c>
      <c r="DK32" s="4">
        <f t="shared" si="115"/>
        <v>8.446107161096263</v>
      </c>
      <c r="DL32" s="38" t="e">
        <f t="shared" si="116"/>
        <v>#REF!</v>
      </c>
      <c r="DM32" s="4" t="e">
        <f t="shared" si="151"/>
        <v>#REF!</v>
      </c>
      <c r="DO32" s="4">
        <f t="shared" si="152"/>
        <v>396.75582317376393</v>
      </c>
      <c r="DS32" s="4">
        <f t="shared" si="118"/>
        <v>0.85</v>
      </c>
      <c r="DT32" s="4">
        <f t="shared" si="119"/>
        <v>0.7</v>
      </c>
      <c r="DU32" s="4">
        <f t="shared" si="120"/>
        <v>0.82320199640399283</v>
      </c>
      <c r="DV32" s="4">
        <f t="shared" si="121"/>
        <v>0.7</v>
      </c>
      <c r="DX32" s="4" t="e">
        <f t="shared" si="122"/>
        <v>#REF!</v>
      </c>
      <c r="DY32" s="25">
        <f t="shared" si="123"/>
        <v>400.38236847478214</v>
      </c>
      <c r="EB32" s="4">
        <f t="shared" si="75"/>
        <v>8.8720819696713296</v>
      </c>
      <c r="EC32" s="4">
        <f t="shared" si="124"/>
        <v>8.4462220351271053</v>
      </c>
      <c r="EE32" s="4">
        <f t="shared" si="125"/>
        <v>77.858162529590359</v>
      </c>
      <c r="EF32" s="4">
        <f t="shared" si="126"/>
        <v>3.0652819893539514</v>
      </c>
      <c r="EG32" s="4">
        <f t="shared" si="127"/>
        <v>0.13537124829983568</v>
      </c>
      <c r="EJ32" s="4">
        <f t="shared" si="128"/>
        <v>0.13537124829983568</v>
      </c>
      <c r="EK32" s="4">
        <f t="shared" si="129"/>
        <v>0.42739818343029867</v>
      </c>
      <c r="EL32" s="4">
        <f t="shared" si="130"/>
        <v>6.3147856649016321</v>
      </c>
      <c r="EM32" s="4">
        <f t="shared" si="131"/>
        <v>7.7006317842330088</v>
      </c>
      <c r="EN32" s="4">
        <f t="shared" si="132"/>
        <v>136.45433747040965</v>
      </c>
      <c r="EO32" s="4">
        <f t="shared" si="133"/>
        <v>71.4375</v>
      </c>
      <c r="EP32" s="4">
        <f t="shared" si="134"/>
        <v>2.058127601073333E-5</v>
      </c>
      <c r="EQ32" s="4">
        <f t="shared" si="135"/>
        <v>8.2017983392923259</v>
      </c>
      <c r="ER32" s="4" t="e">
        <f t="shared" si="136"/>
        <v>#REF!</v>
      </c>
      <c r="ES32" s="4" t="e">
        <f t="shared" si="137"/>
        <v>#REF!</v>
      </c>
      <c r="ET32" s="4" t="e">
        <f t="shared" si="138"/>
        <v>#REF!</v>
      </c>
      <c r="EV32" s="4" t="e">
        <f t="shared" si="139"/>
        <v>#REF!</v>
      </c>
      <c r="FA32" s="23"/>
      <c r="FB32" s="23"/>
      <c r="FC32" s="23"/>
      <c r="FD32" s="23"/>
      <c r="FE32" s="23"/>
      <c r="FF32" s="23"/>
      <c r="FG32" s="23"/>
      <c r="FH32" s="23"/>
      <c r="FR32" s="4">
        <f t="shared" si="140"/>
        <v>1</v>
      </c>
      <c r="FS32" s="4">
        <f t="shared" si="141"/>
        <v>0.68688155922038985</v>
      </c>
      <c r="FT32" s="4">
        <f t="shared" si="142"/>
        <v>0.3</v>
      </c>
      <c r="FU32" s="4">
        <f t="shared" si="143"/>
        <v>392.73534594062755</v>
      </c>
    </row>
    <row r="33" spans="2:178" ht="12" customHeight="1" x14ac:dyDescent="0.3">
      <c r="B33" s="24"/>
      <c r="C33" s="7" t="s">
        <v>92</v>
      </c>
      <c r="D33" s="28">
        <f t="shared" si="144"/>
        <v>517.5</v>
      </c>
      <c r="E33" s="7">
        <f t="shared" si="155"/>
        <v>285.75</v>
      </c>
      <c r="F33" s="7">
        <v>33.44</v>
      </c>
      <c r="G33" s="7">
        <v>25.4</v>
      </c>
      <c r="H33" s="7">
        <v>229</v>
      </c>
      <c r="I33" s="7">
        <f t="shared" si="77"/>
        <v>101.8</v>
      </c>
      <c r="J33" s="7">
        <v>305</v>
      </c>
      <c r="K33" s="7">
        <v>0</v>
      </c>
      <c r="L33" s="7">
        <v>1</v>
      </c>
      <c r="M33" s="7">
        <v>51.33</v>
      </c>
      <c r="N33" s="7">
        <f t="shared" si="78"/>
        <v>2.5208661417322835</v>
      </c>
      <c r="O33" s="28">
        <f t="shared" si="145"/>
        <v>2.5208661417322835</v>
      </c>
      <c r="P33" s="28">
        <f t="shared" si="79"/>
        <v>8.3959536742577185</v>
      </c>
      <c r="Q33" s="7">
        <f t="shared" si="80"/>
        <v>8.3959536742577185</v>
      </c>
      <c r="R33" s="7">
        <f t="shared" si="81"/>
        <v>9.3959536742577185</v>
      </c>
      <c r="S33" s="7">
        <f t="shared" si="82"/>
        <v>77.858162529590359</v>
      </c>
      <c r="T33" s="7"/>
      <c r="U33" s="7"/>
      <c r="V33" s="7">
        <f>226.27/(PI()/4*G33^2)*1000</f>
        <v>446.54955636931197</v>
      </c>
      <c r="W33" s="7"/>
      <c r="X33" s="7"/>
      <c r="Y33" s="7">
        <v>9.5</v>
      </c>
      <c r="Z33" s="7">
        <v>3</v>
      </c>
      <c r="AA33" s="7">
        <v>76</v>
      </c>
      <c r="AB33" s="7">
        <v>3</v>
      </c>
      <c r="AC33" s="7"/>
      <c r="AD33" s="7"/>
      <c r="AE33" s="4">
        <f t="shared" si="154"/>
        <v>285.75</v>
      </c>
      <c r="AF33" s="4">
        <f t="shared" si="83"/>
        <v>0.15351944426796946</v>
      </c>
      <c r="AG33" s="25">
        <f t="shared" si="84"/>
        <v>551.25834685648249</v>
      </c>
      <c r="AH33" s="4">
        <f t="shared" si="85"/>
        <v>0.74481539807524055</v>
      </c>
      <c r="AI33" s="4">
        <v>1.25</v>
      </c>
      <c r="AJ33" s="25">
        <f t="shared" si="146"/>
        <v>5</v>
      </c>
      <c r="AK33" s="38">
        <f t="shared" si="147"/>
        <v>393.95555790376119</v>
      </c>
      <c r="AL33" s="38">
        <f t="shared" si="148"/>
        <v>393.95555790376119</v>
      </c>
      <c r="AN33" s="38">
        <f t="shared" si="86"/>
        <v>393.95555790376096</v>
      </c>
      <c r="AO33" s="38">
        <f t="shared" si="87"/>
        <v>1.0000000000000007</v>
      </c>
      <c r="AR33" s="4" t="e">
        <f>#REF!/G33*F33^0.5/0.19</f>
        <v>#REF!</v>
      </c>
      <c r="AS33" s="4">
        <f t="shared" si="88"/>
        <v>1</v>
      </c>
      <c r="AT33" s="38">
        <f t="shared" si="89"/>
        <v>488.51855796582578</v>
      </c>
      <c r="AU33" s="4">
        <f t="shared" si="90"/>
        <v>0.3</v>
      </c>
      <c r="AV33" s="4" t="e">
        <f>AU33*D33*#REF!/(D33*G33/2.75/F33^0.5)</f>
        <v>#REF!</v>
      </c>
      <c r="AW33" s="4" t="e">
        <f t="shared" si="91"/>
        <v>#REF!</v>
      </c>
      <c r="AY33" s="36">
        <f t="shared" si="92"/>
        <v>2.2250000000000001</v>
      </c>
      <c r="AZ33" s="36" t="e">
        <f>(1.6*#REF!+22)*AY33*F33^0.5</f>
        <v>#REF!</v>
      </c>
      <c r="BE33" s="4">
        <f t="shared" si="93"/>
        <v>101.8</v>
      </c>
      <c r="BF33" s="4">
        <f t="shared" si="94"/>
        <v>51.33</v>
      </c>
      <c r="BG33" s="4">
        <f t="shared" si="95"/>
        <v>101.8</v>
      </c>
      <c r="BH33" s="4">
        <f t="shared" si="96"/>
        <v>64.03</v>
      </c>
      <c r="BI33" s="4">
        <f t="shared" si="97"/>
        <v>1.0983245665302941</v>
      </c>
      <c r="BJ33" s="25">
        <f t="shared" si="98"/>
        <v>4</v>
      </c>
      <c r="BL33" s="4">
        <f t="shared" si="99"/>
        <v>101.8</v>
      </c>
      <c r="BP33" s="9"/>
      <c r="BR33" s="9"/>
      <c r="BS33" s="9"/>
      <c r="BT33" s="9">
        <f t="shared" si="100"/>
        <v>101.8</v>
      </c>
      <c r="BU33" s="9">
        <f t="shared" si="101"/>
        <v>101.8</v>
      </c>
      <c r="BV33" s="9">
        <f t="shared" si="102"/>
        <v>2.001967536137395</v>
      </c>
      <c r="BW33" s="9">
        <v>20</v>
      </c>
      <c r="BX33" s="9">
        <f t="shared" si="103"/>
        <v>0.05</v>
      </c>
      <c r="BY33" s="9">
        <f t="shared" si="104"/>
        <v>0.8</v>
      </c>
      <c r="BZ33" s="9">
        <f t="shared" si="105"/>
        <v>0.99524931562137331</v>
      </c>
      <c r="CA33" s="9">
        <f t="shared" si="106"/>
        <v>0.97375</v>
      </c>
      <c r="CB33" s="9">
        <f t="shared" si="107"/>
        <v>1.961464882399115</v>
      </c>
      <c r="CC33" s="9">
        <f t="shared" si="108"/>
        <v>4.9036622059977875</v>
      </c>
      <c r="CD33" s="9">
        <v>1</v>
      </c>
      <c r="CE33" s="9" t="e">
        <f>4*CC33*#REF!+60*CC33</f>
        <v>#REF!</v>
      </c>
      <c r="DB33" s="4">
        <f t="shared" si="109"/>
        <v>3</v>
      </c>
      <c r="DC33" s="4">
        <f t="shared" si="110"/>
        <v>285.75</v>
      </c>
      <c r="DD33" s="4" t="e">
        <f>#REF!/E33</f>
        <v>#REF!</v>
      </c>
      <c r="DF33" s="4">
        <f t="shared" si="111"/>
        <v>2.058127601073333E-5</v>
      </c>
      <c r="DG33" s="4">
        <f t="shared" si="112"/>
        <v>8.8720819696713296</v>
      </c>
      <c r="DI33" s="4">
        <f t="shared" si="149"/>
        <v>0</v>
      </c>
      <c r="DJ33" s="4">
        <f t="shared" si="150"/>
        <v>6.3372014069080933</v>
      </c>
      <c r="DK33" s="4">
        <f t="shared" si="115"/>
        <v>8.446107161096263</v>
      </c>
      <c r="DL33" s="38" t="e">
        <f t="shared" si="116"/>
        <v>#REF!</v>
      </c>
      <c r="DM33" s="4" t="e">
        <f t="shared" si="151"/>
        <v>#REF!</v>
      </c>
      <c r="DO33" s="4">
        <f t="shared" si="152"/>
        <v>393.95555790376096</v>
      </c>
      <c r="DS33" s="4">
        <f t="shared" si="118"/>
        <v>0.85</v>
      </c>
      <c r="DT33" s="4">
        <f t="shared" si="119"/>
        <v>0.7</v>
      </c>
      <c r="DU33" s="4">
        <f t="shared" si="120"/>
        <v>0.82320199640399283</v>
      </c>
      <c r="DV33" s="4">
        <f t="shared" si="121"/>
        <v>0.7</v>
      </c>
      <c r="DX33" s="4" t="e">
        <f t="shared" si="122"/>
        <v>#REF!</v>
      </c>
      <c r="DY33" s="25">
        <f t="shared" si="123"/>
        <v>399.47434702888194</v>
      </c>
      <c r="EB33" s="4">
        <f t="shared" si="75"/>
        <v>8.8720819696713296</v>
      </c>
      <c r="EC33" s="4">
        <f t="shared" si="124"/>
        <v>8.4462220351271053</v>
      </c>
      <c r="EE33" s="4">
        <f t="shared" si="125"/>
        <v>77.858162529590359</v>
      </c>
      <c r="EF33" s="4">
        <f t="shared" si="126"/>
        <v>3.0652819893539514</v>
      </c>
      <c r="EG33" s="4">
        <f t="shared" si="127"/>
        <v>0.13441581076614395</v>
      </c>
      <c r="EJ33" s="4">
        <f t="shared" si="128"/>
        <v>0.13441581076614395</v>
      </c>
      <c r="EK33" s="4">
        <f t="shared" si="129"/>
        <v>0.42438164726468319</v>
      </c>
      <c r="EL33" s="4">
        <f t="shared" si="130"/>
        <v>6.2969201091294611</v>
      </c>
      <c r="EM33" s="4">
        <f t="shared" si="131"/>
        <v>7.6933224587384004</v>
      </c>
      <c r="EN33" s="4">
        <f t="shared" si="132"/>
        <v>136.45433747040965</v>
      </c>
      <c r="EO33" s="4">
        <f t="shared" si="133"/>
        <v>71.4375</v>
      </c>
      <c r="EP33" s="4">
        <f t="shared" si="134"/>
        <v>2.058127601073333E-5</v>
      </c>
      <c r="EQ33" s="4">
        <f t="shared" si="135"/>
        <v>8.2026593344228811</v>
      </c>
      <c r="ER33" s="4" t="e">
        <f t="shared" si="136"/>
        <v>#REF!</v>
      </c>
      <c r="ES33" s="4" t="e">
        <f t="shared" si="137"/>
        <v>#REF!</v>
      </c>
      <c r="ET33" s="4" t="e">
        <f t="shared" si="138"/>
        <v>#REF!</v>
      </c>
      <c r="EV33" s="4" t="e">
        <f t="shared" si="139"/>
        <v>#REF!</v>
      </c>
      <c r="FA33" s="23"/>
      <c r="FB33" s="23"/>
      <c r="FC33" s="23"/>
      <c r="FD33" s="23"/>
      <c r="FE33" s="23"/>
      <c r="FF33" s="23"/>
      <c r="FG33" s="23"/>
      <c r="FH33" s="23"/>
      <c r="FR33" s="4">
        <f t="shared" si="140"/>
        <v>1</v>
      </c>
      <c r="FS33" s="4">
        <f t="shared" si="141"/>
        <v>0.68688155922038985</v>
      </c>
      <c r="FT33" s="4">
        <f t="shared" si="142"/>
        <v>0.3</v>
      </c>
      <c r="FU33" s="4">
        <f t="shared" si="143"/>
        <v>392.73534594062755</v>
      </c>
    </row>
    <row r="34" spans="2:178" ht="12" customHeight="1" x14ac:dyDescent="0.3">
      <c r="B34" s="24"/>
      <c r="C34" s="7" t="s">
        <v>93</v>
      </c>
      <c r="D34" s="28">
        <f t="shared" si="144"/>
        <v>517.5</v>
      </c>
      <c r="E34" s="7">
        <f t="shared" si="155"/>
        <v>285.75</v>
      </c>
      <c r="F34" s="7">
        <v>33.44</v>
      </c>
      <c r="G34" s="7">
        <v>25.4</v>
      </c>
      <c r="H34" s="7">
        <v>229</v>
      </c>
      <c r="I34" s="7">
        <f t="shared" si="77"/>
        <v>101.8</v>
      </c>
      <c r="J34" s="7">
        <v>305</v>
      </c>
      <c r="K34" s="7">
        <v>0</v>
      </c>
      <c r="L34" s="7">
        <v>1</v>
      </c>
      <c r="M34" s="7">
        <v>52.65</v>
      </c>
      <c r="N34" s="7">
        <f t="shared" si="78"/>
        <v>2.5728346456692912</v>
      </c>
      <c r="O34" s="28">
        <f t="shared" si="145"/>
        <v>2.5728346456692912</v>
      </c>
      <c r="P34" s="28">
        <f t="shared" si="79"/>
        <v>8.3959536742577185</v>
      </c>
      <c r="Q34" s="7">
        <f t="shared" si="80"/>
        <v>8.3959536742577185</v>
      </c>
      <c r="R34" s="7">
        <f t="shared" si="81"/>
        <v>9.3959536742577185</v>
      </c>
      <c r="S34" s="7">
        <f t="shared" si="82"/>
        <v>77.858162529590359</v>
      </c>
      <c r="T34" s="7"/>
      <c r="U34" s="7"/>
      <c r="V34" s="7">
        <f>226.71/(PI()/4*G34^2)*1000</f>
        <v>447.41790747552358</v>
      </c>
      <c r="W34" s="7"/>
      <c r="X34" s="7"/>
      <c r="Y34" s="7">
        <v>9.5</v>
      </c>
      <c r="Z34" s="7">
        <v>3</v>
      </c>
      <c r="AA34" s="7">
        <v>76</v>
      </c>
      <c r="AB34" s="7">
        <v>3</v>
      </c>
      <c r="AC34" s="7"/>
      <c r="AD34" s="7"/>
      <c r="AE34" s="4">
        <f t="shared" si="154"/>
        <v>285.75</v>
      </c>
      <c r="AF34" s="4">
        <f t="shared" si="83"/>
        <v>0.15393077809475234</v>
      </c>
      <c r="AG34" s="25">
        <f t="shared" si="84"/>
        <v>551.25834685648249</v>
      </c>
      <c r="AH34" s="4">
        <f t="shared" si="85"/>
        <v>0.74573928258967626</v>
      </c>
      <c r="AI34" s="4">
        <v>1.25</v>
      </c>
      <c r="AJ34" s="25">
        <f t="shared" si="146"/>
        <v>5</v>
      </c>
      <c r="AK34" s="38">
        <f t="shared" si="147"/>
        <v>395.50108658094928</v>
      </c>
      <c r="AL34" s="38">
        <f t="shared" si="148"/>
        <v>395.50108658094928</v>
      </c>
      <c r="AN34" s="38">
        <f t="shared" si="86"/>
        <v>395.50108658094916</v>
      </c>
      <c r="AO34" s="38">
        <f t="shared" si="87"/>
        <v>1.0000000000000002</v>
      </c>
      <c r="AR34" s="4" t="e">
        <f>#REF!/G34*F34^0.5/0.19</f>
        <v>#REF!</v>
      </c>
      <c r="AS34" s="4">
        <f t="shared" si="88"/>
        <v>1</v>
      </c>
      <c r="AT34" s="38">
        <f t="shared" si="89"/>
        <v>498.58953245457928</v>
      </c>
      <c r="AU34" s="4">
        <f t="shared" si="90"/>
        <v>0.3</v>
      </c>
      <c r="AV34" s="4" t="e">
        <f>AU34*D34*#REF!/(D34*G34/2.75/F34^0.5)</f>
        <v>#REF!</v>
      </c>
      <c r="AW34" s="4" t="e">
        <f t="shared" si="91"/>
        <v>#REF!</v>
      </c>
      <c r="AY34" s="36">
        <f t="shared" si="92"/>
        <v>2.2250000000000001</v>
      </c>
      <c r="AZ34" s="36" t="e">
        <f>(1.6*#REF!+22)*AY34*F34^0.5</f>
        <v>#REF!</v>
      </c>
      <c r="BE34" s="4">
        <f t="shared" si="93"/>
        <v>101.8</v>
      </c>
      <c r="BF34" s="4">
        <f t="shared" si="94"/>
        <v>52.65</v>
      </c>
      <c r="BG34" s="4">
        <f t="shared" si="95"/>
        <v>101.8</v>
      </c>
      <c r="BH34" s="4">
        <f t="shared" si="96"/>
        <v>65.349999999999994</v>
      </c>
      <c r="BI34" s="4">
        <f t="shared" si="97"/>
        <v>1.09335232668566</v>
      </c>
      <c r="BJ34" s="25">
        <f t="shared" si="98"/>
        <v>4</v>
      </c>
      <c r="BL34" s="4">
        <f t="shared" si="99"/>
        <v>101.8</v>
      </c>
      <c r="BP34" s="9"/>
      <c r="BR34" s="9"/>
      <c r="BS34" s="9"/>
      <c r="BT34" s="9">
        <f t="shared" si="100"/>
        <v>101.8</v>
      </c>
      <c r="BU34" s="9">
        <f t="shared" si="101"/>
        <v>101.8</v>
      </c>
      <c r="BV34" s="9">
        <f t="shared" si="102"/>
        <v>2.001967536137395</v>
      </c>
      <c r="BW34" s="9">
        <v>20</v>
      </c>
      <c r="BX34" s="9">
        <f t="shared" si="103"/>
        <v>0.05</v>
      </c>
      <c r="BY34" s="9">
        <f t="shared" si="104"/>
        <v>0.8</v>
      </c>
      <c r="BZ34" s="9">
        <f t="shared" si="105"/>
        <v>0.99524931562137331</v>
      </c>
      <c r="CA34" s="9">
        <f t="shared" si="106"/>
        <v>0.97375</v>
      </c>
      <c r="CB34" s="9">
        <f t="shared" si="107"/>
        <v>1.961464882399115</v>
      </c>
      <c r="CC34" s="9">
        <f t="shared" si="108"/>
        <v>4.9036622059977875</v>
      </c>
      <c r="CD34" s="9">
        <v>1</v>
      </c>
      <c r="CE34" s="9" t="e">
        <f>4*CC34*#REF!+60*CC34</f>
        <v>#REF!</v>
      </c>
      <c r="DB34" s="4">
        <f t="shared" si="109"/>
        <v>3</v>
      </c>
      <c r="DC34" s="4">
        <f t="shared" si="110"/>
        <v>285.75</v>
      </c>
      <c r="DD34" s="4" t="e">
        <f>#REF!/E34</f>
        <v>#REF!</v>
      </c>
      <c r="DF34" s="4">
        <f t="shared" si="111"/>
        <v>2.058127601073333E-5</v>
      </c>
      <c r="DG34" s="4">
        <f t="shared" si="112"/>
        <v>8.8720819696713296</v>
      </c>
      <c r="DI34" s="4">
        <f t="shared" si="149"/>
        <v>0</v>
      </c>
      <c r="DJ34" s="4">
        <f t="shared" si="150"/>
        <v>6.3372014069080933</v>
      </c>
      <c r="DK34" s="4">
        <f t="shared" si="115"/>
        <v>8.446107161096263</v>
      </c>
      <c r="DL34" s="38" t="e">
        <f t="shared" si="116"/>
        <v>#REF!</v>
      </c>
      <c r="DM34" s="4" t="e">
        <f t="shared" si="151"/>
        <v>#REF!</v>
      </c>
      <c r="DO34" s="4">
        <f t="shared" si="152"/>
        <v>395.50108658094916</v>
      </c>
      <c r="DS34" s="4">
        <f t="shared" si="118"/>
        <v>0.85</v>
      </c>
      <c r="DT34" s="4">
        <f t="shared" si="119"/>
        <v>0.7</v>
      </c>
      <c r="DU34" s="4">
        <f t="shared" si="120"/>
        <v>0.82320199640399283</v>
      </c>
      <c r="DV34" s="4">
        <f t="shared" si="121"/>
        <v>0.7</v>
      </c>
      <c r="DX34" s="4" t="e">
        <f t="shared" si="122"/>
        <v>#REF!</v>
      </c>
      <c r="DY34" s="25">
        <f t="shared" si="123"/>
        <v>399.9758484132285</v>
      </c>
      <c r="EB34" s="4">
        <f t="shared" si="75"/>
        <v>8.8720819696713296</v>
      </c>
      <c r="EC34" s="4">
        <f t="shared" si="124"/>
        <v>8.4462220351271053</v>
      </c>
      <c r="EE34" s="4">
        <f t="shared" si="125"/>
        <v>77.858162529590359</v>
      </c>
      <c r="EF34" s="4">
        <f t="shared" si="126"/>
        <v>3.0652819893539514</v>
      </c>
      <c r="EG34" s="4">
        <f t="shared" si="127"/>
        <v>0.13494313798881846</v>
      </c>
      <c r="EJ34" s="4">
        <f t="shared" si="128"/>
        <v>0.13494313798881846</v>
      </c>
      <c r="EK34" s="4">
        <f t="shared" si="129"/>
        <v>0.42604654065877551</v>
      </c>
      <c r="EL34" s="4">
        <f t="shared" si="130"/>
        <v>6.3067898930054849</v>
      </c>
      <c r="EM34" s="4">
        <f t="shared" si="131"/>
        <v>7.6973587472627116</v>
      </c>
      <c r="EN34" s="4">
        <f t="shared" si="132"/>
        <v>136.45433747040965</v>
      </c>
      <c r="EO34" s="4">
        <f t="shared" si="133"/>
        <v>71.4375</v>
      </c>
      <c r="EP34" s="4">
        <f t="shared" si="134"/>
        <v>2.058127601073333E-5</v>
      </c>
      <c r="EQ34" s="4">
        <f t="shared" si="135"/>
        <v>8.2021837648564127</v>
      </c>
      <c r="ER34" s="4" t="e">
        <f t="shared" si="136"/>
        <v>#REF!</v>
      </c>
      <c r="ES34" s="4" t="e">
        <f t="shared" si="137"/>
        <v>#REF!</v>
      </c>
      <c r="ET34" s="4" t="e">
        <f t="shared" si="138"/>
        <v>#REF!</v>
      </c>
      <c r="EV34" s="4" t="e">
        <f t="shared" si="139"/>
        <v>#REF!</v>
      </c>
      <c r="FA34" s="23"/>
      <c r="FB34" s="23"/>
      <c r="FC34" s="23"/>
      <c r="FD34" s="23"/>
      <c r="FE34" s="23"/>
      <c r="FF34" s="23"/>
      <c r="FG34" s="23"/>
      <c r="FH34" s="23"/>
      <c r="FR34" s="4">
        <f t="shared" si="140"/>
        <v>1</v>
      </c>
      <c r="FS34" s="4">
        <f t="shared" si="141"/>
        <v>0.68688155922038985</v>
      </c>
      <c r="FT34" s="4">
        <f t="shared" si="142"/>
        <v>0.3</v>
      </c>
      <c r="FU34" s="4">
        <f t="shared" si="143"/>
        <v>392.73534594062755</v>
      </c>
    </row>
    <row r="35" spans="2:178" s="25" customFormat="1" ht="12" customHeight="1" x14ac:dyDescent="0.3">
      <c r="B35" s="26"/>
      <c r="C35" s="28" t="s">
        <v>94</v>
      </c>
      <c r="D35" s="28">
        <f t="shared" si="144"/>
        <v>517.5</v>
      </c>
      <c r="E35" s="28">
        <f t="shared" ref="E35:E37" si="156">0.5*25.4</f>
        <v>12.7</v>
      </c>
      <c r="F35" s="28">
        <v>34.659999999999997</v>
      </c>
      <c r="G35" s="28">
        <v>25.4</v>
      </c>
      <c r="H35" s="28">
        <v>229</v>
      </c>
      <c r="I35" s="28">
        <f t="shared" si="77"/>
        <v>101.8</v>
      </c>
      <c r="J35" s="28">
        <v>305</v>
      </c>
      <c r="K35" s="28">
        <v>0</v>
      </c>
      <c r="L35" s="28">
        <v>1</v>
      </c>
      <c r="M35" s="28">
        <v>73.459999999999994</v>
      </c>
      <c r="N35" s="7">
        <f t="shared" si="78"/>
        <v>3.3921259842519684</v>
      </c>
      <c r="O35" s="28">
        <f t="shared" si="145"/>
        <v>3.3921259842519684</v>
      </c>
      <c r="P35" s="28">
        <f t="shared" si="79"/>
        <v>8.3959536742577185</v>
      </c>
      <c r="Q35" s="7">
        <f t="shared" si="80"/>
        <v>8.3959536742577185</v>
      </c>
      <c r="R35" s="28">
        <f t="shared" si="81"/>
        <v>9.3959536742577185</v>
      </c>
      <c r="S35" s="28">
        <f t="shared" si="82"/>
        <v>77.858162529590359</v>
      </c>
      <c r="T35" s="28"/>
      <c r="U35" s="28"/>
      <c r="V35" s="28">
        <f>270.13/(PI()/4*G35^2)*1000</f>
        <v>533.10837345667676</v>
      </c>
      <c r="W35" s="28"/>
      <c r="X35" s="28"/>
      <c r="Y35" s="28"/>
      <c r="Z35" s="28"/>
      <c r="AA35" s="28">
        <v>1</v>
      </c>
      <c r="AB35" s="28"/>
      <c r="AC35" s="28"/>
      <c r="AD35" s="28"/>
      <c r="AE35" s="4">
        <f t="shared" si="154"/>
        <v>12.7</v>
      </c>
      <c r="AF35" s="25">
        <f t="shared" si="83"/>
        <v>1</v>
      </c>
      <c r="AG35" s="25">
        <f t="shared" si="84"/>
        <v>5.2585080853609538</v>
      </c>
      <c r="AH35" s="4">
        <f t="shared" si="85"/>
        <v>1</v>
      </c>
      <c r="AI35" s="25">
        <v>1.25</v>
      </c>
      <c r="AJ35" s="25">
        <f t="shared" si="146"/>
        <v>5</v>
      </c>
      <c r="AK35" s="38">
        <f t="shared" si="147"/>
        <v>32.865675533505964</v>
      </c>
      <c r="AL35" s="38">
        <f t="shared" si="148"/>
        <v>32.865675533505964</v>
      </c>
      <c r="AM35" s="38"/>
      <c r="AN35" s="38">
        <f t="shared" si="86"/>
        <v>1121.9869848998135</v>
      </c>
      <c r="AO35" s="38">
        <f t="shared" si="87"/>
        <v>2.929238571910945E-2</v>
      </c>
      <c r="AP35" s="38"/>
      <c r="AR35" s="25" t="e">
        <f>#REF!/G35*F35^0.5/0.19</f>
        <v>#REF!</v>
      </c>
      <c r="AS35" s="25">
        <f t="shared" si="88"/>
        <v>1</v>
      </c>
      <c r="AT35" s="38">
        <f t="shared" si="89"/>
        <v>681.34260170232233</v>
      </c>
      <c r="AU35" s="25">
        <f t="shared" si="90"/>
        <v>0.3</v>
      </c>
      <c r="AV35" s="25" t="e">
        <f>AU35*D35*#REF!/(D35*G35/2.75/F35^0.5)</f>
        <v>#REF!</v>
      </c>
      <c r="AW35" s="25" t="e">
        <f t="shared" si="91"/>
        <v>#REF!</v>
      </c>
      <c r="AY35" s="36">
        <f t="shared" si="92"/>
        <v>1.1000000000000001</v>
      </c>
      <c r="AZ35" s="36" t="e">
        <f>(1.6*#REF!+22)*AY35*F35^0.5</f>
        <v>#REF!</v>
      </c>
      <c r="BE35" s="25">
        <f t="shared" si="93"/>
        <v>101.8</v>
      </c>
      <c r="BF35" s="25">
        <f t="shared" si="94"/>
        <v>73.459999999999994</v>
      </c>
      <c r="BG35" s="25">
        <f t="shared" si="95"/>
        <v>101.8</v>
      </c>
      <c r="BH35" s="25">
        <f t="shared" si="96"/>
        <v>86.16</v>
      </c>
      <c r="BI35" s="25">
        <f t="shared" si="97"/>
        <v>1.0385788184045739</v>
      </c>
      <c r="BJ35" s="25">
        <f t="shared" si="98"/>
        <v>3.5229901966038617</v>
      </c>
      <c r="BL35" s="25">
        <f t="shared" si="99"/>
        <v>101.8</v>
      </c>
      <c r="BP35" s="29"/>
      <c r="BR35" s="29"/>
      <c r="BS35" s="29"/>
      <c r="BT35" s="29">
        <f t="shared" si="100"/>
        <v>101.8</v>
      </c>
      <c r="BU35" s="29">
        <f t="shared" si="101"/>
        <v>101.8</v>
      </c>
      <c r="BV35" s="29">
        <f t="shared" si="102"/>
        <v>2.001967536137395</v>
      </c>
      <c r="BW35" s="29">
        <v>0</v>
      </c>
      <c r="BX35" s="29">
        <f t="shared" si="103"/>
        <v>0</v>
      </c>
      <c r="BY35" s="29">
        <f t="shared" si="104"/>
        <v>0</v>
      </c>
      <c r="BZ35" s="29">
        <f t="shared" si="105"/>
        <v>0.99524931562137331</v>
      </c>
      <c r="CA35" s="29">
        <f t="shared" si="106"/>
        <v>0.97375</v>
      </c>
      <c r="CB35" s="29">
        <f t="shared" si="107"/>
        <v>1.9969246679255115</v>
      </c>
      <c r="CC35" s="29">
        <f t="shared" si="108"/>
        <v>3.9977783572988219</v>
      </c>
      <c r="CD35" s="29">
        <v>1</v>
      </c>
      <c r="CE35" s="29" t="e">
        <f>4*CC35*#REF!+60*CC35</f>
        <v>#REF!</v>
      </c>
      <c r="CG35" s="4"/>
      <c r="CH35" s="4"/>
      <c r="CI35" s="4"/>
      <c r="CJ35" s="4"/>
      <c r="CK35" s="4"/>
      <c r="CL35" s="4"/>
      <c r="CM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B35" s="4">
        <f t="shared" si="109"/>
        <v>0</v>
      </c>
      <c r="DC35" s="25">
        <f t="shared" si="110"/>
        <v>12.7</v>
      </c>
      <c r="DD35" s="25" t="e">
        <f>#REF!/E35</f>
        <v>#REF!</v>
      </c>
      <c r="DF35" s="4">
        <f t="shared" si="111"/>
        <v>9.2245380945552914E-7</v>
      </c>
      <c r="DG35" s="4">
        <f t="shared" si="112"/>
        <v>9.0324733825588019</v>
      </c>
      <c r="DH35" s="4"/>
      <c r="DI35" s="4">
        <f t="shared" si="149"/>
        <v>0</v>
      </c>
      <c r="DJ35" s="4">
        <f t="shared" si="150"/>
        <v>6.4517667018277161</v>
      </c>
      <c r="DK35" s="4">
        <f t="shared" si="115"/>
        <v>9.0395809336509103</v>
      </c>
      <c r="DL35" s="38" t="e">
        <f t="shared" si="116"/>
        <v>#REF!</v>
      </c>
      <c r="DM35" s="4" t="e">
        <f t="shared" si="151"/>
        <v>#REF!</v>
      </c>
      <c r="DN35" s="4"/>
      <c r="DO35" s="4">
        <f t="shared" si="152"/>
        <v>1121.9869848998135</v>
      </c>
      <c r="DS35" s="25">
        <f t="shared" si="118"/>
        <v>0.85</v>
      </c>
      <c r="DT35" s="25">
        <f t="shared" si="119"/>
        <v>0.7</v>
      </c>
      <c r="DU35" s="25">
        <f t="shared" si="120"/>
        <v>1</v>
      </c>
      <c r="DV35" s="25">
        <f t="shared" si="121"/>
        <v>0.7</v>
      </c>
      <c r="DX35" s="4" t="e">
        <f t="shared" si="122"/>
        <v>#REF!</v>
      </c>
      <c r="DY35" s="25">
        <f t="shared" si="123"/>
        <v>4867.4754115107617</v>
      </c>
      <c r="EB35" s="4">
        <f t="shared" si="75"/>
        <v>9.0324733825588019</v>
      </c>
      <c r="EC35" s="25">
        <f t="shared" si="124"/>
        <v>7.5734730123259153</v>
      </c>
      <c r="EE35" s="4">
        <f t="shared" si="125"/>
        <v>77.858162529590359</v>
      </c>
      <c r="EF35" s="4">
        <f t="shared" si="126"/>
        <v>3.0652819893539514</v>
      </c>
      <c r="EG35" s="4">
        <f t="shared" si="127"/>
        <v>0.37601900718293008</v>
      </c>
      <c r="EJ35" s="25">
        <f t="shared" si="128"/>
        <v>0.37601900718293008</v>
      </c>
      <c r="EK35" s="25">
        <f t="shared" si="129"/>
        <v>0.999</v>
      </c>
      <c r="EL35" s="4">
        <f t="shared" si="130"/>
        <v>9.0288593087305173</v>
      </c>
      <c r="EM35" s="25">
        <f t="shared" si="131"/>
        <v>9.0306665264387256</v>
      </c>
      <c r="EN35" s="4">
        <f t="shared" si="132"/>
        <v>0</v>
      </c>
      <c r="EO35" s="4">
        <f t="shared" si="133"/>
        <v>0</v>
      </c>
      <c r="EP35" s="25">
        <f t="shared" si="134"/>
        <v>0</v>
      </c>
      <c r="EQ35" s="25">
        <f t="shared" si="135"/>
        <v>9.0324733825588019</v>
      </c>
      <c r="ER35" s="4" t="e">
        <f t="shared" si="136"/>
        <v>#REF!</v>
      </c>
      <c r="ES35" s="4" t="e">
        <f t="shared" si="137"/>
        <v>#REF!</v>
      </c>
      <c r="ET35" s="4" t="e">
        <f t="shared" si="138"/>
        <v>#REF!</v>
      </c>
      <c r="EV35" s="4" t="e">
        <f t="shared" si="139"/>
        <v>#REF!</v>
      </c>
      <c r="FA35" s="23"/>
      <c r="FB35" s="23"/>
      <c r="FC35" s="23"/>
      <c r="FD35" s="23"/>
      <c r="FE35" s="23"/>
      <c r="FF35" s="23"/>
      <c r="FG35" s="30"/>
      <c r="FH35" s="30"/>
      <c r="FR35" s="4">
        <f t="shared" si="140"/>
        <v>1</v>
      </c>
      <c r="FS35" s="4">
        <f t="shared" si="141"/>
        <v>1.0833333333333333</v>
      </c>
      <c r="FT35" s="4">
        <f t="shared" si="142"/>
        <v>0</v>
      </c>
      <c r="FU35" s="4">
        <f t="shared" si="143"/>
        <v>11.166775737485116</v>
      </c>
      <c r="FV35" s="4"/>
    </row>
    <row r="36" spans="2:178" s="25" customFormat="1" ht="12" customHeight="1" x14ac:dyDescent="0.3">
      <c r="B36" s="26"/>
      <c r="C36" s="28" t="s">
        <v>95</v>
      </c>
      <c r="D36" s="28">
        <f t="shared" si="144"/>
        <v>517.5</v>
      </c>
      <c r="E36" s="28">
        <f t="shared" si="156"/>
        <v>12.7</v>
      </c>
      <c r="F36" s="28">
        <v>34.659999999999997</v>
      </c>
      <c r="G36" s="28">
        <v>25.4</v>
      </c>
      <c r="H36" s="28">
        <v>229</v>
      </c>
      <c r="I36" s="28">
        <f t="shared" si="77"/>
        <v>101.8</v>
      </c>
      <c r="J36" s="28">
        <v>305</v>
      </c>
      <c r="K36" s="28">
        <v>0</v>
      </c>
      <c r="L36" s="28">
        <v>1</v>
      </c>
      <c r="M36" s="28">
        <v>68.86</v>
      </c>
      <c r="N36" s="7">
        <f t="shared" si="78"/>
        <v>3.2110236220472443</v>
      </c>
      <c r="O36" s="28">
        <f t="shared" si="145"/>
        <v>3.2110236220472443</v>
      </c>
      <c r="P36" s="28">
        <f t="shared" si="79"/>
        <v>8.3959536742577185</v>
      </c>
      <c r="Q36" s="7">
        <f t="shared" si="80"/>
        <v>8.3959536742577185</v>
      </c>
      <c r="R36" s="28">
        <f t="shared" si="81"/>
        <v>9.3959536742577185</v>
      </c>
      <c r="S36" s="28">
        <f t="shared" si="82"/>
        <v>77.858162529590359</v>
      </c>
      <c r="T36" s="28"/>
      <c r="U36" s="28"/>
      <c r="V36" s="28">
        <f>262.79/(PI()/4*G36^2)*1000</f>
        <v>518.62269818487425</v>
      </c>
      <c r="W36" s="28"/>
      <c r="X36" s="28"/>
      <c r="Y36" s="28"/>
      <c r="Z36" s="28"/>
      <c r="AA36" s="28">
        <v>1</v>
      </c>
      <c r="AB36" s="28"/>
      <c r="AC36" s="28"/>
      <c r="AD36" s="28"/>
      <c r="AE36" s="4">
        <f t="shared" si="154"/>
        <v>12.7</v>
      </c>
      <c r="AF36" s="25">
        <f t="shared" si="83"/>
        <v>1</v>
      </c>
      <c r="AG36" s="25">
        <f t="shared" si="84"/>
        <v>5.2585080853609538</v>
      </c>
      <c r="AH36" s="4">
        <f t="shared" si="85"/>
        <v>1</v>
      </c>
      <c r="AI36" s="25">
        <v>1.25</v>
      </c>
      <c r="AJ36" s="25">
        <f t="shared" si="146"/>
        <v>5</v>
      </c>
      <c r="AK36" s="38">
        <f t="shared" si="147"/>
        <v>32.865675533505964</v>
      </c>
      <c r="AL36" s="38">
        <f t="shared" si="148"/>
        <v>32.865675533505964</v>
      </c>
      <c r="AM36" s="38"/>
      <c r="AN36" s="38">
        <f t="shared" si="86"/>
        <v>1035.1434290393081</v>
      </c>
      <c r="AO36" s="38">
        <f t="shared" si="87"/>
        <v>3.1749876018638122E-2</v>
      </c>
      <c r="AP36" s="38"/>
      <c r="AR36" s="25" t="e">
        <f>#REF!/G36*F36^0.5/0.19</f>
        <v>#REF!</v>
      </c>
      <c r="AS36" s="25">
        <f t="shared" si="88"/>
        <v>1</v>
      </c>
      <c r="AT36" s="38">
        <f t="shared" si="89"/>
        <v>644.96637180642313</v>
      </c>
      <c r="AU36" s="25">
        <f t="shared" si="90"/>
        <v>0.3</v>
      </c>
      <c r="AV36" s="25" t="e">
        <f>AU36*D36*#REF!/(D36*G36/2.75/F36^0.5)</f>
        <v>#REF!</v>
      </c>
      <c r="AW36" s="25" t="e">
        <f t="shared" si="91"/>
        <v>#REF!</v>
      </c>
      <c r="AY36" s="36">
        <f t="shared" si="92"/>
        <v>1.1000000000000001</v>
      </c>
      <c r="AZ36" s="36" t="e">
        <f>(1.6*#REF!+22)*AY36*F36^0.5</f>
        <v>#REF!</v>
      </c>
      <c r="BE36" s="25">
        <f t="shared" si="93"/>
        <v>101.8</v>
      </c>
      <c r="BF36" s="25">
        <f t="shared" si="94"/>
        <v>68.86</v>
      </c>
      <c r="BG36" s="25">
        <f t="shared" si="95"/>
        <v>101.8</v>
      </c>
      <c r="BH36" s="25">
        <f t="shared" si="96"/>
        <v>81.56</v>
      </c>
      <c r="BI36" s="25">
        <f t="shared" si="97"/>
        <v>1.0478361893697357</v>
      </c>
      <c r="BJ36" s="25">
        <f t="shared" si="98"/>
        <v>3.364626756102191</v>
      </c>
      <c r="BL36" s="25">
        <f t="shared" si="99"/>
        <v>101.8</v>
      </c>
      <c r="BP36" s="29"/>
      <c r="BR36" s="29"/>
      <c r="BS36" s="29"/>
      <c r="BT36" s="29">
        <f t="shared" si="100"/>
        <v>101.8</v>
      </c>
      <c r="BU36" s="29">
        <f t="shared" si="101"/>
        <v>101.8</v>
      </c>
      <c r="BV36" s="29">
        <f t="shared" si="102"/>
        <v>2.001967536137395</v>
      </c>
      <c r="BW36" s="29">
        <v>0</v>
      </c>
      <c r="BX36" s="29">
        <f t="shared" si="103"/>
        <v>0</v>
      </c>
      <c r="BY36" s="29">
        <f t="shared" si="104"/>
        <v>0</v>
      </c>
      <c r="BZ36" s="29">
        <f t="shared" si="105"/>
        <v>0.99524931562137331</v>
      </c>
      <c r="CA36" s="29">
        <f t="shared" si="106"/>
        <v>0.97375</v>
      </c>
      <c r="CB36" s="29">
        <f t="shared" si="107"/>
        <v>1.9969246679255115</v>
      </c>
      <c r="CC36" s="29">
        <f t="shared" si="108"/>
        <v>3.9977783572988219</v>
      </c>
      <c r="CD36" s="29">
        <v>1</v>
      </c>
      <c r="CE36" s="29" t="e">
        <f>4*CC36*#REF!+60*CC36</f>
        <v>#REF!</v>
      </c>
      <c r="CG36" s="4"/>
      <c r="CH36" s="4"/>
      <c r="CI36" s="4"/>
      <c r="CJ36" s="4"/>
      <c r="CK36" s="4"/>
      <c r="CL36" s="4"/>
      <c r="CM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B36" s="4">
        <f t="shared" si="109"/>
        <v>0</v>
      </c>
      <c r="DC36" s="25">
        <f t="shared" si="110"/>
        <v>12.7</v>
      </c>
      <c r="DD36" s="25" t="e">
        <f>#REF!/E36</f>
        <v>#REF!</v>
      </c>
      <c r="DF36" s="4">
        <f t="shared" si="111"/>
        <v>9.2245380945552914E-7</v>
      </c>
      <c r="DG36" s="4">
        <f t="shared" si="112"/>
        <v>9.0324733825588019</v>
      </c>
      <c r="DH36" s="4"/>
      <c r="DI36" s="4">
        <f t="shared" si="149"/>
        <v>0</v>
      </c>
      <c r="DJ36" s="4">
        <f t="shared" si="150"/>
        <v>6.4517667018277161</v>
      </c>
      <c r="DK36" s="4">
        <f t="shared" si="115"/>
        <v>9.0395809336509103</v>
      </c>
      <c r="DL36" s="38" t="e">
        <f t="shared" si="116"/>
        <v>#REF!</v>
      </c>
      <c r="DM36" s="4" t="e">
        <f t="shared" si="151"/>
        <v>#REF!</v>
      </c>
      <c r="DN36" s="4"/>
      <c r="DO36" s="4">
        <f t="shared" si="152"/>
        <v>1035.1434290393081</v>
      </c>
      <c r="DS36" s="25">
        <f t="shared" si="118"/>
        <v>0.85</v>
      </c>
      <c r="DT36" s="25">
        <f t="shared" si="119"/>
        <v>0.7</v>
      </c>
      <c r="DU36" s="25">
        <f t="shared" si="120"/>
        <v>1</v>
      </c>
      <c r="DV36" s="25">
        <f t="shared" si="121"/>
        <v>0.7</v>
      </c>
      <c r="DX36" s="4" t="e">
        <f t="shared" si="122"/>
        <v>#REF!</v>
      </c>
      <c r="DY36" s="25">
        <f t="shared" si="123"/>
        <v>4677.5815357330548</v>
      </c>
      <c r="EB36" s="4">
        <f t="shared" si="75"/>
        <v>9.0324733825588019</v>
      </c>
      <c r="EC36" s="25">
        <f t="shared" si="124"/>
        <v>7.2330345847836925</v>
      </c>
      <c r="EE36" s="4">
        <f t="shared" si="125"/>
        <v>77.858162529590359</v>
      </c>
      <c r="EF36" s="4">
        <f t="shared" si="126"/>
        <v>3.0652819893539514</v>
      </c>
      <c r="EG36" s="4">
        <f t="shared" si="127"/>
        <v>0.34691454510414893</v>
      </c>
      <c r="EJ36" s="25">
        <f t="shared" si="128"/>
        <v>0.34691454510414893</v>
      </c>
      <c r="EK36" s="25">
        <f t="shared" si="129"/>
        <v>0.999</v>
      </c>
      <c r="EL36" s="4">
        <f t="shared" si="130"/>
        <v>9.0288593087305173</v>
      </c>
      <c r="EM36" s="25">
        <f t="shared" si="131"/>
        <v>9.0306665264387256</v>
      </c>
      <c r="EN36" s="4">
        <f t="shared" si="132"/>
        <v>0</v>
      </c>
      <c r="EO36" s="4">
        <f t="shared" si="133"/>
        <v>0</v>
      </c>
      <c r="EP36" s="25">
        <f t="shared" si="134"/>
        <v>0</v>
      </c>
      <c r="EQ36" s="25">
        <f t="shared" si="135"/>
        <v>9.0324733825588019</v>
      </c>
      <c r="ER36" s="4" t="e">
        <f t="shared" si="136"/>
        <v>#REF!</v>
      </c>
      <c r="ES36" s="4" t="e">
        <f t="shared" si="137"/>
        <v>#REF!</v>
      </c>
      <c r="ET36" s="4" t="e">
        <f t="shared" si="138"/>
        <v>#REF!</v>
      </c>
      <c r="EV36" s="4" t="e">
        <f t="shared" si="139"/>
        <v>#REF!</v>
      </c>
      <c r="FA36" s="23"/>
      <c r="FB36" s="23"/>
      <c r="FC36" s="23"/>
      <c r="FD36" s="23"/>
      <c r="FE36" s="23"/>
      <c r="FF36" s="23"/>
      <c r="FG36" s="30"/>
      <c r="FH36" s="30"/>
      <c r="FR36" s="4">
        <f t="shared" si="140"/>
        <v>1</v>
      </c>
      <c r="FS36" s="4">
        <f t="shared" si="141"/>
        <v>1.0833333333333333</v>
      </c>
      <c r="FT36" s="4">
        <f t="shared" si="142"/>
        <v>0</v>
      </c>
      <c r="FU36" s="4">
        <f t="shared" si="143"/>
        <v>11.166775737485116</v>
      </c>
      <c r="FV36" s="4"/>
    </row>
    <row r="37" spans="2:178" s="25" customFormat="1" ht="12" customHeight="1" x14ac:dyDescent="0.3">
      <c r="B37" s="26"/>
      <c r="C37" s="27" t="s">
        <v>304</v>
      </c>
      <c r="D37" s="28">
        <f t="shared" si="144"/>
        <v>517.5</v>
      </c>
      <c r="E37" s="28">
        <f t="shared" si="156"/>
        <v>12.7</v>
      </c>
      <c r="F37" s="28">
        <v>34.659999999999997</v>
      </c>
      <c r="G37" s="28">
        <v>25.4</v>
      </c>
      <c r="H37" s="28">
        <v>229</v>
      </c>
      <c r="I37" s="28">
        <f t="shared" si="77"/>
        <v>101.8</v>
      </c>
      <c r="J37" s="28">
        <v>305</v>
      </c>
      <c r="K37" s="28">
        <v>0</v>
      </c>
      <c r="L37" s="28">
        <v>1</v>
      </c>
      <c r="M37" s="28">
        <v>69.16</v>
      </c>
      <c r="N37" s="7">
        <f t="shared" si="78"/>
        <v>3.2228346456692916</v>
      </c>
      <c r="O37" s="28">
        <f t="shared" si="145"/>
        <v>3.2228346456692916</v>
      </c>
      <c r="P37" s="28">
        <f t="shared" si="79"/>
        <v>8.3959536742577185</v>
      </c>
      <c r="Q37" s="7">
        <f t="shared" si="80"/>
        <v>8.3959536742577185</v>
      </c>
      <c r="R37" s="28">
        <f t="shared" si="81"/>
        <v>9.3959536742577185</v>
      </c>
      <c r="S37" s="28">
        <f t="shared" si="82"/>
        <v>77.858162529590359</v>
      </c>
      <c r="T37" s="28"/>
      <c r="U37" s="28"/>
      <c r="V37" s="28">
        <f>262.08/(PI()/4*G37^2)*1000</f>
        <v>517.22149526348721</v>
      </c>
      <c r="W37" s="28"/>
      <c r="X37" s="28"/>
      <c r="Y37" s="28"/>
      <c r="Z37" s="28"/>
      <c r="AA37" s="28">
        <v>1</v>
      </c>
      <c r="AB37" s="28"/>
      <c r="AC37" s="28"/>
      <c r="AD37" s="28"/>
      <c r="AE37" s="4">
        <f t="shared" si="154"/>
        <v>12.7</v>
      </c>
      <c r="AF37" s="25">
        <f t="shared" si="83"/>
        <v>1</v>
      </c>
      <c r="AG37" s="25">
        <f t="shared" si="84"/>
        <v>5.2585080853609538</v>
      </c>
      <c r="AH37" s="4">
        <f t="shared" si="85"/>
        <v>1</v>
      </c>
      <c r="AI37" s="25">
        <v>1.25</v>
      </c>
      <c r="AJ37" s="25">
        <f t="shared" si="146"/>
        <v>5</v>
      </c>
      <c r="AK37" s="38">
        <f t="shared" si="147"/>
        <v>32.865675533505964</v>
      </c>
      <c r="AL37" s="38">
        <f t="shared" si="148"/>
        <v>32.865675533505964</v>
      </c>
      <c r="AM37" s="38"/>
      <c r="AN37" s="38">
        <f t="shared" si="86"/>
        <v>1040.7018111455272</v>
      </c>
      <c r="AO37" s="38">
        <f t="shared" si="87"/>
        <v>3.158030012202042E-2</v>
      </c>
      <c r="AP37" s="38"/>
      <c r="AR37" s="25" t="e">
        <f>#REF!/G37*F37^0.5/0.19</f>
        <v>#REF!</v>
      </c>
      <c r="AS37" s="25">
        <f t="shared" si="88"/>
        <v>1</v>
      </c>
      <c r="AT37" s="38">
        <f t="shared" si="89"/>
        <v>647.33873462572092</v>
      </c>
      <c r="AU37" s="25">
        <f t="shared" si="90"/>
        <v>0.3</v>
      </c>
      <c r="AV37" s="25" t="e">
        <f>AU37*D37*#REF!/(D37*G37/2.75/F37^0.5)</f>
        <v>#REF!</v>
      </c>
      <c r="AW37" s="25" t="e">
        <f t="shared" si="91"/>
        <v>#REF!</v>
      </c>
      <c r="AY37" s="36">
        <f t="shared" si="92"/>
        <v>1.1000000000000001</v>
      </c>
      <c r="AZ37" s="36" t="e">
        <f>(1.6*#REF!+22)*AY37*F37^0.5</f>
        <v>#REF!</v>
      </c>
      <c r="BE37" s="25">
        <f t="shared" si="93"/>
        <v>101.8</v>
      </c>
      <c r="BF37" s="25">
        <f t="shared" si="94"/>
        <v>69.16</v>
      </c>
      <c r="BG37" s="25">
        <f t="shared" si="95"/>
        <v>101.8</v>
      </c>
      <c r="BH37" s="25">
        <f t="shared" si="96"/>
        <v>81.86</v>
      </c>
      <c r="BI37" s="25">
        <f t="shared" si="97"/>
        <v>1.0471949103528051</v>
      </c>
      <c r="BJ37" s="25">
        <f t="shared" si="98"/>
        <v>3.3749360378535678</v>
      </c>
      <c r="BL37" s="25">
        <f t="shared" si="99"/>
        <v>101.8</v>
      </c>
      <c r="BP37" s="29"/>
      <c r="BR37" s="29"/>
      <c r="BS37" s="29"/>
      <c r="BT37" s="29">
        <f t="shared" si="100"/>
        <v>101.8</v>
      </c>
      <c r="BU37" s="29">
        <f t="shared" si="101"/>
        <v>101.8</v>
      </c>
      <c r="BV37" s="29">
        <f t="shared" si="102"/>
        <v>2.001967536137395</v>
      </c>
      <c r="BW37" s="29">
        <v>0</v>
      </c>
      <c r="BX37" s="29">
        <f t="shared" si="103"/>
        <v>0</v>
      </c>
      <c r="BY37" s="29">
        <f t="shared" si="104"/>
        <v>0</v>
      </c>
      <c r="BZ37" s="29">
        <f t="shared" si="105"/>
        <v>0.99524931562137331</v>
      </c>
      <c r="CA37" s="29">
        <f t="shared" si="106"/>
        <v>0.97375</v>
      </c>
      <c r="CB37" s="29">
        <f t="shared" si="107"/>
        <v>1.9969246679255115</v>
      </c>
      <c r="CC37" s="29">
        <f t="shared" si="108"/>
        <v>3.9977783572988219</v>
      </c>
      <c r="CD37" s="29">
        <v>1</v>
      </c>
      <c r="CE37" s="29" t="e">
        <f>4*CC37*#REF!+60*CC37</f>
        <v>#REF!</v>
      </c>
      <c r="CG37" s="4"/>
      <c r="CH37" s="4"/>
      <c r="CI37" s="4"/>
      <c r="CJ37" s="4"/>
      <c r="CK37" s="4"/>
      <c r="CL37" s="4"/>
      <c r="CM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B37" s="4">
        <f t="shared" si="109"/>
        <v>0</v>
      </c>
      <c r="DC37" s="25">
        <f t="shared" si="110"/>
        <v>12.7</v>
      </c>
      <c r="DD37" s="25" t="e">
        <f>#REF!/E37</f>
        <v>#REF!</v>
      </c>
      <c r="DF37" s="4">
        <f t="shared" si="111"/>
        <v>9.2245380945552914E-7</v>
      </c>
      <c r="DG37" s="4">
        <f t="shared" si="112"/>
        <v>9.0324733825588019</v>
      </c>
      <c r="DH37" s="4"/>
      <c r="DI37" s="4">
        <f t="shared" si="149"/>
        <v>0</v>
      </c>
      <c r="DJ37" s="4">
        <f t="shared" si="150"/>
        <v>6.4517667018277161</v>
      </c>
      <c r="DK37" s="4">
        <f t="shared" si="115"/>
        <v>9.0395809336509103</v>
      </c>
      <c r="DL37" s="38" t="e">
        <f t="shared" si="116"/>
        <v>#REF!</v>
      </c>
      <c r="DM37" s="4" t="e">
        <f t="shared" si="151"/>
        <v>#REF!</v>
      </c>
      <c r="DN37" s="4"/>
      <c r="DO37" s="4">
        <f t="shared" si="152"/>
        <v>1040.7018111455272</v>
      </c>
      <c r="DS37" s="25">
        <f t="shared" si="118"/>
        <v>0.85</v>
      </c>
      <c r="DT37" s="25">
        <f t="shared" si="119"/>
        <v>0.7</v>
      </c>
      <c r="DU37" s="25">
        <f t="shared" si="120"/>
        <v>1</v>
      </c>
      <c r="DV37" s="25">
        <f t="shared" si="121"/>
        <v>0.7</v>
      </c>
      <c r="DX37" s="4" t="e">
        <f t="shared" si="122"/>
        <v>#REF!</v>
      </c>
      <c r="DY37" s="25">
        <f t="shared" si="123"/>
        <v>4689.9659189359481</v>
      </c>
      <c r="EB37" s="4">
        <f t="shared" si="75"/>
        <v>9.0324733825588019</v>
      </c>
      <c r="EC37" s="25">
        <f t="shared" si="124"/>
        <v>7.2551967432806936</v>
      </c>
      <c r="EE37" s="4">
        <f t="shared" si="125"/>
        <v>77.858162529590359</v>
      </c>
      <c r="EF37" s="4">
        <f t="shared" si="126"/>
        <v>3.0652819893539514</v>
      </c>
      <c r="EG37" s="4">
        <f t="shared" si="127"/>
        <v>0.34877736289905453</v>
      </c>
      <c r="EJ37" s="25">
        <f t="shared" si="128"/>
        <v>0.34877736289905453</v>
      </c>
      <c r="EK37" s="25">
        <f t="shared" si="129"/>
        <v>0.999</v>
      </c>
      <c r="EL37" s="4">
        <f t="shared" si="130"/>
        <v>9.0288593087305173</v>
      </c>
      <c r="EM37" s="25">
        <f t="shared" si="131"/>
        <v>9.0306665264387256</v>
      </c>
      <c r="EN37" s="4">
        <f t="shared" si="132"/>
        <v>0</v>
      </c>
      <c r="EO37" s="4">
        <f t="shared" si="133"/>
        <v>0</v>
      </c>
      <c r="EP37" s="25">
        <f t="shared" si="134"/>
        <v>0</v>
      </c>
      <c r="EQ37" s="25">
        <f t="shared" si="135"/>
        <v>9.0324733825588019</v>
      </c>
      <c r="ER37" s="4" t="e">
        <f t="shared" si="136"/>
        <v>#REF!</v>
      </c>
      <c r="ES37" s="4" t="e">
        <f t="shared" si="137"/>
        <v>#REF!</v>
      </c>
      <c r="ET37" s="4" t="e">
        <f t="shared" si="138"/>
        <v>#REF!</v>
      </c>
      <c r="EV37" s="4" t="e">
        <f t="shared" si="139"/>
        <v>#REF!</v>
      </c>
      <c r="FA37" s="23"/>
      <c r="FB37" s="23"/>
      <c r="FC37" s="23"/>
      <c r="FD37" s="23"/>
      <c r="FE37" s="23"/>
      <c r="FF37" s="23"/>
      <c r="FG37" s="30"/>
      <c r="FH37" s="30"/>
      <c r="FR37" s="4">
        <f t="shared" si="140"/>
        <v>1</v>
      </c>
      <c r="FS37" s="4">
        <f t="shared" si="141"/>
        <v>1.0833333333333333</v>
      </c>
      <c r="FT37" s="4">
        <f t="shared" si="142"/>
        <v>0</v>
      </c>
      <c r="FU37" s="4">
        <f t="shared" si="143"/>
        <v>11.166775737485116</v>
      </c>
      <c r="FV37" s="4"/>
    </row>
    <row r="38" spans="2:178" ht="12" customHeight="1" x14ac:dyDescent="0.3">
      <c r="B38" s="24"/>
      <c r="C38" s="7" t="s">
        <v>97</v>
      </c>
      <c r="D38" s="28">
        <f t="shared" si="144"/>
        <v>517.5</v>
      </c>
      <c r="E38" s="7">
        <f t="shared" ref="E38:E52" si="157">11.25*25.4</f>
        <v>285.75</v>
      </c>
      <c r="F38" s="7">
        <v>34.49</v>
      </c>
      <c r="G38" s="7">
        <v>25.4</v>
      </c>
      <c r="H38" s="7">
        <v>229</v>
      </c>
      <c r="I38" s="7">
        <f t="shared" si="77"/>
        <v>101.8</v>
      </c>
      <c r="J38" s="7">
        <v>305</v>
      </c>
      <c r="K38" s="7">
        <v>0</v>
      </c>
      <c r="L38" s="7">
        <v>1</v>
      </c>
      <c r="M38" s="7">
        <v>81.97</v>
      </c>
      <c r="N38" s="7">
        <f t="shared" si="78"/>
        <v>3.7271653543307091</v>
      </c>
      <c r="O38" s="28">
        <f t="shared" si="145"/>
        <v>3.7271653543307091</v>
      </c>
      <c r="P38" s="28">
        <f t="shared" si="79"/>
        <v>8.3959536742577185</v>
      </c>
      <c r="Q38" s="7">
        <f t="shared" si="80"/>
        <v>8.3959536742577185</v>
      </c>
      <c r="R38" s="7">
        <f t="shared" si="81"/>
        <v>9.3959536742577185</v>
      </c>
      <c r="S38" s="7">
        <f t="shared" si="82"/>
        <v>77.858162529590359</v>
      </c>
      <c r="T38" s="7"/>
      <c r="U38" s="7"/>
      <c r="V38" s="7">
        <f>265.95/(PI()/4*G38^2)*1000</f>
        <v>524.85903794766648</v>
      </c>
      <c r="W38" s="7"/>
      <c r="X38" s="7"/>
      <c r="Y38" s="7">
        <v>9.5</v>
      </c>
      <c r="Z38" s="7">
        <v>3</v>
      </c>
      <c r="AA38" s="7">
        <v>127</v>
      </c>
      <c r="AB38" s="7">
        <v>3</v>
      </c>
      <c r="AC38" s="7"/>
      <c r="AD38" s="7"/>
      <c r="AE38" s="4">
        <f t="shared" si="154"/>
        <v>285.75</v>
      </c>
      <c r="AF38" s="4">
        <f t="shared" si="83"/>
        <v>0.16306737491389939</v>
      </c>
      <c r="AG38" s="25">
        <f t="shared" si="84"/>
        <v>559.8460793819969</v>
      </c>
      <c r="AH38" s="4">
        <f t="shared" si="85"/>
        <v>0.76626071741032364</v>
      </c>
      <c r="AI38" s="4">
        <v>1.25</v>
      </c>
      <c r="AJ38" s="25">
        <f t="shared" si="146"/>
        <v>5</v>
      </c>
      <c r="AK38" s="38">
        <f t="shared" si="147"/>
        <v>437.21222848148204</v>
      </c>
      <c r="AL38" s="38">
        <f t="shared" si="148"/>
        <v>437.21222848148204</v>
      </c>
      <c r="AN38" s="38">
        <f t="shared" si="86"/>
        <v>437.2122284814817</v>
      </c>
      <c r="AO38" s="38">
        <f t="shared" si="87"/>
        <v>1.0000000000000009</v>
      </c>
      <c r="AR38" s="4" t="e">
        <f>#REF!/G38*F38^0.5/0.19</f>
        <v>#REF!</v>
      </c>
      <c r="AS38" s="4">
        <f t="shared" si="88"/>
        <v>1</v>
      </c>
      <c r="AT38" s="38">
        <f t="shared" si="89"/>
        <v>744.96671222059445</v>
      </c>
      <c r="AU38" s="4">
        <f t="shared" si="90"/>
        <v>0.3</v>
      </c>
      <c r="AV38" s="4" t="e">
        <f>AU38*D38*#REF!/(D38*G38/2.75/F38^0.5)</f>
        <v>#REF!</v>
      </c>
      <c r="AW38" s="4" t="e">
        <f t="shared" si="91"/>
        <v>#REF!</v>
      </c>
      <c r="AY38" s="36">
        <f t="shared" si="92"/>
        <v>1.8910467582857926</v>
      </c>
      <c r="AZ38" s="36" t="e">
        <f>(1.6*#REF!+22)*AY38*F38^0.5</f>
        <v>#REF!</v>
      </c>
      <c r="BE38" s="4">
        <f t="shared" si="93"/>
        <v>101.8</v>
      </c>
      <c r="BF38" s="4">
        <f t="shared" si="94"/>
        <v>81.97</v>
      </c>
      <c r="BG38" s="4">
        <f t="shared" si="95"/>
        <v>101.8</v>
      </c>
      <c r="BH38" s="4">
        <f t="shared" si="96"/>
        <v>94.67</v>
      </c>
      <c r="BI38" s="4">
        <f t="shared" si="97"/>
        <v>1.0241917774795657</v>
      </c>
      <c r="BJ38" s="25">
        <f t="shared" si="98"/>
        <v>4</v>
      </c>
      <c r="BL38" s="4">
        <f t="shared" si="99"/>
        <v>101.8</v>
      </c>
      <c r="BP38" s="9"/>
      <c r="BR38" s="9"/>
      <c r="BS38" s="9"/>
      <c r="BT38" s="9">
        <f t="shared" si="100"/>
        <v>101.8</v>
      </c>
      <c r="BU38" s="9">
        <f t="shared" si="101"/>
        <v>101.8</v>
      </c>
      <c r="BV38" s="9">
        <f t="shared" si="102"/>
        <v>2.001967536137395</v>
      </c>
      <c r="BW38" s="9">
        <v>20</v>
      </c>
      <c r="BX38" s="9">
        <f t="shared" si="103"/>
        <v>0.05</v>
      </c>
      <c r="BY38" s="9">
        <f t="shared" si="104"/>
        <v>0.8</v>
      </c>
      <c r="BZ38" s="9">
        <f t="shared" si="105"/>
        <v>0.99524931562137331</v>
      </c>
      <c r="CA38" s="9">
        <f t="shared" si="106"/>
        <v>0.97375</v>
      </c>
      <c r="CB38" s="9">
        <f t="shared" si="107"/>
        <v>1.9920214007072519</v>
      </c>
      <c r="CC38" s="9">
        <f t="shared" si="108"/>
        <v>4.98005350176813</v>
      </c>
      <c r="CD38" s="9">
        <v>1</v>
      </c>
      <c r="CE38" s="9" t="e">
        <f>4*CC38*#REF!+60*CC38</f>
        <v>#REF!</v>
      </c>
      <c r="DB38" s="4">
        <f t="shared" si="109"/>
        <v>3</v>
      </c>
      <c r="DC38" s="4">
        <f t="shared" si="110"/>
        <v>285.75</v>
      </c>
      <c r="DD38" s="4" t="e">
        <f>#REF!/E38</f>
        <v>#REF!</v>
      </c>
      <c r="DF38" s="4">
        <f t="shared" si="111"/>
        <v>2.0730984622674179E-5</v>
      </c>
      <c r="DG38" s="4">
        <f t="shared" si="112"/>
        <v>9.0102949642399413</v>
      </c>
      <c r="DI38" s="4">
        <f t="shared" si="149"/>
        <v>0</v>
      </c>
      <c r="DJ38" s="4">
        <f t="shared" si="150"/>
        <v>6.4359249744571017</v>
      </c>
      <c r="DK38" s="4">
        <f t="shared" si="115"/>
        <v>8.5678797379957317</v>
      </c>
      <c r="DL38" s="38" t="e">
        <f t="shared" si="116"/>
        <v>#REF!</v>
      </c>
      <c r="DM38" s="4" t="e">
        <f t="shared" si="151"/>
        <v>#REF!</v>
      </c>
      <c r="DO38" s="4">
        <f t="shared" si="152"/>
        <v>437.2122284814817</v>
      </c>
      <c r="DS38" s="4">
        <f t="shared" si="118"/>
        <v>0.85</v>
      </c>
      <c r="DT38" s="4">
        <f t="shared" si="119"/>
        <v>0.7</v>
      </c>
      <c r="DU38" s="4">
        <f t="shared" si="120"/>
        <v>0.82320199640399283</v>
      </c>
      <c r="DV38" s="4">
        <f t="shared" si="121"/>
        <v>0.7</v>
      </c>
      <c r="DX38" s="4" t="e">
        <f t="shared" si="122"/>
        <v>#REF!</v>
      </c>
      <c r="DY38" s="25">
        <f t="shared" si="123"/>
        <v>417.51978296586339</v>
      </c>
      <c r="EB38" s="4">
        <f t="shared" si="75"/>
        <v>9.0102949642399413</v>
      </c>
      <c r="EC38" s="4">
        <f t="shared" si="124"/>
        <v>8.5778008059564232</v>
      </c>
      <c r="EE38" s="4">
        <f t="shared" si="125"/>
        <v>77.858162529590359</v>
      </c>
      <c r="EF38" s="4">
        <f t="shared" si="126"/>
        <v>3.0652819893539514</v>
      </c>
      <c r="EG38" s="4">
        <f t="shared" si="127"/>
        <v>0.14688652671799926</v>
      </c>
      <c r="EH38" s="4">
        <f>DC38</f>
        <v>285.75</v>
      </c>
      <c r="EI38" s="4" t="e">
        <f>EE38+ES38+ET38</f>
        <v>#REF!</v>
      </c>
      <c r="EJ38" s="4">
        <f t="shared" si="128"/>
        <v>0.14688652671799926</v>
      </c>
      <c r="EK38" s="4">
        <f t="shared" si="129"/>
        <v>0.45664082606037759</v>
      </c>
      <c r="EL38" s="4">
        <f t="shared" si="130"/>
        <v>6.58519899538069</v>
      </c>
      <c r="EM38" s="4">
        <f t="shared" si="131"/>
        <v>7.8916811030629992</v>
      </c>
      <c r="EN38" s="4">
        <f t="shared" si="132"/>
        <v>136.45433747040965</v>
      </c>
      <c r="EO38" s="4">
        <f t="shared" si="133"/>
        <v>71.4375</v>
      </c>
      <c r="EP38" s="4">
        <f t="shared" si="134"/>
        <v>2.0730984622674179E-5</v>
      </c>
      <c r="EQ38" s="4">
        <f t="shared" si="135"/>
        <v>8.305627695351431</v>
      </c>
      <c r="ER38" s="4" t="e">
        <f t="shared" si="136"/>
        <v>#REF!</v>
      </c>
      <c r="ES38" s="4" t="e">
        <f t="shared" si="137"/>
        <v>#REF!</v>
      </c>
      <c r="ET38" s="4" t="e">
        <f t="shared" si="138"/>
        <v>#REF!</v>
      </c>
      <c r="EV38" s="4" t="e">
        <f t="shared" si="139"/>
        <v>#REF!</v>
      </c>
      <c r="FA38" s="23"/>
      <c r="FB38" s="23"/>
      <c r="FC38" s="23"/>
      <c r="FD38" s="23"/>
      <c r="FE38" s="23"/>
      <c r="FF38" s="23"/>
      <c r="FG38" s="23"/>
      <c r="FH38" s="23"/>
      <c r="FR38" s="4">
        <f t="shared" si="140"/>
        <v>1</v>
      </c>
      <c r="FS38" s="4">
        <f t="shared" si="141"/>
        <v>0.68688155922038985</v>
      </c>
      <c r="FT38" s="4">
        <f t="shared" si="142"/>
        <v>0.3</v>
      </c>
      <c r="FU38" s="4">
        <f t="shared" si="143"/>
        <v>395.78262141162713</v>
      </c>
    </row>
    <row r="39" spans="2:178" ht="12" customHeight="1" x14ac:dyDescent="0.3">
      <c r="B39" s="24"/>
      <c r="C39" s="7" t="s">
        <v>98</v>
      </c>
      <c r="D39" s="28">
        <f t="shared" si="144"/>
        <v>517.5</v>
      </c>
      <c r="E39" s="7">
        <f t="shared" si="157"/>
        <v>285.75</v>
      </c>
      <c r="F39" s="7">
        <v>34.49</v>
      </c>
      <c r="G39" s="7">
        <v>25.4</v>
      </c>
      <c r="H39" s="7">
        <v>229</v>
      </c>
      <c r="I39" s="7">
        <f t="shared" si="77"/>
        <v>101.8</v>
      </c>
      <c r="J39" s="7">
        <v>305</v>
      </c>
      <c r="K39" s="7">
        <v>0</v>
      </c>
      <c r="L39" s="7">
        <v>1</v>
      </c>
      <c r="M39" s="7">
        <v>80.06</v>
      </c>
      <c r="N39" s="7">
        <f t="shared" si="78"/>
        <v>3.6519685039370082</v>
      </c>
      <c r="O39" s="28">
        <f t="shared" si="145"/>
        <v>3.6519685039370082</v>
      </c>
      <c r="P39" s="28">
        <f t="shared" si="79"/>
        <v>8.3959536742577185</v>
      </c>
      <c r="Q39" s="7">
        <f t="shared" si="80"/>
        <v>8.3959536742577185</v>
      </c>
      <c r="R39" s="7">
        <f t="shared" si="81"/>
        <v>9.3959536742577185</v>
      </c>
      <c r="S39" s="7">
        <f t="shared" si="82"/>
        <v>77.858162529590359</v>
      </c>
      <c r="T39" s="7"/>
      <c r="U39" s="7"/>
      <c r="V39" s="7">
        <f>255.8/(PI()/4*G39^2)*1000</f>
        <v>504.82775674755823</v>
      </c>
      <c r="W39" s="7"/>
      <c r="X39" s="7"/>
      <c r="Y39" s="7">
        <v>9.5</v>
      </c>
      <c r="Z39" s="7">
        <v>3</v>
      </c>
      <c r="AA39" s="7">
        <v>127</v>
      </c>
      <c r="AB39" s="7">
        <v>3</v>
      </c>
      <c r="AC39" s="7"/>
      <c r="AD39" s="7"/>
      <c r="AE39" s="4">
        <f t="shared" si="154"/>
        <v>285.75</v>
      </c>
      <c r="AF39" s="4">
        <f t="shared" si="83"/>
        <v>0.16247218733120594</v>
      </c>
      <c r="AG39" s="25">
        <f t="shared" si="84"/>
        <v>559.8460793819969</v>
      </c>
      <c r="AH39" s="4">
        <f t="shared" si="85"/>
        <v>0.7649238845144356</v>
      </c>
      <c r="AI39" s="4">
        <v>1.25</v>
      </c>
      <c r="AJ39" s="25">
        <f t="shared" si="146"/>
        <v>5</v>
      </c>
      <c r="AK39" s="38">
        <f t="shared" si="147"/>
        <v>434.85644156616553</v>
      </c>
      <c r="AL39" s="38">
        <f t="shared" si="148"/>
        <v>434.85644156616553</v>
      </c>
      <c r="AN39" s="38">
        <f t="shared" si="86"/>
        <v>434.85644156616524</v>
      </c>
      <c r="AO39" s="38">
        <f t="shared" si="87"/>
        <v>1.0000000000000007</v>
      </c>
      <c r="AR39" s="4" t="e">
        <f>#REF!/G39*F39^0.5/0.19</f>
        <v>#REF!</v>
      </c>
      <c r="AS39" s="4">
        <f t="shared" si="88"/>
        <v>1</v>
      </c>
      <c r="AT39" s="38">
        <f t="shared" si="89"/>
        <v>729.93675108885964</v>
      </c>
      <c r="AU39" s="4">
        <f t="shared" si="90"/>
        <v>0.3</v>
      </c>
      <c r="AV39" s="4" t="e">
        <f>AU39*D39*#REF!/(D39*G39/2.75/F39^0.5)</f>
        <v>#REF!</v>
      </c>
      <c r="AW39" s="4" t="e">
        <f t="shared" si="91"/>
        <v>#REF!</v>
      </c>
      <c r="AY39" s="36">
        <f t="shared" si="92"/>
        <v>1.8910467582857926</v>
      </c>
      <c r="AZ39" s="36" t="e">
        <f>(1.6*#REF!+22)*AY39*F39^0.5</f>
        <v>#REF!</v>
      </c>
      <c r="BE39" s="4">
        <f t="shared" si="93"/>
        <v>101.8</v>
      </c>
      <c r="BF39" s="4">
        <f t="shared" si="94"/>
        <v>80.06</v>
      </c>
      <c r="BG39" s="4">
        <f t="shared" si="95"/>
        <v>101.8</v>
      </c>
      <c r="BH39" s="4">
        <f t="shared" si="96"/>
        <v>92.76</v>
      </c>
      <c r="BI39" s="4">
        <f t="shared" si="97"/>
        <v>1.0271546340244817</v>
      </c>
      <c r="BJ39" s="25">
        <f t="shared" si="98"/>
        <v>4</v>
      </c>
      <c r="BL39" s="4">
        <f t="shared" si="99"/>
        <v>101.8</v>
      </c>
      <c r="BP39" s="9"/>
      <c r="BR39" s="9"/>
      <c r="BS39" s="9"/>
      <c r="BT39" s="9">
        <f t="shared" si="100"/>
        <v>101.8</v>
      </c>
      <c r="BU39" s="9">
        <f t="shared" si="101"/>
        <v>101.8</v>
      </c>
      <c r="BV39" s="9">
        <f t="shared" si="102"/>
        <v>2.001967536137395</v>
      </c>
      <c r="BW39" s="9">
        <v>20</v>
      </c>
      <c r="BX39" s="9">
        <f t="shared" si="103"/>
        <v>0.05</v>
      </c>
      <c r="BY39" s="9">
        <f t="shared" si="104"/>
        <v>0.8</v>
      </c>
      <c r="BZ39" s="9">
        <f t="shared" si="105"/>
        <v>0.99524931562137331</v>
      </c>
      <c r="CA39" s="9">
        <f t="shared" si="106"/>
        <v>0.97375</v>
      </c>
      <c r="CB39" s="9">
        <f t="shared" si="107"/>
        <v>1.9920214007072519</v>
      </c>
      <c r="CC39" s="9">
        <f t="shared" si="108"/>
        <v>4.98005350176813</v>
      </c>
      <c r="CD39" s="9">
        <v>1</v>
      </c>
      <c r="CE39" s="9" t="e">
        <f>4*CC39*#REF!+60*CC39</f>
        <v>#REF!</v>
      </c>
      <c r="DB39" s="4">
        <f t="shared" si="109"/>
        <v>3</v>
      </c>
      <c r="DC39" s="4">
        <f t="shared" si="110"/>
        <v>285.75</v>
      </c>
      <c r="DD39" s="4" t="e">
        <f>#REF!/E39</f>
        <v>#REF!</v>
      </c>
      <c r="DF39" s="4">
        <f t="shared" si="111"/>
        <v>2.0730984622674179E-5</v>
      </c>
      <c r="DG39" s="4">
        <f t="shared" si="112"/>
        <v>9.0102949642399413</v>
      </c>
      <c r="DI39" s="4">
        <f t="shared" si="149"/>
        <v>0</v>
      </c>
      <c r="DJ39" s="4">
        <f t="shared" si="150"/>
        <v>6.4359249744571017</v>
      </c>
      <c r="DK39" s="4">
        <f t="shared" si="115"/>
        <v>8.5678797379957317</v>
      </c>
      <c r="DL39" s="38" t="e">
        <f t="shared" si="116"/>
        <v>#REF!</v>
      </c>
      <c r="DM39" s="4" t="e">
        <f t="shared" si="151"/>
        <v>#REF!</v>
      </c>
      <c r="DO39" s="4">
        <f t="shared" si="152"/>
        <v>434.85644156616524</v>
      </c>
      <c r="DS39" s="4">
        <f t="shared" si="118"/>
        <v>0.85</v>
      </c>
      <c r="DT39" s="4">
        <f t="shared" si="119"/>
        <v>0.7</v>
      </c>
      <c r="DU39" s="4">
        <f t="shared" si="120"/>
        <v>0.82320199640399283</v>
      </c>
      <c r="DV39" s="4">
        <f t="shared" si="121"/>
        <v>0.7</v>
      </c>
      <c r="DX39" s="4" t="e">
        <f t="shared" si="122"/>
        <v>#REF!</v>
      </c>
      <c r="DY39" s="25">
        <f t="shared" si="123"/>
        <v>416.78282106744894</v>
      </c>
      <c r="EB39" s="4">
        <f t="shared" si="75"/>
        <v>9.0102949642399413</v>
      </c>
      <c r="EC39" s="4">
        <f t="shared" si="124"/>
        <v>8.5778008059564232</v>
      </c>
      <c r="EE39" s="4">
        <f t="shared" si="125"/>
        <v>77.858162529590359</v>
      </c>
      <c r="EF39" s="4">
        <f t="shared" si="126"/>
        <v>3.0652819893539514</v>
      </c>
      <c r="EG39" s="4">
        <f t="shared" si="127"/>
        <v>0.14609507273950373</v>
      </c>
      <c r="EJ39" s="4">
        <f t="shared" si="128"/>
        <v>0.14609507273950373</v>
      </c>
      <c r="EK39" s="4">
        <f t="shared" si="129"/>
        <v>0.45418035397621681</v>
      </c>
      <c r="EL39" s="4">
        <f t="shared" si="130"/>
        <v>6.5709830392821145</v>
      </c>
      <c r="EM39" s="4">
        <f t="shared" si="131"/>
        <v>7.8857596557302916</v>
      </c>
      <c r="EN39" s="4">
        <f t="shared" si="132"/>
        <v>136.45433747040965</v>
      </c>
      <c r="EO39" s="4">
        <f t="shared" si="133"/>
        <v>71.4375</v>
      </c>
      <c r="EP39" s="4">
        <f t="shared" si="134"/>
        <v>2.0730984622674179E-5</v>
      </c>
      <c r="EQ39" s="4">
        <f t="shared" si="135"/>
        <v>8.3063336283618412</v>
      </c>
      <c r="ER39" s="4" t="e">
        <f t="shared" si="136"/>
        <v>#REF!</v>
      </c>
      <c r="ES39" s="4" t="e">
        <f t="shared" si="137"/>
        <v>#REF!</v>
      </c>
      <c r="ET39" s="4" t="e">
        <f t="shared" si="138"/>
        <v>#REF!</v>
      </c>
      <c r="EV39" s="4" t="e">
        <f t="shared" si="139"/>
        <v>#REF!</v>
      </c>
      <c r="FA39" s="23"/>
      <c r="FB39" s="23"/>
      <c r="FC39" s="23"/>
      <c r="FD39" s="23"/>
      <c r="FE39" s="23"/>
      <c r="FF39" s="23"/>
      <c r="FG39" s="23"/>
      <c r="FH39" s="23"/>
      <c r="FR39" s="4">
        <f t="shared" si="140"/>
        <v>1</v>
      </c>
      <c r="FS39" s="4">
        <f t="shared" si="141"/>
        <v>0.68688155922038985</v>
      </c>
      <c r="FT39" s="4">
        <f t="shared" si="142"/>
        <v>0.3</v>
      </c>
      <c r="FU39" s="4">
        <f t="shared" si="143"/>
        <v>395.78262141162713</v>
      </c>
    </row>
    <row r="40" spans="2:178" ht="12" customHeight="1" x14ac:dyDescent="0.3">
      <c r="B40" s="24"/>
      <c r="C40" s="7" t="s">
        <v>99</v>
      </c>
      <c r="D40" s="28">
        <f t="shared" si="144"/>
        <v>517.5</v>
      </c>
      <c r="E40" s="7">
        <f t="shared" si="157"/>
        <v>285.75</v>
      </c>
      <c r="F40" s="7">
        <v>34.49</v>
      </c>
      <c r="G40" s="7">
        <v>25.4</v>
      </c>
      <c r="H40" s="7">
        <v>229</v>
      </c>
      <c r="I40" s="7">
        <f t="shared" si="77"/>
        <v>101.8</v>
      </c>
      <c r="J40" s="7">
        <v>305</v>
      </c>
      <c r="K40" s="7">
        <v>0</v>
      </c>
      <c r="L40" s="7">
        <v>1</v>
      </c>
      <c r="M40" s="7">
        <v>82.4</v>
      </c>
      <c r="N40" s="7">
        <f t="shared" si="78"/>
        <v>3.7440944881889768</v>
      </c>
      <c r="O40" s="28">
        <f t="shared" si="145"/>
        <v>3.7440944881889768</v>
      </c>
      <c r="P40" s="28">
        <f t="shared" si="79"/>
        <v>8.3959536742577185</v>
      </c>
      <c r="Q40" s="7">
        <f t="shared" si="80"/>
        <v>8.3959536742577185</v>
      </c>
      <c r="R40" s="7">
        <f t="shared" si="81"/>
        <v>9.3959536742577185</v>
      </c>
      <c r="S40" s="7">
        <f t="shared" si="82"/>
        <v>77.858162529590359</v>
      </c>
      <c r="T40" s="7"/>
      <c r="U40" s="7"/>
      <c r="V40" s="7">
        <f>246.02/(PI()/4*G40^2)*1000</f>
        <v>485.52667988676416</v>
      </c>
      <c r="W40" s="7"/>
      <c r="X40" s="7"/>
      <c r="Y40" s="7">
        <v>9.5</v>
      </c>
      <c r="Z40" s="7">
        <v>3</v>
      </c>
      <c r="AA40" s="7">
        <v>127</v>
      </c>
      <c r="AB40" s="7">
        <v>3</v>
      </c>
      <c r="AC40" s="7"/>
      <c r="AD40" s="7"/>
      <c r="AE40" s="4">
        <f t="shared" si="154"/>
        <v>285.75</v>
      </c>
      <c r="AF40" s="4">
        <f t="shared" si="83"/>
        <v>0.16320137002413923</v>
      </c>
      <c r="AG40" s="25">
        <f t="shared" si="84"/>
        <v>559.8460793819969</v>
      </c>
      <c r="AH40" s="4">
        <f t="shared" si="85"/>
        <v>0.76656167979002621</v>
      </c>
      <c r="AI40" s="4">
        <v>1.25</v>
      </c>
      <c r="AJ40" s="25">
        <f t="shared" si="146"/>
        <v>5</v>
      </c>
      <c r="AK40" s="38">
        <f t="shared" si="147"/>
        <v>437.74335677333755</v>
      </c>
      <c r="AL40" s="38">
        <f t="shared" si="148"/>
        <v>437.74335677333755</v>
      </c>
      <c r="AN40" s="38">
        <f t="shared" si="86"/>
        <v>437.74335677333738</v>
      </c>
      <c r="AO40" s="38">
        <f t="shared" si="87"/>
        <v>1.0000000000000004</v>
      </c>
      <c r="AR40" s="4" t="e">
        <f>#REF!/G40*F40^0.5/0.19</f>
        <v>#REF!</v>
      </c>
      <c r="AS40" s="4">
        <f t="shared" si="88"/>
        <v>1</v>
      </c>
      <c r="AT40" s="38">
        <f t="shared" si="89"/>
        <v>748.35042074763419</v>
      </c>
      <c r="AU40" s="4">
        <f t="shared" si="90"/>
        <v>0.3</v>
      </c>
      <c r="AV40" s="4" t="e">
        <f>AU40*D40*#REF!/(D40*G40/2.75/F40^0.5)</f>
        <v>#REF!</v>
      </c>
      <c r="AW40" s="4" t="e">
        <f t="shared" si="91"/>
        <v>#REF!</v>
      </c>
      <c r="AY40" s="36">
        <f t="shared" si="92"/>
        <v>1.8910467582857926</v>
      </c>
      <c r="AZ40" s="36" t="e">
        <f>(1.6*#REF!+22)*AY40*F40^0.5</f>
        <v>#REF!</v>
      </c>
      <c r="BE40" s="4">
        <f t="shared" si="93"/>
        <v>101.8</v>
      </c>
      <c r="BF40" s="4">
        <f t="shared" si="94"/>
        <v>82.4</v>
      </c>
      <c r="BG40" s="4">
        <f t="shared" si="95"/>
        <v>101.8</v>
      </c>
      <c r="BH40" s="4">
        <f t="shared" si="96"/>
        <v>95.100000000000009</v>
      </c>
      <c r="BI40" s="4">
        <f t="shared" si="97"/>
        <v>1.0235436893203884</v>
      </c>
      <c r="BJ40" s="25">
        <f t="shared" si="98"/>
        <v>4</v>
      </c>
      <c r="BL40" s="4">
        <f t="shared" si="99"/>
        <v>101.8</v>
      </c>
      <c r="BP40" s="9"/>
      <c r="BR40" s="9"/>
      <c r="BS40" s="9"/>
      <c r="BT40" s="9">
        <f t="shared" si="100"/>
        <v>101.8</v>
      </c>
      <c r="BU40" s="9">
        <f t="shared" si="101"/>
        <v>101.8</v>
      </c>
      <c r="BV40" s="9">
        <f t="shared" si="102"/>
        <v>2.001967536137395</v>
      </c>
      <c r="BW40" s="9">
        <v>20</v>
      </c>
      <c r="BX40" s="9">
        <f t="shared" si="103"/>
        <v>0.05</v>
      </c>
      <c r="BY40" s="9">
        <f t="shared" si="104"/>
        <v>0.8</v>
      </c>
      <c r="BZ40" s="9">
        <f t="shared" si="105"/>
        <v>0.99524931562137331</v>
      </c>
      <c r="CA40" s="9">
        <f t="shared" si="106"/>
        <v>0.97375</v>
      </c>
      <c r="CB40" s="9">
        <f t="shared" si="107"/>
        <v>1.9920214007072519</v>
      </c>
      <c r="CC40" s="9">
        <f t="shared" si="108"/>
        <v>4.98005350176813</v>
      </c>
      <c r="CD40" s="9">
        <v>1</v>
      </c>
      <c r="CE40" s="9" t="e">
        <f>4*CC40*#REF!+60*CC40</f>
        <v>#REF!</v>
      </c>
      <c r="DB40" s="4">
        <f t="shared" si="109"/>
        <v>3</v>
      </c>
      <c r="DC40" s="4">
        <f t="shared" si="110"/>
        <v>285.75</v>
      </c>
      <c r="DD40" s="4" t="e">
        <f>#REF!/E40</f>
        <v>#REF!</v>
      </c>
      <c r="DF40" s="4">
        <f t="shared" si="111"/>
        <v>2.0730984622674179E-5</v>
      </c>
      <c r="DG40" s="4">
        <f t="shared" si="112"/>
        <v>9.0102949642399413</v>
      </c>
      <c r="DI40" s="4">
        <f t="shared" si="149"/>
        <v>0</v>
      </c>
      <c r="DJ40" s="4">
        <f t="shared" si="150"/>
        <v>6.4359249744571017</v>
      </c>
      <c r="DK40" s="4">
        <f t="shared" si="115"/>
        <v>8.5678797379957317</v>
      </c>
      <c r="DL40" s="38" t="e">
        <f t="shared" si="116"/>
        <v>#REF!</v>
      </c>
      <c r="DM40" s="4" t="e">
        <f t="shared" si="151"/>
        <v>#REF!</v>
      </c>
      <c r="DO40" s="4">
        <f t="shared" si="152"/>
        <v>437.74335677333738</v>
      </c>
      <c r="DS40" s="4">
        <f t="shared" si="118"/>
        <v>0.85</v>
      </c>
      <c r="DT40" s="4">
        <f t="shared" si="119"/>
        <v>0.7</v>
      </c>
      <c r="DU40" s="4">
        <f t="shared" si="120"/>
        <v>0.82320199640399283</v>
      </c>
      <c r="DV40" s="4">
        <f t="shared" si="121"/>
        <v>0.7</v>
      </c>
      <c r="DX40" s="4" t="e">
        <f t="shared" si="122"/>
        <v>#REF!</v>
      </c>
      <c r="DY40" s="25">
        <f t="shared" si="123"/>
        <v>417.68569585398814</v>
      </c>
      <c r="EB40" s="4">
        <f t="shared" si="75"/>
        <v>9.0102949642399413</v>
      </c>
      <c r="EC40" s="4">
        <f t="shared" si="124"/>
        <v>8.5778008059564232</v>
      </c>
      <c r="EE40" s="4">
        <f t="shared" si="125"/>
        <v>77.858162529590359</v>
      </c>
      <c r="EF40" s="4">
        <f t="shared" si="126"/>
        <v>3.0652819893539514</v>
      </c>
      <c r="EG40" s="4">
        <f t="shared" si="127"/>
        <v>0.14706496543711581</v>
      </c>
      <c r="EJ40" s="4">
        <f t="shared" si="128"/>
        <v>0.14706496543711581</v>
      </c>
      <c r="EK40" s="4">
        <f t="shared" si="129"/>
        <v>0.45719555634040504</v>
      </c>
      <c r="EL40" s="4">
        <f t="shared" si="130"/>
        <v>6.5883977271859084</v>
      </c>
      <c r="EM40" s="4">
        <f t="shared" si="131"/>
        <v>7.8930146548964295</v>
      </c>
      <c r="EN40" s="4">
        <f t="shared" si="132"/>
        <v>136.45433747040965</v>
      </c>
      <c r="EO40" s="4">
        <f t="shared" si="133"/>
        <v>71.4375</v>
      </c>
      <c r="EP40" s="4">
        <f t="shared" si="134"/>
        <v>2.0730984622674179E-5</v>
      </c>
      <c r="EQ40" s="4">
        <f t="shared" si="135"/>
        <v>8.3054687946729437</v>
      </c>
      <c r="ER40" s="4" t="e">
        <f t="shared" si="136"/>
        <v>#REF!</v>
      </c>
      <c r="ES40" s="4" t="e">
        <f t="shared" si="137"/>
        <v>#REF!</v>
      </c>
      <c r="ET40" s="4" t="e">
        <f t="shared" si="138"/>
        <v>#REF!</v>
      </c>
      <c r="EV40" s="4" t="e">
        <f t="shared" si="139"/>
        <v>#REF!</v>
      </c>
      <c r="FA40" s="23"/>
      <c r="FB40" s="23"/>
      <c r="FC40" s="23"/>
      <c r="FD40" s="23"/>
      <c r="FE40" s="23"/>
      <c r="FF40" s="23"/>
      <c r="FG40" s="23"/>
      <c r="FH40" s="23"/>
      <c r="FR40" s="4">
        <f t="shared" si="140"/>
        <v>1</v>
      </c>
      <c r="FS40" s="4">
        <f t="shared" si="141"/>
        <v>0.68688155922038985</v>
      </c>
      <c r="FT40" s="4">
        <f t="shared" si="142"/>
        <v>0.3</v>
      </c>
      <c r="FU40" s="4">
        <f t="shared" si="143"/>
        <v>395.78262141162713</v>
      </c>
    </row>
    <row r="41" spans="2:178" ht="12" customHeight="1" x14ac:dyDescent="0.3">
      <c r="B41" s="24"/>
      <c r="C41" s="7" t="s">
        <v>100</v>
      </c>
      <c r="D41" s="28">
        <f t="shared" si="144"/>
        <v>517.5</v>
      </c>
      <c r="E41" s="7">
        <f t="shared" si="157"/>
        <v>285.75</v>
      </c>
      <c r="F41" s="7">
        <v>34.659999999999997</v>
      </c>
      <c r="G41" s="7">
        <v>25.4</v>
      </c>
      <c r="H41" s="7">
        <v>229</v>
      </c>
      <c r="I41" s="7">
        <f t="shared" si="77"/>
        <v>101.8</v>
      </c>
      <c r="J41" s="7">
        <v>305</v>
      </c>
      <c r="K41" s="7">
        <v>0</v>
      </c>
      <c r="L41" s="7">
        <v>1</v>
      </c>
      <c r="M41" s="7">
        <v>76.86</v>
      </c>
      <c r="N41" s="7">
        <f t="shared" si="78"/>
        <v>3.5259842519685041</v>
      </c>
      <c r="O41" s="28">
        <f t="shared" si="145"/>
        <v>3.5259842519685041</v>
      </c>
      <c r="P41" s="28">
        <f t="shared" si="79"/>
        <v>8.3959536742577185</v>
      </c>
      <c r="Q41" s="7">
        <f t="shared" si="80"/>
        <v>8.3959536742577185</v>
      </c>
      <c r="R41" s="7">
        <f t="shared" si="81"/>
        <v>9.3959536742577185</v>
      </c>
      <c r="S41" s="7">
        <f t="shared" si="82"/>
        <v>77.858162529590359</v>
      </c>
      <c r="T41" s="7"/>
      <c r="U41" s="7"/>
      <c r="V41" s="7">
        <f>258.56/(PI()/4*G41^2)*1000</f>
        <v>510.2746864137946</v>
      </c>
      <c r="W41" s="7"/>
      <c r="X41" s="7"/>
      <c r="Y41" s="7">
        <v>9.5</v>
      </c>
      <c r="Z41" s="7">
        <v>4</v>
      </c>
      <c r="AA41" s="7">
        <v>76</v>
      </c>
      <c r="AB41" s="7">
        <v>4</v>
      </c>
      <c r="AC41" s="7"/>
      <c r="AD41" s="7"/>
      <c r="AE41" s="4">
        <f t="shared" si="154"/>
        <v>285.75</v>
      </c>
      <c r="AF41" s="4">
        <f t="shared" si="83"/>
        <v>0.16147501441779291</v>
      </c>
      <c r="AG41" s="25">
        <f t="shared" si="84"/>
        <v>561.22411424012159</v>
      </c>
      <c r="AH41" s="4">
        <f t="shared" si="85"/>
        <v>0.76268416447943999</v>
      </c>
      <c r="AI41" s="4">
        <v>1.25</v>
      </c>
      <c r="AJ41" s="25">
        <f t="shared" si="146"/>
        <v>5</v>
      </c>
      <c r="AK41" s="38">
        <f t="shared" si="147"/>
        <v>431.98274696563578</v>
      </c>
      <c r="AL41" s="38">
        <f t="shared" si="148"/>
        <v>431.98274696563578</v>
      </c>
      <c r="AN41" s="38">
        <f t="shared" si="86"/>
        <v>431.9827469656355</v>
      </c>
      <c r="AO41" s="38">
        <f t="shared" si="87"/>
        <v>1.0000000000000007</v>
      </c>
      <c r="AR41" s="4" t="e">
        <f>#REF!/G41*F41^0.5/0.19</f>
        <v>#REF!</v>
      </c>
      <c r="AS41" s="4">
        <f t="shared" si="88"/>
        <v>1</v>
      </c>
      <c r="AT41" s="38">
        <f t="shared" si="89"/>
        <v>708.22938032103059</v>
      </c>
      <c r="AU41" s="4">
        <f t="shared" si="90"/>
        <v>0.3</v>
      </c>
      <c r="AV41" s="4" t="e">
        <f>AU41*D41*#REF!/(D41*G41/2.75/F41^0.5)</f>
        <v>#REF!</v>
      </c>
      <c r="AW41" s="4" t="e">
        <f t="shared" si="91"/>
        <v>#REF!</v>
      </c>
      <c r="AY41" s="36">
        <f t="shared" si="92"/>
        <v>2.2250000000000001</v>
      </c>
      <c r="AZ41" s="36" t="e">
        <f>(1.6*#REF!+22)*AY41*F41^0.5</f>
        <v>#REF!</v>
      </c>
      <c r="BE41" s="4">
        <f t="shared" si="93"/>
        <v>101.8</v>
      </c>
      <c r="BF41" s="4">
        <f t="shared" si="94"/>
        <v>76.86</v>
      </c>
      <c r="BG41" s="4">
        <f t="shared" si="95"/>
        <v>101.8</v>
      </c>
      <c r="BH41" s="4">
        <f t="shared" si="96"/>
        <v>89.56</v>
      </c>
      <c r="BI41" s="4">
        <f t="shared" si="97"/>
        <v>1.0324486078584441</v>
      </c>
      <c r="BJ41" s="25">
        <f t="shared" si="98"/>
        <v>4</v>
      </c>
      <c r="BL41" s="4">
        <f t="shared" si="99"/>
        <v>101.8</v>
      </c>
      <c r="BP41" s="9"/>
      <c r="BR41" s="9"/>
      <c r="BS41" s="9"/>
      <c r="BT41" s="9">
        <f t="shared" si="100"/>
        <v>101.8</v>
      </c>
      <c r="BU41" s="9">
        <f t="shared" si="101"/>
        <v>101.8</v>
      </c>
      <c r="BV41" s="9">
        <f t="shared" si="102"/>
        <v>2.001967536137395</v>
      </c>
      <c r="BW41" s="9">
        <v>20</v>
      </c>
      <c r="BX41" s="9">
        <f t="shared" si="103"/>
        <v>0.05</v>
      </c>
      <c r="BY41" s="9">
        <f t="shared" si="104"/>
        <v>0.8</v>
      </c>
      <c r="BZ41" s="9">
        <f t="shared" si="105"/>
        <v>0.99524931562137331</v>
      </c>
      <c r="CA41" s="9">
        <f t="shared" si="106"/>
        <v>0.97375</v>
      </c>
      <c r="CB41" s="9">
        <f t="shared" si="107"/>
        <v>1.9969246679255115</v>
      </c>
      <c r="CC41" s="9">
        <f t="shared" si="108"/>
        <v>4.9923116698137786</v>
      </c>
      <c r="CD41" s="9">
        <v>1</v>
      </c>
      <c r="CE41" s="9" t="e">
        <f>4*CC41*#REF!+60*CC41</f>
        <v>#REF!</v>
      </c>
      <c r="DB41" s="4">
        <f t="shared" si="109"/>
        <v>4</v>
      </c>
      <c r="DC41" s="4">
        <f t="shared" si="110"/>
        <v>285.75</v>
      </c>
      <c r="DD41" s="4" t="e">
        <f>#REF!/E41</f>
        <v>#REF!</v>
      </c>
      <c r="DF41" s="4">
        <f t="shared" si="111"/>
        <v>2.0755210712749404E-5</v>
      </c>
      <c r="DG41" s="4">
        <f t="shared" si="112"/>
        <v>9.0324733825588019</v>
      </c>
      <c r="DI41" s="4">
        <f t="shared" si="149"/>
        <v>0</v>
      </c>
      <c r="DJ41" s="4">
        <f t="shared" si="150"/>
        <v>6.4517667018277161</v>
      </c>
      <c r="DK41" s="4">
        <f t="shared" si="115"/>
        <v>8.5873792483918443</v>
      </c>
      <c r="DL41" s="38" t="e">
        <f t="shared" si="116"/>
        <v>#REF!</v>
      </c>
      <c r="DM41" s="4" t="e">
        <f t="shared" si="151"/>
        <v>#REF!</v>
      </c>
      <c r="DO41" s="4">
        <f t="shared" si="152"/>
        <v>431.9827469656355</v>
      </c>
      <c r="DS41" s="4">
        <f t="shared" si="118"/>
        <v>0.85</v>
      </c>
      <c r="DT41" s="4">
        <f t="shared" si="119"/>
        <v>0.7</v>
      </c>
      <c r="DU41" s="4">
        <f t="shared" si="120"/>
        <v>0.73926932853865712</v>
      </c>
      <c r="DV41" s="4">
        <f t="shared" si="121"/>
        <v>0.7</v>
      </c>
      <c r="DX41" s="4" t="e">
        <f t="shared" si="122"/>
        <v>#REF!</v>
      </c>
      <c r="DY41" s="25">
        <f t="shared" si="123"/>
        <v>416.57097270702945</v>
      </c>
      <c r="EB41" s="4">
        <f t="shared" si="75"/>
        <v>9.0324733825588019</v>
      </c>
      <c r="EC41" s="4">
        <f t="shared" si="124"/>
        <v>8.5989146601959785</v>
      </c>
      <c r="EE41" s="4">
        <f t="shared" si="125"/>
        <v>77.858162529590359</v>
      </c>
      <c r="EF41" s="4">
        <f t="shared" si="126"/>
        <v>3.0652819893539514</v>
      </c>
      <c r="EG41" s="4">
        <f t="shared" si="127"/>
        <v>0.14477326904881829</v>
      </c>
      <c r="EJ41" s="4">
        <f t="shared" si="128"/>
        <v>0.14477326904881829</v>
      </c>
      <c r="EK41" s="4">
        <f t="shared" si="129"/>
        <v>0.4489660219375291</v>
      </c>
      <c r="EL41" s="4">
        <f t="shared" si="130"/>
        <v>6.556802166961301</v>
      </c>
      <c r="EM41" s="4">
        <f t="shared" si="131"/>
        <v>7.8925545162461042</v>
      </c>
      <c r="EN41" s="4">
        <f t="shared" si="132"/>
        <v>136.45433747040965</v>
      </c>
      <c r="EO41" s="4">
        <f t="shared" si="133"/>
        <v>71.4375</v>
      </c>
      <c r="EP41" s="4">
        <f t="shared" si="134"/>
        <v>2.0755210712749404E-5</v>
      </c>
      <c r="EQ41" s="4">
        <f t="shared" si="135"/>
        <v>8.3257607628853858</v>
      </c>
      <c r="ER41" s="4" t="e">
        <f t="shared" si="136"/>
        <v>#REF!</v>
      </c>
      <c r="ES41" s="4" t="e">
        <f t="shared" si="137"/>
        <v>#REF!</v>
      </c>
      <c r="ET41" s="4" t="e">
        <f t="shared" si="138"/>
        <v>#REF!</v>
      </c>
      <c r="EV41" s="4" t="e">
        <f t="shared" si="139"/>
        <v>#REF!</v>
      </c>
      <c r="FA41" s="23"/>
      <c r="FB41" s="23"/>
      <c r="FC41" s="23"/>
      <c r="FD41" s="23"/>
      <c r="FE41" s="23"/>
      <c r="FF41" s="23"/>
      <c r="FG41" s="23"/>
      <c r="FH41" s="23"/>
      <c r="FR41" s="4">
        <f t="shared" si="140"/>
        <v>1</v>
      </c>
      <c r="FS41" s="4">
        <f t="shared" si="141"/>
        <v>0.68688155922038985</v>
      </c>
      <c r="FT41" s="4">
        <f t="shared" si="142"/>
        <v>0.3</v>
      </c>
      <c r="FU41" s="4">
        <f t="shared" si="143"/>
        <v>396.26942221324936</v>
      </c>
    </row>
    <row r="42" spans="2:178" ht="12" customHeight="1" x14ac:dyDescent="0.3">
      <c r="B42" s="24"/>
      <c r="C42" s="7" t="s">
        <v>101</v>
      </c>
      <c r="D42" s="28">
        <f t="shared" si="144"/>
        <v>517.5</v>
      </c>
      <c r="E42" s="7">
        <f t="shared" si="157"/>
        <v>285.75</v>
      </c>
      <c r="F42" s="7">
        <v>34.659999999999997</v>
      </c>
      <c r="G42" s="7">
        <v>25.4</v>
      </c>
      <c r="H42" s="7">
        <v>229</v>
      </c>
      <c r="I42" s="7">
        <f t="shared" si="77"/>
        <v>101.8</v>
      </c>
      <c r="J42" s="7">
        <v>305</v>
      </c>
      <c r="K42" s="7">
        <v>0</v>
      </c>
      <c r="L42" s="7">
        <v>1</v>
      </c>
      <c r="M42" s="7">
        <v>80.19</v>
      </c>
      <c r="N42" s="7">
        <f t="shared" si="78"/>
        <v>3.6570866141732288</v>
      </c>
      <c r="O42" s="28">
        <f t="shared" si="145"/>
        <v>3.6570866141732288</v>
      </c>
      <c r="P42" s="28">
        <f t="shared" si="79"/>
        <v>8.3959536742577185</v>
      </c>
      <c r="Q42" s="7">
        <f t="shared" si="80"/>
        <v>8.3959536742577185</v>
      </c>
      <c r="R42" s="7">
        <f t="shared" si="81"/>
        <v>9.3959536742577185</v>
      </c>
      <c r="S42" s="7">
        <f t="shared" si="82"/>
        <v>77.858162529590359</v>
      </c>
      <c r="T42" s="7"/>
      <c r="U42" s="7"/>
      <c r="V42" s="7">
        <f>253.27/(PI()/4*G42^2)*1000</f>
        <v>499.83473788684159</v>
      </c>
      <c r="W42" s="7"/>
      <c r="X42" s="7"/>
      <c r="Y42" s="7">
        <v>9.5</v>
      </c>
      <c r="Z42" s="7">
        <v>4</v>
      </c>
      <c r="AA42" s="7">
        <v>76</v>
      </c>
      <c r="AB42" s="7">
        <v>4</v>
      </c>
      <c r="AC42" s="7"/>
      <c r="AD42" s="7"/>
      <c r="AE42" s="4">
        <f t="shared" si="154"/>
        <v>285.75</v>
      </c>
      <c r="AF42" s="4">
        <f t="shared" si="83"/>
        <v>0.16251269748081335</v>
      </c>
      <c r="AG42" s="25">
        <f t="shared" si="84"/>
        <v>561.22411424012159</v>
      </c>
      <c r="AH42" s="4">
        <f t="shared" si="85"/>
        <v>0.76501487314085737</v>
      </c>
      <c r="AI42" s="4">
        <v>1.25</v>
      </c>
      <c r="AJ42" s="25">
        <f t="shared" si="146"/>
        <v>5</v>
      </c>
      <c r="AK42" s="38">
        <f t="shared" si="147"/>
        <v>436.0873794570511</v>
      </c>
      <c r="AL42" s="38">
        <f t="shared" si="148"/>
        <v>436.0873794570511</v>
      </c>
      <c r="AN42" s="38">
        <f t="shared" si="86"/>
        <v>436.08737945705087</v>
      </c>
      <c r="AO42" s="38">
        <f t="shared" si="87"/>
        <v>1.0000000000000004</v>
      </c>
      <c r="AR42" s="4" t="e">
        <f>#REF!/G42*F42^0.5/0.19</f>
        <v>#REF!</v>
      </c>
      <c r="AS42" s="4">
        <f t="shared" si="88"/>
        <v>1</v>
      </c>
      <c r="AT42" s="38">
        <f t="shared" si="89"/>
        <v>734.56260761523595</v>
      </c>
      <c r="AU42" s="4">
        <f t="shared" si="90"/>
        <v>0.3</v>
      </c>
      <c r="AV42" s="4" t="e">
        <f>AU42*D42*#REF!/(D42*G42/2.75/F42^0.5)</f>
        <v>#REF!</v>
      </c>
      <c r="AW42" s="4" t="e">
        <f t="shared" si="91"/>
        <v>#REF!</v>
      </c>
      <c r="AY42" s="36">
        <f t="shared" si="92"/>
        <v>2.2250000000000001</v>
      </c>
      <c r="AZ42" s="36" t="e">
        <f>(1.6*#REF!+22)*AY42*F42^0.5</f>
        <v>#REF!</v>
      </c>
      <c r="BE42" s="4">
        <f t="shared" si="93"/>
        <v>101.8</v>
      </c>
      <c r="BF42" s="4">
        <f t="shared" si="94"/>
        <v>80.19</v>
      </c>
      <c r="BG42" s="4">
        <f t="shared" si="95"/>
        <v>101.8</v>
      </c>
      <c r="BH42" s="4">
        <f t="shared" si="96"/>
        <v>92.89</v>
      </c>
      <c r="BI42" s="4">
        <f t="shared" si="97"/>
        <v>1.0269484973188676</v>
      </c>
      <c r="BJ42" s="25">
        <f t="shared" si="98"/>
        <v>4</v>
      </c>
      <c r="BL42" s="4">
        <f t="shared" si="99"/>
        <v>101.8</v>
      </c>
      <c r="BP42" s="9"/>
      <c r="BR42" s="9"/>
      <c r="BS42" s="9"/>
      <c r="BT42" s="9">
        <f t="shared" si="100"/>
        <v>101.8</v>
      </c>
      <c r="BU42" s="9">
        <f t="shared" si="101"/>
        <v>101.8</v>
      </c>
      <c r="BV42" s="9">
        <f t="shared" si="102"/>
        <v>2.001967536137395</v>
      </c>
      <c r="BW42" s="9">
        <v>20</v>
      </c>
      <c r="BX42" s="9">
        <f t="shared" si="103"/>
        <v>0.05</v>
      </c>
      <c r="BY42" s="9">
        <f t="shared" si="104"/>
        <v>0.8</v>
      </c>
      <c r="BZ42" s="9">
        <f t="shared" si="105"/>
        <v>0.99524931562137331</v>
      </c>
      <c r="CA42" s="9">
        <f t="shared" si="106"/>
        <v>0.97375</v>
      </c>
      <c r="CB42" s="9">
        <f t="shared" si="107"/>
        <v>1.9969246679255115</v>
      </c>
      <c r="CC42" s="9">
        <f t="shared" si="108"/>
        <v>4.9923116698137786</v>
      </c>
      <c r="CD42" s="9">
        <v>1</v>
      </c>
      <c r="CE42" s="9" t="e">
        <f>4*CC42*#REF!+60*CC42</f>
        <v>#REF!</v>
      </c>
      <c r="DB42" s="4">
        <f t="shared" si="109"/>
        <v>4</v>
      </c>
      <c r="DC42" s="4">
        <f t="shared" si="110"/>
        <v>285.75</v>
      </c>
      <c r="DD42" s="4" t="e">
        <f>#REF!/E42</f>
        <v>#REF!</v>
      </c>
      <c r="DF42" s="4">
        <f t="shared" si="111"/>
        <v>2.0755210712749404E-5</v>
      </c>
      <c r="DG42" s="4">
        <f t="shared" si="112"/>
        <v>9.0324733825588019</v>
      </c>
      <c r="DI42" s="4">
        <f t="shared" si="149"/>
        <v>0</v>
      </c>
      <c r="DJ42" s="4">
        <f t="shared" si="150"/>
        <v>6.4517667018277161</v>
      </c>
      <c r="DK42" s="4">
        <f t="shared" si="115"/>
        <v>8.5873792483918443</v>
      </c>
      <c r="DL42" s="38" t="e">
        <f t="shared" si="116"/>
        <v>#REF!</v>
      </c>
      <c r="DM42" s="4" t="e">
        <f t="shared" si="151"/>
        <v>#REF!</v>
      </c>
      <c r="DO42" s="4">
        <f t="shared" si="152"/>
        <v>436.08737945705087</v>
      </c>
      <c r="DS42" s="4">
        <f t="shared" si="118"/>
        <v>0.85</v>
      </c>
      <c r="DT42" s="4">
        <f t="shared" si="119"/>
        <v>0.7</v>
      </c>
      <c r="DU42" s="4">
        <f t="shared" si="120"/>
        <v>0.73926932853865712</v>
      </c>
      <c r="DV42" s="4">
        <f t="shared" si="121"/>
        <v>0.7</v>
      </c>
      <c r="DX42" s="4" t="e">
        <f t="shared" si="122"/>
        <v>#REF!</v>
      </c>
      <c r="DY42" s="25">
        <f t="shared" si="123"/>
        <v>417.85899560346201</v>
      </c>
      <c r="EB42" s="4">
        <f t="shared" si="75"/>
        <v>9.0324733825588019</v>
      </c>
      <c r="EC42" s="4">
        <f t="shared" si="124"/>
        <v>8.5989146601959785</v>
      </c>
      <c r="EE42" s="4">
        <f t="shared" si="125"/>
        <v>77.858162529590359</v>
      </c>
      <c r="EF42" s="4">
        <f t="shared" si="126"/>
        <v>3.0652819893539514</v>
      </c>
      <c r="EG42" s="4">
        <f t="shared" si="127"/>
        <v>0.14614888200604936</v>
      </c>
      <c r="EJ42" s="4">
        <f t="shared" si="128"/>
        <v>0.14614888200604936</v>
      </c>
      <c r="EK42" s="4">
        <f t="shared" si="129"/>
        <v>0.45323202685122277</v>
      </c>
      <c r="EL42" s="4">
        <f t="shared" si="130"/>
        <v>6.5816521704497388</v>
      </c>
      <c r="EM42" s="4">
        <f t="shared" si="131"/>
        <v>7.9028793178392709</v>
      </c>
      <c r="EN42" s="4">
        <f t="shared" si="132"/>
        <v>136.45433747040965</v>
      </c>
      <c r="EO42" s="4">
        <f t="shared" si="133"/>
        <v>71.4375</v>
      </c>
      <c r="EP42" s="4">
        <f t="shared" si="134"/>
        <v>2.0755210712749404E-5</v>
      </c>
      <c r="EQ42" s="4">
        <f t="shared" si="135"/>
        <v>8.3245236605571389</v>
      </c>
      <c r="ER42" s="4" t="e">
        <f t="shared" si="136"/>
        <v>#REF!</v>
      </c>
      <c r="ES42" s="4" t="e">
        <f t="shared" si="137"/>
        <v>#REF!</v>
      </c>
      <c r="ET42" s="4" t="e">
        <f t="shared" si="138"/>
        <v>#REF!</v>
      </c>
      <c r="EV42" s="4" t="e">
        <f t="shared" si="139"/>
        <v>#REF!</v>
      </c>
      <c r="FA42" s="23"/>
      <c r="FB42" s="23"/>
      <c r="FC42" s="23"/>
      <c r="FD42" s="23"/>
      <c r="FE42" s="23"/>
      <c r="FF42" s="23"/>
      <c r="FG42" s="23"/>
      <c r="FH42" s="23"/>
      <c r="FR42" s="4">
        <f t="shared" si="140"/>
        <v>1</v>
      </c>
      <c r="FS42" s="4">
        <f t="shared" si="141"/>
        <v>0.68688155922038985</v>
      </c>
      <c r="FT42" s="4">
        <f t="shared" si="142"/>
        <v>0.3</v>
      </c>
      <c r="FU42" s="4">
        <f t="shared" si="143"/>
        <v>396.26942221324936</v>
      </c>
    </row>
    <row r="43" spans="2:178" ht="12" customHeight="1" x14ac:dyDescent="0.3">
      <c r="B43" s="24"/>
      <c r="C43" s="7" t="s">
        <v>102</v>
      </c>
      <c r="D43" s="28">
        <f t="shared" si="144"/>
        <v>517.5</v>
      </c>
      <c r="E43" s="7">
        <f t="shared" si="157"/>
        <v>285.75</v>
      </c>
      <c r="F43" s="7">
        <v>34.659999999999997</v>
      </c>
      <c r="G43" s="7">
        <v>25.4</v>
      </c>
      <c r="H43" s="7">
        <v>229</v>
      </c>
      <c r="I43" s="7">
        <f t="shared" si="77"/>
        <v>101.8</v>
      </c>
      <c r="J43" s="7">
        <v>305</v>
      </c>
      <c r="K43" s="7">
        <v>0</v>
      </c>
      <c r="L43" s="7">
        <v>1</v>
      </c>
      <c r="M43" s="7">
        <v>82.22</v>
      </c>
      <c r="N43" s="7">
        <f t="shared" si="78"/>
        <v>3.7370078740157484</v>
      </c>
      <c r="O43" s="28">
        <f t="shared" si="145"/>
        <v>3.7370078740157484</v>
      </c>
      <c r="P43" s="28">
        <f t="shared" si="79"/>
        <v>8.3959536742577185</v>
      </c>
      <c r="Q43" s="7">
        <f t="shared" si="80"/>
        <v>8.3959536742577185</v>
      </c>
      <c r="R43" s="7">
        <f t="shared" si="81"/>
        <v>9.3959536742577185</v>
      </c>
      <c r="S43" s="7">
        <f t="shared" si="82"/>
        <v>77.858162529590359</v>
      </c>
      <c r="T43" s="7"/>
      <c r="U43" s="7"/>
      <c r="V43" s="7">
        <f>248.6/(PI()/4*G43^2)*1000</f>
        <v>490.61837500955028</v>
      </c>
      <c r="W43" s="7"/>
      <c r="X43" s="7"/>
      <c r="Y43" s="7">
        <v>9.5</v>
      </c>
      <c r="Z43" s="7">
        <v>4</v>
      </c>
      <c r="AA43" s="7">
        <v>76</v>
      </c>
      <c r="AB43" s="7">
        <v>4</v>
      </c>
      <c r="AC43" s="7"/>
      <c r="AD43" s="7"/>
      <c r="AE43" s="4">
        <f t="shared" si="154"/>
        <v>285.75</v>
      </c>
      <c r="AF43" s="4">
        <f t="shared" si="83"/>
        <v>0.16314527904775977</v>
      </c>
      <c r="AG43" s="25">
        <f t="shared" si="84"/>
        <v>561.22411424012159</v>
      </c>
      <c r="AH43" s="4">
        <f t="shared" si="85"/>
        <v>0.76643569553805768</v>
      </c>
      <c r="AI43" s="4">
        <v>1.25</v>
      </c>
      <c r="AJ43" s="25">
        <f t="shared" si="146"/>
        <v>5</v>
      </c>
      <c r="AK43" s="38">
        <f t="shared" si="147"/>
        <v>438.5979270469054</v>
      </c>
      <c r="AL43" s="38">
        <f t="shared" si="148"/>
        <v>438.5979270469054</v>
      </c>
      <c r="AN43" s="38">
        <f t="shared" si="86"/>
        <v>438.59792704690506</v>
      </c>
      <c r="AO43" s="38">
        <f t="shared" si="87"/>
        <v>1.0000000000000009</v>
      </c>
      <c r="AR43" s="4" t="e">
        <f>#REF!/G43*F43^0.5/0.19</f>
        <v>#REF!</v>
      </c>
      <c r="AS43" s="4">
        <f t="shared" si="88"/>
        <v>1</v>
      </c>
      <c r="AT43" s="38">
        <f t="shared" si="89"/>
        <v>750.61559602581758</v>
      </c>
      <c r="AU43" s="4">
        <f t="shared" si="90"/>
        <v>0.3</v>
      </c>
      <c r="AV43" s="4" t="e">
        <f>AU43*D43*#REF!/(D43*G43/2.75/F43^0.5)</f>
        <v>#REF!</v>
      </c>
      <c r="AW43" s="4" t="e">
        <f t="shared" si="91"/>
        <v>#REF!</v>
      </c>
      <c r="AY43" s="36">
        <f t="shared" si="92"/>
        <v>2.2250000000000001</v>
      </c>
      <c r="AZ43" s="36" t="e">
        <f>(1.6*#REF!+22)*AY43*F43^0.5</f>
        <v>#REF!</v>
      </c>
      <c r="BE43" s="4">
        <f t="shared" si="93"/>
        <v>101.8</v>
      </c>
      <c r="BF43" s="4">
        <f t="shared" si="94"/>
        <v>82.22</v>
      </c>
      <c r="BG43" s="4">
        <f t="shared" si="95"/>
        <v>101.8</v>
      </c>
      <c r="BH43" s="4">
        <f t="shared" si="96"/>
        <v>94.92</v>
      </c>
      <c r="BI43" s="4">
        <f t="shared" si="97"/>
        <v>1.0238141571393822</v>
      </c>
      <c r="BJ43" s="25">
        <f t="shared" si="98"/>
        <v>4</v>
      </c>
      <c r="BL43" s="4">
        <f t="shared" si="99"/>
        <v>101.8</v>
      </c>
      <c r="BP43" s="9"/>
      <c r="BR43" s="9"/>
      <c r="BS43" s="9"/>
      <c r="BT43" s="9">
        <f t="shared" si="100"/>
        <v>101.8</v>
      </c>
      <c r="BU43" s="9">
        <f t="shared" si="101"/>
        <v>101.8</v>
      </c>
      <c r="BV43" s="9">
        <f t="shared" si="102"/>
        <v>2.001967536137395</v>
      </c>
      <c r="BW43" s="9">
        <v>20</v>
      </c>
      <c r="BX43" s="9">
        <f t="shared" si="103"/>
        <v>0.05</v>
      </c>
      <c r="BY43" s="9">
        <f t="shared" si="104"/>
        <v>0.8</v>
      </c>
      <c r="BZ43" s="9">
        <f t="shared" si="105"/>
        <v>0.99524931562137331</v>
      </c>
      <c r="CA43" s="9">
        <f t="shared" si="106"/>
        <v>0.97375</v>
      </c>
      <c r="CB43" s="9">
        <f t="shared" si="107"/>
        <v>1.9969246679255115</v>
      </c>
      <c r="CC43" s="9">
        <f t="shared" si="108"/>
        <v>4.9923116698137786</v>
      </c>
      <c r="CD43" s="9">
        <v>1</v>
      </c>
      <c r="CE43" s="9" t="e">
        <f>4*CC43*#REF!+60*CC43</f>
        <v>#REF!</v>
      </c>
      <c r="DB43" s="4">
        <f t="shared" si="109"/>
        <v>4</v>
      </c>
      <c r="DC43" s="4">
        <f t="shared" si="110"/>
        <v>285.75</v>
      </c>
      <c r="DD43" s="4" t="e">
        <f>#REF!/E43</f>
        <v>#REF!</v>
      </c>
      <c r="DF43" s="4">
        <f t="shared" si="111"/>
        <v>2.0755210712749404E-5</v>
      </c>
      <c r="DG43" s="4">
        <f t="shared" si="112"/>
        <v>9.0324733825588019</v>
      </c>
      <c r="DI43" s="4">
        <f t="shared" si="149"/>
        <v>0</v>
      </c>
      <c r="DJ43" s="4">
        <f t="shared" si="150"/>
        <v>6.4517667018277161</v>
      </c>
      <c r="DK43" s="4">
        <f t="shared" si="115"/>
        <v>8.5873792483918443</v>
      </c>
      <c r="DL43" s="38" t="e">
        <f t="shared" si="116"/>
        <v>#REF!</v>
      </c>
      <c r="DM43" s="4" t="e">
        <f t="shared" si="151"/>
        <v>#REF!</v>
      </c>
      <c r="DO43" s="4">
        <f t="shared" si="152"/>
        <v>438.59792704690506</v>
      </c>
      <c r="DS43" s="4">
        <f t="shared" si="118"/>
        <v>0.85</v>
      </c>
      <c r="DT43" s="4">
        <f t="shared" si="119"/>
        <v>0.7</v>
      </c>
      <c r="DU43" s="4">
        <f t="shared" si="120"/>
        <v>0.73926932853865712</v>
      </c>
      <c r="DV43" s="4">
        <f t="shared" si="121"/>
        <v>0.7</v>
      </c>
      <c r="DX43" s="4" t="e">
        <f t="shared" si="122"/>
        <v>#REF!</v>
      </c>
      <c r="DY43" s="25">
        <f t="shared" si="123"/>
        <v>418.64418673852452</v>
      </c>
      <c r="EB43" s="4">
        <f t="shared" si="75"/>
        <v>9.0324733825588019</v>
      </c>
      <c r="EC43" s="4">
        <f t="shared" si="124"/>
        <v>8.5989146601959785</v>
      </c>
      <c r="EE43" s="4">
        <f t="shared" si="125"/>
        <v>77.858162529590359</v>
      </c>
      <c r="EF43" s="4">
        <f t="shared" si="126"/>
        <v>3.0652819893539514</v>
      </c>
      <c r="EG43" s="4">
        <f t="shared" si="127"/>
        <v>0.14699025862175652</v>
      </c>
      <c r="EJ43" s="4">
        <f t="shared" si="128"/>
        <v>0.14699025862175652</v>
      </c>
      <c r="EK43" s="4">
        <f t="shared" si="129"/>
        <v>0.45584127588308598</v>
      </c>
      <c r="EL43" s="4">
        <f t="shared" si="130"/>
        <v>6.5967822579745006</v>
      </c>
      <c r="EM43" s="4">
        <f t="shared" si="131"/>
        <v>7.9091783259944446</v>
      </c>
      <c r="EN43" s="4">
        <f t="shared" si="132"/>
        <v>136.45433747040965</v>
      </c>
      <c r="EO43" s="4">
        <f t="shared" si="133"/>
        <v>71.4375</v>
      </c>
      <c r="EP43" s="4">
        <f t="shared" si="134"/>
        <v>2.0755210712749404E-5</v>
      </c>
      <c r="EQ43" s="4">
        <f t="shared" si="135"/>
        <v>8.3237698022751303</v>
      </c>
      <c r="ER43" s="4" t="e">
        <f t="shared" si="136"/>
        <v>#REF!</v>
      </c>
      <c r="ES43" s="4" t="e">
        <f t="shared" si="137"/>
        <v>#REF!</v>
      </c>
      <c r="ET43" s="4" t="e">
        <f t="shared" si="138"/>
        <v>#REF!</v>
      </c>
      <c r="EV43" s="4" t="e">
        <f t="shared" si="139"/>
        <v>#REF!</v>
      </c>
      <c r="FA43" s="23"/>
      <c r="FB43" s="23"/>
      <c r="FC43" s="23"/>
      <c r="FD43" s="23"/>
      <c r="FE43" s="23"/>
      <c r="FF43" s="23"/>
      <c r="FG43" s="23"/>
      <c r="FH43" s="23"/>
      <c r="FR43" s="4">
        <f t="shared" si="140"/>
        <v>1</v>
      </c>
      <c r="FS43" s="4">
        <f t="shared" si="141"/>
        <v>0.68688155922038985</v>
      </c>
      <c r="FT43" s="4">
        <f t="shared" si="142"/>
        <v>0.3</v>
      </c>
      <c r="FU43" s="4">
        <f t="shared" si="143"/>
        <v>396.26942221324936</v>
      </c>
    </row>
    <row r="44" spans="2:178" ht="12" customHeight="1" x14ac:dyDescent="0.3">
      <c r="B44" s="24"/>
      <c r="C44" s="7" t="s">
        <v>103</v>
      </c>
      <c r="D44" s="28">
        <f t="shared" si="144"/>
        <v>517.5</v>
      </c>
      <c r="E44" s="7">
        <f t="shared" si="157"/>
        <v>285.75</v>
      </c>
      <c r="F44" s="7">
        <v>34.659999999999997</v>
      </c>
      <c r="G44" s="7">
        <v>25.4</v>
      </c>
      <c r="H44" s="7">
        <v>229</v>
      </c>
      <c r="I44" s="7">
        <f t="shared" si="77"/>
        <v>101.8</v>
      </c>
      <c r="J44" s="7">
        <v>305</v>
      </c>
      <c r="K44" s="7">
        <v>0</v>
      </c>
      <c r="L44" s="7">
        <v>1</v>
      </c>
      <c r="M44" s="7">
        <v>55.45</v>
      </c>
      <c r="N44" s="7">
        <f t="shared" si="78"/>
        <v>2.6830708661417328</v>
      </c>
      <c r="O44" s="28">
        <f t="shared" si="145"/>
        <v>2.6830708661417328</v>
      </c>
      <c r="P44" s="28">
        <f t="shared" si="79"/>
        <v>8.3959536742577185</v>
      </c>
      <c r="Q44" s="7">
        <f t="shared" si="80"/>
        <v>8.3959536742577185</v>
      </c>
      <c r="R44" s="7">
        <f t="shared" si="81"/>
        <v>9.3959536742577185</v>
      </c>
      <c r="S44" s="7">
        <f t="shared" si="82"/>
        <v>77.858162529590359</v>
      </c>
      <c r="T44" s="7"/>
      <c r="U44" s="7"/>
      <c r="V44" s="7">
        <f>249.62/(PI()/4*G44^2)*1000</f>
        <v>492.6313707557681</v>
      </c>
      <c r="W44" s="7"/>
      <c r="X44" s="7"/>
      <c r="Y44" s="7">
        <v>9.5</v>
      </c>
      <c r="Z44" s="7">
        <v>4</v>
      </c>
      <c r="AA44" s="7">
        <v>76</v>
      </c>
      <c r="AB44" s="7">
        <v>4</v>
      </c>
      <c r="AC44" s="7"/>
      <c r="AD44" s="7"/>
      <c r="AE44" s="4">
        <f t="shared" si="154"/>
        <v>285.75</v>
      </c>
      <c r="AF44" s="4">
        <f t="shared" si="83"/>
        <v>0.15480330439398876</v>
      </c>
      <c r="AG44" s="25">
        <f t="shared" si="84"/>
        <v>561.22411424012159</v>
      </c>
      <c r="AH44" s="4">
        <f t="shared" si="85"/>
        <v>0.74769903762029744</v>
      </c>
      <c r="AI44" s="4">
        <v>1.25</v>
      </c>
      <c r="AJ44" s="25">
        <f t="shared" si="146"/>
        <v>5</v>
      </c>
      <c r="AK44" s="38">
        <f t="shared" si="147"/>
        <v>405.99752770345503</v>
      </c>
      <c r="AL44" s="38">
        <f t="shared" si="148"/>
        <v>405.99752770345503</v>
      </c>
      <c r="AN44" s="38">
        <f t="shared" si="86"/>
        <v>405.99752770345469</v>
      </c>
      <c r="AO44" s="38">
        <f t="shared" si="87"/>
        <v>1.0000000000000009</v>
      </c>
      <c r="AR44" s="4" t="e">
        <f>#REF!/G44*F44^0.5/0.19</f>
        <v>#REF!</v>
      </c>
      <c r="AS44" s="4">
        <f t="shared" si="88"/>
        <v>1</v>
      </c>
      <c r="AT44" s="38">
        <f t="shared" si="89"/>
        <v>538.92175378381239</v>
      </c>
      <c r="AU44" s="4">
        <f t="shared" si="90"/>
        <v>0.3</v>
      </c>
      <c r="AV44" s="4" t="e">
        <f>AU44*D44*#REF!/(D44*G44/2.75/F44^0.5)</f>
        <v>#REF!</v>
      </c>
      <c r="AW44" s="4" t="e">
        <f t="shared" si="91"/>
        <v>#REF!</v>
      </c>
      <c r="AY44" s="36">
        <f t="shared" si="92"/>
        <v>2.2250000000000001</v>
      </c>
      <c r="AZ44" s="36" t="e">
        <f>(1.6*#REF!+22)*AY44*F44^0.5</f>
        <v>#REF!</v>
      </c>
      <c r="BE44" s="4">
        <f t="shared" si="93"/>
        <v>101.8</v>
      </c>
      <c r="BF44" s="4">
        <f t="shared" si="94"/>
        <v>55.45</v>
      </c>
      <c r="BG44" s="4">
        <f t="shared" si="95"/>
        <v>101.8</v>
      </c>
      <c r="BH44" s="4">
        <f t="shared" si="96"/>
        <v>68.150000000000006</v>
      </c>
      <c r="BI44" s="4">
        <f t="shared" si="97"/>
        <v>1.0835888187556357</v>
      </c>
      <c r="BJ44" s="25">
        <f t="shared" si="98"/>
        <v>4</v>
      </c>
      <c r="BL44" s="4">
        <f t="shared" si="99"/>
        <v>101.8</v>
      </c>
      <c r="BP44" s="9"/>
      <c r="BR44" s="9"/>
      <c r="BS44" s="9"/>
      <c r="BT44" s="9">
        <f t="shared" si="100"/>
        <v>101.8</v>
      </c>
      <c r="BU44" s="9">
        <f t="shared" si="101"/>
        <v>101.8</v>
      </c>
      <c r="BV44" s="9">
        <f t="shared" si="102"/>
        <v>2.001967536137395</v>
      </c>
      <c r="BW44" s="9">
        <v>20</v>
      </c>
      <c r="BX44" s="9">
        <f t="shared" si="103"/>
        <v>0.05</v>
      </c>
      <c r="BY44" s="9">
        <f t="shared" si="104"/>
        <v>0.8</v>
      </c>
      <c r="BZ44" s="9">
        <f t="shared" si="105"/>
        <v>0.99524931562137331</v>
      </c>
      <c r="CA44" s="9">
        <f t="shared" si="106"/>
        <v>0.97375</v>
      </c>
      <c r="CB44" s="9">
        <f t="shared" si="107"/>
        <v>1.9969246679255115</v>
      </c>
      <c r="CC44" s="9">
        <f t="shared" si="108"/>
        <v>4.9923116698137786</v>
      </c>
      <c r="CD44" s="9">
        <v>1</v>
      </c>
      <c r="CE44" s="9" t="e">
        <f>4*CC44*#REF!+60*CC44</f>
        <v>#REF!</v>
      </c>
      <c r="DB44" s="4">
        <f t="shared" si="109"/>
        <v>4</v>
      </c>
      <c r="DC44" s="4">
        <f t="shared" si="110"/>
        <v>285.75</v>
      </c>
      <c r="DD44" s="4" t="e">
        <f>#REF!/E44</f>
        <v>#REF!</v>
      </c>
      <c r="DF44" s="4">
        <f t="shared" si="111"/>
        <v>2.0755210712749404E-5</v>
      </c>
      <c r="DG44" s="4">
        <f t="shared" si="112"/>
        <v>9.0324733825588019</v>
      </c>
      <c r="DI44" s="4">
        <f t="shared" si="149"/>
        <v>0</v>
      </c>
      <c r="DJ44" s="4">
        <f t="shared" si="150"/>
        <v>6.4517667018277161</v>
      </c>
      <c r="DK44" s="4">
        <f t="shared" si="115"/>
        <v>8.5873792483918443</v>
      </c>
      <c r="DL44" s="38" t="e">
        <f t="shared" si="116"/>
        <v>#REF!</v>
      </c>
      <c r="DM44" s="4" t="e">
        <f t="shared" si="151"/>
        <v>#REF!</v>
      </c>
      <c r="DO44" s="4">
        <f t="shared" si="152"/>
        <v>405.99752770345469</v>
      </c>
      <c r="DS44" s="4">
        <f t="shared" si="118"/>
        <v>0.85</v>
      </c>
      <c r="DT44" s="4">
        <f t="shared" si="119"/>
        <v>0.7</v>
      </c>
      <c r="DU44" s="4">
        <f t="shared" si="120"/>
        <v>0.73926932853865712</v>
      </c>
      <c r="DV44" s="4">
        <f t="shared" si="121"/>
        <v>0.7</v>
      </c>
      <c r="DX44" s="4" t="e">
        <f t="shared" si="122"/>
        <v>#REF!</v>
      </c>
      <c r="DY44" s="25">
        <f t="shared" si="123"/>
        <v>408.28972039092707</v>
      </c>
      <c r="EB44" s="4">
        <f t="shared" si="75"/>
        <v>9.0324733825588019</v>
      </c>
      <c r="EC44" s="4">
        <f t="shared" si="124"/>
        <v>8.5989146601959785</v>
      </c>
      <c r="EE44" s="4">
        <f t="shared" si="125"/>
        <v>77.858162529590359</v>
      </c>
      <c r="EF44" s="4">
        <f t="shared" si="126"/>
        <v>3.0652819893539514</v>
      </c>
      <c r="EG44" s="4">
        <f t="shared" si="127"/>
        <v>0.13606466861058017</v>
      </c>
      <c r="EJ44" s="4">
        <f t="shared" si="128"/>
        <v>0.13606466861058017</v>
      </c>
      <c r="EK44" s="4">
        <f t="shared" si="129"/>
        <v>0.42195920140299542</v>
      </c>
      <c r="EL44" s="4">
        <f t="shared" si="130"/>
        <v>6.3960945508971907</v>
      </c>
      <c r="EM44" s="4">
        <f t="shared" si="131"/>
        <v>7.8264154773661634</v>
      </c>
      <c r="EN44" s="4">
        <f t="shared" si="132"/>
        <v>136.45433747040965</v>
      </c>
      <c r="EO44" s="4">
        <f t="shared" si="133"/>
        <v>71.4375</v>
      </c>
      <c r="EP44" s="4">
        <f t="shared" si="134"/>
        <v>2.0755210712749404E-5</v>
      </c>
      <c r="EQ44" s="4">
        <f t="shared" si="135"/>
        <v>8.3337293000677306</v>
      </c>
      <c r="ER44" s="4" t="e">
        <f t="shared" si="136"/>
        <v>#REF!</v>
      </c>
      <c r="ES44" s="4" t="e">
        <f t="shared" si="137"/>
        <v>#REF!</v>
      </c>
      <c r="ET44" s="4" t="e">
        <f t="shared" si="138"/>
        <v>#REF!</v>
      </c>
      <c r="EV44" s="4" t="e">
        <f t="shared" si="139"/>
        <v>#REF!</v>
      </c>
      <c r="FA44" s="23"/>
      <c r="FB44" s="23"/>
      <c r="FC44" s="23"/>
      <c r="FD44" s="23"/>
      <c r="FE44" s="23"/>
      <c r="FF44" s="23"/>
      <c r="FG44" s="23"/>
      <c r="FH44" s="23"/>
      <c r="FR44" s="4">
        <f t="shared" si="140"/>
        <v>1</v>
      </c>
      <c r="FS44" s="4">
        <f t="shared" si="141"/>
        <v>0.68688155922038985</v>
      </c>
      <c r="FT44" s="4">
        <f t="shared" si="142"/>
        <v>0.3</v>
      </c>
      <c r="FU44" s="4">
        <f t="shared" si="143"/>
        <v>396.26942221324936</v>
      </c>
    </row>
    <row r="45" spans="2:178" ht="12" customHeight="1" x14ac:dyDescent="0.3">
      <c r="B45" s="24"/>
      <c r="C45" s="7" t="s">
        <v>104</v>
      </c>
      <c r="D45" s="28">
        <f t="shared" si="144"/>
        <v>517.5</v>
      </c>
      <c r="E45" s="7">
        <f t="shared" si="157"/>
        <v>285.75</v>
      </c>
      <c r="F45" s="7">
        <v>34.659999999999997</v>
      </c>
      <c r="G45" s="7">
        <v>25.4</v>
      </c>
      <c r="H45" s="7">
        <v>229</v>
      </c>
      <c r="I45" s="7">
        <f t="shared" si="77"/>
        <v>101.8</v>
      </c>
      <c r="J45" s="7">
        <v>305</v>
      </c>
      <c r="K45" s="7">
        <v>0</v>
      </c>
      <c r="L45" s="7">
        <v>1</v>
      </c>
      <c r="M45" s="7">
        <v>55.7</v>
      </c>
      <c r="N45" s="7">
        <f t="shared" si="78"/>
        <v>2.6929133858267722</v>
      </c>
      <c r="O45" s="28">
        <f t="shared" si="145"/>
        <v>2.6929133858267722</v>
      </c>
      <c r="P45" s="28">
        <f t="shared" si="79"/>
        <v>8.3959536742577185</v>
      </c>
      <c r="Q45" s="7">
        <f t="shared" si="80"/>
        <v>8.3959536742577185</v>
      </c>
      <c r="R45" s="7">
        <f t="shared" si="81"/>
        <v>9.3959536742577185</v>
      </c>
      <c r="S45" s="7">
        <f t="shared" si="82"/>
        <v>77.858162529590359</v>
      </c>
      <c r="T45" s="7"/>
      <c r="U45" s="7"/>
      <c r="V45" s="7">
        <f>231.87/(PI()/4*G45^2)*1000</f>
        <v>457.60129772109588</v>
      </c>
      <c r="W45" s="7"/>
      <c r="X45" s="7"/>
      <c r="Y45" s="7">
        <v>9.5</v>
      </c>
      <c r="Z45" s="7">
        <v>4</v>
      </c>
      <c r="AA45" s="7">
        <v>76</v>
      </c>
      <c r="AB45" s="7">
        <v>4</v>
      </c>
      <c r="AC45" s="7"/>
      <c r="AD45" s="7"/>
      <c r="AE45" s="4">
        <f t="shared" si="154"/>
        <v>285.75</v>
      </c>
      <c r="AF45" s="4">
        <f t="shared" si="83"/>
        <v>0.15488120852784915</v>
      </c>
      <c r="AG45" s="25">
        <f t="shared" si="84"/>
        <v>561.22411424012159</v>
      </c>
      <c r="AH45" s="4">
        <f t="shared" si="85"/>
        <v>0.74787401574803147</v>
      </c>
      <c r="AI45" s="4">
        <v>1.25</v>
      </c>
      <c r="AJ45" s="25">
        <f t="shared" si="146"/>
        <v>5</v>
      </c>
      <c r="AK45" s="38">
        <f t="shared" si="147"/>
        <v>406.29690453368073</v>
      </c>
      <c r="AL45" s="38">
        <f t="shared" si="148"/>
        <v>406.29690453368073</v>
      </c>
      <c r="AN45" s="38">
        <f t="shared" si="86"/>
        <v>406.29690453368045</v>
      </c>
      <c r="AO45" s="38">
        <f t="shared" si="87"/>
        <v>1.0000000000000007</v>
      </c>
      <c r="AR45" s="4" t="e">
        <f>#REF!/G45*F45^0.5/0.19</f>
        <v>#REF!</v>
      </c>
      <c r="AS45" s="4">
        <f t="shared" si="88"/>
        <v>1</v>
      </c>
      <c r="AT45" s="38">
        <f t="shared" si="89"/>
        <v>540.8987227998939</v>
      </c>
      <c r="AU45" s="4">
        <f t="shared" si="90"/>
        <v>0.3</v>
      </c>
      <c r="AV45" s="4" t="e">
        <f>AU45*D45*#REF!/(D45*G45/2.75/F45^0.5)</f>
        <v>#REF!</v>
      </c>
      <c r="AW45" s="4" t="e">
        <f t="shared" si="91"/>
        <v>#REF!</v>
      </c>
      <c r="AY45" s="36">
        <f t="shared" si="92"/>
        <v>2.2250000000000001</v>
      </c>
      <c r="AZ45" s="36" t="e">
        <f>(1.6*#REF!+22)*AY45*F45^0.5</f>
        <v>#REF!</v>
      </c>
      <c r="BE45" s="4">
        <f t="shared" si="93"/>
        <v>101.8</v>
      </c>
      <c r="BF45" s="4">
        <f t="shared" si="94"/>
        <v>55.7</v>
      </c>
      <c r="BG45" s="4">
        <f t="shared" si="95"/>
        <v>101.8</v>
      </c>
      <c r="BH45" s="4">
        <f t="shared" si="96"/>
        <v>68.400000000000006</v>
      </c>
      <c r="BI45" s="4">
        <f t="shared" si="97"/>
        <v>1.0827648114901256</v>
      </c>
      <c r="BJ45" s="25">
        <f t="shared" si="98"/>
        <v>4</v>
      </c>
      <c r="BL45" s="4">
        <f t="shared" si="99"/>
        <v>101.8</v>
      </c>
      <c r="BP45" s="9"/>
      <c r="BR45" s="9"/>
      <c r="BS45" s="9"/>
      <c r="BT45" s="9">
        <f t="shared" si="100"/>
        <v>101.8</v>
      </c>
      <c r="BU45" s="9">
        <f t="shared" si="101"/>
        <v>101.8</v>
      </c>
      <c r="BV45" s="9">
        <f t="shared" si="102"/>
        <v>2.001967536137395</v>
      </c>
      <c r="BW45" s="9">
        <v>20</v>
      </c>
      <c r="BX45" s="9">
        <f t="shared" si="103"/>
        <v>0.05</v>
      </c>
      <c r="BY45" s="9">
        <f t="shared" si="104"/>
        <v>0.8</v>
      </c>
      <c r="BZ45" s="9">
        <f t="shared" si="105"/>
        <v>0.99524931562137331</v>
      </c>
      <c r="CA45" s="9">
        <f t="shared" si="106"/>
        <v>0.97375</v>
      </c>
      <c r="CB45" s="9">
        <f t="shared" si="107"/>
        <v>1.9969246679255115</v>
      </c>
      <c r="CC45" s="9">
        <f t="shared" si="108"/>
        <v>4.9923116698137786</v>
      </c>
      <c r="CD45" s="9">
        <v>1</v>
      </c>
      <c r="CE45" s="9" t="e">
        <f>4*CC45*#REF!+60*CC45</f>
        <v>#REF!</v>
      </c>
      <c r="DB45" s="4">
        <f t="shared" si="109"/>
        <v>4</v>
      </c>
      <c r="DC45" s="4">
        <f t="shared" si="110"/>
        <v>285.75</v>
      </c>
      <c r="DD45" s="4" t="e">
        <f>#REF!/E45</f>
        <v>#REF!</v>
      </c>
      <c r="DF45" s="4">
        <f t="shared" si="111"/>
        <v>2.0755210712749404E-5</v>
      </c>
      <c r="DG45" s="4">
        <f t="shared" si="112"/>
        <v>9.0324733825588019</v>
      </c>
      <c r="DI45" s="4">
        <f t="shared" si="149"/>
        <v>0</v>
      </c>
      <c r="DJ45" s="4">
        <f t="shared" si="150"/>
        <v>6.4517667018277161</v>
      </c>
      <c r="DK45" s="4">
        <f t="shared" si="115"/>
        <v>8.5873792483918443</v>
      </c>
      <c r="DL45" s="38" t="e">
        <f t="shared" si="116"/>
        <v>#REF!</v>
      </c>
      <c r="DM45" s="4" t="e">
        <f t="shared" si="151"/>
        <v>#REF!</v>
      </c>
      <c r="DO45" s="4">
        <f t="shared" si="152"/>
        <v>406.29690453368045</v>
      </c>
      <c r="DS45" s="4">
        <f t="shared" si="118"/>
        <v>0.85</v>
      </c>
      <c r="DT45" s="4">
        <f t="shared" si="119"/>
        <v>0.7</v>
      </c>
      <c r="DU45" s="4">
        <f t="shared" si="120"/>
        <v>0.73926932853865712</v>
      </c>
      <c r="DV45" s="4">
        <f t="shared" si="121"/>
        <v>0.7</v>
      </c>
      <c r="DX45" s="4" t="e">
        <f t="shared" si="122"/>
        <v>#REF!</v>
      </c>
      <c r="DY45" s="25">
        <f t="shared" si="123"/>
        <v>408.38641880657519</v>
      </c>
      <c r="EB45" s="4">
        <f t="shared" si="75"/>
        <v>9.0324733825588019</v>
      </c>
      <c r="EC45" s="4">
        <f t="shared" si="124"/>
        <v>8.5989146601959785</v>
      </c>
      <c r="EE45" s="4">
        <f t="shared" si="125"/>
        <v>77.858162529590359</v>
      </c>
      <c r="EF45" s="4">
        <f t="shared" si="126"/>
        <v>3.0652819893539514</v>
      </c>
      <c r="EG45" s="4">
        <f t="shared" si="127"/>
        <v>0.13616500077128266</v>
      </c>
      <c r="EJ45" s="4">
        <f t="shared" si="128"/>
        <v>0.13616500077128266</v>
      </c>
      <c r="EK45" s="4">
        <f t="shared" si="129"/>
        <v>0.42227034814547731</v>
      </c>
      <c r="EL45" s="4">
        <f t="shared" si="130"/>
        <v>6.3979806895606242</v>
      </c>
      <c r="EM45" s="4">
        <f t="shared" si="131"/>
        <v>7.8271852945998246</v>
      </c>
      <c r="EN45" s="4">
        <f t="shared" si="132"/>
        <v>136.45433747040965</v>
      </c>
      <c r="EO45" s="4">
        <f t="shared" si="133"/>
        <v>71.4375</v>
      </c>
      <c r="EP45" s="4">
        <f t="shared" si="134"/>
        <v>2.0755210712749404E-5</v>
      </c>
      <c r="EQ45" s="4">
        <f t="shared" si="135"/>
        <v>8.3336361018153582</v>
      </c>
      <c r="ER45" s="4" t="e">
        <f t="shared" si="136"/>
        <v>#REF!</v>
      </c>
      <c r="ES45" s="4" t="e">
        <f t="shared" si="137"/>
        <v>#REF!</v>
      </c>
      <c r="ET45" s="4" t="e">
        <f t="shared" si="138"/>
        <v>#REF!</v>
      </c>
      <c r="EV45" s="4" t="e">
        <f t="shared" si="139"/>
        <v>#REF!</v>
      </c>
      <c r="FA45" s="23"/>
      <c r="FB45" s="23"/>
      <c r="FC45" s="23"/>
      <c r="FD45" s="23"/>
      <c r="FE45" s="23"/>
      <c r="FF45" s="23"/>
      <c r="FG45" s="23"/>
      <c r="FH45" s="23"/>
      <c r="FR45" s="4">
        <f t="shared" si="140"/>
        <v>1</v>
      </c>
      <c r="FS45" s="4">
        <f t="shared" si="141"/>
        <v>0.68688155922038985</v>
      </c>
      <c r="FT45" s="4">
        <f t="shared" si="142"/>
        <v>0.3</v>
      </c>
      <c r="FU45" s="4">
        <f t="shared" si="143"/>
        <v>396.26942221324936</v>
      </c>
    </row>
    <row r="46" spans="2:178" ht="12" customHeight="1" x14ac:dyDescent="0.3">
      <c r="B46" s="24"/>
      <c r="C46" s="7" t="s">
        <v>105</v>
      </c>
      <c r="D46" s="28">
        <f t="shared" si="144"/>
        <v>517.5</v>
      </c>
      <c r="E46" s="7">
        <f t="shared" si="157"/>
        <v>285.75</v>
      </c>
      <c r="F46" s="7">
        <v>34.659999999999997</v>
      </c>
      <c r="G46" s="7">
        <v>25.4</v>
      </c>
      <c r="H46" s="7">
        <v>229</v>
      </c>
      <c r="I46" s="7">
        <f t="shared" si="77"/>
        <v>101.8</v>
      </c>
      <c r="J46" s="7">
        <v>305</v>
      </c>
      <c r="K46" s="7">
        <v>0</v>
      </c>
      <c r="L46" s="7">
        <v>1</v>
      </c>
      <c r="M46" s="7">
        <v>56.57</v>
      </c>
      <c r="N46" s="7">
        <f t="shared" si="78"/>
        <v>2.7271653543307086</v>
      </c>
      <c r="O46" s="28">
        <f t="shared" si="145"/>
        <v>2.7271653543307086</v>
      </c>
      <c r="P46" s="28">
        <f t="shared" si="79"/>
        <v>8.3959536742577185</v>
      </c>
      <c r="Q46" s="7">
        <f t="shared" si="80"/>
        <v>8.3959536742577185</v>
      </c>
      <c r="R46" s="7">
        <f t="shared" si="81"/>
        <v>9.3959536742577185</v>
      </c>
      <c r="S46" s="7">
        <f t="shared" si="82"/>
        <v>77.858162529590359</v>
      </c>
      <c r="T46" s="7"/>
      <c r="U46" s="7"/>
      <c r="V46" s="7">
        <f>257.14/(PI()/4*G46^2)*1000</f>
        <v>507.4722805710208</v>
      </c>
      <c r="W46" s="7"/>
      <c r="X46" s="7"/>
      <c r="Y46" s="7">
        <v>9.5</v>
      </c>
      <c r="Z46" s="7">
        <v>4</v>
      </c>
      <c r="AA46" s="7">
        <v>76</v>
      </c>
      <c r="AB46" s="7">
        <v>4</v>
      </c>
      <c r="AC46" s="7"/>
      <c r="AD46" s="7"/>
      <c r="AE46" s="4">
        <f t="shared" si="154"/>
        <v>285.75</v>
      </c>
      <c r="AF46" s="4">
        <f t="shared" si="83"/>
        <v>0.15515231491368334</v>
      </c>
      <c r="AG46" s="25">
        <f t="shared" si="84"/>
        <v>561.22411424012159</v>
      </c>
      <c r="AH46" s="4">
        <f t="shared" si="85"/>
        <v>0.74848293963254586</v>
      </c>
      <c r="AI46" s="4">
        <v>1.25</v>
      </c>
      <c r="AJ46" s="25">
        <f t="shared" si="146"/>
        <v>5</v>
      </c>
      <c r="AK46" s="38">
        <f t="shared" si="147"/>
        <v>407.33948135174751</v>
      </c>
      <c r="AL46" s="38">
        <f t="shared" si="148"/>
        <v>407.33948135174751</v>
      </c>
      <c r="AN46" s="38">
        <f t="shared" si="86"/>
        <v>407.33948135174728</v>
      </c>
      <c r="AO46" s="38">
        <f t="shared" si="87"/>
        <v>1.0000000000000007</v>
      </c>
      <c r="AR46" s="4" t="e">
        <f>#REF!/G46*F46^0.5/0.19</f>
        <v>#REF!</v>
      </c>
      <c r="AS46" s="4">
        <f t="shared" si="88"/>
        <v>1</v>
      </c>
      <c r="AT46" s="38">
        <f t="shared" si="89"/>
        <v>547.7785749758574</v>
      </c>
      <c r="AU46" s="4">
        <f t="shared" si="90"/>
        <v>0.3</v>
      </c>
      <c r="AV46" s="4" t="e">
        <f>AU46*D46*#REF!/(D46*G46/2.75/F46^0.5)</f>
        <v>#REF!</v>
      </c>
      <c r="AW46" s="4" t="e">
        <f t="shared" si="91"/>
        <v>#REF!</v>
      </c>
      <c r="AY46" s="36">
        <f t="shared" si="92"/>
        <v>2.2250000000000001</v>
      </c>
      <c r="AZ46" s="36" t="e">
        <f>(1.6*#REF!+22)*AY46*F46^0.5</f>
        <v>#REF!</v>
      </c>
      <c r="BE46" s="4">
        <f t="shared" si="93"/>
        <v>101.8</v>
      </c>
      <c r="BF46" s="4">
        <f t="shared" si="94"/>
        <v>56.57</v>
      </c>
      <c r="BG46" s="4">
        <f t="shared" si="95"/>
        <v>101.8</v>
      </c>
      <c r="BH46" s="4">
        <f t="shared" si="96"/>
        <v>69.27</v>
      </c>
      <c r="BI46" s="4">
        <f t="shared" si="97"/>
        <v>1.0799540392434153</v>
      </c>
      <c r="BJ46" s="25">
        <f t="shared" si="98"/>
        <v>4</v>
      </c>
      <c r="BL46" s="4">
        <f t="shared" si="99"/>
        <v>101.8</v>
      </c>
      <c r="BP46" s="9"/>
      <c r="BR46" s="9"/>
      <c r="BS46" s="9"/>
      <c r="BT46" s="9">
        <f t="shared" si="100"/>
        <v>101.8</v>
      </c>
      <c r="BU46" s="9">
        <f t="shared" si="101"/>
        <v>101.8</v>
      </c>
      <c r="BV46" s="9">
        <f t="shared" si="102"/>
        <v>2.001967536137395</v>
      </c>
      <c r="BW46" s="9">
        <v>20</v>
      </c>
      <c r="BX46" s="9">
        <f t="shared" si="103"/>
        <v>0.05</v>
      </c>
      <c r="BY46" s="9">
        <f t="shared" si="104"/>
        <v>0.8</v>
      </c>
      <c r="BZ46" s="9">
        <f t="shared" si="105"/>
        <v>0.99524931562137331</v>
      </c>
      <c r="CA46" s="9">
        <f t="shared" si="106"/>
        <v>0.97375</v>
      </c>
      <c r="CB46" s="9">
        <f t="shared" si="107"/>
        <v>1.9969246679255115</v>
      </c>
      <c r="CC46" s="9">
        <f t="shared" si="108"/>
        <v>4.9923116698137786</v>
      </c>
      <c r="CD46" s="9">
        <v>1</v>
      </c>
      <c r="CE46" s="9" t="e">
        <f>4*CC46*#REF!+60*CC46</f>
        <v>#REF!</v>
      </c>
      <c r="DB46" s="4">
        <f t="shared" si="109"/>
        <v>4</v>
      </c>
      <c r="DC46" s="4">
        <f t="shared" si="110"/>
        <v>285.75</v>
      </c>
      <c r="DD46" s="4" t="e">
        <f>#REF!/E46</f>
        <v>#REF!</v>
      </c>
      <c r="DF46" s="4">
        <f t="shared" si="111"/>
        <v>2.0755210712749404E-5</v>
      </c>
      <c r="DG46" s="4">
        <f t="shared" si="112"/>
        <v>9.0324733825588019</v>
      </c>
      <c r="DI46" s="4">
        <f t="shared" si="149"/>
        <v>0</v>
      </c>
      <c r="DJ46" s="4">
        <f t="shared" si="150"/>
        <v>6.4517667018277161</v>
      </c>
      <c r="DK46" s="4">
        <f t="shared" si="115"/>
        <v>8.5873792483918443</v>
      </c>
      <c r="DL46" s="38" t="e">
        <f t="shared" si="116"/>
        <v>#REF!</v>
      </c>
      <c r="DM46" s="4" t="e">
        <f t="shared" si="151"/>
        <v>#REF!</v>
      </c>
      <c r="DO46" s="4">
        <f t="shared" si="152"/>
        <v>407.33948135174728</v>
      </c>
      <c r="DS46" s="4">
        <f t="shared" si="118"/>
        <v>0.85</v>
      </c>
      <c r="DT46" s="4">
        <f t="shared" si="119"/>
        <v>0.7</v>
      </c>
      <c r="DU46" s="4">
        <f t="shared" si="120"/>
        <v>0.73926932853865712</v>
      </c>
      <c r="DV46" s="4">
        <f t="shared" si="121"/>
        <v>0.7</v>
      </c>
      <c r="DX46" s="4" t="e">
        <f t="shared" si="122"/>
        <v>#REF!</v>
      </c>
      <c r="DY46" s="25">
        <f t="shared" si="123"/>
        <v>408.72292929303057</v>
      </c>
      <c r="EB46" s="4">
        <f t="shared" si="75"/>
        <v>9.0324733825588019</v>
      </c>
      <c r="EC46" s="4">
        <f t="shared" si="124"/>
        <v>8.5989146601959785</v>
      </c>
      <c r="EE46" s="4">
        <f t="shared" si="125"/>
        <v>77.858162529590359</v>
      </c>
      <c r="EF46" s="4">
        <f t="shared" si="126"/>
        <v>3.0652819893539514</v>
      </c>
      <c r="EG46" s="4">
        <f t="shared" si="127"/>
        <v>0.13651440651779981</v>
      </c>
      <c r="EJ46" s="4">
        <f t="shared" si="128"/>
        <v>0.13651440651779981</v>
      </c>
      <c r="EK46" s="4">
        <f t="shared" si="129"/>
        <v>0.42335391356529956</v>
      </c>
      <c r="EL46" s="4">
        <f t="shared" si="130"/>
        <v>6.4045426479058536</v>
      </c>
      <c r="EM46" s="4">
        <f t="shared" si="131"/>
        <v>7.8298647207808791</v>
      </c>
      <c r="EN46" s="4">
        <f t="shared" si="132"/>
        <v>136.45433747040965</v>
      </c>
      <c r="EO46" s="4">
        <f t="shared" si="133"/>
        <v>71.4375</v>
      </c>
      <c r="EP46" s="4">
        <f t="shared" si="134"/>
        <v>2.0755210712749404E-5</v>
      </c>
      <c r="EQ46" s="4">
        <f t="shared" si="135"/>
        <v>8.3333118005347053</v>
      </c>
      <c r="ER46" s="4" t="e">
        <f t="shared" si="136"/>
        <v>#REF!</v>
      </c>
      <c r="ES46" s="4" t="e">
        <f t="shared" si="137"/>
        <v>#REF!</v>
      </c>
      <c r="ET46" s="4" t="e">
        <f t="shared" si="138"/>
        <v>#REF!</v>
      </c>
      <c r="EV46" s="4" t="e">
        <f t="shared" si="139"/>
        <v>#REF!</v>
      </c>
      <c r="FA46" s="23"/>
      <c r="FB46" s="23"/>
      <c r="FC46" s="23"/>
      <c r="FD46" s="23"/>
      <c r="FE46" s="23"/>
      <c r="FF46" s="23"/>
      <c r="FG46" s="23"/>
      <c r="FH46" s="23"/>
      <c r="FR46" s="4">
        <f t="shared" si="140"/>
        <v>1</v>
      </c>
      <c r="FS46" s="4">
        <f t="shared" si="141"/>
        <v>0.68688155922038985</v>
      </c>
      <c r="FT46" s="4">
        <f t="shared" si="142"/>
        <v>0.3</v>
      </c>
      <c r="FU46" s="4">
        <f t="shared" si="143"/>
        <v>396.26942221324936</v>
      </c>
    </row>
    <row r="47" spans="2:178" ht="12" customHeight="1" x14ac:dyDescent="0.3">
      <c r="B47" s="24"/>
      <c r="C47" s="7" t="s">
        <v>106</v>
      </c>
      <c r="D47" s="28">
        <f t="shared" si="144"/>
        <v>517.5</v>
      </c>
      <c r="E47" s="7">
        <f t="shared" si="157"/>
        <v>285.75</v>
      </c>
      <c r="F47" s="7">
        <v>34.659999999999997</v>
      </c>
      <c r="G47" s="7">
        <v>25.4</v>
      </c>
      <c r="H47" s="7">
        <v>229</v>
      </c>
      <c r="I47" s="7">
        <f t="shared" si="77"/>
        <v>101.8</v>
      </c>
      <c r="J47" s="7">
        <v>305</v>
      </c>
      <c r="K47" s="7">
        <v>0</v>
      </c>
      <c r="L47" s="7">
        <v>1</v>
      </c>
      <c r="M47" s="7">
        <v>78.97</v>
      </c>
      <c r="N47" s="7">
        <f t="shared" si="78"/>
        <v>3.6090551181102364</v>
      </c>
      <c r="O47" s="28">
        <f t="shared" si="145"/>
        <v>3.6090551181102364</v>
      </c>
      <c r="P47" s="28">
        <f t="shared" si="79"/>
        <v>8.3959536742577185</v>
      </c>
      <c r="Q47" s="7">
        <f t="shared" si="80"/>
        <v>8.3959536742577185</v>
      </c>
      <c r="R47" s="7">
        <f t="shared" si="81"/>
        <v>9.3959536742577185</v>
      </c>
      <c r="S47" s="7">
        <f t="shared" si="82"/>
        <v>77.858162529590359</v>
      </c>
      <c r="T47" s="7"/>
      <c r="U47" s="7"/>
      <c r="V47" s="7">
        <f>261.45/(PI()/4*G47^2)*1000</f>
        <v>515.97817436141156</v>
      </c>
      <c r="W47" s="7"/>
      <c r="X47" s="7"/>
      <c r="Y47" s="7">
        <v>9.5</v>
      </c>
      <c r="Z47" s="7">
        <v>5</v>
      </c>
      <c r="AA47" s="7">
        <v>64</v>
      </c>
      <c r="AB47" s="7">
        <v>5</v>
      </c>
      <c r="AC47" s="7"/>
      <c r="AD47" s="7"/>
      <c r="AE47" s="4">
        <f t="shared" si="154"/>
        <v>285.75</v>
      </c>
      <c r="AF47" s="4">
        <f t="shared" si="83"/>
        <v>0.16213252530757466</v>
      </c>
      <c r="AG47" s="25">
        <f t="shared" si="84"/>
        <v>561.22411424012159</v>
      </c>
      <c r="AH47" s="4">
        <f t="shared" si="85"/>
        <v>0.7641609798775153</v>
      </c>
      <c r="AI47" s="4">
        <v>1.25</v>
      </c>
      <c r="AJ47" s="25">
        <f t="shared" si="146"/>
        <v>5</v>
      </c>
      <c r="AK47" s="38">
        <f t="shared" si="147"/>
        <v>434.58161081603589</v>
      </c>
      <c r="AL47" s="38">
        <f t="shared" si="148"/>
        <v>434.58161081603589</v>
      </c>
      <c r="AN47" s="38">
        <f t="shared" si="86"/>
        <v>434.58161081603555</v>
      </c>
      <c r="AO47" s="38">
        <f t="shared" si="87"/>
        <v>1.0000000000000009</v>
      </c>
      <c r="AR47" s="4" t="e">
        <f>#REF!/G47*F47^0.5/0.19</f>
        <v>#REF!</v>
      </c>
      <c r="AS47" s="4">
        <f t="shared" si="88"/>
        <v>1</v>
      </c>
      <c r="AT47" s="38">
        <f t="shared" si="89"/>
        <v>724.91499881675827</v>
      </c>
      <c r="AU47" s="4">
        <f t="shared" si="90"/>
        <v>0.3</v>
      </c>
      <c r="AV47" s="4" t="e">
        <f>AU47*D47*#REF!/(D47*G47/2.75/F47^0.5)</f>
        <v>#REF!</v>
      </c>
      <c r="AW47" s="4" t="e">
        <f t="shared" si="91"/>
        <v>#REF!</v>
      </c>
      <c r="AY47" s="36">
        <f t="shared" si="92"/>
        <v>2.2250000000000001</v>
      </c>
      <c r="AZ47" s="36" t="e">
        <f>(1.6*#REF!+22)*AY47*F47^0.5</f>
        <v>#REF!</v>
      </c>
      <c r="BE47" s="4">
        <f t="shared" si="93"/>
        <v>101.8</v>
      </c>
      <c r="BF47" s="4">
        <f t="shared" si="94"/>
        <v>78.97</v>
      </c>
      <c r="BG47" s="4">
        <f t="shared" si="95"/>
        <v>101.8</v>
      </c>
      <c r="BH47" s="4">
        <f t="shared" si="96"/>
        <v>91.67</v>
      </c>
      <c r="BI47" s="4">
        <f t="shared" si="97"/>
        <v>1.0289097125490694</v>
      </c>
      <c r="BJ47" s="25">
        <f t="shared" si="98"/>
        <v>4</v>
      </c>
      <c r="BL47" s="4">
        <f t="shared" si="99"/>
        <v>101.8</v>
      </c>
      <c r="BP47" s="9"/>
      <c r="BR47" s="9"/>
      <c r="BS47" s="9"/>
      <c r="BT47" s="9">
        <f t="shared" si="100"/>
        <v>101.8</v>
      </c>
      <c r="BU47" s="9">
        <f t="shared" si="101"/>
        <v>101.8</v>
      </c>
      <c r="BV47" s="9">
        <f t="shared" si="102"/>
        <v>2.001967536137395</v>
      </c>
      <c r="BW47" s="9">
        <v>20</v>
      </c>
      <c r="BX47" s="9">
        <f t="shared" si="103"/>
        <v>0.05</v>
      </c>
      <c r="BY47" s="9">
        <f t="shared" si="104"/>
        <v>0.8</v>
      </c>
      <c r="BZ47" s="9">
        <f t="shared" si="105"/>
        <v>0.99524931562137331</v>
      </c>
      <c r="CA47" s="9">
        <f t="shared" si="106"/>
        <v>0.97375</v>
      </c>
      <c r="CB47" s="9">
        <f t="shared" si="107"/>
        <v>1.9969246679255115</v>
      </c>
      <c r="CC47" s="9">
        <f t="shared" si="108"/>
        <v>4.9923116698137786</v>
      </c>
      <c r="CD47" s="9">
        <v>1</v>
      </c>
      <c r="CE47" s="9" t="e">
        <f>4*CC47*#REF!+60*CC47</f>
        <v>#REF!</v>
      </c>
      <c r="DB47" s="4">
        <f t="shared" si="109"/>
        <v>5</v>
      </c>
      <c r="DC47" s="4">
        <f t="shared" si="110"/>
        <v>285.75</v>
      </c>
      <c r="DD47" s="4" t="e">
        <f>#REF!/E47</f>
        <v>#REF!</v>
      </c>
      <c r="DF47" s="4">
        <f t="shared" si="111"/>
        <v>2.0755210712749404E-5</v>
      </c>
      <c r="DG47" s="4">
        <f t="shared" si="112"/>
        <v>9.0324733825588019</v>
      </c>
      <c r="DI47" s="4">
        <f t="shared" si="149"/>
        <v>0</v>
      </c>
      <c r="DJ47" s="4">
        <f t="shared" si="150"/>
        <v>6.4517667018277161</v>
      </c>
      <c r="DK47" s="4">
        <f t="shared" si="115"/>
        <v>8.5873792483918443</v>
      </c>
      <c r="DL47" s="38" t="e">
        <f t="shared" si="116"/>
        <v>#REF!</v>
      </c>
      <c r="DM47" s="4" t="e">
        <f t="shared" si="151"/>
        <v>#REF!</v>
      </c>
      <c r="DO47" s="4">
        <f t="shared" si="152"/>
        <v>434.58161081603555</v>
      </c>
      <c r="DS47" s="4">
        <f t="shared" si="118"/>
        <v>0.85</v>
      </c>
      <c r="DT47" s="4">
        <f t="shared" si="119"/>
        <v>0.7</v>
      </c>
      <c r="DU47" s="4">
        <f t="shared" si="120"/>
        <v>0.7</v>
      </c>
      <c r="DV47" s="4">
        <f t="shared" si="121"/>
        <v>0.7</v>
      </c>
      <c r="DX47" s="4" t="e">
        <f t="shared" si="122"/>
        <v>#REF!</v>
      </c>
      <c r="DY47" s="25">
        <f t="shared" si="123"/>
        <v>417.38710733509936</v>
      </c>
      <c r="EB47" s="4">
        <f t="shared" si="75"/>
        <v>9.0324733825588019</v>
      </c>
      <c r="EC47" s="4">
        <f t="shared" si="124"/>
        <v>8.5989146601959785</v>
      </c>
      <c r="EE47" s="4">
        <f t="shared" si="125"/>
        <v>77.858162529590359</v>
      </c>
      <c r="EF47" s="4">
        <f t="shared" si="126"/>
        <v>3.0652819893539514</v>
      </c>
      <c r="EG47" s="4">
        <f t="shared" si="127"/>
        <v>0.14564424368398154</v>
      </c>
      <c r="EJ47" s="4">
        <f t="shared" si="128"/>
        <v>0.14564424368398154</v>
      </c>
      <c r="EK47" s="4">
        <f t="shared" si="129"/>
        <v>0.45166705935781332</v>
      </c>
      <c r="EL47" s="4">
        <f t="shared" si="130"/>
        <v>6.5725524066777705</v>
      </c>
      <c r="EM47" s="4">
        <f t="shared" si="131"/>
        <v>7.8990954935645004</v>
      </c>
      <c r="EN47" s="4">
        <f t="shared" si="132"/>
        <v>136.45433747040965</v>
      </c>
      <c r="EO47" s="4">
        <f t="shared" si="133"/>
        <v>71.4375</v>
      </c>
      <c r="EP47" s="4">
        <f t="shared" si="134"/>
        <v>2.0755210712749404E-5</v>
      </c>
      <c r="EQ47" s="4">
        <f t="shared" si="135"/>
        <v>8.324976824069628</v>
      </c>
      <c r="ER47" s="4" t="e">
        <f t="shared" si="136"/>
        <v>#REF!</v>
      </c>
      <c r="ES47" s="4" t="e">
        <f t="shared" si="137"/>
        <v>#REF!</v>
      </c>
      <c r="ET47" s="4" t="e">
        <f t="shared" si="138"/>
        <v>#REF!</v>
      </c>
      <c r="EV47" s="4" t="e">
        <f t="shared" si="139"/>
        <v>#REF!</v>
      </c>
      <c r="FA47" s="23"/>
      <c r="FB47" s="23"/>
      <c r="FC47" s="23"/>
      <c r="FD47" s="23"/>
      <c r="FE47" s="23"/>
      <c r="FF47" s="23"/>
      <c r="FG47" s="23"/>
      <c r="FH47" s="23"/>
      <c r="FR47" s="4">
        <f t="shared" si="140"/>
        <v>1</v>
      </c>
      <c r="FS47" s="4">
        <f t="shared" si="141"/>
        <v>0.68688155922038985</v>
      </c>
      <c r="FT47" s="4">
        <f t="shared" si="142"/>
        <v>0.3</v>
      </c>
      <c r="FU47" s="4">
        <f t="shared" si="143"/>
        <v>396.26942221324936</v>
      </c>
    </row>
    <row r="48" spans="2:178" ht="12" customHeight="1" x14ac:dyDescent="0.3">
      <c r="B48" s="24"/>
      <c r="C48" s="31" t="s">
        <v>305</v>
      </c>
      <c r="D48" s="28">
        <f t="shared" si="144"/>
        <v>517.5</v>
      </c>
      <c r="E48" s="7">
        <f t="shared" si="157"/>
        <v>285.75</v>
      </c>
      <c r="F48" s="7">
        <v>34.659999999999997</v>
      </c>
      <c r="G48" s="7">
        <v>25.4</v>
      </c>
      <c r="H48" s="7">
        <v>229</v>
      </c>
      <c r="I48" s="7">
        <f t="shared" si="77"/>
        <v>101.8</v>
      </c>
      <c r="J48" s="7">
        <v>305</v>
      </c>
      <c r="K48" s="7">
        <v>0</v>
      </c>
      <c r="L48" s="7">
        <v>1</v>
      </c>
      <c r="M48" s="7">
        <v>78.790000000000006</v>
      </c>
      <c r="N48" s="7">
        <f t="shared" si="78"/>
        <v>3.6019685039370084</v>
      </c>
      <c r="O48" s="28">
        <f t="shared" si="145"/>
        <v>3.6019685039370084</v>
      </c>
      <c r="P48" s="28">
        <f t="shared" si="79"/>
        <v>8.3959536742577185</v>
      </c>
      <c r="Q48" s="7">
        <f t="shared" si="80"/>
        <v>8.3959536742577185</v>
      </c>
      <c r="R48" s="7">
        <f t="shared" si="81"/>
        <v>9.3959536742577185</v>
      </c>
      <c r="S48" s="7">
        <f t="shared" si="82"/>
        <v>77.858162529590359</v>
      </c>
      <c r="T48" s="7"/>
      <c r="U48" s="7"/>
      <c r="V48" s="7">
        <f>263.9/(PI()/4*G48^2)*1000</f>
        <v>520.81331120281709</v>
      </c>
      <c r="W48" s="7"/>
      <c r="X48" s="7"/>
      <c r="Y48" s="7">
        <v>9.5</v>
      </c>
      <c r="Z48" s="7">
        <v>5</v>
      </c>
      <c r="AA48" s="7">
        <v>64</v>
      </c>
      <c r="AB48" s="7">
        <v>5</v>
      </c>
      <c r="AC48" s="7"/>
      <c r="AD48" s="7"/>
      <c r="AE48" s="4">
        <f t="shared" si="154"/>
        <v>285.75</v>
      </c>
      <c r="AF48" s="4">
        <f t="shared" si="83"/>
        <v>0.16207643433119515</v>
      </c>
      <c r="AG48" s="25">
        <f t="shared" si="84"/>
        <v>561.22411424012159</v>
      </c>
      <c r="AH48" s="4">
        <f t="shared" si="85"/>
        <v>0.76403499562554678</v>
      </c>
      <c r="AI48" s="4">
        <v>1.25</v>
      </c>
      <c r="AJ48" s="25">
        <f t="shared" si="146"/>
        <v>5</v>
      </c>
      <c r="AK48" s="38">
        <f t="shared" si="147"/>
        <v>434.35964101816023</v>
      </c>
      <c r="AL48" s="38">
        <f t="shared" si="148"/>
        <v>434.35964101816023</v>
      </c>
      <c r="AN48" s="38">
        <f t="shared" si="86"/>
        <v>434.35964101816</v>
      </c>
      <c r="AO48" s="38">
        <f t="shared" si="87"/>
        <v>1.0000000000000004</v>
      </c>
      <c r="AR48" s="4" t="e">
        <f>#REF!/G48*F48^0.5/0.19</f>
        <v>#REF!</v>
      </c>
      <c r="AS48" s="4">
        <f t="shared" si="88"/>
        <v>1</v>
      </c>
      <c r="AT48" s="38">
        <f t="shared" si="89"/>
        <v>723.49158112517978</v>
      </c>
      <c r="AU48" s="4">
        <f t="shared" si="90"/>
        <v>0.3</v>
      </c>
      <c r="AV48" s="4" t="e">
        <f>AU48*D48*#REF!/(D48*G48/2.75/F48^0.5)</f>
        <v>#REF!</v>
      </c>
      <c r="AW48" s="4" t="e">
        <f t="shared" si="91"/>
        <v>#REF!</v>
      </c>
      <c r="AY48" s="36">
        <f t="shared" si="92"/>
        <v>2.2250000000000001</v>
      </c>
      <c r="AZ48" s="36" t="e">
        <f>(1.6*#REF!+22)*AY48*F48^0.5</f>
        <v>#REF!</v>
      </c>
      <c r="BE48" s="4">
        <f t="shared" si="93"/>
        <v>101.8</v>
      </c>
      <c r="BF48" s="4">
        <f t="shared" si="94"/>
        <v>78.790000000000006</v>
      </c>
      <c r="BG48" s="4">
        <f t="shared" si="95"/>
        <v>101.8</v>
      </c>
      <c r="BH48" s="4">
        <f t="shared" si="96"/>
        <v>91.490000000000009</v>
      </c>
      <c r="BI48" s="4">
        <f t="shared" si="97"/>
        <v>1.0292042137327071</v>
      </c>
      <c r="BJ48" s="25">
        <f t="shared" si="98"/>
        <v>4</v>
      </c>
      <c r="BL48" s="4">
        <f t="shared" si="99"/>
        <v>101.8</v>
      </c>
      <c r="BP48" s="9"/>
      <c r="BR48" s="9"/>
      <c r="BS48" s="9"/>
      <c r="BT48" s="9">
        <f t="shared" si="100"/>
        <v>101.8</v>
      </c>
      <c r="BU48" s="9">
        <f t="shared" si="101"/>
        <v>101.8</v>
      </c>
      <c r="BV48" s="9">
        <f t="shared" si="102"/>
        <v>2.001967536137395</v>
      </c>
      <c r="BW48" s="9">
        <v>20</v>
      </c>
      <c r="BX48" s="9">
        <f t="shared" si="103"/>
        <v>0.05</v>
      </c>
      <c r="BY48" s="9">
        <f t="shared" si="104"/>
        <v>0.8</v>
      </c>
      <c r="BZ48" s="9">
        <f t="shared" si="105"/>
        <v>0.99524931562137331</v>
      </c>
      <c r="CA48" s="9">
        <f t="shared" si="106"/>
        <v>0.97375</v>
      </c>
      <c r="CB48" s="9">
        <f t="shared" si="107"/>
        <v>1.9969246679255115</v>
      </c>
      <c r="CC48" s="9">
        <f t="shared" si="108"/>
        <v>4.9923116698137786</v>
      </c>
      <c r="CD48" s="9">
        <v>1</v>
      </c>
      <c r="CE48" s="9" t="e">
        <f>4*CC48*#REF!+60*CC48</f>
        <v>#REF!</v>
      </c>
      <c r="DB48" s="4">
        <f t="shared" si="109"/>
        <v>5</v>
      </c>
      <c r="DC48" s="4">
        <f t="shared" si="110"/>
        <v>285.75</v>
      </c>
      <c r="DD48" s="4" t="e">
        <f>#REF!/E48</f>
        <v>#REF!</v>
      </c>
      <c r="DF48" s="4">
        <f t="shared" si="111"/>
        <v>2.0755210712749404E-5</v>
      </c>
      <c r="DG48" s="4">
        <f t="shared" si="112"/>
        <v>9.0324733825588019</v>
      </c>
      <c r="DI48" s="4">
        <f t="shared" si="149"/>
        <v>0</v>
      </c>
      <c r="DJ48" s="4">
        <f t="shared" si="150"/>
        <v>6.4517667018277161</v>
      </c>
      <c r="DK48" s="4">
        <f t="shared" si="115"/>
        <v>8.5873792483918443</v>
      </c>
      <c r="DL48" s="38" t="e">
        <f t="shared" si="116"/>
        <v>#REF!</v>
      </c>
      <c r="DM48" s="4" t="e">
        <f t="shared" si="151"/>
        <v>#REF!</v>
      </c>
      <c r="DO48" s="4">
        <f t="shared" si="152"/>
        <v>434.35964101816</v>
      </c>
      <c r="DS48" s="4">
        <f t="shared" si="118"/>
        <v>0.85</v>
      </c>
      <c r="DT48" s="4">
        <f t="shared" si="119"/>
        <v>0.7</v>
      </c>
      <c r="DU48" s="4">
        <f t="shared" si="120"/>
        <v>0.7</v>
      </c>
      <c r="DV48" s="4">
        <f t="shared" si="121"/>
        <v>0.7</v>
      </c>
      <c r="DX48" s="4" t="e">
        <f t="shared" si="122"/>
        <v>#REF!</v>
      </c>
      <c r="DY48" s="25">
        <f t="shared" si="123"/>
        <v>417.31748447583271</v>
      </c>
      <c r="EB48" s="4">
        <f t="shared" si="75"/>
        <v>9.0324733825588019</v>
      </c>
      <c r="EC48" s="4">
        <f t="shared" si="124"/>
        <v>8.5989146601959785</v>
      </c>
      <c r="EE48" s="4">
        <f t="shared" si="125"/>
        <v>77.858162529590359</v>
      </c>
      <c r="EF48" s="4">
        <f t="shared" si="126"/>
        <v>3.0652819893539514</v>
      </c>
      <c r="EG48" s="4">
        <f t="shared" si="127"/>
        <v>0.14556985346007961</v>
      </c>
      <c r="EJ48" s="4">
        <f t="shared" si="128"/>
        <v>0.14556985346007961</v>
      </c>
      <c r="EK48" s="4">
        <f t="shared" si="129"/>
        <v>0.45143636288245065</v>
      </c>
      <c r="EL48" s="4">
        <f t="shared" si="130"/>
        <v>6.5712093846056652</v>
      </c>
      <c r="EM48" s="4">
        <f t="shared" si="131"/>
        <v>7.8985373382272543</v>
      </c>
      <c r="EN48" s="4">
        <f t="shared" si="132"/>
        <v>136.45433747040965</v>
      </c>
      <c r="EO48" s="4">
        <f t="shared" si="133"/>
        <v>71.4375</v>
      </c>
      <c r="EP48" s="4">
        <f t="shared" si="134"/>
        <v>2.0755210712749404E-5</v>
      </c>
      <c r="EQ48" s="4">
        <f t="shared" si="135"/>
        <v>8.3250436910150292</v>
      </c>
      <c r="ER48" s="4" t="e">
        <f t="shared" si="136"/>
        <v>#REF!</v>
      </c>
      <c r="ES48" s="4" t="e">
        <f t="shared" si="137"/>
        <v>#REF!</v>
      </c>
      <c r="ET48" s="4" t="e">
        <f t="shared" si="138"/>
        <v>#REF!</v>
      </c>
      <c r="EV48" s="4" t="e">
        <f t="shared" si="139"/>
        <v>#REF!</v>
      </c>
      <c r="FA48" s="23"/>
      <c r="FB48" s="23"/>
      <c r="FC48" s="23"/>
      <c r="FD48" s="23"/>
      <c r="FE48" s="23"/>
      <c r="FF48" s="23"/>
      <c r="FG48" s="23"/>
      <c r="FH48" s="23"/>
      <c r="FR48" s="4">
        <f t="shared" si="140"/>
        <v>1</v>
      </c>
      <c r="FS48" s="4">
        <f t="shared" si="141"/>
        <v>0.68688155922038985</v>
      </c>
      <c r="FT48" s="4">
        <f t="shared" si="142"/>
        <v>0.3</v>
      </c>
      <c r="FU48" s="4">
        <f t="shared" si="143"/>
        <v>396.26942221324936</v>
      </c>
    </row>
    <row r="49" spans="1:177" ht="12" customHeight="1" x14ac:dyDescent="0.3">
      <c r="B49" s="24"/>
      <c r="C49" s="7" t="s">
        <v>107</v>
      </c>
      <c r="D49" s="28">
        <f t="shared" si="144"/>
        <v>517.5</v>
      </c>
      <c r="E49" s="7">
        <f t="shared" si="157"/>
        <v>285.75</v>
      </c>
      <c r="F49" s="7">
        <v>34.659999999999997</v>
      </c>
      <c r="G49" s="7">
        <v>25.4</v>
      </c>
      <c r="H49" s="7">
        <v>229</v>
      </c>
      <c r="I49" s="7">
        <f t="shared" si="77"/>
        <v>101.8</v>
      </c>
      <c r="J49" s="7">
        <v>305</v>
      </c>
      <c r="K49" s="7">
        <v>0</v>
      </c>
      <c r="L49" s="7">
        <v>1</v>
      </c>
      <c r="M49" s="7">
        <v>79.319999999999993</v>
      </c>
      <c r="N49" s="7">
        <f t="shared" si="78"/>
        <v>3.6228346456692915</v>
      </c>
      <c r="O49" s="28">
        <f t="shared" si="145"/>
        <v>3.6228346456692915</v>
      </c>
      <c r="P49" s="28">
        <f t="shared" si="79"/>
        <v>8.3959536742577185</v>
      </c>
      <c r="Q49" s="7">
        <f t="shared" si="80"/>
        <v>8.3959536742577185</v>
      </c>
      <c r="R49" s="7">
        <f t="shared" si="81"/>
        <v>9.3959536742577185</v>
      </c>
      <c r="S49" s="7">
        <f t="shared" si="82"/>
        <v>77.858162529590359</v>
      </c>
      <c r="T49" s="7"/>
      <c r="U49" s="7"/>
      <c r="V49" s="7">
        <f>267.24/(PI()/4*G49^2)*1000</f>
        <v>527.40488550905957</v>
      </c>
      <c r="W49" s="7"/>
      <c r="X49" s="7"/>
      <c r="Y49" s="7">
        <v>9.5</v>
      </c>
      <c r="Z49" s="7">
        <v>5</v>
      </c>
      <c r="AA49" s="7">
        <v>64</v>
      </c>
      <c r="AB49" s="7">
        <v>5</v>
      </c>
      <c r="AC49" s="7"/>
      <c r="AD49" s="7"/>
      <c r="AE49" s="4">
        <f t="shared" si="154"/>
        <v>285.75</v>
      </c>
      <c r="AF49" s="4">
        <f t="shared" si="83"/>
        <v>0.16224159109497918</v>
      </c>
      <c r="AG49" s="25">
        <f t="shared" si="84"/>
        <v>561.22411424012159</v>
      </c>
      <c r="AH49" s="4">
        <f t="shared" si="85"/>
        <v>0.76440594925634286</v>
      </c>
      <c r="AI49" s="4">
        <v>1.25</v>
      </c>
      <c r="AJ49" s="25">
        <f t="shared" si="146"/>
        <v>5</v>
      </c>
      <c r="AK49" s="38">
        <f t="shared" si="147"/>
        <v>435.01336067010908</v>
      </c>
      <c r="AL49" s="38">
        <f t="shared" si="148"/>
        <v>435.01336067010908</v>
      </c>
      <c r="AN49" s="38">
        <f t="shared" si="86"/>
        <v>435.01336067010885</v>
      </c>
      <c r="AO49" s="38">
        <f t="shared" si="87"/>
        <v>1.0000000000000004</v>
      </c>
      <c r="AR49" s="4" t="e">
        <f>#REF!/G49*F49^0.5/0.19</f>
        <v>#REF!</v>
      </c>
      <c r="AS49" s="4">
        <f t="shared" si="88"/>
        <v>1</v>
      </c>
      <c r="AT49" s="38">
        <f t="shared" si="89"/>
        <v>727.68275543927234</v>
      </c>
      <c r="AU49" s="4">
        <f t="shared" si="90"/>
        <v>0.3</v>
      </c>
      <c r="AV49" s="4" t="e">
        <f>AU49*D49*#REF!/(D49*G49/2.75/F49^0.5)</f>
        <v>#REF!</v>
      </c>
      <c r="AW49" s="4" t="e">
        <f t="shared" si="91"/>
        <v>#REF!</v>
      </c>
      <c r="AY49" s="36">
        <f t="shared" si="92"/>
        <v>2.2250000000000001</v>
      </c>
      <c r="AZ49" s="36" t="e">
        <f>(1.6*#REF!+22)*AY49*F49^0.5</f>
        <v>#REF!</v>
      </c>
      <c r="BE49" s="4">
        <f t="shared" si="93"/>
        <v>101.8</v>
      </c>
      <c r="BF49" s="4">
        <f t="shared" si="94"/>
        <v>79.319999999999993</v>
      </c>
      <c r="BG49" s="4">
        <f t="shared" si="95"/>
        <v>101.8</v>
      </c>
      <c r="BH49" s="4">
        <f t="shared" si="96"/>
        <v>92.02</v>
      </c>
      <c r="BI49" s="4">
        <f t="shared" si="97"/>
        <v>1.0283408976298538</v>
      </c>
      <c r="BJ49" s="25">
        <f t="shared" si="98"/>
        <v>4</v>
      </c>
      <c r="BL49" s="4">
        <f t="shared" si="99"/>
        <v>101.8</v>
      </c>
      <c r="BP49" s="9"/>
      <c r="BR49" s="9"/>
      <c r="BS49" s="9"/>
      <c r="BT49" s="9">
        <f t="shared" si="100"/>
        <v>101.8</v>
      </c>
      <c r="BU49" s="9">
        <f t="shared" si="101"/>
        <v>101.8</v>
      </c>
      <c r="BV49" s="9">
        <f t="shared" si="102"/>
        <v>2.001967536137395</v>
      </c>
      <c r="BW49" s="9">
        <v>20</v>
      </c>
      <c r="BX49" s="9">
        <f t="shared" si="103"/>
        <v>0.05</v>
      </c>
      <c r="BY49" s="9">
        <f t="shared" si="104"/>
        <v>0.8</v>
      </c>
      <c r="BZ49" s="9">
        <f t="shared" si="105"/>
        <v>0.99524931562137331</v>
      </c>
      <c r="CA49" s="9">
        <f t="shared" si="106"/>
        <v>0.97375</v>
      </c>
      <c r="CB49" s="9">
        <f t="shared" si="107"/>
        <v>1.9969246679255115</v>
      </c>
      <c r="CC49" s="9">
        <f t="shared" si="108"/>
        <v>4.9923116698137786</v>
      </c>
      <c r="CD49" s="9">
        <v>1</v>
      </c>
      <c r="CE49" s="9" t="e">
        <f>4*CC49*#REF!+60*CC49</f>
        <v>#REF!</v>
      </c>
      <c r="DB49" s="4">
        <f t="shared" si="109"/>
        <v>5</v>
      </c>
      <c r="DC49" s="4">
        <f t="shared" si="110"/>
        <v>285.75</v>
      </c>
      <c r="DD49" s="4" t="e">
        <f>#REF!/E49</f>
        <v>#REF!</v>
      </c>
      <c r="DF49" s="4">
        <f t="shared" si="111"/>
        <v>2.0755210712749404E-5</v>
      </c>
      <c r="DG49" s="4">
        <f t="shared" si="112"/>
        <v>9.0324733825588019</v>
      </c>
      <c r="DI49" s="4">
        <f t="shared" si="149"/>
        <v>0</v>
      </c>
      <c r="DJ49" s="4">
        <f t="shared" si="150"/>
        <v>6.4517667018277161</v>
      </c>
      <c r="DK49" s="4">
        <f t="shared" si="115"/>
        <v>8.5873792483918443</v>
      </c>
      <c r="DL49" s="38" t="e">
        <f t="shared" si="116"/>
        <v>#REF!</v>
      </c>
      <c r="DM49" s="4" t="e">
        <f t="shared" si="151"/>
        <v>#REF!</v>
      </c>
      <c r="DO49" s="4">
        <f t="shared" si="152"/>
        <v>435.01336067010885</v>
      </c>
      <c r="DS49" s="4">
        <f t="shared" si="118"/>
        <v>0.85</v>
      </c>
      <c r="DT49" s="4">
        <f t="shared" si="119"/>
        <v>0.7</v>
      </c>
      <c r="DU49" s="4">
        <f t="shared" si="120"/>
        <v>0.7</v>
      </c>
      <c r="DV49" s="4">
        <f t="shared" si="121"/>
        <v>0.7</v>
      </c>
      <c r="DX49" s="4" t="e">
        <f t="shared" si="122"/>
        <v>#REF!</v>
      </c>
      <c r="DY49" s="25">
        <f t="shared" si="123"/>
        <v>417.52248511700668</v>
      </c>
      <c r="EB49" s="4">
        <f t="shared" si="75"/>
        <v>9.0324733825588019</v>
      </c>
      <c r="EC49" s="4">
        <f t="shared" si="124"/>
        <v>8.5989146601959785</v>
      </c>
      <c r="EE49" s="4">
        <f t="shared" si="125"/>
        <v>77.858162529590359</v>
      </c>
      <c r="EF49" s="4">
        <f t="shared" si="126"/>
        <v>3.0652819893539514</v>
      </c>
      <c r="EG49" s="4">
        <f t="shared" si="127"/>
        <v>0.14578893890207673</v>
      </c>
      <c r="EJ49" s="4">
        <f t="shared" si="128"/>
        <v>0.14578893890207673</v>
      </c>
      <c r="EK49" s="4">
        <f t="shared" si="129"/>
        <v>0.45211578333074282</v>
      </c>
      <c r="EL49" s="4">
        <f t="shared" si="130"/>
        <v>6.5751635187518467</v>
      </c>
      <c r="EM49" s="4">
        <f t="shared" si="131"/>
        <v>7.9001808794428525</v>
      </c>
      <c r="EN49" s="4">
        <f t="shared" si="132"/>
        <v>136.45433747040965</v>
      </c>
      <c r="EO49" s="4">
        <f t="shared" si="133"/>
        <v>71.4375</v>
      </c>
      <c r="EP49" s="4">
        <f t="shared" si="134"/>
        <v>2.0755210712749404E-5</v>
      </c>
      <c r="EQ49" s="4">
        <f t="shared" si="135"/>
        <v>8.3248468099870543</v>
      </c>
      <c r="ER49" s="4" t="e">
        <f t="shared" si="136"/>
        <v>#REF!</v>
      </c>
      <c r="ES49" s="4" t="e">
        <f t="shared" si="137"/>
        <v>#REF!</v>
      </c>
      <c r="ET49" s="4" t="e">
        <f t="shared" si="138"/>
        <v>#REF!</v>
      </c>
      <c r="EV49" s="4" t="e">
        <f t="shared" si="139"/>
        <v>#REF!</v>
      </c>
      <c r="FA49" s="23"/>
      <c r="FB49" s="23"/>
      <c r="FC49" s="23"/>
      <c r="FD49" s="23"/>
      <c r="FE49" s="23"/>
      <c r="FF49" s="23"/>
      <c r="FG49" s="23"/>
      <c r="FH49" s="23"/>
      <c r="FR49" s="4">
        <f t="shared" si="140"/>
        <v>1</v>
      </c>
      <c r="FS49" s="4">
        <f t="shared" si="141"/>
        <v>0.68688155922038985</v>
      </c>
      <c r="FT49" s="4">
        <f t="shared" si="142"/>
        <v>0.3</v>
      </c>
      <c r="FU49" s="4">
        <f t="shared" si="143"/>
        <v>396.26942221324936</v>
      </c>
    </row>
    <row r="50" spans="1:177" ht="12" customHeight="1" x14ac:dyDescent="0.3">
      <c r="B50" s="24"/>
      <c r="C50" s="31" t="s">
        <v>306</v>
      </c>
      <c r="D50" s="28">
        <f t="shared" si="144"/>
        <v>517.5</v>
      </c>
      <c r="E50" s="7">
        <f t="shared" si="157"/>
        <v>285.75</v>
      </c>
      <c r="F50" s="7">
        <v>34.659999999999997</v>
      </c>
      <c r="G50" s="7">
        <v>25.4</v>
      </c>
      <c r="H50" s="7">
        <v>229</v>
      </c>
      <c r="I50" s="7">
        <f t="shared" si="77"/>
        <v>101.8</v>
      </c>
      <c r="J50" s="7">
        <v>305</v>
      </c>
      <c r="K50" s="7">
        <v>0</v>
      </c>
      <c r="L50" s="7">
        <v>1</v>
      </c>
      <c r="M50" s="7">
        <v>49.56</v>
      </c>
      <c r="N50" s="7">
        <f t="shared" si="78"/>
        <v>2.451181102362205</v>
      </c>
      <c r="O50" s="28">
        <f t="shared" si="145"/>
        <v>2.451181102362205</v>
      </c>
      <c r="P50" s="28">
        <f t="shared" si="79"/>
        <v>8.3959536742577185</v>
      </c>
      <c r="Q50" s="7">
        <f t="shared" si="80"/>
        <v>8.3959536742577185</v>
      </c>
      <c r="R50" s="7">
        <f t="shared" si="81"/>
        <v>9.3959536742577185</v>
      </c>
      <c r="S50" s="7">
        <f t="shared" si="82"/>
        <v>77.858162529590359</v>
      </c>
      <c r="T50" s="7"/>
      <c r="U50" s="7"/>
      <c r="V50" s="7">
        <f>248.64/(PI()/4*G50^2)*1000</f>
        <v>490.69731601920591</v>
      </c>
      <c r="W50" s="7"/>
      <c r="X50" s="7"/>
      <c r="Y50" s="7">
        <v>9.5</v>
      </c>
      <c r="Z50" s="7">
        <v>5</v>
      </c>
      <c r="AA50" s="7">
        <v>64</v>
      </c>
      <c r="AB50" s="7">
        <v>5</v>
      </c>
      <c r="AC50" s="7"/>
      <c r="AD50" s="7"/>
      <c r="AE50" s="4">
        <f t="shared" si="154"/>
        <v>285.75</v>
      </c>
      <c r="AF50" s="4">
        <f t="shared" si="83"/>
        <v>0.15296788300023786</v>
      </c>
      <c r="AG50" s="25">
        <f t="shared" si="84"/>
        <v>561.22411424012159</v>
      </c>
      <c r="AH50" s="4">
        <f t="shared" si="85"/>
        <v>0.74357655293088354</v>
      </c>
      <c r="AI50" s="4">
        <v>1.25</v>
      </c>
      <c r="AJ50" s="25">
        <f t="shared" si="146"/>
        <v>5</v>
      </c>
      <c r="AK50" s="38">
        <f t="shared" si="147"/>
        <v>398.97187672270633</v>
      </c>
      <c r="AL50" s="38">
        <f t="shared" si="148"/>
        <v>398.97187672270633</v>
      </c>
      <c r="AN50" s="38">
        <f t="shared" si="86"/>
        <v>398.97187672270616</v>
      </c>
      <c r="AO50" s="38">
        <f t="shared" si="87"/>
        <v>1.0000000000000004</v>
      </c>
      <c r="AR50" s="4" t="e">
        <f>#REF!/G50*F50^0.5/0.19</f>
        <v>#REF!</v>
      </c>
      <c r="AS50" s="4">
        <f t="shared" si="88"/>
        <v>1</v>
      </c>
      <c r="AT50" s="38">
        <f t="shared" si="89"/>
        <v>492.34436376493267</v>
      </c>
      <c r="AU50" s="4">
        <f t="shared" si="90"/>
        <v>0.3</v>
      </c>
      <c r="AV50" s="4" t="e">
        <f>AU50*D50*#REF!/(D50*G50/2.75/F50^0.5)</f>
        <v>#REF!</v>
      </c>
      <c r="AW50" s="4" t="e">
        <f t="shared" si="91"/>
        <v>#REF!</v>
      </c>
      <c r="AY50" s="36">
        <f t="shared" si="92"/>
        <v>2.2201181102362204</v>
      </c>
      <c r="AZ50" s="36" t="e">
        <f>(1.6*#REF!+22)*AY50*F50^0.5</f>
        <v>#REF!</v>
      </c>
      <c r="BE50" s="4">
        <f t="shared" si="93"/>
        <v>101.8</v>
      </c>
      <c r="BF50" s="4">
        <f t="shared" si="94"/>
        <v>49.56</v>
      </c>
      <c r="BG50" s="4">
        <f t="shared" si="95"/>
        <v>101.8</v>
      </c>
      <c r="BH50" s="4">
        <f t="shared" si="96"/>
        <v>62.260000000000005</v>
      </c>
      <c r="BI50" s="4">
        <f t="shared" si="97"/>
        <v>1.1054075867635189</v>
      </c>
      <c r="BJ50" s="25">
        <f t="shared" si="98"/>
        <v>4</v>
      </c>
      <c r="BL50" s="4">
        <f t="shared" si="99"/>
        <v>101.8</v>
      </c>
      <c r="BP50" s="9"/>
      <c r="BR50" s="9"/>
      <c r="BS50" s="9"/>
      <c r="BT50" s="9">
        <f t="shared" si="100"/>
        <v>101.8</v>
      </c>
      <c r="BU50" s="9">
        <f t="shared" si="101"/>
        <v>101.8</v>
      </c>
      <c r="BV50" s="9">
        <f t="shared" si="102"/>
        <v>2.001967536137395</v>
      </c>
      <c r="BW50" s="9">
        <v>20</v>
      </c>
      <c r="BX50" s="9">
        <f t="shared" si="103"/>
        <v>0.05</v>
      </c>
      <c r="BY50" s="9">
        <f t="shared" si="104"/>
        <v>0.8</v>
      </c>
      <c r="BZ50" s="9">
        <f t="shared" si="105"/>
        <v>0.99524931562137331</v>
      </c>
      <c r="CA50" s="9">
        <f t="shared" si="106"/>
        <v>0.97375</v>
      </c>
      <c r="CB50" s="9">
        <f t="shared" si="107"/>
        <v>1.9969246679255115</v>
      </c>
      <c r="CC50" s="9">
        <f t="shared" si="108"/>
        <v>4.9923116698137786</v>
      </c>
      <c r="CD50" s="9">
        <v>1</v>
      </c>
      <c r="CE50" s="9" t="e">
        <f>4*CC50*#REF!+60*CC50</f>
        <v>#REF!</v>
      </c>
      <c r="DB50" s="4">
        <f t="shared" si="109"/>
        <v>5</v>
      </c>
      <c r="DC50" s="4">
        <f t="shared" si="110"/>
        <v>285.75</v>
      </c>
      <c r="DD50" s="4" t="e">
        <f>#REF!/E50</f>
        <v>#REF!</v>
      </c>
      <c r="DF50" s="4">
        <f t="shared" si="111"/>
        <v>2.0755210712749404E-5</v>
      </c>
      <c r="DG50" s="4">
        <f t="shared" si="112"/>
        <v>9.0324733825588019</v>
      </c>
      <c r="DI50" s="4">
        <f t="shared" si="149"/>
        <v>0</v>
      </c>
      <c r="DJ50" s="4">
        <f t="shared" si="150"/>
        <v>6.4517667018277161</v>
      </c>
      <c r="DK50" s="4">
        <f t="shared" si="115"/>
        <v>8.5873792483918443</v>
      </c>
      <c r="DL50" s="38" t="e">
        <f t="shared" si="116"/>
        <v>#REF!</v>
      </c>
      <c r="DM50" s="4" t="e">
        <f t="shared" si="151"/>
        <v>#REF!</v>
      </c>
      <c r="DO50" s="4">
        <f t="shared" si="152"/>
        <v>398.97187672270616</v>
      </c>
      <c r="DS50" s="4">
        <f t="shared" si="118"/>
        <v>0.85</v>
      </c>
      <c r="DT50" s="4">
        <f t="shared" si="119"/>
        <v>0.7</v>
      </c>
      <c r="DU50" s="4">
        <f t="shared" si="120"/>
        <v>0.7</v>
      </c>
      <c r="DV50" s="4">
        <f t="shared" si="121"/>
        <v>0.7</v>
      </c>
      <c r="DX50" s="4" t="e">
        <f t="shared" si="122"/>
        <v>#REF!</v>
      </c>
      <c r="DY50" s="25">
        <f t="shared" si="123"/>
        <v>406.01150571825815</v>
      </c>
      <c r="EB50" s="4">
        <f t="shared" si="75"/>
        <v>9.0324733825588019</v>
      </c>
      <c r="EC50" s="4">
        <f t="shared" si="124"/>
        <v>8.5989146601959785</v>
      </c>
      <c r="EE50" s="4">
        <f t="shared" si="125"/>
        <v>77.858162529590359</v>
      </c>
      <c r="EF50" s="4">
        <f t="shared" si="126"/>
        <v>3.0652819893539514</v>
      </c>
      <c r="EG50" s="4">
        <f t="shared" si="127"/>
        <v>0.1337101151780101</v>
      </c>
      <c r="EJ50" s="4">
        <f t="shared" si="128"/>
        <v>0.1337101151780101</v>
      </c>
      <c r="EK50" s="4">
        <f t="shared" si="129"/>
        <v>0.4146573390149611</v>
      </c>
      <c r="EL50" s="4">
        <f t="shared" si="130"/>
        <v>6.3515896592037286</v>
      </c>
      <c r="EM50" s="4">
        <f t="shared" si="131"/>
        <v>7.8082958220823215</v>
      </c>
      <c r="EN50" s="4">
        <f t="shared" si="132"/>
        <v>136.45433747040965</v>
      </c>
      <c r="EO50" s="4">
        <f t="shared" si="133"/>
        <v>71.4375</v>
      </c>
      <c r="EP50" s="4">
        <f t="shared" si="134"/>
        <v>2.0755210712749404E-5</v>
      </c>
      <c r="EQ50" s="4">
        <f t="shared" si="135"/>
        <v>8.3359261239969022</v>
      </c>
      <c r="ER50" s="4" t="e">
        <f t="shared" si="136"/>
        <v>#REF!</v>
      </c>
      <c r="ES50" s="4" t="e">
        <f t="shared" si="137"/>
        <v>#REF!</v>
      </c>
      <c r="ET50" s="4" t="e">
        <f t="shared" si="138"/>
        <v>#REF!</v>
      </c>
      <c r="EV50" s="4" t="e">
        <f t="shared" si="139"/>
        <v>#REF!</v>
      </c>
      <c r="FA50" s="23"/>
      <c r="FB50" s="23"/>
      <c r="FC50" s="23"/>
      <c r="FD50" s="23"/>
      <c r="FE50" s="23"/>
      <c r="FF50" s="23"/>
      <c r="FG50" s="23"/>
      <c r="FH50" s="23"/>
      <c r="FR50" s="4">
        <f t="shared" si="140"/>
        <v>1</v>
      </c>
      <c r="FS50" s="4">
        <f t="shared" si="141"/>
        <v>0.68688155922038985</v>
      </c>
      <c r="FT50" s="4">
        <f t="shared" si="142"/>
        <v>0.3</v>
      </c>
      <c r="FU50" s="4">
        <f t="shared" si="143"/>
        <v>396.26942221324936</v>
      </c>
    </row>
    <row r="51" spans="1:177" ht="12" customHeight="1" x14ac:dyDescent="0.3">
      <c r="B51" s="24"/>
      <c r="C51" s="7" t="s">
        <v>108</v>
      </c>
      <c r="D51" s="28">
        <f t="shared" si="144"/>
        <v>517.5</v>
      </c>
      <c r="E51" s="7">
        <f t="shared" si="157"/>
        <v>285.75</v>
      </c>
      <c r="F51" s="7">
        <v>34.659999999999997</v>
      </c>
      <c r="G51" s="7">
        <v>25.4</v>
      </c>
      <c r="H51" s="7">
        <v>229</v>
      </c>
      <c r="I51" s="7">
        <f t="shared" si="77"/>
        <v>101.8</v>
      </c>
      <c r="J51" s="7">
        <v>305</v>
      </c>
      <c r="K51" s="7">
        <v>0</v>
      </c>
      <c r="L51" s="7">
        <v>1</v>
      </c>
      <c r="M51" s="7">
        <v>55.37</v>
      </c>
      <c r="N51" s="7">
        <f t="shared" si="78"/>
        <v>2.6799212598425197</v>
      </c>
      <c r="O51" s="28">
        <f t="shared" si="145"/>
        <v>2.6799212598425197</v>
      </c>
      <c r="P51" s="28">
        <f t="shared" si="79"/>
        <v>8.3959536742577185</v>
      </c>
      <c r="Q51" s="7">
        <f t="shared" si="80"/>
        <v>8.3959536742577185</v>
      </c>
      <c r="R51" s="7">
        <f t="shared" si="81"/>
        <v>9.3959536742577185</v>
      </c>
      <c r="S51" s="7">
        <f t="shared" si="82"/>
        <v>77.858162529590359</v>
      </c>
      <c r="T51" s="7"/>
      <c r="U51" s="7"/>
      <c r="V51" s="7">
        <f>254.51/(PI()/4*G51^2)*1000</f>
        <v>502.28190918616514</v>
      </c>
      <c r="W51" s="7"/>
      <c r="X51" s="7"/>
      <c r="Y51" s="7">
        <v>9.5</v>
      </c>
      <c r="Z51" s="7">
        <v>5</v>
      </c>
      <c r="AA51" s="7">
        <v>64</v>
      </c>
      <c r="AB51" s="7">
        <v>5</v>
      </c>
      <c r="AC51" s="7"/>
      <c r="AD51" s="7"/>
      <c r="AE51" s="4">
        <f t="shared" si="154"/>
        <v>285.75</v>
      </c>
      <c r="AF51" s="4">
        <f t="shared" si="83"/>
        <v>0.15477837507115344</v>
      </c>
      <c r="AG51" s="25">
        <f t="shared" si="84"/>
        <v>561.22411424012159</v>
      </c>
      <c r="AH51" s="4">
        <f t="shared" si="85"/>
        <v>0.74764304461942255</v>
      </c>
      <c r="AI51" s="4">
        <v>1.25</v>
      </c>
      <c r="AJ51" s="25">
        <f t="shared" si="146"/>
        <v>5</v>
      </c>
      <c r="AK51" s="38">
        <f t="shared" si="147"/>
        <v>405.90174731467357</v>
      </c>
      <c r="AL51" s="38">
        <f t="shared" si="148"/>
        <v>405.90174731467357</v>
      </c>
      <c r="AN51" s="38">
        <f t="shared" ref="AN51:AN94" si="158">AJ51* (F51^0.5/AE51^0.5)/(PI()/4*G51^2)/L51/0.72 *(0.7+(MIN(I51,M51)+0.5*G51)/5/E51) *(H51*MIN(M51+0.5*G51+1.5*E51,508))</f>
        <v>405.90174731467334</v>
      </c>
      <c r="AO51" s="38">
        <f t="shared" si="87"/>
        <v>1.0000000000000007</v>
      </c>
      <c r="AR51" s="4" t="e">
        <f>#REF!/G51*F51^0.5/0.19</f>
        <v>#REF!</v>
      </c>
      <c r="AS51" s="4">
        <f t="shared" si="88"/>
        <v>1</v>
      </c>
      <c r="AT51" s="38">
        <f t="shared" si="89"/>
        <v>538.28912369866623</v>
      </c>
      <c r="AU51" s="4">
        <f t="shared" si="90"/>
        <v>0.3</v>
      </c>
      <c r="AV51" s="4" t="e">
        <f>AU51*D51*#REF!/(D51*G51/2.75/F51^0.5)</f>
        <v>#REF!</v>
      </c>
      <c r="AW51" s="4" t="e">
        <f t="shared" si="91"/>
        <v>#REF!</v>
      </c>
      <c r="AY51" s="36">
        <f t="shared" si="92"/>
        <v>2.2250000000000001</v>
      </c>
      <c r="AZ51" s="36" t="e">
        <f>(1.6*#REF!+22)*AY51*F51^0.5</f>
        <v>#REF!</v>
      </c>
      <c r="BE51" s="4">
        <f t="shared" si="93"/>
        <v>101.8</v>
      </c>
      <c r="BF51" s="4">
        <f t="shared" si="94"/>
        <v>55.37</v>
      </c>
      <c r="BG51" s="4">
        <f t="shared" si="95"/>
        <v>101.8</v>
      </c>
      <c r="BH51" s="4">
        <f t="shared" si="96"/>
        <v>68.069999999999993</v>
      </c>
      <c r="BI51" s="4">
        <f t="shared" si="97"/>
        <v>1.0838540726024923</v>
      </c>
      <c r="BJ51" s="25">
        <f t="shared" si="98"/>
        <v>4</v>
      </c>
      <c r="BL51" s="4">
        <f t="shared" si="99"/>
        <v>101.8</v>
      </c>
      <c r="BP51" s="9"/>
      <c r="BR51" s="9"/>
      <c r="BS51" s="9"/>
      <c r="BT51" s="9">
        <f t="shared" si="100"/>
        <v>101.8</v>
      </c>
      <c r="BU51" s="9">
        <f t="shared" si="101"/>
        <v>101.8</v>
      </c>
      <c r="BV51" s="9">
        <f t="shared" si="102"/>
        <v>2.001967536137395</v>
      </c>
      <c r="BW51" s="9">
        <v>20</v>
      </c>
      <c r="BX51" s="9">
        <f t="shared" si="103"/>
        <v>0.05</v>
      </c>
      <c r="BY51" s="9">
        <f t="shared" si="104"/>
        <v>0.8</v>
      </c>
      <c r="BZ51" s="9">
        <f t="shared" si="105"/>
        <v>0.99524931562137331</v>
      </c>
      <c r="CA51" s="9">
        <f t="shared" si="106"/>
        <v>0.97375</v>
      </c>
      <c r="CB51" s="9">
        <f t="shared" si="107"/>
        <v>1.9969246679255115</v>
      </c>
      <c r="CC51" s="9">
        <f t="shared" si="108"/>
        <v>4.9923116698137786</v>
      </c>
      <c r="CD51" s="9">
        <v>1</v>
      </c>
      <c r="CE51" s="9" t="e">
        <f>4*CC51*#REF!+60*CC51</f>
        <v>#REF!</v>
      </c>
      <c r="DB51" s="4">
        <f t="shared" si="109"/>
        <v>5</v>
      </c>
      <c r="DC51" s="4">
        <f t="shared" si="110"/>
        <v>285.75</v>
      </c>
      <c r="DD51" s="4" t="e">
        <f>#REF!/E51</f>
        <v>#REF!</v>
      </c>
      <c r="DF51" s="4">
        <f t="shared" si="111"/>
        <v>2.0755210712749404E-5</v>
      </c>
      <c r="DG51" s="4">
        <f t="shared" si="112"/>
        <v>9.0324733825588019</v>
      </c>
      <c r="DI51" s="4">
        <f t="shared" si="149"/>
        <v>0</v>
      </c>
      <c r="DJ51" s="4">
        <f t="shared" si="150"/>
        <v>6.4517667018277161</v>
      </c>
      <c r="DK51" s="4">
        <f t="shared" si="115"/>
        <v>8.5873792483918443</v>
      </c>
      <c r="DL51" s="38" t="e">
        <f t="shared" si="116"/>
        <v>#REF!</v>
      </c>
      <c r="DM51" s="4" t="e">
        <f t="shared" si="151"/>
        <v>#REF!</v>
      </c>
      <c r="DO51" s="4">
        <f t="shared" si="152"/>
        <v>405.90174731467334</v>
      </c>
      <c r="DS51" s="4">
        <f t="shared" si="118"/>
        <v>0.85</v>
      </c>
      <c r="DT51" s="4">
        <f t="shared" si="119"/>
        <v>0.7</v>
      </c>
      <c r="DU51" s="4">
        <f t="shared" si="120"/>
        <v>0.7</v>
      </c>
      <c r="DV51" s="4">
        <f t="shared" si="121"/>
        <v>0.7</v>
      </c>
      <c r="DX51" s="4" t="e">
        <f t="shared" si="122"/>
        <v>#REF!</v>
      </c>
      <c r="DY51" s="25">
        <f t="shared" si="123"/>
        <v>408.25877689791969</v>
      </c>
      <c r="EB51" s="4">
        <f t="shared" ref="EB51:EB82" si="159">IF(G51&lt;22.2,1.1*5*(F51/30)^0.5,IF(G51&gt;=31.8,0.9*5*(F51/30)^0.5,1*5*(F51/30)^0.5))/DS51/DV51</f>
        <v>9.0324733825588019</v>
      </c>
      <c r="EC51" s="4">
        <f t="shared" si="124"/>
        <v>8.5989146601959785</v>
      </c>
      <c r="EE51" s="4">
        <f t="shared" si="125"/>
        <v>77.858162529590359</v>
      </c>
      <c r="EF51" s="4">
        <f t="shared" si="126"/>
        <v>3.0652819893539514</v>
      </c>
      <c r="EG51" s="4">
        <f t="shared" si="127"/>
        <v>0.13603256908787462</v>
      </c>
      <c r="EJ51" s="4">
        <f t="shared" si="128"/>
        <v>0.13603256908787462</v>
      </c>
      <c r="EK51" s="4">
        <f t="shared" si="129"/>
        <v>0.42185965543632703</v>
      </c>
      <c r="EL51" s="4">
        <f t="shared" si="130"/>
        <v>6.3954909375802735</v>
      </c>
      <c r="EM51" s="4">
        <f t="shared" si="131"/>
        <v>7.8261691483847384</v>
      </c>
      <c r="EN51" s="4">
        <f t="shared" si="132"/>
        <v>136.45433747040965</v>
      </c>
      <c r="EO51" s="4">
        <f t="shared" si="133"/>
        <v>71.4375</v>
      </c>
      <c r="EP51" s="4">
        <f t="shared" si="134"/>
        <v>2.0755210712749404E-5</v>
      </c>
      <c r="EQ51" s="4">
        <f t="shared" si="135"/>
        <v>8.3337591242856508</v>
      </c>
      <c r="ER51" s="4" t="e">
        <f t="shared" si="136"/>
        <v>#REF!</v>
      </c>
      <c r="ES51" s="4" t="e">
        <f t="shared" si="137"/>
        <v>#REF!</v>
      </c>
      <c r="ET51" s="4" t="e">
        <f t="shared" si="138"/>
        <v>#REF!</v>
      </c>
      <c r="EV51" s="4" t="e">
        <f t="shared" si="139"/>
        <v>#REF!</v>
      </c>
      <c r="FA51" s="23"/>
      <c r="FB51" s="23"/>
      <c r="FC51" s="23"/>
      <c r="FD51" s="23"/>
      <c r="FE51" s="23"/>
      <c r="FF51" s="23"/>
      <c r="FG51" s="23"/>
      <c r="FH51" s="23"/>
      <c r="FR51" s="4">
        <f t="shared" si="140"/>
        <v>1</v>
      </c>
      <c r="FS51" s="4">
        <f t="shared" si="141"/>
        <v>0.68688155922038985</v>
      </c>
      <c r="FT51" s="4">
        <f t="shared" si="142"/>
        <v>0.3</v>
      </c>
      <c r="FU51" s="4">
        <f t="shared" si="143"/>
        <v>396.26942221324936</v>
      </c>
    </row>
    <row r="52" spans="1:177" ht="12" customHeight="1" x14ac:dyDescent="0.3">
      <c r="B52" s="24"/>
      <c r="C52" s="7" t="s">
        <v>109</v>
      </c>
      <c r="D52" s="28">
        <f t="shared" si="144"/>
        <v>517.5</v>
      </c>
      <c r="E52" s="7">
        <f t="shared" si="157"/>
        <v>285.75</v>
      </c>
      <c r="F52" s="7">
        <v>34.659999999999997</v>
      </c>
      <c r="G52" s="7">
        <v>25.4</v>
      </c>
      <c r="H52" s="7">
        <v>229</v>
      </c>
      <c r="I52" s="7">
        <f t="shared" ref="I52:I83" si="160">(H52-G52)/2</f>
        <v>101.8</v>
      </c>
      <c r="J52" s="7">
        <v>305</v>
      </c>
      <c r="K52" s="7">
        <v>0</v>
      </c>
      <c r="L52" s="7">
        <v>1</v>
      </c>
      <c r="M52" s="7">
        <v>51.69</v>
      </c>
      <c r="N52" s="7">
        <f t="shared" ref="N52:N83" si="161">MIN(H52/2/G52, (M52+G52/2)/G52)</f>
        <v>2.5350393700787404</v>
      </c>
      <c r="O52" s="28">
        <f t="shared" si="145"/>
        <v>2.5350393700787404</v>
      </c>
      <c r="P52" s="28">
        <f t="shared" si="79"/>
        <v>8.3959536742577185</v>
      </c>
      <c r="Q52" s="7">
        <f t="shared" si="80"/>
        <v>8.3959536742577185</v>
      </c>
      <c r="R52" s="7">
        <f t="shared" ref="R52:R83" si="162">Q52+1</f>
        <v>9.3959536742577185</v>
      </c>
      <c r="S52" s="7">
        <f t="shared" ref="S52:S83" si="163">G52*R52^0.5</f>
        <v>77.858162529590359</v>
      </c>
      <c r="T52" s="7"/>
      <c r="U52" s="7"/>
      <c r="V52" s="7">
        <f>265.15/(PI()/4*G52^2)*1000</f>
        <v>523.28021775455443</v>
      </c>
      <c r="W52" s="7"/>
      <c r="X52" s="7"/>
      <c r="Y52" s="7">
        <v>9.5</v>
      </c>
      <c r="Z52" s="7">
        <v>5</v>
      </c>
      <c r="AA52" s="7">
        <v>64</v>
      </c>
      <c r="AB52" s="7">
        <v>5</v>
      </c>
      <c r="AC52" s="7"/>
      <c r="AD52" s="7"/>
      <c r="AE52" s="4">
        <f t="shared" si="154"/>
        <v>285.75</v>
      </c>
      <c r="AF52" s="4">
        <f t="shared" si="83"/>
        <v>0.15363162622072843</v>
      </c>
      <c r="AG52" s="25">
        <f t="shared" ref="AG52:AG83" si="164">MIN(10*F52^0.5*AE52^1.5,100*3.9*F52^0.5*AE52^(5/3))/(PI()/4*G52^2)/L52</f>
        <v>561.22411424012159</v>
      </c>
      <c r="AH52" s="4">
        <f t="shared" ref="AH52:AH83" si="165">MIN(0.7+0.3*(MIN(I52,M52)+0.5*G52)/1.5/E52,1)</f>
        <v>0.7450673665791776</v>
      </c>
      <c r="AI52" s="4">
        <v>1.25</v>
      </c>
      <c r="AJ52" s="25">
        <f t="shared" si="146"/>
        <v>5</v>
      </c>
      <c r="AK52" s="38">
        <f t="shared" si="147"/>
        <v>401.50643504965132</v>
      </c>
      <c r="AL52" s="38">
        <f t="shared" si="148"/>
        <v>401.50643504965132</v>
      </c>
      <c r="AN52" s="38">
        <f t="shared" si="158"/>
        <v>401.50643504965109</v>
      </c>
      <c r="AO52" s="38">
        <f t="shared" si="87"/>
        <v>1.0000000000000007</v>
      </c>
      <c r="AR52" s="4" t="e">
        <f>#REF!/G52*F52^0.5/0.19</f>
        <v>#REF!</v>
      </c>
      <c r="AS52" s="4">
        <f t="shared" ref="AS52:AS83" si="166">MIN(0.6+0.4*(O52/N52),2)</f>
        <v>1</v>
      </c>
      <c r="AT52" s="38">
        <f t="shared" ref="AT52:AT83" si="167">2*F52*N52*P52^0.5*AS52*0.7/0.7</f>
        <v>509.18813978194686</v>
      </c>
      <c r="AU52" s="4">
        <f t="shared" ref="AU52:AU83" si="168">MAX(1-0.7*Q52/5,0.3)</f>
        <v>0.3</v>
      </c>
      <c r="AV52" s="4" t="e">
        <f>AU52*D52*#REF!/(D52*G52/2.75/F52^0.5)</f>
        <v>#REF!</v>
      </c>
      <c r="AW52" s="4" t="e">
        <f t="shared" si="91"/>
        <v>#REF!</v>
      </c>
      <c r="AY52" s="36">
        <f t="shared" ref="AY52:AY83" si="169">MAX(1, (0.9+0.1*MIN(2,N52-0.5))*(0.9+0.1*MIN(3.5,I52/I52))+0.45*MIN(2.5,(40*2*PI()*Y52^2/4/AA52/L52)/G52))</f>
        <v>2.2250000000000001</v>
      </c>
      <c r="AZ52" s="36" t="e">
        <f>(1.6*#REF!+22)*AY52*F52^0.5</f>
        <v>#REF!</v>
      </c>
      <c r="BE52" s="4">
        <f t="shared" ref="BE52:BE83" si="170">IF(L52=1,I52,MIN(I52,K52/2+6.4))</f>
        <v>101.8</v>
      </c>
      <c r="BF52" s="4">
        <f t="shared" ref="BF52:BF83" si="171">MIN(M52,BE52)</f>
        <v>51.69</v>
      </c>
      <c r="BG52" s="4">
        <f t="shared" ref="BG52:BG83" si="172">MAX(M52,BE52)</f>
        <v>101.8</v>
      </c>
      <c r="BH52" s="4">
        <f t="shared" ref="BH52:BH83" si="173">BF52+G52/2</f>
        <v>64.39</v>
      </c>
      <c r="BI52" s="4">
        <f t="shared" si="97"/>
        <v>1.0969433159218418</v>
      </c>
      <c r="BJ52" s="25">
        <f t="shared" ref="BJ52:BJ83" si="174">MIN(4, (BH52*BI52+(6*F52^0.5*(0.03*G52+0.22)*(Y52^2/4*PI())*2/AA52/L52))/G52)</f>
        <v>4</v>
      </c>
      <c r="BL52" s="4">
        <f t="shared" ref="BL52:BL83" si="175">IF(K52=0,I52,MIN(K52/2,I52))</f>
        <v>101.8</v>
      </c>
      <c r="BP52" s="9"/>
      <c r="BR52" s="9"/>
      <c r="BS52" s="9"/>
      <c r="BT52" s="9">
        <f t="shared" ref="BT52:BT83" si="176">IF(K52=0,MIN(I52,J52),MIN(K52/2,I52,J52))</f>
        <v>101.8</v>
      </c>
      <c r="BU52" s="9">
        <f t="shared" ref="BU52:BU83" si="177">MAX(K52/2,I52)</f>
        <v>101.8</v>
      </c>
      <c r="BV52" s="9">
        <f t="shared" ref="BV52:BV83" si="178">(BT52/G52)^0.5*(BU52/BT52)^0.15</f>
        <v>2.001967536137395</v>
      </c>
      <c r="BW52" s="9">
        <v>20</v>
      </c>
      <c r="BX52" s="9">
        <f t="shared" ref="BX52:BX83" si="179">MIN(PI()*Y52^2/4*Z52*2/L52/G52/MAX(0.01,AA52),0.05)</f>
        <v>0.05</v>
      </c>
      <c r="BY52" s="9">
        <f t="shared" si="104"/>
        <v>0.8</v>
      </c>
      <c r="BZ52" s="9">
        <f t="shared" ref="BZ52:BZ83" si="180">MIN(1,(25/G52)^0.3)</f>
        <v>0.99524931562137331</v>
      </c>
      <c r="CA52" s="9">
        <f t="shared" ref="CA52:CA83" si="181">IF(D52&gt;=800,0.68,IF(D52&gt;=700,0.75-(D52-700)*0.07/100,IF(D52&gt;=600,0.85-(D52-600)*0.1/100,IF(D52&gt;=500,1-(D52-500)*0.15/100,1.2-(D52-400)*0.2/100))))</f>
        <v>0.97375</v>
      </c>
      <c r="CB52" s="9">
        <f t="shared" ref="CB52:CB83" si="182">1.75*BZ52*CA52*(F52/25)^0.5</f>
        <v>1.9969246679255115</v>
      </c>
      <c r="CC52" s="9">
        <f t="shared" ref="CC52:CC83" si="183">MIN((BV52+BY52)*CB52,2.5*CB52,F52^0.5)</f>
        <v>4.9923116698137786</v>
      </c>
      <c r="CD52" s="9">
        <v>1</v>
      </c>
      <c r="CE52" s="9" t="e">
        <f>4*CC52*#REF!+60*CC52</f>
        <v>#REF!</v>
      </c>
      <c r="DB52" s="4">
        <f t="shared" si="109"/>
        <v>5</v>
      </c>
      <c r="DC52" s="4">
        <f t="shared" ref="DC52:DC83" si="184">E52</f>
        <v>285.75</v>
      </c>
      <c r="DD52" s="4" t="e">
        <f>#REF!/E52</f>
        <v>#REF!</v>
      </c>
      <c r="DF52" s="4">
        <f t="shared" ref="DF52:DF83" si="185">E52/4/(1-0.3*(F52/30)^0.5)/200000/G52</f>
        <v>2.0755210712749404E-5</v>
      </c>
      <c r="DG52" s="4">
        <f t="shared" si="112"/>
        <v>9.0324733825588019</v>
      </c>
      <c r="DI52" s="4">
        <f t="shared" si="149"/>
        <v>0</v>
      </c>
      <c r="DJ52" s="4">
        <f t="shared" si="150"/>
        <v>6.4517667018277161</v>
      </c>
      <c r="DK52" s="4">
        <f t="shared" ref="DK52:DK83" si="186">MAX(DG52/2, (4-DF52*(8*S52*(DI52-DJ52)+6*E52*DJ52))/(4+DF52*E52*DG52)*DG52)</f>
        <v>8.5873792483918443</v>
      </c>
      <c r="DL52" s="38" t="e">
        <f t="shared" ref="DL52:DL83" si="187">MIN(1/G52*(4*S52*(DI52-DJ52)+(3*DJ52+DK52)*E52)+DO52 -EV52,MAX(D52,V52))</f>
        <v>#REF!</v>
      </c>
      <c r="DM52" s="4" t="e">
        <f t="shared" si="151"/>
        <v>#REF!</v>
      </c>
      <c r="DO52" s="4">
        <f t="shared" si="152"/>
        <v>401.50643504965109</v>
      </c>
      <c r="DS52" s="4">
        <f t="shared" ref="DS52:DS83" si="188">IF(J52&gt;1*G52,0.85,1)</f>
        <v>0.85</v>
      </c>
      <c r="DT52" s="4">
        <f t="shared" ref="DT52:DT83" si="189">MIN(1,MAX(0.7,(1-0.1*(BL52-1*G52)/G52)))</f>
        <v>0.7</v>
      </c>
      <c r="DU52" s="4">
        <f t="shared" ref="DU52:DU83" si="190">MIN(1,MAX(0.7,1-0.3*(PI()*Y52^2/4*Z52*2-0.25*PI()/4*G52^2)/(PI()/4*G52^2)))</f>
        <v>0.7</v>
      </c>
      <c r="DV52" s="4">
        <f t="shared" si="121"/>
        <v>0.7</v>
      </c>
      <c r="DX52" s="4" t="e">
        <f t="shared" ref="DX52:DX83" si="191">MIN(DG52/G52*3*E52+DY52-EV52,MAX(D52,V52))</f>
        <v>#REF!</v>
      </c>
      <c r="DY52" s="25">
        <f t="shared" ref="DY52:DY83" si="192">8.8*H52*508*F52^0.5/L52/G52^2/E52^0.5*(0.7+MIN(M52,I52)/5/E52)</f>
        <v>406.83537621957981</v>
      </c>
      <c r="EB52" s="4">
        <f t="shared" si="159"/>
        <v>9.0324733825588019</v>
      </c>
      <c r="EC52" s="4">
        <f t="shared" ref="EC52:EC83" si="193">IF(G52&lt;22.2,1.1*5*(F52/30)^0.5,IF(G52&gt;=31.8,0.9*5*(F52/30)^0.5,1*5*(F52/30)^0.5))*BJ52/2.5</f>
        <v>8.5989146601959785</v>
      </c>
      <c r="EE52" s="4">
        <f t="shared" ref="EE52:EE83" si="194">EF52*G52</f>
        <v>77.858162529590359</v>
      </c>
      <c r="EF52" s="4">
        <f t="shared" si="126"/>
        <v>3.0652819893539514</v>
      </c>
      <c r="EG52" s="4">
        <f t="shared" ref="EG52:EG83" si="195">MIN(DO52)/(4700*F52^0.5)/Q52*EE52</f>
        <v>0.13455953867273107</v>
      </c>
      <c r="EJ52" s="4">
        <f t="shared" si="128"/>
        <v>0.13455953867273107</v>
      </c>
      <c r="EK52" s="4">
        <f t="shared" ref="EK52:EK83" si="196">MIN(0.999, EJ52/(0.3*(F52/30)^0.5))</f>
        <v>0.41729154275900004</v>
      </c>
      <c r="EL52" s="4">
        <f t="shared" si="130"/>
        <v>6.3676989623094746</v>
      </c>
      <c r="EM52" s="4">
        <f t="shared" si="131"/>
        <v>7.8148446026109291</v>
      </c>
      <c r="EN52" s="4">
        <f t="shared" si="132"/>
        <v>136.45433747040965</v>
      </c>
      <c r="EO52" s="4">
        <f t="shared" si="133"/>
        <v>71.4375</v>
      </c>
      <c r="EP52" s="4">
        <f t="shared" ref="EP52:EP83" si="197">EO52/(1-0.3*(F52/30)^0.5)/200000/G52</f>
        <v>2.0755210712749404E-5</v>
      </c>
      <c r="EQ52" s="4">
        <f t="shared" si="135"/>
        <v>8.3351314478706442</v>
      </c>
      <c r="ER52" s="4" t="e">
        <f t="shared" ref="ER52:ER83" si="198">MIN(4/G52*(1*EL52*EE52+EM52*ES52+ET52*EQ52)+DO52,MAX(D52,V52))</f>
        <v>#REF!</v>
      </c>
      <c r="ES52" s="4" t="e">
        <f t="shared" si="137"/>
        <v>#REF!</v>
      </c>
      <c r="ET52" s="4" t="e">
        <f t="shared" si="138"/>
        <v>#REF!</v>
      </c>
      <c r="EV52" s="4" t="e">
        <f t="shared" ref="EV52:EV83" si="199">4/G52*(1*EL52*EE52+EM52*EN52+EO52*EQ52)+DO52 - (4/G52*(1*EL52*EE52+EM52*ES52+ET52*EQ52)+DO52)</f>
        <v>#REF!</v>
      </c>
      <c r="FA52" s="23"/>
      <c r="FB52" s="23"/>
      <c r="FC52" s="23"/>
      <c r="FD52" s="23"/>
      <c r="FE52" s="23"/>
      <c r="FF52" s="23"/>
      <c r="FG52" s="23"/>
      <c r="FH52" s="23"/>
      <c r="FR52" s="4">
        <f t="shared" si="140"/>
        <v>1</v>
      </c>
      <c r="FS52" s="4">
        <f t="shared" si="141"/>
        <v>0.68688155922038985</v>
      </c>
      <c r="FT52" s="4">
        <f t="shared" si="142"/>
        <v>0.3</v>
      </c>
      <c r="FU52" s="4">
        <f t="shared" si="143"/>
        <v>396.26942221324936</v>
      </c>
    </row>
    <row r="53" spans="1:177" ht="12" customHeight="1" x14ac:dyDescent="0.3">
      <c r="A53" s="19">
        <v>1</v>
      </c>
      <c r="B53" s="20" t="s">
        <v>272</v>
      </c>
      <c r="C53" s="7" t="s">
        <v>273</v>
      </c>
      <c r="D53" s="7">
        <v>472</v>
      </c>
      <c r="E53" s="7">
        <f>10*25.4</f>
        <v>254</v>
      </c>
      <c r="F53" s="7">
        <v>27</v>
      </c>
      <c r="G53" s="7">
        <v>25.4</v>
      </c>
      <c r="H53" s="7">
        <f t="shared" ref="H53:H79" si="200">6*25.4</f>
        <v>152.39999999999998</v>
      </c>
      <c r="I53" s="7">
        <f t="shared" si="160"/>
        <v>63.499999999999986</v>
      </c>
      <c r="J53" s="7">
        <f t="shared" ref="J53:J104" si="201">2*25.4</f>
        <v>50.8</v>
      </c>
      <c r="K53" s="7">
        <v>0</v>
      </c>
      <c r="L53" s="7">
        <v>1</v>
      </c>
      <c r="M53" s="7">
        <f t="shared" ref="M53:M94" si="202">4*25.4-G53/2</f>
        <v>88.899999999999991</v>
      </c>
      <c r="N53" s="7">
        <f t="shared" si="161"/>
        <v>2.9999999999999996</v>
      </c>
      <c r="O53" s="7">
        <f t="shared" ref="O53:O94" si="203">MAX(H53/2/G53, (M53+G53/2)/G53)</f>
        <v>4</v>
      </c>
      <c r="P53" s="7">
        <v>1.18</v>
      </c>
      <c r="Q53" s="7">
        <f>MIN(Q$16,P53)</f>
        <v>1.18</v>
      </c>
      <c r="R53" s="7">
        <f t="shared" si="162"/>
        <v>2.1799999999999997</v>
      </c>
      <c r="S53" s="7">
        <f t="shared" si="163"/>
        <v>37.502650572992827</v>
      </c>
      <c r="T53" s="7"/>
      <c r="U53" s="7"/>
      <c r="V53" s="7">
        <v>426</v>
      </c>
      <c r="W53" s="7"/>
      <c r="X53" s="7"/>
      <c r="Y53" s="7"/>
      <c r="Z53" s="7"/>
      <c r="AA53" s="7">
        <v>1</v>
      </c>
      <c r="AB53" s="7"/>
      <c r="AC53" s="7"/>
      <c r="AD53" s="7"/>
      <c r="AE53" s="4">
        <f t="shared" si="154"/>
        <v>254</v>
      </c>
      <c r="AF53" s="44">
        <f t="shared" ref="AF53:AF94" si="204">MIN(H53)*(MIN(508-M53-0.5*G53,1.5*AE53)+M53+G53/2)/(3*E53)^2</f>
        <v>0.12666666666666665</v>
      </c>
      <c r="AG53" s="25">
        <f t="shared" si="164"/>
        <v>415.1214191673746</v>
      </c>
      <c r="AH53" s="4">
        <f t="shared" si="165"/>
        <v>0.7599999999999999</v>
      </c>
      <c r="AI53" s="4">
        <v>1.25</v>
      </c>
      <c r="AJ53" s="25">
        <f t="shared" si="146"/>
        <v>5</v>
      </c>
      <c r="AK53" s="38">
        <f t="shared" ref="AK53:AK116" si="205">AF53*AH53*AI53*AJ53*AG53</f>
        <v>249.76472053237029</v>
      </c>
      <c r="AL53" s="38">
        <f t="shared" si="148"/>
        <v>249.76472053237029</v>
      </c>
      <c r="AN53" s="38">
        <f t="shared" si="158"/>
        <v>249.76472053237032</v>
      </c>
      <c r="AO53" s="38">
        <f t="shared" si="87"/>
        <v>0.99999999999999989</v>
      </c>
      <c r="AP53" s="38">
        <f t="shared" ref="AP53:AP84" si="206">AT53/AN53</f>
        <v>0.79851409515855842</v>
      </c>
      <c r="AQ53" s="4">
        <f>IF(AP53&lt;1,1,0)</f>
        <v>1</v>
      </c>
      <c r="AR53" s="4" t="e">
        <f>#REF!/G53*F53^0.5/0.19</f>
        <v>#REF!</v>
      </c>
      <c r="AS53" s="4">
        <f t="shared" si="166"/>
        <v>1.1333333333333333</v>
      </c>
      <c r="AT53" s="38">
        <f t="shared" si="167"/>
        <v>199.4406498184359</v>
      </c>
      <c r="AU53" s="4">
        <f t="shared" si="168"/>
        <v>0.83479999999999999</v>
      </c>
      <c r="AV53" s="4" t="e">
        <f>AU53*D53*#REF!/(D53*G53/2.75/F53^0.5)</f>
        <v>#REF!</v>
      </c>
      <c r="AW53" s="4" t="e">
        <f t="shared" ref="AW53:AW87" si="207">AT53+AV53</f>
        <v>#REF!</v>
      </c>
      <c r="AY53" s="36">
        <f t="shared" si="169"/>
        <v>1.1000000000000001</v>
      </c>
      <c r="AZ53" s="36" t="e">
        <f>(1.6*#REF!+22)*AY53*F53^0.5</f>
        <v>#REF!</v>
      </c>
      <c r="BE53" s="4">
        <f t="shared" si="170"/>
        <v>63.499999999999986</v>
      </c>
      <c r="BF53" s="4">
        <f t="shared" si="171"/>
        <v>63.499999999999986</v>
      </c>
      <c r="BG53" s="4">
        <f t="shared" si="172"/>
        <v>88.899999999999991</v>
      </c>
      <c r="BH53" s="4">
        <f t="shared" si="173"/>
        <v>76.199999999999989</v>
      </c>
      <c r="BI53" s="4">
        <f>MIN(1.25, 0.1*BG53/BF53+0.9)</f>
        <v>1.04</v>
      </c>
      <c r="BJ53" s="25">
        <f t="shared" si="174"/>
        <v>3.1199999999999997</v>
      </c>
      <c r="BL53" s="4">
        <f t="shared" si="175"/>
        <v>63.499999999999986</v>
      </c>
      <c r="BP53" s="9"/>
      <c r="BR53" s="9"/>
      <c r="BS53" s="9"/>
      <c r="BT53" s="9">
        <f t="shared" si="176"/>
        <v>50.8</v>
      </c>
      <c r="BU53" s="9">
        <f t="shared" si="177"/>
        <v>63.499999999999986</v>
      </c>
      <c r="BV53" s="9">
        <f t="shared" si="178"/>
        <v>1.4623505735569622</v>
      </c>
      <c r="BW53" s="9">
        <v>0</v>
      </c>
      <c r="BX53" s="9">
        <f t="shared" si="179"/>
        <v>0</v>
      </c>
      <c r="BY53" s="9">
        <f t="shared" ref="BY53:BY87" si="208">MAX(0,BW53*(BX53-0.5/50))</f>
        <v>0</v>
      </c>
      <c r="BZ53" s="9">
        <f t="shared" si="180"/>
        <v>0.99524931562137331</v>
      </c>
      <c r="CA53" s="9">
        <f t="shared" si="181"/>
        <v>1.056</v>
      </c>
      <c r="CB53" s="9">
        <f t="shared" si="182"/>
        <v>1.911374255891328</v>
      </c>
      <c r="CC53" s="9">
        <f t="shared" si="183"/>
        <v>2.7950992393846952</v>
      </c>
      <c r="CD53" s="9">
        <v>1</v>
      </c>
      <c r="CE53" s="9" t="e">
        <f>4*CC53*#REF!+60*CC53</f>
        <v>#REF!</v>
      </c>
      <c r="CG53" s="4" t="e">
        <f t="shared" ref="CG53:CG62" si="209">V53/AR53</f>
        <v>#REF!</v>
      </c>
      <c r="CH53" s="4" t="e">
        <f t="shared" ref="CH53:CH62" si="210">V53/AW53</f>
        <v>#REF!</v>
      </c>
      <c r="CI53" s="4" t="e">
        <f t="shared" ref="CI53:CI62" si="211">V53/AZ53</f>
        <v>#REF!</v>
      </c>
      <c r="CJ53" s="4" t="e">
        <f t="shared" ref="CJ53:CJ62" si="212">V53/CE53</f>
        <v>#REF!</v>
      </c>
      <c r="CK53" s="4" t="e">
        <f t="shared" ref="CK53:CK62" si="213">V53/DL53</f>
        <v>#REF!</v>
      </c>
      <c r="CL53" s="4" t="e">
        <f t="shared" ref="CL53:CL62" si="214">V53/DX53</f>
        <v>#REF!</v>
      </c>
      <c r="CM53" s="4">
        <f t="shared" ref="CM53:CM116" si="215">V53/FU53</f>
        <v>2.0303364325354463</v>
      </c>
      <c r="CO53" s="4" t="e">
        <f t="shared" ref="CO53:CO62" si="216">CG53</f>
        <v>#REF!</v>
      </c>
      <c r="CP53" s="4" t="e">
        <f t="shared" ref="CP53:CP62" si="217">CH53</f>
        <v>#REF!</v>
      </c>
      <c r="CQ53" s="4" t="e">
        <f t="shared" ref="CQ53:CQ62" si="218">CJ53</f>
        <v>#REF!</v>
      </c>
      <c r="CR53" s="4">
        <f>CM53</f>
        <v>2.0303364325354463</v>
      </c>
      <c r="CS53" s="4" t="e">
        <f t="shared" ref="CS53:CS62" si="219">CK53</f>
        <v>#REF!</v>
      </c>
      <c r="CT53" s="4" t="e">
        <f t="shared" ref="CT53:CT62" si="220">CL53</f>
        <v>#REF!</v>
      </c>
      <c r="DB53" s="4">
        <f>Z53</f>
        <v>0</v>
      </c>
      <c r="DC53" s="4">
        <f t="shared" si="184"/>
        <v>254</v>
      </c>
      <c r="DD53" s="4" t="e">
        <f>#REF!/E53</f>
        <v>#REF!</v>
      </c>
      <c r="DF53" s="4">
        <f t="shared" si="185"/>
        <v>1.7472864382687078E-5</v>
      </c>
      <c r="DG53" s="4">
        <f>EB53</f>
        <v>6.5652823394499222</v>
      </c>
      <c r="DH53" s="4">
        <f t="shared" ref="DH53:DH84" si="221">DO53*S53/257/F53/P53</f>
        <v>1.1439687543003914</v>
      </c>
      <c r="DI53" s="4">
        <f t="shared" si="149"/>
        <v>6.928178566683842</v>
      </c>
      <c r="DJ53" s="4">
        <f t="shared" si="150"/>
        <v>6.5652823394499222</v>
      </c>
      <c r="DK53" s="4">
        <f t="shared" si="186"/>
        <v>6.2298363875986897</v>
      </c>
      <c r="DL53" s="38" t="e">
        <f t="shared" si="187"/>
        <v>#REF!</v>
      </c>
      <c r="DM53" s="4" t="e">
        <f t="shared" si="151"/>
        <v>#REF!</v>
      </c>
      <c r="DN53" s="4">
        <f t="shared" ref="DN53:DN84" si="222">S53/G53</f>
        <v>1.4764823060233399</v>
      </c>
      <c r="DO53" s="4">
        <f t="shared" si="152"/>
        <v>249.76472053237032</v>
      </c>
      <c r="DS53" s="4">
        <f t="shared" si="188"/>
        <v>0.85</v>
      </c>
      <c r="DT53" s="4">
        <f t="shared" si="189"/>
        <v>0.85000000000000009</v>
      </c>
      <c r="DU53" s="4">
        <f t="shared" si="190"/>
        <v>1</v>
      </c>
      <c r="DV53" s="4">
        <f t="shared" ref="DV53:DV87" si="223">IF(DT53*DU53&lt;0.7,0.7,DT53*DU53)</f>
        <v>0.85000000000000009</v>
      </c>
      <c r="DX53" s="4" t="e">
        <f t="shared" si="191"/>
        <v>#REF!</v>
      </c>
      <c r="DY53" s="25">
        <f t="shared" si="192"/>
        <v>258.22019535919065</v>
      </c>
      <c r="EA53" s="4">
        <f t="shared" ref="EA53:EA93" si="224">DS53*DV53</f>
        <v>0.72250000000000003</v>
      </c>
      <c r="EB53" s="4">
        <f t="shared" si="159"/>
        <v>6.5652823394499222</v>
      </c>
      <c r="EC53" s="4">
        <f t="shared" si="193"/>
        <v>5.9197837798352051</v>
      </c>
      <c r="EE53" s="4">
        <f t="shared" si="194"/>
        <v>37.502650572992827</v>
      </c>
      <c r="EF53" s="4">
        <f>R53^0.5</f>
        <v>1.4764823060233399</v>
      </c>
      <c r="EG53" s="4">
        <f t="shared" si="195"/>
        <v>0.32503588417846324</v>
      </c>
      <c r="EH53" s="4">
        <f>DC53</f>
        <v>254</v>
      </c>
      <c r="EI53" s="4">
        <f>EE53+EN53+EO53</f>
        <v>254</v>
      </c>
      <c r="EJ53" s="4">
        <f>EG53</f>
        <v>0.32503588417846324</v>
      </c>
      <c r="EK53" s="4">
        <f t="shared" si="196"/>
        <v>0.999</v>
      </c>
      <c r="EL53" s="4">
        <f>EB53/1*EK53^0.4</f>
        <v>6.5626554382598101</v>
      </c>
      <c r="EM53" s="4">
        <f>EB53/1.4*(1-EK53^1.4)/(1-EK53)</f>
        <v>6.5639690202656151</v>
      </c>
      <c r="EN53" s="4">
        <f>MAX(0,DC53*EN$9-EE53)</f>
        <v>152.99734942700718</v>
      </c>
      <c r="EO53" s="4">
        <f>MAX(0,DC53-EE53-EN53)</f>
        <v>63.5</v>
      </c>
      <c r="EP53" s="4">
        <f t="shared" si="197"/>
        <v>1.7472864382687078E-5</v>
      </c>
      <c r="EQ53" s="4">
        <f>MAX(0.5*EB53, (1-2*EP53*(EE53*EL53+EN53*EM53))/(1/EB53+EP53*EO53))</f>
        <v>6.2330044371629034</v>
      </c>
      <c r="ER53" s="4" t="e">
        <f t="shared" si="198"/>
        <v>#REF!</v>
      </c>
      <c r="ES53" s="4" t="e">
        <f>IF(DD53&lt;=EN$9, MAX(0,DC53*DD53-EE53), MAX(0,DC53*EN$9-EE53))</f>
        <v>#REF!</v>
      </c>
      <c r="ET53" s="4" t="e">
        <f>MAX(0, DC53*DD53-ES53-EE53)</f>
        <v>#REF!</v>
      </c>
      <c r="EV53" s="4" t="e">
        <f t="shared" si="199"/>
        <v>#REF!</v>
      </c>
      <c r="FA53" s="23" t="e">
        <f>IF(CG53&lt;0.6,0.6,IF(CG53&lt;0.8,0.8,IF(CG53&lt;1,1,IF(CG53&lt;1.2,1.2,IF(CG53&lt;1.4,1.4,IF(CG53&lt;1.6,1.6,IF(CG53&lt;1.8,1.8,IF(CG53&lt;2,2,2.2))))))))</f>
        <v>#REF!</v>
      </c>
      <c r="FB53" s="23" t="e">
        <f>IF(CH53&lt;0.6,0.6,IF(CH53&lt;0.8,0.8,IF(CH53&lt;1,1,IF(CH53&lt;1.2,1.2,IF(CH53&lt;1.4,1.4,IF(CH53&lt;1.6,1.6,IF(CH53&lt;1.8,1.8,IF(CH53&lt;2,2,2.2))))))))</f>
        <v>#REF!</v>
      </c>
      <c r="FC53" s="23">
        <f>IF(CM53&lt;0.6,0.6,IF(CM53&lt;0.8,0.8,IF(CM53&lt;1,1,IF(CM53&lt;1.2,1.2,IF(CM53&lt;1.4,1.4,IF(CM53&lt;1.6,1.6,IF(CM53&lt;1.8,1.8,IF(CM53&lt;2,2,2.2))))))))</f>
        <v>2.2000000000000002</v>
      </c>
      <c r="FD53" s="23" t="e">
        <f>IF(CJ53&lt;0.6,0.6,IF(CJ53&lt;0.8,0.8,IF(CJ53&lt;1,1,IF(CJ53&lt;1.2,1.2,IF(CJ53&lt;1.4,1.4,IF(CJ53&lt;1.6,1.6,IF(CJ53&lt;1.8,1.8,IF(CJ53&lt;2,2,2.2))))))))</f>
        <v>#REF!</v>
      </c>
      <c r="FE53" s="23" t="e">
        <f t="shared" ref="FE53:FF53" si="225">IF(CK53&lt;0.6,0.6,IF(CK53&lt;0.8,0.8,IF(CK53&lt;1,1,IF(CK53&lt;1.2,1.2,IF(CK53&lt;1.4,1.4,IF(CK53&lt;1.6,1.6,IF(CK53&lt;1.8,1.8,IF(CK53&lt;2,2,2.2))))))))</f>
        <v>#REF!</v>
      </c>
      <c r="FF53" s="23" t="e">
        <f t="shared" si="225"/>
        <v>#REF!</v>
      </c>
      <c r="FG53" s="23" t="e">
        <f>IF(FE53&lt;1,1,0)</f>
        <v>#REF!</v>
      </c>
      <c r="FH53" s="23"/>
      <c r="FI53"/>
      <c r="FJ53" s="3" t="s">
        <v>371</v>
      </c>
      <c r="FK53" s="1" t="s">
        <v>372</v>
      </c>
      <c r="FL53" s="1" t="s">
        <v>658</v>
      </c>
      <c r="FM53" s="1" t="s">
        <v>373</v>
      </c>
      <c r="FN53" s="1" t="s">
        <v>379</v>
      </c>
      <c r="FO53" s="1" t="s">
        <v>380</v>
      </c>
      <c r="FR53" s="4">
        <f t="shared" si="140"/>
        <v>1</v>
      </c>
      <c r="FS53" s="4">
        <f t="shared" si="141"/>
        <v>1.0833333333333333</v>
      </c>
      <c r="FT53" s="4">
        <f t="shared" si="142"/>
        <v>0</v>
      </c>
      <c r="FU53" s="4">
        <f t="shared" si="143"/>
        <v>209.81744363815565</v>
      </c>
    </row>
    <row r="54" spans="1:177" ht="12" customHeight="1" x14ac:dyDescent="0.3">
      <c r="B54" s="24">
        <v>2006</v>
      </c>
      <c r="C54" s="7" t="s">
        <v>274</v>
      </c>
      <c r="D54" s="7">
        <v>472</v>
      </c>
      <c r="E54" s="7">
        <f t="shared" ref="E54:E62" si="226">10*25.4</f>
        <v>254</v>
      </c>
      <c r="F54" s="7">
        <v>27</v>
      </c>
      <c r="G54" s="7">
        <v>25.4</v>
      </c>
      <c r="H54" s="7">
        <f t="shared" si="200"/>
        <v>152.39999999999998</v>
      </c>
      <c r="I54" s="7">
        <f t="shared" si="160"/>
        <v>63.499999999999986</v>
      </c>
      <c r="J54" s="7">
        <f t="shared" si="201"/>
        <v>50.8</v>
      </c>
      <c r="K54" s="7">
        <v>0</v>
      </c>
      <c r="L54" s="7">
        <v>1</v>
      </c>
      <c r="M54" s="7">
        <f t="shared" si="202"/>
        <v>88.899999999999991</v>
      </c>
      <c r="N54" s="7">
        <f t="shared" si="161"/>
        <v>2.9999999999999996</v>
      </c>
      <c r="O54" s="7">
        <f t="shared" si="203"/>
        <v>4</v>
      </c>
      <c r="P54" s="7">
        <v>1.85</v>
      </c>
      <c r="Q54" s="7">
        <f t="shared" ref="Q54:Q127" si="227">MIN(Q$16,P54)</f>
        <v>1.85</v>
      </c>
      <c r="R54" s="7">
        <f t="shared" si="162"/>
        <v>2.85</v>
      </c>
      <c r="S54" s="7">
        <f t="shared" si="163"/>
        <v>42.880135260980694</v>
      </c>
      <c r="T54" s="7"/>
      <c r="U54" s="7"/>
      <c r="V54" s="7">
        <v>456</v>
      </c>
      <c r="W54" s="7"/>
      <c r="X54" s="7"/>
      <c r="Y54" s="7"/>
      <c r="Z54" s="7"/>
      <c r="AA54" s="7">
        <v>1</v>
      </c>
      <c r="AB54" s="7"/>
      <c r="AC54" s="7"/>
      <c r="AD54" s="7"/>
      <c r="AE54" s="4">
        <f t="shared" si="154"/>
        <v>254</v>
      </c>
      <c r="AF54" s="44">
        <f t="shared" si="204"/>
        <v>0.12666666666666665</v>
      </c>
      <c r="AG54" s="25">
        <f t="shared" si="164"/>
        <v>415.1214191673746</v>
      </c>
      <c r="AH54" s="4">
        <f t="shared" si="165"/>
        <v>0.7599999999999999</v>
      </c>
      <c r="AI54" s="4">
        <v>1.25</v>
      </c>
      <c r="AJ54" s="25">
        <f t="shared" si="146"/>
        <v>5</v>
      </c>
      <c r="AK54" s="38">
        <f t="shared" si="205"/>
        <v>249.76472053237029</v>
      </c>
      <c r="AL54" s="38">
        <f t="shared" si="148"/>
        <v>249.76472053237029</v>
      </c>
      <c r="AN54" s="38">
        <f t="shared" si="158"/>
        <v>249.76472053237032</v>
      </c>
      <c r="AO54" s="38">
        <f t="shared" si="87"/>
        <v>0.99999999999999989</v>
      </c>
      <c r="AP54" s="38">
        <f t="shared" si="206"/>
        <v>0.99983295482284784</v>
      </c>
      <c r="AQ54" s="4">
        <f t="shared" ref="AQ54:AQ104" si="228">IF(AP54&lt;1,1,0)</f>
        <v>1</v>
      </c>
      <c r="AR54" s="4" t="e">
        <f>#REF!/G54*F54^0.5/0.19</f>
        <v>#REF!</v>
      </c>
      <c r="AS54" s="4">
        <f t="shared" si="166"/>
        <v>1.1333333333333333</v>
      </c>
      <c r="AT54" s="38">
        <f t="shared" si="167"/>
        <v>249.72299854038263</v>
      </c>
      <c r="AU54" s="4">
        <f t="shared" si="168"/>
        <v>0.74099999999999999</v>
      </c>
      <c r="AV54" s="4" t="e">
        <f>AU54*D54*#REF!/(D54*G54/2.75/F54^0.5)</f>
        <v>#REF!</v>
      </c>
      <c r="AW54" s="4" t="e">
        <f t="shared" si="207"/>
        <v>#REF!</v>
      </c>
      <c r="AY54" s="36">
        <f t="shared" si="169"/>
        <v>1.1000000000000001</v>
      </c>
      <c r="AZ54" s="36" t="e">
        <f>(1.6*#REF!+22)*AY54*F54^0.5</f>
        <v>#REF!</v>
      </c>
      <c r="BE54" s="4">
        <f t="shared" si="170"/>
        <v>63.499999999999986</v>
      </c>
      <c r="BF54" s="4">
        <f t="shared" si="171"/>
        <v>63.499999999999986</v>
      </c>
      <c r="BG54" s="4">
        <f t="shared" si="172"/>
        <v>88.899999999999991</v>
      </c>
      <c r="BH54" s="4">
        <f t="shared" si="173"/>
        <v>76.199999999999989</v>
      </c>
      <c r="BI54" s="4">
        <f t="shared" ref="BI54:BI127" si="229">MIN(1.25, 0.1*BG54/BF54+0.9)</f>
        <v>1.04</v>
      </c>
      <c r="BJ54" s="25">
        <f t="shared" si="174"/>
        <v>3.1199999999999997</v>
      </c>
      <c r="BL54" s="4">
        <f t="shared" si="175"/>
        <v>63.499999999999986</v>
      </c>
      <c r="BP54" s="9"/>
      <c r="BR54" s="9"/>
      <c r="BS54" s="9"/>
      <c r="BT54" s="9">
        <f t="shared" si="176"/>
        <v>50.8</v>
      </c>
      <c r="BU54" s="9">
        <f t="shared" si="177"/>
        <v>63.499999999999986</v>
      </c>
      <c r="BV54" s="9">
        <f t="shared" si="178"/>
        <v>1.4623505735569622</v>
      </c>
      <c r="BW54" s="9">
        <v>0</v>
      </c>
      <c r="BX54" s="9">
        <f t="shared" si="179"/>
        <v>0</v>
      </c>
      <c r="BY54" s="9">
        <f t="shared" ref="BY54:BY62" si="230">MAX(0,BW54*(BX54-0.5/50))</f>
        <v>0</v>
      </c>
      <c r="BZ54" s="9">
        <f t="shared" si="180"/>
        <v>0.99524931562137331</v>
      </c>
      <c r="CA54" s="9">
        <f t="shared" si="181"/>
        <v>1.056</v>
      </c>
      <c r="CB54" s="9">
        <f t="shared" si="182"/>
        <v>1.911374255891328</v>
      </c>
      <c r="CC54" s="9">
        <f t="shared" si="183"/>
        <v>2.7950992393846952</v>
      </c>
      <c r="CD54" s="9">
        <v>1</v>
      </c>
      <c r="CE54" s="9" t="e">
        <f>4*CC54*#REF!+60*CC54</f>
        <v>#REF!</v>
      </c>
      <c r="CG54" s="4" t="e">
        <f t="shared" si="209"/>
        <v>#REF!</v>
      </c>
      <c r="CH54" s="4" t="e">
        <f t="shared" si="210"/>
        <v>#REF!</v>
      </c>
      <c r="CI54" s="4" t="e">
        <f t="shared" si="211"/>
        <v>#REF!</v>
      </c>
      <c r="CJ54" s="4" t="e">
        <f t="shared" si="212"/>
        <v>#REF!</v>
      </c>
      <c r="CK54" s="4" t="e">
        <f t="shared" si="213"/>
        <v>#REF!</v>
      </c>
      <c r="CL54" s="4" t="e">
        <f t="shared" si="214"/>
        <v>#REF!</v>
      </c>
      <c r="CM54" s="4">
        <f t="shared" si="215"/>
        <v>2.1733178714463932</v>
      </c>
      <c r="CO54" s="4" t="e">
        <f t="shared" si="216"/>
        <v>#REF!</v>
      </c>
      <c r="CP54" s="4" t="e">
        <f t="shared" si="217"/>
        <v>#REF!</v>
      </c>
      <c r="CQ54" s="4" t="e">
        <f t="shared" si="218"/>
        <v>#REF!</v>
      </c>
      <c r="CR54" s="4">
        <f t="shared" ref="CR54:CR62" si="231">CM54</f>
        <v>2.1733178714463932</v>
      </c>
      <c r="CS54" s="4" t="e">
        <f t="shared" si="219"/>
        <v>#REF!</v>
      </c>
      <c r="CT54" s="4" t="e">
        <f t="shared" si="220"/>
        <v>#REF!</v>
      </c>
      <c r="DB54" s="4">
        <f t="shared" ref="DB54:DB127" si="232">Z54</f>
        <v>0</v>
      </c>
      <c r="DC54" s="4">
        <f t="shared" si="184"/>
        <v>254</v>
      </c>
      <c r="DD54" s="4" t="e">
        <f>#REF!/E54</f>
        <v>#REF!</v>
      </c>
      <c r="DF54" s="4">
        <f t="shared" si="185"/>
        <v>1.7472864382687078E-5</v>
      </c>
      <c r="DG54" s="4">
        <f t="shared" ref="DG54:DG127" si="233">EB54</f>
        <v>6.5652823394499222</v>
      </c>
      <c r="DH54" s="4">
        <f t="shared" si="221"/>
        <v>0.83429304789996861</v>
      </c>
      <c r="DI54" s="4">
        <f t="shared" si="149"/>
        <v>6.1063382482034685</v>
      </c>
      <c r="DJ54" s="4">
        <f t="shared" si="150"/>
        <v>6.3399650157285841</v>
      </c>
      <c r="DK54" s="4">
        <f t="shared" si="186"/>
        <v>6.2449945492245247</v>
      </c>
      <c r="DL54" s="38" t="e">
        <f t="shared" si="187"/>
        <v>#REF!</v>
      </c>
      <c r="DM54" s="4" t="e">
        <f t="shared" si="151"/>
        <v>#REF!</v>
      </c>
      <c r="DN54" s="4">
        <f t="shared" si="222"/>
        <v>1.6881943016134133</v>
      </c>
      <c r="DO54" s="4">
        <f t="shared" si="152"/>
        <v>249.76472053237032</v>
      </c>
      <c r="DS54" s="4">
        <f t="shared" si="188"/>
        <v>0.85</v>
      </c>
      <c r="DT54" s="4">
        <f t="shared" si="189"/>
        <v>0.85000000000000009</v>
      </c>
      <c r="DU54" s="4">
        <f t="shared" si="190"/>
        <v>1</v>
      </c>
      <c r="DV54" s="4">
        <f t="shared" ref="DV54:DV62" si="234">IF(DT54*DU54&lt;0.7,0.7,DT54*DU54)</f>
        <v>0.85000000000000009</v>
      </c>
      <c r="DX54" s="4" t="e">
        <f t="shared" si="191"/>
        <v>#REF!</v>
      </c>
      <c r="DY54" s="25">
        <f t="shared" si="192"/>
        <v>258.22019535919065</v>
      </c>
      <c r="EA54" s="4">
        <f t="shared" si="224"/>
        <v>0.72250000000000003</v>
      </c>
      <c r="EB54" s="4">
        <f t="shared" si="159"/>
        <v>6.5652823394499222</v>
      </c>
      <c r="EC54" s="4">
        <f t="shared" si="193"/>
        <v>5.9197837798352051</v>
      </c>
      <c r="EE54" s="4">
        <f t="shared" si="194"/>
        <v>42.880135260980694</v>
      </c>
      <c r="EF54" s="4">
        <f t="shared" ref="EF54:EF127" si="235">R54^0.5</f>
        <v>1.6881943016134133</v>
      </c>
      <c r="EG54" s="4">
        <f t="shared" si="195"/>
        <v>0.23704771434421898</v>
      </c>
      <c r="EJ54" s="4">
        <f t="shared" ref="EJ54:EJ62" si="236">EG54</f>
        <v>0.23704771434421898</v>
      </c>
      <c r="EK54" s="4">
        <f t="shared" si="196"/>
        <v>0.83290076829411031</v>
      </c>
      <c r="EL54" s="4">
        <f t="shared" ref="EL54:EL127" si="237">EB54/1*EK54^0.4</f>
        <v>6.102260069503922</v>
      </c>
      <c r="EM54" s="4">
        <f t="shared" ref="EM54:EM62" si="238">EB54/1.4*(1-EK54^1.4)/(1-EK54)</f>
        <v>6.3380014382255325</v>
      </c>
      <c r="EN54" s="4">
        <f t="shared" ref="EN54:EN127" si="239">MAX(0,DC54*EN$9-EE54)</f>
        <v>147.61986473901931</v>
      </c>
      <c r="EO54" s="4">
        <f t="shared" ref="EO54:EO127" si="240">MAX(0,DC54-EE54-EN54)</f>
        <v>63.5</v>
      </c>
      <c r="EP54" s="4">
        <f t="shared" si="197"/>
        <v>1.7472864382687078E-5</v>
      </c>
      <c r="EQ54" s="4">
        <f t="shared" ref="EQ54:EQ62" si="241">MAX(0.5*EB54, (1-2*EP54*(EE54*EL54+EN54*EM54))/(1/EB54+EP54*EO54))</f>
        <v>6.2451004018517979</v>
      </c>
      <c r="ER54" s="4" t="e">
        <f t="shared" si="198"/>
        <v>#REF!</v>
      </c>
      <c r="ES54" s="4" t="e">
        <f t="shared" ref="ES54:ES127" si="242">IF(DD54&lt;=EN$9, MAX(0,DC54*DD54-EE54), MAX(0,DC54*EN$9-EE54))</f>
        <v>#REF!</v>
      </c>
      <c r="ET54" s="4" t="e">
        <f t="shared" ref="ET54:ET127" si="243">MAX(0, DC54*DD54-ES54-EE54)</f>
        <v>#REF!</v>
      </c>
      <c r="EV54" s="4" t="e">
        <f t="shared" si="199"/>
        <v>#REF!</v>
      </c>
      <c r="FA54" s="23" t="e">
        <f t="shared" ref="FA54:FA62" si="244">IF(CG54&lt;0.6,0.6,IF(CG54&lt;0.8,0.8,IF(CG54&lt;1,1,IF(CG54&lt;1.2,1.2,IF(CG54&lt;1.4,1.4,IF(CG54&lt;1.6,1.6,IF(CG54&lt;1.8,1.8,IF(CG54&lt;2,2,2.2))))))))</f>
        <v>#REF!</v>
      </c>
      <c r="FB54" s="23" t="e">
        <f t="shared" ref="FB54:FB62" si="245">IF(CH54&lt;0.6,0.6,IF(CH54&lt;0.8,0.8,IF(CH54&lt;1,1,IF(CH54&lt;1.2,1.2,IF(CH54&lt;1.4,1.4,IF(CH54&lt;1.6,1.6,IF(CH54&lt;1.8,1.8,IF(CH54&lt;2,2,2.2))))))))</f>
        <v>#REF!</v>
      </c>
      <c r="FC54" s="23">
        <f t="shared" ref="FC54:FC62" si="246">IF(CM54&lt;0.6,0.6,IF(CM54&lt;0.8,0.8,IF(CM54&lt;1,1,IF(CM54&lt;1.2,1.2,IF(CM54&lt;1.4,1.4,IF(CM54&lt;1.6,1.6,IF(CM54&lt;1.8,1.8,IF(CM54&lt;2,2,2.2))))))))</f>
        <v>2.2000000000000002</v>
      </c>
      <c r="FD54" s="23" t="e">
        <f t="shared" ref="FD54:FD62" si="247">IF(CJ54&lt;0.6,0.6,IF(CJ54&lt;0.8,0.8,IF(CJ54&lt;1,1,IF(CJ54&lt;1.2,1.2,IF(CJ54&lt;1.4,1.4,IF(CJ54&lt;1.6,1.6,IF(CJ54&lt;1.8,1.8,IF(CJ54&lt;2,2,2.2))))))))</f>
        <v>#REF!</v>
      </c>
      <c r="FE54" s="23" t="e">
        <f t="shared" ref="FE54:FE62" si="248">IF(CK54&lt;0.6,0.6,IF(CK54&lt;0.8,0.8,IF(CK54&lt;1,1,IF(CK54&lt;1.2,1.2,IF(CK54&lt;1.4,1.4,IF(CK54&lt;1.6,1.6,IF(CK54&lt;1.8,1.8,IF(CK54&lt;2,2,2.2))))))))</f>
        <v>#REF!</v>
      </c>
      <c r="FF54" s="23" t="e">
        <f t="shared" ref="FF54:FF62" si="249">IF(CL54&lt;0.6,0.6,IF(CL54&lt;0.8,0.8,IF(CL54&lt;1,1,IF(CL54&lt;1.2,1.2,IF(CL54&lt;1.4,1.4,IF(CL54&lt;1.6,1.6,IF(CL54&lt;1.8,1.8,IF(CL54&lt;2,2,2.2))))))))</f>
        <v>#REF!</v>
      </c>
      <c r="FG54" s="23" t="e">
        <f t="shared" ref="FG54:FG62" si="250">IF(FE54&lt;1,1,0)</f>
        <v>#REF!</v>
      </c>
      <c r="FH54" s="23"/>
      <c r="FI54" s="1" t="s">
        <v>42</v>
      </c>
      <c r="FJ54">
        <f>COUNTIF(FA19:FA574,0.6)</f>
        <v>0</v>
      </c>
      <c r="FK54">
        <f t="shared" ref="FK54:FO54" si="251">COUNTIF(FB19:FB574,0.6)</f>
        <v>0</v>
      </c>
      <c r="FL54">
        <f t="shared" si="251"/>
        <v>0</v>
      </c>
      <c r="FM54">
        <f t="shared" si="251"/>
        <v>0</v>
      </c>
      <c r="FN54">
        <f t="shared" si="251"/>
        <v>2</v>
      </c>
      <c r="FO54">
        <f t="shared" si="251"/>
        <v>1</v>
      </c>
      <c r="FR54" s="4">
        <f t="shared" si="140"/>
        <v>1</v>
      </c>
      <c r="FS54" s="4">
        <f t="shared" si="141"/>
        <v>1.0833333333333333</v>
      </c>
      <c r="FT54" s="4">
        <f t="shared" si="142"/>
        <v>0</v>
      </c>
      <c r="FU54" s="4">
        <f t="shared" si="143"/>
        <v>209.81744363815565</v>
      </c>
    </row>
    <row r="55" spans="1:177" ht="12" customHeight="1" x14ac:dyDescent="0.3">
      <c r="B55" s="24" t="s">
        <v>275</v>
      </c>
      <c r="C55" s="7" t="s">
        <v>276</v>
      </c>
      <c r="D55" s="7">
        <v>472</v>
      </c>
      <c r="E55" s="7">
        <f t="shared" si="226"/>
        <v>254</v>
      </c>
      <c r="F55" s="7">
        <v>27</v>
      </c>
      <c r="G55" s="7">
        <v>25.4</v>
      </c>
      <c r="H55" s="7">
        <f t="shared" si="200"/>
        <v>152.39999999999998</v>
      </c>
      <c r="I55" s="7">
        <f t="shared" si="160"/>
        <v>63.499999999999986</v>
      </c>
      <c r="J55" s="7">
        <f t="shared" si="201"/>
        <v>50.8</v>
      </c>
      <c r="K55" s="7">
        <v>0</v>
      </c>
      <c r="L55" s="7">
        <v>1</v>
      </c>
      <c r="M55" s="7">
        <f t="shared" si="202"/>
        <v>88.899999999999991</v>
      </c>
      <c r="N55" s="7">
        <f t="shared" si="161"/>
        <v>2.9999999999999996</v>
      </c>
      <c r="O55" s="7">
        <f t="shared" si="203"/>
        <v>4</v>
      </c>
      <c r="P55" s="7">
        <v>2.8</v>
      </c>
      <c r="Q55" s="7">
        <f t="shared" si="227"/>
        <v>2.8</v>
      </c>
      <c r="R55" s="7">
        <f t="shared" si="162"/>
        <v>3.8</v>
      </c>
      <c r="S55" s="7">
        <f t="shared" si="163"/>
        <v>49.513715271629529</v>
      </c>
      <c r="T55" s="7"/>
      <c r="U55" s="7"/>
      <c r="V55" s="7">
        <v>471</v>
      </c>
      <c r="W55" s="7"/>
      <c r="X55" s="7"/>
      <c r="Y55" s="7"/>
      <c r="Z55" s="7"/>
      <c r="AA55" s="7">
        <v>1</v>
      </c>
      <c r="AB55" s="7"/>
      <c r="AC55" s="7"/>
      <c r="AD55" s="7"/>
      <c r="AE55" s="4">
        <f t="shared" ref="AE55:AE86" si="252">E55</f>
        <v>254</v>
      </c>
      <c r="AF55" s="44">
        <f t="shared" si="204"/>
        <v>0.12666666666666665</v>
      </c>
      <c r="AG55" s="25">
        <f t="shared" si="164"/>
        <v>415.1214191673746</v>
      </c>
      <c r="AH55" s="4">
        <f t="shared" si="165"/>
        <v>0.7599999999999999</v>
      </c>
      <c r="AI55" s="4">
        <v>1.25</v>
      </c>
      <c r="AJ55" s="25">
        <f t="shared" si="146"/>
        <v>5</v>
      </c>
      <c r="AK55" s="38">
        <f t="shared" si="205"/>
        <v>249.76472053237029</v>
      </c>
      <c r="AL55" s="38">
        <f t="shared" si="148"/>
        <v>249.76472053237029</v>
      </c>
      <c r="AN55" s="38">
        <f t="shared" si="158"/>
        <v>249.76472053237032</v>
      </c>
      <c r="AO55" s="38">
        <f t="shared" si="87"/>
        <v>0.99999999999999989</v>
      </c>
      <c r="AP55" s="38">
        <f t="shared" si="206"/>
        <v>1.2300438632344617</v>
      </c>
      <c r="AQ55" s="4">
        <f t="shared" si="228"/>
        <v>0</v>
      </c>
      <c r="AR55" s="4" t="e">
        <f>#REF!/G55*F55^0.5/0.19</f>
        <v>#REF!</v>
      </c>
      <c r="AS55" s="4">
        <f t="shared" si="166"/>
        <v>1.1333333333333333</v>
      </c>
      <c r="AT55" s="38">
        <f t="shared" si="167"/>
        <v>307.22156174331246</v>
      </c>
      <c r="AU55" s="4">
        <f t="shared" si="168"/>
        <v>0.6080000000000001</v>
      </c>
      <c r="AV55" s="4" t="e">
        <f>AU55*D55*#REF!/(D55*G55/2.75/F55^0.5)</f>
        <v>#REF!</v>
      </c>
      <c r="AW55" s="4" t="e">
        <f t="shared" si="207"/>
        <v>#REF!</v>
      </c>
      <c r="AY55" s="36">
        <f t="shared" si="169"/>
        <v>1.1000000000000001</v>
      </c>
      <c r="AZ55" s="36" t="e">
        <f>(1.6*#REF!+22)*AY55*F55^0.5</f>
        <v>#REF!</v>
      </c>
      <c r="BE55" s="4">
        <f t="shared" si="170"/>
        <v>63.499999999999986</v>
      </c>
      <c r="BF55" s="4">
        <f t="shared" si="171"/>
        <v>63.499999999999986</v>
      </c>
      <c r="BG55" s="4">
        <f t="shared" si="172"/>
        <v>88.899999999999991</v>
      </c>
      <c r="BH55" s="4">
        <f t="shared" si="173"/>
        <v>76.199999999999989</v>
      </c>
      <c r="BI55" s="4">
        <f t="shared" si="229"/>
        <v>1.04</v>
      </c>
      <c r="BJ55" s="25">
        <f t="shared" si="174"/>
        <v>3.1199999999999997</v>
      </c>
      <c r="BL55" s="4">
        <f t="shared" si="175"/>
        <v>63.499999999999986</v>
      </c>
      <c r="BP55" s="9"/>
      <c r="BR55" s="9"/>
      <c r="BS55" s="9"/>
      <c r="BT55" s="9">
        <f t="shared" si="176"/>
        <v>50.8</v>
      </c>
      <c r="BU55" s="9">
        <f t="shared" si="177"/>
        <v>63.499999999999986</v>
      </c>
      <c r="BV55" s="9">
        <f t="shared" si="178"/>
        <v>1.4623505735569622</v>
      </c>
      <c r="BW55" s="9">
        <v>0</v>
      </c>
      <c r="BX55" s="9">
        <f t="shared" si="179"/>
        <v>0</v>
      </c>
      <c r="BY55" s="9">
        <f t="shared" si="230"/>
        <v>0</v>
      </c>
      <c r="BZ55" s="9">
        <f t="shared" si="180"/>
        <v>0.99524931562137331</v>
      </c>
      <c r="CA55" s="9">
        <f t="shared" si="181"/>
        <v>1.056</v>
      </c>
      <c r="CB55" s="9">
        <f t="shared" si="182"/>
        <v>1.911374255891328</v>
      </c>
      <c r="CC55" s="9">
        <f t="shared" si="183"/>
        <v>2.7950992393846952</v>
      </c>
      <c r="CD55" s="9">
        <v>1</v>
      </c>
      <c r="CE55" s="9" t="e">
        <f>4*CC55*#REF!+60*CC55</f>
        <v>#REF!</v>
      </c>
      <c r="CG55" s="4" t="e">
        <f t="shared" si="209"/>
        <v>#REF!</v>
      </c>
      <c r="CH55" s="4" t="e">
        <f t="shared" si="210"/>
        <v>#REF!</v>
      </c>
      <c r="CI55" s="4" t="e">
        <f t="shared" si="211"/>
        <v>#REF!</v>
      </c>
      <c r="CJ55" s="4" t="e">
        <f t="shared" si="212"/>
        <v>#REF!</v>
      </c>
      <c r="CK55" s="4" t="e">
        <f t="shared" si="213"/>
        <v>#REF!</v>
      </c>
      <c r="CL55" s="4" t="e">
        <f t="shared" si="214"/>
        <v>#REF!</v>
      </c>
      <c r="CM55" s="4">
        <f t="shared" si="215"/>
        <v>2.2448085909018665</v>
      </c>
      <c r="CO55" s="4" t="e">
        <f t="shared" si="216"/>
        <v>#REF!</v>
      </c>
      <c r="CP55" s="4" t="e">
        <f t="shared" si="217"/>
        <v>#REF!</v>
      </c>
      <c r="CQ55" s="4" t="e">
        <f t="shared" si="218"/>
        <v>#REF!</v>
      </c>
      <c r="CR55" s="4">
        <f t="shared" si="231"/>
        <v>2.2448085909018665</v>
      </c>
      <c r="CS55" s="4" t="e">
        <f t="shared" si="219"/>
        <v>#REF!</v>
      </c>
      <c r="CT55" s="4" t="e">
        <f t="shared" si="220"/>
        <v>#REF!</v>
      </c>
      <c r="DB55" s="4">
        <f t="shared" si="232"/>
        <v>0</v>
      </c>
      <c r="DC55" s="4">
        <f t="shared" si="184"/>
        <v>254</v>
      </c>
      <c r="DD55" s="4" t="e">
        <f>#REF!/E55</f>
        <v>#REF!</v>
      </c>
      <c r="DF55" s="4">
        <f t="shared" si="185"/>
        <v>1.7472864382687078E-5</v>
      </c>
      <c r="DG55" s="4">
        <f t="shared" si="233"/>
        <v>6.5652823394499222</v>
      </c>
      <c r="DH55" s="4">
        <f t="shared" si="221"/>
        <v>0.63650481014853455</v>
      </c>
      <c r="DI55" s="4">
        <f t="shared" si="149"/>
        <v>5.4799182998901728</v>
      </c>
      <c r="DJ55" s="4">
        <f t="shared" si="150"/>
        <v>6.0470204445706219</v>
      </c>
      <c r="DK55" s="4">
        <f t="shared" si="186"/>
        <v>6.2618192677258611</v>
      </c>
      <c r="DL55" s="38" t="e">
        <f t="shared" si="187"/>
        <v>#REF!</v>
      </c>
      <c r="DM55" s="4" t="e">
        <f t="shared" si="151"/>
        <v>#REF!</v>
      </c>
      <c r="DN55" s="4">
        <f t="shared" si="222"/>
        <v>1.9493588689617927</v>
      </c>
      <c r="DO55" s="4">
        <f t="shared" si="152"/>
        <v>249.76472053237032</v>
      </c>
      <c r="DS55" s="4">
        <f t="shared" si="188"/>
        <v>0.85</v>
      </c>
      <c r="DT55" s="4">
        <f t="shared" si="189"/>
        <v>0.85000000000000009</v>
      </c>
      <c r="DU55" s="4">
        <f t="shared" si="190"/>
        <v>1</v>
      </c>
      <c r="DV55" s="4">
        <f t="shared" si="234"/>
        <v>0.85000000000000009</v>
      </c>
      <c r="DX55" s="4" t="e">
        <f t="shared" si="191"/>
        <v>#REF!</v>
      </c>
      <c r="DY55" s="25">
        <f t="shared" si="192"/>
        <v>258.22019535919065</v>
      </c>
      <c r="EA55" s="4">
        <f t="shared" si="224"/>
        <v>0.72250000000000003</v>
      </c>
      <c r="EB55" s="4">
        <f t="shared" si="159"/>
        <v>6.5652823394499222</v>
      </c>
      <c r="EC55" s="4">
        <f t="shared" si="193"/>
        <v>5.9197837798352051</v>
      </c>
      <c r="EE55" s="4">
        <f t="shared" si="194"/>
        <v>49.513715271629529</v>
      </c>
      <c r="EF55" s="4">
        <f t="shared" si="235"/>
        <v>1.9493588689617927</v>
      </c>
      <c r="EG55" s="4">
        <f t="shared" si="195"/>
        <v>0.18085013508694833</v>
      </c>
      <c r="EJ55" s="4">
        <f t="shared" si="236"/>
        <v>0.18085013508694833</v>
      </c>
      <c r="EK55" s="4">
        <f t="shared" si="196"/>
        <v>0.63544260224876703</v>
      </c>
      <c r="EL55" s="4">
        <f t="shared" si="237"/>
        <v>5.4762584819800804</v>
      </c>
      <c r="EM55" s="4">
        <f t="shared" si="238"/>
        <v>6.0453627528027827</v>
      </c>
      <c r="EN55" s="4">
        <f t="shared" si="239"/>
        <v>140.98628472837046</v>
      </c>
      <c r="EO55" s="4">
        <f t="shared" si="240"/>
        <v>63.5</v>
      </c>
      <c r="EP55" s="4">
        <f t="shared" si="197"/>
        <v>1.7472864382687078E-5</v>
      </c>
      <c r="EQ55" s="4">
        <f t="shared" si="241"/>
        <v>6.2619137744944693</v>
      </c>
      <c r="ER55" s="4" t="e">
        <f t="shared" si="198"/>
        <v>#REF!</v>
      </c>
      <c r="ES55" s="4" t="e">
        <f t="shared" si="242"/>
        <v>#REF!</v>
      </c>
      <c r="ET55" s="4" t="e">
        <f t="shared" si="243"/>
        <v>#REF!</v>
      </c>
      <c r="EV55" s="4" t="e">
        <f t="shared" si="199"/>
        <v>#REF!</v>
      </c>
      <c r="FA55" s="23" t="e">
        <f t="shared" si="244"/>
        <v>#REF!</v>
      </c>
      <c r="FB55" s="23" t="e">
        <f t="shared" si="245"/>
        <v>#REF!</v>
      </c>
      <c r="FC55" s="23">
        <f t="shared" si="246"/>
        <v>2.2000000000000002</v>
      </c>
      <c r="FD55" s="23" t="e">
        <f t="shared" si="247"/>
        <v>#REF!</v>
      </c>
      <c r="FE55" s="23" t="e">
        <f t="shared" si="248"/>
        <v>#REF!</v>
      </c>
      <c r="FF55" s="23" t="e">
        <f t="shared" si="249"/>
        <v>#REF!</v>
      </c>
      <c r="FG55" s="23" t="e">
        <f t="shared" si="250"/>
        <v>#REF!</v>
      </c>
      <c r="FH55" s="23"/>
      <c r="FI55" s="1" t="s">
        <v>43</v>
      </c>
      <c r="FJ55">
        <f>COUNTIF(FA19:FA574,0.8)</f>
        <v>0</v>
      </c>
      <c r="FK55">
        <f t="shared" ref="FK55:FO55" si="253">COUNTIF(FB19:FB574,0.8)</f>
        <v>0</v>
      </c>
      <c r="FL55">
        <f t="shared" si="253"/>
        <v>9</v>
      </c>
      <c r="FM55">
        <f t="shared" si="253"/>
        <v>0</v>
      </c>
      <c r="FN55">
        <f t="shared" si="253"/>
        <v>39</v>
      </c>
      <c r="FO55">
        <f t="shared" si="253"/>
        <v>38</v>
      </c>
      <c r="FR55" s="4">
        <f t="shared" si="140"/>
        <v>1</v>
      </c>
      <c r="FS55" s="4">
        <f t="shared" si="141"/>
        <v>1.0833333333333333</v>
      </c>
      <c r="FT55" s="4">
        <f t="shared" si="142"/>
        <v>0</v>
      </c>
      <c r="FU55" s="4">
        <f t="shared" si="143"/>
        <v>209.81744363815565</v>
      </c>
    </row>
    <row r="56" spans="1:177" ht="12" customHeight="1" x14ac:dyDescent="0.3">
      <c r="B56" s="24"/>
      <c r="C56" s="7" t="s">
        <v>277</v>
      </c>
      <c r="D56" s="7">
        <v>472</v>
      </c>
      <c r="E56" s="7">
        <f t="shared" si="226"/>
        <v>254</v>
      </c>
      <c r="F56" s="7">
        <v>27</v>
      </c>
      <c r="G56" s="7">
        <v>25.4</v>
      </c>
      <c r="H56" s="7">
        <f t="shared" si="200"/>
        <v>152.39999999999998</v>
      </c>
      <c r="I56" s="7">
        <f t="shared" si="160"/>
        <v>63.499999999999986</v>
      </c>
      <c r="J56" s="7">
        <f t="shared" si="201"/>
        <v>50.8</v>
      </c>
      <c r="K56" s="7">
        <v>0</v>
      </c>
      <c r="L56" s="7">
        <v>1</v>
      </c>
      <c r="M56" s="7">
        <f t="shared" si="202"/>
        <v>88.899999999999991</v>
      </c>
      <c r="N56" s="7">
        <f t="shared" si="161"/>
        <v>2.9999999999999996</v>
      </c>
      <c r="O56" s="7">
        <f t="shared" si="203"/>
        <v>4</v>
      </c>
      <c r="P56" s="7">
        <v>2.8</v>
      </c>
      <c r="Q56" s="7">
        <f t="shared" si="227"/>
        <v>2.8</v>
      </c>
      <c r="R56" s="7">
        <f t="shared" si="162"/>
        <v>3.8</v>
      </c>
      <c r="S56" s="7">
        <f t="shared" si="163"/>
        <v>49.513715271629529</v>
      </c>
      <c r="T56" s="7"/>
      <c r="U56" s="7"/>
      <c r="V56" s="7">
        <v>451</v>
      </c>
      <c r="W56" s="7"/>
      <c r="X56" s="7"/>
      <c r="Y56" s="7"/>
      <c r="Z56" s="7"/>
      <c r="AA56" s="7">
        <v>1</v>
      </c>
      <c r="AB56" s="7"/>
      <c r="AC56" s="7"/>
      <c r="AD56" s="7"/>
      <c r="AE56" s="4">
        <f t="shared" si="252"/>
        <v>254</v>
      </c>
      <c r="AF56" s="44">
        <f t="shared" si="204"/>
        <v>0.12666666666666665</v>
      </c>
      <c r="AG56" s="25">
        <f t="shared" si="164"/>
        <v>415.1214191673746</v>
      </c>
      <c r="AH56" s="4">
        <f t="shared" si="165"/>
        <v>0.7599999999999999</v>
      </c>
      <c r="AI56" s="4">
        <v>1.25</v>
      </c>
      <c r="AJ56" s="25">
        <f t="shared" si="146"/>
        <v>5</v>
      </c>
      <c r="AK56" s="38">
        <f t="shared" si="205"/>
        <v>249.76472053237029</v>
      </c>
      <c r="AL56" s="38">
        <f t="shared" si="148"/>
        <v>249.76472053237029</v>
      </c>
      <c r="AN56" s="38">
        <f t="shared" si="158"/>
        <v>249.76472053237032</v>
      </c>
      <c r="AO56" s="38">
        <f t="shared" si="87"/>
        <v>0.99999999999999989</v>
      </c>
      <c r="AP56" s="38">
        <f t="shared" si="206"/>
        <v>1.2300438632344617</v>
      </c>
      <c r="AQ56" s="4">
        <f t="shared" si="228"/>
        <v>0</v>
      </c>
      <c r="AR56" s="4" t="e">
        <f>#REF!/G56*F56^0.5/0.19</f>
        <v>#REF!</v>
      </c>
      <c r="AS56" s="4">
        <f t="shared" si="166"/>
        <v>1.1333333333333333</v>
      </c>
      <c r="AT56" s="38">
        <f t="shared" si="167"/>
        <v>307.22156174331246</v>
      </c>
      <c r="AU56" s="4">
        <f t="shared" si="168"/>
        <v>0.6080000000000001</v>
      </c>
      <c r="AV56" s="4" t="e">
        <f>AU56*D56*#REF!/(D56*G56/2.75/F56^0.5)</f>
        <v>#REF!</v>
      </c>
      <c r="AW56" s="4" t="e">
        <f t="shared" si="207"/>
        <v>#REF!</v>
      </c>
      <c r="AY56" s="36">
        <f t="shared" si="169"/>
        <v>1.1000000000000001</v>
      </c>
      <c r="AZ56" s="36" t="e">
        <f>(1.6*#REF!+22)*AY56*F56^0.5</f>
        <v>#REF!</v>
      </c>
      <c r="BE56" s="4">
        <f t="shared" si="170"/>
        <v>63.499999999999986</v>
      </c>
      <c r="BF56" s="4">
        <f t="shared" si="171"/>
        <v>63.499999999999986</v>
      </c>
      <c r="BG56" s="4">
        <f t="shared" si="172"/>
        <v>88.899999999999991</v>
      </c>
      <c r="BH56" s="4">
        <f t="shared" si="173"/>
        <v>76.199999999999989</v>
      </c>
      <c r="BI56" s="4">
        <f t="shared" si="229"/>
        <v>1.04</v>
      </c>
      <c r="BJ56" s="25">
        <f t="shared" si="174"/>
        <v>3.1199999999999997</v>
      </c>
      <c r="BL56" s="4">
        <f t="shared" si="175"/>
        <v>63.499999999999986</v>
      </c>
      <c r="BP56" s="9"/>
      <c r="BR56" s="9"/>
      <c r="BS56" s="9"/>
      <c r="BT56" s="9">
        <f t="shared" si="176"/>
        <v>50.8</v>
      </c>
      <c r="BU56" s="9">
        <f t="shared" si="177"/>
        <v>63.499999999999986</v>
      </c>
      <c r="BV56" s="9">
        <f t="shared" si="178"/>
        <v>1.4623505735569622</v>
      </c>
      <c r="BW56" s="9">
        <v>0</v>
      </c>
      <c r="BX56" s="9">
        <f t="shared" si="179"/>
        <v>0</v>
      </c>
      <c r="BY56" s="9">
        <f t="shared" si="230"/>
        <v>0</v>
      </c>
      <c r="BZ56" s="9">
        <f t="shared" si="180"/>
        <v>0.99524931562137331</v>
      </c>
      <c r="CA56" s="9">
        <f t="shared" si="181"/>
        <v>1.056</v>
      </c>
      <c r="CB56" s="9">
        <f t="shared" si="182"/>
        <v>1.911374255891328</v>
      </c>
      <c r="CC56" s="9">
        <f t="shared" si="183"/>
        <v>2.7950992393846952</v>
      </c>
      <c r="CD56" s="9">
        <v>1</v>
      </c>
      <c r="CE56" s="9" t="e">
        <f>4*CC56*#REF!+60*CC56</f>
        <v>#REF!</v>
      </c>
      <c r="CG56" s="4" t="e">
        <f t="shared" si="209"/>
        <v>#REF!</v>
      </c>
      <c r="CH56" s="4" t="e">
        <f t="shared" si="210"/>
        <v>#REF!</v>
      </c>
      <c r="CI56" s="4" t="e">
        <f t="shared" si="211"/>
        <v>#REF!</v>
      </c>
      <c r="CJ56" s="4" t="e">
        <f t="shared" si="212"/>
        <v>#REF!</v>
      </c>
      <c r="CK56" s="4" t="e">
        <f t="shared" si="213"/>
        <v>#REF!</v>
      </c>
      <c r="CL56" s="4" t="e">
        <f t="shared" si="214"/>
        <v>#REF!</v>
      </c>
      <c r="CM56" s="4">
        <f t="shared" si="215"/>
        <v>2.1494876316279021</v>
      </c>
      <c r="CO56" s="4" t="e">
        <f t="shared" si="216"/>
        <v>#REF!</v>
      </c>
      <c r="CP56" s="4" t="e">
        <f t="shared" si="217"/>
        <v>#REF!</v>
      </c>
      <c r="CQ56" s="4" t="e">
        <f t="shared" si="218"/>
        <v>#REF!</v>
      </c>
      <c r="CR56" s="4">
        <f t="shared" si="231"/>
        <v>2.1494876316279021</v>
      </c>
      <c r="CS56" s="4" t="e">
        <f t="shared" si="219"/>
        <v>#REF!</v>
      </c>
      <c r="CT56" s="4" t="e">
        <f t="shared" si="220"/>
        <v>#REF!</v>
      </c>
      <c r="DB56" s="4">
        <f t="shared" si="232"/>
        <v>0</v>
      </c>
      <c r="DC56" s="4">
        <f t="shared" si="184"/>
        <v>254</v>
      </c>
      <c r="DD56" s="4" t="e">
        <f>#REF!/E56</f>
        <v>#REF!</v>
      </c>
      <c r="DF56" s="4">
        <f t="shared" si="185"/>
        <v>1.7472864382687078E-5</v>
      </c>
      <c r="DG56" s="4">
        <f t="shared" si="233"/>
        <v>6.5652823394499222</v>
      </c>
      <c r="DH56" s="4">
        <f t="shared" si="221"/>
        <v>0.63650481014853455</v>
      </c>
      <c r="DI56" s="4">
        <f t="shared" si="149"/>
        <v>5.4799182998901728</v>
      </c>
      <c r="DJ56" s="4">
        <f t="shared" si="150"/>
        <v>6.0470204445706219</v>
      </c>
      <c r="DK56" s="4">
        <f t="shared" si="186"/>
        <v>6.2618192677258611</v>
      </c>
      <c r="DL56" s="38" t="e">
        <f t="shared" si="187"/>
        <v>#REF!</v>
      </c>
      <c r="DM56" s="4" t="e">
        <f t="shared" si="151"/>
        <v>#REF!</v>
      </c>
      <c r="DN56" s="4">
        <f t="shared" si="222"/>
        <v>1.9493588689617927</v>
      </c>
      <c r="DO56" s="4">
        <f t="shared" si="152"/>
        <v>249.76472053237032</v>
      </c>
      <c r="DS56" s="4">
        <f t="shared" si="188"/>
        <v>0.85</v>
      </c>
      <c r="DT56" s="4">
        <f t="shared" si="189"/>
        <v>0.85000000000000009</v>
      </c>
      <c r="DU56" s="4">
        <f t="shared" si="190"/>
        <v>1</v>
      </c>
      <c r="DV56" s="4">
        <f t="shared" si="234"/>
        <v>0.85000000000000009</v>
      </c>
      <c r="DX56" s="4" t="e">
        <f t="shared" si="191"/>
        <v>#REF!</v>
      </c>
      <c r="DY56" s="25">
        <f t="shared" si="192"/>
        <v>258.22019535919065</v>
      </c>
      <c r="EA56" s="4">
        <f t="shared" si="224"/>
        <v>0.72250000000000003</v>
      </c>
      <c r="EB56" s="4">
        <f t="shared" si="159"/>
        <v>6.5652823394499222</v>
      </c>
      <c r="EC56" s="4">
        <f t="shared" si="193"/>
        <v>5.9197837798352051</v>
      </c>
      <c r="EE56" s="4">
        <f t="shared" si="194"/>
        <v>49.513715271629529</v>
      </c>
      <c r="EF56" s="4">
        <f t="shared" si="235"/>
        <v>1.9493588689617927</v>
      </c>
      <c r="EG56" s="4">
        <f t="shared" si="195"/>
        <v>0.18085013508694833</v>
      </c>
      <c r="EJ56" s="4">
        <f t="shared" si="236"/>
        <v>0.18085013508694833</v>
      </c>
      <c r="EK56" s="4">
        <f t="shared" si="196"/>
        <v>0.63544260224876703</v>
      </c>
      <c r="EL56" s="4">
        <f t="shared" si="237"/>
        <v>5.4762584819800804</v>
      </c>
      <c r="EM56" s="4">
        <f t="shared" si="238"/>
        <v>6.0453627528027827</v>
      </c>
      <c r="EN56" s="4">
        <f t="shared" si="239"/>
        <v>140.98628472837046</v>
      </c>
      <c r="EO56" s="4">
        <f t="shared" si="240"/>
        <v>63.5</v>
      </c>
      <c r="EP56" s="4">
        <f t="shared" si="197"/>
        <v>1.7472864382687078E-5</v>
      </c>
      <c r="EQ56" s="4">
        <f t="shared" si="241"/>
        <v>6.2619137744944693</v>
      </c>
      <c r="ER56" s="4" t="e">
        <f t="shared" si="198"/>
        <v>#REF!</v>
      </c>
      <c r="ES56" s="4" t="e">
        <f t="shared" si="242"/>
        <v>#REF!</v>
      </c>
      <c r="ET56" s="4" t="e">
        <f t="shared" si="243"/>
        <v>#REF!</v>
      </c>
      <c r="EV56" s="4" t="e">
        <f t="shared" si="199"/>
        <v>#REF!</v>
      </c>
      <c r="FA56" s="23" t="e">
        <f t="shared" si="244"/>
        <v>#REF!</v>
      </c>
      <c r="FB56" s="23" t="e">
        <f t="shared" si="245"/>
        <v>#REF!</v>
      </c>
      <c r="FC56" s="23">
        <f t="shared" si="246"/>
        <v>2.2000000000000002</v>
      </c>
      <c r="FD56" s="23" t="e">
        <f t="shared" si="247"/>
        <v>#REF!</v>
      </c>
      <c r="FE56" s="23" t="e">
        <f t="shared" si="248"/>
        <v>#REF!</v>
      </c>
      <c r="FF56" s="23" t="e">
        <f t="shared" si="249"/>
        <v>#REF!</v>
      </c>
      <c r="FG56" s="23" t="e">
        <f t="shared" si="250"/>
        <v>#REF!</v>
      </c>
      <c r="FH56" s="23"/>
      <c r="FI56" s="1" t="s">
        <v>44</v>
      </c>
      <c r="FJ56">
        <f>COUNTIF(FA19:FA573,1)</f>
        <v>0</v>
      </c>
      <c r="FK56">
        <f t="shared" ref="FK56:FN56" si="254">COUNTIF(FB19:FB573,1)</f>
        <v>0</v>
      </c>
      <c r="FL56">
        <f t="shared" si="254"/>
        <v>30</v>
      </c>
      <c r="FM56">
        <f t="shared" si="254"/>
        <v>0</v>
      </c>
      <c r="FN56">
        <f t="shared" si="254"/>
        <v>77</v>
      </c>
      <c r="FO56">
        <f>COUNTIF(FF19:FF573,1)</f>
        <v>63</v>
      </c>
      <c r="FR56" s="4">
        <f t="shared" si="140"/>
        <v>1</v>
      </c>
      <c r="FS56" s="4">
        <f t="shared" si="141"/>
        <v>1.0833333333333333</v>
      </c>
      <c r="FT56" s="4">
        <f t="shared" si="142"/>
        <v>0</v>
      </c>
      <c r="FU56" s="4">
        <f t="shared" si="143"/>
        <v>209.81744363815565</v>
      </c>
    </row>
    <row r="57" spans="1:177" ht="12" customHeight="1" x14ac:dyDescent="0.3">
      <c r="B57" s="24"/>
      <c r="C57" s="7" t="s">
        <v>278</v>
      </c>
      <c r="D57" s="7">
        <v>472</v>
      </c>
      <c r="E57" s="7">
        <f t="shared" si="226"/>
        <v>254</v>
      </c>
      <c r="F57" s="7">
        <v>21</v>
      </c>
      <c r="G57" s="7">
        <v>25.4</v>
      </c>
      <c r="H57" s="7">
        <f t="shared" si="200"/>
        <v>152.39999999999998</v>
      </c>
      <c r="I57" s="7">
        <f t="shared" si="160"/>
        <v>63.499999999999986</v>
      </c>
      <c r="J57" s="7">
        <f t="shared" si="201"/>
        <v>50.8</v>
      </c>
      <c r="K57" s="7">
        <v>0</v>
      </c>
      <c r="L57" s="7">
        <v>1</v>
      </c>
      <c r="M57" s="7">
        <f t="shared" si="202"/>
        <v>88.899999999999991</v>
      </c>
      <c r="N57" s="7">
        <f t="shared" si="161"/>
        <v>2.9999999999999996</v>
      </c>
      <c r="O57" s="7">
        <f t="shared" si="203"/>
        <v>4</v>
      </c>
      <c r="P57" s="7">
        <v>4.04</v>
      </c>
      <c r="Q57" s="7">
        <f t="shared" si="227"/>
        <v>4.04</v>
      </c>
      <c r="R57" s="7">
        <f t="shared" si="162"/>
        <v>5.04</v>
      </c>
      <c r="S57" s="7">
        <f t="shared" si="163"/>
        <v>57.022858574434863</v>
      </c>
      <c r="T57" s="7"/>
      <c r="U57" s="7"/>
      <c r="V57" s="7">
        <v>319</v>
      </c>
      <c r="W57" s="7"/>
      <c r="X57" s="7"/>
      <c r="Y57" s="7"/>
      <c r="Z57" s="7"/>
      <c r="AA57" s="7">
        <v>1</v>
      </c>
      <c r="AB57" s="7"/>
      <c r="AC57" s="7"/>
      <c r="AD57" s="7"/>
      <c r="AE57" s="4">
        <f t="shared" si="252"/>
        <v>254</v>
      </c>
      <c r="AF57" s="44">
        <f t="shared" si="204"/>
        <v>0.12666666666666665</v>
      </c>
      <c r="AG57" s="25">
        <f t="shared" si="164"/>
        <v>366.10267967102493</v>
      </c>
      <c r="AH57" s="4">
        <f t="shared" si="165"/>
        <v>0.7599999999999999</v>
      </c>
      <c r="AI57" s="4">
        <v>1.25</v>
      </c>
      <c r="AJ57" s="25">
        <f t="shared" si="146"/>
        <v>5</v>
      </c>
      <c r="AK57" s="38">
        <f t="shared" si="205"/>
        <v>220.27177893539994</v>
      </c>
      <c r="AL57" s="38">
        <f t="shared" si="148"/>
        <v>220.27177893539994</v>
      </c>
      <c r="AN57" s="38">
        <f t="shared" si="158"/>
        <v>220.27177893539994</v>
      </c>
      <c r="AO57" s="38">
        <f t="shared" si="87"/>
        <v>1</v>
      </c>
      <c r="AP57" s="38">
        <f t="shared" si="206"/>
        <v>1.3030468502430785</v>
      </c>
      <c r="AQ57" s="4">
        <f t="shared" si="228"/>
        <v>0</v>
      </c>
      <c r="AR57" s="4" t="e">
        <f>#REF!/G57*F57^0.5/0.19</f>
        <v>#REF!</v>
      </c>
      <c r="AS57" s="4">
        <f t="shared" si="166"/>
        <v>1.1333333333333333</v>
      </c>
      <c r="AT57" s="38">
        <f t="shared" si="167"/>
        <v>287.02444773921258</v>
      </c>
      <c r="AU57" s="4">
        <f t="shared" si="168"/>
        <v>0.43440000000000001</v>
      </c>
      <c r="AV57" s="4" t="e">
        <f>AU57*D57*#REF!/(D57*G57/2.75/F57^0.5)</f>
        <v>#REF!</v>
      </c>
      <c r="AW57" s="4" t="e">
        <f t="shared" si="207"/>
        <v>#REF!</v>
      </c>
      <c r="AY57" s="36">
        <f t="shared" si="169"/>
        <v>1.1000000000000001</v>
      </c>
      <c r="AZ57" s="36" t="e">
        <f>(1.6*#REF!+22)*AY57*F57^0.5</f>
        <v>#REF!</v>
      </c>
      <c r="BE57" s="4">
        <f t="shared" si="170"/>
        <v>63.499999999999986</v>
      </c>
      <c r="BF57" s="4">
        <f t="shared" si="171"/>
        <v>63.499999999999986</v>
      </c>
      <c r="BG57" s="4">
        <f t="shared" si="172"/>
        <v>88.899999999999991</v>
      </c>
      <c r="BH57" s="4">
        <f t="shared" si="173"/>
        <v>76.199999999999989</v>
      </c>
      <c r="BI57" s="4">
        <f t="shared" si="229"/>
        <v>1.04</v>
      </c>
      <c r="BJ57" s="25">
        <f t="shared" si="174"/>
        <v>3.1199999999999997</v>
      </c>
      <c r="BL57" s="4">
        <f t="shared" si="175"/>
        <v>63.499999999999986</v>
      </c>
      <c r="BP57" s="9"/>
      <c r="BR57" s="9"/>
      <c r="BS57" s="9"/>
      <c r="BT57" s="9">
        <f t="shared" si="176"/>
        <v>50.8</v>
      </c>
      <c r="BU57" s="9">
        <f t="shared" si="177"/>
        <v>63.499999999999986</v>
      </c>
      <c r="BV57" s="9">
        <f t="shared" si="178"/>
        <v>1.4623505735569622</v>
      </c>
      <c r="BW57" s="9">
        <v>0</v>
      </c>
      <c r="BX57" s="9">
        <f t="shared" si="179"/>
        <v>0</v>
      </c>
      <c r="BY57" s="9">
        <f t="shared" si="230"/>
        <v>0</v>
      </c>
      <c r="BZ57" s="9">
        <f t="shared" si="180"/>
        <v>0.99524931562137331</v>
      </c>
      <c r="CA57" s="9">
        <f t="shared" si="181"/>
        <v>1.056</v>
      </c>
      <c r="CB57" s="9">
        <f t="shared" si="182"/>
        <v>1.6856736478198622</v>
      </c>
      <c r="CC57" s="9">
        <f t="shared" si="183"/>
        <v>2.465045825719232</v>
      </c>
      <c r="CD57" s="9">
        <v>1</v>
      </c>
      <c r="CE57" s="9" t="e">
        <f>4*CC57*#REF!+60*CC57</f>
        <v>#REF!</v>
      </c>
      <c r="CG57" s="4" t="e">
        <f t="shared" si="209"/>
        <v>#REF!</v>
      </c>
      <c r="CH57" s="4" t="e">
        <f t="shared" si="210"/>
        <v>#REF!</v>
      </c>
      <c r="CI57" s="4" t="e">
        <f t="shared" si="211"/>
        <v>#REF!</v>
      </c>
      <c r="CJ57" s="4" t="e">
        <f t="shared" si="212"/>
        <v>#REF!</v>
      </c>
      <c r="CK57" s="4" t="e">
        <f t="shared" si="213"/>
        <v>#REF!</v>
      </c>
      <c r="CL57" s="4" t="e">
        <f t="shared" si="214"/>
        <v>#REF!</v>
      </c>
      <c r="CM57" s="4">
        <f t="shared" si="215"/>
        <v>1.6189566089937328</v>
      </c>
      <c r="CO57" s="4" t="e">
        <f t="shared" si="216"/>
        <v>#REF!</v>
      </c>
      <c r="CP57" s="4" t="e">
        <f t="shared" si="217"/>
        <v>#REF!</v>
      </c>
      <c r="CQ57" s="4" t="e">
        <f t="shared" si="218"/>
        <v>#REF!</v>
      </c>
      <c r="CR57" s="4">
        <f t="shared" si="231"/>
        <v>1.6189566089937328</v>
      </c>
      <c r="CS57" s="4" t="e">
        <f t="shared" si="219"/>
        <v>#REF!</v>
      </c>
      <c r="CT57" s="4" t="e">
        <f t="shared" si="220"/>
        <v>#REF!</v>
      </c>
      <c r="DB57" s="4">
        <f t="shared" si="232"/>
        <v>0</v>
      </c>
      <c r="DC57" s="4">
        <f t="shared" si="184"/>
        <v>254</v>
      </c>
      <c r="DD57" s="4" t="e">
        <f>#REF!/E57</f>
        <v>#REF!</v>
      </c>
      <c r="DF57" s="4">
        <f t="shared" si="185"/>
        <v>1.668887417236156E-5</v>
      </c>
      <c r="DG57" s="4">
        <f t="shared" si="233"/>
        <v>5.7900347857029448</v>
      </c>
      <c r="DH57" s="4">
        <f t="shared" si="221"/>
        <v>0.57606841067610404</v>
      </c>
      <c r="DI57" s="4">
        <f t="shared" si="149"/>
        <v>4.6437710234872753</v>
      </c>
      <c r="DJ57" s="4">
        <f t="shared" si="150"/>
        <v>5.248328253060607</v>
      </c>
      <c r="DK57" s="4">
        <f t="shared" si="186"/>
        <v>5.5693031817357328</v>
      </c>
      <c r="DL57" s="38" t="e">
        <f t="shared" si="187"/>
        <v>#REF!</v>
      </c>
      <c r="DM57" s="4" t="e">
        <f t="shared" si="151"/>
        <v>#REF!</v>
      </c>
      <c r="DN57" s="4">
        <f t="shared" si="222"/>
        <v>2.2449944320643649</v>
      </c>
      <c r="DO57" s="4">
        <f t="shared" si="152"/>
        <v>220.27177893539994</v>
      </c>
      <c r="DS57" s="4">
        <f t="shared" si="188"/>
        <v>0.85</v>
      </c>
      <c r="DT57" s="4">
        <f t="shared" si="189"/>
        <v>0.85000000000000009</v>
      </c>
      <c r="DU57" s="4">
        <f t="shared" si="190"/>
        <v>1</v>
      </c>
      <c r="DV57" s="4">
        <f t="shared" si="234"/>
        <v>0.85000000000000009</v>
      </c>
      <c r="DX57" s="4" t="e">
        <f t="shared" si="191"/>
        <v>#REF!</v>
      </c>
      <c r="DY57" s="25">
        <f t="shared" si="192"/>
        <v>227.72880680497778</v>
      </c>
      <c r="EA57" s="4">
        <f t="shared" si="224"/>
        <v>0.72250000000000003</v>
      </c>
      <c r="EB57" s="4">
        <f t="shared" si="159"/>
        <v>5.7900347857029448</v>
      </c>
      <c r="EC57" s="4">
        <f t="shared" si="193"/>
        <v>5.2207585655726314</v>
      </c>
      <c r="EE57" s="4">
        <f t="shared" si="194"/>
        <v>57.022858574434863</v>
      </c>
      <c r="EF57" s="4">
        <f t="shared" si="235"/>
        <v>2.2449944320643649</v>
      </c>
      <c r="EG57" s="4">
        <f t="shared" si="195"/>
        <v>0.14435072638953436</v>
      </c>
      <c r="EJ57" s="4">
        <f t="shared" si="236"/>
        <v>0.14435072638953436</v>
      </c>
      <c r="EK57" s="4">
        <f t="shared" si="196"/>
        <v>0.5751070598632424</v>
      </c>
      <c r="EL57" s="4">
        <f t="shared" si="237"/>
        <v>4.6406696348475087</v>
      </c>
      <c r="EM57" s="4">
        <f t="shared" si="238"/>
        <v>5.2469568909096118</v>
      </c>
      <c r="EN57" s="4">
        <f t="shared" si="239"/>
        <v>133.47714142556515</v>
      </c>
      <c r="EO57" s="4">
        <f t="shared" si="240"/>
        <v>63.5</v>
      </c>
      <c r="EP57" s="4">
        <f t="shared" si="197"/>
        <v>1.668887417236156E-5</v>
      </c>
      <c r="EQ57" s="4">
        <f t="shared" si="241"/>
        <v>5.5693723103756767</v>
      </c>
      <c r="ER57" s="4" t="e">
        <f t="shared" si="198"/>
        <v>#REF!</v>
      </c>
      <c r="ES57" s="4" t="e">
        <f t="shared" si="242"/>
        <v>#REF!</v>
      </c>
      <c r="ET57" s="4" t="e">
        <f t="shared" si="243"/>
        <v>#REF!</v>
      </c>
      <c r="EV57" s="4" t="e">
        <f t="shared" si="199"/>
        <v>#REF!</v>
      </c>
      <c r="FA57" s="23" t="e">
        <f t="shared" si="244"/>
        <v>#REF!</v>
      </c>
      <c r="FB57" s="23" t="e">
        <f t="shared" si="245"/>
        <v>#REF!</v>
      </c>
      <c r="FC57" s="23">
        <f t="shared" si="246"/>
        <v>1.8</v>
      </c>
      <c r="FD57" s="23" t="e">
        <f t="shared" si="247"/>
        <v>#REF!</v>
      </c>
      <c r="FE57" s="23" t="e">
        <f t="shared" si="248"/>
        <v>#REF!</v>
      </c>
      <c r="FF57" s="23" t="e">
        <f t="shared" si="249"/>
        <v>#REF!</v>
      </c>
      <c r="FG57" s="23" t="e">
        <f t="shared" si="250"/>
        <v>#REF!</v>
      </c>
      <c r="FH57" s="23"/>
      <c r="FI57" s="1" t="s">
        <v>45</v>
      </c>
      <c r="FJ57">
        <f>COUNTIF(FA19:FA576,1.2)</f>
        <v>0</v>
      </c>
      <c r="FK57">
        <f t="shared" ref="FK57:FO57" si="255">COUNTIF(FB19:FB576,1.2)</f>
        <v>0</v>
      </c>
      <c r="FL57">
        <f t="shared" si="255"/>
        <v>52</v>
      </c>
      <c r="FM57">
        <f t="shared" si="255"/>
        <v>0</v>
      </c>
      <c r="FN57">
        <f t="shared" si="255"/>
        <v>84</v>
      </c>
      <c r="FO57">
        <f t="shared" si="255"/>
        <v>86</v>
      </c>
      <c r="FR57" s="4">
        <f t="shared" si="140"/>
        <v>1</v>
      </c>
      <c r="FS57" s="4">
        <f t="shared" si="141"/>
        <v>1.0833333333333333</v>
      </c>
      <c r="FT57" s="4">
        <f t="shared" si="142"/>
        <v>0</v>
      </c>
      <c r="FU57" s="4">
        <f t="shared" si="143"/>
        <v>197.04048782275603</v>
      </c>
    </row>
    <row r="58" spans="1:177" ht="12" customHeight="1" x14ac:dyDescent="0.3">
      <c r="B58" s="24"/>
      <c r="C58" s="7" t="s">
        <v>279</v>
      </c>
      <c r="D58" s="7">
        <v>472</v>
      </c>
      <c r="E58" s="7">
        <f t="shared" si="226"/>
        <v>254</v>
      </c>
      <c r="F58" s="7">
        <v>21</v>
      </c>
      <c r="G58" s="7">
        <v>25.4</v>
      </c>
      <c r="H58" s="7">
        <f t="shared" si="200"/>
        <v>152.39999999999998</v>
      </c>
      <c r="I58" s="7">
        <f t="shared" si="160"/>
        <v>63.499999999999986</v>
      </c>
      <c r="J58" s="7">
        <f t="shared" si="201"/>
        <v>50.8</v>
      </c>
      <c r="K58" s="7">
        <v>0</v>
      </c>
      <c r="L58" s="7">
        <v>1</v>
      </c>
      <c r="M58" s="7">
        <f t="shared" si="202"/>
        <v>88.899999999999991</v>
      </c>
      <c r="N58" s="7">
        <f t="shared" si="161"/>
        <v>2.9999999999999996</v>
      </c>
      <c r="O58" s="7">
        <f t="shared" si="203"/>
        <v>4</v>
      </c>
      <c r="P58" s="7">
        <v>4.0599999999999996</v>
      </c>
      <c r="Q58" s="7">
        <f t="shared" si="227"/>
        <v>4.0599999999999996</v>
      </c>
      <c r="R58" s="7">
        <f t="shared" si="162"/>
        <v>5.0599999999999996</v>
      </c>
      <c r="S58" s="7">
        <f t="shared" si="163"/>
        <v>57.135887146346114</v>
      </c>
      <c r="T58" s="7"/>
      <c r="U58" s="7"/>
      <c r="V58" s="7">
        <v>386</v>
      </c>
      <c r="W58" s="7"/>
      <c r="X58" s="7"/>
      <c r="Y58" s="7"/>
      <c r="Z58" s="7"/>
      <c r="AA58" s="7">
        <v>1</v>
      </c>
      <c r="AB58" s="7"/>
      <c r="AC58" s="7"/>
      <c r="AD58" s="7"/>
      <c r="AE58" s="4">
        <f t="shared" si="252"/>
        <v>254</v>
      </c>
      <c r="AF58" s="44">
        <f t="shared" si="204"/>
        <v>0.12666666666666665</v>
      </c>
      <c r="AG58" s="25">
        <f t="shared" si="164"/>
        <v>366.10267967102493</v>
      </c>
      <c r="AH58" s="4">
        <f t="shared" si="165"/>
        <v>0.7599999999999999</v>
      </c>
      <c r="AI58" s="4">
        <v>1.25</v>
      </c>
      <c r="AJ58" s="25">
        <f t="shared" si="146"/>
        <v>5</v>
      </c>
      <c r="AK58" s="38">
        <f t="shared" si="205"/>
        <v>220.27177893539994</v>
      </c>
      <c r="AL58" s="38">
        <f t="shared" si="148"/>
        <v>220.27177893539994</v>
      </c>
      <c r="AN58" s="38">
        <f t="shared" si="158"/>
        <v>220.27177893539994</v>
      </c>
      <c r="AO58" s="38">
        <f t="shared" si="87"/>
        <v>1</v>
      </c>
      <c r="AP58" s="38">
        <f t="shared" si="206"/>
        <v>1.3062682317974748</v>
      </c>
      <c r="AQ58" s="4">
        <f t="shared" si="228"/>
        <v>0</v>
      </c>
      <c r="AR58" s="4" t="e">
        <f>#REF!/G58*F58^0.5/0.19</f>
        <v>#REF!</v>
      </c>
      <c r="AS58" s="4">
        <f t="shared" si="166"/>
        <v>1.1333333333333333</v>
      </c>
      <c r="AT58" s="38">
        <f t="shared" si="167"/>
        <v>287.73402718482913</v>
      </c>
      <c r="AU58" s="4">
        <f t="shared" si="168"/>
        <v>0.43160000000000009</v>
      </c>
      <c r="AV58" s="4" t="e">
        <f>AU58*D58*#REF!/(D58*G58/2.75/F58^0.5)</f>
        <v>#REF!</v>
      </c>
      <c r="AW58" s="4" t="e">
        <f t="shared" si="207"/>
        <v>#REF!</v>
      </c>
      <c r="AY58" s="36">
        <f t="shared" si="169"/>
        <v>1.1000000000000001</v>
      </c>
      <c r="AZ58" s="36" t="e">
        <f>(1.6*#REF!+22)*AY58*F58^0.5</f>
        <v>#REF!</v>
      </c>
      <c r="BE58" s="4">
        <f t="shared" si="170"/>
        <v>63.499999999999986</v>
      </c>
      <c r="BF58" s="4">
        <f t="shared" si="171"/>
        <v>63.499999999999986</v>
      </c>
      <c r="BG58" s="4">
        <f t="shared" si="172"/>
        <v>88.899999999999991</v>
      </c>
      <c r="BH58" s="4">
        <f t="shared" si="173"/>
        <v>76.199999999999989</v>
      </c>
      <c r="BI58" s="4">
        <f t="shared" si="229"/>
        <v>1.04</v>
      </c>
      <c r="BJ58" s="25">
        <f t="shared" si="174"/>
        <v>3.1199999999999997</v>
      </c>
      <c r="BL58" s="4">
        <f t="shared" si="175"/>
        <v>63.499999999999986</v>
      </c>
      <c r="BP58" s="9"/>
      <c r="BR58" s="9"/>
      <c r="BS58" s="9"/>
      <c r="BT58" s="9">
        <f t="shared" si="176"/>
        <v>50.8</v>
      </c>
      <c r="BU58" s="9">
        <f t="shared" si="177"/>
        <v>63.499999999999986</v>
      </c>
      <c r="BV58" s="9">
        <f t="shared" si="178"/>
        <v>1.4623505735569622</v>
      </c>
      <c r="BW58" s="9">
        <v>0</v>
      </c>
      <c r="BX58" s="9">
        <f t="shared" si="179"/>
        <v>0</v>
      </c>
      <c r="BY58" s="9">
        <f t="shared" si="230"/>
        <v>0</v>
      </c>
      <c r="BZ58" s="9">
        <f t="shared" si="180"/>
        <v>0.99524931562137331</v>
      </c>
      <c r="CA58" s="9">
        <f t="shared" si="181"/>
        <v>1.056</v>
      </c>
      <c r="CB58" s="9">
        <f t="shared" si="182"/>
        <v>1.6856736478198622</v>
      </c>
      <c r="CC58" s="9">
        <f t="shared" si="183"/>
        <v>2.465045825719232</v>
      </c>
      <c r="CD58" s="9">
        <v>1</v>
      </c>
      <c r="CE58" s="9" t="e">
        <f>4*CC58*#REF!+60*CC58</f>
        <v>#REF!</v>
      </c>
      <c r="CG58" s="4" t="e">
        <f t="shared" si="209"/>
        <v>#REF!</v>
      </c>
      <c r="CH58" s="4" t="e">
        <f t="shared" si="210"/>
        <v>#REF!</v>
      </c>
      <c r="CI58" s="4" t="e">
        <f t="shared" si="211"/>
        <v>#REF!</v>
      </c>
      <c r="CJ58" s="4" t="e">
        <f t="shared" si="212"/>
        <v>#REF!</v>
      </c>
      <c r="CK58" s="4" t="e">
        <f t="shared" si="213"/>
        <v>#REF!</v>
      </c>
      <c r="CL58" s="4" t="e">
        <f t="shared" si="214"/>
        <v>#REF!</v>
      </c>
      <c r="CM58" s="4">
        <f t="shared" si="215"/>
        <v>1.9589882478732941</v>
      </c>
      <c r="CO58" s="4" t="e">
        <f t="shared" si="216"/>
        <v>#REF!</v>
      </c>
      <c r="CP58" s="4" t="e">
        <f t="shared" si="217"/>
        <v>#REF!</v>
      </c>
      <c r="CQ58" s="4" t="e">
        <f t="shared" si="218"/>
        <v>#REF!</v>
      </c>
      <c r="CR58" s="4">
        <f t="shared" si="231"/>
        <v>1.9589882478732941</v>
      </c>
      <c r="CS58" s="4" t="e">
        <f t="shared" si="219"/>
        <v>#REF!</v>
      </c>
      <c r="CT58" s="4" t="e">
        <f t="shared" si="220"/>
        <v>#REF!</v>
      </c>
      <c r="DB58" s="4">
        <f t="shared" si="232"/>
        <v>0</v>
      </c>
      <c r="DC58" s="4">
        <f t="shared" si="184"/>
        <v>254</v>
      </c>
      <c r="DD58" s="4" t="e">
        <f>#REF!/E58</f>
        <v>#REF!</v>
      </c>
      <c r="DF58" s="4">
        <f t="shared" si="185"/>
        <v>1.668887417236156E-5</v>
      </c>
      <c r="DG58" s="4">
        <f t="shared" si="233"/>
        <v>5.7900347857029448</v>
      </c>
      <c r="DH58" s="4">
        <f t="shared" si="221"/>
        <v>0.57436687152312826</v>
      </c>
      <c r="DI58" s="4">
        <f t="shared" si="149"/>
        <v>4.6382796125420667</v>
      </c>
      <c r="DJ58" s="4">
        <f t="shared" si="150"/>
        <v>5.2459004619170866</v>
      </c>
      <c r="DK58" s="4">
        <f t="shared" si="186"/>
        <v>5.5694387648810642</v>
      </c>
      <c r="DL58" s="38" t="e">
        <f t="shared" si="187"/>
        <v>#REF!</v>
      </c>
      <c r="DM58" s="4" t="e">
        <f t="shared" si="151"/>
        <v>#REF!</v>
      </c>
      <c r="DN58" s="4">
        <f t="shared" si="222"/>
        <v>2.2494443758403984</v>
      </c>
      <c r="DO58" s="4">
        <f t="shared" si="152"/>
        <v>220.27177893539994</v>
      </c>
      <c r="DS58" s="4">
        <f t="shared" si="188"/>
        <v>0.85</v>
      </c>
      <c r="DT58" s="4">
        <f t="shared" si="189"/>
        <v>0.85000000000000009</v>
      </c>
      <c r="DU58" s="4">
        <f t="shared" si="190"/>
        <v>1</v>
      </c>
      <c r="DV58" s="4">
        <f t="shared" si="234"/>
        <v>0.85000000000000009</v>
      </c>
      <c r="DX58" s="4" t="e">
        <f t="shared" si="191"/>
        <v>#REF!</v>
      </c>
      <c r="DY58" s="25">
        <f t="shared" si="192"/>
        <v>227.72880680497778</v>
      </c>
      <c r="EA58" s="4">
        <f t="shared" si="224"/>
        <v>0.72250000000000003</v>
      </c>
      <c r="EB58" s="4">
        <f t="shared" si="159"/>
        <v>5.7900347857029448</v>
      </c>
      <c r="EC58" s="4">
        <f t="shared" si="193"/>
        <v>5.2207585655726314</v>
      </c>
      <c r="EE58" s="4">
        <f t="shared" si="194"/>
        <v>57.135887146346114</v>
      </c>
      <c r="EF58" s="4">
        <f t="shared" si="235"/>
        <v>2.2494443758403984</v>
      </c>
      <c r="EG58" s="4">
        <f t="shared" si="195"/>
        <v>0.14392435617349697</v>
      </c>
      <c r="EJ58" s="4">
        <f t="shared" si="236"/>
        <v>0.14392435617349697</v>
      </c>
      <c r="EK58" s="4">
        <f t="shared" si="196"/>
        <v>0.57340836026198916</v>
      </c>
      <c r="EL58" s="4">
        <f t="shared" si="237"/>
        <v>4.6351818913956864</v>
      </c>
      <c r="EM58" s="4">
        <f t="shared" si="238"/>
        <v>5.2445317154987805</v>
      </c>
      <c r="EN58" s="4">
        <f t="shared" si="239"/>
        <v>133.36411285365389</v>
      </c>
      <c r="EO58" s="4">
        <f t="shared" si="240"/>
        <v>63.5</v>
      </c>
      <c r="EP58" s="4">
        <f t="shared" si="197"/>
        <v>1.668887417236156E-5</v>
      </c>
      <c r="EQ58" s="4">
        <f t="shared" si="241"/>
        <v>5.5695078238252744</v>
      </c>
      <c r="ER58" s="4" t="e">
        <f t="shared" si="198"/>
        <v>#REF!</v>
      </c>
      <c r="ES58" s="4" t="e">
        <f t="shared" si="242"/>
        <v>#REF!</v>
      </c>
      <c r="ET58" s="4" t="e">
        <f t="shared" si="243"/>
        <v>#REF!</v>
      </c>
      <c r="EV58" s="4" t="e">
        <f t="shared" si="199"/>
        <v>#REF!</v>
      </c>
      <c r="FA58" s="23" t="e">
        <f t="shared" si="244"/>
        <v>#REF!</v>
      </c>
      <c r="FB58" s="23" t="e">
        <f t="shared" si="245"/>
        <v>#REF!</v>
      </c>
      <c r="FC58" s="23">
        <f t="shared" si="246"/>
        <v>2</v>
      </c>
      <c r="FD58" s="23" t="e">
        <f t="shared" si="247"/>
        <v>#REF!</v>
      </c>
      <c r="FE58" s="23" t="e">
        <f t="shared" si="248"/>
        <v>#REF!</v>
      </c>
      <c r="FF58" s="23" t="e">
        <f t="shared" si="249"/>
        <v>#REF!</v>
      </c>
      <c r="FG58" s="23" t="e">
        <f t="shared" si="250"/>
        <v>#REF!</v>
      </c>
      <c r="FH58" s="23"/>
      <c r="FI58" s="1" t="s">
        <v>46</v>
      </c>
      <c r="FJ58">
        <f>COUNTIF(FA19:FA574,1.4)</f>
        <v>0</v>
      </c>
      <c r="FK58">
        <f t="shared" ref="FK58:FO58" si="256">COUNTIF(FB19:FB574,1.4)</f>
        <v>0</v>
      </c>
      <c r="FL58">
        <f t="shared" si="256"/>
        <v>92</v>
      </c>
      <c r="FM58">
        <f t="shared" si="256"/>
        <v>0</v>
      </c>
      <c r="FN58">
        <f t="shared" si="256"/>
        <v>32</v>
      </c>
      <c r="FO58">
        <f t="shared" si="256"/>
        <v>38</v>
      </c>
      <c r="FR58" s="4">
        <f t="shared" si="140"/>
        <v>1</v>
      </c>
      <c r="FS58" s="4">
        <f t="shared" si="141"/>
        <v>1.0833333333333333</v>
      </c>
      <c r="FT58" s="4">
        <f t="shared" si="142"/>
        <v>0</v>
      </c>
      <c r="FU58" s="4">
        <f t="shared" si="143"/>
        <v>197.04048782275603</v>
      </c>
    </row>
    <row r="59" spans="1:177" ht="12" customHeight="1" x14ac:dyDescent="0.3">
      <c r="B59" s="24"/>
      <c r="C59" s="7" t="s">
        <v>280</v>
      </c>
      <c r="D59" s="7">
        <v>472</v>
      </c>
      <c r="E59" s="7">
        <f t="shared" si="226"/>
        <v>254</v>
      </c>
      <c r="F59" s="7">
        <v>28</v>
      </c>
      <c r="G59" s="7">
        <v>25.4</v>
      </c>
      <c r="H59" s="7">
        <f t="shared" si="200"/>
        <v>152.39999999999998</v>
      </c>
      <c r="I59" s="7">
        <f t="shared" si="160"/>
        <v>63.499999999999986</v>
      </c>
      <c r="J59" s="7">
        <f t="shared" si="201"/>
        <v>50.8</v>
      </c>
      <c r="K59" s="7">
        <v>0</v>
      </c>
      <c r="L59" s="7">
        <v>1</v>
      </c>
      <c r="M59" s="7">
        <f t="shared" si="202"/>
        <v>88.899999999999991</v>
      </c>
      <c r="N59" s="7">
        <f t="shared" si="161"/>
        <v>2.9999999999999996</v>
      </c>
      <c r="O59" s="7">
        <f t="shared" si="203"/>
        <v>4</v>
      </c>
      <c r="P59" s="7">
        <v>4.7</v>
      </c>
      <c r="Q59" s="7">
        <f t="shared" si="227"/>
        <v>4.7</v>
      </c>
      <c r="R59" s="7">
        <f t="shared" si="162"/>
        <v>5.7</v>
      </c>
      <c r="S59" s="7">
        <f t="shared" si="163"/>
        <v>60.641668842471674</v>
      </c>
      <c r="T59" s="7"/>
      <c r="U59" s="7"/>
      <c r="V59" s="7">
        <v>458</v>
      </c>
      <c r="W59" s="7"/>
      <c r="X59" s="7"/>
      <c r="Y59" s="7"/>
      <c r="Z59" s="7"/>
      <c r="AA59" s="7">
        <v>1</v>
      </c>
      <c r="AB59" s="7"/>
      <c r="AC59" s="7"/>
      <c r="AD59" s="7"/>
      <c r="AE59" s="4">
        <f t="shared" si="252"/>
        <v>254</v>
      </c>
      <c r="AF59" s="44">
        <f t="shared" si="204"/>
        <v>0.12666666666666665</v>
      </c>
      <c r="AG59" s="25">
        <f t="shared" si="164"/>
        <v>422.7389613182192</v>
      </c>
      <c r="AH59" s="4">
        <f t="shared" si="165"/>
        <v>0.7599999999999999</v>
      </c>
      <c r="AI59" s="4">
        <v>1.25</v>
      </c>
      <c r="AJ59" s="25">
        <f t="shared" si="146"/>
        <v>5</v>
      </c>
      <c r="AK59" s="38">
        <f t="shared" si="205"/>
        <v>254.34794172646178</v>
      </c>
      <c r="AL59" s="38">
        <f t="shared" si="148"/>
        <v>254.34794172646178</v>
      </c>
      <c r="AN59" s="38">
        <f t="shared" si="158"/>
        <v>254.34794172646181</v>
      </c>
      <c r="AO59" s="38">
        <f t="shared" si="87"/>
        <v>0.99999999999999989</v>
      </c>
      <c r="AP59" s="38">
        <f t="shared" si="206"/>
        <v>1.6228846237897425</v>
      </c>
      <c r="AQ59" s="4">
        <f t="shared" si="228"/>
        <v>0</v>
      </c>
      <c r="AR59" s="4" t="e">
        <f>#REF!/G59*F59^0.5/0.19</f>
        <v>#REF!</v>
      </c>
      <c r="AS59" s="4">
        <f t="shared" si="166"/>
        <v>1.1333333333333333</v>
      </c>
      <c r="AT59" s="38">
        <f t="shared" si="167"/>
        <v>412.77736372044433</v>
      </c>
      <c r="AU59" s="4">
        <f t="shared" si="168"/>
        <v>0.34199999999999997</v>
      </c>
      <c r="AV59" s="4" t="e">
        <f>AU59*D59*#REF!/(D59*G59/2.75/F59^0.5)</f>
        <v>#REF!</v>
      </c>
      <c r="AW59" s="4" t="e">
        <f t="shared" si="207"/>
        <v>#REF!</v>
      </c>
      <c r="AY59" s="36">
        <f t="shared" si="169"/>
        <v>1.1000000000000001</v>
      </c>
      <c r="AZ59" s="36" t="e">
        <f>(1.6*#REF!+22)*AY59*F59^0.5</f>
        <v>#REF!</v>
      </c>
      <c r="BE59" s="4">
        <f t="shared" si="170"/>
        <v>63.499999999999986</v>
      </c>
      <c r="BF59" s="4">
        <f t="shared" si="171"/>
        <v>63.499999999999986</v>
      </c>
      <c r="BG59" s="4">
        <f t="shared" si="172"/>
        <v>88.899999999999991</v>
      </c>
      <c r="BH59" s="4">
        <f t="shared" si="173"/>
        <v>76.199999999999989</v>
      </c>
      <c r="BI59" s="4">
        <f t="shared" si="229"/>
        <v>1.04</v>
      </c>
      <c r="BJ59" s="25">
        <f t="shared" si="174"/>
        <v>3.1199999999999997</v>
      </c>
      <c r="BL59" s="4">
        <f t="shared" si="175"/>
        <v>63.499999999999986</v>
      </c>
      <c r="BP59" s="9"/>
      <c r="BR59" s="9"/>
      <c r="BS59" s="9"/>
      <c r="BT59" s="9">
        <f t="shared" si="176"/>
        <v>50.8</v>
      </c>
      <c r="BU59" s="9">
        <f t="shared" si="177"/>
        <v>63.499999999999986</v>
      </c>
      <c r="BV59" s="9">
        <f t="shared" si="178"/>
        <v>1.4623505735569622</v>
      </c>
      <c r="BW59" s="9">
        <v>0</v>
      </c>
      <c r="BX59" s="9">
        <f t="shared" si="179"/>
        <v>0</v>
      </c>
      <c r="BY59" s="9">
        <f t="shared" si="230"/>
        <v>0</v>
      </c>
      <c r="BZ59" s="9">
        <f t="shared" si="180"/>
        <v>0.99524931562137331</v>
      </c>
      <c r="CA59" s="9">
        <f t="shared" si="181"/>
        <v>1.056</v>
      </c>
      <c r="CB59" s="9">
        <f t="shared" si="182"/>
        <v>1.9464482686693119</v>
      </c>
      <c r="CC59" s="9">
        <f t="shared" si="183"/>
        <v>2.8463897420875242</v>
      </c>
      <c r="CD59" s="9">
        <v>1</v>
      </c>
      <c r="CE59" s="9" t="e">
        <f>4*CC59*#REF!+60*CC59</f>
        <v>#REF!</v>
      </c>
      <c r="CG59" s="4" t="e">
        <f t="shared" si="209"/>
        <v>#REF!</v>
      </c>
      <c r="CH59" s="4" t="e">
        <f t="shared" si="210"/>
        <v>#REF!</v>
      </c>
      <c r="CI59" s="4" t="e">
        <f t="shared" si="211"/>
        <v>#REF!</v>
      </c>
      <c r="CJ59" s="4" t="e">
        <f t="shared" si="212"/>
        <v>#REF!</v>
      </c>
      <c r="CK59" s="4" t="e">
        <f t="shared" si="213"/>
        <v>#REF!</v>
      </c>
      <c r="CL59" s="4" t="e">
        <f t="shared" si="214"/>
        <v>#REF!</v>
      </c>
      <c r="CM59" s="4">
        <f t="shared" si="215"/>
        <v>2.1630936371420115</v>
      </c>
      <c r="CO59" s="4" t="e">
        <f t="shared" si="216"/>
        <v>#REF!</v>
      </c>
      <c r="CP59" s="4" t="e">
        <f t="shared" si="217"/>
        <v>#REF!</v>
      </c>
      <c r="CQ59" s="4" t="e">
        <f t="shared" si="218"/>
        <v>#REF!</v>
      </c>
      <c r="CR59" s="4">
        <f t="shared" si="231"/>
        <v>2.1630936371420115</v>
      </c>
      <c r="CS59" s="4" t="e">
        <f t="shared" si="219"/>
        <v>#REF!</v>
      </c>
      <c r="CT59" s="4" t="e">
        <f t="shared" si="220"/>
        <v>#REF!</v>
      </c>
      <c r="DB59" s="4">
        <f t="shared" si="232"/>
        <v>0</v>
      </c>
      <c r="DC59" s="4">
        <f t="shared" si="184"/>
        <v>254</v>
      </c>
      <c r="DD59" s="4" t="e">
        <f>#REF!/E59</f>
        <v>#REF!</v>
      </c>
      <c r="DF59" s="4">
        <f t="shared" si="185"/>
        <v>1.7601358282256944E-5</v>
      </c>
      <c r="DG59" s="4">
        <f t="shared" si="233"/>
        <v>6.6857562842857838</v>
      </c>
      <c r="DH59" s="4">
        <f t="shared" si="221"/>
        <v>0.45604779407414225</v>
      </c>
      <c r="DI59" s="4">
        <f t="shared" si="149"/>
        <v>4.8837641772607956</v>
      </c>
      <c r="DJ59" s="4">
        <f t="shared" si="150"/>
        <v>5.8546719413635264</v>
      </c>
      <c r="DK59" s="4">
        <f t="shared" si="186"/>
        <v>6.3893714675739641</v>
      </c>
      <c r="DL59" s="38" t="e">
        <f t="shared" si="187"/>
        <v>#REF!</v>
      </c>
      <c r="DM59" s="4" t="e">
        <f t="shared" si="151"/>
        <v>#REF!</v>
      </c>
      <c r="DN59" s="4">
        <f t="shared" si="222"/>
        <v>2.3874672772626644</v>
      </c>
      <c r="DO59" s="4">
        <f t="shared" si="152"/>
        <v>254.34794172646181</v>
      </c>
      <c r="DS59" s="4">
        <f t="shared" si="188"/>
        <v>0.85</v>
      </c>
      <c r="DT59" s="4">
        <f t="shared" si="189"/>
        <v>0.85000000000000009</v>
      </c>
      <c r="DU59" s="4">
        <f t="shared" si="190"/>
        <v>1</v>
      </c>
      <c r="DV59" s="4">
        <f t="shared" si="234"/>
        <v>0.85000000000000009</v>
      </c>
      <c r="DX59" s="4" t="e">
        <f t="shared" si="191"/>
        <v>#REF!</v>
      </c>
      <c r="DY59" s="25">
        <f t="shared" si="192"/>
        <v>262.95857582217241</v>
      </c>
      <c r="EA59" s="4">
        <f t="shared" si="224"/>
        <v>0.72250000000000003</v>
      </c>
      <c r="EB59" s="4">
        <f t="shared" si="159"/>
        <v>6.6857562842857838</v>
      </c>
      <c r="EC59" s="4">
        <f t="shared" si="193"/>
        <v>6.028412726414806</v>
      </c>
      <c r="EE59" s="4">
        <f t="shared" si="194"/>
        <v>60.641668842471674</v>
      </c>
      <c r="EF59" s="4">
        <f t="shared" si="235"/>
        <v>2.3874672772626644</v>
      </c>
      <c r="EG59" s="4">
        <f t="shared" si="195"/>
        <v>0.13195463217595851</v>
      </c>
      <c r="EJ59" s="4">
        <f t="shared" si="236"/>
        <v>0.13195463217595851</v>
      </c>
      <c r="EK59" s="4">
        <f t="shared" si="196"/>
        <v>0.45528673530158714</v>
      </c>
      <c r="EL59" s="4">
        <f t="shared" si="237"/>
        <v>4.8805025068076127</v>
      </c>
      <c r="EM59" s="4">
        <f t="shared" si="238"/>
        <v>5.8533131368817264</v>
      </c>
      <c r="EN59" s="4">
        <f t="shared" si="239"/>
        <v>129.85833115752831</v>
      </c>
      <c r="EO59" s="4">
        <f t="shared" si="240"/>
        <v>63.5</v>
      </c>
      <c r="EP59" s="4">
        <f t="shared" si="197"/>
        <v>1.7601358282256944E-5</v>
      </c>
      <c r="EQ59" s="4">
        <f t="shared" si="241"/>
        <v>6.3894588954142764</v>
      </c>
      <c r="ER59" s="4" t="e">
        <f t="shared" si="198"/>
        <v>#REF!</v>
      </c>
      <c r="ES59" s="4" t="e">
        <f t="shared" si="242"/>
        <v>#REF!</v>
      </c>
      <c r="ET59" s="4" t="e">
        <f t="shared" si="243"/>
        <v>#REF!</v>
      </c>
      <c r="EV59" s="4" t="e">
        <f t="shared" si="199"/>
        <v>#REF!</v>
      </c>
      <c r="FA59" s="23" t="e">
        <f t="shared" si="244"/>
        <v>#REF!</v>
      </c>
      <c r="FB59" s="23" t="e">
        <f t="shared" si="245"/>
        <v>#REF!</v>
      </c>
      <c r="FC59" s="23">
        <f t="shared" si="246"/>
        <v>2.2000000000000002</v>
      </c>
      <c r="FD59" s="23" t="e">
        <f t="shared" si="247"/>
        <v>#REF!</v>
      </c>
      <c r="FE59" s="23" t="e">
        <f t="shared" si="248"/>
        <v>#REF!</v>
      </c>
      <c r="FF59" s="23" t="e">
        <f t="shared" si="249"/>
        <v>#REF!</v>
      </c>
      <c r="FG59" s="23" t="e">
        <f t="shared" si="250"/>
        <v>#REF!</v>
      </c>
      <c r="FH59" s="23"/>
      <c r="FI59" s="1" t="s">
        <v>47</v>
      </c>
      <c r="FJ59">
        <f>COUNTIF(FA19:FA574,1.6)</f>
        <v>0</v>
      </c>
      <c r="FK59">
        <f t="shared" ref="FK59:FO59" si="257">COUNTIF(FB19:FB574,1.6)</f>
        <v>0</v>
      </c>
      <c r="FL59">
        <f t="shared" si="257"/>
        <v>58</v>
      </c>
      <c r="FM59">
        <f t="shared" si="257"/>
        <v>0</v>
      </c>
      <c r="FN59">
        <f t="shared" si="257"/>
        <v>10</v>
      </c>
      <c r="FO59">
        <f t="shared" si="257"/>
        <v>15</v>
      </c>
      <c r="FR59" s="4">
        <f t="shared" si="140"/>
        <v>1</v>
      </c>
      <c r="FS59" s="4">
        <f t="shared" si="141"/>
        <v>1.0833333333333333</v>
      </c>
      <c r="FT59" s="4">
        <f t="shared" si="142"/>
        <v>0</v>
      </c>
      <c r="FU59" s="4">
        <f t="shared" si="143"/>
        <v>211.73378356617641</v>
      </c>
    </row>
    <row r="60" spans="1:177" ht="12" customHeight="1" x14ac:dyDescent="0.3">
      <c r="B60" s="24"/>
      <c r="C60" s="7" t="s">
        <v>280</v>
      </c>
      <c r="D60" s="7">
        <v>472</v>
      </c>
      <c r="E60" s="7">
        <f t="shared" si="226"/>
        <v>254</v>
      </c>
      <c r="F60" s="7">
        <v>21</v>
      </c>
      <c r="G60" s="7">
        <v>25.4</v>
      </c>
      <c r="H60" s="7">
        <f t="shared" si="200"/>
        <v>152.39999999999998</v>
      </c>
      <c r="I60" s="7">
        <f t="shared" si="160"/>
        <v>63.499999999999986</v>
      </c>
      <c r="J60" s="7">
        <f t="shared" si="201"/>
        <v>50.8</v>
      </c>
      <c r="K60" s="7">
        <v>0</v>
      </c>
      <c r="L60" s="7">
        <v>1</v>
      </c>
      <c r="M60" s="7">
        <f t="shared" si="202"/>
        <v>88.899999999999991</v>
      </c>
      <c r="N60" s="7">
        <f t="shared" si="161"/>
        <v>2.9999999999999996</v>
      </c>
      <c r="O60" s="7">
        <f t="shared" si="203"/>
        <v>4</v>
      </c>
      <c r="P60" s="7">
        <v>4.7</v>
      </c>
      <c r="Q60" s="7">
        <f t="shared" si="227"/>
        <v>4.7</v>
      </c>
      <c r="R60" s="7">
        <f t="shared" si="162"/>
        <v>5.7</v>
      </c>
      <c r="S60" s="7">
        <f t="shared" si="163"/>
        <v>60.641668842471674</v>
      </c>
      <c r="T60" s="7"/>
      <c r="U60" s="7"/>
      <c r="V60" s="7">
        <v>458</v>
      </c>
      <c r="W60" s="7"/>
      <c r="X60" s="7"/>
      <c r="Y60" s="7"/>
      <c r="Z60" s="7"/>
      <c r="AA60" s="7">
        <v>1</v>
      </c>
      <c r="AB60" s="7"/>
      <c r="AC60" s="7"/>
      <c r="AD60" s="7"/>
      <c r="AE60" s="4">
        <f t="shared" si="252"/>
        <v>254</v>
      </c>
      <c r="AF60" s="44">
        <f t="shared" si="204"/>
        <v>0.12666666666666665</v>
      </c>
      <c r="AG60" s="25">
        <f t="shared" si="164"/>
        <v>366.10267967102493</v>
      </c>
      <c r="AH60" s="4">
        <f t="shared" si="165"/>
        <v>0.7599999999999999</v>
      </c>
      <c r="AI60" s="4">
        <v>1.25</v>
      </c>
      <c r="AJ60" s="25">
        <f t="shared" si="146"/>
        <v>5</v>
      </c>
      <c r="AK60" s="38">
        <f t="shared" si="205"/>
        <v>220.27177893539994</v>
      </c>
      <c r="AL60" s="38">
        <f t="shared" si="148"/>
        <v>220.27177893539994</v>
      </c>
      <c r="AN60" s="38">
        <f t="shared" si="158"/>
        <v>220.27177893539994</v>
      </c>
      <c r="AO60" s="38">
        <f t="shared" si="87"/>
        <v>1</v>
      </c>
      <c r="AP60" s="38">
        <f t="shared" si="206"/>
        <v>1.4054593116130687</v>
      </c>
      <c r="AQ60" s="4">
        <f t="shared" si="228"/>
        <v>0</v>
      </c>
      <c r="AR60" s="4" t="e">
        <f>#REF!/G60*F60^0.5/0.19</f>
        <v>#REF!</v>
      </c>
      <c r="AS60" s="4">
        <f t="shared" si="166"/>
        <v>1.1333333333333333</v>
      </c>
      <c r="AT60" s="38">
        <f t="shared" si="167"/>
        <v>309.58302279033325</v>
      </c>
      <c r="AU60" s="4">
        <f t="shared" si="168"/>
        <v>0.34199999999999997</v>
      </c>
      <c r="AV60" s="4" t="e">
        <f>AU60*D60*#REF!/(D60*G60/2.75/F60^0.5)</f>
        <v>#REF!</v>
      </c>
      <c r="AW60" s="4" t="e">
        <f t="shared" ref="AW60" si="258">AT60+AV60</f>
        <v>#REF!</v>
      </c>
      <c r="AY60" s="36">
        <f t="shared" si="169"/>
        <v>1.1000000000000001</v>
      </c>
      <c r="AZ60" s="36" t="e">
        <f>(1.6*#REF!+22)*AY60*F60^0.5</f>
        <v>#REF!</v>
      </c>
      <c r="BE60" s="4">
        <f t="shared" si="170"/>
        <v>63.499999999999986</v>
      </c>
      <c r="BF60" s="4">
        <f t="shared" si="171"/>
        <v>63.499999999999986</v>
      </c>
      <c r="BG60" s="4">
        <f t="shared" si="172"/>
        <v>88.899999999999991</v>
      </c>
      <c r="BH60" s="4">
        <f t="shared" si="173"/>
        <v>76.199999999999989</v>
      </c>
      <c r="BI60" s="4">
        <f t="shared" si="229"/>
        <v>1.04</v>
      </c>
      <c r="BJ60" s="25">
        <f t="shared" si="174"/>
        <v>3.1199999999999997</v>
      </c>
      <c r="BL60" s="4">
        <f t="shared" si="175"/>
        <v>63.499999999999986</v>
      </c>
      <c r="BP60" s="9"/>
      <c r="BR60" s="9"/>
      <c r="BS60" s="9"/>
      <c r="BT60" s="9">
        <f t="shared" si="176"/>
        <v>50.8</v>
      </c>
      <c r="BU60" s="9">
        <f t="shared" si="177"/>
        <v>63.499999999999986</v>
      </c>
      <c r="BV60" s="9">
        <f t="shared" si="178"/>
        <v>1.4623505735569622</v>
      </c>
      <c r="BW60" s="9">
        <v>0</v>
      </c>
      <c r="BX60" s="9">
        <f t="shared" si="179"/>
        <v>0</v>
      </c>
      <c r="BY60" s="9">
        <f t="shared" si="230"/>
        <v>0</v>
      </c>
      <c r="BZ60" s="9">
        <f t="shared" si="180"/>
        <v>0.99524931562137331</v>
      </c>
      <c r="CA60" s="9">
        <f t="shared" si="181"/>
        <v>1.056</v>
      </c>
      <c r="CB60" s="9">
        <f t="shared" si="182"/>
        <v>1.6856736478198622</v>
      </c>
      <c r="CC60" s="9">
        <f t="shared" si="183"/>
        <v>2.465045825719232</v>
      </c>
      <c r="CD60" s="9">
        <v>1</v>
      </c>
      <c r="CE60" s="9" t="e">
        <f>4*CC60*#REF!+60*CC60</f>
        <v>#REF!</v>
      </c>
      <c r="CG60" s="4" t="e">
        <f t="shared" si="209"/>
        <v>#REF!</v>
      </c>
      <c r="CH60" s="4" t="e">
        <f t="shared" si="210"/>
        <v>#REF!</v>
      </c>
      <c r="CI60" s="4" t="e">
        <f t="shared" si="211"/>
        <v>#REF!</v>
      </c>
      <c r="CJ60" s="4" t="e">
        <f t="shared" si="212"/>
        <v>#REF!</v>
      </c>
      <c r="CK60" s="4" t="e">
        <f t="shared" si="213"/>
        <v>#REF!</v>
      </c>
      <c r="CL60" s="4" t="e">
        <f t="shared" si="214"/>
        <v>#REF!</v>
      </c>
      <c r="CM60" s="4">
        <f t="shared" si="215"/>
        <v>2.324395382191629</v>
      </c>
      <c r="CO60" s="4" t="e">
        <f t="shared" si="216"/>
        <v>#REF!</v>
      </c>
      <c r="CP60" s="4" t="e">
        <f t="shared" si="217"/>
        <v>#REF!</v>
      </c>
      <c r="CQ60" s="4" t="e">
        <f t="shared" si="218"/>
        <v>#REF!</v>
      </c>
      <c r="CR60" s="4">
        <f t="shared" si="231"/>
        <v>2.324395382191629</v>
      </c>
      <c r="CS60" s="4" t="e">
        <f t="shared" si="219"/>
        <v>#REF!</v>
      </c>
      <c r="CT60" s="4" t="e">
        <f t="shared" si="220"/>
        <v>#REF!</v>
      </c>
      <c r="DB60" s="4">
        <f t="shared" si="232"/>
        <v>0</v>
      </c>
      <c r="DC60" s="4">
        <f t="shared" si="184"/>
        <v>254</v>
      </c>
      <c r="DD60" s="4" t="e">
        <f>#REF!/E60</f>
        <v>#REF!</v>
      </c>
      <c r="DF60" s="4">
        <f t="shared" si="185"/>
        <v>1.668887417236156E-5</v>
      </c>
      <c r="DG60" s="4">
        <f t="shared" si="233"/>
        <v>5.7900347857029448</v>
      </c>
      <c r="DH60" s="4">
        <f t="shared" si="221"/>
        <v>0.52659863334408208</v>
      </c>
      <c r="DI60" s="4">
        <f t="shared" si="149"/>
        <v>4.4799489379953377</v>
      </c>
      <c r="DJ60" s="4">
        <f t="shared" si="150"/>
        <v>5.1766701262685118</v>
      </c>
      <c r="DK60" s="4">
        <f t="shared" si="186"/>
        <v>5.5734189946502246</v>
      </c>
      <c r="DL60" s="38" t="e">
        <f t="shared" si="187"/>
        <v>#REF!</v>
      </c>
      <c r="DM60" s="4" t="e">
        <f t="shared" si="151"/>
        <v>#REF!</v>
      </c>
      <c r="DN60" s="4">
        <f t="shared" si="222"/>
        <v>2.3874672772626644</v>
      </c>
      <c r="DO60" s="4">
        <f t="shared" si="152"/>
        <v>220.27177893539994</v>
      </c>
      <c r="DS60" s="4">
        <f t="shared" si="188"/>
        <v>0.85</v>
      </c>
      <c r="DT60" s="4">
        <f t="shared" si="189"/>
        <v>0.85000000000000009</v>
      </c>
      <c r="DU60" s="4">
        <f t="shared" si="190"/>
        <v>1</v>
      </c>
      <c r="DV60" s="4">
        <f t="shared" si="234"/>
        <v>0.85000000000000009</v>
      </c>
      <c r="DX60" s="4" t="e">
        <f t="shared" si="191"/>
        <v>#REF!</v>
      </c>
      <c r="DY60" s="25">
        <f t="shared" si="192"/>
        <v>227.72880680497778</v>
      </c>
      <c r="EA60" s="4">
        <f t="shared" si="224"/>
        <v>0.72250000000000003</v>
      </c>
      <c r="EB60" s="4">
        <f t="shared" si="159"/>
        <v>5.7900347857029448</v>
      </c>
      <c r="EC60" s="4">
        <f t="shared" si="193"/>
        <v>5.2207585655726314</v>
      </c>
      <c r="EE60" s="4">
        <f t="shared" si="194"/>
        <v>60.641668842471674</v>
      </c>
      <c r="EF60" s="4">
        <f t="shared" si="235"/>
        <v>2.3874672772626644</v>
      </c>
      <c r="EG60" s="4">
        <f t="shared" si="195"/>
        <v>0.13195463217595851</v>
      </c>
      <c r="EJ60" s="4">
        <f t="shared" si="236"/>
        <v>0.13195463217595851</v>
      </c>
      <c r="EK60" s="4">
        <f t="shared" si="196"/>
        <v>0.52571983836967451</v>
      </c>
      <c r="EL60" s="4">
        <f t="shared" si="237"/>
        <v>4.4769569595638528</v>
      </c>
      <c r="EM60" s="4">
        <f t="shared" si="238"/>
        <v>5.1753763982640848</v>
      </c>
      <c r="EN60" s="4">
        <f t="shared" si="239"/>
        <v>129.85833115752831</v>
      </c>
      <c r="EO60" s="4">
        <f t="shared" si="240"/>
        <v>63.5</v>
      </c>
      <c r="EP60" s="4">
        <f t="shared" si="197"/>
        <v>1.668887417236156E-5</v>
      </c>
      <c r="EQ60" s="4">
        <f t="shared" si="241"/>
        <v>5.5734861149773431</v>
      </c>
      <c r="ER60" s="4" t="e">
        <f t="shared" si="198"/>
        <v>#REF!</v>
      </c>
      <c r="ES60" s="4" t="e">
        <f t="shared" si="242"/>
        <v>#REF!</v>
      </c>
      <c r="ET60" s="4" t="e">
        <f t="shared" si="243"/>
        <v>#REF!</v>
      </c>
      <c r="EV60" s="4" t="e">
        <f t="shared" si="199"/>
        <v>#REF!</v>
      </c>
      <c r="FA60" s="23" t="e">
        <f t="shared" si="244"/>
        <v>#REF!</v>
      </c>
      <c r="FB60" s="23" t="e">
        <f t="shared" si="245"/>
        <v>#REF!</v>
      </c>
      <c r="FC60" s="23">
        <f t="shared" si="246"/>
        <v>2.2000000000000002</v>
      </c>
      <c r="FD60" s="23" t="e">
        <f t="shared" si="247"/>
        <v>#REF!</v>
      </c>
      <c r="FE60" s="23" t="e">
        <f t="shared" si="248"/>
        <v>#REF!</v>
      </c>
      <c r="FF60" s="23" t="e">
        <f t="shared" si="249"/>
        <v>#REF!</v>
      </c>
      <c r="FG60" s="23" t="e">
        <f t="shared" si="250"/>
        <v>#REF!</v>
      </c>
      <c r="FH60" s="23"/>
      <c r="FI60" s="1" t="s">
        <v>48</v>
      </c>
      <c r="FJ60">
        <f>COUNTIF(FA19:FA574,1.8)</f>
        <v>0</v>
      </c>
      <c r="FK60">
        <f t="shared" ref="FK60:FO60" si="259">COUNTIF(FB19:FB574,1.8)</f>
        <v>0</v>
      </c>
      <c r="FL60">
        <f t="shared" si="259"/>
        <v>26</v>
      </c>
      <c r="FM60">
        <f t="shared" si="259"/>
        <v>0</v>
      </c>
      <c r="FN60">
        <f t="shared" si="259"/>
        <v>3</v>
      </c>
      <c r="FO60">
        <f t="shared" si="259"/>
        <v>6</v>
      </c>
      <c r="FR60" s="4">
        <f t="shared" si="140"/>
        <v>1</v>
      </c>
      <c r="FS60" s="4">
        <f t="shared" si="141"/>
        <v>1.0833333333333333</v>
      </c>
      <c r="FT60" s="4">
        <f t="shared" si="142"/>
        <v>0</v>
      </c>
      <c r="FU60" s="4">
        <f t="shared" si="143"/>
        <v>197.04048782275603</v>
      </c>
    </row>
    <row r="61" spans="1:177" ht="12" customHeight="1" x14ac:dyDescent="0.3">
      <c r="B61" s="24"/>
      <c r="C61" s="7" t="s">
        <v>281</v>
      </c>
      <c r="D61" s="7">
        <v>472</v>
      </c>
      <c r="E61" s="7">
        <f t="shared" si="226"/>
        <v>254</v>
      </c>
      <c r="F61" s="7">
        <v>27</v>
      </c>
      <c r="G61" s="7">
        <v>25.4</v>
      </c>
      <c r="H61" s="7">
        <f t="shared" si="200"/>
        <v>152.39999999999998</v>
      </c>
      <c r="I61" s="7">
        <f t="shared" si="160"/>
        <v>63.499999999999986</v>
      </c>
      <c r="J61" s="7">
        <f t="shared" si="201"/>
        <v>50.8</v>
      </c>
      <c r="K61" s="7">
        <v>0</v>
      </c>
      <c r="L61" s="7">
        <v>1</v>
      </c>
      <c r="M61" s="7">
        <f t="shared" si="202"/>
        <v>88.899999999999991</v>
      </c>
      <c r="N61" s="7">
        <f t="shared" si="161"/>
        <v>2.9999999999999996</v>
      </c>
      <c r="O61" s="7">
        <f t="shared" si="203"/>
        <v>4</v>
      </c>
      <c r="P61" s="7">
        <v>4.7</v>
      </c>
      <c r="Q61" s="7">
        <f t="shared" si="227"/>
        <v>4.7</v>
      </c>
      <c r="R61" s="7">
        <f t="shared" si="162"/>
        <v>5.7</v>
      </c>
      <c r="S61" s="7">
        <f t="shared" si="163"/>
        <v>60.641668842471674</v>
      </c>
      <c r="T61" s="7"/>
      <c r="U61" s="7"/>
      <c r="V61" s="7">
        <v>472</v>
      </c>
      <c r="W61" s="7"/>
      <c r="X61" s="7"/>
      <c r="Y61" s="7"/>
      <c r="Z61" s="7"/>
      <c r="AA61" s="7">
        <v>1</v>
      </c>
      <c r="AB61" s="7"/>
      <c r="AC61" s="7"/>
      <c r="AD61" s="7"/>
      <c r="AE61" s="4">
        <f t="shared" si="252"/>
        <v>254</v>
      </c>
      <c r="AF61" s="44">
        <f t="shared" si="204"/>
        <v>0.12666666666666665</v>
      </c>
      <c r="AG61" s="25">
        <f t="shared" si="164"/>
        <v>415.1214191673746</v>
      </c>
      <c r="AH61" s="4">
        <f t="shared" si="165"/>
        <v>0.7599999999999999</v>
      </c>
      <c r="AI61" s="4">
        <v>1.25</v>
      </c>
      <c r="AJ61" s="25">
        <f t="shared" si="146"/>
        <v>5</v>
      </c>
      <c r="AK61" s="38">
        <f t="shared" si="205"/>
        <v>249.76472053237029</v>
      </c>
      <c r="AL61" s="38">
        <f t="shared" si="148"/>
        <v>249.76472053237029</v>
      </c>
      <c r="AN61" s="38">
        <f t="shared" si="158"/>
        <v>249.76472053237032</v>
      </c>
      <c r="AO61" s="38">
        <f t="shared" si="87"/>
        <v>0.99999999999999989</v>
      </c>
      <c r="AP61" s="38">
        <f t="shared" si="206"/>
        <v>1.5936410641492338</v>
      </c>
      <c r="AQ61" s="4">
        <f t="shared" si="228"/>
        <v>0</v>
      </c>
      <c r="AR61" s="4" t="e">
        <f>#REF!/G61*F61^0.5/0.19</f>
        <v>#REF!</v>
      </c>
      <c r="AS61" s="4">
        <f t="shared" si="166"/>
        <v>1.1333333333333333</v>
      </c>
      <c r="AT61" s="38">
        <f t="shared" si="167"/>
        <v>398.03531501614259</v>
      </c>
      <c r="AU61" s="4">
        <f t="shared" si="168"/>
        <v>0.34199999999999997</v>
      </c>
      <c r="AV61" s="4" t="e">
        <f>AU61*D61*#REF!/(D61*G61/2.75/F61^0.5)</f>
        <v>#REF!</v>
      </c>
      <c r="AW61" s="4" t="e">
        <f t="shared" si="207"/>
        <v>#REF!</v>
      </c>
      <c r="AY61" s="36">
        <f t="shared" si="169"/>
        <v>1.1000000000000001</v>
      </c>
      <c r="AZ61" s="36" t="e">
        <f>(1.6*#REF!+22)*AY61*F61^0.5</f>
        <v>#REF!</v>
      </c>
      <c r="BE61" s="4">
        <f t="shared" si="170"/>
        <v>63.499999999999986</v>
      </c>
      <c r="BF61" s="4">
        <f t="shared" si="171"/>
        <v>63.499999999999986</v>
      </c>
      <c r="BG61" s="4">
        <f t="shared" si="172"/>
        <v>88.899999999999991</v>
      </c>
      <c r="BH61" s="4">
        <f t="shared" si="173"/>
        <v>76.199999999999989</v>
      </c>
      <c r="BI61" s="4">
        <f t="shared" si="229"/>
        <v>1.04</v>
      </c>
      <c r="BJ61" s="25">
        <f t="shared" si="174"/>
        <v>3.1199999999999997</v>
      </c>
      <c r="BL61" s="4">
        <f t="shared" si="175"/>
        <v>63.499999999999986</v>
      </c>
      <c r="BP61" s="9"/>
      <c r="BR61" s="9"/>
      <c r="BS61" s="9"/>
      <c r="BT61" s="9">
        <f t="shared" si="176"/>
        <v>50.8</v>
      </c>
      <c r="BU61" s="9">
        <f t="shared" si="177"/>
        <v>63.499999999999986</v>
      </c>
      <c r="BV61" s="9">
        <f t="shared" si="178"/>
        <v>1.4623505735569622</v>
      </c>
      <c r="BW61" s="9">
        <v>0</v>
      </c>
      <c r="BX61" s="9">
        <f t="shared" si="179"/>
        <v>0</v>
      </c>
      <c r="BY61" s="9">
        <f t="shared" si="230"/>
        <v>0</v>
      </c>
      <c r="BZ61" s="9">
        <f t="shared" si="180"/>
        <v>0.99524931562137331</v>
      </c>
      <c r="CA61" s="9">
        <f t="shared" si="181"/>
        <v>1.056</v>
      </c>
      <c r="CB61" s="9">
        <f t="shared" si="182"/>
        <v>1.911374255891328</v>
      </c>
      <c r="CC61" s="9">
        <f t="shared" si="183"/>
        <v>2.7950992393846952</v>
      </c>
      <c r="CD61" s="9">
        <v>1</v>
      </c>
      <c r="CE61" s="9" t="e">
        <f>4*CC61*#REF!+60*CC61</f>
        <v>#REF!</v>
      </c>
      <c r="CG61" s="4" t="e">
        <f t="shared" si="209"/>
        <v>#REF!</v>
      </c>
      <c r="CH61" s="4" t="e">
        <f t="shared" si="210"/>
        <v>#REF!</v>
      </c>
      <c r="CI61" s="4" t="e">
        <f t="shared" si="211"/>
        <v>#REF!</v>
      </c>
      <c r="CJ61" s="4" t="e">
        <f t="shared" si="212"/>
        <v>#REF!</v>
      </c>
      <c r="CK61" s="4" t="e">
        <f t="shared" si="213"/>
        <v>#REF!</v>
      </c>
      <c r="CL61" s="4" t="e">
        <f t="shared" si="214"/>
        <v>#REF!</v>
      </c>
      <c r="CM61" s="4">
        <f t="shared" si="215"/>
        <v>2.2495746388655649</v>
      </c>
      <c r="CO61" s="4" t="e">
        <f t="shared" si="216"/>
        <v>#REF!</v>
      </c>
      <c r="CP61" s="4" t="e">
        <f t="shared" si="217"/>
        <v>#REF!</v>
      </c>
      <c r="CQ61" s="4" t="e">
        <f t="shared" si="218"/>
        <v>#REF!</v>
      </c>
      <c r="CR61" s="4">
        <f t="shared" si="231"/>
        <v>2.2495746388655649</v>
      </c>
      <c r="CS61" s="4" t="e">
        <f t="shared" si="219"/>
        <v>#REF!</v>
      </c>
      <c r="CT61" s="4" t="e">
        <f t="shared" si="220"/>
        <v>#REF!</v>
      </c>
      <c r="DB61" s="4">
        <f t="shared" si="232"/>
        <v>0</v>
      </c>
      <c r="DC61" s="4">
        <f t="shared" si="184"/>
        <v>254</v>
      </c>
      <c r="DD61" s="4" t="e">
        <f>#REF!/E61</f>
        <v>#REF!</v>
      </c>
      <c r="DF61" s="4">
        <f t="shared" si="185"/>
        <v>1.7472864382687078E-5</v>
      </c>
      <c r="DG61" s="4">
        <f t="shared" si="233"/>
        <v>6.5652823394499222</v>
      </c>
      <c r="DH61" s="4">
        <f t="shared" si="221"/>
        <v>0.46441634152497552</v>
      </c>
      <c r="DI61" s="4">
        <f t="shared" si="149"/>
        <v>4.8307704919126984</v>
      </c>
      <c r="DJ61" s="4">
        <f t="shared" si="150"/>
        <v>5.7637968710281546</v>
      </c>
      <c r="DK61" s="4">
        <f t="shared" si="186"/>
        <v>6.2806000030155449</v>
      </c>
      <c r="DL61" s="38" t="e">
        <f t="shared" si="187"/>
        <v>#REF!</v>
      </c>
      <c r="DM61" s="4" t="e">
        <f t="shared" si="151"/>
        <v>#REF!</v>
      </c>
      <c r="DN61" s="4">
        <f t="shared" si="222"/>
        <v>2.3874672772626644</v>
      </c>
      <c r="DO61" s="4">
        <f t="shared" si="152"/>
        <v>249.76472053237032</v>
      </c>
      <c r="DS61" s="4">
        <f t="shared" si="188"/>
        <v>0.85</v>
      </c>
      <c r="DT61" s="4">
        <f t="shared" si="189"/>
        <v>0.85000000000000009</v>
      </c>
      <c r="DU61" s="4">
        <f t="shared" si="190"/>
        <v>1</v>
      </c>
      <c r="DV61" s="4">
        <f t="shared" si="234"/>
        <v>0.85000000000000009</v>
      </c>
      <c r="DX61" s="4" t="e">
        <f t="shared" si="191"/>
        <v>#REF!</v>
      </c>
      <c r="DY61" s="25">
        <f t="shared" si="192"/>
        <v>258.22019535919065</v>
      </c>
      <c r="EA61" s="4">
        <f t="shared" si="224"/>
        <v>0.72250000000000003</v>
      </c>
      <c r="EB61" s="4">
        <f t="shared" si="159"/>
        <v>6.5652823394499222</v>
      </c>
      <c r="EC61" s="4">
        <f t="shared" si="193"/>
        <v>5.9197837798352051</v>
      </c>
      <c r="EE61" s="4">
        <f t="shared" si="194"/>
        <v>60.641668842471674</v>
      </c>
      <c r="EF61" s="4">
        <f t="shared" si="235"/>
        <v>2.3874672772626644</v>
      </c>
      <c r="EG61" s="4">
        <f t="shared" si="195"/>
        <v>0.13195463217595849</v>
      </c>
      <c r="EJ61" s="4">
        <f t="shared" si="236"/>
        <v>0.13195463217595849</v>
      </c>
      <c r="EK61" s="4">
        <f t="shared" si="196"/>
        <v>0.46364131720641022</v>
      </c>
      <c r="EL61" s="4">
        <f t="shared" si="237"/>
        <v>4.8275442138190625</v>
      </c>
      <c r="EM61" s="4">
        <f t="shared" si="238"/>
        <v>5.7624463416714153</v>
      </c>
      <c r="EN61" s="4">
        <f t="shared" si="239"/>
        <v>129.85833115752831</v>
      </c>
      <c r="EO61" s="4">
        <f t="shared" si="240"/>
        <v>63.5</v>
      </c>
      <c r="EP61" s="4">
        <f t="shared" si="197"/>
        <v>1.7472864382687078E-5</v>
      </c>
      <c r="EQ61" s="4">
        <f t="shared" si="241"/>
        <v>6.2806845110232778</v>
      </c>
      <c r="ER61" s="4" t="e">
        <f t="shared" si="198"/>
        <v>#REF!</v>
      </c>
      <c r="ES61" s="4" t="e">
        <f t="shared" si="242"/>
        <v>#REF!</v>
      </c>
      <c r="ET61" s="4" t="e">
        <f t="shared" si="243"/>
        <v>#REF!</v>
      </c>
      <c r="EV61" s="4" t="e">
        <f t="shared" si="199"/>
        <v>#REF!</v>
      </c>
      <c r="FA61" s="23" t="e">
        <f t="shared" si="244"/>
        <v>#REF!</v>
      </c>
      <c r="FB61" s="23" t="e">
        <f t="shared" si="245"/>
        <v>#REF!</v>
      </c>
      <c r="FC61" s="23">
        <f t="shared" si="246"/>
        <v>2.2000000000000002</v>
      </c>
      <c r="FD61" s="23" t="e">
        <f t="shared" si="247"/>
        <v>#REF!</v>
      </c>
      <c r="FE61" s="23" t="e">
        <f t="shared" si="248"/>
        <v>#REF!</v>
      </c>
      <c r="FF61" s="23" t="e">
        <f t="shared" si="249"/>
        <v>#REF!</v>
      </c>
      <c r="FG61" s="23" t="e">
        <f t="shared" si="250"/>
        <v>#REF!</v>
      </c>
      <c r="FH61" s="23"/>
      <c r="FI61" s="1" t="s">
        <v>49</v>
      </c>
      <c r="FJ61">
        <f>COUNTIF(FA19:FA574,2)</f>
        <v>0</v>
      </c>
      <c r="FK61">
        <f t="shared" ref="FK61:FO61" si="260">COUNTIF(FB19:FB574,2)</f>
        <v>0</v>
      </c>
      <c r="FL61">
        <f t="shared" si="260"/>
        <v>17</v>
      </c>
      <c r="FM61">
        <f t="shared" si="260"/>
        <v>0</v>
      </c>
      <c r="FN61">
        <f t="shared" si="260"/>
        <v>0</v>
      </c>
      <c r="FO61">
        <f t="shared" si="260"/>
        <v>0</v>
      </c>
      <c r="FR61" s="4">
        <f t="shared" si="140"/>
        <v>1</v>
      </c>
      <c r="FS61" s="4">
        <f t="shared" si="141"/>
        <v>1.0833333333333333</v>
      </c>
      <c r="FT61" s="4">
        <f t="shared" si="142"/>
        <v>0</v>
      </c>
      <c r="FU61" s="4">
        <f t="shared" si="143"/>
        <v>209.81744363815565</v>
      </c>
    </row>
    <row r="62" spans="1:177" ht="12" customHeight="1" x14ac:dyDescent="0.3">
      <c r="B62" s="24"/>
      <c r="C62" s="7" t="s">
        <v>282</v>
      </c>
      <c r="D62" s="7">
        <v>472</v>
      </c>
      <c r="E62" s="7">
        <f t="shared" si="226"/>
        <v>254</v>
      </c>
      <c r="F62" s="7">
        <v>28</v>
      </c>
      <c r="G62" s="7">
        <v>25.4</v>
      </c>
      <c r="H62" s="7">
        <f t="shared" si="200"/>
        <v>152.39999999999998</v>
      </c>
      <c r="I62" s="7">
        <f t="shared" si="160"/>
        <v>63.499999999999986</v>
      </c>
      <c r="J62" s="7">
        <f t="shared" si="201"/>
        <v>50.8</v>
      </c>
      <c r="K62" s="7">
        <v>0</v>
      </c>
      <c r="L62" s="7">
        <v>1</v>
      </c>
      <c r="M62" s="7">
        <f t="shared" si="202"/>
        <v>88.899999999999991</v>
      </c>
      <c r="N62" s="7">
        <f t="shared" si="161"/>
        <v>2.9999999999999996</v>
      </c>
      <c r="O62" s="7">
        <f t="shared" si="203"/>
        <v>4</v>
      </c>
      <c r="P62" s="7">
        <v>10.39</v>
      </c>
      <c r="Q62" s="7">
        <f t="shared" si="227"/>
        <v>10.39</v>
      </c>
      <c r="R62" s="7">
        <f t="shared" si="162"/>
        <v>11.39</v>
      </c>
      <c r="S62" s="7">
        <f t="shared" si="163"/>
        <v>85.722648115885917</v>
      </c>
      <c r="T62" s="7"/>
      <c r="U62" s="7"/>
      <c r="V62" s="7">
        <v>472</v>
      </c>
      <c r="W62" s="7"/>
      <c r="X62" s="7"/>
      <c r="Y62" s="7"/>
      <c r="Z62" s="7"/>
      <c r="AA62" s="7">
        <v>1</v>
      </c>
      <c r="AB62" s="7"/>
      <c r="AC62" s="7"/>
      <c r="AD62" s="7"/>
      <c r="AE62" s="4">
        <f t="shared" si="252"/>
        <v>254</v>
      </c>
      <c r="AF62" s="44">
        <f t="shared" si="204"/>
        <v>0.12666666666666665</v>
      </c>
      <c r="AG62" s="25">
        <f t="shared" si="164"/>
        <v>422.7389613182192</v>
      </c>
      <c r="AH62" s="4">
        <f t="shared" si="165"/>
        <v>0.7599999999999999</v>
      </c>
      <c r="AI62" s="4">
        <v>1.25</v>
      </c>
      <c r="AJ62" s="25">
        <f t="shared" si="146"/>
        <v>5</v>
      </c>
      <c r="AK62" s="38">
        <f t="shared" si="205"/>
        <v>254.34794172646178</v>
      </c>
      <c r="AL62" s="38">
        <f t="shared" si="148"/>
        <v>254.34794172646178</v>
      </c>
      <c r="AN62" s="38">
        <f t="shared" si="158"/>
        <v>254.34794172646181</v>
      </c>
      <c r="AO62" s="38">
        <f t="shared" si="87"/>
        <v>0.99999999999999989</v>
      </c>
      <c r="AP62" s="38">
        <f t="shared" si="206"/>
        <v>2.4129398188950528</v>
      </c>
      <c r="AQ62" s="4">
        <f t="shared" si="228"/>
        <v>0</v>
      </c>
      <c r="AR62" s="4" t="e">
        <f>#REF!/G62*F62^0.5/0.19</f>
        <v>#REF!</v>
      </c>
      <c r="AS62" s="4">
        <f t="shared" si="166"/>
        <v>1.1333333333333333</v>
      </c>
      <c r="AT62" s="38">
        <f t="shared" si="167"/>
        <v>613.72627644577824</v>
      </c>
      <c r="AU62" s="4">
        <f t="shared" si="168"/>
        <v>0.3</v>
      </c>
      <c r="AV62" s="4" t="e">
        <f>AU62*D62*#REF!/(D62*G62/2.75/F62^0.5)</f>
        <v>#REF!</v>
      </c>
      <c r="AW62" s="4" t="e">
        <f t="shared" ref="AW62" si="261">AT62+AV62</f>
        <v>#REF!</v>
      </c>
      <c r="AY62" s="36">
        <f t="shared" si="169"/>
        <v>1.1000000000000001</v>
      </c>
      <c r="AZ62" s="36" t="e">
        <f>(1.6*#REF!+22)*AY62*F62^0.5</f>
        <v>#REF!</v>
      </c>
      <c r="BE62" s="4">
        <f t="shared" si="170"/>
        <v>63.499999999999986</v>
      </c>
      <c r="BF62" s="4">
        <f t="shared" si="171"/>
        <v>63.499999999999986</v>
      </c>
      <c r="BG62" s="4">
        <f t="shared" si="172"/>
        <v>88.899999999999991</v>
      </c>
      <c r="BH62" s="4">
        <f t="shared" si="173"/>
        <v>76.199999999999989</v>
      </c>
      <c r="BI62" s="4">
        <f t="shared" si="229"/>
        <v>1.04</v>
      </c>
      <c r="BJ62" s="25">
        <f t="shared" si="174"/>
        <v>3.1199999999999997</v>
      </c>
      <c r="BL62" s="4">
        <f t="shared" si="175"/>
        <v>63.499999999999986</v>
      </c>
      <c r="BP62" s="9"/>
      <c r="BR62" s="9"/>
      <c r="BS62" s="9"/>
      <c r="BT62" s="9">
        <f t="shared" si="176"/>
        <v>50.8</v>
      </c>
      <c r="BU62" s="9">
        <f t="shared" si="177"/>
        <v>63.499999999999986</v>
      </c>
      <c r="BV62" s="9">
        <f t="shared" si="178"/>
        <v>1.4623505735569622</v>
      </c>
      <c r="BW62" s="9">
        <v>0</v>
      </c>
      <c r="BX62" s="9">
        <f t="shared" si="179"/>
        <v>0</v>
      </c>
      <c r="BY62" s="9">
        <f t="shared" si="230"/>
        <v>0</v>
      </c>
      <c r="BZ62" s="9">
        <f t="shared" si="180"/>
        <v>0.99524931562137331</v>
      </c>
      <c r="CA62" s="9">
        <f t="shared" si="181"/>
        <v>1.056</v>
      </c>
      <c r="CB62" s="9">
        <f t="shared" si="182"/>
        <v>1.9464482686693119</v>
      </c>
      <c r="CC62" s="9">
        <f t="shared" si="183"/>
        <v>2.8463897420875242</v>
      </c>
      <c r="CD62" s="9">
        <v>1</v>
      </c>
      <c r="CE62" s="9" t="e">
        <f>4*CC62*#REF!+60*CC62</f>
        <v>#REF!</v>
      </c>
      <c r="CG62" s="4" t="e">
        <f t="shared" si="209"/>
        <v>#REF!</v>
      </c>
      <c r="CH62" s="4" t="e">
        <f t="shared" si="210"/>
        <v>#REF!</v>
      </c>
      <c r="CI62" s="4" t="e">
        <f t="shared" si="211"/>
        <v>#REF!</v>
      </c>
      <c r="CJ62" s="4" t="e">
        <f t="shared" si="212"/>
        <v>#REF!</v>
      </c>
      <c r="CK62" s="4" t="e">
        <f t="shared" si="213"/>
        <v>#REF!</v>
      </c>
      <c r="CL62" s="4" t="e">
        <f t="shared" si="214"/>
        <v>#REF!</v>
      </c>
      <c r="CM62" s="4">
        <f t="shared" si="215"/>
        <v>2.2292144033428589</v>
      </c>
      <c r="CO62" s="4" t="e">
        <f t="shared" si="216"/>
        <v>#REF!</v>
      </c>
      <c r="CP62" s="4" t="e">
        <f t="shared" si="217"/>
        <v>#REF!</v>
      </c>
      <c r="CQ62" s="4" t="e">
        <f t="shared" si="218"/>
        <v>#REF!</v>
      </c>
      <c r="CR62" s="4">
        <f t="shared" si="231"/>
        <v>2.2292144033428589</v>
      </c>
      <c r="CS62" s="4" t="e">
        <f t="shared" si="219"/>
        <v>#REF!</v>
      </c>
      <c r="CT62" s="4" t="e">
        <f t="shared" si="220"/>
        <v>#REF!</v>
      </c>
      <c r="DB62" s="4">
        <f t="shared" si="232"/>
        <v>0</v>
      </c>
      <c r="DC62" s="4">
        <f t="shared" si="184"/>
        <v>254</v>
      </c>
      <c r="DD62" s="4" t="e">
        <f>#REF!/E62</f>
        <v>#REF!</v>
      </c>
      <c r="DF62" s="4">
        <f t="shared" si="185"/>
        <v>1.7601358282256944E-5</v>
      </c>
      <c r="DG62" s="4">
        <f t="shared" si="233"/>
        <v>6.6857562842857838</v>
      </c>
      <c r="DH62" s="4">
        <f t="shared" si="221"/>
        <v>0.29161986457583566</v>
      </c>
      <c r="DI62" s="4">
        <f t="shared" si="149"/>
        <v>4.083921473569565</v>
      </c>
      <c r="DJ62" s="4">
        <f t="shared" si="150"/>
        <v>5.5406123899996746</v>
      </c>
      <c r="DK62" s="4">
        <f t="shared" si="186"/>
        <v>6.4187649496664125</v>
      </c>
      <c r="DL62" s="38" t="e">
        <f t="shared" si="187"/>
        <v>#REF!</v>
      </c>
      <c r="DM62" s="4" t="e">
        <f t="shared" si="151"/>
        <v>#REF!</v>
      </c>
      <c r="DN62" s="4">
        <f t="shared" si="222"/>
        <v>3.3749074061372411</v>
      </c>
      <c r="DO62" s="4">
        <f t="shared" si="152"/>
        <v>254.34794172646181</v>
      </c>
      <c r="DS62" s="4">
        <f t="shared" si="188"/>
        <v>0.85</v>
      </c>
      <c r="DT62" s="4">
        <f t="shared" si="189"/>
        <v>0.85000000000000009</v>
      </c>
      <c r="DU62" s="4">
        <f t="shared" si="190"/>
        <v>1</v>
      </c>
      <c r="DV62" s="4">
        <f t="shared" si="234"/>
        <v>0.85000000000000009</v>
      </c>
      <c r="DX62" s="4" t="e">
        <f t="shared" si="191"/>
        <v>#REF!</v>
      </c>
      <c r="DY62" s="25">
        <f t="shared" si="192"/>
        <v>262.95857582217241</v>
      </c>
      <c r="EA62" s="4">
        <f t="shared" si="224"/>
        <v>0.72250000000000003</v>
      </c>
      <c r="EB62" s="4">
        <f t="shared" si="159"/>
        <v>6.6857562842857838</v>
      </c>
      <c r="EC62" s="4">
        <f t="shared" si="193"/>
        <v>6.028412726414806</v>
      </c>
      <c r="EE62" s="4">
        <f t="shared" si="194"/>
        <v>85.722648115885917</v>
      </c>
      <c r="EF62" s="4">
        <f t="shared" si="235"/>
        <v>3.3749074061372411</v>
      </c>
      <c r="EG62" s="4">
        <f t="shared" si="195"/>
        <v>8.437841924754759E-2</v>
      </c>
      <c r="EJ62" s="4">
        <f t="shared" si="236"/>
        <v>8.437841924754759E-2</v>
      </c>
      <c r="EK62" s="4">
        <f t="shared" si="196"/>
        <v>0.291133205372413</v>
      </c>
      <c r="EL62" s="4">
        <f t="shared" si="237"/>
        <v>4.0811939860169337</v>
      </c>
      <c r="EM62" s="4">
        <f t="shared" si="238"/>
        <v>5.5396113900741408</v>
      </c>
      <c r="EN62" s="4">
        <f t="shared" si="239"/>
        <v>104.77735188411408</v>
      </c>
      <c r="EO62" s="4">
        <f t="shared" si="240"/>
        <v>63.499999999999986</v>
      </c>
      <c r="EP62" s="4">
        <f t="shared" si="197"/>
        <v>1.760135828225694E-5</v>
      </c>
      <c r="EQ62" s="4">
        <f t="shared" si="241"/>
        <v>6.4188440713132247</v>
      </c>
      <c r="ER62" s="4" t="e">
        <f t="shared" si="198"/>
        <v>#REF!</v>
      </c>
      <c r="ES62" s="4" t="e">
        <f t="shared" si="242"/>
        <v>#REF!</v>
      </c>
      <c r="ET62" s="4" t="e">
        <f t="shared" si="243"/>
        <v>#REF!</v>
      </c>
      <c r="EV62" s="4" t="e">
        <f t="shared" si="199"/>
        <v>#REF!</v>
      </c>
      <c r="FA62" s="23" t="e">
        <f t="shared" si="244"/>
        <v>#REF!</v>
      </c>
      <c r="FB62" s="23" t="e">
        <f t="shared" si="245"/>
        <v>#REF!</v>
      </c>
      <c r="FC62" s="23">
        <f t="shared" si="246"/>
        <v>2.2000000000000002</v>
      </c>
      <c r="FD62" s="23" t="e">
        <f t="shared" si="247"/>
        <v>#REF!</v>
      </c>
      <c r="FE62" s="23" t="e">
        <f t="shared" si="248"/>
        <v>#REF!</v>
      </c>
      <c r="FF62" s="23" t="e">
        <f t="shared" si="249"/>
        <v>#REF!</v>
      </c>
      <c r="FG62" s="23" t="e">
        <f t="shared" si="250"/>
        <v>#REF!</v>
      </c>
      <c r="FH62" s="23"/>
      <c r="FI62" s="1" t="s">
        <v>50</v>
      </c>
      <c r="FJ62">
        <f>COUNTIF(FA19:FA574,2.2)</f>
        <v>0</v>
      </c>
      <c r="FK62">
        <f t="shared" ref="FK62:FO62" si="262">COUNTIF(FB19:FB574,2.2)</f>
        <v>0</v>
      </c>
      <c r="FL62">
        <f t="shared" si="262"/>
        <v>43</v>
      </c>
      <c r="FM62">
        <f t="shared" si="262"/>
        <v>0</v>
      </c>
      <c r="FN62">
        <f t="shared" si="262"/>
        <v>0</v>
      </c>
      <c r="FO62">
        <f t="shared" si="262"/>
        <v>0</v>
      </c>
      <c r="FR62" s="4">
        <f t="shared" si="140"/>
        <v>1</v>
      </c>
      <c r="FS62" s="4">
        <f t="shared" si="141"/>
        <v>1.0833333333333333</v>
      </c>
      <c r="FT62" s="4">
        <f t="shared" si="142"/>
        <v>0</v>
      </c>
      <c r="FU62" s="4">
        <f t="shared" si="143"/>
        <v>211.73378356617641</v>
      </c>
    </row>
    <row r="63" spans="1:177" ht="12" customHeight="1" x14ac:dyDescent="0.3">
      <c r="B63" s="24"/>
      <c r="C63" s="7" t="s">
        <v>273</v>
      </c>
      <c r="D63" s="7">
        <v>472</v>
      </c>
      <c r="E63" s="7">
        <f>15*25.4</f>
        <v>381</v>
      </c>
      <c r="F63" s="7">
        <v>28</v>
      </c>
      <c r="G63" s="7">
        <v>25.4</v>
      </c>
      <c r="H63" s="7">
        <f t="shared" si="200"/>
        <v>152.39999999999998</v>
      </c>
      <c r="I63" s="7">
        <f t="shared" si="160"/>
        <v>63.499999999999986</v>
      </c>
      <c r="J63" s="7">
        <f t="shared" si="201"/>
        <v>50.8</v>
      </c>
      <c r="K63" s="7">
        <v>0</v>
      </c>
      <c r="L63" s="7">
        <v>1</v>
      </c>
      <c r="M63" s="7">
        <f t="shared" si="202"/>
        <v>88.899999999999991</v>
      </c>
      <c r="N63" s="7">
        <f t="shared" si="161"/>
        <v>2.9999999999999996</v>
      </c>
      <c r="O63" s="7">
        <f t="shared" si="203"/>
        <v>4</v>
      </c>
      <c r="P63" s="7">
        <v>1.18</v>
      </c>
      <c r="Q63" s="7">
        <f t="shared" si="227"/>
        <v>1.18</v>
      </c>
      <c r="R63" s="7">
        <f t="shared" si="162"/>
        <v>2.1799999999999997</v>
      </c>
      <c r="S63" s="7">
        <f t="shared" si="163"/>
        <v>37.502650572992827</v>
      </c>
      <c r="T63" s="7"/>
      <c r="U63" s="7"/>
      <c r="V63" s="7">
        <v>0</v>
      </c>
      <c r="W63" s="7"/>
      <c r="X63" s="7"/>
      <c r="Y63" s="7"/>
      <c r="Z63" s="7"/>
      <c r="AA63" s="7">
        <v>1</v>
      </c>
      <c r="AB63" s="7"/>
      <c r="AC63" s="7"/>
      <c r="AD63" s="7"/>
      <c r="AE63" s="4">
        <f t="shared" si="252"/>
        <v>381</v>
      </c>
      <c r="AF63" s="44">
        <f t="shared" si="204"/>
        <v>5.9259259259259248E-2</v>
      </c>
      <c r="AG63" s="25">
        <f t="shared" si="164"/>
        <v>776.62106221784506</v>
      </c>
      <c r="AH63" s="4">
        <f t="shared" si="165"/>
        <v>0.74</v>
      </c>
      <c r="AI63" s="4">
        <v>1.25</v>
      </c>
      <c r="AJ63" s="25">
        <f t="shared" si="146"/>
        <v>5</v>
      </c>
      <c r="AK63" s="38">
        <f t="shared" si="205"/>
        <v>212.85169853377971</v>
      </c>
      <c r="AL63" s="38">
        <f t="shared" si="148"/>
        <v>212.85169853377971</v>
      </c>
      <c r="AN63" s="38">
        <f t="shared" si="158"/>
        <v>212.85169853377948</v>
      </c>
      <c r="AO63" s="38">
        <f t="shared" si="87"/>
        <v>1.0000000000000011</v>
      </c>
      <c r="AP63" s="38">
        <f t="shared" si="206"/>
        <v>0.9716969231496575</v>
      </c>
      <c r="AQ63" s="4">
        <f t="shared" si="228"/>
        <v>1</v>
      </c>
      <c r="AR63" s="4" t="e">
        <f>#REF!/G63*F63^0.5/0.19</f>
        <v>#REF!</v>
      </c>
      <c r="AS63" s="4">
        <f t="shared" si="166"/>
        <v>1.1333333333333333</v>
      </c>
      <c r="AT63" s="38">
        <f t="shared" si="167"/>
        <v>206.827340552452</v>
      </c>
      <c r="AU63" s="4">
        <f t="shared" si="168"/>
        <v>0.83479999999999999</v>
      </c>
      <c r="AV63" s="4" t="e">
        <f>AU63*D63*#REF!/(D63*G63/2.75/F63^0.5)</f>
        <v>#REF!</v>
      </c>
      <c r="AW63" s="4" t="e">
        <f t="shared" si="207"/>
        <v>#REF!</v>
      </c>
      <c r="AY63" s="36">
        <f t="shared" si="169"/>
        <v>1.1000000000000001</v>
      </c>
      <c r="AZ63" s="36" t="e">
        <f>(1.6*#REF!+22)*AY63*F63^0.5</f>
        <v>#REF!</v>
      </c>
      <c r="BE63" s="4">
        <f t="shared" si="170"/>
        <v>63.499999999999986</v>
      </c>
      <c r="BF63" s="4">
        <f t="shared" si="171"/>
        <v>63.499999999999986</v>
      </c>
      <c r="BG63" s="4">
        <f t="shared" si="172"/>
        <v>88.899999999999991</v>
      </c>
      <c r="BH63" s="4">
        <f t="shared" si="173"/>
        <v>76.199999999999989</v>
      </c>
      <c r="BI63" s="4">
        <f t="shared" si="229"/>
        <v>1.04</v>
      </c>
      <c r="BJ63" s="25">
        <f t="shared" si="174"/>
        <v>3.1199999999999997</v>
      </c>
      <c r="BL63" s="4">
        <f t="shared" si="175"/>
        <v>63.499999999999986</v>
      </c>
      <c r="BP63" s="9"/>
      <c r="BR63" s="9"/>
      <c r="BS63" s="9"/>
      <c r="BT63" s="9">
        <f t="shared" si="176"/>
        <v>50.8</v>
      </c>
      <c r="BU63" s="9">
        <f t="shared" si="177"/>
        <v>63.499999999999986</v>
      </c>
      <c r="BV63" s="9">
        <f t="shared" si="178"/>
        <v>1.4623505735569622</v>
      </c>
      <c r="BW63" s="9">
        <v>0</v>
      </c>
      <c r="BX63" s="9">
        <f t="shared" si="179"/>
        <v>0</v>
      </c>
      <c r="BY63" s="9">
        <f t="shared" si="208"/>
        <v>0</v>
      </c>
      <c r="BZ63" s="9">
        <f t="shared" si="180"/>
        <v>0.99524931562137331</v>
      </c>
      <c r="CA63" s="9">
        <f t="shared" si="181"/>
        <v>1.056</v>
      </c>
      <c r="CB63" s="9">
        <f t="shared" si="182"/>
        <v>1.9464482686693119</v>
      </c>
      <c r="CC63" s="9">
        <f t="shared" si="183"/>
        <v>2.8463897420875242</v>
      </c>
      <c r="CD63" s="9">
        <v>1</v>
      </c>
      <c r="CE63" s="9" t="e">
        <f>4*CC63*#REF!+60*CC63</f>
        <v>#REF!</v>
      </c>
      <c r="DB63" s="4">
        <f t="shared" si="232"/>
        <v>0</v>
      </c>
      <c r="DC63" s="4">
        <f t="shared" si="184"/>
        <v>381</v>
      </c>
      <c r="DD63" s="4" t="e">
        <f>#REF!/E63</f>
        <v>#REF!</v>
      </c>
      <c r="DF63" s="4">
        <f t="shared" si="185"/>
        <v>2.6402037423385414E-5</v>
      </c>
      <c r="DG63" s="4">
        <f t="shared" si="233"/>
        <v>6.6857562842857838</v>
      </c>
      <c r="DH63" s="4">
        <f t="shared" si="221"/>
        <v>0.9400823991177234</v>
      </c>
      <c r="DI63" s="4">
        <f t="shared" si="149"/>
        <v>6.5225423839155505</v>
      </c>
      <c r="DJ63" s="4">
        <f t="shared" si="150"/>
        <v>6.6046535278620073</v>
      </c>
      <c r="DK63" s="4">
        <f t="shared" si="186"/>
        <v>5.9210154692863419</v>
      </c>
      <c r="DL63" s="38" t="e">
        <f t="shared" si="187"/>
        <v>#REF!</v>
      </c>
      <c r="DM63" s="4" t="e">
        <f t="shared" si="151"/>
        <v>#REF!</v>
      </c>
      <c r="DN63" s="4">
        <f t="shared" si="222"/>
        <v>1.4764823060233399</v>
      </c>
      <c r="DO63" s="4">
        <f t="shared" si="152"/>
        <v>212.85169853377948</v>
      </c>
      <c r="DS63" s="4">
        <f t="shared" si="188"/>
        <v>0.85</v>
      </c>
      <c r="DT63" s="4">
        <f t="shared" si="189"/>
        <v>0.85000000000000009</v>
      </c>
      <c r="DU63" s="4">
        <f t="shared" si="190"/>
        <v>1</v>
      </c>
      <c r="DV63" s="4">
        <f t="shared" si="223"/>
        <v>0.85000000000000009</v>
      </c>
      <c r="DX63" s="4" t="e">
        <f t="shared" si="191"/>
        <v>#REF!</v>
      </c>
      <c r="DY63" s="25">
        <f t="shared" si="192"/>
        <v>209.93356079366291</v>
      </c>
      <c r="EA63" s="4">
        <f t="shared" si="224"/>
        <v>0.72250000000000003</v>
      </c>
      <c r="EB63" s="4">
        <f t="shared" si="159"/>
        <v>6.6857562842857838</v>
      </c>
      <c r="EC63" s="4">
        <f t="shared" si="193"/>
        <v>6.028412726414806</v>
      </c>
      <c r="EE63" s="4">
        <f t="shared" si="194"/>
        <v>37.502650572992827</v>
      </c>
      <c r="EF63" s="4">
        <f t="shared" si="235"/>
        <v>1.4764823060233399</v>
      </c>
      <c r="EG63" s="4">
        <f t="shared" si="195"/>
        <v>0.27200707645678157</v>
      </c>
      <c r="EJ63" s="4">
        <f t="shared" ref="EJ63:EJ87" si="263">EG63</f>
        <v>0.27200707645678157</v>
      </c>
      <c r="EK63" s="4">
        <f t="shared" si="196"/>
        <v>0.93851357680113745</v>
      </c>
      <c r="EL63" s="4">
        <f t="shared" si="237"/>
        <v>6.5181862391466634</v>
      </c>
      <c r="EM63" s="4">
        <f>EB63/1.4*(1-EK63^1.4)/(1-EK63)</f>
        <v>6.602502902959194</v>
      </c>
      <c r="EN63" s="4">
        <f t="shared" si="239"/>
        <v>248.24734942700718</v>
      </c>
      <c r="EO63" s="4">
        <f t="shared" si="240"/>
        <v>95.25</v>
      </c>
      <c r="EP63" s="4">
        <f t="shared" si="197"/>
        <v>2.6402037423385414E-5</v>
      </c>
      <c r="EQ63" s="4">
        <f>MAX(0.5*EB63, (1-2*EP63*(EE63*EL63+EN63*EM63))/(1/EB63+EP63*EO63))</f>
        <v>5.9212575541952805</v>
      </c>
      <c r="ER63" s="4" t="e">
        <f t="shared" si="198"/>
        <v>#REF!</v>
      </c>
      <c r="ES63" s="4" t="e">
        <f t="shared" si="242"/>
        <v>#REF!</v>
      </c>
      <c r="ET63" s="4" t="e">
        <f t="shared" si="243"/>
        <v>#REF!</v>
      </c>
      <c r="EV63" s="4" t="e">
        <f t="shared" si="199"/>
        <v>#REF!</v>
      </c>
      <c r="FA63" s="23"/>
      <c r="FB63" s="23"/>
      <c r="FC63" s="23"/>
      <c r="FD63" s="23"/>
      <c r="FE63" s="23"/>
      <c r="FF63" s="23"/>
      <c r="FG63" s="23"/>
      <c r="FH63" s="23"/>
      <c r="FI63"/>
      <c r="FJ63"/>
      <c r="FK63"/>
      <c r="FL63"/>
      <c r="FM63"/>
      <c r="FN63"/>
      <c r="FO63"/>
      <c r="FR63" s="4">
        <f t="shared" si="140"/>
        <v>1</v>
      </c>
      <c r="FS63" s="4">
        <f t="shared" si="141"/>
        <v>1.0833333333333333</v>
      </c>
      <c r="FT63" s="4">
        <f t="shared" si="142"/>
        <v>0</v>
      </c>
      <c r="FU63" s="4">
        <f t="shared" si="143"/>
        <v>317.60067534926469</v>
      </c>
    </row>
    <row r="64" spans="1:177" ht="12" customHeight="1" x14ac:dyDescent="0.3">
      <c r="B64" s="24"/>
      <c r="C64" s="7" t="s">
        <v>274</v>
      </c>
      <c r="D64" s="7">
        <v>472</v>
      </c>
      <c r="E64" s="7">
        <f t="shared" ref="E64:E74" si="264">15*25.4</f>
        <v>381</v>
      </c>
      <c r="F64" s="7">
        <v>28</v>
      </c>
      <c r="G64" s="7">
        <v>25.4</v>
      </c>
      <c r="H64" s="7">
        <f t="shared" si="200"/>
        <v>152.39999999999998</v>
      </c>
      <c r="I64" s="7">
        <f t="shared" si="160"/>
        <v>63.499999999999986</v>
      </c>
      <c r="J64" s="7">
        <f t="shared" si="201"/>
        <v>50.8</v>
      </c>
      <c r="K64" s="7">
        <v>0</v>
      </c>
      <c r="L64" s="7">
        <v>1</v>
      </c>
      <c r="M64" s="7">
        <f t="shared" si="202"/>
        <v>88.899999999999991</v>
      </c>
      <c r="N64" s="7">
        <f t="shared" si="161"/>
        <v>2.9999999999999996</v>
      </c>
      <c r="O64" s="7">
        <f t="shared" si="203"/>
        <v>4</v>
      </c>
      <c r="P64" s="7">
        <v>1.85</v>
      </c>
      <c r="Q64" s="7">
        <f t="shared" si="227"/>
        <v>1.85</v>
      </c>
      <c r="R64" s="7">
        <f t="shared" si="162"/>
        <v>2.85</v>
      </c>
      <c r="S64" s="7">
        <f t="shared" si="163"/>
        <v>42.880135260980694</v>
      </c>
      <c r="T64" s="7"/>
      <c r="U64" s="7"/>
      <c r="V64" s="7">
        <v>0</v>
      </c>
      <c r="W64" s="7"/>
      <c r="X64" s="7"/>
      <c r="Y64" s="7"/>
      <c r="Z64" s="7"/>
      <c r="AA64" s="7">
        <v>1</v>
      </c>
      <c r="AB64" s="7"/>
      <c r="AC64" s="7"/>
      <c r="AD64" s="7"/>
      <c r="AE64" s="4">
        <f t="shared" si="252"/>
        <v>381</v>
      </c>
      <c r="AF64" s="44">
        <f t="shared" si="204"/>
        <v>5.9259259259259248E-2</v>
      </c>
      <c r="AG64" s="25">
        <f t="shared" si="164"/>
        <v>776.62106221784506</v>
      </c>
      <c r="AH64" s="4">
        <f t="shared" si="165"/>
        <v>0.74</v>
      </c>
      <c r="AI64" s="4">
        <v>1.25</v>
      </c>
      <c r="AJ64" s="25">
        <f t="shared" si="146"/>
        <v>5</v>
      </c>
      <c r="AK64" s="38">
        <f t="shared" si="205"/>
        <v>212.85169853377971</v>
      </c>
      <c r="AL64" s="38">
        <f t="shared" si="148"/>
        <v>212.85169853377971</v>
      </c>
      <c r="AN64" s="38">
        <f t="shared" si="158"/>
        <v>212.85169853377948</v>
      </c>
      <c r="AO64" s="38">
        <f t="shared" si="87"/>
        <v>1.0000000000000011</v>
      </c>
      <c r="AP64" s="38">
        <f t="shared" si="206"/>
        <v>1.2166780921657716</v>
      </c>
      <c r="AQ64" s="4">
        <f t="shared" si="228"/>
        <v>0</v>
      </c>
      <c r="AR64" s="4" t="e">
        <f>#REF!/G64*F64^0.5/0.19</f>
        <v>#REF!</v>
      </c>
      <c r="AS64" s="4">
        <f t="shared" si="166"/>
        <v>1.1333333333333333</v>
      </c>
      <c r="AT64" s="38">
        <f t="shared" si="167"/>
        <v>258.97199848632278</v>
      </c>
      <c r="AU64" s="4">
        <f t="shared" si="168"/>
        <v>0.74099999999999999</v>
      </c>
      <c r="AV64" s="4" t="e">
        <f>AU64*D64*#REF!/(D64*G64/2.75/F64^0.5)</f>
        <v>#REF!</v>
      </c>
      <c r="AW64" s="4" t="e">
        <f t="shared" si="207"/>
        <v>#REF!</v>
      </c>
      <c r="AY64" s="36">
        <f t="shared" si="169"/>
        <v>1.1000000000000001</v>
      </c>
      <c r="AZ64" s="36" t="e">
        <f>(1.6*#REF!+22)*AY64*F64^0.5</f>
        <v>#REF!</v>
      </c>
      <c r="BE64" s="4">
        <f t="shared" si="170"/>
        <v>63.499999999999986</v>
      </c>
      <c r="BF64" s="4">
        <f t="shared" si="171"/>
        <v>63.499999999999986</v>
      </c>
      <c r="BG64" s="4">
        <f t="shared" si="172"/>
        <v>88.899999999999991</v>
      </c>
      <c r="BH64" s="4">
        <f t="shared" si="173"/>
        <v>76.199999999999989</v>
      </c>
      <c r="BI64" s="4">
        <f t="shared" si="229"/>
        <v>1.04</v>
      </c>
      <c r="BJ64" s="25">
        <f t="shared" si="174"/>
        <v>3.1199999999999997</v>
      </c>
      <c r="BL64" s="4">
        <f t="shared" si="175"/>
        <v>63.499999999999986</v>
      </c>
      <c r="BP64" s="9"/>
      <c r="BR64" s="9"/>
      <c r="BS64" s="9"/>
      <c r="BT64" s="9">
        <f t="shared" si="176"/>
        <v>50.8</v>
      </c>
      <c r="BU64" s="9">
        <f t="shared" si="177"/>
        <v>63.499999999999986</v>
      </c>
      <c r="BV64" s="9">
        <f t="shared" si="178"/>
        <v>1.4623505735569622</v>
      </c>
      <c r="BW64" s="9">
        <v>0</v>
      </c>
      <c r="BX64" s="9">
        <f t="shared" si="179"/>
        <v>0</v>
      </c>
      <c r="BY64" s="9">
        <f t="shared" si="208"/>
        <v>0</v>
      </c>
      <c r="BZ64" s="9">
        <f t="shared" si="180"/>
        <v>0.99524931562137331</v>
      </c>
      <c r="CA64" s="9">
        <f t="shared" si="181"/>
        <v>1.056</v>
      </c>
      <c r="CB64" s="9">
        <f t="shared" si="182"/>
        <v>1.9464482686693119</v>
      </c>
      <c r="CC64" s="9">
        <f t="shared" si="183"/>
        <v>2.8463897420875242</v>
      </c>
      <c r="CD64" s="9">
        <v>1</v>
      </c>
      <c r="CE64" s="9" t="e">
        <f>4*CC64*#REF!+60*CC64</f>
        <v>#REF!</v>
      </c>
      <c r="DB64" s="4">
        <f t="shared" si="232"/>
        <v>0</v>
      </c>
      <c r="DC64" s="4">
        <f t="shared" si="184"/>
        <v>381</v>
      </c>
      <c r="DD64" s="4" t="e">
        <f>#REF!/E64</f>
        <v>#REF!</v>
      </c>
      <c r="DF64" s="4">
        <f t="shared" si="185"/>
        <v>2.6402037423385414E-5</v>
      </c>
      <c r="DG64" s="4">
        <f t="shared" si="233"/>
        <v>6.6857562842857838</v>
      </c>
      <c r="DH64" s="4">
        <f t="shared" si="221"/>
        <v>0.68559932873052221</v>
      </c>
      <c r="DI64" s="4">
        <f t="shared" si="149"/>
        <v>5.7488197873479097</v>
      </c>
      <c r="DJ64" s="4">
        <f t="shared" si="150"/>
        <v>6.2349223865162244</v>
      </c>
      <c r="DK64" s="4">
        <f t="shared" si="186"/>
        <v>5.9638650161149709</v>
      </c>
      <c r="DL64" s="38" t="e">
        <f t="shared" si="187"/>
        <v>#REF!</v>
      </c>
      <c r="DM64" s="4" t="e">
        <f t="shared" si="151"/>
        <v>#REF!</v>
      </c>
      <c r="DN64" s="4">
        <f t="shared" si="222"/>
        <v>1.6881943016134133</v>
      </c>
      <c r="DO64" s="4">
        <f t="shared" si="152"/>
        <v>212.85169853377948</v>
      </c>
      <c r="DS64" s="4">
        <f t="shared" si="188"/>
        <v>0.85</v>
      </c>
      <c r="DT64" s="4">
        <f t="shared" si="189"/>
        <v>0.85000000000000009</v>
      </c>
      <c r="DU64" s="4">
        <f t="shared" si="190"/>
        <v>1</v>
      </c>
      <c r="DV64" s="4">
        <f t="shared" si="223"/>
        <v>0.85000000000000009</v>
      </c>
      <c r="DX64" s="4" t="e">
        <f t="shared" si="191"/>
        <v>#REF!</v>
      </c>
      <c r="DY64" s="25">
        <f t="shared" si="192"/>
        <v>209.93356079366291</v>
      </c>
      <c r="EA64" s="4">
        <f t="shared" si="224"/>
        <v>0.72250000000000003</v>
      </c>
      <c r="EB64" s="4">
        <f t="shared" si="159"/>
        <v>6.6857562842857838</v>
      </c>
      <c r="EC64" s="4">
        <f t="shared" si="193"/>
        <v>6.028412726414806</v>
      </c>
      <c r="EE64" s="4">
        <f t="shared" si="194"/>
        <v>42.880135260980694</v>
      </c>
      <c r="EF64" s="4">
        <f t="shared" si="235"/>
        <v>1.6881943016134133</v>
      </c>
      <c r="EG64" s="4">
        <f t="shared" si="195"/>
        <v>0.19837396083975403</v>
      </c>
      <c r="EJ64" s="4">
        <f t="shared" si="263"/>
        <v>0.19837396083975403</v>
      </c>
      <c r="EK64" s="4">
        <f t="shared" si="196"/>
        <v>0.68445519122921572</v>
      </c>
      <c r="EL64" s="4">
        <f t="shared" si="237"/>
        <v>5.7449803809063837</v>
      </c>
      <c r="EM64" s="4">
        <f>EB64/1.4*(1-EK64^1.4)/(1-EK64)</f>
        <v>6.2331528620769934</v>
      </c>
      <c r="EN64" s="4">
        <f t="shared" si="239"/>
        <v>242.86986473901931</v>
      </c>
      <c r="EO64" s="4">
        <f t="shared" si="240"/>
        <v>95.25</v>
      </c>
      <c r="EP64" s="4">
        <f t="shared" si="197"/>
        <v>2.6402037423385414E-5</v>
      </c>
      <c r="EQ64" s="4">
        <f>MAX(0.5*EB64, (1-2*EP64*(EE64*EL64+EN64*EM64))/(1/EB64+EP64*EO64))</f>
        <v>5.9640713898449462</v>
      </c>
      <c r="ER64" s="4" t="e">
        <f t="shared" si="198"/>
        <v>#REF!</v>
      </c>
      <c r="ES64" s="4" t="e">
        <f t="shared" si="242"/>
        <v>#REF!</v>
      </c>
      <c r="ET64" s="4" t="e">
        <f t="shared" si="243"/>
        <v>#REF!</v>
      </c>
      <c r="EV64" s="4" t="e">
        <f t="shared" si="199"/>
        <v>#REF!</v>
      </c>
      <c r="FA64" s="23"/>
      <c r="FB64" s="23"/>
      <c r="FC64" s="23"/>
      <c r="FD64" s="23"/>
      <c r="FE64" s="23"/>
      <c r="FF64" s="23"/>
      <c r="FG64" s="23"/>
      <c r="FH64" s="23"/>
      <c r="FI64"/>
      <c r="FJ64"/>
      <c r="FK64"/>
      <c r="FL64"/>
      <c r="FM64"/>
      <c r="FN64"/>
      <c r="FO64"/>
      <c r="FR64" s="4">
        <f t="shared" si="140"/>
        <v>1</v>
      </c>
      <c r="FS64" s="4">
        <f t="shared" si="141"/>
        <v>1.0833333333333333</v>
      </c>
      <c r="FT64" s="4">
        <f t="shared" si="142"/>
        <v>0</v>
      </c>
      <c r="FU64" s="4">
        <f t="shared" si="143"/>
        <v>317.60067534926469</v>
      </c>
    </row>
    <row r="65" spans="2:179" ht="12" customHeight="1" x14ac:dyDescent="0.3">
      <c r="B65" s="24"/>
      <c r="C65" s="7" t="s">
        <v>274</v>
      </c>
      <c r="D65" s="7">
        <v>472</v>
      </c>
      <c r="E65" s="7">
        <f t="shared" si="264"/>
        <v>381</v>
      </c>
      <c r="F65" s="7">
        <v>21</v>
      </c>
      <c r="G65" s="7">
        <v>25.4</v>
      </c>
      <c r="H65" s="7">
        <f t="shared" si="200"/>
        <v>152.39999999999998</v>
      </c>
      <c r="I65" s="7">
        <f t="shared" si="160"/>
        <v>63.499999999999986</v>
      </c>
      <c r="J65" s="7">
        <f t="shared" si="201"/>
        <v>50.8</v>
      </c>
      <c r="K65" s="7">
        <v>0</v>
      </c>
      <c r="L65" s="7">
        <v>1</v>
      </c>
      <c r="M65" s="7">
        <f t="shared" si="202"/>
        <v>88.899999999999991</v>
      </c>
      <c r="N65" s="7">
        <f t="shared" si="161"/>
        <v>2.9999999999999996</v>
      </c>
      <c r="O65" s="7">
        <f t="shared" si="203"/>
        <v>4</v>
      </c>
      <c r="P65" s="7">
        <v>1.85</v>
      </c>
      <c r="Q65" s="7">
        <f t="shared" si="227"/>
        <v>1.85</v>
      </c>
      <c r="R65" s="7">
        <f t="shared" si="162"/>
        <v>2.85</v>
      </c>
      <c r="S65" s="7">
        <f t="shared" si="163"/>
        <v>42.880135260980694</v>
      </c>
      <c r="T65" s="7"/>
      <c r="U65" s="7"/>
      <c r="V65" s="7">
        <v>420</v>
      </c>
      <c r="W65" s="7"/>
      <c r="X65" s="7"/>
      <c r="Y65" s="7"/>
      <c r="Z65" s="7"/>
      <c r="AA65" s="7">
        <v>1</v>
      </c>
      <c r="AB65" s="7"/>
      <c r="AC65" s="7"/>
      <c r="AD65" s="7"/>
      <c r="AE65" s="4">
        <f t="shared" si="252"/>
        <v>381</v>
      </c>
      <c r="AF65" s="44">
        <f t="shared" si="204"/>
        <v>5.9259259259259248E-2</v>
      </c>
      <c r="AG65" s="25">
        <f t="shared" si="164"/>
        <v>672.57356899470892</v>
      </c>
      <c r="AH65" s="4">
        <f t="shared" si="165"/>
        <v>0.74</v>
      </c>
      <c r="AI65" s="4">
        <v>1.25</v>
      </c>
      <c r="AJ65" s="25">
        <f t="shared" si="146"/>
        <v>5</v>
      </c>
      <c r="AK65" s="38">
        <f t="shared" si="205"/>
        <v>184.3349781689202</v>
      </c>
      <c r="AL65" s="38">
        <f t="shared" si="148"/>
        <v>184.3349781689202</v>
      </c>
      <c r="AN65" s="38">
        <f t="shared" si="158"/>
        <v>184.33497816892</v>
      </c>
      <c r="AO65" s="38">
        <f t="shared" si="87"/>
        <v>1.0000000000000011</v>
      </c>
      <c r="AP65" s="38">
        <f t="shared" si="206"/>
        <v>1.0536741360435427</v>
      </c>
      <c r="AQ65" s="4">
        <f t="shared" si="228"/>
        <v>0</v>
      </c>
      <c r="AR65" s="4" t="e">
        <f>#REF!/G65*F65^0.5/0.19</f>
        <v>#REF!</v>
      </c>
      <c r="AS65" s="4">
        <f t="shared" si="166"/>
        <v>1.1333333333333333</v>
      </c>
      <c r="AT65" s="38">
        <f t="shared" si="167"/>
        <v>194.22899886474207</v>
      </c>
      <c r="AU65" s="4">
        <f t="shared" si="168"/>
        <v>0.74099999999999999</v>
      </c>
      <c r="AV65" s="4" t="e">
        <f>AU65*D65*#REF!/(D65*G65/2.75/F65^0.5)</f>
        <v>#REF!</v>
      </c>
      <c r="AW65" s="4" t="e">
        <f t="shared" si="207"/>
        <v>#REF!</v>
      </c>
      <c r="AY65" s="36">
        <f t="shared" si="169"/>
        <v>1.1000000000000001</v>
      </c>
      <c r="AZ65" s="36" t="e">
        <f>(1.6*#REF!+22)*AY65*F65^0.5</f>
        <v>#REF!</v>
      </c>
      <c r="BE65" s="4">
        <f t="shared" si="170"/>
        <v>63.499999999999986</v>
      </c>
      <c r="BF65" s="4">
        <f t="shared" si="171"/>
        <v>63.499999999999986</v>
      </c>
      <c r="BG65" s="4">
        <f t="shared" si="172"/>
        <v>88.899999999999991</v>
      </c>
      <c r="BH65" s="4">
        <f t="shared" si="173"/>
        <v>76.199999999999989</v>
      </c>
      <c r="BI65" s="4">
        <f t="shared" si="229"/>
        <v>1.04</v>
      </c>
      <c r="BJ65" s="25">
        <f t="shared" si="174"/>
        <v>3.1199999999999997</v>
      </c>
      <c r="BL65" s="4">
        <f t="shared" si="175"/>
        <v>63.499999999999986</v>
      </c>
      <c r="BP65" s="9"/>
      <c r="BR65" s="9"/>
      <c r="BS65" s="9"/>
      <c r="BT65" s="9">
        <f t="shared" si="176"/>
        <v>50.8</v>
      </c>
      <c r="BU65" s="9">
        <f t="shared" si="177"/>
        <v>63.499999999999986</v>
      </c>
      <c r="BV65" s="9">
        <f t="shared" si="178"/>
        <v>1.4623505735569622</v>
      </c>
      <c r="BW65" s="9">
        <v>0</v>
      </c>
      <c r="BX65" s="9">
        <f t="shared" si="179"/>
        <v>0</v>
      </c>
      <c r="BY65" s="9">
        <f t="shared" si="208"/>
        <v>0</v>
      </c>
      <c r="BZ65" s="9">
        <f t="shared" si="180"/>
        <v>0.99524931562137331</v>
      </c>
      <c r="CA65" s="9">
        <f t="shared" si="181"/>
        <v>1.056</v>
      </c>
      <c r="CB65" s="9">
        <f t="shared" si="182"/>
        <v>1.6856736478198622</v>
      </c>
      <c r="CC65" s="9">
        <f t="shared" si="183"/>
        <v>2.465045825719232</v>
      </c>
      <c r="CD65" s="9">
        <v>1</v>
      </c>
      <c r="CE65" s="9" t="e">
        <f>4*CC65*#REF!+60*CC65</f>
        <v>#REF!</v>
      </c>
      <c r="CG65" s="4" t="e">
        <f t="shared" ref="CG65:CG117" si="265">V65/AR65</f>
        <v>#REF!</v>
      </c>
      <c r="CH65" s="4" t="e">
        <f t="shared" ref="CH65:CH94" si="266">V65/AW65</f>
        <v>#REF!</v>
      </c>
      <c r="CI65" s="4" t="e">
        <f t="shared" ref="CI65:CI138" si="267">V65/AZ65</f>
        <v>#REF!</v>
      </c>
      <c r="CJ65" s="4" t="e">
        <f t="shared" ref="CJ65:CJ117" si="268">V65/CE65</f>
        <v>#REF!</v>
      </c>
      <c r="CK65" s="4" t="e">
        <f t="shared" ref="CK65:CK138" si="269">V65/DL65</f>
        <v>#REF!</v>
      </c>
      <c r="CL65" s="4" t="e">
        <f t="shared" ref="CL65:CL138" si="270">V65/DX65</f>
        <v>#REF!</v>
      </c>
      <c r="CM65" s="4">
        <f t="shared" si="215"/>
        <v>1.4210277445713013</v>
      </c>
      <c r="CO65" s="4" t="e">
        <f t="shared" ref="CO65:CO127" si="271">CG65</f>
        <v>#REF!</v>
      </c>
      <c r="CP65" s="4" t="e">
        <f t="shared" ref="CP65:CP127" si="272">CH65</f>
        <v>#REF!</v>
      </c>
      <c r="CQ65" s="4" t="e">
        <f t="shared" ref="CQ65:CQ127" si="273">CJ65</f>
        <v>#REF!</v>
      </c>
      <c r="CR65" s="4">
        <f t="shared" ref="CR65:CR89" si="274">CM65</f>
        <v>1.4210277445713013</v>
      </c>
      <c r="CS65" s="4" t="e">
        <f t="shared" ref="CS65:CS127" si="275">CK65</f>
        <v>#REF!</v>
      </c>
      <c r="CT65" s="4" t="e">
        <f t="shared" ref="CT65:CT127" si="276">CL65</f>
        <v>#REF!</v>
      </c>
      <c r="DB65" s="4">
        <f t="shared" si="232"/>
        <v>0</v>
      </c>
      <c r="DC65" s="4">
        <f t="shared" si="184"/>
        <v>381</v>
      </c>
      <c r="DD65" s="4" t="e">
        <f>#REF!/E65</f>
        <v>#REF!</v>
      </c>
      <c r="DF65" s="4">
        <f t="shared" si="185"/>
        <v>2.5033311258542346E-5</v>
      </c>
      <c r="DG65" s="4">
        <f t="shared" si="233"/>
        <v>5.7900347857029448</v>
      </c>
      <c r="DH65" s="4">
        <f t="shared" si="221"/>
        <v>0.79166191399758756</v>
      </c>
      <c r="DI65" s="4">
        <f t="shared" si="149"/>
        <v>5.2734772127144325</v>
      </c>
      <c r="DJ65" s="4">
        <f t="shared" si="150"/>
        <v>5.5377835718020325</v>
      </c>
      <c r="DK65" s="4">
        <f t="shared" si="186"/>
        <v>5.2619500758916633</v>
      </c>
      <c r="DL65" s="38" t="e">
        <f t="shared" si="187"/>
        <v>#REF!</v>
      </c>
      <c r="DM65" s="4" t="e">
        <f t="shared" si="151"/>
        <v>#REF!</v>
      </c>
      <c r="DN65" s="4">
        <f t="shared" si="222"/>
        <v>1.6881943016134133</v>
      </c>
      <c r="DO65" s="4">
        <f t="shared" si="152"/>
        <v>184.33497816892</v>
      </c>
      <c r="DS65" s="4">
        <f t="shared" si="188"/>
        <v>0.85</v>
      </c>
      <c r="DT65" s="4">
        <f t="shared" si="189"/>
        <v>0.85000000000000009</v>
      </c>
      <c r="DU65" s="4">
        <f t="shared" si="190"/>
        <v>1</v>
      </c>
      <c r="DV65" s="4">
        <f t="shared" si="223"/>
        <v>0.85000000000000009</v>
      </c>
      <c r="DX65" s="4" t="e">
        <f t="shared" si="191"/>
        <v>#REF!</v>
      </c>
      <c r="DY65" s="25">
        <f t="shared" si="192"/>
        <v>181.80779675423688</v>
      </c>
      <c r="EA65" s="4">
        <f t="shared" si="224"/>
        <v>0.72250000000000003</v>
      </c>
      <c r="EB65" s="4">
        <f t="shared" si="159"/>
        <v>5.7900347857029448</v>
      </c>
      <c r="EC65" s="4">
        <f t="shared" si="193"/>
        <v>5.2207585655726314</v>
      </c>
      <c r="EE65" s="4">
        <f t="shared" si="194"/>
        <v>42.880135260980694</v>
      </c>
      <c r="EF65" s="4">
        <f t="shared" si="235"/>
        <v>1.6881943016134133</v>
      </c>
      <c r="EG65" s="4">
        <f t="shared" si="195"/>
        <v>0.19837396083975409</v>
      </c>
      <c r="EJ65" s="4">
        <f t="shared" si="263"/>
        <v>0.19837396083975409</v>
      </c>
      <c r="EK65" s="4">
        <f t="shared" si="196"/>
        <v>0.79034077780884915</v>
      </c>
      <c r="EL65" s="4">
        <f t="shared" si="237"/>
        <v>5.2699552685365516</v>
      </c>
      <c r="EM65" s="4">
        <f>EB65/1.4*(1-EK65^1.4)/(1-EK65)</f>
        <v>5.5361069902159068</v>
      </c>
      <c r="EN65" s="4">
        <f t="shared" si="239"/>
        <v>242.86986473901931</v>
      </c>
      <c r="EO65" s="4">
        <f t="shared" si="240"/>
        <v>95.25</v>
      </c>
      <c r="EP65" s="4">
        <f t="shared" si="197"/>
        <v>2.5033311258542346E-5</v>
      </c>
      <c r="EQ65" s="4">
        <f>MAX(0.5*EB65, (1-2*EP65*(EE65*EL65+EN65*EM65))/(1/EB65+EP65*EO65))</f>
        <v>5.2621096911044809</v>
      </c>
      <c r="ER65" s="4" t="e">
        <f t="shared" si="198"/>
        <v>#REF!</v>
      </c>
      <c r="ES65" s="4" t="e">
        <f t="shared" si="242"/>
        <v>#REF!</v>
      </c>
      <c r="ET65" s="4" t="e">
        <f t="shared" si="243"/>
        <v>#REF!</v>
      </c>
      <c r="EV65" s="4" t="e">
        <f t="shared" si="199"/>
        <v>#REF!</v>
      </c>
      <c r="FA65" s="23" t="e">
        <f t="shared" ref="FA65:FA117" si="277">IF(CG65&lt;0.6,0.6,IF(CG65&lt;0.8,0.8,IF(CG65&lt;1,1,IF(CG65&lt;1.2,1.2,IF(CG65&lt;1.4,1.4,IF(CG65&lt;1.6,1.6,IF(CG65&lt;1.8,1.8,IF(CG65&lt;2,2,2.2))))))))</f>
        <v>#REF!</v>
      </c>
      <c r="FB65" s="23" t="e">
        <f t="shared" ref="FB65:FB117" si="278">IF(CH65&lt;0.6,0.6,IF(CH65&lt;0.8,0.8,IF(CH65&lt;1,1,IF(CH65&lt;1.2,1.2,IF(CH65&lt;1.4,1.4,IF(CH65&lt;1.6,1.6,IF(CH65&lt;1.8,1.8,IF(CH65&lt;2,2,2.2))))))))</f>
        <v>#REF!</v>
      </c>
      <c r="FC65" s="23">
        <f>IF(CM65&lt;0.6,0.6,IF(CM65&lt;0.8,0.8,IF(CM65&lt;1,1,IF(CM65&lt;1.2,1.2,IF(CM65&lt;1.4,1.4,IF(CM65&lt;1.6,1.6,IF(CM65&lt;1.8,1.8,IF(CM65&lt;2,2,2.2))))))))</f>
        <v>1.6</v>
      </c>
      <c r="FD65" s="23" t="e">
        <f t="shared" ref="FD65:FD117" si="279">IF(CJ65&lt;0.6,0.6,IF(CJ65&lt;0.8,0.8,IF(CJ65&lt;1,1,IF(CJ65&lt;1.2,1.2,IF(CJ65&lt;1.4,1.4,IF(CJ65&lt;1.6,1.6,IF(CJ65&lt;1.8,1.8,IF(CJ65&lt;2,2,2.2))))))))</f>
        <v>#REF!</v>
      </c>
      <c r="FE65" s="23" t="e">
        <f t="shared" ref="FE65:FE117" si="280">IF(CK65&lt;0.6,0.6,IF(CK65&lt;0.8,0.8,IF(CK65&lt;1,1,IF(CK65&lt;1.2,1.2,IF(CK65&lt;1.4,1.4,IF(CK65&lt;1.6,1.6,IF(CK65&lt;1.8,1.8,IF(CK65&lt;2,2,2.2))))))))</f>
        <v>#REF!</v>
      </c>
      <c r="FF65" s="23" t="e">
        <f t="shared" ref="FF65:FF117" si="281">IF(CL65&lt;0.6,0.6,IF(CL65&lt;0.8,0.8,IF(CL65&lt;1,1,IF(CL65&lt;1.2,1.2,IF(CL65&lt;1.4,1.4,IF(CL65&lt;1.6,1.6,IF(CL65&lt;1.8,1.8,IF(CL65&lt;2,2,2.2))))))))</f>
        <v>#REF!</v>
      </c>
      <c r="FG65" s="23" t="e">
        <f t="shared" ref="FG65:FG138" si="282">IF(FE65&lt;1,1,0)</f>
        <v>#REF!</v>
      </c>
      <c r="FH65" s="23"/>
      <c r="FI65"/>
      <c r="FJ65">
        <f t="shared" ref="FJ65:FO65" si="283">SUM(FJ54:FJ64)</f>
        <v>0</v>
      </c>
      <c r="FK65">
        <f t="shared" si="283"/>
        <v>0</v>
      </c>
      <c r="FL65">
        <f t="shared" si="283"/>
        <v>327</v>
      </c>
      <c r="FM65">
        <f t="shared" si="283"/>
        <v>0</v>
      </c>
      <c r="FN65">
        <f t="shared" si="283"/>
        <v>247</v>
      </c>
      <c r="FO65">
        <f t="shared" si="283"/>
        <v>247</v>
      </c>
      <c r="FP65" s="4">
        <f>40+42+69</f>
        <v>151</v>
      </c>
      <c r="FR65" s="4">
        <f t="shared" si="140"/>
        <v>1</v>
      </c>
      <c r="FS65" s="4">
        <f t="shared" si="141"/>
        <v>1.0833333333333333</v>
      </c>
      <c r="FT65" s="4">
        <f t="shared" si="142"/>
        <v>0</v>
      </c>
      <c r="FU65" s="4">
        <f t="shared" si="143"/>
        <v>295.56073173413409</v>
      </c>
    </row>
    <row r="66" spans="2:179" ht="12" customHeight="1" x14ac:dyDescent="0.3">
      <c r="B66" s="24"/>
      <c r="C66" s="7" t="s">
        <v>276</v>
      </c>
      <c r="D66" s="7">
        <v>472</v>
      </c>
      <c r="E66" s="7">
        <f t="shared" si="264"/>
        <v>381</v>
      </c>
      <c r="F66" s="7">
        <v>28</v>
      </c>
      <c r="G66" s="7">
        <v>25.4</v>
      </c>
      <c r="H66" s="7">
        <f t="shared" si="200"/>
        <v>152.39999999999998</v>
      </c>
      <c r="I66" s="7">
        <f t="shared" si="160"/>
        <v>63.499999999999986</v>
      </c>
      <c r="J66" s="7">
        <f t="shared" si="201"/>
        <v>50.8</v>
      </c>
      <c r="K66" s="7">
        <v>0</v>
      </c>
      <c r="L66" s="7">
        <v>1</v>
      </c>
      <c r="M66" s="7">
        <f t="shared" si="202"/>
        <v>88.899999999999991</v>
      </c>
      <c r="N66" s="7">
        <f t="shared" si="161"/>
        <v>2.9999999999999996</v>
      </c>
      <c r="O66" s="7">
        <f t="shared" si="203"/>
        <v>4</v>
      </c>
      <c r="P66" s="7">
        <v>2.8</v>
      </c>
      <c r="Q66" s="7">
        <f t="shared" si="227"/>
        <v>2.8</v>
      </c>
      <c r="R66" s="7">
        <f t="shared" si="162"/>
        <v>3.8</v>
      </c>
      <c r="S66" s="7">
        <f t="shared" si="163"/>
        <v>49.513715271629529</v>
      </c>
      <c r="T66" s="7"/>
      <c r="U66" s="7"/>
      <c r="V66" s="7">
        <v>472</v>
      </c>
      <c r="W66" s="7"/>
      <c r="X66" s="7"/>
      <c r="Y66" s="7"/>
      <c r="Z66" s="7"/>
      <c r="AA66" s="7">
        <v>1</v>
      </c>
      <c r="AB66" s="7"/>
      <c r="AC66" s="7"/>
      <c r="AD66" s="7"/>
      <c r="AE66" s="4">
        <f t="shared" si="252"/>
        <v>381</v>
      </c>
      <c r="AF66" s="44">
        <f t="shared" si="204"/>
        <v>5.9259259259259248E-2</v>
      </c>
      <c r="AG66" s="25">
        <f t="shared" si="164"/>
        <v>776.62106221784506</v>
      </c>
      <c r="AH66" s="4">
        <f t="shared" si="165"/>
        <v>0.74</v>
      </c>
      <c r="AI66" s="4">
        <v>1.25</v>
      </c>
      <c r="AJ66" s="25">
        <f t="shared" si="146"/>
        <v>5</v>
      </c>
      <c r="AK66" s="38">
        <f t="shared" si="205"/>
        <v>212.85169853377971</v>
      </c>
      <c r="AL66" s="38">
        <f t="shared" si="148"/>
        <v>212.85169853377971</v>
      </c>
      <c r="AN66" s="38">
        <f t="shared" si="158"/>
        <v>212.85169853377948</v>
      </c>
      <c r="AO66" s="38">
        <f t="shared" si="87"/>
        <v>1.0000000000000011</v>
      </c>
      <c r="AP66" s="38">
        <f t="shared" si="206"/>
        <v>1.4968174569375785</v>
      </c>
      <c r="AQ66" s="4">
        <f t="shared" si="228"/>
        <v>0</v>
      </c>
      <c r="AR66" s="4" t="e">
        <f>#REF!/G66*F66^0.5/0.19</f>
        <v>#REF!</v>
      </c>
      <c r="AS66" s="4">
        <f t="shared" si="166"/>
        <v>1.1333333333333333</v>
      </c>
      <c r="AT66" s="38">
        <f t="shared" si="167"/>
        <v>318.60013810417593</v>
      </c>
      <c r="AU66" s="4">
        <f t="shared" si="168"/>
        <v>0.6080000000000001</v>
      </c>
      <c r="AV66" s="4" t="e">
        <f>AU66*D66*#REF!/(D66*G66/2.75/F66^0.5)</f>
        <v>#REF!</v>
      </c>
      <c r="AW66" s="4" t="e">
        <f t="shared" ref="AW66:AW69" si="284">AT66+AV66</f>
        <v>#REF!</v>
      </c>
      <c r="AY66" s="36">
        <f t="shared" si="169"/>
        <v>1.1000000000000001</v>
      </c>
      <c r="AZ66" s="36" t="e">
        <f>(1.6*#REF!+22)*AY66*F66^0.5</f>
        <v>#REF!</v>
      </c>
      <c r="BE66" s="4">
        <f t="shared" si="170"/>
        <v>63.499999999999986</v>
      </c>
      <c r="BF66" s="4">
        <f t="shared" si="171"/>
        <v>63.499999999999986</v>
      </c>
      <c r="BG66" s="4">
        <f t="shared" si="172"/>
        <v>88.899999999999991</v>
      </c>
      <c r="BH66" s="4">
        <f t="shared" si="173"/>
        <v>76.199999999999989</v>
      </c>
      <c r="BI66" s="4">
        <f t="shared" si="229"/>
        <v>1.04</v>
      </c>
      <c r="BJ66" s="25">
        <f t="shared" si="174"/>
        <v>3.1199999999999997</v>
      </c>
      <c r="BL66" s="4">
        <f t="shared" si="175"/>
        <v>63.499999999999986</v>
      </c>
      <c r="BP66" s="9"/>
      <c r="BR66" s="9"/>
      <c r="BS66" s="9"/>
      <c r="BT66" s="9">
        <f t="shared" si="176"/>
        <v>50.8</v>
      </c>
      <c r="BU66" s="9">
        <f t="shared" si="177"/>
        <v>63.499999999999986</v>
      </c>
      <c r="BV66" s="9">
        <f t="shared" si="178"/>
        <v>1.4623505735569622</v>
      </c>
      <c r="BW66" s="9">
        <v>0</v>
      </c>
      <c r="BX66" s="9">
        <f t="shared" si="179"/>
        <v>0</v>
      </c>
      <c r="BY66" s="9">
        <f t="shared" ref="BY66" si="285">MAX(0,BW66*(BX66-0.5/50))</f>
        <v>0</v>
      </c>
      <c r="BZ66" s="9">
        <f t="shared" si="180"/>
        <v>0.99524931562137331</v>
      </c>
      <c r="CA66" s="9">
        <f t="shared" si="181"/>
        <v>1.056</v>
      </c>
      <c r="CB66" s="9">
        <f t="shared" si="182"/>
        <v>1.9464482686693119</v>
      </c>
      <c r="CC66" s="9">
        <f t="shared" si="183"/>
        <v>2.8463897420875242</v>
      </c>
      <c r="CD66" s="9">
        <v>1</v>
      </c>
      <c r="CE66" s="9" t="e">
        <f>4*CC66*#REF!+60*CC66</f>
        <v>#REF!</v>
      </c>
      <c r="CG66" s="4" t="e">
        <f t="shared" si="265"/>
        <v>#REF!</v>
      </c>
      <c r="CH66" s="4" t="e">
        <f t="shared" si="266"/>
        <v>#REF!</v>
      </c>
      <c r="CI66" s="4" t="e">
        <f t="shared" si="267"/>
        <v>#REF!</v>
      </c>
      <c r="CJ66" s="4" t="e">
        <f t="shared" si="268"/>
        <v>#REF!</v>
      </c>
      <c r="CK66" s="4" t="e">
        <f t="shared" si="269"/>
        <v>#REF!</v>
      </c>
      <c r="CL66" s="4" t="e">
        <f t="shared" si="270"/>
        <v>#REF!</v>
      </c>
      <c r="CM66" s="4">
        <f t="shared" si="215"/>
        <v>1.4861429355619056</v>
      </c>
      <c r="CO66" s="4" t="e">
        <f t="shared" si="271"/>
        <v>#REF!</v>
      </c>
      <c r="CP66" s="4" t="e">
        <f t="shared" si="272"/>
        <v>#REF!</v>
      </c>
      <c r="CQ66" s="4" t="e">
        <f t="shared" si="273"/>
        <v>#REF!</v>
      </c>
      <c r="CR66" s="4">
        <f t="shared" si="274"/>
        <v>1.4861429355619056</v>
      </c>
      <c r="CS66" s="4" t="e">
        <f t="shared" si="275"/>
        <v>#REF!</v>
      </c>
      <c r="CT66" s="4" t="e">
        <f t="shared" si="276"/>
        <v>#REF!</v>
      </c>
      <c r="DB66" s="4">
        <f t="shared" si="232"/>
        <v>0</v>
      </c>
      <c r="DC66" s="4">
        <f t="shared" si="184"/>
        <v>381</v>
      </c>
      <c r="DD66" s="4" t="e">
        <f>#REF!/E66</f>
        <v>#REF!</v>
      </c>
      <c r="DF66" s="4">
        <f t="shared" si="185"/>
        <v>2.6402037423385414E-5</v>
      </c>
      <c r="DG66" s="4">
        <f t="shared" si="233"/>
        <v>6.6857562842857838</v>
      </c>
      <c r="DH66" s="4">
        <f t="shared" si="221"/>
        <v>0.52306233603412022</v>
      </c>
      <c r="DI66" s="4">
        <f t="shared" si="149"/>
        <v>5.1590759428904853</v>
      </c>
      <c r="DJ66" s="4">
        <f t="shared" si="150"/>
        <v>5.97148712814551</v>
      </c>
      <c r="DK66" s="4">
        <f t="shared" si="186"/>
        <v>5.9967300417133593</v>
      </c>
      <c r="DL66" s="38" t="e">
        <f t="shared" si="187"/>
        <v>#REF!</v>
      </c>
      <c r="DM66" s="4" t="e">
        <f t="shared" si="151"/>
        <v>#REF!</v>
      </c>
      <c r="DN66" s="4">
        <f t="shared" si="222"/>
        <v>1.9493588689617927</v>
      </c>
      <c r="DO66" s="4">
        <f t="shared" si="152"/>
        <v>212.85169853377948</v>
      </c>
      <c r="DS66" s="4">
        <f t="shared" si="188"/>
        <v>0.85</v>
      </c>
      <c r="DT66" s="4">
        <f t="shared" si="189"/>
        <v>0.85000000000000009</v>
      </c>
      <c r="DU66" s="4">
        <f t="shared" si="190"/>
        <v>1</v>
      </c>
      <c r="DV66" s="4">
        <f t="shared" ref="DV66" si="286">IF(DT66*DU66&lt;0.7,0.7,DT66*DU66)</f>
        <v>0.85000000000000009</v>
      </c>
      <c r="DX66" s="4" t="e">
        <f t="shared" si="191"/>
        <v>#REF!</v>
      </c>
      <c r="DY66" s="25">
        <f t="shared" si="192"/>
        <v>209.93356079366291</v>
      </c>
      <c r="EA66" s="4">
        <f t="shared" si="224"/>
        <v>0.72250000000000003</v>
      </c>
      <c r="EB66" s="4">
        <f t="shared" si="159"/>
        <v>6.6857562842857838</v>
      </c>
      <c r="EC66" s="4">
        <f t="shared" si="193"/>
        <v>6.028412726414806</v>
      </c>
      <c r="EE66" s="4">
        <f t="shared" si="194"/>
        <v>49.513715271629529</v>
      </c>
      <c r="EF66" s="4">
        <f t="shared" si="235"/>
        <v>1.9493588689617927</v>
      </c>
      <c r="EG66" s="4">
        <f t="shared" si="195"/>
        <v>0.15134487887745135</v>
      </c>
      <c r="EJ66" s="4">
        <f t="shared" ref="EJ66" si="287">EG66</f>
        <v>0.15134487887745135</v>
      </c>
      <c r="EK66" s="4">
        <f t="shared" si="196"/>
        <v>0.52218944248084664</v>
      </c>
      <c r="EL66" s="4">
        <f t="shared" si="237"/>
        <v>5.1556304027378701</v>
      </c>
      <c r="EM66" s="4">
        <f t="shared" ref="EM66" si="288">EB66/1.4*(1-EK66^1.4)/(1-EK66)</f>
        <v>5.9699998189624841</v>
      </c>
      <c r="EN66" s="4">
        <f t="shared" si="239"/>
        <v>236.23628472837046</v>
      </c>
      <c r="EO66" s="4">
        <f t="shared" si="240"/>
        <v>95.250000000000028</v>
      </c>
      <c r="EP66" s="4">
        <f t="shared" si="197"/>
        <v>2.6402037423385424E-5</v>
      </c>
      <c r="EQ66" s="4">
        <f t="shared" ref="EQ66" si="289">MAX(0.5*EB66, (1-2*EP66*(EE66*EL66+EN66*EM66))/(1/EB66+EP66*EO66))</f>
        <v>5.9969112642593512</v>
      </c>
      <c r="ER66" s="4" t="e">
        <f t="shared" si="198"/>
        <v>#REF!</v>
      </c>
      <c r="ES66" s="4" t="e">
        <f t="shared" si="242"/>
        <v>#REF!</v>
      </c>
      <c r="ET66" s="4" t="e">
        <f t="shared" si="243"/>
        <v>#REF!</v>
      </c>
      <c r="EV66" s="4" t="e">
        <f t="shared" si="199"/>
        <v>#REF!</v>
      </c>
      <c r="FA66" s="23" t="e">
        <f t="shared" si="277"/>
        <v>#REF!</v>
      </c>
      <c r="FB66" s="23" t="e">
        <f t="shared" si="278"/>
        <v>#REF!</v>
      </c>
      <c r="FC66" s="23">
        <f t="shared" ref="FC66:FC129" si="290">IF(CM66&lt;0.6,0.6,IF(CM66&lt;0.8,0.8,IF(CM66&lt;1,1,IF(CM66&lt;1.2,1.2,IF(CM66&lt;1.4,1.4,IF(CM66&lt;1.6,1.6,IF(CM66&lt;1.8,1.8,IF(CM66&lt;2,2,2.2))))))))</f>
        <v>1.6</v>
      </c>
      <c r="FD66" s="23" t="e">
        <f t="shared" si="279"/>
        <v>#REF!</v>
      </c>
      <c r="FE66" s="23" t="e">
        <f t="shared" si="280"/>
        <v>#REF!</v>
      </c>
      <c r="FF66" s="23" t="e">
        <f t="shared" si="281"/>
        <v>#REF!</v>
      </c>
      <c r="FG66" s="23" t="e">
        <f t="shared" si="282"/>
        <v>#REF!</v>
      </c>
      <c r="FH66" s="23"/>
      <c r="FR66" s="4">
        <f t="shared" si="140"/>
        <v>1</v>
      </c>
      <c r="FS66" s="4">
        <f t="shared" si="141"/>
        <v>1.0833333333333333</v>
      </c>
      <c r="FT66" s="4">
        <f t="shared" si="142"/>
        <v>0</v>
      </c>
      <c r="FU66" s="4">
        <f t="shared" si="143"/>
        <v>317.60067534926469</v>
      </c>
    </row>
    <row r="67" spans="2:179" ht="12" customHeight="1" x14ac:dyDescent="0.3">
      <c r="B67" s="24"/>
      <c r="C67" s="7" t="s">
        <v>276</v>
      </c>
      <c r="D67" s="7">
        <v>472</v>
      </c>
      <c r="E67" s="7">
        <f t="shared" si="264"/>
        <v>381</v>
      </c>
      <c r="F67" s="7">
        <v>21</v>
      </c>
      <c r="G67" s="7">
        <v>25.4</v>
      </c>
      <c r="H67" s="7">
        <f t="shared" si="200"/>
        <v>152.39999999999998</v>
      </c>
      <c r="I67" s="7">
        <f t="shared" si="160"/>
        <v>63.499999999999986</v>
      </c>
      <c r="J67" s="7">
        <f t="shared" si="201"/>
        <v>50.8</v>
      </c>
      <c r="K67" s="7">
        <v>0</v>
      </c>
      <c r="L67" s="7">
        <v>1</v>
      </c>
      <c r="M67" s="7">
        <f t="shared" si="202"/>
        <v>88.899999999999991</v>
      </c>
      <c r="N67" s="7">
        <f t="shared" si="161"/>
        <v>2.9999999999999996</v>
      </c>
      <c r="O67" s="7">
        <f t="shared" si="203"/>
        <v>4</v>
      </c>
      <c r="P67" s="7">
        <v>2.8</v>
      </c>
      <c r="Q67" s="7">
        <f t="shared" si="227"/>
        <v>2.8</v>
      </c>
      <c r="R67" s="7">
        <f t="shared" si="162"/>
        <v>3.8</v>
      </c>
      <c r="S67" s="7">
        <f t="shared" si="163"/>
        <v>49.513715271629529</v>
      </c>
      <c r="T67" s="7"/>
      <c r="U67" s="7"/>
      <c r="V67" s="7">
        <v>413</v>
      </c>
      <c r="W67" s="7"/>
      <c r="X67" s="7"/>
      <c r="Y67" s="7"/>
      <c r="Z67" s="7"/>
      <c r="AA67" s="7">
        <v>1</v>
      </c>
      <c r="AB67" s="7"/>
      <c r="AC67" s="7"/>
      <c r="AD67" s="7"/>
      <c r="AE67" s="4">
        <f t="shared" si="252"/>
        <v>381</v>
      </c>
      <c r="AF67" s="44">
        <f t="shared" si="204"/>
        <v>5.9259259259259248E-2</v>
      </c>
      <c r="AG67" s="25">
        <f t="shared" si="164"/>
        <v>672.57356899470892</v>
      </c>
      <c r="AH67" s="4">
        <f t="shared" si="165"/>
        <v>0.74</v>
      </c>
      <c r="AI67" s="4">
        <v>1.25</v>
      </c>
      <c r="AJ67" s="25">
        <f t="shared" si="146"/>
        <v>5</v>
      </c>
      <c r="AK67" s="38">
        <f t="shared" si="205"/>
        <v>184.3349781689202</v>
      </c>
      <c r="AL67" s="38">
        <f t="shared" si="148"/>
        <v>184.3349781689202</v>
      </c>
      <c r="AN67" s="38">
        <f t="shared" si="158"/>
        <v>184.33497816892</v>
      </c>
      <c r="AO67" s="38">
        <f t="shared" si="87"/>
        <v>1.0000000000000011</v>
      </c>
      <c r="AP67" s="38">
        <f t="shared" si="206"/>
        <v>1.2962819425359629</v>
      </c>
      <c r="AQ67" s="4">
        <f t="shared" si="228"/>
        <v>0</v>
      </c>
      <c r="AR67" s="4" t="e">
        <f>#REF!/G67*F67^0.5/0.19</f>
        <v>#REF!</v>
      </c>
      <c r="AS67" s="4">
        <f t="shared" si="166"/>
        <v>1.1333333333333333</v>
      </c>
      <c r="AT67" s="38">
        <f t="shared" si="167"/>
        <v>238.95010357813194</v>
      </c>
      <c r="AU67" s="4">
        <f t="shared" si="168"/>
        <v>0.6080000000000001</v>
      </c>
      <c r="AV67" s="4" t="e">
        <f>AU67*D67*#REF!/(D67*G67/2.75/F67^0.5)</f>
        <v>#REF!</v>
      </c>
      <c r="AW67" s="4" t="e">
        <f t="shared" si="284"/>
        <v>#REF!</v>
      </c>
      <c r="AY67" s="36">
        <f t="shared" si="169"/>
        <v>1.1000000000000001</v>
      </c>
      <c r="AZ67" s="36" t="e">
        <f>(1.6*#REF!+22)*AY67*F67^0.5</f>
        <v>#REF!</v>
      </c>
      <c r="BE67" s="4">
        <f t="shared" si="170"/>
        <v>63.499999999999986</v>
      </c>
      <c r="BF67" s="4">
        <f t="shared" si="171"/>
        <v>63.499999999999986</v>
      </c>
      <c r="BG67" s="4">
        <f t="shared" si="172"/>
        <v>88.899999999999991</v>
      </c>
      <c r="BH67" s="4">
        <f t="shared" si="173"/>
        <v>76.199999999999989</v>
      </c>
      <c r="BI67" s="4">
        <f t="shared" si="229"/>
        <v>1.04</v>
      </c>
      <c r="BJ67" s="25">
        <f t="shared" si="174"/>
        <v>3.1199999999999997</v>
      </c>
      <c r="BL67" s="4">
        <f t="shared" si="175"/>
        <v>63.499999999999986</v>
      </c>
      <c r="BP67" s="9"/>
      <c r="BR67" s="9"/>
      <c r="BS67" s="9"/>
      <c r="BT67" s="9">
        <f t="shared" si="176"/>
        <v>50.8</v>
      </c>
      <c r="BU67" s="9">
        <f t="shared" si="177"/>
        <v>63.499999999999986</v>
      </c>
      <c r="BV67" s="9">
        <f t="shared" si="178"/>
        <v>1.4623505735569622</v>
      </c>
      <c r="BW67" s="9">
        <v>0</v>
      </c>
      <c r="BX67" s="9">
        <f t="shared" si="179"/>
        <v>0</v>
      </c>
      <c r="BY67" s="9">
        <f t="shared" si="208"/>
        <v>0</v>
      </c>
      <c r="BZ67" s="9">
        <f t="shared" si="180"/>
        <v>0.99524931562137331</v>
      </c>
      <c r="CA67" s="9">
        <f t="shared" si="181"/>
        <v>1.056</v>
      </c>
      <c r="CB67" s="9">
        <f t="shared" si="182"/>
        <v>1.6856736478198622</v>
      </c>
      <c r="CC67" s="9">
        <f t="shared" si="183"/>
        <v>2.465045825719232</v>
      </c>
      <c r="CD67" s="9">
        <v>1</v>
      </c>
      <c r="CE67" s="9" t="e">
        <f>4*CC67*#REF!+60*CC67</f>
        <v>#REF!</v>
      </c>
      <c r="CG67" s="4" t="e">
        <f t="shared" si="265"/>
        <v>#REF!</v>
      </c>
      <c r="CH67" s="4" t="e">
        <f t="shared" si="266"/>
        <v>#REF!</v>
      </c>
      <c r="CI67" s="4" t="e">
        <f t="shared" si="267"/>
        <v>#REF!</v>
      </c>
      <c r="CJ67" s="4" t="e">
        <f t="shared" si="268"/>
        <v>#REF!</v>
      </c>
      <c r="CK67" s="4" t="e">
        <f t="shared" si="269"/>
        <v>#REF!</v>
      </c>
      <c r="CL67" s="4" t="e">
        <f t="shared" si="270"/>
        <v>#REF!</v>
      </c>
      <c r="CM67" s="4">
        <f t="shared" si="215"/>
        <v>1.3973439488284463</v>
      </c>
      <c r="CO67" s="4" t="e">
        <f t="shared" si="271"/>
        <v>#REF!</v>
      </c>
      <c r="CP67" s="4" t="e">
        <f t="shared" si="272"/>
        <v>#REF!</v>
      </c>
      <c r="CQ67" s="4" t="e">
        <f t="shared" si="273"/>
        <v>#REF!</v>
      </c>
      <c r="CR67" s="4">
        <f t="shared" si="274"/>
        <v>1.3973439488284463</v>
      </c>
      <c r="CS67" s="4" t="e">
        <f t="shared" si="275"/>
        <v>#REF!</v>
      </c>
      <c r="CT67" s="4" t="e">
        <f t="shared" si="276"/>
        <v>#REF!</v>
      </c>
      <c r="DB67" s="4">
        <f t="shared" si="232"/>
        <v>0</v>
      </c>
      <c r="DC67" s="4">
        <f t="shared" si="184"/>
        <v>381</v>
      </c>
      <c r="DD67" s="4" t="e">
        <f>#REF!/E67</f>
        <v>#REF!</v>
      </c>
      <c r="DF67" s="4">
        <f t="shared" si="185"/>
        <v>2.5033311258542346E-5</v>
      </c>
      <c r="DG67" s="4">
        <f t="shared" si="233"/>
        <v>5.7900347857029448</v>
      </c>
      <c r="DH67" s="4">
        <f t="shared" si="221"/>
        <v>0.60398036102450769</v>
      </c>
      <c r="DI67" s="4">
        <f t="shared" si="149"/>
        <v>4.7324964827341036</v>
      </c>
      <c r="DJ67" s="4">
        <f t="shared" si="150"/>
        <v>5.2877966555582434</v>
      </c>
      <c r="DK67" s="4">
        <f t="shared" si="186"/>
        <v>5.2869970450842949</v>
      </c>
      <c r="DL67" s="38" t="e">
        <f t="shared" si="187"/>
        <v>#REF!</v>
      </c>
      <c r="DM67" s="4" t="e">
        <f t="shared" si="151"/>
        <v>#REF!</v>
      </c>
      <c r="DN67" s="4">
        <f t="shared" si="222"/>
        <v>1.9493588689617927</v>
      </c>
      <c r="DO67" s="4">
        <f t="shared" si="152"/>
        <v>184.33497816892</v>
      </c>
      <c r="DS67" s="4">
        <f t="shared" si="188"/>
        <v>0.85</v>
      </c>
      <c r="DT67" s="4">
        <f t="shared" si="189"/>
        <v>0.85000000000000009</v>
      </c>
      <c r="DU67" s="4">
        <f t="shared" si="190"/>
        <v>1</v>
      </c>
      <c r="DV67" s="4">
        <f t="shared" si="223"/>
        <v>0.85000000000000009</v>
      </c>
      <c r="DX67" s="4" t="e">
        <f t="shared" si="191"/>
        <v>#REF!</v>
      </c>
      <c r="DY67" s="25">
        <f t="shared" si="192"/>
        <v>181.80779675423688</v>
      </c>
      <c r="EA67" s="4">
        <f t="shared" si="224"/>
        <v>0.72250000000000003</v>
      </c>
      <c r="EB67" s="4">
        <f t="shared" si="159"/>
        <v>5.7900347857029448</v>
      </c>
      <c r="EC67" s="4">
        <f t="shared" si="193"/>
        <v>5.2207585655726314</v>
      </c>
      <c r="EE67" s="4">
        <f t="shared" si="194"/>
        <v>49.513715271629529</v>
      </c>
      <c r="EF67" s="4">
        <f t="shared" si="235"/>
        <v>1.9493588689617927</v>
      </c>
      <c r="EG67" s="4">
        <f t="shared" si="195"/>
        <v>0.15134487887745141</v>
      </c>
      <c r="EJ67" s="4">
        <f t="shared" si="263"/>
        <v>0.15134487887745141</v>
      </c>
      <c r="EK67" s="4">
        <f t="shared" si="196"/>
        <v>0.60297243036859505</v>
      </c>
      <c r="EL67" s="4">
        <f t="shared" si="237"/>
        <v>4.7293358379143973</v>
      </c>
      <c r="EM67" s="4">
        <f>EB67/1.4*(1-EK67^1.4)/(1-EK67)</f>
        <v>5.2863829082527172</v>
      </c>
      <c r="EN67" s="4">
        <f t="shared" si="239"/>
        <v>236.23628472837046</v>
      </c>
      <c r="EO67" s="4">
        <f t="shared" si="240"/>
        <v>95.250000000000028</v>
      </c>
      <c r="EP67" s="4">
        <f t="shared" si="197"/>
        <v>2.503331125854235E-5</v>
      </c>
      <c r="EQ67" s="4">
        <f>MAX(0.5*EB67, (1-2*EP67*(EE67*EL67+EN67*EM67))/(1/EB67+EP67*EO67))</f>
        <v>5.2871372910454193</v>
      </c>
      <c r="ER67" s="4" t="e">
        <f t="shared" si="198"/>
        <v>#REF!</v>
      </c>
      <c r="ES67" s="4" t="e">
        <f t="shared" si="242"/>
        <v>#REF!</v>
      </c>
      <c r="ET67" s="4" t="e">
        <f t="shared" si="243"/>
        <v>#REF!</v>
      </c>
      <c r="EV67" s="4" t="e">
        <f t="shared" si="199"/>
        <v>#REF!</v>
      </c>
      <c r="FA67" s="23" t="e">
        <f t="shared" si="277"/>
        <v>#REF!</v>
      </c>
      <c r="FB67" s="23" t="e">
        <f t="shared" si="278"/>
        <v>#REF!</v>
      </c>
      <c r="FC67" s="23">
        <f t="shared" si="290"/>
        <v>1.4</v>
      </c>
      <c r="FD67" s="23" t="e">
        <f t="shared" si="279"/>
        <v>#REF!</v>
      </c>
      <c r="FE67" s="23" t="e">
        <f t="shared" si="280"/>
        <v>#REF!</v>
      </c>
      <c r="FF67" s="23" t="e">
        <f t="shared" si="281"/>
        <v>#REF!</v>
      </c>
      <c r="FG67" s="23" t="e">
        <f t="shared" si="282"/>
        <v>#REF!</v>
      </c>
      <c r="FH67" s="23"/>
      <c r="FR67" s="4">
        <f t="shared" si="140"/>
        <v>1</v>
      </c>
      <c r="FS67" s="4">
        <f t="shared" si="141"/>
        <v>1.0833333333333333</v>
      </c>
      <c r="FT67" s="4">
        <f t="shared" si="142"/>
        <v>0</v>
      </c>
      <c r="FU67" s="4">
        <f t="shared" si="143"/>
        <v>295.56073173413409</v>
      </c>
    </row>
    <row r="68" spans="2:179" ht="12" customHeight="1" x14ac:dyDescent="0.3">
      <c r="B68" s="24"/>
      <c r="C68" s="7" t="s">
        <v>277</v>
      </c>
      <c r="D68" s="7">
        <v>472</v>
      </c>
      <c r="E68" s="7">
        <f t="shared" si="264"/>
        <v>381</v>
      </c>
      <c r="F68" s="7">
        <v>27</v>
      </c>
      <c r="G68" s="7">
        <v>25.4</v>
      </c>
      <c r="H68" s="7">
        <f t="shared" si="200"/>
        <v>152.39999999999998</v>
      </c>
      <c r="I68" s="7">
        <f t="shared" si="160"/>
        <v>63.499999999999986</v>
      </c>
      <c r="J68" s="7">
        <f t="shared" si="201"/>
        <v>50.8</v>
      </c>
      <c r="K68" s="7">
        <v>0</v>
      </c>
      <c r="L68" s="7">
        <v>1</v>
      </c>
      <c r="M68" s="7">
        <f t="shared" si="202"/>
        <v>88.899999999999991</v>
      </c>
      <c r="N68" s="7">
        <f t="shared" si="161"/>
        <v>2.9999999999999996</v>
      </c>
      <c r="O68" s="7">
        <f t="shared" si="203"/>
        <v>4</v>
      </c>
      <c r="P68" s="7">
        <v>2.8</v>
      </c>
      <c r="Q68" s="7">
        <f t="shared" si="227"/>
        <v>2.8</v>
      </c>
      <c r="R68" s="7">
        <f t="shared" si="162"/>
        <v>3.8</v>
      </c>
      <c r="S68" s="7">
        <f t="shared" si="163"/>
        <v>49.513715271629529</v>
      </c>
      <c r="T68" s="7"/>
      <c r="U68" s="7"/>
      <c r="V68" s="7">
        <v>458</v>
      </c>
      <c r="W68" s="7"/>
      <c r="X68" s="7"/>
      <c r="Y68" s="7"/>
      <c r="Z68" s="7"/>
      <c r="AA68" s="7">
        <v>1</v>
      </c>
      <c r="AB68" s="7"/>
      <c r="AC68" s="7"/>
      <c r="AD68" s="7"/>
      <c r="AE68" s="4">
        <f t="shared" si="252"/>
        <v>381</v>
      </c>
      <c r="AF68" s="44">
        <f t="shared" si="204"/>
        <v>5.9259259259259248E-2</v>
      </c>
      <c r="AG68" s="25">
        <f t="shared" si="164"/>
        <v>762.62674369506078</v>
      </c>
      <c r="AH68" s="4">
        <f t="shared" si="165"/>
        <v>0.74</v>
      </c>
      <c r="AI68" s="4">
        <v>1.25</v>
      </c>
      <c r="AJ68" s="25">
        <f t="shared" si="146"/>
        <v>5</v>
      </c>
      <c r="AK68" s="38">
        <f t="shared" si="205"/>
        <v>209.01621864234997</v>
      </c>
      <c r="AL68" s="38">
        <f t="shared" si="148"/>
        <v>209.01621864234997</v>
      </c>
      <c r="AN68" s="38">
        <f t="shared" si="158"/>
        <v>209.0162186423498</v>
      </c>
      <c r="AO68" s="38">
        <f t="shared" si="87"/>
        <v>1.0000000000000009</v>
      </c>
      <c r="AP68" s="38">
        <f t="shared" si="206"/>
        <v>1.4698455638459473</v>
      </c>
      <c r="AQ68" s="4">
        <f t="shared" si="228"/>
        <v>0</v>
      </c>
      <c r="AR68" s="4" t="e">
        <f>#REF!/G68*F68^0.5/0.19</f>
        <v>#REF!</v>
      </c>
      <c r="AS68" s="4">
        <f t="shared" si="166"/>
        <v>1.1333333333333333</v>
      </c>
      <c r="AT68" s="38">
        <f t="shared" si="167"/>
        <v>307.22156174331246</v>
      </c>
      <c r="AU68" s="4">
        <f t="shared" si="168"/>
        <v>0.6080000000000001</v>
      </c>
      <c r="AV68" s="4" t="e">
        <f>AU68*D68*#REF!/(D68*G68/2.75/F68^0.5)</f>
        <v>#REF!</v>
      </c>
      <c r="AW68" s="4" t="e">
        <f t="shared" si="284"/>
        <v>#REF!</v>
      </c>
      <c r="AY68" s="36">
        <f t="shared" si="169"/>
        <v>1.1000000000000001</v>
      </c>
      <c r="AZ68" s="36" t="e">
        <f>(1.6*#REF!+22)*AY68*F68^0.5</f>
        <v>#REF!</v>
      </c>
      <c r="BE68" s="4">
        <f t="shared" si="170"/>
        <v>63.499999999999986</v>
      </c>
      <c r="BF68" s="4">
        <f t="shared" si="171"/>
        <v>63.499999999999986</v>
      </c>
      <c r="BG68" s="4">
        <f t="shared" si="172"/>
        <v>88.899999999999991</v>
      </c>
      <c r="BH68" s="4">
        <f t="shared" si="173"/>
        <v>76.199999999999989</v>
      </c>
      <c r="BI68" s="4">
        <f t="shared" si="229"/>
        <v>1.04</v>
      </c>
      <c r="BJ68" s="25">
        <f t="shared" si="174"/>
        <v>3.1199999999999997</v>
      </c>
      <c r="BL68" s="4">
        <f t="shared" si="175"/>
        <v>63.499999999999986</v>
      </c>
      <c r="BP68" s="9"/>
      <c r="BR68" s="9"/>
      <c r="BS68" s="9"/>
      <c r="BT68" s="9">
        <f t="shared" si="176"/>
        <v>50.8</v>
      </c>
      <c r="BU68" s="9">
        <f t="shared" si="177"/>
        <v>63.499999999999986</v>
      </c>
      <c r="BV68" s="9">
        <f t="shared" si="178"/>
        <v>1.4623505735569622</v>
      </c>
      <c r="BW68" s="9">
        <v>0</v>
      </c>
      <c r="BX68" s="9">
        <f t="shared" si="179"/>
        <v>0</v>
      </c>
      <c r="BY68" s="9">
        <f t="shared" si="208"/>
        <v>0</v>
      </c>
      <c r="BZ68" s="9">
        <f t="shared" si="180"/>
        <v>0.99524931562137331</v>
      </c>
      <c r="CA68" s="9">
        <f t="shared" si="181"/>
        <v>1.056</v>
      </c>
      <c r="CB68" s="9">
        <f t="shared" si="182"/>
        <v>1.911374255891328</v>
      </c>
      <c r="CC68" s="9">
        <f t="shared" si="183"/>
        <v>2.7950992393846952</v>
      </c>
      <c r="CD68" s="9">
        <v>1</v>
      </c>
      <c r="CE68" s="9" t="e">
        <f>4*CC68*#REF!+60*CC68</f>
        <v>#REF!</v>
      </c>
      <c r="CG68" s="4" t="e">
        <f t="shared" si="265"/>
        <v>#REF!</v>
      </c>
      <c r="CH68" s="4" t="e">
        <f t="shared" si="266"/>
        <v>#REF!</v>
      </c>
      <c r="CI68" s="4" t="e">
        <f t="shared" si="267"/>
        <v>#REF!</v>
      </c>
      <c r="CJ68" s="4" t="e">
        <f t="shared" si="268"/>
        <v>#REF!</v>
      </c>
      <c r="CK68" s="4" t="e">
        <f t="shared" si="269"/>
        <v>#REF!</v>
      </c>
      <c r="CL68" s="4" t="e">
        <f t="shared" si="270"/>
        <v>#REF!</v>
      </c>
      <c r="CM68" s="4">
        <f t="shared" si="215"/>
        <v>1.4552333115825267</v>
      </c>
      <c r="CO68" s="4" t="e">
        <f t="shared" si="271"/>
        <v>#REF!</v>
      </c>
      <c r="CP68" s="4" t="e">
        <f t="shared" si="272"/>
        <v>#REF!</v>
      </c>
      <c r="CQ68" s="4" t="e">
        <f t="shared" si="273"/>
        <v>#REF!</v>
      </c>
      <c r="CR68" s="4">
        <f t="shared" si="274"/>
        <v>1.4552333115825267</v>
      </c>
      <c r="CS68" s="4" t="e">
        <f t="shared" si="275"/>
        <v>#REF!</v>
      </c>
      <c r="CT68" s="4" t="e">
        <f t="shared" si="276"/>
        <v>#REF!</v>
      </c>
      <c r="DB68" s="4">
        <f t="shared" si="232"/>
        <v>0</v>
      </c>
      <c r="DC68" s="4">
        <f t="shared" si="184"/>
        <v>381</v>
      </c>
      <c r="DD68" s="4" t="e">
        <f>#REF!/E68</f>
        <v>#REF!</v>
      </c>
      <c r="DF68" s="4">
        <f t="shared" si="185"/>
        <v>2.6209296574030622E-5</v>
      </c>
      <c r="DG68" s="4">
        <f t="shared" si="233"/>
        <v>6.5652823394499222</v>
      </c>
      <c r="DH68" s="4">
        <f t="shared" si="221"/>
        <v>0.5326606106792855</v>
      </c>
      <c r="DI68" s="4">
        <f t="shared" si="149"/>
        <v>5.103094851813764</v>
      </c>
      <c r="DJ68" s="4">
        <f t="shared" si="150"/>
        <v>5.8798882220115054</v>
      </c>
      <c r="DK68" s="4">
        <f t="shared" si="186"/>
        <v>5.9035395914032618</v>
      </c>
      <c r="DL68" s="38" t="e">
        <f t="shared" si="187"/>
        <v>#REF!</v>
      </c>
      <c r="DM68" s="4" t="e">
        <f t="shared" si="151"/>
        <v>#REF!</v>
      </c>
      <c r="DN68" s="4">
        <f t="shared" si="222"/>
        <v>1.9493588689617927</v>
      </c>
      <c r="DO68" s="4">
        <f t="shared" si="152"/>
        <v>209.0162186423498</v>
      </c>
      <c r="DS68" s="4">
        <f t="shared" si="188"/>
        <v>0.85</v>
      </c>
      <c r="DT68" s="4">
        <f t="shared" si="189"/>
        <v>0.85000000000000009</v>
      </c>
      <c r="DU68" s="4">
        <f t="shared" si="190"/>
        <v>1</v>
      </c>
      <c r="DV68" s="4">
        <f t="shared" si="223"/>
        <v>0.85000000000000009</v>
      </c>
      <c r="DX68" s="4" t="e">
        <f t="shared" si="191"/>
        <v>#REF!</v>
      </c>
      <c r="DY68" s="25">
        <f t="shared" si="192"/>
        <v>206.15066426755152</v>
      </c>
      <c r="EA68" s="4">
        <f t="shared" si="224"/>
        <v>0.72250000000000003</v>
      </c>
      <c r="EB68" s="4">
        <f t="shared" si="159"/>
        <v>6.5652823394499222</v>
      </c>
      <c r="EC68" s="4">
        <f t="shared" si="193"/>
        <v>5.9197837798352051</v>
      </c>
      <c r="EE68" s="4">
        <f t="shared" si="194"/>
        <v>49.513715271629529</v>
      </c>
      <c r="EF68" s="4">
        <f t="shared" si="235"/>
        <v>1.9493588689617927</v>
      </c>
      <c r="EG68" s="4">
        <f t="shared" si="195"/>
        <v>0.15134487887745141</v>
      </c>
      <c r="EJ68" s="4">
        <f t="shared" si="263"/>
        <v>0.15134487887745141</v>
      </c>
      <c r="EK68" s="4">
        <f t="shared" si="196"/>
        <v>0.5317716993945043</v>
      </c>
      <c r="EL68" s="4">
        <f t="shared" si="237"/>
        <v>5.0996866991893075</v>
      </c>
      <c r="EM68" s="4">
        <f>EB68/1.4*(1-EK68^1.4)/(1-EK68)</f>
        <v>5.8784102786418222</v>
      </c>
      <c r="EN68" s="4">
        <f t="shared" si="239"/>
        <v>236.23628472837046</v>
      </c>
      <c r="EO68" s="4">
        <f t="shared" si="240"/>
        <v>95.250000000000028</v>
      </c>
      <c r="EP68" s="4">
        <f t="shared" si="197"/>
        <v>2.6209296574030629E-5</v>
      </c>
      <c r="EQ68" s="4">
        <f>MAX(0.5*EB68, (1-2*EP68*(EE68*EL68+EN68*EM68))/(1/EB68+EP68*EO68))</f>
        <v>5.9037149469361943</v>
      </c>
      <c r="ER68" s="4" t="e">
        <f t="shared" si="198"/>
        <v>#REF!</v>
      </c>
      <c r="ES68" s="4" t="e">
        <f t="shared" si="242"/>
        <v>#REF!</v>
      </c>
      <c r="ET68" s="4" t="e">
        <f t="shared" si="243"/>
        <v>#REF!</v>
      </c>
      <c r="EV68" s="4" t="e">
        <f t="shared" si="199"/>
        <v>#REF!</v>
      </c>
      <c r="FA68" s="23" t="e">
        <f t="shared" si="277"/>
        <v>#REF!</v>
      </c>
      <c r="FB68" s="23" t="e">
        <f t="shared" si="278"/>
        <v>#REF!</v>
      </c>
      <c r="FC68" s="23">
        <f t="shared" si="290"/>
        <v>1.6</v>
      </c>
      <c r="FD68" s="23" t="e">
        <f t="shared" si="279"/>
        <v>#REF!</v>
      </c>
      <c r="FE68" s="23" t="e">
        <f t="shared" si="280"/>
        <v>#REF!</v>
      </c>
      <c r="FF68" s="23" t="e">
        <f t="shared" si="281"/>
        <v>#REF!</v>
      </c>
      <c r="FG68" s="23" t="e">
        <f t="shared" si="282"/>
        <v>#REF!</v>
      </c>
      <c r="FH68" s="23"/>
      <c r="FR68" s="4">
        <f t="shared" si="140"/>
        <v>1</v>
      </c>
      <c r="FS68" s="4">
        <f t="shared" si="141"/>
        <v>1.0833333333333333</v>
      </c>
      <c r="FT68" s="4">
        <f t="shared" si="142"/>
        <v>0</v>
      </c>
      <c r="FU68" s="4">
        <f t="shared" si="143"/>
        <v>314.72616545723344</v>
      </c>
    </row>
    <row r="69" spans="2:179" ht="12" customHeight="1" x14ac:dyDescent="0.3">
      <c r="B69" s="24"/>
      <c r="C69" s="7" t="s">
        <v>278</v>
      </c>
      <c r="D69" s="7">
        <v>472</v>
      </c>
      <c r="E69" s="7">
        <f t="shared" si="264"/>
        <v>381</v>
      </c>
      <c r="F69" s="7">
        <v>28</v>
      </c>
      <c r="G69" s="7">
        <v>25.4</v>
      </c>
      <c r="H69" s="7">
        <f t="shared" si="200"/>
        <v>152.39999999999998</v>
      </c>
      <c r="I69" s="7">
        <f t="shared" si="160"/>
        <v>63.499999999999986</v>
      </c>
      <c r="J69" s="7">
        <f t="shared" si="201"/>
        <v>50.8</v>
      </c>
      <c r="K69" s="7">
        <v>0</v>
      </c>
      <c r="L69" s="7">
        <v>1</v>
      </c>
      <c r="M69" s="7">
        <f t="shared" si="202"/>
        <v>88.899999999999991</v>
      </c>
      <c r="N69" s="7">
        <f t="shared" si="161"/>
        <v>2.9999999999999996</v>
      </c>
      <c r="O69" s="7">
        <f t="shared" si="203"/>
        <v>4</v>
      </c>
      <c r="P69" s="7">
        <v>4.04</v>
      </c>
      <c r="Q69" s="7">
        <f t="shared" si="227"/>
        <v>4.04</v>
      </c>
      <c r="R69" s="7">
        <f t="shared" si="162"/>
        <v>5.04</v>
      </c>
      <c r="S69" s="7">
        <f t="shared" si="163"/>
        <v>57.022858574434863</v>
      </c>
      <c r="T69" s="7"/>
      <c r="U69" s="7"/>
      <c r="V69" s="7">
        <v>421</v>
      </c>
      <c r="W69" s="7"/>
      <c r="X69" s="7"/>
      <c r="Y69" s="7"/>
      <c r="Z69" s="7"/>
      <c r="AA69" s="7">
        <v>1</v>
      </c>
      <c r="AB69" s="7"/>
      <c r="AC69" s="7"/>
      <c r="AD69" s="7"/>
      <c r="AE69" s="4">
        <f t="shared" si="252"/>
        <v>381</v>
      </c>
      <c r="AF69" s="44">
        <f t="shared" si="204"/>
        <v>5.9259259259259248E-2</v>
      </c>
      <c r="AG69" s="25">
        <f t="shared" si="164"/>
        <v>776.62106221784506</v>
      </c>
      <c r="AH69" s="4">
        <f t="shared" si="165"/>
        <v>0.74</v>
      </c>
      <c r="AI69" s="4">
        <v>1.25</v>
      </c>
      <c r="AJ69" s="25">
        <f t="shared" si="146"/>
        <v>5</v>
      </c>
      <c r="AK69" s="38">
        <f t="shared" si="205"/>
        <v>212.85169853377971</v>
      </c>
      <c r="AL69" s="38">
        <f t="shared" si="148"/>
        <v>212.85169853377971</v>
      </c>
      <c r="AN69" s="38">
        <f t="shared" si="158"/>
        <v>212.85169853377948</v>
      </c>
      <c r="AO69" s="38">
        <f t="shared" si="87"/>
        <v>1.0000000000000011</v>
      </c>
      <c r="AP69" s="38">
        <f t="shared" si="206"/>
        <v>1.7979619908532192</v>
      </c>
      <c r="AQ69" s="4">
        <f t="shared" si="228"/>
        <v>0</v>
      </c>
      <c r="AR69" s="4" t="e">
        <f>#REF!/G69*F69^0.5/0.19</f>
        <v>#REF!</v>
      </c>
      <c r="AS69" s="4">
        <f t="shared" si="166"/>
        <v>1.1333333333333333</v>
      </c>
      <c r="AT69" s="38">
        <f t="shared" si="167"/>
        <v>382.69926365228338</v>
      </c>
      <c r="AU69" s="4">
        <f t="shared" si="168"/>
        <v>0.43440000000000001</v>
      </c>
      <c r="AV69" s="4" t="e">
        <f>AU69*D69*#REF!/(D69*G69/2.75/F69^0.5)</f>
        <v>#REF!</v>
      </c>
      <c r="AW69" s="4" t="e">
        <f t="shared" si="284"/>
        <v>#REF!</v>
      </c>
      <c r="AY69" s="36">
        <f t="shared" si="169"/>
        <v>1.1000000000000001</v>
      </c>
      <c r="AZ69" s="36" t="e">
        <f>(1.6*#REF!+22)*AY69*F69^0.5</f>
        <v>#REF!</v>
      </c>
      <c r="BE69" s="4">
        <f t="shared" si="170"/>
        <v>63.499999999999986</v>
      </c>
      <c r="BF69" s="4">
        <f t="shared" si="171"/>
        <v>63.499999999999986</v>
      </c>
      <c r="BG69" s="4">
        <f t="shared" si="172"/>
        <v>88.899999999999991</v>
      </c>
      <c r="BH69" s="4">
        <f t="shared" si="173"/>
        <v>76.199999999999989</v>
      </c>
      <c r="BI69" s="4">
        <f t="shared" si="229"/>
        <v>1.04</v>
      </c>
      <c r="BJ69" s="25">
        <f t="shared" si="174"/>
        <v>3.1199999999999997</v>
      </c>
      <c r="BL69" s="4">
        <f t="shared" si="175"/>
        <v>63.499999999999986</v>
      </c>
      <c r="BP69" s="9"/>
      <c r="BR69" s="9"/>
      <c r="BS69" s="9"/>
      <c r="BT69" s="9">
        <f t="shared" si="176"/>
        <v>50.8</v>
      </c>
      <c r="BU69" s="9">
        <f t="shared" si="177"/>
        <v>63.499999999999986</v>
      </c>
      <c r="BV69" s="9">
        <f t="shared" si="178"/>
        <v>1.4623505735569622</v>
      </c>
      <c r="BW69" s="9">
        <v>0</v>
      </c>
      <c r="BX69" s="9">
        <f t="shared" si="179"/>
        <v>0</v>
      </c>
      <c r="BY69" s="9">
        <f t="shared" ref="BY69" si="291">MAX(0,BW69*(BX69-0.5/50))</f>
        <v>0</v>
      </c>
      <c r="BZ69" s="9">
        <f t="shared" si="180"/>
        <v>0.99524931562137331</v>
      </c>
      <c r="CA69" s="9">
        <f t="shared" si="181"/>
        <v>1.056</v>
      </c>
      <c r="CB69" s="9">
        <f t="shared" si="182"/>
        <v>1.9464482686693119</v>
      </c>
      <c r="CC69" s="9">
        <f t="shared" si="183"/>
        <v>2.8463897420875242</v>
      </c>
      <c r="CD69" s="9">
        <v>1</v>
      </c>
      <c r="CE69" s="9" t="e">
        <f>4*CC69*#REF!+60*CC69</f>
        <v>#REF!</v>
      </c>
      <c r="CG69" s="4" t="e">
        <f t="shared" si="265"/>
        <v>#REF!</v>
      </c>
      <c r="CH69" s="4" t="e">
        <f t="shared" si="266"/>
        <v>#REF!</v>
      </c>
      <c r="CI69" s="4" t="e">
        <f t="shared" si="267"/>
        <v>#REF!</v>
      </c>
      <c r="CJ69" s="4" t="e">
        <f t="shared" si="268"/>
        <v>#REF!</v>
      </c>
      <c r="CK69" s="4" t="e">
        <f t="shared" si="269"/>
        <v>#REF!</v>
      </c>
      <c r="CL69" s="4" t="e">
        <f t="shared" si="270"/>
        <v>#REF!</v>
      </c>
      <c r="CM69" s="4">
        <f t="shared" si="215"/>
        <v>1.325563931931276</v>
      </c>
      <c r="CO69" s="4" t="e">
        <f t="shared" si="271"/>
        <v>#REF!</v>
      </c>
      <c r="CP69" s="4" t="e">
        <f t="shared" si="272"/>
        <v>#REF!</v>
      </c>
      <c r="CQ69" s="4" t="e">
        <f t="shared" si="273"/>
        <v>#REF!</v>
      </c>
      <c r="CR69" s="4">
        <f t="shared" si="274"/>
        <v>1.325563931931276</v>
      </c>
      <c r="CS69" s="4" t="e">
        <f t="shared" si="275"/>
        <v>#REF!</v>
      </c>
      <c r="CT69" s="4" t="e">
        <f t="shared" si="276"/>
        <v>#REF!</v>
      </c>
      <c r="DB69" s="4">
        <f t="shared" si="232"/>
        <v>0</v>
      </c>
      <c r="DC69" s="4">
        <f t="shared" si="184"/>
        <v>381</v>
      </c>
      <c r="DD69" s="4" t="e">
        <f>#REF!/E69</f>
        <v>#REF!</v>
      </c>
      <c r="DF69" s="4">
        <f t="shared" si="185"/>
        <v>2.6402037423385414E-5</v>
      </c>
      <c r="DG69" s="4">
        <f t="shared" si="233"/>
        <v>6.6857562842857838</v>
      </c>
      <c r="DH69" s="4">
        <f t="shared" si="221"/>
        <v>0.41749721733539918</v>
      </c>
      <c r="DI69" s="4">
        <f t="shared" si="149"/>
        <v>4.7142431131926301</v>
      </c>
      <c r="DJ69" s="4">
        <f t="shared" si="150"/>
        <v>5.7848563659647452</v>
      </c>
      <c r="DK69" s="4">
        <f t="shared" si="186"/>
        <v>6.0224760215150344</v>
      </c>
      <c r="DL69" s="38" t="e">
        <f t="shared" si="187"/>
        <v>#REF!</v>
      </c>
      <c r="DM69" s="4" t="e">
        <f t="shared" si="151"/>
        <v>#REF!</v>
      </c>
      <c r="DN69" s="4">
        <f t="shared" si="222"/>
        <v>2.2449944320643649</v>
      </c>
      <c r="DO69" s="4">
        <f t="shared" si="152"/>
        <v>212.85169853377948</v>
      </c>
      <c r="DS69" s="4">
        <f t="shared" si="188"/>
        <v>0.85</v>
      </c>
      <c r="DT69" s="4">
        <f t="shared" si="189"/>
        <v>0.85000000000000009</v>
      </c>
      <c r="DU69" s="4">
        <f t="shared" si="190"/>
        <v>1</v>
      </c>
      <c r="DV69" s="4">
        <f t="shared" ref="DV69" si="292">IF(DT69*DU69&lt;0.7,0.7,DT69*DU69)</f>
        <v>0.85000000000000009</v>
      </c>
      <c r="DX69" s="4" t="e">
        <f t="shared" si="191"/>
        <v>#REF!</v>
      </c>
      <c r="DY69" s="25">
        <f t="shared" si="192"/>
        <v>209.93356079366291</v>
      </c>
      <c r="EA69" s="4">
        <f t="shared" si="224"/>
        <v>0.72250000000000003</v>
      </c>
      <c r="EB69" s="4">
        <f t="shared" si="159"/>
        <v>6.6857562842857838</v>
      </c>
      <c r="EC69" s="4">
        <f t="shared" si="193"/>
        <v>6.028412726414806</v>
      </c>
      <c r="EE69" s="4">
        <f t="shared" si="194"/>
        <v>57.022858574434863</v>
      </c>
      <c r="EF69" s="4">
        <f t="shared" si="235"/>
        <v>2.2449944320643649</v>
      </c>
      <c r="EG69" s="4">
        <f t="shared" si="195"/>
        <v>0.12080025923559758</v>
      </c>
      <c r="EJ69" s="4">
        <f t="shared" ref="EJ69" si="293">EG69</f>
        <v>0.12080025923559758</v>
      </c>
      <c r="EK69" s="4">
        <f t="shared" si="196"/>
        <v>0.41680049229057015</v>
      </c>
      <c r="EL69" s="4">
        <f t="shared" si="237"/>
        <v>4.7110946590672214</v>
      </c>
      <c r="EM69" s="4">
        <f t="shared" ref="EM69" si="294">EB69/1.4*(1-EK69^1.4)/(1-EK69)</f>
        <v>5.7835754669295278</v>
      </c>
      <c r="EN69" s="4">
        <f t="shared" si="239"/>
        <v>228.72714142556515</v>
      </c>
      <c r="EO69" s="4">
        <f t="shared" si="240"/>
        <v>95.25</v>
      </c>
      <c r="EP69" s="4">
        <f t="shared" si="197"/>
        <v>2.6402037423385414E-5</v>
      </c>
      <c r="EQ69" s="4">
        <f t="shared" ref="EQ69" si="295">MAX(0.5*EB69, (1-2*EP69*(EE69*EL69+EN69*EM69))/(1/EB69+EP69*EO69))</f>
        <v>6.0226400759500986</v>
      </c>
      <c r="ER69" s="4" t="e">
        <f t="shared" si="198"/>
        <v>#REF!</v>
      </c>
      <c r="ES69" s="4" t="e">
        <f t="shared" si="242"/>
        <v>#REF!</v>
      </c>
      <c r="ET69" s="4" t="e">
        <f t="shared" si="243"/>
        <v>#REF!</v>
      </c>
      <c r="EV69" s="4" t="e">
        <f t="shared" si="199"/>
        <v>#REF!</v>
      </c>
      <c r="FA69" s="23" t="e">
        <f t="shared" si="277"/>
        <v>#REF!</v>
      </c>
      <c r="FB69" s="23" t="e">
        <f t="shared" si="278"/>
        <v>#REF!</v>
      </c>
      <c r="FC69" s="23">
        <f t="shared" si="290"/>
        <v>1.4</v>
      </c>
      <c r="FD69" s="23" t="e">
        <f t="shared" si="279"/>
        <v>#REF!</v>
      </c>
      <c r="FE69" s="23" t="e">
        <f t="shared" si="280"/>
        <v>#REF!</v>
      </c>
      <c r="FF69" s="23" t="e">
        <f t="shared" si="281"/>
        <v>#REF!</v>
      </c>
      <c r="FG69" s="23" t="e">
        <f t="shared" si="282"/>
        <v>#REF!</v>
      </c>
      <c r="FH69" s="23"/>
      <c r="FR69" s="4">
        <f t="shared" si="140"/>
        <v>1</v>
      </c>
      <c r="FS69" s="4">
        <f t="shared" si="141"/>
        <v>1.0833333333333333</v>
      </c>
      <c r="FT69" s="4">
        <f t="shared" si="142"/>
        <v>0</v>
      </c>
      <c r="FU69" s="4">
        <f t="shared" si="143"/>
        <v>317.60067534926469</v>
      </c>
    </row>
    <row r="70" spans="2:179" ht="12" customHeight="1" x14ac:dyDescent="0.3">
      <c r="B70" s="24"/>
      <c r="C70" s="7" t="s">
        <v>279</v>
      </c>
      <c r="D70" s="7">
        <v>472</v>
      </c>
      <c r="E70" s="7">
        <f t="shared" si="264"/>
        <v>381</v>
      </c>
      <c r="F70" s="7">
        <v>21</v>
      </c>
      <c r="G70" s="7">
        <v>25.4</v>
      </c>
      <c r="H70" s="7">
        <f t="shared" si="200"/>
        <v>152.39999999999998</v>
      </c>
      <c r="I70" s="7">
        <f t="shared" si="160"/>
        <v>63.499999999999986</v>
      </c>
      <c r="J70" s="7">
        <f t="shared" si="201"/>
        <v>50.8</v>
      </c>
      <c r="K70" s="7">
        <v>0</v>
      </c>
      <c r="L70" s="7">
        <v>1</v>
      </c>
      <c r="M70" s="7">
        <f t="shared" si="202"/>
        <v>88.899999999999991</v>
      </c>
      <c r="N70" s="7">
        <f t="shared" si="161"/>
        <v>2.9999999999999996</v>
      </c>
      <c r="O70" s="7">
        <f t="shared" si="203"/>
        <v>4</v>
      </c>
      <c r="P70" s="7">
        <v>4.0599999999999996</v>
      </c>
      <c r="Q70" s="7">
        <f t="shared" si="227"/>
        <v>4.0599999999999996</v>
      </c>
      <c r="R70" s="7">
        <f t="shared" si="162"/>
        <v>5.0599999999999996</v>
      </c>
      <c r="S70" s="7">
        <f t="shared" si="163"/>
        <v>57.135887146346114</v>
      </c>
      <c r="T70" s="7"/>
      <c r="U70" s="7"/>
      <c r="V70" s="7">
        <v>459</v>
      </c>
      <c r="W70" s="7"/>
      <c r="X70" s="7"/>
      <c r="Y70" s="7"/>
      <c r="Z70" s="7"/>
      <c r="AA70" s="7">
        <v>1</v>
      </c>
      <c r="AB70" s="7"/>
      <c r="AC70" s="7"/>
      <c r="AD70" s="7"/>
      <c r="AE70" s="4">
        <f t="shared" si="252"/>
        <v>381</v>
      </c>
      <c r="AF70" s="44">
        <f t="shared" si="204"/>
        <v>5.9259259259259248E-2</v>
      </c>
      <c r="AG70" s="25">
        <f t="shared" si="164"/>
        <v>672.57356899470892</v>
      </c>
      <c r="AH70" s="4">
        <f t="shared" si="165"/>
        <v>0.74</v>
      </c>
      <c r="AI70" s="4">
        <v>1.25</v>
      </c>
      <c r="AJ70" s="25">
        <f t="shared" si="146"/>
        <v>5</v>
      </c>
      <c r="AK70" s="38">
        <f t="shared" si="205"/>
        <v>184.3349781689202</v>
      </c>
      <c r="AL70" s="38">
        <f t="shared" si="148"/>
        <v>184.3349781689202</v>
      </c>
      <c r="AN70" s="38">
        <f t="shared" si="158"/>
        <v>184.33497816892</v>
      </c>
      <c r="AO70" s="38">
        <f t="shared" si="87"/>
        <v>1.0000000000000011</v>
      </c>
      <c r="AP70" s="38">
        <f t="shared" si="206"/>
        <v>1.5609301611827398</v>
      </c>
      <c r="AQ70" s="4">
        <f t="shared" si="228"/>
        <v>0</v>
      </c>
      <c r="AR70" s="4" t="e">
        <f>#REF!/G70*F70^0.5/0.19</f>
        <v>#REF!</v>
      </c>
      <c r="AS70" s="4">
        <f t="shared" si="166"/>
        <v>1.1333333333333333</v>
      </c>
      <c r="AT70" s="38">
        <f t="shared" si="167"/>
        <v>287.73402718482913</v>
      </c>
      <c r="AU70" s="4">
        <f t="shared" si="168"/>
        <v>0.43160000000000009</v>
      </c>
      <c r="AV70" s="4" t="e">
        <f>AU70*D70*#REF!/(D70*G70/2.75/F70^0.5)</f>
        <v>#REF!</v>
      </c>
      <c r="AW70" s="4" t="e">
        <f t="shared" si="207"/>
        <v>#REF!</v>
      </c>
      <c r="AY70" s="36">
        <f t="shared" si="169"/>
        <v>1.1000000000000001</v>
      </c>
      <c r="AZ70" s="36" t="e">
        <f>(1.6*#REF!+22)*AY70*F70^0.5</f>
        <v>#REF!</v>
      </c>
      <c r="BE70" s="4">
        <f t="shared" si="170"/>
        <v>63.499999999999986</v>
      </c>
      <c r="BF70" s="4">
        <f t="shared" si="171"/>
        <v>63.499999999999986</v>
      </c>
      <c r="BG70" s="4">
        <f t="shared" si="172"/>
        <v>88.899999999999991</v>
      </c>
      <c r="BH70" s="4">
        <f t="shared" si="173"/>
        <v>76.199999999999989</v>
      </c>
      <c r="BI70" s="4">
        <f t="shared" si="229"/>
        <v>1.04</v>
      </c>
      <c r="BJ70" s="25">
        <f t="shared" si="174"/>
        <v>3.1199999999999997</v>
      </c>
      <c r="BL70" s="4">
        <f t="shared" si="175"/>
        <v>63.499999999999986</v>
      </c>
      <c r="BP70" s="9"/>
      <c r="BR70" s="9"/>
      <c r="BS70" s="9"/>
      <c r="BT70" s="9">
        <f t="shared" si="176"/>
        <v>50.8</v>
      </c>
      <c r="BU70" s="9">
        <f t="shared" si="177"/>
        <v>63.499999999999986</v>
      </c>
      <c r="BV70" s="9">
        <f t="shared" si="178"/>
        <v>1.4623505735569622</v>
      </c>
      <c r="BW70" s="9">
        <v>0</v>
      </c>
      <c r="BX70" s="9">
        <f t="shared" si="179"/>
        <v>0</v>
      </c>
      <c r="BY70" s="9">
        <f t="shared" si="208"/>
        <v>0</v>
      </c>
      <c r="BZ70" s="9">
        <f t="shared" si="180"/>
        <v>0.99524931562137331</v>
      </c>
      <c r="CA70" s="9">
        <f t="shared" si="181"/>
        <v>1.056</v>
      </c>
      <c r="CB70" s="9">
        <f t="shared" si="182"/>
        <v>1.6856736478198622</v>
      </c>
      <c r="CC70" s="9">
        <f t="shared" si="183"/>
        <v>2.465045825719232</v>
      </c>
      <c r="CD70" s="9">
        <v>1</v>
      </c>
      <c r="CE70" s="9" t="e">
        <f>4*CC70*#REF!+60*CC70</f>
        <v>#REF!</v>
      </c>
      <c r="CG70" s="4" t="e">
        <f t="shared" si="265"/>
        <v>#REF!</v>
      </c>
      <c r="CH70" s="4" t="e">
        <f t="shared" si="266"/>
        <v>#REF!</v>
      </c>
      <c r="CI70" s="4" t="e">
        <f t="shared" si="267"/>
        <v>#REF!</v>
      </c>
      <c r="CJ70" s="4" t="e">
        <f t="shared" si="268"/>
        <v>#REF!</v>
      </c>
      <c r="CK70" s="4" t="e">
        <f t="shared" si="269"/>
        <v>#REF!</v>
      </c>
      <c r="CL70" s="4" t="e">
        <f t="shared" si="270"/>
        <v>#REF!</v>
      </c>
      <c r="CM70" s="4">
        <f t="shared" si="215"/>
        <v>1.552980320852922</v>
      </c>
      <c r="CO70" s="4" t="e">
        <f t="shared" si="271"/>
        <v>#REF!</v>
      </c>
      <c r="CP70" s="4" t="e">
        <f t="shared" si="272"/>
        <v>#REF!</v>
      </c>
      <c r="CQ70" s="4" t="e">
        <f t="shared" si="273"/>
        <v>#REF!</v>
      </c>
      <c r="CR70" s="4">
        <f t="shared" si="274"/>
        <v>1.552980320852922</v>
      </c>
      <c r="CS70" s="4" t="e">
        <f t="shared" si="275"/>
        <v>#REF!</v>
      </c>
      <c r="CT70" s="4" t="e">
        <f t="shared" si="276"/>
        <v>#REF!</v>
      </c>
      <c r="DB70" s="4">
        <f t="shared" si="232"/>
        <v>0</v>
      </c>
      <c r="DC70" s="4">
        <f t="shared" si="184"/>
        <v>381</v>
      </c>
      <c r="DD70" s="4" t="e">
        <f>#REF!/E70</f>
        <v>#REF!</v>
      </c>
      <c r="DF70" s="4">
        <f t="shared" si="185"/>
        <v>2.5033311258542346E-5</v>
      </c>
      <c r="DG70" s="4">
        <f t="shared" si="233"/>
        <v>5.7900347857029448</v>
      </c>
      <c r="DH70" s="4">
        <f t="shared" si="221"/>
        <v>0.48066032441776124</v>
      </c>
      <c r="DI70" s="4">
        <f t="shared" si="149"/>
        <v>4.3193309674909806</v>
      </c>
      <c r="DJ70" s="4">
        <f t="shared" si="150"/>
        <v>5.1080025768674968</v>
      </c>
      <c r="DK70" s="4">
        <f t="shared" si="186"/>
        <v>5.3067104906481672</v>
      </c>
      <c r="DL70" s="38" t="e">
        <f t="shared" si="187"/>
        <v>#REF!</v>
      </c>
      <c r="DM70" s="4" t="e">
        <f t="shared" si="151"/>
        <v>#REF!</v>
      </c>
      <c r="DN70" s="4">
        <f t="shared" si="222"/>
        <v>2.2494443758403984</v>
      </c>
      <c r="DO70" s="4">
        <f t="shared" si="152"/>
        <v>184.33497816892</v>
      </c>
      <c r="DS70" s="4">
        <f t="shared" si="188"/>
        <v>0.85</v>
      </c>
      <c r="DT70" s="4">
        <f t="shared" si="189"/>
        <v>0.85000000000000009</v>
      </c>
      <c r="DU70" s="4">
        <f t="shared" si="190"/>
        <v>1</v>
      </c>
      <c r="DV70" s="4">
        <f t="shared" si="223"/>
        <v>0.85000000000000009</v>
      </c>
      <c r="DX70" s="4" t="e">
        <f t="shared" si="191"/>
        <v>#REF!</v>
      </c>
      <c r="DY70" s="25">
        <f t="shared" si="192"/>
        <v>181.80779675423688</v>
      </c>
      <c r="EA70" s="4">
        <f t="shared" si="224"/>
        <v>0.72250000000000003</v>
      </c>
      <c r="EB70" s="4">
        <f t="shared" si="159"/>
        <v>5.7900347857029448</v>
      </c>
      <c r="EC70" s="4">
        <f t="shared" si="193"/>
        <v>5.2207585655726314</v>
      </c>
      <c r="EE70" s="4">
        <f t="shared" si="194"/>
        <v>57.135887146346114</v>
      </c>
      <c r="EF70" s="4">
        <f t="shared" si="235"/>
        <v>2.2494443758403984</v>
      </c>
      <c r="EG70" s="4">
        <f t="shared" si="195"/>
        <v>0.1204434502751171</v>
      </c>
      <c r="EJ70" s="4">
        <f t="shared" si="263"/>
        <v>0.1204434502751171</v>
      </c>
      <c r="EK70" s="4">
        <f t="shared" si="196"/>
        <v>0.47985819191921475</v>
      </c>
      <c r="EL70" s="4">
        <f t="shared" si="237"/>
        <v>4.3164462593677309</v>
      </c>
      <c r="EM70" s="4">
        <f t="shared" ref="EM70:EM75" si="296">EB70/1.4*(1-EK70^1.4)/(1-EK70)</f>
        <v>5.1067841093562398</v>
      </c>
      <c r="EN70" s="4">
        <f t="shared" si="239"/>
        <v>228.61411285365389</v>
      </c>
      <c r="EO70" s="4">
        <f t="shared" si="240"/>
        <v>95.249999999999972</v>
      </c>
      <c r="EP70" s="4">
        <f t="shared" si="197"/>
        <v>2.5033311258542336E-5</v>
      </c>
      <c r="EQ70" s="4">
        <f t="shared" ref="EQ70:EQ75" si="297">MAX(0.5*EB70, (1-2*EP70*(EE70*EL70+EN70*EM70))/(1/EB70+EP70*EO70))</f>
        <v>5.3068372704296802</v>
      </c>
      <c r="ER70" s="4" t="e">
        <f t="shared" si="198"/>
        <v>#REF!</v>
      </c>
      <c r="ES70" s="4" t="e">
        <f t="shared" si="242"/>
        <v>#REF!</v>
      </c>
      <c r="ET70" s="4" t="e">
        <f t="shared" si="243"/>
        <v>#REF!</v>
      </c>
      <c r="EV70" s="4" t="e">
        <f t="shared" si="199"/>
        <v>#REF!</v>
      </c>
      <c r="FA70" s="23" t="e">
        <f t="shared" si="277"/>
        <v>#REF!</v>
      </c>
      <c r="FB70" s="23" t="e">
        <f t="shared" si="278"/>
        <v>#REF!</v>
      </c>
      <c r="FC70" s="23">
        <f t="shared" si="290"/>
        <v>1.6</v>
      </c>
      <c r="FD70" s="23" t="e">
        <f t="shared" si="279"/>
        <v>#REF!</v>
      </c>
      <c r="FE70" s="23" t="e">
        <f t="shared" si="280"/>
        <v>#REF!</v>
      </c>
      <c r="FF70" s="23" t="e">
        <f t="shared" si="281"/>
        <v>#REF!</v>
      </c>
      <c r="FG70" s="23" t="e">
        <f t="shared" si="282"/>
        <v>#REF!</v>
      </c>
      <c r="FH70" s="23"/>
      <c r="FR70" s="4">
        <f t="shared" si="140"/>
        <v>1</v>
      </c>
      <c r="FS70" s="4">
        <f t="shared" si="141"/>
        <v>1.0833333333333333</v>
      </c>
      <c r="FT70" s="4">
        <f t="shared" si="142"/>
        <v>0</v>
      </c>
      <c r="FU70" s="4">
        <f t="shared" si="143"/>
        <v>295.56073173413409</v>
      </c>
    </row>
    <row r="71" spans="2:179" ht="12" customHeight="1" x14ac:dyDescent="0.3">
      <c r="B71" s="24"/>
      <c r="C71" s="7" t="s">
        <v>280</v>
      </c>
      <c r="D71" s="7">
        <v>472</v>
      </c>
      <c r="E71" s="7">
        <f t="shared" si="264"/>
        <v>381</v>
      </c>
      <c r="F71" s="7">
        <v>21</v>
      </c>
      <c r="G71" s="7">
        <v>25.4</v>
      </c>
      <c r="H71" s="7">
        <f t="shared" si="200"/>
        <v>152.39999999999998</v>
      </c>
      <c r="I71" s="7">
        <f t="shared" si="160"/>
        <v>63.499999999999986</v>
      </c>
      <c r="J71" s="7">
        <f t="shared" si="201"/>
        <v>50.8</v>
      </c>
      <c r="K71" s="7">
        <v>0</v>
      </c>
      <c r="L71" s="7">
        <v>1</v>
      </c>
      <c r="M71" s="7">
        <f t="shared" si="202"/>
        <v>88.899999999999991</v>
      </c>
      <c r="N71" s="7">
        <f t="shared" si="161"/>
        <v>2.9999999999999996</v>
      </c>
      <c r="O71" s="7">
        <f t="shared" si="203"/>
        <v>4</v>
      </c>
      <c r="P71" s="7">
        <v>4.7</v>
      </c>
      <c r="Q71" s="7">
        <f t="shared" si="227"/>
        <v>4.7</v>
      </c>
      <c r="R71" s="7">
        <f t="shared" si="162"/>
        <v>5.7</v>
      </c>
      <c r="S71" s="7">
        <f t="shared" si="163"/>
        <v>60.641668842471674</v>
      </c>
      <c r="T71" s="7"/>
      <c r="U71" s="7"/>
      <c r="V71" s="7">
        <v>413</v>
      </c>
      <c r="W71" s="7"/>
      <c r="X71" s="7"/>
      <c r="Y71" s="7"/>
      <c r="Z71" s="7"/>
      <c r="AA71" s="7">
        <v>1</v>
      </c>
      <c r="AB71" s="7"/>
      <c r="AC71" s="7"/>
      <c r="AD71" s="7"/>
      <c r="AE71" s="4">
        <f t="shared" si="252"/>
        <v>381</v>
      </c>
      <c r="AF71" s="44">
        <f t="shared" si="204"/>
        <v>5.9259259259259248E-2</v>
      </c>
      <c r="AG71" s="25">
        <f t="shared" si="164"/>
        <v>672.57356899470892</v>
      </c>
      <c r="AH71" s="4">
        <f t="shared" si="165"/>
        <v>0.74</v>
      </c>
      <c r="AI71" s="4">
        <v>1.25</v>
      </c>
      <c r="AJ71" s="25">
        <f t="shared" si="146"/>
        <v>5</v>
      </c>
      <c r="AK71" s="38">
        <f t="shared" si="205"/>
        <v>184.3349781689202</v>
      </c>
      <c r="AL71" s="38">
        <f t="shared" si="148"/>
        <v>184.3349781689202</v>
      </c>
      <c r="AN71" s="38">
        <f t="shared" si="158"/>
        <v>184.33497816892</v>
      </c>
      <c r="AO71" s="38">
        <f t="shared" si="87"/>
        <v>1.0000000000000011</v>
      </c>
      <c r="AP71" s="38">
        <f t="shared" si="206"/>
        <v>1.6794589169432566</v>
      </c>
      <c r="AQ71" s="4">
        <f t="shared" si="228"/>
        <v>0</v>
      </c>
      <c r="AR71" s="4" t="e">
        <f>#REF!/G71*F71^0.5/0.19</f>
        <v>#REF!</v>
      </c>
      <c r="AS71" s="4">
        <f t="shared" si="166"/>
        <v>1.1333333333333333</v>
      </c>
      <c r="AT71" s="38">
        <f t="shared" si="167"/>
        <v>309.58302279033325</v>
      </c>
      <c r="AU71" s="4">
        <f t="shared" si="168"/>
        <v>0.34199999999999997</v>
      </c>
      <c r="AV71" s="4" t="e">
        <f>AU71*D71*#REF!/(D71*G71/2.75/F71^0.5)</f>
        <v>#REF!</v>
      </c>
      <c r="AW71" s="4" t="e">
        <f t="shared" si="207"/>
        <v>#REF!</v>
      </c>
      <c r="AY71" s="36">
        <f t="shared" si="169"/>
        <v>1.1000000000000001</v>
      </c>
      <c r="AZ71" s="36" t="e">
        <f>(1.6*#REF!+22)*AY71*F71^0.5</f>
        <v>#REF!</v>
      </c>
      <c r="BE71" s="4">
        <f t="shared" si="170"/>
        <v>63.499999999999986</v>
      </c>
      <c r="BF71" s="4">
        <f t="shared" si="171"/>
        <v>63.499999999999986</v>
      </c>
      <c r="BG71" s="4">
        <f t="shared" si="172"/>
        <v>88.899999999999991</v>
      </c>
      <c r="BH71" s="4">
        <f t="shared" si="173"/>
        <v>76.199999999999989</v>
      </c>
      <c r="BI71" s="4">
        <f t="shared" si="229"/>
        <v>1.04</v>
      </c>
      <c r="BJ71" s="25">
        <f t="shared" si="174"/>
        <v>3.1199999999999997</v>
      </c>
      <c r="BL71" s="4">
        <f t="shared" si="175"/>
        <v>63.499999999999986</v>
      </c>
      <c r="BP71" s="9"/>
      <c r="BR71" s="9"/>
      <c r="BS71" s="9"/>
      <c r="BT71" s="9">
        <f t="shared" si="176"/>
        <v>50.8</v>
      </c>
      <c r="BU71" s="9">
        <f t="shared" si="177"/>
        <v>63.499999999999986</v>
      </c>
      <c r="BV71" s="9">
        <f t="shared" si="178"/>
        <v>1.4623505735569622</v>
      </c>
      <c r="BW71" s="9">
        <v>0</v>
      </c>
      <c r="BX71" s="9">
        <f t="shared" si="179"/>
        <v>0</v>
      </c>
      <c r="BY71" s="9">
        <f t="shared" si="208"/>
        <v>0</v>
      </c>
      <c r="BZ71" s="9">
        <f t="shared" si="180"/>
        <v>0.99524931562137331</v>
      </c>
      <c r="CA71" s="9">
        <f t="shared" si="181"/>
        <v>1.056</v>
      </c>
      <c r="CB71" s="9">
        <f t="shared" si="182"/>
        <v>1.6856736478198622</v>
      </c>
      <c r="CC71" s="9">
        <f t="shared" si="183"/>
        <v>2.465045825719232</v>
      </c>
      <c r="CD71" s="9">
        <v>1</v>
      </c>
      <c r="CE71" s="9" t="e">
        <f>4*CC71*#REF!+60*CC71</f>
        <v>#REF!</v>
      </c>
      <c r="CG71" s="4" t="e">
        <f t="shared" si="265"/>
        <v>#REF!</v>
      </c>
      <c r="CH71" s="4" t="e">
        <f t="shared" si="266"/>
        <v>#REF!</v>
      </c>
      <c r="CI71" s="4" t="e">
        <f t="shared" si="267"/>
        <v>#REF!</v>
      </c>
      <c r="CJ71" s="4" t="e">
        <f t="shared" si="268"/>
        <v>#REF!</v>
      </c>
      <c r="CK71" s="4" t="e">
        <f t="shared" si="269"/>
        <v>#REF!</v>
      </c>
      <c r="CL71" s="4" t="e">
        <f t="shared" si="270"/>
        <v>#REF!</v>
      </c>
      <c r="CM71" s="4">
        <f t="shared" si="215"/>
        <v>1.3973439488284463</v>
      </c>
      <c r="CO71" s="4" t="e">
        <f t="shared" si="271"/>
        <v>#REF!</v>
      </c>
      <c r="CP71" s="4" t="e">
        <f t="shared" si="272"/>
        <v>#REF!</v>
      </c>
      <c r="CQ71" s="4" t="e">
        <f t="shared" si="273"/>
        <v>#REF!</v>
      </c>
      <c r="CR71" s="4">
        <f t="shared" si="274"/>
        <v>1.3973439488284463</v>
      </c>
      <c r="CS71" s="4" t="e">
        <f t="shared" si="275"/>
        <v>#REF!</v>
      </c>
      <c r="CT71" s="4" t="e">
        <f t="shared" si="276"/>
        <v>#REF!</v>
      </c>
      <c r="DB71" s="4">
        <f t="shared" si="232"/>
        <v>0</v>
      </c>
      <c r="DC71" s="4">
        <f t="shared" si="184"/>
        <v>381</v>
      </c>
      <c r="DD71" s="4" t="e">
        <f>#REF!/E71</f>
        <v>#REF!</v>
      </c>
      <c r="DF71" s="4">
        <f t="shared" si="185"/>
        <v>2.5033311258542346E-5</v>
      </c>
      <c r="DG71" s="4">
        <f t="shared" si="233"/>
        <v>5.7900347857029448</v>
      </c>
      <c r="DH71" s="4">
        <f t="shared" si="221"/>
        <v>0.44068535720017393</v>
      </c>
      <c r="DI71" s="4">
        <f t="shared" si="149"/>
        <v>4.1718878112344715</v>
      </c>
      <c r="DJ71" s="4">
        <f t="shared" si="150"/>
        <v>5.0464119235403171</v>
      </c>
      <c r="DK71" s="4">
        <f t="shared" si="186"/>
        <v>5.3140221662208873</v>
      </c>
      <c r="DL71" s="38" t="e">
        <f t="shared" si="187"/>
        <v>#REF!</v>
      </c>
      <c r="DM71" s="4" t="e">
        <f t="shared" si="151"/>
        <v>#REF!</v>
      </c>
      <c r="DN71" s="4">
        <f t="shared" si="222"/>
        <v>2.3874672772626644</v>
      </c>
      <c r="DO71" s="4">
        <f t="shared" si="152"/>
        <v>184.33497816892</v>
      </c>
      <c r="DS71" s="4">
        <f t="shared" si="188"/>
        <v>0.85</v>
      </c>
      <c r="DT71" s="4">
        <f t="shared" si="189"/>
        <v>0.85000000000000009</v>
      </c>
      <c r="DU71" s="4">
        <f t="shared" si="190"/>
        <v>1</v>
      </c>
      <c r="DV71" s="4">
        <f t="shared" si="223"/>
        <v>0.85000000000000009</v>
      </c>
      <c r="DX71" s="4" t="e">
        <f t="shared" si="191"/>
        <v>#REF!</v>
      </c>
      <c r="DY71" s="25">
        <f t="shared" si="192"/>
        <v>181.80779675423688</v>
      </c>
      <c r="EA71" s="4">
        <f t="shared" si="224"/>
        <v>0.72250000000000003</v>
      </c>
      <c r="EB71" s="4">
        <f t="shared" si="159"/>
        <v>5.7900347857029448</v>
      </c>
      <c r="EC71" s="4">
        <f t="shared" si="193"/>
        <v>5.2207585655726314</v>
      </c>
      <c r="EE71" s="4">
        <f t="shared" si="194"/>
        <v>60.641668842471674</v>
      </c>
      <c r="EF71" s="4">
        <f t="shared" si="235"/>
        <v>2.3874672772626644</v>
      </c>
      <c r="EG71" s="4">
        <f t="shared" si="195"/>
        <v>0.11042655740559822</v>
      </c>
      <c r="EJ71" s="4">
        <f t="shared" si="263"/>
        <v>0.11042655740559822</v>
      </c>
      <c r="EK71" s="4">
        <f t="shared" si="196"/>
        <v>0.4399499354715925</v>
      </c>
      <c r="EL71" s="4">
        <f t="shared" si="237"/>
        <v>4.1691015744887965</v>
      </c>
      <c r="EM71" s="4">
        <f t="shared" si="296"/>
        <v>5.0452617256677321</v>
      </c>
      <c r="EN71" s="4">
        <f t="shared" si="239"/>
        <v>225.10833115752831</v>
      </c>
      <c r="EO71" s="4">
        <f t="shared" si="240"/>
        <v>95.25</v>
      </c>
      <c r="EP71" s="4">
        <f t="shared" si="197"/>
        <v>2.5033311258542346E-5</v>
      </c>
      <c r="EQ71" s="4">
        <f t="shared" si="297"/>
        <v>5.3141445144905157</v>
      </c>
      <c r="ER71" s="4" t="e">
        <f t="shared" si="198"/>
        <v>#REF!</v>
      </c>
      <c r="ES71" s="4" t="e">
        <f t="shared" si="242"/>
        <v>#REF!</v>
      </c>
      <c r="ET71" s="4" t="e">
        <f t="shared" si="243"/>
        <v>#REF!</v>
      </c>
      <c r="EV71" s="4" t="e">
        <f t="shared" si="199"/>
        <v>#REF!</v>
      </c>
      <c r="FA71" s="23" t="e">
        <f t="shared" si="277"/>
        <v>#REF!</v>
      </c>
      <c r="FB71" s="23" t="e">
        <f t="shared" si="278"/>
        <v>#REF!</v>
      </c>
      <c r="FC71" s="23">
        <f t="shared" si="290"/>
        <v>1.4</v>
      </c>
      <c r="FD71" s="23" t="e">
        <f t="shared" si="279"/>
        <v>#REF!</v>
      </c>
      <c r="FE71" s="23" t="e">
        <f t="shared" si="280"/>
        <v>#REF!</v>
      </c>
      <c r="FF71" s="23" t="e">
        <f t="shared" si="281"/>
        <v>#REF!</v>
      </c>
      <c r="FG71" s="23" t="e">
        <f t="shared" si="282"/>
        <v>#REF!</v>
      </c>
      <c r="FH71" s="23"/>
      <c r="FR71" s="4">
        <f t="shared" si="140"/>
        <v>1</v>
      </c>
      <c r="FS71" s="4">
        <f t="shared" si="141"/>
        <v>1.0833333333333333</v>
      </c>
      <c r="FT71" s="4">
        <f t="shared" si="142"/>
        <v>0</v>
      </c>
      <c r="FU71" s="4">
        <f t="shared" si="143"/>
        <v>295.56073173413409</v>
      </c>
    </row>
    <row r="72" spans="2:179" ht="12" customHeight="1" x14ac:dyDescent="0.3">
      <c r="B72" s="24"/>
      <c r="C72" s="7" t="s">
        <v>281</v>
      </c>
      <c r="D72" s="7">
        <v>472</v>
      </c>
      <c r="E72" s="7">
        <f t="shared" si="264"/>
        <v>381</v>
      </c>
      <c r="F72" s="7">
        <v>27</v>
      </c>
      <c r="G72" s="7">
        <v>25.4</v>
      </c>
      <c r="H72" s="7">
        <f t="shared" si="200"/>
        <v>152.39999999999998</v>
      </c>
      <c r="I72" s="7">
        <f t="shared" si="160"/>
        <v>63.499999999999986</v>
      </c>
      <c r="J72" s="7">
        <f t="shared" si="201"/>
        <v>50.8</v>
      </c>
      <c r="K72" s="7">
        <v>0</v>
      </c>
      <c r="L72" s="7">
        <v>1</v>
      </c>
      <c r="M72" s="7">
        <f t="shared" si="202"/>
        <v>88.899999999999991</v>
      </c>
      <c r="N72" s="7">
        <f t="shared" si="161"/>
        <v>2.9999999999999996</v>
      </c>
      <c r="O72" s="7">
        <f t="shared" si="203"/>
        <v>4</v>
      </c>
      <c r="P72" s="7">
        <v>4.7</v>
      </c>
      <c r="Q72" s="7">
        <f t="shared" si="227"/>
        <v>4.7</v>
      </c>
      <c r="R72" s="7">
        <f t="shared" si="162"/>
        <v>5.7</v>
      </c>
      <c r="S72" s="7">
        <f t="shared" si="163"/>
        <v>60.641668842471674</v>
      </c>
      <c r="T72" s="7"/>
      <c r="U72" s="7"/>
      <c r="V72" s="7">
        <v>471</v>
      </c>
      <c r="W72" s="7"/>
      <c r="X72" s="7"/>
      <c r="Y72" s="7"/>
      <c r="Z72" s="7"/>
      <c r="AA72" s="7">
        <v>1</v>
      </c>
      <c r="AB72" s="7"/>
      <c r="AC72" s="7"/>
      <c r="AD72" s="7"/>
      <c r="AE72" s="4">
        <f t="shared" si="252"/>
        <v>381</v>
      </c>
      <c r="AF72" s="44">
        <f t="shared" si="204"/>
        <v>5.9259259259259248E-2</v>
      </c>
      <c r="AG72" s="25">
        <f t="shared" si="164"/>
        <v>762.62674369506078</v>
      </c>
      <c r="AH72" s="4">
        <f t="shared" si="165"/>
        <v>0.74</v>
      </c>
      <c r="AI72" s="4">
        <v>1.25</v>
      </c>
      <c r="AJ72" s="25">
        <f t="shared" si="146"/>
        <v>5</v>
      </c>
      <c r="AK72" s="38">
        <f t="shared" si="205"/>
        <v>209.01621864234997</v>
      </c>
      <c r="AL72" s="38">
        <f t="shared" si="148"/>
        <v>209.01621864234997</v>
      </c>
      <c r="AN72" s="38">
        <f t="shared" si="158"/>
        <v>209.0162186423498</v>
      </c>
      <c r="AO72" s="38">
        <f t="shared" si="87"/>
        <v>1.0000000000000009</v>
      </c>
      <c r="AP72" s="38">
        <f t="shared" si="206"/>
        <v>1.9043274134493156</v>
      </c>
      <c r="AQ72" s="4">
        <f t="shared" si="228"/>
        <v>0</v>
      </c>
      <c r="AR72" s="4" t="e">
        <f>#REF!/G72*F72^0.5/0.19</f>
        <v>#REF!</v>
      </c>
      <c r="AS72" s="4">
        <f t="shared" si="166"/>
        <v>1.1333333333333333</v>
      </c>
      <c r="AT72" s="38">
        <f t="shared" si="167"/>
        <v>398.03531501614259</v>
      </c>
      <c r="AU72" s="4">
        <f t="shared" si="168"/>
        <v>0.34199999999999997</v>
      </c>
      <c r="AV72" s="4" t="e">
        <f>AU72*D72*#REF!/(D72*G72/2.75/F72^0.5)</f>
        <v>#REF!</v>
      </c>
      <c r="AW72" s="4" t="e">
        <f t="shared" si="207"/>
        <v>#REF!</v>
      </c>
      <c r="AY72" s="36">
        <f t="shared" si="169"/>
        <v>1.1000000000000001</v>
      </c>
      <c r="AZ72" s="36" t="e">
        <f>(1.6*#REF!+22)*AY72*F72^0.5</f>
        <v>#REF!</v>
      </c>
      <c r="BE72" s="4">
        <f t="shared" si="170"/>
        <v>63.499999999999986</v>
      </c>
      <c r="BF72" s="4">
        <f t="shared" si="171"/>
        <v>63.499999999999986</v>
      </c>
      <c r="BG72" s="4">
        <f t="shared" si="172"/>
        <v>88.899999999999991</v>
      </c>
      <c r="BH72" s="4">
        <f t="shared" si="173"/>
        <v>76.199999999999989</v>
      </c>
      <c r="BI72" s="4">
        <f t="shared" si="229"/>
        <v>1.04</v>
      </c>
      <c r="BJ72" s="25">
        <f t="shared" si="174"/>
        <v>3.1199999999999997</v>
      </c>
      <c r="BL72" s="4">
        <f t="shared" si="175"/>
        <v>63.499999999999986</v>
      </c>
      <c r="BP72" s="9"/>
      <c r="BR72" s="9"/>
      <c r="BS72" s="9"/>
      <c r="BT72" s="9">
        <f t="shared" si="176"/>
        <v>50.8</v>
      </c>
      <c r="BU72" s="9">
        <f t="shared" si="177"/>
        <v>63.499999999999986</v>
      </c>
      <c r="BV72" s="9">
        <f t="shared" si="178"/>
        <v>1.4623505735569622</v>
      </c>
      <c r="BW72" s="9">
        <v>0</v>
      </c>
      <c r="BX72" s="9">
        <f t="shared" si="179"/>
        <v>0</v>
      </c>
      <c r="BY72" s="9">
        <f t="shared" si="208"/>
        <v>0</v>
      </c>
      <c r="BZ72" s="9">
        <f t="shared" si="180"/>
        <v>0.99524931562137331</v>
      </c>
      <c r="CA72" s="9">
        <f t="shared" si="181"/>
        <v>1.056</v>
      </c>
      <c r="CB72" s="9">
        <f t="shared" si="182"/>
        <v>1.911374255891328</v>
      </c>
      <c r="CC72" s="9">
        <f t="shared" si="183"/>
        <v>2.7950992393846952</v>
      </c>
      <c r="CD72" s="9">
        <v>1</v>
      </c>
      <c r="CE72" s="9" t="e">
        <f>4*CC72*#REF!+60*CC72</f>
        <v>#REF!</v>
      </c>
      <c r="CG72" s="4" t="e">
        <f t="shared" si="265"/>
        <v>#REF!</v>
      </c>
      <c r="CH72" s="4" t="e">
        <f t="shared" si="266"/>
        <v>#REF!</v>
      </c>
      <c r="CI72" s="4" t="e">
        <f t="shared" si="267"/>
        <v>#REF!</v>
      </c>
      <c r="CJ72" s="4" t="e">
        <f t="shared" si="268"/>
        <v>#REF!</v>
      </c>
      <c r="CK72" s="4" t="e">
        <f t="shared" si="269"/>
        <v>#REF!</v>
      </c>
      <c r="CL72" s="4" t="e">
        <f t="shared" si="270"/>
        <v>#REF!</v>
      </c>
      <c r="CM72" s="4">
        <f t="shared" si="215"/>
        <v>1.4965390606012445</v>
      </c>
      <c r="CO72" s="4" t="e">
        <f t="shared" si="271"/>
        <v>#REF!</v>
      </c>
      <c r="CP72" s="4" t="e">
        <f t="shared" si="272"/>
        <v>#REF!</v>
      </c>
      <c r="CQ72" s="4" t="e">
        <f t="shared" si="273"/>
        <v>#REF!</v>
      </c>
      <c r="CR72" s="4">
        <f t="shared" si="274"/>
        <v>1.4965390606012445</v>
      </c>
      <c r="CS72" s="4" t="e">
        <f t="shared" si="275"/>
        <v>#REF!</v>
      </c>
      <c r="CT72" s="4" t="e">
        <f t="shared" si="276"/>
        <v>#REF!</v>
      </c>
      <c r="DB72" s="4">
        <f t="shared" si="232"/>
        <v>0</v>
      </c>
      <c r="DC72" s="4">
        <f t="shared" si="184"/>
        <v>381</v>
      </c>
      <c r="DD72" s="4" t="e">
        <f>#REF!/E72</f>
        <v>#REF!</v>
      </c>
      <c r="DF72" s="4">
        <f t="shared" si="185"/>
        <v>2.6209296574030622E-5</v>
      </c>
      <c r="DG72" s="4">
        <f t="shared" si="233"/>
        <v>6.5652823394499222</v>
      </c>
      <c r="DH72" s="4">
        <f t="shared" si="221"/>
        <v>0.38864795385977591</v>
      </c>
      <c r="DI72" s="4">
        <f t="shared" si="149"/>
        <v>4.4985853216219667</v>
      </c>
      <c r="DJ72" s="4">
        <f t="shared" si="150"/>
        <v>5.6279431202056429</v>
      </c>
      <c r="DK72" s="4">
        <f t="shared" si="186"/>
        <v>5.9380820517460586</v>
      </c>
      <c r="DL72" s="38" t="e">
        <f t="shared" si="187"/>
        <v>#REF!</v>
      </c>
      <c r="DM72" s="4" t="e">
        <f t="shared" si="151"/>
        <v>#REF!</v>
      </c>
      <c r="DN72" s="4">
        <f t="shared" si="222"/>
        <v>2.3874672772626644</v>
      </c>
      <c r="DO72" s="4">
        <f t="shared" si="152"/>
        <v>209.0162186423498</v>
      </c>
      <c r="DS72" s="4">
        <f t="shared" si="188"/>
        <v>0.85</v>
      </c>
      <c r="DT72" s="4">
        <f t="shared" si="189"/>
        <v>0.85000000000000009</v>
      </c>
      <c r="DU72" s="4">
        <f t="shared" si="190"/>
        <v>1</v>
      </c>
      <c r="DV72" s="4">
        <f t="shared" si="223"/>
        <v>0.85000000000000009</v>
      </c>
      <c r="DX72" s="4" t="e">
        <f t="shared" si="191"/>
        <v>#REF!</v>
      </c>
      <c r="DY72" s="25">
        <f t="shared" si="192"/>
        <v>206.15066426755152</v>
      </c>
      <c r="EA72" s="4">
        <f t="shared" si="224"/>
        <v>0.72250000000000003</v>
      </c>
      <c r="EB72" s="4">
        <f t="shared" si="159"/>
        <v>6.5652823394499222</v>
      </c>
      <c r="EC72" s="4">
        <f t="shared" si="193"/>
        <v>5.9197837798352051</v>
      </c>
      <c r="EE72" s="4">
        <f t="shared" si="194"/>
        <v>60.641668842471674</v>
      </c>
      <c r="EF72" s="4">
        <f t="shared" si="235"/>
        <v>2.3874672772626644</v>
      </c>
      <c r="EG72" s="4">
        <f t="shared" si="195"/>
        <v>0.11042655740559822</v>
      </c>
      <c r="EJ72" s="4">
        <f t="shared" si="263"/>
        <v>0.11042655740559822</v>
      </c>
      <c r="EK72" s="4">
        <f t="shared" si="196"/>
        <v>0.387999372858916</v>
      </c>
      <c r="EL72" s="4">
        <f t="shared" si="237"/>
        <v>4.4955808966964188</v>
      </c>
      <c r="EM72" s="4">
        <f t="shared" si="296"/>
        <v>5.6267446669320007</v>
      </c>
      <c r="EN72" s="4">
        <f t="shared" si="239"/>
        <v>225.10833115752831</v>
      </c>
      <c r="EO72" s="4">
        <f t="shared" si="240"/>
        <v>95.25</v>
      </c>
      <c r="EP72" s="4">
        <f t="shared" si="197"/>
        <v>2.6209296574030622E-5</v>
      </c>
      <c r="EQ72" s="4">
        <f t="shared" si="297"/>
        <v>5.9382350875445296</v>
      </c>
      <c r="ER72" s="4" t="e">
        <f t="shared" si="198"/>
        <v>#REF!</v>
      </c>
      <c r="ES72" s="4" t="e">
        <f t="shared" si="242"/>
        <v>#REF!</v>
      </c>
      <c r="ET72" s="4" t="e">
        <f t="shared" si="243"/>
        <v>#REF!</v>
      </c>
      <c r="EV72" s="4" t="e">
        <f t="shared" si="199"/>
        <v>#REF!</v>
      </c>
      <c r="FA72" s="23" t="e">
        <f t="shared" si="277"/>
        <v>#REF!</v>
      </c>
      <c r="FB72" s="23" t="e">
        <f t="shared" si="278"/>
        <v>#REF!</v>
      </c>
      <c r="FC72" s="23">
        <f t="shared" si="290"/>
        <v>1.6</v>
      </c>
      <c r="FD72" s="23" t="e">
        <f t="shared" si="279"/>
        <v>#REF!</v>
      </c>
      <c r="FE72" s="23" t="e">
        <f t="shared" si="280"/>
        <v>#REF!</v>
      </c>
      <c r="FF72" s="23" t="e">
        <f t="shared" si="281"/>
        <v>#REF!</v>
      </c>
      <c r="FG72" s="23" t="e">
        <f t="shared" si="282"/>
        <v>#REF!</v>
      </c>
      <c r="FH72" s="23"/>
      <c r="FR72" s="4">
        <f t="shared" si="140"/>
        <v>1</v>
      </c>
      <c r="FS72" s="4">
        <f t="shared" si="141"/>
        <v>1.0833333333333333</v>
      </c>
      <c r="FT72" s="4">
        <f t="shared" si="142"/>
        <v>0</v>
      </c>
      <c r="FU72" s="4">
        <f t="shared" si="143"/>
        <v>314.72616545723344</v>
      </c>
    </row>
    <row r="73" spans="2:179" ht="12" customHeight="1" x14ac:dyDescent="0.3">
      <c r="B73" s="24"/>
      <c r="C73" s="7" t="s">
        <v>282</v>
      </c>
      <c r="D73" s="7">
        <v>472</v>
      </c>
      <c r="E73" s="7">
        <f t="shared" si="264"/>
        <v>381</v>
      </c>
      <c r="F73" s="7">
        <v>21</v>
      </c>
      <c r="G73" s="7">
        <v>25.4</v>
      </c>
      <c r="H73" s="7">
        <f t="shared" si="200"/>
        <v>152.39999999999998</v>
      </c>
      <c r="I73" s="7">
        <f t="shared" si="160"/>
        <v>63.499999999999986</v>
      </c>
      <c r="J73" s="7">
        <f t="shared" si="201"/>
        <v>50.8</v>
      </c>
      <c r="K73" s="7">
        <v>0</v>
      </c>
      <c r="L73" s="7">
        <v>1</v>
      </c>
      <c r="M73" s="7">
        <f t="shared" si="202"/>
        <v>88.899999999999991</v>
      </c>
      <c r="N73" s="7">
        <f t="shared" si="161"/>
        <v>2.9999999999999996</v>
      </c>
      <c r="O73" s="7">
        <f t="shared" si="203"/>
        <v>4</v>
      </c>
      <c r="P73" s="7">
        <v>10.39</v>
      </c>
      <c r="Q73" s="7">
        <f t="shared" si="227"/>
        <v>10.39</v>
      </c>
      <c r="R73" s="7">
        <f t="shared" si="162"/>
        <v>11.39</v>
      </c>
      <c r="S73" s="7">
        <f t="shared" si="163"/>
        <v>85.722648115885917</v>
      </c>
      <c r="T73" s="7"/>
      <c r="U73" s="7"/>
      <c r="V73" s="7">
        <v>376</v>
      </c>
      <c r="W73" s="7"/>
      <c r="X73" s="7"/>
      <c r="Y73" s="7"/>
      <c r="Z73" s="7"/>
      <c r="AA73" s="7">
        <v>1</v>
      </c>
      <c r="AB73" s="7"/>
      <c r="AC73" s="7"/>
      <c r="AD73" s="7"/>
      <c r="AE73" s="4">
        <f t="shared" si="252"/>
        <v>381</v>
      </c>
      <c r="AF73" s="44">
        <f t="shared" si="204"/>
        <v>5.9259259259259248E-2</v>
      </c>
      <c r="AG73" s="25">
        <f t="shared" si="164"/>
        <v>672.57356899470892</v>
      </c>
      <c r="AH73" s="4">
        <f t="shared" si="165"/>
        <v>0.74</v>
      </c>
      <c r="AI73" s="4">
        <v>1.25</v>
      </c>
      <c r="AJ73" s="25">
        <f t="shared" si="146"/>
        <v>5</v>
      </c>
      <c r="AK73" s="38">
        <f t="shared" si="205"/>
        <v>184.3349781689202</v>
      </c>
      <c r="AL73" s="38">
        <f t="shared" si="148"/>
        <v>184.3349781689202</v>
      </c>
      <c r="AN73" s="38">
        <f t="shared" si="158"/>
        <v>184.33497816892</v>
      </c>
      <c r="AO73" s="38">
        <f t="shared" si="87"/>
        <v>1.0000000000000011</v>
      </c>
      <c r="AP73" s="38">
        <f t="shared" si="206"/>
        <v>2.4970556966813486</v>
      </c>
      <c r="AQ73" s="4">
        <f t="shared" si="228"/>
        <v>0</v>
      </c>
      <c r="AR73" s="4" t="e">
        <f>#REF!/G73*F73^0.5/0.19</f>
        <v>#REF!</v>
      </c>
      <c r="AS73" s="4">
        <f t="shared" si="166"/>
        <v>1.1333333333333333</v>
      </c>
      <c r="AT73" s="38">
        <f t="shared" si="167"/>
        <v>460.29470733433374</v>
      </c>
      <c r="AU73" s="4">
        <f t="shared" si="168"/>
        <v>0.3</v>
      </c>
      <c r="AV73" s="4" t="e">
        <f>AU73*D73*#REF!/(D73*G73/2.75/F73^0.5)</f>
        <v>#REF!</v>
      </c>
      <c r="AW73" s="4" t="e">
        <f t="shared" si="207"/>
        <v>#REF!</v>
      </c>
      <c r="AY73" s="36">
        <f t="shared" si="169"/>
        <v>1.1000000000000001</v>
      </c>
      <c r="AZ73" s="36" t="e">
        <f>(1.6*#REF!+22)*AY73*F73^0.5</f>
        <v>#REF!</v>
      </c>
      <c r="BE73" s="4">
        <f t="shared" si="170"/>
        <v>63.499999999999986</v>
      </c>
      <c r="BF73" s="4">
        <f t="shared" si="171"/>
        <v>63.499999999999986</v>
      </c>
      <c r="BG73" s="4">
        <f t="shared" si="172"/>
        <v>88.899999999999991</v>
      </c>
      <c r="BH73" s="4">
        <f t="shared" si="173"/>
        <v>76.199999999999989</v>
      </c>
      <c r="BI73" s="4">
        <f t="shared" si="229"/>
        <v>1.04</v>
      </c>
      <c r="BJ73" s="25">
        <f t="shared" si="174"/>
        <v>3.1199999999999997</v>
      </c>
      <c r="BL73" s="4">
        <f t="shared" si="175"/>
        <v>63.499999999999986</v>
      </c>
      <c r="BP73" s="9"/>
      <c r="BR73" s="9"/>
      <c r="BS73" s="9"/>
      <c r="BT73" s="9">
        <f t="shared" si="176"/>
        <v>50.8</v>
      </c>
      <c r="BU73" s="9">
        <f t="shared" si="177"/>
        <v>63.499999999999986</v>
      </c>
      <c r="BV73" s="9">
        <f t="shared" si="178"/>
        <v>1.4623505735569622</v>
      </c>
      <c r="BW73" s="9">
        <v>0</v>
      </c>
      <c r="BX73" s="9">
        <f t="shared" si="179"/>
        <v>0</v>
      </c>
      <c r="BY73" s="9">
        <f t="shared" si="208"/>
        <v>0</v>
      </c>
      <c r="BZ73" s="9">
        <f t="shared" si="180"/>
        <v>0.99524931562137331</v>
      </c>
      <c r="CA73" s="9">
        <f t="shared" si="181"/>
        <v>1.056</v>
      </c>
      <c r="CB73" s="9">
        <f t="shared" si="182"/>
        <v>1.6856736478198622</v>
      </c>
      <c r="CC73" s="9">
        <f t="shared" si="183"/>
        <v>2.465045825719232</v>
      </c>
      <c r="CD73" s="9">
        <v>1</v>
      </c>
      <c r="CE73" s="9" t="e">
        <f>4*CC73*#REF!+60*CC73</f>
        <v>#REF!</v>
      </c>
      <c r="CG73" s="4" t="e">
        <f t="shared" si="265"/>
        <v>#REF!</v>
      </c>
      <c r="CH73" s="4" t="e">
        <f t="shared" si="266"/>
        <v>#REF!</v>
      </c>
      <c r="CI73" s="4" t="e">
        <f t="shared" si="267"/>
        <v>#REF!</v>
      </c>
      <c r="CJ73" s="4" t="e">
        <f t="shared" si="268"/>
        <v>#REF!</v>
      </c>
      <c r="CK73" s="4" t="e">
        <f t="shared" si="269"/>
        <v>#REF!</v>
      </c>
      <c r="CL73" s="4" t="e">
        <f t="shared" si="270"/>
        <v>#REF!</v>
      </c>
      <c r="CM73" s="4">
        <f t="shared" si="215"/>
        <v>1.2721581713304984</v>
      </c>
      <c r="CO73" s="4" t="e">
        <f t="shared" si="271"/>
        <v>#REF!</v>
      </c>
      <c r="CP73" s="4" t="e">
        <f t="shared" si="272"/>
        <v>#REF!</v>
      </c>
      <c r="CQ73" s="4" t="e">
        <f t="shared" si="273"/>
        <v>#REF!</v>
      </c>
      <c r="CR73" s="4">
        <f t="shared" si="274"/>
        <v>1.2721581713304984</v>
      </c>
      <c r="CS73" s="4" t="e">
        <f t="shared" si="275"/>
        <v>#REF!</v>
      </c>
      <c r="CT73" s="4" t="e">
        <f t="shared" si="276"/>
        <v>#REF!</v>
      </c>
      <c r="DB73" s="4">
        <f t="shared" si="232"/>
        <v>0</v>
      </c>
      <c r="DC73" s="4">
        <f t="shared" si="184"/>
        <v>381</v>
      </c>
      <c r="DD73" s="4" t="e">
        <f>#REF!/E73</f>
        <v>#REF!</v>
      </c>
      <c r="DF73" s="4">
        <f t="shared" si="185"/>
        <v>2.5033311258542346E-5</v>
      </c>
      <c r="DG73" s="4">
        <f t="shared" si="233"/>
        <v>5.7900347857029448</v>
      </c>
      <c r="DH73" s="4">
        <f t="shared" si="221"/>
        <v>0.28179635085873361</v>
      </c>
      <c r="DI73" s="4">
        <f t="shared" si="149"/>
        <v>3.4886332753232305</v>
      </c>
      <c r="DJ73" s="4">
        <f t="shared" si="150"/>
        <v>4.7807278468599366</v>
      </c>
      <c r="DK73" s="4">
        <f t="shared" si="186"/>
        <v>5.3522375648153364</v>
      </c>
      <c r="DL73" s="38" t="e">
        <f t="shared" si="187"/>
        <v>#REF!</v>
      </c>
      <c r="DM73" s="4" t="e">
        <f t="shared" si="151"/>
        <v>#REF!</v>
      </c>
      <c r="DN73" s="4">
        <f t="shared" si="222"/>
        <v>3.3749074061372411</v>
      </c>
      <c r="DO73" s="4">
        <f t="shared" si="152"/>
        <v>184.33497816892</v>
      </c>
      <c r="DS73" s="4">
        <f t="shared" si="188"/>
        <v>0.85</v>
      </c>
      <c r="DT73" s="4">
        <f t="shared" si="189"/>
        <v>0.85000000000000009</v>
      </c>
      <c r="DU73" s="4">
        <f t="shared" si="190"/>
        <v>1</v>
      </c>
      <c r="DV73" s="4">
        <f t="shared" si="223"/>
        <v>0.85000000000000009</v>
      </c>
      <c r="DX73" s="4" t="e">
        <f t="shared" si="191"/>
        <v>#REF!</v>
      </c>
      <c r="DY73" s="25">
        <f t="shared" si="192"/>
        <v>181.80779675423688</v>
      </c>
      <c r="EA73" s="4">
        <f t="shared" si="224"/>
        <v>0.72250000000000003</v>
      </c>
      <c r="EB73" s="4">
        <f t="shared" si="159"/>
        <v>5.7900347857029448</v>
      </c>
      <c r="EC73" s="4">
        <f t="shared" si="193"/>
        <v>5.2207585655726314</v>
      </c>
      <c r="EE73" s="4">
        <f t="shared" si="194"/>
        <v>85.722648115885917</v>
      </c>
      <c r="EF73" s="4">
        <f t="shared" si="235"/>
        <v>3.3749074061372411</v>
      </c>
      <c r="EG73" s="4">
        <f t="shared" si="195"/>
        <v>7.0612286989729281E-2</v>
      </c>
      <c r="EJ73" s="4">
        <f t="shared" si="263"/>
        <v>7.0612286989729281E-2</v>
      </c>
      <c r="EK73" s="4">
        <f t="shared" si="196"/>
        <v>0.28132608526885078</v>
      </c>
      <c r="EL73" s="4">
        <f t="shared" si="237"/>
        <v>3.4863033569113027</v>
      </c>
      <c r="EM73" s="4">
        <f t="shared" si="296"/>
        <v>4.7798816002491602</v>
      </c>
      <c r="EN73" s="4">
        <f t="shared" si="239"/>
        <v>200.02735188411407</v>
      </c>
      <c r="EO73" s="4">
        <f t="shared" si="240"/>
        <v>95.25</v>
      </c>
      <c r="EP73" s="4">
        <f t="shared" si="197"/>
        <v>2.5033311258542346E-5</v>
      </c>
      <c r="EQ73" s="4">
        <f t="shared" si="297"/>
        <v>5.3523430763972728</v>
      </c>
      <c r="ER73" s="4" t="e">
        <f t="shared" si="198"/>
        <v>#REF!</v>
      </c>
      <c r="ES73" s="4" t="e">
        <f t="shared" si="242"/>
        <v>#REF!</v>
      </c>
      <c r="ET73" s="4" t="e">
        <f t="shared" si="243"/>
        <v>#REF!</v>
      </c>
      <c r="EV73" s="4" t="e">
        <f t="shared" si="199"/>
        <v>#REF!</v>
      </c>
      <c r="FA73" s="23" t="e">
        <f t="shared" si="277"/>
        <v>#REF!</v>
      </c>
      <c r="FB73" s="23" t="e">
        <f t="shared" si="278"/>
        <v>#REF!</v>
      </c>
      <c r="FC73" s="23">
        <f t="shared" si="290"/>
        <v>1.4</v>
      </c>
      <c r="FD73" s="23" t="e">
        <f t="shared" si="279"/>
        <v>#REF!</v>
      </c>
      <c r="FE73" s="23" t="e">
        <f t="shared" si="280"/>
        <v>#REF!</v>
      </c>
      <c r="FF73" s="23" t="e">
        <f t="shared" si="281"/>
        <v>#REF!</v>
      </c>
      <c r="FG73" s="23" t="e">
        <f t="shared" si="282"/>
        <v>#REF!</v>
      </c>
      <c r="FH73" s="23"/>
      <c r="FR73" s="4">
        <f t="shared" si="140"/>
        <v>1</v>
      </c>
      <c r="FS73" s="4">
        <f t="shared" si="141"/>
        <v>1.0833333333333333</v>
      </c>
      <c r="FT73" s="4">
        <f t="shared" si="142"/>
        <v>0</v>
      </c>
      <c r="FU73" s="4">
        <f t="shared" si="143"/>
        <v>295.56073173413409</v>
      </c>
    </row>
    <row r="74" spans="2:179" ht="12" customHeight="1" x14ac:dyDescent="0.3">
      <c r="B74" s="24"/>
      <c r="C74" s="7" t="s">
        <v>282</v>
      </c>
      <c r="D74" s="7">
        <v>472</v>
      </c>
      <c r="E74" s="7">
        <f t="shared" si="264"/>
        <v>381</v>
      </c>
      <c r="F74" s="7">
        <v>26</v>
      </c>
      <c r="G74" s="7">
        <v>25.4</v>
      </c>
      <c r="H74" s="7">
        <f t="shared" si="200"/>
        <v>152.39999999999998</v>
      </c>
      <c r="I74" s="7">
        <f t="shared" si="160"/>
        <v>63.499999999999986</v>
      </c>
      <c r="J74" s="7">
        <f t="shared" si="201"/>
        <v>50.8</v>
      </c>
      <c r="K74" s="7">
        <v>0</v>
      </c>
      <c r="L74" s="7">
        <v>1</v>
      </c>
      <c r="M74" s="7">
        <f t="shared" si="202"/>
        <v>88.899999999999991</v>
      </c>
      <c r="N74" s="7">
        <f t="shared" si="161"/>
        <v>2.9999999999999996</v>
      </c>
      <c r="O74" s="7">
        <f t="shared" si="203"/>
        <v>4</v>
      </c>
      <c r="P74" s="7">
        <v>10.39</v>
      </c>
      <c r="Q74" s="7">
        <f t="shared" si="227"/>
        <v>10.39</v>
      </c>
      <c r="R74" s="7">
        <f t="shared" si="162"/>
        <v>11.39</v>
      </c>
      <c r="S74" s="7">
        <f t="shared" si="163"/>
        <v>85.722648115885917</v>
      </c>
      <c r="T74" s="7"/>
      <c r="U74" s="7"/>
      <c r="V74" s="7">
        <v>460</v>
      </c>
      <c r="W74" s="7"/>
      <c r="X74" s="7"/>
      <c r="Y74" s="7"/>
      <c r="Z74" s="7"/>
      <c r="AA74" s="7">
        <v>1</v>
      </c>
      <c r="AB74" s="7"/>
      <c r="AC74" s="7"/>
      <c r="AD74" s="7"/>
      <c r="AE74" s="4">
        <f t="shared" si="252"/>
        <v>381</v>
      </c>
      <c r="AF74" s="44">
        <f t="shared" si="204"/>
        <v>5.9259259259259248E-2</v>
      </c>
      <c r="AG74" s="25">
        <f t="shared" si="164"/>
        <v>748.37078117567501</v>
      </c>
      <c r="AH74" s="4">
        <f t="shared" si="165"/>
        <v>0.74</v>
      </c>
      <c r="AI74" s="4">
        <v>1.25</v>
      </c>
      <c r="AJ74" s="25">
        <f t="shared" si="146"/>
        <v>5</v>
      </c>
      <c r="AK74" s="38">
        <f t="shared" si="205"/>
        <v>205.10902891481459</v>
      </c>
      <c r="AL74" s="38">
        <f t="shared" si="148"/>
        <v>205.10902891481459</v>
      </c>
      <c r="AN74" s="38">
        <f t="shared" si="158"/>
        <v>205.10902891481439</v>
      </c>
      <c r="AO74" s="38">
        <f t="shared" si="87"/>
        <v>1.0000000000000009</v>
      </c>
      <c r="AP74" s="38">
        <f t="shared" si="206"/>
        <v>2.7784670830252196</v>
      </c>
      <c r="AQ74" s="4">
        <f t="shared" si="228"/>
        <v>0</v>
      </c>
      <c r="AR74" s="4" t="e">
        <f>#REF!/G74*F74^0.5/0.19</f>
        <v>#REF!</v>
      </c>
      <c r="AS74" s="4">
        <f t="shared" si="166"/>
        <v>1.1333333333333333</v>
      </c>
      <c r="AT74" s="38">
        <f t="shared" si="167"/>
        <v>569.88868527107979</v>
      </c>
      <c r="AU74" s="4">
        <f t="shared" si="168"/>
        <v>0.3</v>
      </c>
      <c r="AV74" s="4" t="e">
        <f>AU74*D74*#REF!/(D74*G74/2.75/F74^0.5)</f>
        <v>#REF!</v>
      </c>
      <c r="AW74" s="4" t="e">
        <f t="shared" si="207"/>
        <v>#REF!</v>
      </c>
      <c r="AY74" s="36">
        <f t="shared" si="169"/>
        <v>1.1000000000000001</v>
      </c>
      <c r="AZ74" s="36" t="e">
        <f>(1.6*#REF!+22)*AY74*F74^0.5</f>
        <v>#REF!</v>
      </c>
      <c r="BE74" s="4">
        <f t="shared" si="170"/>
        <v>63.499999999999986</v>
      </c>
      <c r="BF74" s="4">
        <f t="shared" si="171"/>
        <v>63.499999999999986</v>
      </c>
      <c r="BG74" s="4">
        <f t="shared" si="172"/>
        <v>88.899999999999991</v>
      </c>
      <c r="BH74" s="4">
        <f t="shared" si="173"/>
        <v>76.199999999999989</v>
      </c>
      <c r="BI74" s="4">
        <f t="shared" si="229"/>
        <v>1.04</v>
      </c>
      <c r="BJ74" s="25">
        <f t="shared" si="174"/>
        <v>3.1199999999999997</v>
      </c>
      <c r="BL74" s="4">
        <f t="shared" si="175"/>
        <v>63.499999999999986</v>
      </c>
      <c r="BP74" s="9"/>
      <c r="BR74" s="9"/>
      <c r="BS74" s="9"/>
      <c r="BT74" s="9">
        <f t="shared" si="176"/>
        <v>50.8</v>
      </c>
      <c r="BU74" s="9">
        <f t="shared" si="177"/>
        <v>63.499999999999986</v>
      </c>
      <c r="BV74" s="9">
        <f t="shared" si="178"/>
        <v>1.4623505735569622</v>
      </c>
      <c r="BW74" s="9">
        <v>0</v>
      </c>
      <c r="BX74" s="9">
        <f t="shared" si="179"/>
        <v>0</v>
      </c>
      <c r="BY74" s="9">
        <f t="shared" si="208"/>
        <v>0</v>
      </c>
      <c r="BZ74" s="9">
        <f t="shared" si="180"/>
        <v>0.99524931562137331</v>
      </c>
      <c r="CA74" s="9">
        <f t="shared" si="181"/>
        <v>1.056</v>
      </c>
      <c r="CB74" s="9">
        <f t="shared" si="182"/>
        <v>1.8756444837875041</v>
      </c>
      <c r="CC74" s="9">
        <f t="shared" si="183"/>
        <v>2.7428497866556087</v>
      </c>
      <c r="CD74" s="9">
        <v>1</v>
      </c>
      <c r="CE74" s="9" t="e">
        <f>4*CC74*#REF!+60*CC74</f>
        <v>#REF!</v>
      </c>
      <c r="CG74" s="4" t="e">
        <f t="shared" si="265"/>
        <v>#REF!</v>
      </c>
      <c r="CH74" s="4" t="e">
        <f t="shared" si="266"/>
        <v>#REF!</v>
      </c>
      <c r="CI74" s="4" t="e">
        <f t="shared" si="267"/>
        <v>#REF!</v>
      </c>
      <c r="CJ74" s="4" t="e">
        <f t="shared" si="268"/>
        <v>#REF!</v>
      </c>
      <c r="CK74" s="4" t="e">
        <f t="shared" si="269"/>
        <v>#REF!</v>
      </c>
      <c r="CL74" s="4" t="e">
        <f t="shared" si="270"/>
        <v>#REF!</v>
      </c>
      <c r="CM74" s="4">
        <f t="shared" si="215"/>
        <v>1.4754435061569753</v>
      </c>
      <c r="CO74" s="4" t="e">
        <f t="shared" si="271"/>
        <v>#REF!</v>
      </c>
      <c r="CP74" s="4" t="e">
        <f t="shared" si="272"/>
        <v>#REF!</v>
      </c>
      <c r="CQ74" s="4" t="e">
        <f t="shared" si="273"/>
        <v>#REF!</v>
      </c>
      <c r="CR74" s="4">
        <f t="shared" si="274"/>
        <v>1.4754435061569753</v>
      </c>
      <c r="CS74" s="4" t="e">
        <f t="shared" si="275"/>
        <v>#REF!</v>
      </c>
      <c r="CT74" s="4" t="e">
        <f t="shared" si="276"/>
        <v>#REF!</v>
      </c>
      <c r="DB74" s="4">
        <f t="shared" si="232"/>
        <v>0</v>
      </c>
      <c r="DC74" s="4">
        <f t="shared" si="184"/>
        <v>381</v>
      </c>
      <c r="DD74" s="4" t="e">
        <f>#REF!/E74</f>
        <v>#REF!</v>
      </c>
      <c r="DF74" s="4">
        <f t="shared" si="185"/>
        <v>2.6015824312812745E-5</v>
      </c>
      <c r="DG74" s="4">
        <f t="shared" si="233"/>
        <v>6.4425559602163514</v>
      </c>
      <c r="DH74" s="4">
        <f t="shared" si="221"/>
        <v>0.25325518071269149</v>
      </c>
      <c r="DI74" s="4">
        <f t="shared" si="149"/>
        <v>3.7194740651305009</v>
      </c>
      <c r="DJ74" s="4">
        <f t="shared" si="150"/>
        <v>5.2614836149260835</v>
      </c>
      <c r="DK74" s="4">
        <f t="shared" si="186"/>
        <v>5.8888646217889873</v>
      </c>
      <c r="DL74" s="38" t="e">
        <f t="shared" si="187"/>
        <v>#REF!</v>
      </c>
      <c r="DM74" s="4" t="e">
        <f t="shared" si="151"/>
        <v>#REF!</v>
      </c>
      <c r="DN74" s="4">
        <f t="shared" si="222"/>
        <v>3.3749074061372411</v>
      </c>
      <c r="DO74" s="4">
        <f t="shared" si="152"/>
        <v>205.10902891481439</v>
      </c>
      <c r="DS74" s="4">
        <f t="shared" si="188"/>
        <v>0.85</v>
      </c>
      <c r="DT74" s="4">
        <f t="shared" si="189"/>
        <v>0.85000000000000009</v>
      </c>
      <c r="DU74" s="4">
        <f t="shared" si="190"/>
        <v>1</v>
      </c>
      <c r="DV74" s="4">
        <f t="shared" si="223"/>
        <v>0.85000000000000009</v>
      </c>
      <c r="DX74" s="4" t="e">
        <f t="shared" si="191"/>
        <v>#REF!</v>
      </c>
      <c r="DY74" s="25">
        <f t="shared" si="192"/>
        <v>202.29704102729465</v>
      </c>
      <c r="EA74" s="4">
        <f t="shared" si="224"/>
        <v>0.72250000000000003</v>
      </c>
      <c r="EB74" s="4">
        <f t="shared" si="159"/>
        <v>6.4425559602163514</v>
      </c>
      <c r="EC74" s="4">
        <f t="shared" si="193"/>
        <v>5.8091238582078786</v>
      </c>
      <c r="EE74" s="4">
        <f t="shared" si="194"/>
        <v>85.722648115885917</v>
      </c>
      <c r="EF74" s="4">
        <f t="shared" si="235"/>
        <v>3.3749074061372411</v>
      </c>
      <c r="EG74" s="4">
        <f t="shared" si="195"/>
        <v>7.0612286989729267E-2</v>
      </c>
      <c r="EJ74" s="4">
        <f t="shared" si="263"/>
        <v>7.0612286989729267E-2</v>
      </c>
      <c r="EK74" s="4">
        <f t="shared" si="196"/>
        <v>0.25283254501643132</v>
      </c>
      <c r="EL74" s="4">
        <f t="shared" si="237"/>
        <v>3.7169899774024113</v>
      </c>
      <c r="EM74" s="4">
        <f t="shared" si="296"/>
        <v>5.2606106739009268</v>
      </c>
      <c r="EN74" s="4">
        <f t="shared" si="239"/>
        <v>200.02735188411407</v>
      </c>
      <c r="EO74" s="4">
        <f t="shared" si="240"/>
        <v>95.25</v>
      </c>
      <c r="EP74" s="4">
        <f t="shared" si="197"/>
        <v>2.6015824312812745E-5</v>
      </c>
      <c r="EQ74" s="4">
        <f t="shared" si="297"/>
        <v>5.8889924951648212</v>
      </c>
      <c r="ER74" s="4" t="e">
        <f t="shared" si="198"/>
        <v>#REF!</v>
      </c>
      <c r="ES74" s="4" t="e">
        <f t="shared" si="242"/>
        <v>#REF!</v>
      </c>
      <c r="ET74" s="4" t="e">
        <f t="shared" si="243"/>
        <v>#REF!</v>
      </c>
      <c r="EV74" s="4" t="e">
        <f t="shared" si="199"/>
        <v>#REF!</v>
      </c>
      <c r="FA74" s="23" t="e">
        <f t="shared" si="277"/>
        <v>#REF!</v>
      </c>
      <c r="FB74" s="23" t="e">
        <f t="shared" si="278"/>
        <v>#REF!</v>
      </c>
      <c r="FC74" s="23">
        <f t="shared" si="290"/>
        <v>1.6</v>
      </c>
      <c r="FD74" s="23" t="e">
        <f t="shared" si="279"/>
        <v>#REF!</v>
      </c>
      <c r="FE74" s="23" t="e">
        <f t="shared" si="280"/>
        <v>#REF!</v>
      </c>
      <c r="FF74" s="23" t="e">
        <f t="shared" si="281"/>
        <v>#REF!</v>
      </c>
      <c r="FG74" s="23" t="e">
        <f t="shared" si="282"/>
        <v>#REF!</v>
      </c>
      <c r="FH74" s="23"/>
      <c r="FR74" s="4">
        <f t="shared" si="140"/>
        <v>1</v>
      </c>
      <c r="FS74" s="4">
        <f t="shared" si="141"/>
        <v>1.0833333333333333</v>
      </c>
      <c r="FT74" s="4">
        <f t="shared" si="142"/>
        <v>0</v>
      </c>
      <c r="FU74" s="4">
        <f t="shared" si="143"/>
        <v>311.77066290944771</v>
      </c>
      <c r="FW74" s="4">
        <f>60000/145</f>
        <v>413.79310344827587</v>
      </c>
    </row>
    <row r="75" spans="2:179" ht="12" customHeight="1" x14ac:dyDescent="0.3">
      <c r="B75" s="24"/>
      <c r="C75" s="7" t="s">
        <v>273</v>
      </c>
      <c r="D75" s="7">
        <v>472</v>
      </c>
      <c r="E75" s="7">
        <f>25*25.4</f>
        <v>635</v>
      </c>
      <c r="F75" s="7">
        <v>28</v>
      </c>
      <c r="G75" s="7">
        <v>25.4</v>
      </c>
      <c r="H75" s="7">
        <f t="shared" si="200"/>
        <v>152.39999999999998</v>
      </c>
      <c r="I75" s="7">
        <f t="shared" si="160"/>
        <v>63.499999999999986</v>
      </c>
      <c r="J75" s="7">
        <f t="shared" si="201"/>
        <v>50.8</v>
      </c>
      <c r="K75" s="7">
        <v>0</v>
      </c>
      <c r="L75" s="7">
        <v>1</v>
      </c>
      <c r="M75" s="7">
        <f t="shared" si="202"/>
        <v>88.899999999999991</v>
      </c>
      <c r="N75" s="7">
        <f t="shared" si="161"/>
        <v>2.9999999999999996</v>
      </c>
      <c r="O75" s="7">
        <f t="shared" si="203"/>
        <v>4</v>
      </c>
      <c r="P75" s="7">
        <v>1.18</v>
      </c>
      <c r="Q75" s="7">
        <f t="shared" si="227"/>
        <v>1.18</v>
      </c>
      <c r="R75" s="7">
        <f t="shared" si="162"/>
        <v>2.1799999999999997</v>
      </c>
      <c r="S75" s="7">
        <f t="shared" si="163"/>
        <v>37.502650572992827</v>
      </c>
      <c r="T75" s="7"/>
      <c r="U75" s="7"/>
      <c r="V75" s="7">
        <v>412</v>
      </c>
      <c r="W75" s="7"/>
      <c r="X75" s="7"/>
      <c r="Y75" s="7"/>
      <c r="Z75" s="7"/>
      <c r="AA75" s="7">
        <v>1</v>
      </c>
      <c r="AB75" s="7"/>
      <c r="AC75" s="7"/>
      <c r="AD75" s="7"/>
      <c r="AE75" s="4">
        <f t="shared" si="252"/>
        <v>635</v>
      </c>
      <c r="AF75" s="44">
        <f t="shared" si="204"/>
        <v>2.1333333333333329E-2</v>
      </c>
      <c r="AG75" s="25">
        <f t="shared" si="164"/>
        <v>1671.0224668242358</v>
      </c>
      <c r="AH75" s="4">
        <f t="shared" si="165"/>
        <v>0.72399999999999998</v>
      </c>
      <c r="AI75" s="4">
        <v>1.25</v>
      </c>
      <c r="AJ75" s="25">
        <f t="shared" si="146"/>
        <v>5</v>
      </c>
      <c r="AK75" s="38">
        <f t="shared" si="205"/>
        <v>161.30936879743288</v>
      </c>
      <c r="AL75" s="38">
        <f t="shared" si="148"/>
        <v>161.30936879743288</v>
      </c>
      <c r="AN75" s="38">
        <f t="shared" si="158"/>
        <v>161.30936879743294</v>
      </c>
      <c r="AO75" s="38">
        <f t="shared" si="87"/>
        <v>0.99999999999999967</v>
      </c>
      <c r="AP75" s="38">
        <f t="shared" si="206"/>
        <v>1.2821781034440662</v>
      </c>
      <c r="AQ75" s="4">
        <f t="shared" si="228"/>
        <v>0</v>
      </c>
      <c r="AR75" s="4" t="e">
        <f>#REF!/G75*F75^0.5/0.19</f>
        <v>#REF!</v>
      </c>
      <c r="AS75" s="4">
        <f t="shared" si="166"/>
        <v>1.1333333333333333</v>
      </c>
      <c r="AT75" s="38">
        <f t="shared" si="167"/>
        <v>206.827340552452</v>
      </c>
      <c r="AU75" s="4">
        <f t="shared" si="168"/>
        <v>0.83479999999999999</v>
      </c>
      <c r="AV75" s="4" t="e">
        <f>AU75*D75*#REF!/(D75*G75/2.75/F75^0.5)</f>
        <v>#REF!</v>
      </c>
      <c r="AW75" s="4" t="e">
        <f t="shared" si="207"/>
        <v>#REF!</v>
      </c>
      <c r="AY75" s="36">
        <f t="shared" si="169"/>
        <v>1.1000000000000001</v>
      </c>
      <c r="AZ75" s="36" t="e">
        <f>(1.6*#REF!+22)*AY75*F75^0.5</f>
        <v>#REF!</v>
      </c>
      <c r="BE75" s="4">
        <f t="shared" si="170"/>
        <v>63.499999999999986</v>
      </c>
      <c r="BF75" s="4">
        <f t="shared" si="171"/>
        <v>63.499999999999986</v>
      </c>
      <c r="BG75" s="4">
        <f t="shared" si="172"/>
        <v>88.899999999999991</v>
      </c>
      <c r="BH75" s="4">
        <f t="shared" si="173"/>
        <v>76.199999999999989</v>
      </c>
      <c r="BI75" s="4">
        <f t="shared" si="229"/>
        <v>1.04</v>
      </c>
      <c r="BJ75" s="25">
        <f t="shared" si="174"/>
        <v>3.1199999999999997</v>
      </c>
      <c r="BL75" s="4">
        <f t="shared" si="175"/>
        <v>63.499999999999986</v>
      </c>
      <c r="BP75" s="9"/>
      <c r="BR75" s="9"/>
      <c r="BS75" s="9"/>
      <c r="BT75" s="9">
        <f t="shared" si="176"/>
        <v>50.8</v>
      </c>
      <c r="BU75" s="9">
        <f t="shared" si="177"/>
        <v>63.499999999999986</v>
      </c>
      <c r="BV75" s="9">
        <f t="shared" si="178"/>
        <v>1.4623505735569622</v>
      </c>
      <c r="BW75" s="9">
        <v>0</v>
      </c>
      <c r="BX75" s="9">
        <f t="shared" si="179"/>
        <v>0</v>
      </c>
      <c r="BY75" s="9">
        <f t="shared" si="208"/>
        <v>0</v>
      </c>
      <c r="BZ75" s="9">
        <f t="shared" si="180"/>
        <v>0.99524931562137331</v>
      </c>
      <c r="CA75" s="9">
        <f t="shared" si="181"/>
        <v>1.056</v>
      </c>
      <c r="CB75" s="9">
        <f t="shared" si="182"/>
        <v>1.9464482686693119</v>
      </c>
      <c r="CC75" s="9">
        <f t="shared" si="183"/>
        <v>2.8463897420875242</v>
      </c>
      <c r="CD75" s="9">
        <v>1</v>
      </c>
      <c r="CE75" s="9" t="e">
        <f>4*CC75*#REF!+60*CC75</f>
        <v>#REF!</v>
      </c>
      <c r="CG75" s="4" t="e">
        <f t="shared" si="265"/>
        <v>#REF!</v>
      </c>
      <c r="CH75" s="4" t="e">
        <f t="shared" si="266"/>
        <v>#REF!</v>
      </c>
      <c r="CI75" s="4" t="e">
        <f t="shared" si="267"/>
        <v>#REF!</v>
      </c>
      <c r="CJ75" s="4" t="e">
        <f t="shared" si="268"/>
        <v>#REF!</v>
      </c>
      <c r="CK75" s="4" t="e">
        <f t="shared" si="269"/>
        <v>#REF!</v>
      </c>
      <c r="CL75" s="4" t="e">
        <f t="shared" si="270"/>
        <v>#REF!</v>
      </c>
      <c r="CM75" s="4">
        <f t="shared" si="215"/>
        <v>0.778335876421405</v>
      </c>
      <c r="CO75" s="4" t="e">
        <f t="shared" si="271"/>
        <v>#REF!</v>
      </c>
      <c r="CP75" s="4" t="e">
        <f t="shared" si="272"/>
        <v>#REF!</v>
      </c>
      <c r="CQ75" s="4" t="e">
        <f t="shared" si="273"/>
        <v>#REF!</v>
      </c>
      <c r="CR75" s="4">
        <f t="shared" si="274"/>
        <v>0.778335876421405</v>
      </c>
      <c r="CS75" s="4" t="e">
        <f t="shared" si="275"/>
        <v>#REF!</v>
      </c>
      <c r="CT75" s="4" t="e">
        <f t="shared" si="276"/>
        <v>#REF!</v>
      </c>
      <c r="DB75" s="4">
        <f t="shared" si="232"/>
        <v>0</v>
      </c>
      <c r="DC75" s="4">
        <f t="shared" si="184"/>
        <v>635</v>
      </c>
      <c r="DD75" s="4" t="e">
        <f>#REF!/E75</f>
        <v>#REF!</v>
      </c>
      <c r="DF75" s="4">
        <f t="shared" si="185"/>
        <v>4.4003395705642358E-5</v>
      </c>
      <c r="DG75" s="4">
        <f t="shared" si="233"/>
        <v>6.6857562842857838</v>
      </c>
      <c r="DH75" s="4">
        <f t="shared" si="221"/>
        <v>0.71244016121952869</v>
      </c>
      <c r="DI75" s="4">
        <f t="shared" si="149"/>
        <v>5.8378092254880025</v>
      </c>
      <c r="DJ75" s="4">
        <f t="shared" si="150"/>
        <v>6.2761261130049659</v>
      </c>
      <c r="DK75" s="4">
        <f t="shared" si="186"/>
        <v>4.7164466615171561</v>
      </c>
      <c r="DL75" s="38" t="e">
        <f t="shared" si="187"/>
        <v>#REF!</v>
      </c>
      <c r="DM75" s="4" t="e">
        <f t="shared" si="151"/>
        <v>#REF!</v>
      </c>
      <c r="DN75" s="4">
        <f t="shared" si="222"/>
        <v>1.4764823060233399</v>
      </c>
      <c r="DO75" s="4">
        <f t="shared" si="152"/>
        <v>161.30936879743294</v>
      </c>
      <c r="DS75" s="4">
        <f t="shared" si="188"/>
        <v>0.85</v>
      </c>
      <c r="DT75" s="4">
        <f t="shared" si="189"/>
        <v>0.85000000000000009</v>
      </c>
      <c r="DU75" s="4">
        <f t="shared" si="190"/>
        <v>1</v>
      </c>
      <c r="DV75" s="4">
        <f t="shared" si="223"/>
        <v>0.85000000000000009</v>
      </c>
      <c r="DX75" s="4" t="e">
        <f t="shared" si="191"/>
        <v>#REF!</v>
      </c>
      <c r="DY75" s="25">
        <f t="shared" si="192"/>
        <v>159.65722173545257</v>
      </c>
      <c r="EA75" s="4">
        <f t="shared" si="224"/>
        <v>0.72250000000000003</v>
      </c>
      <c r="EB75" s="4">
        <f t="shared" si="159"/>
        <v>6.6857562842857838</v>
      </c>
      <c r="EC75" s="4">
        <f t="shared" si="193"/>
        <v>6.028412726414806</v>
      </c>
      <c r="EE75" s="4">
        <f t="shared" si="194"/>
        <v>37.502650572992827</v>
      </c>
      <c r="EF75" s="4">
        <f t="shared" si="235"/>
        <v>1.4764823060233399</v>
      </c>
      <c r="EG75" s="4">
        <f t="shared" si="195"/>
        <v>0.20614019109983853</v>
      </c>
      <c r="EJ75" s="4">
        <f t="shared" si="263"/>
        <v>0.20614019109983853</v>
      </c>
      <c r="EK75" s="4">
        <f t="shared" si="196"/>
        <v>0.71125123137124935</v>
      </c>
      <c r="EL75" s="4">
        <f t="shared" si="237"/>
        <v>5.8339103865656092</v>
      </c>
      <c r="EM75" s="4">
        <f t="shared" si="296"/>
        <v>6.2743133074683879</v>
      </c>
      <c r="EN75" s="4">
        <f t="shared" si="239"/>
        <v>438.74734942700718</v>
      </c>
      <c r="EO75" s="4">
        <f t="shared" si="240"/>
        <v>158.75</v>
      </c>
      <c r="EP75" s="4">
        <f t="shared" si="197"/>
        <v>4.4003395705642358E-5</v>
      </c>
      <c r="EQ75" s="4">
        <f t="shared" si="297"/>
        <v>4.7169759597255663</v>
      </c>
      <c r="ER75" s="4" t="e">
        <f t="shared" si="198"/>
        <v>#REF!</v>
      </c>
      <c r="ES75" s="4" t="e">
        <f t="shared" si="242"/>
        <v>#REF!</v>
      </c>
      <c r="ET75" s="4" t="e">
        <f t="shared" si="243"/>
        <v>#REF!</v>
      </c>
      <c r="EV75" s="4" t="e">
        <f t="shared" si="199"/>
        <v>#REF!</v>
      </c>
      <c r="FA75" s="23" t="e">
        <f t="shared" si="277"/>
        <v>#REF!</v>
      </c>
      <c r="FB75" s="23" t="e">
        <f t="shared" si="278"/>
        <v>#REF!</v>
      </c>
      <c r="FC75" s="23">
        <f t="shared" si="290"/>
        <v>0.8</v>
      </c>
      <c r="FD75" s="23" t="e">
        <f t="shared" si="279"/>
        <v>#REF!</v>
      </c>
      <c r="FE75" s="23" t="e">
        <f t="shared" si="280"/>
        <v>#REF!</v>
      </c>
      <c r="FF75" s="23" t="e">
        <f t="shared" si="281"/>
        <v>#REF!</v>
      </c>
      <c r="FG75" s="23" t="e">
        <f t="shared" si="282"/>
        <v>#REF!</v>
      </c>
      <c r="FH75" s="23"/>
      <c r="FR75" s="4">
        <f t="shared" si="140"/>
        <v>1</v>
      </c>
      <c r="FS75" s="4">
        <f t="shared" si="141"/>
        <v>1.0833333333333333</v>
      </c>
      <c r="FT75" s="4">
        <f t="shared" si="142"/>
        <v>0</v>
      </c>
      <c r="FU75" s="4">
        <f t="shared" si="143"/>
        <v>529.33445891544102</v>
      </c>
    </row>
    <row r="76" spans="2:179" ht="12" customHeight="1" x14ac:dyDescent="0.3">
      <c r="B76" s="24"/>
      <c r="C76" s="7" t="s">
        <v>274</v>
      </c>
      <c r="D76" s="7">
        <v>472</v>
      </c>
      <c r="E76" s="7">
        <f t="shared" ref="E76:E79" si="298">25*25.4</f>
        <v>635</v>
      </c>
      <c r="F76" s="7">
        <v>28</v>
      </c>
      <c r="G76" s="7">
        <v>25.4</v>
      </c>
      <c r="H76" s="7">
        <f t="shared" si="200"/>
        <v>152.39999999999998</v>
      </c>
      <c r="I76" s="7">
        <f t="shared" si="160"/>
        <v>63.499999999999986</v>
      </c>
      <c r="J76" s="7">
        <f t="shared" si="201"/>
        <v>50.8</v>
      </c>
      <c r="K76" s="7">
        <v>0</v>
      </c>
      <c r="L76" s="7">
        <v>1</v>
      </c>
      <c r="M76" s="7">
        <f t="shared" si="202"/>
        <v>88.899999999999991</v>
      </c>
      <c r="N76" s="7">
        <f t="shared" si="161"/>
        <v>2.9999999999999996</v>
      </c>
      <c r="O76" s="7">
        <f t="shared" si="203"/>
        <v>4</v>
      </c>
      <c r="P76" s="7">
        <v>1.85</v>
      </c>
      <c r="Q76" s="7">
        <f t="shared" si="227"/>
        <v>1.85</v>
      </c>
      <c r="R76" s="7">
        <f t="shared" si="162"/>
        <v>2.85</v>
      </c>
      <c r="S76" s="7">
        <f t="shared" si="163"/>
        <v>42.880135260980694</v>
      </c>
      <c r="T76" s="7"/>
      <c r="U76" s="7"/>
      <c r="V76" s="7">
        <v>472</v>
      </c>
      <c r="W76" s="7"/>
      <c r="X76" s="7"/>
      <c r="Y76" s="7"/>
      <c r="Z76" s="7"/>
      <c r="AA76" s="7">
        <v>1</v>
      </c>
      <c r="AB76" s="7"/>
      <c r="AC76" s="7"/>
      <c r="AD76" s="7"/>
      <c r="AE76" s="4">
        <f t="shared" si="252"/>
        <v>635</v>
      </c>
      <c r="AF76" s="44">
        <f t="shared" si="204"/>
        <v>2.1333333333333329E-2</v>
      </c>
      <c r="AG76" s="25">
        <f t="shared" si="164"/>
        <v>1671.0224668242358</v>
      </c>
      <c r="AH76" s="4">
        <f t="shared" si="165"/>
        <v>0.72399999999999998</v>
      </c>
      <c r="AI76" s="4">
        <v>1.25</v>
      </c>
      <c r="AJ76" s="25">
        <f t="shared" si="146"/>
        <v>5</v>
      </c>
      <c r="AK76" s="38">
        <f t="shared" si="205"/>
        <v>161.30936879743288</v>
      </c>
      <c r="AL76" s="38">
        <f t="shared" si="148"/>
        <v>161.30936879743288</v>
      </c>
      <c r="AN76" s="38">
        <f t="shared" si="158"/>
        <v>161.30936879743294</v>
      </c>
      <c r="AO76" s="38">
        <f t="shared" si="87"/>
        <v>0.99999999999999967</v>
      </c>
      <c r="AP76" s="38">
        <f t="shared" si="206"/>
        <v>1.6054368101305474</v>
      </c>
      <c r="AQ76" s="4">
        <f t="shared" si="228"/>
        <v>0</v>
      </c>
      <c r="AR76" s="4" t="e">
        <f>#REF!/G76*F76^0.5/0.19</f>
        <v>#REF!</v>
      </c>
      <c r="AS76" s="4">
        <f t="shared" si="166"/>
        <v>1.1333333333333333</v>
      </c>
      <c r="AT76" s="38">
        <f t="shared" si="167"/>
        <v>258.97199848632278</v>
      </c>
      <c r="AU76" s="4">
        <f t="shared" si="168"/>
        <v>0.74099999999999999</v>
      </c>
      <c r="AV76" s="4" t="e">
        <f>AU76*D76*#REF!/(D76*G76/2.75/F76^0.5)</f>
        <v>#REF!</v>
      </c>
      <c r="AW76" s="4" t="e">
        <f t="shared" ref="AW76:AW79" si="299">AT76+AV76</f>
        <v>#REF!</v>
      </c>
      <c r="AY76" s="36">
        <f t="shared" si="169"/>
        <v>1.1000000000000001</v>
      </c>
      <c r="AZ76" s="36" t="e">
        <f>(1.6*#REF!+22)*AY76*F76^0.5</f>
        <v>#REF!</v>
      </c>
      <c r="BE76" s="4">
        <f t="shared" si="170"/>
        <v>63.499999999999986</v>
      </c>
      <c r="BF76" s="4">
        <f t="shared" si="171"/>
        <v>63.499999999999986</v>
      </c>
      <c r="BG76" s="4">
        <f t="shared" si="172"/>
        <v>88.899999999999991</v>
      </c>
      <c r="BH76" s="4">
        <f t="shared" si="173"/>
        <v>76.199999999999989</v>
      </c>
      <c r="BI76" s="4">
        <f t="shared" si="229"/>
        <v>1.04</v>
      </c>
      <c r="BJ76" s="25">
        <f t="shared" si="174"/>
        <v>3.1199999999999997</v>
      </c>
      <c r="BL76" s="4">
        <f t="shared" si="175"/>
        <v>63.499999999999986</v>
      </c>
      <c r="BP76" s="9"/>
      <c r="BR76" s="9"/>
      <c r="BS76" s="9"/>
      <c r="BT76" s="9">
        <f t="shared" si="176"/>
        <v>50.8</v>
      </c>
      <c r="BU76" s="9">
        <f t="shared" si="177"/>
        <v>63.499999999999986</v>
      </c>
      <c r="BV76" s="9">
        <f t="shared" si="178"/>
        <v>1.4623505735569622</v>
      </c>
      <c r="BW76" s="9">
        <v>0</v>
      </c>
      <c r="BX76" s="9">
        <f t="shared" si="179"/>
        <v>0</v>
      </c>
      <c r="BY76" s="9">
        <f t="shared" ref="BY76:BY79" si="300">MAX(0,BW76*(BX76-0.5/50))</f>
        <v>0</v>
      </c>
      <c r="BZ76" s="9">
        <f t="shared" si="180"/>
        <v>0.99524931562137331</v>
      </c>
      <c r="CA76" s="9">
        <f t="shared" si="181"/>
        <v>1.056</v>
      </c>
      <c r="CB76" s="9">
        <f t="shared" si="182"/>
        <v>1.9464482686693119</v>
      </c>
      <c r="CC76" s="9">
        <f t="shared" si="183"/>
        <v>2.8463897420875242</v>
      </c>
      <c r="CD76" s="9">
        <v>1</v>
      </c>
      <c r="CE76" s="9" t="e">
        <f>4*CC76*#REF!+60*CC76</f>
        <v>#REF!</v>
      </c>
      <c r="CG76" s="4" t="e">
        <f t="shared" si="265"/>
        <v>#REF!</v>
      </c>
      <c r="CH76" s="4" t="e">
        <f t="shared" si="266"/>
        <v>#REF!</v>
      </c>
      <c r="CI76" s="4" t="e">
        <f t="shared" si="267"/>
        <v>#REF!</v>
      </c>
      <c r="CJ76" s="4" t="e">
        <f t="shared" si="268"/>
        <v>#REF!</v>
      </c>
      <c r="CK76" s="4" t="e">
        <f t="shared" si="269"/>
        <v>#REF!</v>
      </c>
      <c r="CL76" s="4" t="e">
        <f t="shared" si="270"/>
        <v>#REF!</v>
      </c>
      <c r="CM76" s="4">
        <f t="shared" si="215"/>
        <v>0.89168576133714361</v>
      </c>
      <c r="CO76" s="4" t="e">
        <f t="shared" si="271"/>
        <v>#REF!</v>
      </c>
      <c r="CP76" s="4" t="e">
        <f t="shared" si="272"/>
        <v>#REF!</v>
      </c>
      <c r="CQ76" s="4" t="e">
        <f t="shared" si="273"/>
        <v>#REF!</v>
      </c>
      <c r="CR76" s="4">
        <f t="shared" si="274"/>
        <v>0.89168576133714361</v>
      </c>
      <c r="CS76" s="4" t="e">
        <f t="shared" si="275"/>
        <v>#REF!</v>
      </c>
      <c r="CT76" s="4" t="e">
        <f t="shared" si="276"/>
        <v>#REF!</v>
      </c>
      <c r="DB76" s="4">
        <f t="shared" si="232"/>
        <v>0</v>
      </c>
      <c r="DC76" s="4">
        <f t="shared" si="184"/>
        <v>635</v>
      </c>
      <c r="DD76" s="4" t="e">
        <f>#REF!/E76</f>
        <v>#REF!</v>
      </c>
      <c r="DF76" s="4">
        <f t="shared" si="185"/>
        <v>4.4003395705642358E-5</v>
      </c>
      <c r="DG76" s="4">
        <f t="shared" si="233"/>
        <v>6.6857562842857838</v>
      </c>
      <c r="DH76" s="4">
        <f t="shared" si="221"/>
        <v>0.51958051416683015</v>
      </c>
      <c r="DI76" s="4">
        <f t="shared" si="149"/>
        <v>5.1453116307848159</v>
      </c>
      <c r="DJ76" s="4">
        <f t="shared" si="150"/>
        <v>5.9655493642715705</v>
      </c>
      <c r="DK76" s="4">
        <f t="shared" si="186"/>
        <v>4.8101247445158783</v>
      </c>
      <c r="DL76" s="38" t="e">
        <f t="shared" si="187"/>
        <v>#REF!</v>
      </c>
      <c r="DM76" s="4" t="e">
        <f t="shared" si="151"/>
        <v>#REF!</v>
      </c>
      <c r="DN76" s="4">
        <f t="shared" si="222"/>
        <v>1.6881943016134133</v>
      </c>
      <c r="DO76" s="4">
        <f t="shared" si="152"/>
        <v>161.30936879743294</v>
      </c>
      <c r="DS76" s="4">
        <f t="shared" si="188"/>
        <v>0.85</v>
      </c>
      <c r="DT76" s="4">
        <f t="shared" si="189"/>
        <v>0.85000000000000009</v>
      </c>
      <c r="DU76" s="4">
        <f t="shared" si="190"/>
        <v>1</v>
      </c>
      <c r="DV76" s="4">
        <f t="shared" ref="DV76:DV79" si="301">IF(DT76*DU76&lt;0.7,0.7,DT76*DU76)</f>
        <v>0.85000000000000009</v>
      </c>
      <c r="DX76" s="4" t="e">
        <f t="shared" si="191"/>
        <v>#REF!</v>
      </c>
      <c r="DY76" s="25">
        <f t="shared" si="192"/>
        <v>159.65722173545257</v>
      </c>
      <c r="EA76" s="4">
        <f t="shared" si="224"/>
        <v>0.72250000000000003</v>
      </c>
      <c r="EB76" s="4">
        <f t="shared" si="159"/>
        <v>6.6857562842857838</v>
      </c>
      <c r="EC76" s="4">
        <f t="shared" si="193"/>
        <v>6.028412726414806</v>
      </c>
      <c r="EE76" s="4">
        <f t="shared" si="194"/>
        <v>42.880135260980694</v>
      </c>
      <c r="EF76" s="4">
        <f t="shared" si="235"/>
        <v>1.6881943016134133</v>
      </c>
      <c r="EG76" s="4">
        <f t="shared" si="195"/>
        <v>0.15033743507491476</v>
      </c>
      <c r="EJ76" s="4">
        <f t="shared" ref="EJ76:EJ79" si="302">EG76</f>
        <v>0.15033743507491476</v>
      </c>
      <c r="EK76" s="4">
        <f t="shared" si="196"/>
        <v>0.51871343112532964</v>
      </c>
      <c r="EL76" s="4">
        <f t="shared" si="237"/>
        <v>5.1418752832648664</v>
      </c>
      <c r="EM76" s="4">
        <f t="shared" ref="EM76:EM79" si="303">EB76/1.4*(1-EK76^1.4)/(1-EK76)</f>
        <v>5.9640685338779997</v>
      </c>
      <c r="EN76" s="4">
        <f t="shared" si="239"/>
        <v>433.36986473901931</v>
      </c>
      <c r="EO76" s="4">
        <f t="shared" si="240"/>
        <v>158.74999999999994</v>
      </c>
      <c r="EP76" s="4">
        <f t="shared" si="197"/>
        <v>4.4003395705642344E-5</v>
      </c>
      <c r="EQ76" s="4">
        <f t="shared" ref="EQ76:EQ79" si="304">MAX(0.5*EB76, (1-2*EP76*(EE76*EL76+EN76*EM76))/(1/EB76+EP76*EO76))</f>
        <v>4.8105683267270267</v>
      </c>
      <c r="ER76" s="4" t="e">
        <f t="shared" si="198"/>
        <v>#REF!</v>
      </c>
      <c r="ES76" s="4" t="e">
        <f t="shared" si="242"/>
        <v>#REF!</v>
      </c>
      <c r="ET76" s="4" t="e">
        <f t="shared" si="243"/>
        <v>#REF!</v>
      </c>
      <c r="EV76" s="4" t="e">
        <f t="shared" si="199"/>
        <v>#REF!</v>
      </c>
      <c r="FA76" s="23" t="e">
        <f t="shared" si="277"/>
        <v>#REF!</v>
      </c>
      <c r="FB76" s="23" t="e">
        <f t="shared" si="278"/>
        <v>#REF!</v>
      </c>
      <c r="FC76" s="23">
        <f t="shared" si="290"/>
        <v>1</v>
      </c>
      <c r="FD76" s="23" t="e">
        <f t="shared" si="279"/>
        <v>#REF!</v>
      </c>
      <c r="FE76" s="23" t="e">
        <f t="shared" si="280"/>
        <v>#REF!</v>
      </c>
      <c r="FF76" s="23" t="e">
        <f t="shared" si="281"/>
        <v>#REF!</v>
      </c>
      <c r="FG76" s="23" t="e">
        <f t="shared" si="282"/>
        <v>#REF!</v>
      </c>
      <c r="FH76" s="23"/>
      <c r="FR76" s="4">
        <f t="shared" si="140"/>
        <v>1</v>
      </c>
      <c r="FS76" s="4">
        <f t="shared" si="141"/>
        <v>1.0833333333333333</v>
      </c>
      <c r="FT76" s="4">
        <f t="shared" si="142"/>
        <v>0</v>
      </c>
      <c r="FU76" s="4">
        <f t="shared" si="143"/>
        <v>529.33445891544102</v>
      </c>
    </row>
    <row r="77" spans="2:179" ht="12" customHeight="1" x14ac:dyDescent="0.3">
      <c r="B77" s="24"/>
      <c r="C77" s="7" t="s">
        <v>278</v>
      </c>
      <c r="D77" s="7">
        <v>472</v>
      </c>
      <c r="E77" s="7">
        <f t="shared" si="298"/>
        <v>635</v>
      </c>
      <c r="F77" s="7">
        <v>28</v>
      </c>
      <c r="G77" s="7">
        <v>25.4</v>
      </c>
      <c r="H77" s="7">
        <f t="shared" si="200"/>
        <v>152.39999999999998</v>
      </c>
      <c r="I77" s="7">
        <f t="shared" si="160"/>
        <v>63.499999999999986</v>
      </c>
      <c r="J77" s="7">
        <f t="shared" si="201"/>
        <v>50.8</v>
      </c>
      <c r="K77" s="7">
        <v>0</v>
      </c>
      <c r="L77" s="7">
        <v>1</v>
      </c>
      <c r="M77" s="7">
        <f t="shared" si="202"/>
        <v>88.899999999999991</v>
      </c>
      <c r="N77" s="7">
        <f t="shared" si="161"/>
        <v>2.9999999999999996</v>
      </c>
      <c r="O77" s="7">
        <f t="shared" si="203"/>
        <v>4</v>
      </c>
      <c r="P77" s="7">
        <v>4.04</v>
      </c>
      <c r="Q77" s="7">
        <f t="shared" si="227"/>
        <v>4.04</v>
      </c>
      <c r="R77" s="7">
        <f t="shared" si="162"/>
        <v>5.04</v>
      </c>
      <c r="S77" s="7">
        <f t="shared" si="163"/>
        <v>57.022858574434863</v>
      </c>
      <c r="T77" s="7"/>
      <c r="U77" s="7"/>
      <c r="V77" s="7">
        <v>421</v>
      </c>
      <c r="W77" s="7"/>
      <c r="X77" s="7"/>
      <c r="Y77" s="7"/>
      <c r="Z77" s="7"/>
      <c r="AA77" s="7">
        <v>1</v>
      </c>
      <c r="AB77" s="7"/>
      <c r="AC77" s="7"/>
      <c r="AD77" s="7"/>
      <c r="AE77" s="4">
        <f t="shared" si="252"/>
        <v>635</v>
      </c>
      <c r="AF77" s="44">
        <f t="shared" si="204"/>
        <v>2.1333333333333329E-2</v>
      </c>
      <c r="AG77" s="25">
        <f t="shared" si="164"/>
        <v>1671.0224668242358</v>
      </c>
      <c r="AH77" s="4">
        <f t="shared" si="165"/>
        <v>0.72399999999999998</v>
      </c>
      <c r="AI77" s="4">
        <v>1.25</v>
      </c>
      <c r="AJ77" s="25">
        <f t="shared" si="146"/>
        <v>5</v>
      </c>
      <c r="AK77" s="38">
        <f t="shared" si="205"/>
        <v>161.30936879743288</v>
      </c>
      <c r="AL77" s="38">
        <f t="shared" si="148"/>
        <v>161.30936879743288</v>
      </c>
      <c r="AN77" s="38">
        <f t="shared" si="158"/>
        <v>161.30936879743294</v>
      </c>
      <c r="AO77" s="38">
        <f t="shared" si="87"/>
        <v>0.99999999999999967</v>
      </c>
      <c r="AP77" s="38">
        <f t="shared" si="206"/>
        <v>2.3724552795991949</v>
      </c>
      <c r="AQ77" s="4">
        <f t="shared" si="228"/>
        <v>0</v>
      </c>
      <c r="AR77" s="4" t="e">
        <f>#REF!/G77*F77^0.5/0.19</f>
        <v>#REF!</v>
      </c>
      <c r="AS77" s="4">
        <f t="shared" si="166"/>
        <v>1.1333333333333333</v>
      </c>
      <c r="AT77" s="38">
        <f t="shared" si="167"/>
        <v>382.69926365228338</v>
      </c>
      <c r="AU77" s="4">
        <f t="shared" si="168"/>
        <v>0.43440000000000001</v>
      </c>
      <c r="AV77" s="4" t="e">
        <f>AU77*D77*#REF!/(D77*G77/2.75/F77^0.5)</f>
        <v>#REF!</v>
      </c>
      <c r="AW77" s="4" t="e">
        <f t="shared" si="299"/>
        <v>#REF!</v>
      </c>
      <c r="AY77" s="36">
        <f t="shared" si="169"/>
        <v>1.1000000000000001</v>
      </c>
      <c r="AZ77" s="36" t="e">
        <f>(1.6*#REF!+22)*AY77*F77^0.5</f>
        <v>#REF!</v>
      </c>
      <c r="BE77" s="4">
        <f t="shared" si="170"/>
        <v>63.499999999999986</v>
      </c>
      <c r="BF77" s="4">
        <f t="shared" si="171"/>
        <v>63.499999999999986</v>
      </c>
      <c r="BG77" s="4">
        <f t="shared" si="172"/>
        <v>88.899999999999991</v>
      </c>
      <c r="BH77" s="4">
        <f t="shared" si="173"/>
        <v>76.199999999999989</v>
      </c>
      <c r="BI77" s="4">
        <f t="shared" si="229"/>
        <v>1.04</v>
      </c>
      <c r="BJ77" s="25">
        <f t="shared" si="174"/>
        <v>3.1199999999999997</v>
      </c>
      <c r="BL77" s="4">
        <f t="shared" si="175"/>
        <v>63.499999999999986</v>
      </c>
      <c r="BP77" s="9"/>
      <c r="BR77" s="9"/>
      <c r="BS77" s="9"/>
      <c r="BT77" s="9">
        <f t="shared" si="176"/>
        <v>50.8</v>
      </c>
      <c r="BU77" s="9">
        <f t="shared" si="177"/>
        <v>63.499999999999986</v>
      </c>
      <c r="BV77" s="9">
        <f t="shared" si="178"/>
        <v>1.4623505735569622</v>
      </c>
      <c r="BW77" s="9">
        <v>0</v>
      </c>
      <c r="BX77" s="9">
        <f t="shared" si="179"/>
        <v>0</v>
      </c>
      <c r="BY77" s="9">
        <f t="shared" si="300"/>
        <v>0</v>
      </c>
      <c r="BZ77" s="9">
        <f t="shared" si="180"/>
        <v>0.99524931562137331</v>
      </c>
      <c r="CA77" s="9">
        <f t="shared" si="181"/>
        <v>1.056</v>
      </c>
      <c r="CB77" s="9">
        <f t="shared" si="182"/>
        <v>1.9464482686693119</v>
      </c>
      <c r="CC77" s="9">
        <f t="shared" si="183"/>
        <v>2.8463897420875242</v>
      </c>
      <c r="CD77" s="9">
        <v>1</v>
      </c>
      <c r="CE77" s="9" t="e">
        <f>4*CC77*#REF!+60*CC77</f>
        <v>#REF!</v>
      </c>
      <c r="CG77" s="4" t="e">
        <f t="shared" si="265"/>
        <v>#REF!</v>
      </c>
      <c r="CH77" s="4" t="e">
        <f t="shared" si="266"/>
        <v>#REF!</v>
      </c>
      <c r="CI77" s="4" t="e">
        <f t="shared" si="267"/>
        <v>#REF!</v>
      </c>
      <c r="CJ77" s="4" t="e">
        <f t="shared" si="268"/>
        <v>#REF!</v>
      </c>
      <c r="CK77" s="4" t="e">
        <f t="shared" si="269"/>
        <v>#REF!</v>
      </c>
      <c r="CL77" s="4" t="e">
        <f t="shared" si="270"/>
        <v>#REF!</v>
      </c>
      <c r="CM77" s="4">
        <f t="shared" si="215"/>
        <v>0.79533835915876583</v>
      </c>
      <c r="CO77" s="4" t="e">
        <f t="shared" si="271"/>
        <v>#REF!</v>
      </c>
      <c r="CP77" s="4" t="e">
        <f t="shared" si="272"/>
        <v>#REF!</v>
      </c>
      <c r="CQ77" s="4" t="e">
        <f t="shared" si="273"/>
        <v>#REF!</v>
      </c>
      <c r="CR77" s="4">
        <f t="shared" si="274"/>
        <v>0.79533835915876583</v>
      </c>
      <c r="CS77" s="4" t="e">
        <f t="shared" si="275"/>
        <v>#REF!</v>
      </c>
      <c r="CT77" s="4" t="e">
        <f t="shared" si="276"/>
        <v>#REF!</v>
      </c>
      <c r="DB77" s="4">
        <f t="shared" si="232"/>
        <v>0</v>
      </c>
      <c r="DC77" s="4">
        <f t="shared" si="184"/>
        <v>635</v>
      </c>
      <c r="DD77" s="4" t="e">
        <f>#REF!/E77</f>
        <v>#REF!</v>
      </c>
      <c r="DF77" s="4">
        <f t="shared" si="185"/>
        <v>4.4003395705642358E-5</v>
      </c>
      <c r="DG77" s="4">
        <f t="shared" si="233"/>
        <v>6.6857562842857838</v>
      </c>
      <c r="DH77" s="4">
        <f t="shared" si="221"/>
        <v>0.31639969550146724</v>
      </c>
      <c r="DI77" s="4">
        <f t="shared" si="149"/>
        <v>4.219344285942098</v>
      </c>
      <c r="DJ77" s="4">
        <f t="shared" si="150"/>
        <v>5.5909415004503167</v>
      </c>
      <c r="DK77" s="4">
        <f t="shared" si="186"/>
        <v>4.9346088081125474</v>
      </c>
      <c r="DL77" s="38" t="e">
        <f t="shared" si="187"/>
        <v>#REF!</v>
      </c>
      <c r="DM77" s="4" t="e">
        <f t="shared" si="151"/>
        <v>#REF!</v>
      </c>
      <c r="DN77" s="4">
        <f t="shared" si="222"/>
        <v>2.2449944320643649</v>
      </c>
      <c r="DO77" s="4">
        <f t="shared" si="152"/>
        <v>161.30936879743294</v>
      </c>
      <c r="DS77" s="4">
        <f t="shared" si="188"/>
        <v>0.85</v>
      </c>
      <c r="DT77" s="4">
        <f t="shared" si="189"/>
        <v>0.85000000000000009</v>
      </c>
      <c r="DU77" s="4">
        <f t="shared" si="190"/>
        <v>1</v>
      </c>
      <c r="DV77" s="4">
        <f t="shared" si="301"/>
        <v>0.85000000000000009</v>
      </c>
      <c r="DX77" s="4" t="e">
        <f t="shared" si="191"/>
        <v>#REF!</v>
      </c>
      <c r="DY77" s="25">
        <f t="shared" si="192"/>
        <v>159.65722173545257</v>
      </c>
      <c r="EA77" s="4">
        <f t="shared" si="224"/>
        <v>0.72250000000000003</v>
      </c>
      <c r="EB77" s="4">
        <f t="shared" si="159"/>
        <v>6.6857562842857838</v>
      </c>
      <c r="EC77" s="4">
        <f t="shared" si="193"/>
        <v>6.028412726414806</v>
      </c>
      <c r="EE77" s="4">
        <f t="shared" si="194"/>
        <v>57.022858574434863</v>
      </c>
      <c r="EF77" s="4">
        <f t="shared" si="235"/>
        <v>2.2449944320643649</v>
      </c>
      <c r="EG77" s="4">
        <f t="shared" si="195"/>
        <v>9.1548311345836214E-2</v>
      </c>
      <c r="EJ77" s="4">
        <f t="shared" si="302"/>
        <v>9.1548311345836214E-2</v>
      </c>
      <c r="EK77" s="4">
        <f t="shared" si="196"/>
        <v>0.31587168337856231</v>
      </c>
      <c r="EL77" s="4">
        <f t="shared" si="237"/>
        <v>4.2165263549180425</v>
      </c>
      <c r="EM77" s="4">
        <f t="shared" si="303"/>
        <v>5.5898818106728223</v>
      </c>
      <c r="EN77" s="4">
        <f t="shared" si="239"/>
        <v>419.22714142556515</v>
      </c>
      <c r="EO77" s="4">
        <f t="shared" si="240"/>
        <v>158.75</v>
      </c>
      <c r="EP77" s="4">
        <f t="shared" si="197"/>
        <v>4.4003395705642358E-5</v>
      </c>
      <c r="EQ77" s="4">
        <f t="shared" si="304"/>
        <v>4.9349488663478827</v>
      </c>
      <c r="ER77" s="4" t="e">
        <f t="shared" si="198"/>
        <v>#REF!</v>
      </c>
      <c r="ES77" s="4" t="e">
        <f t="shared" si="242"/>
        <v>#REF!</v>
      </c>
      <c r="ET77" s="4" t="e">
        <f t="shared" si="243"/>
        <v>#REF!</v>
      </c>
      <c r="EV77" s="4" t="e">
        <f t="shared" si="199"/>
        <v>#REF!</v>
      </c>
      <c r="FA77" s="23" t="e">
        <f t="shared" si="277"/>
        <v>#REF!</v>
      </c>
      <c r="FB77" s="23" t="e">
        <f t="shared" si="278"/>
        <v>#REF!</v>
      </c>
      <c r="FC77" s="23">
        <f t="shared" si="290"/>
        <v>0.8</v>
      </c>
      <c r="FD77" s="23" t="e">
        <f t="shared" si="279"/>
        <v>#REF!</v>
      </c>
      <c r="FE77" s="23" t="e">
        <f t="shared" si="280"/>
        <v>#REF!</v>
      </c>
      <c r="FF77" s="23" t="e">
        <f t="shared" si="281"/>
        <v>#REF!</v>
      </c>
      <c r="FG77" s="23" t="e">
        <f t="shared" si="282"/>
        <v>#REF!</v>
      </c>
      <c r="FH77" s="23"/>
      <c r="FR77" s="4">
        <f t="shared" si="140"/>
        <v>1</v>
      </c>
      <c r="FS77" s="4">
        <f t="shared" si="141"/>
        <v>1.0833333333333333</v>
      </c>
      <c r="FT77" s="4">
        <f t="shared" si="142"/>
        <v>0</v>
      </c>
      <c r="FU77" s="4">
        <f t="shared" si="143"/>
        <v>529.33445891544102</v>
      </c>
    </row>
    <row r="78" spans="2:179" ht="12" customHeight="1" x14ac:dyDescent="0.3">
      <c r="B78" s="24"/>
      <c r="C78" s="7" t="s">
        <v>279</v>
      </c>
      <c r="D78" s="7">
        <v>472</v>
      </c>
      <c r="E78" s="7">
        <f t="shared" si="298"/>
        <v>635</v>
      </c>
      <c r="F78" s="7">
        <v>28</v>
      </c>
      <c r="G78" s="7">
        <v>25.4</v>
      </c>
      <c r="H78" s="7">
        <f t="shared" si="200"/>
        <v>152.39999999999998</v>
      </c>
      <c r="I78" s="7">
        <f t="shared" si="160"/>
        <v>63.499999999999986</v>
      </c>
      <c r="J78" s="7">
        <f t="shared" si="201"/>
        <v>50.8</v>
      </c>
      <c r="K78" s="7">
        <v>0</v>
      </c>
      <c r="L78" s="7">
        <v>1</v>
      </c>
      <c r="M78" s="7">
        <f t="shared" si="202"/>
        <v>88.899999999999991</v>
      </c>
      <c r="N78" s="7">
        <f t="shared" si="161"/>
        <v>2.9999999999999996</v>
      </c>
      <c r="O78" s="7">
        <f t="shared" si="203"/>
        <v>4</v>
      </c>
      <c r="P78" s="7">
        <v>4.0599999999999996</v>
      </c>
      <c r="Q78" s="7">
        <f t="shared" si="227"/>
        <v>4.0599999999999996</v>
      </c>
      <c r="R78" s="7">
        <f t="shared" si="162"/>
        <v>5.0599999999999996</v>
      </c>
      <c r="S78" s="7">
        <f t="shared" si="163"/>
        <v>57.135887146346114</v>
      </c>
      <c r="T78" s="7"/>
      <c r="U78" s="7"/>
      <c r="V78" s="7">
        <v>472</v>
      </c>
      <c r="W78" s="7"/>
      <c r="X78" s="7"/>
      <c r="Y78" s="7"/>
      <c r="Z78" s="7"/>
      <c r="AA78" s="7">
        <v>1</v>
      </c>
      <c r="AB78" s="7"/>
      <c r="AC78" s="7"/>
      <c r="AD78" s="7"/>
      <c r="AE78" s="4">
        <f t="shared" si="252"/>
        <v>635</v>
      </c>
      <c r="AF78" s="44">
        <f t="shared" si="204"/>
        <v>2.1333333333333329E-2</v>
      </c>
      <c r="AG78" s="25">
        <f t="shared" si="164"/>
        <v>1671.0224668242358</v>
      </c>
      <c r="AH78" s="4">
        <f t="shared" si="165"/>
        <v>0.72399999999999998</v>
      </c>
      <c r="AI78" s="4">
        <v>1.25</v>
      </c>
      <c r="AJ78" s="25">
        <f t="shared" si="146"/>
        <v>5</v>
      </c>
      <c r="AK78" s="38">
        <f t="shared" si="205"/>
        <v>161.30936879743288</v>
      </c>
      <c r="AL78" s="38">
        <f t="shared" si="148"/>
        <v>161.30936879743288</v>
      </c>
      <c r="AN78" s="38">
        <f t="shared" si="158"/>
        <v>161.30936879743294</v>
      </c>
      <c r="AO78" s="38">
        <f t="shared" si="87"/>
        <v>0.99999999999999967</v>
      </c>
      <c r="AP78" s="38">
        <f t="shared" si="206"/>
        <v>2.3783204437526595</v>
      </c>
      <c r="AQ78" s="4">
        <f t="shared" si="228"/>
        <v>0</v>
      </c>
      <c r="AR78" s="4" t="e">
        <f>#REF!/G78*F78^0.5/0.19</f>
        <v>#REF!</v>
      </c>
      <c r="AS78" s="4">
        <f t="shared" si="166"/>
        <v>1.1333333333333333</v>
      </c>
      <c r="AT78" s="38">
        <f t="shared" si="167"/>
        <v>383.64536957977214</v>
      </c>
      <c r="AU78" s="4">
        <f t="shared" si="168"/>
        <v>0.43160000000000009</v>
      </c>
      <c r="AV78" s="4" t="e">
        <f>AU78*D78*#REF!/(D78*G78/2.75/F78^0.5)</f>
        <v>#REF!</v>
      </c>
      <c r="AW78" s="4" t="e">
        <f t="shared" si="299"/>
        <v>#REF!</v>
      </c>
      <c r="AY78" s="36">
        <f t="shared" si="169"/>
        <v>1.1000000000000001</v>
      </c>
      <c r="AZ78" s="36" t="e">
        <f>(1.6*#REF!+22)*AY78*F78^0.5</f>
        <v>#REF!</v>
      </c>
      <c r="BE78" s="4">
        <f t="shared" si="170"/>
        <v>63.499999999999986</v>
      </c>
      <c r="BF78" s="4">
        <f t="shared" si="171"/>
        <v>63.499999999999986</v>
      </c>
      <c r="BG78" s="4">
        <f t="shared" si="172"/>
        <v>88.899999999999991</v>
      </c>
      <c r="BH78" s="4">
        <f t="shared" si="173"/>
        <v>76.199999999999989</v>
      </c>
      <c r="BI78" s="4">
        <f t="shared" si="229"/>
        <v>1.04</v>
      </c>
      <c r="BJ78" s="25">
        <f t="shared" si="174"/>
        <v>3.1199999999999997</v>
      </c>
      <c r="BL78" s="4">
        <f t="shared" si="175"/>
        <v>63.499999999999986</v>
      </c>
      <c r="BP78" s="9"/>
      <c r="BR78" s="9"/>
      <c r="BS78" s="9"/>
      <c r="BT78" s="9">
        <f t="shared" si="176"/>
        <v>50.8</v>
      </c>
      <c r="BU78" s="9">
        <f t="shared" si="177"/>
        <v>63.499999999999986</v>
      </c>
      <c r="BV78" s="9">
        <f t="shared" si="178"/>
        <v>1.4623505735569622</v>
      </c>
      <c r="BW78" s="9">
        <v>0</v>
      </c>
      <c r="BX78" s="9">
        <f t="shared" si="179"/>
        <v>0</v>
      </c>
      <c r="BY78" s="9">
        <f t="shared" si="300"/>
        <v>0</v>
      </c>
      <c r="BZ78" s="9">
        <f t="shared" si="180"/>
        <v>0.99524931562137331</v>
      </c>
      <c r="CA78" s="9">
        <f t="shared" si="181"/>
        <v>1.056</v>
      </c>
      <c r="CB78" s="9">
        <f t="shared" si="182"/>
        <v>1.9464482686693119</v>
      </c>
      <c r="CC78" s="9">
        <f t="shared" si="183"/>
        <v>2.8463897420875242</v>
      </c>
      <c r="CD78" s="9">
        <v>1</v>
      </c>
      <c r="CE78" s="9" t="e">
        <f>4*CC78*#REF!+60*CC78</f>
        <v>#REF!</v>
      </c>
      <c r="CG78" s="4" t="e">
        <f t="shared" si="265"/>
        <v>#REF!</v>
      </c>
      <c r="CH78" s="4" t="e">
        <f t="shared" si="266"/>
        <v>#REF!</v>
      </c>
      <c r="CI78" s="4" t="e">
        <f t="shared" si="267"/>
        <v>#REF!</v>
      </c>
      <c r="CJ78" s="4" t="e">
        <f t="shared" si="268"/>
        <v>#REF!</v>
      </c>
      <c r="CK78" s="4" t="e">
        <f t="shared" si="269"/>
        <v>#REF!</v>
      </c>
      <c r="CL78" s="4" t="e">
        <f t="shared" si="270"/>
        <v>#REF!</v>
      </c>
      <c r="CM78" s="4">
        <f t="shared" si="215"/>
        <v>0.89168576133714361</v>
      </c>
      <c r="CO78" s="4" t="e">
        <f t="shared" si="271"/>
        <v>#REF!</v>
      </c>
      <c r="CP78" s="4" t="e">
        <f t="shared" si="272"/>
        <v>#REF!</v>
      </c>
      <c r="CQ78" s="4" t="e">
        <f t="shared" si="273"/>
        <v>#REF!</v>
      </c>
      <c r="CR78" s="4">
        <f t="shared" si="274"/>
        <v>0.89168576133714361</v>
      </c>
      <c r="CS78" s="4" t="e">
        <f t="shared" si="275"/>
        <v>#REF!</v>
      </c>
      <c r="CT78" s="4" t="e">
        <f t="shared" si="276"/>
        <v>#REF!</v>
      </c>
      <c r="DB78" s="4">
        <f t="shared" si="232"/>
        <v>0</v>
      </c>
      <c r="DC78" s="4">
        <f t="shared" si="184"/>
        <v>635</v>
      </c>
      <c r="DD78" s="4" t="e">
        <f>#REF!/E78</f>
        <v>#REF!</v>
      </c>
      <c r="DF78" s="4">
        <f t="shared" si="185"/>
        <v>4.4003395705642358E-5</v>
      </c>
      <c r="DG78" s="4">
        <f t="shared" si="233"/>
        <v>6.6857562842857838</v>
      </c>
      <c r="DH78" s="4">
        <f t="shared" si="221"/>
        <v>0.3154651424867419</v>
      </c>
      <c r="DI78" s="4">
        <f t="shared" si="149"/>
        <v>4.2143547734798679</v>
      </c>
      <c r="DJ78" s="4">
        <f t="shared" si="150"/>
        <v>5.5890655388539159</v>
      </c>
      <c r="DK78" s="4">
        <f t="shared" si="186"/>
        <v>4.9352981872014201</v>
      </c>
      <c r="DL78" s="38" t="e">
        <f t="shared" si="187"/>
        <v>#REF!</v>
      </c>
      <c r="DM78" s="4" t="e">
        <f t="shared" si="151"/>
        <v>#REF!</v>
      </c>
      <c r="DN78" s="4">
        <f t="shared" si="222"/>
        <v>2.2494443758403984</v>
      </c>
      <c r="DO78" s="4">
        <f t="shared" si="152"/>
        <v>161.30936879743294</v>
      </c>
      <c r="DS78" s="4">
        <f t="shared" si="188"/>
        <v>0.85</v>
      </c>
      <c r="DT78" s="4">
        <f t="shared" si="189"/>
        <v>0.85000000000000009</v>
      </c>
      <c r="DU78" s="4">
        <f t="shared" si="190"/>
        <v>1</v>
      </c>
      <c r="DV78" s="4">
        <f t="shared" si="301"/>
        <v>0.85000000000000009</v>
      </c>
      <c r="DX78" s="4" t="e">
        <f t="shared" si="191"/>
        <v>#REF!</v>
      </c>
      <c r="DY78" s="25">
        <f t="shared" si="192"/>
        <v>159.65722173545257</v>
      </c>
      <c r="EA78" s="4">
        <f t="shared" si="224"/>
        <v>0.72250000000000003</v>
      </c>
      <c r="EB78" s="4">
        <f t="shared" si="159"/>
        <v>6.6857562842857838</v>
      </c>
      <c r="EC78" s="4">
        <f t="shared" si="193"/>
        <v>6.028412726414806</v>
      </c>
      <c r="EE78" s="4">
        <f t="shared" si="194"/>
        <v>57.135887146346114</v>
      </c>
      <c r="EF78" s="4">
        <f t="shared" si="235"/>
        <v>2.2494443758403984</v>
      </c>
      <c r="EG78" s="4">
        <f t="shared" si="195"/>
        <v>9.127790416284047E-2</v>
      </c>
      <c r="EJ78" s="4">
        <f t="shared" si="302"/>
        <v>9.127790416284047E-2</v>
      </c>
      <c r="EK78" s="4">
        <f t="shared" si="196"/>
        <v>0.31493868995864155</v>
      </c>
      <c r="EL78" s="4">
        <f t="shared" si="237"/>
        <v>4.2115401747513097</v>
      </c>
      <c r="EM78" s="4">
        <f t="shared" si="303"/>
        <v>5.5880080266286809</v>
      </c>
      <c r="EN78" s="4">
        <f t="shared" si="239"/>
        <v>419.11411285365386</v>
      </c>
      <c r="EO78" s="4">
        <f t="shared" si="240"/>
        <v>158.75</v>
      </c>
      <c r="EP78" s="4">
        <f t="shared" si="197"/>
        <v>4.4003395705642358E-5</v>
      </c>
      <c r="EQ78" s="4">
        <f t="shared" si="304"/>
        <v>4.9356377370924536</v>
      </c>
      <c r="ER78" s="4" t="e">
        <f t="shared" si="198"/>
        <v>#REF!</v>
      </c>
      <c r="ES78" s="4" t="e">
        <f t="shared" si="242"/>
        <v>#REF!</v>
      </c>
      <c r="ET78" s="4" t="e">
        <f t="shared" si="243"/>
        <v>#REF!</v>
      </c>
      <c r="EV78" s="4" t="e">
        <f t="shared" si="199"/>
        <v>#REF!</v>
      </c>
      <c r="FA78" s="23" t="e">
        <f t="shared" si="277"/>
        <v>#REF!</v>
      </c>
      <c r="FB78" s="23" t="e">
        <f t="shared" si="278"/>
        <v>#REF!</v>
      </c>
      <c r="FC78" s="23">
        <f t="shared" si="290"/>
        <v>1</v>
      </c>
      <c r="FD78" s="23" t="e">
        <f t="shared" si="279"/>
        <v>#REF!</v>
      </c>
      <c r="FE78" s="23" t="e">
        <f t="shared" si="280"/>
        <v>#REF!</v>
      </c>
      <c r="FF78" s="23" t="e">
        <f t="shared" si="281"/>
        <v>#REF!</v>
      </c>
      <c r="FG78" s="23" t="e">
        <f t="shared" si="282"/>
        <v>#REF!</v>
      </c>
      <c r="FH78" s="23"/>
      <c r="FR78" s="4">
        <f t="shared" si="140"/>
        <v>1</v>
      </c>
      <c r="FS78" s="4">
        <f t="shared" si="141"/>
        <v>1.0833333333333333</v>
      </c>
      <c r="FT78" s="4">
        <f t="shared" si="142"/>
        <v>0</v>
      </c>
      <c r="FU78" s="4">
        <f t="shared" si="143"/>
        <v>529.33445891544102</v>
      </c>
    </row>
    <row r="79" spans="2:179" ht="12" customHeight="1" x14ac:dyDescent="0.3">
      <c r="B79" s="24"/>
      <c r="C79" s="7" t="s">
        <v>282</v>
      </c>
      <c r="D79" s="7">
        <v>472</v>
      </c>
      <c r="E79" s="7">
        <f t="shared" si="298"/>
        <v>635</v>
      </c>
      <c r="F79" s="7">
        <v>28</v>
      </c>
      <c r="G79" s="7">
        <v>25.4</v>
      </c>
      <c r="H79" s="7">
        <f t="shared" si="200"/>
        <v>152.39999999999998</v>
      </c>
      <c r="I79" s="7">
        <f t="shared" si="160"/>
        <v>63.499999999999986</v>
      </c>
      <c r="J79" s="7">
        <f t="shared" si="201"/>
        <v>50.8</v>
      </c>
      <c r="K79" s="7">
        <v>0</v>
      </c>
      <c r="L79" s="7">
        <v>1</v>
      </c>
      <c r="M79" s="7">
        <f t="shared" si="202"/>
        <v>88.899999999999991</v>
      </c>
      <c r="N79" s="7">
        <f t="shared" si="161"/>
        <v>2.9999999999999996</v>
      </c>
      <c r="O79" s="7">
        <f t="shared" si="203"/>
        <v>4</v>
      </c>
      <c r="P79" s="7">
        <v>10.39</v>
      </c>
      <c r="Q79" s="7">
        <f t="shared" si="227"/>
        <v>10.39</v>
      </c>
      <c r="R79" s="7">
        <f t="shared" si="162"/>
        <v>11.39</v>
      </c>
      <c r="S79" s="7">
        <f t="shared" si="163"/>
        <v>85.722648115885917</v>
      </c>
      <c r="T79" s="7"/>
      <c r="U79" s="7"/>
      <c r="V79" s="7">
        <v>472</v>
      </c>
      <c r="W79" s="7"/>
      <c r="X79" s="7"/>
      <c r="Y79" s="7"/>
      <c r="Z79" s="7"/>
      <c r="AA79" s="7">
        <v>1</v>
      </c>
      <c r="AB79" s="7"/>
      <c r="AC79" s="7"/>
      <c r="AD79" s="7"/>
      <c r="AE79" s="4">
        <f t="shared" si="252"/>
        <v>635</v>
      </c>
      <c r="AF79" s="44">
        <f t="shared" si="204"/>
        <v>2.1333333333333329E-2</v>
      </c>
      <c r="AG79" s="25">
        <f t="shared" si="164"/>
        <v>1671.0224668242358</v>
      </c>
      <c r="AH79" s="4">
        <f t="shared" si="165"/>
        <v>0.72399999999999998</v>
      </c>
      <c r="AI79" s="4">
        <v>1.25</v>
      </c>
      <c r="AJ79" s="25">
        <f t="shared" si="146"/>
        <v>5</v>
      </c>
      <c r="AK79" s="38">
        <f t="shared" si="205"/>
        <v>161.30936879743288</v>
      </c>
      <c r="AL79" s="38">
        <f t="shared" si="148"/>
        <v>161.30936879743288</v>
      </c>
      <c r="AN79" s="38">
        <f t="shared" si="158"/>
        <v>161.30936879743294</v>
      </c>
      <c r="AO79" s="38">
        <f t="shared" si="87"/>
        <v>0.99999999999999967</v>
      </c>
      <c r="AP79" s="38">
        <f t="shared" si="206"/>
        <v>3.8046536355645637</v>
      </c>
      <c r="AQ79" s="4">
        <f t="shared" si="228"/>
        <v>0</v>
      </c>
      <c r="AR79" s="4" t="e">
        <f>#REF!/G79*F79^0.5/0.19</f>
        <v>#REF!</v>
      </c>
      <c r="AS79" s="4">
        <f t="shared" si="166"/>
        <v>1.1333333333333333</v>
      </c>
      <c r="AT79" s="38">
        <f t="shared" si="167"/>
        <v>613.72627644577824</v>
      </c>
      <c r="AU79" s="4">
        <f t="shared" si="168"/>
        <v>0.3</v>
      </c>
      <c r="AV79" s="4" t="e">
        <f>AU79*D79*#REF!/(D79*G79/2.75/F79^0.5)</f>
        <v>#REF!</v>
      </c>
      <c r="AW79" s="4" t="e">
        <f t="shared" si="299"/>
        <v>#REF!</v>
      </c>
      <c r="AY79" s="36">
        <f t="shared" si="169"/>
        <v>1.1000000000000001</v>
      </c>
      <c r="AZ79" s="36" t="e">
        <f>(1.6*#REF!+22)*AY79*F79^0.5</f>
        <v>#REF!</v>
      </c>
      <c r="BE79" s="4">
        <f t="shared" si="170"/>
        <v>63.499999999999986</v>
      </c>
      <c r="BF79" s="4">
        <f t="shared" si="171"/>
        <v>63.499999999999986</v>
      </c>
      <c r="BG79" s="4">
        <f t="shared" si="172"/>
        <v>88.899999999999991</v>
      </c>
      <c r="BH79" s="4">
        <f t="shared" si="173"/>
        <v>76.199999999999989</v>
      </c>
      <c r="BI79" s="4">
        <f t="shared" si="229"/>
        <v>1.04</v>
      </c>
      <c r="BJ79" s="25">
        <f t="shared" si="174"/>
        <v>3.1199999999999997</v>
      </c>
      <c r="BL79" s="4">
        <f t="shared" si="175"/>
        <v>63.499999999999986</v>
      </c>
      <c r="BP79" s="9"/>
      <c r="BR79" s="9"/>
      <c r="BS79" s="9"/>
      <c r="BT79" s="9">
        <f t="shared" si="176"/>
        <v>50.8</v>
      </c>
      <c r="BU79" s="9">
        <f t="shared" si="177"/>
        <v>63.499999999999986</v>
      </c>
      <c r="BV79" s="9">
        <f t="shared" si="178"/>
        <v>1.4623505735569622</v>
      </c>
      <c r="BW79" s="9">
        <v>0</v>
      </c>
      <c r="BX79" s="9">
        <f t="shared" si="179"/>
        <v>0</v>
      </c>
      <c r="BY79" s="9">
        <f t="shared" si="300"/>
        <v>0</v>
      </c>
      <c r="BZ79" s="9">
        <f t="shared" si="180"/>
        <v>0.99524931562137331</v>
      </c>
      <c r="CA79" s="9">
        <f t="shared" si="181"/>
        <v>1.056</v>
      </c>
      <c r="CB79" s="9">
        <f t="shared" si="182"/>
        <v>1.9464482686693119</v>
      </c>
      <c r="CC79" s="9">
        <f t="shared" si="183"/>
        <v>2.8463897420875242</v>
      </c>
      <c r="CD79" s="9">
        <v>1</v>
      </c>
      <c r="CE79" s="9" t="e">
        <f>4*CC79*#REF!+60*CC79</f>
        <v>#REF!</v>
      </c>
      <c r="CG79" s="4" t="e">
        <f t="shared" si="265"/>
        <v>#REF!</v>
      </c>
      <c r="CH79" s="4" t="e">
        <f t="shared" si="266"/>
        <v>#REF!</v>
      </c>
      <c r="CI79" s="4" t="e">
        <f t="shared" si="267"/>
        <v>#REF!</v>
      </c>
      <c r="CJ79" s="4" t="e">
        <f t="shared" si="268"/>
        <v>#REF!</v>
      </c>
      <c r="CK79" s="4" t="e">
        <f t="shared" si="269"/>
        <v>#REF!</v>
      </c>
      <c r="CL79" s="4" t="e">
        <f t="shared" si="270"/>
        <v>#REF!</v>
      </c>
      <c r="CM79" s="4">
        <f t="shared" si="215"/>
        <v>0.89168576133714361</v>
      </c>
      <c r="CO79" s="4" t="e">
        <f t="shared" si="271"/>
        <v>#REF!</v>
      </c>
      <c r="CP79" s="4" t="e">
        <f t="shared" si="272"/>
        <v>#REF!</v>
      </c>
      <c r="CQ79" s="4" t="e">
        <f t="shared" si="273"/>
        <v>#REF!</v>
      </c>
      <c r="CR79" s="4">
        <f t="shared" si="274"/>
        <v>0.89168576133714361</v>
      </c>
      <c r="CS79" s="4" t="e">
        <f t="shared" si="275"/>
        <v>#REF!</v>
      </c>
      <c r="CT79" s="4" t="e">
        <f t="shared" si="276"/>
        <v>#REF!</v>
      </c>
      <c r="DB79" s="4">
        <f t="shared" si="232"/>
        <v>0</v>
      </c>
      <c r="DC79" s="4">
        <f t="shared" si="184"/>
        <v>635</v>
      </c>
      <c r="DD79" s="4" t="e">
        <f>#REF!/E79</f>
        <v>#REF!</v>
      </c>
      <c r="DF79" s="4">
        <f t="shared" si="185"/>
        <v>4.4003395705642358E-5</v>
      </c>
      <c r="DG79" s="4">
        <f t="shared" si="233"/>
        <v>6.6857562842857838</v>
      </c>
      <c r="DH79" s="4">
        <f t="shared" si="221"/>
        <v>0.1849475013016269</v>
      </c>
      <c r="DI79" s="4">
        <f t="shared" si="149"/>
        <v>3.4038461991995663</v>
      </c>
      <c r="DJ79" s="4">
        <f t="shared" si="150"/>
        <v>5.3074788298917506</v>
      </c>
      <c r="DK79" s="4">
        <f t="shared" si="186"/>
        <v>5.0582629585034002</v>
      </c>
      <c r="DL79" s="38" t="e">
        <f t="shared" si="187"/>
        <v>#REF!</v>
      </c>
      <c r="DM79" s="4" t="e">
        <f t="shared" si="151"/>
        <v>#REF!</v>
      </c>
      <c r="DN79" s="4">
        <f t="shared" si="222"/>
        <v>3.3749074061372411</v>
      </c>
      <c r="DO79" s="4">
        <f t="shared" si="152"/>
        <v>161.30936879743294</v>
      </c>
      <c r="DS79" s="4">
        <f t="shared" si="188"/>
        <v>0.85</v>
      </c>
      <c r="DT79" s="4">
        <f t="shared" si="189"/>
        <v>0.85000000000000009</v>
      </c>
      <c r="DU79" s="4">
        <f t="shared" si="190"/>
        <v>1</v>
      </c>
      <c r="DV79" s="4">
        <f t="shared" si="301"/>
        <v>0.85000000000000009</v>
      </c>
      <c r="DX79" s="4" t="e">
        <f t="shared" si="191"/>
        <v>#REF!</v>
      </c>
      <c r="DY79" s="25">
        <f t="shared" si="192"/>
        <v>159.65722173545257</v>
      </c>
      <c r="EA79" s="4">
        <f t="shared" si="224"/>
        <v>0.72250000000000003</v>
      </c>
      <c r="EB79" s="4">
        <f t="shared" si="159"/>
        <v>6.6857562842857838</v>
      </c>
      <c r="EC79" s="4">
        <f t="shared" si="193"/>
        <v>6.028412726414806</v>
      </c>
      <c r="EE79" s="4">
        <f t="shared" si="194"/>
        <v>85.722648115885917</v>
      </c>
      <c r="EF79" s="4">
        <f t="shared" si="235"/>
        <v>3.3749074061372411</v>
      </c>
      <c r="EG79" s="4">
        <f t="shared" si="195"/>
        <v>5.3513425178746021E-2</v>
      </c>
      <c r="EJ79" s="4">
        <f t="shared" si="302"/>
        <v>5.3513425178746021E-2</v>
      </c>
      <c r="EK79" s="4">
        <f t="shared" si="196"/>
        <v>0.18463885839148297</v>
      </c>
      <c r="EL79" s="4">
        <f t="shared" si="237"/>
        <v>3.4015729066792599</v>
      </c>
      <c r="EM79" s="4">
        <f t="shared" si="303"/>
        <v>5.3067578077039173</v>
      </c>
      <c r="EN79" s="4">
        <f t="shared" si="239"/>
        <v>390.52735188411407</v>
      </c>
      <c r="EO79" s="4">
        <f t="shared" si="240"/>
        <v>158.75</v>
      </c>
      <c r="EP79" s="4">
        <f t="shared" si="197"/>
        <v>4.4003395705642358E-5</v>
      </c>
      <c r="EQ79" s="4">
        <f t="shared" si="304"/>
        <v>5.0585307900576097</v>
      </c>
      <c r="ER79" s="4" t="e">
        <f t="shared" si="198"/>
        <v>#REF!</v>
      </c>
      <c r="ES79" s="4" t="e">
        <f t="shared" si="242"/>
        <v>#REF!</v>
      </c>
      <c r="ET79" s="4" t="e">
        <f t="shared" si="243"/>
        <v>#REF!</v>
      </c>
      <c r="EV79" s="4" t="e">
        <f t="shared" si="199"/>
        <v>#REF!</v>
      </c>
      <c r="FA79" s="23" t="e">
        <f t="shared" si="277"/>
        <v>#REF!</v>
      </c>
      <c r="FB79" s="23" t="e">
        <f t="shared" si="278"/>
        <v>#REF!</v>
      </c>
      <c r="FC79" s="23">
        <f t="shared" si="290"/>
        <v>1</v>
      </c>
      <c r="FD79" s="23" t="e">
        <f t="shared" si="279"/>
        <v>#REF!</v>
      </c>
      <c r="FE79" s="23" t="e">
        <f t="shared" si="280"/>
        <v>#REF!</v>
      </c>
      <c r="FF79" s="23" t="e">
        <f t="shared" si="281"/>
        <v>#REF!</v>
      </c>
      <c r="FG79" s="23" t="e">
        <f t="shared" si="282"/>
        <v>#REF!</v>
      </c>
      <c r="FH79" s="23"/>
      <c r="FR79" s="4">
        <f t="shared" si="140"/>
        <v>1</v>
      </c>
      <c r="FS79" s="4">
        <f t="shared" si="141"/>
        <v>1.0833333333333333</v>
      </c>
      <c r="FT79" s="4">
        <f t="shared" si="142"/>
        <v>0</v>
      </c>
      <c r="FU79" s="4">
        <f t="shared" si="143"/>
        <v>529.33445891544102</v>
      </c>
    </row>
    <row r="80" spans="2:179" ht="12" customHeight="1" x14ac:dyDescent="0.3">
      <c r="B80" s="24"/>
      <c r="C80" s="7" t="s">
        <v>283</v>
      </c>
      <c r="D80" s="7">
        <v>433</v>
      </c>
      <c r="E80" s="7">
        <f>15*25.4</f>
        <v>381</v>
      </c>
      <c r="F80" s="7">
        <v>28</v>
      </c>
      <c r="G80" s="7">
        <v>36</v>
      </c>
      <c r="H80" s="7">
        <f t="shared" ref="H80:H90" si="305">8.5*25.4</f>
        <v>215.89999999999998</v>
      </c>
      <c r="I80" s="7">
        <f t="shared" si="160"/>
        <v>89.949999999999989</v>
      </c>
      <c r="J80" s="7">
        <f t="shared" si="201"/>
        <v>50.8</v>
      </c>
      <c r="K80" s="7">
        <v>0</v>
      </c>
      <c r="L80" s="7">
        <v>1</v>
      </c>
      <c r="M80" s="7">
        <f t="shared" si="202"/>
        <v>83.6</v>
      </c>
      <c r="N80" s="7">
        <f t="shared" si="161"/>
        <v>2.822222222222222</v>
      </c>
      <c r="O80" s="7">
        <f t="shared" si="203"/>
        <v>2.9986111111111109</v>
      </c>
      <c r="P80" s="7">
        <v>1.1000000000000001</v>
      </c>
      <c r="Q80" s="7">
        <f t="shared" si="227"/>
        <v>1.1000000000000001</v>
      </c>
      <c r="R80" s="7">
        <f t="shared" si="162"/>
        <v>2.1</v>
      </c>
      <c r="S80" s="7">
        <f t="shared" si="163"/>
        <v>52.168956286281983</v>
      </c>
      <c r="T80" s="7"/>
      <c r="U80" s="7"/>
      <c r="V80" s="7">
        <v>354</v>
      </c>
      <c r="W80" s="7"/>
      <c r="X80" s="7"/>
      <c r="Y80" s="7"/>
      <c r="Z80" s="7"/>
      <c r="AA80" s="7">
        <v>1</v>
      </c>
      <c r="AB80" s="7"/>
      <c r="AC80" s="7"/>
      <c r="AD80" s="7"/>
      <c r="AE80" s="4">
        <f t="shared" si="252"/>
        <v>381</v>
      </c>
      <c r="AF80" s="44">
        <f t="shared" si="204"/>
        <v>8.3950617283950604E-2</v>
      </c>
      <c r="AG80" s="25">
        <f t="shared" si="164"/>
        <v>386.60867631208708</v>
      </c>
      <c r="AH80" s="4">
        <f t="shared" si="165"/>
        <v>0.7533333333333333</v>
      </c>
      <c r="AI80" s="4">
        <v>1.25</v>
      </c>
      <c r="AJ80" s="25">
        <f t="shared" si="146"/>
        <v>5</v>
      </c>
      <c r="AK80" s="38">
        <f t="shared" si="205"/>
        <v>152.81384098673232</v>
      </c>
      <c r="AL80" s="38">
        <f t="shared" si="148"/>
        <v>152.81384098673232</v>
      </c>
      <c r="AN80" s="38">
        <f t="shared" si="158"/>
        <v>152.8138409867322</v>
      </c>
      <c r="AO80" s="38">
        <f t="shared" si="87"/>
        <v>1.0000000000000007</v>
      </c>
      <c r="AP80" s="38">
        <f t="shared" si="206"/>
        <v>1.111825806705935</v>
      </c>
      <c r="AQ80" s="4">
        <f t="shared" si="228"/>
        <v>0</v>
      </c>
      <c r="AR80" s="4" t="e">
        <f>#REF!/G80*F80^0.5/0.19</f>
        <v>#REF!</v>
      </c>
      <c r="AS80" s="4">
        <f t="shared" si="166"/>
        <v>1.0249999999999999</v>
      </c>
      <c r="AT80" s="38">
        <f t="shared" si="167"/>
        <v>169.90237203090601</v>
      </c>
      <c r="AU80" s="4">
        <f t="shared" si="168"/>
        <v>0.84599999999999997</v>
      </c>
      <c r="AV80" s="4" t="e">
        <f>AU80*D80*#REF!/(D80*G80/2.75/F80^0.5)</f>
        <v>#REF!</v>
      </c>
      <c r="AW80" s="4" t="e">
        <f t="shared" si="207"/>
        <v>#REF!</v>
      </c>
      <c r="AY80" s="36">
        <f t="shared" si="169"/>
        <v>1.1000000000000001</v>
      </c>
      <c r="AZ80" s="36" t="e">
        <f>(1.6*#REF!+22)*AY80*F80^0.5</f>
        <v>#REF!</v>
      </c>
      <c r="BE80" s="4">
        <f t="shared" si="170"/>
        <v>89.949999999999989</v>
      </c>
      <c r="BF80" s="4">
        <f t="shared" si="171"/>
        <v>83.6</v>
      </c>
      <c r="BG80" s="4">
        <f t="shared" si="172"/>
        <v>89.949999999999989</v>
      </c>
      <c r="BH80" s="4">
        <f t="shared" si="173"/>
        <v>101.6</v>
      </c>
      <c r="BI80" s="4">
        <f t="shared" si="229"/>
        <v>1.0075956937799044</v>
      </c>
      <c r="BJ80" s="25">
        <f t="shared" si="174"/>
        <v>2.8436589580010634</v>
      </c>
      <c r="BL80" s="4">
        <f t="shared" si="175"/>
        <v>89.949999999999989</v>
      </c>
      <c r="BP80" s="9"/>
      <c r="BR80" s="9"/>
      <c r="BS80" s="9"/>
      <c r="BT80" s="9">
        <f t="shared" si="176"/>
        <v>50.8</v>
      </c>
      <c r="BU80" s="9">
        <f t="shared" si="177"/>
        <v>89.949999999999989</v>
      </c>
      <c r="BV80" s="9">
        <f t="shared" si="178"/>
        <v>1.2941994891728255</v>
      </c>
      <c r="BW80" s="9">
        <v>0</v>
      </c>
      <c r="BX80" s="9">
        <f t="shared" si="179"/>
        <v>0</v>
      </c>
      <c r="BY80" s="9">
        <f t="shared" si="208"/>
        <v>0</v>
      </c>
      <c r="BZ80" s="9">
        <f t="shared" si="180"/>
        <v>0.89637813077714179</v>
      </c>
      <c r="CA80" s="9">
        <f t="shared" si="181"/>
        <v>1.1339999999999999</v>
      </c>
      <c r="CB80" s="9">
        <f t="shared" si="182"/>
        <v>1.8825710113593779</v>
      </c>
      <c r="CC80" s="9">
        <f t="shared" si="183"/>
        <v>2.4364224412328763</v>
      </c>
      <c r="CD80" s="9">
        <v>1</v>
      </c>
      <c r="CE80" s="9" t="e">
        <f>4*CC80*#REF!+60*CC80</f>
        <v>#REF!</v>
      </c>
      <c r="CG80" s="4" t="e">
        <f t="shared" si="265"/>
        <v>#REF!</v>
      </c>
      <c r="CH80" s="4" t="e">
        <f t="shared" si="266"/>
        <v>#REF!</v>
      </c>
      <c r="CI80" s="4" t="e">
        <f t="shared" si="267"/>
        <v>#REF!</v>
      </c>
      <c r="CJ80" s="4" t="e">
        <f t="shared" si="268"/>
        <v>#REF!</v>
      </c>
      <c r="CK80" s="4" t="e">
        <f t="shared" si="269"/>
        <v>#REF!</v>
      </c>
      <c r="CL80" s="4" t="e">
        <f t="shared" si="270"/>
        <v>#REF!</v>
      </c>
      <c r="CM80" s="4">
        <f t="shared" si="215"/>
        <v>1.8807238023462929</v>
      </c>
      <c r="CO80" s="4" t="e">
        <f t="shared" si="271"/>
        <v>#REF!</v>
      </c>
      <c r="CP80" s="4" t="e">
        <f t="shared" si="272"/>
        <v>#REF!</v>
      </c>
      <c r="CQ80" s="4" t="e">
        <f t="shared" si="273"/>
        <v>#REF!</v>
      </c>
      <c r="CR80" s="4">
        <f t="shared" si="274"/>
        <v>1.8807238023462929</v>
      </c>
      <c r="CS80" s="4" t="e">
        <f t="shared" si="275"/>
        <v>#REF!</v>
      </c>
      <c r="CT80" s="4" t="e">
        <f t="shared" si="276"/>
        <v>#REF!</v>
      </c>
      <c r="DB80" s="4">
        <f t="shared" si="232"/>
        <v>0</v>
      </c>
      <c r="DC80" s="4">
        <f t="shared" si="184"/>
        <v>381</v>
      </c>
      <c r="DD80" s="4" t="e">
        <f>#REF!/E80</f>
        <v>#REF!</v>
      </c>
      <c r="DF80" s="4">
        <f t="shared" si="185"/>
        <v>1.8628104182055264E-5</v>
      </c>
      <c r="DG80" s="4">
        <f t="shared" si="233"/>
        <v>6.0161976170308948</v>
      </c>
      <c r="DH80" s="4">
        <f t="shared" si="221"/>
        <v>1.0071426790610538</v>
      </c>
      <c r="DI80" s="4">
        <f t="shared" si="149"/>
        <v>6.0333496321639828</v>
      </c>
      <c r="DJ80" s="4">
        <f t="shared" si="150"/>
        <v>6.0161976170308948</v>
      </c>
      <c r="DK80" s="4">
        <f t="shared" si="186"/>
        <v>5.5711994852791937</v>
      </c>
      <c r="DL80" s="38" t="e">
        <f t="shared" si="187"/>
        <v>#REF!</v>
      </c>
      <c r="DM80" s="4" t="e">
        <f t="shared" si="151"/>
        <v>#REF!</v>
      </c>
      <c r="DN80" s="4">
        <f t="shared" si="222"/>
        <v>1.4491376746189439</v>
      </c>
      <c r="DO80" s="4">
        <f t="shared" si="152"/>
        <v>152.8138409867322</v>
      </c>
      <c r="DS80" s="4">
        <f t="shared" si="188"/>
        <v>0.85</v>
      </c>
      <c r="DT80" s="4">
        <f t="shared" si="189"/>
        <v>0.85013888888888889</v>
      </c>
      <c r="DU80" s="4">
        <f t="shared" si="190"/>
        <v>1</v>
      </c>
      <c r="DV80" s="4">
        <f t="shared" si="223"/>
        <v>0.85013888888888889</v>
      </c>
      <c r="DX80" s="4" t="e">
        <f t="shared" si="191"/>
        <v>#REF!</v>
      </c>
      <c r="DY80" s="25">
        <f t="shared" si="192"/>
        <v>150.18137322121927</v>
      </c>
      <c r="EA80" s="4">
        <f t="shared" si="224"/>
        <v>0.72261805555555558</v>
      </c>
      <c r="EB80" s="4">
        <f t="shared" si="159"/>
        <v>6.0161976170308948</v>
      </c>
      <c r="EC80" s="4">
        <f t="shared" si="193"/>
        <v>4.9450239957683877</v>
      </c>
      <c r="EE80" s="4">
        <f t="shared" si="194"/>
        <v>52.168956286281983</v>
      </c>
      <c r="EF80" s="4">
        <f t="shared" si="235"/>
        <v>1.4491376746189439</v>
      </c>
      <c r="EG80" s="4">
        <f t="shared" si="195"/>
        <v>0.29141055716323655</v>
      </c>
      <c r="EJ80" s="4">
        <f t="shared" si="263"/>
        <v>0.29141055716323655</v>
      </c>
      <c r="EK80" s="4">
        <f t="shared" si="196"/>
        <v>0.999</v>
      </c>
      <c r="EL80" s="4">
        <f t="shared" si="237"/>
        <v>6.0137904156550812</v>
      </c>
      <c r="EM80" s="4">
        <f t="shared" ref="EM80:EM87" si="306">EB80/1.4*(1-EK80^1.4)/(1-EK80)</f>
        <v>6.0149941367632529</v>
      </c>
      <c r="EN80" s="4">
        <f t="shared" si="239"/>
        <v>233.58104371371803</v>
      </c>
      <c r="EO80" s="4">
        <f t="shared" si="240"/>
        <v>95.25</v>
      </c>
      <c r="EP80" s="4">
        <f t="shared" si="197"/>
        <v>1.8628104182055264E-5</v>
      </c>
      <c r="EQ80" s="4">
        <f t="shared" ref="EQ80:EQ87" si="307">MAX(0.5*EB80, (1-2*EP80*(EE80*EL80+EN80*EM80))/(1/EB80+EP80*EO80))</f>
        <v>5.5714881219801278</v>
      </c>
      <c r="ER80" s="4" t="e">
        <f t="shared" si="198"/>
        <v>#REF!</v>
      </c>
      <c r="ES80" s="4" t="e">
        <f t="shared" si="242"/>
        <v>#REF!</v>
      </c>
      <c r="ET80" s="4" t="e">
        <f t="shared" si="243"/>
        <v>#REF!</v>
      </c>
      <c r="EV80" s="4" t="e">
        <f t="shared" si="199"/>
        <v>#REF!</v>
      </c>
      <c r="FA80" s="23" t="e">
        <f t="shared" si="277"/>
        <v>#REF!</v>
      </c>
      <c r="FB80" s="23" t="e">
        <f t="shared" si="278"/>
        <v>#REF!</v>
      </c>
      <c r="FC80" s="23">
        <f t="shared" si="290"/>
        <v>2</v>
      </c>
      <c r="FD80" s="23" t="e">
        <f t="shared" si="279"/>
        <v>#REF!</v>
      </c>
      <c r="FE80" s="23" t="e">
        <f t="shared" si="280"/>
        <v>#REF!</v>
      </c>
      <c r="FF80" s="23" t="e">
        <f t="shared" si="281"/>
        <v>#REF!</v>
      </c>
      <c r="FG80" s="23" t="e">
        <f t="shared" si="282"/>
        <v>#REF!</v>
      </c>
      <c r="FH80" s="23"/>
      <c r="FR80" s="4">
        <f t="shared" si="140"/>
        <v>1</v>
      </c>
      <c r="FS80" s="4">
        <f t="shared" si="141"/>
        <v>1.0833333333333333</v>
      </c>
      <c r="FT80" s="4">
        <f t="shared" si="142"/>
        <v>0</v>
      </c>
      <c r="FU80" s="4">
        <f t="shared" si="143"/>
        <v>188.22540532446502</v>
      </c>
    </row>
    <row r="81" spans="1:178" ht="12" customHeight="1" x14ac:dyDescent="0.3">
      <c r="B81" s="24"/>
      <c r="C81" s="7" t="s">
        <v>279</v>
      </c>
      <c r="D81" s="7">
        <v>433</v>
      </c>
      <c r="E81" s="7">
        <f t="shared" ref="E81:E94" si="308">15*25.4</f>
        <v>381</v>
      </c>
      <c r="F81" s="7">
        <v>28</v>
      </c>
      <c r="G81" s="7">
        <v>36</v>
      </c>
      <c r="H81" s="7">
        <f t="shared" si="305"/>
        <v>215.89999999999998</v>
      </c>
      <c r="I81" s="7">
        <f t="shared" si="160"/>
        <v>89.949999999999989</v>
      </c>
      <c r="J81" s="7">
        <f t="shared" si="201"/>
        <v>50.8</v>
      </c>
      <c r="K81" s="7">
        <v>0</v>
      </c>
      <c r="L81" s="7">
        <v>1</v>
      </c>
      <c r="M81" s="7">
        <f t="shared" si="202"/>
        <v>83.6</v>
      </c>
      <c r="N81" s="7">
        <f t="shared" si="161"/>
        <v>2.822222222222222</v>
      </c>
      <c r="O81" s="7">
        <f t="shared" si="203"/>
        <v>2.9986111111111109</v>
      </c>
      <c r="P81" s="7">
        <v>1.56</v>
      </c>
      <c r="Q81" s="7">
        <f t="shared" si="227"/>
        <v>1.56</v>
      </c>
      <c r="R81" s="7">
        <f t="shared" si="162"/>
        <v>2.56</v>
      </c>
      <c r="S81" s="7">
        <f t="shared" si="163"/>
        <v>57.6</v>
      </c>
      <c r="T81" s="7"/>
      <c r="U81" s="7"/>
      <c r="V81" s="7">
        <v>370</v>
      </c>
      <c r="W81" s="7"/>
      <c r="X81" s="7"/>
      <c r="Y81" s="7"/>
      <c r="Z81" s="7"/>
      <c r="AA81" s="7">
        <v>1</v>
      </c>
      <c r="AB81" s="7"/>
      <c r="AC81" s="7"/>
      <c r="AD81" s="7"/>
      <c r="AE81" s="4">
        <f t="shared" si="252"/>
        <v>381</v>
      </c>
      <c r="AF81" s="44">
        <f t="shared" si="204"/>
        <v>8.3950617283950604E-2</v>
      </c>
      <c r="AG81" s="25">
        <f t="shared" si="164"/>
        <v>386.60867631208708</v>
      </c>
      <c r="AH81" s="4">
        <f t="shared" si="165"/>
        <v>0.7533333333333333</v>
      </c>
      <c r="AI81" s="4">
        <v>1.25</v>
      </c>
      <c r="AJ81" s="25">
        <f t="shared" si="146"/>
        <v>5</v>
      </c>
      <c r="AK81" s="38">
        <f t="shared" si="205"/>
        <v>152.81384098673232</v>
      </c>
      <c r="AL81" s="38">
        <f t="shared" si="148"/>
        <v>152.81384098673232</v>
      </c>
      <c r="AN81" s="38">
        <f t="shared" si="158"/>
        <v>152.8138409867322</v>
      </c>
      <c r="AO81" s="38">
        <f t="shared" si="87"/>
        <v>1.0000000000000007</v>
      </c>
      <c r="AP81" s="38">
        <f t="shared" si="206"/>
        <v>1.3240448818791442</v>
      </c>
      <c r="AQ81" s="4">
        <f t="shared" si="228"/>
        <v>0</v>
      </c>
      <c r="AR81" s="4" t="e">
        <f>#REF!/G81*F81^0.5/0.19</f>
        <v>#REF!</v>
      </c>
      <c r="AS81" s="4">
        <f t="shared" si="166"/>
        <v>1.0249999999999999</v>
      </c>
      <c r="AT81" s="38">
        <f t="shared" si="167"/>
        <v>202.33238403877615</v>
      </c>
      <c r="AU81" s="4">
        <f t="shared" si="168"/>
        <v>0.78160000000000007</v>
      </c>
      <c r="AV81" s="4" t="e">
        <f>AU81*D81*#REF!/(D81*G81/2.75/F81^0.5)</f>
        <v>#REF!</v>
      </c>
      <c r="AW81" s="4" t="e">
        <f t="shared" si="207"/>
        <v>#REF!</v>
      </c>
      <c r="AY81" s="36">
        <f t="shared" si="169"/>
        <v>1.1000000000000001</v>
      </c>
      <c r="AZ81" s="36" t="e">
        <f>(1.6*#REF!+22)*AY81*F81^0.5</f>
        <v>#REF!</v>
      </c>
      <c r="BE81" s="4">
        <f t="shared" si="170"/>
        <v>89.949999999999989</v>
      </c>
      <c r="BF81" s="4">
        <f t="shared" si="171"/>
        <v>83.6</v>
      </c>
      <c r="BG81" s="4">
        <f t="shared" si="172"/>
        <v>89.949999999999989</v>
      </c>
      <c r="BH81" s="4">
        <f t="shared" si="173"/>
        <v>101.6</v>
      </c>
      <c r="BI81" s="4">
        <f t="shared" si="229"/>
        <v>1.0075956937799044</v>
      </c>
      <c r="BJ81" s="25">
        <f t="shared" si="174"/>
        <v>2.8436589580010634</v>
      </c>
      <c r="BL81" s="4">
        <f t="shared" si="175"/>
        <v>89.949999999999989</v>
      </c>
      <c r="BP81" s="9"/>
      <c r="BR81" s="9"/>
      <c r="BS81" s="9"/>
      <c r="BT81" s="9">
        <f t="shared" si="176"/>
        <v>50.8</v>
      </c>
      <c r="BU81" s="9">
        <f t="shared" si="177"/>
        <v>89.949999999999989</v>
      </c>
      <c r="BV81" s="9">
        <f t="shared" si="178"/>
        <v>1.2941994891728255</v>
      </c>
      <c r="BW81" s="9">
        <v>0</v>
      </c>
      <c r="BX81" s="9">
        <f t="shared" si="179"/>
        <v>0</v>
      </c>
      <c r="BY81" s="9">
        <f t="shared" si="208"/>
        <v>0</v>
      </c>
      <c r="BZ81" s="9">
        <f t="shared" si="180"/>
        <v>0.89637813077714179</v>
      </c>
      <c r="CA81" s="9">
        <f t="shared" si="181"/>
        <v>1.1339999999999999</v>
      </c>
      <c r="CB81" s="9">
        <f t="shared" si="182"/>
        <v>1.8825710113593779</v>
      </c>
      <c r="CC81" s="9">
        <f t="shared" si="183"/>
        <v>2.4364224412328763</v>
      </c>
      <c r="CD81" s="9">
        <v>1</v>
      </c>
      <c r="CE81" s="9" t="e">
        <f>4*CC81*#REF!+60*CC81</f>
        <v>#REF!</v>
      </c>
      <c r="CG81" s="4" t="e">
        <f t="shared" si="265"/>
        <v>#REF!</v>
      </c>
      <c r="CH81" s="4" t="e">
        <f t="shared" si="266"/>
        <v>#REF!</v>
      </c>
      <c r="CI81" s="4" t="e">
        <f t="shared" si="267"/>
        <v>#REF!</v>
      </c>
      <c r="CJ81" s="4" t="e">
        <f t="shared" si="268"/>
        <v>#REF!</v>
      </c>
      <c r="CK81" s="4" t="e">
        <f t="shared" si="269"/>
        <v>#REF!</v>
      </c>
      <c r="CL81" s="4" t="e">
        <f t="shared" si="270"/>
        <v>#REF!</v>
      </c>
      <c r="CM81" s="4">
        <f t="shared" si="215"/>
        <v>1.9657282679890631</v>
      </c>
      <c r="CO81" s="4" t="e">
        <f t="shared" si="271"/>
        <v>#REF!</v>
      </c>
      <c r="CP81" s="4" t="e">
        <f t="shared" si="272"/>
        <v>#REF!</v>
      </c>
      <c r="CQ81" s="4" t="e">
        <f t="shared" si="273"/>
        <v>#REF!</v>
      </c>
      <c r="CR81" s="4">
        <f t="shared" si="274"/>
        <v>1.9657282679890631</v>
      </c>
      <c r="CS81" s="4" t="e">
        <f t="shared" si="275"/>
        <v>#REF!</v>
      </c>
      <c r="CT81" s="4" t="e">
        <f t="shared" si="276"/>
        <v>#REF!</v>
      </c>
      <c r="DB81" s="4">
        <f t="shared" si="232"/>
        <v>0</v>
      </c>
      <c r="DC81" s="4">
        <f t="shared" si="184"/>
        <v>381</v>
      </c>
      <c r="DD81" s="4" t="e">
        <f>#REF!/E81</f>
        <v>#REF!</v>
      </c>
      <c r="DF81" s="4">
        <f t="shared" si="185"/>
        <v>1.8628104182055264E-5</v>
      </c>
      <c r="DG81" s="4">
        <f t="shared" si="233"/>
        <v>6.0161976170308948</v>
      </c>
      <c r="DH81" s="4">
        <f t="shared" si="221"/>
        <v>0.78409633208226204</v>
      </c>
      <c r="DI81" s="4">
        <f t="shared" si="149"/>
        <v>5.4584566077996932</v>
      </c>
      <c r="DJ81" s="4">
        <f t="shared" si="150"/>
        <v>5.7441021490542692</v>
      </c>
      <c r="DK81" s="4">
        <f t="shared" si="186"/>
        <v>5.5922899678380382</v>
      </c>
      <c r="DL81" s="38" t="e">
        <f t="shared" si="187"/>
        <v>#REF!</v>
      </c>
      <c r="DM81" s="4" t="e">
        <f t="shared" si="151"/>
        <v>#REF!</v>
      </c>
      <c r="DN81" s="4">
        <f t="shared" si="222"/>
        <v>1.6</v>
      </c>
      <c r="DO81" s="4">
        <f t="shared" si="152"/>
        <v>152.8138409867322</v>
      </c>
      <c r="DS81" s="4">
        <f t="shared" si="188"/>
        <v>0.85</v>
      </c>
      <c r="DT81" s="4">
        <f t="shared" si="189"/>
        <v>0.85013888888888889</v>
      </c>
      <c r="DU81" s="4">
        <f t="shared" si="190"/>
        <v>1</v>
      </c>
      <c r="DV81" s="4">
        <f t="shared" si="223"/>
        <v>0.85013888888888889</v>
      </c>
      <c r="DX81" s="4" t="e">
        <f t="shared" si="191"/>
        <v>#REF!</v>
      </c>
      <c r="DY81" s="25">
        <f t="shared" si="192"/>
        <v>150.18137322121927</v>
      </c>
      <c r="EA81" s="4">
        <f t="shared" si="224"/>
        <v>0.72261805555555558</v>
      </c>
      <c r="EB81" s="4">
        <f t="shared" si="159"/>
        <v>6.0161976170308948</v>
      </c>
      <c r="EC81" s="4">
        <f t="shared" si="193"/>
        <v>4.9450239957683877</v>
      </c>
      <c r="EE81" s="4">
        <f t="shared" si="194"/>
        <v>57.6</v>
      </c>
      <c r="EF81" s="4">
        <f t="shared" si="235"/>
        <v>1.6</v>
      </c>
      <c r="EG81" s="4">
        <f t="shared" si="195"/>
        <v>0.22687346465623337</v>
      </c>
      <c r="EJ81" s="4">
        <f t="shared" si="263"/>
        <v>0.22687346465623337</v>
      </c>
      <c r="EK81" s="4">
        <f t="shared" si="196"/>
        <v>0.7827878214397076</v>
      </c>
      <c r="EL81" s="4">
        <f t="shared" si="237"/>
        <v>5.4548111232940046</v>
      </c>
      <c r="EM81" s="4">
        <f t="shared" si="306"/>
        <v>5.7423704095518984</v>
      </c>
      <c r="EN81" s="4">
        <f t="shared" si="239"/>
        <v>228.15</v>
      </c>
      <c r="EO81" s="4">
        <f t="shared" si="240"/>
        <v>95.249999999999972</v>
      </c>
      <c r="EP81" s="4">
        <f t="shared" si="197"/>
        <v>1.8628104182055258E-5</v>
      </c>
      <c r="EQ81" s="4">
        <f t="shared" si="307"/>
        <v>5.5924241576291642</v>
      </c>
      <c r="ER81" s="4" t="e">
        <f t="shared" si="198"/>
        <v>#REF!</v>
      </c>
      <c r="ES81" s="4" t="e">
        <f t="shared" si="242"/>
        <v>#REF!</v>
      </c>
      <c r="ET81" s="4" t="e">
        <f t="shared" si="243"/>
        <v>#REF!</v>
      </c>
      <c r="EV81" s="4" t="e">
        <f t="shared" si="199"/>
        <v>#REF!</v>
      </c>
      <c r="FA81" s="23" t="e">
        <f t="shared" si="277"/>
        <v>#REF!</v>
      </c>
      <c r="FB81" s="23" t="e">
        <f t="shared" si="278"/>
        <v>#REF!</v>
      </c>
      <c r="FC81" s="23">
        <f t="shared" si="290"/>
        <v>2</v>
      </c>
      <c r="FD81" s="23" t="e">
        <f t="shared" si="279"/>
        <v>#REF!</v>
      </c>
      <c r="FE81" s="23" t="e">
        <f t="shared" si="280"/>
        <v>#REF!</v>
      </c>
      <c r="FF81" s="23" t="e">
        <f t="shared" si="281"/>
        <v>#REF!</v>
      </c>
      <c r="FG81" s="23" t="e">
        <f t="shared" si="282"/>
        <v>#REF!</v>
      </c>
      <c r="FH81" s="23"/>
      <c r="FR81" s="4">
        <f t="shared" si="140"/>
        <v>1</v>
      </c>
      <c r="FS81" s="4">
        <f t="shared" si="141"/>
        <v>1.0833333333333333</v>
      </c>
      <c r="FT81" s="4">
        <f t="shared" si="142"/>
        <v>0</v>
      </c>
      <c r="FU81" s="4">
        <f t="shared" si="143"/>
        <v>188.22540532446502</v>
      </c>
    </row>
    <row r="82" spans="1:178" ht="12" customHeight="1" x14ac:dyDescent="0.3">
      <c r="B82" s="24"/>
      <c r="C82" s="7" t="s">
        <v>284</v>
      </c>
      <c r="D82" s="7">
        <v>433</v>
      </c>
      <c r="E82" s="7">
        <f t="shared" si="308"/>
        <v>381</v>
      </c>
      <c r="F82" s="7">
        <v>28</v>
      </c>
      <c r="G82" s="7">
        <v>36</v>
      </c>
      <c r="H82" s="7">
        <f t="shared" si="305"/>
        <v>215.89999999999998</v>
      </c>
      <c r="I82" s="7">
        <f t="shared" si="160"/>
        <v>89.949999999999989</v>
      </c>
      <c r="J82" s="7">
        <f t="shared" si="201"/>
        <v>50.8</v>
      </c>
      <c r="K82" s="7">
        <v>0</v>
      </c>
      <c r="L82" s="7">
        <v>1</v>
      </c>
      <c r="M82" s="7">
        <f t="shared" si="202"/>
        <v>83.6</v>
      </c>
      <c r="N82" s="7">
        <f t="shared" si="161"/>
        <v>2.822222222222222</v>
      </c>
      <c r="O82" s="7">
        <f t="shared" si="203"/>
        <v>2.9986111111111109</v>
      </c>
      <c r="P82" s="7">
        <v>2.85</v>
      </c>
      <c r="Q82" s="7">
        <f t="shared" si="227"/>
        <v>2.85</v>
      </c>
      <c r="R82" s="7">
        <f t="shared" si="162"/>
        <v>3.85</v>
      </c>
      <c r="S82" s="7">
        <f t="shared" si="163"/>
        <v>70.637100733254911</v>
      </c>
      <c r="T82" s="7"/>
      <c r="U82" s="7"/>
      <c r="V82" s="7">
        <v>345</v>
      </c>
      <c r="W82" s="7"/>
      <c r="X82" s="7"/>
      <c r="Y82" s="7"/>
      <c r="Z82" s="7"/>
      <c r="AA82" s="7">
        <v>1</v>
      </c>
      <c r="AB82" s="7"/>
      <c r="AC82" s="7"/>
      <c r="AD82" s="7"/>
      <c r="AE82" s="4">
        <f t="shared" si="252"/>
        <v>381</v>
      </c>
      <c r="AF82" s="44">
        <f t="shared" si="204"/>
        <v>8.3950617283950604E-2</v>
      </c>
      <c r="AG82" s="25">
        <f t="shared" si="164"/>
        <v>386.60867631208708</v>
      </c>
      <c r="AH82" s="4">
        <f t="shared" si="165"/>
        <v>0.7533333333333333</v>
      </c>
      <c r="AI82" s="4">
        <v>1.25</v>
      </c>
      <c r="AJ82" s="25">
        <f t="shared" si="146"/>
        <v>5</v>
      </c>
      <c r="AK82" s="38">
        <f t="shared" si="205"/>
        <v>152.81384098673232</v>
      </c>
      <c r="AL82" s="38">
        <f t="shared" si="148"/>
        <v>152.81384098673232</v>
      </c>
      <c r="AN82" s="38">
        <f t="shared" si="158"/>
        <v>152.8138409867322</v>
      </c>
      <c r="AO82" s="38">
        <f t="shared" si="87"/>
        <v>1.0000000000000007</v>
      </c>
      <c r="AP82" s="38">
        <f t="shared" si="206"/>
        <v>1.7896282955110878</v>
      </c>
      <c r="AQ82" s="4">
        <f t="shared" si="228"/>
        <v>0</v>
      </c>
      <c r="AR82" s="4" t="e">
        <f>#REF!/G82*F82^0.5/0.19</f>
        <v>#REF!</v>
      </c>
      <c r="AS82" s="4">
        <f t="shared" si="166"/>
        <v>1.0249999999999999</v>
      </c>
      <c r="AT82" s="38">
        <f t="shared" si="167"/>
        <v>273.47997377558795</v>
      </c>
      <c r="AU82" s="4">
        <f t="shared" si="168"/>
        <v>0.60099999999999998</v>
      </c>
      <c r="AV82" s="4" t="e">
        <f>AU82*D82*#REF!/(D82*G82/2.75/F82^0.5)</f>
        <v>#REF!</v>
      </c>
      <c r="AW82" s="4" t="e">
        <f t="shared" si="207"/>
        <v>#REF!</v>
      </c>
      <c r="AY82" s="36">
        <f t="shared" si="169"/>
        <v>1.1000000000000001</v>
      </c>
      <c r="AZ82" s="36" t="e">
        <f>(1.6*#REF!+22)*AY82*F82^0.5</f>
        <v>#REF!</v>
      </c>
      <c r="BE82" s="4">
        <f t="shared" si="170"/>
        <v>89.949999999999989</v>
      </c>
      <c r="BF82" s="4">
        <f t="shared" si="171"/>
        <v>83.6</v>
      </c>
      <c r="BG82" s="4">
        <f t="shared" si="172"/>
        <v>89.949999999999989</v>
      </c>
      <c r="BH82" s="4">
        <f t="shared" si="173"/>
        <v>101.6</v>
      </c>
      <c r="BI82" s="4">
        <f t="shared" si="229"/>
        <v>1.0075956937799044</v>
      </c>
      <c r="BJ82" s="25">
        <f t="shared" si="174"/>
        <v>2.8436589580010634</v>
      </c>
      <c r="BL82" s="4">
        <f t="shared" si="175"/>
        <v>89.949999999999989</v>
      </c>
      <c r="BP82" s="9"/>
      <c r="BR82" s="9"/>
      <c r="BS82" s="9"/>
      <c r="BT82" s="9">
        <f t="shared" si="176"/>
        <v>50.8</v>
      </c>
      <c r="BU82" s="9">
        <f t="shared" si="177"/>
        <v>89.949999999999989</v>
      </c>
      <c r="BV82" s="9">
        <f t="shared" si="178"/>
        <v>1.2941994891728255</v>
      </c>
      <c r="BW82" s="9">
        <v>0</v>
      </c>
      <c r="BX82" s="9">
        <f t="shared" si="179"/>
        <v>0</v>
      </c>
      <c r="BY82" s="9">
        <f t="shared" si="208"/>
        <v>0</v>
      </c>
      <c r="BZ82" s="9">
        <f t="shared" si="180"/>
        <v>0.89637813077714179</v>
      </c>
      <c r="CA82" s="9">
        <f t="shared" si="181"/>
        <v>1.1339999999999999</v>
      </c>
      <c r="CB82" s="9">
        <f t="shared" si="182"/>
        <v>1.8825710113593779</v>
      </c>
      <c r="CC82" s="9">
        <f t="shared" si="183"/>
        <v>2.4364224412328763</v>
      </c>
      <c r="CD82" s="9">
        <v>1</v>
      </c>
      <c r="CE82" s="9" t="e">
        <f>4*CC82*#REF!+60*CC82</f>
        <v>#REF!</v>
      </c>
      <c r="CG82" s="4" t="e">
        <f t="shared" si="265"/>
        <v>#REF!</v>
      </c>
      <c r="CH82" s="4" t="e">
        <f t="shared" si="266"/>
        <v>#REF!</v>
      </c>
      <c r="CI82" s="4" t="e">
        <f t="shared" si="267"/>
        <v>#REF!</v>
      </c>
      <c r="CJ82" s="4" t="e">
        <f t="shared" si="268"/>
        <v>#REF!</v>
      </c>
      <c r="CK82" s="4" t="e">
        <f t="shared" si="269"/>
        <v>#REF!</v>
      </c>
      <c r="CL82" s="4" t="e">
        <f t="shared" si="270"/>
        <v>#REF!</v>
      </c>
      <c r="CM82" s="4">
        <f t="shared" si="215"/>
        <v>1.8329087904222345</v>
      </c>
      <c r="CO82" s="4" t="e">
        <f t="shared" si="271"/>
        <v>#REF!</v>
      </c>
      <c r="CP82" s="4" t="e">
        <f t="shared" si="272"/>
        <v>#REF!</v>
      </c>
      <c r="CQ82" s="4" t="e">
        <f t="shared" si="273"/>
        <v>#REF!</v>
      </c>
      <c r="CR82" s="4">
        <f t="shared" si="274"/>
        <v>1.8329087904222345</v>
      </c>
      <c r="CS82" s="4" t="e">
        <f t="shared" si="275"/>
        <v>#REF!</v>
      </c>
      <c r="CT82" s="4" t="e">
        <f t="shared" si="276"/>
        <v>#REF!</v>
      </c>
      <c r="DB82" s="4">
        <f t="shared" si="232"/>
        <v>0</v>
      </c>
      <c r="DC82" s="4">
        <f t="shared" si="184"/>
        <v>381</v>
      </c>
      <c r="DD82" s="4" t="e">
        <f>#REF!/E82</f>
        <v>#REF!</v>
      </c>
      <c r="DF82" s="4">
        <f t="shared" si="185"/>
        <v>1.8628104182055264E-5</v>
      </c>
      <c r="DG82" s="4">
        <f t="shared" si="233"/>
        <v>6.0161976170308948</v>
      </c>
      <c r="DH82" s="4">
        <f t="shared" si="221"/>
        <v>0.52633171836280401</v>
      </c>
      <c r="DI82" s="4">
        <f t="shared" si="149"/>
        <v>4.6539949788353114</v>
      </c>
      <c r="DJ82" s="4">
        <f t="shared" si="150"/>
        <v>5.3784662944781267</v>
      </c>
      <c r="DK82" s="4">
        <f t="shared" si="186"/>
        <v>5.623161220484743</v>
      </c>
      <c r="DL82" s="38" t="e">
        <f t="shared" si="187"/>
        <v>#REF!</v>
      </c>
      <c r="DM82" s="4" t="e">
        <f t="shared" si="151"/>
        <v>#REF!</v>
      </c>
      <c r="DN82" s="4">
        <f t="shared" si="222"/>
        <v>1.9621416870348587</v>
      </c>
      <c r="DO82" s="4">
        <f t="shared" si="152"/>
        <v>152.8138409867322</v>
      </c>
      <c r="DS82" s="4">
        <f t="shared" si="188"/>
        <v>0.85</v>
      </c>
      <c r="DT82" s="4">
        <f t="shared" si="189"/>
        <v>0.85013888888888889</v>
      </c>
      <c r="DU82" s="4">
        <f t="shared" si="190"/>
        <v>1</v>
      </c>
      <c r="DV82" s="4">
        <f t="shared" si="223"/>
        <v>0.85013888888888889</v>
      </c>
      <c r="DX82" s="4" t="e">
        <f t="shared" si="191"/>
        <v>#REF!</v>
      </c>
      <c r="DY82" s="25">
        <f t="shared" si="192"/>
        <v>150.18137322121927</v>
      </c>
      <c r="EA82" s="4">
        <f t="shared" si="224"/>
        <v>0.72261805555555558</v>
      </c>
      <c r="EB82" s="4">
        <f t="shared" si="159"/>
        <v>6.0161976170308948</v>
      </c>
      <c r="EC82" s="4">
        <f t="shared" si="193"/>
        <v>4.9450239957683877</v>
      </c>
      <c r="EE82" s="4">
        <f t="shared" si="194"/>
        <v>70.637100733254911</v>
      </c>
      <c r="EF82" s="4">
        <f t="shared" si="235"/>
        <v>1.9621416870348585</v>
      </c>
      <c r="EG82" s="4">
        <f t="shared" si="195"/>
        <v>0.15229085460242964</v>
      </c>
      <c r="EJ82" s="4">
        <f t="shared" si="263"/>
        <v>0.15229085460242964</v>
      </c>
      <c r="EK82" s="4">
        <f t="shared" si="196"/>
        <v>0.5254533688197538</v>
      </c>
      <c r="EL82" s="4">
        <f t="shared" si="237"/>
        <v>4.6508867620253334</v>
      </c>
      <c r="EM82" s="4">
        <f t="shared" si="306"/>
        <v>5.3771224773913264</v>
      </c>
      <c r="EN82" s="4">
        <f t="shared" si="239"/>
        <v>215.1128992667451</v>
      </c>
      <c r="EO82" s="4">
        <f t="shared" si="240"/>
        <v>95.25</v>
      </c>
      <c r="EP82" s="4">
        <f t="shared" si="197"/>
        <v>1.8628104182055264E-5</v>
      </c>
      <c r="EQ82" s="4">
        <f t="shared" si="307"/>
        <v>5.6232740205776892</v>
      </c>
      <c r="ER82" s="4" t="e">
        <f t="shared" si="198"/>
        <v>#REF!</v>
      </c>
      <c r="ES82" s="4" t="e">
        <f t="shared" si="242"/>
        <v>#REF!</v>
      </c>
      <c r="ET82" s="4" t="e">
        <f t="shared" si="243"/>
        <v>#REF!</v>
      </c>
      <c r="EV82" s="4" t="e">
        <f t="shared" si="199"/>
        <v>#REF!</v>
      </c>
      <c r="FA82" s="23" t="e">
        <f t="shared" si="277"/>
        <v>#REF!</v>
      </c>
      <c r="FB82" s="23" t="e">
        <f t="shared" si="278"/>
        <v>#REF!</v>
      </c>
      <c r="FC82" s="23">
        <f t="shared" si="290"/>
        <v>2</v>
      </c>
      <c r="FD82" s="23" t="e">
        <f t="shared" si="279"/>
        <v>#REF!</v>
      </c>
      <c r="FE82" s="23" t="e">
        <f t="shared" si="280"/>
        <v>#REF!</v>
      </c>
      <c r="FF82" s="23" t="e">
        <f t="shared" si="281"/>
        <v>#REF!</v>
      </c>
      <c r="FG82" s="23" t="e">
        <f t="shared" si="282"/>
        <v>#REF!</v>
      </c>
      <c r="FH82" s="23"/>
      <c r="FR82" s="4">
        <f t="shared" si="140"/>
        <v>1</v>
      </c>
      <c r="FS82" s="4">
        <f t="shared" si="141"/>
        <v>1.0833333333333333</v>
      </c>
      <c r="FT82" s="4">
        <f t="shared" si="142"/>
        <v>0</v>
      </c>
      <c r="FU82" s="4">
        <f t="shared" si="143"/>
        <v>188.22540532446502</v>
      </c>
    </row>
    <row r="83" spans="1:178" ht="12" customHeight="1" x14ac:dyDescent="0.3">
      <c r="B83" s="24"/>
      <c r="C83" s="7" t="s">
        <v>285</v>
      </c>
      <c r="D83" s="7">
        <v>433</v>
      </c>
      <c r="E83" s="7">
        <f t="shared" si="308"/>
        <v>381</v>
      </c>
      <c r="F83" s="7">
        <v>28</v>
      </c>
      <c r="G83" s="7">
        <v>36</v>
      </c>
      <c r="H83" s="7">
        <f t="shared" si="305"/>
        <v>215.89999999999998</v>
      </c>
      <c r="I83" s="7">
        <f t="shared" si="160"/>
        <v>89.949999999999989</v>
      </c>
      <c r="J83" s="7">
        <f t="shared" si="201"/>
        <v>50.8</v>
      </c>
      <c r="K83" s="7">
        <v>0</v>
      </c>
      <c r="L83" s="7">
        <v>1</v>
      </c>
      <c r="M83" s="7">
        <f t="shared" si="202"/>
        <v>83.6</v>
      </c>
      <c r="N83" s="7">
        <f t="shared" si="161"/>
        <v>2.822222222222222</v>
      </c>
      <c r="O83" s="7">
        <f t="shared" si="203"/>
        <v>2.9986111111111109</v>
      </c>
      <c r="P83" s="7">
        <v>2.85</v>
      </c>
      <c r="Q83" s="7">
        <f t="shared" si="227"/>
        <v>2.85</v>
      </c>
      <c r="R83" s="7">
        <f t="shared" si="162"/>
        <v>3.85</v>
      </c>
      <c r="S83" s="7">
        <f t="shared" si="163"/>
        <v>70.637100733254911</v>
      </c>
      <c r="T83" s="7"/>
      <c r="U83" s="7"/>
      <c r="V83" s="7">
        <v>375</v>
      </c>
      <c r="W83" s="7"/>
      <c r="X83" s="7"/>
      <c r="Y83" s="7"/>
      <c r="Z83" s="7"/>
      <c r="AA83" s="7">
        <v>1</v>
      </c>
      <c r="AB83" s="7"/>
      <c r="AC83" s="7"/>
      <c r="AD83" s="7"/>
      <c r="AE83" s="4">
        <f t="shared" si="252"/>
        <v>381</v>
      </c>
      <c r="AF83" s="44">
        <f t="shared" si="204"/>
        <v>8.3950617283950604E-2</v>
      </c>
      <c r="AG83" s="25">
        <f t="shared" si="164"/>
        <v>386.60867631208708</v>
      </c>
      <c r="AH83" s="4">
        <f t="shared" si="165"/>
        <v>0.7533333333333333</v>
      </c>
      <c r="AI83" s="4">
        <v>1.25</v>
      </c>
      <c r="AJ83" s="25">
        <f t="shared" si="146"/>
        <v>5</v>
      </c>
      <c r="AK83" s="38">
        <f t="shared" si="205"/>
        <v>152.81384098673232</v>
      </c>
      <c r="AL83" s="38">
        <f t="shared" si="148"/>
        <v>152.81384098673232</v>
      </c>
      <c r="AN83" s="38">
        <f t="shared" si="158"/>
        <v>152.8138409867322</v>
      </c>
      <c r="AO83" s="38">
        <f t="shared" si="87"/>
        <v>1.0000000000000007</v>
      </c>
      <c r="AP83" s="38">
        <f t="shared" si="206"/>
        <v>1.7896282955110878</v>
      </c>
      <c r="AQ83" s="4">
        <f t="shared" si="228"/>
        <v>0</v>
      </c>
      <c r="AR83" s="4" t="e">
        <f>#REF!/G83*F83^0.5/0.19</f>
        <v>#REF!</v>
      </c>
      <c r="AS83" s="4">
        <f t="shared" si="166"/>
        <v>1.0249999999999999</v>
      </c>
      <c r="AT83" s="38">
        <f t="shared" si="167"/>
        <v>273.47997377558795</v>
      </c>
      <c r="AU83" s="4">
        <f t="shared" si="168"/>
        <v>0.60099999999999998</v>
      </c>
      <c r="AV83" s="4" t="e">
        <f>AU83*D83*#REF!/(D83*G83/2.75/F83^0.5)</f>
        <v>#REF!</v>
      </c>
      <c r="AW83" s="4" t="e">
        <f t="shared" si="207"/>
        <v>#REF!</v>
      </c>
      <c r="AY83" s="36">
        <f t="shared" si="169"/>
        <v>1.1000000000000001</v>
      </c>
      <c r="AZ83" s="36" t="e">
        <f>(1.6*#REF!+22)*AY83*F83^0.5</f>
        <v>#REF!</v>
      </c>
      <c r="BE83" s="4">
        <f t="shared" si="170"/>
        <v>89.949999999999989</v>
      </c>
      <c r="BF83" s="4">
        <f t="shared" si="171"/>
        <v>83.6</v>
      </c>
      <c r="BG83" s="4">
        <f t="shared" si="172"/>
        <v>89.949999999999989</v>
      </c>
      <c r="BH83" s="4">
        <f t="shared" si="173"/>
        <v>101.6</v>
      </c>
      <c r="BI83" s="4">
        <f t="shared" si="229"/>
        <v>1.0075956937799044</v>
      </c>
      <c r="BJ83" s="25">
        <f t="shared" si="174"/>
        <v>2.8436589580010634</v>
      </c>
      <c r="BL83" s="4">
        <f t="shared" si="175"/>
        <v>89.949999999999989</v>
      </c>
      <c r="BP83" s="9"/>
      <c r="BR83" s="9"/>
      <c r="BS83" s="9"/>
      <c r="BT83" s="9">
        <f t="shared" si="176"/>
        <v>50.8</v>
      </c>
      <c r="BU83" s="9">
        <f t="shared" si="177"/>
        <v>89.949999999999989</v>
      </c>
      <c r="BV83" s="9">
        <f t="shared" si="178"/>
        <v>1.2941994891728255</v>
      </c>
      <c r="BW83" s="9">
        <v>0</v>
      </c>
      <c r="BX83" s="9">
        <f t="shared" si="179"/>
        <v>0</v>
      </c>
      <c r="BY83" s="9">
        <f t="shared" si="208"/>
        <v>0</v>
      </c>
      <c r="BZ83" s="9">
        <f t="shared" si="180"/>
        <v>0.89637813077714179</v>
      </c>
      <c r="CA83" s="9">
        <f t="shared" si="181"/>
        <v>1.1339999999999999</v>
      </c>
      <c r="CB83" s="9">
        <f t="shared" si="182"/>
        <v>1.8825710113593779</v>
      </c>
      <c r="CC83" s="9">
        <f t="shared" si="183"/>
        <v>2.4364224412328763</v>
      </c>
      <c r="CD83" s="9">
        <v>1</v>
      </c>
      <c r="CE83" s="9" t="e">
        <f>4*CC83*#REF!+60*CC83</f>
        <v>#REF!</v>
      </c>
      <c r="CG83" s="4" t="e">
        <f t="shared" si="265"/>
        <v>#REF!</v>
      </c>
      <c r="CH83" s="4" t="e">
        <f t="shared" si="266"/>
        <v>#REF!</v>
      </c>
      <c r="CI83" s="4" t="e">
        <f t="shared" si="267"/>
        <v>#REF!</v>
      </c>
      <c r="CJ83" s="4" t="e">
        <f t="shared" si="268"/>
        <v>#REF!</v>
      </c>
      <c r="CK83" s="4" t="e">
        <f t="shared" si="269"/>
        <v>#REF!</v>
      </c>
      <c r="CL83" s="4" t="e">
        <f t="shared" si="270"/>
        <v>#REF!</v>
      </c>
      <c r="CM83" s="4">
        <f t="shared" si="215"/>
        <v>1.9922921635024289</v>
      </c>
      <c r="CO83" s="4" t="e">
        <f t="shared" si="271"/>
        <v>#REF!</v>
      </c>
      <c r="CP83" s="4" t="e">
        <f t="shared" si="272"/>
        <v>#REF!</v>
      </c>
      <c r="CQ83" s="4" t="e">
        <f t="shared" si="273"/>
        <v>#REF!</v>
      </c>
      <c r="CR83" s="4">
        <f t="shared" si="274"/>
        <v>1.9922921635024289</v>
      </c>
      <c r="CS83" s="4" t="e">
        <f t="shared" si="275"/>
        <v>#REF!</v>
      </c>
      <c r="CT83" s="4" t="e">
        <f t="shared" si="276"/>
        <v>#REF!</v>
      </c>
      <c r="DB83" s="4">
        <f t="shared" si="232"/>
        <v>0</v>
      </c>
      <c r="DC83" s="4">
        <f t="shared" si="184"/>
        <v>381</v>
      </c>
      <c r="DD83" s="4" t="e">
        <f>#REF!/E83</f>
        <v>#REF!</v>
      </c>
      <c r="DF83" s="4">
        <f t="shared" si="185"/>
        <v>1.8628104182055264E-5</v>
      </c>
      <c r="DG83" s="4">
        <f t="shared" si="233"/>
        <v>6.0161976170308948</v>
      </c>
      <c r="DH83" s="4">
        <f t="shared" si="221"/>
        <v>0.52633171836280401</v>
      </c>
      <c r="DI83" s="4">
        <f t="shared" si="149"/>
        <v>4.6539949788353114</v>
      </c>
      <c r="DJ83" s="4">
        <f t="shared" si="150"/>
        <v>5.3784662944781267</v>
      </c>
      <c r="DK83" s="4">
        <f t="shared" si="186"/>
        <v>5.623161220484743</v>
      </c>
      <c r="DL83" s="38" t="e">
        <f t="shared" si="187"/>
        <v>#REF!</v>
      </c>
      <c r="DM83" s="4" t="e">
        <f t="shared" si="151"/>
        <v>#REF!</v>
      </c>
      <c r="DN83" s="4">
        <f t="shared" si="222"/>
        <v>1.9621416870348587</v>
      </c>
      <c r="DO83" s="4">
        <f t="shared" si="152"/>
        <v>152.8138409867322</v>
      </c>
      <c r="DS83" s="4">
        <f t="shared" si="188"/>
        <v>0.85</v>
      </c>
      <c r="DT83" s="4">
        <f t="shared" si="189"/>
        <v>0.85013888888888889</v>
      </c>
      <c r="DU83" s="4">
        <f t="shared" si="190"/>
        <v>1</v>
      </c>
      <c r="DV83" s="4">
        <f t="shared" si="223"/>
        <v>0.85013888888888889</v>
      </c>
      <c r="DX83" s="4" t="e">
        <f t="shared" si="191"/>
        <v>#REF!</v>
      </c>
      <c r="DY83" s="25">
        <f t="shared" si="192"/>
        <v>150.18137322121927</v>
      </c>
      <c r="EA83" s="4">
        <f t="shared" si="224"/>
        <v>0.72261805555555558</v>
      </c>
      <c r="EB83" s="4">
        <f t="shared" ref="EB83:EB104" si="309">IF(G83&lt;22.2,1.1*5*(F83/30)^0.5,IF(G83&gt;=31.8,0.9*5*(F83/30)^0.5,1*5*(F83/30)^0.5))/DS83/DV83</f>
        <v>6.0161976170308948</v>
      </c>
      <c r="EC83" s="4">
        <f t="shared" si="193"/>
        <v>4.9450239957683877</v>
      </c>
      <c r="EE83" s="4">
        <f t="shared" si="194"/>
        <v>70.637100733254911</v>
      </c>
      <c r="EF83" s="4">
        <f t="shared" si="235"/>
        <v>1.9621416870348585</v>
      </c>
      <c r="EG83" s="4">
        <f t="shared" si="195"/>
        <v>0.15229085460242964</v>
      </c>
      <c r="EJ83" s="4">
        <f t="shared" si="263"/>
        <v>0.15229085460242964</v>
      </c>
      <c r="EK83" s="4">
        <f t="shared" si="196"/>
        <v>0.5254533688197538</v>
      </c>
      <c r="EL83" s="4">
        <f t="shared" si="237"/>
        <v>4.6508867620253334</v>
      </c>
      <c r="EM83" s="4">
        <f t="shared" si="306"/>
        <v>5.3771224773913264</v>
      </c>
      <c r="EN83" s="4">
        <f t="shared" si="239"/>
        <v>215.1128992667451</v>
      </c>
      <c r="EO83" s="4">
        <f t="shared" si="240"/>
        <v>95.25</v>
      </c>
      <c r="EP83" s="4">
        <f t="shared" si="197"/>
        <v>1.8628104182055264E-5</v>
      </c>
      <c r="EQ83" s="4">
        <f t="shared" si="307"/>
        <v>5.6232740205776892</v>
      </c>
      <c r="ER83" s="4" t="e">
        <f t="shared" si="198"/>
        <v>#REF!</v>
      </c>
      <c r="ES83" s="4" t="e">
        <f t="shared" si="242"/>
        <v>#REF!</v>
      </c>
      <c r="ET83" s="4" t="e">
        <f t="shared" si="243"/>
        <v>#REF!</v>
      </c>
      <c r="EV83" s="4" t="e">
        <f t="shared" si="199"/>
        <v>#REF!</v>
      </c>
      <c r="FA83" s="23" t="e">
        <f t="shared" si="277"/>
        <v>#REF!</v>
      </c>
      <c r="FB83" s="23" t="e">
        <f t="shared" si="278"/>
        <v>#REF!</v>
      </c>
      <c r="FC83" s="23">
        <f t="shared" si="290"/>
        <v>2</v>
      </c>
      <c r="FD83" s="23" t="e">
        <f t="shared" si="279"/>
        <v>#REF!</v>
      </c>
      <c r="FE83" s="23" t="e">
        <f t="shared" si="280"/>
        <v>#REF!</v>
      </c>
      <c r="FF83" s="23" t="e">
        <f t="shared" si="281"/>
        <v>#REF!</v>
      </c>
      <c r="FG83" s="23" t="e">
        <f t="shared" si="282"/>
        <v>#REF!</v>
      </c>
      <c r="FH83" s="23"/>
      <c r="FR83" s="4">
        <f t="shared" si="140"/>
        <v>1</v>
      </c>
      <c r="FS83" s="4">
        <f t="shared" si="141"/>
        <v>1.0833333333333333</v>
      </c>
      <c r="FT83" s="4">
        <f t="shared" si="142"/>
        <v>0</v>
      </c>
      <c r="FU83" s="4">
        <f t="shared" si="143"/>
        <v>188.22540532446502</v>
      </c>
    </row>
    <row r="84" spans="1:178" ht="12" customHeight="1" x14ac:dyDescent="0.3">
      <c r="B84" s="24"/>
      <c r="C84" s="7" t="s">
        <v>286</v>
      </c>
      <c r="D84" s="7">
        <v>433</v>
      </c>
      <c r="E84" s="7">
        <f t="shared" si="308"/>
        <v>381</v>
      </c>
      <c r="F84" s="7">
        <v>28</v>
      </c>
      <c r="G84" s="7">
        <v>36</v>
      </c>
      <c r="H84" s="7">
        <f t="shared" si="305"/>
        <v>215.89999999999998</v>
      </c>
      <c r="I84" s="7">
        <f t="shared" ref="I84:I94" si="310">(H84-G84)/2</f>
        <v>89.949999999999989</v>
      </c>
      <c r="J84" s="7">
        <f t="shared" si="201"/>
        <v>50.8</v>
      </c>
      <c r="K84" s="7">
        <v>0</v>
      </c>
      <c r="L84" s="7">
        <v>1</v>
      </c>
      <c r="M84" s="7">
        <f t="shared" si="202"/>
        <v>83.6</v>
      </c>
      <c r="N84" s="7">
        <f t="shared" ref="N84:N94" si="311">MIN(H84/2/G84, (M84+G84/2)/G84)</f>
        <v>2.822222222222222</v>
      </c>
      <c r="O84" s="7">
        <f t="shared" si="203"/>
        <v>2.9986111111111109</v>
      </c>
      <c r="P84" s="7">
        <v>3.53</v>
      </c>
      <c r="Q84" s="7">
        <f t="shared" si="227"/>
        <v>3.53</v>
      </c>
      <c r="R84" s="7">
        <f t="shared" ref="R84:R115" si="312">Q84+1</f>
        <v>4.5299999999999994</v>
      </c>
      <c r="S84" s="7">
        <f t="shared" ref="S84:S115" si="313">G84*R84^0.5</f>
        <v>76.62166795365394</v>
      </c>
      <c r="T84" s="7"/>
      <c r="U84" s="7"/>
      <c r="V84" s="7">
        <v>387</v>
      </c>
      <c r="W84" s="7"/>
      <c r="X84" s="7"/>
      <c r="Y84" s="7"/>
      <c r="Z84" s="7"/>
      <c r="AA84" s="7">
        <v>1</v>
      </c>
      <c r="AB84" s="7"/>
      <c r="AC84" s="7"/>
      <c r="AD84" s="7"/>
      <c r="AE84" s="4">
        <f t="shared" si="252"/>
        <v>381</v>
      </c>
      <c r="AF84" s="44">
        <f t="shared" si="204"/>
        <v>8.3950617283950604E-2</v>
      </c>
      <c r="AG84" s="25">
        <f t="shared" ref="AG84:AG115" si="314">MIN(10*F84^0.5*AE84^1.5,100*3.9*F84^0.5*AE84^(5/3))/(PI()/4*G84^2)/L84</f>
        <v>386.60867631208708</v>
      </c>
      <c r="AH84" s="4">
        <f t="shared" ref="AH84:AH115" si="315">MIN(0.7+0.3*(MIN(I84,M84)+0.5*G84)/1.5/E84,1)</f>
        <v>0.7533333333333333</v>
      </c>
      <c r="AI84" s="4">
        <v>1.25</v>
      </c>
      <c r="AJ84" s="25">
        <f t="shared" si="146"/>
        <v>5</v>
      </c>
      <c r="AK84" s="38">
        <f t="shared" si="205"/>
        <v>152.81384098673232</v>
      </c>
      <c r="AL84" s="38">
        <f t="shared" si="148"/>
        <v>152.81384098673232</v>
      </c>
      <c r="AN84" s="38">
        <f t="shared" si="158"/>
        <v>152.8138409867322</v>
      </c>
      <c r="AO84" s="38">
        <f t="shared" ref="AO84:AO147" si="316">AK84/AN84</f>
        <v>1.0000000000000007</v>
      </c>
      <c r="AP84" s="38">
        <f t="shared" si="206"/>
        <v>1.9917175968892866</v>
      </c>
      <c r="AQ84" s="4">
        <f t="shared" si="228"/>
        <v>0</v>
      </c>
      <c r="AR84" s="4" t="e">
        <f>#REF!/G84*F84^0.5/0.19</f>
        <v>#REF!</v>
      </c>
      <c r="AS84" s="4">
        <f t="shared" ref="AS84:AS115" si="317">MIN(0.6+0.4*(O84/N84),2)</f>
        <v>1.0249999999999999</v>
      </c>
      <c r="AT84" s="38">
        <f t="shared" ref="AT84:AT115" si="318">2*F84*N84*P84^0.5*AS84*0.7/0.7</f>
        <v>304.36201614151582</v>
      </c>
      <c r="AU84" s="4">
        <f t="shared" ref="AU84:AU115" si="319">MAX(1-0.7*Q84/5,0.3)</f>
        <v>0.50580000000000003</v>
      </c>
      <c r="AV84" s="4" t="e">
        <f>AU84*D84*#REF!/(D84*G84/2.75/F84^0.5)</f>
        <v>#REF!</v>
      </c>
      <c r="AW84" s="4" t="e">
        <f t="shared" si="207"/>
        <v>#REF!</v>
      </c>
      <c r="AY84" s="36">
        <f t="shared" ref="AY84:AY104" si="320">MAX(1, (0.9+0.1*MIN(2,N84-0.5))*(0.9+0.1*MIN(3.5,I84/I84))+0.45*MIN(2.5,(40*2*PI()*Y84^2/4/AA84/L84)/G84))</f>
        <v>1.1000000000000001</v>
      </c>
      <c r="AZ84" s="36" t="e">
        <f>(1.6*#REF!+22)*AY84*F84^0.5</f>
        <v>#REF!</v>
      </c>
      <c r="BE84" s="4">
        <f t="shared" ref="BE84:BE115" si="321">IF(L84=1,I84,MIN(I84,K84/2+6.4))</f>
        <v>89.949999999999989</v>
      </c>
      <c r="BF84" s="4">
        <f t="shared" ref="BF84:BF115" si="322">MIN(M84,BE84)</f>
        <v>83.6</v>
      </c>
      <c r="BG84" s="4">
        <f t="shared" ref="BG84:BG115" si="323">MAX(M84,BE84)</f>
        <v>89.949999999999989</v>
      </c>
      <c r="BH84" s="4">
        <f t="shared" ref="BH84:BH115" si="324">BF84+G84/2</f>
        <v>101.6</v>
      </c>
      <c r="BI84" s="4">
        <f t="shared" si="229"/>
        <v>1.0075956937799044</v>
      </c>
      <c r="BJ84" s="25">
        <f t="shared" ref="BJ84:BJ115" si="325">MIN(4, (BH84*BI84+(6*F84^0.5*(0.03*G84+0.22)*(Y84^2/4*PI())*2/AA84/L84))/G84)</f>
        <v>2.8436589580010634</v>
      </c>
      <c r="BL84" s="4">
        <f t="shared" ref="BL84:BL115" si="326">IF(K84=0,I84,MIN(K84/2,I84))</f>
        <v>89.949999999999989</v>
      </c>
      <c r="BP84" s="9"/>
      <c r="BR84" s="9"/>
      <c r="BS84" s="9"/>
      <c r="BT84" s="9">
        <f t="shared" ref="BT84:BT115" si="327">IF(K84=0,MIN(I84,J84),MIN(K84/2,I84,J84))</f>
        <v>50.8</v>
      </c>
      <c r="BU84" s="9">
        <f t="shared" ref="BU84:BU115" si="328">MAX(K84/2,I84)</f>
        <v>89.949999999999989</v>
      </c>
      <c r="BV84" s="9">
        <f t="shared" ref="BV84:BV115" si="329">(BT84/G84)^0.5*(BU84/BT84)^0.15</f>
        <v>1.2941994891728255</v>
      </c>
      <c r="BW84" s="9">
        <v>0</v>
      </c>
      <c r="BX84" s="9">
        <f t="shared" ref="BX84:BX115" si="330">MIN(PI()*Y84^2/4*Z84*2/L84/G84/MAX(0.01,AA84),0.05)</f>
        <v>0</v>
      </c>
      <c r="BY84" s="9">
        <f t="shared" si="208"/>
        <v>0</v>
      </c>
      <c r="BZ84" s="9">
        <f t="shared" ref="BZ84:BZ115" si="331">MIN(1,(25/G84)^0.3)</f>
        <v>0.89637813077714179</v>
      </c>
      <c r="CA84" s="9">
        <f t="shared" ref="CA84:CA115" si="332">IF(D84&gt;=800,0.68,IF(D84&gt;=700,0.75-(D84-700)*0.07/100,IF(D84&gt;=600,0.85-(D84-600)*0.1/100,IF(D84&gt;=500,1-(D84-500)*0.15/100,1.2-(D84-400)*0.2/100))))</f>
        <v>1.1339999999999999</v>
      </c>
      <c r="CB84" s="9">
        <f t="shared" ref="CB84:CB115" si="333">1.75*BZ84*CA84*(F84/25)^0.5</f>
        <v>1.8825710113593779</v>
      </c>
      <c r="CC84" s="9">
        <f t="shared" ref="CC84:CC115" si="334">MIN((BV84+BY84)*CB84,2.5*CB84,F84^0.5)</f>
        <v>2.4364224412328763</v>
      </c>
      <c r="CD84" s="9">
        <v>1</v>
      </c>
      <c r="CE84" s="9" t="e">
        <f>4*CC84*#REF!+60*CC84</f>
        <v>#REF!</v>
      </c>
      <c r="CG84" s="4" t="e">
        <f t="shared" si="265"/>
        <v>#REF!</v>
      </c>
      <c r="CH84" s="4" t="e">
        <f t="shared" si="266"/>
        <v>#REF!</v>
      </c>
      <c r="CI84" s="4" t="e">
        <f t="shared" si="267"/>
        <v>#REF!</v>
      </c>
      <c r="CJ84" s="4" t="e">
        <f t="shared" si="268"/>
        <v>#REF!</v>
      </c>
      <c r="CK84" s="4" t="e">
        <f t="shared" si="269"/>
        <v>#REF!</v>
      </c>
      <c r="CL84" s="4" t="e">
        <f t="shared" si="270"/>
        <v>#REF!</v>
      </c>
      <c r="CM84" s="4">
        <f t="shared" si="215"/>
        <v>2.0560455127345065</v>
      </c>
      <c r="CO84" s="4" t="e">
        <f t="shared" si="271"/>
        <v>#REF!</v>
      </c>
      <c r="CP84" s="4" t="e">
        <f t="shared" si="272"/>
        <v>#REF!</v>
      </c>
      <c r="CQ84" s="4" t="e">
        <f t="shared" si="273"/>
        <v>#REF!</v>
      </c>
      <c r="CR84" s="4">
        <f t="shared" si="274"/>
        <v>2.0560455127345065</v>
      </c>
      <c r="CS84" s="4" t="e">
        <f t="shared" si="275"/>
        <v>#REF!</v>
      </c>
      <c r="CT84" s="4" t="e">
        <f t="shared" si="276"/>
        <v>#REF!</v>
      </c>
      <c r="DB84" s="4">
        <f t="shared" si="232"/>
        <v>0</v>
      </c>
      <c r="DC84" s="4">
        <f t="shared" ref="DC84:DC115" si="335">E84</f>
        <v>381</v>
      </c>
      <c r="DD84" s="4" t="e">
        <f>#REF!/E84</f>
        <v>#REF!</v>
      </c>
      <c r="DF84" s="4">
        <f t="shared" ref="DF84:DF115" si="336">E84/4/(1-0.3*(F84/30)^0.5)/200000/G84</f>
        <v>1.8628104182055264E-5</v>
      </c>
      <c r="DG84" s="4">
        <f t="shared" si="233"/>
        <v>6.0161976170308948</v>
      </c>
      <c r="DH84" s="4">
        <f t="shared" si="221"/>
        <v>0.4609442837619841</v>
      </c>
      <c r="DI84" s="4">
        <f t="shared" si="149"/>
        <v>4.4134830878635238</v>
      </c>
      <c r="DJ84" s="4">
        <f t="shared" si="150"/>
        <v>5.2761943527954989</v>
      </c>
      <c r="DK84" s="4">
        <f t="shared" ref="DK84:DK104" si="337">MAX(DG84/2, (4-DF84*(8*S84*(DI84-DJ84)+6*E84*DJ84))/(4+DF84*E84*DG84)*DG84)</f>
        <v>5.6329529640118547</v>
      </c>
      <c r="DL84" s="38" t="e">
        <f t="shared" ref="DL84:DL115" si="338">MIN(1/G84*(4*S84*(DI84-DJ84)+(3*DJ84+DK84)*E84)+DO84 -EV84,MAX(D84,V84))</f>
        <v>#REF!</v>
      </c>
      <c r="DM84" s="4" t="e">
        <f t="shared" si="151"/>
        <v>#REF!</v>
      </c>
      <c r="DN84" s="4">
        <f t="shared" si="222"/>
        <v>2.1283796653792759</v>
      </c>
      <c r="DO84" s="4">
        <f t="shared" si="152"/>
        <v>152.8138409867322</v>
      </c>
      <c r="DS84" s="4">
        <f t="shared" ref="DS84:DS115" si="339">IF(J84&gt;1*G84,0.85,1)</f>
        <v>0.85</v>
      </c>
      <c r="DT84" s="4">
        <f t="shared" ref="DT84:DT115" si="340">MIN(1,MAX(0.7,(1-0.1*(BL84-1*G84)/G84)))</f>
        <v>0.85013888888888889</v>
      </c>
      <c r="DU84" s="4">
        <f t="shared" ref="DU84:DU115" si="341">MIN(1,MAX(0.7,1-0.3*(PI()*Y84^2/4*Z84*2-0.25*PI()/4*G84^2)/(PI()/4*G84^2)))</f>
        <v>1</v>
      </c>
      <c r="DV84" s="4">
        <f t="shared" si="223"/>
        <v>0.85013888888888889</v>
      </c>
      <c r="DX84" s="4" t="e">
        <f t="shared" ref="DX84:DX115" si="342">MIN(DG84/G84*3*E84+DY84-EV84,MAX(D84,V84))</f>
        <v>#REF!</v>
      </c>
      <c r="DY84" s="25">
        <f t="shared" ref="DY84:DY94" si="343">8.8*H84*508*F84^0.5/L84/G84^2/E84^0.5*(0.7+MIN(M84,I84)/5/E84)</f>
        <v>150.18137322121927</v>
      </c>
      <c r="EA84" s="4">
        <f t="shared" si="224"/>
        <v>0.72261805555555558</v>
      </c>
      <c r="EB84" s="4">
        <f t="shared" si="309"/>
        <v>6.0161976170308948</v>
      </c>
      <c r="EC84" s="4">
        <f t="shared" ref="EC84:EC115" si="344">IF(G84&lt;22.2,1.1*5*(F84/30)^0.5,IF(G84&gt;=31.8,0.9*5*(F84/30)^0.5,1*5*(F84/30)^0.5))*BJ84/2.5</f>
        <v>4.9450239957683877</v>
      </c>
      <c r="EE84" s="4">
        <f t="shared" ref="EE84:EE115" si="345">EF84*G84</f>
        <v>76.62166795365394</v>
      </c>
      <c r="EF84" s="4">
        <f t="shared" si="235"/>
        <v>2.1283796653792759</v>
      </c>
      <c r="EG84" s="4">
        <f t="shared" ref="EG84:EG115" si="346">MIN(DO84)/(4700*F84^0.5)/Q84*EE84</f>
        <v>0.13337140143590914</v>
      </c>
      <c r="EJ84" s="4">
        <f t="shared" si="263"/>
        <v>0.13337140143590914</v>
      </c>
      <c r="EK84" s="4">
        <f t="shared" ref="EK84:EK115" si="347">MIN(0.999, EJ84/(0.3*(F84/30)^0.5))</f>
        <v>0.46017505366072153</v>
      </c>
      <c r="EL84" s="4">
        <f t="shared" si="237"/>
        <v>4.4105354993107566</v>
      </c>
      <c r="EM84" s="4">
        <f t="shared" si="306"/>
        <v>5.2749629221701388</v>
      </c>
      <c r="EN84" s="4">
        <f t="shared" si="239"/>
        <v>209.12833204634606</v>
      </c>
      <c r="EO84" s="4">
        <f t="shared" si="240"/>
        <v>95.249999999999972</v>
      </c>
      <c r="EP84" s="4">
        <f t="shared" ref="EP84:EP115" si="348">EO84/(1-0.3*(F84/30)^0.5)/200000/G84</f>
        <v>1.8628104182055258E-5</v>
      </c>
      <c r="EQ84" s="4">
        <f t="shared" si="307"/>
        <v>5.6330601639663991</v>
      </c>
      <c r="ER84" s="4" t="e">
        <f t="shared" ref="ER84:ER115" si="349">MIN(4/G84*(1*EL84*EE84+EM84*ES84+ET84*EQ84)+DO84,MAX(D84,V84))</f>
        <v>#REF!</v>
      </c>
      <c r="ES84" s="4" t="e">
        <f t="shared" si="242"/>
        <v>#REF!</v>
      </c>
      <c r="ET84" s="4" t="e">
        <f t="shared" si="243"/>
        <v>#REF!</v>
      </c>
      <c r="EV84" s="4" t="e">
        <f t="shared" ref="EV84:EV117" si="350">4/G84*(1*EL84*EE84+EM84*EN84+EO84*EQ84)+DO84 - (4/G84*(1*EL84*EE84+EM84*ES84+ET84*EQ84)+DO84)</f>
        <v>#REF!</v>
      </c>
      <c r="FA84" s="23" t="e">
        <f t="shared" si="277"/>
        <v>#REF!</v>
      </c>
      <c r="FB84" s="23" t="e">
        <f t="shared" si="278"/>
        <v>#REF!</v>
      </c>
      <c r="FC84" s="23">
        <f t="shared" si="290"/>
        <v>2.2000000000000002</v>
      </c>
      <c r="FD84" s="23" t="e">
        <f t="shared" si="279"/>
        <v>#REF!</v>
      </c>
      <c r="FE84" s="23" t="e">
        <f t="shared" si="280"/>
        <v>#REF!</v>
      </c>
      <c r="FF84" s="23" t="e">
        <f t="shared" si="281"/>
        <v>#REF!</v>
      </c>
      <c r="FG84" s="23" t="e">
        <f t="shared" si="282"/>
        <v>#REF!</v>
      </c>
      <c r="FH84" s="23"/>
      <c r="FR84" s="4">
        <f t="shared" ref="FR84:FR147" si="351">IF(I84&gt;=2.5*25.4,1,1.25)</f>
        <v>1</v>
      </c>
      <c r="FS84" s="4">
        <f t="shared" ref="FS84:FS147" si="352">IF(AA84&gt;1, 0.05*(18-MIN(8,(K84+G84)/G84))*(1-48000/MAX(60000,(D84*145))*(G84/25.4)^0.75*FT84), 1/12*(14-MIN(8,(K84+G84)/G84)))</f>
        <v>1.0833333333333333</v>
      </c>
      <c r="FT84" s="4">
        <f t="shared" ref="FT84:FT147" si="353">MIN(0.3, Y84^2*PI()/4*2*AB84/(G84^2*PI()/4*L84))</f>
        <v>0</v>
      </c>
      <c r="FU84" s="4">
        <f t="shared" ref="FU84:FU147" si="354">(E84/25.4)/(G84/25.4)^1.5/0.0024*(F84*145)^0.25/FR84/FS84/145</f>
        <v>188.22540532446502</v>
      </c>
    </row>
    <row r="85" spans="1:178" ht="12" customHeight="1" x14ac:dyDescent="0.3">
      <c r="B85" s="24"/>
      <c r="C85" s="7" t="s">
        <v>287</v>
      </c>
      <c r="D85" s="7">
        <v>433</v>
      </c>
      <c r="E85" s="7">
        <f t="shared" si="308"/>
        <v>381</v>
      </c>
      <c r="F85" s="7">
        <v>28</v>
      </c>
      <c r="G85" s="7">
        <v>36</v>
      </c>
      <c r="H85" s="7">
        <f t="shared" si="305"/>
        <v>215.89999999999998</v>
      </c>
      <c r="I85" s="7">
        <f t="shared" si="310"/>
        <v>89.949999999999989</v>
      </c>
      <c r="J85" s="7">
        <f t="shared" si="201"/>
        <v>50.8</v>
      </c>
      <c r="K85" s="7">
        <v>0</v>
      </c>
      <c r="L85" s="7">
        <v>1</v>
      </c>
      <c r="M85" s="7">
        <f t="shared" si="202"/>
        <v>83.6</v>
      </c>
      <c r="N85" s="7">
        <f t="shared" si="311"/>
        <v>2.822222222222222</v>
      </c>
      <c r="O85" s="7">
        <f t="shared" si="203"/>
        <v>2.9986111111111109</v>
      </c>
      <c r="P85" s="7">
        <v>4.13</v>
      </c>
      <c r="Q85" s="7">
        <f t="shared" si="227"/>
        <v>4.13</v>
      </c>
      <c r="R85" s="7">
        <f t="shared" si="312"/>
        <v>5.13</v>
      </c>
      <c r="S85" s="7">
        <f t="shared" si="313"/>
        <v>81.538211900924097</v>
      </c>
      <c r="T85" s="7"/>
      <c r="U85" s="7"/>
      <c r="V85" s="7">
        <v>427</v>
      </c>
      <c r="W85" s="7"/>
      <c r="X85" s="7"/>
      <c r="Y85" s="7"/>
      <c r="Z85" s="7"/>
      <c r="AA85" s="7">
        <v>1</v>
      </c>
      <c r="AB85" s="7"/>
      <c r="AC85" s="7"/>
      <c r="AD85" s="7"/>
      <c r="AE85" s="4">
        <f t="shared" si="252"/>
        <v>381</v>
      </c>
      <c r="AF85" s="44">
        <f t="shared" si="204"/>
        <v>8.3950617283950604E-2</v>
      </c>
      <c r="AG85" s="25">
        <f t="shared" si="314"/>
        <v>386.60867631208708</v>
      </c>
      <c r="AH85" s="4">
        <f t="shared" si="315"/>
        <v>0.7533333333333333</v>
      </c>
      <c r="AI85" s="4">
        <v>1.25</v>
      </c>
      <c r="AJ85" s="25">
        <f t="shared" ref="AJ85:AJ103" si="355">AJ84</f>
        <v>5</v>
      </c>
      <c r="AK85" s="38">
        <f t="shared" si="205"/>
        <v>152.81384098673232</v>
      </c>
      <c r="AL85" s="38">
        <f t="shared" ref="AL85:AL148" si="356">AK85</f>
        <v>152.81384098673232</v>
      </c>
      <c r="AN85" s="38">
        <f t="shared" si="158"/>
        <v>152.8138409867322</v>
      </c>
      <c r="AO85" s="38">
        <f t="shared" si="316"/>
        <v>1.0000000000000007</v>
      </c>
      <c r="AP85" s="38">
        <f t="shared" ref="AP85:AP148" si="357">AT85/AN85</f>
        <v>2.1543458950369176</v>
      </c>
      <c r="AQ85" s="4">
        <f t="shared" si="228"/>
        <v>0</v>
      </c>
      <c r="AR85" s="4" t="e">
        <f>#REF!/G85*F85^0.5/0.19</f>
        <v>#REF!</v>
      </c>
      <c r="AS85" s="4">
        <f t="shared" si="317"/>
        <v>1.0249999999999999</v>
      </c>
      <c r="AT85" s="38">
        <f t="shared" si="318"/>
        <v>329.2138710345908</v>
      </c>
      <c r="AU85" s="4">
        <f t="shared" si="319"/>
        <v>0.42180000000000006</v>
      </c>
      <c r="AV85" s="4" t="e">
        <f>AU85*D85*#REF!/(D85*G85/2.75/F85^0.5)</f>
        <v>#REF!</v>
      </c>
      <c r="AW85" s="4" t="e">
        <f t="shared" si="207"/>
        <v>#REF!</v>
      </c>
      <c r="AY85" s="36">
        <f t="shared" si="320"/>
        <v>1.1000000000000001</v>
      </c>
      <c r="AZ85" s="36" t="e">
        <f>(1.6*#REF!+22)*AY85*F85^0.5</f>
        <v>#REF!</v>
      </c>
      <c r="BE85" s="4">
        <f t="shared" si="321"/>
        <v>89.949999999999989</v>
      </c>
      <c r="BF85" s="4">
        <f t="shared" si="322"/>
        <v>83.6</v>
      </c>
      <c r="BG85" s="4">
        <f t="shared" si="323"/>
        <v>89.949999999999989</v>
      </c>
      <c r="BH85" s="4">
        <f t="shared" si="324"/>
        <v>101.6</v>
      </c>
      <c r="BI85" s="4">
        <f t="shared" si="229"/>
        <v>1.0075956937799044</v>
      </c>
      <c r="BJ85" s="25">
        <f t="shared" si="325"/>
        <v>2.8436589580010634</v>
      </c>
      <c r="BL85" s="4">
        <f t="shared" si="326"/>
        <v>89.949999999999989</v>
      </c>
      <c r="BP85" s="9"/>
      <c r="BR85" s="9"/>
      <c r="BS85" s="9"/>
      <c r="BT85" s="9">
        <f t="shared" si="327"/>
        <v>50.8</v>
      </c>
      <c r="BU85" s="9">
        <f t="shared" si="328"/>
        <v>89.949999999999989</v>
      </c>
      <c r="BV85" s="9">
        <f t="shared" si="329"/>
        <v>1.2941994891728255</v>
      </c>
      <c r="BW85" s="9">
        <v>0</v>
      </c>
      <c r="BX85" s="9">
        <f t="shared" si="330"/>
        <v>0</v>
      </c>
      <c r="BY85" s="9">
        <f t="shared" si="208"/>
        <v>0</v>
      </c>
      <c r="BZ85" s="9">
        <f t="shared" si="331"/>
        <v>0.89637813077714179</v>
      </c>
      <c r="CA85" s="9">
        <f t="shared" si="332"/>
        <v>1.1339999999999999</v>
      </c>
      <c r="CB85" s="9">
        <f t="shared" si="333"/>
        <v>1.8825710113593779</v>
      </c>
      <c r="CC85" s="9">
        <f t="shared" si="334"/>
        <v>2.4364224412328763</v>
      </c>
      <c r="CD85" s="9">
        <v>1</v>
      </c>
      <c r="CE85" s="9" t="e">
        <f>4*CC85*#REF!+60*CC85</f>
        <v>#REF!</v>
      </c>
      <c r="CG85" s="4" t="e">
        <f t="shared" si="265"/>
        <v>#REF!</v>
      </c>
      <c r="CH85" s="4" t="e">
        <f t="shared" si="266"/>
        <v>#REF!</v>
      </c>
      <c r="CI85" s="4" t="e">
        <f t="shared" si="267"/>
        <v>#REF!</v>
      </c>
      <c r="CJ85" s="4" t="e">
        <f t="shared" si="268"/>
        <v>#REF!</v>
      </c>
      <c r="CK85" s="4" t="e">
        <f t="shared" si="269"/>
        <v>#REF!</v>
      </c>
      <c r="CL85" s="4" t="e">
        <f t="shared" si="270"/>
        <v>#REF!</v>
      </c>
      <c r="CM85" s="4">
        <f t="shared" si="215"/>
        <v>2.2685566768414325</v>
      </c>
      <c r="CO85" s="4" t="e">
        <f t="shared" si="271"/>
        <v>#REF!</v>
      </c>
      <c r="CP85" s="4" t="e">
        <f t="shared" si="272"/>
        <v>#REF!</v>
      </c>
      <c r="CQ85" s="4" t="e">
        <f t="shared" si="273"/>
        <v>#REF!</v>
      </c>
      <c r="CR85" s="4">
        <f t="shared" si="274"/>
        <v>2.2685566768414325</v>
      </c>
      <c r="CS85" s="4" t="e">
        <f t="shared" si="275"/>
        <v>#REF!</v>
      </c>
      <c r="CT85" s="4" t="e">
        <f t="shared" si="276"/>
        <v>#REF!</v>
      </c>
      <c r="DB85" s="4">
        <f t="shared" si="232"/>
        <v>0</v>
      </c>
      <c r="DC85" s="4">
        <f t="shared" si="335"/>
        <v>381</v>
      </c>
      <c r="DD85" s="4" t="e">
        <f>#REF!/E85</f>
        <v>#REF!</v>
      </c>
      <c r="DF85" s="4">
        <f t="shared" si="336"/>
        <v>1.8628104182055264E-5</v>
      </c>
      <c r="DG85" s="4">
        <f t="shared" si="233"/>
        <v>6.0161976170308948</v>
      </c>
      <c r="DH85" s="4">
        <f t="shared" ref="DH85:DH104" si="358">DO85*S85/257/F85/P85</f>
        <v>0.4192592652284054</v>
      </c>
      <c r="DI85" s="4">
        <f t="shared" ref="DI85:DI148" si="359">DG85*DH85^0.4</f>
        <v>4.2492781569476614</v>
      </c>
      <c r="DJ85" s="4">
        <f t="shared" ref="DJ85:DJ148" si="360">MIN(DG85, DG85/1.4*(1-DH85^1.4)/(1-DH85))</f>
        <v>5.2084323712436884</v>
      </c>
      <c r="DK85" s="4">
        <f t="shared" si="337"/>
        <v>5.6399318008403121</v>
      </c>
      <c r="DL85" s="38" t="e">
        <f t="shared" si="338"/>
        <v>#REF!</v>
      </c>
      <c r="DM85" s="4" t="e">
        <f t="shared" ref="DM85:DM148" si="361">DL85/ER85</f>
        <v>#REF!</v>
      </c>
      <c r="DN85" s="4">
        <f t="shared" ref="DN85:DN104" si="362">S85/G85</f>
        <v>2.2649503305812249</v>
      </c>
      <c r="DO85" s="4">
        <f t="shared" ref="DO85:DO148" si="363">MIN(DN$10*AN85)</f>
        <v>152.8138409867322</v>
      </c>
      <c r="DS85" s="4">
        <f t="shared" si="339"/>
        <v>0.85</v>
      </c>
      <c r="DT85" s="4">
        <f t="shared" si="340"/>
        <v>0.85013888888888889</v>
      </c>
      <c r="DU85" s="4">
        <f t="shared" si="341"/>
        <v>1</v>
      </c>
      <c r="DV85" s="4">
        <f t="shared" si="223"/>
        <v>0.85013888888888889</v>
      </c>
      <c r="DX85" s="4" t="e">
        <f t="shared" si="342"/>
        <v>#REF!</v>
      </c>
      <c r="DY85" s="25">
        <f t="shared" si="343"/>
        <v>150.18137322121927</v>
      </c>
      <c r="EA85" s="4">
        <f t="shared" si="224"/>
        <v>0.72261805555555558</v>
      </c>
      <c r="EB85" s="4">
        <f t="shared" si="309"/>
        <v>6.0161976170308948</v>
      </c>
      <c r="EC85" s="4">
        <f t="shared" si="344"/>
        <v>4.9450239957683877</v>
      </c>
      <c r="EE85" s="4">
        <f t="shared" si="345"/>
        <v>81.538211900924097</v>
      </c>
      <c r="EF85" s="4">
        <f t="shared" si="235"/>
        <v>2.2649503305812249</v>
      </c>
      <c r="EG85" s="4">
        <f t="shared" si="346"/>
        <v>0.12131009698641951</v>
      </c>
      <c r="EJ85" s="4">
        <f t="shared" si="263"/>
        <v>0.12131009698641951</v>
      </c>
      <c r="EK85" s="4">
        <f t="shared" si="347"/>
        <v>0.4185595996540441</v>
      </c>
      <c r="EL85" s="4">
        <f t="shared" si="237"/>
        <v>4.2464402342902972</v>
      </c>
      <c r="EM85" s="4">
        <f t="shared" si="306"/>
        <v>5.2072764835268703</v>
      </c>
      <c r="EN85" s="4">
        <f t="shared" si="239"/>
        <v>204.2117880990759</v>
      </c>
      <c r="EO85" s="4">
        <f t="shared" si="240"/>
        <v>95.249999999999972</v>
      </c>
      <c r="EP85" s="4">
        <f t="shared" si="348"/>
        <v>1.8628104182055258E-5</v>
      </c>
      <c r="EQ85" s="4">
        <f t="shared" si="307"/>
        <v>5.6400354676909252</v>
      </c>
      <c r="ER85" s="4" t="e">
        <f t="shared" si="349"/>
        <v>#REF!</v>
      </c>
      <c r="ES85" s="4" t="e">
        <f t="shared" si="242"/>
        <v>#REF!</v>
      </c>
      <c r="ET85" s="4" t="e">
        <f t="shared" si="243"/>
        <v>#REF!</v>
      </c>
      <c r="EV85" s="4" t="e">
        <f t="shared" si="350"/>
        <v>#REF!</v>
      </c>
      <c r="FA85" s="23" t="e">
        <f t="shared" si="277"/>
        <v>#REF!</v>
      </c>
      <c r="FB85" s="23" t="e">
        <f t="shared" si="278"/>
        <v>#REF!</v>
      </c>
      <c r="FC85" s="23">
        <f t="shared" si="290"/>
        <v>2.2000000000000002</v>
      </c>
      <c r="FD85" s="23" t="e">
        <f t="shared" si="279"/>
        <v>#REF!</v>
      </c>
      <c r="FE85" s="23" t="e">
        <f t="shared" si="280"/>
        <v>#REF!</v>
      </c>
      <c r="FF85" s="23" t="e">
        <f t="shared" si="281"/>
        <v>#REF!</v>
      </c>
      <c r="FG85" s="23" t="e">
        <f t="shared" si="282"/>
        <v>#REF!</v>
      </c>
      <c r="FH85" s="23"/>
      <c r="FR85" s="4">
        <f t="shared" si="351"/>
        <v>1</v>
      </c>
      <c r="FS85" s="4">
        <f t="shared" si="352"/>
        <v>1.0833333333333333</v>
      </c>
      <c r="FT85" s="4">
        <f t="shared" si="353"/>
        <v>0</v>
      </c>
      <c r="FU85" s="4">
        <f t="shared" si="354"/>
        <v>188.22540532446502</v>
      </c>
    </row>
    <row r="86" spans="1:178" ht="12" customHeight="1" x14ac:dyDescent="0.3">
      <c r="B86" s="24"/>
      <c r="C86" s="7" t="s">
        <v>288</v>
      </c>
      <c r="D86" s="7">
        <v>433</v>
      </c>
      <c r="E86" s="7">
        <f t="shared" si="308"/>
        <v>381</v>
      </c>
      <c r="F86" s="7">
        <v>28</v>
      </c>
      <c r="G86" s="7">
        <v>36</v>
      </c>
      <c r="H86" s="7">
        <f t="shared" si="305"/>
        <v>215.89999999999998</v>
      </c>
      <c r="I86" s="7">
        <f t="shared" si="310"/>
        <v>89.949999999999989</v>
      </c>
      <c r="J86" s="7">
        <f t="shared" si="201"/>
        <v>50.8</v>
      </c>
      <c r="K86" s="7">
        <v>0</v>
      </c>
      <c r="L86" s="7">
        <v>1</v>
      </c>
      <c r="M86" s="7">
        <f t="shared" si="202"/>
        <v>83.6</v>
      </c>
      <c r="N86" s="7">
        <f t="shared" si="311"/>
        <v>2.822222222222222</v>
      </c>
      <c r="O86" s="7">
        <f t="shared" si="203"/>
        <v>2.9986111111111109</v>
      </c>
      <c r="P86" s="7">
        <v>4.13</v>
      </c>
      <c r="Q86" s="7">
        <f t="shared" si="227"/>
        <v>4.13</v>
      </c>
      <c r="R86" s="7">
        <f t="shared" si="312"/>
        <v>5.13</v>
      </c>
      <c r="S86" s="7">
        <f t="shared" si="313"/>
        <v>81.538211900924097</v>
      </c>
      <c r="T86" s="7"/>
      <c r="U86" s="7"/>
      <c r="V86" s="7">
        <v>393</v>
      </c>
      <c r="W86" s="7"/>
      <c r="X86" s="7"/>
      <c r="Y86" s="7"/>
      <c r="Z86" s="7"/>
      <c r="AA86" s="7">
        <v>1</v>
      </c>
      <c r="AB86" s="7"/>
      <c r="AC86" s="7"/>
      <c r="AD86" s="7"/>
      <c r="AE86" s="4">
        <f t="shared" si="252"/>
        <v>381</v>
      </c>
      <c r="AF86" s="44">
        <f t="shared" si="204"/>
        <v>8.3950617283950604E-2</v>
      </c>
      <c r="AG86" s="25">
        <f t="shared" si="314"/>
        <v>386.60867631208708</v>
      </c>
      <c r="AH86" s="4">
        <f t="shared" si="315"/>
        <v>0.7533333333333333</v>
      </c>
      <c r="AI86" s="4">
        <v>1.25</v>
      </c>
      <c r="AJ86" s="25">
        <f t="shared" si="355"/>
        <v>5</v>
      </c>
      <c r="AK86" s="38">
        <f t="shared" si="205"/>
        <v>152.81384098673232</v>
      </c>
      <c r="AL86" s="38">
        <f t="shared" si="356"/>
        <v>152.81384098673232</v>
      </c>
      <c r="AN86" s="38">
        <f t="shared" si="158"/>
        <v>152.8138409867322</v>
      </c>
      <c r="AO86" s="38">
        <f t="shared" si="316"/>
        <v>1.0000000000000007</v>
      </c>
      <c r="AP86" s="38">
        <f t="shared" si="357"/>
        <v>2.1543458950369176</v>
      </c>
      <c r="AQ86" s="4">
        <f t="shared" si="228"/>
        <v>0</v>
      </c>
      <c r="AR86" s="4" t="e">
        <f>#REF!/G86*F86^0.5/0.19</f>
        <v>#REF!</v>
      </c>
      <c r="AS86" s="4">
        <f t="shared" si="317"/>
        <v>1.0249999999999999</v>
      </c>
      <c r="AT86" s="38">
        <f t="shared" si="318"/>
        <v>329.2138710345908</v>
      </c>
      <c r="AU86" s="4">
        <f t="shared" si="319"/>
        <v>0.42180000000000006</v>
      </c>
      <c r="AV86" s="4" t="e">
        <f>AU86*D86*#REF!/(D86*G86/2.75/F86^0.5)</f>
        <v>#REF!</v>
      </c>
      <c r="AW86" s="4" t="e">
        <f t="shared" si="207"/>
        <v>#REF!</v>
      </c>
      <c r="AY86" s="36">
        <f t="shared" si="320"/>
        <v>1.1000000000000001</v>
      </c>
      <c r="AZ86" s="36" t="e">
        <f>(1.6*#REF!+22)*AY86*F86^0.5</f>
        <v>#REF!</v>
      </c>
      <c r="BE86" s="4">
        <f t="shared" si="321"/>
        <v>89.949999999999989</v>
      </c>
      <c r="BF86" s="4">
        <f t="shared" si="322"/>
        <v>83.6</v>
      </c>
      <c r="BG86" s="4">
        <f t="shared" si="323"/>
        <v>89.949999999999989</v>
      </c>
      <c r="BH86" s="4">
        <f t="shared" si="324"/>
        <v>101.6</v>
      </c>
      <c r="BI86" s="4">
        <f t="shared" si="229"/>
        <v>1.0075956937799044</v>
      </c>
      <c r="BJ86" s="25">
        <f t="shared" si="325"/>
        <v>2.8436589580010634</v>
      </c>
      <c r="BL86" s="4">
        <f t="shared" si="326"/>
        <v>89.949999999999989</v>
      </c>
      <c r="BP86" s="9"/>
      <c r="BR86" s="9"/>
      <c r="BS86" s="9"/>
      <c r="BT86" s="9">
        <f t="shared" si="327"/>
        <v>50.8</v>
      </c>
      <c r="BU86" s="9">
        <f t="shared" si="328"/>
        <v>89.949999999999989</v>
      </c>
      <c r="BV86" s="9">
        <f t="shared" si="329"/>
        <v>1.2941994891728255</v>
      </c>
      <c r="BW86" s="9">
        <v>0</v>
      </c>
      <c r="BX86" s="9">
        <f t="shared" si="330"/>
        <v>0</v>
      </c>
      <c r="BY86" s="9">
        <f t="shared" si="208"/>
        <v>0</v>
      </c>
      <c r="BZ86" s="9">
        <f t="shared" si="331"/>
        <v>0.89637813077714179</v>
      </c>
      <c r="CA86" s="9">
        <f t="shared" si="332"/>
        <v>1.1339999999999999</v>
      </c>
      <c r="CB86" s="9">
        <f t="shared" si="333"/>
        <v>1.8825710113593779</v>
      </c>
      <c r="CC86" s="9">
        <f t="shared" si="334"/>
        <v>2.4364224412328763</v>
      </c>
      <c r="CD86" s="9">
        <v>1</v>
      </c>
      <c r="CE86" s="9" t="e">
        <f>4*CC86*#REF!+60*CC86</f>
        <v>#REF!</v>
      </c>
      <c r="CG86" s="4" t="e">
        <f t="shared" si="265"/>
        <v>#REF!</v>
      </c>
      <c r="CH86" s="4" t="e">
        <f t="shared" si="266"/>
        <v>#REF!</v>
      </c>
      <c r="CI86" s="4" t="e">
        <f t="shared" si="267"/>
        <v>#REF!</v>
      </c>
      <c r="CJ86" s="4" t="e">
        <f t="shared" si="268"/>
        <v>#REF!</v>
      </c>
      <c r="CK86" s="4" t="e">
        <f t="shared" si="269"/>
        <v>#REF!</v>
      </c>
      <c r="CL86" s="4" t="e">
        <f t="shared" si="270"/>
        <v>#REF!</v>
      </c>
      <c r="CM86" s="4">
        <f t="shared" si="215"/>
        <v>2.0879221873505456</v>
      </c>
      <c r="CO86" s="4" t="e">
        <f t="shared" si="271"/>
        <v>#REF!</v>
      </c>
      <c r="CP86" s="4" t="e">
        <f t="shared" si="272"/>
        <v>#REF!</v>
      </c>
      <c r="CQ86" s="4" t="e">
        <f t="shared" si="273"/>
        <v>#REF!</v>
      </c>
      <c r="CR86" s="4">
        <f t="shared" si="274"/>
        <v>2.0879221873505456</v>
      </c>
      <c r="CS86" s="4" t="e">
        <f t="shared" si="275"/>
        <v>#REF!</v>
      </c>
      <c r="CT86" s="4" t="e">
        <f t="shared" si="276"/>
        <v>#REF!</v>
      </c>
      <c r="DB86" s="4">
        <f t="shared" si="232"/>
        <v>0</v>
      </c>
      <c r="DC86" s="4">
        <f t="shared" si="335"/>
        <v>381</v>
      </c>
      <c r="DD86" s="4" t="e">
        <f>#REF!/E86</f>
        <v>#REF!</v>
      </c>
      <c r="DF86" s="4">
        <f t="shared" si="336"/>
        <v>1.8628104182055264E-5</v>
      </c>
      <c r="DG86" s="4">
        <f t="shared" si="233"/>
        <v>6.0161976170308948</v>
      </c>
      <c r="DH86" s="4">
        <f t="shared" si="358"/>
        <v>0.4192592652284054</v>
      </c>
      <c r="DI86" s="4">
        <f t="shared" si="359"/>
        <v>4.2492781569476614</v>
      </c>
      <c r="DJ86" s="4">
        <f t="shared" si="360"/>
        <v>5.2084323712436884</v>
      </c>
      <c r="DK86" s="4">
        <f t="shared" si="337"/>
        <v>5.6399318008403121</v>
      </c>
      <c r="DL86" s="38" t="e">
        <f t="shared" si="338"/>
        <v>#REF!</v>
      </c>
      <c r="DM86" s="4" t="e">
        <f t="shared" si="361"/>
        <v>#REF!</v>
      </c>
      <c r="DN86" s="4">
        <f t="shared" si="362"/>
        <v>2.2649503305812249</v>
      </c>
      <c r="DO86" s="4">
        <f t="shared" si="363"/>
        <v>152.8138409867322</v>
      </c>
      <c r="DS86" s="4">
        <f t="shared" si="339"/>
        <v>0.85</v>
      </c>
      <c r="DT86" s="4">
        <f t="shared" si="340"/>
        <v>0.85013888888888889</v>
      </c>
      <c r="DU86" s="4">
        <f t="shared" si="341"/>
        <v>1</v>
      </c>
      <c r="DV86" s="4">
        <f t="shared" si="223"/>
        <v>0.85013888888888889</v>
      </c>
      <c r="DX86" s="4" t="e">
        <f t="shared" si="342"/>
        <v>#REF!</v>
      </c>
      <c r="DY86" s="25">
        <f t="shared" si="343"/>
        <v>150.18137322121927</v>
      </c>
      <c r="EA86" s="4">
        <f t="shared" si="224"/>
        <v>0.72261805555555558</v>
      </c>
      <c r="EB86" s="4">
        <f t="shared" si="309"/>
        <v>6.0161976170308948</v>
      </c>
      <c r="EC86" s="4">
        <f t="shared" si="344"/>
        <v>4.9450239957683877</v>
      </c>
      <c r="EE86" s="4">
        <f t="shared" si="345"/>
        <v>81.538211900924097</v>
      </c>
      <c r="EF86" s="4">
        <f t="shared" si="235"/>
        <v>2.2649503305812249</v>
      </c>
      <c r="EG86" s="4">
        <f t="shared" si="346"/>
        <v>0.12131009698641951</v>
      </c>
      <c r="EJ86" s="4">
        <f t="shared" si="263"/>
        <v>0.12131009698641951</v>
      </c>
      <c r="EK86" s="4">
        <f t="shared" si="347"/>
        <v>0.4185595996540441</v>
      </c>
      <c r="EL86" s="4">
        <f t="shared" si="237"/>
        <v>4.2464402342902972</v>
      </c>
      <c r="EM86" s="4">
        <f t="shared" si="306"/>
        <v>5.2072764835268703</v>
      </c>
      <c r="EN86" s="4">
        <f t="shared" si="239"/>
        <v>204.2117880990759</v>
      </c>
      <c r="EO86" s="4">
        <f t="shared" si="240"/>
        <v>95.249999999999972</v>
      </c>
      <c r="EP86" s="4">
        <f t="shared" si="348"/>
        <v>1.8628104182055258E-5</v>
      </c>
      <c r="EQ86" s="4">
        <f t="shared" si="307"/>
        <v>5.6400354676909252</v>
      </c>
      <c r="ER86" s="4" t="e">
        <f t="shared" si="349"/>
        <v>#REF!</v>
      </c>
      <c r="ES86" s="4" t="e">
        <f t="shared" si="242"/>
        <v>#REF!</v>
      </c>
      <c r="ET86" s="4" t="e">
        <f t="shared" si="243"/>
        <v>#REF!</v>
      </c>
      <c r="EV86" s="4" t="e">
        <f t="shared" si="350"/>
        <v>#REF!</v>
      </c>
      <c r="FA86" s="23" t="e">
        <f t="shared" si="277"/>
        <v>#REF!</v>
      </c>
      <c r="FB86" s="23" t="e">
        <f t="shared" si="278"/>
        <v>#REF!</v>
      </c>
      <c r="FC86" s="23">
        <f t="shared" si="290"/>
        <v>2.2000000000000002</v>
      </c>
      <c r="FD86" s="23" t="e">
        <f t="shared" si="279"/>
        <v>#REF!</v>
      </c>
      <c r="FE86" s="23" t="e">
        <f t="shared" si="280"/>
        <v>#REF!</v>
      </c>
      <c r="FF86" s="23" t="e">
        <f t="shared" si="281"/>
        <v>#REF!</v>
      </c>
      <c r="FG86" s="23" t="e">
        <f t="shared" si="282"/>
        <v>#REF!</v>
      </c>
      <c r="FH86" s="23"/>
      <c r="FR86" s="4">
        <f t="shared" si="351"/>
        <v>1</v>
      </c>
      <c r="FS86" s="4">
        <f t="shared" si="352"/>
        <v>1.0833333333333333</v>
      </c>
      <c r="FT86" s="4">
        <f t="shared" si="353"/>
        <v>0</v>
      </c>
      <c r="FU86" s="4">
        <f t="shared" si="354"/>
        <v>188.22540532446502</v>
      </c>
    </row>
    <row r="87" spans="1:178" ht="12" customHeight="1" x14ac:dyDescent="0.3">
      <c r="B87" s="24"/>
      <c r="C87" s="7" t="s">
        <v>282</v>
      </c>
      <c r="D87" s="7">
        <v>433</v>
      </c>
      <c r="E87" s="7">
        <f t="shared" si="308"/>
        <v>381</v>
      </c>
      <c r="F87" s="7">
        <v>28</v>
      </c>
      <c r="G87" s="7">
        <v>36</v>
      </c>
      <c r="H87" s="7">
        <f t="shared" si="305"/>
        <v>215.89999999999998</v>
      </c>
      <c r="I87" s="7">
        <f t="shared" si="310"/>
        <v>89.949999999999989</v>
      </c>
      <c r="J87" s="7">
        <f t="shared" si="201"/>
        <v>50.8</v>
      </c>
      <c r="K87" s="7">
        <v>0</v>
      </c>
      <c r="L87" s="7">
        <v>1</v>
      </c>
      <c r="M87" s="7">
        <f t="shared" si="202"/>
        <v>83.6</v>
      </c>
      <c r="N87" s="7">
        <f t="shared" si="311"/>
        <v>2.822222222222222</v>
      </c>
      <c r="O87" s="7">
        <f t="shared" si="203"/>
        <v>2.9986111111111109</v>
      </c>
      <c r="P87" s="7">
        <v>4.7699999999999996</v>
      </c>
      <c r="Q87" s="7">
        <f t="shared" si="227"/>
        <v>4.7699999999999996</v>
      </c>
      <c r="R87" s="7">
        <f t="shared" si="312"/>
        <v>5.77</v>
      </c>
      <c r="S87" s="7">
        <f t="shared" si="313"/>
        <v>86.474967476143064</v>
      </c>
      <c r="T87" s="7"/>
      <c r="U87" s="7"/>
      <c r="V87" s="7">
        <v>392</v>
      </c>
      <c r="W87" s="7"/>
      <c r="X87" s="7"/>
      <c r="Y87" s="7"/>
      <c r="Z87" s="7"/>
      <c r="AA87" s="7">
        <v>1</v>
      </c>
      <c r="AB87" s="7"/>
      <c r="AC87" s="7"/>
      <c r="AD87" s="7"/>
      <c r="AE87" s="4">
        <f t="shared" ref="AE87:AE118" si="364">E87</f>
        <v>381</v>
      </c>
      <c r="AF87" s="44">
        <f t="shared" si="204"/>
        <v>8.3950617283950604E-2</v>
      </c>
      <c r="AG87" s="25">
        <f t="shared" si="314"/>
        <v>386.60867631208708</v>
      </c>
      <c r="AH87" s="4">
        <f t="shared" si="315"/>
        <v>0.7533333333333333</v>
      </c>
      <c r="AI87" s="4">
        <v>1.25</v>
      </c>
      <c r="AJ87" s="25">
        <f t="shared" si="355"/>
        <v>5</v>
      </c>
      <c r="AK87" s="38">
        <f t="shared" si="205"/>
        <v>152.81384098673232</v>
      </c>
      <c r="AL87" s="38">
        <f t="shared" si="356"/>
        <v>152.81384098673232</v>
      </c>
      <c r="AN87" s="38">
        <f t="shared" si="158"/>
        <v>152.8138409867322</v>
      </c>
      <c r="AO87" s="38">
        <f t="shared" si="316"/>
        <v>1.0000000000000007</v>
      </c>
      <c r="AP87" s="38">
        <f t="shared" si="357"/>
        <v>2.3152590859656867</v>
      </c>
      <c r="AQ87" s="4">
        <f t="shared" si="228"/>
        <v>0</v>
      </c>
      <c r="AR87" s="4" t="e">
        <f>#REF!/G87*F87^0.5/0.19</f>
        <v>#REF!</v>
      </c>
      <c r="AS87" s="4">
        <f t="shared" si="317"/>
        <v>1.0249999999999999</v>
      </c>
      <c r="AT87" s="38">
        <f t="shared" si="318"/>
        <v>353.80363380584743</v>
      </c>
      <c r="AU87" s="4">
        <f t="shared" si="319"/>
        <v>0.33220000000000005</v>
      </c>
      <c r="AV87" s="4" t="e">
        <f>AU87*D87*#REF!/(D87*G87/2.75/F87^0.5)</f>
        <v>#REF!</v>
      </c>
      <c r="AW87" s="4" t="e">
        <f t="shared" si="207"/>
        <v>#REF!</v>
      </c>
      <c r="AY87" s="36">
        <f t="shared" si="320"/>
        <v>1.1000000000000001</v>
      </c>
      <c r="AZ87" s="36" t="e">
        <f>(1.6*#REF!+22)*AY87*F87^0.5</f>
        <v>#REF!</v>
      </c>
      <c r="BE87" s="4">
        <f t="shared" si="321"/>
        <v>89.949999999999989</v>
      </c>
      <c r="BF87" s="4">
        <f t="shared" si="322"/>
        <v>83.6</v>
      </c>
      <c r="BG87" s="4">
        <f t="shared" si="323"/>
        <v>89.949999999999989</v>
      </c>
      <c r="BH87" s="4">
        <f t="shared" si="324"/>
        <v>101.6</v>
      </c>
      <c r="BI87" s="4">
        <f t="shared" si="229"/>
        <v>1.0075956937799044</v>
      </c>
      <c r="BJ87" s="25">
        <f t="shared" si="325"/>
        <v>2.8436589580010634</v>
      </c>
      <c r="BL87" s="4">
        <f t="shared" si="326"/>
        <v>89.949999999999989</v>
      </c>
      <c r="BP87" s="9"/>
      <c r="BR87" s="9"/>
      <c r="BS87" s="9"/>
      <c r="BT87" s="9">
        <f t="shared" si="327"/>
        <v>50.8</v>
      </c>
      <c r="BU87" s="9">
        <f t="shared" si="328"/>
        <v>89.949999999999989</v>
      </c>
      <c r="BV87" s="9">
        <f t="shared" si="329"/>
        <v>1.2941994891728255</v>
      </c>
      <c r="BW87" s="9">
        <v>0</v>
      </c>
      <c r="BX87" s="9">
        <f t="shared" si="330"/>
        <v>0</v>
      </c>
      <c r="BY87" s="9">
        <f t="shared" si="208"/>
        <v>0</v>
      </c>
      <c r="BZ87" s="9">
        <f t="shared" si="331"/>
        <v>0.89637813077714179</v>
      </c>
      <c r="CA87" s="9">
        <f t="shared" si="332"/>
        <v>1.1339999999999999</v>
      </c>
      <c r="CB87" s="9">
        <f t="shared" si="333"/>
        <v>1.8825710113593779</v>
      </c>
      <c r="CC87" s="9">
        <f t="shared" si="334"/>
        <v>2.4364224412328763</v>
      </c>
      <c r="CD87" s="9">
        <v>1</v>
      </c>
      <c r="CE87" s="9" t="e">
        <f>4*CC87*#REF!+60*CC87</f>
        <v>#REF!</v>
      </c>
      <c r="CG87" s="4" t="e">
        <f t="shared" si="265"/>
        <v>#REF!</v>
      </c>
      <c r="CH87" s="4" t="e">
        <f t="shared" si="266"/>
        <v>#REF!</v>
      </c>
      <c r="CI87" s="4" t="e">
        <f t="shared" si="267"/>
        <v>#REF!</v>
      </c>
      <c r="CJ87" s="4" t="e">
        <f t="shared" si="268"/>
        <v>#REF!</v>
      </c>
      <c r="CK87" s="4" t="e">
        <f t="shared" si="269"/>
        <v>#REF!</v>
      </c>
      <c r="CL87" s="4" t="e">
        <f t="shared" si="270"/>
        <v>#REF!</v>
      </c>
      <c r="CM87" s="4">
        <f t="shared" si="215"/>
        <v>2.0826094082478721</v>
      </c>
      <c r="CO87" s="4" t="e">
        <f t="shared" si="271"/>
        <v>#REF!</v>
      </c>
      <c r="CP87" s="4" t="e">
        <f t="shared" si="272"/>
        <v>#REF!</v>
      </c>
      <c r="CQ87" s="4" t="e">
        <f t="shared" si="273"/>
        <v>#REF!</v>
      </c>
      <c r="CR87" s="4">
        <f t="shared" si="274"/>
        <v>2.0826094082478721</v>
      </c>
      <c r="CS87" s="4" t="e">
        <f t="shared" si="275"/>
        <v>#REF!</v>
      </c>
      <c r="CT87" s="4" t="e">
        <f t="shared" si="276"/>
        <v>#REF!</v>
      </c>
      <c r="DB87" s="4">
        <f t="shared" si="232"/>
        <v>0</v>
      </c>
      <c r="DC87" s="4">
        <f t="shared" si="335"/>
        <v>381</v>
      </c>
      <c r="DD87" s="4" t="e">
        <f>#REF!/E87</f>
        <v>#REF!</v>
      </c>
      <c r="DF87" s="4">
        <f t="shared" si="336"/>
        <v>1.8628104182055264E-5</v>
      </c>
      <c r="DG87" s="4">
        <f t="shared" si="233"/>
        <v>6.0161976170308948</v>
      </c>
      <c r="DH87" s="4">
        <f t="shared" si="358"/>
        <v>0.38498478450152734</v>
      </c>
      <c r="DI87" s="4">
        <f t="shared" si="359"/>
        <v>4.1067618551540557</v>
      </c>
      <c r="DJ87" s="4">
        <f t="shared" si="360"/>
        <v>5.1510418853512236</v>
      </c>
      <c r="DK87" s="4">
        <f t="shared" si="337"/>
        <v>5.6462513861654875</v>
      </c>
      <c r="DL87" s="38" t="e">
        <f t="shared" si="338"/>
        <v>#REF!</v>
      </c>
      <c r="DM87" s="4" t="e">
        <f t="shared" si="361"/>
        <v>#REF!</v>
      </c>
      <c r="DN87" s="4">
        <f t="shared" si="362"/>
        <v>2.4020824298928627</v>
      </c>
      <c r="DO87" s="4">
        <f t="shared" si="363"/>
        <v>152.8138409867322</v>
      </c>
      <c r="DS87" s="4">
        <f t="shared" si="339"/>
        <v>0.85</v>
      </c>
      <c r="DT87" s="4">
        <f t="shared" si="340"/>
        <v>0.85013888888888889</v>
      </c>
      <c r="DU87" s="4">
        <f t="shared" si="341"/>
        <v>1</v>
      </c>
      <c r="DV87" s="4">
        <f t="shared" si="223"/>
        <v>0.85013888888888889</v>
      </c>
      <c r="DX87" s="4" t="e">
        <f t="shared" si="342"/>
        <v>#REF!</v>
      </c>
      <c r="DY87" s="25">
        <f t="shared" si="343"/>
        <v>150.18137322121927</v>
      </c>
      <c r="EA87" s="4">
        <f t="shared" si="224"/>
        <v>0.72261805555555558</v>
      </c>
      <c r="EB87" s="4">
        <f t="shared" si="309"/>
        <v>6.0161976170308948</v>
      </c>
      <c r="EC87" s="4">
        <f t="shared" si="344"/>
        <v>4.9450239957683877</v>
      </c>
      <c r="EE87" s="4">
        <f t="shared" si="345"/>
        <v>86.474967476143064</v>
      </c>
      <c r="EF87" s="4">
        <f t="shared" si="235"/>
        <v>2.4020824298928627</v>
      </c>
      <c r="EG87" s="4">
        <f t="shared" si="346"/>
        <v>0.11139298620087341</v>
      </c>
      <c r="EJ87" s="4">
        <f t="shared" si="263"/>
        <v>0.11139298620087341</v>
      </c>
      <c r="EK87" s="4">
        <f t="shared" si="347"/>
        <v>0.38434231664760432</v>
      </c>
      <c r="EL87" s="4">
        <f t="shared" si="237"/>
        <v>4.1040191134255366</v>
      </c>
      <c r="EM87" s="4">
        <f t="shared" si="306"/>
        <v>5.1499506989945818</v>
      </c>
      <c r="EN87" s="4">
        <f t="shared" si="239"/>
        <v>199.27503252385694</v>
      </c>
      <c r="EO87" s="4">
        <f t="shared" si="240"/>
        <v>95.249999999999972</v>
      </c>
      <c r="EP87" s="4">
        <f t="shared" si="348"/>
        <v>1.8628104182055258E-5</v>
      </c>
      <c r="EQ87" s="4">
        <f t="shared" si="307"/>
        <v>5.646352209806822</v>
      </c>
      <c r="ER87" s="4" t="e">
        <f t="shared" si="349"/>
        <v>#REF!</v>
      </c>
      <c r="ES87" s="4" t="e">
        <f t="shared" si="242"/>
        <v>#REF!</v>
      </c>
      <c r="ET87" s="4" t="e">
        <f t="shared" si="243"/>
        <v>#REF!</v>
      </c>
      <c r="EV87" s="4" t="e">
        <f t="shared" si="350"/>
        <v>#REF!</v>
      </c>
      <c r="FA87" s="23" t="e">
        <f t="shared" si="277"/>
        <v>#REF!</v>
      </c>
      <c r="FB87" s="23" t="e">
        <f t="shared" si="278"/>
        <v>#REF!</v>
      </c>
      <c r="FC87" s="23">
        <f t="shared" si="290"/>
        <v>2.2000000000000002</v>
      </c>
      <c r="FD87" s="23" t="e">
        <f t="shared" si="279"/>
        <v>#REF!</v>
      </c>
      <c r="FE87" s="23" t="e">
        <f t="shared" si="280"/>
        <v>#REF!</v>
      </c>
      <c r="FF87" s="23" t="e">
        <f t="shared" si="281"/>
        <v>#REF!</v>
      </c>
      <c r="FG87" s="23" t="e">
        <f t="shared" si="282"/>
        <v>#REF!</v>
      </c>
      <c r="FH87" s="23"/>
      <c r="FR87" s="4">
        <f t="shared" si="351"/>
        <v>1</v>
      </c>
      <c r="FS87" s="4">
        <f t="shared" si="352"/>
        <v>1.0833333333333333</v>
      </c>
      <c r="FT87" s="4">
        <f t="shared" si="353"/>
        <v>0</v>
      </c>
      <c r="FU87" s="4">
        <f t="shared" si="354"/>
        <v>188.22540532446502</v>
      </c>
    </row>
    <row r="88" spans="1:178" ht="12" customHeight="1" x14ac:dyDescent="0.3">
      <c r="B88" s="24"/>
      <c r="C88" s="7" t="s">
        <v>289</v>
      </c>
      <c r="D88" s="7">
        <v>433</v>
      </c>
      <c r="E88" s="7">
        <f t="shared" si="308"/>
        <v>381</v>
      </c>
      <c r="F88" s="7">
        <v>28</v>
      </c>
      <c r="G88" s="7">
        <v>36</v>
      </c>
      <c r="H88" s="7">
        <f t="shared" si="305"/>
        <v>215.89999999999998</v>
      </c>
      <c r="I88" s="7">
        <f t="shared" si="310"/>
        <v>89.949999999999989</v>
      </c>
      <c r="J88" s="7">
        <f t="shared" si="201"/>
        <v>50.8</v>
      </c>
      <c r="K88" s="7">
        <v>0</v>
      </c>
      <c r="L88" s="7">
        <v>1</v>
      </c>
      <c r="M88" s="7">
        <f t="shared" si="202"/>
        <v>83.6</v>
      </c>
      <c r="N88" s="7">
        <f t="shared" si="311"/>
        <v>2.822222222222222</v>
      </c>
      <c r="O88" s="7">
        <f t="shared" si="203"/>
        <v>2.9986111111111109</v>
      </c>
      <c r="P88" s="7">
        <v>6.69</v>
      </c>
      <c r="Q88" s="7">
        <f t="shared" si="227"/>
        <v>6.69</v>
      </c>
      <c r="R88" s="7">
        <f t="shared" si="312"/>
        <v>7.69</v>
      </c>
      <c r="S88" s="7">
        <f t="shared" si="313"/>
        <v>99.831057291806744</v>
      </c>
      <c r="T88" s="7"/>
      <c r="U88" s="7"/>
      <c r="V88" s="7">
        <v>433</v>
      </c>
      <c r="W88" s="7"/>
      <c r="X88" s="7"/>
      <c r="Y88" s="7"/>
      <c r="Z88" s="7"/>
      <c r="AA88" s="7">
        <v>1</v>
      </c>
      <c r="AB88" s="7"/>
      <c r="AC88" s="7"/>
      <c r="AD88" s="7"/>
      <c r="AE88" s="4">
        <f t="shared" si="364"/>
        <v>381</v>
      </c>
      <c r="AF88" s="44">
        <f t="shared" si="204"/>
        <v>8.3950617283950604E-2</v>
      </c>
      <c r="AG88" s="25">
        <f t="shared" si="314"/>
        <v>386.60867631208708</v>
      </c>
      <c r="AH88" s="4">
        <f t="shared" si="315"/>
        <v>0.7533333333333333</v>
      </c>
      <c r="AI88" s="4">
        <v>1.25</v>
      </c>
      <c r="AJ88" s="25">
        <f t="shared" si="355"/>
        <v>5</v>
      </c>
      <c r="AK88" s="38">
        <f t="shared" si="205"/>
        <v>152.81384098673232</v>
      </c>
      <c r="AL88" s="38">
        <f t="shared" si="356"/>
        <v>152.81384098673232</v>
      </c>
      <c r="AN88" s="38">
        <f t="shared" si="158"/>
        <v>152.8138409867322</v>
      </c>
      <c r="AO88" s="38">
        <f t="shared" si="316"/>
        <v>1.0000000000000007</v>
      </c>
      <c r="AP88" s="38">
        <f t="shared" si="357"/>
        <v>2.7419117115982075</v>
      </c>
      <c r="AQ88" s="4">
        <f t="shared" si="228"/>
        <v>0</v>
      </c>
      <c r="AR88" s="4" t="e">
        <f>#REF!/G88*F88^0.5/0.19</f>
        <v>#REF!</v>
      </c>
      <c r="AS88" s="4">
        <f t="shared" si="317"/>
        <v>1.0249999999999999</v>
      </c>
      <c r="AT88" s="38">
        <f t="shared" si="318"/>
        <v>419.00206029582722</v>
      </c>
      <c r="AU88" s="4">
        <f t="shared" si="319"/>
        <v>0.3</v>
      </c>
      <c r="AV88" s="4" t="e">
        <f>AU88*D88*#REF!/(D88*G88/2.75/F88^0.5)</f>
        <v>#REF!</v>
      </c>
      <c r="AW88" s="4" t="e">
        <f t="shared" ref="AW88:AW94" si="365">AT88+AV88</f>
        <v>#REF!</v>
      </c>
      <c r="AY88" s="36">
        <f t="shared" si="320"/>
        <v>1.1000000000000001</v>
      </c>
      <c r="AZ88" s="36" t="e">
        <f>(1.6*#REF!+22)*AY88*F88^0.5</f>
        <v>#REF!</v>
      </c>
      <c r="BE88" s="4">
        <f t="shared" si="321"/>
        <v>89.949999999999989</v>
      </c>
      <c r="BF88" s="4">
        <f t="shared" si="322"/>
        <v>83.6</v>
      </c>
      <c r="BG88" s="4">
        <f t="shared" si="323"/>
        <v>89.949999999999989</v>
      </c>
      <c r="BH88" s="4">
        <f t="shared" si="324"/>
        <v>101.6</v>
      </c>
      <c r="BI88" s="4">
        <f t="shared" si="229"/>
        <v>1.0075956937799044</v>
      </c>
      <c r="BJ88" s="25">
        <f t="shared" si="325"/>
        <v>2.8436589580010634</v>
      </c>
      <c r="BL88" s="4">
        <f t="shared" si="326"/>
        <v>89.949999999999989</v>
      </c>
      <c r="BP88" s="9"/>
      <c r="BR88" s="9"/>
      <c r="BS88" s="9"/>
      <c r="BT88" s="9">
        <f t="shared" si="327"/>
        <v>50.8</v>
      </c>
      <c r="BU88" s="9">
        <f t="shared" si="328"/>
        <v>89.949999999999989</v>
      </c>
      <c r="BV88" s="9">
        <f t="shared" si="329"/>
        <v>1.2941994891728255</v>
      </c>
      <c r="BW88" s="9">
        <v>0</v>
      </c>
      <c r="BX88" s="9">
        <f t="shared" si="330"/>
        <v>0</v>
      </c>
      <c r="BY88" s="9">
        <f t="shared" ref="BY88:BY94" si="366">MAX(0,BW88*(BX88-0.5/50))</f>
        <v>0</v>
      </c>
      <c r="BZ88" s="9">
        <f t="shared" si="331"/>
        <v>0.89637813077714179</v>
      </c>
      <c r="CA88" s="9">
        <f t="shared" si="332"/>
        <v>1.1339999999999999</v>
      </c>
      <c r="CB88" s="9">
        <f t="shared" si="333"/>
        <v>1.8825710113593779</v>
      </c>
      <c r="CC88" s="9">
        <f t="shared" si="334"/>
        <v>2.4364224412328763</v>
      </c>
      <c r="CD88" s="9">
        <v>1</v>
      </c>
      <c r="CE88" s="9" t="e">
        <f>4*CC88*#REF!+60*CC88</f>
        <v>#REF!</v>
      </c>
      <c r="CG88" s="4" t="e">
        <f t="shared" si="265"/>
        <v>#REF!</v>
      </c>
      <c r="CH88" s="4" t="e">
        <f t="shared" si="266"/>
        <v>#REF!</v>
      </c>
      <c r="CI88" s="4" t="e">
        <f t="shared" si="267"/>
        <v>#REF!</v>
      </c>
      <c r="CJ88" s="4" t="e">
        <f t="shared" si="268"/>
        <v>#REF!</v>
      </c>
      <c r="CK88" s="4" t="e">
        <f t="shared" si="269"/>
        <v>#REF!</v>
      </c>
      <c r="CL88" s="4" t="e">
        <f t="shared" si="270"/>
        <v>#REF!</v>
      </c>
      <c r="CM88" s="4">
        <f t="shared" si="215"/>
        <v>2.3004333514574711</v>
      </c>
      <c r="CO88" s="4" t="e">
        <f t="shared" si="271"/>
        <v>#REF!</v>
      </c>
      <c r="CP88" s="4" t="e">
        <f t="shared" si="272"/>
        <v>#REF!</v>
      </c>
      <c r="CQ88" s="4" t="e">
        <f t="shared" si="273"/>
        <v>#REF!</v>
      </c>
      <c r="CR88" s="4">
        <f t="shared" si="274"/>
        <v>2.3004333514574711</v>
      </c>
      <c r="CS88" s="4" t="e">
        <f t="shared" si="275"/>
        <v>#REF!</v>
      </c>
      <c r="CT88" s="4" t="e">
        <f t="shared" si="276"/>
        <v>#REF!</v>
      </c>
      <c r="DB88" s="4">
        <f t="shared" si="232"/>
        <v>0</v>
      </c>
      <c r="DC88" s="4">
        <f t="shared" si="335"/>
        <v>381</v>
      </c>
      <c r="DD88" s="4" t="e">
        <f>#REF!/E88</f>
        <v>#REF!</v>
      </c>
      <c r="DF88" s="4">
        <f t="shared" si="336"/>
        <v>1.8628104182055264E-5</v>
      </c>
      <c r="DG88" s="4">
        <f t="shared" si="233"/>
        <v>6.0161976170308948</v>
      </c>
      <c r="DH88" s="4">
        <f t="shared" si="358"/>
        <v>0.31689186474065706</v>
      </c>
      <c r="DI88" s="4">
        <f t="shared" si="359"/>
        <v>3.7991507734546111</v>
      </c>
      <c r="DJ88" s="4">
        <f t="shared" si="360"/>
        <v>5.0319136852040129</v>
      </c>
      <c r="DK88" s="4">
        <f t="shared" si="337"/>
        <v>5.6610669161628726</v>
      </c>
      <c r="DL88" s="38" t="e">
        <f t="shared" si="338"/>
        <v>#REF!</v>
      </c>
      <c r="DM88" s="4" t="e">
        <f t="shared" si="361"/>
        <v>#REF!</v>
      </c>
      <c r="DN88" s="4">
        <f t="shared" si="362"/>
        <v>2.7730849247724096</v>
      </c>
      <c r="DO88" s="4">
        <f t="shared" si="363"/>
        <v>152.8138409867322</v>
      </c>
      <c r="DS88" s="4">
        <f t="shared" si="339"/>
        <v>0.85</v>
      </c>
      <c r="DT88" s="4">
        <f t="shared" si="340"/>
        <v>0.85013888888888889</v>
      </c>
      <c r="DU88" s="4">
        <f t="shared" si="341"/>
        <v>1</v>
      </c>
      <c r="DV88" s="4">
        <f t="shared" ref="DV88:DV94" si="367">IF(DT88*DU88&lt;0.7,0.7,DT88*DU88)</f>
        <v>0.85013888888888889</v>
      </c>
      <c r="DX88" s="4" t="e">
        <f t="shared" si="342"/>
        <v>#REF!</v>
      </c>
      <c r="DY88" s="25">
        <f t="shared" si="343"/>
        <v>150.18137322121927</v>
      </c>
      <c r="EA88" s="4">
        <f t="shared" si="224"/>
        <v>0.72261805555555558</v>
      </c>
      <c r="EB88" s="4">
        <f t="shared" si="309"/>
        <v>6.0161976170308948</v>
      </c>
      <c r="EC88" s="4">
        <f t="shared" si="344"/>
        <v>4.9450239957683877</v>
      </c>
      <c r="EE88" s="4">
        <f t="shared" si="345"/>
        <v>99.831057291806744</v>
      </c>
      <c r="EF88" s="4">
        <f t="shared" si="235"/>
        <v>2.7730849247724096</v>
      </c>
      <c r="EG88" s="4">
        <f t="shared" si="346"/>
        <v>9.1690717496615795E-2</v>
      </c>
      <c r="EJ88" s="4">
        <f t="shared" ref="EJ88:EJ94" si="368">EG88</f>
        <v>9.1690717496615795E-2</v>
      </c>
      <c r="EK88" s="4">
        <f t="shared" si="347"/>
        <v>0.31636303127901982</v>
      </c>
      <c r="EL88" s="4">
        <f t="shared" si="237"/>
        <v>3.796613472844836</v>
      </c>
      <c r="EM88" s="4">
        <f t="shared" ref="EM88:EM94" si="369">EB88/1.4*(1-EK88^1.4)/(1-EK88)</f>
        <v>5.0309590892700076</v>
      </c>
      <c r="EN88" s="4">
        <f t="shared" si="239"/>
        <v>185.91894270819324</v>
      </c>
      <c r="EO88" s="4">
        <f t="shared" si="240"/>
        <v>95.25</v>
      </c>
      <c r="EP88" s="4">
        <f t="shared" si="348"/>
        <v>1.8628104182055264E-5</v>
      </c>
      <c r="EQ88" s="4">
        <f t="shared" ref="EQ88:EQ94" si="370">MAX(0.5*EB88, (1-2*EP88*(EE88*EL88+EN88*EM88))/(1/EB88+EP88*EO88))</f>
        <v>5.6611624514348415</v>
      </c>
      <c r="ER88" s="4" t="e">
        <f t="shared" si="349"/>
        <v>#REF!</v>
      </c>
      <c r="ES88" s="4" t="e">
        <f t="shared" si="242"/>
        <v>#REF!</v>
      </c>
      <c r="ET88" s="4" t="e">
        <f t="shared" si="243"/>
        <v>#REF!</v>
      </c>
      <c r="EV88" s="4" t="e">
        <f t="shared" si="350"/>
        <v>#REF!</v>
      </c>
      <c r="FA88" s="23" t="e">
        <f t="shared" si="277"/>
        <v>#REF!</v>
      </c>
      <c r="FB88" s="23" t="e">
        <f t="shared" si="278"/>
        <v>#REF!</v>
      </c>
      <c r="FC88" s="23">
        <f t="shared" si="290"/>
        <v>2.2000000000000002</v>
      </c>
      <c r="FD88" s="23" t="e">
        <f t="shared" si="279"/>
        <v>#REF!</v>
      </c>
      <c r="FE88" s="23" t="e">
        <f t="shared" si="280"/>
        <v>#REF!</v>
      </c>
      <c r="FF88" s="23" t="e">
        <f t="shared" si="281"/>
        <v>#REF!</v>
      </c>
      <c r="FG88" s="23" t="e">
        <f t="shared" si="282"/>
        <v>#REF!</v>
      </c>
      <c r="FH88" s="23"/>
      <c r="FR88" s="4">
        <f t="shared" si="351"/>
        <v>1</v>
      </c>
      <c r="FS88" s="4">
        <f t="shared" si="352"/>
        <v>1.0833333333333333</v>
      </c>
      <c r="FT88" s="4">
        <f t="shared" si="353"/>
        <v>0</v>
      </c>
      <c r="FU88" s="4">
        <f t="shared" si="354"/>
        <v>188.22540532446502</v>
      </c>
    </row>
    <row r="89" spans="1:178" ht="12" customHeight="1" x14ac:dyDescent="0.3">
      <c r="B89" s="24"/>
      <c r="C89" s="7" t="s">
        <v>290</v>
      </c>
      <c r="D89" s="7">
        <v>433</v>
      </c>
      <c r="E89" s="7">
        <f t="shared" si="308"/>
        <v>381</v>
      </c>
      <c r="F89" s="7">
        <v>28</v>
      </c>
      <c r="G89" s="7">
        <v>36</v>
      </c>
      <c r="H89" s="7">
        <f t="shared" si="305"/>
        <v>215.89999999999998</v>
      </c>
      <c r="I89" s="7">
        <f t="shared" si="310"/>
        <v>89.949999999999989</v>
      </c>
      <c r="J89" s="7">
        <f t="shared" si="201"/>
        <v>50.8</v>
      </c>
      <c r="K89" s="7">
        <v>0</v>
      </c>
      <c r="L89" s="7">
        <v>1</v>
      </c>
      <c r="M89" s="7">
        <f t="shared" si="202"/>
        <v>83.6</v>
      </c>
      <c r="N89" s="7">
        <f t="shared" si="311"/>
        <v>2.822222222222222</v>
      </c>
      <c r="O89" s="7">
        <f t="shared" si="203"/>
        <v>2.9986111111111109</v>
      </c>
      <c r="P89" s="7">
        <v>6.69</v>
      </c>
      <c r="Q89" s="7">
        <f t="shared" si="227"/>
        <v>6.69</v>
      </c>
      <c r="R89" s="7">
        <f t="shared" si="312"/>
        <v>7.69</v>
      </c>
      <c r="S89" s="7">
        <f t="shared" si="313"/>
        <v>99.831057291806744</v>
      </c>
      <c r="T89" s="7"/>
      <c r="U89" s="7"/>
      <c r="V89" s="7">
        <v>433</v>
      </c>
      <c r="W89" s="7"/>
      <c r="X89" s="7"/>
      <c r="Y89" s="7"/>
      <c r="Z89" s="7"/>
      <c r="AA89" s="7">
        <v>1</v>
      </c>
      <c r="AB89" s="7"/>
      <c r="AC89" s="7"/>
      <c r="AD89" s="7"/>
      <c r="AE89" s="4">
        <f t="shared" si="364"/>
        <v>381</v>
      </c>
      <c r="AF89" s="44">
        <f t="shared" si="204"/>
        <v>8.3950617283950604E-2</v>
      </c>
      <c r="AG89" s="25">
        <f t="shared" si="314"/>
        <v>386.60867631208708</v>
      </c>
      <c r="AH89" s="4">
        <f t="shared" si="315"/>
        <v>0.7533333333333333</v>
      </c>
      <c r="AI89" s="4">
        <v>1.25</v>
      </c>
      <c r="AJ89" s="25">
        <f t="shared" si="355"/>
        <v>5</v>
      </c>
      <c r="AK89" s="38">
        <f t="shared" si="205"/>
        <v>152.81384098673232</v>
      </c>
      <c r="AL89" s="38">
        <f t="shared" si="356"/>
        <v>152.81384098673232</v>
      </c>
      <c r="AN89" s="38">
        <f t="shared" si="158"/>
        <v>152.8138409867322</v>
      </c>
      <c r="AO89" s="38">
        <f t="shared" si="316"/>
        <v>1.0000000000000007</v>
      </c>
      <c r="AP89" s="38">
        <f t="shared" si="357"/>
        <v>2.7419117115982075</v>
      </c>
      <c r="AQ89" s="4">
        <f t="shared" si="228"/>
        <v>0</v>
      </c>
      <c r="AR89" s="4" t="e">
        <f>#REF!/G89*F89^0.5/0.19</f>
        <v>#REF!</v>
      </c>
      <c r="AS89" s="4">
        <f t="shared" si="317"/>
        <v>1.0249999999999999</v>
      </c>
      <c r="AT89" s="38">
        <f t="shared" si="318"/>
        <v>419.00206029582722</v>
      </c>
      <c r="AU89" s="4">
        <f t="shared" si="319"/>
        <v>0.3</v>
      </c>
      <c r="AV89" s="4" t="e">
        <f>AU89*D89*#REF!/(D89*G89/2.75/F89^0.5)</f>
        <v>#REF!</v>
      </c>
      <c r="AW89" s="4" t="e">
        <f t="shared" si="365"/>
        <v>#REF!</v>
      </c>
      <c r="AY89" s="36">
        <f t="shared" si="320"/>
        <v>1.1000000000000001</v>
      </c>
      <c r="AZ89" s="36" t="e">
        <f>(1.6*#REF!+22)*AY89*F89^0.5</f>
        <v>#REF!</v>
      </c>
      <c r="BE89" s="4">
        <f t="shared" si="321"/>
        <v>89.949999999999989</v>
      </c>
      <c r="BF89" s="4">
        <f t="shared" si="322"/>
        <v>83.6</v>
      </c>
      <c r="BG89" s="4">
        <f t="shared" si="323"/>
        <v>89.949999999999989</v>
      </c>
      <c r="BH89" s="4">
        <f t="shared" si="324"/>
        <v>101.6</v>
      </c>
      <c r="BI89" s="4">
        <f t="shared" si="229"/>
        <v>1.0075956937799044</v>
      </c>
      <c r="BJ89" s="25">
        <f t="shared" si="325"/>
        <v>2.8436589580010634</v>
      </c>
      <c r="BL89" s="4">
        <f t="shared" si="326"/>
        <v>89.949999999999989</v>
      </c>
      <c r="BP89" s="9"/>
      <c r="BR89" s="9"/>
      <c r="BS89" s="9"/>
      <c r="BT89" s="9">
        <f t="shared" si="327"/>
        <v>50.8</v>
      </c>
      <c r="BU89" s="9">
        <f t="shared" si="328"/>
        <v>89.949999999999989</v>
      </c>
      <c r="BV89" s="9">
        <f t="shared" si="329"/>
        <v>1.2941994891728255</v>
      </c>
      <c r="BW89" s="9">
        <v>0</v>
      </c>
      <c r="BX89" s="9">
        <f t="shared" si="330"/>
        <v>0</v>
      </c>
      <c r="BY89" s="9">
        <f t="shared" si="366"/>
        <v>0</v>
      </c>
      <c r="BZ89" s="9">
        <f t="shared" si="331"/>
        <v>0.89637813077714179</v>
      </c>
      <c r="CA89" s="9">
        <f t="shared" si="332"/>
        <v>1.1339999999999999</v>
      </c>
      <c r="CB89" s="9">
        <f t="shared" si="333"/>
        <v>1.8825710113593779</v>
      </c>
      <c r="CC89" s="9">
        <f t="shared" si="334"/>
        <v>2.4364224412328763</v>
      </c>
      <c r="CD89" s="9">
        <v>1</v>
      </c>
      <c r="CE89" s="9" t="e">
        <f>4*CC89*#REF!+60*CC89</f>
        <v>#REF!</v>
      </c>
      <c r="CG89" s="4" t="e">
        <f t="shared" si="265"/>
        <v>#REF!</v>
      </c>
      <c r="CH89" s="4" t="e">
        <f t="shared" si="266"/>
        <v>#REF!</v>
      </c>
      <c r="CI89" s="4" t="e">
        <f t="shared" si="267"/>
        <v>#REF!</v>
      </c>
      <c r="CJ89" s="4" t="e">
        <f t="shared" si="268"/>
        <v>#REF!</v>
      </c>
      <c r="CK89" s="4" t="e">
        <f t="shared" si="269"/>
        <v>#REF!</v>
      </c>
      <c r="CL89" s="4" t="e">
        <f t="shared" si="270"/>
        <v>#REF!</v>
      </c>
      <c r="CM89" s="4">
        <f t="shared" si="215"/>
        <v>2.3004333514574711</v>
      </c>
      <c r="CO89" s="4" t="e">
        <f t="shared" si="271"/>
        <v>#REF!</v>
      </c>
      <c r="CP89" s="4" t="e">
        <f t="shared" si="272"/>
        <v>#REF!</v>
      </c>
      <c r="CQ89" s="4" t="e">
        <f t="shared" si="273"/>
        <v>#REF!</v>
      </c>
      <c r="CR89" s="4">
        <f t="shared" si="274"/>
        <v>2.3004333514574711</v>
      </c>
      <c r="CS89" s="4" t="e">
        <f t="shared" si="275"/>
        <v>#REF!</v>
      </c>
      <c r="CT89" s="4" t="e">
        <f t="shared" si="276"/>
        <v>#REF!</v>
      </c>
      <c r="DB89" s="4">
        <f t="shared" si="232"/>
        <v>0</v>
      </c>
      <c r="DC89" s="4">
        <f t="shared" si="335"/>
        <v>381</v>
      </c>
      <c r="DD89" s="4" t="e">
        <f>#REF!/E89</f>
        <v>#REF!</v>
      </c>
      <c r="DF89" s="4">
        <f t="shared" si="336"/>
        <v>1.8628104182055264E-5</v>
      </c>
      <c r="DG89" s="4">
        <f t="shared" si="233"/>
        <v>6.0161976170308948</v>
      </c>
      <c r="DH89" s="4">
        <f t="shared" si="358"/>
        <v>0.31689186474065706</v>
      </c>
      <c r="DI89" s="4">
        <f t="shared" si="359"/>
        <v>3.7991507734546111</v>
      </c>
      <c r="DJ89" s="4">
        <f t="shared" si="360"/>
        <v>5.0319136852040129</v>
      </c>
      <c r="DK89" s="4">
        <f t="shared" si="337"/>
        <v>5.6610669161628726</v>
      </c>
      <c r="DL89" s="38" t="e">
        <f t="shared" si="338"/>
        <v>#REF!</v>
      </c>
      <c r="DM89" s="4" t="e">
        <f t="shared" si="361"/>
        <v>#REF!</v>
      </c>
      <c r="DN89" s="4">
        <f t="shared" si="362"/>
        <v>2.7730849247724096</v>
      </c>
      <c r="DO89" s="4">
        <f t="shared" si="363"/>
        <v>152.8138409867322</v>
      </c>
      <c r="DS89" s="4">
        <f t="shared" si="339"/>
        <v>0.85</v>
      </c>
      <c r="DT89" s="4">
        <f t="shared" si="340"/>
        <v>0.85013888888888889</v>
      </c>
      <c r="DU89" s="4">
        <f t="shared" si="341"/>
        <v>1</v>
      </c>
      <c r="DV89" s="4">
        <f t="shared" si="367"/>
        <v>0.85013888888888889</v>
      </c>
      <c r="DX89" s="4" t="e">
        <f t="shared" si="342"/>
        <v>#REF!</v>
      </c>
      <c r="DY89" s="25">
        <f t="shared" si="343"/>
        <v>150.18137322121927</v>
      </c>
      <c r="EA89" s="4">
        <f t="shared" si="224"/>
        <v>0.72261805555555558</v>
      </c>
      <c r="EB89" s="4">
        <f t="shared" si="309"/>
        <v>6.0161976170308948</v>
      </c>
      <c r="EC89" s="4">
        <f t="shared" si="344"/>
        <v>4.9450239957683877</v>
      </c>
      <c r="EE89" s="4">
        <f t="shared" si="345"/>
        <v>99.831057291806744</v>
      </c>
      <c r="EF89" s="4">
        <f t="shared" si="235"/>
        <v>2.7730849247724096</v>
      </c>
      <c r="EG89" s="4">
        <f t="shared" si="346"/>
        <v>9.1690717496615795E-2</v>
      </c>
      <c r="EJ89" s="4">
        <f t="shared" si="368"/>
        <v>9.1690717496615795E-2</v>
      </c>
      <c r="EK89" s="4">
        <f t="shared" si="347"/>
        <v>0.31636303127901982</v>
      </c>
      <c r="EL89" s="4">
        <f t="shared" si="237"/>
        <v>3.796613472844836</v>
      </c>
      <c r="EM89" s="4">
        <f t="shared" si="369"/>
        <v>5.0309590892700076</v>
      </c>
      <c r="EN89" s="4">
        <f t="shared" si="239"/>
        <v>185.91894270819324</v>
      </c>
      <c r="EO89" s="4">
        <f t="shared" si="240"/>
        <v>95.25</v>
      </c>
      <c r="EP89" s="4">
        <f t="shared" si="348"/>
        <v>1.8628104182055264E-5</v>
      </c>
      <c r="EQ89" s="4">
        <f t="shared" si="370"/>
        <v>5.6611624514348415</v>
      </c>
      <c r="ER89" s="4" t="e">
        <f t="shared" si="349"/>
        <v>#REF!</v>
      </c>
      <c r="ES89" s="4" t="e">
        <f t="shared" si="242"/>
        <v>#REF!</v>
      </c>
      <c r="ET89" s="4" t="e">
        <f t="shared" si="243"/>
        <v>#REF!</v>
      </c>
      <c r="EV89" s="4" t="e">
        <f t="shared" si="350"/>
        <v>#REF!</v>
      </c>
      <c r="FA89" s="23" t="e">
        <f t="shared" si="277"/>
        <v>#REF!</v>
      </c>
      <c r="FB89" s="23" t="e">
        <f t="shared" si="278"/>
        <v>#REF!</v>
      </c>
      <c r="FC89" s="23">
        <f t="shared" si="290"/>
        <v>2.2000000000000002</v>
      </c>
      <c r="FD89" s="23" t="e">
        <f t="shared" si="279"/>
        <v>#REF!</v>
      </c>
      <c r="FE89" s="23" t="e">
        <f t="shared" si="280"/>
        <v>#REF!</v>
      </c>
      <c r="FF89" s="23" t="e">
        <f t="shared" si="281"/>
        <v>#REF!</v>
      </c>
      <c r="FG89" s="23" t="e">
        <f t="shared" si="282"/>
        <v>#REF!</v>
      </c>
      <c r="FH89" s="23"/>
      <c r="FR89" s="4">
        <f t="shared" si="351"/>
        <v>1</v>
      </c>
      <c r="FS89" s="4">
        <f t="shared" si="352"/>
        <v>1.0833333333333333</v>
      </c>
      <c r="FT89" s="4">
        <f t="shared" si="353"/>
        <v>0</v>
      </c>
      <c r="FU89" s="4">
        <f t="shared" si="354"/>
        <v>188.22540532446502</v>
      </c>
    </row>
    <row r="90" spans="1:178" ht="12" customHeight="1" x14ac:dyDescent="0.3">
      <c r="B90" s="24"/>
      <c r="C90" s="7" t="s">
        <v>291</v>
      </c>
      <c r="D90" s="7">
        <v>433</v>
      </c>
      <c r="E90" s="7">
        <f t="shared" si="308"/>
        <v>381</v>
      </c>
      <c r="F90" s="7">
        <v>28</v>
      </c>
      <c r="G90" s="7">
        <v>36</v>
      </c>
      <c r="H90" s="7">
        <f t="shared" si="305"/>
        <v>215.89999999999998</v>
      </c>
      <c r="I90" s="7">
        <f t="shared" si="310"/>
        <v>89.949999999999989</v>
      </c>
      <c r="J90" s="7">
        <f t="shared" si="201"/>
        <v>50.8</v>
      </c>
      <c r="K90" s="7">
        <v>0</v>
      </c>
      <c r="L90" s="7">
        <v>1</v>
      </c>
      <c r="M90" s="7">
        <f t="shared" si="202"/>
        <v>83.6</v>
      </c>
      <c r="N90" s="7">
        <f t="shared" si="311"/>
        <v>2.822222222222222</v>
      </c>
      <c r="O90" s="7">
        <f t="shared" si="203"/>
        <v>2.9986111111111109</v>
      </c>
      <c r="P90" s="7">
        <v>9.26</v>
      </c>
      <c r="Q90" s="7">
        <f t="shared" si="227"/>
        <v>9.26</v>
      </c>
      <c r="R90" s="7">
        <f t="shared" si="312"/>
        <v>10.26</v>
      </c>
      <c r="S90" s="7">
        <f t="shared" si="313"/>
        <v>115.31244512193817</v>
      </c>
      <c r="T90" s="7"/>
      <c r="U90" s="7"/>
      <c r="V90" s="7">
        <v>433</v>
      </c>
      <c r="W90" s="7"/>
      <c r="X90" s="7"/>
      <c r="Y90" s="7"/>
      <c r="Z90" s="7"/>
      <c r="AA90" s="7">
        <v>1</v>
      </c>
      <c r="AB90" s="7"/>
      <c r="AC90" s="7"/>
      <c r="AD90" s="7"/>
      <c r="AE90" s="4">
        <f t="shared" si="364"/>
        <v>381</v>
      </c>
      <c r="AF90" s="44">
        <f t="shared" si="204"/>
        <v>8.3950617283950604E-2</v>
      </c>
      <c r="AG90" s="25">
        <f t="shared" si="314"/>
        <v>386.60867631208708</v>
      </c>
      <c r="AH90" s="4">
        <f t="shared" si="315"/>
        <v>0.7533333333333333</v>
      </c>
      <c r="AI90" s="4">
        <v>1.25</v>
      </c>
      <c r="AJ90" s="25">
        <f t="shared" si="355"/>
        <v>5</v>
      </c>
      <c r="AK90" s="38">
        <f t="shared" si="205"/>
        <v>152.81384098673232</v>
      </c>
      <c r="AL90" s="38">
        <f t="shared" si="356"/>
        <v>152.81384098673232</v>
      </c>
      <c r="AN90" s="38">
        <f t="shared" si="158"/>
        <v>152.8138409867322</v>
      </c>
      <c r="AO90" s="38">
        <f t="shared" si="316"/>
        <v>1.0000000000000007</v>
      </c>
      <c r="AP90" s="38">
        <f t="shared" si="357"/>
        <v>3.2258628644800567</v>
      </c>
      <c r="AQ90" s="4">
        <f t="shared" si="228"/>
        <v>0</v>
      </c>
      <c r="AR90" s="4" t="e">
        <f>#REF!/G90*F90^0.5/0.19</f>
        <v>#REF!</v>
      </c>
      <c r="AS90" s="4">
        <f t="shared" si="317"/>
        <v>1.0249999999999999</v>
      </c>
      <c r="AT90" s="38">
        <f t="shared" si="318"/>
        <v>492.9564948176598</v>
      </c>
      <c r="AU90" s="4">
        <f t="shared" si="319"/>
        <v>0.3</v>
      </c>
      <c r="AV90" s="4" t="e">
        <f>AU90*D90*#REF!/(D90*G90/2.75/F90^0.5)</f>
        <v>#REF!</v>
      </c>
      <c r="AW90" s="4" t="e">
        <f t="shared" si="365"/>
        <v>#REF!</v>
      </c>
      <c r="AY90" s="36">
        <f t="shared" si="320"/>
        <v>1.1000000000000001</v>
      </c>
      <c r="AZ90" s="36" t="e">
        <f>(1.6*#REF!+22)*AY90*F90^0.5</f>
        <v>#REF!</v>
      </c>
      <c r="BE90" s="4">
        <f t="shared" si="321"/>
        <v>89.949999999999989</v>
      </c>
      <c r="BF90" s="4">
        <f t="shared" si="322"/>
        <v>83.6</v>
      </c>
      <c r="BG90" s="4">
        <f t="shared" si="323"/>
        <v>89.949999999999989</v>
      </c>
      <c r="BH90" s="4">
        <f t="shared" si="324"/>
        <v>101.6</v>
      </c>
      <c r="BI90" s="4">
        <f t="shared" si="229"/>
        <v>1.0075956937799044</v>
      </c>
      <c r="BJ90" s="25">
        <f t="shared" si="325"/>
        <v>2.8436589580010634</v>
      </c>
      <c r="BL90" s="4">
        <f t="shared" si="326"/>
        <v>89.949999999999989</v>
      </c>
      <c r="BP90" s="9"/>
      <c r="BR90" s="9"/>
      <c r="BS90" s="9"/>
      <c r="BT90" s="9">
        <f t="shared" si="327"/>
        <v>50.8</v>
      </c>
      <c r="BU90" s="9">
        <f t="shared" si="328"/>
        <v>89.949999999999989</v>
      </c>
      <c r="BV90" s="9">
        <f t="shared" si="329"/>
        <v>1.2941994891728255</v>
      </c>
      <c r="BW90" s="9">
        <v>0</v>
      </c>
      <c r="BX90" s="9">
        <f t="shared" si="330"/>
        <v>0</v>
      </c>
      <c r="BY90" s="9">
        <f t="shared" si="366"/>
        <v>0</v>
      </c>
      <c r="BZ90" s="9">
        <f t="shared" si="331"/>
        <v>0.89637813077714179</v>
      </c>
      <c r="CA90" s="9">
        <f t="shared" si="332"/>
        <v>1.1339999999999999</v>
      </c>
      <c r="CB90" s="9">
        <f t="shared" si="333"/>
        <v>1.8825710113593779</v>
      </c>
      <c r="CC90" s="9">
        <f t="shared" si="334"/>
        <v>2.4364224412328763</v>
      </c>
      <c r="CD90" s="9">
        <v>1</v>
      </c>
      <c r="CE90" s="9" t="e">
        <f>4*CC90*#REF!+60*CC90</f>
        <v>#REF!</v>
      </c>
      <c r="CG90" s="4" t="e">
        <f t="shared" si="265"/>
        <v>#REF!</v>
      </c>
      <c r="CH90" s="4" t="e">
        <f t="shared" si="266"/>
        <v>#REF!</v>
      </c>
      <c r="CI90" s="4" t="e">
        <f t="shared" si="267"/>
        <v>#REF!</v>
      </c>
      <c r="CJ90" s="4" t="e">
        <f t="shared" si="268"/>
        <v>#REF!</v>
      </c>
      <c r="CK90" s="4" t="e">
        <f t="shared" si="269"/>
        <v>#REF!</v>
      </c>
      <c r="CL90" s="4" t="e">
        <f t="shared" si="270"/>
        <v>#REF!</v>
      </c>
      <c r="CM90" s="4">
        <f t="shared" si="215"/>
        <v>2.3004333514574711</v>
      </c>
      <c r="CO90" s="4" t="e">
        <f t="shared" si="271"/>
        <v>#REF!</v>
      </c>
      <c r="CP90" s="4" t="e">
        <f t="shared" si="272"/>
        <v>#REF!</v>
      </c>
      <c r="CQ90" s="4" t="e">
        <f t="shared" si="273"/>
        <v>#REF!</v>
      </c>
      <c r="CR90" s="4">
        <f>CM90</f>
        <v>2.3004333514574711</v>
      </c>
      <c r="CS90" s="4" t="e">
        <f t="shared" si="275"/>
        <v>#REF!</v>
      </c>
      <c r="CT90" s="4" t="e">
        <f t="shared" si="276"/>
        <v>#REF!</v>
      </c>
      <c r="DB90" s="4">
        <f t="shared" si="232"/>
        <v>0</v>
      </c>
      <c r="DC90" s="4">
        <f t="shared" si="335"/>
        <v>381</v>
      </c>
      <c r="DD90" s="4" t="e">
        <f>#REF!/E90</f>
        <v>#REF!</v>
      </c>
      <c r="DF90" s="4">
        <f t="shared" si="336"/>
        <v>1.8628104182055264E-5</v>
      </c>
      <c r="DG90" s="4">
        <f t="shared" si="233"/>
        <v>6.0161976170308948</v>
      </c>
      <c r="DH90" s="4">
        <f t="shared" si="358"/>
        <v>0.26444583522906207</v>
      </c>
      <c r="DI90" s="4">
        <f t="shared" si="359"/>
        <v>3.533920587061155</v>
      </c>
      <c r="DJ90" s="4">
        <f t="shared" si="360"/>
        <v>4.9347313117653027</v>
      </c>
      <c r="DK90" s="4">
        <f t="shared" si="337"/>
        <v>5.6757555744502399</v>
      </c>
      <c r="DL90" s="38" t="e">
        <f t="shared" si="338"/>
        <v>#REF!</v>
      </c>
      <c r="DM90" s="4" t="e">
        <f t="shared" si="361"/>
        <v>#REF!</v>
      </c>
      <c r="DN90" s="4">
        <f t="shared" si="362"/>
        <v>3.2031234756093934</v>
      </c>
      <c r="DO90" s="4">
        <f t="shared" si="363"/>
        <v>152.8138409867322</v>
      </c>
      <c r="DS90" s="4">
        <f t="shared" si="339"/>
        <v>0.85</v>
      </c>
      <c r="DT90" s="4">
        <f t="shared" si="340"/>
        <v>0.85013888888888889</v>
      </c>
      <c r="DU90" s="4">
        <f t="shared" si="341"/>
        <v>1</v>
      </c>
      <c r="DV90" s="4">
        <f t="shared" si="367"/>
        <v>0.85013888888888889</v>
      </c>
      <c r="DX90" s="4" t="e">
        <f t="shared" si="342"/>
        <v>#REF!</v>
      </c>
      <c r="DY90" s="25">
        <f t="shared" si="343"/>
        <v>150.18137322121927</v>
      </c>
      <c r="EA90" s="4">
        <f t="shared" si="224"/>
        <v>0.72261805555555558</v>
      </c>
      <c r="EB90" s="4">
        <f t="shared" si="309"/>
        <v>6.0161976170308948</v>
      </c>
      <c r="EC90" s="4">
        <f t="shared" si="344"/>
        <v>4.9450239957683877</v>
      </c>
      <c r="EE90" s="4">
        <f t="shared" si="345"/>
        <v>115.31244512193817</v>
      </c>
      <c r="EF90" s="4">
        <f t="shared" si="235"/>
        <v>3.2031234756093934</v>
      </c>
      <c r="EG90" s="4">
        <f t="shared" si="346"/>
        <v>7.6515780520236359E-2</v>
      </c>
      <c r="EJ90" s="4">
        <f t="shared" si="368"/>
        <v>7.6515780520236359E-2</v>
      </c>
      <c r="EK90" s="4">
        <f t="shared" si="347"/>
        <v>0.26400452441606859</v>
      </c>
      <c r="EL90" s="4">
        <f t="shared" si="237"/>
        <v>3.5315604230679014</v>
      </c>
      <c r="EM90" s="4">
        <f t="shared" si="369"/>
        <v>4.9338906630979427</v>
      </c>
      <c r="EN90" s="4">
        <f t="shared" si="239"/>
        <v>170.43755487806183</v>
      </c>
      <c r="EO90" s="4">
        <f t="shared" si="240"/>
        <v>95.250000000000028</v>
      </c>
      <c r="EP90" s="4">
        <f t="shared" si="348"/>
        <v>1.8628104182055271E-5</v>
      </c>
      <c r="EQ90" s="4">
        <f t="shared" si="370"/>
        <v>5.6758477067244071</v>
      </c>
      <c r="ER90" s="4" t="e">
        <f t="shared" si="349"/>
        <v>#REF!</v>
      </c>
      <c r="ES90" s="4" t="e">
        <f t="shared" si="242"/>
        <v>#REF!</v>
      </c>
      <c r="ET90" s="4" t="e">
        <f t="shared" si="243"/>
        <v>#REF!</v>
      </c>
      <c r="EV90" s="4" t="e">
        <f t="shared" si="350"/>
        <v>#REF!</v>
      </c>
      <c r="FA90" s="23" t="e">
        <f t="shared" si="277"/>
        <v>#REF!</v>
      </c>
      <c r="FB90" s="23" t="e">
        <f t="shared" si="278"/>
        <v>#REF!</v>
      </c>
      <c r="FC90" s="23">
        <f t="shared" si="290"/>
        <v>2.2000000000000002</v>
      </c>
      <c r="FD90" s="23" t="e">
        <f t="shared" si="279"/>
        <v>#REF!</v>
      </c>
      <c r="FE90" s="23" t="e">
        <f t="shared" si="280"/>
        <v>#REF!</v>
      </c>
      <c r="FF90" s="23" t="e">
        <f t="shared" si="281"/>
        <v>#REF!</v>
      </c>
      <c r="FG90" s="23" t="e">
        <f t="shared" si="282"/>
        <v>#REF!</v>
      </c>
      <c r="FH90" s="23"/>
      <c r="FR90" s="4">
        <f t="shared" si="351"/>
        <v>1</v>
      </c>
      <c r="FS90" s="4">
        <f t="shared" si="352"/>
        <v>1.0833333333333333</v>
      </c>
      <c r="FT90" s="4">
        <f t="shared" si="353"/>
        <v>0</v>
      </c>
      <c r="FU90" s="4">
        <f t="shared" si="354"/>
        <v>188.22540532446502</v>
      </c>
    </row>
    <row r="91" spans="1:178" ht="12" customHeight="1" x14ac:dyDescent="0.3">
      <c r="B91" s="24" t="s">
        <v>292</v>
      </c>
      <c r="C91" s="7" t="s">
        <v>281</v>
      </c>
      <c r="D91" s="7">
        <v>472</v>
      </c>
      <c r="E91" s="7">
        <f t="shared" si="308"/>
        <v>381</v>
      </c>
      <c r="F91" s="7">
        <v>26</v>
      </c>
      <c r="G91" s="7">
        <v>25.4</v>
      </c>
      <c r="H91" s="7">
        <f t="shared" ref="H91:H94" si="371">6*25.4</f>
        <v>152.39999999999998</v>
      </c>
      <c r="I91" s="7">
        <f t="shared" si="310"/>
        <v>63.499999999999986</v>
      </c>
      <c r="J91" s="7">
        <f t="shared" si="201"/>
        <v>50.8</v>
      </c>
      <c r="K91" s="7">
        <v>0</v>
      </c>
      <c r="L91" s="7">
        <v>1</v>
      </c>
      <c r="M91" s="7">
        <f t="shared" si="202"/>
        <v>88.899999999999991</v>
      </c>
      <c r="N91" s="7">
        <f t="shared" si="311"/>
        <v>2.9999999999999996</v>
      </c>
      <c r="O91" s="7">
        <f t="shared" si="203"/>
        <v>4</v>
      </c>
      <c r="P91" s="7">
        <v>4.7</v>
      </c>
      <c r="Q91" s="7">
        <f t="shared" si="227"/>
        <v>4.7</v>
      </c>
      <c r="R91" s="7">
        <f t="shared" si="312"/>
        <v>5.7</v>
      </c>
      <c r="S91" s="7">
        <f t="shared" si="313"/>
        <v>60.641668842471674</v>
      </c>
      <c r="T91" s="7"/>
      <c r="U91" s="7"/>
      <c r="V91" s="7">
        <v>442</v>
      </c>
      <c r="W91" s="7"/>
      <c r="X91" s="7"/>
      <c r="Y91" s="7">
        <v>9.5</v>
      </c>
      <c r="Z91" s="7">
        <v>2</v>
      </c>
      <c r="AA91" s="7">
        <v>152</v>
      </c>
      <c r="AB91" s="7">
        <v>2</v>
      </c>
      <c r="AC91" s="7">
        <v>2</v>
      </c>
      <c r="AD91" s="7"/>
      <c r="AE91" s="4">
        <f t="shared" si="364"/>
        <v>381</v>
      </c>
      <c r="AF91" s="44">
        <f t="shared" si="204"/>
        <v>5.9259259259259248E-2</v>
      </c>
      <c r="AG91" s="25">
        <f t="shared" si="314"/>
        <v>748.37078117567501</v>
      </c>
      <c r="AH91" s="4">
        <f t="shared" si="315"/>
        <v>0.74</v>
      </c>
      <c r="AI91" s="4">
        <v>1.25</v>
      </c>
      <c r="AJ91" s="25">
        <f t="shared" si="355"/>
        <v>5</v>
      </c>
      <c r="AK91" s="38">
        <f t="shared" si="205"/>
        <v>205.10902891481459</v>
      </c>
      <c r="AL91" s="38">
        <f t="shared" si="356"/>
        <v>205.10902891481459</v>
      </c>
      <c r="AN91" s="38">
        <f t="shared" si="158"/>
        <v>205.10902891481439</v>
      </c>
      <c r="AO91" s="38">
        <f t="shared" si="316"/>
        <v>1.0000000000000009</v>
      </c>
      <c r="AP91" s="38">
        <f t="shared" si="357"/>
        <v>1.868729369641889</v>
      </c>
      <c r="AQ91" s="4">
        <f t="shared" si="228"/>
        <v>0</v>
      </c>
      <c r="AR91" s="4" t="e">
        <f>#REF!/G91*F91^0.5/0.19</f>
        <v>#REF!</v>
      </c>
      <c r="AS91" s="4">
        <f t="shared" si="317"/>
        <v>1.1333333333333333</v>
      </c>
      <c r="AT91" s="38">
        <f t="shared" si="318"/>
        <v>383.29326631184108</v>
      </c>
      <c r="AU91" s="4">
        <f t="shared" si="319"/>
        <v>0.34199999999999997</v>
      </c>
      <c r="AV91" s="4" t="e">
        <f>AU91*D91*#REF!/(D91*G91/2.75/F91^0.5)</f>
        <v>#REF!</v>
      </c>
      <c r="AW91" s="4" t="e">
        <f t="shared" si="365"/>
        <v>#REF!</v>
      </c>
      <c r="AY91" s="36">
        <f t="shared" si="320"/>
        <v>1.7609403835677346</v>
      </c>
      <c r="AZ91" s="36" t="e">
        <f>(1.6*#REF!+22)*AY91*F91^0.5</f>
        <v>#REF!</v>
      </c>
      <c r="BE91" s="4">
        <f t="shared" si="321"/>
        <v>63.499999999999986</v>
      </c>
      <c r="BF91" s="4">
        <f t="shared" si="322"/>
        <v>63.499999999999986</v>
      </c>
      <c r="BG91" s="4">
        <f t="shared" si="323"/>
        <v>88.899999999999991</v>
      </c>
      <c r="BH91" s="4">
        <f t="shared" si="324"/>
        <v>76.199999999999989</v>
      </c>
      <c r="BI91" s="4">
        <f t="shared" si="229"/>
        <v>1.04</v>
      </c>
      <c r="BJ91" s="25">
        <f t="shared" si="325"/>
        <v>4</v>
      </c>
      <c r="BL91" s="4">
        <f t="shared" si="326"/>
        <v>63.499999999999986</v>
      </c>
      <c r="BP91" s="9"/>
      <c r="BR91" s="9"/>
      <c r="BS91" s="9"/>
      <c r="BT91" s="9">
        <f t="shared" si="327"/>
        <v>50.8</v>
      </c>
      <c r="BU91" s="9">
        <f t="shared" si="328"/>
        <v>63.499999999999986</v>
      </c>
      <c r="BV91" s="9">
        <f t="shared" si="329"/>
        <v>1.4623505735569622</v>
      </c>
      <c r="BW91" s="9">
        <v>20</v>
      </c>
      <c r="BX91" s="9">
        <f t="shared" si="330"/>
        <v>0.05</v>
      </c>
      <c r="BY91" s="9">
        <f t="shared" si="366"/>
        <v>0.8</v>
      </c>
      <c r="BZ91" s="9">
        <f t="shared" si="331"/>
        <v>0.99524931562137331</v>
      </c>
      <c r="CA91" s="9">
        <f t="shared" si="332"/>
        <v>1.056</v>
      </c>
      <c r="CB91" s="9">
        <f t="shared" si="333"/>
        <v>1.8756444837875041</v>
      </c>
      <c r="CC91" s="9">
        <f t="shared" si="334"/>
        <v>4.243365373685613</v>
      </c>
      <c r="CD91" s="9">
        <v>1</v>
      </c>
      <c r="CE91" s="9" t="e">
        <f>4*CC91*#REF!+60*CC91</f>
        <v>#REF!</v>
      </c>
      <c r="CG91" s="4" t="e">
        <f t="shared" si="265"/>
        <v>#REF!</v>
      </c>
      <c r="CH91" s="4" t="e">
        <f t="shared" si="266"/>
        <v>#REF!</v>
      </c>
      <c r="CI91" s="4" t="e">
        <f t="shared" si="267"/>
        <v>#REF!</v>
      </c>
      <c r="CJ91" s="4" t="e">
        <f t="shared" si="268"/>
        <v>#REF!</v>
      </c>
      <c r="CK91" s="4" t="e">
        <f t="shared" si="269"/>
        <v>#REF!</v>
      </c>
      <c r="CL91" s="4" t="e">
        <f t="shared" si="270"/>
        <v>#REF!</v>
      </c>
      <c r="CM91" s="4">
        <f t="shared" si="215"/>
        <v>0.87831273920731312</v>
      </c>
      <c r="CU91" s="4" t="e">
        <f t="shared" ref="CU91:CU123" si="372">CG91</f>
        <v>#REF!</v>
      </c>
      <c r="CV91" s="4" t="e">
        <f t="shared" ref="CV91:CV123" si="373">CH91</f>
        <v>#REF!</v>
      </c>
      <c r="CW91" s="4" t="e">
        <f t="shared" ref="CW91:CW123" si="374">CJ91</f>
        <v>#REF!</v>
      </c>
      <c r="CX91" s="4">
        <f t="shared" ref="CX91:CX92" si="375">CM91</f>
        <v>0.87831273920731312</v>
      </c>
      <c r="CY91" s="4" t="e">
        <f t="shared" ref="CY91:CY123" si="376">CK91</f>
        <v>#REF!</v>
      </c>
      <c r="CZ91" s="4" t="e">
        <f t="shared" ref="CZ91:CZ123" si="377">CL91</f>
        <v>#REF!</v>
      </c>
      <c r="DB91" s="4">
        <f t="shared" si="232"/>
        <v>2</v>
      </c>
      <c r="DC91" s="4">
        <f t="shared" si="335"/>
        <v>381</v>
      </c>
      <c r="DD91" s="4" t="e">
        <f>#REF!/E91</f>
        <v>#REF!</v>
      </c>
      <c r="DF91" s="4">
        <f t="shared" si="336"/>
        <v>2.6015824312812745E-5</v>
      </c>
      <c r="DG91" s="4">
        <f t="shared" si="233"/>
        <v>7.1020943350297925</v>
      </c>
      <c r="DH91" s="4">
        <f t="shared" si="358"/>
        <v>0.3960514372704414</v>
      </c>
      <c r="DI91" s="4">
        <f t="shared" si="359"/>
        <v>4.9032842891802595</v>
      </c>
      <c r="DJ91" s="4">
        <f t="shared" si="360"/>
        <v>6.1028630858810287</v>
      </c>
      <c r="DK91" s="4">
        <f t="shared" si="337"/>
        <v>6.3724004838122834</v>
      </c>
      <c r="DL91" s="38" t="e">
        <f t="shared" si="338"/>
        <v>#REF!</v>
      </c>
      <c r="DM91" s="4" t="e">
        <f t="shared" si="361"/>
        <v>#REF!</v>
      </c>
      <c r="DN91" s="4">
        <f t="shared" si="362"/>
        <v>2.3874672772626644</v>
      </c>
      <c r="DO91" s="4">
        <f t="shared" si="363"/>
        <v>205.10902891481439</v>
      </c>
      <c r="DS91" s="4">
        <f t="shared" si="339"/>
        <v>0.85</v>
      </c>
      <c r="DT91" s="4">
        <f t="shared" si="340"/>
        <v>0.85000000000000009</v>
      </c>
      <c r="DU91" s="4">
        <f t="shared" si="341"/>
        <v>0.90713466426932854</v>
      </c>
      <c r="DV91" s="4">
        <f t="shared" si="367"/>
        <v>0.7710644646289293</v>
      </c>
      <c r="DX91" s="4" t="e">
        <f t="shared" si="342"/>
        <v>#REF!</v>
      </c>
      <c r="DY91" s="25">
        <f t="shared" si="343"/>
        <v>202.29704102729465</v>
      </c>
      <c r="EA91" s="4">
        <f t="shared" si="224"/>
        <v>0.65540479493458992</v>
      </c>
      <c r="EB91" s="4">
        <f t="shared" si="309"/>
        <v>7.1020943350297925</v>
      </c>
      <c r="EC91" s="4">
        <f t="shared" si="344"/>
        <v>7.447594690010102</v>
      </c>
      <c r="EE91" s="4">
        <f t="shared" si="345"/>
        <v>60.641668842471674</v>
      </c>
      <c r="EF91" s="4">
        <f t="shared" si="235"/>
        <v>2.3874672772626644</v>
      </c>
      <c r="EG91" s="4">
        <f t="shared" si="346"/>
        <v>0.11042655740559819</v>
      </c>
      <c r="EJ91" s="4">
        <f t="shared" si="368"/>
        <v>0.11042655740559819</v>
      </c>
      <c r="EK91" s="4">
        <f t="shared" si="347"/>
        <v>0.39539050123559077</v>
      </c>
      <c r="EL91" s="4">
        <f t="shared" si="237"/>
        <v>4.9000095820262892</v>
      </c>
      <c r="EM91" s="4">
        <f t="shared" si="369"/>
        <v>6.1015499625175389</v>
      </c>
      <c r="EN91" s="4">
        <f t="shared" si="239"/>
        <v>225.10833115752831</v>
      </c>
      <c r="EO91" s="4">
        <f t="shared" si="240"/>
        <v>95.25</v>
      </c>
      <c r="EP91" s="4">
        <f t="shared" si="348"/>
        <v>2.6015824312812745E-5</v>
      </c>
      <c r="EQ91" s="4">
        <f t="shared" si="370"/>
        <v>6.3725799412119812</v>
      </c>
      <c r="ER91" s="4" t="e">
        <f t="shared" si="349"/>
        <v>#REF!</v>
      </c>
      <c r="ES91" s="4" t="e">
        <f t="shared" si="242"/>
        <v>#REF!</v>
      </c>
      <c r="ET91" s="4" t="e">
        <f t="shared" si="243"/>
        <v>#REF!</v>
      </c>
      <c r="EV91" s="4" t="e">
        <f t="shared" si="350"/>
        <v>#REF!</v>
      </c>
      <c r="FA91" s="23" t="e">
        <f t="shared" si="277"/>
        <v>#REF!</v>
      </c>
      <c r="FB91" s="23" t="e">
        <f t="shared" si="278"/>
        <v>#REF!</v>
      </c>
      <c r="FC91" s="23">
        <f t="shared" si="290"/>
        <v>1</v>
      </c>
      <c r="FD91" s="23" t="e">
        <f t="shared" si="279"/>
        <v>#REF!</v>
      </c>
      <c r="FE91" s="23" t="e">
        <f t="shared" si="280"/>
        <v>#REF!</v>
      </c>
      <c r="FF91" s="23" t="e">
        <f t="shared" si="281"/>
        <v>#REF!</v>
      </c>
      <c r="FG91" s="23" t="e">
        <f t="shared" si="282"/>
        <v>#REF!</v>
      </c>
      <c r="FH91" s="23"/>
      <c r="FR91" s="4">
        <f t="shared" si="351"/>
        <v>1</v>
      </c>
      <c r="FS91" s="4">
        <f t="shared" si="352"/>
        <v>0.6711572180011689</v>
      </c>
      <c r="FT91" s="4">
        <f t="shared" si="353"/>
        <v>0.3</v>
      </c>
      <c r="FU91" s="4">
        <f t="shared" si="354"/>
        <v>503.23760577457847</v>
      </c>
    </row>
    <row r="92" spans="1:178" ht="12" customHeight="1" x14ac:dyDescent="0.3">
      <c r="B92" s="24"/>
      <c r="C92" s="7" t="s">
        <v>281</v>
      </c>
      <c r="D92" s="7">
        <v>472</v>
      </c>
      <c r="E92" s="7">
        <f t="shared" si="308"/>
        <v>381</v>
      </c>
      <c r="F92" s="7">
        <v>26</v>
      </c>
      <c r="G92" s="7">
        <v>25.4</v>
      </c>
      <c r="H92" s="7">
        <f t="shared" si="371"/>
        <v>152.39999999999998</v>
      </c>
      <c r="I92" s="7">
        <f t="shared" si="310"/>
        <v>63.499999999999986</v>
      </c>
      <c r="J92" s="7">
        <f t="shared" si="201"/>
        <v>50.8</v>
      </c>
      <c r="K92" s="7">
        <v>0</v>
      </c>
      <c r="L92" s="7">
        <v>1</v>
      </c>
      <c r="M92" s="7">
        <f t="shared" si="202"/>
        <v>88.899999999999991</v>
      </c>
      <c r="N92" s="7">
        <f t="shared" si="311"/>
        <v>2.9999999999999996</v>
      </c>
      <c r="O92" s="7">
        <f t="shared" si="203"/>
        <v>4</v>
      </c>
      <c r="P92" s="7">
        <v>4.7</v>
      </c>
      <c r="Q92" s="7">
        <f t="shared" si="227"/>
        <v>4.7</v>
      </c>
      <c r="R92" s="7">
        <f t="shared" si="312"/>
        <v>5.7</v>
      </c>
      <c r="S92" s="7">
        <f t="shared" si="313"/>
        <v>60.641668842471674</v>
      </c>
      <c r="T92" s="7"/>
      <c r="U92" s="7"/>
      <c r="V92" s="7">
        <v>459</v>
      </c>
      <c r="W92" s="7"/>
      <c r="X92" s="7"/>
      <c r="Y92" s="7">
        <v>9.5</v>
      </c>
      <c r="Z92" s="7">
        <v>3</v>
      </c>
      <c r="AA92" s="7">
        <v>76</v>
      </c>
      <c r="AB92" s="7">
        <v>3</v>
      </c>
      <c r="AC92" s="7">
        <v>3</v>
      </c>
      <c r="AD92" s="7"/>
      <c r="AE92" s="4">
        <f t="shared" si="364"/>
        <v>381</v>
      </c>
      <c r="AF92" s="44">
        <f t="shared" si="204"/>
        <v>5.9259259259259248E-2</v>
      </c>
      <c r="AG92" s="25">
        <f t="shared" si="314"/>
        <v>748.37078117567501</v>
      </c>
      <c r="AH92" s="4">
        <f t="shared" si="315"/>
        <v>0.74</v>
      </c>
      <c r="AI92" s="4">
        <v>1.25</v>
      </c>
      <c r="AJ92" s="25">
        <f t="shared" si="355"/>
        <v>5</v>
      </c>
      <c r="AK92" s="38">
        <f t="shared" si="205"/>
        <v>205.10902891481459</v>
      </c>
      <c r="AL92" s="38">
        <f t="shared" si="356"/>
        <v>205.10902891481459</v>
      </c>
      <c r="AN92" s="38">
        <f t="shared" si="158"/>
        <v>205.10902891481439</v>
      </c>
      <c r="AO92" s="38">
        <f t="shared" si="316"/>
        <v>1.0000000000000009</v>
      </c>
      <c r="AP92" s="38">
        <f t="shared" si="357"/>
        <v>1.868729369641889</v>
      </c>
      <c r="AQ92" s="4">
        <f t="shared" si="228"/>
        <v>0</v>
      </c>
      <c r="AR92" s="4" t="e">
        <f>#REF!/G92*F92^0.5/0.19</f>
        <v>#REF!</v>
      </c>
      <c r="AS92" s="4">
        <f t="shared" si="317"/>
        <v>1.1333333333333333</v>
      </c>
      <c r="AT92" s="38">
        <f t="shared" si="318"/>
        <v>383.29326631184108</v>
      </c>
      <c r="AU92" s="4">
        <f t="shared" si="319"/>
        <v>0.34199999999999997</v>
      </c>
      <c r="AV92" s="4" t="e">
        <f>AU92*D92*#REF!/(D92*G92/2.75/F92^0.5)</f>
        <v>#REF!</v>
      </c>
      <c r="AW92" s="4" t="e">
        <f t="shared" si="365"/>
        <v>#REF!</v>
      </c>
      <c r="AY92" s="36">
        <f t="shared" si="320"/>
        <v>2.2250000000000001</v>
      </c>
      <c r="AZ92" s="36" t="e">
        <f>(1.6*#REF!+22)*AY92*F92^0.5</f>
        <v>#REF!</v>
      </c>
      <c r="BE92" s="4">
        <f t="shared" si="321"/>
        <v>63.499999999999986</v>
      </c>
      <c r="BF92" s="4">
        <f t="shared" si="322"/>
        <v>63.499999999999986</v>
      </c>
      <c r="BG92" s="4">
        <f t="shared" si="323"/>
        <v>88.899999999999991</v>
      </c>
      <c r="BH92" s="4">
        <f t="shared" si="324"/>
        <v>76.199999999999989</v>
      </c>
      <c r="BI92" s="4">
        <f t="shared" si="229"/>
        <v>1.04</v>
      </c>
      <c r="BJ92" s="25">
        <f t="shared" si="325"/>
        <v>4</v>
      </c>
      <c r="BL92" s="4">
        <f t="shared" si="326"/>
        <v>63.499999999999986</v>
      </c>
      <c r="BP92" s="9"/>
      <c r="BR92" s="9"/>
      <c r="BS92" s="9"/>
      <c r="BT92" s="9">
        <f t="shared" si="327"/>
        <v>50.8</v>
      </c>
      <c r="BU92" s="9">
        <f t="shared" si="328"/>
        <v>63.499999999999986</v>
      </c>
      <c r="BV92" s="9">
        <f t="shared" si="329"/>
        <v>1.4623505735569622</v>
      </c>
      <c r="BW92" s="9">
        <v>20</v>
      </c>
      <c r="BX92" s="9">
        <f t="shared" si="330"/>
        <v>0.05</v>
      </c>
      <c r="BY92" s="9">
        <f t="shared" si="366"/>
        <v>0.8</v>
      </c>
      <c r="BZ92" s="9">
        <f t="shared" si="331"/>
        <v>0.99524931562137331</v>
      </c>
      <c r="CA92" s="9">
        <f t="shared" si="332"/>
        <v>1.056</v>
      </c>
      <c r="CB92" s="9">
        <f t="shared" si="333"/>
        <v>1.8756444837875041</v>
      </c>
      <c r="CC92" s="9">
        <f t="shared" si="334"/>
        <v>4.243365373685613</v>
      </c>
      <c r="CD92" s="9">
        <v>1</v>
      </c>
      <c r="CE92" s="9" t="e">
        <f>4*CC92*#REF!+60*CC92</f>
        <v>#REF!</v>
      </c>
      <c r="CG92" s="4" t="e">
        <f t="shared" si="265"/>
        <v>#REF!</v>
      </c>
      <c r="CH92" s="4" t="e">
        <f t="shared" si="266"/>
        <v>#REF!</v>
      </c>
      <c r="CI92" s="4" t="e">
        <f t="shared" si="267"/>
        <v>#REF!</v>
      </c>
      <c r="CJ92" s="4" t="e">
        <f t="shared" si="268"/>
        <v>#REF!</v>
      </c>
      <c r="CK92" s="4" t="e">
        <f t="shared" si="269"/>
        <v>#REF!</v>
      </c>
      <c r="CL92" s="4" t="e">
        <f t="shared" si="270"/>
        <v>#REF!</v>
      </c>
      <c r="CM92" s="4">
        <f t="shared" si="215"/>
        <v>0.91209399840759442</v>
      </c>
      <c r="CU92" s="4" t="e">
        <f t="shared" si="372"/>
        <v>#REF!</v>
      </c>
      <c r="CV92" s="4" t="e">
        <f t="shared" si="373"/>
        <v>#REF!</v>
      </c>
      <c r="CW92" s="4" t="e">
        <f t="shared" si="374"/>
        <v>#REF!</v>
      </c>
      <c r="CX92" s="4">
        <f t="shared" si="375"/>
        <v>0.91209399840759442</v>
      </c>
      <c r="CY92" s="4" t="e">
        <f t="shared" si="376"/>
        <v>#REF!</v>
      </c>
      <c r="CZ92" s="4" t="e">
        <f t="shared" si="377"/>
        <v>#REF!</v>
      </c>
      <c r="DB92" s="4">
        <f t="shared" si="232"/>
        <v>3</v>
      </c>
      <c r="DC92" s="4">
        <f t="shared" si="335"/>
        <v>381</v>
      </c>
      <c r="DD92" s="4" t="e">
        <f>#REF!/E92</f>
        <v>#REF!</v>
      </c>
      <c r="DF92" s="4">
        <f t="shared" si="336"/>
        <v>2.6015824312812745E-5</v>
      </c>
      <c r="DG92" s="4">
        <f t="shared" si="233"/>
        <v>7.8231036659769986</v>
      </c>
      <c r="DH92" s="4">
        <f t="shared" si="358"/>
        <v>0.3960514372704414</v>
      </c>
      <c r="DI92" s="4">
        <f t="shared" si="359"/>
        <v>5.4010689648003103</v>
      </c>
      <c r="DJ92" s="4">
        <f t="shared" si="360"/>
        <v>6.7224297971693012</v>
      </c>
      <c r="DK92" s="4">
        <f t="shared" si="337"/>
        <v>6.9392830395578722</v>
      </c>
      <c r="DL92" s="38" t="e">
        <f t="shared" si="338"/>
        <v>#REF!</v>
      </c>
      <c r="DM92" s="4" t="e">
        <f t="shared" si="361"/>
        <v>#REF!</v>
      </c>
      <c r="DN92" s="4">
        <f t="shared" si="362"/>
        <v>2.3874672772626644</v>
      </c>
      <c r="DO92" s="4">
        <f t="shared" si="363"/>
        <v>205.10902891481439</v>
      </c>
      <c r="DS92" s="4">
        <f t="shared" si="339"/>
        <v>0.85</v>
      </c>
      <c r="DT92" s="4">
        <f t="shared" si="340"/>
        <v>0.85000000000000009</v>
      </c>
      <c r="DU92" s="4">
        <f t="shared" si="341"/>
        <v>0.82320199640399283</v>
      </c>
      <c r="DV92" s="4">
        <f t="shared" si="367"/>
        <v>0.7</v>
      </c>
      <c r="DX92" s="4" t="e">
        <f t="shared" si="342"/>
        <v>#REF!</v>
      </c>
      <c r="DY92" s="25">
        <f t="shared" si="343"/>
        <v>202.29704102729465</v>
      </c>
      <c r="EA92" s="4">
        <f t="shared" si="224"/>
        <v>0.59499999999999997</v>
      </c>
      <c r="EB92" s="4">
        <f t="shared" si="309"/>
        <v>7.8231036659769986</v>
      </c>
      <c r="EC92" s="4">
        <f t="shared" si="344"/>
        <v>7.447594690010102</v>
      </c>
      <c r="EE92" s="4">
        <f t="shared" si="345"/>
        <v>60.641668842471674</v>
      </c>
      <c r="EF92" s="4">
        <f t="shared" si="235"/>
        <v>2.3874672772626644</v>
      </c>
      <c r="EG92" s="4">
        <f t="shared" si="346"/>
        <v>0.11042655740559819</v>
      </c>
      <c r="EJ92" s="4">
        <f t="shared" si="368"/>
        <v>0.11042655740559819</v>
      </c>
      <c r="EK92" s="4">
        <f t="shared" si="347"/>
        <v>0.39539050123559077</v>
      </c>
      <c r="EL92" s="4">
        <f t="shared" si="237"/>
        <v>5.3974618072024638</v>
      </c>
      <c r="EM92" s="4">
        <f t="shared" si="369"/>
        <v>6.7209833646503565</v>
      </c>
      <c r="EN92" s="4">
        <f t="shared" si="239"/>
        <v>225.10833115752831</v>
      </c>
      <c r="EO92" s="4">
        <f t="shared" si="240"/>
        <v>95.25</v>
      </c>
      <c r="EP92" s="4">
        <f t="shared" si="348"/>
        <v>2.6015824312812745E-5</v>
      </c>
      <c r="EQ92" s="4">
        <f t="shared" si="370"/>
        <v>6.9395004021561064</v>
      </c>
      <c r="ER92" s="4" t="e">
        <f t="shared" si="349"/>
        <v>#REF!</v>
      </c>
      <c r="ES92" s="4" t="e">
        <f t="shared" si="242"/>
        <v>#REF!</v>
      </c>
      <c r="ET92" s="4" t="e">
        <f t="shared" si="243"/>
        <v>#REF!</v>
      </c>
      <c r="EV92" s="4" t="e">
        <f t="shared" si="350"/>
        <v>#REF!</v>
      </c>
      <c r="FA92" s="23" t="e">
        <f t="shared" si="277"/>
        <v>#REF!</v>
      </c>
      <c r="FB92" s="23" t="e">
        <f t="shared" si="278"/>
        <v>#REF!</v>
      </c>
      <c r="FC92" s="23">
        <f t="shared" si="290"/>
        <v>1</v>
      </c>
      <c r="FD92" s="23" t="e">
        <f t="shared" si="279"/>
        <v>#REF!</v>
      </c>
      <c r="FE92" s="23" t="e">
        <f t="shared" si="280"/>
        <v>#REF!</v>
      </c>
      <c r="FF92" s="23" t="e">
        <f t="shared" si="281"/>
        <v>#REF!</v>
      </c>
      <c r="FG92" s="23" t="e">
        <f t="shared" si="282"/>
        <v>#REF!</v>
      </c>
      <c r="FH92" s="23"/>
      <c r="FR92" s="4">
        <f t="shared" si="351"/>
        <v>1</v>
      </c>
      <c r="FS92" s="4">
        <f t="shared" si="352"/>
        <v>0.6711572180011689</v>
      </c>
      <c r="FT92" s="4">
        <f t="shared" si="353"/>
        <v>0.3</v>
      </c>
      <c r="FU92" s="4">
        <f t="shared" si="354"/>
        <v>503.23760577457847</v>
      </c>
    </row>
    <row r="93" spans="1:178" ht="12" customHeight="1" x14ac:dyDescent="0.3">
      <c r="B93" s="24"/>
      <c r="C93" s="7" t="s">
        <v>281</v>
      </c>
      <c r="D93" s="7">
        <v>472</v>
      </c>
      <c r="E93" s="7">
        <f t="shared" si="308"/>
        <v>381</v>
      </c>
      <c r="F93" s="7">
        <v>28</v>
      </c>
      <c r="G93" s="7">
        <v>25.4</v>
      </c>
      <c r="H93" s="7">
        <f t="shared" si="371"/>
        <v>152.39999999999998</v>
      </c>
      <c r="I93" s="7">
        <f t="shared" si="310"/>
        <v>63.499999999999986</v>
      </c>
      <c r="J93" s="7">
        <f t="shared" si="201"/>
        <v>50.8</v>
      </c>
      <c r="K93" s="7">
        <v>0</v>
      </c>
      <c r="L93" s="7">
        <v>1</v>
      </c>
      <c r="M93" s="7">
        <f t="shared" si="202"/>
        <v>88.899999999999991</v>
      </c>
      <c r="N93" s="7">
        <f t="shared" si="311"/>
        <v>2.9999999999999996</v>
      </c>
      <c r="O93" s="7">
        <f t="shared" si="203"/>
        <v>4</v>
      </c>
      <c r="P93" s="7">
        <v>4.7</v>
      </c>
      <c r="Q93" s="7">
        <f t="shared" si="227"/>
        <v>4.7</v>
      </c>
      <c r="R93" s="7">
        <f t="shared" si="312"/>
        <v>5.7</v>
      </c>
      <c r="S93" s="7">
        <f t="shared" si="313"/>
        <v>60.641668842471674</v>
      </c>
      <c r="T93" s="7"/>
      <c r="U93" s="7"/>
      <c r="V93" s="7">
        <v>400</v>
      </c>
      <c r="W93" s="7"/>
      <c r="X93" s="7"/>
      <c r="Y93" s="7"/>
      <c r="Z93" s="7"/>
      <c r="AA93" s="7">
        <v>1</v>
      </c>
      <c r="AB93" s="7"/>
      <c r="AC93" s="7"/>
      <c r="AD93" s="7"/>
      <c r="AE93" s="4">
        <f t="shared" si="364"/>
        <v>381</v>
      </c>
      <c r="AF93" s="44">
        <f t="shared" si="204"/>
        <v>5.9259259259259248E-2</v>
      </c>
      <c r="AG93" s="25">
        <f t="shared" si="314"/>
        <v>776.62106221784506</v>
      </c>
      <c r="AH93" s="4">
        <f t="shared" si="315"/>
        <v>0.74</v>
      </c>
      <c r="AI93" s="4">
        <v>1.25</v>
      </c>
      <c r="AJ93" s="25">
        <f t="shared" si="355"/>
        <v>5</v>
      </c>
      <c r="AK93" s="38">
        <f t="shared" si="205"/>
        <v>212.85169853377971</v>
      </c>
      <c r="AL93" s="38">
        <f t="shared" si="356"/>
        <v>212.85169853377971</v>
      </c>
      <c r="AN93" s="38">
        <f t="shared" si="158"/>
        <v>212.85169853377948</v>
      </c>
      <c r="AO93" s="38">
        <f t="shared" si="316"/>
        <v>1.0000000000000011</v>
      </c>
      <c r="AP93" s="38">
        <f t="shared" si="357"/>
        <v>1.9392721155802133</v>
      </c>
      <c r="AQ93" s="4">
        <f t="shared" si="228"/>
        <v>0</v>
      </c>
      <c r="AR93" s="4" t="e">
        <f>#REF!/G93*F93^0.5/0.19</f>
        <v>#REF!</v>
      </c>
      <c r="AS93" s="4">
        <f t="shared" si="317"/>
        <v>1.1333333333333333</v>
      </c>
      <c r="AT93" s="38">
        <f t="shared" si="318"/>
        <v>412.77736372044433</v>
      </c>
      <c r="AU93" s="4">
        <f t="shared" si="319"/>
        <v>0.34199999999999997</v>
      </c>
      <c r="AV93" s="4" t="e">
        <f>AU93*D93*#REF!/(D93*G93/2.75/F93^0.5)</f>
        <v>#REF!</v>
      </c>
      <c r="AW93" s="4" t="e">
        <f t="shared" si="365"/>
        <v>#REF!</v>
      </c>
      <c r="AY93" s="36">
        <f t="shared" si="320"/>
        <v>1.1000000000000001</v>
      </c>
      <c r="AZ93" s="36" t="e">
        <f>(1.6*#REF!+22)*AY93*F93^0.5</f>
        <v>#REF!</v>
      </c>
      <c r="BE93" s="4">
        <f t="shared" si="321"/>
        <v>63.499999999999986</v>
      </c>
      <c r="BF93" s="4">
        <f t="shared" si="322"/>
        <v>63.499999999999986</v>
      </c>
      <c r="BG93" s="4">
        <f t="shared" si="323"/>
        <v>88.899999999999991</v>
      </c>
      <c r="BH93" s="4">
        <f t="shared" si="324"/>
        <v>76.199999999999989</v>
      </c>
      <c r="BI93" s="4">
        <f t="shared" si="229"/>
        <v>1.04</v>
      </c>
      <c r="BJ93" s="25">
        <f t="shared" si="325"/>
        <v>3.1199999999999997</v>
      </c>
      <c r="BL93" s="4">
        <f t="shared" si="326"/>
        <v>63.499999999999986</v>
      </c>
      <c r="BP93" s="9"/>
      <c r="BR93" s="9"/>
      <c r="BS93" s="9"/>
      <c r="BT93" s="9">
        <f t="shared" si="327"/>
        <v>50.8</v>
      </c>
      <c r="BU93" s="9">
        <f t="shared" si="328"/>
        <v>63.499999999999986</v>
      </c>
      <c r="BV93" s="9">
        <f t="shared" si="329"/>
        <v>1.4623505735569622</v>
      </c>
      <c r="BW93" s="9">
        <v>0</v>
      </c>
      <c r="BX93" s="9">
        <f t="shared" si="330"/>
        <v>0</v>
      </c>
      <c r="BY93" s="9">
        <f t="shared" si="366"/>
        <v>0</v>
      </c>
      <c r="BZ93" s="9">
        <f t="shared" si="331"/>
        <v>0.99524931562137331</v>
      </c>
      <c r="CA93" s="9">
        <f t="shared" si="332"/>
        <v>1.056</v>
      </c>
      <c r="CB93" s="9">
        <f t="shared" si="333"/>
        <v>1.9464482686693119</v>
      </c>
      <c r="CC93" s="9">
        <f t="shared" si="334"/>
        <v>2.8463897420875242</v>
      </c>
      <c r="CD93" s="9">
        <v>1</v>
      </c>
      <c r="CE93" s="9" t="e">
        <f>4*CC93*#REF!+60*CC93</f>
        <v>#REF!</v>
      </c>
      <c r="CG93" s="4" t="e">
        <f t="shared" si="265"/>
        <v>#REF!</v>
      </c>
      <c r="CH93" s="4" t="e">
        <f t="shared" si="266"/>
        <v>#REF!</v>
      </c>
      <c r="CI93" s="4" t="e">
        <f t="shared" si="267"/>
        <v>#REF!</v>
      </c>
      <c r="CJ93" s="4" t="e">
        <f t="shared" si="268"/>
        <v>#REF!</v>
      </c>
      <c r="CK93" s="4" t="e">
        <f t="shared" si="269"/>
        <v>#REF!</v>
      </c>
      <c r="CL93" s="4" t="e">
        <f t="shared" si="270"/>
        <v>#REF!</v>
      </c>
      <c r="CM93" s="4">
        <f t="shared" si="215"/>
        <v>1.2594431657304286</v>
      </c>
      <c r="CO93" s="4" t="e">
        <f t="shared" si="271"/>
        <v>#REF!</v>
      </c>
      <c r="CP93" s="4" t="e">
        <f t="shared" si="272"/>
        <v>#REF!</v>
      </c>
      <c r="CQ93" s="4" t="e">
        <f t="shared" si="273"/>
        <v>#REF!</v>
      </c>
      <c r="CR93" s="4">
        <f>CM93</f>
        <v>1.2594431657304286</v>
      </c>
      <c r="CS93" s="4" t="e">
        <f t="shared" si="275"/>
        <v>#REF!</v>
      </c>
      <c r="CT93" s="4" t="e">
        <f t="shared" si="276"/>
        <v>#REF!</v>
      </c>
      <c r="DB93" s="4">
        <f t="shared" si="232"/>
        <v>0</v>
      </c>
      <c r="DC93" s="4">
        <f t="shared" si="335"/>
        <v>381</v>
      </c>
      <c r="DD93" s="4" t="e">
        <f>#REF!/E93</f>
        <v>#REF!</v>
      </c>
      <c r="DF93" s="4">
        <f t="shared" si="336"/>
        <v>2.6402037423385414E-5</v>
      </c>
      <c r="DG93" s="4">
        <f t="shared" si="233"/>
        <v>6.6857562842857838</v>
      </c>
      <c r="DH93" s="4">
        <f t="shared" si="358"/>
        <v>0.38164471441117015</v>
      </c>
      <c r="DI93" s="4">
        <f t="shared" si="359"/>
        <v>4.5479349265027409</v>
      </c>
      <c r="DJ93" s="4">
        <f t="shared" si="360"/>
        <v>5.718003726364846</v>
      </c>
      <c r="DK93" s="4">
        <f t="shared" si="337"/>
        <v>6.0325477522062965</v>
      </c>
      <c r="DL93" s="38" t="e">
        <f t="shared" si="338"/>
        <v>#REF!</v>
      </c>
      <c r="DM93" s="4" t="e">
        <f t="shared" si="361"/>
        <v>#REF!</v>
      </c>
      <c r="DN93" s="4">
        <f t="shared" si="362"/>
        <v>2.3874672772626644</v>
      </c>
      <c r="DO93" s="4">
        <f t="shared" si="363"/>
        <v>212.85169853377948</v>
      </c>
      <c r="DS93" s="4">
        <f t="shared" si="339"/>
        <v>0.85</v>
      </c>
      <c r="DT93" s="4">
        <f t="shared" si="340"/>
        <v>0.85000000000000009</v>
      </c>
      <c r="DU93" s="4">
        <f t="shared" si="341"/>
        <v>1</v>
      </c>
      <c r="DV93" s="4">
        <f t="shared" si="367"/>
        <v>0.85000000000000009</v>
      </c>
      <c r="DX93" s="4" t="e">
        <f t="shared" si="342"/>
        <v>#REF!</v>
      </c>
      <c r="DY93" s="25">
        <f t="shared" si="343"/>
        <v>209.93356079366291</v>
      </c>
      <c r="EA93" s="4">
        <f t="shared" si="224"/>
        <v>0.72250000000000003</v>
      </c>
      <c r="EB93" s="4">
        <f t="shared" si="309"/>
        <v>6.6857562842857838</v>
      </c>
      <c r="EC93" s="4">
        <f t="shared" si="344"/>
        <v>6.028412726414806</v>
      </c>
      <c r="EE93" s="4">
        <f t="shared" si="345"/>
        <v>60.641668842471674</v>
      </c>
      <c r="EF93" s="4">
        <f t="shared" si="235"/>
        <v>2.3874672772626644</v>
      </c>
      <c r="EG93" s="4">
        <f t="shared" si="346"/>
        <v>0.11042655740559816</v>
      </c>
      <c r="EJ93" s="4">
        <f t="shared" si="368"/>
        <v>0.11042655740559816</v>
      </c>
      <c r="EK93" s="4">
        <f t="shared" si="347"/>
        <v>0.38100782051172344</v>
      </c>
      <c r="EL93" s="4">
        <f t="shared" si="237"/>
        <v>4.5448975429530103</v>
      </c>
      <c r="EM93" s="4">
        <f t="shared" si="369"/>
        <v>5.7167982559416854</v>
      </c>
      <c r="EN93" s="4">
        <f t="shared" si="239"/>
        <v>225.10833115752831</v>
      </c>
      <c r="EO93" s="4">
        <f t="shared" si="240"/>
        <v>95.25</v>
      </c>
      <c r="EP93" s="4">
        <f t="shared" si="348"/>
        <v>2.6402037423385414E-5</v>
      </c>
      <c r="EQ93" s="4">
        <f t="shared" si="370"/>
        <v>6.0327059192851493</v>
      </c>
      <c r="ER93" s="4" t="e">
        <f t="shared" si="349"/>
        <v>#REF!</v>
      </c>
      <c r="ES93" s="4" t="e">
        <f t="shared" si="242"/>
        <v>#REF!</v>
      </c>
      <c r="ET93" s="4" t="e">
        <f t="shared" si="243"/>
        <v>#REF!</v>
      </c>
      <c r="EV93" s="4" t="e">
        <f t="shared" si="350"/>
        <v>#REF!</v>
      </c>
      <c r="FA93" s="23" t="e">
        <f t="shared" si="277"/>
        <v>#REF!</v>
      </c>
      <c r="FB93" s="23" t="e">
        <f t="shared" si="278"/>
        <v>#REF!</v>
      </c>
      <c r="FC93" s="23">
        <f t="shared" si="290"/>
        <v>1.4</v>
      </c>
      <c r="FD93" s="23" t="e">
        <f t="shared" si="279"/>
        <v>#REF!</v>
      </c>
      <c r="FE93" s="23" t="e">
        <f t="shared" si="280"/>
        <v>#REF!</v>
      </c>
      <c r="FF93" s="23" t="e">
        <f t="shared" si="281"/>
        <v>#REF!</v>
      </c>
      <c r="FG93" s="23" t="e">
        <f t="shared" si="282"/>
        <v>#REF!</v>
      </c>
      <c r="FH93" s="23"/>
      <c r="FR93" s="4">
        <f t="shared" si="351"/>
        <v>1</v>
      </c>
      <c r="FS93" s="4">
        <f t="shared" si="352"/>
        <v>1.0833333333333333</v>
      </c>
      <c r="FT93" s="4">
        <f t="shared" si="353"/>
        <v>0</v>
      </c>
      <c r="FU93" s="4">
        <f t="shared" si="354"/>
        <v>317.60067534926469</v>
      </c>
    </row>
    <row r="94" spans="1:178" ht="12" customHeight="1" x14ac:dyDescent="0.3">
      <c r="B94" s="24"/>
      <c r="C94" s="7" t="s">
        <v>280</v>
      </c>
      <c r="D94" s="7">
        <v>472</v>
      </c>
      <c r="E94" s="7">
        <f t="shared" si="308"/>
        <v>381</v>
      </c>
      <c r="F94" s="7">
        <v>26</v>
      </c>
      <c r="G94" s="7">
        <v>25.4</v>
      </c>
      <c r="H94" s="7">
        <f t="shared" si="371"/>
        <v>152.39999999999998</v>
      </c>
      <c r="I94" s="7">
        <f t="shared" si="310"/>
        <v>63.499999999999986</v>
      </c>
      <c r="J94" s="7">
        <f t="shared" si="201"/>
        <v>50.8</v>
      </c>
      <c r="K94" s="7">
        <v>0</v>
      </c>
      <c r="L94" s="7">
        <v>1</v>
      </c>
      <c r="M94" s="7">
        <f t="shared" si="202"/>
        <v>88.899999999999991</v>
      </c>
      <c r="N94" s="7">
        <f t="shared" si="311"/>
        <v>2.9999999999999996</v>
      </c>
      <c r="O94" s="7">
        <f t="shared" si="203"/>
        <v>4</v>
      </c>
      <c r="P94" s="7">
        <v>4.7</v>
      </c>
      <c r="Q94" s="7">
        <f t="shared" si="227"/>
        <v>4.7</v>
      </c>
      <c r="R94" s="7">
        <f t="shared" si="312"/>
        <v>5.7</v>
      </c>
      <c r="S94" s="7">
        <f t="shared" si="313"/>
        <v>60.641668842471674</v>
      </c>
      <c r="T94" s="7"/>
      <c r="U94" s="7"/>
      <c r="V94" s="7">
        <v>455</v>
      </c>
      <c r="W94" s="7"/>
      <c r="X94" s="7"/>
      <c r="Y94" s="7"/>
      <c r="Z94" s="7"/>
      <c r="AA94" s="7">
        <v>1</v>
      </c>
      <c r="AB94" s="7"/>
      <c r="AC94" s="7"/>
      <c r="AD94" s="7"/>
      <c r="AE94" s="4">
        <f t="shared" si="364"/>
        <v>381</v>
      </c>
      <c r="AF94" s="44">
        <f t="shared" si="204"/>
        <v>5.9259259259259248E-2</v>
      </c>
      <c r="AG94" s="25">
        <f t="shared" si="314"/>
        <v>748.37078117567501</v>
      </c>
      <c r="AH94" s="4">
        <f t="shared" si="315"/>
        <v>0.74</v>
      </c>
      <c r="AI94" s="4">
        <v>1.25</v>
      </c>
      <c r="AJ94" s="25">
        <f t="shared" si="355"/>
        <v>5</v>
      </c>
      <c r="AK94" s="38">
        <f t="shared" si="205"/>
        <v>205.10902891481459</v>
      </c>
      <c r="AL94" s="38">
        <f t="shared" si="356"/>
        <v>205.10902891481459</v>
      </c>
      <c r="AN94" s="38">
        <f t="shared" si="158"/>
        <v>205.10902891481439</v>
      </c>
      <c r="AO94" s="38">
        <f t="shared" si="316"/>
        <v>1.0000000000000009</v>
      </c>
      <c r="AP94" s="38">
        <f t="shared" si="357"/>
        <v>1.868729369641889</v>
      </c>
      <c r="AQ94" s="4">
        <f t="shared" si="228"/>
        <v>0</v>
      </c>
      <c r="AR94" s="4" t="e">
        <f>#REF!/G94*F94^0.5/0.19</f>
        <v>#REF!</v>
      </c>
      <c r="AS94" s="4">
        <f t="shared" si="317"/>
        <v>1.1333333333333333</v>
      </c>
      <c r="AT94" s="38">
        <f t="shared" si="318"/>
        <v>383.29326631184108</v>
      </c>
      <c r="AU94" s="4">
        <f t="shared" si="319"/>
        <v>0.34199999999999997</v>
      </c>
      <c r="AV94" s="4" t="e">
        <f>AU94*D94*#REF!/(D94*G94/2.75/F94^0.5)</f>
        <v>#REF!</v>
      </c>
      <c r="AW94" s="4" t="e">
        <f t="shared" si="365"/>
        <v>#REF!</v>
      </c>
      <c r="AY94" s="36">
        <f t="shared" si="320"/>
        <v>1.1000000000000001</v>
      </c>
      <c r="AZ94" s="36" t="e">
        <f>(1.6*#REF!+22)*AY94*F94^0.5</f>
        <v>#REF!</v>
      </c>
      <c r="BE94" s="4">
        <f t="shared" si="321"/>
        <v>63.499999999999986</v>
      </c>
      <c r="BF94" s="4">
        <f t="shared" si="322"/>
        <v>63.499999999999986</v>
      </c>
      <c r="BG94" s="4">
        <f t="shared" si="323"/>
        <v>88.899999999999991</v>
      </c>
      <c r="BH94" s="4">
        <f t="shared" si="324"/>
        <v>76.199999999999989</v>
      </c>
      <c r="BI94" s="4">
        <f t="shared" si="229"/>
        <v>1.04</v>
      </c>
      <c r="BJ94" s="25">
        <f t="shared" si="325"/>
        <v>3.1199999999999997</v>
      </c>
      <c r="BL94" s="4">
        <f t="shared" si="326"/>
        <v>63.499999999999986</v>
      </c>
      <c r="BP94" s="9"/>
      <c r="BR94" s="9"/>
      <c r="BS94" s="9"/>
      <c r="BT94" s="9">
        <f t="shared" si="327"/>
        <v>50.8</v>
      </c>
      <c r="BU94" s="9">
        <f t="shared" si="328"/>
        <v>63.499999999999986</v>
      </c>
      <c r="BV94" s="9">
        <f t="shared" si="329"/>
        <v>1.4623505735569622</v>
      </c>
      <c r="BW94" s="9">
        <v>0</v>
      </c>
      <c r="BX94" s="9">
        <f t="shared" si="330"/>
        <v>0</v>
      </c>
      <c r="BY94" s="9">
        <f t="shared" si="366"/>
        <v>0</v>
      </c>
      <c r="BZ94" s="9">
        <f t="shared" si="331"/>
        <v>0.99524931562137331</v>
      </c>
      <c r="CA94" s="9">
        <f t="shared" si="332"/>
        <v>1.056</v>
      </c>
      <c r="CB94" s="9">
        <f t="shared" si="333"/>
        <v>1.8756444837875041</v>
      </c>
      <c r="CC94" s="9">
        <f t="shared" si="334"/>
        <v>2.7428497866556087</v>
      </c>
      <c r="CD94" s="9">
        <v>1</v>
      </c>
      <c r="CE94" s="9" t="e">
        <f>4*CC94*#REF!+60*CC94</f>
        <v>#REF!</v>
      </c>
      <c r="CG94" s="4" t="e">
        <f t="shared" si="265"/>
        <v>#REF!</v>
      </c>
      <c r="CH94" s="4" t="e">
        <f t="shared" si="266"/>
        <v>#REF!</v>
      </c>
      <c r="CI94" s="4" t="e">
        <f t="shared" si="267"/>
        <v>#REF!</v>
      </c>
      <c r="CJ94" s="4" t="e">
        <f t="shared" si="268"/>
        <v>#REF!</v>
      </c>
      <c r="CK94" s="4" t="e">
        <f t="shared" si="269"/>
        <v>#REF!</v>
      </c>
      <c r="CL94" s="4" t="e">
        <f t="shared" si="270"/>
        <v>#REF!</v>
      </c>
      <c r="CM94" s="4">
        <f t="shared" si="215"/>
        <v>1.4594060767422257</v>
      </c>
      <c r="CO94" s="4" t="e">
        <f t="shared" si="271"/>
        <v>#REF!</v>
      </c>
      <c r="CP94" s="4" t="e">
        <f t="shared" si="272"/>
        <v>#REF!</v>
      </c>
      <c r="CQ94" s="4" t="e">
        <f t="shared" si="273"/>
        <v>#REF!</v>
      </c>
      <c r="CR94" s="4">
        <f t="shared" ref="CR94:CR104" si="378">CM94</f>
        <v>1.4594060767422257</v>
      </c>
      <c r="CS94" s="4" t="e">
        <f t="shared" si="275"/>
        <v>#REF!</v>
      </c>
      <c r="CT94" s="4" t="e">
        <f t="shared" si="276"/>
        <v>#REF!</v>
      </c>
      <c r="DB94" s="4">
        <f t="shared" si="232"/>
        <v>0</v>
      </c>
      <c r="DC94" s="4">
        <f t="shared" si="335"/>
        <v>381</v>
      </c>
      <c r="DD94" s="4" t="e">
        <f>#REF!/E94</f>
        <v>#REF!</v>
      </c>
      <c r="DF94" s="4">
        <f t="shared" si="336"/>
        <v>2.6015824312812745E-5</v>
      </c>
      <c r="DG94" s="4">
        <f t="shared" si="233"/>
        <v>6.4425559602163514</v>
      </c>
      <c r="DH94" s="4">
        <f t="shared" si="358"/>
        <v>0.3960514372704414</v>
      </c>
      <c r="DI94" s="4">
        <f t="shared" si="359"/>
        <v>4.4479391474826082</v>
      </c>
      <c r="DJ94" s="4">
        <f t="shared" si="360"/>
        <v>5.5361186564923655</v>
      </c>
      <c r="DK94" s="4">
        <f t="shared" si="337"/>
        <v>5.841129843893162</v>
      </c>
      <c r="DL94" s="38" t="e">
        <f t="shared" si="338"/>
        <v>#REF!</v>
      </c>
      <c r="DM94" s="4" t="e">
        <f t="shared" si="361"/>
        <v>#REF!</v>
      </c>
      <c r="DN94" s="4">
        <f t="shared" si="362"/>
        <v>2.3874672772626644</v>
      </c>
      <c r="DO94" s="4">
        <f t="shared" si="363"/>
        <v>205.10902891481439</v>
      </c>
      <c r="DS94" s="4">
        <f t="shared" si="339"/>
        <v>0.85</v>
      </c>
      <c r="DT94" s="4">
        <f t="shared" si="340"/>
        <v>0.85000000000000009</v>
      </c>
      <c r="DU94" s="4">
        <f t="shared" si="341"/>
        <v>1</v>
      </c>
      <c r="DV94" s="4">
        <f t="shared" si="367"/>
        <v>0.85000000000000009</v>
      </c>
      <c r="DX94" s="4" t="e">
        <f t="shared" si="342"/>
        <v>#REF!</v>
      </c>
      <c r="DY94" s="25">
        <f t="shared" si="343"/>
        <v>202.29704102729465</v>
      </c>
      <c r="EA94" s="4">
        <f>DS94*DV94</f>
        <v>0.72250000000000003</v>
      </c>
      <c r="EB94" s="4">
        <f t="shared" si="309"/>
        <v>6.4425559602163514</v>
      </c>
      <c r="EC94" s="4">
        <f t="shared" si="344"/>
        <v>5.8091238582078786</v>
      </c>
      <c r="EE94" s="4">
        <f t="shared" si="345"/>
        <v>60.641668842471674</v>
      </c>
      <c r="EF94" s="4">
        <f t="shared" si="235"/>
        <v>2.3874672772626644</v>
      </c>
      <c r="EG94" s="4">
        <f t="shared" si="346"/>
        <v>0.11042655740559819</v>
      </c>
      <c r="EJ94" s="4">
        <f t="shared" si="368"/>
        <v>0.11042655740559819</v>
      </c>
      <c r="EK94" s="4">
        <f t="shared" si="347"/>
        <v>0.39539050123559077</v>
      </c>
      <c r="EL94" s="4">
        <f t="shared" si="237"/>
        <v>4.4449685471079112</v>
      </c>
      <c r="EM94" s="4">
        <f t="shared" si="369"/>
        <v>5.534927476770882</v>
      </c>
      <c r="EN94" s="4">
        <f t="shared" si="239"/>
        <v>225.10833115752831</v>
      </c>
      <c r="EO94" s="4">
        <f t="shared" si="240"/>
        <v>95.25</v>
      </c>
      <c r="EP94" s="4">
        <f t="shared" si="348"/>
        <v>2.6015824312812745E-5</v>
      </c>
      <c r="EQ94" s="4">
        <f t="shared" si="370"/>
        <v>5.8412777557424471</v>
      </c>
      <c r="ER94" s="4" t="e">
        <f t="shared" si="349"/>
        <v>#REF!</v>
      </c>
      <c r="ES94" s="4" t="e">
        <f t="shared" si="242"/>
        <v>#REF!</v>
      </c>
      <c r="ET94" s="4" t="e">
        <f t="shared" si="243"/>
        <v>#REF!</v>
      </c>
      <c r="EV94" s="4" t="e">
        <f t="shared" si="350"/>
        <v>#REF!</v>
      </c>
      <c r="FA94" s="23" t="e">
        <f t="shared" si="277"/>
        <v>#REF!</v>
      </c>
      <c r="FB94" s="23" t="e">
        <f t="shared" si="278"/>
        <v>#REF!</v>
      </c>
      <c r="FC94" s="23">
        <f t="shared" si="290"/>
        <v>1.6</v>
      </c>
      <c r="FD94" s="23" t="e">
        <f t="shared" si="279"/>
        <v>#REF!</v>
      </c>
      <c r="FE94" s="23" t="e">
        <f t="shared" si="280"/>
        <v>#REF!</v>
      </c>
      <c r="FF94" s="23" t="e">
        <f t="shared" si="281"/>
        <v>#REF!</v>
      </c>
      <c r="FG94" s="23" t="e">
        <f t="shared" si="282"/>
        <v>#REF!</v>
      </c>
      <c r="FH94" s="23"/>
      <c r="FR94" s="4">
        <f t="shared" si="351"/>
        <v>1</v>
      </c>
      <c r="FS94" s="4">
        <f t="shared" si="352"/>
        <v>1.0833333333333333</v>
      </c>
      <c r="FT94" s="4">
        <f t="shared" si="353"/>
        <v>0</v>
      </c>
      <c r="FU94" s="4">
        <f t="shared" si="354"/>
        <v>311.77066290944771</v>
      </c>
    </row>
    <row r="95" spans="1:178" ht="12" customHeight="1" x14ac:dyDescent="0.3">
      <c r="A95" s="4">
        <v>2</v>
      </c>
      <c r="B95" s="24" t="s">
        <v>611</v>
      </c>
      <c r="C95" s="7" t="s">
        <v>612</v>
      </c>
      <c r="D95" s="38">
        <f>129/0.145</f>
        <v>889.65517241379314</v>
      </c>
      <c r="E95" s="38">
        <f>9*25.4</f>
        <v>228.6</v>
      </c>
      <c r="F95" s="38">
        <f>5740/145</f>
        <v>39.586206896551722</v>
      </c>
      <c r="G95" s="38">
        <f>1*25.4</f>
        <v>25.4</v>
      </c>
      <c r="H95" s="38">
        <f>18*25.4</f>
        <v>457.2</v>
      </c>
      <c r="I95" s="38">
        <f>2.5*25.4</f>
        <v>63.5</v>
      </c>
      <c r="J95" s="7">
        <f t="shared" si="201"/>
        <v>50.8</v>
      </c>
      <c r="K95" s="7">
        <f t="shared" ref="K95:K104" si="379">(H95-L95*G95-2*I95)/(L95-1)</f>
        <v>279.39999999999998</v>
      </c>
      <c r="L95" s="38">
        <v>2</v>
      </c>
      <c r="M95" s="39">
        <f>2*25.4</f>
        <v>50.8</v>
      </c>
      <c r="N95" s="7">
        <f t="shared" ref="N95:N126" si="380">MIN(K95/G95/2+0.5, (M95+G95/2)/G95, I95/G95+0.5)</f>
        <v>2.5</v>
      </c>
      <c r="O95" s="7">
        <f t="shared" ref="O95:O104" si="381">I95/G95+0.5</f>
        <v>3</v>
      </c>
      <c r="P95" s="38">
        <v>4</v>
      </c>
      <c r="Q95" s="4">
        <f>P95</f>
        <v>4</v>
      </c>
      <c r="R95" s="4">
        <f t="shared" si="312"/>
        <v>5</v>
      </c>
      <c r="S95" s="7">
        <f t="shared" si="313"/>
        <v>56.796126628494655</v>
      </c>
      <c r="V95" s="38">
        <f>101.9/(PI()/4)/0.145*X104</f>
        <v>756.43445013829012</v>
      </c>
      <c r="W95" s="4" t="s">
        <v>654</v>
      </c>
      <c r="Y95" s="38"/>
      <c r="Z95" s="38"/>
      <c r="AA95" s="39">
        <v>1</v>
      </c>
      <c r="AB95" s="39"/>
      <c r="AC95" s="39"/>
      <c r="AD95" s="7"/>
      <c r="AE95" s="4">
        <f t="shared" si="364"/>
        <v>228.6</v>
      </c>
      <c r="AF95" s="44">
        <f t="shared" ref="AF95:AF104" si="382">MIN(H95)*(MIN(20*25.4-M95-0.5*G95,1.5*AE95)+M95+G95/2)/(3*E95)^2</f>
        <v>0.39506172839506176</v>
      </c>
      <c r="AG95" s="25">
        <f t="shared" si="314"/>
        <v>214.58480899223187</v>
      </c>
      <c r="AH95" s="4">
        <f t="shared" si="315"/>
        <v>0.75555555555555554</v>
      </c>
      <c r="AI95" s="4">
        <v>1.25</v>
      </c>
      <c r="AJ95" s="25">
        <f t="shared" si="355"/>
        <v>5</v>
      </c>
      <c r="AK95" s="38">
        <f t="shared" si="205"/>
        <v>400.32282610347784</v>
      </c>
      <c r="AL95" s="38">
        <f t="shared" si="356"/>
        <v>400.32282610347784</v>
      </c>
      <c r="AN95" s="38">
        <f t="shared" ref="AN95:AN104" si="383">AJ95* (F95^0.5/AE95^0.5)/(PI()/4*G95^2)/L95/0.72 *(0.7+(MIN(I95,M95)+0.5*G95)/5/E95) *(H95*MIN(M95+0.5*G95+1.5*E95,20*25.4))</f>
        <v>400.32282610347767</v>
      </c>
      <c r="AO95" s="38">
        <f t="shared" si="316"/>
        <v>1.0000000000000004</v>
      </c>
      <c r="AP95" s="38">
        <f t="shared" si="357"/>
        <v>1.0679656682185992</v>
      </c>
      <c r="AQ95" s="4">
        <f t="shared" si="228"/>
        <v>0</v>
      </c>
      <c r="AR95" s="4" t="e">
        <f>#REF!/G95*F95^0.5/0.19</f>
        <v>#REF!</v>
      </c>
      <c r="AS95" s="4">
        <f t="shared" si="317"/>
        <v>1.08</v>
      </c>
      <c r="AT95" s="38">
        <f t="shared" si="318"/>
        <v>427.53103448275863</v>
      </c>
      <c r="AU95" s="4">
        <f t="shared" si="319"/>
        <v>0.44000000000000006</v>
      </c>
      <c r="AV95" s="4" t="e">
        <f>AU95*D95*#REF!/(D95*G95/2.75/F95^0.5)</f>
        <v>#REF!</v>
      </c>
      <c r="AW95" s="4" t="e">
        <f t="shared" ref="AW95:AW104" si="384">AT95+AV95</f>
        <v>#REF!</v>
      </c>
      <c r="AY95" s="36">
        <f t="shared" si="320"/>
        <v>1.1000000000000001</v>
      </c>
      <c r="AZ95" s="36" t="e">
        <f>(1.6*#REF!+22)*AY95*F95^0.5</f>
        <v>#REF!</v>
      </c>
      <c r="BE95" s="4">
        <f t="shared" si="321"/>
        <v>63.5</v>
      </c>
      <c r="BF95" s="4">
        <f t="shared" si="322"/>
        <v>50.8</v>
      </c>
      <c r="BG95" s="4">
        <f t="shared" si="323"/>
        <v>63.5</v>
      </c>
      <c r="BH95" s="4">
        <f t="shared" si="324"/>
        <v>63.5</v>
      </c>
      <c r="BI95" s="4">
        <f t="shared" ref="BI95:BI104" si="385">MIN(1.25, 0.1*BG95/BF95+0.9)</f>
        <v>1.0250000000000001</v>
      </c>
      <c r="BJ95" s="25">
        <f t="shared" si="325"/>
        <v>2.5625000000000004</v>
      </c>
      <c r="BL95" s="4">
        <f t="shared" si="326"/>
        <v>63.5</v>
      </c>
      <c r="BP95" s="9"/>
      <c r="BR95" s="9"/>
      <c r="BS95" s="9"/>
      <c r="BT95" s="9">
        <f t="shared" si="327"/>
        <v>50.8</v>
      </c>
      <c r="BU95" s="9">
        <f t="shared" si="328"/>
        <v>139.69999999999999</v>
      </c>
      <c r="BV95" s="9">
        <f t="shared" si="329"/>
        <v>1.6459434193552143</v>
      </c>
      <c r="BW95" s="9">
        <v>0</v>
      </c>
      <c r="BX95" s="9">
        <f t="shared" si="330"/>
        <v>0</v>
      </c>
      <c r="BY95" s="9">
        <f t="shared" ref="BY95:BY104" si="386">MAX(0,BW95*(BX95-0.5/50))</f>
        <v>0</v>
      </c>
      <c r="BZ95" s="9">
        <f t="shared" si="331"/>
        <v>0.99524931562137331</v>
      </c>
      <c r="CA95" s="9">
        <f t="shared" si="332"/>
        <v>0.68</v>
      </c>
      <c r="CB95" s="9">
        <f t="shared" si="333"/>
        <v>1.490324324005301</v>
      </c>
      <c r="CC95" s="9">
        <f t="shared" si="334"/>
        <v>2.4529895138015334</v>
      </c>
      <c r="CD95" s="9">
        <v>1</v>
      </c>
      <c r="CE95" s="9" t="e">
        <f>4*CC95*#REF!+60*CC95</f>
        <v>#REF!</v>
      </c>
      <c r="CG95" s="4" t="e">
        <f t="shared" ref="CG95:CG104" si="387">V95/AR95</f>
        <v>#REF!</v>
      </c>
      <c r="CH95" s="4" t="e">
        <f t="shared" ref="CH95:CH104" si="388">V95/AW95</f>
        <v>#REF!</v>
      </c>
      <c r="CI95" s="4" t="e">
        <f t="shared" ref="CI95:CI104" si="389">V95/AZ95</f>
        <v>#REF!</v>
      </c>
      <c r="CJ95" s="4" t="e">
        <f t="shared" ref="CJ95:CJ104" si="390">V95/CE95</f>
        <v>#REF!</v>
      </c>
      <c r="CK95" s="4" t="e">
        <f t="shared" ref="CK95:CK104" si="391">V95/DL95</f>
        <v>#REF!</v>
      </c>
      <c r="CL95" s="4" t="e">
        <f t="shared" ref="CL95:CL104" si="392">V95/DX95</f>
        <v>#REF!</v>
      </c>
      <c r="CM95" s="4">
        <f t="shared" ref="CM95:CM104" si="393">V95/FU95</f>
        <v>1.6801577724580639</v>
      </c>
      <c r="CO95" s="4" t="e">
        <f t="shared" ref="CO95:CO104" si="394">CG95</f>
        <v>#REF!</v>
      </c>
      <c r="CP95" s="4" t="e">
        <f t="shared" ref="CP95:CP104" si="395">CH95</f>
        <v>#REF!</v>
      </c>
      <c r="CQ95" s="4" t="e">
        <f t="shared" ref="CQ95:CQ104" si="396">CJ95</f>
        <v>#REF!</v>
      </c>
      <c r="CR95" s="4">
        <f t="shared" si="378"/>
        <v>1.6801577724580639</v>
      </c>
      <c r="CS95" s="4" t="e">
        <f t="shared" ref="CS95:CS104" si="397">CK95</f>
        <v>#REF!</v>
      </c>
      <c r="CT95" s="4" t="e">
        <f t="shared" ref="CT95:CT104" si="398">CL95</f>
        <v>#REF!</v>
      </c>
      <c r="DB95" s="4">
        <f t="shared" ref="DB95:DB104" si="399">Z95</f>
        <v>0</v>
      </c>
      <c r="DC95" s="4">
        <f t="shared" si="335"/>
        <v>228.6</v>
      </c>
      <c r="DD95" s="4" t="e">
        <f>#REF!/E95</f>
        <v>#REF!</v>
      </c>
      <c r="DF95" s="4">
        <f t="shared" si="336"/>
        <v>1.7165449536863499E-5</v>
      </c>
      <c r="DG95" s="4">
        <f t="shared" ref="DG95:DG104" si="400">EB95</f>
        <v>7.9495669385574006</v>
      </c>
      <c r="DH95" s="4">
        <f t="shared" si="358"/>
        <v>0.55871723432551368</v>
      </c>
      <c r="DI95" s="4">
        <f t="shared" si="359"/>
        <v>6.298255836540501</v>
      </c>
      <c r="DJ95" s="4">
        <f t="shared" si="360"/>
        <v>7.1716614786486721</v>
      </c>
      <c r="DK95" s="4">
        <f t="shared" si="337"/>
        <v>7.5685095187246061</v>
      </c>
      <c r="DL95" s="38" t="e">
        <f t="shared" si="338"/>
        <v>#REF!</v>
      </c>
      <c r="DM95" s="4" t="e">
        <f t="shared" si="361"/>
        <v>#REF!</v>
      </c>
      <c r="DN95" s="4">
        <f t="shared" si="362"/>
        <v>2.2360679774997898</v>
      </c>
      <c r="DO95" s="4">
        <f t="shared" si="363"/>
        <v>400.32282610347767</v>
      </c>
      <c r="DS95" s="4">
        <f t="shared" si="339"/>
        <v>0.85</v>
      </c>
      <c r="DT95" s="4">
        <f t="shared" si="340"/>
        <v>0.85</v>
      </c>
      <c r="DU95" s="4">
        <f t="shared" si="341"/>
        <v>1</v>
      </c>
      <c r="DV95" s="4">
        <f t="shared" ref="DV95:DV104" si="401">IF(DT95*DU95&lt;0.7,0.7,DT95*DU95)</f>
        <v>0.85</v>
      </c>
      <c r="DX95" s="4" t="e">
        <f t="shared" si="342"/>
        <v>#REF!</v>
      </c>
      <c r="DY95" s="25">
        <f t="shared" ref="DY95:DY104" si="402">8.8*H95*(20*25.4)*F95^0.5/L95/G95^2/E95^0.5*(0.7+MIN(M95,I95)/5/E95)</f>
        <v>490.70592578068914</v>
      </c>
      <c r="EA95" s="4">
        <f>DS95*DV95</f>
        <v>0.72249999999999992</v>
      </c>
      <c r="EB95" s="4">
        <f t="shared" si="309"/>
        <v>7.9495669385574006</v>
      </c>
      <c r="EC95" s="4">
        <f t="shared" si="344"/>
        <v>5.8871511659354159</v>
      </c>
      <c r="EE95" s="4">
        <f t="shared" si="345"/>
        <v>56.796126628494655</v>
      </c>
      <c r="EF95" s="4">
        <f t="shared" ref="EF95:EF104" si="403">R95^0.5</f>
        <v>2.2360679774997898</v>
      </c>
      <c r="EG95" s="4">
        <f t="shared" si="346"/>
        <v>0.1922203122479216</v>
      </c>
      <c r="EJ95" s="4">
        <f t="shared" ref="EJ95:EJ104" si="404">EG95</f>
        <v>0.1922203122479216</v>
      </c>
      <c r="EK95" s="4">
        <f t="shared" si="347"/>
        <v>0.55778483939216139</v>
      </c>
      <c r="EL95" s="4">
        <f t="shared" ref="EL95:EL104" si="405">EB95/1*EK95^0.4</f>
        <v>6.2940494837718139</v>
      </c>
      <c r="EM95" s="4">
        <f t="shared" ref="EM95:EM104" si="406">EB95/1.4*(1-EK95^1.4)/(1-EK95)</f>
        <v>7.1698155001937067</v>
      </c>
      <c r="EN95" s="4">
        <f t="shared" ref="EN95:EN104" si="407">MAX(0,DC95*EN$9-EE95)</f>
        <v>114.65387337150534</v>
      </c>
      <c r="EO95" s="4">
        <f t="shared" ref="EO95:EO104" si="408">MAX(0,DC95-EE95-EN95)</f>
        <v>57.150000000000006</v>
      </c>
      <c r="EP95" s="4">
        <f t="shared" si="348"/>
        <v>1.7165449536863506E-5</v>
      </c>
      <c r="EQ95" s="4">
        <f t="shared" ref="EQ95:EQ104" si="409">MAX(0.5*EB95, (1-2*EP95*(EE95*EL95+EN95*EM95))/(1/EB95+EP95*EO95))</f>
        <v>7.5686315302667664</v>
      </c>
      <c r="ER95" s="4" t="e">
        <f t="shared" si="349"/>
        <v>#REF!</v>
      </c>
      <c r="ES95" s="4" t="e">
        <f t="shared" ref="ES95:ES104" si="410">IF(DD95&lt;=EN$9, MAX(0,DC95*DD95-EE95), MAX(0,DC95*EN$9-EE95))</f>
        <v>#REF!</v>
      </c>
      <c r="ET95" s="4" t="e">
        <f t="shared" ref="ET95:ET104" si="411">MAX(0, DC95*DD95-ES95-EE95)</f>
        <v>#REF!</v>
      </c>
      <c r="EV95" s="4" t="e">
        <f t="shared" si="350"/>
        <v>#REF!</v>
      </c>
      <c r="FA95" s="23" t="e">
        <f t="shared" ref="FA95:FA104" si="412">IF(CG95&lt;0.6,0.6,IF(CG95&lt;0.8,0.8,IF(CG95&lt;1,1,IF(CG95&lt;1.2,1.2,IF(CG95&lt;1.4,1.4,IF(CG95&lt;1.6,1.6,IF(CG95&lt;1.8,1.8,IF(CG95&lt;2,2,2.2))))))))</f>
        <v>#REF!</v>
      </c>
      <c r="FB95" s="23" t="e">
        <f t="shared" ref="FB95:FB104" si="413">IF(CH95&lt;0.6,0.6,IF(CH95&lt;0.8,0.8,IF(CH95&lt;1,1,IF(CH95&lt;1.2,1.2,IF(CH95&lt;1.4,1.4,IF(CH95&lt;1.6,1.6,IF(CH95&lt;1.8,1.8,IF(CH95&lt;2,2,2.2))))))))</f>
        <v>#REF!</v>
      </c>
      <c r="FC95" s="23">
        <f t="shared" si="290"/>
        <v>1.8</v>
      </c>
      <c r="FD95" s="23" t="e">
        <f t="shared" ref="FD95:FD104" si="414">IF(CJ95&lt;0.6,0.6,IF(CJ95&lt;0.8,0.8,IF(CJ95&lt;1,1,IF(CJ95&lt;1.2,1.2,IF(CJ95&lt;1.4,1.4,IF(CJ95&lt;1.6,1.6,IF(CJ95&lt;1.8,1.8,IF(CJ95&lt;2,2,2.2))))))))</f>
        <v>#REF!</v>
      </c>
      <c r="FE95" s="23" t="e">
        <f t="shared" ref="FE95:FE104" si="415">IF(CK95&lt;0.6,0.6,IF(CK95&lt;0.8,0.8,IF(CK95&lt;1,1,IF(CK95&lt;1.2,1.2,IF(CK95&lt;1.4,1.4,IF(CK95&lt;1.6,1.6,IF(CK95&lt;1.8,1.8,IF(CK95&lt;2,2,2.2))))))))</f>
        <v>#REF!</v>
      </c>
      <c r="FF95" s="23" t="e">
        <f t="shared" ref="FF95:FF104" si="416">IF(CL95&lt;0.6,0.6,IF(CL95&lt;0.8,0.8,IF(CL95&lt;1,1,IF(CL95&lt;1.2,1.2,IF(CL95&lt;1.4,1.4,IF(CL95&lt;1.6,1.6,IF(CL95&lt;1.8,1.8,IF(CL95&lt;2,2,2.2))))))))</f>
        <v>#REF!</v>
      </c>
      <c r="FG95" s="23" t="e">
        <f t="shared" ref="FG95:FG104" si="417">IF(FE95&lt;1,1,0)</f>
        <v>#REF!</v>
      </c>
      <c r="FH95" s="23"/>
      <c r="FR95" s="4">
        <f t="shared" si="351"/>
        <v>1</v>
      </c>
      <c r="FS95" s="4">
        <f t="shared" si="352"/>
        <v>0.5</v>
      </c>
      <c r="FT95" s="4">
        <f t="shared" si="353"/>
        <v>0</v>
      </c>
      <c r="FU95" s="4">
        <f t="shared" si="354"/>
        <v>450.21632047782612</v>
      </c>
      <c r="FV95" s="4">
        <f>FU95*510*0.145*2</f>
        <v>66586.993798670475</v>
      </c>
    </row>
    <row r="96" spans="1:178" ht="12" customHeight="1" x14ac:dyDescent="0.3">
      <c r="B96" s="4">
        <v>2016</v>
      </c>
      <c r="C96" s="7" t="s">
        <v>613</v>
      </c>
      <c r="D96" s="38">
        <f t="shared" ref="D96:D104" si="418">129/0.145</f>
        <v>889.65517241379314</v>
      </c>
      <c r="E96" s="38">
        <f>10.4*25.4</f>
        <v>264.15999999999997</v>
      </c>
      <c r="F96" s="38">
        <f>4490/145</f>
        <v>30.96551724137931</v>
      </c>
      <c r="G96" s="38">
        <f t="shared" ref="G96:G104" si="419">1*25.4</f>
        <v>25.4</v>
      </c>
      <c r="H96" s="38">
        <f>18.1*25.4</f>
        <v>459.74</v>
      </c>
      <c r="I96" s="38">
        <f t="shared" ref="I96:I104" si="420">2.5*25.4</f>
        <v>63.5</v>
      </c>
      <c r="J96" s="7">
        <f t="shared" si="201"/>
        <v>50.8</v>
      </c>
      <c r="K96" s="7">
        <f t="shared" si="379"/>
        <v>281.94</v>
      </c>
      <c r="L96" s="38">
        <v>2</v>
      </c>
      <c r="M96" s="39">
        <f t="shared" ref="M96:M104" si="421">2*25.4</f>
        <v>50.8</v>
      </c>
      <c r="N96" s="7">
        <f t="shared" si="380"/>
        <v>2.5</v>
      </c>
      <c r="O96" s="7">
        <f t="shared" si="381"/>
        <v>3</v>
      </c>
      <c r="P96" s="38">
        <v>4</v>
      </c>
      <c r="Q96" s="4">
        <f t="shared" ref="Q96:Q104" si="422">P96</f>
        <v>4</v>
      </c>
      <c r="R96" s="4">
        <f t="shared" si="312"/>
        <v>5</v>
      </c>
      <c r="S96" s="7">
        <f t="shared" si="313"/>
        <v>56.796126628494655</v>
      </c>
      <c r="T96" s="7"/>
      <c r="U96" s="7"/>
      <c r="V96" s="38">
        <f>105/(PI()/4)/0.145</f>
        <v>922.00104963580748</v>
      </c>
      <c r="W96" s="7"/>
      <c r="X96" s="7">
        <f>105/127</f>
        <v>0.82677165354330706</v>
      </c>
      <c r="Y96" s="7"/>
      <c r="Z96" s="7"/>
      <c r="AA96" s="39">
        <v>1</v>
      </c>
      <c r="AB96" s="7"/>
      <c r="AC96" s="7"/>
      <c r="AD96" s="7"/>
      <c r="AE96" s="4">
        <f t="shared" si="364"/>
        <v>264.15999999999997</v>
      </c>
      <c r="AF96" s="44">
        <f t="shared" si="382"/>
        <v>0.33654873438527289</v>
      </c>
      <c r="AG96" s="25">
        <f t="shared" si="314"/>
        <v>235.75040255705565</v>
      </c>
      <c r="AH96" s="4">
        <f t="shared" si="315"/>
        <v>0.74807692307692308</v>
      </c>
      <c r="AI96" s="4">
        <v>1.25</v>
      </c>
      <c r="AJ96" s="25">
        <f t="shared" si="355"/>
        <v>5</v>
      </c>
      <c r="AK96" s="38">
        <f t="shared" si="205"/>
        <v>370.95965563501107</v>
      </c>
      <c r="AL96" s="38">
        <f t="shared" si="356"/>
        <v>370.95965563501107</v>
      </c>
      <c r="AN96" s="38">
        <f t="shared" si="383"/>
        <v>370.95965563501068</v>
      </c>
      <c r="AO96" s="38">
        <f t="shared" si="316"/>
        <v>1.0000000000000011</v>
      </c>
      <c r="AP96" s="38">
        <f t="shared" si="357"/>
        <v>0.90152010097815527</v>
      </c>
      <c r="AQ96" s="4">
        <f t="shared" si="228"/>
        <v>1</v>
      </c>
      <c r="AR96" s="4" t="e">
        <f>#REF!/G96*F96^0.5/0.19</f>
        <v>#REF!</v>
      </c>
      <c r="AS96" s="4">
        <f t="shared" si="317"/>
        <v>1.08</v>
      </c>
      <c r="AT96" s="38">
        <f t="shared" si="318"/>
        <v>334.42758620689654</v>
      </c>
      <c r="AU96" s="4">
        <f t="shared" si="319"/>
        <v>0.44000000000000006</v>
      </c>
      <c r="AV96" s="4" t="e">
        <f>AU96*D96*#REF!/(D96*G96/2.75/F96^0.5)</f>
        <v>#REF!</v>
      </c>
      <c r="AW96" s="4" t="e">
        <f t="shared" si="384"/>
        <v>#REF!</v>
      </c>
      <c r="AY96" s="36">
        <f t="shared" si="320"/>
        <v>1.1000000000000001</v>
      </c>
      <c r="AZ96" s="36" t="e">
        <f>(1.6*#REF!+22)*AY96*F96^0.5</f>
        <v>#REF!</v>
      </c>
      <c r="BE96" s="4">
        <f t="shared" si="321"/>
        <v>63.5</v>
      </c>
      <c r="BF96" s="4">
        <f t="shared" si="322"/>
        <v>50.8</v>
      </c>
      <c r="BG96" s="4">
        <f t="shared" si="323"/>
        <v>63.5</v>
      </c>
      <c r="BH96" s="4">
        <f t="shared" si="324"/>
        <v>63.5</v>
      </c>
      <c r="BI96" s="4">
        <f t="shared" si="385"/>
        <v>1.0250000000000001</v>
      </c>
      <c r="BJ96" s="25">
        <f t="shared" si="325"/>
        <v>2.5625000000000004</v>
      </c>
      <c r="BL96" s="4">
        <f t="shared" si="326"/>
        <v>63.5</v>
      </c>
      <c r="BP96" s="9"/>
      <c r="BR96" s="9"/>
      <c r="BS96" s="9"/>
      <c r="BT96" s="9">
        <f t="shared" si="327"/>
        <v>50.8</v>
      </c>
      <c r="BU96" s="9">
        <f t="shared" si="328"/>
        <v>140.97</v>
      </c>
      <c r="BV96" s="9">
        <f t="shared" si="329"/>
        <v>1.6481792641469835</v>
      </c>
      <c r="BW96" s="9">
        <v>0</v>
      </c>
      <c r="BX96" s="9">
        <f t="shared" si="330"/>
        <v>0</v>
      </c>
      <c r="BY96" s="9">
        <f t="shared" si="386"/>
        <v>0</v>
      </c>
      <c r="BZ96" s="9">
        <f t="shared" si="331"/>
        <v>0.99524931562137331</v>
      </c>
      <c r="CA96" s="9">
        <f t="shared" si="332"/>
        <v>0.68</v>
      </c>
      <c r="CB96" s="9">
        <f t="shared" si="333"/>
        <v>1.3180989499545468</v>
      </c>
      <c r="CC96" s="9">
        <f t="shared" si="334"/>
        <v>2.1724633574089967</v>
      </c>
      <c r="CD96" s="9">
        <v>1</v>
      </c>
      <c r="CE96" s="9" t="e">
        <f>4*CC96*#REF!+60*CC96</f>
        <v>#REF!</v>
      </c>
      <c r="CG96" s="4" t="e">
        <f t="shared" si="387"/>
        <v>#REF!</v>
      </c>
      <c r="CH96" s="4" t="e">
        <f t="shared" si="388"/>
        <v>#REF!</v>
      </c>
      <c r="CI96" s="4" t="e">
        <f t="shared" si="389"/>
        <v>#REF!</v>
      </c>
      <c r="CJ96" s="4" t="e">
        <f t="shared" si="390"/>
        <v>#REF!</v>
      </c>
      <c r="CK96" s="4" t="e">
        <f t="shared" si="391"/>
        <v>#REF!</v>
      </c>
      <c r="CL96" s="4" t="e">
        <f t="shared" si="392"/>
        <v>#REF!</v>
      </c>
      <c r="CM96" s="4">
        <f t="shared" si="393"/>
        <v>1.8844548614240106</v>
      </c>
      <c r="CO96" s="4" t="e">
        <f t="shared" si="394"/>
        <v>#REF!</v>
      </c>
      <c r="CP96" s="4" t="e">
        <f t="shared" si="395"/>
        <v>#REF!</v>
      </c>
      <c r="CQ96" s="4" t="e">
        <f t="shared" si="396"/>
        <v>#REF!</v>
      </c>
      <c r="CR96" s="4">
        <f t="shared" si="378"/>
        <v>1.8844548614240106</v>
      </c>
      <c r="CS96" s="4" t="e">
        <f t="shared" si="397"/>
        <v>#REF!</v>
      </c>
      <c r="CT96" s="4" t="e">
        <f t="shared" si="398"/>
        <v>#REF!</v>
      </c>
      <c r="DB96" s="4">
        <f t="shared" si="399"/>
        <v>0</v>
      </c>
      <c r="DC96" s="4">
        <f t="shared" si="335"/>
        <v>264.15999999999997</v>
      </c>
      <c r="DD96" s="4" t="e">
        <f>#REF!/E96</f>
        <v>#REF!</v>
      </c>
      <c r="DF96" s="4">
        <f t="shared" si="336"/>
        <v>1.8699368483673423E-5</v>
      </c>
      <c r="DG96" s="4">
        <f t="shared" si="400"/>
        <v>7.0308963394927586</v>
      </c>
      <c r="DH96" s="4">
        <f t="shared" si="358"/>
        <v>0.66187190263897755</v>
      </c>
      <c r="DI96" s="4">
        <f t="shared" si="359"/>
        <v>5.9610158002057858</v>
      </c>
      <c r="DJ96" s="4">
        <f t="shared" si="360"/>
        <v>6.5179597703410481</v>
      </c>
      <c r="DK96" s="4">
        <f t="shared" si="337"/>
        <v>6.6419918127671052</v>
      </c>
      <c r="DL96" s="38" t="e">
        <f t="shared" si="338"/>
        <v>#REF!</v>
      </c>
      <c r="DM96" s="4" t="e">
        <f t="shared" si="361"/>
        <v>#REF!</v>
      </c>
      <c r="DN96" s="4">
        <f t="shared" si="362"/>
        <v>2.2360679774997898</v>
      </c>
      <c r="DO96" s="4">
        <f t="shared" si="363"/>
        <v>370.95965563501068</v>
      </c>
      <c r="DS96" s="4">
        <f t="shared" si="339"/>
        <v>0.85</v>
      </c>
      <c r="DT96" s="4">
        <f t="shared" si="340"/>
        <v>0.85</v>
      </c>
      <c r="DU96" s="4">
        <f t="shared" si="341"/>
        <v>1</v>
      </c>
      <c r="DV96" s="4">
        <f t="shared" si="401"/>
        <v>0.85</v>
      </c>
      <c r="DX96" s="4" t="e">
        <f t="shared" si="342"/>
        <v>#REF!</v>
      </c>
      <c r="DY96" s="25">
        <f t="shared" si="402"/>
        <v>402.71218386346197</v>
      </c>
      <c r="EA96" s="4">
        <f t="shared" ref="EA96:EA104" si="423">DS96*DV96</f>
        <v>0.72249999999999992</v>
      </c>
      <c r="EB96" s="4">
        <f t="shared" si="309"/>
        <v>7.0308963394927586</v>
      </c>
      <c r="EC96" s="4">
        <f t="shared" si="344"/>
        <v>5.2068181704156071</v>
      </c>
      <c r="EE96" s="4">
        <f t="shared" si="345"/>
        <v>56.796126628494655</v>
      </c>
      <c r="EF96" s="4">
        <f t="shared" si="403"/>
        <v>2.2360679774997898</v>
      </c>
      <c r="EG96" s="4">
        <f t="shared" si="346"/>
        <v>0.20139485887514993</v>
      </c>
      <c r="EJ96" s="4">
        <f t="shared" si="404"/>
        <v>0.20139485887514993</v>
      </c>
      <c r="EK96" s="4">
        <f t="shared" si="347"/>
        <v>0.66076736178962692</v>
      </c>
      <c r="EL96" s="4">
        <f t="shared" si="405"/>
        <v>5.9570346765477238</v>
      </c>
      <c r="EM96" s="4">
        <f t="shared" si="406"/>
        <v>6.5161398816101084</v>
      </c>
      <c r="EN96" s="4">
        <f t="shared" si="407"/>
        <v>141.32387337150533</v>
      </c>
      <c r="EO96" s="4">
        <f t="shared" si="408"/>
        <v>66.039999999999992</v>
      </c>
      <c r="EP96" s="4">
        <f t="shared" si="348"/>
        <v>1.8699368483673423E-5</v>
      </c>
      <c r="EQ96" s="4">
        <f t="shared" si="409"/>
        <v>6.642117802584564</v>
      </c>
      <c r="ER96" s="4" t="e">
        <f t="shared" si="349"/>
        <v>#REF!</v>
      </c>
      <c r="ES96" s="4" t="e">
        <f t="shared" si="410"/>
        <v>#REF!</v>
      </c>
      <c r="ET96" s="4" t="e">
        <f t="shared" si="411"/>
        <v>#REF!</v>
      </c>
      <c r="EV96" s="4" t="e">
        <f t="shared" si="350"/>
        <v>#REF!</v>
      </c>
      <c r="FA96" s="23" t="e">
        <f t="shared" si="412"/>
        <v>#REF!</v>
      </c>
      <c r="FB96" s="23" t="e">
        <f t="shared" si="413"/>
        <v>#REF!</v>
      </c>
      <c r="FC96" s="23">
        <f t="shared" si="290"/>
        <v>2</v>
      </c>
      <c r="FD96" s="23" t="e">
        <f t="shared" si="414"/>
        <v>#REF!</v>
      </c>
      <c r="FE96" s="23" t="e">
        <f t="shared" si="415"/>
        <v>#REF!</v>
      </c>
      <c r="FF96" s="23" t="e">
        <f t="shared" si="416"/>
        <v>#REF!</v>
      </c>
      <c r="FG96" s="23" t="e">
        <f t="shared" si="417"/>
        <v>#REF!</v>
      </c>
      <c r="FH96" s="23"/>
      <c r="FR96" s="4">
        <f t="shared" si="351"/>
        <v>1</v>
      </c>
      <c r="FS96" s="4">
        <f t="shared" si="352"/>
        <v>0.5</v>
      </c>
      <c r="FT96" s="4">
        <f t="shared" si="353"/>
        <v>0</v>
      </c>
      <c r="FU96" s="4">
        <f t="shared" si="354"/>
        <v>489.26672031777213</v>
      </c>
    </row>
    <row r="97" spans="1:177" ht="12" customHeight="1" x14ac:dyDescent="0.3">
      <c r="B97" s="24" t="s">
        <v>610</v>
      </c>
      <c r="C97" s="7" t="s">
        <v>614</v>
      </c>
      <c r="D97" s="38">
        <f t="shared" si="418"/>
        <v>889.65517241379314</v>
      </c>
      <c r="E97" s="38">
        <f>9*25.4</f>
        <v>228.6</v>
      </c>
      <c r="F97" s="38">
        <f>5800/145</f>
        <v>40</v>
      </c>
      <c r="G97" s="38">
        <f t="shared" si="419"/>
        <v>25.4</v>
      </c>
      <c r="H97" s="38">
        <f>18.3*25.4</f>
        <v>464.82</v>
      </c>
      <c r="I97" s="38">
        <f t="shared" si="420"/>
        <v>63.5</v>
      </c>
      <c r="J97" s="7">
        <f t="shared" si="201"/>
        <v>50.8</v>
      </c>
      <c r="K97" s="7">
        <f t="shared" si="379"/>
        <v>130.81</v>
      </c>
      <c r="L97" s="38">
        <v>3</v>
      </c>
      <c r="M97" s="39">
        <f t="shared" si="421"/>
        <v>50.8</v>
      </c>
      <c r="N97" s="7">
        <f t="shared" si="380"/>
        <v>2.5</v>
      </c>
      <c r="O97" s="7">
        <f t="shared" si="381"/>
        <v>3</v>
      </c>
      <c r="P97" s="38">
        <v>4</v>
      </c>
      <c r="Q97" s="4">
        <f t="shared" si="422"/>
        <v>4</v>
      </c>
      <c r="R97" s="4">
        <f t="shared" si="312"/>
        <v>5</v>
      </c>
      <c r="S97" s="7">
        <f t="shared" si="313"/>
        <v>56.796126628494655</v>
      </c>
      <c r="T97" s="7"/>
      <c r="U97" s="7"/>
      <c r="V97" s="38">
        <f>109/(PI()/4)/0.145*X104</f>
        <v>809.13989268963303</v>
      </c>
      <c r="W97" s="7" t="s">
        <v>654</v>
      </c>
      <c r="X97" s="7"/>
      <c r="Y97" s="7"/>
      <c r="Z97" s="7"/>
      <c r="AA97" s="39">
        <v>1</v>
      </c>
      <c r="AB97" s="7"/>
      <c r="AC97" s="7"/>
      <c r="AD97" s="7"/>
      <c r="AE97" s="4">
        <f t="shared" si="364"/>
        <v>228.6</v>
      </c>
      <c r="AF97" s="44">
        <f t="shared" si="382"/>
        <v>0.40164609053497946</v>
      </c>
      <c r="AG97" s="25">
        <f t="shared" si="314"/>
        <v>143.80227786159796</v>
      </c>
      <c r="AH97" s="4">
        <f t="shared" si="315"/>
        <v>0.75555555555555554</v>
      </c>
      <c r="AI97" s="4">
        <v>1.25</v>
      </c>
      <c r="AJ97" s="25">
        <f t="shared" si="355"/>
        <v>5</v>
      </c>
      <c r="AK97" s="38">
        <f t="shared" si="205"/>
        <v>272.7443294786961</v>
      </c>
      <c r="AL97" s="38">
        <f t="shared" si="356"/>
        <v>272.7443294786961</v>
      </c>
      <c r="AN97" s="38">
        <f t="shared" si="383"/>
        <v>272.74432947869599</v>
      </c>
      <c r="AO97" s="38">
        <f t="shared" si="316"/>
        <v>1.0000000000000004</v>
      </c>
      <c r="AP97" s="38">
        <f t="shared" si="357"/>
        <v>1.5839009405830504</v>
      </c>
      <c r="AQ97" s="4">
        <f t="shared" si="228"/>
        <v>0</v>
      </c>
      <c r="AR97" s="4" t="e">
        <f>#REF!/G97*F97^0.5/0.19</f>
        <v>#REF!</v>
      </c>
      <c r="AS97" s="4">
        <f t="shared" si="317"/>
        <v>1.08</v>
      </c>
      <c r="AT97" s="38">
        <f t="shared" si="318"/>
        <v>432</v>
      </c>
      <c r="AU97" s="4">
        <f t="shared" si="319"/>
        <v>0.44000000000000006</v>
      </c>
      <c r="AV97" s="4" t="e">
        <f>AU97*D97*#REF!/(D97*G97/2.75/F97^0.5)</f>
        <v>#REF!</v>
      </c>
      <c r="AW97" s="4" t="e">
        <f t="shared" si="384"/>
        <v>#REF!</v>
      </c>
      <c r="AY97" s="36">
        <f t="shared" si="320"/>
        <v>1.1000000000000001</v>
      </c>
      <c r="AZ97" s="36" t="e">
        <f>(1.6*#REF!+22)*AY97*F97^0.5</f>
        <v>#REF!</v>
      </c>
      <c r="BE97" s="4">
        <f t="shared" si="321"/>
        <v>63.5</v>
      </c>
      <c r="BF97" s="4">
        <f t="shared" si="322"/>
        <v>50.8</v>
      </c>
      <c r="BG97" s="4">
        <f t="shared" si="323"/>
        <v>63.5</v>
      </c>
      <c r="BH97" s="4">
        <f t="shared" si="324"/>
        <v>63.5</v>
      </c>
      <c r="BI97" s="4">
        <f t="shared" si="385"/>
        <v>1.0250000000000001</v>
      </c>
      <c r="BJ97" s="25">
        <f t="shared" si="325"/>
        <v>2.5625000000000004</v>
      </c>
      <c r="BL97" s="4">
        <f t="shared" si="326"/>
        <v>63.5</v>
      </c>
      <c r="BP97" s="9"/>
      <c r="BR97" s="9"/>
      <c r="BS97" s="9"/>
      <c r="BT97" s="9">
        <f t="shared" si="327"/>
        <v>50.8</v>
      </c>
      <c r="BU97" s="9">
        <f t="shared" si="328"/>
        <v>65.405000000000001</v>
      </c>
      <c r="BV97" s="9">
        <f t="shared" si="329"/>
        <v>1.4688487685376905</v>
      </c>
      <c r="BW97" s="9">
        <v>0</v>
      </c>
      <c r="BX97" s="9">
        <f t="shared" si="330"/>
        <v>0</v>
      </c>
      <c r="BY97" s="9">
        <f t="shared" si="386"/>
        <v>0</v>
      </c>
      <c r="BZ97" s="9">
        <f t="shared" si="331"/>
        <v>0.99524931562137331</v>
      </c>
      <c r="CA97" s="9">
        <f t="shared" si="332"/>
        <v>0.68</v>
      </c>
      <c r="CB97" s="9">
        <f t="shared" si="333"/>
        <v>1.4980932262935727</v>
      </c>
      <c r="CC97" s="9">
        <f t="shared" si="334"/>
        <v>2.2004723905959698</v>
      </c>
      <c r="CD97" s="9">
        <v>1</v>
      </c>
      <c r="CE97" s="9" t="e">
        <f>4*CC97*#REF!+60*CC97</f>
        <v>#REF!</v>
      </c>
      <c r="CG97" s="4" t="e">
        <f t="shared" si="387"/>
        <v>#REF!</v>
      </c>
      <c r="CH97" s="4" t="e">
        <f t="shared" si="388"/>
        <v>#REF!</v>
      </c>
      <c r="CI97" s="4" t="e">
        <f t="shared" si="389"/>
        <v>#REF!</v>
      </c>
      <c r="CJ97" s="4" t="e">
        <f t="shared" si="390"/>
        <v>#REF!</v>
      </c>
      <c r="CK97" s="4" t="e">
        <f t="shared" si="391"/>
        <v>#REF!</v>
      </c>
      <c r="CL97" s="4" t="e">
        <f t="shared" si="392"/>
        <v>#REF!</v>
      </c>
      <c r="CM97" s="4">
        <f t="shared" si="393"/>
        <v>2.3452641252972923</v>
      </c>
      <c r="CO97" s="4" t="e">
        <f t="shared" si="394"/>
        <v>#REF!</v>
      </c>
      <c r="CP97" s="4" t="e">
        <f t="shared" si="395"/>
        <v>#REF!</v>
      </c>
      <c r="CQ97" s="4" t="e">
        <f t="shared" si="396"/>
        <v>#REF!</v>
      </c>
      <c r="CR97" s="4">
        <f t="shared" si="378"/>
        <v>2.3452641252972923</v>
      </c>
      <c r="CS97" s="4" t="e">
        <f t="shared" si="397"/>
        <v>#REF!</v>
      </c>
      <c r="CT97" s="4" t="e">
        <f t="shared" si="398"/>
        <v>#REF!</v>
      </c>
      <c r="DB97" s="4">
        <f t="shared" si="399"/>
        <v>0</v>
      </c>
      <c r="DC97" s="4">
        <f t="shared" si="335"/>
        <v>228.6</v>
      </c>
      <c r="DD97" s="4" t="e">
        <f>#REF!/E97</f>
        <v>#REF!</v>
      </c>
      <c r="DF97" s="4">
        <f t="shared" si="336"/>
        <v>1.7212629905715879E-5</v>
      </c>
      <c r="DG97" s="4">
        <f t="shared" si="400"/>
        <v>7.9910071860155822</v>
      </c>
      <c r="DH97" s="4">
        <f t="shared" si="358"/>
        <v>0.37672231211760421</v>
      </c>
      <c r="DI97" s="4">
        <f t="shared" si="359"/>
        <v>5.4076684710303295</v>
      </c>
      <c r="DJ97" s="4">
        <f t="shared" si="360"/>
        <v>6.8231658126479218</v>
      </c>
      <c r="DK97" s="4">
        <f t="shared" si="337"/>
        <v>7.6313231741846339</v>
      </c>
      <c r="DL97" s="38" t="e">
        <f t="shared" si="338"/>
        <v>#REF!</v>
      </c>
      <c r="DM97" s="4" t="e">
        <f t="shared" si="361"/>
        <v>#REF!</v>
      </c>
      <c r="DN97" s="4">
        <f t="shared" si="362"/>
        <v>2.2360679774997898</v>
      </c>
      <c r="DO97" s="4">
        <f t="shared" si="363"/>
        <v>272.74432947869599</v>
      </c>
      <c r="DS97" s="4">
        <f t="shared" si="339"/>
        <v>0.85</v>
      </c>
      <c r="DT97" s="4">
        <f t="shared" si="340"/>
        <v>0.85</v>
      </c>
      <c r="DU97" s="4">
        <f t="shared" si="341"/>
        <v>1</v>
      </c>
      <c r="DV97" s="4">
        <f t="shared" si="401"/>
        <v>0.85</v>
      </c>
      <c r="DX97" s="4" t="e">
        <f t="shared" si="342"/>
        <v>#REF!</v>
      </c>
      <c r="DY97" s="25">
        <f t="shared" si="402"/>
        <v>334.32332600410302</v>
      </c>
      <c r="EA97" s="4">
        <f t="shared" si="423"/>
        <v>0.72249999999999992</v>
      </c>
      <c r="EB97" s="4">
        <f t="shared" si="309"/>
        <v>7.9910071860155822</v>
      </c>
      <c r="EC97" s="4">
        <f t="shared" si="344"/>
        <v>5.9178402591936647</v>
      </c>
      <c r="EE97" s="4">
        <f t="shared" si="345"/>
        <v>56.796126628494655</v>
      </c>
      <c r="EF97" s="4">
        <f t="shared" si="403"/>
        <v>2.2360679774997898</v>
      </c>
      <c r="EG97" s="4">
        <f t="shared" si="346"/>
        <v>0.13028265607914691</v>
      </c>
      <c r="EJ97" s="4">
        <f t="shared" si="404"/>
        <v>0.13028265607914691</v>
      </c>
      <c r="EK97" s="4">
        <f t="shared" si="347"/>
        <v>0.37609363279017455</v>
      </c>
      <c r="EL97" s="4">
        <f t="shared" si="405"/>
        <v>5.4040569058866454</v>
      </c>
      <c r="EM97" s="4">
        <f t="shared" si="406"/>
        <v>6.8217376672849355</v>
      </c>
      <c r="EN97" s="4">
        <f t="shared" si="407"/>
        <v>114.65387337150534</v>
      </c>
      <c r="EO97" s="4">
        <f t="shared" si="408"/>
        <v>57.150000000000006</v>
      </c>
      <c r="EP97" s="4">
        <f t="shared" si="348"/>
        <v>1.7212629905715879E-5</v>
      </c>
      <c r="EQ97" s="4">
        <f t="shared" si="409"/>
        <v>7.6314238548367994</v>
      </c>
      <c r="ER97" s="4" t="e">
        <f t="shared" si="349"/>
        <v>#REF!</v>
      </c>
      <c r="ES97" s="4" t="e">
        <f t="shared" si="410"/>
        <v>#REF!</v>
      </c>
      <c r="ET97" s="4" t="e">
        <f t="shared" si="411"/>
        <v>#REF!</v>
      </c>
      <c r="EV97" s="4" t="e">
        <f t="shared" si="350"/>
        <v>#REF!</v>
      </c>
      <c r="FA97" s="23" t="e">
        <f t="shared" si="412"/>
        <v>#REF!</v>
      </c>
      <c r="FB97" s="23" t="e">
        <f t="shared" si="413"/>
        <v>#REF!</v>
      </c>
      <c r="FC97" s="23">
        <f t="shared" si="290"/>
        <v>2.2000000000000002</v>
      </c>
      <c r="FD97" s="23" t="e">
        <f t="shared" si="414"/>
        <v>#REF!</v>
      </c>
      <c r="FE97" s="23" t="e">
        <f t="shared" si="415"/>
        <v>#REF!</v>
      </c>
      <c r="FF97" s="23" t="e">
        <f t="shared" si="416"/>
        <v>#REF!</v>
      </c>
      <c r="FG97" s="23" t="e">
        <f t="shared" si="417"/>
        <v>#REF!</v>
      </c>
      <c r="FH97" s="23"/>
      <c r="FR97" s="4">
        <f t="shared" si="351"/>
        <v>1</v>
      </c>
      <c r="FS97" s="4">
        <f t="shared" si="352"/>
        <v>0.65416666666666656</v>
      </c>
      <c r="FT97" s="4">
        <f t="shared" si="353"/>
        <v>0</v>
      </c>
      <c r="FU97" s="4">
        <f t="shared" si="354"/>
        <v>345.01013508960921</v>
      </c>
    </row>
    <row r="98" spans="1:177" ht="12" customHeight="1" x14ac:dyDescent="0.3">
      <c r="B98" s="24"/>
      <c r="C98" s="7" t="s">
        <v>615</v>
      </c>
      <c r="D98" s="38">
        <f t="shared" si="418"/>
        <v>889.65517241379314</v>
      </c>
      <c r="E98" s="38">
        <f>11.4*25.4</f>
        <v>289.56</v>
      </c>
      <c r="F98" s="38">
        <f>5750/145</f>
        <v>39.655172413793103</v>
      </c>
      <c r="G98" s="38">
        <f t="shared" si="419"/>
        <v>25.4</v>
      </c>
      <c r="H98" s="38">
        <f>18*25.4</f>
        <v>457.2</v>
      </c>
      <c r="I98" s="38">
        <f t="shared" si="420"/>
        <v>63.5</v>
      </c>
      <c r="J98" s="7">
        <f t="shared" si="201"/>
        <v>50.8</v>
      </c>
      <c r="K98" s="7">
        <f t="shared" si="379"/>
        <v>127</v>
      </c>
      <c r="L98" s="38">
        <v>3</v>
      </c>
      <c r="M98" s="39">
        <f t="shared" si="421"/>
        <v>50.8</v>
      </c>
      <c r="N98" s="7">
        <f t="shared" si="380"/>
        <v>2.5</v>
      </c>
      <c r="O98" s="7">
        <f t="shared" si="381"/>
        <v>3</v>
      </c>
      <c r="P98" s="38">
        <v>4</v>
      </c>
      <c r="Q98" s="4">
        <f t="shared" si="422"/>
        <v>4</v>
      </c>
      <c r="R98" s="4">
        <f t="shared" si="312"/>
        <v>5</v>
      </c>
      <c r="S98" s="7">
        <f t="shared" si="313"/>
        <v>56.796126628494655</v>
      </c>
      <c r="T98" s="7"/>
      <c r="U98" s="7"/>
      <c r="V98" s="38">
        <f>84/(PI()/4)/0.145</f>
        <v>737.60083970864605</v>
      </c>
      <c r="W98" s="7"/>
      <c r="X98" s="7">
        <f>84/95</f>
        <v>0.88421052631578945</v>
      </c>
      <c r="Y98" s="7"/>
      <c r="Z98" s="7"/>
      <c r="AA98" s="39">
        <v>1</v>
      </c>
      <c r="AB98" s="7"/>
      <c r="AC98" s="7"/>
      <c r="AD98" s="7"/>
      <c r="AE98" s="4">
        <f t="shared" si="364"/>
        <v>289.56</v>
      </c>
      <c r="AF98" s="44">
        <f t="shared" si="382"/>
        <v>0.30163127116035704</v>
      </c>
      <c r="AG98" s="25">
        <f t="shared" si="314"/>
        <v>204.1170127612771</v>
      </c>
      <c r="AH98" s="4">
        <f t="shared" si="315"/>
        <v>0.743859649122807</v>
      </c>
      <c r="AI98" s="4">
        <v>1.25</v>
      </c>
      <c r="AJ98" s="25">
        <f t="shared" si="355"/>
        <v>5</v>
      </c>
      <c r="AK98" s="38">
        <f t="shared" si="205"/>
        <v>286.23753713209283</v>
      </c>
      <c r="AL98" s="38">
        <f t="shared" si="356"/>
        <v>286.23753713209283</v>
      </c>
      <c r="AN98" s="38">
        <f t="shared" si="383"/>
        <v>286.23753713209271</v>
      </c>
      <c r="AO98" s="38">
        <f t="shared" si="316"/>
        <v>1.0000000000000004</v>
      </c>
      <c r="AP98" s="38">
        <f t="shared" si="357"/>
        <v>1.4962253600977746</v>
      </c>
      <c r="AQ98" s="4">
        <f t="shared" si="228"/>
        <v>0</v>
      </c>
      <c r="AR98" s="4" t="e">
        <f>#REF!/G98*F98^0.5/0.19</f>
        <v>#REF!</v>
      </c>
      <c r="AS98" s="4">
        <f t="shared" si="317"/>
        <v>1.08</v>
      </c>
      <c r="AT98" s="38">
        <f t="shared" si="318"/>
        <v>428.27586206896558</v>
      </c>
      <c r="AU98" s="4">
        <f t="shared" si="319"/>
        <v>0.44000000000000006</v>
      </c>
      <c r="AV98" s="4" t="e">
        <f>AU98*D98*#REF!/(D98*G98/2.75/F98^0.5)</f>
        <v>#REF!</v>
      </c>
      <c r="AW98" s="4" t="e">
        <f t="shared" si="384"/>
        <v>#REF!</v>
      </c>
      <c r="AY98" s="36">
        <f t="shared" si="320"/>
        <v>1.1000000000000001</v>
      </c>
      <c r="AZ98" s="36" t="e">
        <f>(1.6*#REF!+22)*AY98*F98^0.5</f>
        <v>#REF!</v>
      </c>
      <c r="BE98" s="4">
        <f t="shared" si="321"/>
        <v>63.5</v>
      </c>
      <c r="BF98" s="4">
        <f t="shared" si="322"/>
        <v>50.8</v>
      </c>
      <c r="BG98" s="4">
        <f t="shared" si="323"/>
        <v>63.5</v>
      </c>
      <c r="BH98" s="4">
        <f t="shared" si="324"/>
        <v>63.5</v>
      </c>
      <c r="BI98" s="4">
        <f t="shared" si="385"/>
        <v>1.0250000000000001</v>
      </c>
      <c r="BJ98" s="25">
        <f t="shared" si="325"/>
        <v>2.5625000000000004</v>
      </c>
      <c r="BL98" s="4">
        <f t="shared" si="326"/>
        <v>63.5</v>
      </c>
      <c r="BP98" s="9"/>
      <c r="BR98" s="9"/>
      <c r="BS98" s="9"/>
      <c r="BT98" s="9">
        <f t="shared" si="327"/>
        <v>50.8</v>
      </c>
      <c r="BU98" s="9">
        <f t="shared" si="328"/>
        <v>63.5</v>
      </c>
      <c r="BV98" s="9">
        <f t="shared" si="329"/>
        <v>1.4623505735569622</v>
      </c>
      <c r="BW98" s="9">
        <v>0</v>
      </c>
      <c r="BX98" s="9">
        <f t="shared" si="330"/>
        <v>0</v>
      </c>
      <c r="BY98" s="9">
        <f t="shared" si="386"/>
        <v>0</v>
      </c>
      <c r="BZ98" s="9">
        <f t="shared" si="331"/>
        <v>0.99524931562137331</v>
      </c>
      <c r="CA98" s="9">
        <f t="shared" si="332"/>
        <v>0.68</v>
      </c>
      <c r="CB98" s="9">
        <f t="shared" si="333"/>
        <v>1.4916219510025528</v>
      </c>
      <c r="CC98" s="9">
        <f t="shared" si="334"/>
        <v>2.1812742155787381</v>
      </c>
      <c r="CD98" s="9">
        <v>1</v>
      </c>
      <c r="CE98" s="9" t="e">
        <f>4*CC98*#REF!+60*CC98</f>
        <v>#REF!</v>
      </c>
      <c r="CG98" s="4" t="e">
        <f t="shared" si="387"/>
        <v>#REF!</v>
      </c>
      <c r="CH98" s="4" t="e">
        <f t="shared" si="388"/>
        <v>#REF!</v>
      </c>
      <c r="CI98" s="4" t="e">
        <f t="shared" si="389"/>
        <v>#REF!</v>
      </c>
      <c r="CJ98" s="4" t="e">
        <f t="shared" si="390"/>
        <v>#REF!</v>
      </c>
      <c r="CK98" s="4" t="e">
        <f t="shared" si="391"/>
        <v>#REF!</v>
      </c>
      <c r="CL98" s="4" t="e">
        <f t="shared" si="392"/>
        <v>#REF!</v>
      </c>
      <c r="CM98" s="4">
        <f t="shared" si="393"/>
        <v>1.7238027723554292</v>
      </c>
      <c r="CO98" s="4" t="e">
        <f t="shared" si="394"/>
        <v>#REF!</v>
      </c>
      <c r="CP98" s="4" t="e">
        <f t="shared" si="395"/>
        <v>#REF!</v>
      </c>
      <c r="CQ98" s="4" t="e">
        <f t="shared" si="396"/>
        <v>#REF!</v>
      </c>
      <c r="CR98" s="4">
        <f t="shared" si="378"/>
        <v>1.7238027723554292</v>
      </c>
      <c r="CS98" s="4" t="e">
        <f t="shared" si="397"/>
        <v>#REF!</v>
      </c>
      <c r="CT98" s="4" t="e">
        <f t="shared" si="398"/>
        <v>#REF!</v>
      </c>
      <c r="DB98" s="4">
        <f t="shared" si="399"/>
        <v>0</v>
      </c>
      <c r="DC98" s="4">
        <f t="shared" si="335"/>
        <v>289.56</v>
      </c>
      <c r="DD98" s="4" t="e">
        <f>#REF!/E98</f>
        <v>#REF!</v>
      </c>
      <c r="DF98" s="4">
        <f t="shared" si="336"/>
        <v>2.1752861860978003E-5</v>
      </c>
      <c r="DG98" s="4">
        <f t="shared" si="400"/>
        <v>7.9564886350698822</v>
      </c>
      <c r="DH98" s="4">
        <f t="shared" si="358"/>
        <v>0.39879742745618391</v>
      </c>
      <c r="DI98" s="4">
        <f t="shared" si="359"/>
        <v>5.5083608891899196</v>
      </c>
      <c r="DJ98" s="4">
        <f t="shared" si="360"/>
        <v>6.84315159791183</v>
      </c>
      <c r="DK98" s="4">
        <f t="shared" si="337"/>
        <v>7.3758911635914579</v>
      </c>
      <c r="DL98" s="38" t="e">
        <f t="shared" si="338"/>
        <v>#REF!</v>
      </c>
      <c r="DM98" s="4" t="e">
        <f t="shared" si="361"/>
        <v>#REF!</v>
      </c>
      <c r="DN98" s="4">
        <f t="shared" si="362"/>
        <v>2.2360679774997898</v>
      </c>
      <c r="DO98" s="4">
        <f t="shared" si="363"/>
        <v>286.23753713209271</v>
      </c>
      <c r="DS98" s="4">
        <f t="shared" si="339"/>
        <v>0.85</v>
      </c>
      <c r="DT98" s="4">
        <f t="shared" si="340"/>
        <v>0.85</v>
      </c>
      <c r="DU98" s="4">
        <f t="shared" si="341"/>
        <v>1</v>
      </c>
      <c r="DV98" s="4">
        <f t="shared" si="401"/>
        <v>0.85</v>
      </c>
      <c r="DX98" s="4" t="e">
        <f t="shared" si="342"/>
        <v>#REF!</v>
      </c>
      <c r="DY98" s="25">
        <f t="shared" si="402"/>
        <v>287.26566635389725</v>
      </c>
      <c r="EA98" s="4">
        <f t="shared" si="423"/>
        <v>0.72249999999999992</v>
      </c>
      <c r="EB98" s="4">
        <f t="shared" si="309"/>
        <v>7.9564886350698822</v>
      </c>
      <c r="EC98" s="4">
        <f t="shared" si="344"/>
        <v>5.8922771148089401</v>
      </c>
      <c r="EE98" s="4">
        <f t="shared" si="345"/>
        <v>56.796126628494655</v>
      </c>
      <c r="EF98" s="4">
        <f t="shared" si="403"/>
        <v>2.2360679774997898</v>
      </c>
      <c r="EG98" s="4">
        <f t="shared" si="346"/>
        <v>0.13732118255662151</v>
      </c>
      <c r="EJ98" s="4">
        <f>EG98</f>
        <v>0.13732118255662151</v>
      </c>
      <c r="EK98" s="4">
        <f t="shared" si="347"/>
        <v>0.39813190887549621</v>
      </c>
      <c r="EL98" s="4">
        <f t="shared" si="405"/>
        <v>5.5046820756138262</v>
      </c>
      <c r="EM98" s="4">
        <f t="shared" si="406"/>
        <v>6.8416736129745388</v>
      </c>
      <c r="EN98" s="4">
        <f t="shared" si="407"/>
        <v>160.37387337150537</v>
      </c>
      <c r="EO98" s="4">
        <f t="shared" si="408"/>
        <v>72.389999999999986</v>
      </c>
      <c r="EP98" s="4">
        <f t="shared" si="348"/>
        <v>2.1752861860977999E-5</v>
      </c>
      <c r="EQ98" s="4">
        <f t="shared" si="409"/>
        <v>7.3760436280034343</v>
      </c>
      <c r="ER98" s="4" t="e">
        <f t="shared" si="349"/>
        <v>#REF!</v>
      </c>
      <c r="ES98" s="4" t="e">
        <f t="shared" si="410"/>
        <v>#REF!</v>
      </c>
      <c r="ET98" s="4" t="e">
        <f t="shared" si="411"/>
        <v>#REF!</v>
      </c>
      <c r="EV98" s="4" t="e">
        <f t="shared" si="350"/>
        <v>#REF!</v>
      </c>
      <c r="FA98" s="23" t="e">
        <f t="shared" si="412"/>
        <v>#REF!</v>
      </c>
      <c r="FB98" s="23" t="e">
        <f t="shared" si="413"/>
        <v>#REF!</v>
      </c>
      <c r="FC98" s="23">
        <f t="shared" si="290"/>
        <v>1.8</v>
      </c>
      <c r="FD98" s="23" t="e">
        <f t="shared" si="414"/>
        <v>#REF!</v>
      </c>
      <c r="FE98" s="23" t="e">
        <f t="shared" si="415"/>
        <v>#REF!</v>
      </c>
      <c r="FF98" s="23" t="e">
        <f t="shared" si="416"/>
        <v>#REF!</v>
      </c>
      <c r="FG98" s="23" t="e">
        <f t="shared" si="417"/>
        <v>#REF!</v>
      </c>
      <c r="FH98" s="23"/>
      <c r="FR98" s="4">
        <f t="shared" si="351"/>
        <v>1</v>
      </c>
      <c r="FS98" s="4">
        <f t="shared" si="352"/>
        <v>0.66666666666666652</v>
      </c>
      <c r="FT98" s="4">
        <f t="shared" si="353"/>
        <v>0</v>
      </c>
      <c r="FU98" s="4">
        <f t="shared" si="354"/>
        <v>427.89166576219014</v>
      </c>
    </row>
    <row r="99" spans="1:177" ht="12" customHeight="1" x14ac:dyDescent="0.3">
      <c r="B99" s="24"/>
      <c r="C99" s="7" t="s">
        <v>616</v>
      </c>
      <c r="D99" s="38">
        <f t="shared" si="418"/>
        <v>889.65517241379314</v>
      </c>
      <c r="E99" s="38">
        <f>14*25.4</f>
        <v>355.59999999999997</v>
      </c>
      <c r="F99" s="38">
        <f>5750/145</f>
        <v>39.655172413793103</v>
      </c>
      <c r="G99" s="38">
        <f t="shared" si="419"/>
        <v>25.4</v>
      </c>
      <c r="H99" s="38">
        <f>18.1*25.4</f>
        <v>459.74</v>
      </c>
      <c r="I99" s="38">
        <f t="shared" si="420"/>
        <v>63.5</v>
      </c>
      <c r="J99" s="7">
        <f t="shared" si="201"/>
        <v>50.8</v>
      </c>
      <c r="K99" s="7">
        <f t="shared" si="379"/>
        <v>128.27000000000001</v>
      </c>
      <c r="L99" s="38">
        <v>3</v>
      </c>
      <c r="M99" s="39">
        <f t="shared" si="421"/>
        <v>50.8</v>
      </c>
      <c r="N99" s="7">
        <f t="shared" si="380"/>
        <v>2.5</v>
      </c>
      <c r="O99" s="7">
        <f t="shared" si="381"/>
        <v>3</v>
      </c>
      <c r="P99" s="38">
        <v>4</v>
      </c>
      <c r="Q99" s="4">
        <f t="shared" si="422"/>
        <v>4</v>
      </c>
      <c r="R99" s="4">
        <f t="shared" si="312"/>
        <v>5</v>
      </c>
      <c r="S99" s="7">
        <f t="shared" si="313"/>
        <v>56.796126628494655</v>
      </c>
      <c r="T99" s="7"/>
      <c r="U99" s="7"/>
      <c r="V99" s="38">
        <f>121/(PI()/4)/0.145</f>
        <v>1062.4964476755497</v>
      </c>
      <c r="W99" s="7"/>
      <c r="X99" s="7">
        <f>102/121</f>
        <v>0.84297520661157022</v>
      </c>
      <c r="Y99" s="7"/>
      <c r="Z99" s="7"/>
      <c r="AA99" s="39">
        <v>1</v>
      </c>
      <c r="AB99" s="7"/>
      <c r="AC99" s="7"/>
      <c r="AD99" s="7"/>
      <c r="AE99" s="4">
        <f t="shared" si="364"/>
        <v>355.59999999999997</v>
      </c>
      <c r="AF99" s="44">
        <f t="shared" si="382"/>
        <v>0.20521541950113381</v>
      </c>
      <c r="AG99" s="25">
        <f t="shared" si="314"/>
        <v>277.78831941457963</v>
      </c>
      <c r="AH99" s="4">
        <f t="shared" si="315"/>
        <v>0.73571428571428565</v>
      </c>
      <c r="AI99" s="4">
        <v>1.25</v>
      </c>
      <c r="AJ99" s="25">
        <f t="shared" si="355"/>
        <v>5</v>
      </c>
      <c r="AK99" s="38">
        <f t="shared" si="205"/>
        <v>262.1278566795234</v>
      </c>
      <c r="AL99" s="38">
        <f t="shared" si="356"/>
        <v>262.1278566795234</v>
      </c>
      <c r="AN99" s="38">
        <f t="shared" si="383"/>
        <v>262.12785667952323</v>
      </c>
      <c r="AO99" s="38">
        <f t="shared" si="316"/>
        <v>1.0000000000000007</v>
      </c>
      <c r="AP99" s="38">
        <f t="shared" si="357"/>
        <v>1.6338433751151233</v>
      </c>
      <c r="AQ99" s="4">
        <f t="shared" si="228"/>
        <v>0</v>
      </c>
      <c r="AR99" s="4" t="e">
        <f>#REF!/G99*F99^0.5/0.19</f>
        <v>#REF!</v>
      </c>
      <c r="AS99" s="4">
        <f t="shared" si="317"/>
        <v>1.08</v>
      </c>
      <c r="AT99" s="38">
        <f t="shared" si="318"/>
        <v>428.27586206896558</v>
      </c>
      <c r="AU99" s="4">
        <f t="shared" si="319"/>
        <v>0.44000000000000006</v>
      </c>
      <c r="AV99" s="4" t="e">
        <f>AU99*D99*#REF!/(D99*G99/2.75/F99^0.5)</f>
        <v>#REF!</v>
      </c>
      <c r="AW99" s="4" t="e">
        <f t="shared" si="384"/>
        <v>#REF!</v>
      </c>
      <c r="AY99" s="36">
        <f t="shared" si="320"/>
        <v>1.1000000000000001</v>
      </c>
      <c r="AZ99" s="36" t="e">
        <f>(1.6*#REF!+22)*AY99*F99^0.5</f>
        <v>#REF!</v>
      </c>
      <c r="BE99" s="4">
        <f t="shared" si="321"/>
        <v>63.5</v>
      </c>
      <c r="BF99" s="4">
        <f t="shared" si="322"/>
        <v>50.8</v>
      </c>
      <c r="BG99" s="4">
        <f t="shared" si="323"/>
        <v>63.5</v>
      </c>
      <c r="BH99" s="4">
        <f t="shared" si="324"/>
        <v>63.5</v>
      </c>
      <c r="BI99" s="4">
        <f t="shared" si="385"/>
        <v>1.0250000000000001</v>
      </c>
      <c r="BJ99" s="25">
        <f t="shared" si="325"/>
        <v>2.5625000000000004</v>
      </c>
      <c r="BL99" s="4">
        <f t="shared" si="326"/>
        <v>63.5</v>
      </c>
      <c r="BP99" s="9"/>
      <c r="BR99" s="9"/>
      <c r="BS99" s="9"/>
      <c r="BT99" s="9">
        <f t="shared" si="327"/>
        <v>50.8</v>
      </c>
      <c r="BU99" s="9">
        <f t="shared" si="328"/>
        <v>64.135000000000005</v>
      </c>
      <c r="BV99" s="9">
        <f t="shared" si="329"/>
        <v>1.4645348340145701</v>
      </c>
      <c r="BW99" s="9">
        <v>0</v>
      </c>
      <c r="BX99" s="9">
        <f t="shared" si="330"/>
        <v>0</v>
      </c>
      <c r="BY99" s="9">
        <f t="shared" si="386"/>
        <v>0</v>
      </c>
      <c r="BZ99" s="9">
        <f t="shared" si="331"/>
        <v>0.99524931562137331</v>
      </c>
      <c r="CA99" s="9">
        <f t="shared" si="332"/>
        <v>0.68</v>
      </c>
      <c r="CB99" s="9">
        <f t="shared" si="333"/>
        <v>1.4916219510025528</v>
      </c>
      <c r="CC99" s="9">
        <f t="shared" si="334"/>
        <v>2.1845323064240127</v>
      </c>
      <c r="CD99" s="9">
        <v>1</v>
      </c>
      <c r="CE99" s="9" t="e">
        <f>4*CC99*#REF!+60*CC99</f>
        <v>#REF!</v>
      </c>
      <c r="CG99" s="4" t="e">
        <f t="shared" si="387"/>
        <v>#REF!</v>
      </c>
      <c r="CH99" s="4" t="e">
        <f t="shared" si="388"/>
        <v>#REF!</v>
      </c>
      <c r="CI99" s="4" t="e">
        <f t="shared" si="389"/>
        <v>#REF!</v>
      </c>
      <c r="CJ99" s="4" t="e">
        <f t="shared" si="390"/>
        <v>#REF!</v>
      </c>
      <c r="CK99" s="4" t="e">
        <f t="shared" si="391"/>
        <v>#REF!</v>
      </c>
      <c r="CL99" s="4" t="e">
        <f t="shared" si="392"/>
        <v>#REF!</v>
      </c>
      <c r="CM99" s="4">
        <f t="shared" si="393"/>
        <v>2.0093131033468623</v>
      </c>
      <c r="CO99" s="4" t="e">
        <f t="shared" si="394"/>
        <v>#REF!</v>
      </c>
      <c r="CP99" s="4" t="e">
        <f t="shared" si="395"/>
        <v>#REF!</v>
      </c>
      <c r="CQ99" s="4" t="e">
        <f t="shared" si="396"/>
        <v>#REF!</v>
      </c>
      <c r="CR99" s="4">
        <f t="shared" si="378"/>
        <v>2.0093131033468623</v>
      </c>
      <c r="CS99" s="4" t="e">
        <f t="shared" si="397"/>
        <v>#REF!</v>
      </c>
      <c r="CT99" s="4" t="e">
        <f t="shared" si="398"/>
        <v>#REF!</v>
      </c>
      <c r="DB99" s="4">
        <f t="shared" si="399"/>
        <v>0</v>
      </c>
      <c r="DC99" s="4">
        <f t="shared" si="335"/>
        <v>355.59999999999997</v>
      </c>
      <c r="DD99" s="4" t="e">
        <f>#REF!/E99</f>
        <v>#REF!</v>
      </c>
      <c r="DF99" s="4">
        <f t="shared" si="336"/>
        <v>2.6714040881902812E-5</v>
      </c>
      <c r="DG99" s="4">
        <f t="shared" si="400"/>
        <v>7.9564886350698822</v>
      </c>
      <c r="DH99" s="4">
        <f t="shared" si="358"/>
        <v>0.36520686963623494</v>
      </c>
      <c r="DI99" s="4">
        <f t="shared" si="359"/>
        <v>5.3178614973305693</v>
      </c>
      <c r="DJ99" s="4">
        <f t="shared" si="360"/>
        <v>6.767524272068445</v>
      </c>
      <c r="DK99" s="4">
        <f t="shared" si="337"/>
        <v>7.0902518106979704</v>
      </c>
      <c r="DL99" s="38" t="e">
        <f t="shared" si="338"/>
        <v>#REF!</v>
      </c>
      <c r="DM99" s="4" t="e">
        <f t="shared" si="361"/>
        <v>#REF!</v>
      </c>
      <c r="DN99" s="4">
        <f t="shared" si="362"/>
        <v>2.2360679774997898</v>
      </c>
      <c r="DO99" s="4">
        <f t="shared" si="363"/>
        <v>262.12785667952323</v>
      </c>
      <c r="DS99" s="4">
        <f t="shared" si="339"/>
        <v>0.85</v>
      </c>
      <c r="DT99" s="4">
        <f t="shared" si="340"/>
        <v>0.85</v>
      </c>
      <c r="DU99" s="4">
        <f t="shared" si="341"/>
        <v>1</v>
      </c>
      <c r="DV99" s="4">
        <f t="shared" si="401"/>
        <v>0.85</v>
      </c>
      <c r="DX99" s="4" t="e">
        <f t="shared" si="342"/>
        <v>#REF!</v>
      </c>
      <c r="DY99" s="25">
        <f t="shared" si="402"/>
        <v>258.35160809143781</v>
      </c>
      <c r="EA99" s="4">
        <f t="shared" si="423"/>
        <v>0.72249999999999992</v>
      </c>
      <c r="EB99" s="4">
        <f t="shared" si="309"/>
        <v>7.9564886350698822</v>
      </c>
      <c r="EC99" s="4">
        <f t="shared" si="344"/>
        <v>5.8922771148089401</v>
      </c>
      <c r="EE99" s="4">
        <f t="shared" si="345"/>
        <v>56.796126628494655</v>
      </c>
      <c r="EF99" s="4">
        <f t="shared" si="403"/>
        <v>2.2360679774997898</v>
      </c>
      <c r="EG99" s="4">
        <f t="shared" si="346"/>
        <v>0.12575467082660599</v>
      </c>
      <c r="EJ99" s="4">
        <f t="shared" si="404"/>
        <v>0.12575467082660599</v>
      </c>
      <c r="EK99" s="4">
        <f t="shared" si="347"/>
        <v>0.36459740743611979</v>
      </c>
      <c r="EL99" s="4">
        <f t="shared" si="405"/>
        <v>5.3143099106670029</v>
      </c>
      <c r="EM99" s="4">
        <f t="shared" si="406"/>
        <v>6.7661320889508163</v>
      </c>
      <c r="EN99" s="4">
        <f t="shared" si="407"/>
        <v>209.90387337150534</v>
      </c>
      <c r="EO99" s="4">
        <f t="shared" si="408"/>
        <v>88.899999999999949</v>
      </c>
      <c r="EP99" s="4">
        <f t="shared" si="348"/>
        <v>2.6714040881902795E-5</v>
      </c>
      <c r="EQ99" s="4">
        <f t="shared" si="409"/>
        <v>7.090457890949061</v>
      </c>
      <c r="ER99" s="4" t="e">
        <f t="shared" si="349"/>
        <v>#REF!</v>
      </c>
      <c r="ES99" s="4" t="e">
        <f t="shared" si="410"/>
        <v>#REF!</v>
      </c>
      <c r="ET99" s="4" t="e">
        <f t="shared" si="411"/>
        <v>#REF!</v>
      </c>
      <c r="EV99" s="4" t="e">
        <f t="shared" si="350"/>
        <v>#REF!</v>
      </c>
      <c r="FA99" s="23" t="e">
        <f t="shared" si="412"/>
        <v>#REF!</v>
      </c>
      <c r="FB99" s="23" t="e">
        <f t="shared" si="413"/>
        <v>#REF!</v>
      </c>
      <c r="FC99" s="23">
        <f t="shared" si="290"/>
        <v>2.2000000000000002</v>
      </c>
      <c r="FD99" s="23" t="e">
        <f t="shared" si="414"/>
        <v>#REF!</v>
      </c>
      <c r="FE99" s="23" t="e">
        <f t="shared" si="415"/>
        <v>#REF!</v>
      </c>
      <c r="FF99" s="23" t="e">
        <f t="shared" si="416"/>
        <v>#REF!</v>
      </c>
      <c r="FG99" s="23" t="e">
        <f t="shared" si="417"/>
        <v>#REF!</v>
      </c>
      <c r="FH99" s="23"/>
      <c r="FR99" s="4">
        <f t="shared" si="351"/>
        <v>1</v>
      </c>
      <c r="FS99" s="4">
        <f t="shared" si="352"/>
        <v>0.66249999999999987</v>
      </c>
      <c r="FT99" s="4">
        <f t="shared" si="353"/>
        <v>0</v>
      </c>
      <c r="FU99" s="4">
        <f t="shared" si="354"/>
        <v>528.78590494720618</v>
      </c>
    </row>
    <row r="100" spans="1:177" ht="12" customHeight="1" x14ac:dyDescent="0.3">
      <c r="B100" s="24"/>
      <c r="C100" s="7" t="s">
        <v>617</v>
      </c>
      <c r="D100" s="38">
        <f t="shared" si="418"/>
        <v>889.65517241379314</v>
      </c>
      <c r="E100" s="38">
        <f>9*25.4</f>
        <v>228.6</v>
      </c>
      <c r="F100" s="38">
        <f>4630/145</f>
        <v>31.931034482758619</v>
      </c>
      <c r="G100" s="38">
        <f t="shared" si="419"/>
        <v>25.4</v>
      </c>
      <c r="H100" s="38">
        <f>18.3*25.4</f>
        <v>464.82</v>
      </c>
      <c r="I100" s="38">
        <f t="shared" si="420"/>
        <v>63.5</v>
      </c>
      <c r="J100" s="7">
        <f t="shared" si="201"/>
        <v>50.8</v>
      </c>
      <c r="K100" s="7">
        <f t="shared" si="379"/>
        <v>287.02</v>
      </c>
      <c r="L100" s="38">
        <v>2</v>
      </c>
      <c r="M100" s="39">
        <f t="shared" si="421"/>
        <v>50.8</v>
      </c>
      <c r="N100" s="7">
        <f t="shared" si="380"/>
        <v>2.5</v>
      </c>
      <c r="O100" s="7">
        <f t="shared" si="381"/>
        <v>3</v>
      </c>
      <c r="P100" s="38">
        <v>4</v>
      </c>
      <c r="Q100" s="4">
        <f t="shared" si="422"/>
        <v>4</v>
      </c>
      <c r="R100" s="4">
        <f t="shared" si="312"/>
        <v>5</v>
      </c>
      <c r="S100" s="7">
        <f t="shared" si="313"/>
        <v>56.796126628494655</v>
      </c>
      <c r="T100" s="7"/>
      <c r="U100" s="7"/>
      <c r="V100" s="38">
        <f>79.9/(PI()/4)/0.145*X104</f>
        <v>593.12181124680444</v>
      </c>
      <c r="W100" s="7" t="s">
        <v>654</v>
      </c>
      <c r="X100" s="7"/>
      <c r="Y100" s="7"/>
      <c r="Z100" s="7"/>
      <c r="AA100" s="39">
        <v>1</v>
      </c>
      <c r="AB100" s="7"/>
      <c r="AC100" s="7"/>
      <c r="AD100" s="7"/>
      <c r="AE100" s="4">
        <f t="shared" si="364"/>
        <v>228.6</v>
      </c>
      <c r="AF100" s="44">
        <f t="shared" si="382"/>
        <v>0.40164609053497946</v>
      </c>
      <c r="AG100" s="25">
        <f t="shared" si="314"/>
        <v>192.722989249124</v>
      </c>
      <c r="AH100" s="4">
        <f t="shared" si="315"/>
        <v>0.75555555555555554</v>
      </c>
      <c r="AI100" s="4">
        <v>1.25</v>
      </c>
      <c r="AJ100" s="25">
        <f t="shared" si="355"/>
        <v>5</v>
      </c>
      <c r="AK100" s="38">
        <f t="shared" si="205"/>
        <v>365.53038838837051</v>
      </c>
      <c r="AL100" s="38">
        <f t="shared" si="356"/>
        <v>365.53038838837051</v>
      </c>
      <c r="AN100" s="38">
        <f t="shared" si="383"/>
        <v>365.53038838837034</v>
      </c>
      <c r="AO100" s="38">
        <f t="shared" si="316"/>
        <v>1.0000000000000004</v>
      </c>
      <c r="AP100" s="38">
        <f t="shared" si="357"/>
        <v>0.94343776432450766</v>
      </c>
      <c r="AQ100" s="4">
        <f t="shared" si="228"/>
        <v>1</v>
      </c>
      <c r="AR100" s="4" t="e">
        <f>#REF!/G100*F100^0.5/0.19</f>
        <v>#REF!</v>
      </c>
      <c r="AS100" s="4">
        <f t="shared" si="317"/>
        <v>1.08</v>
      </c>
      <c r="AT100" s="38">
        <f t="shared" si="318"/>
        <v>344.85517241379307</v>
      </c>
      <c r="AU100" s="4">
        <f t="shared" si="319"/>
        <v>0.44000000000000006</v>
      </c>
      <c r="AV100" s="4" t="e">
        <f>AU100*D100*#REF!/(D100*G100/2.75/F100^0.5)</f>
        <v>#REF!</v>
      </c>
      <c r="AW100" s="4" t="e">
        <f t="shared" si="384"/>
        <v>#REF!</v>
      </c>
      <c r="AY100" s="36">
        <f t="shared" si="320"/>
        <v>1.1000000000000001</v>
      </c>
      <c r="AZ100" s="36" t="e">
        <f>(1.6*#REF!+22)*AY100*F100^0.5</f>
        <v>#REF!</v>
      </c>
      <c r="BE100" s="4">
        <f t="shared" si="321"/>
        <v>63.5</v>
      </c>
      <c r="BF100" s="4">
        <f t="shared" si="322"/>
        <v>50.8</v>
      </c>
      <c r="BG100" s="4">
        <f t="shared" si="323"/>
        <v>63.5</v>
      </c>
      <c r="BH100" s="4">
        <f t="shared" si="324"/>
        <v>63.5</v>
      </c>
      <c r="BI100" s="4">
        <f t="shared" si="385"/>
        <v>1.0250000000000001</v>
      </c>
      <c r="BJ100" s="25">
        <f t="shared" si="325"/>
        <v>2.5625000000000004</v>
      </c>
      <c r="BL100" s="4">
        <f t="shared" si="326"/>
        <v>63.5</v>
      </c>
      <c r="BP100" s="9"/>
      <c r="BR100" s="9"/>
      <c r="BS100" s="9"/>
      <c r="BT100" s="9">
        <f t="shared" si="327"/>
        <v>50.8</v>
      </c>
      <c r="BU100" s="9">
        <f t="shared" si="328"/>
        <v>143.51</v>
      </c>
      <c r="BV100" s="9">
        <f t="shared" si="329"/>
        <v>1.6526000655830793</v>
      </c>
      <c r="BW100" s="9">
        <v>0</v>
      </c>
      <c r="BX100" s="9">
        <f t="shared" si="330"/>
        <v>0</v>
      </c>
      <c r="BY100" s="9">
        <f t="shared" si="386"/>
        <v>0</v>
      </c>
      <c r="BZ100" s="9">
        <f t="shared" si="331"/>
        <v>0.99524931562137331</v>
      </c>
      <c r="CA100" s="9">
        <f t="shared" si="332"/>
        <v>0.68</v>
      </c>
      <c r="CB100" s="9">
        <f t="shared" si="333"/>
        <v>1.3384906416342788</v>
      </c>
      <c r="CC100" s="9">
        <f t="shared" si="334"/>
        <v>2.211989722147147</v>
      </c>
      <c r="CD100" s="9">
        <v>1</v>
      </c>
      <c r="CE100" s="9" t="e">
        <f>4*CC100*#REF!+60*CC100</f>
        <v>#REF!</v>
      </c>
      <c r="CG100" s="4" t="e">
        <f t="shared" si="387"/>
        <v>#REF!</v>
      </c>
      <c r="CH100" s="4" t="e">
        <f t="shared" si="388"/>
        <v>#REF!</v>
      </c>
      <c r="CI100" s="4" t="e">
        <f t="shared" si="389"/>
        <v>#REF!</v>
      </c>
      <c r="CJ100" s="4" t="e">
        <f t="shared" si="390"/>
        <v>#REF!</v>
      </c>
      <c r="CK100" s="4" t="e">
        <f t="shared" si="391"/>
        <v>#REF!</v>
      </c>
      <c r="CL100" s="4" t="e">
        <f t="shared" si="392"/>
        <v>#REF!</v>
      </c>
      <c r="CM100" s="4">
        <f t="shared" si="393"/>
        <v>1.3901299045477662</v>
      </c>
      <c r="CO100" s="4" t="e">
        <f t="shared" si="394"/>
        <v>#REF!</v>
      </c>
      <c r="CP100" s="4" t="e">
        <f t="shared" si="395"/>
        <v>#REF!</v>
      </c>
      <c r="CQ100" s="4" t="e">
        <f t="shared" si="396"/>
        <v>#REF!</v>
      </c>
      <c r="CR100" s="4">
        <f t="shared" si="378"/>
        <v>1.3901299045477662</v>
      </c>
      <c r="CS100" s="4" t="e">
        <f t="shared" si="397"/>
        <v>#REF!</v>
      </c>
      <c r="CT100" s="4" t="e">
        <f t="shared" si="398"/>
        <v>#REF!</v>
      </c>
      <c r="DB100" s="4">
        <f t="shared" si="399"/>
        <v>0</v>
      </c>
      <c r="DC100" s="4">
        <f t="shared" si="335"/>
        <v>228.6</v>
      </c>
      <c r="DD100" s="4" t="e">
        <f>#REF!/E100</f>
        <v>#REF!</v>
      </c>
      <c r="DF100" s="4">
        <f t="shared" si="336"/>
        <v>1.6292650405255247E-5</v>
      </c>
      <c r="DG100" s="4">
        <f>EB100</f>
        <v>7.1396680446762248</v>
      </c>
      <c r="DH100" s="4">
        <f t="shared" si="358"/>
        <v>0.63246442644674039</v>
      </c>
      <c r="DI100" s="4">
        <f t="shared" si="359"/>
        <v>5.944186968008955</v>
      </c>
      <c r="DJ100" s="4">
        <f t="shared" si="360"/>
        <v>6.5692013168049943</v>
      </c>
      <c r="DK100" s="4">
        <f t="shared" si="337"/>
        <v>6.8404228028420162</v>
      </c>
      <c r="DL100" s="38" t="e">
        <f t="shared" si="338"/>
        <v>#REF!</v>
      </c>
      <c r="DM100" s="4" t="e">
        <f t="shared" si="361"/>
        <v>#REF!</v>
      </c>
      <c r="DN100" s="4">
        <f t="shared" si="362"/>
        <v>2.2360679774997898</v>
      </c>
      <c r="DO100" s="4">
        <f t="shared" si="363"/>
        <v>365.53038838837034</v>
      </c>
      <c r="DS100" s="4">
        <f t="shared" si="339"/>
        <v>0.85</v>
      </c>
      <c r="DT100" s="4">
        <f t="shared" si="340"/>
        <v>0.85</v>
      </c>
      <c r="DU100" s="4">
        <f t="shared" si="341"/>
        <v>1</v>
      </c>
      <c r="DV100" s="4">
        <f t="shared" si="401"/>
        <v>0.85</v>
      </c>
      <c r="DX100" s="4" t="e">
        <f t="shared" si="342"/>
        <v>#REF!</v>
      </c>
      <c r="DY100" s="25">
        <f t="shared" si="402"/>
        <v>448.05820687508361</v>
      </c>
      <c r="EA100" s="4">
        <f t="shared" si="423"/>
        <v>0.72249999999999992</v>
      </c>
      <c r="EB100" s="4">
        <f t="shared" si="309"/>
        <v>7.1396680446762248</v>
      </c>
      <c r="EC100" s="4">
        <f t="shared" si="344"/>
        <v>5.2873704163355377</v>
      </c>
      <c r="EE100" s="4">
        <f t="shared" si="345"/>
        <v>56.796126628494655</v>
      </c>
      <c r="EF100" s="4">
        <f t="shared" si="403"/>
        <v>2.2360679774997898</v>
      </c>
      <c r="EG100" s="4">
        <f t="shared" si="346"/>
        <v>0.19542398411872033</v>
      </c>
      <c r="EJ100" s="4">
        <f t="shared" si="404"/>
        <v>0.19542398411872033</v>
      </c>
      <c r="EK100" s="4">
        <f t="shared" si="347"/>
        <v>0.6314089611943462</v>
      </c>
      <c r="EL100" s="4">
        <f t="shared" si="405"/>
        <v>5.9402170836537644</v>
      </c>
      <c r="EM100" s="4">
        <f t="shared" si="406"/>
        <v>6.5674058970977542</v>
      </c>
      <c r="EN100" s="4">
        <f t="shared" si="407"/>
        <v>114.65387337150534</v>
      </c>
      <c r="EO100" s="4">
        <f t="shared" si="408"/>
        <v>57.150000000000006</v>
      </c>
      <c r="EP100" s="4">
        <f t="shared" si="348"/>
        <v>1.629265040525525E-5</v>
      </c>
      <c r="EQ100" s="4">
        <f t="shared" si="409"/>
        <v>6.8405224873496033</v>
      </c>
      <c r="ER100" s="4" t="e">
        <f t="shared" si="349"/>
        <v>#REF!</v>
      </c>
      <c r="ES100" s="4" t="e">
        <f t="shared" si="410"/>
        <v>#REF!</v>
      </c>
      <c r="ET100" s="4" t="e">
        <f t="shared" si="411"/>
        <v>#REF!</v>
      </c>
      <c r="EV100" s="4" t="e">
        <f t="shared" si="350"/>
        <v>#REF!</v>
      </c>
      <c r="FA100" s="23" t="e">
        <f t="shared" si="412"/>
        <v>#REF!</v>
      </c>
      <c r="FB100" s="23" t="e">
        <f t="shared" si="413"/>
        <v>#REF!</v>
      </c>
      <c r="FC100" s="23">
        <f t="shared" si="290"/>
        <v>1.4</v>
      </c>
      <c r="FD100" s="23" t="e">
        <f t="shared" si="414"/>
        <v>#REF!</v>
      </c>
      <c r="FE100" s="23" t="e">
        <f t="shared" si="415"/>
        <v>#REF!</v>
      </c>
      <c r="FF100" s="23" t="e">
        <f t="shared" si="416"/>
        <v>#REF!</v>
      </c>
      <c r="FG100" s="23" t="e">
        <f t="shared" si="417"/>
        <v>#REF!</v>
      </c>
      <c r="FH100" s="23"/>
      <c r="FR100" s="4">
        <f t="shared" si="351"/>
        <v>1</v>
      </c>
      <c r="FS100" s="4">
        <f t="shared" si="352"/>
        <v>0.5</v>
      </c>
      <c r="FT100" s="4">
        <f t="shared" si="353"/>
        <v>0</v>
      </c>
      <c r="FU100" s="4">
        <f t="shared" si="354"/>
        <v>426.66646426814151</v>
      </c>
    </row>
    <row r="101" spans="1:177" ht="12" customHeight="1" x14ac:dyDescent="0.3">
      <c r="B101" s="24"/>
      <c r="C101" s="7" t="s">
        <v>618</v>
      </c>
      <c r="D101" s="38">
        <f t="shared" si="418"/>
        <v>889.65517241379314</v>
      </c>
      <c r="E101" s="38">
        <f>13*25.4</f>
        <v>330.2</v>
      </c>
      <c r="F101" s="38">
        <f>4760/145</f>
        <v>32.827586206896555</v>
      </c>
      <c r="G101" s="38">
        <f t="shared" si="419"/>
        <v>25.4</v>
      </c>
      <c r="H101" s="38">
        <f>18.4*25.4</f>
        <v>467.35999999999996</v>
      </c>
      <c r="I101" s="38">
        <f t="shared" si="420"/>
        <v>63.5</v>
      </c>
      <c r="J101" s="7">
        <f t="shared" si="201"/>
        <v>50.8</v>
      </c>
      <c r="K101" s="7">
        <f t="shared" si="379"/>
        <v>289.55999999999995</v>
      </c>
      <c r="L101" s="38">
        <v>2</v>
      </c>
      <c r="M101" s="39">
        <f t="shared" si="421"/>
        <v>50.8</v>
      </c>
      <c r="N101" s="7">
        <f t="shared" si="380"/>
        <v>2.5</v>
      </c>
      <c r="O101" s="7">
        <f t="shared" si="381"/>
        <v>3</v>
      </c>
      <c r="P101" s="38">
        <v>4</v>
      </c>
      <c r="Q101" s="4">
        <f t="shared" si="422"/>
        <v>4</v>
      </c>
      <c r="R101" s="4">
        <f t="shared" si="312"/>
        <v>5</v>
      </c>
      <c r="S101" s="7">
        <f t="shared" si="313"/>
        <v>56.796126628494655</v>
      </c>
      <c r="T101" s="7"/>
      <c r="U101" s="7"/>
      <c r="V101" s="38">
        <f>91.7/(PI()/4)/0.145*X104</f>
        <v>680.71677210678308</v>
      </c>
      <c r="W101" s="7" t="s">
        <v>654</v>
      </c>
      <c r="X101" s="7"/>
      <c r="Y101" s="7"/>
      <c r="Z101" s="7"/>
      <c r="AA101" s="39">
        <v>1</v>
      </c>
      <c r="AB101" s="7"/>
      <c r="AC101" s="7"/>
      <c r="AD101" s="7"/>
      <c r="AE101" s="4">
        <f t="shared" si="364"/>
        <v>330.2</v>
      </c>
      <c r="AF101" s="44">
        <f t="shared" si="382"/>
        <v>0.24194608809993426</v>
      </c>
      <c r="AG101" s="25">
        <f t="shared" si="314"/>
        <v>339.2327463778492</v>
      </c>
      <c r="AH101" s="4">
        <f t="shared" si="315"/>
        <v>0.73846153846153839</v>
      </c>
      <c r="AI101" s="4">
        <v>1.25</v>
      </c>
      <c r="AJ101" s="25">
        <f t="shared" si="355"/>
        <v>5</v>
      </c>
      <c r="AK101" s="38">
        <f t="shared" si="205"/>
        <v>378.81247357623579</v>
      </c>
      <c r="AL101" s="38">
        <f t="shared" si="356"/>
        <v>378.81247357623579</v>
      </c>
      <c r="AN101" s="38">
        <f t="shared" si="383"/>
        <v>378.81247357623596</v>
      </c>
      <c r="AO101" s="38">
        <f t="shared" si="316"/>
        <v>0.99999999999999956</v>
      </c>
      <c r="AP101" s="38">
        <f t="shared" si="357"/>
        <v>0.93591936846063783</v>
      </c>
      <c r="AQ101" s="4">
        <f t="shared" si="228"/>
        <v>1</v>
      </c>
      <c r="AR101" s="4" t="e">
        <f>#REF!/G101*F101^0.5/0.19</f>
        <v>#REF!</v>
      </c>
      <c r="AS101" s="4">
        <f t="shared" si="317"/>
        <v>1.08</v>
      </c>
      <c r="AT101" s="38">
        <f t="shared" si="318"/>
        <v>354.53793103448282</v>
      </c>
      <c r="AU101" s="4">
        <f t="shared" si="319"/>
        <v>0.44000000000000006</v>
      </c>
      <c r="AV101" s="4" t="e">
        <f>AU101*D101*#REF!/(D101*G101/2.75/F101^0.5)</f>
        <v>#REF!</v>
      </c>
      <c r="AW101" s="4" t="e">
        <f t="shared" si="384"/>
        <v>#REF!</v>
      </c>
      <c r="AY101" s="36">
        <f t="shared" si="320"/>
        <v>1.1000000000000001</v>
      </c>
      <c r="AZ101" s="36" t="e">
        <f>(1.6*#REF!+22)*AY101*F101^0.5</f>
        <v>#REF!</v>
      </c>
      <c r="BE101" s="4">
        <f t="shared" si="321"/>
        <v>63.5</v>
      </c>
      <c r="BF101" s="4">
        <f t="shared" si="322"/>
        <v>50.8</v>
      </c>
      <c r="BG101" s="4">
        <f t="shared" si="323"/>
        <v>63.5</v>
      </c>
      <c r="BH101" s="4">
        <f t="shared" si="324"/>
        <v>63.5</v>
      </c>
      <c r="BI101" s="4">
        <f t="shared" si="385"/>
        <v>1.0250000000000001</v>
      </c>
      <c r="BJ101" s="25">
        <f t="shared" si="325"/>
        <v>2.5625000000000004</v>
      </c>
      <c r="BL101" s="4">
        <f t="shared" si="326"/>
        <v>63.5</v>
      </c>
      <c r="BP101" s="9"/>
      <c r="BR101" s="9"/>
      <c r="BS101" s="9"/>
      <c r="BT101" s="9">
        <f t="shared" si="327"/>
        <v>50.8</v>
      </c>
      <c r="BU101" s="9">
        <f t="shared" si="328"/>
        <v>144.77999999999997</v>
      </c>
      <c r="BV101" s="9">
        <f t="shared" si="329"/>
        <v>1.6547855765231267</v>
      </c>
      <c r="BW101" s="9">
        <v>0</v>
      </c>
      <c r="BX101" s="9">
        <f t="shared" si="330"/>
        <v>0</v>
      </c>
      <c r="BY101" s="9">
        <f t="shared" si="386"/>
        <v>0</v>
      </c>
      <c r="BZ101" s="9">
        <f t="shared" si="331"/>
        <v>0.99524931562137331</v>
      </c>
      <c r="CA101" s="9">
        <f t="shared" si="332"/>
        <v>0.68</v>
      </c>
      <c r="CB101" s="9">
        <f t="shared" si="333"/>
        <v>1.3571514652473406</v>
      </c>
      <c r="CC101" s="9">
        <f t="shared" si="334"/>
        <v>2.2457946698485269</v>
      </c>
      <c r="CD101" s="9">
        <v>1</v>
      </c>
      <c r="CE101" s="9" t="e">
        <f>4*CC101*#REF!+60*CC101</f>
        <v>#REF!</v>
      </c>
      <c r="CG101" s="4" t="e">
        <f t="shared" si="387"/>
        <v>#REF!</v>
      </c>
      <c r="CH101" s="4" t="e">
        <f t="shared" si="388"/>
        <v>#REF!</v>
      </c>
      <c r="CI101" s="4" t="e">
        <f t="shared" si="389"/>
        <v>#REF!</v>
      </c>
      <c r="CJ101" s="4" t="e">
        <f t="shared" si="390"/>
        <v>#REF!</v>
      </c>
      <c r="CK101" s="4" t="e">
        <f t="shared" si="391"/>
        <v>#REF!</v>
      </c>
      <c r="CL101" s="4" t="e">
        <f t="shared" si="392"/>
        <v>#REF!</v>
      </c>
      <c r="CM101" s="4">
        <f t="shared" si="393"/>
        <v>1.0969090233322247</v>
      </c>
      <c r="CO101" s="4" t="e">
        <f t="shared" si="394"/>
        <v>#REF!</v>
      </c>
      <c r="CP101" s="4" t="e">
        <f t="shared" si="395"/>
        <v>#REF!</v>
      </c>
      <c r="CQ101" s="4" t="e">
        <f t="shared" si="396"/>
        <v>#REF!</v>
      </c>
      <c r="CR101" s="4">
        <f t="shared" si="378"/>
        <v>1.0969090233322247</v>
      </c>
      <c r="CS101" s="4" t="e">
        <f t="shared" si="397"/>
        <v>#REF!</v>
      </c>
      <c r="CT101" s="4" t="e">
        <f t="shared" si="398"/>
        <v>#REF!</v>
      </c>
      <c r="DB101" s="4">
        <f t="shared" si="399"/>
        <v>0</v>
      </c>
      <c r="DC101" s="4">
        <f t="shared" si="335"/>
        <v>330.2</v>
      </c>
      <c r="DD101" s="4" t="e">
        <f>#REF!/E101</f>
        <v>#REF!</v>
      </c>
      <c r="DF101" s="4">
        <f t="shared" si="336"/>
        <v>2.3681819900234351E-5</v>
      </c>
      <c r="DG101" s="4">
        <f t="shared" si="400"/>
        <v>7.2392070940302364</v>
      </c>
      <c r="DH101" s="4">
        <f t="shared" si="358"/>
        <v>0.63754511831837357</v>
      </c>
      <c r="DI101" s="4">
        <f t="shared" si="359"/>
        <v>6.0463790621963174</v>
      </c>
      <c r="DJ101" s="4">
        <f t="shared" si="360"/>
        <v>6.6695348273863901</v>
      </c>
      <c r="DK101" s="4">
        <f t="shared" si="337"/>
        <v>6.5917246907396922</v>
      </c>
      <c r="DL101" s="38" t="e">
        <f t="shared" si="338"/>
        <v>#REF!</v>
      </c>
      <c r="DM101" s="4" t="e">
        <f t="shared" si="361"/>
        <v>#REF!</v>
      </c>
      <c r="DN101" s="4">
        <f t="shared" si="362"/>
        <v>2.2360679774997898</v>
      </c>
      <c r="DO101" s="4">
        <f t="shared" si="363"/>
        <v>378.81247357623596</v>
      </c>
      <c r="DS101" s="4">
        <f t="shared" si="339"/>
        <v>0.85</v>
      </c>
      <c r="DT101" s="4">
        <f t="shared" si="340"/>
        <v>0.85</v>
      </c>
      <c r="DU101" s="4">
        <f t="shared" si="341"/>
        <v>1</v>
      </c>
      <c r="DV101" s="4">
        <f t="shared" si="401"/>
        <v>0.85</v>
      </c>
      <c r="DX101" s="4" t="e">
        <f t="shared" si="342"/>
        <v>#REF!</v>
      </c>
      <c r="DY101" s="25">
        <f t="shared" si="402"/>
        <v>373.08835075760055</v>
      </c>
      <c r="EA101" s="4">
        <f t="shared" si="423"/>
        <v>0.72249999999999992</v>
      </c>
      <c r="EB101" s="4">
        <f t="shared" si="309"/>
        <v>7.2392070940302364</v>
      </c>
      <c r="EC101" s="4">
        <f t="shared" si="344"/>
        <v>5.3610853035727679</v>
      </c>
      <c r="EE101" s="4">
        <f t="shared" si="345"/>
        <v>56.796126628494655</v>
      </c>
      <c r="EF101" s="4">
        <f t="shared" si="403"/>
        <v>2.2360679774997898</v>
      </c>
      <c r="EG101" s="4">
        <f t="shared" si="346"/>
        <v>0.19974028505824587</v>
      </c>
      <c r="EJ101" s="4">
        <f t="shared" si="404"/>
        <v>0.19974028505824587</v>
      </c>
      <c r="EK101" s="4">
        <f t="shared" si="347"/>
        <v>0.63648117433815776</v>
      </c>
      <c r="EL101" s="4">
        <f t="shared" si="405"/>
        <v>6.0423409278351752</v>
      </c>
      <c r="EM101" s="4">
        <f t="shared" si="406"/>
        <v>6.6677050716935931</v>
      </c>
      <c r="EN101" s="4">
        <f t="shared" si="407"/>
        <v>190.85387337150533</v>
      </c>
      <c r="EO101" s="4">
        <f t="shared" si="408"/>
        <v>82.549999999999983</v>
      </c>
      <c r="EP101" s="4">
        <f t="shared" si="348"/>
        <v>2.3681819900234344E-5</v>
      </c>
      <c r="EQ101" s="4">
        <f t="shared" si="409"/>
        <v>6.5919202985164418</v>
      </c>
      <c r="ER101" s="4" t="e">
        <f t="shared" si="349"/>
        <v>#REF!</v>
      </c>
      <c r="ES101" s="4" t="e">
        <f t="shared" si="410"/>
        <v>#REF!</v>
      </c>
      <c r="ET101" s="4" t="e">
        <f t="shared" si="411"/>
        <v>#REF!</v>
      </c>
      <c r="EV101" s="4" t="e">
        <f t="shared" si="350"/>
        <v>#REF!</v>
      </c>
      <c r="FA101" s="23" t="e">
        <f t="shared" si="412"/>
        <v>#REF!</v>
      </c>
      <c r="FB101" s="23" t="e">
        <f t="shared" si="413"/>
        <v>#REF!</v>
      </c>
      <c r="FC101" s="23">
        <f t="shared" si="290"/>
        <v>1.2</v>
      </c>
      <c r="FD101" s="23" t="e">
        <f t="shared" si="414"/>
        <v>#REF!</v>
      </c>
      <c r="FE101" s="23" t="e">
        <f t="shared" si="415"/>
        <v>#REF!</v>
      </c>
      <c r="FF101" s="23" t="e">
        <f t="shared" si="416"/>
        <v>#REF!</v>
      </c>
      <c r="FG101" s="23" t="e">
        <f t="shared" si="417"/>
        <v>#REF!</v>
      </c>
      <c r="FH101" s="23"/>
      <c r="FR101" s="4">
        <f t="shared" si="351"/>
        <v>1</v>
      </c>
      <c r="FS101" s="4">
        <f t="shared" si="352"/>
        <v>0.5</v>
      </c>
      <c r="FT101" s="4">
        <f t="shared" si="353"/>
        <v>0</v>
      </c>
      <c r="FU101" s="4">
        <f t="shared" si="354"/>
        <v>620.57723806380977</v>
      </c>
    </row>
    <row r="102" spans="1:177" ht="12" customHeight="1" x14ac:dyDescent="0.3">
      <c r="B102" s="24"/>
      <c r="C102" s="7" t="s">
        <v>619</v>
      </c>
      <c r="D102" s="38">
        <f t="shared" si="418"/>
        <v>889.65517241379314</v>
      </c>
      <c r="E102" s="38">
        <f>9*25.4</f>
        <v>228.6</v>
      </c>
      <c r="F102" s="38">
        <f>4770/145</f>
        <v>32.896551724137929</v>
      </c>
      <c r="G102" s="38">
        <f t="shared" si="419"/>
        <v>25.4</v>
      </c>
      <c r="H102" s="38">
        <f>18.3*25.4</f>
        <v>464.82</v>
      </c>
      <c r="I102" s="38">
        <f t="shared" si="420"/>
        <v>63.5</v>
      </c>
      <c r="J102" s="7">
        <f t="shared" si="201"/>
        <v>50.8</v>
      </c>
      <c r="K102" s="7">
        <f t="shared" si="379"/>
        <v>130.81</v>
      </c>
      <c r="L102" s="38">
        <v>3</v>
      </c>
      <c r="M102" s="39">
        <f t="shared" si="421"/>
        <v>50.8</v>
      </c>
      <c r="N102" s="7">
        <f t="shared" si="380"/>
        <v>2.5</v>
      </c>
      <c r="O102" s="7">
        <f t="shared" si="381"/>
        <v>3</v>
      </c>
      <c r="P102" s="38">
        <v>4</v>
      </c>
      <c r="Q102" s="4">
        <f t="shared" si="422"/>
        <v>4</v>
      </c>
      <c r="R102" s="4">
        <f t="shared" si="312"/>
        <v>5</v>
      </c>
      <c r="S102" s="7">
        <f t="shared" si="313"/>
        <v>56.796126628494655</v>
      </c>
      <c r="T102" s="7"/>
      <c r="U102" s="7"/>
      <c r="V102" s="38">
        <f>72/(PI()/4)/0.145</f>
        <v>632.2292911788395</v>
      </c>
      <c r="W102" s="7"/>
      <c r="X102" s="7">
        <f>72/87</f>
        <v>0.82758620689655171</v>
      </c>
      <c r="Y102" s="7"/>
      <c r="Z102" s="7"/>
      <c r="AA102" s="39">
        <v>1</v>
      </c>
      <c r="AB102" s="7"/>
      <c r="AC102" s="7"/>
      <c r="AD102" s="7"/>
      <c r="AE102" s="4">
        <f t="shared" si="364"/>
        <v>228.6</v>
      </c>
      <c r="AF102" s="44">
        <f t="shared" si="382"/>
        <v>0.40164609053497946</v>
      </c>
      <c r="AG102" s="25">
        <f t="shared" si="314"/>
        <v>130.41001899429696</v>
      </c>
      <c r="AH102" s="4">
        <f t="shared" si="315"/>
        <v>0.75555555555555554</v>
      </c>
      <c r="AI102" s="4">
        <v>1.25</v>
      </c>
      <c r="AJ102" s="25">
        <f t="shared" si="355"/>
        <v>5</v>
      </c>
      <c r="AK102" s="38">
        <f t="shared" si="205"/>
        <v>247.34373972946676</v>
      </c>
      <c r="AL102" s="38">
        <f t="shared" si="356"/>
        <v>247.34373972946676</v>
      </c>
      <c r="AN102" s="38">
        <f t="shared" si="383"/>
        <v>247.34373972946665</v>
      </c>
      <c r="AO102" s="38">
        <f t="shared" si="316"/>
        <v>1.0000000000000004</v>
      </c>
      <c r="AP102" s="38">
        <f t="shared" si="357"/>
        <v>1.4363927666383707</v>
      </c>
      <c r="AQ102" s="4">
        <f t="shared" si="228"/>
        <v>0</v>
      </c>
      <c r="AR102" s="4" t="e">
        <f>#REF!/G102*F102^0.5/0.19</f>
        <v>#REF!</v>
      </c>
      <c r="AS102" s="4">
        <f t="shared" si="317"/>
        <v>1.08</v>
      </c>
      <c r="AT102" s="38">
        <f t="shared" si="318"/>
        <v>355.28275862068966</v>
      </c>
      <c r="AU102" s="4">
        <f t="shared" si="319"/>
        <v>0.44000000000000006</v>
      </c>
      <c r="AV102" s="4" t="e">
        <f>AU102*D102*#REF!/(D102*G102/2.75/F102^0.5)</f>
        <v>#REF!</v>
      </c>
      <c r="AW102" s="4" t="e">
        <f t="shared" si="384"/>
        <v>#REF!</v>
      </c>
      <c r="AY102" s="36">
        <f t="shared" si="320"/>
        <v>1.1000000000000001</v>
      </c>
      <c r="AZ102" s="36" t="e">
        <f>(1.6*#REF!+22)*AY102*F102^0.5</f>
        <v>#REF!</v>
      </c>
      <c r="BE102" s="4">
        <f t="shared" si="321"/>
        <v>63.5</v>
      </c>
      <c r="BF102" s="4">
        <f t="shared" si="322"/>
        <v>50.8</v>
      </c>
      <c r="BG102" s="4">
        <f t="shared" si="323"/>
        <v>63.5</v>
      </c>
      <c r="BH102" s="4">
        <f t="shared" si="324"/>
        <v>63.5</v>
      </c>
      <c r="BI102" s="4">
        <f t="shared" si="385"/>
        <v>1.0250000000000001</v>
      </c>
      <c r="BJ102" s="25">
        <f t="shared" si="325"/>
        <v>2.5625000000000004</v>
      </c>
      <c r="BL102" s="4">
        <f t="shared" si="326"/>
        <v>63.5</v>
      </c>
      <c r="BP102" s="9"/>
      <c r="BR102" s="9"/>
      <c r="BS102" s="9"/>
      <c r="BT102" s="9">
        <f t="shared" si="327"/>
        <v>50.8</v>
      </c>
      <c r="BU102" s="9">
        <f t="shared" si="328"/>
        <v>65.405000000000001</v>
      </c>
      <c r="BV102" s="9">
        <f t="shared" si="329"/>
        <v>1.4688487685376905</v>
      </c>
      <c r="BW102" s="9">
        <v>0</v>
      </c>
      <c r="BX102" s="9">
        <f t="shared" si="330"/>
        <v>0</v>
      </c>
      <c r="BY102" s="9">
        <f t="shared" si="386"/>
        <v>0</v>
      </c>
      <c r="BZ102" s="9">
        <f t="shared" si="331"/>
        <v>0.99524931562137331</v>
      </c>
      <c r="CA102" s="9">
        <f t="shared" si="332"/>
        <v>0.68</v>
      </c>
      <c r="CB102" s="9">
        <f t="shared" si="333"/>
        <v>1.3585762965743986</v>
      </c>
      <c r="CC102" s="9">
        <f t="shared" si="334"/>
        <v>1.9955431201878016</v>
      </c>
      <c r="CD102" s="9">
        <v>1</v>
      </c>
      <c r="CE102" s="9" t="e">
        <f>4*CC102*#REF!+60*CC102</f>
        <v>#REF!</v>
      </c>
      <c r="CG102" s="4" t="e">
        <f t="shared" si="387"/>
        <v>#REF!</v>
      </c>
      <c r="CH102" s="4" t="e">
        <f t="shared" si="388"/>
        <v>#REF!</v>
      </c>
      <c r="CI102" s="4" t="e">
        <f t="shared" si="389"/>
        <v>#REF!</v>
      </c>
      <c r="CJ102" s="4" t="e">
        <f t="shared" si="390"/>
        <v>#REF!</v>
      </c>
      <c r="CK102" s="4" t="e">
        <f t="shared" si="391"/>
        <v>#REF!</v>
      </c>
      <c r="CL102" s="4" t="e">
        <f t="shared" si="392"/>
        <v>#REF!</v>
      </c>
      <c r="CM102" s="4">
        <f t="shared" si="393"/>
        <v>1.9242884063113308</v>
      </c>
      <c r="CO102" s="4" t="e">
        <f t="shared" si="394"/>
        <v>#REF!</v>
      </c>
      <c r="CP102" s="4" t="e">
        <f t="shared" si="395"/>
        <v>#REF!</v>
      </c>
      <c r="CQ102" s="4" t="e">
        <f t="shared" si="396"/>
        <v>#REF!</v>
      </c>
      <c r="CR102" s="4">
        <f t="shared" si="378"/>
        <v>1.9242884063113308</v>
      </c>
      <c r="CS102" s="4" t="e">
        <f t="shared" si="397"/>
        <v>#REF!</v>
      </c>
      <c r="CT102" s="4" t="e">
        <f t="shared" si="398"/>
        <v>#REF!</v>
      </c>
      <c r="DB102" s="4">
        <f t="shared" si="399"/>
        <v>0</v>
      </c>
      <c r="DC102" s="4">
        <f t="shared" si="335"/>
        <v>228.6</v>
      </c>
      <c r="DD102" s="4" t="e">
        <f>#REF!/E102</f>
        <v>#REF!</v>
      </c>
      <c r="DF102" s="4">
        <f t="shared" si="336"/>
        <v>1.6402981976815728E-5</v>
      </c>
      <c r="DG102" s="4">
        <f t="shared" si="400"/>
        <v>7.2468073135449798</v>
      </c>
      <c r="DH102" s="4">
        <f t="shared" si="358"/>
        <v>0.41540923789121181</v>
      </c>
      <c r="DI102" s="4">
        <f t="shared" si="359"/>
        <v>5.0996124652241388</v>
      </c>
      <c r="DJ102" s="4">
        <f t="shared" si="360"/>
        <v>6.2661431823399951</v>
      </c>
      <c r="DK102" s="4">
        <f t="shared" si="337"/>
        <v>6.9598678695184395</v>
      </c>
      <c r="DL102" s="38" t="e">
        <f t="shared" si="338"/>
        <v>#REF!</v>
      </c>
      <c r="DM102" s="4" t="e">
        <f t="shared" si="361"/>
        <v>#REF!</v>
      </c>
      <c r="DN102" s="4">
        <f t="shared" si="362"/>
        <v>2.2360679774997898</v>
      </c>
      <c r="DO102" s="4">
        <f t="shared" si="363"/>
        <v>247.34373972946665</v>
      </c>
      <c r="DS102" s="4">
        <f t="shared" si="339"/>
        <v>0.85</v>
      </c>
      <c r="DT102" s="4">
        <f t="shared" si="340"/>
        <v>0.85</v>
      </c>
      <c r="DU102" s="4">
        <f t="shared" si="341"/>
        <v>1</v>
      </c>
      <c r="DV102" s="4">
        <f t="shared" si="401"/>
        <v>0.85</v>
      </c>
      <c r="DX102" s="4" t="e">
        <f t="shared" si="342"/>
        <v>#REF!</v>
      </c>
      <c r="DY102" s="25">
        <f t="shared" si="402"/>
        <v>303.18790455039539</v>
      </c>
      <c r="EA102" s="4">
        <f t="shared" si="423"/>
        <v>0.72249999999999992</v>
      </c>
      <c r="EB102" s="4">
        <f t="shared" si="309"/>
        <v>7.2468073135449798</v>
      </c>
      <c r="EC102" s="4">
        <f t="shared" si="344"/>
        <v>5.366713741137155</v>
      </c>
      <c r="EE102" s="4">
        <f t="shared" si="345"/>
        <v>56.796126628494655</v>
      </c>
      <c r="EF102" s="4">
        <f t="shared" si="403"/>
        <v>2.2360679774997898</v>
      </c>
      <c r="EG102" s="4">
        <f t="shared" si="346"/>
        <v>0.13028265607914691</v>
      </c>
      <c r="EJ102" s="4">
        <f t="shared" si="404"/>
        <v>0.13028265607914691</v>
      </c>
      <c r="EK102" s="4">
        <f t="shared" si="347"/>
        <v>0.41471599729492875</v>
      </c>
      <c r="EL102" s="4">
        <f t="shared" si="405"/>
        <v>5.0962066383461853</v>
      </c>
      <c r="EM102" s="4">
        <f t="shared" si="406"/>
        <v>6.2647594664384387</v>
      </c>
      <c r="EN102" s="4">
        <f t="shared" si="407"/>
        <v>114.65387337150534</v>
      </c>
      <c r="EO102" s="4">
        <f t="shared" si="408"/>
        <v>57.150000000000006</v>
      </c>
      <c r="EP102" s="4">
        <f t="shared" si="348"/>
        <v>1.6402981976815732E-5</v>
      </c>
      <c r="EQ102" s="4">
        <f t="shared" si="409"/>
        <v>6.9599510091554349</v>
      </c>
      <c r="ER102" s="4" t="e">
        <f t="shared" si="349"/>
        <v>#REF!</v>
      </c>
      <c r="ES102" s="4" t="e">
        <f t="shared" si="410"/>
        <v>#REF!</v>
      </c>
      <c r="ET102" s="4" t="e">
        <f t="shared" si="411"/>
        <v>#REF!</v>
      </c>
      <c r="EV102" s="4" t="e">
        <f t="shared" si="350"/>
        <v>#REF!</v>
      </c>
      <c r="FA102" s="23" t="e">
        <f t="shared" si="412"/>
        <v>#REF!</v>
      </c>
      <c r="FB102" s="23" t="e">
        <f t="shared" si="413"/>
        <v>#REF!</v>
      </c>
      <c r="FC102" s="23">
        <f t="shared" si="290"/>
        <v>2</v>
      </c>
      <c r="FD102" s="23" t="e">
        <f t="shared" si="414"/>
        <v>#REF!</v>
      </c>
      <c r="FE102" s="23" t="e">
        <f t="shared" si="415"/>
        <v>#REF!</v>
      </c>
      <c r="FF102" s="23" t="e">
        <f t="shared" si="416"/>
        <v>#REF!</v>
      </c>
      <c r="FG102" s="23" t="e">
        <f t="shared" si="417"/>
        <v>#REF!</v>
      </c>
      <c r="FH102" s="23"/>
      <c r="FR102" s="4">
        <f t="shared" si="351"/>
        <v>1</v>
      </c>
      <c r="FS102" s="4">
        <f t="shared" si="352"/>
        <v>0.65416666666666656</v>
      </c>
      <c r="FT102" s="4">
        <f t="shared" si="353"/>
        <v>0</v>
      </c>
      <c r="FU102" s="4">
        <f t="shared" si="354"/>
        <v>328.55225292905033</v>
      </c>
    </row>
    <row r="103" spans="1:177" ht="12" customHeight="1" x14ac:dyDescent="0.3">
      <c r="B103" s="24"/>
      <c r="C103" s="7" t="s">
        <v>620</v>
      </c>
      <c r="D103" s="38">
        <f t="shared" si="418"/>
        <v>889.65517241379314</v>
      </c>
      <c r="E103" s="38">
        <f>11*25.4</f>
        <v>279.39999999999998</v>
      </c>
      <c r="F103" s="38">
        <f>4820/145</f>
        <v>33.241379310344826</v>
      </c>
      <c r="G103" s="38">
        <f t="shared" si="419"/>
        <v>25.4</v>
      </c>
      <c r="H103" s="38">
        <f>18.3*25.4</f>
        <v>464.82</v>
      </c>
      <c r="I103" s="38">
        <f t="shared" si="420"/>
        <v>63.5</v>
      </c>
      <c r="J103" s="7">
        <f t="shared" si="201"/>
        <v>50.8</v>
      </c>
      <c r="K103" s="7">
        <f t="shared" si="379"/>
        <v>130.81</v>
      </c>
      <c r="L103" s="38">
        <v>3</v>
      </c>
      <c r="M103" s="39">
        <f t="shared" si="421"/>
        <v>50.8</v>
      </c>
      <c r="N103" s="7">
        <f t="shared" si="380"/>
        <v>2.5</v>
      </c>
      <c r="O103" s="7">
        <f t="shared" si="381"/>
        <v>3</v>
      </c>
      <c r="P103" s="38">
        <v>4</v>
      </c>
      <c r="Q103" s="4">
        <f t="shared" si="422"/>
        <v>4</v>
      </c>
      <c r="R103" s="4">
        <f t="shared" si="312"/>
        <v>5</v>
      </c>
      <c r="S103" s="7">
        <f t="shared" si="313"/>
        <v>56.796126628494655</v>
      </c>
      <c r="T103" s="7"/>
      <c r="U103" s="7"/>
      <c r="V103" s="38">
        <f>98.5/(PI()/4)/0.145*X104</f>
        <v>731.1952241277877</v>
      </c>
      <c r="W103" s="7" t="s">
        <v>654</v>
      </c>
      <c r="X103" s="7"/>
      <c r="Y103" s="7"/>
      <c r="Z103" s="7"/>
      <c r="AA103" s="39">
        <v>1</v>
      </c>
      <c r="AB103" s="7"/>
      <c r="AC103" s="7"/>
      <c r="AD103" s="7"/>
      <c r="AE103" s="4">
        <f t="shared" si="364"/>
        <v>279.39999999999998</v>
      </c>
      <c r="AF103" s="44">
        <f t="shared" si="382"/>
        <v>0.31928374655647385</v>
      </c>
      <c r="AG103" s="25">
        <f t="shared" si="314"/>
        <v>177.13343774215744</v>
      </c>
      <c r="AH103" s="4">
        <f t="shared" si="315"/>
        <v>0.74545454545454537</v>
      </c>
      <c r="AI103" s="4">
        <v>1.25</v>
      </c>
      <c r="AJ103" s="25">
        <f t="shared" si="355"/>
        <v>5</v>
      </c>
      <c r="AK103" s="38">
        <f t="shared" si="205"/>
        <v>263.49874242642056</v>
      </c>
      <c r="AL103" s="38">
        <f t="shared" si="356"/>
        <v>263.49874242642056</v>
      </c>
      <c r="AN103" s="38">
        <f t="shared" si="383"/>
        <v>263.49874242642068</v>
      </c>
      <c r="AO103" s="38">
        <f t="shared" si="316"/>
        <v>0.99999999999999956</v>
      </c>
      <c r="AP103" s="38">
        <f t="shared" si="357"/>
        <v>1.3624615178266861</v>
      </c>
      <c r="AQ103" s="4">
        <f t="shared" si="228"/>
        <v>0</v>
      </c>
      <c r="AR103" s="4" t="e">
        <f>#REF!/G103*F103^0.5/0.19</f>
        <v>#REF!</v>
      </c>
      <c r="AS103" s="4">
        <f t="shared" si="317"/>
        <v>1.08</v>
      </c>
      <c r="AT103" s="38">
        <f t="shared" si="318"/>
        <v>359.00689655172414</v>
      </c>
      <c r="AU103" s="4">
        <f t="shared" si="319"/>
        <v>0.44000000000000006</v>
      </c>
      <c r="AV103" s="4" t="e">
        <f>AU103*D103*#REF!/(D103*G103/2.75/F103^0.5)</f>
        <v>#REF!</v>
      </c>
      <c r="AW103" s="4" t="e">
        <f t="shared" si="384"/>
        <v>#REF!</v>
      </c>
      <c r="AY103" s="36">
        <f t="shared" si="320"/>
        <v>1.1000000000000001</v>
      </c>
      <c r="AZ103" s="36" t="e">
        <f>(1.6*#REF!+22)*AY103*F103^0.5</f>
        <v>#REF!</v>
      </c>
      <c r="BE103" s="4">
        <f t="shared" si="321"/>
        <v>63.5</v>
      </c>
      <c r="BF103" s="4">
        <f t="shared" si="322"/>
        <v>50.8</v>
      </c>
      <c r="BG103" s="4">
        <f t="shared" si="323"/>
        <v>63.5</v>
      </c>
      <c r="BH103" s="4">
        <f t="shared" si="324"/>
        <v>63.5</v>
      </c>
      <c r="BI103" s="4">
        <f t="shared" si="385"/>
        <v>1.0250000000000001</v>
      </c>
      <c r="BJ103" s="25">
        <f t="shared" si="325"/>
        <v>2.5625000000000004</v>
      </c>
      <c r="BL103" s="4">
        <f t="shared" si="326"/>
        <v>63.5</v>
      </c>
      <c r="BP103" s="9"/>
      <c r="BR103" s="9"/>
      <c r="BS103" s="9"/>
      <c r="BT103" s="9">
        <f t="shared" si="327"/>
        <v>50.8</v>
      </c>
      <c r="BU103" s="9">
        <f t="shared" si="328"/>
        <v>65.405000000000001</v>
      </c>
      <c r="BV103" s="9">
        <f t="shared" si="329"/>
        <v>1.4688487685376905</v>
      </c>
      <c r="BW103" s="9">
        <v>0</v>
      </c>
      <c r="BX103" s="9">
        <f t="shared" si="330"/>
        <v>0</v>
      </c>
      <c r="BY103" s="9">
        <f t="shared" si="386"/>
        <v>0</v>
      </c>
      <c r="BZ103" s="9">
        <f t="shared" si="331"/>
        <v>0.99524931562137331</v>
      </c>
      <c r="CA103" s="9">
        <f t="shared" si="332"/>
        <v>0.68</v>
      </c>
      <c r="CB103" s="9">
        <f t="shared" si="333"/>
        <v>1.3656781551917097</v>
      </c>
      <c r="CC103" s="9">
        <f t="shared" si="334"/>
        <v>2.0059746764721678</v>
      </c>
      <c r="CD103" s="9">
        <v>1</v>
      </c>
      <c r="CE103" s="9" t="e">
        <f>4*CC103*#REF!+60*CC103</f>
        <v>#REF!</v>
      </c>
      <c r="CG103" s="4" t="e">
        <f t="shared" si="387"/>
        <v>#REF!</v>
      </c>
      <c r="CH103" s="4" t="e">
        <f t="shared" si="388"/>
        <v>#REF!</v>
      </c>
      <c r="CI103" s="4" t="e">
        <f t="shared" si="389"/>
        <v>#REF!</v>
      </c>
      <c r="CJ103" s="4" t="e">
        <f t="shared" si="390"/>
        <v>#REF!</v>
      </c>
      <c r="CK103" s="4" t="e">
        <f t="shared" si="391"/>
        <v>#REF!</v>
      </c>
      <c r="CL103" s="4" t="e">
        <f t="shared" si="392"/>
        <v>#REF!</v>
      </c>
      <c r="CM103" s="4">
        <f t="shared" si="393"/>
        <v>1.816128425931379</v>
      </c>
      <c r="CO103" s="4" t="e">
        <f t="shared" si="394"/>
        <v>#REF!</v>
      </c>
      <c r="CP103" s="4" t="e">
        <f t="shared" si="395"/>
        <v>#REF!</v>
      </c>
      <c r="CQ103" s="4" t="e">
        <f t="shared" si="396"/>
        <v>#REF!</v>
      </c>
      <c r="CR103" s="4">
        <f t="shared" si="378"/>
        <v>1.816128425931379</v>
      </c>
      <c r="CS103" s="4" t="e">
        <f t="shared" si="397"/>
        <v>#REF!</v>
      </c>
      <c r="CT103" s="4" t="e">
        <f t="shared" si="398"/>
        <v>#REF!</v>
      </c>
      <c r="DB103" s="4">
        <f t="shared" si="399"/>
        <v>0</v>
      </c>
      <c r="DC103" s="4">
        <f t="shared" si="335"/>
        <v>279.39999999999998</v>
      </c>
      <c r="DD103" s="4" t="e">
        <f>#REF!/E103</f>
        <v>#REF!</v>
      </c>
      <c r="DF103" s="4">
        <f t="shared" si="336"/>
        <v>2.0096207151589931E-5</v>
      </c>
      <c r="DG103" s="4">
        <f t="shared" si="400"/>
        <v>7.28468947084263</v>
      </c>
      <c r="DH103" s="4">
        <f t="shared" si="358"/>
        <v>0.43795058920526347</v>
      </c>
      <c r="DI103" s="4">
        <f t="shared" si="359"/>
        <v>5.2357763797277759</v>
      </c>
      <c r="DJ103" s="4">
        <f t="shared" si="360"/>
        <v>6.3437205043384113</v>
      </c>
      <c r="DK103" s="4">
        <f t="shared" si="337"/>
        <v>6.8439176364279284</v>
      </c>
      <c r="DL103" s="38" t="e">
        <f t="shared" si="338"/>
        <v>#REF!</v>
      </c>
      <c r="DM103" s="4" t="e">
        <f t="shared" si="361"/>
        <v>#REF!</v>
      </c>
      <c r="DN103" s="4">
        <f t="shared" si="362"/>
        <v>2.2360679774997898</v>
      </c>
      <c r="DO103" s="4">
        <f t="shared" si="363"/>
        <v>263.49874242642068</v>
      </c>
      <c r="DS103" s="4">
        <f t="shared" si="339"/>
        <v>0.85</v>
      </c>
      <c r="DT103" s="4">
        <f t="shared" si="340"/>
        <v>0.85</v>
      </c>
      <c r="DU103" s="4">
        <f t="shared" si="341"/>
        <v>1</v>
      </c>
      <c r="DV103" s="4">
        <f t="shared" si="401"/>
        <v>0.85</v>
      </c>
      <c r="DX103" s="4" t="e">
        <f t="shared" si="342"/>
        <v>#REF!</v>
      </c>
      <c r="DY103" s="25">
        <f t="shared" si="402"/>
        <v>272.68494032559664</v>
      </c>
      <c r="EA103" s="4">
        <f t="shared" si="423"/>
        <v>0.72249999999999992</v>
      </c>
      <c r="EB103" s="4">
        <f t="shared" si="309"/>
        <v>7.28468947084263</v>
      </c>
      <c r="EC103" s="4">
        <f t="shared" si="344"/>
        <v>5.3947678462508959</v>
      </c>
      <c r="EE103" s="4">
        <f t="shared" si="345"/>
        <v>56.796126628494655</v>
      </c>
      <c r="EF103" s="4">
        <f t="shared" si="403"/>
        <v>2.2360679774997898</v>
      </c>
      <c r="EG103" s="4">
        <f t="shared" si="346"/>
        <v>0.13807018232988313</v>
      </c>
      <c r="EJ103" s="4">
        <f t="shared" si="404"/>
        <v>0.13807018232988313</v>
      </c>
      <c r="EK103" s="4">
        <f t="shared" si="347"/>
        <v>0.43721973129477409</v>
      </c>
      <c r="EL103" s="4">
        <f t="shared" si="405"/>
        <v>5.2322796144259733</v>
      </c>
      <c r="EM103" s="4">
        <f t="shared" si="406"/>
        <v>6.342279396007469</v>
      </c>
      <c r="EN103" s="4">
        <f t="shared" si="407"/>
        <v>152.75387337150534</v>
      </c>
      <c r="EO103" s="4">
        <f t="shared" si="408"/>
        <v>69.849999999999994</v>
      </c>
      <c r="EP103" s="4">
        <f t="shared" si="348"/>
        <v>2.0096207151589931E-5</v>
      </c>
      <c r="EQ103" s="4">
        <f t="shared" si="409"/>
        <v>6.8440389973044624</v>
      </c>
      <c r="ER103" s="4" t="e">
        <f t="shared" si="349"/>
        <v>#REF!</v>
      </c>
      <c r="ES103" s="4" t="e">
        <f t="shared" si="410"/>
        <v>#REF!</v>
      </c>
      <c r="ET103" s="4" t="e">
        <f t="shared" si="411"/>
        <v>#REF!</v>
      </c>
      <c r="EV103" s="4" t="e">
        <f t="shared" si="350"/>
        <v>#REF!</v>
      </c>
      <c r="FA103" s="23" t="e">
        <f t="shared" si="412"/>
        <v>#REF!</v>
      </c>
      <c r="FB103" s="23" t="e">
        <f t="shared" si="413"/>
        <v>#REF!</v>
      </c>
      <c r="FC103" s="23">
        <f t="shared" si="290"/>
        <v>2</v>
      </c>
      <c r="FD103" s="23" t="e">
        <f t="shared" si="414"/>
        <v>#REF!</v>
      </c>
      <c r="FE103" s="23" t="e">
        <f t="shared" si="415"/>
        <v>#REF!</v>
      </c>
      <c r="FF103" s="23" t="e">
        <f t="shared" si="416"/>
        <v>#REF!</v>
      </c>
      <c r="FG103" s="23" t="e">
        <f t="shared" si="417"/>
        <v>#REF!</v>
      </c>
      <c r="FH103" s="23"/>
      <c r="FR103" s="4">
        <f t="shared" si="351"/>
        <v>1</v>
      </c>
      <c r="FS103" s="4">
        <f t="shared" si="352"/>
        <v>0.65416666666666656</v>
      </c>
      <c r="FT103" s="4">
        <f t="shared" si="353"/>
        <v>0</v>
      </c>
      <c r="FU103" s="4">
        <f t="shared" si="354"/>
        <v>402.6120695472311</v>
      </c>
    </row>
    <row r="104" spans="1:177" ht="12" customHeight="1" x14ac:dyDescent="0.3">
      <c r="B104" s="24"/>
      <c r="C104" s="7" t="s">
        <v>621</v>
      </c>
      <c r="D104" s="38">
        <f t="shared" si="418"/>
        <v>889.65517241379314</v>
      </c>
      <c r="E104" s="38">
        <f>13*25.4</f>
        <v>330.2</v>
      </c>
      <c r="F104" s="38">
        <f>4900/145</f>
        <v>33.793103448275865</v>
      </c>
      <c r="G104" s="38">
        <f t="shared" si="419"/>
        <v>25.4</v>
      </c>
      <c r="H104" s="38">
        <f>18.4*25.4</f>
        <v>467.35999999999996</v>
      </c>
      <c r="I104" s="38">
        <f t="shared" si="420"/>
        <v>63.5</v>
      </c>
      <c r="J104" s="7">
        <f t="shared" si="201"/>
        <v>50.8</v>
      </c>
      <c r="K104" s="7">
        <f t="shared" si="379"/>
        <v>132.07999999999998</v>
      </c>
      <c r="L104" s="38">
        <v>3</v>
      </c>
      <c r="M104" s="39">
        <f t="shared" si="421"/>
        <v>50.8</v>
      </c>
      <c r="N104" s="7">
        <f t="shared" si="380"/>
        <v>2.5</v>
      </c>
      <c r="O104" s="7">
        <f t="shared" si="381"/>
        <v>3</v>
      </c>
      <c r="P104" s="38">
        <v>4</v>
      </c>
      <c r="Q104" s="4">
        <f t="shared" si="422"/>
        <v>4</v>
      </c>
      <c r="R104" s="4">
        <f t="shared" si="312"/>
        <v>5</v>
      </c>
      <c r="S104" s="7">
        <f t="shared" si="313"/>
        <v>56.796126628494655</v>
      </c>
      <c r="T104" s="7"/>
      <c r="U104" s="7"/>
      <c r="V104" s="38">
        <f>122/(PI()/4)/0.145*X104</f>
        <v>905.64281567096566</v>
      </c>
      <c r="W104" s="7" t="s">
        <v>654</v>
      </c>
      <c r="X104" s="7">
        <f>AVERAGE(X96:X102)</f>
        <v>0.84538589834180455</v>
      </c>
      <c r="Y104" s="7"/>
      <c r="Z104" s="7"/>
      <c r="AA104" s="39">
        <v>1</v>
      </c>
      <c r="AB104" s="7"/>
      <c r="AC104" s="7"/>
      <c r="AD104" s="7"/>
      <c r="AE104" s="4">
        <f t="shared" si="364"/>
        <v>330.2</v>
      </c>
      <c r="AF104" s="44">
        <f t="shared" si="382"/>
        <v>0.24194608809993426</v>
      </c>
      <c r="AG104" s="25">
        <f t="shared" si="314"/>
        <v>229.45687414382829</v>
      </c>
      <c r="AH104" s="4">
        <f t="shared" si="315"/>
        <v>0.73846153846153839</v>
      </c>
      <c r="AI104" s="4">
        <v>1.25</v>
      </c>
      <c r="AJ104" s="25">
        <f>AJ103</f>
        <v>5</v>
      </c>
      <c r="AK104" s="38">
        <f t="shared" si="205"/>
        <v>256.22858347725327</v>
      </c>
      <c r="AL104" s="38">
        <f t="shared" si="356"/>
        <v>256.22858347725327</v>
      </c>
      <c r="AN104" s="38">
        <f t="shared" si="383"/>
        <v>256.22858347725338</v>
      </c>
      <c r="AO104" s="38">
        <f t="shared" si="316"/>
        <v>0.99999999999999956</v>
      </c>
      <c r="AP104" s="38">
        <f t="shared" si="357"/>
        <v>1.424374721541475</v>
      </c>
      <c r="AQ104" s="4">
        <f t="shared" si="228"/>
        <v>0</v>
      </c>
      <c r="AR104" s="4" t="e">
        <f>#REF!/G104*F104^0.5/0.19</f>
        <v>#REF!</v>
      </c>
      <c r="AS104" s="4">
        <f t="shared" si="317"/>
        <v>1.08</v>
      </c>
      <c r="AT104" s="38">
        <f t="shared" si="318"/>
        <v>364.96551724137936</v>
      </c>
      <c r="AU104" s="4">
        <f t="shared" si="319"/>
        <v>0.44000000000000006</v>
      </c>
      <c r="AV104" s="4" t="e">
        <f>AU104*D104*#REF!/(D104*G104/2.75/F104^0.5)</f>
        <v>#REF!</v>
      </c>
      <c r="AW104" s="4" t="e">
        <f t="shared" si="384"/>
        <v>#REF!</v>
      </c>
      <c r="AY104" s="36">
        <f t="shared" si="320"/>
        <v>1.1000000000000001</v>
      </c>
      <c r="AZ104" s="36" t="e">
        <f>(1.6*#REF!+22)*AY104*F104^0.5</f>
        <v>#REF!</v>
      </c>
      <c r="BE104" s="4">
        <f t="shared" si="321"/>
        <v>63.5</v>
      </c>
      <c r="BF104" s="4">
        <f t="shared" si="322"/>
        <v>50.8</v>
      </c>
      <c r="BG104" s="4">
        <f t="shared" si="323"/>
        <v>63.5</v>
      </c>
      <c r="BH104" s="4">
        <f t="shared" si="324"/>
        <v>63.5</v>
      </c>
      <c r="BI104" s="4">
        <f t="shared" si="385"/>
        <v>1.0250000000000001</v>
      </c>
      <c r="BJ104" s="25">
        <f t="shared" si="325"/>
        <v>2.5625000000000004</v>
      </c>
      <c r="BL104" s="4">
        <f t="shared" si="326"/>
        <v>63.5</v>
      </c>
      <c r="BP104" s="9"/>
      <c r="BR104" s="9"/>
      <c r="BS104" s="9"/>
      <c r="BT104" s="9">
        <f t="shared" si="327"/>
        <v>50.8</v>
      </c>
      <c r="BU104" s="9">
        <f t="shared" si="328"/>
        <v>66.039999999999992</v>
      </c>
      <c r="BV104" s="9">
        <f t="shared" si="329"/>
        <v>1.47097909478315</v>
      </c>
      <c r="BW104" s="9">
        <v>0</v>
      </c>
      <c r="BX104" s="9">
        <f t="shared" si="330"/>
        <v>0</v>
      </c>
      <c r="BY104" s="9">
        <f t="shared" si="386"/>
        <v>0</v>
      </c>
      <c r="BZ104" s="9">
        <f t="shared" si="331"/>
        <v>0.99524931562137331</v>
      </c>
      <c r="CA104" s="9">
        <f t="shared" si="332"/>
        <v>0.68</v>
      </c>
      <c r="CB104" s="9">
        <f t="shared" si="333"/>
        <v>1.3769649434514548</v>
      </c>
      <c r="CC104" s="9">
        <f t="shared" si="334"/>
        <v>2.0254866460663523</v>
      </c>
      <c r="CD104" s="9">
        <v>1</v>
      </c>
      <c r="CE104" s="9" t="e">
        <f>4*CC104*#REF!+60*CC104</f>
        <v>#REF!</v>
      </c>
      <c r="CG104" s="4" t="e">
        <f t="shared" si="387"/>
        <v>#REF!</v>
      </c>
      <c r="CH104" s="4" t="e">
        <f t="shared" si="388"/>
        <v>#REF!</v>
      </c>
      <c r="CI104" s="4" t="e">
        <f t="shared" si="389"/>
        <v>#REF!</v>
      </c>
      <c r="CJ104" s="4" t="e">
        <f t="shared" si="390"/>
        <v>#REF!</v>
      </c>
      <c r="CK104" s="4" t="e">
        <f t="shared" si="391"/>
        <v>#REF!</v>
      </c>
      <c r="CL104" s="4" t="e">
        <f t="shared" si="392"/>
        <v>#REF!</v>
      </c>
      <c r="CM104" s="4">
        <f t="shared" si="393"/>
        <v>1.8834633534428806</v>
      </c>
      <c r="CO104" s="4" t="e">
        <f t="shared" si="394"/>
        <v>#REF!</v>
      </c>
      <c r="CP104" s="4" t="e">
        <f t="shared" si="395"/>
        <v>#REF!</v>
      </c>
      <c r="CQ104" s="4" t="e">
        <f t="shared" si="396"/>
        <v>#REF!</v>
      </c>
      <c r="CR104" s="4">
        <f t="shared" si="378"/>
        <v>1.8834633534428806</v>
      </c>
      <c r="CS104" s="4" t="e">
        <f t="shared" si="397"/>
        <v>#REF!</v>
      </c>
      <c r="CT104" s="4" t="e">
        <f t="shared" si="398"/>
        <v>#REF!</v>
      </c>
      <c r="DB104" s="4">
        <f t="shared" si="399"/>
        <v>0</v>
      </c>
      <c r="DC104" s="4">
        <f t="shared" si="335"/>
        <v>330.2</v>
      </c>
      <c r="DD104" s="4" t="e">
        <f>#REF!/E104</f>
        <v>#REF!</v>
      </c>
      <c r="DF104" s="4">
        <f t="shared" si="336"/>
        <v>2.3841003655999786E-5</v>
      </c>
      <c r="DG104" s="4">
        <f t="shared" si="400"/>
        <v>7.3448945398648089</v>
      </c>
      <c r="DH104" s="4">
        <f t="shared" si="358"/>
        <v>0.41891421932562034</v>
      </c>
      <c r="DI104" s="4">
        <f t="shared" si="359"/>
        <v>5.186036931996048</v>
      </c>
      <c r="DJ104" s="4">
        <f t="shared" si="360"/>
        <v>6.3580358640988877</v>
      </c>
      <c r="DK104" s="4">
        <f t="shared" si="337"/>
        <v>6.7196286453850629</v>
      </c>
      <c r="DL104" s="38" t="e">
        <f t="shared" si="338"/>
        <v>#REF!</v>
      </c>
      <c r="DM104" s="4" t="e">
        <f t="shared" si="361"/>
        <v>#REF!</v>
      </c>
      <c r="DN104" s="4">
        <f t="shared" si="362"/>
        <v>2.2360679774997898</v>
      </c>
      <c r="DO104" s="4">
        <f t="shared" si="363"/>
        <v>256.22858347725338</v>
      </c>
      <c r="DS104" s="4">
        <f t="shared" si="339"/>
        <v>0.85</v>
      </c>
      <c r="DT104" s="4">
        <f t="shared" si="340"/>
        <v>0.85</v>
      </c>
      <c r="DU104" s="4">
        <f t="shared" si="341"/>
        <v>1</v>
      </c>
      <c r="DV104" s="4">
        <f t="shared" si="401"/>
        <v>0.85</v>
      </c>
      <c r="DX104" s="4" t="e">
        <f t="shared" si="342"/>
        <v>#REF!</v>
      </c>
      <c r="DY104" s="25">
        <f t="shared" si="402"/>
        <v>252.35678942669762</v>
      </c>
      <c r="EA104" s="4">
        <f t="shared" si="423"/>
        <v>0.72249999999999992</v>
      </c>
      <c r="EB104" s="4">
        <f t="shared" si="309"/>
        <v>7.3448945398648089</v>
      </c>
      <c r="EC104" s="4">
        <f t="shared" si="344"/>
        <v>5.4393534626786328</v>
      </c>
      <c r="EE104" s="4">
        <f t="shared" si="345"/>
        <v>56.796126628494655</v>
      </c>
      <c r="EF104" s="4">
        <f t="shared" si="403"/>
        <v>2.2360679774997898</v>
      </c>
      <c r="EG104" s="4">
        <f t="shared" si="346"/>
        <v>0.13316019003883056</v>
      </c>
      <c r="EJ104" s="4">
        <f t="shared" si="404"/>
        <v>0.13316019003883056</v>
      </c>
      <c r="EK104" s="4">
        <f t="shared" si="347"/>
        <v>0.41821512956856294</v>
      </c>
      <c r="EL104" s="4">
        <f t="shared" si="405"/>
        <v>5.1825733856788512</v>
      </c>
      <c r="EM104" s="4">
        <f t="shared" si="406"/>
        <v>6.3566254752196159</v>
      </c>
      <c r="EN104" s="4">
        <f t="shared" si="407"/>
        <v>190.85387337150533</v>
      </c>
      <c r="EO104" s="4">
        <f t="shared" si="408"/>
        <v>82.549999999999983</v>
      </c>
      <c r="EP104" s="4">
        <f t="shared" si="348"/>
        <v>2.3841003655999783E-5</v>
      </c>
      <c r="EQ104" s="4">
        <f t="shared" si="409"/>
        <v>6.7197894855382199</v>
      </c>
      <c r="ER104" s="4" t="e">
        <f t="shared" si="349"/>
        <v>#REF!</v>
      </c>
      <c r="ES104" s="4" t="e">
        <f t="shared" si="410"/>
        <v>#REF!</v>
      </c>
      <c r="ET104" s="4" t="e">
        <f t="shared" si="411"/>
        <v>#REF!</v>
      </c>
      <c r="EV104" s="4" t="e">
        <f t="shared" si="350"/>
        <v>#REF!</v>
      </c>
      <c r="FA104" s="23" t="e">
        <f t="shared" si="412"/>
        <v>#REF!</v>
      </c>
      <c r="FB104" s="23" t="e">
        <f t="shared" si="413"/>
        <v>#REF!</v>
      </c>
      <c r="FC104" s="23">
        <f t="shared" si="290"/>
        <v>2</v>
      </c>
      <c r="FD104" s="23" t="e">
        <f t="shared" si="414"/>
        <v>#REF!</v>
      </c>
      <c r="FE104" s="23" t="e">
        <f t="shared" si="415"/>
        <v>#REF!</v>
      </c>
      <c r="FF104" s="23" t="e">
        <f t="shared" si="416"/>
        <v>#REF!</v>
      </c>
      <c r="FG104" s="23" t="e">
        <f t="shared" si="417"/>
        <v>#REF!</v>
      </c>
      <c r="FH104" s="23"/>
      <c r="FR104" s="4">
        <f t="shared" si="351"/>
        <v>1</v>
      </c>
      <c r="FS104" s="4">
        <f t="shared" si="352"/>
        <v>0.64999999999999991</v>
      </c>
      <c r="FT104" s="4">
        <f t="shared" si="353"/>
        <v>0</v>
      </c>
      <c r="FU104" s="4">
        <f t="shared" si="354"/>
        <v>480.83909570923907</v>
      </c>
    </row>
    <row r="105" spans="1:177" s="19" customFormat="1" ht="12" customHeight="1" x14ac:dyDescent="0.3">
      <c r="A105" s="19">
        <v>2</v>
      </c>
      <c r="B105" s="20" t="s">
        <v>272</v>
      </c>
      <c r="C105" s="21" t="s">
        <v>273</v>
      </c>
      <c r="D105" s="21">
        <v>472</v>
      </c>
      <c r="E105" s="21" t="e">
        <f>G105*#REF!</f>
        <v>#REF!</v>
      </c>
      <c r="F105" s="21">
        <v>26</v>
      </c>
      <c r="G105" s="7">
        <v>25.4</v>
      </c>
      <c r="H105" s="21">
        <f>25*25.4</f>
        <v>635</v>
      </c>
      <c r="I105" s="21">
        <f>0.5*(H105-15*G105-G105)</f>
        <v>114.3</v>
      </c>
      <c r="J105" s="21">
        <f>H105-6*G105-5*K105</f>
        <v>228.60000000000002</v>
      </c>
      <c r="K105" s="21">
        <f>2*25.4</f>
        <v>50.8</v>
      </c>
      <c r="L105" s="21">
        <v>3</v>
      </c>
      <c r="M105" s="21">
        <f t="shared" ref="M105:M123" si="424">2.5*25.4-G105/2</f>
        <v>50.8</v>
      </c>
      <c r="N105" s="7">
        <f t="shared" si="380"/>
        <v>1.5</v>
      </c>
      <c r="O105" s="21">
        <f>(M105+G105/2)/G105</f>
        <v>2.5</v>
      </c>
      <c r="P105" s="21">
        <v>1.18</v>
      </c>
      <c r="Q105" s="7">
        <f t="shared" si="227"/>
        <v>1.18</v>
      </c>
      <c r="R105" s="21">
        <f t="shared" si="312"/>
        <v>2.1799999999999997</v>
      </c>
      <c r="S105" s="21">
        <f t="shared" si="313"/>
        <v>37.502650572992827</v>
      </c>
      <c r="T105" s="21"/>
      <c r="U105" s="21"/>
      <c r="V105" s="21">
        <v>62</v>
      </c>
      <c r="W105" s="21"/>
      <c r="X105" s="7">
        <f>CK105</f>
        <v>0</v>
      </c>
      <c r="Y105" s="21"/>
      <c r="Z105" s="21"/>
      <c r="AA105" s="7">
        <v>1</v>
      </c>
      <c r="AB105" s="7"/>
      <c r="AC105" s="7"/>
      <c r="AD105" s="21"/>
      <c r="AE105" s="4" t="e">
        <f t="shared" si="364"/>
        <v>#REF!</v>
      </c>
      <c r="AF105" s="44" t="e">
        <f t="shared" ref="AF105:AF123" si="425">MIN(H105)*(MIN(254-M105-0.5*G105,1.5*AE105)+M105+G105/2)/(3*E105)^2</f>
        <v>#REF!</v>
      </c>
      <c r="AG105" s="25" t="e">
        <f t="shared" si="314"/>
        <v>#REF!</v>
      </c>
      <c r="AH105" s="4" t="e">
        <f t="shared" si="315"/>
        <v>#REF!</v>
      </c>
      <c r="AI105" s="4">
        <v>1.25</v>
      </c>
      <c r="AJ105" s="25">
        <v>5</v>
      </c>
      <c r="AK105" s="38" t="e">
        <f t="shared" si="205"/>
        <v>#REF!</v>
      </c>
      <c r="AL105" s="38" t="e">
        <f t="shared" si="356"/>
        <v>#REF!</v>
      </c>
      <c r="AM105" s="38"/>
      <c r="AN105" s="38" t="e">
        <f t="shared" ref="AN105:AN123" si="426">AJ105* (F105^0.5/AE105^0.5)/(PI()/4*G105^2)/L105/0.72 *(0.7+(MIN(I105,M105)+0.5*G105)/5/E105) *(H105*MIN(M105+0.5*G105+1.5*E105,254))</f>
        <v>#REF!</v>
      </c>
      <c r="AO105" s="38" t="e">
        <f t="shared" si="316"/>
        <v>#REF!</v>
      </c>
      <c r="AP105" s="38"/>
      <c r="AQ105" s="4"/>
      <c r="AR105" s="19" t="e">
        <f>#REF!/G105*F105^0.5/0.19</f>
        <v>#REF!</v>
      </c>
      <c r="AS105" s="19">
        <f t="shared" si="317"/>
        <v>1.2666666666666666</v>
      </c>
      <c r="AT105" s="38">
        <f t="shared" si="318"/>
        <v>107.32427125305811</v>
      </c>
      <c r="AU105" s="19">
        <f t="shared" si="319"/>
        <v>0.83479999999999999</v>
      </c>
      <c r="AV105" s="19" t="e">
        <f>AU105*D105*#REF!/(D105*G105/2.75/F105^0.5)</f>
        <v>#REF!</v>
      </c>
      <c r="AW105" s="19" t="e">
        <f t="shared" ref="AW105:AW123" si="427">AT105+AV105</f>
        <v>#REF!</v>
      </c>
      <c r="AY105" s="36">
        <f t="shared" ref="AY105:AY136" si="428">MAX(1, (0.9+0.1*MIN(2,I105/G105,K105/G105))*(0.9+0.1*MIN(3.5,I105/K105))+0.45*MIN(2.5,(40*2*PI()*Y105^2/4/AA105/L105)/G105))</f>
        <v>1.2375</v>
      </c>
      <c r="AZ105" s="36" t="e">
        <f>(1.6*#REF!+22)*AY105*F105^0.5</f>
        <v>#REF!</v>
      </c>
      <c r="BE105" s="4">
        <f t="shared" si="321"/>
        <v>31.799999999999997</v>
      </c>
      <c r="BF105" s="4">
        <f t="shared" si="322"/>
        <v>31.799999999999997</v>
      </c>
      <c r="BG105" s="4">
        <f t="shared" si="323"/>
        <v>50.8</v>
      </c>
      <c r="BH105" s="4">
        <f t="shared" si="324"/>
        <v>44.5</v>
      </c>
      <c r="BI105" s="4">
        <f t="shared" si="229"/>
        <v>1.0597484276729561</v>
      </c>
      <c r="BJ105" s="25">
        <f t="shared" si="325"/>
        <v>1.8566458673797854</v>
      </c>
      <c r="BK105" s="4"/>
      <c r="BL105" s="19">
        <f t="shared" si="326"/>
        <v>25.4</v>
      </c>
      <c r="BP105" s="18"/>
      <c r="BR105" s="18"/>
      <c r="BS105" s="18"/>
      <c r="BT105" s="18">
        <f t="shared" si="327"/>
        <v>25.4</v>
      </c>
      <c r="BU105" s="18">
        <f t="shared" si="328"/>
        <v>114.3</v>
      </c>
      <c r="BV105" s="18">
        <f t="shared" si="329"/>
        <v>1.2530888829563018</v>
      </c>
      <c r="BW105" s="9">
        <v>0</v>
      </c>
      <c r="BX105" s="18">
        <f t="shared" si="330"/>
        <v>0</v>
      </c>
      <c r="BY105" s="18">
        <f t="shared" ref="BY105:BY123" si="429">MAX(0,BW105*(BX105-0.5/50))</f>
        <v>0</v>
      </c>
      <c r="BZ105" s="18">
        <f t="shared" si="331"/>
        <v>0.99524931562137331</v>
      </c>
      <c r="CA105" s="18">
        <f t="shared" si="332"/>
        <v>1.056</v>
      </c>
      <c r="CB105" s="18">
        <f t="shared" si="333"/>
        <v>1.8756444837875041</v>
      </c>
      <c r="CC105" s="18">
        <f t="shared" si="334"/>
        <v>2.3503492510124331</v>
      </c>
      <c r="CD105" s="9">
        <v>1</v>
      </c>
      <c r="CE105" s="18" t="e">
        <f>4*CC105*#REF!+60*CC105</f>
        <v>#REF!</v>
      </c>
      <c r="CI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B105" s="4">
        <f t="shared" si="232"/>
        <v>0</v>
      </c>
      <c r="DC105" s="4" t="e">
        <f t="shared" si="335"/>
        <v>#REF!</v>
      </c>
      <c r="DD105" s="4" t="e">
        <f>#REF!/E105</f>
        <v>#REF!</v>
      </c>
      <c r="DF105" s="4" t="e">
        <f t="shared" si="336"/>
        <v>#REF!</v>
      </c>
      <c r="DG105" s="4">
        <f t="shared" si="233"/>
        <v>3.4568864757817224</v>
      </c>
      <c r="DH105" s="4"/>
      <c r="DI105" s="4"/>
      <c r="DJ105" s="4"/>
      <c r="DK105" s="4"/>
      <c r="DL105" s="38" t="e">
        <f t="shared" si="338"/>
        <v>#REF!</v>
      </c>
      <c r="DM105" s="4" t="e">
        <f t="shared" si="361"/>
        <v>#REF!</v>
      </c>
      <c r="DN105" s="4"/>
      <c r="DO105" s="4" t="e">
        <f t="shared" si="363"/>
        <v>#REF!</v>
      </c>
      <c r="DS105" s="19">
        <f t="shared" si="339"/>
        <v>0.85</v>
      </c>
      <c r="DT105" s="19">
        <f t="shared" si="340"/>
        <v>1</v>
      </c>
      <c r="DU105" s="19">
        <f t="shared" si="341"/>
        <v>1</v>
      </c>
      <c r="DV105" s="19">
        <f t="shared" ref="DV105:DV123" si="430">IF(DT105*DU105&lt;0.7,0.7,DT105*DU105)</f>
        <v>1</v>
      </c>
      <c r="DX105" s="4" t="e">
        <f t="shared" si="342"/>
        <v>#REF!</v>
      </c>
      <c r="DY105" s="25" t="e">
        <f t="shared" ref="DY105:DY123" si="431">8.8*H105*254*F105^0.5/L105/G105^2/E105^0.5*(0.7+MIN(M105,I105)/5/E105)</f>
        <v>#REF!</v>
      </c>
      <c r="EB105" s="4">
        <f>EC105</f>
        <v>3.4568864757817224</v>
      </c>
      <c r="EC105" s="4">
        <f t="shared" si="344"/>
        <v>3.4568864757817224</v>
      </c>
      <c r="EE105" s="4">
        <f t="shared" si="345"/>
        <v>37.502650572992827</v>
      </c>
      <c r="EF105" s="4">
        <f t="shared" si="235"/>
        <v>1.4764823060233399</v>
      </c>
      <c r="EG105" s="4" t="e">
        <f t="shared" si="346"/>
        <v>#REF!</v>
      </c>
      <c r="EJ105" s="19" t="e">
        <f t="shared" ref="EJ105:EJ123" si="432">EG105</f>
        <v>#REF!</v>
      </c>
      <c r="EK105" s="19" t="e">
        <f t="shared" si="347"/>
        <v>#REF!</v>
      </c>
      <c r="EL105" s="4" t="e">
        <f t="shared" si="237"/>
        <v>#REF!</v>
      </c>
      <c r="EM105" s="19" t="e">
        <f t="shared" ref="EM105:EM123" si="433">EB105/1.4*(1-EK105^1.4)/(1-EK105)</f>
        <v>#REF!</v>
      </c>
      <c r="EN105" s="4" t="e">
        <f t="shared" si="239"/>
        <v>#REF!</v>
      </c>
      <c r="EO105" s="4" t="e">
        <f t="shared" si="240"/>
        <v>#REF!</v>
      </c>
      <c r="EP105" s="19" t="e">
        <f t="shared" si="348"/>
        <v>#REF!</v>
      </c>
      <c r="EQ105" s="19" t="e">
        <f t="shared" ref="EQ105:EQ123" si="434">MAX(0.5*EB105, (1-2*EP105*(EE105*EL105+EN105*EM105))/(1/EB105+EP105*EO105))</f>
        <v>#REF!</v>
      </c>
      <c r="ER105" s="4" t="e">
        <f t="shared" si="349"/>
        <v>#REF!</v>
      </c>
      <c r="ES105" s="4" t="e">
        <f t="shared" si="242"/>
        <v>#REF!</v>
      </c>
      <c r="ET105" s="4" t="e">
        <f t="shared" si="243"/>
        <v>#REF!</v>
      </c>
      <c r="EU105" s="4"/>
      <c r="EV105" s="4" t="e">
        <f t="shared" si="350"/>
        <v>#REF!</v>
      </c>
      <c r="FA105" s="23"/>
      <c r="FB105" s="23"/>
      <c r="FC105" s="23"/>
      <c r="FD105" s="23"/>
      <c r="FE105" s="23"/>
      <c r="FF105" s="23"/>
      <c r="FG105" s="23"/>
      <c r="FH105" s="22"/>
      <c r="FR105" s="4">
        <f t="shared" si="351"/>
        <v>1</v>
      </c>
      <c r="FS105" s="4">
        <f t="shared" si="352"/>
        <v>0.91666666666666663</v>
      </c>
      <c r="FT105" s="4">
        <f t="shared" si="353"/>
        <v>0</v>
      </c>
      <c r="FU105" s="4" t="e">
        <f t="shared" si="354"/>
        <v>#REF!</v>
      </c>
    </row>
    <row r="106" spans="1:177" s="19" customFormat="1" ht="12" customHeight="1" x14ac:dyDescent="0.3">
      <c r="B106" s="20">
        <v>2006</v>
      </c>
      <c r="C106" s="21" t="s">
        <v>273</v>
      </c>
      <c r="D106" s="21">
        <v>472</v>
      </c>
      <c r="E106" s="21" t="e">
        <f>G106*#REF!</f>
        <v>#REF!</v>
      </c>
      <c r="F106" s="21">
        <v>26</v>
      </c>
      <c r="G106" s="7">
        <v>25.4</v>
      </c>
      <c r="H106" s="21">
        <f>36*25.4</f>
        <v>914.4</v>
      </c>
      <c r="I106" s="21">
        <f>0.5*(H106-25*G106-G106)</f>
        <v>126.99999999999999</v>
      </c>
      <c r="J106" s="21">
        <f>H105-15*25.4-25.4</f>
        <v>228.6</v>
      </c>
      <c r="K106" s="21">
        <f t="shared" ref="K106:K123" si="435">4*25.4</f>
        <v>101.6</v>
      </c>
      <c r="L106" s="21">
        <v>3</v>
      </c>
      <c r="M106" s="21">
        <f t="shared" si="424"/>
        <v>50.8</v>
      </c>
      <c r="N106" s="7">
        <f t="shared" si="380"/>
        <v>2.5</v>
      </c>
      <c r="O106" s="21">
        <f>(M106+G106/2)/G106</f>
        <v>2.5</v>
      </c>
      <c r="P106" s="21">
        <v>1.18</v>
      </c>
      <c r="Q106" s="7">
        <f t="shared" si="227"/>
        <v>1.18</v>
      </c>
      <c r="R106" s="21">
        <f t="shared" si="312"/>
        <v>2.1799999999999997</v>
      </c>
      <c r="S106" s="21">
        <f t="shared" si="313"/>
        <v>37.502650572992827</v>
      </c>
      <c r="T106" s="21"/>
      <c r="U106" s="21"/>
      <c r="V106" s="21">
        <v>92</v>
      </c>
      <c r="W106" s="21"/>
      <c r="X106" s="21"/>
      <c r="Y106" s="21"/>
      <c r="Z106" s="21"/>
      <c r="AA106" s="7">
        <v>1</v>
      </c>
      <c r="AB106" s="7"/>
      <c r="AC106" s="7"/>
      <c r="AD106" s="21"/>
      <c r="AE106" s="4" t="e">
        <f t="shared" si="364"/>
        <v>#REF!</v>
      </c>
      <c r="AF106" s="44" t="e">
        <f t="shared" si="425"/>
        <v>#REF!</v>
      </c>
      <c r="AG106" s="25" t="e">
        <f t="shared" si="314"/>
        <v>#REF!</v>
      </c>
      <c r="AH106" s="4" t="e">
        <f t="shared" si="315"/>
        <v>#REF!</v>
      </c>
      <c r="AI106" s="4">
        <v>1.25</v>
      </c>
      <c r="AJ106" s="25">
        <f>AJ105</f>
        <v>5</v>
      </c>
      <c r="AK106" s="38" t="e">
        <f t="shared" si="205"/>
        <v>#REF!</v>
      </c>
      <c r="AL106" s="38" t="e">
        <f t="shared" si="356"/>
        <v>#REF!</v>
      </c>
      <c r="AM106" s="38"/>
      <c r="AN106" s="38" t="e">
        <f t="shared" si="426"/>
        <v>#REF!</v>
      </c>
      <c r="AO106" s="38" t="e">
        <f t="shared" si="316"/>
        <v>#REF!</v>
      </c>
      <c r="AP106" s="38"/>
      <c r="AQ106" s="4"/>
      <c r="AR106" s="19" t="e">
        <f>#REF!/G106*F106^0.5/0.19</f>
        <v>#REF!</v>
      </c>
      <c r="AS106" s="19">
        <f t="shared" si="317"/>
        <v>1</v>
      </c>
      <c r="AT106" s="38">
        <f t="shared" si="318"/>
        <v>141.2161463856028</v>
      </c>
      <c r="AU106" s="19">
        <f t="shared" si="319"/>
        <v>0.83479999999999999</v>
      </c>
      <c r="AV106" s="19" t="e">
        <f>AU106*D106*#REF!/(D106*G106/2.75/F106^0.5)</f>
        <v>#REF!</v>
      </c>
      <c r="AW106" s="19" t="e">
        <f t="shared" si="427"/>
        <v>#REF!</v>
      </c>
      <c r="AY106" s="36">
        <f t="shared" si="428"/>
        <v>1.1274999999999999</v>
      </c>
      <c r="AZ106" s="36" t="e">
        <f>(1.6*#REF!+22)*AY106*F106^0.5</f>
        <v>#REF!</v>
      </c>
      <c r="BE106" s="4">
        <f t="shared" si="321"/>
        <v>57.199999999999996</v>
      </c>
      <c r="BF106" s="4">
        <f t="shared" si="322"/>
        <v>50.8</v>
      </c>
      <c r="BG106" s="4">
        <f t="shared" si="323"/>
        <v>57.199999999999996</v>
      </c>
      <c r="BH106" s="4">
        <f t="shared" si="324"/>
        <v>63.5</v>
      </c>
      <c r="BI106" s="4">
        <f t="shared" si="229"/>
        <v>1.0125984251968505</v>
      </c>
      <c r="BJ106" s="25">
        <f t="shared" si="325"/>
        <v>2.5314960629921264</v>
      </c>
      <c r="BK106" s="4"/>
      <c r="BL106" s="19">
        <f t="shared" si="326"/>
        <v>50.8</v>
      </c>
      <c r="BP106" s="18"/>
      <c r="BR106" s="18"/>
      <c r="BS106" s="18"/>
      <c r="BT106" s="18">
        <f t="shared" si="327"/>
        <v>50.8</v>
      </c>
      <c r="BU106" s="18">
        <f t="shared" si="328"/>
        <v>126.99999999999999</v>
      </c>
      <c r="BV106" s="18">
        <f t="shared" si="329"/>
        <v>1.622579553879709</v>
      </c>
      <c r="BW106" s="9">
        <v>0</v>
      </c>
      <c r="BX106" s="18">
        <f t="shared" si="330"/>
        <v>0</v>
      </c>
      <c r="BY106" s="18">
        <f t="shared" si="429"/>
        <v>0</v>
      </c>
      <c r="BZ106" s="18">
        <f t="shared" si="331"/>
        <v>0.99524931562137331</v>
      </c>
      <c r="CA106" s="18">
        <f t="shared" si="332"/>
        <v>1.056</v>
      </c>
      <c r="CB106" s="18">
        <f t="shared" si="333"/>
        <v>1.8756444837875041</v>
      </c>
      <c r="CC106" s="18">
        <f t="shared" si="334"/>
        <v>3.0433823897408656</v>
      </c>
      <c r="CD106" s="9">
        <v>1</v>
      </c>
      <c r="CE106" s="18" t="e">
        <f>4*CC106*#REF!+60*CC106</f>
        <v>#REF!</v>
      </c>
      <c r="CI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B106" s="4">
        <f t="shared" si="232"/>
        <v>0</v>
      </c>
      <c r="DC106" s="4" t="e">
        <f t="shared" si="335"/>
        <v>#REF!</v>
      </c>
      <c r="DD106" s="4" t="e">
        <f>#REF!/E106</f>
        <v>#REF!</v>
      </c>
      <c r="DF106" s="4" t="e">
        <f t="shared" si="336"/>
        <v>#REF!</v>
      </c>
      <c r="DG106" s="4">
        <f t="shared" si="233"/>
        <v>4.7133891591304096</v>
      </c>
      <c r="DH106" s="4"/>
      <c r="DI106" s="4"/>
      <c r="DJ106" s="4"/>
      <c r="DK106" s="4"/>
      <c r="DL106" s="38" t="e">
        <f t="shared" si="338"/>
        <v>#REF!</v>
      </c>
      <c r="DM106" s="4" t="e">
        <f t="shared" si="361"/>
        <v>#REF!</v>
      </c>
      <c r="DN106" s="4"/>
      <c r="DO106" s="4" t="e">
        <f t="shared" si="363"/>
        <v>#REF!</v>
      </c>
      <c r="DS106" s="19">
        <f t="shared" si="339"/>
        <v>0.85</v>
      </c>
      <c r="DT106" s="19">
        <f t="shared" si="340"/>
        <v>0.9</v>
      </c>
      <c r="DU106" s="19">
        <f t="shared" si="341"/>
        <v>1</v>
      </c>
      <c r="DV106" s="19">
        <f t="shared" si="430"/>
        <v>0.9</v>
      </c>
      <c r="DX106" s="4" t="e">
        <f t="shared" si="342"/>
        <v>#REF!</v>
      </c>
      <c r="DY106" s="25" t="e">
        <f t="shared" si="431"/>
        <v>#REF!</v>
      </c>
      <c r="EB106" s="4">
        <f t="shared" ref="EB106:EB153" si="436">EC106</f>
        <v>4.7133891591304096</v>
      </c>
      <c r="EC106" s="4">
        <f t="shared" si="344"/>
        <v>4.7133891591304096</v>
      </c>
      <c r="EE106" s="4">
        <f t="shared" si="345"/>
        <v>37.502650572992827</v>
      </c>
      <c r="EF106" s="4">
        <f t="shared" si="235"/>
        <v>1.4764823060233399</v>
      </c>
      <c r="EG106" s="4" t="e">
        <f t="shared" si="346"/>
        <v>#REF!</v>
      </c>
      <c r="EJ106" s="19" t="e">
        <f t="shared" si="432"/>
        <v>#REF!</v>
      </c>
      <c r="EK106" s="19" t="e">
        <f t="shared" si="347"/>
        <v>#REF!</v>
      </c>
      <c r="EL106" s="4" t="e">
        <f t="shared" si="237"/>
        <v>#REF!</v>
      </c>
      <c r="EM106" s="19" t="e">
        <f t="shared" si="433"/>
        <v>#REF!</v>
      </c>
      <c r="EN106" s="4" t="e">
        <f t="shared" si="239"/>
        <v>#REF!</v>
      </c>
      <c r="EO106" s="4" t="e">
        <f t="shared" si="240"/>
        <v>#REF!</v>
      </c>
      <c r="EP106" s="19" t="e">
        <f t="shared" si="348"/>
        <v>#REF!</v>
      </c>
      <c r="EQ106" s="19" t="e">
        <f t="shared" si="434"/>
        <v>#REF!</v>
      </c>
      <c r="ER106" s="4" t="e">
        <f t="shared" si="349"/>
        <v>#REF!</v>
      </c>
      <c r="ES106" s="4" t="e">
        <f t="shared" si="242"/>
        <v>#REF!</v>
      </c>
      <c r="ET106" s="4" t="e">
        <f t="shared" si="243"/>
        <v>#REF!</v>
      </c>
      <c r="EU106" s="4"/>
      <c r="EV106" s="4" t="e">
        <f t="shared" si="350"/>
        <v>#REF!</v>
      </c>
      <c r="FA106" s="23"/>
      <c r="FB106" s="23"/>
      <c r="FC106" s="23"/>
      <c r="FD106" s="23"/>
      <c r="FE106" s="23"/>
      <c r="FF106" s="23"/>
      <c r="FG106" s="23"/>
      <c r="FH106" s="22"/>
      <c r="FR106" s="4">
        <f t="shared" si="351"/>
        <v>1</v>
      </c>
      <c r="FS106" s="4">
        <f t="shared" si="352"/>
        <v>0.75</v>
      </c>
      <c r="FT106" s="4">
        <f t="shared" si="353"/>
        <v>0</v>
      </c>
      <c r="FU106" s="4" t="e">
        <f t="shared" si="354"/>
        <v>#REF!</v>
      </c>
    </row>
    <row r="107" spans="1:177" s="19" customFormat="1" ht="12" customHeight="1" x14ac:dyDescent="0.3">
      <c r="B107" s="20" t="s">
        <v>293</v>
      </c>
      <c r="C107" s="21" t="s">
        <v>294</v>
      </c>
      <c r="D107" s="21">
        <v>472</v>
      </c>
      <c r="E107" s="21" t="e">
        <f>G107*#REF!</f>
        <v>#REF!</v>
      </c>
      <c r="F107" s="21">
        <v>26</v>
      </c>
      <c r="G107" s="7">
        <v>25.4</v>
      </c>
      <c r="H107" s="21">
        <f>36*25.4</f>
        <v>914.4</v>
      </c>
      <c r="I107" s="21">
        <f t="shared" ref="I107:I123" si="437">5*25.4</f>
        <v>127</v>
      </c>
      <c r="J107" s="21"/>
      <c r="K107" s="21">
        <f>10*25.4-1.5*G107-S107/2</f>
        <v>197.1486747135036</v>
      </c>
      <c r="L107" s="21">
        <v>3</v>
      </c>
      <c r="M107" s="21">
        <f t="shared" si="424"/>
        <v>50.8</v>
      </c>
      <c r="N107" s="7">
        <f t="shared" si="380"/>
        <v>2.5</v>
      </c>
      <c r="O107" s="10">
        <f>(I107+G107/2)/G107</f>
        <v>5.5</v>
      </c>
      <c r="P107" s="21">
        <v>1.18</v>
      </c>
      <c r="Q107" s="7">
        <f t="shared" si="227"/>
        <v>1.18</v>
      </c>
      <c r="R107" s="21">
        <f t="shared" si="312"/>
        <v>2.1799999999999997</v>
      </c>
      <c r="S107" s="21">
        <f t="shared" si="313"/>
        <v>37.502650572992827</v>
      </c>
      <c r="T107" s="21"/>
      <c r="U107" s="21"/>
      <c r="V107" s="21">
        <v>121</v>
      </c>
      <c r="W107" s="21"/>
      <c r="X107" s="21"/>
      <c r="Y107" s="21"/>
      <c r="Z107" s="21"/>
      <c r="AA107" s="7">
        <v>1</v>
      </c>
      <c r="AB107" s="7"/>
      <c r="AC107" s="7"/>
      <c r="AD107" s="21"/>
      <c r="AE107" s="4" t="e">
        <f t="shared" si="364"/>
        <v>#REF!</v>
      </c>
      <c r="AF107" s="44" t="e">
        <f t="shared" si="425"/>
        <v>#REF!</v>
      </c>
      <c r="AG107" s="25" t="e">
        <f t="shared" si="314"/>
        <v>#REF!</v>
      </c>
      <c r="AH107" s="4" t="e">
        <f t="shared" si="315"/>
        <v>#REF!</v>
      </c>
      <c r="AI107" s="4">
        <v>1.25</v>
      </c>
      <c r="AJ107" s="25">
        <f t="shared" ref="AJ107:AJ153" si="438">AJ106</f>
        <v>5</v>
      </c>
      <c r="AK107" s="38" t="e">
        <f t="shared" si="205"/>
        <v>#REF!</v>
      </c>
      <c r="AL107" s="38" t="e">
        <f t="shared" si="356"/>
        <v>#REF!</v>
      </c>
      <c r="AM107" s="38"/>
      <c r="AN107" s="38" t="e">
        <f t="shared" si="426"/>
        <v>#REF!</v>
      </c>
      <c r="AO107" s="38" t="e">
        <f t="shared" si="316"/>
        <v>#REF!</v>
      </c>
      <c r="AP107" s="38"/>
      <c r="AQ107" s="4"/>
      <c r="AR107" s="19" t="e">
        <f>#REF!/G107*F107^0.5/0.19</f>
        <v>#REF!</v>
      </c>
      <c r="AS107" s="19">
        <f t="shared" si="317"/>
        <v>1.48</v>
      </c>
      <c r="AT107" s="38">
        <f t="shared" si="318"/>
        <v>208.99989665069214</v>
      </c>
      <c r="AU107" s="19">
        <f t="shared" si="319"/>
        <v>0.83479999999999999</v>
      </c>
      <c r="AV107" s="19" t="e">
        <f>AU107*D107*#REF!/(D107*G107/2.75/F107^0.5)</f>
        <v>#REF!</v>
      </c>
      <c r="AW107" s="19" t="e">
        <f t="shared" si="427"/>
        <v>#REF!</v>
      </c>
      <c r="AY107" s="36">
        <f t="shared" si="428"/>
        <v>1.060860227796617</v>
      </c>
      <c r="AZ107" s="36" t="e">
        <f>(1.6*#REF!+22)*AY107*F107^0.5</f>
        <v>#REF!</v>
      </c>
      <c r="BE107" s="4">
        <f t="shared" si="321"/>
        <v>104.9743373567518</v>
      </c>
      <c r="BF107" s="4">
        <f t="shared" si="322"/>
        <v>50.8</v>
      </c>
      <c r="BG107" s="4">
        <f t="shared" si="323"/>
        <v>104.9743373567518</v>
      </c>
      <c r="BH107" s="4">
        <f t="shared" si="324"/>
        <v>63.5</v>
      </c>
      <c r="BI107" s="4">
        <f t="shared" si="229"/>
        <v>1.1066423963715586</v>
      </c>
      <c r="BJ107" s="25">
        <f t="shared" si="325"/>
        <v>2.7666059909288965</v>
      </c>
      <c r="BK107" s="4"/>
      <c r="BL107" s="19">
        <f t="shared" si="326"/>
        <v>98.574337356751798</v>
      </c>
      <c r="BP107" s="18"/>
      <c r="BR107" s="18"/>
      <c r="BS107" s="18"/>
      <c r="BT107" s="18">
        <f t="shared" si="327"/>
        <v>98.574337356751798</v>
      </c>
      <c r="BU107" s="18">
        <f t="shared" si="328"/>
        <v>127</v>
      </c>
      <c r="BV107" s="18">
        <f t="shared" si="329"/>
        <v>2.0463082399363279</v>
      </c>
      <c r="BW107" s="9">
        <v>0</v>
      </c>
      <c r="BX107" s="18">
        <f t="shared" si="330"/>
        <v>0</v>
      </c>
      <c r="BY107" s="18">
        <f t="shared" si="429"/>
        <v>0</v>
      </c>
      <c r="BZ107" s="18">
        <f t="shared" si="331"/>
        <v>0.99524931562137331</v>
      </c>
      <c r="CA107" s="18">
        <f t="shared" si="332"/>
        <v>1.056</v>
      </c>
      <c r="CB107" s="18">
        <f t="shared" si="333"/>
        <v>1.8756444837875041</v>
      </c>
      <c r="CC107" s="18">
        <f t="shared" si="334"/>
        <v>3.8381467623654899</v>
      </c>
      <c r="CD107" s="9">
        <v>1</v>
      </c>
      <c r="CE107" s="18" t="e">
        <f>4*CC107*#REF!+60*CC107</f>
        <v>#REF!</v>
      </c>
      <c r="CI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B107" s="4">
        <f t="shared" si="232"/>
        <v>0</v>
      </c>
      <c r="DC107" s="4" t="e">
        <f t="shared" si="335"/>
        <v>#REF!</v>
      </c>
      <c r="DD107" s="4" t="e">
        <f>#REF!/E107</f>
        <v>#REF!</v>
      </c>
      <c r="DF107" s="4" t="e">
        <f t="shared" si="336"/>
        <v>#REF!</v>
      </c>
      <c r="DG107" s="4">
        <f t="shared" si="233"/>
        <v>5.1511400218480468</v>
      </c>
      <c r="DH107" s="4"/>
      <c r="DI107" s="4"/>
      <c r="DJ107" s="4"/>
      <c r="DK107" s="4"/>
      <c r="DL107" s="38" t="e">
        <f t="shared" si="338"/>
        <v>#REF!</v>
      </c>
      <c r="DM107" s="4" t="e">
        <f t="shared" si="361"/>
        <v>#REF!</v>
      </c>
      <c r="DN107" s="4"/>
      <c r="DO107" s="4" t="e">
        <f t="shared" si="363"/>
        <v>#REF!</v>
      </c>
      <c r="DS107" s="19">
        <f t="shared" si="339"/>
        <v>1</v>
      </c>
      <c r="DT107" s="19">
        <f t="shared" si="340"/>
        <v>0.71191205765058341</v>
      </c>
      <c r="DU107" s="19">
        <f t="shared" si="341"/>
        <v>1</v>
      </c>
      <c r="DV107" s="19">
        <f t="shared" si="430"/>
        <v>0.71191205765058341</v>
      </c>
      <c r="DX107" s="4" t="e">
        <f t="shared" si="342"/>
        <v>#REF!</v>
      </c>
      <c r="DY107" s="25" t="e">
        <f t="shared" si="431"/>
        <v>#REF!</v>
      </c>
      <c r="EB107" s="4">
        <f t="shared" si="436"/>
        <v>5.1511400218480468</v>
      </c>
      <c r="EC107" s="4">
        <f t="shared" si="344"/>
        <v>5.1511400218480468</v>
      </c>
      <c r="EE107" s="4">
        <f t="shared" si="345"/>
        <v>37.502650572992827</v>
      </c>
      <c r="EF107" s="4">
        <f t="shared" si="235"/>
        <v>1.4764823060233399</v>
      </c>
      <c r="EG107" s="4" t="e">
        <f t="shared" si="346"/>
        <v>#REF!</v>
      </c>
      <c r="EJ107" s="19" t="e">
        <f t="shared" si="432"/>
        <v>#REF!</v>
      </c>
      <c r="EK107" s="19" t="e">
        <f t="shared" si="347"/>
        <v>#REF!</v>
      </c>
      <c r="EL107" s="4" t="e">
        <f t="shared" si="237"/>
        <v>#REF!</v>
      </c>
      <c r="EM107" s="19" t="e">
        <f t="shared" si="433"/>
        <v>#REF!</v>
      </c>
      <c r="EN107" s="4" t="e">
        <f t="shared" si="239"/>
        <v>#REF!</v>
      </c>
      <c r="EO107" s="4" t="e">
        <f t="shared" si="240"/>
        <v>#REF!</v>
      </c>
      <c r="EP107" s="19" t="e">
        <f t="shared" si="348"/>
        <v>#REF!</v>
      </c>
      <c r="EQ107" s="19" t="e">
        <f t="shared" si="434"/>
        <v>#REF!</v>
      </c>
      <c r="ER107" s="4" t="e">
        <f t="shared" si="349"/>
        <v>#REF!</v>
      </c>
      <c r="ES107" s="4" t="e">
        <f t="shared" si="242"/>
        <v>#REF!</v>
      </c>
      <c r="ET107" s="4" t="e">
        <f t="shared" si="243"/>
        <v>#REF!</v>
      </c>
      <c r="EU107" s="4"/>
      <c r="EV107" s="4" t="e">
        <f t="shared" si="350"/>
        <v>#REF!</v>
      </c>
      <c r="FA107" s="23"/>
      <c r="FB107" s="23"/>
      <c r="FC107" s="23"/>
      <c r="FD107" s="23"/>
      <c r="FE107" s="23"/>
      <c r="FF107" s="23"/>
      <c r="FG107" s="23"/>
      <c r="FH107" s="22"/>
      <c r="FR107" s="4">
        <f t="shared" si="351"/>
        <v>1</v>
      </c>
      <c r="FS107" s="4">
        <f t="shared" si="352"/>
        <v>0.5</v>
      </c>
      <c r="FT107" s="4">
        <f t="shared" si="353"/>
        <v>0</v>
      </c>
      <c r="FU107" s="4" t="e">
        <f t="shared" si="354"/>
        <v>#REF!</v>
      </c>
    </row>
    <row r="108" spans="1:177" ht="12" customHeight="1" x14ac:dyDescent="0.3">
      <c r="B108" s="24"/>
      <c r="C108" s="7" t="s">
        <v>273</v>
      </c>
      <c r="D108" s="7">
        <v>472</v>
      </c>
      <c r="E108" s="7" t="e">
        <f>G108*#REF!</f>
        <v>#REF!</v>
      </c>
      <c r="F108" s="7">
        <v>28</v>
      </c>
      <c r="G108" s="7">
        <v>25.4</v>
      </c>
      <c r="H108" s="7">
        <f>36*25.4</f>
        <v>914.4</v>
      </c>
      <c r="I108" s="7">
        <f t="shared" si="437"/>
        <v>127</v>
      </c>
      <c r="J108" s="7"/>
      <c r="K108" s="7">
        <f t="shared" si="435"/>
        <v>101.6</v>
      </c>
      <c r="L108" s="7">
        <v>3</v>
      </c>
      <c r="M108" s="7">
        <f t="shared" si="424"/>
        <v>50.8</v>
      </c>
      <c r="N108" s="7">
        <f t="shared" si="380"/>
        <v>2.5</v>
      </c>
      <c r="O108" s="7">
        <f>(M108+G108/2)/G108</f>
        <v>2.5</v>
      </c>
      <c r="P108" s="7">
        <v>1.18</v>
      </c>
      <c r="Q108" s="7">
        <f t="shared" si="227"/>
        <v>1.18</v>
      </c>
      <c r="R108" s="7">
        <f t="shared" si="312"/>
        <v>2.1799999999999997</v>
      </c>
      <c r="S108" s="7">
        <f t="shared" si="313"/>
        <v>37.502650572992827</v>
      </c>
      <c r="T108" s="7"/>
      <c r="U108" s="7"/>
      <c r="V108" s="7">
        <v>182</v>
      </c>
      <c r="W108" s="7"/>
      <c r="X108" s="7"/>
      <c r="Y108" s="7"/>
      <c r="Z108" s="7"/>
      <c r="AA108" s="7">
        <v>1</v>
      </c>
      <c r="AB108" s="7"/>
      <c r="AC108" s="7"/>
      <c r="AD108" s="7"/>
      <c r="AE108" s="4" t="e">
        <f t="shared" si="364"/>
        <v>#REF!</v>
      </c>
      <c r="AF108" s="44" t="e">
        <f t="shared" si="425"/>
        <v>#REF!</v>
      </c>
      <c r="AG108" s="25" t="e">
        <f t="shared" si="314"/>
        <v>#REF!</v>
      </c>
      <c r="AH108" s="4" t="e">
        <f t="shared" si="315"/>
        <v>#REF!</v>
      </c>
      <c r="AI108" s="4">
        <v>1.25</v>
      </c>
      <c r="AJ108" s="25">
        <f t="shared" si="438"/>
        <v>5</v>
      </c>
      <c r="AK108" s="38" t="e">
        <f t="shared" si="205"/>
        <v>#REF!</v>
      </c>
      <c r="AL108" s="38" t="e">
        <f t="shared" si="356"/>
        <v>#REF!</v>
      </c>
      <c r="AN108" s="38" t="e">
        <f t="shared" si="426"/>
        <v>#REF!</v>
      </c>
      <c r="AO108" s="38" t="e">
        <f t="shared" si="316"/>
        <v>#REF!</v>
      </c>
      <c r="AR108" s="4" t="e">
        <f>#REF!/G108*F108^0.5/0.19</f>
        <v>#REF!</v>
      </c>
      <c r="AS108" s="4">
        <f t="shared" si="317"/>
        <v>1</v>
      </c>
      <c r="AT108" s="38">
        <f t="shared" si="318"/>
        <v>152.078926876803</v>
      </c>
      <c r="AU108" s="4">
        <f t="shared" si="319"/>
        <v>0.83479999999999999</v>
      </c>
      <c r="AV108" s="4" t="e">
        <f>AU108*D108*#REF!/(D108*G108/2.75/F108^0.5)</f>
        <v>#REF!</v>
      </c>
      <c r="AW108" s="4" t="e">
        <f t="shared" si="427"/>
        <v>#REF!</v>
      </c>
      <c r="AY108" s="36">
        <f t="shared" si="428"/>
        <v>1.1274999999999999</v>
      </c>
      <c r="AZ108" s="36" t="e">
        <f>(1.6*#REF!+22)*AY108*F108^0.5</f>
        <v>#REF!</v>
      </c>
      <c r="BE108" s="4">
        <f t="shared" si="321"/>
        <v>57.199999999999996</v>
      </c>
      <c r="BF108" s="4">
        <f t="shared" si="322"/>
        <v>50.8</v>
      </c>
      <c r="BG108" s="4">
        <f t="shared" si="323"/>
        <v>57.199999999999996</v>
      </c>
      <c r="BH108" s="4">
        <f t="shared" si="324"/>
        <v>63.5</v>
      </c>
      <c r="BI108" s="4">
        <f t="shared" si="229"/>
        <v>1.0125984251968505</v>
      </c>
      <c r="BJ108" s="25">
        <f t="shared" si="325"/>
        <v>2.5314960629921264</v>
      </c>
      <c r="BL108" s="4">
        <f t="shared" si="326"/>
        <v>50.8</v>
      </c>
      <c r="BP108" s="9"/>
      <c r="BR108" s="9"/>
      <c r="BS108" s="9"/>
      <c r="BT108" s="9">
        <f t="shared" si="327"/>
        <v>50.8</v>
      </c>
      <c r="BU108" s="9">
        <f t="shared" si="328"/>
        <v>127</v>
      </c>
      <c r="BV108" s="9">
        <f t="shared" si="329"/>
        <v>1.622579553879709</v>
      </c>
      <c r="BW108" s="9">
        <v>0</v>
      </c>
      <c r="BX108" s="9">
        <f t="shared" si="330"/>
        <v>0</v>
      </c>
      <c r="BY108" s="9">
        <f t="shared" si="429"/>
        <v>0</v>
      </c>
      <c r="BZ108" s="9">
        <f t="shared" si="331"/>
        <v>0.99524931562137331</v>
      </c>
      <c r="CA108" s="9">
        <f t="shared" si="332"/>
        <v>1.056</v>
      </c>
      <c r="CB108" s="9">
        <f t="shared" si="333"/>
        <v>1.9464482686693119</v>
      </c>
      <c r="CC108" s="9">
        <f t="shared" si="334"/>
        <v>3.158267163427384</v>
      </c>
      <c r="CD108" s="9">
        <v>1</v>
      </c>
      <c r="CE108" s="9" t="e">
        <f>4*CC108*#REF!+60*CC108</f>
        <v>#REF!</v>
      </c>
      <c r="DB108" s="4">
        <f t="shared" si="232"/>
        <v>0</v>
      </c>
      <c r="DC108" s="4" t="e">
        <f t="shared" si="335"/>
        <v>#REF!</v>
      </c>
      <c r="DD108" s="4" t="e">
        <f>#REF!/E108</f>
        <v>#REF!</v>
      </c>
      <c r="DF108" s="4" t="e">
        <f t="shared" si="336"/>
        <v>#REF!</v>
      </c>
      <c r="DG108" s="4">
        <f t="shared" si="233"/>
        <v>4.8913150907085621</v>
      </c>
      <c r="DL108" s="38" t="e">
        <f t="shared" si="338"/>
        <v>#REF!</v>
      </c>
      <c r="DM108" s="4" t="e">
        <f t="shared" si="361"/>
        <v>#REF!</v>
      </c>
      <c r="DO108" s="4" t="e">
        <f t="shared" si="363"/>
        <v>#REF!</v>
      </c>
      <c r="DS108" s="4">
        <f t="shared" si="339"/>
        <v>1</v>
      </c>
      <c r="DT108" s="4">
        <f t="shared" si="340"/>
        <v>0.9</v>
      </c>
      <c r="DU108" s="4">
        <f t="shared" si="341"/>
        <v>1</v>
      </c>
      <c r="DV108" s="4">
        <f t="shared" si="430"/>
        <v>0.9</v>
      </c>
      <c r="DX108" s="4" t="e">
        <f t="shared" si="342"/>
        <v>#REF!</v>
      </c>
      <c r="DY108" s="25" t="e">
        <f t="shared" si="431"/>
        <v>#REF!</v>
      </c>
      <c r="EB108" s="4">
        <f t="shared" si="436"/>
        <v>4.8913150907085621</v>
      </c>
      <c r="EC108" s="4">
        <f t="shared" si="344"/>
        <v>4.8913150907085621</v>
      </c>
      <c r="EE108" s="4">
        <f t="shared" si="345"/>
        <v>37.502650572992827</v>
      </c>
      <c r="EF108" s="4">
        <f t="shared" si="235"/>
        <v>1.4764823060233399</v>
      </c>
      <c r="EG108" s="4" t="e">
        <f t="shared" si="346"/>
        <v>#REF!</v>
      </c>
      <c r="EJ108" s="4" t="e">
        <f t="shared" si="432"/>
        <v>#REF!</v>
      </c>
      <c r="EK108" s="4" t="e">
        <f t="shared" si="347"/>
        <v>#REF!</v>
      </c>
      <c r="EL108" s="4" t="e">
        <f t="shared" si="237"/>
        <v>#REF!</v>
      </c>
      <c r="EM108" s="4" t="e">
        <f t="shared" si="433"/>
        <v>#REF!</v>
      </c>
      <c r="EN108" s="4" t="e">
        <f t="shared" si="239"/>
        <v>#REF!</v>
      </c>
      <c r="EO108" s="4" t="e">
        <f t="shared" si="240"/>
        <v>#REF!</v>
      </c>
      <c r="EP108" s="4" t="e">
        <f t="shared" si="348"/>
        <v>#REF!</v>
      </c>
      <c r="EQ108" s="4" t="e">
        <f t="shared" si="434"/>
        <v>#REF!</v>
      </c>
      <c r="ER108" s="4" t="e">
        <f t="shared" si="349"/>
        <v>#REF!</v>
      </c>
      <c r="ES108" s="4" t="e">
        <f t="shared" si="242"/>
        <v>#REF!</v>
      </c>
      <c r="ET108" s="4" t="e">
        <f t="shared" si="243"/>
        <v>#REF!</v>
      </c>
      <c r="EV108" s="4" t="e">
        <f t="shared" si="350"/>
        <v>#REF!</v>
      </c>
      <c r="FA108" s="23"/>
      <c r="FB108" s="23"/>
      <c r="FC108" s="23"/>
      <c r="FD108" s="23"/>
      <c r="FE108" s="23"/>
      <c r="FF108" s="23"/>
      <c r="FG108" s="23"/>
      <c r="FH108" s="23"/>
      <c r="FR108" s="4">
        <f t="shared" si="351"/>
        <v>1</v>
      </c>
      <c r="FS108" s="4">
        <f t="shared" si="352"/>
        <v>0.75</v>
      </c>
      <c r="FT108" s="4">
        <f t="shared" si="353"/>
        <v>0</v>
      </c>
      <c r="FU108" s="4" t="e">
        <f t="shared" si="354"/>
        <v>#REF!</v>
      </c>
    </row>
    <row r="109" spans="1:177" s="19" customFormat="1" ht="12" customHeight="1" x14ac:dyDescent="0.3">
      <c r="B109" s="20"/>
      <c r="C109" s="21" t="s">
        <v>281</v>
      </c>
      <c r="D109" s="21">
        <v>472</v>
      </c>
      <c r="E109" s="21" t="e">
        <f>G109*#REF!</f>
        <v>#REF!</v>
      </c>
      <c r="F109" s="21">
        <v>22</v>
      </c>
      <c r="G109" s="7">
        <v>25.4</v>
      </c>
      <c r="H109" s="21">
        <f t="shared" ref="H109:H110" si="439">25*25.4</f>
        <v>635</v>
      </c>
      <c r="I109" s="21">
        <f>I105</f>
        <v>114.3</v>
      </c>
      <c r="J109" s="21"/>
      <c r="K109" s="21">
        <f t="shared" ref="K109:K110" si="440">2*25.4</f>
        <v>50.8</v>
      </c>
      <c r="L109" s="21">
        <v>3</v>
      </c>
      <c r="M109" s="21">
        <f t="shared" si="424"/>
        <v>50.8</v>
      </c>
      <c r="N109" s="7">
        <f t="shared" si="380"/>
        <v>1.5</v>
      </c>
      <c r="O109" s="21">
        <f>(M109+G109/2)/G109</f>
        <v>2.5</v>
      </c>
      <c r="P109" s="21">
        <v>4.7</v>
      </c>
      <c r="Q109" s="7">
        <f t="shared" si="227"/>
        <v>4.7</v>
      </c>
      <c r="R109" s="21">
        <f t="shared" si="312"/>
        <v>5.7</v>
      </c>
      <c r="S109" s="21">
        <f t="shared" si="313"/>
        <v>60.641668842471674</v>
      </c>
      <c r="T109" s="21"/>
      <c r="U109" s="21"/>
      <c r="V109" s="21">
        <v>128</v>
      </c>
      <c r="W109" s="21"/>
      <c r="X109" s="21"/>
      <c r="Y109" s="21"/>
      <c r="Z109" s="21"/>
      <c r="AA109" s="7">
        <v>1</v>
      </c>
      <c r="AB109" s="7"/>
      <c r="AC109" s="7"/>
      <c r="AD109" s="21"/>
      <c r="AE109" s="4" t="e">
        <f t="shared" si="364"/>
        <v>#REF!</v>
      </c>
      <c r="AF109" s="44" t="e">
        <f t="shared" si="425"/>
        <v>#REF!</v>
      </c>
      <c r="AG109" s="25" t="e">
        <f t="shared" si="314"/>
        <v>#REF!</v>
      </c>
      <c r="AH109" s="4" t="e">
        <f t="shared" si="315"/>
        <v>#REF!</v>
      </c>
      <c r="AI109" s="4">
        <v>1.25</v>
      </c>
      <c r="AJ109" s="25">
        <f t="shared" si="438"/>
        <v>5</v>
      </c>
      <c r="AK109" s="38" t="e">
        <f t="shared" si="205"/>
        <v>#REF!</v>
      </c>
      <c r="AL109" s="38" t="e">
        <f t="shared" si="356"/>
        <v>#REF!</v>
      </c>
      <c r="AM109" s="38"/>
      <c r="AN109" s="38" t="e">
        <f t="shared" si="426"/>
        <v>#REF!</v>
      </c>
      <c r="AO109" s="38" t="e">
        <f t="shared" si="316"/>
        <v>#REF!</v>
      </c>
      <c r="AP109" s="38"/>
      <c r="AQ109" s="4"/>
      <c r="AR109" s="19" t="e">
        <f>#REF!/G109*F109^0.5/0.19</f>
        <v>#REF!</v>
      </c>
      <c r="AS109" s="19">
        <f t="shared" si="317"/>
        <v>1.2666666666666666</v>
      </c>
      <c r="AT109" s="38">
        <f t="shared" si="318"/>
        <v>181.24048112935475</v>
      </c>
      <c r="AU109" s="19">
        <f t="shared" si="319"/>
        <v>0.34199999999999997</v>
      </c>
      <c r="AV109" s="19" t="e">
        <f>AU109*D109*#REF!/(D109*G109/2.75/F109^0.5)</f>
        <v>#REF!</v>
      </c>
      <c r="AW109" s="19" t="e">
        <f t="shared" si="427"/>
        <v>#REF!</v>
      </c>
      <c r="AY109" s="36">
        <f t="shared" si="428"/>
        <v>1.2375</v>
      </c>
      <c r="AZ109" s="36" t="e">
        <f>(1.6*#REF!+22)*AY109*F109^0.5</f>
        <v>#REF!</v>
      </c>
      <c r="BE109" s="4">
        <f t="shared" si="321"/>
        <v>31.799999999999997</v>
      </c>
      <c r="BF109" s="4">
        <f t="shared" si="322"/>
        <v>31.799999999999997</v>
      </c>
      <c r="BG109" s="4">
        <f t="shared" si="323"/>
        <v>50.8</v>
      </c>
      <c r="BH109" s="4">
        <f t="shared" si="324"/>
        <v>44.5</v>
      </c>
      <c r="BI109" s="4">
        <f t="shared" si="229"/>
        <v>1.0597484276729561</v>
      </c>
      <c r="BJ109" s="25">
        <f t="shared" si="325"/>
        <v>1.8566458673797854</v>
      </c>
      <c r="BK109" s="4"/>
      <c r="BL109" s="19">
        <f t="shared" si="326"/>
        <v>25.4</v>
      </c>
      <c r="BP109" s="18"/>
      <c r="BR109" s="18"/>
      <c r="BS109" s="18"/>
      <c r="BT109" s="18">
        <f t="shared" si="327"/>
        <v>25.4</v>
      </c>
      <c r="BU109" s="18">
        <f t="shared" si="328"/>
        <v>114.3</v>
      </c>
      <c r="BV109" s="18">
        <f t="shared" si="329"/>
        <v>1.2530888829563018</v>
      </c>
      <c r="BW109" s="9">
        <v>0</v>
      </c>
      <c r="BX109" s="18">
        <f t="shared" si="330"/>
        <v>0</v>
      </c>
      <c r="BY109" s="18">
        <f t="shared" si="429"/>
        <v>0</v>
      </c>
      <c r="BZ109" s="18">
        <f t="shared" si="331"/>
        <v>0.99524931562137331</v>
      </c>
      <c r="CA109" s="18">
        <f t="shared" si="332"/>
        <v>1.056</v>
      </c>
      <c r="CB109" s="18">
        <f t="shared" si="333"/>
        <v>1.7253419844992921</v>
      </c>
      <c r="CC109" s="18">
        <f t="shared" si="334"/>
        <v>2.1620068600738271</v>
      </c>
      <c r="CD109" s="9">
        <v>1</v>
      </c>
      <c r="CE109" s="18" t="e">
        <f>4*CC109*#REF!+60*CC109</f>
        <v>#REF!</v>
      </c>
      <c r="CI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B109" s="4">
        <f t="shared" si="232"/>
        <v>0</v>
      </c>
      <c r="DC109" s="4" t="e">
        <f t="shared" si="335"/>
        <v>#REF!</v>
      </c>
      <c r="DD109" s="4" t="e">
        <f>#REF!/E109</f>
        <v>#REF!</v>
      </c>
      <c r="DF109" s="4" t="e">
        <f t="shared" si="336"/>
        <v>#REF!</v>
      </c>
      <c r="DG109" s="4">
        <f t="shared" si="233"/>
        <v>3.1798730643614395</v>
      </c>
      <c r="DH109" s="4"/>
      <c r="DI109" s="4"/>
      <c r="DJ109" s="4"/>
      <c r="DK109" s="4"/>
      <c r="DL109" s="38" t="e">
        <f t="shared" si="338"/>
        <v>#REF!</v>
      </c>
      <c r="DM109" s="4" t="e">
        <f t="shared" si="361"/>
        <v>#REF!</v>
      </c>
      <c r="DN109" s="4"/>
      <c r="DO109" s="4" t="e">
        <f t="shared" si="363"/>
        <v>#REF!</v>
      </c>
      <c r="DS109" s="19">
        <f t="shared" si="339"/>
        <v>1</v>
      </c>
      <c r="DT109" s="19">
        <f t="shared" si="340"/>
        <v>1</v>
      </c>
      <c r="DU109" s="19">
        <f t="shared" si="341"/>
        <v>1</v>
      </c>
      <c r="DV109" s="19">
        <f t="shared" si="430"/>
        <v>1</v>
      </c>
      <c r="DX109" s="4" t="e">
        <f t="shared" si="342"/>
        <v>#REF!</v>
      </c>
      <c r="DY109" s="25" t="e">
        <f t="shared" si="431"/>
        <v>#REF!</v>
      </c>
      <c r="EB109" s="4">
        <f t="shared" si="436"/>
        <v>3.1798730643614395</v>
      </c>
      <c r="EC109" s="4">
        <f t="shared" si="344"/>
        <v>3.1798730643614395</v>
      </c>
      <c r="EE109" s="4">
        <f t="shared" si="345"/>
        <v>60.641668842471674</v>
      </c>
      <c r="EF109" s="4">
        <f t="shared" si="235"/>
        <v>2.3874672772626644</v>
      </c>
      <c r="EG109" s="4" t="e">
        <f t="shared" si="346"/>
        <v>#REF!</v>
      </c>
      <c r="EJ109" s="19" t="e">
        <f t="shared" si="432"/>
        <v>#REF!</v>
      </c>
      <c r="EK109" s="19" t="e">
        <f t="shared" si="347"/>
        <v>#REF!</v>
      </c>
      <c r="EL109" s="4" t="e">
        <f t="shared" si="237"/>
        <v>#REF!</v>
      </c>
      <c r="EM109" s="19" t="e">
        <f t="shared" si="433"/>
        <v>#REF!</v>
      </c>
      <c r="EN109" s="4" t="e">
        <f t="shared" si="239"/>
        <v>#REF!</v>
      </c>
      <c r="EO109" s="4" t="e">
        <f t="shared" si="240"/>
        <v>#REF!</v>
      </c>
      <c r="EP109" s="19" t="e">
        <f t="shared" si="348"/>
        <v>#REF!</v>
      </c>
      <c r="EQ109" s="19" t="e">
        <f t="shared" si="434"/>
        <v>#REF!</v>
      </c>
      <c r="ER109" s="4" t="e">
        <f t="shared" si="349"/>
        <v>#REF!</v>
      </c>
      <c r="ES109" s="4" t="e">
        <f t="shared" si="242"/>
        <v>#REF!</v>
      </c>
      <c r="ET109" s="4" t="e">
        <f t="shared" si="243"/>
        <v>#REF!</v>
      </c>
      <c r="EU109" s="4"/>
      <c r="EV109" s="4" t="e">
        <f t="shared" si="350"/>
        <v>#REF!</v>
      </c>
      <c r="FA109" s="23"/>
      <c r="FB109" s="23"/>
      <c r="FC109" s="23"/>
      <c r="FD109" s="23"/>
      <c r="FE109" s="23"/>
      <c r="FF109" s="23"/>
      <c r="FG109" s="23"/>
      <c r="FH109" s="22"/>
      <c r="FR109" s="4">
        <f t="shared" si="351"/>
        <v>1</v>
      </c>
      <c r="FS109" s="4">
        <f t="shared" si="352"/>
        <v>0.91666666666666663</v>
      </c>
      <c r="FT109" s="4">
        <f t="shared" si="353"/>
        <v>0</v>
      </c>
      <c r="FU109" s="4" t="e">
        <f t="shared" si="354"/>
        <v>#REF!</v>
      </c>
    </row>
    <row r="110" spans="1:177" s="19" customFormat="1" ht="12" customHeight="1" x14ac:dyDescent="0.3">
      <c r="B110" s="20"/>
      <c r="C110" s="21" t="s">
        <v>281</v>
      </c>
      <c r="D110" s="21">
        <v>472</v>
      </c>
      <c r="E110" s="21" t="e">
        <f>G110*#REF!</f>
        <v>#REF!</v>
      </c>
      <c r="F110" s="21">
        <v>26</v>
      </c>
      <c r="G110" s="7">
        <v>25.4</v>
      </c>
      <c r="H110" s="21">
        <f t="shared" si="439"/>
        <v>635</v>
      </c>
      <c r="I110" s="21">
        <f>I109</f>
        <v>114.3</v>
      </c>
      <c r="J110" s="21"/>
      <c r="K110" s="21">
        <f t="shared" si="440"/>
        <v>50.8</v>
      </c>
      <c r="L110" s="21">
        <v>3</v>
      </c>
      <c r="M110" s="21">
        <f t="shared" si="424"/>
        <v>50.8</v>
      </c>
      <c r="N110" s="7">
        <f t="shared" si="380"/>
        <v>1.5</v>
      </c>
      <c r="O110" s="21">
        <f>(M110+G110/2)/G110</f>
        <v>2.5</v>
      </c>
      <c r="P110" s="21">
        <v>4.7</v>
      </c>
      <c r="Q110" s="7">
        <f t="shared" si="227"/>
        <v>4.7</v>
      </c>
      <c r="R110" s="21">
        <f t="shared" si="312"/>
        <v>5.7</v>
      </c>
      <c r="S110" s="21">
        <f t="shared" si="313"/>
        <v>60.641668842471674</v>
      </c>
      <c r="T110" s="21"/>
      <c r="U110" s="21"/>
      <c r="V110" s="21">
        <v>186</v>
      </c>
      <c r="W110" s="21"/>
      <c r="X110" s="21"/>
      <c r="Y110" s="21"/>
      <c r="Z110" s="21"/>
      <c r="AA110" s="7">
        <v>1</v>
      </c>
      <c r="AB110" s="7"/>
      <c r="AC110" s="7"/>
      <c r="AD110" s="21"/>
      <c r="AE110" s="4" t="e">
        <f t="shared" si="364"/>
        <v>#REF!</v>
      </c>
      <c r="AF110" s="44" t="e">
        <f t="shared" si="425"/>
        <v>#REF!</v>
      </c>
      <c r="AG110" s="25" t="e">
        <f t="shared" si="314"/>
        <v>#REF!</v>
      </c>
      <c r="AH110" s="4" t="e">
        <f t="shared" si="315"/>
        <v>#REF!</v>
      </c>
      <c r="AI110" s="4">
        <v>1.25</v>
      </c>
      <c r="AJ110" s="25">
        <f t="shared" si="438"/>
        <v>5</v>
      </c>
      <c r="AK110" s="38" t="e">
        <f t="shared" si="205"/>
        <v>#REF!</v>
      </c>
      <c r="AL110" s="38" t="e">
        <f t="shared" si="356"/>
        <v>#REF!</v>
      </c>
      <c r="AM110" s="38"/>
      <c r="AN110" s="38" t="e">
        <f t="shared" si="426"/>
        <v>#REF!</v>
      </c>
      <c r="AO110" s="38" t="e">
        <f t="shared" si="316"/>
        <v>#REF!</v>
      </c>
      <c r="AP110" s="38"/>
      <c r="AQ110" s="4"/>
      <c r="AR110" s="19" t="e">
        <f>#REF!/G110*F110^0.5/0.19</f>
        <v>#REF!</v>
      </c>
      <c r="AS110" s="19">
        <f t="shared" si="317"/>
        <v>1.2666666666666666</v>
      </c>
      <c r="AT110" s="38">
        <f t="shared" si="318"/>
        <v>214.19329588014648</v>
      </c>
      <c r="AU110" s="19">
        <f t="shared" si="319"/>
        <v>0.34199999999999997</v>
      </c>
      <c r="AV110" s="19" t="e">
        <f>AU110*D110*#REF!/(D110*G110/2.75/F110^0.5)</f>
        <v>#REF!</v>
      </c>
      <c r="AW110" s="19" t="e">
        <f t="shared" si="427"/>
        <v>#REF!</v>
      </c>
      <c r="AY110" s="36">
        <f t="shared" si="428"/>
        <v>1.2375</v>
      </c>
      <c r="AZ110" s="36" t="e">
        <f>(1.6*#REF!+22)*AY110*F110^0.5</f>
        <v>#REF!</v>
      </c>
      <c r="BE110" s="4">
        <f t="shared" si="321"/>
        <v>31.799999999999997</v>
      </c>
      <c r="BF110" s="4">
        <f t="shared" si="322"/>
        <v>31.799999999999997</v>
      </c>
      <c r="BG110" s="4">
        <f t="shared" si="323"/>
        <v>50.8</v>
      </c>
      <c r="BH110" s="4">
        <f t="shared" si="324"/>
        <v>44.5</v>
      </c>
      <c r="BI110" s="4">
        <f t="shared" si="229"/>
        <v>1.0597484276729561</v>
      </c>
      <c r="BJ110" s="25">
        <f t="shared" si="325"/>
        <v>1.8566458673797854</v>
      </c>
      <c r="BK110" s="4"/>
      <c r="BL110" s="19">
        <f t="shared" si="326"/>
        <v>25.4</v>
      </c>
      <c r="BP110" s="18"/>
      <c r="BR110" s="18"/>
      <c r="BS110" s="18"/>
      <c r="BT110" s="18">
        <f t="shared" si="327"/>
        <v>25.4</v>
      </c>
      <c r="BU110" s="18">
        <f t="shared" si="328"/>
        <v>114.3</v>
      </c>
      <c r="BV110" s="18">
        <f t="shared" si="329"/>
        <v>1.2530888829563018</v>
      </c>
      <c r="BW110" s="9">
        <v>0</v>
      </c>
      <c r="BX110" s="18">
        <f t="shared" si="330"/>
        <v>0</v>
      </c>
      <c r="BY110" s="18">
        <f t="shared" si="429"/>
        <v>0</v>
      </c>
      <c r="BZ110" s="18">
        <f t="shared" si="331"/>
        <v>0.99524931562137331</v>
      </c>
      <c r="CA110" s="18">
        <f t="shared" si="332"/>
        <v>1.056</v>
      </c>
      <c r="CB110" s="18">
        <f t="shared" si="333"/>
        <v>1.8756444837875041</v>
      </c>
      <c r="CC110" s="18">
        <f t="shared" si="334"/>
        <v>2.3503492510124331</v>
      </c>
      <c r="CD110" s="9">
        <v>1</v>
      </c>
      <c r="CE110" s="18" t="e">
        <f>4*CC110*#REF!+60*CC110</f>
        <v>#REF!</v>
      </c>
      <c r="CI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B110" s="4">
        <f t="shared" si="232"/>
        <v>0</v>
      </c>
      <c r="DC110" s="4" t="e">
        <f t="shared" si="335"/>
        <v>#REF!</v>
      </c>
      <c r="DD110" s="4" t="e">
        <f>#REF!/E110</f>
        <v>#REF!</v>
      </c>
      <c r="DF110" s="4" t="e">
        <f t="shared" si="336"/>
        <v>#REF!</v>
      </c>
      <c r="DG110" s="4">
        <f t="shared" si="233"/>
        <v>3.4568864757817224</v>
      </c>
      <c r="DH110" s="4"/>
      <c r="DI110" s="4"/>
      <c r="DJ110" s="4"/>
      <c r="DK110" s="4"/>
      <c r="DL110" s="38" t="e">
        <f t="shared" si="338"/>
        <v>#REF!</v>
      </c>
      <c r="DM110" s="4" t="e">
        <f t="shared" si="361"/>
        <v>#REF!</v>
      </c>
      <c r="DN110" s="4"/>
      <c r="DO110" s="4" t="e">
        <f t="shared" si="363"/>
        <v>#REF!</v>
      </c>
      <c r="DS110" s="19">
        <f t="shared" si="339"/>
        <v>1</v>
      </c>
      <c r="DT110" s="19">
        <f t="shared" si="340"/>
        <v>1</v>
      </c>
      <c r="DU110" s="19">
        <f t="shared" si="341"/>
        <v>1</v>
      </c>
      <c r="DV110" s="19">
        <f t="shared" si="430"/>
        <v>1</v>
      </c>
      <c r="DX110" s="4" t="e">
        <f t="shared" si="342"/>
        <v>#REF!</v>
      </c>
      <c r="DY110" s="25" t="e">
        <f t="shared" si="431"/>
        <v>#REF!</v>
      </c>
      <c r="EB110" s="4">
        <f t="shared" si="436"/>
        <v>3.4568864757817224</v>
      </c>
      <c r="EC110" s="4">
        <f t="shared" si="344"/>
        <v>3.4568864757817224</v>
      </c>
      <c r="EE110" s="4">
        <f t="shared" si="345"/>
        <v>60.641668842471674</v>
      </c>
      <c r="EF110" s="4">
        <f t="shared" si="235"/>
        <v>2.3874672772626644</v>
      </c>
      <c r="EG110" s="4" t="e">
        <f t="shared" si="346"/>
        <v>#REF!</v>
      </c>
      <c r="EJ110" s="19" t="e">
        <f t="shared" si="432"/>
        <v>#REF!</v>
      </c>
      <c r="EK110" s="19" t="e">
        <f t="shared" si="347"/>
        <v>#REF!</v>
      </c>
      <c r="EL110" s="4" t="e">
        <f t="shared" si="237"/>
        <v>#REF!</v>
      </c>
      <c r="EM110" s="19" t="e">
        <f t="shared" si="433"/>
        <v>#REF!</v>
      </c>
      <c r="EN110" s="4" t="e">
        <f t="shared" si="239"/>
        <v>#REF!</v>
      </c>
      <c r="EO110" s="4" t="e">
        <f t="shared" si="240"/>
        <v>#REF!</v>
      </c>
      <c r="EP110" s="19" t="e">
        <f t="shared" si="348"/>
        <v>#REF!</v>
      </c>
      <c r="EQ110" s="19" t="e">
        <f t="shared" si="434"/>
        <v>#REF!</v>
      </c>
      <c r="ER110" s="4" t="e">
        <f t="shared" si="349"/>
        <v>#REF!</v>
      </c>
      <c r="ES110" s="4" t="e">
        <f t="shared" si="242"/>
        <v>#REF!</v>
      </c>
      <c r="ET110" s="4" t="e">
        <f t="shared" si="243"/>
        <v>#REF!</v>
      </c>
      <c r="EU110" s="4"/>
      <c r="EV110" s="4" t="e">
        <f t="shared" si="350"/>
        <v>#REF!</v>
      </c>
      <c r="FA110" s="23"/>
      <c r="FB110" s="23"/>
      <c r="FC110" s="23"/>
      <c r="FD110" s="23"/>
      <c r="FE110" s="23"/>
      <c r="FF110" s="23"/>
      <c r="FG110" s="23"/>
      <c r="FH110" s="22"/>
      <c r="FR110" s="4">
        <f t="shared" si="351"/>
        <v>1</v>
      </c>
      <c r="FS110" s="4">
        <f t="shared" si="352"/>
        <v>0.91666666666666663</v>
      </c>
      <c r="FT110" s="4">
        <f t="shared" si="353"/>
        <v>0</v>
      </c>
      <c r="FU110" s="4" t="e">
        <f t="shared" si="354"/>
        <v>#REF!</v>
      </c>
    </row>
    <row r="111" spans="1:177" s="19" customFormat="1" ht="12" customHeight="1" x14ac:dyDescent="0.3">
      <c r="B111" s="20"/>
      <c r="C111" s="21" t="s">
        <v>281</v>
      </c>
      <c r="D111" s="21">
        <v>472</v>
      </c>
      <c r="E111" s="21" t="e">
        <f>G111*#REF!</f>
        <v>#REF!</v>
      </c>
      <c r="F111" s="21">
        <v>22</v>
      </c>
      <c r="G111" s="7">
        <v>25.4</v>
      </c>
      <c r="H111" s="21">
        <f t="shared" ref="H111:H123" si="441">36*25.4</f>
        <v>914.4</v>
      </c>
      <c r="I111" s="21">
        <f t="shared" si="437"/>
        <v>127</v>
      </c>
      <c r="J111" s="21"/>
      <c r="K111" s="21">
        <f t="shared" si="435"/>
        <v>101.6</v>
      </c>
      <c r="L111" s="21">
        <v>3</v>
      </c>
      <c r="M111" s="21">
        <f t="shared" si="424"/>
        <v>50.8</v>
      </c>
      <c r="N111" s="7">
        <f t="shared" si="380"/>
        <v>2.5</v>
      </c>
      <c r="O111" s="21">
        <f>(M111+G111/2)/G111</f>
        <v>2.5</v>
      </c>
      <c r="P111" s="21">
        <v>4.7</v>
      </c>
      <c r="Q111" s="7">
        <f t="shared" si="227"/>
        <v>4.7</v>
      </c>
      <c r="R111" s="21">
        <f t="shared" si="312"/>
        <v>5.7</v>
      </c>
      <c r="S111" s="21">
        <f t="shared" si="313"/>
        <v>60.641668842471674</v>
      </c>
      <c r="T111" s="21"/>
      <c r="U111" s="21"/>
      <c r="V111" s="21">
        <v>166</v>
      </c>
      <c r="W111" s="21"/>
      <c r="X111" s="21"/>
      <c r="Y111" s="21"/>
      <c r="Z111" s="21"/>
      <c r="AA111" s="7">
        <v>1</v>
      </c>
      <c r="AB111" s="7"/>
      <c r="AC111" s="7"/>
      <c r="AD111" s="21"/>
      <c r="AE111" s="4" t="e">
        <f t="shared" si="364"/>
        <v>#REF!</v>
      </c>
      <c r="AF111" s="44" t="e">
        <f t="shared" si="425"/>
        <v>#REF!</v>
      </c>
      <c r="AG111" s="25" t="e">
        <f t="shared" si="314"/>
        <v>#REF!</v>
      </c>
      <c r="AH111" s="4" t="e">
        <f t="shared" si="315"/>
        <v>#REF!</v>
      </c>
      <c r="AI111" s="4">
        <v>1.25</v>
      </c>
      <c r="AJ111" s="25">
        <f t="shared" si="438"/>
        <v>5</v>
      </c>
      <c r="AK111" s="38" t="e">
        <f t="shared" si="205"/>
        <v>#REF!</v>
      </c>
      <c r="AL111" s="38" t="e">
        <f t="shared" si="356"/>
        <v>#REF!</v>
      </c>
      <c r="AM111" s="38"/>
      <c r="AN111" s="38" t="e">
        <f t="shared" si="426"/>
        <v>#REF!</v>
      </c>
      <c r="AO111" s="38" t="e">
        <f t="shared" si="316"/>
        <v>#REF!</v>
      </c>
      <c r="AP111" s="38"/>
      <c r="AQ111" s="4"/>
      <c r="AR111" s="19" t="e">
        <f>#REF!/G111*F111^0.5/0.19</f>
        <v>#REF!</v>
      </c>
      <c r="AS111" s="19">
        <f t="shared" si="317"/>
        <v>1</v>
      </c>
      <c r="AT111" s="38">
        <f t="shared" si="318"/>
        <v>238.4743172754668</v>
      </c>
      <c r="AU111" s="19">
        <f t="shared" si="319"/>
        <v>0.34199999999999997</v>
      </c>
      <c r="AV111" s="19" t="e">
        <f>AU111*D111*#REF!/(D111*G111/2.75/F111^0.5)</f>
        <v>#REF!</v>
      </c>
      <c r="AW111" s="19" t="e">
        <f t="shared" si="427"/>
        <v>#REF!</v>
      </c>
      <c r="AY111" s="36">
        <f t="shared" si="428"/>
        <v>1.1274999999999999</v>
      </c>
      <c r="AZ111" s="36" t="e">
        <f>(1.6*#REF!+22)*AY111*F111^0.5</f>
        <v>#REF!</v>
      </c>
      <c r="BE111" s="4">
        <f t="shared" si="321"/>
        <v>57.199999999999996</v>
      </c>
      <c r="BF111" s="4">
        <f t="shared" si="322"/>
        <v>50.8</v>
      </c>
      <c r="BG111" s="4">
        <f t="shared" si="323"/>
        <v>57.199999999999996</v>
      </c>
      <c r="BH111" s="4">
        <f t="shared" si="324"/>
        <v>63.5</v>
      </c>
      <c r="BI111" s="4">
        <f t="shared" si="229"/>
        <v>1.0125984251968505</v>
      </c>
      <c r="BJ111" s="25">
        <f t="shared" si="325"/>
        <v>2.5314960629921264</v>
      </c>
      <c r="BK111" s="4"/>
      <c r="BL111" s="19">
        <f t="shared" si="326"/>
        <v>50.8</v>
      </c>
      <c r="BP111" s="18"/>
      <c r="BR111" s="18"/>
      <c r="BS111" s="18"/>
      <c r="BT111" s="18">
        <f t="shared" si="327"/>
        <v>50.8</v>
      </c>
      <c r="BU111" s="18">
        <f t="shared" si="328"/>
        <v>127</v>
      </c>
      <c r="BV111" s="18">
        <f t="shared" si="329"/>
        <v>1.622579553879709</v>
      </c>
      <c r="BW111" s="9">
        <v>0</v>
      </c>
      <c r="BX111" s="18">
        <f t="shared" si="330"/>
        <v>0</v>
      </c>
      <c r="BY111" s="18">
        <f t="shared" si="429"/>
        <v>0</v>
      </c>
      <c r="BZ111" s="18">
        <f t="shared" si="331"/>
        <v>0.99524931562137331</v>
      </c>
      <c r="CA111" s="18">
        <f t="shared" si="332"/>
        <v>1.056</v>
      </c>
      <c r="CB111" s="18">
        <f t="shared" si="333"/>
        <v>1.7253419844992921</v>
      </c>
      <c r="CC111" s="18">
        <f t="shared" si="334"/>
        <v>2.7995046274987931</v>
      </c>
      <c r="CD111" s="9">
        <v>1</v>
      </c>
      <c r="CE111" s="18" t="e">
        <f>4*CC111*#REF!+60*CC111</f>
        <v>#REF!</v>
      </c>
      <c r="CI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B111" s="4">
        <f t="shared" si="232"/>
        <v>0</v>
      </c>
      <c r="DC111" s="4" t="e">
        <f t="shared" si="335"/>
        <v>#REF!</v>
      </c>
      <c r="DD111" s="4" t="e">
        <f>#REF!/E111</f>
        <v>#REF!</v>
      </c>
      <c r="DF111" s="4" t="e">
        <f t="shared" si="336"/>
        <v>#REF!</v>
      </c>
      <c r="DG111" s="4">
        <f t="shared" si="233"/>
        <v>4.3356874268145296</v>
      </c>
      <c r="DH111" s="4"/>
      <c r="DI111" s="4"/>
      <c r="DJ111" s="4"/>
      <c r="DK111" s="4"/>
      <c r="DL111" s="38" t="e">
        <f t="shared" si="338"/>
        <v>#REF!</v>
      </c>
      <c r="DM111" s="4" t="e">
        <f t="shared" si="361"/>
        <v>#REF!</v>
      </c>
      <c r="DN111" s="4"/>
      <c r="DO111" s="4" t="e">
        <f t="shared" si="363"/>
        <v>#REF!</v>
      </c>
      <c r="DS111" s="19">
        <f t="shared" si="339"/>
        <v>1</v>
      </c>
      <c r="DT111" s="19">
        <f t="shared" si="340"/>
        <v>0.9</v>
      </c>
      <c r="DU111" s="19">
        <f t="shared" si="341"/>
        <v>1</v>
      </c>
      <c r="DV111" s="19">
        <f t="shared" si="430"/>
        <v>0.9</v>
      </c>
      <c r="DX111" s="4" t="e">
        <f t="shared" si="342"/>
        <v>#REF!</v>
      </c>
      <c r="DY111" s="25" t="e">
        <f t="shared" si="431"/>
        <v>#REF!</v>
      </c>
      <c r="EB111" s="4">
        <f t="shared" si="436"/>
        <v>4.3356874268145296</v>
      </c>
      <c r="EC111" s="4">
        <f t="shared" si="344"/>
        <v>4.3356874268145296</v>
      </c>
      <c r="EE111" s="4">
        <f t="shared" si="345"/>
        <v>60.641668842471674</v>
      </c>
      <c r="EF111" s="4">
        <f t="shared" si="235"/>
        <v>2.3874672772626644</v>
      </c>
      <c r="EG111" s="4" t="e">
        <f t="shared" si="346"/>
        <v>#REF!</v>
      </c>
      <c r="EJ111" s="19" t="e">
        <f t="shared" si="432"/>
        <v>#REF!</v>
      </c>
      <c r="EK111" s="19" t="e">
        <f t="shared" si="347"/>
        <v>#REF!</v>
      </c>
      <c r="EL111" s="4" t="e">
        <f t="shared" si="237"/>
        <v>#REF!</v>
      </c>
      <c r="EM111" s="19" t="e">
        <f t="shared" si="433"/>
        <v>#REF!</v>
      </c>
      <c r="EN111" s="4" t="e">
        <f t="shared" si="239"/>
        <v>#REF!</v>
      </c>
      <c r="EO111" s="4" t="e">
        <f t="shared" si="240"/>
        <v>#REF!</v>
      </c>
      <c r="EP111" s="19" t="e">
        <f t="shared" si="348"/>
        <v>#REF!</v>
      </c>
      <c r="EQ111" s="19" t="e">
        <f t="shared" si="434"/>
        <v>#REF!</v>
      </c>
      <c r="ER111" s="4" t="e">
        <f t="shared" si="349"/>
        <v>#REF!</v>
      </c>
      <c r="ES111" s="4" t="e">
        <f t="shared" si="242"/>
        <v>#REF!</v>
      </c>
      <c r="ET111" s="4" t="e">
        <f t="shared" si="243"/>
        <v>#REF!</v>
      </c>
      <c r="EU111" s="4"/>
      <c r="EV111" s="4" t="e">
        <f t="shared" si="350"/>
        <v>#REF!</v>
      </c>
      <c r="FA111" s="23"/>
      <c r="FB111" s="23"/>
      <c r="FC111" s="23"/>
      <c r="FD111" s="23"/>
      <c r="FE111" s="23"/>
      <c r="FF111" s="23"/>
      <c r="FG111" s="23"/>
      <c r="FH111" s="22"/>
      <c r="FR111" s="4">
        <f t="shared" si="351"/>
        <v>1</v>
      </c>
      <c r="FS111" s="4">
        <f t="shared" si="352"/>
        <v>0.75</v>
      </c>
      <c r="FT111" s="4">
        <f t="shared" si="353"/>
        <v>0</v>
      </c>
      <c r="FU111" s="4" t="e">
        <f t="shared" si="354"/>
        <v>#REF!</v>
      </c>
    </row>
    <row r="112" spans="1:177" s="19" customFormat="1" ht="12" customHeight="1" x14ac:dyDescent="0.3">
      <c r="B112" s="20"/>
      <c r="C112" s="21" t="s">
        <v>295</v>
      </c>
      <c r="D112" s="21">
        <v>472</v>
      </c>
      <c r="E112" s="21" t="e">
        <f>G112*#REF!</f>
        <v>#REF!</v>
      </c>
      <c r="F112" s="21">
        <v>22</v>
      </c>
      <c r="G112" s="7">
        <v>25.4</v>
      </c>
      <c r="H112" s="21">
        <f t="shared" si="441"/>
        <v>914.4</v>
      </c>
      <c r="I112" s="21">
        <f t="shared" si="437"/>
        <v>127</v>
      </c>
      <c r="J112" s="21"/>
      <c r="K112" s="21">
        <f>10*25.4-1.5*G112-S112/2</f>
        <v>185.57916557876416</v>
      </c>
      <c r="L112" s="21">
        <v>3</v>
      </c>
      <c r="M112" s="21">
        <f t="shared" si="424"/>
        <v>50.8</v>
      </c>
      <c r="N112" s="7">
        <f t="shared" si="380"/>
        <v>2.5</v>
      </c>
      <c r="O112" s="10">
        <f>(I112+G112/2)/G112</f>
        <v>5.5</v>
      </c>
      <c r="P112" s="21">
        <v>4.7</v>
      </c>
      <c r="Q112" s="7">
        <f t="shared" si="227"/>
        <v>4.7</v>
      </c>
      <c r="R112" s="21">
        <f t="shared" si="312"/>
        <v>5.7</v>
      </c>
      <c r="S112" s="21">
        <f t="shared" si="313"/>
        <v>60.641668842471674</v>
      </c>
      <c r="T112" s="21"/>
      <c r="U112" s="21"/>
      <c r="V112" s="21">
        <v>169</v>
      </c>
      <c r="W112" s="21"/>
      <c r="X112" s="21"/>
      <c r="Y112" s="21"/>
      <c r="Z112" s="21"/>
      <c r="AA112" s="7">
        <v>1</v>
      </c>
      <c r="AB112" s="7"/>
      <c r="AC112" s="7"/>
      <c r="AD112" s="21"/>
      <c r="AE112" s="4" t="e">
        <f t="shared" si="364"/>
        <v>#REF!</v>
      </c>
      <c r="AF112" s="44" t="e">
        <f t="shared" si="425"/>
        <v>#REF!</v>
      </c>
      <c r="AG112" s="25" t="e">
        <f t="shared" si="314"/>
        <v>#REF!</v>
      </c>
      <c r="AH112" s="4" t="e">
        <f t="shared" si="315"/>
        <v>#REF!</v>
      </c>
      <c r="AI112" s="4">
        <v>1.25</v>
      </c>
      <c r="AJ112" s="25">
        <f t="shared" si="438"/>
        <v>5</v>
      </c>
      <c r="AK112" s="38" t="e">
        <f t="shared" si="205"/>
        <v>#REF!</v>
      </c>
      <c r="AL112" s="38" t="e">
        <f t="shared" si="356"/>
        <v>#REF!</v>
      </c>
      <c r="AM112" s="38"/>
      <c r="AN112" s="38" t="e">
        <f t="shared" si="426"/>
        <v>#REF!</v>
      </c>
      <c r="AO112" s="38" t="e">
        <f t="shared" si="316"/>
        <v>#REF!</v>
      </c>
      <c r="AP112" s="38"/>
      <c r="AQ112" s="4"/>
      <c r="AR112" s="19" t="e">
        <f>#REF!/G112*F112^0.5/0.19</f>
        <v>#REF!</v>
      </c>
      <c r="AS112" s="19">
        <f t="shared" si="317"/>
        <v>1.48</v>
      </c>
      <c r="AT112" s="38">
        <f t="shared" si="318"/>
        <v>352.94198956769088</v>
      </c>
      <c r="AU112" s="19">
        <f t="shared" si="319"/>
        <v>0.34199999999999997</v>
      </c>
      <c r="AV112" s="19" t="e">
        <f>AU112*D112*#REF!/(D112*G112/2.75/F112^0.5)</f>
        <v>#REF!</v>
      </c>
      <c r="AW112" s="19" t="e">
        <f t="shared" si="427"/>
        <v>#REF!</v>
      </c>
      <c r="AY112" s="36">
        <f t="shared" si="428"/>
        <v>1.0652778468231168</v>
      </c>
      <c r="AZ112" s="36" t="e">
        <f>(1.6*#REF!+22)*AY112*F112^0.5</f>
        <v>#REF!</v>
      </c>
      <c r="BE112" s="4">
        <f t="shared" si="321"/>
        <v>99.189582789382087</v>
      </c>
      <c r="BF112" s="4">
        <f t="shared" si="322"/>
        <v>50.8</v>
      </c>
      <c r="BG112" s="4">
        <f t="shared" si="323"/>
        <v>99.189582789382087</v>
      </c>
      <c r="BH112" s="4">
        <f t="shared" si="324"/>
        <v>63.5</v>
      </c>
      <c r="BI112" s="4">
        <f t="shared" si="229"/>
        <v>1.0952550842310671</v>
      </c>
      <c r="BJ112" s="25">
        <f t="shared" si="325"/>
        <v>2.7381377105776679</v>
      </c>
      <c r="BK112" s="4"/>
      <c r="BL112" s="19">
        <f t="shared" si="326"/>
        <v>92.789582789382081</v>
      </c>
      <c r="BP112" s="18"/>
      <c r="BR112" s="18"/>
      <c r="BS112" s="18"/>
      <c r="BT112" s="18">
        <f t="shared" si="327"/>
        <v>92.789582789382081</v>
      </c>
      <c r="BU112" s="18">
        <f t="shared" si="328"/>
        <v>127</v>
      </c>
      <c r="BV112" s="18">
        <f t="shared" si="329"/>
        <v>2.0034496277060567</v>
      </c>
      <c r="BW112" s="9">
        <v>0</v>
      </c>
      <c r="BX112" s="18">
        <f t="shared" si="330"/>
        <v>0</v>
      </c>
      <c r="BY112" s="18">
        <f t="shared" si="429"/>
        <v>0</v>
      </c>
      <c r="BZ112" s="18">
        <f t="shared" si="331"/>
        <v>0.99524931562137331</v>
      </c>
      <c r="CA112" s="18">
        <f t="shared" si="332"/>
        <v>1.056</v>
      </c>
      <c r="CB112" s="18">
        <f t="shared" si="333"/>
        <v>1.7253419844992921</v>
      </c>
      <c r="CC112" s="18">
        <f t="shared" si="334"/>
        <v>3.4566357565107357</v>
      </c>
      <c r="CD112" s="9">
        <v>1</v>
      </c>
      <c r="CE112" s="18" t="e">
        <f>4*CC112*#REF!+60*CC112</f>
        <v>#REF!</v>
      </c>
      <c r="CI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B112" s="4">
        <f t="shared" si="232"/>
        <v>0</v>
      </c>
      <c r="DC112" s="4" t="e">
        <f t="shared" si="335"/>
        <v>#REF!</v>
      </c>
      <c r="DD112" s="4" t="e">
        <f>#REF!/E112</f>
        <v>#REF!</v>
      </c>
      <c r="DF112" s="4" t="e">
        <f t="shared" si="336"/>
        <v>#REF!</v>
      </c>
      <c r="DG112" s="4">
        <f t="shared" si="233"/>
        <v>4.6896020966378407</v>
      </c>
      <c r="DH112" s="4"/>
      <c r="DI112" s="4"/>
      <c r="DJ112" s="4"/>
      <c r="DK112" s="4"/>
      <c r="DL112" s="38" t="e">
        <f t="shared" si="338"/>
        <v>#REF!</v>
      </c>
      <c r="DM112" s="4" t="e">
        <f t="shared" si="361"/>
        <v>#REF!</v>
      </c>
      <c r="DN112" s="4"/>
      <c r="DO112" s="4" t="e">
        <f t="shared" si="363"/>
        <v>#REF!</v>
      </c>
      <c r="DS112" s="19">
        <f t="shared" si="339"/>
        <v>1</v>
      </c>
      <c r="DT112" s="19">
        <f t="shared" si="340"/>
        <v>0.73468668193156661</v>
      </c>
      <c r="DU112" s="19">
        <f t="shared" si="341"/>
        <v>1</v>
      </c>
      <c r="DV112" s="19">
        <f t="shared" si="430"/>
        <v>0.73468668193156661</v>
      </c>
      <c r="DX112" s="4" t="e">
        <f t="shared" si="342"/>
        <v>#REF!</v>
      </c>
      <c r="DY112" s="25" t="e">
        <f t="shared" si="431"/>
        <v>#REF!</v>
      </c>
      <c r="EB112" s="4">
        <f t="shared" si="436"/>
        <v>4.6896020966378407</v>
      </c>
      <c r="EC112" s="4">
        <f t="shared" si="344"/>
        <v>4.6896020966378407</v>
      </c>
      <c r="EE112" s="4">
        <f t="shared" si="345"/>
        <v>60.641668842471674</v>
      </c>
      <c r="EF112" s="4">
        <f t="shared" si="235"/>
        <v>2.3874672772626644</v>
      </c>
      <c r="EG112" s="4" t="e">
        <f t="shared" si="346"/>
        <v>#REF!</v>
      </c>
      <c r="EJ112" s="19" t="e">
        <f t="shared" si="432"/>
        <v>#REF!</v>
      </c>
      <c r="EK112" s="19" t="e">
        <f t="shared" si="347"/>
        <v>#REF!</v>
      </c>
      <c r="EL112" s="4" t="e">
        <f t="shared" si="237"/>
        <v>#REF!</v>
      </c>
      <c r="EM112" s="19" t="e">
        <f t="shared" si="433"/>
        <v>#REF!</v>
      </c>
      <c r="EN112" s="4" t="e">
        <f t="shared" si="239"/>
        <v>#REF!</v>
      </c>
      <c r="EO112" s="4" t="e">
        <f t="shared" si="240"/>
        <v>#REF!</v>
      </c>
      <c r="EP112" s="19" t="e">
        <f t="shared" si="348"/>
        <v>#REF!</v>
      </c>
      <c r="EQ112" s="19" t="e">
        <f t="shared" si="434"/>
        <v>#REF!</v>
      </c>
      <c r="ER112" s="4" t="e">
        <f t="shared" si="349"/>
        <v>#REF!</v>
      </c>
      <c r="ES112" s="4" t="e">
        <f t="shared" si="242"/>
        <v>#REF!</v>
      </c>
      <c r="ET112" s="4" t="e">
        <f t="shared" si="243"/>
        <v>#REF!</v>
      </c>
      <c r="EU112" s="4"/>
      <c r="EV112" s="4" t="e">
        <f t="shared" si="350"/>
        <v>#REF!</v>
      </c>
      <c r="FA112" s="23"/>
      <c r="FB112" s="23"/>
      <c r="FC112" s="23"/>
      <c r="FD112" s="23"/>
      <c r="FE112" s="23"/>
      <c r="FF112" s="23"/>
      <c r="FG112" s="23"/>
      <c r="FH112" s="22"/>
      <c r="FR112" s="4">
        <f t="shared" si="351"/>
        <v>1</v>
      </c>
      <c r="FS112" s="4">
        <f t="shared" si="352"/>
        <v>0.5</v>
      </c>
      <c r="FT112" s="4">
        <f t="shared" si="353"/>
        <v>0</v>
      </c>
      <c r="FU112" s="4" t="e">
        <f t="shared" si="354"/>
        <v>#REF!</v>
      </c>
    </row>
    <row r="113" spans="2:182" ht="12" customHeight="1" x14ac:dyDescent="0.3">
      <c r="B113" s="24"/>
      <c r="C113" s="7" t="s">
        <v>281</v>
      </c>
      <c r="D113" s="7">
        <v>472</v>
      </c>
      <c r="E113" s="7" t="e">
        <f>G113*#REF!</f>
        <v>#REF!</v>
      </c>
      <c r="F113" s="7">
        <v>28</v>
      </c>
      <c r="G113" s="7">
        <v>25.4</v>
      </c>
      <c r="H113" s="7">
        <f t="shared" si="441"/>
        <v>914.4</v>
      </c>
      <c r="I113" s="7">
        <f t="shared" si="437"/>
        <v>127</v>
      </c>
      <c r="J113" s="7"/>
      <c r="K113" s="7">
        <f t="shared" si="435"/>
        <v>101.6</v>
      </c>
      <c r="L113" s="7">
        <v>3</v>
      </c>
      <c r="M113" s="7">
        <f t="shared" si="424"/>
        <v>50.8</v>
      </c>
      <c r="N113" s="7">
        <f t="shared" si="380"/>
        <v>2.5</v>
      </c>
      <c r="O113" s="7">
        <f t="shared" ref="O113:O123" si="442">(M113+G113/2)/G113</f>
        <v>2.5</v>
      </c>
      <c r="P113" s="7">
        <v>4.7</v>
      </c>
      <c r="Q113" s="7">
        <f t="shared" si="227"/>
        <v>4.7</v>
      </c>
      <c r="R113" s="7">
        <f t="shared" si="312"/>
        <v>5.7</v>
      </c>
      <c r="S113" s="7">
        <f t="shared" si="313"/>
        <v>60.641668842471674</v>
      </c>
      <c r="T113" s="7"/>
      <c r="U113" s="7"/>
      <c r="V113" s="7">
        <v>300</v>
      </c>
      <c r="W113" s="7"/>
      <c r="X113" s="7" t="e">
        <f>CK113</f>
        <v>#REF!</v>
      </c>
      <c r="Y113" s="7"/>
      <c r="Z113" s="7"/>
      <c r="AA113" s="7">
        <v>1</v>
      </c>
      <c r="AB113" s="7"/>
      <c r="AC113" s="7"/>
      <c r="AD113" s="7"/>
      <c r="AE113" s="4" t="e">
        <f t="shared" si="364"/>
        <v>#REF!</v>
      </c>
      <c r="AF113" s="44" t="e">
        <f t="shared" si="425"/>
        <v>#REF!</v>
      </c>
      <c r="AG113" s="25" t="e">
        <f t="shared" si="314"/>
        <v>#REF!</v>
      </c>
      <c r="AH113" s="4" t="e">
        <f t="shared" si="315"/>
        <v>#REF!</v>
      </c>
      <c r="AI113" s="4">
        <v>1.25</v>
      </c>
      <c r="AJ113" s="25">
        <f t="shared" si="438"/>
        <v>5</v>
      </c>
      <c r="AK113" s="38" t="e">
        <f t="shared" si="205"/>
        <v>#REF!</v>
      </c>
      <c r="AL113" s="38" t="e">
        <f t="shared" si="356"/>
        <v>#REF!</v>
      </c>
      <c r="AN113" s="38" t="e">
        <f t="shared" si="426"/>
        <v>#REF!</v>
      </c>
      <c r="AO113" s="38" t="e">
        <f t="shared" si="316"/>
        <v>#REF!</v>
      </c>
      <c r="AP113" s="38" t="e">
        <f t="shared" si="357"/>
        <v>#REF!</v>
      </c>
      <c r="AQ113" s="4" t="e">
        <f t="shared" ref="AQ113:AQ153" si="443">IF(AP113&lt;1,1,0)</f>
        <v>#REF!</v>
      </c>
      <c r="AR113" s="4" t="e">
        <f>#REF!/G113*F113^0.5/0.19</f>
        <v>#REF!</v>
      </c>
      <c r="AS113" s="4">
        <f t="shared" si="317"/>
        <v>1</v>
      </c>
      <c r="AT113" s="38">
        <f t="shared" si="318"/>
        <v>303.51276744150317</v>
      </c>
      <c r="AU113" s="4">
        <f t="shared" si="319"/>
        <v>0.34199999999999997</v>
      </c>
      <c r="AV113" s="4" t="e">
        <f>AU113*D113*#REF!/(D113*G113/2.75/F113^0.5)</f>
        <v>#REF!</v>
      </c>
      <c r="AW113" s="4" t="e">
        <f t="shared" si="427"/>
        <v>#REF!</v>
      </c>
      <c r="AY113" s="36">
        <f t="shared" si="428"/>
        <v>1.1274999999999999</v>
      </c>
      <c r="AZ113" s="36" t="e">
        <f>(1.6*#REF!+22)*AY113*F113^0.5</f>
        <v>#REF!</v>
      </c>
      <c r="BE113" s="4">
        <f t="shared" si="321"/>
        <v>57.199999999999996</v>
      </c>
      <c r="BF113" s="4">
        <f t="shared" si="322"/>
        <v>50.8</v>
      </c>
      <c r="BG113" s="4">
        <f t="shared" si="323"/>
        <v>57.199999999999996</v>
      </c>
      <c r="BH113" s="4">
        <f t="shared" si="324"/>
        <v>63.5</v>
      </c>
      <c r="BI113" s="4">
        <f t="shared" si="229"/>
        <v>1.0125984251968505</v>
      </c>
      <c r="BJ113" s="25">
        <f t="shared" si="325"/>
        <v>2.5314960629921264</v>
      </c>
      <c r="BL113" s="4">
        <f t="shared" si="326"/>
        <v>50.8</v>
      </c>
      <c r="BP113" s="9"/>
      <c r="BR113" s="9"/>
      <c r="BS113" s="9"/>
      <c r="BT113" s="9">
        <f t="shared" si="327"/>
        <v>50.8</v>
      </c>
      <c r="BU113" s="9">
        <f t="shared" si="328"/>
        <v>127</v>
      </c>
      <c r="BV113" s="9">
        <f t="shared" si="329"/>
        <v>1.622579553879709</v>
      </c>
      <c r="BW113" s="9">
        <v>0</v>
      </c>
      <c r="BX113" s="9">
        <f t="shared" si="330"/>
        <v>0</v>
      </c>
      <c r="BY113" s="9">
        <f t="shared" si="429"/>
        <v>0</v>
      </c>
      <c r="BZ113" s="9">
        <f t="shared" si="331"/>
        <v>0.99524931562137331</v>
      </c>
      <c r="CA113" s="9">
        <f t="shared" si="332"/>
        <v>1.056</v>
      </c>
      <c r="CB113" s="9">
        <f t="shared" si="333"/>
        <v>1.9464482686693119</v>
      </c>
      <c r="CC113" s="9">
        <f t="shared" si="334"/>
        <v>3.158267163427384</v>
      </c>
      <c r="CD113" s="9">
        <v>1</v>
      </c>
      <c r="CE113" s="9" t="e">
        <f>4*CC113*#REF!+60*CC113</f>
        <v>#REF!</v>
      </c>
      <c r="CG113" s="4" t="e">
        <f t="shared" si="265"/>
        <v>#REF!</v>
      </c>
      <c r="CH113" s="4" t="e">
        <f t="shared" ref="CH113:CH117" si="444">V113/AW113</f>
        <v>#REF!</v>
      </c>
      <c r="CI113" s="4" t="e">
        <f t="shared" si="267"/>
        <v>#REF!</v>
      </c>
      <c r="CJ113" s="4" t="e">
        <f t="shared" si="268"/>
        <v>#REF!</v>
      </c>
      <c r="CK113" s="4" t="e">
        <f t="shared" si="269"/>
        <v>#REF!</v>
      </c>
      <c r="CL113" s="4" t="e">
        <f t="shared" si="270"/>
        <v>#REF!</v>
      </c>
      <c r="CM113" s="4" t="e">
        <f t="shared" si="215"/>
        <v>#REF!</v>
      </c>
      <c r="CO113" s="4" t="e">
        <f t="shared" si="271"/>
        <v>#REF!</v>
      </c>
      <c r="CP113" s="4" t="e">
        <f t="shared" si="272"/>
        <v>#REF!</v>
      </c>
      <c r="CQ113" s="4" t="e">
        <f t="shared" si="273"/>
        <v>#REF!</v>
      </c>
      <c r="CR113" s="4" t="e">
        <f t="shared" ref="CR113:CR117" si="445">CM113</f>
        <v>#REF!</v>
      </c>
      <c r="CS113" s="4" t="e">
        <f t="shared" si="275"/>
        <v>#REF!</v>
      </c>
      <c r="CT113" s="4" t="e">
        <f t="shared" si="276"/>
        <v>#REF!</v>
      </c>
      <c r="DB113" s="4">
        <f t="shared" si="232"/>
        <v>0</v>
      </c>
      <c r="DC113" s="4" t="e">
        <f t="shared" si="335"/>
        <v>#REF!</v>
      </c>
      <c r="DD113" s="4" t="e">
        <f>#REF!/E113</f>
        <v>#REF!</v>
      </c>
      <c r="DF113" s="4" t="e">
        <f t="shared" si="336"/>
        <v>#REF!</v>
      </c>
      <c r="DG113" s="4">
        <f t="shared" si="233"/>
        <v>4.8913150907085621</v>
      </c>
      <c r="DH113" s="4" t="e">
        <f>DO113*S113/257/F113/P113</f>
        <v>#REF!</v>
      </c>
      <c r="DI113" s="4" t="e">
        <f t="shared" si="359"/>
        <v>#REF!</v>
      </c>
      <c r="DJ113" s="4" t="e">
        <f t="shared" si="360"/>
        <v>#REF!</v>
      </c>
      <c r="DK113" s="4" t="e">
        <f>MAX(DG113/2, (4-DF113*(8*S113*(DI113-DJ113)+6*E113*DJ113))/(4+DF113*E113*DG113)*DG113)</f>
        <v>#REF!</v>
      </c>
      <c r="DL113" s="38" t="e">
        <f t="shared" si="338"/>
        <v>#REF!</v>
      </c>
      <c r="DM113" s="4" t="e">
        <f t="shared" si="361"/>
        <v>#REF!</v>
      </c>
      <c r="DN113" s="4">
        <f>S113/G113</f>
        <v>2.3874672772626644</v>
      </c>
      <c r="DO113" s="4" t="e">
        <f t="shared" si="363"/>
        <v>#REF!</v>
      </c>
      <c r="DS113" s="4">
        <f t="shared" si="339"/>
        <v>1</v>
      </c>
      <c r="DT113" s="4">
        <f t="shared" si="340"/>
        <v>0.9</v>
      </c>
      <c r="DU113" s="4">
        <f t="shared" si="341"/>
        <v>1</v>
      </c>
      <c r="DV113" s="4">
        <f t="shared" si="430"/>
        <v>0.9</v>
      </c>
      <c r="DX113" s="4" t="e">
        <f t="shared" si="342"/>
        <v>#REF!</v>
      </c>
      <c r="DY113" s="25" t="e">
        <f t="shared" si="431"/>
        <v>#REF!</v>
      </c>
      <c r="EB113" s="4">
        <f t="shared" si="436"/>
        <v>4.8913150907085621</v>
      </c>
      <c r="EC113" s="4">
        <f t="shared" si="344"/>
        <v>4.8913150907085621</v>
      </c>
      <c r="EE113" s="4">
        <f t="shared" si="345"/>
        <v>60.641668842471674</v>
      </c>
      <c r="EF113" s="4">
        <f t="shared" si="235"/>
        <v>2.3874672772626644</v>
      </c>
      <c r="EG113" s="4" t="e">
        <f t="shared" si="346"/>
        <v>#REF!</v>
      </c>
      <c r="EJ113" s="4" t="e">
        <f t="shared" si="432"/>
        <v>#REF!</v>
      </c>
      <c r="EK113" s="4" t="e">
        <f t="shared" si="347"/>
        <v>#REF!</v>
      </c>
      <c r="EL113" s="4" t="e">
        <f t="shared" si="237"/>
        <v>#REF!</v>
      </c>
      <c r="EM113" s="4" t="e">
        <f t="shared" si="433"/>
        <v>#REF!</v>
      </c>
      <c r="EN113" s="4" t="e">
        <f t="shared" si="239"/>
        <v>#REF!</v>
      </c>
      <c r="EO113" s="4" t="e">
        <f t="shared" si="240"/>
        <v>#REF!</v>
      </c>
      <c r="EP113" s="4" t="e">
        <f t="shared" si="348"/>
        <v>#REF!</v>
      </c>
      <c r="EQ113" s="4" t="e">
        <f t="shared" si="434"/>
        <v>#REF!</v>
      </c>
      <c r="ER113" s="4" t="e">
        <f t="shared" si="349"/>
        <v>#REF!</v>
      </c>
      <c r="ES113" s="4" t="e">
        <f t="shared" si="242"/>
        <v>#REF!</v>
      </c>
      <c r="ET113" s="4" t="e">
        <f t="shared" si="243"/>
        <v>#REF!</v>
      </c>
      <c r="EV113" s="4" t="e">
        <f t="shared" si="350"/>
        <v>#REF!</v>
      </c>
      <c r="FA113" s="23" t="e">
        <f t="shared" si="277"/>
        <v>#REF!</v>
      </c>
      <c r="FB113" s="23" t="e">
        <f t="shared" si="278"/>
        <v>#REF!</v>
      </c>
      <c r="FC113" s="23" t="e">
        <f t="shared" si="290"/>
        <v>#REF!</v>
      </c>
      <c r="FD113" s="23" t="e">
        <f t="shared" si="279"/>
        <v>#REF!</v>
      </c>
      <c r="FE113" s="23" t="e">
        <f t="shared" si="280"/>
        <v>#REF!</v>
      </c>
      <c r="FF113" s="23" t="e">
        <f t="shared" si="281"/>
        <v>#REF!</v>
      </c>
      <c r="FG113" s="23" t="e">
        <f t="shared" si="282"/>
        <v>#REF!</v>
      </c>
      <c r="FH113" s="23"/>
      <c r="FR113" s="4">
        <f t="shared" si="351"/>
        <v>1</v>
      </c>
      <c r="FS113" s="4">
        <f t="shared" si="352"/>
        <v>0.75</v>
      </c>
      <c r="FT113" s="4">
        <f t="shared" si="353"/>
        <v>0</v>
      </c>
      <c r="FU113" s="4" t="e">
        <f t="shared" si="354"/>
        <v>#REF!</v>
      </c>
    </row>
    <row r="114" spans="2:182" ht="12" customHeight="1" x14ac:dyDescent="0.3">
      <c r="B114" s="24"/>
      <c r="C114" s="7" t="s">
        <v>278</v>
      </c>
      <c r="D114" s="7">
        <v>472</v>
      </c>
      <c r="E114" s="7" t="e">
        <f>G114*#REF!</f>
        <v>#REF!</v>
      </c>
      <c r="F114" s="7">
        <v>28</v>
      </c>
      <c r="G114" s="7">
        <v>25.4</v>
      </c>
      <c r="H114" s="7">
        <f t="shared" si="441"/>
        <v>914.4</v>
      </c>
      <c r="I114" s="7">
        <f t="shared" si="437"/>
        <v>127</v>
      </c>
      <c r="J114" s="7"/>
      <c r="K114" s="7">
        <f t="shared" si="435"/>
        <v>101.6</v>
      </c>
      <c r="L114" s="7">
        <v>3</v>
      </c>
      <c r="M114" s="7">
        <f t="shared" si="424"/>
        <v>50.8</v>
      </c>
      <c r="N114" s="7">
        <f t="shared" si="380"/>
        <v>2.5</v>
      </c>
      <c r="O114" s="7">
        <f t="shared" si="442"/>
        <v>2.5</v>
      </c>
      <c r="P114" s="7">
        <v>4.04</v>
      </c>
      <c r="Q114" s="7">
        <f t="shared" si="227"/>
        <v>4.04</v>
      </c>
      <c r="R114" s="7">
        <f t="shared" si="312"/>
        <v>5.04</v>
      </c>
      <c r="S114" s="7">
        <f t="shared" si="313"/>
        <v>57.022858574434863</v>
      </c>
      <c r="T114" s="7"/>
      <c r="U114" s="7"/>
      <c r="V114" s="7">
        <v>306</v>
      </c>
      <c r="W114" s="7"/>
      <c r="X114" s="7" t="e">
        <f>CK114</f>
        <v>#REF!</v>
      </c>
      <c r="Y114" s="7"/>
      <c r="Z114" s="7"/>
      <c r="AA114" s="7">
        <v>1</v>
      </c>
      <c r="AB114" s="7"/>
      <c r="AC114" s="7"/>
      <c r="AD114" s="7"/>
      <c r="AE114" s="4" t="e">
        <f t="shared" si="364"/>
        <v>#REF!</v>
      </c>
      <c r="AF114" s="44" t="e">
        <f t="shared" si="425"/>
        <v>#REF!</v>
      </c>
      <c r="AG114" s="25" t="e">
        <f t="shared" si="314"/>
        <v>#REF!</v>
      </c>
      <c r="AH114" s="4" t="e">
        <f t="shared" si="315"/>
        <v>#REF!</v>
      </c>
      <c r="AI114" s="4">
        <v>1.25</v>
      </c>
      <c r="AJ114" s="25">
        <f t="shared" si="438"/>
        <v>5</v>
      </c>
      <c r="AK114" s="38" t="e">
        <f t="shared" si="205"/>
        <v>#REF!</v>
      </c>
      <c r="AL114" s="38" t="e">
        <f t="shared" si="356"/>
        <v>#REF!</v>
      </c>
      <c r="AN114" s="38" t="e">
        <f t="shared" si="426"/>
        <v>#REF!</v>
      </c>
      <c r="AO114" s="38" t="e">
        <f t="shared" si="316"/>
        <v>#REF!</v>
      </c>
      <c r="AP114" s="38" t="e">
        <f t="shared" si="357"/>
        <v>#REF!</v>
      </c>
      <c r="AQ114" s="4" t="e">
        <f t="shared" si="443"/>
        <v>#REF!</v>
      </c>
      <c r="AR114" s="4" t="e">
        <f>#REF!/G114*F114^0.5/0.19</f>
        <v>#REF!</v>
      </c>
      <c r="AS114" s="4">
        <f t="shared" si="317"/>
        <v>1</v>
      </c>
      <c r="AT114" s="38">
        <f t="shared" si="318"/>
        <v>281.39651739138492</v>
      </c>
      <c r="AU114" s="4">
        <f t="shared" si="319"/>
        <v>0.43440000000000001</v>
      </c>
      <c r="AV114" s="4" t="e">
        <f>AU114*D114*#REF!/(D114*G114/2.75/F114^0.5)</f>
        <v>#REF!</v>
      </c>
      <c r="AW114" s="4" t="e">
        <f t="shared" si="427"/>
        <v>#REF!</v>
      </c>
      <c r="AY114" s="36">
        <f t="shared" si="428"/>
        <v>1.1274999999999999</v>
      </c>
      <c r="AZ114" s="36" t="e">
        <f>(1.6*#REF!+22)*AY114*F114^0.5</f>
        <v>#REF!</v>
      </c>
      <c r="BE114" s="4">
        <f t="shared" si="321"/>
        <v>57.199999999999996</v>
      </c>
      <c r="BF114" s="4">
        <f t="shared" si="322"/>
        <v>50.8</v>
      </c>
      <c r="BG114" s="4">
        <f t="shared" si="323"/>
        <v>57.199999999999996</v>
      </c>
      <c r="BH114" s="4">
        <f t="shared" si="324"/>
        <v>63.5</v>
      </c>
      <c r="BI114" s="4">
        <f t="shared" si="229"/>
        <v>1.0125984251968505</v>
      </c>
      <c r="BJ114" s="25">
        <f t="shared" si="325"/>
        <v>2.5314960629921264</v>
      </c>
      <c r="BL114" s="4">
        <f t="shared" si="326"/>
        <v>50.8</v>
      </c>
      <c r="BP114" s="9"/>
      <c r="BR114" s="9"/>
      <c r="BS114" s="9"/>
      <c r="BT114" s="9">
        <f t="shared" si="327"/>
        <v>50.8</v>
      </c>
      <c r="BU114" s="9">
        <f t="shared" si="328"/>
        <v>127</v>
      </c>
      <c r="BV114" s="9">
        <f t="shared" si="329"/>
        <v>1.622579553879709</v>
      </c>
      <c r="BW114" s="9">
        <v>0</v>
      </c>
      <c r="BX114" s="9">
        <f t="shared" si="330"/>
        <v>0</v>
      </c>
      <c r="BY114" s="9">
        <f t="shared" si="429"/>
        <v>0</v>
      </c>
      <c r="BZ114" s="9">
        <f t="shared" si="331"/>
        <v>0.99524931562137331</v>
      </c>
      <c r="CA114" s="9">
        <f t="shared" si="332"/>
        <v>1.056</v>
      </c>
      <c r="CB114" s="9">
        <f t="shared" si="333"/>
        <v>1.9464482686693119</v>
      </c>
      <c r="CC114" s="9">
        <f t="shared" si="334"/>
        <v>3.158267163427384</v>
      </c>
      <c r="CD114" s="9">
        <v>1</v>
      </c>
      <c r="CE114" s="9" t="e">
        <f>4*CC114*#REF!+60*CC114</f>
        <v>#REF!</v>
      </c>
      <c r="CG114" s="4" t="e">
        <f t="shared" si="265"/>
        <v>#REF!</v>
      </c>
      <c r="CH114" s="4" t="e">
        <f t="shared" si="444"/>
        <v>#REF!</v>
      </c>
      <c r="CI114" s="4" t="e">
        <f t="shared" si="267"/>
        <v>#REF!</v>
      </c>
      <c r="CJ114" s="4" t="e">
        <f t="shared" si="268"/>
        <v>#REF!</v>
      </c>
      <c r="CK114" s="4" t="e">
        <f t="shared" si="269"/>
        <v>#REF!</v>
      </c>
      <c r="CL114" s="4" t="e">
        <f t="shared" si="270"/>
        <v>#REF!</v>
      </c>
      <c r="CM114" s="4" t="e">
        <f t="shared" si="215"/>
        <v>#REF!</v>
      </c>
      <c r="CO114" s="4" t="e">
        <f t="shared" si="271"/>
        <v>#REF!</v>
      </c>
      <c r="CP114" s="4" t="e">
        <f t="shared" si="272"/>
        <v>#REF!</v>
      </c>
      <c r="CQ114" s="4" t="e">
        <f t="shared" si="273"/>
        <v>#REF!</v>
      </c>
      <c r="CR114" s="4" t="e">
        <f t="shared" si="445"/>
        <v>#REF!</v>
      </c>
      <c r="CS114" s="4" t="e">
        <f t="shared" si="275"/>
        <v>#REF!</v>
      </c>
      <c r="CT114" s="4" t="e">
        <f t="shared" si="276"/>
        <v>#REF!</v>
      </c>
      <c r="DB114" s="4">
        <f t="shared" si="232"/>
        <v>0</v>
      </c>
      <c r="DC114" s="4" t="e">
        <f t="shared" si="335"/>
        <v>#REF!</v>
      </c>
      <c r="DD114" s="4" t="e">
        <f>#REF!/E114</f>
        <v>#REF!</v>
      </c>
      <c r="DF114" s="4" t="e">
        <f t="shared" si="336"/>
        <v>#REF!</v>
      </c>
      <c r="DG114" s="4">
        <f t="shared" si="233"/>
        <v>4.8913150907085621</v>
      </c>
      <c r="DH114" s="4" t="e">
        <f>DO114*S114/257/F114/P114</f>
        <v>#REF!</v>
      </c>
      <c r="DI114" s="4" t="e">
        <f t="shared" si="359"/>
        <v>#REF!</v>
      </c>
      <c r="DJ114" s="4" t="e">
        <f t="shared" si="360"/>
        <v>#REF!</v>
      </c>
      <c r="DK114" s="4" t="e">
        <f>MAX(DG114/2, (4-DF114*(8*S114*(DI114-DJ114)+6*E114*DJ114))/(4+DF114*E114*DG114)*DG114)</f>
        <v>#REF!</v>
      </c>
      <c r="DL114" s="38" t="e">
        <f t="shared" si="338"/>
        <v>#REF!</v>
      </c>
      <c r="DM114" s="4" t="e">
        <f t="shared" si="361"/>
        <v>#REF!</v>
      </c>
      <c r="DN114" s="4">
        <f>S114/G114</f>
        <v>2.2449944320643649</v>
      </c>
      <c r="DO114" s="4" t="e">
        <f t="shared" si="363"/>
        <v>#REF!</v>
      </c>
      <c r="DS114" s="4">
        <f t="shared" si="339"/>
        <v>1</v>
      </c>
      <c r="DT114" s="4">
        <f t="shared" si="340"/>
        <v>0.9</v>
      </c>
      <c r="DU114" s="4">
        <f t="shared" si="341"/>
        <v>1</v>
      </c>
      <c r="DV114" s="4">
        <f t="shared" si="430"/>
        <v>0.9</v>
      </c>
      <c r="DX114" s="4" t="e">
        <f t="shared" si="342"/>
        <v>#REF!</v>
      </c>
      <c r="DY114" s="25" t="e">
        <f t="shared" si="431"/>
        <v>#REF!</v>
      </c>
      <c r="EB114" s="4">
        <f t="shared" si="436"/>
        <v>4.8913150907085621</v>
      </c>
      <c r="EC114" s="4">
        <f t="shared" si="344"/>
        <v>4.8913150907085621</v>
      </c>
      <c r="EE114" s="4">
        <f t="shared" si="345"/>
        <v>57.022858574434863</v>
      </c>
      <c r="EF114" s="4">
        <f t="shared" si="235"/>
        <v>2.2449944320643649</v>
      </c>
      <c r="EG114" s="4" t="e">
        <f t="shared" si="346"/>
        <v>#REF!</v>
      </c>
      <c r="EJ114" s="4" t="e">
        <f t="shared" si="432"/>
        <v>#REF!</v>
      </c>
      <c r="EK114" s="4" t="e">
        <f t="shared" si="347"/>
        <v>#REF!</v>
      </c>
      <c r="EL114" s="4" t="e">
        <f t="shared" si="237"/>
        <v>#REF!</v>
      </c>
      <c r="EM114" s="4" t="e">
        <f t="shared" si="433"/>
        <v>#REF!</v>
      </c>
      <c r="EN114" s="4" t="e">
        <f t="shared" si="239"/>
        <v>#REF!</v>
      </c>
      <c r="EO114" s="4" t="e">
        <f t="shared" si="240"/>
        <v>#REF!</v>
      </c>
      <c r="EP114" s="4" t="e">
        <f t="shared" si="348"/>
        <v>#REF!</v>
      </c>
      <c r="EQ114" s="4" t="e">
        <f t="shared" si="434"/>
        <v>#REF!</v>
      </c>
      <c r="ER114" s="4" t="e">
        <f t="shared" si="349"/>
        <v>#REF!</v>
      </c>
      <c r="ES114" s="4" t="e">
        <f t="shared" si="242"/>
        <v>#REF!</v>
      </c>
      <c r="ET114" s="4" t="e">
        <f t="shared" si="243"/>
        <v>#REF!</v>
      </c>
      <c r="EV114" s="4" t="e">
        <f t="shared" si="350"/>
        <v>#REF!</v>
      </c>
      <c r="FA114" s="23" t="e">
        <f t="shared" si="277"/>
        <v>#REF!</v>
      </c>
      <c r="FB114" s="23" t="e">
        <f t="shared" si="278"/>
        <v>#REF!</v>
      </c>
      <c r="FC114" s="23" t="e">
        <f t="shared" si="290"/>
        <v>#REF!</v>
      </c>
      <c r="FD114" s="23" t="e">
        <f t="shared" si="279"/>
        <v>#REF!</v>
      </c>
      <c r="FE114" s="23" t="e">
        <f t="shared" si="280"/>
        <v>#REF!</v>
      </c>
      <c r="FF114" s="23" t="e">
        <f t="shared" si="281"/>
        <v>#REF!</v>
      </c>
      <c r="FG114" s="23" t="e">
        <f t="shared" si="282"/>
        <v>#REF!</v>
      </c>
      <c r="FH114" s="23"/>
      <c r="FR114" s="4">
        <f t="shared" si="351"/>
        <v>1</v>
      </c>
      <c r="FS114" s="4">
        <f t="shared" si="352"/>
        <v>0.75</v>
      </c>
      <c r="FT114" s="4">
        <f t="shared" si="353"/>
        <v>0</v>
      </c>
      <c r="FU114" s="4" t="e">
        <f t="shared" si="354"/>
        <v>#REF!</v>
      </c>
    </row>
    <row r="115" spans="2:182" ht="12" customHeight="1" x14ac:dyDescent="0.3">
      <c r="B115" s="24"/>
      <c r="C115" s="7" t="s">
        <v>281</v>
      </c>
      <c r="D115" s="7">
        <v>472</v>
      </c>
      <c r="E115" s="7" t="e">
        <f>G115*#REF!</f>
        <v>#REF!</v>
      </c>
      <c r="F115" s="7">
        <v>29</v>
      </c>
      <c r="G115" s="7">
        <v>25.4</v>
      </c>
      <c r="H115" s="7">
        <f t="shared" si="441"/>
        <v>914.4</v>
      </c>
      <c r="I115" s="7">
        <f t="shared" si="437"/>
        <v>127</v>
      </c>
      <c r="J115" s="7"/>
      <c r="K115" s="7">
        <f t="shared" si="435"/>
        <v>101.6</v>
      </c>
      <c r="L115" s="7">
        <v>3</v>
      </c>
      <c r="M115" s="7">
        <f t="shared" si="424"/>
        <v>50.8</v>
      </c>
      <c r="N115" s="7">
        <f t="shared" si="380"/>
        <v>2.5</v>
      </c>
      <c r="O115" s="7">
        <f t="shared" si="442"/>
        <v>2.5</v>
      </c>
      <c r="P115" s="7">
        <v>4.7</v>
      </c>
      <c r="Q115" s="7">
        <f t="shared" si="227"/>
        <v>4.7</v>
      </c>
      <c r="R115" s="7">
        <f t="shared" si="312"/>
        <v>5.7</v>
      </c>
      <c r="S115" s="7">
        <f t="shared" si="313"/>
        <v>60.641668842471674</v>
      </c>
      <c r="T115" s="7"/>
      <c r="U115" s="7"/>
      <c r="V115" s="7">
        <v>457</v>
      </c>
      <c r="W115" s="7"/>
      <c r="X115" s="7" t="e">
        <f>CK115</f>
        <v>#REF!</v>
      </c>
      <c r="Y115" s="7"/>
      <c r="Z115" s="7"/>
      <c r="AA115" s="7">
        <v>1</v>
      </c>
      <c r="AB115" s="7"/>
      <c r="AC115" s="7"/>
      <c r="AD115" s="7"/>
      <c r="AE115" s="4" t="e">
        <f t="shared" si="364"/>
        <v>#REF!</v>
      </c>
      <c r="AF115" s="44" t="e">
        <f t="shared" si="425"/>
        <v>#REF!</v>
      </c>
      <c r="AG115" s="25" t="e">
        <f t="shared" si="314"/>
        <v>#REF!</v>
      </c>
      <c r="AH115" s="4" t="e">
        <f t="shared" si="315"/>
        <v>#REF!</v>
      </c>
      <c r="AI115" s="4">
        <v>1.25</v>
      </c>
      <c r="AJ115" s="25">
        <f t="shared" si="438"/>
        <v>5</v>
      </c>
      <c r="AK115" s="38" t="e">
        <f t="shared" si="205"/>
        <v>#REF!</v>
      </c>
      <c r="AL115" s="38" t="e">
        <f t="shared" si="356"/>
        <v>#REF!</v>
      </c>
      <c r="AN115" s="38" t="e">
        <f t="shared" si="426"/>
        <v>#REF!</v>
      </c>
      <c r="AO115" s="38" t="e">
        <f t="shared" si="316"/>
        <v>#REF!</v>
      </c>
      <c r="AP115" s="38" t="e">
        <f t="shared" si="357"/>
        <v>#REF!</v>
      </c>
      <c r="AQ115" s="4" t="e">
        <f t="shared" si="443"/>
        <v>#REF!</v>
      </c>
      <c r="AR115" s="4" t="e">
        <f>#REF!/G115*F115^0.5/0.19</f>
        <v>#REF!</v>
      </c>
      <c r="AS115" s="4">
        <f t="shared" si="317"/>
        <v>1</v>
      </c>
      <c r="AT115" s="38">
        <f t="shared" si="318"/>
        <v>314.35250913584258</v>
      </c>
      <c r="AU115" s="4">
        <f t="shared" si="319"/>
        <v>0.34199999999999997</v>
      </c>
      <c r="AV115" s="4" t="e">
        <f>AU115*D115*#REF!/(D115*G115/2.75/F115^0.5)</f>
        <v>#REF!</v>
      </c>
      <c r="AW115" s="4" t="e">
        <f t="shared" si="427"/>
        <v>#REF!</v>
      </c>
      <c r="AY115" s="36">
        <f t="shared" si="428"/>
        <v>1.1274999999999999</v>
      </c>
      <c r="AZ115" s="36" t="e">
        <f>(1.6*#REF!+22)*AY115*F115^0.5</f>
        <v>#REF!</v>
      </c>
      <c r="BE115" s="4">
        <f t="shared" si="321"/>
        <v>57.199999999999996</v>
      </c>
      <c r="BF115" s="4">
        <f t="shared" si="322"/>
        <v>50.8</v>
      </c>
      <c r="BG115" s="4">
        <f t="shared" si="323"/>
        <v>57.199999999999996</v>
      </c>
      <c r="BH115" s="4">
        <f t="shared" si="324"/>
        <v>63.5</v>
      </c>
      <c r="BI115" s="4">
        <f t="shared" si="229"/>
        <v>1.0125984251968505</v>
      </c>
      <c r="BJ115" s="25">
        <f t="shared" si="325"/>
        <v>2.5314960629921264</v>
      </c>
      <c r="BL115" s="4">
        <f t="shared" si="326"/>
        <v>50.8</v>
      </c>
      <c r="BP115" s="9"/>
      <c r="BR115" s="9"/>
      <c r="BS115" s="9"/>
      <c r="BT115" s="9">
        <f t="shared" si="327"/>
        <v>50.8</v>
      </c>
      <c r="BU115" s="9">
        <f t="shared" si="328"/>
        <v>127</v>
      </c>
      <c r="BV115" s="9">
        <f t="shared" si="329"/>
        <v>1.622579553879709</v>
      </c>
      <c r="BW115" s="9">
        <v>0</v>
      </c>
      <c r="BX115" s="9">
        <f t="shared" si="330"/>
        <v>0</v>
      </c>
      <c r="BY115" s="9">
        <f t="shared" si="429"/>
        <v>0</v>
      </c>
      <c r="BZ115" s="9">
        <f t="shared" si="331"/>
        <v>0.99524931562137331</v>
      </c>
      <c r="CA115" s="9">
        <f t="shared" si="332"/>
        <v>1.056</v>
      </c>
      <c r="CB115" s="9">
        <f t="shared" si="333"/>
        <v>1.9809013552237766</v>
      </c>
      <c r="CC115" s="9">
        <f t="shared" si="334"/>
        <v>3.2141700372387065</v>
      </c>
      <c r="CD115" s="9">
        <v>1</v>
      </c>
      <c r="CE115" s="9" t="e">
        <f>4*CC115*#REF!+60*CC115</f>
        <v>#REF!</v>
      </c>
      <c r="CG115" s="4" t="e">
        <f t="shared" si="265"/>
        <v>#REF!</v>
      </c>
      <c r="CH115" s="4" t="e">
        <f t="shared" si="444"/>
        <v>#REF!</v>
      </c>
      <c r="CI115" s="4" t="e">
        <f t="shared" si="267"/>
        <v>#REF!</v>
      </c>
      <c r="CJ115" s="4" t="e">
        <f t="shared" si="268"/>
        <v>#REF!</v>
      </c>
      <c r="CK115" s="4" t="e">
        <f t="shared" si="269"/>
        <v>#REF!</v>
      </c>
      <c r="CL115" s="4" t="e">
        <f t="shared" si="270"/>
        <v>#REF!</v>
      </c>
      <c r="CM115" s="4" t="e">
        <f t="shared" si="215"/>
        <v>#REF!</v>
      </c>
      <c r="CO115" s="4" t="e">
        <f t="shared" si="271"/>
        <v>#REF!</v>
      </c>
      <c r="CP115" s="4" t="e">
        <f t="shared" si="272"/>
        <v>#REF!</v>
      </c>
      <c r="CQ115" s="4" t="e">
        <f t="shared" si="273"/>
        <v>#REF!</v>
      </c>
      <c r="CR115" s="4" t="e">
        <f t="shared" si="445"/>
        <v>#REF!</v>
      </c>
      <c r="CS115" s="4" t="e">
        <f t="shared" si="275"/>
        <v>#REF!</v>
      </c>
      <c r="CT115" s="4" t="e">
        <f t="shared" si="276"/>
        <v>#REF!</v>
      </c>
      <c r="DB115" s="4">
        <f t="shared" si="232"/>
        <v>0</v>
      </c>
      <c r="DC115" s="4" t="e">
        <f t="shared" si="335"/>
        <v>#REF!</v>
      </c>
      <c r="DD115" s="4" t="e">
        <f>#REF!/E115</f>
        <v>#REF!</v>
      </c>
      <c r="DF115" s="4" t="e">
        <f t="shared" si="336"/>
        <v>#REF!</v>
      </c>
      <c r="DG115" s="4">
        <f t="shared" si="233"/>
        <v>4.9778937606367135</v>
      </c>
      <c r="DH115" s="4" t="e">
        <f>DO115*S115/257/F115/P115</f>
        <v>#REF!</v>
      </c>
      <c r="DI115" s="4" t="e">
        <f t="shared" si="359"/>
        <v>#REF!</v>
      </c>
      <c r="DJ115" s="4" t="e">
        <f t="shared" si="360"/>
        <v>#REF!</v>
      </c>
      <c r="DK115" s="4" t="e">
        <f>MAX(DG115/2, (4-DF115*(8*S115*(DI115-DJ115)+6*E115*DJ115))/(4+DF115*E115*DG115)*DG115)</f>
        <v>#REF!</v>
      </c>
      <c r="DL115" s="38" t="e">
        <f t="shared" si="338"/>
        <v>#REF!</v>
      </c>
      <c r="DM115" s="4" t="e">
        <f t="shared" si="361"/>
        <v>#REF!</v>
      </c>
      <c r="DN115" s="4">
        <f>S115/G115</f>
        <v>2.3874672772626644</v>
      </c>
      <c r="DO115" s="4" t="e">
        <f t="shared" si="363"/>
        <v>#REF!</v>
      </c>
      <c r="DS115" s="4">
        <f t="shared" si="339"/>
        <v>1</v>
      </c>
      <c r="DT115" s="4">
        <f t="shared" si="340"/>
        <v>0.9</v>
      </c>
      <c r="DU115" s="4">
        <f t="shared" si="341"/>
        <v>1</v>
      </c>
      <c r="DV115" s="4">
        <f t="shared" si="430"/>
        <v>0.9</v>
      </c>
      <c r="DX115" s="4" t="e">
        <f t="shared" si="342"/>
        <v>#REF!</v>
      </c>
      <c r="DY115" s="25" t="e">
        <f t="shared" si="431"/>
        <v>#REF!</v>
      </c>
      <c r="EB115" s="4">
        <f t="shared" si="436"/>
        <v>4.9778937606367135</v>
      </c>
      <c r="EC115" s="4">
        <f t="shared" si="344"/>
        <v>4.9778937606367135</v>
      </c>
      <c r="EE115" s="4">
        <f t="shared" si="345"/>
        <v>60.641668842471674</v>
      </c>
      <c r="EF115" s="4">
        <f t="shared" si="235"/>
        <v>2.3874672772626644</v>
      </c>
      <c r="EG115" s="4" t="e">
        <f t="shared" si="346"/>
        <v>#REF!</v>
      </c>
      <c r="EJ115" s="4" t="e">
        <f t="shared" si="432"/>
        <v>#REF!</v>
      </c>
      <c r="EK115" s="4" t="e">
        <f t="shared" si="347"/>
        <v>#REF!</v>
      </c>
      <c r="EL115" s="4" t="e">
        <f t="shared" si="237"/>
        <v>#REF!</v>
      </c>
      <c r="EM115" s="4" t="e">
        <f t="shared" si="433"/>
        <v>#REF!</v>
      </c>
      <c r="EN115" s="4" t="e">
        <f t="shared" si="239"/>
        <v>#REF!</v>
      </c>
      <c r="EO115" s="4" t="e">
        <f t="shared" si="240"/>
        <v>#REF!</v>
      </c>
      <c r="EP115" s="4" t="e">
        <f t="shared" si="348"/>
        <v>#REF!</v>
      </c>
      <c r="EQ115" s="4" t="e">
        <f t="shared" si="434"/>
        <v>#REF!</v>
      </c>
      <c r="ER115" s="4" t="e">
        <f t="shared" si="349"/>
        <v>#REF!</v>
      </c>
      <c r="ES115" s="4" t="e">
        <f t="shared" si="242"/>
        <v>#REF!</v>
      </c>
      <c r="ET115" s="4" t="e">
        <f t="shared" si="243"/>
        <v>#REF!</v>
      </c>
      <c r="EV115" s="4" t="e">
        <f t="shared" si="350"/>
        <v>#REF!</v>
      </c>
      <c r="FA115" s="23" t="e">
        <f t="shared" si="277"/>
        <v>#REF!</v>
      </c>
      <c r="FB115" s="23" t="e">
        <f t="shared" si="278"/>
        <v>#REF!</v>
      </c>
      <c r="FC115" s="23" t="e">
        <f t="shared" si="290"/>
        <v>#REF!</v>
      </c>
      <c r="FD115" s="23" t="e">
        <f t="shared" si="279"/>
        <v>#REF!</v>
      </c>
      <c r="FE115" s="23" t="e">
        <f t="shared" si="280"/>
        <v>#REF!</v>
      </c>
      <c r="FF115" s="23" t="e">
        <f t="shared" si="281"/>
        <v>#REF!</v>
      </c>
      <c r="FG115" s="23" t="e">
        <f t="shared" si="282"/>
        <v>#REF!</v>
      </c>
      <c r="FH115" s="23"/>
      <c r="FR115" s="4">
        <f t="shared" si="351"/>
        <v>1</v>
      </c>
      <c r="FS115" s="4">
        <f t="shared" si="352"/>
        <v>0.75</v>
      </c>
      <c r="FT115" s="4">
        <f t="shared" si="353"/>
        <v>0</v>
      </c>
      <c r="FU115" s="4" t="e">
        <f t="shared" si="354"/>
        <v>#REF!</v>
      </c>
    </row>
    <row r="116" spans="2:182" ht="12" customHeight="1" x14ac:dyDescent="0.3">
      <c r="B116" s="24"/>
      <c r="C116" s="7" t="s">
        <v>278</v>
      </c>
      <c r="D116" s="7">
        <v>472</v>
      </c>
      <c r="E116" s="7" t="e">
        <f>G116*#REF!</f>
        <v>#REF!</v>
      </c>
      <c r="F116" s="7">
        <v>26</v>
      </c>
      <c r="G116" s="7">
        <v>25.4</v>
      </c>
      <c r="H116" s="7">
        <f t="shared" si="441"/>
        <v>914.4</v>
      </c>
      <c r="I116" s="7">
        <f t="shared" si="437"/>
        <v>127</v>
      </c>
      <c r="J116" s="7"/>
      <c r="K116" s="7">
        <f t="shared" si="435"/>
        <v>101.6</v>
      </c>
      <c r="L116" s="7">
        <v>3</v>
      </c>
      <c r="M116" s="7">
        <f t="shared" si="424"/>
        <v>50.8</v>
      </c>
      <c r="N116" s="7">
        <f t="shared" si="380"/>
        <v>2.5</v>
      </c>
      <c r="O116" s="7">
        <f t="shared" si="442"/>
        <v>2.5</v>
      </c>
      <c r="P116" s="7">
        <v>4.04</v>
      </c>
      <c r="Q116" s="7">
        <f t="shared" si="227"/>
        <v>4.04</v>
      </c>
      <c r="R116" s="7">
        <f t="shared" ref="R116:R123" si="446">Q116+1</f>
        <v>5.04</v>
      </c>
      <c r="S116" s="7">
        <f t="shared" ref="S116:S147" si="447">G116*R116^0.5</f>
        <v>57.022858574434863</v>
      </c>
      <c r="T116" s="7"/>
      <c r="U116" s="7"/>
      <c r="V116" s="7">
        <v>352</v>
      </c>
      <c r="W116" s="7"/>
      <c r="X116" s="7" t="e">
        <f>CK116</f>
        <v>#REF!</v>
      </c>
      <c r="Y116" s="7"/>
      <c r="Z116" s="7"/>
      <c r="AA116" s="7">
        <v>1</v>
      </c>
      <c r="AB116" s="7"/>
      <c r="AC116" s="7"/>
      <c r="AD116" s="7"/>
      <c r="AE116" s="4" t="e">
        <f t="shared" si="364"/>
        <v>#REF!</v>
      </c>
      <c r="AF116" s="44" t="e">
        <f t="shared" si="425"/>
        <v>#REF!</v>
      </c>
      <c r="AG116" s="25" t="e">
        <f t="shared" ref="AG116:AG147" si="448">MIN(10*F116^0.5*AE116^1.5,100*3.9*F116^0.5*AE116^(5/3))/(PI()/4*G116^2)/L116</f>
        <v>#REF!</v>
      </c>
      <c r="AH116" s="4" t="e">
        <f t="shared" ref="AH116:AH147" si="449">MIN(0.7+0.3*(MIN(I116,M116)+0.5*G116)/1.5/E116,1)</f>
        <v>#REF!</v>
      </c>
      <c r="AI116" s="4">
        <v>1.25</v>
      </c>
      <c r="AJ116" s="25">
        <f t="shared" si="438"/>
        <v>5</v>
      </c>
      <c r="AK116" s="38" t="e">
        <f t="shared" si="205"/>
        <v>#REF!</v>
      </c>
      <c r="AL116" s="38" t="e">
        <f t="shared" si="356"/>
        <v>#REF!</v>
      </c>
      <c r="AN116" s="38" t="e">
        <f t="shared" si="426"/>
        <v>#REF!</v>
      </c>
      <c r="AO116" s="38" t="e">
        <f t="shared" si="316"/>
        <v>#REF!</v>
      </c>
      <c r="AP116" s="38" t="e">
        <f t="shared" si="357"/>
        <v>#REF!</v>
      </c>
      <c r="AQ116" s="4" t="e">
        <f t="shared" si="443"/>
        <v>#REF!</v>
      </c>
      <c r="AR116" s="4" t="e">
        <f>#REF!/G116*F116^0.5/0.19</f>
        <v>#REF!</v>
      </c>
      <c r="AS116" s="4">
        <f t="shared" ref="AS116:AS147" si="450">MIN(0.6+0.4*(O116/N116),2)</f>
        <v>1</v>
      </c>
      <c r="AT116" s="38">
        <f t="shared" ref="AT116:AT147" si="451">2*F116*N116*P116^0.5*AS116*0.7/0.7</f>
        <v>261.29676614914314</v>
      </c>
      <c r="AU116" s="4">
        <f t="shared" ref="AU116:AU147" si="452">MAX(1-0.7*Q116/5,0.3)</f>
        <v>0.43440000000000001</v>
      </c>
      <c r="AV116" s="4" t="e">
        <f>AU116*D116*#REF!/(D116*G116/2.75/F116^0.5)</f>
        <v>#REF!</v>
      </c>
      <c r="AW116" s="4" t="e">
        <f t="shared" si="427"/>
        <v>#REF!</v>
      </c>
      <c r="AY116" s="36">
        <f t="shared" si="428"/>
        <v>1.1274999999999999</v>
      </c>
      <c r="AZ116" s="36" t="e">
        <f>(1.6*#REF!+22)*AY116*F116^0.5</f>
        <v>#REF!</v>
      </c>
      <c r="BE116" s="4">
        <f t="shared" ref="BE116:BE147" si="453">IF(L116=1,I116,MIN(I116,K116/2+6.4))</f>
        <v>57.199999999999996</v>
      </c>
      <c r="BF116" s="4">
        <f t="shared" ref="BF116:BF147" si="454">MIN(M116,BE116)</f>
        <v>50.8</v>
      </c>
      <c r="BG116" s="4">
        <f t="shared" ref="BG116:BG147" si="455">MAX(M116,BE116)</f>
        <v>57.199999999999996</v>
      </c>
      <c r="BH116" s="4">
        <f t="shared" ref="BH116:BH147" si="456">BF116+G116/2</f>
        <v>63.5</v>
      </c>
      <c r="BI116" s="4">
        <f t="shared" si="229"/>
        <v>1.0125984251968505</v>
      </c>
      <c r="BJ116" s="25">
        <f t="shared" ref="BJ116:BJ147" si="457">MIN(4, (BH116*BI116+(6*F116^0.5*(0.03*G116+0.22)*(Y116^2/4*PI())*2/AA116/L116))/G116)</f>
        <v>2.5314960629921264</v>
      </c>
      <c r="BL116" s="4">
        <f t="shared" ref="BL116:BL147" si="458">IF(K116=0,I116,MIN(K116/2,I116))</f>
        <v>50.8</v>
      </c>
      <c r="BP116" s="9"/>
      <c r="BR116" s="9"/>
      <c r="BS116" s="9"/>
      <c r="BT116" s="9">
        <f t="shared" ref="BT116:BT147" si="459">IF(K116=0,MIN(I116,J116),MIN(K116/2,I116,J116))</f>
        <v>50.8</v>
      </c>
      <c r="BU116" s="9">
        <f t="shared" ref="BU116:BU147" si="460">MAX(K116/2,I116)</f>
        <v>127</v>
      </c>
      <c r="BV116" s="9">
        <f t="shared" ref="BV116:BV147" si="461">(BT116/G116)^0.5*(BU116/BT116)^0.15</f>
        <v>1.622579553879709</v>
      </c>
      <c r="BW116" s="9">
        <v>0</v>
      </c>
      <c r="BX116" s="9">
        <f t="shared" ref="BX116:BX147" si="462">MIN(PI()*Y116^2/4*Z116*2/L116/G116/MAX(0.01,AA116),0.05)</f>
        <v>0</v>
      </c>
      <c r="BY116" s="9">
        <f t="shared" si="429"/>
        <v>0</v>
      </c>
      <c r="BZ116" s="9">
        <f t="shared" ref="BZ116:BZ147" si="463">MIN(1,(25/G116)^0.3)</f>
        <v>0.99524931562137331</v>
      </c>
      <c r="CA116" s="9">
        <f t="shared" ref="CA116:CA147" si="464">IF(D116&gt;=800,0.68,IF(D116&gt;=700,0.75-(D116-700)*0.07/100,IF(D116&gt;=600,0.85-(D116-600)*0.1/100,IF(D116&gt;=500,1-(D116-500)*0.15/100,1.2-(D116-400)*0.2/100))))</f>
        <v>1.056</v>
      </c>
      <c r="CB116" s="9">
        <f t="shared" ref="CB116:CB147" si="465">1.75*BZ116*CA116*(F116/25)^0.5</f>
        <v>1.8756444837875041</v>
      </c>
      <c r="CC116" s="9">
        <f t="shared" ref="CC116:CC147" si="466">MIN((BV116+BY116)*CB116,2.5*CB116,F116^0.5)</f>
        <v>3.0433823897408656</v>
      </c>
      <c r="CD116" s="9">
        <v>1</v>
      </c>
      <c r="CE116" s="9" t="e">
        <f>4*CC116*#REF!+60*CC116</f>
        <v>#REF!</v>
      </c>
      <c r="CG116" s="4" t="e">
        <f t="shared" si="265"/>
        <v>#REF!</v>
      </c>
      <c r="CH116" s="4" t="e">
        <f t="shared" si="444"/>
        <v>#REF!</v>
      </c>
      <c r="CI116" s="4" t="e">
        <f t="shared" si="267"/>
        <v>#REF!</v>
      </c>
      <c r="CJ116" s="4" t="e">
        <f t="shared" si="268"/>
        <v>#REF!</v>
      </c>
      <c r="CK116" s="4" t="e">
        <f t="shared" si="269"/>
        <v>#REF!</v>
      </c>
      <c r="CL116" s="4" t="e">
        <f t="shared" si="270"/>
        <v>#REF!</v>
      </c>
      <c r="CM116" s="4" t="e">
        <f t="shared" si="215"/>
        <v>#REF!</v>
      </c>
      <c r="CO116" s="4" t="e">
        <f t="shared" si="271"/>
        <v>#REF!</v>
      </c>
      <c r="CP116" s="4" t="e">
        <f t="shared" si="272"/>
        <v>#REF!</v>
      </c>
      <c r="CQ116" s="4" t="e">
        <f t="shared" si="273"/>
        <v>#REF!</v>
      </c>
      <c r="CR116" s="4" t="e">
        <f t="shared" si="445"/>
        <v>#REF!</v>
      </c>
      <c r="CS116" s="4" t="e">
        <f t="shared" si="275"/>
        <v>#REF!</v>
      </c>
      <c r="CT116" s="4" t="e">
        <f t="shared" si="276"/>
        <v>#REF!</v>
      </c>
      <c r="DB116" s="4">
        <f t="shared" si="232"/>
        <v>0</v>
      </c>
      <c r="DC116" s="4" t="e">
        <f t="shared" ref="DC116:DC147" si="467">E116</f>
        <v>#REF!</v>
      </c>
      <c r="DD116" s="4" t="e">
        <f>#REF!/E116</f>
        <v>#REF!</v>
      </c>
      <c r="DF116" s="4" t="e">
        <f t="shared" ref="DF116:DF147" si="468">E116/4/(1-0.3*(F116/30)^0.5)/200000/G116</f>
        <v>#REF!</v>
      </c>
      <c r="DG116" s="4">
        <f t="shared" si="233"/>
        <v>4.7133891591304096</v>
      </c>
      <c r="DH116" s="4" t="e">
        <f>DO116*S116/257/F116/P116</f>
        <v>#REF!</v>
      </c>
      <c r="DI116" s="4" t="e">
        <f t="shared" si="359"/>
        <v>#REF!</v>
      </c>
      <c r="DJ116" s="4" t="e">
        <f t="shared" si="360"/>
        <v>#REF!</v>
      </c>
      <c r="DK116" s="4" t="e">
        <f>MAX(DG116/2, (4-DF116*(8*S116*(DI116-DJ116)+6*E116*DJ116))/(4+DF116*E116*DG116)*DG116)</f>
        <v>#REF!</v>
      </c>
      <c r="DL116" s="38" t="e">
        <f t="shared" ref="DL116:DL147" si="469">MIN(1/G116*(4*S116*(DI116-DJ116)+(3*DJ116+DK116)*E116)+DO116 -EV116,MAX(D116,V116))</f>
        <v>#REF!</v>
      </c>
      <c r="DM116" s="4" t="e">
        <f t="shared" si="361"/>
        <v>#REF!</v>
      </c>
      <c r="DN116" s="4">
        <f>S116/G116</f>
        <v>2.2449944320643649</v>
      </c>
      <c r="DO116" s="4" t="e">
        <f t="shared" si="363"/>
        <v>#REF!</v>
      </c>
      <c r="DS116" s="4">
        <f t="shared" ref="DS116:DS147" si="470">IF(J116&gt;1*G116,0.85,1)</f>
        <v>1</v>
      </c>
      <c r="DT116" s="4">
        <f t="shared" ref="DT116:DT147" si="471">MIN(1,MAX(0.7,(1-0.1*(BL116-1*G116)/G116)))</f>
        <v>0.9</v>
      </c>
      <c r="DU116" s="4">
        <f t="shared" ref="DU116:DU147" si="472">MIN(1,MAX(0.7,1-0.3*(PI()*Y116^2/4*Z116*2-0.25*PI()/4*G116^2)/(PI()/4*G116^2)))</f>
        <v>1</v>
      </c>
      <c r="DV116" s="4">
        <f t="shared" si="430"/>
        <v>0.9</v>
      </c>
      <c r="DX116" s="4" t="e">
        <f t="shared" ref="DX116:DX147" si="473">MIN(DG116/G116*3*E116+DY116-EV116,MAX(D116,V116))</f>
        <v>#REF!</v>
      </c>
      <c r="DY116" s="25" t="e">
        <f t="shared" si="431"/>
        <v>#REF!</v>
      </c>
      <c r="EB116" s="4">
        <f t="shared" si="436"/>
        <v>4.7133891591304096</v>
      </c>
      <c r="EC116" s="4">
        <f t="shared" ref="EC116:EC147" si="474">IF(G116&lt;22.2,1.1*5*(F116/30)^0.5,IF(G116&gt;=31.8,0.9*5*(F116/30)^0.5,1*5*(F116/30)^0.5))*BJ116/2.5</f>
        <v>4.7133891591304096</v>
      </c>
      <c r="EE116" s="4">
        <f t="shared" ref="EE116:EE147" si="475">EF116*G116</f>
        <v>57.022858574434863</v>
      </c>
      <c r="EF116" s="4">
        <f t="shared" si="235"/>
        <v>2.2449944320643649</v>
      </c>
      <c r="EG116" s="4" t="e">
        <f t="shared" ref="EG116:EG147" si="476">MIN(DO116)/(4700*F116^0.5)/Q116*EE116</f>
        <v>#REF!</v>
      </c>
      <c r="EJ116" s="4" t="e">
        <f t="shared" si="432"/>
        <v>#REF!</v>
      </c>
      <c r="EK116" s="4" t="e">
        <f t="shared" ref="EK116:EK147" si="477">MIN(0.999, EJ116/(0.3*(F116/30)^0.5))</f>
        <v>#REF!</v>
      </c>
      <c r="EL116" s="4" t="e">
        <f t="shared" si="237"/>
        <v>#REF!</v>
      </c>
      <c r="EM116" s="4" t="e">
        <f t="shared" si="433"/>
        <v>#REF!</v>
      </c>
      <c r="EN116" s="4" t="e">
        <f t="shared" si="239"/>
        <v>#REF!</v>
      </c>
      <c r="EO116" s="4" t="e">
        <f t="shared" si="240"/>
        <v>#REF!</v>
      </c>
      <c r="EP116" s="4" t="e">
        <f t="shared" ref="EP116:EP147" si="478">EO116/(1-0.3*(F116/30)^0.5)/200000/G116</f>
        <v>#REF!</v>
      </c>
      <c r="EQ116" s="4" t="e">
        <f t="shared" si="434"/>
        <v>#REF!</v>
      </c>
      <c r="ER116" s="4" t="e">
        <f t="shared" ref="ER116:ER147" si="479">MIN(4/G116*(1*EL116*EE116+EM116*ES116+ET116*EQ116)+DO116,MAX(D116,V116))</f>
        <v>#REF!</v>
      </c>
      <c r="ES116" s="4" t="e">
        <f t="shared" si="242"/>
        <v>#REF!</v>
      </c>
      <c r="ET116" s="4" t="e">
        <f t="shared" si="243"/>
        <v>#REF!</v>
      </c>
      <c r="EV116" s="4" t="e">
        <f t="shared" si="350"/>
        <v>#REF!</v>
      </c>
      <c r="FA116" s="23" t="e">
        <f t="shared" si="277"/>
        <v>#REF!</v>
      </c>
      <c r="FB116" s="23" t="e">
        <f t="shared" si="278"/>
        <v>#REF!</v>
      </c>
      <c r="FC116" s="23" t="e">
        <f t="shared" si="290"/>
        <v>#REF!</v>
      </c>
      <c r="FD116" s="23" t="e">
        <f t="shared" si="279"/>
        <v>#REF!</v>
      </c>
      <c r="FE116" s="23" t="e">
        <f t="shared" si="280"/>
        <v>#REF!</v>
      </c>
      <c r="FF116" s="23" t="e">
        <f t="shared" si="281"/>
        <v>#REF!</v>
      </c>
      <c r="FG116" s="23" t="e">
        <f t="shared" si="282"/>
        <v>#REF!</v>
      </c>
      <c r="FH116" s="23"/>
      <c r="FR116" s="4">
        <f t="shared" si="351"/>
        <v>1</v>
      </c>
      <c r="FS116" s="4">
        <f t="shared" si="352"/>
        <v>0.75</v>
      </c>
      <c r="FT116" s="4">
        <f t="shared" si="353"/>
        <v>0</v>
      </c>
      <c r="FU116" s="4" t="e">
        <f t="shared" si="354"/>
        <v>#REF!</v>
      </c>
    </row>
    <row r="117" spans="2:182" ht="12" customHeight="1" x14ac:dyDescent="0.3">
      <c r="B117" s="24"/>
      <c r="C117" s="7" t="s">
        <v>278</v>
      </c>
      <c r="D117" s="7">
        <v>472</v>
      </c>
      <c r="E117" s="7" t="e">
        <f>G117*#REF!</f>
        <v>#REF!</v>
      </c>
      <c r="F117" s="7">
        <v>24</v>
      </c>
      <c r="G117" s="7">
        <v>25.4</v>
      </c>
      <c r="H117" s="7">
        <f t="shared" si="441"/>
        <v>914.4</v>
      </c>
      <c r="I117" s="7">
        <f t="shared" si="437"/>
        <v>127</v>
      </c>
      <c r="J117" s="7"/>
      <c r="K117" s="7">
        <f t="shared" si="435"/>
        <v>101.6</v>
      </c>
      <c r="L117" s="7">
        <v>3</v>
      </c>
      <c r="M117" s="7">
        <f t="shared" si="424"/>
        <v>50.8</v>
      </c>
      <c r="N117" s="7">
        <f t="shared" si="380"/>
        <v>2.5</v>
      </c>
      <c r="O117" s="7">
        <f t="shared" si="442"/>
        <v>2.5</v>
      </c>
      <c r="P117" s="7">
        <v>4.04</v>
      </c>
      <c r="Q117" s="7">
        <f t="shared" si="227"/>
        <v>4.04</v>
      </c>
      <c r="R117" s="7">
        <f t="shared" si="446"/>
        <v>5.04</v>
      </c>
      <c r="S117" s="7">
        <f t="shared" si="447"/>
        <v>57.022858574434863</v>
      </c>
      <c r="T117" s="7"/>
      <c r="U117" s="7"/>
      <c r="V117" s="7">
        <v>448</v>
      </c>
      <c r="W117" s="7"/>
      <c r="X117" s="7" t="e">
        <f>CK117</f>
        <v>#REF!</v>
      </c>
      <c r="Y117" s="7"/>
      <c r="Z117" s="7"/>
      <c r="AA117" s="7">
        <v>1</v>
      </c>
      <c r="AB117" s="7"/>
      <c r="AC117" s="7"/>
      <c r="AD117" s="7"/>
      <c r="AE117" s="4" t="e">
        <f t="shared" si="364"/>
        <v>#REF!</v>
      </c>
      <c r="AF117" s="44" t="e">
        <f t="shared" si="425"/>
        <v>#REF!</v>
      </c>
      <c r="AG117" s="25" t="e">
        <f t="shared" si="448"/>
        <v>#REF!</v>
      </c>
      <c r="AH117" s="4" t="e">
        <f t="shared" si="449"/>
        <v>#REF!</v>
      </c>
      <c r="AI117" s="4">
        <v>1.25</v>
      </c>
      <c r="AJ117" s="25">
        <f t="shared" si="438"/>
        <v>5</v>
      </c>
      <c r="AK117" s="38" t="e">
        <f t="shared" ref="AK117:AK155" si="480">AF117*AH117*AI117*AJ117*AG117</f>
        <v>#REF!</v>
      </c>
      <c r="AL117" s="38" t="e">
        <f t="shared" si="356"/>
        <v>#REF!</v>
      </c>
      <c r="AN117" s="38" t="e">
        <f t="shared" si="426"/>
        <v>#REF!</v>
      </c>
      <c r="AO117" s="38" t="e">
        <f t="shared" si="316"/>
        <v>#REF!</v>
      </c>
      <c r="AP117" s="38" t="e">
        <f t="shared" si="357"/>
        <v>#REF!</v>
      </c>
      <c r="AQ117" s="4" t="e">
        <f t="shared" si="443"/>
        <v>#REF!</v>
      </c>
      <c r="AR117" s="4" t="e">
        <f>#REF!/G117*F117^0.5/0.19</f>
        <v>#REF!</v>
      </c>
      <c r="AS117" s="4">
        <f t="shared" si="450"/>
        <v>1</v>
      </c>
      <c r="AT117" s="38">
        <f t="shared" si="451"/>
        <v>241.19701490690136</v>
      </c>
      <c r="AU117" s="4">
        <f t="shared" si="452"/>
        <v>0.43440000000000001</v>
      </c>
      <c r="AV117" s="4" t="e">
        <f>AU117*D117*#REF!/(D117*G117/2.75/F117^0.5)</f>
        <v>#REF!</v>
      </c>
      <c r="AW117" s="4" t="e">
        <f t="shared" si="427"/>
        <v>#REF!</v>
      </c>
      <c r="AY117" s="36">
        <f t="shared" si="428"/>
        <v>1.1274999999999999</v>
      </c>
      <c r="AZ117" s="36" t="e">
        <f>(1.6*#REF!+22)*AY117*F117^0.5</f>
        <v>#REF!</v>
      </c>
      <c r="BE117" s="4">
        <f t="shared" si="453"/>
        <v>57.199999999999996</v>
      </c>
      <c r="BF117" s="4">
        <f t="shared" si="454"/>
        <v>50.8</v>
      </c>
      <c r="BG117" s="4">
        <f t="shared" si="455"/>
        <v>57.199999999999996</v>
      </c>
      <c r="BH117" s="4">
        <f t="shared" si="456"/>
        <v>63.5</v>
      </c>
      <c r="BI117" s="4">
        <f t="shared" si="229"/>
        <v>1.0125984251968505</v>
      </c>
      <c r="BJ117" s="25">
        <f t="shared" si="457"/>
        <v>2.5314960629921264</v>
      </c>
      <c r="BL117" s="4">
        <f t="shared" si="458"/>
        <v>50.8</v>
      </c>
      <c r="BP117" s="9"/>
      <c r="BR117" s="9"/>
      <c r="BS117" s="9"/>
      <c r="BT117" s="9">
        <f t="shared" si="459"/>
        <v>50.8</v>
      </c>
      <c r="BU117" s="9">
        <f t="shared" si="460"/>
        <v>127</v>
      </c>
      <c r="BV117" s="9">
        <f t="shared" si="461"/>
        <v>1.622579553879709</v>
      </c>
      <c r="BW117" s="9">
        <v>0</v>
      </c>
      <c r="BX117" s="9">
        <f t="shared" si="462"/>
        <v>0</v>
      </c>
      <c r="BY117" s="9">
        <f t="shared" si="429"/>
        <v>0</v>
      </c>
      <c r="BZ117" s="9">
        <f t="shared" si="463"/>
        <v>0.99524931562137331</v>
      </c>
      <c r="CA117" s="9">
        <f t="shared" si="464"/>
        <v>1.056</v>
      </c>
      <c r="CB117" s="9">
        <f t="shared" si="465"/>
        <v>1.8020609303015322</v>
      </c>
      <c r="CC117" s="9">
        <f t="shared" si="466"/>
        <v>2.9239872203527137</v>
      </c>
      <c r="CD117" s="9">
        <v>1</v>
      </c>
      <c r="CE117" s="9" t="e">
        <f>4*CC117*#REF!+60*CC117</f>
        <v>#REF!</v>
      </c>
      <c r="CG117" s="4" t="e">
        <f t="shared" si="265"/>
        <v>#REF!</v>
      </c>
      <c r="CH117" s="4" t="e">
        <f t="shared" si="444"/>
        <v>#REF!</v>
      </c>
      <c r="CI117" s="4" t="e">
        <f t="shared" si="267"/>
        <v>#REF!</v>
      </c>
      <c r="CJ117" s="4" t="e">
        <f t="shared" si="268"/>
        <v>#REF!</v>
      </c>
      <c r="CK117" s="4" t="e">
        <f t="shared" si="269"/>
        <v>#REF!</v>
      </c>
      <c r="CL117" s="4" t="e">
        <f t="shared" si="270"/>
        <v>#REF!</v>
      </c>
      <c r="CM117" s="4" t="e">
        <f t="shared" ref="CM117:CM153" si="481">V117/FU117</f>
        <v>#REF!</v>
      </c>
      <c r="CO117" s="4" t="e">
        <f t="shared" si="271"/>
        <v>#REF!</v>
      </c>
      <c r="CP117" s="4" t="e">
        <f t="shared" si="272"/>
        <v>#REF!</v>
      </c>
      <c r="CQ117" s="4" t="e">
        <f t="shared" si="273"/>
        <v>#REF!</v>
      </c>
      <c r="CR117" s="4" t="e">
        <f t="shared" si="445"/>
        <v>#REF!</v>
      </c>
      <c r="CS117" s="4" t="e">
        <f t="shared" si="275"/>
        <v>#REF!</v>
      </c>
      <c r="CT117" s="4" t="e">
        <f t="shared" si="276"/>
        <v>#REF!</v>
      </c>
      <c r="DB117" s="4">
        <f t="shared" si="232"/>
        <v>0</v>
      </c>
      <c r="DC117" s="4" t="e">
        <f t="shared" si="467"/>
        <v>#REF!</v>
      </c>
      <c r="DD117" s="4" t="e">
        <f>#REF!/E117</f>
        <v>#REF!</v>
      </c>
      <c r="DF117" s="4" t="e">
        <f t="shared" si="468"/>
        <v>#REF!</v>
      </c>
      <c r="DG117" s="4">
        <f t="shared" si="233"/>
        <v>4.5284778252987881</v>
      </c>
      <c r="DH117" s="4" t="e">
        <f>DO117*S117/257/F117/P117</f>
        <v>#REF!</v>
      </c>
      <c r="DI117" s="4" t="e">
        <f t="shared" si="359"/>
        <v>#REF!</v>
      </c>
      <c r="DJ117" s="4" t="e">
        <f t="shared" si="360"/>
        <v>#REF!</v>
      </c>
      <c r="DK117" s="4" t="e">
        <f>MAX(DG117/2, (4-DF117*(8*S117*(DI117-DJ117)+6*E117*DJ117))/(4+DF117*E117*DG117)*DG117)</f>
        <v>#REF!</v>
      </c>
      <c r="DL117" s="38" t="e">
        <f t="shared" si="469"/>
        <v>#REF!</v>
      </c>
      <c r="DM117" s="4" t="e">
        <f t="shared" si="361"/>
        <v>#REF!</v>
      </c>
      <c r="DN117" s="4">
        <f>S117/G117</f>
        <v>2.2449944320643649</v>
      </c>
      <c r="DO117" s="4" t="e">
        <f t="shared" si="363"/>
        <v>#REF!</v>
      </c>
      <c r="DS117" s="4">
        <f t="shared" si="470"/>
        <v>1</v>
      </c>
      <c r="DT117" s="4">
        <f t="shared" si="471"/>
        <v>0.9</v>
      </c>
      <c r="DU117" s="4">
        <f t="shared" si="472"/>
        <v>1</v>
      </c>
      <c r="DV117" s="4">
        <f t="shared" si="430"/>
        <v>0.9</v>
      </c>
      <c r="DX117" s="4" t="e">
        <f t="shared" si="473"/>
        <v>#REF!</v>
      </c>
      <c r="DY117" s="25" t="e">
        <f t="shared" si="431"/>
        <v>#REF!</v>
      </c>
      <c r="EB117" s="4">
        <f t="shared" si="436"/>
        <v>4.5284778252987881</v>
      </c>
      <c r="EC117" s="4">
        <f t="shared" si="474"/>
        <v>4.5284778252987881</v>
      </c>
      <c r="EE117" s="4">
        <f t="shared" si="475"/>
        <v>57.022858574434863</v>
      </c>
      <c r="EF117" s="4">
        <f t="shared" si="235"/>
        <v>2.2449944320643649</v>
      </c>
      <c r="EG117" s="4" t="e">
        <f t="shared" si="476"/>
        <v>#REF!</v>
      </c>
      <c r="EJ117" s="4" t="e">
        <f t="shared" si="432"/>
        <v>#REF!</v>
      </c>
      <c r="EK117" s="4" t="e">
        <f t="shared" si="477"/>
        <v>#REF!</v>
      </c>
      <c r="EL117" s="4" t="e">
        <f t="shared" si="237"/>
        <v>#REF!</v>
      </c>
      <c r="EM117" s="4" t="e">
        <f t="shared" si="433"/>
        <v>#REF!</v>
      </c>
      <c r="EN117" s="4" t="e">
        <f t="shared" si="239"/>
        <v>#REF!</v>
      </c>
      <c r="EO117" s="4" t="e">
        <f t="shared" si="240"/>
        <v>#REF!</v>
      </c>
      <c r="EP117" s="4" t="e">
        <f t="shared" si="478"/>
        <v>#REF!</v>
      </c>
      <c r="EQ117" s="4" t="e">
        <f t="shared" si="434"/>
        <v>#REF!</v>
      </c>
      <c r="ER117" s="4" t="e">
        <f t="shared" si="479"/>
        <v>#REF!</v>
      </c>
      <c r="ES117" s="4" t="e">
        <f t="shared" si="242"/>
        <v>#REF!</v>
      </c>
      <c r="ET117" s="4" t="e">
        <f t="shared" si="243"/>
        <v>#REF!</v>
      </c>
      <c r="EV117" s="4" t="e">
        <f t="shared" si="350"/>
        <v>#REF!</v>
      </c>
      <c r="FA117" s="23" t="e">
        <f t="shared" si="277"/>
        <v>#REF!</v>
      </c>
      <c r="FB117" s="23" t="e">
        <f t="shared" si="278"/>
        <v>#REF!</v>
      </c>
      <c r="FC117" s="23" t="e">
        <f t="shared" si="290"/>
        <v>#REF!</v>
      </c>
      <c r="FD117" s="23" t="e">
        <f t="shared" si="279"/>
        <v>#REF!</v>
      </c>
      <c r="FE117" s="23" t="e">
        <f t="shared" si="280"/>
        <v>#REF!</v>
      </c>
      <c r="FF117" s="23" t="e">
        <f t="shared" si="281"/>
        <v>#REF!</v>
      </c>
      <c r="FG117" s="23" t="e">
        <f t="shared" si="282"/>
        <v>#REF!</v>
      </c>
      <c r="FH117" s="23"/>
      <c r="FR117" s="4">
        <f t="shared" si="351"/>
        <v>1</v>
      </c>
      <c r="FS117" s="4">
        <f t="shared" si="352"/>
        <v>0.75</v>
      </c>
      <c r="FT117" s="4">
        <f t="shared" si="353"/>
        <v>0</v>
      </c>
      <c r="FU117" s="4" t="e">
        <f t="shared" si="354"/>
        <v>#REF!</v>
      </c>
      <c r="FW117" s="4">
        <f>25.4^0.5/145^0.75/0.0024</f>
        <v>50.255039065656455</v>
      </c>
      <c r="FX117" s="4">
        <f>1/FW117</f>
        <v>1.989850209236799E-2</v>
      </c>
    </row>
    <row r="118" spans="2:182" s="19" customFormat="1" ht="12" customHeight="1" x14ac:dyDescent="0.3">
      <c r="B118" s="20" t="s">
        <v>296</v>
      </c>
      <c r="C118" s="21" t="s">
        <v>278</v>
      </c>
      <c r="D118" s="21">
        <v>472</v>
      </c>
      <c r="E118" s="21">
        <v>0</v>
      </c>
      <c r="F118" s="21">
        <v>24</v>
      </c>
      <c r="G118" s="21">
        <v>25.4</v>
      </c>
      <c r="H118" s="21">
        <f t="shared" si="441"/>
        <v>914.4</v>
      </c>
      <c r="I118" s="21">
        <f t="shared" si="437"/>
        <v>127</v>
      </c>
      <c r="J118" s="21"/>
      <c r="K118" s="21">
        <f t="shared" si="435"/>
        <v>101.6</v>
      </c>
      <c r="L118" s="21">
        <v>3</v>
      </c>
      <c r="M118" s="21">
        <f t="shared" si="424"/>
        <v>50.8</v>
      </c>
      <c r="N118" s="21">
        <f t="shared" si="380"/>
        <v>2.5</v>
      </c>
      <c r="O118" s="21">
        <f t="shared" si="442"/>
        <v>2.5</v>
      </c>
      <c r="P118" s="21">
        <v>4.04</v>
      </c>
      <c r="Q118" s="21">
        <f t="shared" si="227"/>
        <v>4.04</v>
      </c>
      <c r="R118" s="21">
        <f t="shared" si="446"/>
        <v>5.04</v>
      </c>
      <c r="S118" s="21">
        <f t="shared" si="447"/>
        <v>57.022858574434863</v>
      </c>
      <c r="T118" s="21"/>
      <c r="U118" s="21"/>
      <c r="V118" s="21">
        <v>375</v>
      </c>
      <c r="W118" s="21"/>
      <c r="X118" s="21"/>
      <c r="Y118" s="21"/>
      <c r="Z118" s="21"/>
      <c r="AA118" s="21">
        <v>1</v>
      </c>
      <c r="AB118" s="21"/>
      <c r="AC118" s="21"/>
      <c r="AD118" s="21"/>
      <c r="AE118" s="19">
        <f t="shared" si="364"/>
        <v>0</v>
      </c>
      <c r="AF118" s="19" t="e">
        <f t="shared" si="425"/>
        <v>#DIV/0!</v>
      </c>
      <c r="AG118" s="19">
        <f t="shared" si="448"/>
        <v>0</v>
      </c>
      <c r="AH118" s="19" t="e">
        <f t="shared" si="449"/>
        <v>#DIV/0!</v>
      </c>
      <c r="AI118" s="19">
        <v>1.25</v>
      </c>
      <c r="AJ118" s="19">
        <f t="shared" si="438"/>
        <v>5</v>
      </c>
      <c r="AK118" s="19" t="e">
        <f t="shared" si="480"/>
        <v>#DIV/0!</v>
      </c>
      <c r="AL118" s="19" t="e">
        <f t="shared" si="356"/>
        <v>#DIV/0!</v>
      </c>
      <c r="AN118" s="19" t="e">
        <f t="shared" si="426"/>
        <v>#DIV/0!</v>
      </c>
      <c r="AO118" s="19" t="e">
        <f t="shared" si="316"/>
        <v>#DIV/0!</v>
      </c>
      <c r="AR118" s="19" t="e">
        <f>#REF!/G118*F118^0.5/0.19</f>
        <v>#REF!</v>
      </c>
      <c r="AS118" s="19">
        <f t="shared" si="450"/>
        <v>1</v>
      </c>
      <c r="AT118" s="19">
        <f t="shared" si="451"/>
        <v>241.19701490690136</v>
      </c>
      <c r="AU118" s="19">
        <f t="shared" si="452"/>
        <v>0.43440000000000001</v>
      </c>
      <c r="AV118" s="19" t="e">
        <f>AU118*D118*#REF!/(D118*G118/2.75/F118^0.5)</f>
        <v>#REF!</v>
      </c>
      <c r="AW118" s="19" t="e">
        <f t="shared" si="427"/>
        <v>#REF!</v>
      </c>
      <c r="AY118" s="19">
        <f t="shared" si="428"/>
        <v>1.1274999999999999</v>
      </c>
      <c r="AZ118" s="19" t="e">
        <f>(1.6*#REF!+22)*AY118*F118^0.5</f>
        <v>#REF!</v>
      </c>
      <c r="BE118" s="19">
        <f t="shared" si="453"/>
        <v>57.199999999999996</v>
      </c>
      <c r="BF118" s="19">
        <f t="shared" si="454"/>
        <v>50.8</v>
      </c>
      <c r="BG118" s="19">
        <f t="shared" si="455"/>
        <v>57.199999999999996</v>
      </c>
      <c r="BH118" s="19">
        <f t="shared" si="456"/>
        <v>63.5</v>
      </c>
      <c r="BI118" s="19">
        <f t="shared" si="229"/>
        <v>1.0125984251968505</v>
      </c>
      <c r="BJ118" s="25">
        <f t="shared" si="457"/>
        <v>2.5314960629921264</v>
      </c>
      <c r="BL118" s="19">
        <f t="shared" si="458"/>
        <v>50.8</v>
      </c>
      <c r="BP118" s="18"/>
      <c r="BR118" s="18"/>
      <c r="BS118" s="18"/>
      <c r="BT118" s="18">
        <f t="shared" si="459"/>
        <v>50.8</v>
      </c>
      <c r="BU118" s="18">
        <f t="shared" si="460"/>
        <v>127</v>
      </c>
      <c r="BV118" s="18">
        <f t="shared" si="461"/>
        <v>1.622579553879709</v>
      </c>
      <c r="BW118" s="18">
        <v>0</v>
      </c>
      <c r="BX118" s="18">
        <f t="shared" si="462"/>
        <v>0</v>
      </c>
      <c r="BY118" s="18">
        <f t="shared" si="429"/>
        <v>0</v>
      </c>
      <c r="BZ118" s="18">
        <f t="shared" si="463"/>
        <v>0.99524931562137331</v>
      </c>
      <c r="CA118" s="18">
        <f t="shared" si="464"/>
        <v>1.056</v>
      </c>
      <c r="CB118" s="18">
        <f t="shared" si="465"/>
        <v>1.8020609303015322</v>
      </c>
      <c r="CC118" s="18">
        <f t="shared" si="466"/>
        <v>2.9239872203527137</v>
      </c>
      <c r="CD118" s="18">
        <v>1</v>
      </c>
      <c r="CE118" s="18" t="e">
        <f>4*CC118*#REF!+60*CC118</f>
        <v>#REF!</v>
      </c>
      <c r="DB118" s="19">
        <f t="shared" si="232"/>
        <v>0</v>
      </c>
      <c r="DC118" s="19">
        <f t="shared" si="467"/>
        <v>0</v>
      </c>
      <c r="DD118" s="19" t="e">
        <f>#REF!/E118</f>
        <v>#REF!</v>
      </c>
      <c r="DF118" s="19">
        <f t="shared" si="468"/>
        <v>0</v>
      </c>
      <c r="DG118" s="19">
        <f t="shared" si="233"/>
        <v>4.5284778252987881</v>
      </c>
      <c r="DL118" s="38" t="e">
        <f t="shared" si="469"/>
        <v>#DIV/0!</v>
      </c>
      <c r="DM118" s="19" t="e">
        <f t="shared" si="361"/>
        <v>#DIV/0!</v>
      </c>
      <c r="DO118" s="4" t="e">
        <f t="shared" si="363"/>
        <v>#DIV/0!</v>
      </c>
      <c r="DS118" s="19">
        <f t="shared" si="470"/>
        <v>1</v>
      </c>
      <c r="DT118" s="19">
        <f t="shared" si="471"/>
        <v>0.9</v>
      </c>
      <c r="DU118" s="19">
        <f t="shared" si="472"/>
        <v>1</v>
      </c>
      <c r="DV118" s="19">
        <f t="shared" si="430"/>
        <v>0.9</v>
      </c>
      <c r="DX118" s="4" t="e">
        <f t="shared" si="473"/>
        <v>#DIV/0!</v>
      </c>
      <c r="DY118" s="25" t="e">
        <f t="shared" si="431"/>
        <v>#DIV/0!</v>
      </c>
      <c r="EB118" s="19">
        <f t="shared" si="436"/>
        <v>4.5284778252987881</v>
      </c>
      <c r="EC118" s="19">
        <f t="shared" si="474"/>
        <v>4.5284778252987881</v>
      </c>
      <c r="EE118" s="19">
        <f t="shared" si="475"/>
        <v>57.022858574434863</v>
      </c>
      <c r="EF118" s="19">
        <f t="shared" si="235"/>
        <v>2.2449944320643649</v>
      </c>
      <c r="EG118" s="19" t="e">
        <f t="shared" si="476"/>
        <v>#DIV/0!</v>
      </c>
      <c r="EJ118" s="19" t="e">
        <f t="shared" si="432"/>
        <v>#DIV/0!</v>
      </c>
      <c r="EK118" s="19" t="e">
        <f t="shared" si="477"/>
        <v>#DIV/0!</v>
      </c>
      <c r="EL118" s="19" t="e">
        <f t="shared" si="237"/>
        <v>#DIV/0!</v>
      </c>
      <c r="EM118" s="19" t="e">
        <f t="shared" si="433"/>
        <v>#DIV/0!</v>
      </c>
      <c r="EN118" s="19">
        <f t="shared" si="239"/>
        <v>0</v>
      </c>
      <c r="EO118" s="19">
        <f t="shared" si="240"/>
        <v>0</v>
      </c>
      <c r="EP118" s="19">
        <f t="shared" si="478"/>
        <v>0</v>
      </c>
      <c r="EQ118" s="19" t="e">
        <f t="shared" si="434"/>
        <v>#DIV/0!</v>
      </c>
      <c r="ER118" s="19" t="e">
        <f t="shared" si="479"/>
        <v>#DIV/0!</v>
      </c>
      <c r="ES118" s="19" t="e">
        <f t="shared" si="242"/>
        <v>#REF!</v>
      </c>
      <c r="ET118" s="19" t="e">
        <f t="shared" si="243"/>
        <v>#REF!</v>
      </c>
      <c r="FA118" s="22"/>
      <c r="FB118" s="22"/>
      <c r="FC118" s="22"/>
      <c r="FD118" s="22"/>
      <c r="FE118" s="22"/>
      <c r="FF118" s="22"/>
      <c r="FG118" s="22"/>
      <c r="FH118" s="22"/>
      <c r="FR118" s="19">
        <f t="shared" si="351"/>
        <v>1</v>
      </c>
      <c r="FS118" s="19">
        <f t="shared" si="352"/>
        <v>0.75</v>
      </c>
      <c r="FT118" s="19">
        <f t="shared" si="353"/>
        <v>0</v>
      </c>
      <c r="FU118" s="19">
        <f t="shared" si="354"/>
        <v>0</v>
      </c>
    </row>
    <row r="119" spans="2:182" ht="12" customHeight="1" x14ac:dyDescent="0.3">
      <c r="B119" s="24" t="s">
        <v>292</v>
      </c>
      <c r="C119" s="7" t="s">
        <v>281</v>
      </c>
      <c r="D119" s="7">
        <v>472</v>
      </c>
      <c r="E119" s="7" t="e">
        <f>G119*#REF!</f>
        <v>#REF!</v>
      </c>
      <c r="F119" s="7">
        <v>29</v>
      </c>
      <c r="G119" s="7">
        <v>25.4</v>
      </c>
      <c r="H119" s="7">
        <f t="shared" si="441"/>
        <v>914.4</v>
      </c>
      <c r="I119" s="7">
        <f t="shared" si="437"/>
        <v>127</v>
      </c>
      <c r="J119" s="7"/>
      <c r="K119" s="7">
        <f t="shared" si="435"/>
        <v>101.6</v>
      </c>
      <c r="L119" s="7">
        <v>3</v>
      </c>
      <c r="M119" s="7">
        <f t="shared" si="424"/>
        <v>50.8</v>
      </c>
      <c r="N119" s="7">
        <f t="shared" si="380"/>
        <v>2.5</v>
      </c>
      <c r="O119" s="7">
        <f t="shared" si="442"/>
        <v>2.5</v>
      </c>
      <c r="P119" s="7">
        <v>4.7</v>
      </c>
      <c r="Q119" s="7">
        <f t="shared" si="227"/>
        <v>4.7</v>
      </c>
      <c r="R119" s="7">
        <f t="shared" si="446"/>
        <v>5.7</v>
      </c>
      <c r="S119" s="7">
        <f t="shared" si="447"/>
        <v>60.641668842471674</v>
      </c>
      <c r="T119" s="7"/>
      <c r="U119" s="7"/>
      <c r="V119" s="7">
        <v>378</v>
      </c>
      <c r="W119" s="7"/>
      <c r="X119" s="7" t="e">
        <f t="shared" ref="X119:X153" si="482">CK119</f>
        <v>#REF!</v>
      </c>
      <c r="Y119" s="7">
        <f>25.4/4</f>
        <v>6.35</v>
      </c>
      <c r="Z119" s="7">
        <v>2</v>
      </c>
      <c r="AA119" s="7" t="e">
        <f>E119-2*25.4</f>
        <v>#REF!</v>
      </c>
      <c r="AB119" s="7">
        <v>2</v>
      </c>
      <c r="AC119" s="7">
        <v>2</v>
      </c>
      <c r="AD119" s="7"/>
      <c r="AE119" s="4" t="e">
        <f t="shared" ref="AE119:AE153" si="483">E119</f>
        <v>#REF!</v>
      </c>
      <c r="AF119" s="44" t="e">
        <f t="shared" si="425"/>
        <v>#REF!</v>
      </c>
      <c r="AG119" s="25" t="e">
        <f t="shared" si="448"/>
        <v>#REF!</v>
      </c>
      <c r="AH119" s="4" t="e">
        <f t="shared" si="449"/>
        <v>#REF!</v>
      </c>
      <c r="AI119" s="4">
        <v>1.25</v>
      </c>
      <c r="AJ119" s="25">
        <f t="shared" si="438"/>
        <v>5</v>
      </c>
      <c r="AK119" s="38" t="e">
        <f t="shared" si="480"/>
        <v>#REF!</v>
      </c>
      <c r="AL119" s="38" t="e">
        <f t="shared" si="356"/>
        <v>#REF!</v>
      </c>
      <c r="AN119" s="38" t="e">
        <f t="shared" si="426"/>
        <v>#REF!</v>
      </c>
      <c r="AO119" s="38" t="e">
        <f t="shared" si="316"/>
        <v>#REF!</v>
      </c>
      <c r="AP119" s="38" t="e">
        <f t="shared" si="357"/>
        <v>#REF!</v>
      </c>
      <c r="AQ119" s="4" t="e">
        <f t="shared" si="443"/>
        <v>#REF!</v>
      </c>
      <c r="AR119" s="4" t="e">
        <f>#REF!/G119*F119^0.5/0.19</f>
        <v>#REF!</v>
      </c>
      <c r="AS119" s="4">
        <f t="shared" si="450"/>
        <v>1</v>
      </c>
      <c r="AT119" s="38">
        <f t="shared" si="451"/>
        <v>314.35250913584258</v>
      </c>
      <c r="AU119" s="4">
        <f t="shared" si="452"/>
        <v>0.34199999999999997</v>
      </c>
      <c r="AV119" s="4" t="e">
        <f>AU119*D119*#REF!/(D119*G119/2.75/F119^0.5)</f>
        <v>#REF!</v>
      </c>
      <c r="AW119" s="4" t="e">
        <f t="shared" si="427"/>
        <v>#REF!</v>
      </c>
      <c r="AY119" s="36" t="e">
        <f t="shared" si="428"/>
        <v>#REF!</v>
      </c>
      <c r="AZ119" s="36" t="e">
        <f>(1.6*#REF!+22)*AY119*F119^0.5</f>
        <v>#REF!</v>
      </c>
      <c r="BE119" s="4">
        <f t="shared" si="453"/>
        <v>57.199999999999996</v>
      </c>
      <c r="BF119" s="4">
        <f t="shared" si="454"/>
        <v>50.8</v>
      </c>
      <c r="BG119" s="4">
        <f t="shared" si="455"/>
        <v>57.199999999999996</v>
      </c>
      <c r="BH119" s="4">
        <f t="shared" si="456"/>
        <v>63.5</v>
      </c>
      <c r="BI119" s="4">
        <f t="shared" si="229"/>
        <v>1.0125984251968505</v>
      </c>
      <c r="BJ119" s="25" t="e">
        <f t="shared" si="457"/>
        <v>#REF!</v>
      </c>
      <c r="BL119" s="4">
        <f t="shared" si="458"/>
        <v>50.8</v>
      </c>
      <c r="BP119" s="9"/>
      <c r="BR119" s="9"/>
      <c r="BS119" s="9"/>
      <c r="BT119" s="9">
        <f t="shared" si="459"/>
        <v>50.8</v>
      </c>
      <c r="BU119" s="9">
        <f t="shared" si="460"/>
        <v>127</v>
      </c>
      <c r="BV119" s="9">
        <f t="shared" si="461"/>
        <v>1.622579553879709</v>
      </c>
      <c r="BW119" s="9">
        <v>0</v>
      </c>
      <c r="BX119" s="9" t="e">
        <f t="shared" si="462"/>
        <v>#REF!</v>
      </c>
      <c r="BY119" s="9" t="e">
        <f t="shared" si="429"/>
        <v>#REF!</v>
      </c>
      <c r="BZ119" s="9">
        <f t="shared" si="463"/>
        <v>0.99524931562137331</v>
      </c>
      <c r="CA119" s="9">
        <f t="shared" si="464"/>
        <v>1.056</v>
      </c>
      <c r="CB119" s="9">
        <f t="shared" si="465"/>
        <v>1.9809013552237766</v>
      </c>
      <c r="CC119" s="9" t="e">
        <f t="shared" si="466"/>
        <v>#REF!</v>
      </c>
      <c r="CD119" s="9">
        <v>1</v>
      </c>
      <c r="CE119" s="9" t="e">
        <f>4*CC119*#REF!+60*CC119</f>
        <v>#REF!</v>
      </c>
      <c r="CG119" s="4" t="e">
        <f>V119/AR119</f>
        <v>#REF!</v>
      </c>
      <c r="CH119" s="4" t="e">
        <f>V119/AW119</f>
        <v>#REF!</v>
      </c>
      <c r="CI119" s="4" t="e">
        <f t="shared" si="267"/>
        <v>#REF!</v>
      </c>
      <c r="CJ119" s="4" t="e">
        <f t="shared" ref="CJ119:CJ147" si="484">V119/CE119</f>
        <v>#REF!</v>
      </c>
      <c r="CK119" s="4" t="e">
        <f t="shared" si="269"/>
        <v>#REF!</v>
      </c>
      <c r="CL119" s="4" t="e">
        <f t="shared" si="270"/>
        <v>#REF!</v>
      </c>
      <c r="CM119" s="4" t="e">
        <f t="shared" si="481"/>
        <v>#REF!</v>
      </c>
      <c r="CU119" s="4" t="e">
        <f t="shared" si="372"/>
        <v>#REF!</v>
      </c>
      <c r="CV119" s="4" t="e">
        <f t="shared" si="373"/>
        <v>#REF!</v>
      </c>
      <c r="CW119" s="4" t="e">
        <f t="shared" si="374"/>
        <v>#REF!</v>
      </c>
      <c r="CX119" s="4" t="e">
        <f t="shared" ref="CX119:CX123" si="485">CM119</f>
        <v>#REF!</v>
      </c>
      <c r="CY119" s="4" t="e">
        <f t="shared" si="376"/>
        <v>#REF!</v>
      </c>
      <c r="CZ119" s="4" t="e">
        <f t="shared" si="377"/>
        <v>#REF!</v>
      </c>
      <c r="DB119" s="4">
        <f t="shared" si="232"/>
        <v>2</v>
      </c>
      <c r="DC119" s="4" t="e">
        <f t="shared" si="467"/>
        <v>#REF!</v>
      </c>
      <c r="DD119" s="4" t="e">
        <f>#REF!/E119</f>
        <v>#REF!</v>
      </c>
      <c r="DF119" s="4" t="e">
        <f t="shared" si="468"/>
        <v>#REF!</v>
      </c>
      <c r="DG119" s="4" t="e">
        <f t="shared" si="233"/>
        <v>#REF!</v>
      </c>
      <c r="DH119" s="4" t="e">
        <f t="shared" ref="DH119:DH153" si="486">DO119*S119/257/F119/P119</f>
        <v>#REF!</v>
      </c>
      <c r="DI119" s="4" t="e">
        <f t="shared" si="359"/>
        <v>#REF!</v>
      </c>
      <c r="DJ119" s="4" t="e">
        <f t="shared" si="360"/>
        <v>#REF!</v>
      </c>
      <c r="DK119" s="4" t="e">
        <f t="shared" ref="DK119:DK153" si="487">MAX(DG119/2, (4-DF119*(8*S119*(DI119-DJ119)+6*E119*DJ119))/(4+DF119*E119*DG119)*DG119)</f>
        <v>#REF!</v>
      </c>
      <c r="DL119" s="38" t="e">
        <f t="shared" si="469"/>
        <v>#REF!</v>
      </c>
      <c r="DM119" s="4" t="e">
        <f t="shared" si="361"/>
        <v>#REF!</v>
      </c>
      <c r="DN119" s="4">
        <f t="shared" ref="DN119:DN153" si="488">S119/G119</f>
        <v>2.3874672772626644</v>
      </c>
      <c r="DO119" s="4" t="e">
        <f t="shared" si="363"/>
        <v>#REF!</v>
      </c>
      <c r="DS119" s="4">
        <f t="shared" si="470"/>
        <v>1</v>
      </c>
      <c r="DT119" s="4">
        <f t="shared" si="471"/>
        <v>0.9</v>
      </c>
      <c r="DU119" s="4">
        <f t="shared" si="472"/>
        <v>1</v>
      </c>
      <c r="DV119" s="4">
        <f t="shared" si="430"/>
        <v>0.9</v>
      </c>
      <c r="DX119" s="4" t="e">
        <f t="shared" si="473"/>
        <v>#REF!</v>
      </c>
      <c r="DY119" s="25" t="e">
        <f t="shared" si="431"/>
        <v>#REF!</v>
      </c>
      <c r="EB119" s="4" t="e">
        <f t="shared" si="436"/>
        <v>#REF!</v>
      </c>
      <c r="EC119" s="4" t="e">
        <f t="shared" si="474"/>
        <v>#REF!</v>
      </c>
      <c r="EE119" s="4">
        <f t="shared" si="475"/>
        <v>60.641668842471674</v>
      </c>
      <c r="EF119" s="4">
        <f t="shared" si="235"/>
        <v>2.3874672772626644</v>
      </c>
      <c r="EG119" s="4" t="e">
        <f t="shared" si="476"/>
        <v>#REF!</v>
      </c>
      <c r="EJ119" s="4" t="e">
        <f t="shared" si="432"/>
        <v>#REF!</v>
      </c>
      <c r="EK119" s="4" t="e">
        <f t="shared" si="477"/>
        <v>#REF!</v>
      </c>
      <c r="EL119" s="4" t="e">
        <f t="shared" si="237"/>
        <v>#REF!</v>
      </c>
      <c r="EM119" s="4" t="e">
        <f t="shared" si="433"/>
        <v>#REF!</v>
      </c>
      <c r="EN119" s="4" t="e">
        <f t="shared" si="239"/>
        <v>#REF!</v>
      </c>
      <c r="EO119" s="4" t="e">
        <f t="shared" si="240"/>
        <v>#REF!</v>
      </c>
      <c r="EP119" s="4" t="e">
        <f t="shared" si="478"/>
        <v>#REF!</v>
      </c>
      <c r="EQ119" s="4" t="e">
        <f t="shared" si="434"/>
        <v>#REF!</v>
      </c>
      <c r="ER119" s="4" t="e">
        <f t="shared" si="479"/>
        <v>#REF!</v>
      </c>
      <c r="ES119" s="4" t="e">
        <f t="shared" si="242"/>
        <v>#REF!</v>
      </c>
      <c r="ET119" s="4" t="e">
        <f t="shared" si="243"/>
        <v>#REF!</v>
      </c>
      <c r="EV119" s="4" t="e">
        <f t="shared" ref="EV119:EV153" si="489">4/G119*(1*EL119*EE119+EM119*EN119+EO119*EQ119)+DO119 - (4/G119*(1*EL119*EE119+EM119*ES119+ET119*EQ119)+DO119)</f>
        <v>#REF!</v>
      </c>
      <c r="FA119" s="23" t="e">
        <f t="shared" ref="FA119:FA153" si="490">IF(CG119&lt;0.6,0.6,IF(CG119&lt;0.8,0.8,IF(CG119&lt;1,1,IF(CG119&lt;1.2,1.2,IF(CG119&lt;1.4,1.4,IF(CG119&lt;1.6,1.6,IF(CG119&lt;1.8,1.8,IF(CG119&lt;2,2,2.2))))))))</f>
        <v>#REF!</v>
      </c>
      <c r="FB119" s="23" t="e">
        <f t="shared" ref="FB119:FB147" si="491">IF(CH119&lt;0.6,0.6,IF(CH119&lt;0.8,0.8,IF(CH119&lt;1,1,IF(CH119&lt;1.2,1.2,IF(CH119&lt;1.4,1.4,IF(CH119&lt;1.6,1.6,IF(CH119&lt;1.8,1.8,IF(CH119&lt;2,2,2.2))))))))</f>
        <v>#REF!</v>
      </c>
      <c r="FC119" s="23" t="e">
        <f t="shared" si="290"/>
        <v>#REF!</v>
      </c>
      <c r="FD119" s="23" t="e">
        <f t="shared" ref="FD119:FD153" si="492">IF(CJ119&lt;0.6,0.6,IF(CJ119&lt;0.8,0.8,IF(CJ119&lt;1,1,IF(CJ119&lt;1.2,1.2,IF(CJ119&lt;1.4,1.4,IF(CJ119&lt;1.6,1.6,IF(CJ119&lt;1.8,1.8,IF(CJ119&lt;2,2,2.2))))))))</f>
        <v>#REF!</v>
      </c>
      <c r="FE119" s="23" t="e">
        <f t="shared" ref="FE119:FE153" si="493">IF(CK119&lt;0.6,0.6,IF(CK119&lt;0.8,0.8,IF(CK119&lt;1,1,IF(CK119&lt;1.2,1.2,IF(CK119&lt;1.4,1.4,IF(CK119&lt;1.6,1.6,IF(CK119&lt;1.8,1.8,IF(CK119&lt;2,2,2.2))))))))</f>
        <v>#REF!</v>
      </c>
      <c r="FF119" s="23" t="e">
        <f t="shared" ref="FF119:FF153" si="494">IF(CL119&lt;0.6,0.6,IF(CL119&lt;0.8,0.8,IF(CL119&lt;1,1,IF(CL119&lt;1.2,1.2,IF(CL119&lt;1.4,1.4,IF(CL119&lt;1.6,1.6,IF(CL119&lt;1.8,1.8,IF(CL119&lt;2,2,2.2))))))))</f>
        <v>#REF!</v>
      </c>
      <c r="FG119" s="23" t="e">
        <f t="shared" si="282"/>
        <v>#REF!</v>
      </c>
      <c r="FH119" s="23"/>
      <c r="FR119" s="4">
        <f t="shared" si="351"/>
        <v>1</v>
      </c>
      <c r="FS119" s="4" t="e">
        <f t="shared" si="352"/>
        <v>#REF!</v>
      </c>
      <c r="FT119" s="4">
        <f t="shared" si="353"/>
        <v>8.3333333333333343E-2</v>
      </c>
      <c r="FU119" s="4" t="e">
        <f t="shared" si="354"/>
        <v>#REF!</v>
      </c>
      <c r="FW119" s="4" t="e">
        <f>(E119)/(G119)^1.5/0.0199*(F119)^0.25/FR119/FS119</f>
        <v>#REF!</v>
      </c>
    </row>
    <row r="120" spans="2:182" ht="12" customHeight="1" x14ac:dyDescent="0.3">
      <c r="B120" s="24"/>
      <c r="C120" s="7" t="s">
        <v>278</v>
      </c>
      <c r="D120" s="7">
        <v>472</v>
      </c>
      <c r="E120" s="7" t="e">
        <f>G120*#REF!</f>
        <v>#REF!</v>
      </c>
      <c r="F120" s="7">
        <v>24</v>
      </c>
      <c r="G120" s="7">
        <v>25.4</v>
      </c>
      <c r="H120" s="7">
        <f t="shared" si="441"/>
        <v>914.4</v>
      </c>
      <c r="I120" s="7">
        <f t="shared" si="437"/>
        <v>127</v>
      </c>
      <c r="J120" s="7"/>
      <c r="K120" s="7">
        <f t="shared" si="435"/>
        <v>101.6</v>
      </c>
      <c r="L120" s="7">
        <v>3</v>
      </c>
      <c r="M120" s="7">
        <f t="shared" si="424"/>
        <v>50.8</v>
      </c>
      <c r="N120" s="7">
        <f t="shared" si="380"/>
        <v>2.5</v>
      </c>
      <c r="O120" s="7">
        <f t="shared" si="442"/>
        <v>2.5</v>
      </c>
      <c r="P120" s="7">
        <v>4.04</v>
      </c>
      <c r="Q120" s="7">
        <f t="shared" si="227"/>
        <v>4.04</v>
      </c>
      <c r="R120" s="7">
        <f t="shared" si="446"/>
        <v>5.04</v>
      </c>
      <c r="S120" s="7">
        <f t="shared" si="447"/>
        <v>57.022858574434863</v>
      </c>
      <c r="T120" s="7"/>
      <c r="U120" s="7"/>
      <c r="V120" s="7">
        <v>373</v>
      </c>
      <c r="W120" s="7"/>
      <c r="X120" s="7" t="e">
        <f t="shared" si="482"/>
        <v>#REF!</v>
      </c>
      <c r="Y120" s="7">
        <v>9.5</v>
      </c>
      <c r="Z120" s="7">
        <v>2</v>
      </c>
      <c r="AA120" s="7" t="e">
        <f>E120-2*25.4</f>
        <v>#REF!</v>
      </c>
      <c r="AB120" s="7">
        <v>2</v>
      </c>
      <c r="AC120" s="7">
        <v>2</v>
      </c>
      <c r="AD120" s="7"/>
      <c r="AE120" s="4" t="e">
        <f t="shared" si="483"/>
        <v>#REF!</v>
      </c>
      <c r="AF120" s="44" t="e">
        <f t="shared" si="425"/>
        <v>#REF!</v>
      </c>
      <c r="AG120" s="25" t="e">
        <f t="shared" si="448"/>
        <v>#REF!</v>
      </c>
      <c r="AH120" s="4" t="e">
        <f t="shared" si="449"/>
        <v>#REF!</v>
      </c>
      <c r="AI120" s="4">
        <v>1.25</v>
      </c>
      <c r="AJ120" s="25">
        <f t="shared" si="438"/>
        <v>5</v>
      </c>
      <c r="AK120" s="38" t="e">
        <f t="shared" si="480"/>
        <v>#REF!</v>
      </c>
      <c r="AL120" s="38" t="e">
        <f t="shared" si="356"/>
        <v>#REF!</v>
      </c>
      <c r="AN120" s="38" t="e">
        <f t="shared" si="426"/>
        <v>#REF!</v>
      </c>
      <c r="AO120" s="38" t="e">
        <f t="shared" si="316"/>
        <v>#REF!</v>
      </c>
      <c r="AP120" s="38" t="e">
        <f t="shared" si="357"/>
        <v>#REF!</v>
      </c>
      <c r="AQ120" s="4" t="e">
        <f t="shared" si="443"/>
        <v>#REF!</v>
      </c>
      <c r="AR120" s="4" t="e">
        <f>#REF!/G120*F120^0.5/0.19</f>
        <v>#REF!</v>
      </c>
      <c r="AS120" s="4">
        <f t="shared" si="450"/>
        <v>1</v>
      </c>
      <c r="AT120" s="38">
        <f t="shared" si="451"/>
        <v>241.19701490690136</v>
      </c>
      <c r="AU120" s="4">
        <f t="shared" si="452"/>
        <v>0.43440000000000001</v>
      </c>
      <c r="AV120" s="4" t="e">
        <f>AU120*D120*#REF!/(D120*G120/2.75/F120^0.5)</f>
        <v>#REF!</v>
      </c>
      <c r="AW120" s="4" t="e">
        <f t="shared" si="427"/>
        <v>#REF!</v>
      </c>
      <c r="AY120" s="36" t="e">
        <f t="shared" si="428"/>
        <v>#REF!</v>
      </c>
      <c r="AZ120" s="36" t="e">
        <f>(1.6*#REF!+22)*AY120*F120^0.5</f>
        <v>#REF!</v>
      </c>
      <c r="BE120" s="4">
        <f t="shared" si="453"/>
        <v>57.199999999999996</v>
      </c>
      <c r="BF120" s="4">
        <f t="shared" si="454"/>
        <v>50.8</v>
      </c>
      <c r="BG120" s="4">
        <f t="shared" si="455"/>
        <v>57.199999999999996</v>
      </c>
      <c r="BH120" s="4">
        <f t="shared" si="456"/>
        <v>63.5</v>
      </c>
      <c r="BI120" s="4">
        <f t="shared" si="229"/>
        <v>1.0125984251968505</v>
      </c>
      <c r="BJ120" s="25" t="e">
        <f t="shared" si="457"/>
        <v>#REF!</v>
      </c>
      <c r="BL120" s="4">
        <f t="shared" si="458"/>
        <v>50.8</v>
      </c>
      <c r="BP120" s="9"/>
      <c r="BR120" s="9"/>
      <c r="BS120" s="9"/>
      <c r="BT120" s="9">
        <f t="shared" si="459"/>
        <v>50.8</v>
      </c>
      <c r="BU120" s="9">
        <f t="shared" si="460"/>
        <v>127</v>
      </c>
      <c r="BV120" s="9">
        <f t="shared" si="461"/>
        <v>1.622579553879709</v>
      </c>
      <c r="BW120" s="9">
        <v>0</v>
      </c>
      <c r="BX120" s="9" t="e">
        <f t="shared" si="462"/>
        <v>#REF!</v>
      </c>
      <c r="BY120" s="9" t="e">
        <f t="shared" si="429"/>
        <v>#REF!</v>
      </c>
      <c r="BZ120" s="9">
        <f t="shared" si="463"/>
        <v>0.99524931562137331</v>
      </c>
      <c r="CA120" s="9">
        <f t="shared" si="464"/>
        <v>1.056</v>
      </c>
      <c r="CB120" s="9">
        <f t="shared" si="465"/>
        <v>1.8020609303015322</v>
      </c>
      <c r="CC120" s="9" t="e">
        <f t="shared" si="466"/>
        <v>#REF!</v>
      </c>
      <c r="CD120" s="9">
        <v>1</v>
      </c>
      <c r="CE120" s="9" t="e">
        <f>4*CC120*#REF!+60*CC120</f>
        <v>#REF!</v>
      </c>
      <c r="CG120" s="4" t="e">
        <f>V120/AR120</f>
        <v>#REF!</v>
      </c>
      <c r="CH120" s="4" t="e">
        <f>V120/AW120</f>
        <v>#REF!</v>
      </c>
      <c r="CI120" s="4" t="e">
        <f t="shared" si="267"/>
        <v>#REF!</v>
      </c>
      <c r="CJ120" s="4" t="e">
        <f t="shared" si="484"/>
        <v>#REF!</v>
      </c>
      <c r="CK120" s="4" t="e">
        <f t="shared" si="269"/>
        <v>#REF!</v>
      </c>
      <c r="CL120" s="4" t="e">
        <f t="shared" si="270"/>
        <v>#REF!</v>
      </c>
      <c r="CM120" s="4" t="e">
        <f t="shared" si="481"/>
        <v>#REF!</v>
      </c>
      <c r="CU120" s="4" t="e">
        <f t="shared" si="372"/>
        <v>#REF!</v>
      </c>
      <c r="CV120" s="4" t="e">
        <f t="shared" si="373"/>
        <v>#REF!</v>
      </c>
      <c r="CW120" s="4" t="e">
        <f t="shared" si="374"/>
        <v>#REF!</v>
      </c>
      <c r="CX120" s="4" t="e">
        <f t="shared" si="485"/>
        <v>#REF!</v>
      </c>
      <c r="CY120" s="4" t="e">
        <f t="shared" si="376"/>
        <v>#REF!</v>
      </c>
      <c r="CZ120" s="4" t="e">
        <f t="shared" si="377"/>
        <v>#REF!</v>
      </c>
      <c r="DB120" s="4">
        <f t="shared" si="232"/>
        <v>2</v>
      </c>
      <c r="DC120" s="4" t="e">
        <f t="shared" si="467"/>
        <v>#REF!</v>
      </c>
      <c r="DD120" s="4" t="e">
        <f>#REF!/E120</f>
        <v>#REF!</v>
      </c>
      <c r="DF120" s="4" t="e">
        <f t="shared" si="468"/>
        <v>#REF!</v>
      </c>
      <c r="DG120" s="4" t="e">
        <f t="shared" si="233"/>
        <v>#REF!</v>
      </c>
      <c r="DH120" s="4" t="e">
        <f t="shared" si="486"/>
        <v>#REF!</v>
      </c>
      <c r="DI120" s="4" t="e">
        <f t="shared" si="359"/>
        <v>#REF!</v>
      </c>
      <c r="DJ120" s="4" t="e">
        <f t="shared" si="360"/>
        <v>#REF!</v>
      </c>
      <c r="DK120" s="4" t="e">
        <f t="shared" si="487"/>
        <v>#REF!</v>
      </c>
      <c r="DL120" s="38" t="e">
        <f t="shared" si="469"/>
        <v>#REF!</v>
      </c>
      <c r="DM120" s="4" t="e">
        <f t="shared" si="361"/>
        <v>#REF!</v>
      </c>
      <c r="DN120" s="4">
        <f t="shared" si="488"/>
        <v>2.2449944320643649</v>
      </c>
      <c r="DO120" s="4" t="e">
        <f t="shared" si="363"/>
        <v>#REF!</v>
      </c>
      <c r="DS120" s="4">
        <f t="shared" si="470"/>
        <v>1</v>
      </c>
      <c r="DT120" s="4">
        <f t="shared" si="471"/>
        <v>0.9</v>
      </c>
      <c r="DU120" s="4">
        <f t="shared" si="472"/>
        <v>0.90713466426932854</v>
      </c>
      <c r="DV120" s="4">
        <f t="shared" si="430"/>
        <v>0.81642119784239575</v>
      </c>
      <c r="DX120" s="4" t="e">
        <f t="shared" si="473"/>
        <v>#REF!</v>
      </c>
      <c r="DY120" s="25" t="e">
        <f t="shared" si="431"/>
        <v>#REF!</v>
      </c>
      <c r="EB120" s="4" t="e">
        <f t="shared" si="436"/>
        <v>#REF!</v>
      </c>
      <c r="EC120" s="4" t="e">
        <f t="shared" si="474"/>
        <v>#REF!</v>
      </c>
      <c r="EE120" s="4">
        <f t="shared" si="475"/>
        <v>57.022858574434863</v>
      </c>
      <c r="EF120" s="4">
        <f t="shared" si="235"/>
        <v>2.2449944320643649</v>
      </c>
      <c r="EG120" s="4" t="e">
        <f t="shared" si="476"/>
        <v>#REF!</v>
      </c>
      <c r="EJ120" s="4" t="e">
        <f t="shared" si="432"/>
        <v>#REF!</v>
      </c>
      <c r="EK120" s="4" t="e">
        <f t="shared" si="477"/>
        <v>#REF!</v>
      </c>
      <c r="EL120" s="4" t="e">
        <f t="shared" si="237"/>
        <v>#REF!</v>
      </c>
      <c r="EM120" s="4" t="e">
        <f t="shared" si="433"/>
        <v>#REF!</v>
      </c>
      <c r="EN120" s="4" t="e">
        <f t="shared" si="239"/>
        <v>#REF!</v>
      </c>
      <c r="EO120" s="4" t="e">
        <f t="shared" si="240"/>
        <v>#REF!</v>
      </c>
      <c r="EP120" s="4" t="e">
        <f t="shared" si="478"/>
        <v>#REF!</v>
      </c>
      <c r="EQ120" s="4" t="e">
        <f t="shared" si="434"/>
        <v>#REF!</v>
      </c>
      <c r="ER120" s="4" t="e">
        <f t="shared" si="479"/>
        <v>#REF!</v>
      </c>
      <c r="ES120" s="4" t="e">
        <f t="shared" si="242"/>
        <v>#REF!</v>
      </c>
      <c r="ET120" s="4" t="e">
        <f t="shared" si="243"/>
        <v>#REF!</v>
      </c>
      <c r="EV120" s="4" t="e">
        <f t="shared" si="489"/>
        <v>#REF!</v>
      </c>
      <c r="FA120" s="23" t="e">
        <f t="shared" si="490"/>
        <v>#REF!</v>
      </c>
      <c r="FB120" s="23" t="e">
        <f t="shared" si="491"/>
        <v>#REF!</v>
      </c>
      <c r="FC120" s="23" t="e">
        <f t="shared" si="290"/>
        <v>#REF!</v>
      </c>
      <c r="FD120" s="23" t="e">
        <f t="shared" si="492"/>
        <v>#REF!</v>
      </c>
      <c r="FE120" s="23" t="e">
        <f t="shared" si="493"/>
        <v>#REF!</v>
      </c>
      <c r="FF120" s="23" t="e">
        <f t="shared" si="494"/>
        <v>#REF!</v>
      </c>
      <c r="FG120" s="23" t="e">
        <f t="shared" si="282"/>
        <v>#REF!</v>
      </c>
      <c r="FH120" s="23"/>
      <c r="FR120" s="4">
        <f t="shared" si="351"/>
        <v>1</v>
      </c>
      <c r="FS120" s="4" t="e">
        <f t="shared" si="352"/>
        <v>#REF!</v>
      </c>
      <c r="FT120" s="4">
        <f t="shared" si="353"/>
        <v>0.18651703970074607</v>
      </c>
      <c r="FU120" s="4" t="e">
        <f t="shared" si="354"/>
        <v>#REF!</v>
      </c>
      <c r="FW120" s="4" t="e">
        <f>(E120)/(G120)^1.5/0.0199*(F120)^0.25/FR120/FS120</f>
        <v>#REF!</v>
      </c>
    </row>
    <row r="121" spans="2:182" ht="12" customHeight="1" x14ac:dyDescent="0.3">
      <c r="B121" s="24"/>
      <c r="C121" s="7" t="s">
        <v>278</v>
      </c>
      <c r="D121" s="7">
        <v>472</v>
      </c>
      <c r="E121" s="7" t="e">
        <f>G121*#REF!</f>
        <v>#REF!</v>
      </c>
      <c r="F121" s="7">
        <v>24</v>
      </c>
      <c r="G121" s="7">
        <v>25.4</v>
      </c>
      <c r="H121" s="7">
        <f t="shared" si="441"/>
        <v>914.4</v>
      </c>
      <c r="I121" s="7">
        <f t="shared" si="437"/>
        <v>127</v>
      </c>
      <c r="J121" s="7"/>
      <c r="K121" s="7">
        <f t="shared" si="435"/>
        <v>101.6</v>
      </c>
      <c r="L121" s="7">
        <v>3</v>
      </c>
      <c r="M121" s="7">
        <f t="shared" si="424"/>
        <v>50.8</v>
      </c>
      <c r="N121" s="7">
        <f t="shared" si="380"/>
        <v>2.5</v>
      </c>
      <c r="O121" s="7">
        <f t="shared" si="442"/>
        <v>2.5</v>
      </c>
      <c r="P121" s="7">
        <v>4.04</v>
      </c>
      <c r="Q121" s="7">
        <f t="shared" si="227"/>
        <v>4.04</v>
      </c>
      <c r="R121" s="7">
        <f t="shared" si="446"/>
        <v>5.04</v>
      </c>
      <c r="S121" s="7">
        <f t="shared" si="447"/>
        <v>57.022858574434863</v>
      </c>
      <c r="T121" s="7"/>
      <c r="U121" s="7"/>
      <c r="V121" s="7">
        <v>391</v>
      </c>
      <c r="W121" s="7"/>
      <c r="X121" s="7" t="e">
        <f t="shared" si="482"/>
        <v>#REF!</v>
      </c>
      <c r="Y121" s="7">
        <v>12.7</v>
      </c>
      <c r="Z121" s="7">
        <v>2</v>
      </c>
      <c r="AA121" s="7" t="e">
        <f>E121-2*25.4</f>
        <v>#REF!</v>
      </c>
      <c r="AB121" s="7">
        <v>2</v>
      </c>
      <c r="AC121" s="7">
        <v>2</v>
      </c>
      <c r="AD121" s="7"/>
      <c r="AE121" s="4" t="e">
        <f t="shared" si="483"/>
        <v>#REF!</v>
      </c>
      <c r="AF121" s="44" t="e">
        <f t="shared" si="425"/>
        <v>#REF!</v>
      </c>
      <c r="AG121" s="25" t="e">
        <f t="shared" si="448"/>
        <v>#REF!</v>
      </c>
      <c r="AH121" s="4" t="e">
        <f t="shared" si="449"/>
        <v>#REF!</v>
      </c>
      <c r="AI121" s="4">
        <v>1.25</v>
      </c>
      <c r="AJ121" s="25">
        <f t="shared" si="438"/>
        <v>5</v>
      </c>
      <c r="AK121" s="38" t="e">
        <f t="shared" si="480"/>
        <v>#REF!</v>
      </c>
      <c r="AL121" s="38" t="e">
        <f t="shared" si="356"/>
        <v>#REF!</v>
      </c>
      <c r="AN121" s="38" t="e">
        <f t="shared" si="426"/>
        <v>#REF!</v>
      </c>
      <c r="AO121" s="38" t="e">
        <f t="shared" si="316"/>
        <v>#REF!</v>
      </c>
      <c r="AP121" s="38" t="e">
        <f t="shared" si="357"/>
        <v>#REF!</v>
      </c>
      <c r="AQ121" s="4" t="e">
        <f t="shared" si="443"/>
        <v>#REF!</v>
      </c>
      <c r="AR121" s="4" t="e">
        <f>#REF!/G121*F121^0.5/0.19</f>
        <v>#REF!</v>
      </c>
      <c r="AS121" s="4">
        <f t="shared" si="450"/>
        <v>1</v>
      </c>
      <c r="AT121" s="38">
        <f t="shared" si="451"/>
        <v>241.19701490690136</v>
      </c>
      <c r="AU121" s="4">
        <f t="shared" si="452"/>
        <v>0.43440000000000001</v>
      </c>
      <c r="AV121" s="4" t="e">
        <f>AU121*D121*#REF!/(D121*G121/2.75/F121^0.5)</f>
        <v>#REF!</v>
      </c>
      <c r="AW121" s="4" t="e">
        <f t="shared" si="427"/>
        <v>#REF!</v>
      </c>
      <c r="AY121" s="36" t="e">
        <f t="shared" si="428"/>
        <v>#REF!</v>
      </c>
      <c r="AZ121" s="36" t="e">
        <f>(1.6*#REF!+22)*AY121*F121^0.5</f>
        <v>#REF!</v>
      </c>
      <c r="BE121" s="4">
        <f t="shared" si="453"/>
        <v>57.199999999999996</v>
      </c>
      <c r="BF121" s="4">
        <f t="shared" si="454"/>
        <v>50.8</v>
      </c>
      <c r="BG121" s="4">
        <f t="shared" si="455"/>
        <v>57.199999999999996</v>
      </c>
      <c r="BH121" s="4">
        <f t="shared" si="456"/>
        <v>63.5</v>
      </c>
      <c r="BI121" s="4">
        <f t="shared" si="229"/>
        <v>1.0125984251968505</v>
      </c>
      <c r="BJ121" s="25" t="e">
        <f t="shared" si="457"/>
        <v>#REF!</v>
      </c>
      <c r="BL121" s="4">
        <f t="shared" si="458"/>
        <v>50.8</v>
      </c>
      <c r="BP121" s="9"/>
      <c r="BR121" s="9"/>
      <c r="BS121" s="9"/>
      <c r="BT121" s="9">
        <f t="shared" si="459"/>
        <v>50.8</v>
      </c>
      <c r="BU121" s="9">
        <f t="shared" si="460"/>
        <v>127</v>
      </c>
      <c r="BV121" s="9">
        <f t="shared" si="461"/>
        <v>1.622579553879709</v>
      </c>
      <c r="BW121" s="9">
        <v>0</v>
      </c>
      <c r="BX121" s="9" t="e">
        <f t="shared" si="462"/>
        <v>#REF!</v>
      </c>
      <c r="BY121" s="9" t="e">
        <f t="shared" si="429"/>
        <v>#REF!</v>
      </c>
      <c r="BZ121" s="9">
        <f t="shared" si="463"/>
        <v>0.99524931562137331</v>
      </c>
      <c r="CA121" s="9">
        <f t="shared" si="464"/>
        <v>1.056</v>
      </c>
      <c r="CB121" s="9">
        <f t="shared" si="465"/>
        <v>1.8020609303015322</v>
      </c>
      <c r="CC121" s="9" t="e">
        <f t="shared" si="466"/>
        <v>#REF!</v>
      </c>
      <c r="CD121" s="9">
        <v>1</v>
      </c>
      <c r="CE121" s="9" t="e">
        <f>4*CC121*#REF!+60*CC121</f>
        <v>#REF!</v>
      </c>
      <c r="CG121" s="4" t="e">
        <f>V121/AR121</f>
        <v>#REF!</v>
      </c>
      <c r="CH121" s="4" t="e">
        <f>V121/AW121</f>
        <v>#REF!</v>
      </c>
      <c r="CI121" s="4" t="e">
        <f t="shared" si="267"/>
        <v>#REF!</v>
      </c>
      <c r="CJ121" s="4" t="e">
        <f t="shared" si="484"/>
        <v>#REF!</v>
      </c>
      <c r="CK121" s="4" t="e">
        <f t="shared" si="269"/>
        <v>#REF!</v>
      </c>
      <c r="CL121" s="4" t="e">
        <f t="shared" si="270"/>
        <v>#REF!</v>
      </c>
      <c r="CM121" s="4" t="e">
        <f t="shared" si="481"/>
        <v>#REF!</v>
      </c>
      <c r="CU121" s="4" t="e">
        <f t="shared" si="372"/>
        <v>#REF!</v>
      </c>
      <c r="CV121" s="4" t="e">
        <f t="shared" si="373"/>
        <v>#REF!</v>
      </c>
      <c r="CW121" s="4" t="e">
        <f t="shared" si="374"/>
        <v>#REF!</v>
      </c>
      <c r="CX121" s="4" t="e">
        <f t="shared" si="485"/>
        <v>#REF!</v>
      </c>
      <c r="CY121" s="4" t="e">
        <f t="shared" si="376"/>
        <v>#REF!</v>
      </c>
      <c r="CZ121" s="4" t="e">
        <f t="shared" si="377"/>
        <v>#REF!</v>
      </c>
      <c r="DB121" s="4">
        <f t="shared" si="232"/>
        <v>2</v>
      </c>
      <c r="DC121" s="4" t="e">
        <f t="shared" si="467"/>
        <v>#REF!</v>
      </c>
      <c r="DD121" s="4" t="e">
        <f>#REF!/E121</f>
        <v>#REF!</v>
      </c>
      <c r="DF121" s="4" t="e">
        <f t="shared" si="468"/>
        <v>#REF!</v>
      </c>
      <c r="DG121" s="4" t="e">
        <f t="shared" si="233"/>
        <v>#REF!</v>
      </c>
      <c r="DH121" s="4" t="e">
        <f t="shared" si="486"/>
        <v>#REF!</v>
      </c>
      <c r="DI121" s="4" t="e">
        <f t="shared" si="359"/>
        <v>#REF!</v>
      </c>
      <c r="DJ121" s="4" t="e">
        <f t="shared" si="360"/>
        <v>#REF!</v>
      </c>
      <c r="DK121" s="4" t="e">
        <f t="shared" si="487"/>
        <v>#REF!</v>
      </c>
      <c r="DL121" s="38" t="e">
        <f t="shared" si="469"/>
        <v>#REF!</v>
      </c>
      <c r="DM121" s="4" t="e">
        <f t="shared" si="361"/>
        <v>#REF!</v>
      </c>
      <c r="DN121" s="4">
        <f t="shared" si="488"/>
        <v>2.2449944320643649</v>
      </c>
      <c r="DO121" s="4" t="e">
        <f t="shared" si="363"/>
        <v>#REF!</v>
      </c>
      <c r="DS121" s="4">
        <f t="shared" si="470"/>
        <v>1</v>
      </c>
      <c r="DT121" s="4">
        <f t="shared" si="471"/>
        <v>0.9</v>
      </c>
      <c r="DU121" s="4">
        <f t="shared" si="472"/>
        <v>0.77500000000000002</v>
      </c>
      <c r="DV121" s="4">
        <f t="shared" si="430"/>
        <v>0.7</v>
      </c>
      <c r="DX121" s="4" t="e">
        <f t="shared" si="473"/>
        <v>#REF!</v>
      </c>
      <c r="DY121" s="25" t="e">
        <f t="shared" si="431"/>
        <v>#REF!</v>
      </c>
      <c r="EB121" s="4" t="e">
        <f t="shared" si="436"/>
        <v>#REF!</v>
      </c>
      <c r="EC121" s="4" t="e">
        <f t="shared" si="474"/>
        <v>#REF!</v>
      </c>
      <c r="EE121" s="4">
        <f t="shared" si="475"/>
        <v>57.022858574434863</v>
      </c>
      <c r="EF121" s="4">
        <f t="shared" si="235"/>
        <v>2.2449944320643649</v>
      </c>
      <c r="EG121" s="4" t="e">
        <f t="shared" si="476"/>
        <v>#REF!</v>
      </c>
      <c r="EJ121" s="4" t="e">
        <f t="shared" si="432"/>
        <v>#REF!</v>
      </c>
      <c r="EK121" s="4" t="e">
        <f t="shared" si="477"/>
        <v>#REF!</v>
      </c>
      <c r="EL121" s="4" t="e">
        <f t="shared" si="237"/>
        <v>#REF!</v>
      </c>
      <c r="EM121" s="4" t="e">
        <f t="shared" si="433"/>
        <v>#REF!</v>
      </c>
      <c r="EN121" s="4" t="e">
        <f t="shared" si="239"/>
        <v>#REF!</v>
      </c>
      <c r="EO121" s="4" t="e">
        <f t="shared" si="240"/>
        <v>#REF!</v>
      </c>
      <c r="EP121" s="4" t="e">
        <f t="shared" si="478"/>
        <v>#REF!</v>
      </c>
      <c r="EQ121" s="4" t="e">
        <f t="shared" si="434"/>
        <v>#REF!</v>
      </c>
      <c r="ER121" s="4" t="e">
        <f t="shared" si="479"/>
        <v>#REF!</v>
      </c>
      <c r="ES121" s="4" t="e">
        <f t="shared" si="242"/>
        <v>#REF!</v>
      </c>
      <c r="ET121" s="4" t="e">
        <f t="shared" si="243"/>
        <v>#REF!</v>
      </c>
      <c r="EV121" s="4" t="e">
        <f t="shared" si="489"/>
        <v>#REF!</v>
      </c>
      <c r="FA121" s="23" t="e">
        <f t="shared" si="490"/>
        <v>#REF!</v>
      </c>
      <c r="FB121" s="23" t="e">
        <f t="shared" si="491"/>
        <v>#REF!</v>
      </c>
      <c r="FC121" s="23" t="e">
        <f t="shared" si="290"/>
        <v>#REF!</v>
      </c>
      <c r="FD121" s="23" t="e">
        <f t="shared" si="492"/>
        <v>#REF!</v>
      </c>
      <c r="FE121" s="23" t="e">
        <f t="shared" si="493"/>
        <v>#REF!</v>
      </c>
      <c r="FF121" s="23" t="e">
        <f t="shared" si="494"/>
        <v>#REF!</v>
      </c>
      <c r="FG121" s="23" t="e">
        <f t="shared" si="282"/>
        <v>#REF!</v>
      </c>
      <c r="FH121" s="23"/>
      <c r="FR121" s="4">
        <f t="shared" si="351"/>
        <v>1</v>
      </c>
      <c r="FS121" s="4" t="e">
        <f t="shared" si="352"/>
        <v>#REF!</v>
      </c>
      <c r="FT121" s="4">
        <f t="shared" si="353"/>
        <v>0.3</v>
      </c>
      <c r="FU121" s="4" t="e">
        <f t="shared" si="354"/>
        <v>#REF!</v>
      </c>
    </row>
    <row r="122" spans="2:182" ht="12" customHeight="1" x14ac:dyDescent="0.3">
      <c r="B122" s="24"/>
      <c r="C122" s="7" t="s">
        <v>278</v>
      </c>
      <c r="D122" s="7">
        <v>472</v>
      </c>
      <c r="E122" s="7" t="e">
        <f>G122*#REF!</f>
        <v>#REF!</v>
      </c>
      <c r="F122" s="7">
        <v>26</v>
      </c>
      <c r="G122" s="7">
        <v>25.4</v>
      </c>
      <c r="H122" s="7">
        <f t="shared" si="441"/>
        <v>914.4</v>
      </c>
      <c r="I122" s="7">
        <f t="shared" si="437"/>
        <v>127</v>
      </c>
      <c r="J122" s="7"/>
      <c r="K122" s="7">
        <f t="shared" si="435"/>
        <v>101.6</v>
      </c>
      <c r="L122" s="7">
        <v>3</v>
      </c>
      <c r="M122" s="7">
        <f t="shared" si="424"/>
        <v>50.8</v>
      </c>
      <c r="N122" s="7">
        <f t="shared" si="380"/>
        <v>2.5</v>
      </c>
      <c r="O122" s="7">
        <f t="shared" si="442"/>
        <v>2.5</v>
      </c>
      <c r="P122" s="7">
        <v>4.04</v>
      </c>
      <c r="Q122" s="7">
        <f t="shared" si="227"/>
        <v>4.04</v>
      </c>
      <c r="R122" s="7">
        <f t="shared" si="446"/>
        <v>5.04</v>
      </c>
      <c r="S122" s="7">
        <f t="shared" si="447"/>
        <v>57.022858574434863</v>
      </c>
      <c r="T122" s="7"/>
      <c r="U122" s="7"/>
      <c r="V122" s="7">
        <v>371</v>
      </c>
      <c r="W122" s="7"/>
      <c r="X122" s="7" t="e">
        <f t="shared" si="482"/>
        <v>#REF!</v>
      </c>
      <c r="Y122" s="7">
        <v>9.5</v>
      </c>
      <c r="Z122" s="7">
        <v>2</v>
      </c>
      <c r="AA122" s="7" t="e">
        <f>E122-2*25.4</f>
        <v>#REF!</v>
      </c>
      <c r="AB122" s="7">
        <v>2</v>
      </c>
      <c r="AC122" s="7">
        <v>2</v>
      </c>
      <c r="AD122" s="7"/>
      <c r="AE122" s="4" t="e">
        <f t="shared" si="483"/>
        <v>#REF!</v>
      </c>
      <c r="AF122" s="44" t="e">
        <f t="shared" si="425"/>
        <v>#REF!</v>
      </c>
      <c r="AG122" s="25" t="e">
        <f t="shared" si="448"/>
        <v>#REF!</v>
      </c>
      <c r="AH122" s="4" t="e">
        <f t="shared" si="449"/>
        <v>#REF!</v>
      </c>
      <c r="AI122" s="4">
        <v>1.25</v>
      </c>
      <c r="AJ122" s="25">
        <f t="shared" si="438"/>
        <v>5</v>
      </c>
      <c r="AK122" s="38" t="e">
        <f t="shared" si="480"/>
        <v>#REF!</v>
      </c>
      <c r="AL122" s="38" t="e">
        <f t="shared" si="356"/>
        <v>#REF!</v>
      </c>
      <c r="AN122" s="38" t="e">
        <f t="shared" si="426"/>
        <v>#REF!</v>
      </c>
      <c r="AO122" s="38" t="e">
        <f t="shared" si="316"/>
        <v>#REF!</v>
      </c>
      <c r="AP122" s="38" t="e">
        <f t="shared" si="357"/>
        <v>#REF!</v>
      </c>
      <c r="AQ122" s="4" t="e">
        <f t="shared" si="443"/>
        <v>#REF!</v>
      </c>
      <c r="AR122" s="4" t="e">
        <f>#REF!/G122*F122^0.5/0.19</f>
        <v>#REF!</v>
      </c>
      <c r="AS122" s="4">
        <f t="shared" si="450"/>
        <v>1</v>
      </c>
      <c r="AT122" s="38">
        <f t="shared" si="451"/>
        <v>261.29676614914314</v>
      </c>
      <c r="AU122" s="4">
        <f t="shared" si="452"/>
        <v>0.43440000000000001</v>
      </c>
      <c r="AV122" s="4" t="e">
        <f>AU122*D122*#REF!/(D122*G122/2.75/F122^0.5)</f>
        <v>#REF!</v>
      </c>
      <c r="AW122" s="4" t="e">
        <f t="shared" si="427"/>
        <v>#REF!</v>
      </c>
      <c r="AY122" s="36" t="e">
        <f t="shared" si="428"/>
        <v>#REF!</v>
      </c>
      <c r="AZ122" s="36" t="e">
        <f>(1.6*#REF!+22)*AY122*F122^0.5</f>
        <v>#REF!</v>
      </c>
      <c r="BE122" s="4">
        <f t="shared" si="453"/>
        <v>57.199999999999996</v>
      </c>
      <c r="BF122" s="4">
        <f t="shared" si="454"/>
        <v>50.8</v>
      </c>
      <c r="BG122" s="4">
        <f t="shared" si="455"/>
        <v>57.199999999999996</v>
      </c>
      <c r="BH122" s="4">
        <f t="shared" si="456"/>
        <v>63.5</v>
      </c>
      <c r="BI122" s="4">
        <f t="shared" si="229"/>
        <v>1.0125984251968505</v>
      </c>
      <c r="BJ122" s="25" t="e">
        <f t="shared" si="457"/>
        <v>#REF!</v>
      </c>
      <c r="BL122" s="4">
        <f t="shared" si="458"/>
        <v>50.8</v>
      </c>
      <c r="BP122" s="9"/>
      <c r="BR122" s="9"/>
      <c r="BS122" s="9"/>
      <c r="BT122" s="9">
        <f t="shared" si="459"/>
        <v>50.8</v>
      </c>
      <c r="BU122" s="9">
        <f t="shared" si="460"/>
        <v>127</v>
      </c>
      <c r="BV122" s="9">
        <f t="shared" si="461"/>
        <v>1.622579553879709</v>
      </c>
      <c r="BW122" s="9">
        <v>0</v>
      </c>
      <c r="BX122" s="9" t="e">
        <f t="shared" si="462"/>
        <v>#REF!</v>
      </c>
      <c r="BY122" s="9" t="e">
        <f t="shared" si="429"/>
        <v>#REF!</v>
      </c>
      <c r="BZ122" s="9">
        <f t="shared" si="463"/>
        <v>0.99524931562137331</v>
      </c>
      <c r="CA122" s="9">
        <f t="shared" si="464"/>
        <v>1.056</v>
      </c>
      <c r="CB122" s="9">
        <f t="shared" si="465"/>
        <v>1.8756444837875041</v>
      </c>
      <c r="CC122" s="9" t="e">
        <f t="shared" si="466"/>
        <v>#REF!</v>
      </c>
      <c r="CD122" s="9">
        <v>1</v>
      </c>
      <c r="CE122" s="9" t="e">
        <f>4*CC122*#REF!+60*CC122</f>
        <v>#REF!</v>
      </c>
      <c r="CG122" s="4" t="e">
        <f>V122/AR122</f>
        <v>#REF!</v>
      </c>
      <c r="CH122" s="4" t="e">
        <f>V122/AW122</f>
        <v>#REF!</v>
      </c>
      <c r="CI122" s="4" t="e">
        <f t="shared" si="267"/>
        <v>#REF!</v>
      </c>
      <c r="CJ122" s="4" t="e">
        <f t="shared" si="484"/>
        <v>#REF!</v>
      </c>
      <c r="CK122" s="4" t="e">
        <f t="shared" si="269"/>
        <v>#REF!</v>
      </c>
      <c r="CL122" s="4" t="e">
        <f t="shared" si="270"/>
        <v>#REF!</v>
      </c>
      <c r="CM122" s="4" t="e">
        <f t="shared" si="481"/>
        <v>#REF!</v>
      </c>
      <c r="CU122" s="4" t="e">
        <f t="shared" si="372"/>
        <v>#REF!</v>
      </c>
      <c r="CV122" s="4" t="e">
        <f t="shared" si="373"/>
        <v>#REF!</v>
      </c>
      <c r="CW122" s="4" t="e">
        <f t="shared" si="374"/>
        <v>#REF!</v>
      </c>
      <c r="CX122" s="4" t="e">
        <f t="shared" si="485"/>
        <v>#REF!</v>
      </c>
      <c r="CY122" s="4" t="e">
        <f t="shared" si="376"/>
        <v>#REF!</v>
      </c>
      <c r="CZ122" s="4" t="e">
        <f t="shared" si="377"/>
        <v>#REF!</v>
      </c>
      <c r="DB122" s="4">
        <f t="shared" si="232"/>
        <v>2</v>
      </c>
      <c r="DC122" s="4" t="e">
        <f t="shared" si="467"/>
        <v>#REF!</v>
      </c>
      <c r="DD122" s="4" t="e">
        <f>#REF!/E122</f>
        <v>#REF!</v>
      </c>
      <c r="DF122" s="4" t="e">
        <f t="shared" si="468"/>
        <v>#REF!</v>
      </c>
      <c r="DG122" s="4" t="e">
        <f t="shared" si="233"/>
        <v>#REF!</v>
      </c>
      <c r="DH122" s="4" t="e">
        <f t="shared" si="486"/>
        <v>#REF!</v>
      </c>
      <c r="DI122" s="4" t="e">
        <f t="shared" si="359"/>
        <v>#REF!</v>
      </c>
      <c r="DJ122" s="4" t="e">
        <f t="shared" si="360"/>
        <v>#REF!</v>
      </c>
      <c r="DK122" s="4" t="e">
        <f t="shared" si="487"/>
        <v>#REF!</v>
      </c>
      <c r="DL122" s="38" t="e">
        <f t="shared" si="469"/>
        <v>#REF!</v>
      </c>
      <c r="DM122" s="4" t="e">
        <f t="shared" si="361"/>
        <v>#REF!</v>
      </c>
      <c r="DN122" s="4">
        <f t="shared" si="488"/>
        <v>2.2449944320643649</v>
      </c>
      <c r="DO122" s="4" t="e">
        <f t="shared" si="363"/>
        <v>#REF!</v>
      </c>
      <c r="DS122" s="4">
        <f t="shared" si="470"/>
        <v>1</v>
      </c>
      <c r="DT122" s="4">
        <f t="shared" si="471"/>
        <v>0.9</v>
      </c>
      <c r="DU122" s="4">
        <f t="shared" si="472"/>
        <v>0.90713466426932854</v>
      </c>
      <c r="DV122" s="4">
        <f t="shared" si="430"/>
        <v>0.81642119784239575</v>
      </c>
      <c r="DX122" s="4" t="e">
        <f t="shared" si="473"/>
        <v>#REF!</v>
      </c>
      <c r="DY122" s="25" t="e">
        <f t="shared" si="431"/>
        <v>#REF!</v>
      </c>
      <c r="EB122" s="4" t="e">
        <f t="shared" si="436"/>
        <v>#REF!</v>
      </c>
      <c r="EC122" s="4" t="e">
        <f t="shared" si="474"/>
        <v>#REF!</v>
      </c>
      <c r="EE122" s="4">
        <f t="shared" si="475"/>
        <v>57.022858574434863</v>
      </c>
      <c r="EF122" s="4">
        <f t="shared" si="235"/>
        <v>2.2449944320643649</v>
      </c>
      <c r="EG122" s="4" t="e">
        <f t="shared" si="476"/>
        <v>#REF!</v>
      </c>
      <c r="EJ122" s="4" t="e">
        <f t="shared" si="432"/>
        <v>#REF!</v>
      </c>
      <c r="EK122" s="4" t="e">
        <f t="shared" si="477"/>
        <v>#REF!</v>
      </c>
      <c r="EL122" s="4" t="e">
        <f t="shared" si="237"/>
        <v>#REF!</v>
      </c>
      <c r="EM122" s="4" t="e">
        <f t="shared" si="433"/>
        <v>#REF!</v>
      </c>
      <c r="EN122" s="4" t="e">
        <f t="shared" si="239"/>
        <v>#REF!</v>
      </c>
      <c r="EO122" s="4" t="e">
        <f t="shared" si="240"/>
        <v>#REF!</v>
      </c>
      <c r="EP122" s="4" t="e">
        <f t="shared" si="478"/>
        <v>#REF!</v>
      </c>
      <c r="EQ122" s="4" t="e">
        <f t="shared" si="434"/>
        <v>#REF!</v>
      </c>
      <c r="ER122" s="4" t="e">
        <f t="shared" si="479"/>
        <v>#REF!</v>
      </c>
      <c r="ES122" s="4" t="e">
        <f t="shared" si="242"/>
        <v>#REF!</v>
      </c>
      <c r="ET122" s="4" t="e">
        <f t="shared" si="243"/>
        <v>#REF!</v>
      </c>
      <c r="EV122" s="4" t="e">
        <f t="shared" si="489"/>
        <v>#REF!</v>
      </c>
      <c r="FA122" s="23" t="e">
        <f t="shared" si="490"/>
        <v>#REF!</v>
      </c>
      <c r="FB122" s="23" t="e">
        <f t="shared" si="491"/>
        <v>#REF!</v>
      </c>
      <c r="FC122" s="23" t="e">
        <f t="shared" si="290"/>
        <v>#REF!</v>
      </c>
      <c r="FD122" s="23" t="e">
        <f t="shared" si="492"/>
        <v>#REF!</v>
      </c>
      <c r="FE122" s="23" t="e">
        <f t="shared" si="493"/>
        <v>#REF!</v>
      </c>
      <c r="FF122" s="23" t="e">
        <f t="shared" si="494"/>
        <v>#REF!</v>
      </c>
      <c r="FG122" s="23" t="e">
        <f t="shared" si="282"/>
        <v>#REF!</v>
      </c>
      <c r="FH122" s="23"/>
      <c r="FR122" s="4">
        <f t="shared" si="351"/>
        <v>1</v>
      </c>
      <c r="FS122" s="4" t="e">
        <f t="shared" si="352"/>
        <v>#REF!</v>
      </c>
      <c r="FT122" s="4">
        <f t="shared" si="353"/>
        <v>0.18651703970074607</v>
      </c>
      <c r="FU122" s="4" t="e">
        <f t="shared" si="354"/>
        <v>#REF!</v>
      </c>
      <c r="FW122" s="4">
        <f>48000/145/25.4^0.75</f>
        <v>29.258223133921348</v>
      </c>
      <c r="FX122" s="4" t="e">
        <f>IF(AA122&gt;1, 0.05*(18-MIN(8,(K122+G122)/G122))*(1-29.3/MAX(60000/145,(D122))*(G122)^0.75*FT122), 1/12*(14-MIN(8,(K122+G122)/G122)))</f>
        <v>#REF!</v>
      </c>
      <c r="FY122" s="4">
        <f>(1-48000/MAX(60000,(D122*145))*(G122/25.4)^0.75*FT122)</f>
        <v>0.86918734795973385</v>
      </c>
      <c r="FZ122" s="4">
        <f>(1-29.3/MAX(60000/145,(D122))*(G122)^0.75*FT122)</f>
        <v>0.86900056482459054</v>
      </c>
    </row>
    <row r="123" spans="2:182" ht="12" customHeight="1" x14ac:dyDescent="0.3">
      <c r="B123" s="24"/>
      <c r="C123" s="7" t="s">
        <v>278</v>
      </c>
      <c r="D123" s="7">
        <v>472</v>
      </c>
      <c r="E123" s="7" t="e">
        <f>G123*#REF!</f>
        <v>#REF!</v>
      </c>
      <c r="F123" s="7">
        <v>26</v>
      </c>
      <c r="G123" s="7">
        <v>25.4</v>
      </c>
      <c r="H123" s="7">
        <f t="shared" si="441"/>
        <v>914.4</v>
      </c>
      <c r="I123" s="7">
        <f t="shared" si="437"/>
        <v>127</v>
      </c>
      <c r="J123" s="7"/>
      <c r="K123" s="7">
        <f t="shared" si="435"/>
        <v>101.6</v>
      </c>
      <c r="L123" s="7">
        <v>3</v>
      </c>
      <c r="M123" s="7">
        <f t="shared" si="424"/>
        <v>50.8</v>
      </c>
      <c r="N123" s="7">
        <f t="shared" si="380"/>
        <v>2.5</v>
      </c>
      <c r="O123" s="7">
        <f t="shared" si="442"/>
        <v>2.5</v>
      </c>
      <c r="P123" s="7">
        <v>4.04</v>
      </c>
      <c r="Q123" s="7">
        <f t="shared" si="227"/>
        <v>4.04</v>
      </c>
      <c r="R123" s="7">
        <f t="shared" si="446"/>
        <v>5.04</v>
      </c>
      <c r="S123" s="7">
        <f t="shared" si="447"/>
        <v>57.022858574434863</v>
      </c>
      <c r="T123" s="7"/>
      <c r="U123" s="7"/>
      <c r="V123" s="7">
        <v>390</v>
      </c>
      <c r="W123" s="7"/>
      <c r="X123" s="7" t="e">
        <f t="shared" si="482"/>
        <v>#REF!</v>
      </c>
      <c r="Y123" s="7">
        <v>9.5</v>
      </c>
      <c r="Z123" s="7">
        <v>2</v>
      </c>
      <c r="AA123" s="7">
        <f>3*25.4</f>
        <v>76.199999999999989</v>
      </c>
      <c r="AB123" s="7">
        <v>2</v>
      </c>
      <c r="AC123" s="7">
        <v>2</v>
      </c>
      <c r="AD123" s="7"/>
      <c r="AE123" s="4" t="e">
        <f t="shared" si="483"/>
        <v>#REF!</v>
      </c>
      <c r="AF123" s="44" t="e">
        <f t="shared" si="425"/>
        <v>#REF!</v>
      </c>
      <c r="AG123" s="25" t="e">
        <f t="shared" si="448"/>
        <v>#REF!</v>
      </c>
      <c r="AH123" s="4" t="e">
        <f t="shared" si="449"/>
        <v>#REF!</v>
      </c>
      <c r="AI123" s="4">
        <v>1.25</v>
      </c>
      <c r="AJ123" s="25">
        <f t="shared" si="438"/>
        <v>5</v>
      </c>
      <c r="AK123" s="38" t="e">
        <f t="shared" si="480"/>
        <v>#REF!</v>
      </c>
      <c r="AL123" s="38" t="e">
        <f t="shared" si="356"/>
        <v>#REF!</v>
      </c>
      <c r="AN123" s="38" t="e">
        <f t="shared" si="426"/>
        <v>#REF!</v>
      </c>
      <c r="AO123" s="38" t="e">
        <f t="shared" si="316"/>
        <v>#REF!</v>
      </c>
      <c r="AP123" s="38" t="e">
        <f t="shared" si="357"/>
        <v>#REF!</v>
      </c>
      <c r="AQ123" s="4" t="e">
        <f t="shared" si="443"/>
        <v>#REF!</v>
      </c>
      <c r="AR123" s="4" t="e">
        <f>#REF!/G123*F123^0.5/0.19</f>
        <v>#REF!</v>
      </c>
      <c r="AS123" s="4">
        <f t="shared" si="450"/>
        <v>1</v>
      </c>
      <c r="AT123" s="38">
        <f t="shared" si="451"/>
        <v>261.29676614914314</v>
      </c>
      <c r="AU123" s="4">
        <f t="shared" si="452"/>
        <v>0.43440000000000001</v>
      </c>
      <c r="AV123" s="4" t="e">
        <f>AU123*D123*#REF!/(D123*G123/2.75/F123^0.5)</f>
        <v>#REF!</v>
      </c>
      <c r="AW123" s="4" t="e">
        <f t="shared" si="427"/>
        <v>#REF!</v>
      </c>
      <c r="AY123" s="36">
        <f t="shared" si="428"/>
        <v>1.5669704212698847</v>
      </c>
      <c r="AZ123" s="36" t="e">
        <f>(1.6*#REF!+22)*AY123*F123^0.5</f>
        <v>#REF!</v>
      </c>
      <c r="BE123" s="4">
        <f t="shared" si="453"/>
        <v>57.199999999999996</v>
      </c>
      <c r="BF123" s="4">
        <f t="shared" si="454"/>
        <v>50.8</v>
      </c>
      <c r="BG123" s="4">
        <f t="shared" si="455"/>
        <v>57.199999999999996</v>
      </c>
      <c r="BH123" s="4">
        <f t="shared" si="456"/>
        <v>63.5</v>
      </c>
      <c r="BI123" s="4">
        <f t="shared" si="229"/>
        <v>1.0125984251968505</v>
      </c>
      <c r="BJ123" s="25">
        <f t="shared" si="457"/>
        <v>3.2650069380372431</v>
      </c>
      <c r="BL123" s="4">
        <f t="shared" si="458"/>
        <v>50.8</v>
      </c>
      <c r="BP123" s="9"/>
      <c r="BR123" s="9"/>
      <c r="BS123" s="9"/>
      <c r="BT123" s="9">
        <f t="shared" si="459"/>
        <v>50.8</v>
      </c>
      <c r="BU123" s="9">
        <f t="shared" si="460"/>
        <v>127</v>
      </c>
      <c r="BV123" s="9">
        <f t="shared" si="461"/>
        <v>1.622579553879709</v>
      </c>
      <c r="BW123" s="9">
        <v>20</v>
      </c>
      <c r="BX123" s="9">
        <f t="shared" si="462"/>
        <v>4.8830046807764975E-2</v>
      </c>
      <c r="BY123" s="9">
        <f t="shared" si="429"/>
        <v>0.77660093615529946</v>
      </c>
      <c r="BZ123" s="9">
        <f t="shared" si="463"/>
        <v>0.99524931562137331</v>
      </c>
      <c r="CA123" s="9">
        <f t="shared" si="464"/>
        <v>1.056</v>
      </c>
      <c r="CB123" s="9">
        <f t="shared" si="465"/>
        <v>1.8756444837875041</v>
      </c>
      <c r="CC123" s="9">
        <f t="shared" si="466"/>
        <v>4.5000096517447643</v>
      </c>
      <c r="CD123" s="9">
        <v>1</v>
      </c>
      <c r="CE123" s="9" t="e">
        <f>4*CC123*#REF!+60*CC123</f>
        <v>#REF!</v>
      </c>
      <c r="CG123" s="4" t="e">
        <f>V123/AR123</f>
        <v>#REF!</v>
      </c>
      <c r="CH123" s="4" t="e">
        <f>V123/AW123</f>
        <v>#REF!</v>
      </c>
      <c r="CI123" s="4" t="e">
        <f t="shared" si="267"/>
        <v>#REF!</v>
      </c>
      <c r="CJ123" s="4" t="e">
        <f t="shared" si="484"/>
        <v>#REF!</v>
      </c>
      <c r="CK123" s="4" t="e">
        <f t="shared" si="269"/>
        <v>#REF!</v>
      </c>
      <c r="CL123" s="4" t="e">
        <f t="shared" si="270"/>
        <v>#REF!</v>
      </c>
      <c r="CM123" s="4" t="e">
        <f t="shared" si="481"/>
        <v>#REF!</v>
      </c>
      <c r="CU123" s="4" t="e">
        <f t="shared" si="372"/>
        <v>#REF!</v>
      </c>
      <c r="CV123" s="4" t="e">
        <f t="shared" si="373"/>
        <v>#REF!</v>
      </c>
      <c r="CW123" s="4" t="e">
        <f t="shared" si="374"/>
        <v>#REF!</v>
      </c>
      <c r="CX123" s="4" t="e">
        <f t="shared" si="485"/>
        <v>#REF!</v>
      </c>
      <c r="CY123" s="4" t="e">
        <f t="shared" si="376"/>
        <v>#REF!</v>
      </c>
      <c r="CZ123" s="4" t="e">
        <f t="shared" si="377"/>
        <v>#REF!</v>
      </c>
      <c r="DB123" s="4">
        <f t="shared" si="232"/>
        <v>2</v>
      </c>
      <c r="DC123" s="4" t="e">
        <f t="shared" si="467"/>
        <v>#REF!</v>
      </c>
      <c r="DD123" s="4" t="e">
        <f>#REF!/E123</f>
        <v>#REF!</v>
      </c>
      <c r="DF123" s="4" t="e">
        <f t="shared" si="468"/>
        <v>#REF!</v>
      </c>
      <c r="DG123" s="4">
        <f t="shared" si="233"/>
        <v>6.0791120836430785</v>
      </c>
      <c r="DH123" s="4" t="e">
        <f t="shared" si="486"/>
        <v>#REF!</v>
      </c>
      <c r="DI123" s="4" t="e">
        <f t="shared" si="359"/>
        <v>#REF!</v>
      </c>
      <c r="DJ123" s="4" t="e">
        <f t="shared" si="360"/>
        <v>#REF!</v>
      </c>
      <c r="DK123" s="4" t="e">
        <f t="shared" si="487"/>
        <v>#REF!</v>
      </c>
      <c r="DL123" s="38" t="e">
        <f t="shared" si="469"/>
        <v>#REF!</v>
      </c>
      <c r="DM123" s="4" t="e">
        <f t="shared" si="361"/>
        <v>#REF!</v>
      </c>
      <c r="DN123" s="4">
        <f t="shared" si="488"/>
        <v>2.2449944320643649</v>
      </c>
      <c r="DO123" s="4" t="e">
        <f t="shared" si="363"/>
        <v>#REF!</v>
      </c>
      <c r="DS123" s="4">
        <f t="shared" si="470"/>
        <v>1</v>
      </c>
      <c r="DT123" s="4">
        <f t="shared" si="471"/>
        <v>0.9</v>
      </c>
      <c r="DU123" s="4">
        <f t="shared" si="472"/>
        <v>0.90713466426932854</v>
      </c>
      <c r="DV123" s="4">
        <f t="shared" si="430"/>
        <v>0.81642119784239575</v>
      </c>
      <c r="DX123" s="4" t="e">
        <f t="shared" si="473"/>
        <v>#REF!</v>
      </c>
      <c r="DY123" s="25" t="e">
        <f t="shared" si="431"/>
        <v>#REF!</v>
      </c>
      <c r="EB123" s="4">
        <f t="shared" si="436"/>
        <v>6.0791120836430785</v>
      </c>
      <c r="EC123" s="4">
        <f t="shared" si="474"/>
        <v>6.0791120836430785</v>
      </c>
      <c r="EE123" s="4">
        <f t="shared" si="475"/>
        <v>57.022858574434863</v>
      </c>
      <c r="EF123" s="4">
        <f t="shared" si="235"/>
        <v>2.2449944320643649</v>
      </c>
      <c r="EG123" s="4" t="e">
        <f t="shared" si="476"/>
        <v>#REF!</v>
      </c>
      <c r="EJ123" s="4" t="e">
        <f t="shared" si="432"/>
        <v>#REF!</v>
      </c>
      <c r="EK123" s="4" t="e">
        <f t="shared" si="477"/>
        <v>#REF!</v>
      </c>
      <c r="EL123" s="4" t="e">
        <f t="shared" si="237"/>
        <v>#REF!</v>
      </c>
      <c r="EM123" s="4" t="e">
        <f t="shared" si="433"/>
        <v>#REF!</v>
      </c>
      <c r="EN123" s="4" t="e">
        <f t="shared" si="239"/>
        <v>#REF!</v>
      </c>
      <c r="EO123" s="4" t="e">
        <f t="shared" si="240"/>
        <v>#REF!</v>
      </c>
      <c r="EP123" s="4" t="e">
        <f t="shared" si="478"/>
        <v>#REF!</v>
      </c>
      <c r="EQ123" s="4" t="e">
        <f t="shared" si="434"/>
        <v>#REF!</v>
      </c>
      <c r="ER123" s="4" t="e">
        <f t="shared" si="479"/>
        <v>#REF!</v>
      </c>
      <c r="ES123" s="4" t="e">
        <f t="shared" si="242"/>
        <v>#REF!</v>
      </c>
      <c r="ET123" s="4" t="e">
        <f t="shared" si="243"/>
        <v>#REF!</v>
      </c>
      <c r="EV123" s="4" t="e">
        <f t="shared" si="489"/>
        <v>#REF!</v>
      </c>
      <c r="FA123" s="23" t="e">
        <f t="shared" si="490"/>
        <v>#REF!</v>
      </c>
      <c r="FB123" s="23" t="e">
        <f t="shared" si="491"/>
        <v>#REF!</v>
      </c>
      <c r="FC123" s="23" t="e">
        <f t="shared" si="290"/>
        <v>#REF!</v>
      </c>
      <c r="FD123" s="23" t="e">
        <f t="shared" si="492"/>
        <v>#REF!</v>
      </c>
      <c r="FE123" s="23" t="e">
        <f t="shared" si="493"/>
        <v>#REF!</v>
      </c>
      <c r="FF123" s="23" t="e">
        <f t="shared" si="494"/>
        <v>#REF!</v>
      </c>
      <c r="FG123" s="23" t="e">
        <f t="shared" si="282"/>
        <v>#REF!</v>
      </c>
      <c r="FH123" s="23"/>
      <c r="FR123" s="4">
        <f t="shared" si="351"/>
        <v>1</v>
      </c>
      <c r="FS123" s="4">
        <f t="shared" si="352"/>
        <v>0.56497177617382699</v>
      </c>
      <c r="FT123" s="4">
        <f t="shared" si="353"/>
        <v>0.18651703970074607</v>
      </c>
      <c r="FU123" s="4" t="e">
        <f t="shared" si="354"/>
        <v>#REF!</v>
      </c>
      <c r="FX123" s="4">
        <f>IF(AA123&gt;1, 0.05*(18-MIN(8,(K123+G123)/G123))*(1-29.3/MAX(60000/145,(D123))*(G123)^0.75*FT123), 1/12*(14-MIN(8,(K123+G123)/G123)))</f>
        <v>0.56485036713598391</v>
      </c>
    </row>
    <row r="124" spans="2:182" ht="12" customHeight="1" x14ac:dyDescent="0.3">
      <c r="B124" s="24" t="s">
        <v>297</v>
      </c>
      <c r="C124" s="7" t="s">
        <v>129</v>
      </c>
      <c r="D124" s="7">
        <v>710</v>
      </c>
      <c r="E124" s="7" t="e">
        <f>G124*#REF!</f>
        <v>#REF!</v>
      </c>
      <c r="F124" s="7">
        <v>41.4</v>
      </c>
      <c r="G124" s="7">
        <v>28.6</v>
      </c>
      <c r="H124" s="7">
        <v>261</v>
      </c>
      <c r="I124" s="7">
        <f>G124</f>
        <v>28.6</v>
      </c>
      <c r="J124" s="7"/>
      <c r="K124" s="7">
        <f>1*G124</f>
        <v>28.6</v>
      </c>
      <c r="L124" s="7">
        <v>2</v>
      </c>
      <c r="M124" s="7">
        <f t="shared" ref="M124:M147" si="495">72.5-G124/2</f>
        <v>58.2</v>
      </c>
      <c r="N124" s="7">
        <f t="shared" si="380"/>
        <v>1</v>
      </c>
      <c r="O124" s="7">
        <f t="shared" ref="O124:O153" si="496">MIN(M124/G124+0.5, (I124+G124/2)/G124)</f>
        <v>1.5000000000000002</v>
      </c>
      <c r="P124" s="7">
        <f>R124-1</f>
        <v>4</v>
      </c>
      <c r="Q124" s="7">
        <f t="shared" si="227"/>
        <v>4</v>
      </c>
      <c r="R124" s="7">
        <v>5</v>
      </c>
      <c r="S124" s="7">
        <f t="shared" si="447"/>
        <v>63.951544156493995</v>
      </c>
      <c r="T124" s="7"/>
      <c r="U124" s="7"/>
      <c r="V124" s="7">
        <v>312</v>
      </c>
      <c r="W124" s="7"/>
      <c r="X124" s="7" t="e">
        <f t="shared" si="482"/>
        <v>#REF!</v>
      </c>
      <c r="Y124" s="7"/>
      <c r="Z124" s="7"/>
      <c r="AA124" s="7">
        <v>1</v>
      </c>
      <c r="AB124" s="7"/>
      <c r="AC124" s="7"/>
      <c r="AD124" s="7"/>
      <c r="AE124" s="4" t="e">
        <f t="shared" si="483"/>
        <v>#REF!</v>
      </c>
      <c r="AF124" s="46" t="e">
        <f t="shared" ref="AF124:AF147" si="497">MIN(H124)*(MIN(350-M124-0.5*G124,1.5*AE124)+M124+G124/2)/(3*E124)^2</f>
        <v>#REF!</v>
      </c>
      <c r="AG124" s="25" t="e">
        <f t="shared" si="448"/>
        <v>#REF!</v>
      </c>
      <c r="AH124" s="4" t="e">
        <f t="shared" si="449"/>
        <v>#REF!</v>
      </c>
      <c r="AI124" s="4">
        <v>1.25</v>
      </c>
      <c r="AJ124" s="25">
        <f t="shared" si="438"/>
        <v>5</v>
      </c>
      <c r="AK124" s="38" t="e">
        <f t="shared" si="480"/>
        <v>#REF!</v>
      </c>
      <c r="AL124" s="38" t="e">
        <f t="shared" si="356"/>
        <v>#REF!</v>
      </c>
      <c r="AN124" s="38" t="e">
        <f t="shared" ref="AN124:AN147" si="498">AJ124* (F124^0.5/AE124^0.5)/(PI()/4*G124^2)/L124/0.72 *(0.7+(MIN(I124,M124)+0.5*G124)/5/E124) *(H124*MIN(M124+0.5*G124+1.5*E124,350))</f>
        <v>#REF!</v>
      </c>
      <c r="AO124" s="38" t="e">
        <f t="shared" si="316"/>
        <v>#REF!</v>
      </c>
      <c r="AP124" s="38" t="e">
        <f t="shared" si="357"/>
        <v>#REF!</v>
      </c>
      <c r="AQ124" s="4" t="e">
        <f t="shared" si="443"/>
        <v>#REF!</v>
      </c>
      <c r="AR124" s="4" t="e">
        <f>#REF!/G124*F124^0.5/0.19</f>
        <v>#REF!</v>
      </c>
      <c r="AS124" s="4">
        <f t="shared" si="450"/>
        <v>1.2000000000000002</v>
      </c>
      <c r="AT124" s="38">
        <f t="shared" si="451"/>
        <v>198.72000000000003</v>
      </c>
      <c r="AU124" s="4">
        <f t="shared" si="452"/>
        <v>0.44000000000000006</v>
      </c>
      <c r="AV124" s="4" t="e">
        <f>AU124*D124*#REF!/(D124*G124/2.75/F124^0.5)</f>
        <v>#REF!</v>
      </c>
      <c r="AW124" s="4" t="e">
        <f t="shared" ref="AW124:AW147" si="499">AT124+AV124</f>
        <v>#REF!</v>
      </c>
      <c r="AY124" s="36">
        <f t="shared" si="428"/>
        <v>1</v>
      </c>
      <c r="AZ124" s="36" t="e">
        <f>(1.6*#REF!+22)*AY124*F124^0.5</f>
        <v>#REF!</v>
      </c>
      <c r="BE124" s="4">
        <f t="shared" si="453"/>
        <v>20.700000000000003</v>
      </c>
      <c r="BF124" s="4">
        <f t="shared" si="454"/>
        <v>20.700000000000003</v>
      </c>
      <c r="BG124" s="4">
        <f t="shared" si="455"/>
        <v>58.2</v>
      </c>
      <c r="BH124" s="4">
        <f t="shared" si="456"/>
        <v>35</v>
      </c>
      <c r="BI124" s="4">
        <f t="shared" si="229"/>
        <v>1.181159420289855</v>
      </c>
      <c r="BJ124" s="25">
        <f t="shared" si="457"/>
        <v>1.4454748150400323</v>
      </c>
      <c r="BL124" s="4">
        <f t="shared" si="458"/>
        <v>14.3</v>
      </c>
      <c r="BP124" s="9"/>
      <c r="BR124" s="9"/>
      <c r="BS124" s="9"/>
      <c r="BT124" s="9">
        <f t="shared" si="459"/>
        <v>14.3</v>
      </c>
      <c r="BU124" s="9">
        <f t="shared" si="460"/>
        <v>28.6</v>
      </c>
      <c r="BV124" s="9">
        <f t="shared" si="461"/>
        <v>0.78458409789675088</v>
      </c>
      <c r="BW124" s="9">
        <v>0</v>
      </c>
      <c r="BX124" s="9">
        <f t="shared" si="462"/>
        <v>0</v>
      </c>
      <c r="BY124" s="9">
        <f t="shared" ref="BY124:BY147" si="500">MAX(0,BW124*(BX124-0.5/50))</f>
        <v>0</v>
      </c>
      <c r="BZ124" s="9">
        <f t="shared" si="463"/>
        <v>0.96044432035915817</v>
      </c>
      <c r="CA124" s="9">
        <f t="shared" si="464"/>
        <v>0.74299999999999999</v>
      </c>
      <c r="CB124" s="9">
        <f t="shared" si="465"/>
        <v>1.6070493790635749</v>
      </c>
      <c r="CC124" s="9">
        <f t="shared" si="466"/>
        <v>1.2608653873481286</v>
      </c>
      <c r="CD124" s="9">
        <v>1</v>
      </c>
      <c r="CE124" s="9" t="e">
        <f>4*CC124*#REF!+60*CC124</f>
        <v>#REF!</v>
      </c>
      <c r="CG124" s="4" t="e">
        <f t="shared" ref="CG124:CG147" si="501">V124/AR124</f>
        <v>#REF!</v>
      </c>
      <c r="CH124" s="4" t="e">
        <f t="shared" ref="CH124:CH147" si="502">V124/AW124</f>
        <v>#REF!</v>
      </c>
      <c r="CI124" s="4" t="e">
        <f t="shared" si="267"/>
        <v>#REF!</v>
      </c>
      <c r="CJ124" s="4" t="e">
        <f t="shared" si="484"/>
        <v>#REF!</v>
      </c>
      <c r="CK124" s="4" t="e">
        <f t="shared" si="269"/>
        <v>#REF!</v>
      </c>
      <c r="CL124" s="4" t="e">
        <f t="shared" si="270"/>
        <v>#REF!</v>
      </c>
      <c r="CM124" s="4" t="e">
        <f t="shared" si="481"/>
        <v>#REF!</v>
      </c>
      <c r="CO124" s="4" t="e">
        <f t="shared" si="271"/>
        <v>#REF!</v>
      </c>
      <c r="CP124" s="4" t="e">
        <f t="shared" si="272"/>
        <v>#REF!</v>
      </c>
      <c r="CQ124" s="4" t="e">
        <f t="shared" si="273"/>
        <v>#REF!</v>
      </c>
      <c r="CR124" s="4" t="e">
        <f t="shared" ref="CR124:CR139" si="503">CM124</f>
        <v>#REF!</v>
      </c>
      <c r="CS124" s="4" t="e">
        <f t="shared" si="275"/>
        <v>#REF!</v>
      </c>
      <c r="CT124" s="4" t="e">
        <f t="shared" si="276"/>
        <v>#REF!</v>
      </c>
      <c r="DB124" s="4">
        <f t="shared" si="232"/>
        <v>0</v>
      </c>
      <c r="DC124" s="4" t="e">
        <f t="shared" si="467"/>
        <v>#REF!</v>
      </c>
      <c r="DD124" s="4" t="e">
        <f>#REF!/E124</f>
        <v>#REF!</v>
      </c>
      <c r="DF124" s="4" t="e">
        <f t="shared" si="468"/>
        <v>#REF!</v>
      </c>
      <c r="DG124" s="4">
        <f t="shared" si="233"/>
        <v>3.3960968587263358</v>
      </c>
      <c r="DH124" s="4" t="e">
        <f t="shared" si="486"/>
        <v>#REF!</v>
      </c>
      <c r="DI124" s="4" t="e">
        <f t="shared" si="359"/>
        <v>#REF!</v>
      </c>
      <c r="DJ124" s="4" t="e">
        <f t="shared" si="360"/>
        <v>#REF!</v>
      </c>
      <c r="DK124" s="4" t="e">
        <f t="shared" si="487"/>
        <v>#REF!</v>
      </c>
      <c r="DL124" s="38" t="e">
        <f t="shared" si="469"/>
        <v>#REF!</v>
      </c>
      <c r="DM124" s="4" t="e">
        <f t="shared" si="361"/>
        <v>#REF!</v>
      </c>
      <c r="DN124" s="4">
        <f t="shared" si="488"/>
        <v>2.2360679774997898</v>
      </c>
      <c r="DO124" s="4" t="e">
        <f t="shared" si="363"/>
        <v>#REF!</v>
      </c>
      <c r="DS124" s="4">
        <f t="shared" si="470"/>
        <v>1</v>
      </c>
      <c r="DT124" s="4">
        <f t="shared" si="471"/>
        <v>1</v>
      </c>
      <c r="DU124" s="4">
        <f t="shared" si="472"/>
        <v>1</v>
      </c>
      <c r="DV124" s="4">
        <f t="shared" ref="DV124:DV147" si="504">IF(DT124*DU124&lt;0.7,0.7,DT124*DU124)</f>
        <v>1</v>
      </c>
      <c r="DX124" s="4" t="e">
        <f t="shared" si="473"/>
        <v>#REF!</v>
      </c>
      <c r="DY124" s="25" t="e">
        <f t="shared" ref="DY124:DY147" si="505">8.8*H124*350*F124^0.5/L124/G124^2/E124^0.5*(0.7+MIN(M124,I124)/5/E124)</f>
        <v>#REF!</v>
      </c>
      <c r="EB124" s="4">
        <f t="shared" si="436"/>
        <v>3.3960968587263358</v>
      </c>
      <c r="EC124" s="4">
        <f t="shared" si="474"/>
        <v>3.3960968587263358</v>
      </c>
      <c r="EE124" s="4">
        <f t="shared" si="475"/>
        <v>63.951544156493995</v>
      </c>
      <c r="EF124" s="4">
        <f t="shared" si="235"/>
        <v>2.2360679774997898</v>
      </c>
      <c r="EG124" s="4" t="e">
        <f t="shared" si="476"/>
        <v>#REF!</v>
      </c>
      <c r="EJ124" s="4" t="e">
        <f t="shared" ref="EJ124:EJ147" si="506">EG124</f>
        <v>#REF!</v>
      </c>
      <c r="EK124" s="4" t="e">
        <f t="shared" si="477"/>
        <v>#REF!</v>
      </c>
      <c r="EL124" s="4" t="e">
        <f t="shared" si="237"/>
        <v>#REF!</v>
      </c>
      <c r="EM124" s="4" t="e">
        <f t="shared" ref="EM124:EM147" si="507">EB124/1.4*(1-EK124^1.4)/(1-EK124)</f>
        <v>#REF!</v>
      </c>
      <c r="EN124" s="4" t="e">
        <f t="shared" si="239"/>
        <v>#REF!</v>
      </c>
      <c r="EO124" s="4" t="e">
        <f t="shared" si="240"/>
        <v>#REF!</v>
      </c>
      <c r="EP124" s="4" t="e">
        <f t="shared" si="478"/>
        <v>#REF!</v>
      </c>
      <c r="EQ124" s="4" t="e">
        <f t="shared" ref="EQ124:EQ147" si="508">MAX(0.5*EB124, (1-2*EP124*(EE124*EL124+EN124*EM124))/(1/EB124+EP124*EO124))</f>
        <v>#REF!</v>
      </c>
      <c r="ER124" s="4" t="e">
        <f t="shared" si="479"/>
        <v>#REF!</v>
      </c>
      <c r="ES124" s="4" t="e">
        <f t="shared" si="242"/>
        <v>#REF!</v>
      </c>
      <c r="ET124" s="4" t="e">
        <f t="shared" si="243"/>
        <v>#REF!</v>
      </c>
      <c r="EV124" s="4" t="e">
        <f t="shared" si="489"/>
        <v>#REF!</v>
      </c>
      <c r="FA124" s="23" t="e">
        <f t="shared" si="490"/>
        <v>#REF!</v>
      </c>
      <c r="FB124" s="23" t="e">
        <f t="shared" si="491"/>
        <v>#REF!</v>
      </c>
      <c r="FC124" s="23" t="e">
        <f t="shared" si="290"/>
        <v>#REF!</v>
      </c>
      <c r="FD124" s="23" t="e">
        <f t="shared" si="492"/>
        <v>#REF!</v>
      </c>
      <c r="FE124" s="23" t="e">
        <f t="shared" si="493"/>
        <v>#REF!</v>
      </c>
      <c r="FF124" s="23" t="e">
        <f t="shared" si="494"/>
        <v>#REF!</v>
      </c>
      <c r="FG124" s="23" t="e">
        <f t="shared" si="282"/>
        <v>#REF!</v>
      </c>
      <c r="FH124" s="23"/>
      <c r="FR124" s="4">
        <f t="shared" si="351"/>
        <v>1.25</v>
      </c>
      <c r="FS124" s="4">
        <f t="shared" si="352"/>
        <v>1</v>
      </c>
      <c r="FT124" s="4">
        <f t="shared" si="353"/>
        <v>0</v>
      </c>
      <c r="FU124" s="4" t="e">
        <f t="shared" si="354"/>
        <v>#REF!</v>
      </c>
      <c r="FX124" s="4">
        <f>IF(AA124&gt;1, 0.05*(18-MIN(8,(K124+G124)/G124))*(1-29.3/MAX(60000/145,(D124))*(G124)^0.75*FT124), 1/12*(14-MIN(8,(K124+G124)/G124)))</f>
        <v>1</v>
      </c>
    </row>
    <row r="125" spans="2:182" ht="12" customHeight="1" x14ac:dyDescent="0.3">
      <c r="B125" s="24" t="s">
        <v>293</v>
      </c>
      <c r="C125" s="7" t="s">
        <v>130</v>
      </c>
      <c r="D125" s="7">
        <v>710</v>
      </c>
      <c r="E125" s="7" t="e">
        <f>G125*#REF!</f>
        <v>#REF!</v>
      </c>
      <c r="F125" s="7">
        <v>41.4</v>
      </c>
      <c r="G125" s="7">
        <v>28.6</v>
      </c>
      <c r="H125" s="7">
        <v>261</v>
      </c>
      <c r="I125" s="7">
        <f>G125</f>
        <v>28.6</v>
      </c>
      <c r="J125" s="7"/>
      <c r="K125" s="7">
        <f>1*G125</f>
        <v>28.6</v>
      </c>
      <c r="L125" s="7">
        <v>2</v>
      </c>
      <c r="M125" s="7">
        <f t="shared" si="495"/>
        <v>58.2</v>
      </c>
      <c r="N125" s="7">
        <f t="shared" si="380"/>
        <v>1</v>
      </c>
      <c r="O125" s="7">
        <f t="shared" si="496"/>
        <v>1.5000000000000002</v>
      </c>
      <c r="P125" s="7">
        <f t="shared" ref="P125:P147" si="509">R125-1</f>
        <v>4</v>
      </c>
      <c r="Q125" s="7">
        <f t="shared" si="227"/>
        <v>4</v>
      </c>
      <c r="R125" s="7">
        <v>5</v>
      </c>
      <c r="S125" s="7">
        <f t="shared" si="447"/>
        <v>63.951544156493995</v>
      </c>
      <c r="T125" s="7"/>
      <c r="U125" s="7"/>
      <c r="V125" s="7">
        <v>367</v>
      </c>
      <c r="W125" s="7"/>
      <c r="X125" s="7" t="e">
        <f t="shared" si="482"/>
        <v>#REF!</v>
      </c>
      <c r="Y125" s="7"/>
      <c r="Z125" s="7"/>
      <c r="AA125" s="7">
        <v>1</v>
      </c>
      <c r="AB125" s="7"/>
      <c r="AC125" s="7"/>
      <c r="AD125" s="7"/>
      <c r="AE125" s="4" t="e">
        <f t="shared" si="483"/>
        <v>#REF!</v>
      </c>
      <c r="AF125" s="46" t="e">
        <f t="shared" si="497"/>
        <v>#REF!</v>
      </c>
      <c r="AG125" s="25" t="e">
        <f t="shared" si="448"/>
        <v>#REF!</v>
      </c>
      <c r="AH125" s="4" t="e">
        <f t="shared" si="449"/>
        <v>#REF!</v>
      </c>
      <c r="AI125" s="4">
        <v>1.25</v>
      </c>
      <c r="AJ125" s="25">
        <f t="shared" si="438"/>
        <v>5</v>
      </c>
      <c r="AK125" s="38" t="e">
        <f t="shared" si="480"/>
        <v>#REF!</v>
      </c>
      <c r="AL125" s="38" t="e">
        <f t="shared" si="356"/>
        <v>#REF!</v>
      </c>
      <c r="AN125" s="38" t="e">
        <f t="shared" si="498"/>
        <v>#REF!</v>
      </c>
      <c r="AO125" s="38" t="e">
        <f t="shared" si="316"/>
        <v>#REF!</v>
      </c>
      <c r="AP125" s="38" t="e">
        <f t="shared" si="357"/>
        <v>#REF!</v>
      </c>
      <c r="AQ125" s="4" t="e">
        <f t="shared" si="443"/>
        <v>#REF!</v>
      </c>
      <c r="AR125" s="4" t="e">
        <f>#REF!/G125*F125^0.5/0.19</f>
        <v>#REF!</v>
      </c>
      <c r="AS125" s="4">
        <f t="shared" si="450"/>
        <v>1.2000000000000002</v>
      </c>
      <c r="AT125" s="38">
        <f t="shared" si="451"/>
        <v>198.72000000000003</v>
      </c>
      <c r="AU125" s="4">
        <f t="shared" si="452"/>
        <v>0.44000000000000006</v>
      </c>
      <c r="AV125" s="4" t="e">
        <f>AU125*D125*#REF!/(D125*G125/2.75/F125^0.5)</f>
        <v>#REF!</v>
      </c>
      <c r="AW125" s="4" t="e">
        <f t="shared" si="499"/>
        <v>#REF!</v>
      </c>
      <c r="AY125" s="36">
        <f t="shared" si="428"/>
        <v>1</v>
      </c>
      <c r="AZ125" s="36" t="e">
        <f>(1.6*#REF!+22)*AY125*F125^0.5</f>
        <v>#REF!</v>
      </c>
      <c r="BE125" s="4">
        <f t="shared" si="453"/>
        <v>20.700000000000003</v>
      </c>
      <c r="BF125" s="4">
        <f t="shared" si="454"/>
        <v>20.700000000000003</v>
      </c>
      <c r="BG125" s="4">
        <f t="shared" si="455"/>
        <v>58.2</v>
      </c>
      <c r="BH125" s="4">
        <f t="shared" si="456"/>
        <v>35</v>
      </c>
      <c r="BI125" s="4">
        <f t="shared" si="229"/>
        <v>1.181159420289855</v>
      </c>
      <c r="BJ125" s="25">
        <f t="shared" si="457"/>
        <v>1.4454748150400323</v>
      </c>
      <c r="BL125" s="4">
        <f t="shared" si="458"/>
        <v>14.3</v>
      </c>
      <c r="BP125" s="9"/>
      <c r="BR125" s="9"/>
      <c r="BS125" s="9"/>
      <c r="BT125" s="9">
        <f t="shared" si="459"/>
        <v>14.3</v>
      </c>
      <c r="BU125" s="9">
        <f t="shared" si="460"/>
        <v>28.6</v>
      </c>
      <c r="BV125" s="9">
        <f t="shared" si="461"/>
        <v>0.78458409789675088</v>
      </c>
      <c r="BW125" s="9">
        <v>0</v>
      </c>
      <c r="BX125" s="9">
        <f t="shared" si="462"/>
        <v>0</v>
      </c>
      <c r="BY125" s="9">
        <f t="shared" si="500"/>
        <v>0</v>
      </c>
      <c r="BZ125" s="9">
        <f t="shared" si="463"/>
        <v>0.96044432035915817</v>
      </c>
      <c r="CA125" s="9">
        <f t="shared" si="464"/>
        <v>0.74299999999999999</v>
      </c>
      <c r="CB125" s="9">
        <f t="shared" si="465"/>
        <v>1.6070493790635749</v>
      </c>
      <c r="CC125" s="9">
        <f t="shared" si="466"/>
        <v>1.2608653873481286</v>
      </c>
      <c r="CD125" s="9">
        <v>1</v>
      </c>
      <c r="CE125" s="9" t="e">
        <f>4*CC125*#REF!+60*CC125</f>
        <v>#REF!</v>
      </c>
      <c r="CG125" s="4" t="e">
        <f t="shared" si="501"/>
        <v>#REF!</v>
      </c>
      <c r="CH125" s="4" t="e">
        <f t="shared" si="502"/>
        <v>#REF!</v>
      </c>
      <c r="CI125" s="4" t="e">
        <f t="shared" si="267"/>
        <v>#REF!</v>
      </c>
      <c r="CJ125" s="4" t="e">
        <f t="shared" si="484"/>
        <v>#REF!</v>
      </c>
      <c r="CK125" s="4" t="e">
        <f t="shared" si="269"/>
        <v>#REF!</v>
      </c>
      <c r="CL125" s="4" t="e">
        <f t="shared" si="270"/>
        <v>#REF!</v>
      </c>
      <c r="CM125" s="4" t="e">
        <f t="shared" si="481"/>
        <v>#REF!</v>
      </c>
      <c r="CO125" s="4" t="e">
        <f t="shared" si="271"/>
        <v>#REF!</v>
      </c>
      <c r="CP125" s="4" t="e">
        <f t="shared" si="272"/>
        <v>#REF!</v>
      </c>
      <c r="CQ125" s="4" t="e">
        <f t="shared" si="273"/>
        <v>#REF!</v>
      </c>
      <c r="CR125" s="4" t="e">
        <f t="shared" si="503"/>
        <v>#REF!</v>
      </c>
      <c r="CS125" s="4" t="e">
        <f t="shared" si="275"/>
        <v>#REF!</v>
      </c>
      <c r="CT125" s="4" t="e">
        <f t="shared" si="276"/>
        <v>#REF!</v>
      </c>
      <c r="DB125" s="4">
        <f t="shared" si="232"/>
        <v>0</v>
      </c>
      <c r="DC125" s="4" t="e">
        <f t="shared" si="467"/>
        <v>#REF!</v>
      </c>
      <c r="DD125" s="4" t="e">
        <f>#REF!/E125</f>
        <v>#REF!</v>
      </c>
      <c r="DF125" s="4" t="e">
        <f t="shared" si="468"/>
        <v>#REF!</v>
      </c>
      <c r="DG125" s="4">
        <f t="shared" si="233"/>
        <v>3.3960968587263358</v>
      </c>
      <c r="DH125" s="4" t="e">
        <f t="shared" si="486"/>
        <v>#REF!</v>
      </c>
      <c r="DI125" s="4" t="e">
        <f t="shared" si="359"/>
        <v>#REF!</v>
      </c>
      <c r="DJ125" s="4" t="e">
        <f t="shared" si="360"/>
        <v>#REF!</v>
      </c>
      <c r="DK125" s="4" t="e">
        <f t="shared" si="487"/>
        <v>#REF!</v>
      </c>
      <c r="DL125" s="38" t="e">
        <f t="shared" si="469"/>
        <v>#REF!</v>
      </c>
      <c r="DM125" s="4" t="e">
        <f t="shared" si="361"/>
        <v>#REF!</v>
      </c>
      <c r="DN125" s="4">
        <f t="shared" si="488"/>
        <v>2.2360679774997898</v>
      </c>
      <c r="DO125" s="4" t="e">
        <f t="shared" si="363"/>
        <v>#REF!</v>
      </c>
      <c r="DS125" s="4">
        <f t="shared" si="470"/>
        <v>1</v>
      </c>
      <c r="DT125" s="4">
        <f t="shared" si="471"/>
        <v>1</v>
      </c>
      <c r="DU125" s="4">
        <f t="shared" si="472"/>
        <v>1</v>
      </c>
      <c r="DV125" s="4">
        <f t="shared" si="504"/>
        <v>1</v>
      </c>
      <c r="DX125" s="4" t="e">
        <f t="shared" si="473"/>
        <v>#REF!</v>
      </c>
      <c r="DY125" s="25" t="e">
        <f t="shared" si="505"/>
        <v>#REF!</v>
      </c>
      <c r="EB125" s="4">
        <f t="shared" si="436"/>
        <v>3.3960968587263358</v>
      </c>
      <c r="EC125" s="4">
        <f t="shared" si="474"/>
        <v>3.3960968587263358</v>
      </c>
      <c r="EE125" s="4">
        <f t="shared" si="475"/>
        <v>63.951544156493995</v>
      </c>
      <c r="EF125" s="4">
        <f t="shared" si="235"/>
        <v>2.2360679774997898</v>
      </c>
      <c r="EG125" s="4" t="e">
        <f t="shared" si="476"/>
        <v>#REF!</v>
      </c>
      <c r="EJ125" s="4" t="e">
        <f t="shared" si="506"/>
        <v>#REF!</v>
      </c>
      <c r="EK125" s="4" t="e">
        <f t="shared" si="477"/>
        <v>#REF!</v>
      </c>
      <c r="EL125" s="4" t="e">
        <f t="shared" si="237"/>
        <v>#REF!</v>
      </c>
      <c r="EM125" s="4" t="e">
        <f t="shared" si="507"/>
        <v>#REF!</v>
      </c>
      <c r="EN125" s="4" t="e">
        <f t="shared" si="239"/>
        <v>#REF!</v>
      </c>
      <c r="EO125" s="4" t="e">
        <f t="shared" si="240"/>
        <v>#REF!</v>
      </c>
      <c r="EP125" s="4" t="e">
        <f t="shared" si="478"/>
        <v>#REF!</v>
      </c>
      <c r="EQ125" s="4" t="e">
        <f t="shared" si="508"/>
        <v>#REF!</v>
      </c>
      <c r="ER125" s="4" t="e">
        <f t="shared" si="479"/>
        <v>#REF!</v>
      </c>
      <c r="ES125" s="4" t="e">
        <f t="shared" si="242"/>
        <v>#REF!</v>
      </c>
      <c r="ET125" s="4" t="e">
        <f t="shared" si="243"/>
        <v>#REF!</v>
      </c>
      <c r="EV125" s="4" t="e">
        <f t="shared" si="489"/>
        <v>#REF!</v>
      </c>
      <c r="FA125" s="23" t="e">
        <f t="shared" si="490"/>
        <v>#REF!</v>
      </c>
      <c r="FB125" s="23" t="e">
        <f t="shared" si="491"/>
        <v>#REF!</v>
      </c>
      <c r="FC125" s="23" t="e">
        <f t="shared" si="290"/>
        <v>#REF!</v>
      </c>
      <c r="FD125" s="23" t="e">
        <f t="shared" si="492"/>
        <v>#REF!</v>
      </c>
      <c r="FE125" s="23" t="e">
        <f t="shared" si="493"/>
        <v>#REF!</v>
      </c>
      <c r="FF125" s="23" t="e">
        <f t="shared" si="494"/>
        <v>#REF!</v>
      </c>
      <c r="FG125" s="23" t="e">
        <f t="shared" si="282"/>
        <v>#REF!</v>
      </c>
      <c r="FH125" s="23"/>
      <c r="FR125" s="4">
        <f t="shared" si="351"/>
        <v>1.25</v>
      </c>
      <c r="FS125" s="4">
        <f t="shared" si="352"/>
        <v>1</v>
      </c>
      <c r="FT125" s="4">
        <f t="shared" si="353"/>
        <v>0</v>
      </c>
      <c r="FU125" s="4" t="e">
        <f t="shared" si="354"/>
        <v>#REF!</v>
      </c>
      <c r="FX125" s="4">
        <f>IF(AA125&gt;1, 0.05*(18-MIN(8,(K125+G125)/G125))*(1-29.3/MAX(60000/145,(D125))*(G125)^0.75*FT125), 1/12*(14-MIN(8,(K125+G125)/G125)))</f>
        <v>1</v>
      </c>
    </row>
    <row r="126" spans="2:182" ht="12" customHeight="1" x14ac:dyDescent="0.3">
      <c r="B126" s="24">
        <v>2015</v>
      </c>
      <c r="C126" s="7" t="s">
        <v>131</v>
      </c>
      <c r="D126" s="7">
        <v>710</v>
      </c>
      <c r="E126" s="7" t="e">
        <f>G126*#REF!</f>
        <v>#REF!</v>
      </c>
      <c r="F126" s="7">
        <v>41.4</v>
      </c>
      <c r="G126" s="7">
        <v>28.6</v>
      </c>
      <c r="H126" s="7">
        <v>261</v>
      </c>
      <c r="I126" s="7">
        <f>G126</f>
        <v>28.6</v>
      </c>
      <c r="J126" s="7"/>
      <c r="K126" s="7">
        <f>1*G126</f>
        <v>28.6</v>
      </c>
      <c r="L126" s="7">
        <v>2</v>
      </c>
      <c r="M126" s="7">
        <f t="shared" si="495"/>
        <v>58.2</v>
      </c>
      <c r="N126" s="7">
        <f t="shared" si="380"/>
        <v>1</v>
      </c>
      <c r="O126" s="7">
        <f t="shared" si="496"/>
        <v>1.5000000000000002</v>
      </c>
      <c r="P126" s="7">
        <f t="shared" si="509"/>
        <v>4</v>
      </c>
      <c r="Q126" s="7">
        <f t="shared" si="227"/>
        <v>4</v>
      </c>
      <c r="R126" s="7">
        <v>5</v>
      </c>
      <c r="S126" s="7">
        <f t="shared" si="447"/>
        <v>63.951544156493995</v>
      </c>
      <c r="T126" s="7"/>
      <c r="U126" s="7"/>
      <c r="V126" s="7">
        <v>434</v>
      </c>
      <c r="W126" s="7"/>
      <c r="X126" s="7" t="e">
        <f t="shared" si="482"/>
        <v>#REF!</v>
      </c>
      <c r="Y126" s="7"/>
      <c r="Z126" s="7"/>
      <c r="AA126" s="7">
        <v>1</v>
      </c>
      <c r="AB126" s="7"/>
      <c r="AC126" s="7"/>
      <c r="AD126" s="7"/>
      <c r="AE126" s="4" t="e">
        <f t="shared" si="483"/>
        <v>#REF!</v>
      </c>
      <c r="AF126" s="46" t="e">
        <f t="shared" si="497"/>
        <v>#REF!</v>
      </c>
      <c r="AG126" s="25" t="e">
        <f t="shared" si="448"/>
        <v>#REF!</v>
      </c>
      <c r="AH126" s="4" t="e">
        <f t="shared" si="449"/>
        <v>#REF!</v>
      </c>
      <c r="AI126" s="4">
        <v>1.25</v>
      </c>
      <c r="AJ126" s="25">
        <f t="shared" si="438"/>
        <v>5</v>
      </c>
      <c r="AK126" s="38" t="e">
        <f t="shared" si="480"/>
        <v>#REF!</v>
      </c>
      <c r="AL126" s="38" t="e">
        <f t="shared" si="356"/>
        <v>#REF!</v>
      </c>
      <c r="AN126" s="38" t="e">
        <f t="shared" si="498"/>
        <v>#REF!</v>
      </c>
      <c r="AO126" s="38" t="e">
        <f t="shared" si="316"/>
        <v>#REF!</v>
      </c>
      <c r="AP126" s="38" t="e">
        <f t="shared" si="357"/>
        <v>#REF!</v>
      </c>
      <c r="AQ126" s="4" t="e">
        <f t="shared" si="443"/>
        <v>#REF!</v>
      </c>
      <c r="AR126" s="4" t="e">
        <f>#REF!/G126*F126^0.5/0.19</f>
        <v>#REF!</v>
      </c>
      <c r="AS126" s="4">
        <f t="shared" si="450"/>
        <v>1.2000000000000002</v>
      </c>
      <c r="AT126" s="38">
        <f t="shared" si="451"/>
        <v>198.72000000000003</v>
      </c>
      <c r="AU126" s="4">
        <f t="shared" si="452"/>
        <v>0.44000000000000006</v>
      </c>
      <c r="AV126" s="4" t="e">
        <f>AU126*D126*#REF!/(D126*G126/2.75/F126^0.5)</f>
        <v>#REF!</v>
      </c>
      <c r="AW126" s="4" t="e">
        <f t="shared" si="499"/>
        <v>#REF!</v>
      </c>
      <c r="AY126" s="36">
        <f t="shared" si="428"/>
        <v>1</v>
      </c>
      <c r="AZ126" s="36" t="e">
        <f>(1.6*#REF!+22)*AY126*F126^0.5</f>
        <v>#REF!</v>
      </c>
      <c r="BE126" s="4">
        <f t="shared" si="453"/>
        <v>20.700000000000003</v>
      </c>
      <c r="BF126" s="4">
        <f t="shared" si="454"/>
        <v>20.700000000000003</v>
      </c>
      <c r="BG126" s="4">
        <f t="shared" si="455"/>
        <v>58.2</v>
      </c>
      <c r="BH126" s="4">
        <f t="shared" si="456"/>
        <v>35</v>
      </c>
      <c r="BI126" s="4">
        <f t="shared" si="229"/>
        <v>1.181159420289855</v>
      </c>
      <c r="BJ126" s="25">
        <f t="shared" si="457"/>
        <v>1.4454748150400323</v>
      </c>
      <c r="BL126" s="4">
        <f t="shared" si="458"/>
        <v>14.3</v>
      </c>
      <c r="BP126" s="9"/>
      <c r="BR126" s="9"/>
      <c r="BS126" s="9"/>
      <c r="BT126" s="9">
        <f t="shared" si="459"/>
        <v>14.3</v>
      </c>
      <c r="BU126" s="9">
        <f t="shared" si="460"/>
        <v>28.6</v>
      </c>
      <c r="BV126" s="9">
        <f t="shared" si="461"/>
        <v>0.78458409789675088</v>
      </c>
      <c r="BW126" s="9">
        <v>0</v>
      </c>
      <c r="BX126" s="9">
        <f t="shared" si="462"/>
        <v>0</v>
      </c>
      <c r="BY126" s="9">
        <f t="shared" si="500"/>
        <v>0</v>
      </c>
      <c r="BZ126" s="9">
        <f t="shared" si="463"/>
        <v>0.96044432035915817</v>
      </c>
      <c r="CA126" s="9">
        <f t="shared" si="464"/>
        <v>0.74299999999999999</v>
      </c>
      <c r="CB126" s="9">
        <f t="shared" si="465"/>
        <v>1.6070493790635749</v>
      </c>
      <c r="CC126" s="9">
        <f t="shared" si="466"/>
        <v>1.2608653873481286</v>
      </c>
      <c r="CD126" s="9">
        <v>1</v>
      </c>
      <c r="CE126" s="9" t="e">
        <f>4*CC126*#REF!+60*CC126</f>
        <v>#REF!</v>
      </c>
      <c r="CG126" s="4" t="e">
        <f t="shared" si="501"/>
        <v>#REF!</v>
      </c>
      <c r="CH126" s="4" t="e">
        <f t="shared" si="502"/>
        <v>#REF!</v>
      </c>
      <c r="CI126" s="4" t="e">
        <f t="shared" si="267"/>
        <v>#REF!</v>
      </c>
      <c r="CJ126" s="4" t="e">
        <f t="shared" si="484"/>
        <v>#REF!</v>
      </c>
      <c r="CK126" s="4" t="e">
        <f t="shared" si="269"/>
        <v>#REF!</v>
      </c>
      <c r="CL126" s="4" t="e">
        <f t="shared" si="270"/>
        <v>#REF!</v>
      </c>
      <c r="CM126" s="4" t="e">
        <f t="shared" si="481"/>
        <v>#REF!</v>
      </c>
      <c r="CO126" s="4" t="e">
        <f t="shared" si="271"/>
        <v>#REF!</v>
      </c>
      <c r="CP126" s="4" t="e">
        <f t="shared" si="272"/>
        <v>#REF!</v>
      </c>
      <c r="CQ126" s="4" t="e">
        <f t="shared" si="273"/>
        <v>#REF!</v>
      </c>
      <c r="CR126" s="4" t="e">
        <f t="shared" si="503"/>
        <v>#REF!</v>
      </c>
      <c r="CS126" s="4" t="e">
        <f t="shared" si="275"/>
        <v>#REF!</v>
      </c>
      <c r="CT126" s="4" t="e">
        <f t="shared" si="276"/>
        <v>#REF!</v>
      </c>
      <c r="DB126" s="4">
        <f t="shared" si="232"/>
        <v>0</v>
      </c>
      <c r="DC126" s="4" t="e">
        <f t="shared" si="467"/>
        <v>#REF!</v>
      </c>
      <c r="DD126" s="4" t="e">
        <f>#REF!/E126</f>
        <v>#REF!</v>
      </c>
      <c r="DF126" s="4" t="e">
        <f t="shared" si="468"/>
        <v>#REF!</v>
      </c>
      <c r="DG126" s="4">
        <f t="shared" si="233"/>
        <v>3.3960968587263358</v>
      </c>
      <c r="DH126" s="4" t="e">
        <f t="shared" si="486"/>
        <v>#REF!</v>
      </c>
      <c r="DI126" s="4" t="e">
        <f t="shared" si="359"/>
        <v>#REF!</v>
      </c>
      <c r="DJ126" s="4" t="e">
        <f t="shared" si="360"/>
        <v>#REF!</v>
      </c>
      <c r="DK126" s="4" t="e">
        <f t="shared" si="487"/>
        <v>#REF!</v>
      </c>
      <c r="DL126" s="38" t="e">
        <f t="shared" si="469"/>
        <v>#REF!</v>
      </c>
      <c r="DM126" s="4" t="e">
        <f t="shared" si="361"/>
        <v>#REF!</v>
      </c>
      <c r="DN126" s="4">
        <f t="shared" si="488"/>
        <v>2.2360679774997898</v>
      </c>
      <c r="DO126" s="4" t="e">
        <f t="shared" si="363"/>
        <v>#REF!</v>
      </c>
      <c r="DS126" s="4">
        <f t="shared" si="470"/>
        <v>1</v>
      </c>
      <c r="DT126" s="4">
        <f t="shared" si="471"/>
        <v>1</v>
      </c>
      <c r="DU126" s="4">
        <f t="shared" si="472"/>
        <v>1</v>
      </c>
      <c r="DV126" s="4">
        <f t="shared" si="504"/>
        <v>1</v>
      </c>
      <c r="DX126" s="4" t="e">
        <f t="shared" si="473"/>
        <v>#REF!</v>
      </c>
      <c r="DY126" s="25" t="e">
        <f t="shared" si="505"/>
        <v>#REF!</v>
      </c>
      <c r="EB126" s="4">
        <f t="shared" si="436"/>
        <v>3.3960968587263358</v>
      </c>
      <c r="EC126" s="4">
        <f t="shared" si="474"/>
        <v>3.3960968587263358</v>
      </c>
      <c r="EE126" s="4">
        <f t="shared" si="475"/>
        <v>63.951544156493995</v>
      </c>
      <c r="EF126" s="4">
        <f t="shared" si="235"/>
        <v>2.2360679774997898</v>
      </c>
      <c r="EG126" s="4" t="e">
        <f t="shared" si="476"/>
        <v>#REF!</v>
      </c>
      <c r="EJ126" s="4" t="e">
        <f t="shared" si="506"/>
        <v>#REF!</v>
      </c>
      <c r="EK126" s="4" t="e">
        <f t="shared" si="477"/>
        <v>#REF!</v>
      </c>
      <c r="EL126" s="4" t="e">
        <f t="shared" si="237"/>
        <v>#REF!</v>
      </c>
      <c r="EM126" s="4" t="e">
        <f t="shared" si="507"/>
        <v>#REF!</v>
      </c>
      <c r="EN126" s="4" t="e">
        <f t="shared" si="239"/>
        <v>#REF!</v>
      </c>
      <c r="EO126" s="4" t="e">
        <f t="shared" si="240"/>
        <v>#REF!</v>
      </c>
      <c r="EP126" s="4" t="e">
        <f t="shared" si="478"/>
        <v>#REF!</v>
      </c>
      <c r="EQ126" s="4" t="e">
        <f t="shared" si="508"/>
        <v>#REF!</v>
      </c>
      <c r="ER126" s="4" t="e">
        <f t="shared" si="479"/>
        <v>#REF!</v>
      </c>
      <c r="ES126" s="4" t="e">
        <f t="shared" si="242"/>
        <v>#REF!</v>
      </c>
      <c r="ET126" s="4" t="e">
        <f t="shared" si="243"/>
        <v>#REF!</v>
      </c>
      <c r="EV126" s="4" t="e">
        <f t="shared" si="489"/>
        <v>#REF!</v>
      </c>
      <c r="FA126" s="23" t="e">
        <f t="shared" si="490"/>
        <v>#REF!</v>
      </c>
      <c r="FB126" s="23" t="e">
        <f t="shared" si="491"/>
        <v>#REF!</v>
      </c>
      <c r="FC126" s="23" t="e">
        <f t="shared" si="290"/>
        <v>#REF!</v>
      </c>
      <c r="FD126" s="23" t="e">
        <f t="shared" si="492"/>
        <v>#REF!</v>
      </c>
      <c r="FE126" s="23" t="e">
        <f t="shared" si="493"/>
        <v>#REF!</v>
      </c>
      <c r="FF126" s="23" t="e">
        <f t="shared" si="494"/>
        <v>#REF!</v>
      </c>
      <c r="FG126" s="23" t="e">
        <f t="shared" si="282"/>
        <v>#REF!</v>
      </c>
      <c r="FH126" s="23"/>
      <c r="FR126" s="4">
        <f t="shared" si="351"/>
        <v>1.25</v>
      </c>
      <c r="FS126" s="4">
        <f t="shared" si="352"/>
        <v>1</v>
      </c>
      <c r="FT126" s="4">
        <f t="shared" si="353"/>
        <v>0</v>
      </c>
      <c r="FU126" s="4" t="e">
        <f t="shared" si="354"/>
        <v>#REF!</v>
      </c>
      <c r="FX126" s="4">
        <f>IF(AA126&gt;1, 0.05*(18-MIN(8,(K126+G126)/G126))*(1-29.3/MAX(60000/145,(D126))*(G126)^0.75*FT126), 1/12*(14-MIN(8,(K126+G126)/G126)))</f>
        <v>1</v>
      </c>
    </row>
    <row r="127" spans="2:182" ht="12" customHeight="1" x14ac:dyDescent="0.3">
      <c r="B127" s="24"/>
      <c r="C127" s="7" t="s">
        <v>140</v>
      </c>
      <c r="D127" s="7">
        <v>710</v>
      </c>
      <c r="E127" s="7" t="e">
        <f>G127*#REF!</f>
        <v>#REF!</v>
      </c>
      <c r="F127" s="7">
        <v>40.1</v>
      </c>
      <c r="G127" s="7">
        <v>28.6</v>
      </c>
      <c r="H127" s="7">
        <v>261</v>
      </c>
      <c r="I127" s="7">
        <f>G127</f>
        <v>28.6</v>
      </c>
      <c r="J127" s="7"/>
      <c r="K127" s="7">
        <f>1*G127</f>
        <v>28.6</v>
      </c>
      <c r="L127" s="7">
        <v>2</v>
      </c>
      <c r="M127" s="7">
        <f t="shared" si="495"/>
        <v>58.2</v>
      </c>
      <c r="N127" s="7">
        <f t="shared" ref="N127:N153" si="510">MIN(K127/G127/2+0.5, (M127+G127/2)/G127, I127/G127+0.5)</f>
        <v>1</v>
      </c>
      <c r="O127" s="7">
        <f t="shared" si="496"/>
        <v>1.5000000000000002</v>
      </c>
      <c r="P127" s="7">
        <f t="shared" si="509"/>
        <v>4</v>
      </c>
      <c r="Q127" s="7">
        <f t="shared" si="227"/>
        <v>4</v>
      </c>
      <c r="R127" s="7">
        <v>5</v>
      </c>
      <c r="S127" s="7">
        <f t="shared" si="447"/>
        <v>63.951544156493995</v>
      </c>
      <c r="T127" s="7"/>
      <c r="U127" s="7"/>
      <c r="V127" s="7">
        <v>459</v>
      </c>
      <c r="W127" s="7"/>
      <c r="X127" s="7" t="e">
        <f t="shared" si="482"/>
        <v>#REF!</v>
      </c>
      <c r="Y127" s="7"/>
      <c r="Z127" s="7"/>
      <c r="AA127" s="7">
        <v>1</v>
      </c>
      <c r="AB127" s="7"/>
      <c r="AC127" s="7"/>
      <c r="AD127" s="7"/>
      <c r="AE127" s="4" t="e">
        <f t="shared" si="483"/>
        <v>#REF!</v>
      </c>
      <c r="AF127" s="46" t="e">
        <f t="shared" si="497"/>
        <v>#REF!</v>
      </c>
      <c r="AG127" s="25" t="e">
        <f t="shared" si="448"/>
        <v>#REF!</v>
      </c>
      <c r="AH127" s="4" t="e">
        <f t="shared" si="449"/>
        <v>#REF!</v>
      </c>
      <c r="AI127" s="4">
        <v>1.25</v>
      </c>
      <c r="AJ127" s="25">
        <f t="shared" si="438"/>
        <v>5</v>
      </c>
      <c r="AK127" s="38" t="e">
        <f t="shared" si="480"/>
        <v>#REF!</v>
      </c>
      <c r="AL127" s="38" t="e">
        <f t="shared" si="356"/>
        <v>#REF!</v>
      </c>
      <c r="AN127" s="38" t="e">
        <f t="shared" si="498"/>
        <v>#REF!</v>
      </c>
      <c r="AO127" s="38" t="e">
        <f t="shared" si="316"/>
        <v>#REF!</v>
      </c>
      <c r="AP127" s="38" t="e">
        <f t="shared" si="357"/>
        <v>#REF!</v>
      </c>
      <c r="AQ127" s="4" t="e">
        <f t="shared" si="443"/>
        <v>#REF!</v>
      </c>
      <c r="AR127" s="4" t="e">
        <f>#REF!/G127*F127^0.5/0.19</f>
        <v>#REF!</v>
      </c>
      <c r="AS127" s="4">
        <f t="shared" si="450"/>
        <v>1.2000000000000002</v>
      </c>
      <c r="AT127" s="38">
        <f t="shared" si="451"/>
        <v>192.48000000000005</v>
      </c>
      <c r="AU127" s="4">
        <f t="shared" si="452"/>
        <v>0.44000000000000006</v>
      </c>
      <c r="AV127" s="4" t="e">
        <f>AU127*D127*#REF!/(D127*G127/2.75/F127^0.5)</f>
        <v>#REF!</v>
      </c>
      <c r="AW127" s="4" t="e">
        <f t="shared" si="499"/>
        <v>#REF!</v>
      </c>
      <c r="AY127" s="36">
        <f t="shared" si="428"/>
        <v>1</v>
      </c>
      <c r="AZ127" s="36" t="e">
        <f>(1.6*#REF!+22)*AY127*F127^0.5</f>
        <v>#REF!</v>
      </c>
      <c r="BE127" s="4">
        <f t="shared" si="453"/>
        <v>20.700000000000003</v>
      </c>
      <c r="BF127" s="4">
        <f t="shared" si="454"/>
        <v>20.700000000000003</v>
      </c>
      <c r="BG127" s="4">
        <f t="shared" si="455"/>
        <v>58.2</v>
      </c>
      <c r="BH127" s="4">
        <f t="shared" si="456"/>
        <v>35</v>
      </c>
      <c r="BI127" s="4">
        <f t="shared" si="229"/>
        <v>1.181159420289855</v>
      </c>
      <c r="BJ127" s="25">
        <f t="shared" si="457"/>
        <v>1.4454748150400323</v>
      </c>
      <c r="BL127" s="4">
        <f t="shared" si="458"/>
        <v>14.3</v>
      </c>
      <c r="BP127" s="9"/>
      <c r="BR127" s="9"/>
      <c r="BS127" s="9"/>
      <c r="BT127" s="9">
        <f t="shared" si="459"/>
        <v>14.3</v>
      </c>
      <c r="BU127" s="9">
        <f t="shared" si="460"/>
        <v>28.6</v>
      </c>
      <c r="BV127" s="9">
        <f t="shared" si="461"/>
        <v>0.78458409789675088</v>
      </c>
      <c r="BW127" s="9">
        <v>0</v>
      </c>
      <c r="BX127" s="9">
        <f t="shared" si="462"/>
        <v>0</v>
      </c>
      <c r="BY127" s="9">
        <f t="shared" si="500"/>
        <v>0</v>
      </c>
      <c r="BZ127" s="9">
        <f t="shared" si="463"/>
        <v>0.96044432035915817</v>
      </c>
      <c r="CA127" s="9">
        <f t="shared" si="464"/>
        <v>0.74299999999999999</v>
      </c>
      <c r="CB127" s="9">
        <f t="shared" si="465"/>
        <v>1.5816166822222031</v>
      </c>
      <c r="CC127" s="9">
        <f t="shared" si="466"/>
        <v>1.2409112978397594</v>
      </c>
      <c r="CD127" s="9">
        <v>1</v>
      </c>
      <c r="CE127" s="9" t="e">
        <f>4*CC127*#REF!+60*CC127</f>
        <v>#REF!</v>
      </c>
      <c r="CG127" s="4" t="e">
        <f t="shared" si="501"/>
        <v>#REF!</v>
      </c>
      <c r="CH127" s="4" t="e">
        <f t="shared" si="502"/>
        <v>#REF!</v>
      </c>
      <c r="CI127" s="4" t="e">
        <f t="shared" si="267"/>
        <v>#REF!</v>
      </c>
      <c r="CJ127" s="4" t="e">
        <f t="shared" si="484"/>
        <v>#REF!</v>
      </c>
      <c r="CK127" s="4" t="e">
        <f t="shared" si="269"/>
        <v>#REF!</v>
      </c>
      <c r="CL127" s="4" t="e">
        <f t="shared" si="270"/>
        <v>#REF!</v>
      </c>
      <c r="CM127" s="4" t="e">
        <f t="shared" si="481"/>
        <v>#REF!</v>
      </c>
      <c r="CO127" s="4" t="e">
        <f t="shared" si="271"/>
        <v>#REF!</v>
      </c>
      <c r="CP127" s="4" t="e">
        <f t="shared" si="272"/>
        <v>#REF!</v>
      </c>
      <c r="CQ127" s="4" t="e">
        <f t="shared" si="273"/>
        <v>#REF!</v>
      </c>
      <c r="CR127" s="4" t="e">
        <f t="shared" si="503"/>
        <v>#REF!</v>
      </c>
      <c r="CS127" s="4" t="e">
        <f t="shared" si="275"/>
        <v>#REF!</v>
      </c>
      <c r="CT127" s="4" t="e">
        <f t="shared" si="276"/>
        <v>#REF!</v>
      </c>
      <c r="DB127" s="4">
        <f t="shared" si="232"/>
        <v>0</v>
      </c>
      <c r="DC127" s="4" t="e">
        <f t="shared" si="467"/>
        <v>#REF!</v>
      </c>
      <c r="DD127" s="4" t="e">
        <f>#REF!/E127</f>
        <v>#REF!</v>
      </c>
      <c r="DF127" s="4" t="e">
        <f t="shared" si="468"/>
        <v>#REF!</v>
      </c>
      <c r="DG127" s="4">
        <f t="shared" si="233"/>
        <v>3.3423512159494768</v>
      </c>
      <c r="DH127" s="4" t="e">
        <f t="shared" si="486"/>
        <v>#REF!</v>
      </c>
      <c r="DI127" s="4" t="e">
        <f t="shared" si="359"/>
        <v>#REF!</v>
      </c>
      <c r="DJ127" s="4" t="e">
        <f t="shared" si="360"/>
        <v>#REF!</v>
      </c>
      <c r="DK127" s="4" t="e">
        <f t="shared" si="487"/>
        <v>#REF!</v>
      </c>
      <c r="DL127" s="38" t="e">
        <f t="shared" si="469"/>
        <v>#REF!</v>
      </c>
      <c r="DM127" s="4" t="e">
        <f t="shared" si="361"/>
        <v>#REF!</v>
      </c>
      <c r="DN127" s="4">
        <f t="shared" si="488"/>
        <v>2.2360679774997898</v>
      </c>
      <c r="DO127" s="4" t="e">
        <f t="shared" si="363"/>
        <v>#REF!</v>
      </c>
      <c r="DS127" s="4">
        <f t="shared" si="470"/>
        <v>1</v>
      </c>
      <c r="DT127" s="4">
        <f t="shared" si="471"/>
        <v>1</v>
      </c>
      <c r="DU127" s="4">
        <f t="shared" si="472"/>
        <v>1</v>
      </c>
      <c r="DV127" s="4">
        <f t="shared" si="504"/>
        <v>1</v>
      </c>
      <c r="DX127" s="4" t="e">
        <f t="shared" si="473"/>
        <v>#REF!</v>
      </c>
      <c r="DY127" s="25" t="e">
        <f t="shared" si="505"/>
        <v>#REF!</v>
      </c>
      <c r="EB127" s="4">
        <f t="shared" si="436"/>
        <v>3.3423512159494768</v>
      </c>
      <c r="EC127" s="4">
        <f t="shared" si="474"/>
        <v>3.3423512159494768</v>
      </c>
      <c r="EE127" s="4">
        <f t="shared" si="475"/>
        <v>63.951544156493995</v>
      </c>
      <c r="EF127" s="4">
        <f t="shared" si="235"/>
        <v>2.2360679774997898</v>
      </c>
      <c r="EG127" s="4" t="e">
        <f t="shared" si="476"/>
        <v>#REF!</v>
      </c>
      <c r="EJ127" s="4" t="e">
        <f t="shared" si="506"/>
        <v>#REF!</v>
      </c>
      <c r="EK127" s="4" t="e">
        <f t="shared" si="477"/>
        <v>#REF!</v>
      </c>
      <c r="EL127" s="4" t="e">
        <f t="shared" si="237"/>
        <v>#REF!</v>
      </c>
      <c r="EM127" s="4" t="e">
        <f t="shared" si="507"/>
        <v>#REF!</v>
      </c>
      <c r="EN127" s="4" t="e">
        <f t="shared" si="239"/>
        <v>#REF!</v>
      </c>
      <c r="EO127" s="4" t="e">
        <f t="shared" si="240"/>
        <v>#REF!</v>
      </c>
      <c r="EP127" s="4" t="e">
        <f t="shared" si="478"/>
        <v>#REF!</v>
      </c>
      <c r="EQ127" s="4" t="e">
        <f t="shared" si="508"/>
        <v>#REF!</v>
      </c>
      <c r="ER127" s="4" t="e">
        <f t="shared" si="479"/>
        <v>#REF!</v>
      </c>
      <c r="ES127" s="4" t="e">
        <f t="shared" si="242"/>
        <v>#REF!</v>
      </c>
      <c r="ET127" s="4" t="e">
        <f t="shared" si="243"/>
        <v>#REF!</v>
      </c>
      <c r="EV127" s="4" t="e">
        <f t="shared" si="489"/>
        <v>#REF!</v>
      </c>
      <c r="FA127" s="23" t="e">
        <f t="shared" si="490"/>
        <v>#REF!</v>
      </c>
      <c r="FB127" s="23" t="e">
        <f t="shared" si="491"/>
        <v>#REF!</v>
      </c>
      <c r="FC127" s="23" t="e">
        <f t="shared" si="290"/>
        <v>#REF!</v>
      </c>
      <c r="FD127" s="23" t="e">
        <f t="shared" si="492"/>
        <v>#REF!</v>
      </c>
      <c r="FE127" s="23" t="e">
        <f t="shared" si="493"/>
        <v>#REF!</v>
      </c>
      <c r="FF127" s="23" t="e">
        <f t="shared" si="494"/>
        <v>#REF!</v>
      </c>
      <c r="FG127" s="23" t="e">
        <f t="shared" si="282"/>
        <v>#REF!</v>
      </c>
      <c r="FH127" s="23"/>
      <c r="FR127" s="4">
        <f t="shared" si="351"/>
        <v>1.25</v>
      </c>
      <c r="FS127" s="4">
        <f t="shared" si="352"/>
        <v>1</v>
      </c>
      <c r="FT127" s="4">
        <f t="shared" si="353"/>
        <v>0</v>
      </c>
      <c r="FU127" s="4" t="e">
        <f t="shared" si="354"/>
        <v>#REF!</v>
      </c>
    </row>
    <row r="128" spans="2:182" ht="12" customHeight="1" x14ac:dyDescent="0.3">
      <c r="B128" s="24"/>
      <c r="C128" s="7" t="s">
        <v>132</v>
      </c>
      <c r="D128" s="7">
        <v>710</v>
      </c>
      <c r="E128" s="7" t="e">
        <f>G128*#REF!</f>
        <v>#REF!</v>
      </c>
      <c r="F128" s="7">
        <v>41.4</v>
      </c>
      <c r="G128" s="7">
        <v>28.6</v>
      </c>
      <c r="H128" s="7">
        <v>406</v>
      </c>
      <c r="I128" s="7">
        <f>G128*2</f>
        <v>57.2</v>
      </c>
      <c r="J128" s="7"/>
      <c r="K128" s="7">
        <f>2*G128</f>
        <v>57.2</v>
      </c>
      <c r="L128" s="7">
        <v>2</v>
      </c>
      <c r="M128" s="7">
        <f t="shared" si="495"/>
        <v>58.2</v>
      </c>
      <c r="N128" s="7">
        <f t="shared" si="510"/>
        <v>1.5</v>
      </c>
      <c r="O128" s="7">
        <f t="shared" si="496"/>
        <v>2.5</v>
      </c>
      <c r="P128" s="7">
        <f t="shared" si="509"/>
        <v>4</v>
      </c>
      <c r="Q128" s="7">
        <f t="shared" ref="Q128:Q147" si="511">MIN(Q$16,P128)</f>
        <v>4</v>
      </c>
      <c r="R128" s="7">
        <v>5</v>
      </c>
      <c r="S128" s="7">
        <f t="shared" si="447"/>
        <v>63.951544156493995</v>
      </c>
      <c r="T128" s="7"/>
      <c r="U128" s="7"/>
      <c r="V128" s="7">
        <v>335</v>
      </c>
      <c r="W128" s="7"/>
      <c r="X128" s="7" t="e">
        <f t="shared" si="482"/>
        <v>#REF!</v>
      </c>
      <c r="Y128" s="7"/>
      <c r="Z128" s="7"/>
      <c r="AA128" s="7">
        <v>1</v>
      </c>
      <c r="AB128" s="7"/>
      <c r="AC128" s="7"/>
      <c r="AD128" s="7"/>
      <c r="AE128" s="4" t="e">
        <f t="shared" si="483"/>
        <v>#REF!</v>
      </c>
      <c r="AF128" s="46" t="e">
        <f t="shared" si="497"/>
        <v>#REF!</v>
      </c>
      <c r="AG128" s="25" t="e">
        <f t="shared" si="448"/>
        <v>#REF!</v>
      </c>
      <c r="AH128" s="4" t="e">
        <f t="shared" si="449"/>
        <v>#REF!</v>
      </c>
      <c r="AI128" s="4">
        <v>1.25</v>
      </c>
      <c r="AJ128" s="25">
        <f t="shared" si="438"/>
        <v>5</v>
      </c>
      <c r="AK128" s="38" t="e">
        <f t="shared" si="480"/>
        <v>#REF!</v>
      </c>
      <c r="AL128" s="38" t="e">
        <f t="shared" si="356"/>
        <v>#REF!</v>
      </c>
      <c r="AN128" s="38" t="e">
        <f t="shared" si="498"/>
        <v>#REF!</v>
      </c>
      <c r="AO128" s="38" t="e">
        <f t="shared" si="316"/>
        <v>#REF!</v>
      </c>
      <c r="AP128" s="38" t="e">
        <f t="shared" si="357"/>
        <v>#REF!</v>
      </c>
      <c r="AQ128" s="4" t="e">
        <f t="shared" si="443"/>
        <v>#REF!</v>
      </c>
      <c r="AR128" s="4" t="e">
        <f>#REF!/G128*F128^0.5/0.19</f>
        <v>#REF!</v>
      </c>
      <c r="AS128" s="4">
        <f t="shared" si="450"/>
        <v>1.2666666666666666</v>
      </c>
      <c r="AT128" s="38">
        <f t="shared" si="451"/>
        <v>314.63999999999993</v>
      </c>
      <c r="AU128" s="4">
        <f t="shared" si="452"/>
        <v>0.44000000000000006</v>
      </c>
      <c r="AV128" s="4" t="e">
        <f>AU128*D128*#REF!/(D128*G128/2.75/F128^0.5)</f>
        <v>#REF!</v>
      </c>
      <c r="AW128" s="4" t="e">
        <f t="shared" si="499"/>
        <v>#REF!</v>
      </c>
      <c r="AY128" s="36">
        <f t="shared" si="428"/>
        <v>1.1000000000000001</v>
      </c>
      <c r="AZ128" s="36" t="e">
        <f>(1.6*#REF!+22)*AY128*F128^0.5</f>
        <v>#REF!</v>
      </c>
      <c r="BE128" s="4">
        <f t="shared" si="453"/>
        <v>35</v>
      </c>
      <c r="BF128" s="4">
        <f t="shared" si="454"/>
        <v>35</v>
      </c>
      <c r="BG128" s="4">
        <f t="shared" si="455"/>
        <v>58.2</v>
      </c>
      <c r="BH128" s="4">
        <f t="shared" si="456"/>
        <v>49.3</v>
      </c>
      <c r="BI128" s="4">
        <f t="shared" ref="BI128:BI147" si="512">MIN(1.25, 0.1*BG128/BF128+0.9)</f>
        <v>1.0662857142857143</v>
      </c>
      <c r="BJ128" s="25">
        <f t="shared" si="457"/>
        <v>1.8380379620379617</v>
      </c>
      <c r="BL128" s="4">
        <f t="shared" si="458"/>
        <v>28.6</v>
      </c>
      <c r="BP128" s="9"/>
      <c r="BR128" s="9"/>
      <c r="BS128" s="9"/>
      <c r="BT128" s="9">
        <f t="shared" si="459"/>
        <v>28.6</v>
      </c>
      <c r="BU128" s="9">
        <f t="shared" si="460"/>
        <v>57.2</v>
      </c>
      <c r="BV128" s="9">
        <f t="shared" si="461"/>
        <v>1.1095694720678451</v>
      </c>
      <c r="BW128" s="9">
        <v>0</v>
      </c>
      <c r="BX128" s="9">
        <f t="shared" si="462"/>
        <v>0</v>
      </c>
      <c r="BY128" s="9">
        <f t="shared" si="500"/>
        <v>0</v>
      </c>
      <c r="BZ128" s="9">
        <f t="shared" si="463"/>
        <v>0.96044432035915817</v>
      </c>
      <c r="CA128" s="9">
        <f t="shared" si="464"/>
        <v>0.74299999999999999</v>
      </c>
      <c r="CB128" s="9">
        <f t="shared" si="465"/>
        <v>1.6070493790635749</v>
      </c>
      <c r="CC128" s="9">
        <f t="shared" si="466"/>
        <v>1.783132931114529</v>
      </c>
      <c r="CD128" s="9">
        <v>1</v>
      </c>
      <c r="CE128" s="9" t="e">
        <f>4*CC128*#REF!+60*CC128</f>
        <v>#REF!</v>
      </c>
      <c r="CG128" s="4" t="e">
        <f t="shared" si="501"/>
        <v>#REF!</v>
      </c>
      <c r="CH128" s="4" t="e">
        <f t="shared" si="502"/>
        <v>#REF!</v>
      </c>
      <c r="CI128" s="4" t="e">
        <f t="shared" si="267"/>
        <v>#REF!</v>
      </c>
      <c r="CJ128" s="4" t="e">
        <f t="shared" si="484"/>
        <v>#REF!</v>
      </c>
      <c r="CK128" s="4" t="e">
        <f t="shared" si="269"/>
        <v>#REF!</v>
      </c>
      <c r="CL128" s="4" t="e">
        <f t="shared" si="270"/>
        <v>#REF!</v>
      </c>
      <c r="CM128" s="4" t="e">
        <f t="shared" si="481"/>
        <v>#REF!</v>
      </c>
      <c r="CO128" s="4" t="e">
        <f t="shared" ref="CO128:CO139" si="513">CG128</f>
        <v>#REF!</v>
      </c>
      <c r="CP128" s="4" t="e">
        <f t="shared" ref="CP128:CP139" si="514">CH128</f>
        <v>#REF!</v>
      </c>
      <c r="CQ128" s="4" t="e">
        <f t="shared" ref="CQ128:CQ139" si="515">CJ128</f>
        <v>#REF!</v>
      </c>
      <c r="CR128" s="4" t="e">
        <f t="shared" si="503"/>
        <v>#REF!</v>
      </c>
      <c r="CS128" s="4" t="e">
        <f t="shared" ref="CS128:CS139" si="516">CK128</f>
        <v>#REF!</v>
      </c>
      <c r="CT128" s="4" t="e">
        <f t="shared" ref="CT128:CT139" si="517">CL128</f>
        <v>#REF!</v>
      </c>
      <c r="DB128" s="4">
        <f t="shared" ref="DB128:DB164" si="518">Z128</f>
        <v>0</v>
      </c>
      <c r="DC128" s="4" t="e">
        <f t="shared" si="467"/>
        <v>#REF!</v>
      </c>
      <c r="DD128" s="4" t="e">
        <f>#REF!/E128</f>
        <v>#REF!</v>
      </c>
      <c r="DF128" s="4" t="e">
        <f t="shared" si="468"/>
        <v>#REF!</v>
      </c>
      <c r="DG128" s="4">
        <f t="shared" ref="DG128:DG164" si="519">EB128</f>
        <v>4.3184114203497916</v>
      </c>
      <c r="DH128" s="4" t="e">
        <f t="shared" si="486"/>
        <v>#REF!</v>
      </c>
      <c r="DI128" s="4" t="e">
        <f t="shared" si="359"/>
        <v>#REF!</v>
      </c>
      <c r="DJ128" s="4" t="e">
        <f t="shared" si="360"/>
        <v>#REF!</v>
      </c>
      <c r="DK128" s="4" t="e">
        <f t="shared" si="487"/>
        <v>#REF!</v>
      </c>
      <c r="DL128" s="38" t="e">
        <f t="shared" si="469"/>
        <v>#REF!</v>
      </c>
      <c r="DM128" s="4" t="e">
        <f t="shared" si="361"/>
        <v>#REF!</v>
      </c>
      <c r="DN128" s="4">
        <f t="shared" si="488"/>
        <v>2.2360679774997898</v>
      </c>
      <c r="DO128" s="4" t="e">
        <f t="shared" si="363"/>
        <v>#REF!</v>
      </c>
      <c r="DS128" s="4">
        <f t="shared" si="470"/>
        <v>1</v>
      </c>
      <c r="DT128" s="4">
        <f t="shared" si="471"/>
        <v>1</v>
      </c>
      <c r="DU128" s="4">
        <f t="shared" si="472"/>
        <v>1</v>
      </c>
      <c r="DV128" s="4">
        <f t="shared" si="504"/>
        <v>1</v>
      </c>
      <c r="DX128" s="4" t="e">
        <f t="shared" si="473"/>
        <v>#REF!</v>
      </c>
      <c r="DY128" s="25" t="e">
        <f t="shared" si="505"/>
        <v>#REF!</v>
      </c>
      <c r="EB128" s="4">
        <f t="shared" si="436"/>
        <v>4.3184114203497916</v>
      </c>
      <c r="EC128" s="4">
        <f t="shared" si="474"/>
        <v>4.3184114203497916</v>
      </c>
      <c r="EE128" s="4">
        <f t="shared" si="475"/>
        <v>63.951544156493995</v>
      </c>
      <c r="EF128" s="4">
        <f t="shared" ref="EF128:EF164" si="520">R128^0.5</f>
        <v>2.2360679774997898</v>
      </c>
      <c r="EG128" s="4" t="e">
        <f t="shared" si="476"/>
        <v>#REF!</v>
      </c>
      <c r="EJ128" s="4" t="e">
        <f t="shared" si="506"/>
        <v>#REF!</v>
      </c>
      <c r="EK128" s="4" t="e">
        <f t="shared" si="477"/>
        <v>#REF!</v>
      </c>
      <c r="EL128" s="4" t="e">
        <f t="shared" ref="EL128:EL164" si="521">EB128/1*EK128^0.4</f>
        <v>#REF!</v>
      </c>
      <c r="EM128" s="4" t="e">
        <f t="shared" si="507"/>
        <v>#REF!</v>
      </c>
      <c r="EN128" s="4" t="e">
        <f t="shared" ref="EN128:EN147" si="522">MAX(0,DC128*EN$9-EE128)</f>
        <v>#REF!</v>
      </c>
      <c r="EO128" s="4" t="e">
        <f t="shared" ref="EO128:EO147" si="523">MAX(0,DC128-EE128-EN128)</f>
        <v>#REF!</v>
      </c>
      <c r="EP128" s="4" t="e">
        <f t="shared" si="478"/>
        <v>#REF!</v>
      </c>
      <c r="EQ128" s="4" t="e">
        <f t="shared" si="508"/>
        <v>#REF!</v>
      </c>
      <c r="ER128" s="4" t="e">
        <f t="shared" si="479"/>
        <v>#REF!</v>
      </c>
      <c r="ES128" s="4" t="e">
        <f t="shared" ref="ES128:ES147" si="524">IF(DD128&lt;=EN$9, MAX(0,DC128*DD128-EE128), MAX(0,DC128*EN$9-EE128))</f>
        <v>#REF!</v>
      </c>
      <c r="ET128" s="4" t="e">
        <f t="shared" ref="ET128:ET147" si="525">MAX(0, DC128*DD128-ES128-EE128)</f>
        <v>#REF!</v>
      </c>
      <c r="EV128" s="4" t="e">
        <f t="shared" si="489"/>
        <v>#REF!</v>
      </c>
      <c r="FA128" s="23" t="e">
        <f t="shared" si="490"/>
        <v>#REF!</v>
      </c>
      <c r="FB128" s="23" t="e">
        <f t="shared" si="491"/>
        <v>#REF!</v>
      </c>
      <c r="FC128" s="23" t="e">
        <f t="shared" si="290"/>
        <v>#REF!</v>
      </c>
      <c r="FD128" s="23" t="e">
        <f t="shared" si="492"/>
        <v>#REF!</v>
      </c>
      <c r="FE128" s="23" t="e">
        <f t="shared" si="493"/>
        <v>#REF!</v>
      </c>
      <c r="FF128" s="23" t="e">
        <f t="shared" si="494"/>
        <v>#REF!</v>
      </c>
      <c r="FG128" s="23" t="e">
        <f t="shared" si="282"/>
        <v>#REF!</v>
      </c>
      <c r="FH128" s="23"/>
      <c r="FR128" s="4">
        <f t="shared" si="351"/>
        <v>1.25</v>
      </c>
      <c r="FS128" s="4">
        <f t="shared" si="352"/>
        <v>0.91666666666666663</v>
      </c>
      <c r="FT128" s="4">
        <f t="shared" si="353"/>
        <v>0</v>
      </c>
      <c r="FU128" s="4" t="e">
        <f t="shared" si="354"/>
        <v>#REF!</v>
      </c>
      <c r="FX128" s="4">
        <f>IF(AA128&gt;1, 0.05*(18-MIN(8,(K128+G128)/G128))*(1-29.3/MAX(60000/145,(D128))*(G128)^0.75*FT128), 1/12*(14-MIN(8,(K128+G128)/G128)))</f>
        <v>0.91666666666666663</v>
      </c>
    </row>
    <row r="129" spans="2:177" ht="12" customHeight="1" x14ac:dyDescent="0.3">
      <c r="B129" s="24"/>
      <c r="C129" s="7" t="s">
        <v>133</v>
      </c>
      <c r="D129" s="7">
        <v>710</v>
      </c>
      <c r="E129" s="7" t="e">
        <f>G129*#REF!</f>
        <v>#REF!</v>
      </c>
      <c r="F129" s="7">
        <v>41.4</v>
      </c>
      <c r="G129" s="7">
        <v>28.6</v>
      </c>
      <c r="H129" s="7">
        <v>406</v>
      </c>
      <c r="I129" s="7">
        <f>G129*2</f>
        <v>57.2</v>
      </c>
      <c r="J129" s="7"/>
      <c r="K129" s="7">
        <f>2*G129</f>
        <v>57.2</v>
      </c>
      <c r="L129" s="7">
        <v>2</v>
      </c>
      <c r="M129" s="7">
        <f t="shared" si="495"/>
        <v>58.2</v>
      </c>
      <c r="N129" s="7">
        <f t="shared" si="510"/>
        <v>1.5</v>
      </c>
      <c r="O129" s="7">
        <f t="shared" si="496"/>
        <v>2.5</v>
      </c>
      <c r="P129" s="7">
        <f t="shared" si="509"/>
        <v>4</v>
      </c>
      <c r="Q129" s="7">
        <f t="shared" si="511"/>
        <v>4</v>
      </c>
      <c r="R129" s="7">
        <v>5</v>
      </c>
      <c r="S129" s="7">
        <f t="shared" si="447"/>
        <v>63.951544156493995</v>
      </c>
      <c r="T129" s="7"/>
      <c r="U129" s="7"/>
      <c r="V129" s="7">
        <v>379</v>
      </c>
      <c r="W129" s="7"/>
      <c r="X129" s="7" t="e">
        <f t="shared" si="482"/>
        <v>#REF!</v>
      </c>
      <c r="Y129" s="7"/>
      <c r="Z129" s="7"/>
      <c r="AA129" s="7">
        <v>1</v>
      </c>
      <c r="AB129" s="7"/>
      <c r="AC129" s="7"/>
      <c r="AD129" s="7"/>
      <c r="AE129" s="4" t="e">
        <f t="shared" si="483"/>
        <v>#REF!</v>
      </c>
      <c r="AF129" s="46" t="e">
        <f t="shared" si="497"/>
        <v>#REF!</v>
      </c>
      <c r="AG129" s="25" t="e">
        <f t="shared" si="448"/>
        <v>#REF!</v>
      </c>
      <c r="AH129" s="4" t="e">
        <f t="shared" si="449"/>
        <v>#REF!</v>
      </c>
      <c r="AI129" s="4">
        <v>1.25</v>
      </c>
      <c r="AJ129" s="25">
        <f t="shared" si="438"/>
        <v>5</v>
      </c>
      <c r="AK129" s="38" t="e">
        <f t="shared" si="480"/>
        <v>#REF!</v>
      </c>
      <c r="AL129" s="38" t="e">
        <f t="shared" si="356"/>
        <v>#REF!</v>
      </c>
      <c r="AN129" s="38" t="e">
        <f t="shared" si="498"/>
        <v>#REF!</v>
      </c>
      <c r="AO129" s="38" t="e">
        <f t="shared" si="316"/>
        <v>#REF!</v>
      </c>
      <c r="AP129" s="38" t="e">
        <f t="shared" si="357"/>
        <v>#REF!</v>
      </c>
      <c r="AQ129" s="4" t="e">
        <f t="shared" si="443"/>
        <v>#REF!</v>
      </c>
      <c r="AR129" s="4" t="e">
        <f>#REF!/G129*F129^0.5/0.19</f>
        <v>#REF!</v>
      </c>
      <c r="AS129" s="4">
        <f t="shared" si="450"/>
        <v>1.2666666666666666</v>
      </c>
      <c r="AT129" s="38">
        <f t="shared" si="451"/>
        <v>314.63999999999993</v>
      </c>
      <c r="AU129" s="4">
        <f t="shared" si="452"/>
        <v>0.44000000000000006</v>
      </c>
      <c r="AV129" s="4" t="e">
        <f>AU129*D129*#REF!/(D129*G129/2.75/F129^0.5)</f>
        <v>#REF!</v>
      </c>
      <c r="AW129" s="4" t="e">
        <f t="shared" si="499"/>
        <v>#REF!</v>
      </c>
      <c r="AY129" s="36">
        <f t="shared" si="428"/>
        <v>1.1000000000000001</v>
      </c>
      <c r="AZ129" s="36" t="e">
        <f>(1.6*#REF!+22)*AY129*F129^0.5</f>
        <v>#REF!</v>
      </c>
      <c r="BE129" s="4">
        <f t="shared" si="453"/>
        <v>35</v>
      </c>
      <c r="BF129" s="4">
        <f t="shared" si="454"/>
        <v>35</v>
      </c>
      <c r="BG129" s="4">
        <f t="shared" si="455"/>
        <v>58.2</v>
      </c>
      <c r="BH129" s="4">
        <f t="shared" si="456"/>
        <v>49.3</v>
      </c>
      <c r="BI129" s="4">
        <f t="shared" si="512"/>
        <v>1.0662857142857143</v>
      </c>
      <c r="BJ129" s="25">
        <f t="shared" si="457"/>
        <v>1.8380379620379617</v>
      </c>
      <c r="BL129" s="4">
        <f t="shared" si="458"/>
        <v>28.6</v>
      </c>
      <c r="BP129" s="9"/>
      <c r="BR129" s="9"/>
      <c r="BS129" s="9"/>
      <c r="BT129" s="9">
        <f t="shared" si="459"/>
        <v>28.6</v>
      </c>
      <c r="BU129" s="9">
        <f t="shared" si="460"/>
        <v>57.2</v>
      </c>
      <c r="BV129" s="9">
        <f t="shared" si="461"/>
        <v>1.1095694720678451</v>
      </c>
      <c r="BW129" s="9">
        <v>0</v>
      </c>
      <c r="BX129" s="9">
        <f t="shared" si="462"/>
        <v>0</v>
      </c>
      <c r="BY129" s="9">
        <f t="shared" si="500"/>
        <v>0</v>
      </c>
      <c r="BZ129" s="9">
        <f t="shared" si="463"/>
        <v>0.96044432035915817</v>
      </c>
      <c r="CA129" s="9">
        <f t="shared" si="464"/>
        <v>0.74299999999999999</v>
      </c>
      <c r="CB129" s="9">
        <f t="shared" si="465"/>
        <v>1.6070493790635749</v>
      </c>
      <c r="CC129" s="9">
        <f t="shared" si="466"/>
        <v>1.783132931114529</v>
      </c>
      <c r="CD129" s="9">
        <v>1</v>
      </c>
      <c r="CE129" s="9" t="e">
        <f>4*CC129*#REF!+60*CC129</f>
        <v>#REF!</v>
      </c>
      <c r="CG129" s="4" t="e">
        <f t="shared" si="501"/>
        <v>#REF!</v>
      </c>
      <c r="CH129" s="4" t="e">
        <f t="shared" si="502"/>
        <v>#REF!</v>
      </c>
      <c r="CI129" s="4" t="e">
        <f t="shared" si="267"/>
        <v>#REF!</v>
      </c>
      <c r="CJ129" s="4" t="e">
        <f t="shared" si="484"/>
        <v>#REF!</v>
      </c>
      <c r="CK129" s="4" t="e">
        <f t="shared" si="269"/>
        <v>#REF!</v>
      </c>
      <c r="CL129" s="4" t="e">
        <f t="shared" si="270"/>
        <v>#REF!</v>
      </c>
      <c r="CM129" s="4" t="e">
        <f t="shared" si="481"/>
        <v>#REF!</v>
      </c>
      <c r="CO129" s="4" t="e">
        <f t="shared" si="513"/>
        <v>#REF!</v>
      </c>
      <c r="CP129" s="4" t="e">
        <f t="shared" si="514"/>
        <v>#REF!</v>
      </c>
      <c r="CQ129" s="4" t="e">
        <f t="shared" si="515"/>
        <v>#REF!</v>
      </c>
      <c r="CR129" s="4" t="e">
        <f t="shared" si="503"/>
        <v>#REF!</v>
      </c>
      <c r="CS129" s="4" t="e">
        <f t="shared" si="516"/>
        <v>#REF!</v>
      </c>
      <c r="CT129" s="4" t="e">
        <f t="shared" si="517"/>
        <v>#REF!</v>
      </c>
      <c r="DB129" s="4">
        <f t="shared" si="518"/>
        <v>0</v>
      </c>
      <c r="DC129" s="4" t="e">
        <f t="shared" si="467"/>
        <v>#REF!</v>
      </c>
      <c r="DD129" s="4" t="e">
        <f>#REF!/E129</f>
        <v>#REF!</v>
      </c>
      <c r="DF129" s="4" t="e">
        <f t="shared" si="468"/>
        <v>#REF!</v>
      </c>
      <c r="DG129" s="4">
        <f t="shared" si="519"/>
        <v>4.3184114203497916</v>
      </c>
      <c r="DH129" s="4" t="e">
        <f t="shared" si="486"/>
        <v>#REF!</v>
      </c>
      <c r="DI129" s="4" t="e">
        <f t="shared" si="359"/>
        <v>#REF!</v>
      </c>
      <c r="DJ129" s="4" t="e">
        <f t="shared" si="360"/>
        <v>#REF!</v>
      </c>
      <c r="DK129" s="4" t="e">
        <f t="shared" si="487"/>
        <v>#REF!</v>
      </c>
      <c r="DL129" s="38" t="e">
        <f t="shared" si="469"/>
        <v>#REF!</v>
      </c>
      <c r="DM129" s="4" t="e">
        <f t="shared" si="361"/>
        <v>#REF!</v>
      </c>
      <c r="DN129" s="4">
        <f t="shared" si="488"/>
        <v>2.2360679774997898</v>
      </c>
      <c r="DO129" s="4" t="e">
        <f t="shared" si="363"/>
        <v>#REF!</v>
      </c>
      <c r="DS129" s="4">
        <f t="shared" si="470"/>
        <v>1</v>
      </c>
      <c r="DT129" s="4">
        <f t="shared" si="471"/>
        <v>1</v>
      </c>
      <c r="DU129" s="4">
        <f t="shared" si="472"/>
        <v>1</v>
      </c>
      <c r="DV129" s="4">
        <f t="shared" si="504"/>
        <v>1</v>
      </c>
      <c r="DX129" s="4" t="e">
        <f t="shared" si="473"/>
        <v>#REF!</v>
      </c>
      <c r="DY129" s="25" t="e">
        <f t="shared" si="505"/>
        <v>#REF!</v>
      </c>
      <c r="EB129" s="4">
        <f t="shared" si="436"/>
        <v>4.3184114203497916</v>
      </c>
      <c r="EC129" s="4">
        <f t="shared" si="474"/>
        <v>4.3184114203497916</v>
      </c>
      <c r="EE129" s="4">
        <f t="shared" si="475"/>
        <v>63.951544156493995</v>
      </c>
      <c r="EF129" s="4">
        <f t="shared" si="520"/>
        <v>2.2360679774997898</v>
      </c>
      <c r="EG129" s="4" t="e">
        <f t="shared" si="476"/>
        <v>#REF!</v>
      </c>
      <c r="EJ129" s="4" t="e">
        <f t="shared" si="506"/>
        <v>#REF!</v>
      </c>
      <c r="EK129" s="4" t="e">
        <f t="shared" si="477"/>
        <v>#REF!</v>
      </c>
      <c r="EL129" s="4" t="e">
        <f t="shared" si="521"/>
        <v>#REF!</v>
      </c>
      <c r="EM129" s="4" t="e">
        <f t="shared" si="507"/>
        <v>#REF!</v>
      </c>
      <c r="EN129" s="4" t="e">
        <f t="shared" si="522"/>
        <v>#REF!</v>
      </c>
      <c r="EO129" s="4" t="e">
        <f t="shared" si="523"/>
        <v>#REF!</v>
      </c>
      <c r="EP129" s="4" t="e">
        <f t="shared" si="478"/>
        <v>#REF!</v>
      </c>
      <c r="EQ129" s="4" t="e">
        <f t="shared" si="508"/>
        <v>#REF!</v>
      </c>
      <c r="ER129" s="4" t="e">
        <f t="shared" si="479"/>
        <v>#REF!</v>
      </c>
      <c r="ES129" s="4" t="e">
        <f t="shared" si="524"/>
        <v>#REF!</v>
      </c>
      <c r="ET129" s="4" t="e">
        <f t="shared" si="525"/>
        <v>#REF!</v>
      </c>
      <c r="EV129" s="4" t="e">
        <f t="shared" si="489"/>
        <v>#REF!</v>
      </c>
      <c r="FA129" s="23" t="e">
        <f t="shared" si="490"/>
        <v>#REF!</v>
      </c>
      <c r="FB129" s="23" t="e">
        <f t="shared" si="491"/>
        <v>#REF!</v>
      </c>
      <c r="FC129" s="23" t="e">
        <f t="shared" si="290"/>
        <v>#REF!</v>
      </c>
      <c r="FD129" s="23" t="e">
        <f t="shared" si="492"/>
        <v>#REF!</v>
      </c>
      <c r="FE129" s="23" t="e">
        <f t="shared" si="493"/>
        <v>#REF!</v>
      </c>
      <c r="FF129" s="23" t="e">
        <f t="shared" si="494"/>
        <v>#REF!</v>
      </c>
      <c r="FG129" s="23" t="e">
        <f t="shared" si="282"/>
        <v>#REF!</v>
      </c>
      <c r="FH129" s="23"/>
      <c r="FR129" s="4">
        <f t="shared" si="351"/>
        <v>1.25</v>
      </c>
      <c r="FS129" s="4">
        <f t="shared" si="352"/>
        <v>0.91666666666666663</v>
      </c>
      <c r="FT129" s="4">
        <f t="shared" si="353"/>
        <v>0</v>
      </c>
      <c r="FU129" s="4" t="e">
        <f t="shared" si="354"/>
        <v>#REF!</v>
      </c>
    </row>
    <row r="130" spans="2:177" ht="12" customHeight="1" x14ac:dyDescent="0.3">
      <c r="B130" s="24"/>
      <c r="C130" s="7" t="s">
        <v>141</v>
      </c>
      <c r="D130" s="7">
        <v>710</v>
      </c>
      <c r="E130" s="7" t="e">
        <f>G130*#REF!</f>
        <v>#REF!</v>
      </c>
      <c r="F130" s="7">
        <v>40.1</v>
      </c>
      <c r="G130" s="7">
        <v>28.6</v>
      </c>
      <c r="H130" s="7">
        <v>406</v>
      </c>
      <c r="I130" s="7">
        <f>G130*3.5</f>
        <v>100.10000000000001</v>
      </c>
      <c r="J130" s="7"/>
      <c r="K130" s="7">
        <f t="shared" ref="K130:K147" si="526">1*G130</f>
        <v>28.6</v>
      </c>
      <c r="L130" s="7">
        <v>2</v>
      </c>
      <c r="M130" s="7">
        <f t="shared" si="495"/>
        <v>58.2</v>
      </c>
      <c r="N130" s="7">
        <f t="shared" si="510"/>
        <v>1</v>
      </c>
      <c r="O130" s="7">
        <f t="shared" si="496"/>
        <v>2.534965034965035</v>
      </c>
      <c r="P130" s="7">
        <f t="shared" si="509"/>
        <v>4</v>
      </c>
      <c r="Q130" s="7">
        <f t="shared" si="511"/>
        <v>4</v>
      </c>
      <c r="R130" s="7">
        <v>5</v>
      </c>
      <c r="S130" s="7">
        <f t="shared" si="447"/>
        <v>63.951544156493995</v>
      </c>
      <c r="T130" s="7"/>
      <c r="U130" s="7"/>
      <c r="V130" s="7">
        <v>366</v>
      </c>
      <c r="W130" s="7"/>
      <c r="X130" s="7" t="e">
        <f t="shared" si="482"/>
        <v>#REF!</v>
      </c>
      <c r="Y130" s="7"/>
      <c r="Z130" s="7"/>
      <c r="AA130" s="7">
        <v>1</v>
      </c>
      <c r="AB130" s="7"/>
      <c r="AC130" s="7"/>
      <c r="AD130" s="7"/>
      <c r="AE130" s="4" t="e">
        <f t="shared" si="483"/>
        <v>#REF!</v>
      </c>
      <c r="AF130" s="46" t="e">
        <f t="shared" si="497"/>
        <v>#REF!</v>
      </c>
      <c r="AG130" s="25" t="e">
        <f t="shared" si="448"/>
        <v>#REF!</v>
      </c>
      <c r="AH130" s="4" t="e">
        <f t="shared" si="449"/>
        <v>#REF!</v>
      </c>
      <c r="AI130" s="4">
        <v>1.25</v>
      </c>
      <c r="AJ130" s="25">
        <f t="shared" si="438"/>
        <v>5</v>
      </c>
      <c r="AK130" s="38" t="e">
        <f t="shared" si="480"/>
        <v>#REF!</v>
      </c>
      <c r="AL130" s="38" t="e">
        <f t="shared" si="356"/>
        <v>#REF!</v>
      </c>
      <c r="AN130" s="38" t="e">
        <f t="shared" si="498"/>
        <v>#REF!</v>
      </c>
      <c r="AO130" s="38" t="e">
        <f t="shared" si="316"/>
        <v>#REF!</v>
      </c>
      <c r="AP130" s="38" t="e">
        <f t="shared" si="357"/>
        <v>#REF!</v>
      </c>
      <c r="AQ130" s="4" t="e">
        <f t="shared" si="443"/>
        <v>#REF!</v>
      </c>
      <c r="AR130" s="4" t="e">
        <f>#REF!/G130*F130^0.5/0.19</f>
        <v>#REF!</v>
      </c>
      <c r="AS130" s="4">
        <f t="shared" si="450"/>
        <v>1.6139860139860138</v>
      </c>
      <c r="AT130" s="38">
        <f t="shared" si="451"/>
        <v>258.88335664335665</v>
      </c>
      <c r="AU130" s="4">
        <f t="shared" si="452"/>
        <v>0.44000000000000006</v>
      </c>
      <c r="AV130" s="4" t="e">
        <f>AU130*D130*#REF!/(D130*G130/2.75/F130^0.5)</f>
        <v>#REF!</v>
      </c>
      <c r="AW130" s="4" t="e">
        <f t="shared" si="499"/>
        <v>#REF!</v>
      </c>
      <c r="AY130" s="36">
        <f t="shared" si="428"/>
        <v>1.25</v>
      </c>
      <c r="AZ130" s="36" t="e">
        <f>(1.6*#REF!+22)*AY130*F130^0.5</f>
        <v>#REF!</v>
      </c>
      <c r="BE130" s="4">
        <f t="shared" si="453"/>
        <v>20.700000000000003</v>
      </c>
      <c r="BF130" s="4">
        <f t="shared" si="454"/>
        <v>20.700000000000003</v>
      </c>
      <c r="BG130" s="4">
        <f t="shared" si="455"/>
        <v>58.2</v>
      </c>
      <c r="BH130" s="4">
        <f t="shared" si="456"/>
        <v>35</v>
      </c>
      <c r="BI130" s="4">
        <f t="shared" si="512"/>
        <v>1.181159420289855</v>
      </c>
      <c r="BJ130" s="25">
        <f t="shared" si="457"/>
        <v>1.4454748150400323</v>
      </c>
      <c r="BL130" s="4">
        <f t="shared" si="458"/>
        <v>14.3</v>
      </c>
      <c r="BP130" s="9"/>
      <c r="BR130" s="9"/>
      <c r="BS130" s="9"/>
      <c r="BT130" s="9">
        <f t="shared" si="459"/>
        <v>14.3</v>
      </c>
      <c r="BU130" s="9">
        <f t="shared" si="460"/>
        <v>100.10000000000001</v>
      </c>
      <c r="BV130" s="9">
        <f t="shared" si="461"/>
        <v>0.94678137986575273</v>
      </c>
      <c r="BW130" s="9">
        <v>0</v>
      </c>
      <c r="BX130" s="9">
        <f t="shared" si="462"/>
        <v>0</v>
      </c>
      <c r="BY130" s="9">
        <f t="shared" si="500"/>
        <v>0</v>
      </c>
      <c r="BZ130" s="9">
        <f t="shared" si="463"/>
        <v>0.96044432035915817</v>
      </c>
      <c r="CA130" s="9">
        <f t="shared" si="464"/>
        <v>0.74299999999999999</v>
      </c>
      <c r="CB130" s="9">
        <f t="shared" si="465"/>
        <v>1.5816166822222031</v>
      </c>
      <c r="CC130" s="9">
        <f t="shared" si="466"/>
        <v>1.4974452248130312</v>
      </c>
      <c r="CD130" s="9">
        <v>1</v>
      </c>
      <c r="CE130" s="9" t="e">
        <f>4*CC130*#REF!+60*CC130</f>
        <v>#REF!</v>
      </c>
      <c r="CG130" s="4" t="e">
        <f t="shared" si="501"/>
        <v>#REF!</v>
      </c>
      <c r="CH130" s="4" t="e">
        <f t="shared" si="502"/>
        <v>#REF!</v>
      </c>
      <c r="CI130" s="4" t="e">
        <f t="shared" si="267"/>
        <v>#REF!</v>
      </c>
      <c r="CJ130" s="4" t="e">
        <f t="shared" si="484"/>
        <v>#REF!</v>
      </c>
      <c r="CK130" s="4" t="e">
        <f t="shared" si="269"/>
        <v>#REF!</v>
      </c>
      <c r="CL130" s="4" t="e">
        <f t="shared" si="270"/>
        <v>#REF!</v>
      </c>
      <c r="CM130" s="4" t="e">
        <f t="shared" si="481"/>
        <v>#REF!</v>
      </c>
      <c r="CO130" s="4" t="e">
        <f t="shared" si="513"/>
        <v>#REF!</v>
      </c>
      <c r="CP130" s="4" t="e">
        <f t="shared" si="514"/>
        <v>#REF!</v>
      </c>
      <c r="CQ130" s="4" t="e">
        <f t="shared" si="515"/>
        <v>#REF!</v>
      </c>
      <c r="CR130" s="4" t="e">
        <f t="shared" si="503"/>
        <v>#REF!</v>
      </c>
      <c r="CS130" s="4" t="e">
        <f t="shared" si="516"/>
        <v>#REF!</v>
      </c>
      <c r="CT130" s="4" t="e">
        <f t="shared" si="517"/>
        <v>#REF!</v>
      </c>
      <c r="DB130" s="4">
        <f t="shared" si="518"/>
        <v>0</v>
      </c>
      <c r="DC130" s="4" t="e">
        <f t="shared" si="467"/>
        <v>#REF!</v>
      </c>
      <c r="DD130" s="4" t="e">
        <f>#REF!/E130</f>
        <v>#REF!</v>
      </c>
      <c r="DF130" s="4" t="e">
        <f t="shared" si="468"/>
        <v>#REF!</v>
      </c>
      <c r="DG130" s="4">
        <f t="shared" si="519"/>
        <v>3.3423512159494768</v>
      </c>
      <c r="DH130" s="4" t="e">
        <f t="shared" si="486"/>
        <v>#REF!</v>
      </c>
      <c r="DI130" s="4" t="e">
        <f t="shared" si="359"/>
        <v>#REF!</v>
      </c>
      <c r="DJ130" s="4" t="e">
        <f t="shared" si="360"/>
        <v>#REF!</v>
      </c>
      <c r="DK130" s="4" t="e">
        <f t="shared" si="487"/>
        <v>#REF!</v>
      </c>
      <c r="DL130" s="38" t="e">
        <f t="shared" si="469"/>
        <v>#REF!</v>
      </c>
      <c r="DM130" s="4" t="e">
        <f t="shared" si="361"/>
        <v>#REF!</v>
      </c>
      <c r="DN130" s="4">
        <f t="shared" si="488"/>
        <v>2.2360679774997898</v>
      </c>
      <c r="DO130" s="4" t="e">
        <f t="shared" si="363"/>
        <v>#REF!</v>
      </c>
      <c r="DS130" s="4">
        <f t="shared" si="470"/>
        <v>1</v>
      </c>
      <c r="DT130" s="4">
        <f t="shared" si="471"/>
        <v>1</v>
      </c>
      <c r="DU130" s="4">
        <f t="shared" si="472"/>
        <v>1</v>
      </c>
      <c r="DV130" s="4">
        <f t="shared" si="504"/>
        <v>1</v>
      </c>
      <c r="DX130" s="4" t="e">
        <f t="shared" si="473"/>
        <v>#REF!</v>
      </c>
      <c r="DY130" s="25" t="e">
        <f t="shared" si="505"/>
        <v>#REF!</v>
      </c>
      <c r="EB130" s="4">
        <f t="shared" si="436"/>
        <v>3.3423512159494768</v>
      </c>
      <c r="EC130" s="4">
        <f t="shared" si="474"/>
        <v>3.3423512159494768</v>
      </c>
      <c r="EE130" s="4">
        <f t="shared" si="475"/>
        <v>63.951544156493995</v>
      </c>
      <c r="EF130" s="4">
        <f t="shared" si="520"/>
        <v>2.2360679774997898</v>
      </c>
      <c r="EG130" s="4" t="e">
        <f t="shared" si="476"/>
        <v>#REF!</v>
      </c>
      <c r="EJ130" s="4" t="e">
        <f t="shared" si="506"/>
        <v>#REF!</v>
      </c>
      <c r="EK130" s="4" t="e">
        <f t="shared" si="477"/>
        <v>#REF!</v>
      </c>
      <c r="EL130" s="4" t="e">
        <f t="shared" si="521"/>
        <v>#REF!</v>
      </c>
      <c r="EM130" s="4" t="e">
        <f t="shared" si="507"/>
        <v>#REF!</v>
      </c>
      <c r="EN130" s="4" t="e">
        <f t="shared" si="522"/>
        <v>#REF!</v>
      </c>
      <c r="EO130" s="4" t="e">
        <f t="shared" si="523"/>
        <v>#REF!</v>
      </c>
      <c r="EP130" s="4" t="e">
        <f t="shared" si="478"/>
        <v>#REF!</v>
      </c>
      <c r="EQ130" s="4" t="e">
        <f t="shared" si="508"/>
        <v>#REF!</v>
      </c>
      <c r="ER130" s="4" t="e">
        <f t="shared" si="479"/>
        <v>#REF!</v>
      </c>
      <c r="ES130" s="4" t="e">
        <f t="shared" si="524"/>
        <v>#REF!</v>
      </c>
      <c r="ET130" s="4" t="e">
        <f t="shared" si="525"/>
        <v>#REF!</v>
      </c>
      <c r="EV130" s="4" t="e">
        <f t="shared" si="489"/>
        <v>#REF!</v>
      </c>
      <c r="FA130" s="23" t="e">
        <f t="shared" si="490"/>
        <v>#REF!</v>
      </c>
      <c r="FB130" s="23" t="e">
        <f t="shared" si="491"/>
        <v>#REF!</v>
      </c>
      <c r="FC130" s="23" t="e">
        <f t="shared" ref="FC130:FC153" si="527">IF(CM130&lt;0.6,0.6,IF(CM130&lt;0.8,0.8,IF(CM130&lt;1,1,IF(CM130&lt;1.2,1.2,IF(CM130&lt;1.4,1.4,IF(CM130&lt;1.6,1.6,IF(CM130&lt;1.8,1.8,IF(CM130&lt;2,2,2.2))))))))</f>
        <v>#REF!</v>
      </c>
      <c r="FD130" s="23" t="e">
        <f t="shared" si="492"/>
        <v>#REF!</v>
      </c>
      <c r="FE130" s="23" t="e">
        <f t="shared" si="493"/>
        <v>#REF!</v>
      </c>
      <c r="FF130" s="23" t="e">
        <f t="shared" si="494"/>
        <v>#REF!</v>
      </c>
      <c r="FG130" s="23" t="e">
        <f t="shared" si="282"/>
        <v>#REF!</v>
      </c>
      <c r="FH130" s="23"/>
      <c r="FR130" s="4">
        <f t="shared" si="351"/>
        <v>1</v>
      </c>
      <c r="FS130" s="4">
        <f t="shared" si="352"/>
        <v>1</v>
      </c>
      <c r="FT130" s="4">
        <f t="shared" si="353"/>
        <v>0</v>
      </c>
      <c r="FU130" s="4" t="e">
        <f t="shared" si="354"/>
        <v>#REF!</v>
      </c>
    </row>
    <row r="131" spans="2:177" ht="12" customHeight="1" x14ac:dyDescent="0.3">
      <c r="B131" s="24"/>
      <c r="C131" s="7" t="s">
        <v>142</v>
      </c>
      <c r="D131" s="7">
        <v>710</v>
      </c>
      <c r="E131" s="7" t="e">
        <f>G131*#REF!</f>
        <v>#REF!</v>
      </c>
      <c r="F131" s="7">
        <v>40.1</v>
      </c>
      <c r="G131" s="7">
        <v>28.6</v>
      </c>
      <c r="H131" s="7">
        <v>406</v>
      </c>
      <c r="I131" s="7">
        <f>G131*3.5</f>
        <v>100.10000000000001</v>
      </c>
      <c r="J131" s="7"/>
      <c r="K131" s="7">
        <f t="shared" si="526"/>
        <v>28.6</v>
      </c>
      <c r="L131" s="7">
        <v>2</v>
      </c>
      <c r="M131" s="7">
        <f t="shared" si="495"/>
        <v>58.2</v>
      </c>
      <c r="N131" s="7">
        <f t="shared" si="510"/>
        <v>1</v>
      </c>
      <c r="O131" s="7">
        <f t="shared" si="496"/>
        <v>2.534965034965035</v>
      </c>
      <c r="P131" s="7">
        <f t="shared" si="509"/>
        <v>4</v>
      </c>
      <c r="Q131" s="7">
        <f t="shared" si="511"/>
        <v>4</v>
      </c>
      <c r="R131" s="7">
        <v>5</v>
      </c>
      <c r="S131" s="7">
        <f t="shared" si="447"/>
        <v>63.951544156493995</v>
      </c>
      <c r="T131" s="7"/>
      <c r="U131" s="7"/>
      <c r="V131" s="7">
        <v>442</v>
      </c>
      <c r="W131" s="7"/>
      <c r="X131" s="7" t="e">
        <f t="shared" si="482"/>
        <v>#REF!</v>
      </c>
      <c r="Y131" s="7"/>
      <c r="Z131" s="7"/>
      <c r="AA131" s="7">
        <v>1</v>
      </c>
      <c r="AB131" s="7"/>
      <c r="AC131" s="7"/>
      <c r="AD131" s="7"/>
      <c r="AE131" s="4" t="e">
        <f t="shared" si="483"/>
        <v>#REF!</v>
      </c>
      <c r="AF131" s="46" t="e">
        <f t="shared" si="497"/>
        <v>#REF!</v>
      </c>
      <c r="AG131" s="25" t="e">
        <f t="shared" si="448"/>
        <v>#REF!</v>
      </c>
      <c r="AH131" s="4" t="e">
        <f t="shared" si="449"/>
        <v>#REF!</v>
      </c>
      <c r="AI131" s="4">
        <v>1.25</v>
      </c>
      <c r="AJ131" s="25">
        <f t="shared" si="438"/>
        <v>5</v>
      </c>
      <c r="AK131" s="38" t="e">
        <f t="shared" si="480"/>
        <v>#REF!</v>
      </c>
      <c r="AL131" s="38" t="e">
        <f t="shared" si="356"/>
        <v>#REF!</v>
      </c>
      <c r="AN131" s="38" t="e">
        <f t="shared" si="498"/>
        <v>#REF!</v>
      </c>
      <c r="AO131" s="38" t="e">
        <f t="shared" si="316"/>
        <v>#REF!</v>
      </c>
      <c r="AP131" s="38" t="e">
        <f t="shared" si="357"/>
        <v>#REF!</v>
      </c>
      <c r="AQ131" s="4" t="e">
        <f t="shared" si="443"/>
        <v>#REF!</v>
      </c>
      <c r="AR131" s="4" t="e">
        <f>#REF!/G131*F131^0.5/0.19</f>
        <v>#REF!</v>
      </c>
      <c r="AS131" s="4">
        <f t="shared" si="450"/>
        <v>1.6139860139860138</v>
      </c>
      <c r="AT131" s="38">
        <f t="shared" si="451"/>
        <v>258.88335664335665</v>
      </c>
      <c r="AU131" s="4">
        <f t="shared" si="452"/>
        <v>0.44000000000000006</v>
      </c>
      <c r="AV131" s="4" t="e">
        <f>AU131*D131*#REF!/(D131*G131/2.75/F131^0.5)</f>
        <v>#REF!</v>
      </c>
      <c r="AW131" s="4" t="e">
        <f t="shared" si="499"/>
        <v>#REF!</v>
      </c>
      <c r="AY131" s="36">
        <f t="shared" si="428"/>
        <v>1.25</v>
      </c>
      <c r="AZ131" s="36" t="e">
        <f>(1.6*#REF!+22)*AY131*F131^0.5</f>
        <v>#REF!</v>
      </c>
      <c r="BE131" s="4">
        <f t="shared" si="453"/>
        <v>20.700000000000003</v>
      </c>
      <c r="BF131" s="4">
        <f t="shared" si="454"/>
        <v>20.700000000000003</v>
      </c>
      <c r="BG131" s="4">
        <f t="shared" si="455"/>
        <v>58.2</v>
      </c>
      <c r="BH131" s="4">
        <f t="shared" si="456"/>
        <v>35</v>
      </c>
      <c r="BI131" s="4">
        <f t="shared" si="512"/>
        <v>1.181159420289855</v>
      </c>
      <c r="BJ131" s="25">
        <f t="shared" si="457"/>
        <v>1.4454748150400323</v>
      </c>
      <c r="BL131" s="4">
        <f t="shared" si="458"/>
        <v>14.3</v>
      </c>
      <c r="BP131" s="9"/>
      <c r="BR131" s="9"/>
      <c r="BS131" s="9"/>
      <c r="BT131" s="9">
        <f t="shared" si="459"/>
        <v>14.3</v>
      </c>
      <c r="BU131" s="9">
        <f t="shared" si="460"/>
        <v>100.10000000000001</v>
      </c>
      <c r="BV131" s="9">
        <f t="shared" si="461"/>
        <v>0.94678137986575273</v>
      </c>
      <c r="BW131" s="9">
        <v>0</v>
      </c>
      <c r="BX131" s="9">
        <f t="shared" si="462"/>
        <v>0</v>
      </c>
      <c r="BY131" s="9">
        <f t="shared" si="500"/>
        <v>0</v>
      </c>
      <c r="BZ131" s="9">
        <f t="shared" si="463"/>
        <v>0.96044432035915817</v>
      </c>
      <c r="CA131" s="9">
        <f t="shared" si="464"/>
        <v>0.74299999999999999</v>
      </c>
      <c r="CB131" s="9">
        <f t="shared" si="465"/>
        <v>1.5816166822222031</v>
      </c>
      <c r="CC131" s="9">
        <f t="shared" si="466"/>
        <v>1.4974452248130312</v>
      </c>
      <c r="CD131" s="9">
        <v>1</v>
      </c>
      <c r="CE131" s="9" t="e">
        <f>4*CC131*#REF!+60*CC131</f>
        <v>#REF!</v>
      </c>
      <c r="CG131" s="4" t="e">
        <f t="shared" si="501"/>
        <v>#REF!</v>
      </c>
      <c r="CH131" s="4" t="e">
        <f t="shared" si="502"/>
        <v>#REF!</v>
      </c>
      <c r="CI131" s="4" t="e">
        <f t="shared" si="267"/>
        <v>#REF!</v>
      </c>
      <c r="CJ131" s="4" t="e">
        <f t="shared" si="484"/>
        <v>#REF!</v>
      </c>
      <c r="CK131" s="4" t="e">
        <f t="shared" si="269"/>
        <v>#REF!</v>
      </c>
      <c r="CL131" s="4" t="e">
        <f t="shared" si="270"/>
        <v>#REF!</v>
      </c>
      <c r="CM131" s="4" t="e">
        <f t="shared" si="481"/>
        <v>#REF!</v>
      </c>
      <c r="CO131" s="4" t="e">
        <f t="shared" si="513"/>
        <v>#REF!</v>
      </c>
      <c r="CP131" s="4" t="e">
        <f t="shared" si="514"/>
        <v>#REF!</v>
      </c>
      <c r="CQ131" s="4" t="e">
        <f t="shared" si="515"/>
        <v>#REF!</v>
      </c>
      <c r="CR131" s="4" t="e">
        <f t="shared" si="503"/>
        <v>#REF!</v>
      </c>
      <c r="CS131" s="4" t="e">
        <f t="shared" si="516"/>
        <v>#REF!</v>
      </c>
      <c r="CT131" s="4" t="e">
        <f t="shared" si="517"/>
        <v>#REF!</v>
      </c>
      <c r="DB131" s="4">
        <f t="shared" si="518"/>
        <v>0</v>
      </c>
      <c r="DC131" s="4" t="e">
        <f t="shared" si="467"/>
        <v>#REF!</v>
      </c>
      <c r="DD131" s="4" t="e">
        <f>#REF!/E131</f>
        <v>#REF!</v>
      </c>
      <c r="DF131" s="4" t="e">
        <f t="shared" si="468"/>
        <v>#REF!</v>
      </c>
      <c r="DG131" s="4">
        <f t="shared" si="519"/>
        <v>3.3423512159494768</v>
      </c>
      <c r="DH131" s="4" t="e">
        <f t="shared" si="486"/>
        <v>#REF!</v>
      </c>
      <c r="DI131" s="4" t="e">
        <f t="shared" si="359"/>
        <v>#REF!</v>
      </c>
      <c r="DJ131" s="4" t="e">
        <f t="shared" si="360"/>
        <v>#REF!</v>
      </c>
      <c r="DK131" s="4" t="e">
        <f t="shared" si="487"/>
        <v>#REF!</v>
      </c>
      <c r="DL131" s="38" t="e">
        <f t="shared" si="469"/>
        <v>#REF!</v>
      </c>
      <c r="DM131" s="4" t="e">
        <f t="shared" si="361"/>
        <v>#REF!</v>
      </c>
      <c r="DN131" s="4">
        <f t="shared" si="488"/>
        <v>2.2360679774997898</v>
      </c>
      <c r="DO131" s="4" t="e">
        <f t="shared" si="363"/>
        <v>#REF!</v>
      </c>
      <c r="DS131" s="4">
        <f t="shared" si="470"/>
        <v>1</v>
      </c>
      <c r="DT131" s="4">
        <f t="shared" si="471"/>
        <v>1</v>
      </c>
      <c r="DU131" s="4">
        <f t="shared" si="472"/>
        <v>1</v>
      </c>
      <c r="DV131" s="4">
        <f t="shared" si="504"/>
        <v>1</v>
      </c>
      <c r="DX131" s="4" t="e">
        <f t="shared" si="473"/>
        <v>#REF!</v>
      </c>
      <c r="DY131" s="25" t="e">
        <f t="shared" si="505"/>
        <v>#REF!</v>
      </c>
      <c r="EB131" s="4">
        <f t="shared" si="436"/>
        <v>3.3423512159494768</v>
      </c>
      <c r="EC131" s="4">
        <f t="shared" si="474"/>
        <v>3.3423512159494768</v>
      </c>
      <c r="EE131" s="4">
        <f t="shared" si="475"/>
        <v>63.951544156493995</v>
      </c>
      <c r="EF131" s="4">
        <f t="shared" si="520"/>
        <v>2.2360679774997898</v>
      </c>
      <c r="EG131" s="4" t="e">
        <f t="shared" si="476"/>
        <v>#REF!</v>
      </c>
      <c r="EJ131" s="4" t="e">
        <f t="shared" si="506"/>
        <v>#REF!</v>
      </c>
      <c r="EK131" s="4" t="e">
        <f t="shared" si="477"/>
        <v>#REF!</v>
      </c>
      <c r="EL131" s="4" t="e">
        <f t="shared" si="521"/>
        <v>#REF!</v>
      </c>
      <c r="EM131" s="4" t="e">
        <f t="shared" si="507"/>
        <v>#REF!</v>
      </c>
      <c r="EN131" s="4" t="e">
        <f t="shared" si="522"/>
        <v>#REF!</v>
      </c>
      <c r="EO131" s="4" t="e">
        <f t="shared" si="523"/>
        <v>#REF!</v>
      </c>
      <c r="EP131" s="4" t="e">
        <f t="shared" si="478"/>
        <v>#REF!</v>
      </c>
      <c r="EQ131" s="4" t="e">
        <f t="shared" si="508"/>
        <v>#REF!</v>
      </c>
      <c r="ER131" s="4" t="e">
        <f t="shared" si="479"/>
        <v>#REF!</v>
      </c>
      <c r="ES131" s="4" t="e">
        <f t="shared" si="524"/>
        <v>#REF!</v>
      </c>
      <c r="ET131" s="4" t="e">
        <f t="shared" si="525"/>
        <v>#REF!</v>
      </c>
      <c r="EV131" s="4" t="e">
        <f t="shared" si="489"/>
        <v>#REF!</v>
      </c>
      <c r="FA131" s="23" t="e">
        <f t="shared" si="490"/>
        <v>#REF!</v>
      </c>
      <c r="FB131" s="23" t="e">
        <f t="shared" si="491"/>
        <v>#REF!</v>
      </c>
      <c r="FC131" s="23" t="e">
        <f t="shared" si="527"/>
        <v>#REF!</v>
      </c>
      <c r="FD131" s="23" t="e">
        <f t="shared" si="492"/>
        <v>#REF!</v>
      </c>
      <c r="FE131" s="23" t="e">
        <f t="shared" si="493"/>
        <v>#REF!</v>
      </c>
      <c r="FF131" s="23" t="e">
        <f t="shared" si="494"/>
        <v>#REF!</v>
      </c>
      <c r="FG131" s="23" t="e">
        <f t="shared" si="282"/>
        <v>#REF!</v>
      </c>
      <c r="FH131" s="23"/>
      <c r="FR131" s="4">
        <f t="shared" si="351"/>
        <v>1</v>
      </c>
      <c r="FS131" s="4">
        <f t="shared" si="352"/>
        <v>1</v>
      </c>
      <c r="FT131" s="4">
        <f t="shared" si="353"/>
        <v>0</v>
      </c>
      <c r="FU131" s="4" t="e">
        <f t="shared" si="354"/>
        <v>#REF!</v>
      </c>
    </row>
    <row r="132" spans="2:177" ht="12" customHeight="1" x14ac:dyDescent="0.3">
      <c r="B132" s="24"/>
      <c r="C132" s="7" t="s">
        <v>143</v>
      </c>
      <c r="D132" s="7">
        <v>710</v>
      </c>
      <c r="E132" s="7" t="e">
        <f>G132*#REF!</f>
        <v>#REF!</v>
      </c>
      <c r="F132" s="7">
        <v>40.1</v>
      </c>
      <c r="G132" s="7">
        <v>28.6</v>
      </c>
      <c r="H132" s="7">
        <v>406</v>
      </c>
      <c r="I132" s="7">
        <f>G132*3.5</f>
        <v>100.10000000000001</v>
      </c>
      <c r="J132" s="7"/>
      <c r="K132" s="7">
        <f t="shared" si="526"/>
        <v>28.6</v>
      </c>
      <c r="L132" s="7">
        <v>2</v>
      </c>
      <c r="M132" s="7">
        <f t="shared" si="495"/>
        <v>58.2</v>
      </c>
      <c r="N132" s="7">
        <f t="shared" si="510"/>
        <v>1</v>
      </c>
      <c r="O132" s="7">
        <f t="shared" si="496"/>
        <v>2.534965034965035</v>
      </c>
      <c r="P132" s="7">
        <f t="shared" si="509"/>
        <v>4</v>
      </c>
      <c r="Q132" s="7">
        <f t="shared" si="511"/>
        <v>4</v>
      </c>
      <c r="R132" s="7">
        <v>5</v>
      </c>
      <c r="S132" s="7">
        <f t="shared" si="447"/>
        <v>63.951544156493995</v>
      </c>
      <c r="T132" s="7"/>
      <c r="U132" s="7"/>
      <c r="V132" s="7">
        <v>501</v>
      </c>
      <c r="W132" s="7"/>
      <c r="X132" s="7" t="e">
        <f t="shared" si="482"/>
        <v>#REF!</v>
      </c>
      <c r="Y132" s="7"/>
      <c r="Z132" s="7"/>
      <c r="AA132" s="7">
        <v>1</v>
      </c>
      <c r="AB132" s="7"/>
      <c r="AC132" s="7"/>
      <c r="AD132" s="7"/>
      <c r="AE132" s="4" t="e">
        <f t="shared" si="483"/>
        <v>#REF!</v>
      </c>
      <c r="AF132" s="46" t="e">
        <f t="shared" si="497"/>
        <v>#REF!</v>
      </c>
      <c r="AG132" s="25" t="e">
        <f t="shared" si="448"/>
        <v>#REF!</v>
      </c>
      <c r="AH132" s="4" t="e">
        <f t="shared" si="449"/>
        <v>#REF!</v>
      </c>
      <c r="AI132" s="4">
        <v>1.25</v>
      </c>
      <c r="AJ132" s="25">
        <f t="shared" si="438"/>
        <v>5</v>
      </c>
      <c r="AK132" s="38" t="e">
        <f t="shared" si="480"/>
        <v>#REF!</v>
      </c>
      <c r="AL132" s="38" t="e">
        <f t="shared" si="356"/>
        <v>#REF!</v>
      </c>
      <c r="AN132" s="38" t="e">
        <f t="shared" si="498"/>
        <v>#REF!</v>
      </c>
      <c r="AO132" s="38" t="e">
        <f t="shared" si="316"/>
        <v>#REF!</v>
      </c>
      <c r="AP132" s="38" t="e">
        <f t="shared" si="357"/>
        <v>#REF!</v>
      </c>
      <c r="AQ132" s="4" t="e">
        <f t="shared" si="443"/>
        <v>#REF!</v>
      </c>
      <c r="AR132" s="4" t="e">
        <f>#REF!/G132*F132^0.5/0.19</f>
        <v>#REF!</v>
      </c>
      <c r="AS132" s="4">
        <f t="shared" si="450"/>
        <v>1.6139860139860138</v>
      </c>
      <c r="AT132" s="38">
        <f t="shared" si="451"/>
        <v>258.88335664335665</v>
      </c>
      <c r="AU132" s="4">
        <f t="shared" si="452"/>
        <v>0.44000000000000006</v>
      </c>
      <c r="AV132" s="4" t="e">
        <f>AU132*D132*#REF!/(D132*G132/2.75/F132^0.5)</f>
        <v>#REF!</v>
      </c>
      <c r="AW132" s="4" t="e">
        <f t="shared" si="499"/>
        <v>#REF!</v>
      </c>
      <c r="AY132" s="36">
        <f t="shared" si="428"/>
        <v>1.25</v>
      </c>
      <c r="AZ132" s="36" t="e">
        <f>(1.6*#REF!+22)*AY132*F132^0.5</f>
        <v>#REF!</v>
      </c>
      <c r="BE132" s="4">
        <f t="shared" si="453"/>
        <v>20.700000000000003</v>
      </c>
      <c r="BF132" s="4">
        <f t="shared" si="454"/>
        <v>20.700000000000003</v>
      </c>
      <c r="BG132" s="4">
        <f t="shared" si="455"/>
        <v>58.2</v>
      </c>
      <c r="BH132" s="4">
        <f t="shared" si="456"/>
        <v>35</v>
      </c>
      <c r="BI132" s="4">
        <f t="shared" si="512"/>
        <v>1.181159420289855</v>
      </c>
      <c r="BJ132" s="25">
        <f t="shared" si="457"/>
        <v>1.4454748150400323</v>
      </c>
      <c r="BL132" s="4">
        <f t="shared" si="458"/>
        <v>14.3</v>
      </c>
      <c r="BP132" s="9"/>
      <c r="BR132" s="9"/>
      <c r="BS132" s="9"/>
      <c r="BT132" s="9">
        <f t="shared" si="459"/>
        <v>14.3</v>
      </c>
      <c r="BU132" s="9">
        <f t="shared" si="460"/>
        <v>100.10000000000001</v>
      </c>
      <c r="BV132" s="9">
        <f t="shared" si="461"/>
        <v>0.94678137986575273</v>
      </c>
      <c r="BW132" s="9">
        <v>0</v>
      </c>
      <c r="BX132" s="9">
        <f t="shared" si="462"/>
        <v>0</v>
      </c>
      <c r="BY132" s="9">
        <f t="shared" si="500"/>
        <v>0</v>
      </c>
      <c r="BZ132" s="9">
        <f t="shared" si="463"/>
        <v>0.96044432035915817</v>
      </c>
      <c r="CA132" s="9">
        <f t="shared" si="464"/>
        <v>0.74299999999999999</v>
      </c>
      <c r="CB132" s="9">
        <f t="shared" si="465"/>
        <v>1.5816166822222031</v>
      </c>
      <c r="CC132" s="9">
        <f t="shared" si="466"/>
        <v>1.4974452248130312</v>
      </c>
      <c r="CD132" s="9">
        <v>1</v>
      </c>
      <c r="CE132" s="9" t="e">
        <f>4*CC132*#REF!+60*CC132</f>
        <v>#REF!</v>
      </c>
      <c r="CG132" s="4" t="e">
        <f t="shared" si="501"/>
        <v>#REF!</v>
      </c>
      <c r="CH132" s="4" t="e">
        <f t="shared" si="502"/>
        <v>#REF!</v>
      </c>
      <c r="CI132" s="4" t="e">
        <f t="shared" si="267"/>
        <v>#REF!</v>
      </c>
      <c r="CJ132" s="4" t="e">
        <f t="shared" si="484"/>
        <v>#REF!</v>
      </c>
      <c r="CK132" s="4" t="e">
        <f t="shared" si="269"/>
        <v>#REF!</v>
      </c>
      <c r="CL132" s="4" t="e">
        <f t="shared" si="270"/>
        <v>#REF!</v>
      </c>
      <c r="CM132" s="4" t="e">
        <f t="shared" si="481"/>
        <v>#REF!</v>
      </c>
      <c r="CO132" s="4" t="e">
        <f t="shared" si="513"/>
        <v>#REF!</v>
      </c>
      <c r="CP132" s="4" t="e">
        <f t="shared" si="514"/>
        <v>#REF!</v>
      </c>
      <c r="CQ132" s="4" t="e">
        <f t="shared" si="515"/>
        <v>#REF!</v>
      </c>
      <c r="CR132" s="4" t="e">
        <f t="shared" si="503"/>
        <v>#REF!</v>
      </c>
      <c r="CS132" s="4" t="e">
        <f t="shared" si="516"/>
        <v>#REF!</v>
      </c>
      <c r="CT132" s="4" t="e">
        <f t="shared" si="517"/>
        <v>#REF!</v>
      </c>
      <c r="DB132" s="4">
        <f t="shared" si="518"/>
        <v>0</v>
      </c>
      <c r="DC132" s="4" t="e">
        <f t="shared" si="467"/>
        <v>#REF!</v>
      </c>
      <c r="DD132" s="4" t="e">
        <f>#REF!/E132</f>
        <v>#REF!</v>
      </c>
      <c r="DF132" s="4" t="e">
        <f t="shared" si="468"/>
        <v>#REF!</v>
      </c>
      <c r="DG132" s="4">
        <f t="shared" si="519"/>
        <v>3.3423512159494768</v>
      </c>
      <c r="DH132" s="4" t="e">
        <f t="shared" si="486"/>
        <v>#REF!</v>
      </c>
      <c r="DI132" s="4" t="e">
        <f t="shared" si="359"/>
        <v>#REF!</v>
      </c>
      <c r="DJ132" s="4" t="e">
        <f t="shared" si="360"/>
        <v>#REF!</v>
      </c>
      <c r="DK132" s="4" t="e">
        <f t="shared" si="487"/>
        <v>#REF!</v>
      </c>
      <c r="DL132" s="38" t="e">
        <f t="shared" si="469"/>
        <v>#REF!</v>
      </c>
      <c r="DM132" s="4" t="e">
        <f t="shared" si="361"/>
        <v>#REF!</v>
      </c>
      <c r="DN132" s="4">
        <f t="shared" si="488"/>
        <v>2.2360679774997898</v>
      </c>
      <c r="DO132" s="4" t="e">
        <f t="shared" si="363"/>
        <v>#REF!</v>
      </c>
      <c r="DS132" s="4">
        <f t="shared" si="470"/>
        <v>1</v>
      </c>
      <c r="DT132" s="4">
        <f t="shared" si="471"/>
        <v>1</v>
      </c>
      <c r="DU132" s="4">
        <f t="shared" si="472"/>
        <v>1</v>
      </c>
      <c r="DV132" s="4">
        <f t="shared" si="504"/>
        <v>1</v>
      </c>
      <c r="DX132" s="4" t="e">
        <f t="shared" si="473"/>
        <v>#REF!</v>
      </c>
      <c r="DY132" s="25" t="e">
        <f t="shared" si="505"/>
        <v>#REF!</v>
      </c>
      <c r="EB132" s="4">
        <f t="shared" si="436"/>
        <v>3.3423512159494768</v>
      </c>
      <c r="EC132" s="4">
        <f t="shared" si="474"/>
        <v>3.3423512159494768</v>
      </c>
      <c r="EE132" s="4">
        <f t="shared" si="475"/>
        <v>63.951544156493995</v>
      </c>
      <c r="EF132" s="4">
        <f t="shared" si="520"/>
        <v>2.2360679774997898</v>
      </c>
      <c r="EG132" s="4" t="e">
        <f t="shared" si="476"/>
        <v>#REF!</v>
      </c>
      <c r="EJ132" s="4" t="e">
        <f t="shared" si="506"/>
        <v>#REF!</v>
      </c>
      <c r="EK132" s="4" t="e">
        <f t="shared" si="477"/>
        <v>#REF!</v>
      </c>
      <c r="EL132" s="4" t="e">
        <f t="shared" si="521"/>
        <v>#REF!</v>
      </c>
      <c r="EM132" s="4" t="e">
        <f t="shared" si="507"/>
        <v>#REF!</v>
      </c>
      <c r="EN132" s="4" t="e">
        <f t="shared" si="522"/>
        <v>#REF!</v>
      </c>
      <c r="EO132" s="4" t="e">
        <f t="shared" si="523"/>
        <v>#REF!</v>
      </c>
      <c r="EP132" s="4" t="e">
        <f t="shared" si="478"/>
        <v>#REF!</v>
      </c>
      <c r="EQ132" s="4" t="e">
        <f t="shared" si="508"/>
        <v>#REF!</v>
      </c>
      <c r="ER132" s="4" t="e">
        <f t="shared" si="479"/>
        <v>#REF!</v>
      </c>
      <c r="ES132" s="4" t="e">
        <f t="shared" si="524"/>
        <v>#REF!</v>
      </c>
      <c r="ET132" s="4" t="e">
        <f t="shared" si="525"/>
        <v>#REF!</v>
      </c>
      <c r="EV132" s="4" t="e">
        <f t="shared" si="489"/>
        <v>#REF!</v>
      </c>
      <c r="FA132" s="23" t="e">
        <f t="shared" si="490"/>
        <v>#REF!</v>
      </c>
      <c r="FB132" s="23" t="e">
        <f t="shared" si="491"/>
        <v>#REF!</v>
      </c>
      <c r="FC132" s="23" t="e">
        <f t="shared" si="527"/>
        <v>#REF!</v>
      </c>
      <c r="FD132" s="23" t="e">
        <f t="shared" si="492"/>
        <v>#REF!</v>
      </c>
      <c r="FE132" s="23" t="e">
        <f t="shared" si="493"/>
        <v>#REF!</v>
      </c>
      <c r="FF132" s="23" t="e">
        <f t="shared" si="494"/>
        <v>#REF!</v>
      </c>
      <c r="FG132" s="23" t="e">
        <f t="shared" si="282"/>
        <v>#REF!</v>
      </c>
      <c r="FH132" s="23"/>
      <c r="FR132" s="4">
        <f t="shared" si="351"/>
        <v>1</v>
      </c>
      <c r="FS132" s="4">
        <f t="shared" si="352"/>
        <v>1</v>
      </c>
      <c r="FT132" s="4">
        <f t="shared" si="353"/>
        <v>0</v>
      </c>
      <c r="FU132" s="4" t="e">
        <f t="shared" si="354"/>
        <v>#REF!</v>
      </c>
    </row>
    <row r="133" spans="2:177" ht="12" customHeight="1" x14ac:dyDescent="0.3">
      <c r="B133" s="24"/>
      <c r="C133" s="7" t="s">
        <v>134</v>
      </c>
      <c r="D133" s="7">
        <v>601</v>
      </c>
      <c r="E133" s="7" t="e">
        <f>G133*#REF!</f>
        <v>#REF!</v>
      </c>
      <c r="F133" s="7">
        <v>41.4</v>
      </c>
      <c r="G133" s="7">
        <v>25.4</v>
      </c>
      <c r="H133" s="7">
        <v>225</v>
      </c>
      <c r="I133" s="7">
        <f t="shared" ref="I133:I147" si="528">G133</f>
        <v>25.4</v>
      </c>
      <c r="J133" s="7"/>
      <c r="K133" s="7">
        <f t="shared" si="526"/>
        <v>25.4</v>
      </c>
      <c r="L133" s="7">
        <v>2</v>
      </c>
      <c r="M133" s="7">
        <f t="shared" si="495"/>
        <v>59.8</v>
      </c>
      <c r="N133" s="7">
        <f t="shared" si="510"/>
        <v>1</v>
      </c>
      <c r="O133" s="7">
        <f t="shared" si="496"/>
        <v>1.4999999999999998</v>
      </c>
      <c r="P133" s="7">
        <f t="shared" si="509"/>
        <v>4</v>
      </c>
      <c r="Q133" s="7">
        <f t="shared" si="511"/>
        <v>4</v>
      </c>
      <c r="R133" s="7">
        <v>5</v>
      </c>
      <c r="S133" s="7">
        <f t="shared" si="447"/>
        <v>56.796126628494655</v>
      </c>
      <c r="T133" s="7"/>
      <c r="U133" s="7"/>
      <c r="V133" s="7">
        <v>326</v>
      </c>
      <c r="W133" s="7"/>
      <c r="X133" s="7" t="e">
        <f t="shared" si="482"/>
        <v>#REF!</v>
      </c>
      <c r="Y133" s="7"/>
      <c r="Z133" s="7"/>
      <c r="AA133" s="7">
        <v>1</v>
      </c>
      <c r="AB133" s="7"/>
      <c r="AC133" s="7"/>
      <c r="AD133" s="7"/>
      <c r="AE133" s="4" t="e">
        <f t="shared" si="483"/>
        <v>#REF!</v>
      </c>
      <c r="AF133" s="46" t="e">
        <f t="shared" si="497"/>
        <v>#REF!</v>
      </c>
      <c r="AG133" s="25" t="e">
        <f t="shared" si="448"/>
        <v>#REF!</v>
      </c>
      <c r="AH133" s="4" t="e">
        <f t="shared" si="449"/>
        <v>#REF!</v>
      </c>
      <c r="AI133" s="4">
        <v>1.25</v>
      </c>
      <c r="AJ133" s="25">
        <f t="shared" si="438"/>
        <v>5</v>
      </c>
      <c r="AK133" s="38" t="e">
        <f t="shared" si="480"/>
        <v>#REF!</v>
      </c>
      <c r="AL133" s="38" t="e">
        <f t="shared" si="356"/>
        <v>#REF!</v>
      </c>
      <c r="AN133" s="38" t="e">
        <f t="shared" si="498"/>
        <v>#REF!</v>
      </c>
      <c r="AO133" s="38" t="e">
        <f t="shared" si="316"/>
        <v>#REF!</v>
      </c>
      <c r="AP133" s="38" t="e">
        <f t="shared" si="357"/>
        <v>#REF!</v>
      </c>
      <c r="AQ133" s="4" t="e">
        <f t="shared" si="443"/>
        <v>#REF!</v>
      </c>
      <c r="AR133" s="4" t="e">
        <f>#REF!/G133*F133^0.5/0.19</f>
        <v>#REF!</v>
      </c>
      <c r="AS133" s="4">
        <f t="shared" si="450"/>
        <v>1.2</v>
      </c>
      <c r="AT133" s="38">
        <f t="shared" si="451"/>
        <v>198.72</v>
      </c>
      <c r="AU133" s="4">
        <f t="shared" si="452"/>
        <v>0.44000000000000006</v>
      </c>
      <c r="AV133" s="4" t="e">
        <f>AU133*D133*#REF!/(D133*G133/2.75/F133^0.5)</f>
        <v>#REF!</v>
      </c>
      <c r="AW133" s="4" t="e">
        <f t="shared" si="499"/>
        <v>#REF!</v>
      </c>
      <c r="AY133" s="36">
        <f t="shared" si="428"/>
        <v>1</v>
      </c>
      <c r="AZ133" s="36" t="e">
        <f>(1.6*#REF!+22)*AY133*F133^0.5</f>
        <v>#REF!</v>
      </c>
      <c r="BE133" s="4">
        <f t="shared" si="453"/>
        <v>19.100000000000001</v>
      </c>
      <c r="BF133" s="4">
        <f t="shared" si="454"/>
        <v>19.100000000000001</v>
      </c>
      <c r="BG133" s="4">
        <f t="shared" si="455"/>
        <v>59.8</v>
      </c>
      <c r="BH133" s="4">
        <f t="shared" si="456"/>
        <v>31.8</v>
      </c>
      <c r="BI133" s="4">
        <f t="shared" si="512"/>
        <v>1.213089005235602</v>
      </c>
      <c r="BJ133" s="25">
        <f t="shared" si="457"/>
        <v>1.51874922702725</v>
      </c>
      <c r="BL133" s="4">
        <f t="shared" si="458"/>
        <v>12.7</v>
      </c>
      <c r="BP133" s="9"/>
      <c r="BR133" s="9"/>
      <c r="BS133" s="9"/>
      <c r="BT133" s="9">
        <f t="shared" si="459"/>
        <v>12.7</v>
      </c>
      <c r="BU133" s="9">
        <f t="shared" si="460"/>
        <v>25.4</v>
      </c>
      <c r="BV133" s="9">
        <f t="shared" si="461"/>
        <v>0.78458409789675088</v>
      </c>
      <c r="BW133" s="9">
        <v>0</v>
      </c>
      <c r="BX133" s="9">
        <f t="shared" si="462"/>
        <v>0</v>
      </c>
      <c r="BY133" s="9">
        <f t="shared" si="500"/>
        <v>0</v>
      </c>
      <c r="BZ133" s="9">
        <f t="shared" si="463"/>
        <v>0.99524931562137331</v>
      </c>
      <c r="CA133" s="9">
        <f t="shared" si="464"/>
        <v>0.84899999999999998</v>
      </c>
      <c r="CB133" s="9">
        <f t="shared" si="465"/>
        <v>1.9028641880890567</v>
      </c>
      <c r="CC133" s="9">
        <f t="shared" si="466"/>
        <v>1.4929569824318858</v>
      </c>
      <c r="CD133" s="9">
        <v>1</v>
      </c>
      <c r="CE133" s="9" t="e">
        <f>4*CC133*#REF!+60*CC133</f>
        <v>#REF!</v>
      </c>
      <c r="CG133" s="4" t="e">
        <f t="shared" si="501"/>
        <v>#REF!</v>
      </c>
      <c r="CH133" s="4" t="e">
        <f t="shared" si="502"/>
        <v>#REF!</v>
      </c>
      <c r="CI133" s="4" t="e">
        <f t="shared" si="267"/>
        <v>#REF!</v>
      </c>
      <c r="CJ133" s="4" t="e">
        <f t="shared" si="484"/>
        <v>#REF!</v>
      </c>
      <c r="CK133" s="4" t="e">
        <f t="shared" si="269"/>
        <v>#REF!</v>
      </c>
      <c r="CL133" s="4" t="e">
        <f t="shared" si="270"/>
        <v>#REF!</v>
      </c>
      <c r="CM133" s="4" t="e">
        <f t="shared" si="481"/>
        <v>#REF!</v>
      </c>
      <c r="CO133" s="4" t="e">
        <f t="shared" si="513"/>
        <v>#REF!</v>
      </c>
      <c r="CP133" s="4" t="e">
        <f t="shared" si="514"/>
        <v>#REF!</v>
      </c>
      <c r="CQ133" s="4" t="e">
        <f t="shared" si="515"/>
        <v>#REF!</v>
      </c>
      <c r="CR133" s="4" t="e">
        <f t="shared" si="503"/>
        <v>#REF!</v>
      </c>
      <c r="CS133" s="4" t="e">
        <f t="shared" si="516"/>
        <v>#REF!</v>
      </c>
      <c r="CT133" s="4" t="e">
        <f t="shared" si="517"/>
        <v>#REF!</v>
      </c>
      <c r="DB133" s="4">
        <f t="shared" si="518"/>
        <v>0</v>
      </c>
      <c r="DC133" s="4" t="e">
        <f t="shared" si="467"/>
        <v>#REF!</v>
      </c>
      <c r="DD133" s="4" t="e">
        <f>#REF!/E133</f>
        <v>#REF!</v>
      </c>
      <c r="DF133" s="4" t="e">
        <f t="shared" si="468"/>
        <v>#REF!</v>
      </c>
      <c r="DG133" s="4">
        <f t="shared" si="519"/>
        <v>3.5682527467332243</v>
      </c>
      <c r="DH133" s="4" t="e">
        <f t="shared" si="486"/>
        <v>#REF!</v>
      </c>
      <c r="DI133" s="4" t="e">
        <f t="shared" si="359"/>
        <v>#REF!</v>
      </c>
      <c r="DJ133" s="4" t="e">
        <f t="shared" si="360"/>
        <v>#REF!</v>
      </c>
      <c r="DK133" s="4" t="e">
        <f t="shared" si="487"/>
        <v>#REF!</v>
      </c>
      <c r="DL133" s="38" t="e">
        <f t="shared" si="469"/>
        <v>#REF!</v>
      </c>
      <c r="DM133" s="4" t="e">
        <f t="shared" si="361"/>
        <v>#REF!</v>
      </c>
      <c r="DN133" s="4">
        <f t="shared" si="488"/>
        <v>2.2360679774997898</v>
      </c>
      <c r="DO133" s="4" t="e">
        <f t="shared" si="363"/>
        <v>#REF!</v>
      </c>
      <c r="DS133" s="4">
        <f t="shared" si="470"/>
        <v>1</v>
      </c>
      <c r="DT133" s="4">
        <f t="shared" si="471"/>
        <v>1</v>
      </c>
      <c r="DU133" s="4">
        <f t="shared" si="472"/>
        <v>1</v>
      </c>
      <c r="DV133" s="4">
        <f t="shared" si="504"/>
        <v>1</v>
      </c>
      <c r="DX133" s="4" t="e">
        <f t="shared" si="473"/>
        <v>#REF!</v>
      </c>
      <c r="DY133" s="25" t="e">
        <f t="shared" si="505"/>
        <v>#REF!</v>
      </c>
      <c r="EB133" s="4">
        <f t="shared" si="436"/>
        <v>3.5682527467332243</v>
      </c>
      <c r="EC133" s="4">
        <f t="shared" si="474"/>
        <v>3.5682527467332243</v>
      </c>
      <c r="EE133" s="4">
        <f t="shared" si="475"/>
        <v>56.796126628494655</v>
      </c>
      <c r="EF133" s="4">
        <f t="shared" si="520"/>
        <v>2.2360679774997898</v>
      </c>
      <c r="EG133" s="4" t="e">
        <f t="shared" si="476"/>
        <v>#REF!</v>
      </c>
      <c r="EJ133" s="4" t="e">
        <f t="shared" si="506"/>
        <v>#REF!</v>
      </c>
      <c r="EK133" s="4" t="e">
        <f t="shared" si="477"/>
        <v>#REF!</v>
      </c>
      <c r="EL133" s="4" t="e">
        <f t="shared" si="521"/>
        <v>#REF!</v>
      </c>
      <c r="EM133" s="4" t="e">
        <f t="shared" si="507"/>
        <v>#REF!</v>
      </c>
      <c r="EN133" s="4" t="e">
        <f t="shared" si="522"/>
        <v>#REF!</v>
      </c>
      <c r="EO133" s="4" t="e">
        <f t="shared" si="523"/>
        <v>#REF!</v>
      </c>
      <c r="EP133" s="4" t="e">
        <f t="shared" si="478"/>
        <v>#REF!</v>
      </c>
      <c r="EQ133" s="4" t="e">
        <f t="shared" si="508"/>
        <v>#REF!</v>
      </c>
      <c r="ER133" s="4" t="e">
        <f t="shared" si="479"/>
        <v>#REF!</v>
      </c>
      <c r="ES133" s="4" t="e">
        <f t="shared" si="524"/>
        <v>#REF!</v>
      </c>
      <c r="ET133" s="4" t="e">
        <f t="shared" si="525"/>
        <v>#REF!</v>
      </c>
      <c r="EV133" s="4" t="e">
        <f t="shared" si="489"/>
        <v>#REF!</v>
      </c>
      <c r="FA133" s="23" t="e">
        <f t="shared" si="490"/>
        <v>#REF!</v>
      </c>
      <c r="FB133" s="23" t="e">
        <f t="shared" si="491"/>
        <v>#REF!</v>
      </c>
      <c r="FC133" s="23" t="e">
        <f t="shared" si="527"/>
        <v>#REF!</v>
      </c>
      <c r="FD133" s="23" t="e">
        <f t="shared" si="492"/>
        <v>#REF!</v>
      </c>
      <c r="FE133" s="23" t="e">
        <f t="shared" si="493"/>
        <v>#REF!</v>
      </c>
      <c r="FF133" s="23" t="e">
        <f t="shared" si="494"/>
        <v>#REF!</v>
      </c>
      <c r="FG133" s="23" t="e">
        <f t="shared" si="282"/>
        <v>#REF!</v>
      </c>
      <c r="FH133" s="23"/>
      <c r="FR133" s="4">
        <f t="shared" si="351"/>
        <v>1.25</v>
      </c>
      <c r="FS133" s="4">
        <f t="shared" si="352"/>
        <v>1</v>
      </c>
      <c r="FT133" s="4">
        <f t="shared" si="353"/>
        <v>0</v>
      </c>
      <c r="FU133" s="4" t="e">
        <f t="shared" si="354"/>
        <v>#REF!</v>
      </c>
    </row>
    <row r="134" spans="2:177" ht="12" customHeight="1" x14ac:dyDescent="0.3">
      <c r="B134" s="24"/>
      <c r="C134" s="7" t="s">
        <v>135</v>
      </c>
      <c r="D134" s="7">
        <v>601</v>
      </c>
      <c r="E134" s="7" t="e">
        <f>G134*#REF!</f>
        <v>#REF!</v>
      </c>
      <c r="F134" s="7">
        <v>41.4</v>
      </c>
      <c r="G134" s="7">
        <v>25.4</v>
      </c>
      <c r="H134" s="7">
        <v>225</v>
      </c>
      <c r="I134" s="7">
        <f t="shared" si="528"/>
        <v>25.4</v>
      </c>
      <c r="J134" s="7"/>
      <c r="K134" s="7">
        <f t="shared" si="526"/>
        <v>25.4</v>
      </c>
      <c r="L134" s="7">
        <v>2</v>
      </c>
      <c r="M134" s="7">
        <f t="shared" si="495"/>
        <v>59.8</v>
      </c>
      <c r="N134" s="7">
        <f t="shared" si="510"/>
        <v>1</v>
      </c>
      <c r="O134" s="7">
        <f t="shared" si="496"/>
        <v>1.4999999999999998</v>
      </c>
      <c r="P134" s="7">
        <f t="shared" si="509"/>
        <v>4</v>
      </c>
      <c r="Q134" s="7">
        <f t="shared" si="511"/>
        <v>4</v>
      </c>
      <c r="R134" s="7">
        <v>5</v>
      </c>
      <c r="S134" s="7">
        <f t="shared" si="447"/>
        <v>56.796126628494655</v>
      </c>
      <c r="T134" s="7"/>
      <c r="U134" s="7"/>
      <c r="V134" s="7">
        <v>408</v>
      </c>
      <c r="W134" s="7"/>
      <c r="X134" s="7" t="e">
        <f t="shared" si="482"/>
        <v>#REF!</v>
      </c>
      <c r="Y134" s="7"/>
      <c r="Z134" s="7"/>
      <c r="AA134" s="7">
        <v>1</v>
      </c>
      <c r="AB134" s="7"/>
      <c r="AC134" s="7"/>
      <c r="AD134" s="7"/>
      <c r="AE134" s="4" t="e">
        <f t="shared" si="483"/>
        <v>#REF!</v>
      </c>
      <c r="AF134" s="46" t="e">
        <f t="shared" si="497"/>
        <v>#REF!</v>
      </c>
      <c r="AG134" s="25" t="e">
        <f t="shared" si="448"/>
        <v>#REF!</v>
      </c>
      <c r="AH134" s="4" t="e">
        <f t="shared" si="449"/>
        <v>#REF!</v>
      </c>
      <c r="AI134" s="4">
        <v>1.25</v>
      </c>
      <c r="AJ134" s="25">
        <f t="shared" si="438"/>
        <v>5</v>
      </c>
      <c r="AK134" s="38" t="e">
        <f t="shared" si="480"/>
        <v>#REF!</v>
      </c>
      <c r="AL134" s="38" t="e">
        <f t="shared" si="356"/>
        <v>#REF!</v>
      </c>
      <c r="AN134" s="38" t="e">
        <f t="shared" si="498"/>
        <v>#REF!</v>
      </c>
      <c r="AO134" s="38" t="e">
        <f t="shared" si="316"/>
        <v>#REF!</v>
      </c>
      <c r="AP134" s="38" t="e">
        <f t="shared" si="357"/>
        <v>#REF!</v>
      </c>
      <c r="AQ134" s="4" t="e">
        <f t="shared" si="443"/>
        <v>#REF!</v>
      </c>
      <c r="AR134" s="4" t="e">
        <f>#REF!/G134*F134^0.5/0.19</f>
        <v>#REF!</v>
      </c>
      <c r="AS134" s="4">
        <f t="shared" si="450"/>
        <v>1.2</v>
      </c>
      <c r="AT134" s="38">
        <f t="shared" si="451"/>
        <v>198.72</v>
      </c>
      <c r="AU134" s="4">
        <f t="shared" si="452"/>
        <v>0.44000000000000006</v>
      </c>
      <c r="AV134" s="4" t="e">
        <f>AU134*D134*#REF!/(D134*G134/2.75/F134^0.5)</f>
        <v>#REF!</v>
      </c>
      <c r="AW134" s="4" t="e">
        <f t="shared" si="499"/>
        <v>#REF!</v>
      </c>
      <c r="AY134" s="36">
        <f t="shared" si="428"/>
        <v>1</v>
      </c>
      <c r="AZ134" s="36" t="e">
        <f>(1.6*#REF!+22)*AY134*F134^0.5</f>
        <v>#REF!</v>
      </c>
      <c r="BE134" s="4">
        <f t="shared" si="453"/>
        <v>19.100000000000001</v>
      </c>
      <c r="BF134" s="4">
        <f t="shared" si="454"/>
        <v>19.100000000000001</v>
      </c>
      <c r="BG134" s="4">
        <f t="shared" si="455"/>
        <v>59.8</v>
      </c>
      <c r="BH134" s="4">
        <f t="shared" si="456"/>
        <v>31.8</v>
      </c>
      <c r="BI134" s="4">
        <f t="shared" si="512"/>
        <v>1.213089005235602</v>
      </c>
      <c r="BJ134" s="25">
        <f t="shared" si="457"/>
        <v>1.51874922702725</v>
      </c>
      <c r="BL134" s="4">
        <f t="shared" si="458"/>
        <v>12.7</v>
      </c>
      <c r="BP134" s="9"/>
      <c r="BR134" s="9"/>
      <c r="BS134" s="9"/>
      <c r="BT134" s="9">
        <f t="shared" si="459"/>
        <v>12.7</v>
      </c>
      <c r="BU134" s="9">
        <f t="shared" si="460"/>
        <v>25.4</v>
      </c>
      <c r="BV134" s="9">
        <f t="shared" si="461"/>
        <v>0.78458409789675088</v>
      </c>
      <c r="BW134" s="9">
        <v>0</v>
      </c>
      <c r="BX134" s="9">
        <f t="shared" si="462"/>
        <v>0</v>
      </c>
      <c r="BY134" s="9">
        <f t="shared" si="500"/>
        <v>0</v>
      </c>
      <c r="BZ134" s="9">
        <f t="shared" si="463"/>
        <v>0.99524931562137331</v>
      </c>
      <c r="CA134" s="9">
        <f t="shared" si="464"/>
        <v>0.84899999999999998</v>
      </c>
      <c r="CB134" s="9">
        <f t="shared" si="465"/>
        <v>1.9028641880890567</v>
      </c>
      <c r="CC134" s="9">
        <f t="shared" si="466"/>
        <v>1.4929569824318858</v>
      </c>
      <c r="CD134" s="9">
        <v>1</v>
      </c>
      <c r="CE134" s="9" t="e">
        <f>4*CC134*#REF!+60*CC134</f>
        <v>#REF!</v>
      </c>
      <c r="CG134" s="4" t="e">
        <f t="shared" si="501"/>
        <v>#REF!</v>
      </c>
      <c r="CH134" s="4" t="e">
        <f t="shared" si="502"/>
        <v>#REF!</v>
      </c>
      <c r="CI134" s="4" t="e">
        <f t="shared" si="267"/>
        <v>#REF!</v>
      </c>
      <c r="CJ134" s="4" t="e">
        <f t="shared" si="484"/>
        <v>#REF!</v>
      </c>
      <c r="CK134" s="4" t="e">
        <f t="shared" si="269"/>
        <v>#REF!</v>
      </c>
      <c r="CL134" s="4" t="e">
        <f t="shared" si="270"/>
        <v>#REF!</v>
      </c>
      <c r="CM134" s="4" t="e">
        <f t="shared" si="481"/>
        <v>#REF!</v>
      </c>
      <c r="CO134" s="4" t="e">
        <f t="shared" si="513"/>
        <v>#REF!</v>
      </c>
      <c r="CP134" s="4" t="e">
        <f t="shared" si="514"/>
        <v>#REF!</v>
      </c>
      <c r="CQ134" s="4" t="e">
        <f t="shared" si="515"/>
        <v>#REF!</v>
      </c>
      <c r="CR134" s="4" t="e">
        <f t="shared" si="503"/>
        <v>#REF!</v>
      </c>
      <c r="CS134" s="4" t="e">
        <f t="shared" si="516"/>
        <v>#REF!</v>
      </c>
      <c r="CT134" s="4" t="e">
        <f t="shared" si="517"/>
        <v>#REF!</v>
      </c>
      <c r="DB134" s="4">
        <f t="shared" si="518"/>
        <v>0</v>
      </c>
      <c r="DC134" s="4" t="e">
        <f t="shared" si="467"/>
        <v>#REF!</v>
      </c>
      <c r="DD134" s="4" t="e">
        <f>#REF!/E134</f>
        <v>#REF!</v>
      </c>
      <c r="DF134" s="4" t="e">
        <f t="shared" si="468"/>
        <v>#REF!</v>
      </c>
      <c r="DG134" s="4">
        <f t="shared" si="519"/>
        <v>3.5682527467332243</v>
      </c>
      <c r="DH134" s="4" t="e">
        <f t="shared" si="486"/>
        <v>#REF!</v>
      </c>
      <c r="DI134" s="4" t="e">
        <f t="shared" si="359"/>
        <v>#REF!</v>
      </c>
      <c r="DJ134" s="4" t="e">
        <f t="shared" si="360"/>
        <v>#REF!</v>
      </c>
      <c r="DK134" s="4" t="e">
        <f t="shared" si="487"/>
        <v>#REF!</v>
      </c>
      <c r="DL134" s="38" t="e">
        <f t="shared" si="469"/>
        <v>#REF!</v>
      </c>
      <c r="DM134" s="4" t="e">
        <f t="shared" si="361"/>
        <v>#REF!</v>
      </c>
      <c r="DN134" s="4">
        <f t="shared" si="488"/>
        <v>2.2360679774997898</v>
      </c>
      <c r="DO134" s="4" t="e">
        <f t="shared" si="363"/>
        <v>#REF!</v>
      </c>
      <c r="DS134" s="4">
        <f t="shared" si="470"/>
        <v>1</v>
      </c>
      <c r="DT134" s="4">
        <f t="shared" si="471"/>
        <v>1</v>
      </c>
      <c r="DU134" s="4">
        <f t="shared" si="472"/>
        <v>1</v>
      </c>
      <c r="DV134" s="4">
        <f t="shared" si="504"/>
        <v>1</v>
      </c>
      <c r="DX134" s="4" t="e">
        <f t="shared" si="473"/>
        <v>#REF!</v>
      </c>
      <c r="DY134" s="25" t="e">
        <f t="shared" si="505"/>
        <v>#REF!</v>
      </c>
      <c r="EB134" s="4">
        <f t="shared" si="436"/>
        <v>3.5682527467332243</v>
      </c>
      <c r="EC134" s="4">
        <f t="shared" si="474"/>
        <v>3.5682527467332243</v>
      </c>
      <c r="EE134" s="4">
        <f t="shared" si="475"/>
        <v>56.796126628494655</v>
      </c>
      <c r="EF134" s="4">
        <f t="shared" si="520"/>
        <v>2.2360679774997898</v>
      </c>
      <c r="EG134" s="4" t="e">
        <f t="shared" si="476"/>
        <v>#REF!</v>
      </c>
      <c r="EJ134" s="4" t="e">
        <f t="shared" si="506"/>
        <v>#REF!</v>
      </c>
      <c r="EK134" s="4" t="e">
        <f t="shared" si="477"/>
        <v>#REF!</v>
      </c>
      <c r="EL134" s="4" t="e">
        <f t="shared" si="521"/>
        <v>#REF!</v>
      </c>
      <c r="EM134" s="4" t="e">
        <f t="shared" si="507"/>
        <v>#REF!</v>
      </c>
      <c r="EN134" s="4" t="e">
        <f t="shared" si="522"/>
        <v>#REF!</v>
      </c>
      <c r="EO134" s="4" t="e">
        <f t="shared" si="523"/>
        <v>#REF!</v>
      </c>
      <c r="EP134" s="4" t="e">
        <f t="shared" si="478"/>
        <v>#REF!</v>
      </c>
      <c r="EQ134" s="4" t="e">
        <f t="shared" si="508"/>
        <v>#REF!</v>
      </c>
      <c r="ER134" s="4" t="e">
        <f t="shared" si="479"/>
        <v>#REF!</v>
      </c>
      <c r="ES134" s="4" t="e">
        <f t="shared" si="524"/>
        <v>#REF!</v>
      </c>
      <c r="ET134" s="4" t="e">
        <f t="shared" si="525"/>
        <v>#REF!</v>
      </c>
      <c r="EV134" s="4" t="e">
        <f t="shared" si="489"/>
        <v>#REF!</v>
      </c>
      <c r="FA134" s="23" t="e">
        <f t="shared" si="490"/>
        <v>#REF!</v>
      </c>
      <c r="FB134" s="23" t="e">
        <f t="shared" si="491"/>
        <v>#REF!</v>
      </c>
      <c r="FC134" s="23" t="e">
        <f t="shared" si="527"/>
        <v>#REF!</v>
      </c>
      <c r="FD134" s="23" t="e">
        <f t="shared" si="492"/>
        <v>#REF!</v>
      </c>
      <c r="FE134" s="23" t="e">
        <f t="shared" si="493"/>
        <v>#REF!</v>
      </c>
      <c r="FF134" s="23" t="e">
        <f t="shared" si="494"/>
        <v>#REF!</v>
      </c>
      <c r="FG134" s="23" t="e">
        <f t="shared" si="282"/>
        <v>#REF!</v>
      </c>
      <c r="FH134" s="23"/>
      <c r="FR134" s="4">
        <f t="shared" si="351"/>
        <v>1.25</v>
      </c>
      <c r="FS134" s="4">
        <f t="shared" si="352"/>
        <v>1</v>
      </c>
      <c r="FT134" s="4">
        <f t="shared" si="353"/>
        <v>0</v>
      </c>
      <c r="FU134" s="4" t="e">
        <f t="shared" si="354"/>
        <v>#REF!</v>
      </c>
    </row>
    <row r="135" spans="2:177" ht="12" customHeight="1" x14ac:dyDescent="0.3">
      <c r="B135" s="24"/>
      <c r="C135" s="7" t="s">
        <v>136</v>
      </c>
      <c r="D135" s="7">
        <v>710</v>
      </c>
      <c r="E135" s="7" t="e">
        <f>G135*#REF!</f>
        <v>#REF!</v>
      </c>
      <c r="F135" s="7">
        <v>20.3</v>
      </c>
      <c r="G135" s="7">
        <v>28.6</v>
      </c>
      <c r="H135" s="7">
        <v>261</v>
      </c>
      <c r="I135" s="7">
        <f t="shared" si="528"/>
        <v>28.6</v>
      </c>
      <c r="J135" s="7"/>
      <c r="K135" s="7">
        <f t="shared" si="526"/>
        <v>28.6</v>
      </c>
      <c r="L135" s="7">
        <v>2</v>
      </c>
      <c r="M135" s="7">
        <f t="shared" si="495"/>
        <v>58.2</v>
      </c>
      <c r="N135" s="7">
        <f t="shared" si="510"/>
        <v>1</v>
      </c>
      <c r="O135" s="7">
        <f t="shared" si="496"/>
        <v>1.5000000000000002</v>
      </c>
      <c r="P135" s="7">
        <f t="shared" si="509"/>
        <v>4</v>
      </c>
      <c r="Q135" s="7">
        <f t="shared" si="511"/>
        <v>4</v>
      </c>
      <c r="R135" s="7">
        <v>5</v>
      </c>
      <c r="S135" s="7">
        <f t="shared" si="447"/>
        <v>63.951544156493995</v>
      </c>
      <c r="T135" s="7"/>
      <c r="U135" s="7"/>
      <c r="V135" s="7">
        <v>235</v>
      </c>
      <c r="W135" s="7"/>
      <c r="X135" s="7" t="e">
        <f t="shared" si="482"/>
        <v>#REF!</v>
      </c>
      <c r="Y135" s="7"/>
      <c r="Z135" s="7"/>
      <c r="AA135" s="7">
        <v>1</v>
      </c>
      <c r="AB135" s="7"/>
      <c r="AC135" s="7"/>
      <c r="AD135" s="7"/>
      <c r="AE135" s="4" t="e">
        <f t="shared" si="483"/>
        <v>#REF!</v>
      </c>
      <c r="AF135" s="46" t="e">
        <f t="shared" si="497"/>
        <v>#REF!</v>
      </c>
      <c r="AG135" s="25" t="e">
        <f t="shared" si="448"/>
        <v>#REF!</v>
      </c>
      <c r="AH135" s="4" t="e">
        <f t="shared" si="449"/>
        <v>#REF!</v>
      </c>
      <c r="AI135" s="4">
        <v>1.25</v>
      </c>
      <c r="AJ135" s="25">
        <f t="shared" si="438"/>
        <v>5</v>
      </c>
      <c r="AK135" s="38" t="e">
        <f t="shared" si="480"/>
        <v>#REF!</v>
      </c>
      <c r="AL135" s="38" t="e">
        <f t="shared" si="356"/>
        <v>#REF!</v>
      </c>
      <c r="AN135" s="38" t="e">
        <f t="shared" si="498"/>
        <v>#REF!</v>
      </c>
      <c r="AO135" s="38" t="e">
        <f t="shared" si="316"/>
        <v>#REF!</v>
      </c>
      <c r="AP135" s="38" t="e">
        <f t="shared" si="357"/>
        <v>#REF!</v>
      </c>
      <c r="AQ135" s="4" t="e">
        <f t="shared" si="443"/>
        <v>#REF!</v>
      </c>
      <c r="AR135" s="4" t="e">
        <f>#REF!/G135*F135^0.5/0.19</f>
        <v>#REF!</v>
      </c>
      <c r="AS135" s="4">
        <f t="shared" si="450"/>
        <v>1.2000000000000002</v>
      </c>
      <c r="AT135" s="38">
        <f t="shared" si="451"/>
        <v>97.44</v>
      </c>
      <c r="AU135" s="4">
        <f t="shared" si="452"/>
        <v>0.44000000000000006</v>
      </c>
      <c r="AV135" s="4" t="e">
        <f>AU135*D135*#REF!/(D135*G135/2.75/F135^0.5)</f>
        <v>#REF!</v>
      </c>
      <c r="AW135" s="4" t="e">
        <f t="shared" si="499"/>
        <v>#REF!</v>
      </c>
      <c r="AY135" s="36">
        <f t="shared" si="428"/>
        <v>1</v>
      </c>
      <c r="AZ135" s="36" t="e">
        <f>(1.6*#REF!+22)*AY135*F135^0.5</f>
        <v>#REF!</v>
      </c>
      <c r="BE135" s="4">
        <f t="shared" si="453"/>
        <v>20.700000000000003</v>
      </c>
      <c r="BF135" s="4">
        <f t="shared" si="454"/>
        <v>20.700000000000003</v>
      </c>
      <c r="BG135" s="4">
        <f t="shared" si="455"/>
        <v>58.2</v>
      </c>
      <c r="BH135" s="4">
        <f t="shared" si="456"/>
        <v>35</v>
      </c>
      <c r="BI135" s="4">
        <f t="shared" si="512"/>
        <v>1.181159420289855</v>
      </c>
      <c r="BJ135" s="25">
        <f t="shared" si="457"/>
        <v>1.4454748150400323</v>
      </c>
      <c r="BL135" s="4">
        <f t="shared" si="458"/>
        <v>14.3</v>
      </c>
      <c r="BP135" s="9"/>
      <c r="BR135" s="9"/>
      <c r="BS135" s="9"/>
      <c r="BT135" s="9">
        <f t="shared" si="459"/>
        <v>14.3</v>
      </c>
      <c r="BU135" s="9">
        <f t="shared" si="460"/>
        <v>28.6</v>
      </c>
      <c r="BV135" s="9">
        <f t="shared" si="461"/>
        <v>0.78458409789675088</v>
      </c>
      <c r="BW135" s="9">
        <v>0</v>
      </c>
      <c r="BX135" s="9">
        <f t="shared" si="462"/>
        <v>0</v>
      </c>
      <c r="BY135" s="9">
        <f t="shared" si="500"/>
        <v>0</v>
      </c>
      <c r="BZ135" s="9">
        <f t="shared" si="463"/>
        <v>0.96044432035915817</v>
      </c>
      <c r="CA135" s="9">
        <f t="shared" si="464"/>
        <v>0.74299999999999999</v>
      </c>
      <c r="CB135" s="9">
        <f t="shared" si="465"/>
        <v>1.1253226745730049</v>
      </c>
      <c r="CC135" s="9">
        <f t="shared" si="466"/>
        <v>0.88291027547262002</v>
      </c>
      <c r="CD135" s="9">
        <v>1</v>
      </c>
      <c r="CE135" s="9" t="e">
        <f>4*CC135*#REF!+60*CC135</f>
        <v>#REF!</v>
      </c>
      <c r="CG135" s="4" t="e">
        <f t="shared" si="501"/>
        <v>#REF!</v>
      </c>
      <c r="CH135" s="4" t="e">
        <f t="shared" si="502"/>
        <v>#REF!</v>
      </c>
      <c r="CI135" s="4" t="e">
        <f t="shared" si="267"/>
        <v>#REF!</v>
      </c>
      <c r="CJ135" s="4" t="e">
        <f t="shared" si="484"/>
        <v>#REF!</v>
      </c>
      <c r="CK135" s="4" t="e">
        <f t="shared" si="269"/>
        <v>#REF!</v>
      </c>
      <c r="CL135" s="4" t="e">
        <f t="shared" si="270"/>
        <v>#REF!</v>
      </c>
      <c r="CM135" s="4" t="e">
        <f t="shared" si="481"/>
        <v>#REF!</v>
      </c>
      <c r="CO135" s="4" t="e">
        <f t="shared" si="513"/>
        <v>#REF!</v>
      </c>
      <c r="CP135" s="4" t="e">
        <f t="shared" si="514"/>
        <v>#REF!</v>
      </c>
      <c r="CQ135" s="4" t="e">
        <f t="shared" si="515"/>
        <v>#REF!</v>
      </c>
      <c r="CR135" s="4" t="e">
        <f t="shared" si="503"/>
        <v>#REF!</v>
      </c>
      <c r="CS135" s="4" t="e">
        <f t="shared" si="516"/>
        <v>#REF!</v>
      </c>
      <c r="CT135" s="4" t="e">
        <f t="shared" si="517"/>
        <v>#REF!</v>
      </c>
      <c r="DB135" s="4">
        <f t="shared" si="518"/>
        <v>0</v>
      </c>
      <c r="DC135" s="4" t="e">
        <f t="shared" si="467"/>
        <v>#REF!</v>
      </c>
      <c r="DD135" s="4" t="e">
        <f>#REF!/E135</f>
        <v>#REF!</v>
      </c>
      <c r="DF135" s="4" t="e">
        <f t="shared" si="468"/>
        <v>#REF!</v>
      </c>
      <c r="DG135" s="4">
        <f t="shared" si="519"/>
        <v>2.3780879728772248</v>
      </c>
      <c r="DH135" s="4" t="e">
        <f t="shared" si="486"/>
        <v>#REF!</v>
      </c>
      <c r="DI135" s="4" t="e">
        <f t="shared" si="359"/>
        <v>#REF!</v>
      </c>
      <c r="DJ135" s="4" t="e">
        <f t="shared" si="360"/>
        <v>#REF!</v>
      </c>
      <c r="DK135" s="4" t="e">
        <f t="shared" si="487"/>
        <v>#REF!</v>
      </c>
      <c r="DL135" s="38" t="e">
        <f t="shared" si="469"/>
        <v>#REF!</v>
      </c>
      <c r="DM135" s="4" t="e">
        <f t="shared" si="361"/>
        <v>#REF!</v>
      </c>
      <c r="DN135" s="4">
        <f t="shared" si="488"/>
        <v>2.2360679774997898</v>
      </c>
      <c r="DO135" s="4" t="e">
        <f t="shared" si="363"/>
        <v>#REF!</v>
      </c>
      <c r="DS135" s="4">
        <f t="shared" si="470"/>
        <v>1</v>
      </c>
      <c r="DT135" s="4">
        <f t="shared" si="471"/>
        <v>1</v>
      </c>
      <c r="DU135" s="4">
        <f t="shared" si="472"/>
        <v>1</v>
      </c>
      <c r="DV135" s="4">
        <f t="shared" si="504"/>
        <v>1</v>
      </c>
      <c r="DX135" s="4" t="e">
        <f t="shared" si="473"/>
        <v>#REF!</v>
      </c>
      <c r="DY135" s="25" t="e">
        <f t="shared" si="505"/>
        <v>#REF!</v>
      </c>
      <c r="EB135" s="4">
        <f t="shared" si="436"/>
        <v>2.3780879728772248</v>
      </c>
      <c r="EC135" s="4">
        <f t="shared" si="474"/>
        <v>2.3780879728772248</v>
      </c>
      <c r="EE135" s="4">
        <f t="shared" si="475"/>
        <v>63.951544156493995</v>
      </c>
      <c r="EF135" s="4">
        <f t="shared" si="520"/>
        <v>2.2360679774997898</v>
      </c>
      <c r="EG135" s="4" t="e">
        <f t="shared" si="476"/>
        <v>#REF!</v>
      </c>
      <c r="EJ135" s="4" t="e">
        <f t="shared" si="506"/>
        <v>#REF!</v>
      </c>
      <c r="EK135" s="4" t="e">
        <f t="shared" si="477"/>
        <v>#REF!</v>
      </c>
      <c r="EL135" s="4" t="e">
        <f t="shared" si="521"/>
        <v>#REF!</v>
      </c>
      <c r="EM135" s="4" t="e">
        <f t="shared" si="507"/>
        <v>#REF!</v>
      </c>
      <c r="EN135" s="4" t="e">
        <f t="shared" si="522"/>
        <v>#REF!</v>
      </c>
      <c r="EO135" s="4" t="e">
        <f t="shared" si="523"/>
        <v>#REF!</v>
      </c>
      <c r="EP135" s="4" t="e">
        <f t="shared" si="478"/>
        <v>#REF!</v>
      </c>
      <c r="EQ135" s="4" t="e">
        <f t="shared" si="508"/>
        <v>#REF!</v>
      </c>
      <c r="ER135" s="4" t="e">
        <f t="shared" si="479"/>
        <v>#REF!</v>
      </c>
      <c r="ES135" s="4" t="e">
        <f t="shared" si="524"/>
        <v>#REF!</v>
      </c>
      <c r="ET135" s="4" t="e">
        <f t="shared" si="525"/>
        <v>#REF!</v>
      </c>
      <c r="EV135" s="4" t="e">
        <f t="shared" si="489"/>
        <v>#REF!</v>
      </c>
      <c r="FA135" s="23" t="e">
        <f t="shared" si="490"/>
        <v>#REF!</v>
      </c>
      <c r="FB135" s="23" t="e">
        <f t="shared" si="491"/>
        <v>#REF!</v>
      </c>
      <c r="FC135" s="23" t="e">
        <f t="shared" si="527"/>
        <v>#REF!</v>
      </c>
      <c r="FD135" s="23" t="e">
        <f t="shared" si="492"/>
        <v>#REF!</v>
      </c>
      <c r="FE135" s="23" t="e">
        <f t="shared" si="493"/>
        <v>#REF!</v>
      </c>
      <c r="FF135" s="23" t="e">
        <f t="shared" si="494"/>
        <v>#REF!</v>
      </c>
      <c r="FG135" s="23" t="e">
        <f t="shared" si="282"/>
        <v>#REF!</v>
      </c>
      <c r="FH135" s="23"/>
      <c r="FR135" s="4">
        <f t="shared" si="351"/>
        <v>1.25</v>
      </c>
      <c r="FS135" s="4">
        <f t="shared" si="352"/>
        <v>1</v>
      </c>
      <c r="FT135" s="4">
        <f t="shared" si="353"/>
        <v>0</v>
      </c>
      <c r="FU135" s="4" t="e">
        <f t="shared" si="354"/>
        <v>#REF!</v>
      </c>
    </row>
    <row r="136" spans="2:177" ht="12" customHeight="1" x14ac:dyDescent="0.3">
      <c r="B136" s="24"/>
      <c r="C136" s="7" t="s">
        <v>137</v>
      </c>
      <c r="D136" s="7">
        <v>710</v>
      </c>
      <c r="E136" s="7" t="e">
        <f>G136*#REF!</f>
        <v>#REF!</v>
      </c>
      <c r="F136" s="7">
        <v>20.3</v>
      </c>
      <c r="G136" s="7">
        <v>28.6</v>
      </c>
      <c r="H136" s="7">
        <v>261</v>
      </c>
      <c r="I136" s="7">
        <f t="shared" si="528"/>
        <v>28.6</v>
      </c>
      <c r="J136" s="7"/>
      <c r="K136" s="7">
        <f t="shared" si="526"/>
        <v>28.6</v>
      </c>
      <c r="L136" s="7">
        <v>2</v>
      </c>
      <c r="M136" s="7">
        <f t="shared" si="495"/>
        <v>58.2</v>
      </c>
      <c r="N136" s="7">
        <f t="shared" si="510"/>
        <v>1</v>
      </c>
      <c r="O136" s="7">
        <f t="shared" si="496"/>
        <v>1.5000000000000002</v>
      </c>
      <c r="P136" s="7">
        <f t="shared" si="509"/>
        <v>4</v>
      </c>
      <c r="Q136" s="7">
        <f t="shared" si="511"/>
        <v>4</v>
      </c>
      <c r="R136" s="7">
        <v>5</v>
      </c>
      <c r="S136" s="7">
        <f t="shared" si="447"/>
        <v>63.951544156493995</v>
      </c>
      <c r="T136" s="7"/>
      <c r="U136" s="7"/>
      <c r="V136" s="7">
        <v>282</v>
      </c>
      <c r="W136" s="7"/>
      <c r="X136" s="7" t="e">
        <f t="shared" si="482"/>
        <v>#REF!</v>
      </c>
      <c r="Y136" s="7"/>
      <c r="Z136" s="7"/>
      <c r="AA136" s="7">
        <v>1</v>
      </c>
      <c r="AB136" s="7"/>
      <c r="AC136" s="7"/>
      <c r="AD136" s="7"/>
      <c r="AE136" s="4" t="e">
        <f t="shared" si="483"/>
        <v>#REF!</v>
      </c>
      <c r="AF136" s="46" t="e">
        <f t="shared" si="497"/>
        <v>#REF!</v>
      </c>
      <c r="AG136" s="25" t="e">
        <f t="shared" si="448"/>
        <v>#REF!</v>
      </c>
      <c r="AH136" s="4" t="e">
        <f t="shared" si="449"/>
        <v>#REF!</v>
      </c>
      <c r="AI136" s="4">
        <v>1.25</v>
      </c>
      <c r="AJ136" s="25">
        <f t="shared" si="438"/>
        <v>5</v>
      </c>
      <c r="AK136" s="38" t="e">
        <f t="shared" si="480"/>
        <v>#REF!</v>
      </c>
      <c r="AL136" s="38" t="e">
        <f t="shared" si="356"/>
        <v>#REF!</v>
      </c>
      <c r="AN136" s="38" t="e">
        <f t="shared" si="498"/>
        <v>#REF!</v>
      </c>
      <c r="AO136" s="38" t="e">
        <f t="shared" si="316"/>
        <v>#REF!</v>
      </c>
      <c r="AP136" s="38" t="e">
        <f t="shared" si="357"/>
        <v>#REF!</v>
      </c>
      <c r="AQ136" s="4" t="e">
        <f t="shared" si="443"/>
        <v>#REF!</v>
      </c>
      <c r="AR136" s="4" t="e">
        <f>#REF!/G136*F136^0.5/0.19</f>
        <v>#REF!</v>
      </c>
      <c r="AS136" s="4">
        <f t="shared" si="450"/>
        <v>1.2000000000000002</v>
      </c>
      <c r="AT136" s="38">
        <f t="shared" si="451"/>
        <v>97.44</v>
      </c>
      <c r="AU136" s="4">
        <f t="shared" si="452"/>
        <v>0.44000000000000006</v>
      </c>
      <c r="AV136" s="4" t="e">
        <f>AU136*D136*#REF!/(D136*G136/2.75/F136^0.5)</f>
        <v>#REF!</v>
      </c>
      <c r="AW136" s="4" t="e">
        <f t="shared" si="499"/>
        <v>#REF!</v>
      </c>
      <c r="AY136" s="36">
        <f t="shared" si="428"/>
        <v>1</v>
      </c>
      <c r="AZ136" s="36" t="e">
        <f>(1.6*#REF!+22)*AY136*F136^0.5</f>
        <v>#REF!</v>
      </c>
      <c r="BE136" s="4">
        <f t="shared" si="453"/>
        <v>20.700000000000003</v>
      </c>
      <c r="BF136" s="4">
        <f t="shared" si="454"/>
        <v>20.700000000000003</v>
      </c>
      <c r="BG136" s="4">
        <f t="shared" si="455"/>
        <v>58.2</v>
      </c>
      <c r="BH136" s="4">
        <f t="shared" si="456"/>
        <v>35</v>
      </c>
      <c r="BI136" s="4">
        <f t="shared" si="512"/>
        <v>1.181159420289855</v>
      </c>
      <c r="BJ136" s="25">
        <f t="shared" si="457"/>
        <v>1.4454748150400323</v>
      </c>
      <c r="BL136" s="4">
        <f t="shared" si="458"/>
        <v>14.3</v>
      </c>
      <c r="BP136" s="9"/>
      <c r="BR136" s="9"/>
      <c r="BS136" s="9"/>
      <c r="BT136" s="9">
        <f t="shared" si="459"/>
        <v>14.3</v>
      </c>
      <c r="BU136" s="9">
        <f t="shared" si="460"/>
        <v>28.6</v>
      </c>
      <c r="BV136" s="9">
        <f t="shared" si="461"/>
        <v>0.78458409789675088</v>
      </c>
      <c r="BW136" s="9">
        <v>0</v>
      </c>
      <c r="BX136" s="9">
        <f t="shared" si="462"/>
        <v>0</v>
      </c>
      <c r="BY136" s="9">
        <f t="shared" si="500"/>
        <v>0</v>
      </c>
      <c r="BZ136" s="9">
        <f t="shared" si="463"/>
        <v>0.96044432035915817</v>
      </c>
      <c r="CA136" s="9">
        <f t="shared" si="464"/>
        <v>0.74299999999999999</v>
      </c>
      <c r="CB136" s="9">
        <f t="shared" si="465"/>
        <v>1.1253226745730049</v>
      </c>
      <c r="CC136" s="9">
        <f t="shared" si="466"/>
        <v>0.88291027547262002</v>
      </c>
      <c r="CD136" s="9">
        <v>1</v>
      </c>
      <c r="CE136" s="9" t="e">
        <f>4*CC136*#REF!+60*CC136</f>
        <v>#REF!</v>
      </c>
      <c r="CG136" s="4" t="e">
        <f t="shared" si="501"/>
        <v>#REF!</v>
      </c>
      <c r="CH136" s="4" t="e">
        <f t="shared" si="502"/>
        <v>#REF!</v>
      </c>
      <c r="CI136" s="4" t="e">
        <f t="shared" si="267"/>
        <v>#REF!</v>
      </c>
      <c r="CJ136" s="4" t="e">
        <f t="shared" si="484"/>
        <v>#REF!</v>
      </c>
      <c r="CK136" s="4" t="e">
        <f t="shared" si="269"/>
        <v>#REF!</v>
      </c>
      <c r="CL136" s="4" t="e">
        <f t="shared" si="270"/>
        <v>#REF!</v>
      </c>
      <c r="CM136" s="4" t="e">
        <f t="shared" si="481"/>
        <v>#REF!</v>
      </c>
      <c r="CO136" s="4" t="e">
        <f t="shared" si="513"/>
        <v>#REF!</v>
      </c>
      <c r="CP136" s="4" t="e">
        <f t="shared" si="514"/>
        <v>#REF!</v>
      </c>
      <c r="CQ136" s="4" t="e">
        <f t="shared" si="515"/>
        <v>#REF!</v>
      </c>
      <c r="CR136" s="4" t="e">
        <f t="shared" si="503"/>
        <v>#REF!</v>
      </c>
      <c r="CS136" s="4" t="e">
        <f t="shared" si="516"/>
        <v>#REF!</v>
      </c>
      <c r="CT136" s="4" t="e">
        <f t="shared" si="517"/>
        <v>#REF!</v>
      </c>
      <c r="DB136" s="4">
        <f t="shared" si="518"/>
        <v>0</v>
      </c>
      <c r="DC136" s="4" t="e">
        <f t="shared" si="467"/>
        <v>#REF!</v>
      </c>
      <c r="DD136" s="4" t="e">
        <f>#REF!/E136</f>
        <v>#REF!</v>
      </c>
      <c r="DF136" s="4" t="e">
        <f t="shared" si="468"/>
        <v>#REF!</v>
      </c>
      <c r="DG136" s="4">
        <f t="shared" si="519"/>
        <v>2.3780879728772248</v>
      </c>
      <c r="DH136" s="4" t="e">
        <f t="shared" si="486"/>
        <v>#REF!</v>
      </c>
      <c r="DI136" s="4" t="e">
        <f t="shared" si="359"/>
        <v>#REF!</v>
      </c>
      <c r="DJ136" s="4" t="e">
        <f t="shared" si="360"/>
        <v>#REF!</v>
      </c>
      <c r="DK136" s="4" t="e">
        <f t="shared" si="487"/>
        <v>#REF!</v>
      </c>
      <c r="DL136" s="38" t="e">
        <f t="shared" si="469"/>
        <v>#REF!</v>
      </c>
      <c r="DM136" s="4" t="e">
        <f t="shared" si="361"/>
        <v>#REF!</v>
      </c>
      <c r="DN136" s="4">
        <f t="shared" si="488"/>
        <v>2.2360679774997898</v>
      </c>
      <c r="DO136" s="4" t="e">
        <f t="shared" si="363"/>
        <v>#REF!</v>
      </c>
      <c r="DS136" s="4">
        <f t="shared" si="470"/>
        <v>1</v>
      </c>
      <c r="DT136" s="4">
        <f t="shared" si="471"/>
        <v>1</v>
      </c>
      <c r="DU136" s="4">
        <f t="shared" si="472"/>
        <v>1</v>
      </c>
      <c r="DV136" s="4">
        <f t="shared" si="504"/>
        <v>1</v>
      </c>
      <c r="DX136" s="4" t="e">
        <f t="shared" si="473"/>
        <v>#REF!</v>
      </c>
      <c r="DY136" s="25" t="e">
        <f t="shared" si="505"/>
        <v>#REF!</v>
      </c>
      <c r="EB136" s="4">
        <f t="shared" si="436"/>
        <v>2.3780879728772248</v>
      </c>
      <c r="EC136" s="4">
        <f t="shared" si="474"/>
        <v>2.3780879728772248</v>
      </c>
      <c r="EE136" s="4">
        <f t="shared" si="475"/>
        <v>63.951544156493995</v>
      </c>
      <c r="EF136" s="4">
        <f t="shared" si="520"/>
        <v>2.2360679774997898</v>
      </c>
      <c r="EG136" s="4" t="e">
        <f t="shared" si="476"/>
        <v>#REF!</v>
      </c>
      <c r="EJ136" s="4" t="e">
        <f t="shared" si="506"/>
        <v>#REF!</v>
      </c>
      <c r="EK136" s="4" t="e">
        <f t="shared" si="477"/>
        <v>#REF!</v>
      </c>
      <c r="EL136" s="4" t="e">
        <f t="shared" si="521"/>
        <v>#REF!</v>
      </c>
      <c r="EM136" s="4" t="e">
        <f t="shared" si="507"/>
        <v>#REF!</v>
      </c>
      <c r="EN136" s="4" t="e">
        <f t="shared" si="522"/>
        <v>#REF!</v>
      </c>
      <c r="EO136" s="4" t="e">
        <f t="shared" si="523"/>
        <v>#REF!</v>
      </c>
      <c r="EP136" s="4" t="e">
        <f t="shared" si="478"/>
        <v>#REF!</v>
      </c>
      <c r="EQ136" s="4" t="e">
        <f t="shared" si="508"/>
        <v>#REF!</v>
      </c>
      <c r="ER136" s="4" t="e">
        <f t="shared" si="479"/>
        <v>#REF!</v>
      </c>
      <c r="ES136" s="4" t="e">
        <f t="shared" si="524"/>
        <v>#REF!</v>
      </c>
      <c r="ET136" s="4" t="e">
        <f t="shared" si="525"/>
        <v>#REF!</v>
      </c>
      <c r="EV136" s="4" t="e">
        <f t="shared" si="489"/>
        <v>#REF!</v>
      </c>
      <c r="FA136" s="23" t="e">
        <f t="shared" si="490"/>
        <v>#REF!</v>
      </c>
      <c r="FB136" s="23" t="e">
        <f t="shared" si="491"/>
        <v>#REF!</v>
      </c>
      <c r="FC136" s="23" t="e">
        <f t="shared" si="527"/>
        <v>#REF!</v>
      </c>
      <c r="FD136" s="23" t="e">
        <f t="shared" si="492"/>
        <v>#REF!</v>
      </c>
      <c r="FE136" s="23" t="e">
        <f t="shared" si="493"/>
        <v>#REF!</v>
      </c>
      <c r="FF136" s="23" t="e">
        <f t="shared" si="494"/>
        <v>#REF!</v>
      </c>
      <c r="FG136" s="23" t="e">
        <f t="shared" si="282"/>
        <v>#REF!</v>
      </c>
      <c r="FH136" s="23"/>
      <c r="FR136" s="4">
        <f t="shared" si="351"/>
        <v>1.25</v>
      </c>
      <c r="FS136" s="4">
        <f t="shared" si="352"/>
        <v>1</v>
      </c>
      <c r="FT136" s="4">
        <f t="shared" si="353"/>
        <v>0</v>
      </c>
      <c r="FU136" s="4" t="e">
        <f t="shared" si="354"/>
        <v>#REF!</v>
      </c>
    </row>
    <row r="137" spans="2:177" ht="12" customHeight="1" x14ac:dyDescent="0.3">
      <c r="B137" s="24"/>
      <c r="C137" s="7" t="s">
        <v>144</v>
      </c>
      <c r="D137" s="7">
        <v>710</v>
      </c>
      <c r="E137" s="7" t="e">
        <f>G137*#REF!</f>
        <v>#REF!</v>
      </c>
      <c r="F137" s="7">
        <v>62.9</v>
      </c>
      <c r="G137" s="7">
        <v>28.6</v>
      </c>
      <c r="H137" s="7">
        <v>261</v>
      </c>
      <c r="I137" s="7">
        <f t="shared" si="528"/>
        <v>28.6</v>
      </c>
      <c r="J137" s="7"/>
      <c r="K137" s="7">
        <f t="shared" si="526"/>
        <v>28.6</v>
      </c>
      <c r="L137" s="7">
        <v>2</v>
      </c>
      <c r="M137" s="7">
        <f t="shared" si="495"/>
        <v>58.2</v>
      </c>
      <c r="N137" s="7">
        <f t="shared" si="510"/>
        <v>1</v>
      </c>
      <c r="O137" s="7">
        <f t="shared" si="496"/>
        <v>1.5000000000000002</v>
      </c>
      <c r="P137" s="7">
        <f t="shared" si="509"/>
        <v>4</v>
      </c>
      <c r="Q137" s="7">
        <f t="shared" si="511"/>
        <v>4</v>
      </c>
      <c r="R137" s="7">
        <v>5</v>
      </c>
      <c r="S137" s="7">
        <f t="shared" si="447"/>
        <v>63.951544156493995</v>
      </c>
      <c r="T137" s="7"/>
      <c r="U137" s="7"/>
      <c r="V137" s="7">
        <v>345</v>
      </c>
      <c r="W137" s="7"/>
      <c r="X137" s="7" t="e">
        <f t="shared" si="482"/>
        <v>#REF!</v>
      </c>
      <c r="Y137" s="7"/>
      <c r="Z137" s="7"/>
      <c r="AA137" s="7">
        <v>1</v>
      </c>
      <c r="AB137" s="7"/>
      <c r="AC137" s="7"/>
      <c r="AD137" s="7"/>
      <c r="AE137" s="4" t="e">
        <f t="shared" si="483"/>
        <v>#REF!</v>
      </c>
      <c r="AF137" s="46" t="e">
        <f t="shared" si="497"/>
        <v>#REF!</v>
      </c>
      <c r="AG137" s="25" t="e">
        <f t="shared" si="448"/>
        <v>#REF!</v>
      </c>
      <c r="AH137" s="4" t="e">
        <f t="shared" si="449"/>
        <v>#REF!</v>
      </c>
      <c r="AI137" s="4">
        <v>1.25</v>
      </c>
      <c r="AJ137" s="25">
        <f t="shared" si="438"/>
        <v>5</v>
      </c>
      <c r="AK137" s="38" t="e">
        <f t="shared" si="480"/>
        <v>#REF!</v>
      </c>
      <c r="AL137" s="38" t="e">
        <f t="shared" si="356"/>
        <v>#REF!</v>
      </c>
      <c r="AN137" s="38" t="e">
        <f t="shared" si="498"/>
        <v>#REF!</v>
      </c>
      <c r="AO137" s="38" t="e">
        <f t="shared" si="316"/>
        <v>#REF!</v>
      </c>
      <c r="AP137" s="38" t="e">
        <f t="shared" si="357"/>
        <v>#REF!</v>
      </c>
      <c r="AQ137" s="4" t="e">
        <f t="shared" si="443"/>
        <v>#REF!</v>
      </c>
      <c r="AR137" s="4" t="e">
        <f>#REF!/G137*F137^0.5/0.19</f>
        <v>#REF!</v>
      </c>
      <c r="AS137" s="4">
        <f t="shared" si="450"/>
        <v>1.2000000000000002</v>
      </c>
      <c r="AT137" s="38">
        <f t="shared" si="451"/>
        <v>301.92</v>
      </c>
      <c r="AU137" s="4">
        <f t="shared" si="452"/>
        <v>0.44000000000000006</v>
      </c>
      <c r="AV137" s="4" t="e">
        <f>AU137*D137*#REF!/(D137*G137/2.75/F137^0.5)</f>
        <v>#REF!</v>
      </c>
      <c r="AW137" s="4" t="e">
        <f t="shared" si="499"/>
        <v>#REF!</v>
      </c>
      <c r="AY137" s="36">
        <f t="shared" ref="AY137:AY153" si="529">MAX(1, (0.9+0.1*MIN(2,I137/G137,K137/G137))*(0.9+0.1*MIN(3.5,I137/K137))+0.45*MIN(2.5,(40*2*PI()*Y137^2/4/AA137/L137)/G137))</f>
        <v>1</v>
      </c>
      <c r="AZ137" s="36" t="e">
        <f>(1.6*#REF!+22)*AY137*F137^0.5</f>
        <v>#REF!</v>
      </c>
      <c r="BE137" s="4">
        <f t="shared" si="453"/>
        <v>20.700000000000003</v>
      </c>
      <c r="BF137" s="4">
        <f t="shared" si="454"/>
        <v>20.700000000000003</v>
      </c>
      <c r="BG137" s="4">
        <f t="shared" si="455"/>
        <v>58.2</v>
      </c>
      <c r="BH137" s="4">
        <f t="shared" si="456"/>
        <v>35</v>
      </c>
      <c r="BI137" s="4">
        <f t="shared" si="512"/>
        <v>1.181159420289855</v>
      </c>
      <c r="BJ137" s="25">
        <f t="shared" si="457"/>
        <v>1.4454748150400323</v>
      </c>
      <c r="BL137" s="4">
        <f t="shared" si="458"/>
        <v>14.3</v>
      </c>
      <c r="BP137" s="9"/>
      <c r="BR137" s="9"/>
      <c r="BS137" s="9"/>
      <c r="BT137" s="9">
        <f t="shared" si="459"/>
        <v>14.3</v>
      </c>
      <c r="BU137" s="9">
        <f t="shared" si="460"/>
        <v>28.6</v>
      </c>
      <c r="BV137" s="9">
        <f t="shared" si="461"/>
        <v>0.78458409789675088</v>
      </c>
      <c r="BW137" s="9">
        <v>0</v>
      </c>
      <c r="BX137" s="9">
        <f t="shared" si="462"/>
        <v>0</v>
      </c>
      <c r="BY137" s="9">
        <f t="shared" si="500"/>
        <v>0</v>
      </c>
      <c r="BZ137" s="9">
        <f t="shared" si="463"/>
        <v>0.96044432035915817</v>
      </c>
      <c r="CA137" s="9">
        <f t="shared" si="464"/>
        <v>0.74299999999999999</v>
      </c>
      <c r="CB137" s="9">
        <f t="shared" si="465"/>
        <v>1.9808626966691243</v>
      </c>
      <c r="CC137" s="9">
        <f t="shared" si="466"/>
        <v>1.5541533719234701</v>
      </c>
      <c r="CD137" s="9">
        <v>1</v>
      </c>
      <c r="CE137" s="9" t="e">
        <f>4*CC137*#REF!+60*CC137</f>
        <v>#REF!</v>
      </c>
      <c r="CG137" s="4" t="e">
        <f t="shared" si="501"/>
        <v>#REF!</v>
      </c>
      <c r="CH137" s="4" t="e">
        <f t="shared" si="502"/>
        <v>#REF!</v>
      </c>
      <c r="CI137" s="4" t="e">
        <f t="shared" si="267"/>
        <v>#REF!</v>
      </c>
      <c r="CJ137" s="4" t="e">
        <f t="shared" si="484"/>
        <v>#REF!</v>
      </c>
      <c r="CK137" s="4" t="e">
        <f t="shared" si="269"/>
        <v>#REF!</v>
      </c>
      <c r="CL137" s="4" t="e">
        <f t="shared" si="270"/>
        <v>#REF!</v>
      </c>
      <c r="CM137" s="4" t="e">
        <f t="shared" si="481"/>
        <v>#REF!</v>
      </c>
      <c r="CO137" s="4" t="e">
        <f t="shared" si="513"/>
        <v>#REF!</v>
      </c>
      <c r="CP137" s="4" t="e">
        <f t="shared" si="514"/>
        <v>#REF!</v>
      </c>
      <c r="CQ137" s="4" t="e">
        <f t="shared" si="515"/>
        <v>#REF!</v>
      </c>
      <c r="CR137" s="4" t="e">
        <f t="shared" si="503"/>
        <v>#REF!</v>
      </c>
      <c r="CS137" s="4" t="e">
        <f t="shared" si="516"/>
        <v>#REF!</v>
      </c>
      <c r="CT137" s="4" t="e">
        <f t="shared" si="517"/>
        <v>#REF!</v>
      </c>
      <c r="DB137" s="4">
        <f t="shared" si="518"/>
        <v>0</v>
      </c>
      <c r="DC137" s="4" t="e">
        <f t="shared" si="467"/>
        <v>#REF!</v>
      </c>
      <c r="DD137" s="4" t="e">
        <f>#REF!/E137</f>
        <v>#REF!</v>
      </c>
      <c r="DF137" s="4" t="e">
        <f t="shared" si="468"/>
        <v>#REF!</v>
      </c>
      <c r="DG137" s="4">
        <f t="shared" si="519"/>
        <v>4.1860577959627587</v>
      </c>
      <c r="DH137" s="4" t="e">
        <f t="shared" si="486"/>
        <v>#REF!</v>
      </c>
      <c r="DI137" s="4" t="e">
        <f t="shared" si="359"/>
        <v>#REF!</v>
      </c>
      <c r="DJ137" s="4" t="e">
        <f t="shared" si="360"/>
        <v>#REF!</v>
      </c>
      <c r="DK137" s="4" t="e">
        <f t="shared" si="487"/>
        <v>#REF!</v>
      </c>
      <c r="DL137" s="38" t="e">
        <f t="shared" si="469"/>
        <v>#REF!</v>
      </c>
      <c r="DM137" s="4" t="e">
        <f t="shared" si="361"/>
        <v>#REF!</v>
      </c>
      <c r="DN137" s="4">
        <f t="shared" si="488"/>
        <v>2.2360679774997898</v>
      </c>
      <c r="DO137" s="4" t="e">
        <f t="shared" si="363"/>
        <v>#REF!</v>
      </c>
      <c r="DS137" s="4">
        <f t="shared" si="470"/>
        <v>1</v>
      </c>
      <c r="DT137" s="4">
        <f t="shared" si="471"/>
        <v>1</v>
      </c>
      <c r="DU137" s="4">
        <f t="shared" si="472"/>
        <v>1</v>
      </c>
      <c r="DV137" s="4">
        <f t="shared" si="504"/>
        <v>1</v>
      </c>
      <c r="DX137" s="4" t="e">
        <f t="shared" si="473"/>
        <v>#REF!</v>
      </c>
      <c r="DY137" s="25" t="e">
        <f t="shared" si="505"/>
        <v>#REF!</v>
      </c>
      <c r="EB137" s="4">
        <f t="shared" si="436"/>
        <v>4.1860577959627587</v>
      </c>
      <c r="EC137" s="4">
        <f t="shared" si="474"/>
        <v>4.1860577959627587</v>
      </c>
      <c r="EE137" s="4">
        <f t="shared" si="475"/>
        <v>63.951544156493995</v>
      </c>
      <c r="EF137" s="4">
        <f t="shared" si="520"/>
        <v>2.2360679774997898</v>
      </c>
      <c r="EG137" s="4" t="e">
        <f t="shared" si="476"/>
        <v>#REF!</v>
      </c>
      <c r="EJ137" s="4" t="e">
        <f t="shared" si="506"/>
        <v>#REF!</v>
      </c>
      <c r="EK137" s="4" t="e">
        <f t="shared" si="477"/>
        <v>#REF!</v>
      </c>
      <c r="EL137" s="4" t="e">
        <f t="shared" si="521"/>
        <v>#REF!</v>
      </c>
      <c r="EM137" s="4" t="e">
        <f t="shared" si="507"/>
        <v>#REF!</v>
      </c>
      <c r="EN137" s="4" t="e">
        <f t="shared" si="522"/>
        <v>#REF!</v>
      </c>
      <c r="EO137" s="4" t="e">
        <f t="shared" si="523"/>
        <v>#REF!</v>
      </c>
      <c r="EP137" s="4" t="e">
        <f t="shared" si="478"/>
        <v>#REF!</v>
      </c>
      <c r="EQ137" s="4" t="e">
        <f t="shared" si="508"/>
        <v>#REF!</v>
      </c>
      <c r="ER137" s="4" t="e">
        <f t="shared" si="479"/>
        <v>#REF!</v>
      </c>
      <c r="ES137" s="4" t="e">
        <f t="shared" si="524"/>
        <v>#REF!</v>
      </c>
      <c r="ET137" s="4" t="e">
        <f t="shared" si="525"/>
        <v>#REF!</v>
      </c>
      <c r="EV137" s="4" t="e">
        <f t="shared" si="489"/>
        <v>#REF!</v>
      </c>
      <c r="FA137" s="23" t="e">
        <f t="shared" si="490"/>
        <v>#REF!</v>
      </c>
      <c r="FB137" s="23" t="e">
        <f t="shared" si="491"/>
        <v>#REF!</v>
      </c>
      <c r="FC137" s="23" t="e">
        <f t="shared" si="527"/>
        <v>#REF!</v>
      </c>
      <c r="FD137" s="23" t="e">
        <f t="shared" si="492"/>
        <v>#REF!</v>
      </c>
      <c r="FE137" s="23" t="e">
        <f t="shared" si="493"/>
        <v>#REF!</v>
      </c>
      <c r="FF137" s="23" t="e">
        <f t="shared" si="494"/>
        <v>#REF!</v>
      </c>
      <c r="FG137" s="23" t="e">
        <f t="shared" si="282"/>
        <v>#REF!</v>
      </c>
      <c r="FH137" s="23"/>
      <c r="FR137" s="4">
        <f t="shared" si="351"/>
        <v>1.25</v>
      </c>
      <c r="FS137" s="4">
        <f t="shared" si="352"/>
        <v>1</v>
      </c>
      <c r="FT137" s="4">
        <f t="shared" si="353"/>
        <v>0</v>
      </c>
      <c r="FU137" s="4" t="e">
        <f t="shared" si="354"/>
        <v>#REF!</v>
      </c>
    </row>
    <row r="138" spans="2:177" ht="12" customHeight="1" x14ac:dyDescent="0.3">
      <c r="B138" s="24"/>
      <c r="C138" s="7" t="s">
        <v>145</v>
      </c>
      <c r="D138" s="7">
        <v>710</v>
      </c>
      <c r="E138" s="7" t="e">
        <f>G138*#REF!</f>
        <v>#REF!</v>
      </c>
      <c r="F138" s="7">
        <v>62.9</v>
      </c>
      <c r="G138" s="7">
        <v>28.6</v>
      </c>
      <c r="H138" s="7">
        <v>261</v>
      </c>
      <c r="I138" s="7">
        <f t="shared" si="528"/>
        <v>28.6</v>
      </c>
      <c r="J138" s="7"/>
      <c r="K138" s="7">
        <f t="shared" si="526"/>
        <v>28.6</v>
      </c>
      <c r="L138" s="7">
        <v>2</v>
      </c>
      <c r="M138" s="7">
        <f t="shared" si="495"/>
        <v>58.2</v>
      </c>
      <c r="N138" s="7">
        <f t="shared" si="510"/>
        <v>1</v>
      </c>
      <c r="O138" s="7">
        <f t="shared" si="496"/>
        <v>1.5000000000000002</v>
      </c>
      <c r="P138" s="7">
        <f t="shared" si="509"/>
        <v>4</v>
      </c>
      <c r="Q138" s="7">
        <f t="shared" si="511"/>
        <v>4</v>
      </c>
      <c r="R138" s="7">
        <v>5</v>
      </c>
      <c r="S138" s="7">
        <f t="shared" si="447"/>
        <v>63.951544156493995</v>
      </c>
      <c r="T138" s="7"/>
      <c r="U138" s="7"/>
      <c r="V138" s="7">
        <v>432</v>
      </c>
      <c r="W138" s="7"/>
      <c r="X138" s="7" t="e">
        <f t="shared" si="482"/>
        <v>#REF!</v>
      </c>
      <c r="Y138" s="7"/>
      <c r="Z138" s="7"/>
      <c r="AA138" s="7">
        <v>1</v>
      </c>
      <c r="AB138" s="7"/>
      <c r="AC138" s="7"/>
      <c r="AD138" s="7"/>
      <c r="AE138" s="4" t="e">
        <f t="shared" si="483"/>
        <v>#REF!</v>
      </c>
      <c r="AF138" s="46" t="e">
        <f t="shared" si="497"/>
        <v>#REF!</v>
      </c>
      <c r="AG138" s="25" t="e">
        <f t="shared" si="448"/>
        <v>#REF!</v>
      </c>
      <c r="AH138" s="4" t="e">
        <f t="shared" si="449"/>
        <v>#REF!</v>
      </c>
      <c r="AI138" s="4">
        <v>1.25</v>
      </c>
      <c r="AJ138" s="25">
        <f t="shared" si="438"/>
        <v>5</v>
      </c>
      <c r="AK138" s="38" t="e">
        <f t="shared" si="480"/>
        <v>#REF!</v>
      </c>
      <c r="AL138" s="38" t="e">
        <f t="shared" si="356"/>
        <v>#REF!</v>
      </c>
      <c r="AN138" s="38" t="e">
        <f t="shared" si="498"/>
        <v>#REF!</v>
      </c>
      <c r="AO138" s="38" t="e">
        <f t="shared" si="316"/>
        <v>#REF!</v>
      </c>
      <c r="AP138" s="38" t="e">
        <f t="shared" si="357"/>
        <v>#REF!</v>
      </c>
      <c r="AQ138" s="4" t="e">
        <f t="shared" si="443"/>
        <v>#REF!</v>
      </c>
      <c r="AR138" s="4" t="e">
        <f>#REF!/G138*F138^0.5/0.19</f>
        <v>#REF!</v>
      </c>
      <c r="AS138" s="4">
        <f t="shared" si="450"/>
        <v>1.2000000000000002</v>
      </c>
      <c r="AT138" s="38">
        <f t="shared" si="451"/>
        <v>301.92</v>
      </c>
      <c r="AU138" s="4">
        <f t="shared" si="452"/>
        <v>0.44000000000000006</v>
      </c>
      <c r="AV138" s="4" t="e">
        <f>AU138*D138*#REF!/(D138*G138/2.75/F138^0.5)</f>
        <v>#REF!</v>
      </c>
      <c r="AW138" s="4" t="e">
        <f t="shared" si="499"/>
        <v>#REF!</v>
      </c>
      <c r="AY138" s="36">
        <f t="shared" si="529"/>
        <v>1</v>
      </c>
      <c r="AZ138" s="36" t="e">
        <f>(1.6*#REF!+22)*AY138*F138^0.5</f>
        <v>#REF!</v>
      </c>
      <c r="BE138" s="4">
        <f t="shared" si="453"/>
        <v>20.700000000000003</v>
      </c>
      <c r="BF138" s="4">
        <f t="shared" si="454"/>
        <v>20.700000000000003</v>
      </c>
      <c r="BG138" s="4">
        <f t="shared" si="455"/>
        <v>58.2</v>
      </c>
      <c r="BH138" s="4">
        <f t="shared" si="456"/>
        <v>35</v>
      </c>
      <c r="BI138" s="4">
        <f t="shared" si="512"/>
        <v>1.181159420289855</v>
      </c>
      <c r="BJ138" s="25">
        <f t="shared" si="457"/>
        <v>1.4454748150400323</v>
      </c>
      <c r="BL138" s="4">
        <f t="shared" si="458"/>
        <v>14.3</v>
      </c>
      <c r="BP138" s="9"/>
      <c r="BR138" s="9"/>
      <c r="BS138" s="9"/>
      <c r="BT138" s="9">
        <f t="shared" si="459"/>
        <v>14.3</v>
      </c>
      <c r="BU138" s="9">
        <f t="shared" si="460"/>
        <v>28.6</v>
      </c>
      <c r="BV138" s="9">
        <f t="shared" si="461"/>
        <v>0.78458409789675088</v>
      </c>
      <c r="BW138" s="9">
        <v>0</v>
      </c>
      <c r="BX138" s="9">
        <f t="shared" si="462"/>
        <v>0</v>
      </c>
      <c r="BY138" s="9">
        <f t="shared" si="500"/>
        <v>0</v>
      </c>
      <c r="BZ138" s="9">
        <f t="shared" si="463"/>
        <v>0.96044432035915817</v>
      </c>
      <c r="CA138" s="9">
        <f t="shared" si="464"/>
        <v>0.74299999999999999</v>
      </c>
      <c r="CB138" s="9">
        <f t="shared" si="465"/>
        <v>1.9808626966691243</v>
      </c>
      <c r="CC138" s="9">
        <f t="shared" si="466"/>
        <v>1.5541533719234701</v>
      </c>
      <c r="CD138" s="9">
        <v>1</v>
      </c>
      <c r="CE138" s="9" t="e">
        <f>4*CC138*#REF!+60*CC138</f>
        <v>#REF!</v>
      </c>
      <c r="CG138" s="4" t="e">
        <f t="shared" si="501"/>
        <v>#REF!</v>
      </c>
      <c r="CH138" s="4" t="e">
        <f t="shared" si="502"/>
        <v>#REF!</v>
      </c>
      <c r="CI138" s="4" t="e">
        <f t="shared" si="267"/>
        <v>#REF!</v>
      </c>
      <c r="CJ138" s="4" t="e">
        <f t="shared" si="484"/>
        <v>#REF!</v>
      </c>
      <c r="CK138" s="4" t="e">
        <f t="shared" si="269"/>
        <v>#REF!</v>
      </c>
      <c r="CL138" s="4" t="e">
        <f t="shared" si="270"/>
        <v>#REF!</v>
      </c>
      <c r="CM138" s="4" t="e">
        <f t="shared" si="481"/>
        <v>#REF!</v>
      </c>
      <c r="CO138" s="4" t="e">
        <f t="shared" si="513"/>
        <v>#REF!</v>
      </c>
      <c r="CP138" s="4" t="e">
        <f t="shared" si="514"/>
        <v>#REF!</v>
      </c>
      <c r="CQ138" s="4" t="e">
        <f t="shared" si="515"/>
        <v>#REF!</v>
      </c>
      <c r="CR138" s="4" t="e">
        <f t="shared" si="503"/>
        <v>#REF!</v>
      </c>
      <c r="CS138" s="4" t="e">
        <f t="shared" si="516"/>
        <v>#REF!</v>
      </c>
      <c r="CT138" s="4" t="e">
        <f t="shared" si="517"/>
        <v>#REF!</v>
      </c>
      <c r="DB138" s="4">
        <f t="shared" si="518"/>
        <v>0</v>
      </c>
      <c r="DC138" s="4" t="e">
        <f t="shared" si="467"/>
        <v>#REF!</v>
      </c>
      <c r="DD138" s="4" t="e">
        <f>#REF!/E138</f>
        <v>#REF!</v>
      </c>
      <c r="DF138" s="4" t="e">
        <f t="shared" si="468"/>
        <v>#REF!</v>
      </c>
      <c r="DG138" s="4">
        <f t="shared" si="519"/>
        <v>4.1860577959627587</v>
      </c>
      <c r="DH138" s="4" t="e">
        <f t="shared" si="486"/>
        <v>#REF!</v>
      </c>
      <c r="DI138" s="4" t="e">
        <f t="shared" si="359"/>
        <v>#REF!</v>
      </c>
      <c r="DJ138" s="4" t="e">
        <f t="shared" si="360"/>
        <v>#REF!</v>
      </c>
      <c r="DK138" s="4" t="e">
        <f t="shared" si="487"/>
        <v>#REF!</v>
      </c>
      <c r="DL138" s="38" t="e">
        <f t="shared" si="469"/>
        <v>#REF!</v>
      </c>
      <c r="DM138" s="4" t="e">
        <f t="shared" si="361"/>
        <v>#REF!</v>
      </c>
      <c r="DN138" s="4">
        <f t="shared" si="488"/>
        <v>2.2360679774997898</v>
      </c>
      <c r="DO138" s="4" t="e">
        <f t="shared" si="363"/>
        <v>#REF!</v>
      </c>
      <c r="DS138" s="4">
        <f t="shared" si="470"/>
        <v>1</v>
      </c>
      <c r="DT138" s="4">
        <f t="shared" si="471"/>
        <v>1</v>
      </c>
      <c r="DU138" s="4">
        <f t="shared" si="472"/>
        <v>1</v>
      </c>
      <c r="DV138" s="4">
        <f t="shared" si="504"/>
        <v>1</v>
      </c>
      <c r="DX138" s="4" t="e">
        <f t="shared" si="473"/>
        <v>#REF!</v>
      </c>
      <c r="DY138" s="25" t="e">
        <f t="shared" si="505"/>
        <v>#REF!</v>
      </c>
      <c r="EB138" s="4">
        <f t="shared" si="436"/>
        <v>4.1860577959627587</v>
      </c>
      <c r="EC138" s="4">
        <f t="shared" si="474"/>
        <v>4.1860577959627587</v>
      </c>
      <c r="EE138" s="4">
        <f t="shared" si="475"/>
        <v>63.951544156493995</v>
      </c>
      <c r="EF138" s="4">
        <f t="shared" si="520"/>
        <v>2.2360679774997898</v>
      </c>
      <c r="EG138" s="4" t="e">
        <f t="shared" si="476"/>
        <v>#REF!</v>
      </c>
      <c r="EJ138" s="4" t="e">
        <f t="shared" si="506"/>
        <v>#REF!</v>
      </c>
      <c r="EK138" s="4" t="e">
        <f t="shared" si="477"/>
        <v>#REF!</v>
      </c>
      <c r="EL138" s="4" t="e">
        <f t="shared" si="521"/>
        <v>#REF!</v>
      </c>
      <c r="EM138" s="4" t="e">
        <f t="shared" si="507"/>
        <v>#REF!</v>
      </c>
      <c r="EN138" s="4" t="e">
        <f t="shared" si="522"/>
        <v>#REF!</v>
      </c>
      <c r="EO138" s="4" t="e">
        <f t="shared" si="523"/>
        <v>#REF!</v>
      </c>
      <c r="EP138" s="4" t="e">
        <f t="shared" si="478"/>
        <v>#REF!</v>
      </c>
      <c r="EQ138" s="4" t="e">
        <f t="shared" si="508"/>
        <v>#REF!</v>
      </c>
      <c r="ER138" s="4" t="e">
        <f t="shared" si="479"/>
        <v>#REF!</v>
      </c>
      <c r="ES138" s="4" t="e">
        <f t="shared" si="524"/>
        <v>#REF!</v>
      </c>
      <c r="ET138" s="4" t="e">
        <f t="shared" si="525"/>
        <v>#REF!</v>
      </c>
      <c r="EV138" s="4" t="e">
        <f t="shared" si="489"/>
        <v>#REF!</v>
      </c>
      <c r="FA138" s="23" t="e">
        <f t="shared" si="490"/>
        <v>#REF!</v>
      </c>
      <c r="FB138" s="23" t="e">
        <f t="shared" si="491"/>
        <v>#REF!</v>
      </c>
      <c r="FC138" s="23" t="e">
        <f t="shared" si="527"/>
        <v>#REF!</v>
      </c>
      <c r="FD138" s="23" t="e">
        <f t="shared" si="492"/>
        <v>#REF!</v>
      </c>
      <c r="FE138" s="23" t="e">
        <f t="shared" si="493"/>
        <v>#REF!</v>
      </c>
      <c r="FF138" s="23" t="e">
        <f t="shared" si="494"/>
        <v>#REF!</v>
      </c>
      <c r="FG138" s="23" t="e">
        <f t="shared" si="282"/>
        <v>#REF!</v>
      </c>
      <c r="FH138" s="23"/>
      <c r="FR138" s="4">
        <f t="shared" si="351"/>
        <v>1.25</v>
      </c>
      <c r="FS138" s="4">
        <f t="shared" si="352"/>
        <v>1</v>
      </c>
      <c r="FT138" s="4">
        <f t="shared" si="353"/>
        <v>0</v>
      </c>
      <c r="FU138" s="4" t="e">
        <f t="shared" si="354"/>
        <v>#REF!</v>
      </c>
    </row>
    <row r="139" spans="2:177" ht="12" customHeight="1" x14ac:dyDescent="0.3">
      <c r="B139" s="24"/>
      <c r="C139" s="7" t="s">
        <v>146</v>
      </c>
      <c r="D139" s="7">
        <v>710</v>
      </c>
      <c r="E139" s="7" t="e">
        <f>G139*#REF!</f>
        <v>#REF!</v>
      </c>
      <c r="F139" s="7">
        <v>62.9</v>
      </c>
      <c r="G139" s="7">
        <v>28.6</v>
      </c>
      <c r="H139" s="7">
        <v>261</v>
      </c>
      <c r="I139" s="7">
        <f t="shared" si="528"/>
        <v>28.6</v>
      </c>
      <c r="J139" s="7"/>
      <c r="K139" s="7">
        <f t="shared" si="526"/>
        <v>28.6</v>
      </c>
      <c r="L139" s="7">
        <v>2</v>
      </c>
      <c r="M139" s="7">
        <f t="shared" si="495"/>
        <v>58.2</v>
      </c>
      <c r="N139" s="7">
        <f t="shared" si="510"/>
        <v>1</v>
      </c>
      <c r="O139" s="7">
        <f t="shared" si="496"/>
        <v>1.5000000000000002</v>
      </c>
      <c r="P139" s="7">
        <f t="shared" si="509"/>
        <v>4</v>
      </c>
      <c r="Q139" s="7">
        <f t="shared" si="511"/>
        <v>4</v>
      </c>
      <c r="R139" s="7">
        <v>5</v>
      </c>
      <c r="S139" s="7">
        <f t="shared" si="447"/>
        <v>63.951544156493995</v>
      </c>
      <c r="T139" s="7"/>
      <c r="U139" s="7"/>
      <c r="V139" s="7">
        <v>464</v>
      </c>
      <c r="W139" s="7"/>
      <c r="X139" s="7" t="e">
        <f t="shared" si="482"/>
        <v>#REF!</v>
      </c>
      <c r="Y139" s="7"/>
      <c r="Z139" s="7"/>
      <c r="AA139" s="7">
        <v>1</v>
      </c>
      <c r="AB139" s="7"/>
      <c r="AC139" s="7"/>
      <c r="AD139" s="7"/>
      <c r="AE139" s="4" t="e">
        <f t="shared" si="483"/>
        <v>#REF!</v>
      </c>
      <c r="AF139" s="46" t="e">
        <f t="shared" si="497"/>
        <v>#REF!</v>
      </c>
      <c r="AG139" s="25" t="e">
        <f t="shared" si="448"/>
        <v>#REF!</v>
      </c>
      <c r="AH139" s="4" t="e">
        <f t="shared" si="449"/>
        <v>#REF!</v>
      </c>
      <c r="AI139" s="4">
        <v>1.25</v>
      </c>
      <c r="AJ139" s="25">
        <f t="shared" si="438"/>
        <v>5</v>
      </c>
      <c r="AK139" s="38" t="e">
        <f t="shared" si="480"/>
        <v>#REF!</v>
      </c>
      <c r="AL139" s="38" t="e">
        <f t="shared" si="356"/>
        <v>#REF!</v>
      </c>
      <c r="AN139" s="38" t="e">
        <f t="shared" si="498"/>
        <v>#REF!</v>
      </c>
      <c r="AO139" s="38" t="e">
        <f t="shared" si="316"/>
        <v>#REF!</v>
      </c>
      <c r="AP139" s="38" t="e">
        <f t="shared" si="357"/>
        <v>#REF!</v>
      </c>
      <c r="AQ139" s="4" t="e">
        <f t="shared" si="443"/>
        <v>#REF!</v>
      </c>
      <c r="AR139" s="4" t="e">
        <f>#REF!/G139*F139^0.5/0.19</f>
        <v>#REF!</v>
      </c>
      <c r="AS139" s="4">
        <f t="shared" si="450"/>
        <v>1.2000000000000002</v>
      </c>
      <c r="AT139" s="38">
        <f t="shared" si="451"/>
        <v>301.92</v>
      </c>
      <c r="AU139" s="4">
        <f t="shared" si="452"/>
        <v>0.44000000000000006</v>
      </c>
      <c r="AV139" s="4" t="e">
        <f>AU139*D139*#REF!/(D139*G139/2.75/F139^0.5)</f>
        <v>#REF!</v>
      </c>
      <c r="AW139" s="4" t="e">
        <f t="shared" si="499"/>
        <v>#REF!</v>
      </c>
      <c r="AY139" s="36">
        <f t="shared" si="529"/>
        <v>1</v>
      </c>
      <c r="AZ139" s="36" t="e">
        <f>(1.6*#REF!+22)*AY139*F139^0.5</f>
        <v>#REF!</v>
      </c>
      <c r="BE139" s="4">
        <f t="shared" si="453"/>
        <v>20.700000000000003</v>
      </c>
      <c r="BF139" s="4">
        <f t="shared" si="454"/>
        <v>20.700000000000003</v>
      </c>
      <c r="BG139" s="4">
        <f t="shared" si="455"/>
        <v>58.2</v>
      </c>
      <c r="BH139" s="4">
        <f t="shared" si="456"/>
        <v>35</v>
      </c>
      <c r="BI139" s="4">
        <f t="shared" si="512"/>
        <v>1.181159420289855</v>
      </c>
      <c r="BJ139" s="25">
        <f t="shared" si="457"/>
        <v>1.4454748150400323</v>
      </c>
      <c r="BL139" s="4">
        <f t="shared" si="458"/>
        <v>14.3</v>
      </c>
      <c r="BP139" s="9"/>
      <c r="BR139" s="9"/>
      <c r="BS139" s="9"/>
      <c r="BT139" s="9">
        <f t="shared" si="459"/>
        <v>14.3</v>
      </c>
      <c r="BU139" s="9">
        <f t="shared" si="460"/>
        <v>28.6</v>
      </c>
      <c r="BV139" s="9">
        <f t="shared" si="461"/>
        <v>0.78458409789675088</v>
      </c>
      <c r="BW139" s="9">
        <v>0</v>
      </c>
      <c r="BX139" s="9">
        <f t="shared" si="462"/>
        <v>0</v>
      </c>
      <c r="BY139" s="9">
        <f t="shared" si="500"/>
        <v>0</v>
      </c>
      <c r="BZ139" s="9">
        <f t="shared" si="463"/>
        <v>0.96044432035915817</v>
      </c>
      <c r="CA139" s="9">
        <f t="shared" si="464"/>
        <v>0.74299999999999999</v>
      </c>
      <c r="CB139" s="9">
        <f t="shared" si="465"/>
        <v>1.9808626966691243</v>
      </c>
      <c r="CC139" s="9">
        <f t="shared" si="466"/>
        <v>1.5541533719234701</v>
      </c>
      <c r="CD139" s="9">
        <v>1</v>
      </c>
      <c r="CE139" s="9" t="e">
        <f>4*CC139*#REF!+60*CC139</f>
        <v>#REF!</v>
      </c>
      <c r="CG139" s="4" t="e">
        <f t="shared" si="501"/>
        <v>#REF!</v>
      </c>
      <c r="CH139" s="4" t="e">
        <f t="shared" si="502"/>
        <v>#REF!</v>
      </c>
      <c r="CI139" s="4" t="e">
        <f t="shared" ref="CI139:CI147" si="530">V139/AZ139</f>
        <v>#REF!</v>
      </c>
      <c r="CJ139" s="4" t="e">
        <f t="shared" si="484"/>
        <v>#REF!</v>
      </c>
      <c r="CK139" s="4" t="e">
        <f t="shared" ref="CK139:CK147" si="531">V139/DL139</f>
        <v>#REF!</v>
      </c>
      <c r="CL139" s="4" t="e">
        <f t="shared" ref="CL139:CL147" si="532">V139/DX139</f>
        <v>#REF!</v>
      </c>
      <c r="CM139" s="4" t="e">
        <f t="shared" si="481"/>
        <v>#REF!</v>
      </c>
      <c r="CO139" s="4" t="e">
        <f t="shared" si="513"/>
        <v>#REF!</v>
      </c>
      <c r="CP139" s="4" t="e">
        <f t="shared" si="514"/>
        <v>#REF!</v>
      </c>
      <c r="CQ139" s="4" t="e">
        <f t="shared" si="515"/>
        <v>#REF!</v>
      </c>
      <c r="CR139" s="4" t="e">
        <f t="shared" si="503"/>
        <v>#REF!</v>
      </c>
      <c r="CS139" s="4" t="e">
        <f t="shared" si="516"/>
        <v>#REF!</v>
      </c>
      <c r="CT139" s="4" t="e">
        <f t="shared" si="517"/>
        <v>#REF!</v>
      </c>
      <c r="DB139" s="4">
        <f t="shared" si="518"/>
        <v>0</v>
      </c>
      <c r="DC139" s="4" t="e">
        <f t="shared" si="467"/>
        <v>#REF!</v>
      </c>
      <c r="DD139" s="4" t="e">
        <f>#REF!/E139</f>
        <v>#REF!</v>
      </c>
      <c r="DF139" s="4" t="e">
        <f t="shared" si="468"/>
        <v>#REF!</v>
      </c>
      <c r="DG139" s="4">
        <f t="shared" si="519"/>
        <v>4.1860577959627587</v>
      </c>
      <c r="DH139" s="4" t="e">
        <f t="shared" si="486"/>
        <v>#REF!</v>
      </c>
      <c r="DI139" s="4" t="e">
        <f t="shared" si="359"/>
        <v>#REF!</v>
      </c>
      <c r="DJ139" s="4" t="e">
        <f t="shared" si="360"/>
        <v>#REF!</v>
      </c>
      <c r="DK139" s="4" t="e">
        <f t="shared" si="487"/>
        <v>#REF!</v>
      </c>
      <c r="DL139" s="38" t="e">
        <f t="shared" si="469"/>
        <v>#REF!</v>
      </c>
      <c r="DM139" s="4" t="e">
        <f t="shared" si="361"/>
        <v>#REF!</v>
      </c>
      <c r="DN139" s="4">
        <f t="shared" si="488"/>
        <v>2.2360679774997898</v>
      </c>
      <c r="DO139" s="4" t="e">
        <f t="shared" si="363"/>
        <v>#REF!</v>
      </c>
      <c r="DS139" s="4">
        <f t="shared" si="470"/>
        <v>1</v>
      </c>
      <c r="DT139" s="4">
        <f t="shared" si="471"/>
        <v>1</v>
      </c>
      <c r="DU139" s="4">
        <f t="shared" si="472"/>
        <v>1</v>
      </c>
      <c r="DV139" s="4">
        <f t="shared" si="504"/>
        <v>1</v>
      </c>
      <c r="DX139" s="4" t="e">
        <f t="shared" si="473"/>
        <v>#REF!</v>
      </c>
      <c r="DY139" s="25" t="e">
        <f t="shared" si="505"/>
        <v>#REF!</v>
      </c>
      <c r="EB139" s="4">
        <f t="shared" si="436"/>
        <v>4.1860577959627587</v>
      </c>
      <c r="EC139" s="4">
        <f t="shared" si="474"/>
        <v>4.1860577959627587</v>
      </c>
      <c r="EE139" s="4">
        <f t="shared" si="475"/>
        <v>63.951544156493995</v>
      </c>
      <c r="EF139" s="4">
        <f t="shared" si="520"/>
        <v>2.2360679774997898</v>
      </c>
      <c r="EG139" s="4" t="e">
        <f t="shared" si="476"/>
        <v>#REF!</v>
      </c>
      <c r="EJ139" s="4" t="e">
        <f t="shared" si="506"/>
        <v>#REF!</v>
      </c>
      <c r="EK139" s="4" t="e">
        <f t="shared" si="477"/>
        <v>#REF!</v>
      </c>
      <c r="EL139" s="4" t="e">
        <f t="shared" si="521"/>
        <v>#REF!</v>
      </c>
      <c r="EM139" s="4" t="e">
        <f t="shared" si="507"/>
        <v>#REF!</v>
      </c>
      <c r="EN139" s="4" t="e">
        <f t="shared" si="522"/>
        <v>#REF!</v>
      </c>
      <c r="EO139" s="4" t="e">
        <f t="shared" si="523"/>
        <v>#REF!</v>
      </c>
      <c r="EP139" s="4" t="e">
        <f t="shared" si="478"/>
        <v>#REF!</v>
      </c>
      <c r="EQ139" s="4" t="e">
        <f t="shared" si="508"/>
        <v>#REF!</v>
      </c>
      <c r="ER139" s="4" t="e">
        <f t="shared" si="479"/>
        <v>#REF!</v>
      </c>
      <c r="ES139" s="4" t="e">
        <f t="shared" si="524"/>
        <v>#REF!</v>
      </c>
      <c r="ET139" s="4" t="e">
        <f t="shared" si="525"/>
        <v>#REF!</v>
      </c>
      <c r="EV139" s="4" t="e">
        <f t="shared" si="489"/>
        <v>#REF!</v>
      </c>
      <c r="FA139" s="23" t="e">
        <f t="shared" si="490"/>
        <v>#REF!</v>
      </c>
      <c r="FB139" s="23" t="e">
        <f t="shared" si="491"/>
        <v>#REF!</v>
      </c>
      <c r="FC139" s="23" t="e">
        <f t="shared" si="527"/>
        <v>#REF!</v>
      </c>
      <c r="FD139" s="23" t="e">
        <f t="shared" si="492"/>
        <v>#REF!</v>
      </c>
      <c r="FE139" s="23" t="e">
        <f t="shared" si="493"/>
        <v>#REF!</v>
      </c>
      <c r="FF139" s="23" t="e">
        <f t="shared" si="494"/>
        <v>#REF!</v>
      </c>
      <c r="FG139" s="23" t="e">
        <f t="shared" ref="FG139:FG153" si="533">IF(FE139&lt;1,1,0)</f>
        <v>#REF!</v>
      </c>
      <c r="FH139" s="23"/>
      <c r="FR139" s="4">
        <f t="shared" si="351"/>
        <v>1.25</v>
      </c>
      <c r="FS139" s="4">
        <f t="shared" si="352"/>
        <v>1</v>
      </c>
      <c r="FT139" s="4">
        <f t="shared" si="353"/>
        <v>0</v>
      </c>
      <c r="FU139" s="4" t="e">
        <f t="shared" si="354"/>
        <v>#REF!</v>
      </c>
    </row>
    <row r="140" spans="2:177" ht="12" customHeight="1" x14ac:dyDescent="0.3">
      <c r="B140" s="24" t="s">
        <v>292</v>
      </c>
      <c r="C140" s="7" t="s">
        <v>138</v>
      </c>
      <c r="D140" s="7">
        <v>710</v>
      </c>
      <c r="E140" s="7" t="e">
        <f>G140*#REF!</f>
        <v>#REF!</v>
      </c>
      <c r="F140" s="7">
        <v>41.4</v>
      </c>
      <c r="G140" s="7">
        <v>28.6</v>
      </c>
      <c r="H140" s="7">
        <v>261</v>
      </c>
      <c r="I140" s="7">
        <f t="shared" si="528"/>
        <v>28.6</v>
      </c>
      <c r="J140" s="7"/>
      <c r="K140" s="7">
        <f t="shared" si="526"/>
        <v>28.6</v>
      </c>
      <c r="L140" s="7">
        <v>2</v>
      </c>
      <c r="M140" s="7">
        <f t="shared" si="495"/>
        <v>58.2</v>
      </c>
      <c r="N140" s="7">
        <f t="shared" si="510"/>
        <v>1</v>
      </c>
      <c r="O140" s="7">
        <f t="shared" si="496"/>
        <v>1.5000000000000002</v>
      </c>
      <c r="P140" s="7">
        <f t="shared" si="509"/>
        <v>4</v>
      </c>
      <c r="Q140" s="7">
        <f t="shared" si="511"/>
        <v>4</v>
      </c>
      <c r="R140" s="7">
        <v>5</v>
      </c>
      <c r="S140" s="7">
        <f t="shared" si="447"/>
        <v>63.951544156493995</v>
      </c>
      <c r="T140" s="7"/>
      <c r="U140" s="7"/>
      <c r="V140" s="7">
        <v>484</v>
      </c>
      <c r="W140" s="7"/>
      <c r="X140" s="7" t="e">
        <f t="shared" si="482"/>
        <v>#REF!</v>
      </c>
      <c r="Y140" s="7">
        <v>9.5</v>
      </c>
      <c r="Z140" s="7">
        <v>7</v>
      </c>
      <c r="AA140" s="7">
        <v>65</v>
      </c>
      <c r="AB140" s="7">
        <v>7</v>
      </c>
      <c r="AC140" s="7">
        <v>7</v>
      </c>
      <c r="AD140" s="7">
        <f t="shared" ref="AD140:AD153" si="534">MIN(2.5,(40*2*PI()*Y140^2/4/AA140/L140)/G140)</f>
        <v>1.5251680311268359</v>
      </c>
      <c r="AE140" s="4" t="e">
        <f t="shared" si="483"/>
        <v>#REF!</v>
      </c>
      <c r="AF140" s="46" t="e">
        <f t="shared" si="497"/>
        <v>#REF!</v>
      </c>
      <c r="AG140" s="25" t="e">
        <f t="shared" si="448"/>
        <v>#REF!</v>
      </c>
      <c r="AH140" s="4" t="e">
        <f t="shared" si="449"/>
        <v>#REF!</v>
      </c>
      <c r="AI140" s="4">
        <v>1.25</v>
      </c>
      <c r="AJ140" s="25">
        <f t="shared" si="438"/>
        <v>5</v>
      </c>
      <c r="AK140" s="38" t="e">
        <f t="shared" si="480"/>
        <v>#REF!</v>
      </c>
      <c r="AL140" s="38" t="e">
        <f t="shared" si="356"/>
        <v>#REF!</v>
      </c>
      <c r="AN140" s="38" t="e">
        <f t="shared" si="498"/>
        <v>#REF!</v>
      </c>
      <c r="AO140" s="38" t="e">
        <f t="shared" si="316"/>
        <v>#REF!</v>
      </c>
      <c r="AP140" s="38" t="e">
        <f t="shared" si="357"/>
        <v>#REF!</v>
      </c>
      <c r="AQ140" s="4" t="e">
        <f t="shared" si="443"/>
        <v>#REF!</v>
      </c>
      <c r="AR140" s="4" t="e">
        <f>#REF!/G140*F140^0.5/0.19</f>
        <v>#REF!</v>
      </c>
      <c r="AS140" s="4">
        <f t="shared" si="450"/>
        <v>1.2000000000000002</v>
      </c>
      <c r="AT140" s="38">
        <f t="shared" si="451"/>
        <v>198.72000000000003</v>
      </c>
      <c r="AU140" s="4">
        <f t="shared" si="452"/>
        <v>0.44000000000000006</v>
      </c>
      <c r="AV140" s="4" t="e">
        <f>AU140*D140*#REF!/(D140*G140/2.75/F140^0.5)</f>
        <v>#REF!</v>
      </c>
      <c r="AW140" s="4" t="e">
        <f t="shared" si="499"/>
        <v>#REF!</v>
      </c>
      <c r="AY140" s="36">
        <f t="shared" si="529"/>
        <v>1.6863256140070761</v>
      </c>
      <c r="AZ140" s="36" t="e">
        <f>(1.6*#REF!+22)*AY140*F140^0.5</f>
        <v>#REF!</v>
      </c>
      <c r="BE140" s="4">
        <f t="shared" si="453"/>
        <v>20.700000000000003</v>
      </c>
      <c r="BF140" s="4">
        <f t="shared" si="454"/>
        <v>20.700000000000003</v>
      </c>
      <c r="BG140" s="4">
        <f t="shared" si="455"/>
        <v>58.2</v>
      </c>
      <c r="BH140" s="4">
        <f t="shared" si="456"/>
        <v>35</v>
      </c>
      <c r="BI140" s="4">
        <f t="shared" si="512"/>
        <v>1.181159420289855</v>
      </c>
      <c r="BJ140" s="25">
        <f t="shared" si="457"/>
        <v>3.0322956128775931</v>
      </c>
      <c r="BL140" s="4">
        <f t="shared" si="458"/>
        <v>14.3</v>
      </c>
      <c r="BP140" s="9"/>
      <c r="BR140" s="9"/>
      <c r="BS140" s="9"/>
      <c r="BT140" s="9">
        <f t="shared" si="459"/>
        <v>14.3</v>
      </c>
      <c r="BU140" s="9">
        <f t="shared" si="460"/>
        <v>28.6</v>
      </c>
      <c r="BV140" s="9">
        <f t="shared" si="461"/>
        <v>0.78458409789675088</v>
      </c>
      <c r="BW140" s="9">
        <v>20</v>
      </c>
      <c r="BX140" s="9">
        <f t="shared" si="462"/>
        <v>0.05</v>
      </c>
      <c r="BY140" s="9">
        <f t="shared" si="500"/>
        <v>0.8</v>
      </c>
      <c r="BZ140" s="9">
        <f t="shared" si="463"/>
        <v>0.96044432035915817</v>
      </c>
      <c r="CA140" s="9">
        <f t="shared" si="464"/>
        <v>0.74299999999999999</v>
      </c>
      <c r="CB140" s="9">
        <f t="shared" si="465"/>
        <v>1.6070493790635749</v>
      </c>
      <c r="CC140" s="9">
        <f t="shared" si="466"/>
        <v>2.5465048905989884</v>
      </c>
      <c r="CD140" s="9">
        <v>1</v>
      </c>
      <c r="CE140" s="9" t="e">
        <f>4*CC140*#REF!+60*CC140</f>
        <v>#REF!</v>
      </c>
      <c r="CG140" s="4" t="e">
        <f t="shared" si="501"/>
        <v>#REF!</v>
      </c>
      <c r="CH140" s="4" t="e">
        <f t="shared" si="502"/>
        <v>#REF!</v>
      </c>
      <c r="CI140" s="4" t="e">
        <f t="shared" si="530"/>
        <v>#REF!</v>
      </c>
      <c r="CJ140" s="4" t="e">
        <f t="shared" si="484"/>
        <v>#REF!</v>
      </c>
      <c r="CK140" s="4" t="e">
        <f t="shared" si="531"/>
        <v>#REF!</v>
      </c>
      <c r="CL140" s="4" t="e">
        <f t="shared" si="532"/>
        <v>#REF!</v>
      </c>
      <c r="CM140" s="4" t="e">
        <f t="shared" si="481"/>
        <v>#REF!</v>
      </c>
      <c r="CU140" s="4" t="e">
        <f t="shared" ref="CU140:CU147" si="535">CG140</f>
        <v>#REF!</v>
      </c>
      <c r="CV140" s="4" t="e">
        <f t="shared" ref="CV140:CV147" si="536">CH140</f>
        <v>#REF!</v>
      </c>
      <c r="CW140" s="4" t="e">
        <f t="shared" ref="CW140:CW147" si="537">CJ140</f>
        <v>#REF!</v>
      </c>
      <c r="CX140" s="4" t="e">
        <f t="shared" ref="CX140:CX153" si="538">CM140</f>
        <v>#REF!</v>
      </c>
      <c r="CY140" s="4" t="e">
        <f t="shared" ref="CY140:CY147" si="539">CK140</f>
        <v>#REF!</v>
      </c>
      <c r="CZ140" s="4" t="e">
        <f t="shared" ref="CZ140:CZ147" si="540">CL140</f>
        <v>#REF!</v>
      </c>
      <c r="DB140" s="4">
        <f t="shared" si="518"/>
        <v>7</v>
      </c>
      <c r="DC140" s="4" t="e">
        <f t="shared" si="467"/>
        <v>#REF!</v>
      </c>
      <c r="DD140" s="4" t="e">
        <f>#REF!/E140</f>
        <v>#REF!</v>
      </c>
      <c r="DF140" s="4" t="e">
        <f t="shared" si="468"/>
        <v>#REF!</v>
      </c>
      <c r="DG140" s="4">
        <f t="shared" si="519"/>
        <v>7.1242815844827039</v>
      </c>
      <c r="DH140" s="4" t="e">
        <f t="shared" si="486"/>
        <v>#REF!</v>
      </c>
      <c r="DI140" s="4" t="e">
        <f t="shared" si="359"/>
        <v>#REF!</v>
      </c>
      <c r="DJ140" s="4" t="e">
        <f t="shared" si="360"/>
        <v>#REF!</v>
      </c>
      <c r="DK140" s="4" t="e">
        <f t="shared" si="487"/>
        <v>#REF!</v>
      </c>
      <c r="DL140" s="38" t="e">
        <f t="shared" si="469"/>
        <v>#REF!</v>
      </c>
      <c r="DM140" s="4" t="e">
        <f t="shared" si="361"/>
        <v>#REF!</v>
      </c>
      <c r="DN140" s="4">
        <f t="shared" si="488"/>
        <v>2.2360679774997898</v>
      </c>
      <c r="DO140" s="4" t="e">
        <f t="shared" si="363"/>
        <v>#REF!</v>
      </c>
      <c r="DS140" s="4">
        <f t="shared" si="470"/>
        <v>1</v>
      </c>
      <c r="DT140" s="4">
        <f t="shared" si="471"/>
        <v>1</v>
      </c>
      <c r="DU140" s="4">
        <f t="shared" si="472"/>
        <v>0.7</v>
      </c>
      <c r="DV140" s="4">
        <f t="shared" si="504"/>
        <v>0.7</v>
      </c>
      <c r="DX140" s="4" t="e">
        <f t="shared" si="473"/>
        <v>#REF!</v>
      </c>
      <c r="DY140" s="25" t="e">
        <f t="shared" si="505"/>
        <v>#REF!</v>
      </c>
      <c r="EB140" s="4">
        <f t="shared" si="436"/>
        <v>7.1242815844827039</v>
      </c>
      <c r="EC140" s="4">
        <f t="shared" si="474"/>
        <v>7.1242815844827039</v>
      </c>
      <c r="EE140" s="4">
        <f t="shared" si="475"/>
        <v>63.951544156493995</v>
      </c>
      <c r="EF140" s="4">
        <f t="shared" si="520"/>
        <v>2.2360679774997898</v>
      </c>
      <c r="EG140" s="4" t="e">
        <f t="shared" si="476"/>
        <v>#REF!</v>
      </c>
      <c r="EJ140" s="4" t="e">
        <f t="shared" si="506"/>
        <v>#REF!</v>
      </c>
      <c r="EK140" s="4" t="e">
        <f t="shared" si="477"/>
        <v>#REF!</v>
      </c>
      <c r="EL140" s="4" t="e">
        <f t="shared" si="521"/>
        <v>#REF!</v>
      </c>
      <c r="EM140" s="4" t="e">
        <f t="shared" si="507"/>
        <v>#REF!</v>
      </c>
      <c r="EN140" s="4" t="e">
        <f t="shared" si="522"/>
        <v>#REF!</v>
      </c>
      <c r="EO140" s="4" t="e">
        <f t="shared" si="523"/>
        <v>#REF!</v>
      </c>
      <c r="EP140" s="4" t="e">
        <f t="shared" si="478"/>
        <v>#REF!</v>
      </c>
      <c r="EQ140" s="4" t="e">
        <f t="shared" si="508"/>
        <v>#REF!</v>
      </c>
      <c r="ER140" s="4" t="e">
        <f t="shared" si="479"/>
        <v>#REF!</v>
      </c>
      <c r="ES140" s="4" t="e">
        <f t="shared" si="524"/>
        <v>#REF!</v>
      </c>
      <c r="ET140" s="4" t="e">
        <f t="shared" si="525"/>
        <v>#REF!</v>
      </c>
      <c r="EV140" s="4" t="e">
        <f t="shared" si="489"/>
        <v>#REF!</v>
      </c>
      <c r="FA140" s="23" t="e">
        <f t="shared" si="490"/>
        <v>#REF!</v>
      </c>
      <c r="FB140" s="23" t="e">
        <f t="shared" si="491"/>
        <v>#REF!</v>
      </c>
      <c r="FC140" s="23" t="e">
        <f t="shared" si="527"/>
        <v>#REF!</v>
      </c>
      <c r="FD140" s="23" t="e">
        <f t="shared" si="492"/>
        <v>#REF!</v>
      </c>
      <c r="FE140" s="23" t="e">
        <f t="shared" si="493"/>
        <v>#REF!</v>
      </c>
      <c r="FF140" s="23" t="e">
        <f t="shared" si="494"/>
        <v>#REF!</v>
      </c>
      <c r="FG140" s="23" t="e">
        <f t="shared" si="533"/>
        <v>#REF!</v>
      </c>
      <c r="FH140" s="23"/>
      <c r="FR140" s="4">
        <f t="shared" si="351"/>
        <v>1.25</v>
      </c>
      <c r="FS140" s="4">
        <f t="shared" si="352"/>
        <v>0.67768622629572395</v>
      </c>
      <c r="FT140" s="4">
        <f t="shared" si="353"/>
        <v>0.3</v>
      </c>
      <c r="FU140" s="4" t="e">
        <f t="shared" si="354"/>
        <v>#REF!</v>
      </c>
    </row>
    <row r="141" spans="2:177" ht="12" customHeight="1" x14ac:dyDescent="0.3">
      <c r="B141" s="24"/>
      <c r="C141" s="7" t="s">
        <v>139</v>
      </c>
      <c r="D141" s="7">
        <v>710</v>
      </c>
      <c r="E141" s="7" t="e">
        <f>G141*#REF!</f>
        <v>#REF!</v>
      </c>
      <c r="F141" s="7">
        <v>41.4</v>
      </c>
      <c r="G141" s="7">
        <v>28.6</v>
      </c>
      <c r="H141" s="7">
        <v>261</v>
      </c>
      <c r="I141" s="7">
        <f t="shared" si="528"/>
        <v>28.6</v>
      </c>
      <c r="J141" s="7"/>
      <c r="K141" s="7">
        <f t="shared" si="526"/>
        <v>28.6</v>
      </c>
      <c r="L141" s="7">
        <v>2</v>
      </c>
      <c r="M141" s="7">
        <f t="shared" si="495"/>
        <v>58.2</v>
      </c>
      <c r="N141" s="7">
        <f t="shared" si="510"/>
        <v>1</v>
      </c>
      <c r="O141" s="7">
        <f t="shared" si="496"/>
        <v>1.5000000000000002</v>
      </c>
      <c r="P141" s="7">
        <f t="shared" si="509"/>
        <v>4</v>
      </c>
      <c r="Q141" s="7">
        <f t="shared" si="511"/>
        <v>4</v>
      </c>
      <c r="R141" s="7">
        <v>5</v>
      </c>
      <c r="S141" s="7">
        <f t="shared" si="447"/>
        <v>63.951544156493995</v>
      </c>
      <c r="T141" s="7"/>
      <c r="U141" s="7"/>
      <c r="V141" s="7">
        <v>585</v>
      </c>
      <c r="W141" s="7"/>
      <c r="X141" s="7" t="e">
        <f t="shared" si="482"/>
        <v>#REF!</v>
      </c>
      <c r="Y141" s="7">
        <v>9.5</v>
      </c>
      <c r="Z141" s="7">
        <v>9</v>
      </c>
      <c r="AA141" s="7">
        <v>65</v>
      </c>
      <c r="AB141" s="7">
        <v>9</v>
      </c>
      <c r="AC141" s="7">
        <v>9</v>
      </c>
      <c r="AD141" s="7">
        <f t="shared" si="534"/>
        <v>1.5251680311268359</v>
      </c>
      <c r="AE141" s="4" t="e">
        <f t="shared" si="483"/>
        <v>#REF!</v>
      </c>
      <c r="AF141" s="46" t="e">
        <f t="shared" si="497"/>
        <v>#REF!</v>
      </c>
      <c r="AG141" s="25" t="e">
        <f t="shared" si="448"/>
        <v>#REF!</v>
      </c>
      <c r="AH141" s="4" t="e">
        <f t="shared" si="449"/>
        <v>#REF!</v>
      </c>
      <c r="AI141" s="4">
        <v>1.25</v>
      </c>
      <c r="AJ141" s="25">
        <f t="shared" si="438"/>
        <v>5</v>
      </c>
      <c r="AK141" s="38" t="e">
        <f t="shared" si="480"/>
        <v>#REF!</v>
      </c>
      <c r="AL141" s="38" t="e">
        <f t="shared" si="356"/>
        <v>#REF!</v>
      </c>
      <c r="AN141" s="38" t="e">
        <f t="shared" si="498"/>
        <v>#REF!</v>
      </c>
      <c r="AO141" s="38" t="e">
        <f t="shared" si="316"/>
        <v>#REF!</v>
      </c>
      <c r="AP141" s="38" t="e">
        <f t="shared" si="357"/>
        <v>#REF!</v>
      </c>
      <c r="AQ141" s="4" t="e">
        <f t="shared" si="443"/>
        <v>#REF!</v>
      </c>
      <c r="AR141" s="4" t="e">
        <f>#REF!/G141*F141^0.5/0.19</f>
        <v>#REF!</v>
      </c>
      <c r="AS141" s="4">
        <f t="shared" si="450"/>
        <v>1.2000000000000002</v>
      </c>
      <c r="AT141" s="38">
        <f t="shared" si="451"/>
        <v>198.72000000000003</v>
      </c>
      <c r="AU141" s="4">
        <f t="shared" si="452"/>
        <v>0.44000000000000006</v>
      </c>
      <c r="AV141" s="4" t="e">
        <f>AU141*D141*#REF!/(D141*G141/2.75/F141^0.5)</f>
        <v>#REF!</v>
      </c>
      <c r="AW141" s="4" t="e">
        <f t="shared" si="499"/>
        <v>#REF!</v>
      </c>
      <c r="AY141" s="36">
        <f t="shared" si="529"/>
        <v>1.6863256140070761</v>
      </c>
      <c r="AZ141" s="36" t="e">
        <f>(1.6*#REF!+22)*AY141*F141^0.5</f>
        <v>#REF!</v>
      </c>
      <c r="BE141" s="4">
        <f t="shared" si="453"/>
        <v>20.700000000000003</v>
      </c>
      <c r="BF141" s="4">
        <f t="shared" si="454"/>
        <v>20.700000000000003</v>
      </c>
      <c r="BG141" s="4">
        <f t="shared" si="455"/>
        <v>58.2</v>
      </c>
      <c r="BH141" s="4">
        <f t="shared" si="456"/>
        <v>35</v>
      </c>
      <c r="BI141" s="4">
        <f t="shared" si="512"/>
        <v>1.181159420289855</v>
      </c>
      <c r="BJ141" s="25">
        <f t="shared" si="457"/>
        <v>3.0322956128775931</v>
      </c>
      <c r="BL141" s="4">
        <f t="shared" si="458"/>
        <v>14.3</v>
      </c>
      <c r="BP141" s="9"/>
      <c r="BR141" s="9"/>
      <c r="BS141" s="9"/>
      <c r="BT141" s="9">
        <f t="shared" si="459"/>
        <v>14.3</v>
      </c>
      <c r="BU141" s="9">
        <f t="shared" si="460"/>
        <v>28.6</v>
      </c>
      <c r="BV141" s="9">
        <f t="shared" si="461"/>
        <v>0.78458409789675088</v>
      </c>
      <c r="BW141" s="9">
        <v>20</v>
      </c>
      <c r="BX141" s="9">
        <f t="shared" si="462"/>
        <v>0.05</v>
      </c>
      <c r="BY141" s="9">
        <f t="shared" si="500"/>
        <v>0.8</v>
      </c>
      <c r="BZ141" s="9">
        <f t="shared" si="463"/>
        <v>0.96044432035915817</v>
      </c>
      <c r="CA141" s="9">
        <f t="shared" si="464"/>
        <v>0.74299999999999999</v>
      </c>
      <c r="CB141" s="9">
        <f t="shared" si="465"/>
        <v>1.6070493790635749</v>
      </c>
      <c r="CC141" s="9">
        <f t="shared" si="466"/>
        <v>2.5465048905989884</v>
      </c>
      <c r="CD141" s="9">
        <v>1</v>
      </c>
      <c r="CE141" s="9" t="e">
        <f>4*CC141*#REF!+60*CC141</f>
        <v>#REF!</v>
      </c>
      <c r="CG141" s="4" t="e">
        <f t="shared" si="501"/>
        <v>#REF!</v>
      </c>
      <c r="CH141" s="4" t="e">
        <f t="shared" si="502"/>
        <v>#REF!</v>
      </c>
      <c r="CI141" s="4" t="e">
        <f t="shared" si="530"/>
        <v>#REF!</v>
      </c>
      <c r="CJ141" s="4" t="e">
        <f t="shared" si="484"/>
        <v>#REF!</v>
      </c>
      <c r="CK141" s="4" t="e">
        <f t="shared" si="531"/>
        <v>#REF!</v>
      </c>
      <c r="CL141" s="4" t="e">
        <f t="shared" si="532"/>
        <v>#REF!</v>
      </c>
      <c r="CM141" s="4" t="e">
        <f t="shared" si="481"/>
        <v>#REF!</v>
      </c>
      <c r="CU141" s="4" t="e">
        <f t="shared" si="535"/>
        <v>#REF!</v>
      </c>
      <c r="CV141" s="4" t="e">
        <f t="shared" si="536"/>
        <v>#REF!</v>
      </c>
      <c r="CW141" s="4" t="e">
        <f t="shared" si="537"/>
        <v>#REF!</v>
      </c>
      <c r="CX141" s="4" t="e">
        <f t="shared" si="538"/>
        <v>#REF!</v>
      </c>
      <c r="CY141" s="4" t="e">
        <f t="shared" si="539"/>
        <v>#REF!</v>
      </c>
      <c r="CZ141" s="4" t="e">
        <f t="shared" si="540"/>
        <v>#REF!</v>
      </c>
      <c r="DB141" s="4">
        <f t="shared" si="518"/>
        <v>9</v>
      </c>
      <c r="DC141" s="4" t="e">
        <f t="shared" si="467"/>
        <v>#REF!</v>
      </c>
      <c r="DD141" s="4" t="e">
        <f>#REF!/E141</f>
        <v>#REF!</v>
      </c>
      <c r="DF141" s="4" t="e">
        <f t="shared" si="468"/>
        <v>#REF!</v>
      </c>
      <c r="DG141" s="4">
        <f t="shared" si="519"/>
        <v>7.1242815844827039</v>
      </c>
      <c r="DH141" s="4" t="e">
        <f t="shared" si="486"/>
        <v>#REF!</v>
      </c>
      <c r="DI141" s="4" t="e">
        <f t="shared" si="359"/>
        <v>#REF!</v>
      </c>
      <c r="DJ141" s="4" t="e">
        <f t="shared" si="360"/>
        <v>#REF!</v>
      </c>
      <c r="DK141" s="4" t="e">
        <f t="shared" si="487"/>
        <v>#REF!</v>
      </c>
      <c r="DL141" s="38" t="e">
        <f t="shared" si="469"/>
        <v>#REF!</v>
      </c>
      <c r="DM141" s="4" t="e">
        <f t="shared" si="361"/>
        <v>#REF!</v>
      </c>
      <c r="DN141" s="4">
        <f t="shared" si="488"/>
        <v>2.2360679774997898</v>
      </c>
      <c r="DO141" s="4" t="e">
        <f t="shared" si="363"/>
        <v>#REF!</v>
      </c>
      <c r="DS141" s="4">
        <f t="shared" si="470"/>
        <v>1</v>
      </c>
      <c r="DT141" s="4">
        <f t="shared" si="471"/>
        <v>1</v>
      </c>
      <c r="DU141" s="4">
        <f t="shared" si="472"/>
        <v>0.7</v>
      </c>
      <c r="DV141" s="4">
        <f t="shared" si="504"/>
        <v>0.7</v>
      </c>
      <c r="DX141" s="4" t="e">
        <f t="shared" si="473"/>
        <v>#REF!</v>
      </c>
      <c r="DY141" s="25" t="e">
        <f t="shared" si="505"/>
        <v>#REF!</v>
      </c>
      <c r="EB141" s="4">
        <f t="shared" si="436"/>
        <v>7.1242815844827039</v>
      </c>
      <c r="EC141" s="4">
        <f t="shared" si="474"/>
        <v>7.1242815844827039</v>
      </c>
      <c r="EE141" s="4">
        <f t="shared" si="475"/>
        <v>63.951544156493995</v>
      </c>
      <c r="EF141" s="4">
        <f t="shared" si="520"/>
        <v>2.2360679774997898</v>
      </c>
      <c r="EG141" s="4" t="e">
        <f t="shared" si="476"/>
        <v>#REF!</v>
      </c>
      <c r="EJ141" s="4" t="e">
        <f t="shared" si="506"/>
        <v>#REF!</v>
      </c>
      <c r="EK141" s="4" t="e">
        <f t="shared" si="477"/>
        <v>#REF!</v>
      </c>
      <c r="EL141" s="4" t="e">
        <f t="shared" si="521"/>
        <v>#REF!</v>
      </c>
      <c r="EM141" s="4" t="e">
        <f t="shared" si="507"/>
        <v>#REF!</v>
      </c>
      <c r="EN141" s="4" t="e">
        <f t="shared" si="522"/>
        <v>#REF!</v>
      </c>
      <c r="EO141" s="4" t="e">
        <f t="shared" si="523"/>
        <v>#REF!</v>
      </c>
      <c r="EP141" s="4" t="e">
        <f t="shared" si="478"/>
        <v>#REF!</v>
      </c>
      <c r="EQ141" s="4" t="e">
        <f t="shared" si="508"/>
        <v>#REF!</v>
      </c>
      <c r="ER141" s="4" t="e">
        <f t="shared" si="479"/>
        <v>#REF!</v>
      </c>
      <c r="ES141" s="4" t="e">
        <f t="shared" si="524"/>
        <v>#REF!</v>
      </c>
      <c r="ET141" s="4" t="e">
        <f t="shared" si="525"/>
        <v>#REF!</v>
      </c>
      <c r="EV141" s="4" t="e">
        <f t="shared" si="489"/>
        <v>#REF!</v>
      </c>
      <c r="FA141" s="23" t="e">
        <f t="shared" si="490"/>
        <v>#REF!</v>
      </c>
      <c r="FB141" s="23" t="e">
        <f t="shared" si="491"/>
        <v>#REF!</v>
      </c>
      <c r="FC141" s="23" t="e">
        <f t="shared" si="527"/>
        <v>#REF!</v>
      </c>
      <c r="FD141" s="23" t="e">
        <f t="shared" si="492"/>
        <v>#REF!</v>
      </c>
      <c r="FE141" s="23" t="e">
        <f t="shared" si="493"/>
        <v>#REF!</v>
      </c>
      <c r="FF141" s="23" t="e">
        <f t="shared" si="494"/>
        <v>#REF!</v>
      </c>
      <c r="FG141" s="23" t="e">
        <f t="shared" si="533"/>
        <v>#REF!</v>
      </c>
      <c r="FH141" s="23"/>
      <c r="FR141" s="4">
        <f t="shared" si="351"/>
        <v>1.25</v>
      </c>
      <c r="FS141" s="4">
        <f t="shared" si="352"/>
        <v>0.67768622629572395</v>
      </c>
      <c r="FT141" s="4">
        <f t="shared" si="353"/>
        <v>0.3</v>
      </c>
      <c r="FU141" s="4" t="e">
        <f t="shared" si="354"/>
        <v>#REF!</v>
      </c>
    </row>
    <row r="142" spans="2:177" ht="12" customHeight="1" x14ac:dyDescent="0.3">
      <c r="B142" s="24"/>
      <c r="C142" s="7" t="s">
        <v>147</v>
      </c>
      <c r="D142" s="7">
        <v>710</v>
      </c>
      <c r="E142" s="7" t="e">
        <f>G142*#REF!</f>
        <v>#REF!</v>
      </c>
      <c r="F142" s="7">
        <v>41.4</v>
      </c>
      <c r="G142" s="7">
        <v>28.6</v>
      </c>
      <c r="H142" s="7">
        <v>261</v>
      </c>
      <c r="I142" s="7">
        <f t="shared" si="528"/>
        <v>28.6</v>
      </c>
      <c r="J142" s="7"/>
      <c r="K142" s="7">
        <f t="shared" si="526"/>
        <v>28.6</v>
      </c>
      <c r="L142" s="7">
        <v>2</v>
      </c>
      <c r="M142" s="7">
        <f t="shared" si="495"/>
        <v>58.2</v>
      </c>
      <c r="N142" s="7">
        <f t="shared" si="510"/>
        <v>1</v>
      </c>
      <c r="O142" s="7">
        <f t="shared" si="496"/>
        <v>1.5000000000000002</v>
      </c>
      <c r="P142" s="7">
        <f t="shared" si="509"/>
        <v>4</v>
      </c>
      <c r="Q142" s="7">
        <f t="shared" si="511"/>
        <v>4</v>
      </c>
      <c r="R142" s="7">
        <v>5</v>
      </c>
      <c r="S142" s="7">
        <f t="shared" si="447"/>
        <v>63.951544156493995</v>
      </c>
      <c r="T142" s="7"/>
      <c r="U142" s="7"/>
      <c r="V142" s="7">
        <v>489</v>
      </c>
      <c r="W142" s="7"/>
      <c r="X142" s="7" t="e">
        <f t="shared" si="482"/>
        <v>#REF!</v>
      </c>
      <c r="Y142" s="7">
        <v>9.5</v>
      </c>
      <c r="Z142" s="7">
        <v>4</v>
      </c>
      <c r="AA142" s="7" t="e">
        <f>E142/3</f>
        <v>#REF!</v>
      </c>
      <c r="AB142" s="7">
        <v>4</v>
      </c>
      <c r="AC142" s="7">
        <v>4</v>
      </c>
      <c r="AD142" s="7" t="e">
        <f t="shared" si="534"/>
        <v>#REF!</v>
      </c>
      <c r="AE142" s="4" t="e">
        <f t="shared" si="483"/>
        <v>#REF!</v>
      </c>
      <c r="AF142" s="46" t="e">
        <f t="shared" si="497"/>
        <v>#REF!</v>
      </c>
      <c r="AG142" s="25" t="e">
        <f t="shared" si="448"/>
        <v>#REF!</v>
      </c>
      <c r="AH142" s="4" t="e">
        <f t="shared" si="449"/>
        <v>#REF!</v>
      </c>
      <c r="AI142" s="4">
        <v>1.25</v>
      </c>
      <c r="AJ142" s="25">
        <f t="shared" si="438"/>
        <v>5</v>
      </c>
      <c r="AK142" s="38" t="e">
        <f t="shared" si="480"/>
        <v>#REF!</v>
      </c>
      <c r="AL142" s="38" t="e">
        <f t="shared" si="356"/>
        <v>#REF!</v>
      </c>
      <c r="AN142" s="38" t="e">
        <f t="shared" si="498"/>
        <v>#REF!</v>
      </c>
      <c r="AO142" s="38" t="e">
        <f t="shared" si="316"/>
        <v>#REF!</v>
      </c>
      <c r="AP142" s="38" t="e">
        <f t="shared" si="357"/>
        <v>#REF!</v>
      </c>
      <c r="AQ142" s="4" t="e">
        <f t="shared" si="443"/>
        <v>#REF!</v>
      </c>
      <c r="AR142" s="4" t="e">
        <f>#REF!/G142*F142^0.5/0.19</f>
        <v>#REF!</v>
      </c>
      <c r="AS142" s="4">
        <f t="shared" si="450"/>
        <v>1.2000000000000002</v>
      </c>
      <c r="AT142" s="38">
        <f t="shared" si="451"/>
        <v>198.72000000000003</v>
      </c>
      <c r="AU142" s="4">
        <f t="shared" si="452"/>
        <v>0.44000000000000006</v>
      </c>
      <c r="AV142" s="4" t="e">
        <f>AU142*D142*#REF!/(D142*G142/2.75/F142^0.5)</f>
        <v>#REF!</v>
      </c>
      <c r="AW142" s="4" t="e">
        <f t="shared" si="499"/>
        <v>#REF!</v>
      </c>
      <c r="AY142" s="36" t="e">
        <f t="shared" si="529"/>
        <v>#REF!</v>
      </c>
      <c r="AZ142" s="36" t="e">
        <f>(1.6*#REF!+22)*AY142*F142^0.5</f>
        <v>#REF!</v>
      </c>
      <c r="BE142" s="4">
        <f t="shared" si="453"/>
        <v>20.700000000000003</v>
      </c>
      <c r="BF142" s="4">
        <f t="shared" si="454"/>
        <v>20.700000000000003</v>
      </c>
      <c r="BG142" s="4">
        <f t="shared" si="455"/>
        <v>58.2</v>
      </c>
      <c r="BH142" s="4">
        <f t="shared" si="456"/>
        <v>35</v>
      </c>
      <c r="BI142" s="4">
        <f t="shared" si="512"/>
        <v>1.181159420289855</v>
      </c>
      <c r="BJ142" s="25" t="e">
        <f t="shared" si="457"/>
        <v>#REF!</v>
      </c>
      <c r="BL142" s="4">
        <f t="shared" si="458"/>
        <v>14.3</v>
      </c>
      <c r="BP142" s="9"/>
      <c r="BR142" s="9"/>
      <c r="BS142" s="9"/>
      <c r="BT142" s="9">
        <f t="shared" si="459"/>
        <v>14.3</v>
      </c>
      <c r="BU142" s="9">
        <f t="shared" si="460"/>
        <v>28.6</v>
      </c>
      <c r="BV142" s="9">
        <f t="shared" si="461"/>
        <v>0.78458409789675088</v>
      </c>
      <c r="BW142" s="9">
        <v>20</v>
      </c>
      <c r="BX142" s="9" t="e">
        <f t="shared" si="462"/>
        <v>#REF!</v>
      </c>
      <c r="BY142" s="9" t="e">
        <f t="shared" si="500"/>
        <v>#REF!</v>
      </c>
      <c r="BZ142" s="9">
        <f t="shared" si="463"/>
        <v>0.96044432035915817</v>
      </c>
      <c r="CA142" s="9">
        <f t="shared" si="464"/>
        <v>0.74299999999999999</v>
      </c>
      <c r="CB142" s="9">
        <f t="shared" si="465"/>
        <v>1.6070493790635749</v>
      </c>
      <c r="CC142" s="9" t="e">
        <f t="shared" si="466"/>
        <v>#REF!</v>
      </c>
      <c r="CD142" s="9">
        <v>1</v>
      </c>
      <c r="CE142" s="9" t="e">
        <f>4*CC142*#REF!+60*CC142</f>
        <v>#REF!</v>
      </c>
      <c r="CG142" s="4" t="e">
        <f t="shared" si="501"/>
        <v>#REF!</v>
      </c>
      <c r="CH142" s="4" t="e">
        <f t="shared" si="502"/>
        <v>#REF!</v>
      </c>
      <c r="CI142" s="4" t="e">
        <f t="shared" si="530"/>
        <v>#REF!</v>
      </c>
      <c r="CJ142" s="4" t="e">
        <f t="shared" si="484"/>
        <v>#REF!</v>
      </c>
      <c r="CK142" s="4" t="e">
        <f t="shared" si="531"/>
        <v>#REF!</v>
      </c>
      <c r="CL142" s="4" t="e">
        <f t="shared" si="532"/>
        <v>#REF!</v>
      </c>
      <c r="CM142" s="4" t="e">
        <f t="shared" si="481"/>
        <v>#REF!</v>
      </c>
      <c r="CU142" s="4" t="e">
        <f t="shared" si="535"/>
        <v>#REF!</v>
      </c>
      <c r="CV142" s="4" t="e">
        <f t="shared" si="536"/>
        <v>#REF!</v>
      </c>
      <c r="CW142" s="4" t="e">
        <f t="shared" si="537"/>
        <v>#REF!</v>
      </c>
      <c r="CX142" s="4" t="e">
        <f t="shared" si="538"/>
        <v>#REF!</v>
      </c>
      <c r="CY142" s="4" t="e">
        <f t="shared" si="539"/>
        <v>#REF!</v>
      </c>
      <c r="CZ142" s="4" t="e">
        <f t="shared" si="540"/>
        <v>#REF!</v>
      </c>
      <c r="DB142" s="4">
        <f t="shared" si="518"/>
        <v>4</v>
      </c>
      <c r="DC142" s="4" t="e">
        <f t="shared" si="467"/>
        <v>#REF!</v>
      </c>
      <c r="DD142" s="4" t="e">
        <f>#REF!/E142</f>
        <v>#REF!</v>
      </c>
      <c r="DF142" s="4" t="e">
        <f t="shared" si="468"/>
        <v>#REF!</v>
      </c>
      <c r="DG142" s="4" t="e">
        <f t="shared" si="519"/>
        <v>#REF!</v>
      </c>
      <c r="DH142" s="4" t="e">
        <f t="shared" si="486"/>
        <v>#REF!</v>
      </c>
      <c r="DI142" s="4" t="e">
        <f t="shared" si="359"/>
        <v>#REF!</v>
      </c>
      <c r="DJ142" s="4" t="e">
        <f t="shared" si="360"/>
        <v>#REF!</v>
      </c>
      <c r="DK142" s="4" t="e">
        <f t="shared" si="487"/>
        <v>#REF!</v>
      </c>
      <c r="DL142" s="38" t="e">
        <f t="shared" si="469"/>
        <v>#REF!</v>
      </c>
      <c r="DM142" s="4" t="e">
        <f t="shared" si="361"/>
        <v>#REF!</v>
      </c>
      <c r="DN142" s="4">
        <f t="shared" si="488"/>
        <v>2.2360679774997898</v>
      </c>
      <c r="DO142" s="4" t="e">
        <f t="shared" si="363"/>
        <v>#REF!</v>
      </c>
      <c r="DS142" s="4">
        <f t="shared" si="470"/>
        <v>1</v>
      </c>
      <c r="DT142" s="4">
        <f t="shared" si="471"/>
        <v>1</v>
      </c>
      <c r="DU142" s="4">
        <f t="shared" si="472"/>
        <v>0.81019487505501497</v>
      </c>
      <c r="DV142" s="4">
        <f t="shared" si="504"/>
        <v>0.81019487505501497</v>
      </c>
      <c r="DX142" s="4" t="e">
        <f t="shared" si="473"/>
        <v>#REF!</v>
      </c>
      <c r="DY142" s="25" t="e">
        <f t="shared" si="505"/>
        <v>#REF!</v>
      </c>
      <c r="EB142" s="4" t="e">
        <f t="shared" si="436"/>
        <v>#REF!</v>
      </c>
      <c r="EC142" s="4" t="e">
        <f t="shared" si="474"/>
        <v>#REF!</v>
      </c>
      <c r="EE142" s="4">
        <f t="shared" si="475"/>
        <v>63.951544156493995</v>
      </c>
      <c r="EF142" s="4">
        <f t="shared" si="520"/>
        <v>2.2360679774997898</v>
      </c>
      <c r="EG142" s="4" t="e">
        <f t="shared" si="476"/>
        <v>#REF!</v>
      </c>
      <c r="EJ142" s="4" t="e">
        <f t="shared" si="506"/>
        <v>#REF!</v>
      </c>
      <c r="EK142" s="4" t="e">
        <f t="shared" si="477"/>
        <v>#REF!</v>
      </c>
      <c r="EL142" s="4" t="e">
        <f t="shared" si="521"/>
        <v>#REF!</v>
      </c>
      <c r="EM142" s="4" t="e">
        <f t="shared" si="507"/>
        <v>#REF!</v>
      </c>
      <c r="EN142" s="4" t="e">
        <f t="shared" si="522"/>
        <v>#REF!</v>
      </c>
      <c r="EO142" s="4" t="e">
        <f t="shared" si="523"/>
        <v>#REF!</v>
      </c>
      <c r="EP142" s="4" t="e">
        <f t="shared" si="478"/>
        <v>#REF!</v>
      </c>
      <c r="EQ142" s="4" t="e">
        <f t="shared" si="508"/>
        <v>#REF!</v>
      </c>
      <c r="ER142" s="4" t="e">
        <f t="shared" si="479"/>
        <v>#REF!</v>
      </c>
      <c r="ES142" s="4" t="e">
        <f t="shared" si="524"/>
        <v>#REF!</v>
      </c>
      <c r="ET142" s="4" t="e">
        <f t="shared" si="525"/>
        <v>#REF!</v>
      </c>
      <c r="EV142" s="4" t="e">
        <f t="shared" si="489"/>
        <v>#REF!</v>
      </c>
      <c r="FA142" s="23" t="e">
        <f t="shared" si="490"/>
        <v>#REF!</v>
      </c>
      <c r="FB142" s="23" t="e">
        <f t="shared" si="491"/>
        <v>#REF!</v>
      </c>
      <c r="FC142" s="23" t="e">
        <f t="shared" si="527"/>
        <v>#REF!</v>
      </c>
      <c r="FD142" s="23" t="e">
        <f t="shared" si="492"/>
        <v>#REF!</v>
      </c>
      <c r="FE142" s="23" t="e">
        <f t="shared" si="493"/>
        <v>#REF!</v>
      </c>
      <c r="FF142" s="23" t="e">
        <f t="shared" si="494"/>
        <v>#REF!</v>
      </c>
      <c r="FG142" s="23" t="e">
        <f t="shared" si="533"/>
        <v>#REF!</v>
      </c>
      <c r="FH142" s="23"/>
      <c r="FR142" s="4">
        <f t="shared" si="351"/>
        <v>1.25</v>
      </c>
      <c r="FS142" s="4" t="e">
        <f t="shared" si="352"/>
        <v>#REF!</v>
      </c>
      <c r="FT142" s="4">
        <f t="shared" si="353"/>
        <v>0.3</v>
      </c>
      <c r="FU142" s="4" t="e">
        <f t="shared" si="354"/>
        <v>#REF!</v>
      </c>
    </row>
    <row r="143" spans="2:177" ht="12" customHeight="1" x14ac:dyDescent="0.3">
      <c r="B143" s="24"/>
      <c r="C143" s="7" t="s">
        <v>148</v>
      </c>
      <c r="D143" s="7">
        <v>710</v>
      </c>
      <c r="E143" s="7" t="e">
        <f>G143*#REF!</f>
        <v>#REF!</v>
      </c>
      <c r="F143" s="7">
        <v>40.1</v>
      </c>
      <c r="G143" s="7">
        <v>28.6</v>
      </c>
      <c r="H143" s="7">
        <v>261</v>
      </c>
      <c r="I143" s="7">
        <f t="shared" si="528"/>
        <v>28.6</v>
      </c>
      <c r="J143" s="7"/>
      <c r="K143" s="7">
        <f t="shared" si="526"/>
        <v>28.6</v>
      </c>
      <c r="L143" s="7">
        <v>2</v>
      </c>
      <c r="M143" s="7">
        <f t="shared" si="495"/>
        <v>58.2</v>
      </c>
      <c r="N143" s="7">
        <f t="shared" si="510"/>
        <v>1</v>
      </c>
      <c r="O143" s="7">
        <f t="shared" si="496"/>
        <v>1.5000000000000002</v>
      </c>
      <c r="P143" s="7">
        <f t="shared" si="509"/>
        <v>4</v>
      </c>
      <c r="Q143" s="7">
        <f t="shared" si="511"/>
        <v>4</v>
      </c>
      <c r="R143" s="7">
        <v>5</v>
      </c>
      <c r="S143" s="7">
        <f t="shared" si="447"/>
        <v>63.951544156493995</v>
      </c>
      <c r="T143" s="7"/>
      <c r="U143" s="7"/>
      <c r="V143" s="7">
        <v>570</v>
      </c>
      <c r="W143" s="7"/>
      <c r="X143" s="7" t="e">
        <f t="shared" si="482"/>
        <v>#REF!</v>
      </c>
      <c r="Y143" s="7">
        <v>9.5</v>
      </c>
      <c r="Z143" s="7">
        <v>4</v>
      </c>
      <c r="AA143" s="7" t="e">
        <f>E143/3</f>
        <v>#REF!</v>
      </c>
      <c r="AB143" s="7">
        <v>4</v>
      </c>
      <c r="AC143" s="7">
        <v>4</v>
      </c>
      <c r="AD143" s="7" t="e">
        <f t="shared" si="534"/>
        <v>#REF!</v>
      </c>
      <c r="AE143" s="4" t="e">
        <f t="shared" si="483"/>
        <v>#REF!</v>
      </c>
      <c r="AF143" s="46" t="e">
        <f t="shared" si="497"/>
        <v>#REF!</v>
      </c>
      <c r="AG143" s="25" t="e">
        <f t="shared" si="448"/>
        <v>#REF!</v>
      </c>
      <c r="AH143" s="4" t="e">
        <f t="shared" si="449"/>
        <v>#REF!</v>
      </c>
      <c r="AI143" s="4">
        <v>1.25</v>
      </c>
      <c r="AJ143" s="25">
        <f t="shared" si="438"/>
        <v>5</v>
      </c>
      <c r="AK143" s="38" t="e">
        <f t="shared" si="480"/>
        <v>#REF!</v>
      </c>
      <c r="AL143" s="38" t="e">
        <f t="shared" si="356"/>
        <v>#REF!</v>
      </c>
      <c r="AN143" s="38" t="e">
        <f t="shared" si="498"/>
        <v>#REF!</v>
      </c>
      <c r="AO143" s="38" t="e">
        <f t="shared" si="316"/>
        <v>#REF!</v>
      </c>
      <c r="AP143" s="38" t="e">
        <f t="shared" si="357"/>
        <v>#REF!</v>
      </c>
      <c r="AQ143" s="4" t="e">
        <f t="shared" si="443"/>
        <v>#REF!</v>
      </c>
      <c r="AR143" s="4" t="e">
        <f>#REF!/G143*F143^0.5/0.19</f>
        <v>#REF!</v>
      </c>
      <c r="AS143" s="4">
        <f t="shared" si="450"/>
        <v>1.2000000000000002</v>
      </c>
      <c r="AT143" s="38">
        <f t="shared" si="451"/>
        <v>192.48000000000005</v>
      </c>
      <c r="AU143" s="4">
        <f t="shared" si="452"/>
        <v>0.44000000000000006</v>
      </c>
      <c r="AV143" s="4" t="e">
        <f>AU143*D143*#REF!/(D143*G143/2.75/F143^0.5)</f>
        <v>#REF!</v>
      </c>
      <c r="AW143" s="4" t="e">
        <f t="shared" si="499"/>
        <v>#REF!</v>
      </c>
      <c r="AY143" s="36" t="e">
        <f t="shared" si="529"/>
        <v>#REF!</v>
      </c>
      <c r="AZ143" s="36" t="e">
        <f>(1.6*#REF!+22)*AY143*F143^0.5</f>
        <v>#REF!</v>
      </c>
      <c r="BE143" s="4">
        <f t="shared" si="453"/>
        <v>20.700000000000003</v>
      </c>
      <c r="BF143" s="4">
        <f t="shared" si="454"/>
        <v>20.700000000000003</v>
      </c>
      <c r="BG143" s="4">
        <f t="shared" si="455"/>
        <v>58.2</v>
      </c>
      <c r="BH143" s="4">
        <f t="shared" si="456"/>
        <v>35</v>
      </c>
      <c r="BI143" s="4">
        <f t="shared" si="512"/>
        <v>1.181159420289855</v>
      </c>
      <c r="BJ143" s="25" t="e">
        <f t="shared" si="457"/>
        <v>#REF!</v>
      </c>
      <c r="BL143" s="4">
        <f t="shared" si="458"/>
        <v>14.3</v>
      </c>
      <c r="BP143" s="9"/>
      <c r="BR143" s="9"/>
      <c r="BS143" s="9"/>
      <c r="BT143" s="9">
        <f t="shared" si="459"/>
        <v>14.3</v>
      </c>
      <c r="BU143" s="9">
        <f t="shared" si="460"/>
        <v>28.6</v>
      </c>
      <c r="BV143" s="9">
        <f t="shared" si="461"/>
        <v>0.78458409789675088</v>
      </c>
      <c r="BW143" s="9">
        <v>20</v>
      </c>
      <c r="BX143" s="9" t="e">
        <f t="shared" si="462"/>
        <v>#REF!</v>
      </c>
      <c r="BY143" s="9" t="e">
        <f t="shared" si="500"/>
        <v>#REF!</v>
      </c>
      <c r="BZ143" s="9">
        <f t="shared" si="463"/>
        <v>0.96044432035915817</v>
      </c>
      <c r="CA143" s="9">
        <f t="shared" si="464"/>
        <v>0.74299999999999999</v>
      </c>
      <c r="CB143" s="9">
        <f t="shared" si="465"/>
        <v>1.5816166822222031</v>
      </c>
      <c r="CC143" s="9" t="e">
        <f t="shared" si="466"/>
        <v>#REF!</v>
      </c>
      <c r="CD143" s="9">
        <v>1</v>
      </c>
      <c r="CE143" s="9" t="e">
        <f>4*CC143*#REF!+60*CC143</f>
        <v>#REF!</v>
      </c>
      <c r="CG143" s="4" t="e">
        <f t="shared" si="501"/>
        <v>#REF!</v>
      </c>
      <c r="CH143" s="4" t="e">
        <f t="shared" si="502"/>
        <v>#REF!</v>
      </c>
      <c r="CI143" s="4" t="e">
        <f t="shared" si="530"/>
        <v>#REF!</v>
      </c>
      <c r="CJ143" s="4" t="e">
        <f t="shared" si="484"/>
        <v>#REF!</v>
      </c>
      <c r="CK143" s="4" t="e">
        <f t="shared" si="531"/>
        <v>#REF!</v>
      </c>
      <c r="CL143" s="4" t="e">
        <f t="shared" si="532"/>
        <v>#REF!</v>
      </c>
      <c r="CM143" s="4" t="e">
        <f t="shared" si="481"/>
        <v>#REF!</v>
      </c>
      <c r="CU143" s="4" t="e">
        <f t="shared" si="535"/>
        <v>#REF!</v>
      </c>
      <c r="CV143" s="4" t="e">
        <f t="shared" si="536"/>
        <v>#REF!</v>
      </c>
      <c r="CW143" s="4" t="e">
        <f t="shared" si="537"/>
        <v>#REF!</v>
      </c>
      <c r="CX143" s="4" t="e">
        <f t="shared" si="538"/>
        <v>#REF!</v>
      </c>
      <c r="CY143" s="4" t="e">
        <f t="shared" si="539"/>
        <v>#REF!</v>
      </c>
      <c r="CZ143" s="4" t="e">
        <f t="shared" si="540"/>
        <v>#REF!</v>
      </c>
      <c r="DB143" s="4">
        <f t="shared" si="518"/>
        <v>4</v>
      </c>
      <c r="DC143" s="4" t="e">
        <f t="shared" si="467"/>
        <v>#REF!</v>
      </c>
      <c r="DD143" s="4" t="e">
        <f>#REF!/E143</f>
        <v>#REF!</v>
      </c>
      <c r="DF143" s="4" t="e">
        <f t="shared" si="468"/>
        <v>#REF!</v>
      </c>
      <c r="DG143" s="4" t="e">
        <f t="shared" si="519"/>
        <v>#REF!</v>
      </c>
      <c r="DH143" s="4" t="e">
        <f t="shared" si="486"/>
        <v>#REF!</v>
      </c>
      <c r="DI143" s="4" t="e">
        <f t="shared" si="359"/>
        <v>#REF!</v>
      </c>
      <c r="DJ143" s="4" t="e">
        <f t="shared" si="360"/>
        <v>#REF!</v>
      </c>
      <c r="DK143" s="4" t="e">
        <f t="shared" si="487"/>
        <v>#REF!</v>
      </c>
      <c r="DL143" s="38" t="e">
        <f t="shared" si="469"/>
        <v>#REF!</v>
      </c>
      <c r="DM143" s="4" t="e">
        <f t="shared" si="361"/>
        <v>#REF!</v>
      </c>
      <c r="DN143" s="4">
        <f t="shared" si="488"/>
        <v>2.2360679774997898</v>
      </c>
      <c r="DO143" s="4" t="e">
        <f t="shared" si="363"/>
        <v>#REF!</v>
      </c>
      <c r="DS143" s="4">
        <f t="shared" si="470"/>
        <v>1</v>
      </c>
      <c r="DT143" s="4">
        <f t="shared" si="471"/>
        <v>1</v>
      </c>
      <c r="DU143" s="4">
        <f t="shared" si="472"/>
        <v>0.81019487505501497</v>
      </c>
      <c r="DV143" s="4">
        <f t="shared" si="504"/>
        <v>0.81019487505501497</v>
      </c>
      <c r="DX143" s="4" t="e">
        <f t="shared" si="473"/>
        <v>#REF!</v>
      </c>
      <c r="DY143" s="25" t="e">
        <f t="shared" si="505"/>
        <v>#REF!</v>
      </c>
      <c r="EB143" s="4" t="e">
        <f t="shared" si="436"/>
        <v>#REF!</v>
      </c>
      <c r="EC143" s="4" t="e">
        <f t="shared" si="474"/>
        <v>#REF!</v>
      </c>
      <c r="EE143" s="4">
        <f t="shared" si="475"/>
        <v>63.951544156493995</v>
      </c>
      <c r="EF143" s="4">
        <f t="shared" si="520"/>
        <v>2.2360679774997898</v>
      </c>
      <c r="EG143" s="4" t="e">
        <f t="shared" si="476"/>
        <v>#REF!</v>
      </c>
      <c r="EJ143" s="4" t="e">
        <f t="shared" si="506"/>
        <v>#REF!</v>
      </c>
      <c r="EK143" s="4" t="e">
        <f t="shared" si="477"/>
        <v>#REF!</v>
      </c>
      <c r="EL143" s="4" t="e">
        <f t="shared" si="521"/>
        <v>#REF!</v>
      </c>
      <c r="EM143" s="4" t="e">
        <f t="shared" si="507"/>
        <v>#REF!</v>
      </c>
      <c r="EN143" s="4" t="e">
        <f t="shared" si="522"/>
        <v>#REF!</v>
      </c>
      <c r="EO143" s="4" t="e">
        <f t="shared" si="523"/>
        <v>#REF!</v>
      </c>
      <c r="EP143" s="4" t="e">
        <f t="shared" si="478"/>
        <v>#REF!</v>
      </c>
      <c r="EQ143" s="4" t="e">
        <f t="shared" si="508"/>
        <v>#REF!</v>
      </c>
      <c r="ER143" s="4" t="e">
        <f t="shared" si="479"/>
        <v>#REF!</v>
      </c>
      <c r="ES143" s="4" t="e">
        <f t="shared" si="524"/>
        <v>#REF!</v>
      </c>
      <c r="ET143" s="4" t="e">
        <f t="shared" si="525"/>
        <v>#REF!</v>
      </c>
      <c r="EV143" s="4" t="e">
        <f t="shared" si="489"/>
        <v>#REF!</v>
      </c>
      <c r="FA143" s="23" t="e">
        <f t="shared" si="490"/>
        <v>#REF!</v>
      </c>
      <c r="FB143" s="23" t="e">
        <f t="shared" si="491"/>
        <v>#REF!</v>
      </c>
      <c r="FC143" s="23" t="e">
        <f t="shared" si="527"/>
        <v>#REF!</v>
      </c>
      <c r="FD143" s="23" t="e">
        <f t="shared" si="492"/>
        <v>#REF!</v>
      </c>
      <c r="FE143" s="23" t="e">
        <f t="shared" si="493"/>
        <v>#REF!</v>
      </c>
      <c r="FF143" s="23" t="e">
        <f t="shared" si="494"/>
        <v>#REF!</v>
      </c>
      <c r="FG143" s="23" t="e">
        <f t="shared" si="533"/>
        <v>#REF!</v>
      </c>
      <c r="FH143" s="23"/>
      <c r="FR143" s="4">
        <f t="shared" si="351"/>
        <v>1.25</v>
      </c>
      <c r="FS143" s="4" t="e">
        <f t="shared" si="352"/>
        <v>#REF!</v>
      </c>
      <c r="FT143" s="4">
        <f t="shared" si="353"/>
        <v>0.3</v>
      </c>
      <c r="FU143" s="4" t="e">
        <f t="shared" si="354"/>
        <v>#REF!</v>
      </c>
    </row>
    <row r="144" spans="2:177" ht="12" customHeight="1" x14ac:dyDescent="0.3">
      <c r="B144" s="24"/>
      <c r="C144" s="7" t="s">
        <v>149</v>
      </c>
      <c r="D144" s="7">
        <v>710</v>
      </c>
      <c r="E144" s="7" t="e">
        <f>G144*#REF!</f>
        <v>#REF!</v>
      </c>
      <c r="F144" s="7">
        <v>40.1</v>
      </c>
      <c r="G144" s="7">
        <v>28.6</v>
      </c>
      <c r="H144" s="7">
        <v>261</v>
      </c>
      <c r="I144" s="7">
        <f t="shared" si="528"/>
        <v>28.6</v>
      </c>
      <c r="J144" s="7"/>
      <c r="K144" s="7">
        <f t="shared" si="526"/>
        <v>28.6</v>
      </c>
      <c r="L144" s="7">
        <v>2</v>
      </c>
      <c r="M144" s="7">
        <f t="shared" si="495"/>
        <v>58.2</v>
      </c>
      <c r="N144" s="7">
        <f t="shared" si="510"/>
        <v>1</v>
      </c>
      <c r="O144" s="7">
        <f t="shared" si="496"/>
        <v>1.5000000000000002</v>
      </c>
      <c r="P144" s="7">
        <f t="shared" si="509"/>
        <v>4</v>
      </c>
      <c r="Q144" s="7">
        <f t="shared" si="511"/>
        <v>4</v>
      </c>
      <c r="R144" s="7">
        <v>5</v>
      </c>
      <c r="S144" s="7">
        <f t="shared" si="447"/>
        <v>63.951544156493995</v>
      </c>
      <c r="T144" s="7"/>
      <c r="U144" s="7"/>
      <c r="V144" s="7">
        <v>522</v>
      </c>
      <c r="W144" s="7"/>
      <c r="X144" s="7" t="e">
        <f t="shared" si="482"/>
        <v>#REF!</v>
      </c>
      <c r="Y144" s="7">
        <v>9.5</v>
      </c>
      <c r="Z144" s="7">
        <v>12</v>
      </c>
      <c r="AA144" s="7">
        <v>39</v>
      </c>
      <c r="AB144" s="7">
        <v>12</v>
      </c>
      <c r="AC144" s="7">
        <v>12</v>
      </c>
      <c r="AD144" s="7">
        <f t="shared" si="534"/>
        <v>2.5</v>
      </c>
      <c r="AE144" s="4" t="e">
        <f t="shared" si="483"/>
        <v>#REF!</v>
      </c>
      <c r="AF144" s="46" t="e">
        <f t="shared" si="497"/>
        <v>#REF!</v>
      </c>
      <c r="AG144" s="25" t="e">
        <f t="shared" si="448"/>
        <v>#REF!</v>
      </c>
      <c r="AH144" s="4" t="e">
        <f t="shared" si="449"/>
        <v>#REF!</v>
      </c>
      <c r="AI144" s="4">
        <v>1.25</v>
      </c>
      <c r="AJ144" s="25">
        <f t="shared" si="438"/>
        <v>5</v>
      </c>
      <c r="AK144" s="38" t="e">
        <f t="shared" si="480"/>
        <v>#REF!</v>
      </c>
      <c r="AL144" s="38" t="e">
        <f t="shared" si="356"/>
        <v>#REF!</v>
      </c>
      <c r="AN144" s="38" t="e">
        <f t="shared" si="498"/>
        <v>#REF!</v>
      </c>
      <c r="AO144" s="38" t="e">
        <f t="shared" si="316"/>
        <v>#REF!</v>
      </c>
      <c r="AP144" s="38" t="e">
        <f t="shared" si="357"/>
        <v>#REF!</v>
      </c>
      <c r="AQ144" s="4" t="e">
        <f t="shared" si="443"/>
        <v>#REF!</v>
      </c>
      <c r="AR144" s="4" t="e">
        <f>#REF!/G144*F144^0.5/0.19</f>
        <v>#REF!</v>
      </c>
      <c r="AS144" s="4">
        <f t="shared" si="450"/>
        <v>1.2000000000000002</v>
      </c>
      <c r="AT144" s="38">
        <f t="shared" si="451"/>
        <v>192.48000000000005</v>
      </c>
      <c r="AU144" s="4">
        <f t="shared" si="452"/>
        <v>0.44000000000000006</v>
      </c>
      <c r="AV144" s="4" t="e">
        <f>AU144*D144*#REF!/(D144*G144/2.75/F144^0.5)</f>
        <v>#REF!</v>
      </c>
      <c r="AW144" s="4" t="e">
        <f t="shared" si="499"/>
        <v>#REF!</v>
      </c>
      <c r="AY144" s="36">
        <f t="shared" si="529"/>
        <v>2.125</v>
      </c>
      <c r="AZ144" s="36" t="e">
        <f>(1.6*#REF!+22)*AY144*F144^0.5</f>
        <v>#REF!</v>
      </c>
      <c r="BE144" s="4">
        <f t="shared" si="453"/>
        <v>20.700000000000003</v>
      </c>
      <c r="BF144" s="4">
        <f t="shared" si="454"/>
        <v>20.700000000000003</v>
      </c>
      <c r="BG144" s="4">
        <f t="shared" si="455"/>
        <v>58.2</v>
      </c>
      <c r="BH144" s="4">
        <f t="shared" si="456"/>
        <v>35</v>
      </c>
      <c r="BI144" s="4">
        <f t="shared" si="512"/>
        <v>1.181159420289855</v>
      </c>
      <c r="BJ144" s="25">
        <f t="shared" si="457"/>
        <v>4</v>
      </c>
      <c r="BL144" s="4">
        <f t="shared" si="458"/>
        <v>14.3</v>
      </c>
      <c r="BP144" s="9"/>
      <c r="BR144" s="9"/>
      <c r="BS144" s="9"/>
      <c r="BT144" s="9">
        <f t="shared" si="459"/>
        <v>14.3</v>
      </c>
      <c r="BU144" s="9">
        <f t="shared" si="460"/>
        <v>28.6</v>
      </c>
      <c r="BV144" s="9">
        <f t="shared" si="461"/>
        <v>0.78458409789675088</v>
      </c>
      <c r="BW144" s="9">
        <v>20</v>
      </c>
      <c r="BX144" s="9">
        <f t="shared" si="462"/>
        <v>0.05</v>
      </c>
      <c r="BY144" s="9">
        <f t="shared" si="500"/>
        <v>0.8</v>
      </c>
      <c r="BZ144" s="9">
        <f t="shared" si="463"/>
        <v>0.96044432035915817</v>
      </c>
      <c r="CA144" s="9">
        <f t="shared" si="464"/>
        <v>0.74299999999999999</v>
      </c>
      <c r="CB144" s="9">
        <f t="shared" si="465"/>
        <v>1.5816166822222031</v>
      </c>
      <c r="CC144" s="9">
        <f t="shared" si="466"/>
        <v>2.5062046436175218</v>
      </c>
      <c r="CD144" s="9">
        <v>1</v>
      </c>
      <c r="CE144" s="9" t="e">
        <f>4*CC144*#REF!+60*CC144</f>
        <v>#REF!</v>
      </c>
      <c r="CG144" s="4" t="e">
        <f t="shared" si="501"/>
        <v>#REF!</v>
      </c>
      <c r="CH144" s="4" t="e">
        <f t="shared" si="502"/>
        <v>#REF!</v>
      </c>
      <c r="CI144" s="4" t="e">
        <f t="shared" si="530"/>
        <v>#REF!</v>
      </c>
      <c r="CJ144" s="4" t="e">
        <f t="shared" si="484"/>
        <v>#REF!</v>
      </c>
      <c r="CK144" s="4" t="e">
        <f t="shared" si="531"/>
        <v>#REF!</v>
      </c>
      <c r="CL144" s="4" t="e">
        <f t="shared" si="532"/>
        <v>#REF!</v>
      </c>
      <c r="CM144" s="4" t="e">
        <f t="shared" si="481"/>
        <v>#REF!</v>
      </c>
      <c r="CU144" s="4" t="e">
        <f t="shared" si="535"/>
        <v>#REF!</v>
      </c>
      <c r="CV144" s="4" t="e">
        <f t="shared" si="536"/>
        <v>#REF!</v>
      </c>
      <c r="CW144" s="4" t="e">
        <f t="shared" si="537"/>
        <v>#REF!</v>
      </c>
      <c r="CX144" s="4" t="e">
        <f t="shared" si="538"/>
        <v>#REF!</v>
      </c>
      <c r="CY144" s="4" t="e">
        <f t="shared" si="539"/>
        <v>#REF!</v>
      </c>
      <c r="CZ144" s="4" t="e">
        <f t="shared" si="540"/>
        <v>#REF!</v>
      </c>
      <c r="DB144" s="4">
        <f t="shared" si="518"/>
        <v>12</v>
      </c>
      <c r="DC144" s="4" t="e">
        <f t="shared" si="467"/>
        <v>#REF!</v>
      </c>
      <c r="DD144" s="4" t="e">
        <f>#REF!/E144</f>
        <v>#REF!</v>
      </c>
      <c r="DF144" s="4" t="e">
        <f t="shared" si="468"/>
        <v>#REF!</v>
      </c>
      <c r="DG144" s="4">
        <f t="shared" si="519"/>
        <v>9.2491441045464668</v>
      </c>
      <c r="DH144" s="4" t="e">
        <f t="shared" si="486"/>
        <v>#REF!</v>
      </c>
      <c r="DI144" s="4" t="e">
        <f t="shared" si="359"/>
        <v>#REF!</v>
      </c>
      <c r="DJ144" s="4" t="e">
        <f t="shared" si="360"/>
        <v>#REF!</v>
      </c>
      <c r="DK144" s="4" t="e">
        <f t="shared" si="487"/>
        <v>#REF!</v>
      </c>
      <c r="DL144" s="38" t="e">
        <f t="shared" si="469"/>
        <v>#REF!</v>
      </c>
      <c r="DM144" s="4" t="e">
        <f t="shared" si="361"/>
        <v>#REF!</v>
      </c>
      <c r="DN144" s="4">
        <f t="shared" si="488"/>
        <v>2.2360679774997898</v>
      </c>
      <c r="DO144" s="4" t="e">
        <f t="shared" si="363"/>
        <v>#REF!</v>
      </c>
      <c r="DS144" s="4">
        <f t="shared" si="470"/>
        <v>1</v>
      </c>
      <c r="DT144" s="4">
        <f t="shared" si="471"/>
        <v>1</v>
      </c>
      <c r="DU144" s="4">
        <f t="shared" si="472"/>
        <v>0.7</v>
      </c>
      <c r="DV144" s="4">
        <f t="shared" si="504"/>
        <v>0.7</v>
      </c>
      <c r="DX144" s="4" t="e">
        <f t="shared" si="473"/>
        <v>#REF!</v>
      </c>
      <c r="DY144" s="25" t="e">
        <f t="shared" si="505"/>
        <v>#REF!</v>
      </c>
      <c r="EB144" s="4">
        <f t="shared" si="436"/>
        <v>9.2491441045464668</v>
      </c>
      <c r="EC144" s="4">
        <f t="shared" si="474"/>
        <v>9.2491441045464668</v>
      </c>
      <c r="EE144" s="4">
        <f t="shared" si="475"/>
        <v>63.951544156493995</v>
      </c>
      <c r="EF144" s="4">
        <f t="shared" si="520"/>
        <v>2.2360679774997898</v>
      </c>
      <c r="EG144" s="4" t="e">
        <f t="shared" si="476"/>
        <v>#REF!</v>
      </c>
      <c r="EJ144" s="4" t="e">
        <f t="shared" si="506"/>
        <v>#REF!</v>
      </c>
      <c r="EK144" s="4" t="e">
        <f t="shared" si="477"/>
        <v>#REF!</v>
      </c>
      <c r="EL144" s="4" t="e">
        <f t="shared" si="521"/>
        <v>#REF!</v>
      </c>
      <c r="EM144" s="4" t="e">
        <f t="shared" si="507"/>
        <v>#REF!</v>
      </c>
      <c r="EN144" s="4" t="e">
        <f t="shared" si="522"/>
        <v>#REF!</v>
      </c>
      <c r="EO144" s="4" t="e">
        <f t="shared" si="523"/>
        <v>#REF!</v>
      </c>
      <c r="EP144" s="4" t="e">
        <f t="shared" si="478"/>
        <v>#REF!</v>
      </c>
      <c r="EQ144" s="4" t="e">
        <f t="shared" si="508"/>
        <v>#REF!</v>
      </c>
      <c r="ER144" s="4" t="e">
        <f t="shared" si="479"/>
        <v>#REF!</v>
      </c>
      <c r="ES144" s="4" t="e">
        <f t="shared" si="524"/>
        <v>#REF!</v>
      </c>
      <c r="ET144" s="4" t="e">
        <f t="shared" si="525"/>
        <v>#REF!</v>
      </c>
      <c r="EV144" s="4" t="e">
        <f t="shared" si="489"/>
        <v>#REF!</v>
      </c>
      <c r="FA144" s="23" t="e">
        <f t="shared" si="490"/>
        <v>#REF!</v>
      </c>
      <c r="FB144" s="23" t="e">
        <f t="shared" si="491"/>
        <v>#REF!</v>
      </c>
      <c r="FC144" s="23" t="e">
        <f t="shared" si="527"/>
        <v>#REF!</v>
      </c>
      <c r="FD144" s="23" t="e">
        <f t="shared" si="492"/>
        <v>#REF!</v>
      </c>
      <c r="FE144" s="23" t="e">
        <f t="shared" si="493"/>
        <v>#REF!</v>
      </c>
      <c r="FF144" s="23" t="e">
        <f t="shared" si="494"/>
        <v>#REF!</v>
      </c>
      <c r="FG144" s="23" t="e">
        <f t="shared" si="533"/>
        <v>#REF!</v>
      </c>
      <c r="FH144" s="23"/>
      <c r="FR144" s="4">
        <f t="shared" si="351"/>
        <v>1.25</v>
      </c>
      <c r="FS144" s="4">
        <f t="shared" si="352"/>
        <v>0.67768622629572395</v>
      </c>
      <c r="FT144" s="4">
        <f t="shared" si="353"/>
        <v>0.3</v>
      </c>
      <c r="FU144" s="4" t="e">
        <f t="shared" si="354"/>
        <v>#REF!</v>
      </c>
    </row>
    <row r="145" spans="1:177" ht="12" customHeight="1" x14ac:dyDescent="0.3">
      <c r="B145" s="24"/>
      <c r="C145" s="7" t="s">
        <v>150</v>
      </c>
      <c r="D145" s="7">
        <v>710</v>
      </c>
      <c r="E145" s="7" t="e">
        <f>G145*#REF!</f>
        <v>#REF!</v>
      </c>
      <c r="F145" s="7">
        <v>40.1</v>
      </c>
      <c r="G145" s="7">
        <v>28.6</v>
      </c>
      <c r="H145" s="7">
        <v>261</v>
      </c>
      <c r="I145" s="7">
        <f t="shared" si="528"/>
        <v>28.6</v>
      </c>
      <c r="J145" s="7"/>
      <c r="K145" s="7">
        <f t="shared" si="526"/>
        <v>28.6</v>
      </c>
      <c r="L145" s="7">
        <v>2</v>
      </c>
      <c r="M145" s="7">
        <f t="shared" si="495"/>
        <v>58.2</v>
      </c>
      <c r="N145" s="7">
        <f t="shared" si="510"/>
        <v>1</v>
      </c>
      <c r="O145" s="7">
        <f t="shared" si="496"/>
        <v>1.5000000000000002</v>
      </c>
      <c r="P145" s="7">
        <f t="shared" si="509"/>
        <v>4</v>
      </c>
      <c r="Q145" s="7">
        <f t="shared" si="511"/>
        <v>4</v>
      </c>
      <c r="R145" s="7">
        <v>5</v>
      </c>
      <c r="S145" s="7">
        <f t="shared" si="447"/>
        <v>63.951544156493995</v>
      </c>
      <c r="T145" s="7"/>
      <c r="U145" s="7"/>
      <c r="V145" s="7">
        <v>681</v>
      </c>
      <c r="W145" s="7"/>
      <c r="X145" s="7" t="e">
        <f t="shared" si="482"/>
        <v>#REF!</v>
      </c>
      <c r="Y145" s="7">
        <v>9.5</v>
      </c>
      <c r="Z145" s="7">
        <v>15</v>
      </c>
      <c r="AA145" s="7">
        <v>39</v>
      </c>
      <c r="AB145" s="7">
        <v>15</v>
      </c>
      <c r="AC145" s="7">
        <v>15</v>
      </c>
      <c r="AD145" s="7">
        <f t="shared" si="534"/>
        <v>2.5</v>
      </c>
      <c r="AE145" s="4" t="e">
        <f t="shared" si="483"/>
        <v>#REF!</v>
      </c>
      <c r="AF145" s="46" t="e">
        <f t="shared" si="497"/>
        <v>#REF!</v>
      </c>
      <c r="AG145" s="25" t="e">
        <f t="shared" si="448"/>
        <v>#REF!</v>
      </c>
      <c r="AH145" s="4" t="e">
        <f t="shared" si="449"/>
        <v>#REF!</v>
      </c>
      <c r="AI145" s="4">
        <v>1.25</v>
      </c>
      <c r="AJ145" s="25">
        <f t="shared" si="438"/>
        <v>5</v>
      </c>
      <c r="AK145" s="38" t="e">
        <f t="shared" si="480"/>
        <v>#REF!</v>
      </c>
      <c r="AL145" s="38" t="e">
        <f t="shared" si="356"/>
        <v>#REF!</v>
      </c>
      <c r="AN145" s="38" t="e">
        <f t="shared" si="498"/>
        <v>#REF!</v>
      </c>
      <c r="AO145" s="38" t="e">
        <f t="shared" si="316"/>
        <v>#REF!</v>
      </c>
      <c r="AP145" s="38" t="e">
        <f t="shared" si="357"/>
        <v>#REF!</v>
      </c>
      <c r="AQ145" s="4" t="e">
        <f t="shared" si="443"/>
        <v>#REF!</v>
      </c>
      <c r="AR145" s="4" t="e">
        <f>#REF!/G145*F145^0.5/0.19</f>
        <v>#REF!</v>
      </c>
      <c r="AS145" s="4">
        <f t="shared" si="450"/>
        <v>1.2000000000000002</v>
      </c>
      <c r="AT145" s="38">
        <f t="shared" si="451"/>
        <v>192.48000000000005</v>
      </c>
      <c r="AU145" s="4">
        <f t="shared" si="452"/>
        <v>0.44000000000000006</v>
      </c>
      <c r="AV145" s="4" t="e">
        <f>AU145*D145*#REF!/(D145*G145/2.75/F145^0.5)</f>
        <v>#REF!</v>
      </c>
      <c r="AW145" s="4" t="e">
        <f t="shared" si="499"/>
        <v>#REF!</v>
      </c>
      <c r="AY145" s="36">
        <f t="shared" si="529"/>
        <v>2.125</v>
      </c>
      <c r="AZ145" s="36" t="e">
        <f>(1.6*#REF!+22)*AY145*F145^0.5</f>
        <v>#REF!</v>
      </c>
      <c r="BE145" s="4">
        <f t="shared" si="453"/>
        <v>20.700000000000003</v>
      </c>
      <c r="BF145" s="4">
        <f t="shared" si="454"/>
        <v>20.700000000000003</v>
      </c>
      <c r="BG145" s="4">
        <f t="shared" si="455"/>
        <v>58.2</v>
      </c>
      <c r="BH145" s="4">
        <f t="shared" si="456"/>
        <v>35</v>
      </c>
      <c r="BI145" s="4">
        <f t="shared" si="512"/>
        <v>1.181159420289855</v>
      </c>
      <c r="BJ145" s="25">
        <f t="shared" si="457"/>
        <v>4</v>
      </c>
      <c r="BL145" s="4">
        <f t="shared" si="458"/>
        <v>14.3</v>
      </c>
      <c r="BP145" s="9"/>
      <c r="BR145" s="9"/>
      <c r="BS145" s="9"/>
      <c r="BT145" s="9">
        <f t="shared" si="459"/>
        <v>14.3</v>
      </c>
      <c r="BU145" s="9">
        <f t="shared" si="460"/>
        <v>28.6</v>
      </c>
      <c r="BV145" s="9">
        <f t="shared" si="461"/>
        <v>0.78458409789675088</v>
      </c>
      <c r="BW145" s="9">
        <v>20</v>
      </c>
      <c r="BX145" s="9">
        <f t="shared" si="462"/>
        <v>0.05</v>
      </c>
      <c r="BY145" s="9">
        <f t="shared" si="500"/>
        <v>0.8</v>
      </c>
      <c r="BZ145" s="9">
        <f t="shared" si="463"/>
        <v>0.96044432035915817</v>
      </c>
      <c r="CA145" s="9">
        <f t="shared" si="464"/>
        <v>0.74299999999999999</v>
      </c>
      <c r="CB145" s="9">
        <f t="shared" si="465"/>
        <v>1.5816166822222031</v>
      </c>
      <c r="CC145" s="9">
        <f t="shared" si="466"/>
        <v>2.5062046436175218</v>
      </c>
      <c r="CD145" s="9">
        <v>1</v>
      </c>
      <c r="CE145" s="9" t="e">
        <f>4*CC145*#REF!+60*CC145</f>
        <v>#REF!</v>
      </c>
      <c r="CG145" s="4" t="e">
        <f t="shared" si="501"/>
        <v>#REF!</v>
      </c>
      <c r="CH145" s="4" t="e">
        <f t="shared" si="502"/>
        <v>#REF!</v>
      </c>
      <c r="CI145" s="4" t="e">
        <f t="shared" si="530"/>
        <v>#REF!</v>
      </c>
      <c r="CJ145" s="4" t="e">
        <f t="shared" si="484"/>
        <v>#REF!</v>
      </c>
      <c r="CK145" s="4" t="e">
        <f t="shared" si="531"/>
        <v>#REF!</v>
      </c>
      <c r="CL145" s="4" t="e">
        <f t="shared" si="532"/>
        <v>#REF!</v>
      </c>
      <c r="CM145" s="4" t="e">
        <f t="shared" si="481"/>
        <v>#REF!</v>
      </c>
      <c r="CU145" s="4" t="e">
        <f t="shared" si="535"/>
        <v>#REF!</v>
      </c>
      <c r="CV145" s="4" t="e">
        <f t="shared" si="536"/>
        <v>#REF!</v>
      </c>
      <c r="CW145" s="4" t="e">
        <f t="shared" si="537"/>
        <v>#REF!</v>
      </c>
      <c r="CX145" s="4" t="e">
        <f t="shared" si="538"/>
        <v>#REF!</v>
      </c>
      <c r="CY145" s="4" t="e">
        <f t="shared" si="539"/>
        <v>#REF!</v>
      </c>
      <c r="CZ145" s="4" t="e">
        <f t="shared" si="540"/>
        <v>#REF!</v>
      </c>
      <c r="DB145" s="4">
        <f t="shared" si="518"/>
        <v>15</v>
      </c>
      <c r="DC145" s="4" t="e">
        <f t="shared" si="467"/>
        <v>#REF!</v>
      </c>
      <c r="DD145" s="4" t="e">
        <f>#REF!/E145</f>
        <v>#REF!</v>
      </c>
      <c r="DF145" s="4" t="e">
        <f t="shared" si="468"/>
        <v>#REF!</v>
      </c>
      <c r="DG145" s="4">
        <f t="shared" si="519"/>
        <v>9.2491441045464668</v>
      </c>
      <c r="DH145" s="4" t="e">
        <f t="shared" si="486"/>
        <v>#REF!</v>
      </c>
      <c r="DI145" s="4" t="e">
        <f t="shared" si="359"/>
        <v>#REF!</v>
      </c>
      <c r="DJ145" s="4" t="e">
        <f t="shared" si="360"/>
        <v>#REF!</v>
      </c>
      <c r="DK145" s="4" t="e">
        <f t="shared" si="487"/>
        <v>#REF!</v>
      </c>
      <c r="DL145" s="38" t="e">
        <f t="shared" si="469"/>
        <v>#REF!</v>
      </c>
      <c r="DM145" s="4" t="e">
        <f t="shared" si="361"/>
        <v>#REF!</v>
      </c>
      <c r="DN145" s="4">
        <f t="shared" si="488"/>
        <v>2.2360679774997898</v>
      </c>
      <c r="DO145" s="4" t="e">
        <f t="shared" si="363"/>
        <v>#REF!</v>
      </c>
      <c r="DS145" s="4">
        <f t="shared" si="470"/>
        <v>1</v>
      </c>
      <c r="DT145" s="4">
        <f t="shared" si="471"/>
        <v>1</v>
      </c>
      <c r="DU145" s="4">
        <f t="shared" si="472"/>
        <v>0.7</v>
      </c>
      <c r="DV145" s="4">
        <f t="shared" si="504"/>
        <v>0.7</v>
      </c>
      <c r="DX145" s="4" t="e">
        <f t="shared" si="473"/>
        <v>#REF!</v>
      </c>
      <c r="DY145" s="25" t="e">
        <f t="shared" si="505"/>
        <v>#REF!</v>
      </c>
      <c r="EB145" s="4">
        <f t="shared" si="436"/>
        <v>9.2491441045464668</v>
      </c>
      <c r="EC145" s="4">
        <f t="shared" si="474"/>
        <v>9.2491441045464668</v>
      </c>
      <c r="EE145" s="4">
        <f t="shared" si="475"/>
        <v>63.951544156493995</v>
      </c>
      <c r="EF145" s="4">
        <f t="shared" si="520"/>
        <v>2.2360679774997898</v>
      </c>
      <c r="EG145" s="4" t="e">
        <f t="shared" si="476"/>
        <v>#REF!</v>
      </c>
      <c r="EJ145" s="4" t="e">
        <f t="shared" si="506"/>
        <v>#REF!</v>
      </c>
      <c r="EK145" s="4" t="e">
        <f t="shared" si="477"/>
        <v>#REF!</v>
      </c>
      <c r="EL145" s="4" t="e">
        <f t="shared" si="521"/>
        <v>#REF!</v>
      </c>
      <c r="EM145" s="4" t="e">
        <f t="shared" si="507"/>
        <v>#REF!</v>
      </c>
      <c r="EN145" s="4" t="e">
        <f t="shared" si="522"/>
        <v>#REF!</v>
      </c>
      <c r="EO145" s="4" t="e">
        <f t="shared" si="523"/>
        <v>#REF!</v>
      </c>
      <c r="EP145" s="4" t="e">
        <f t="shared" si="478"/>
        <v>#REF!</v>
      </c>
      <c r="EQ145" s="4" t="e">
        <f t="shared" si="508"/>
        <v>#REF!</v>
      </c>
      <c r="ER145" s="4" t="e">
        <f t="shared" si="479"/>
        <v>#REF!</v>
      </c>
      <c r="ES145" s="4" t="e">
        <f t="shared" si="524"/>
        <v>#REF!</v>
      </c>
      <c r="ET145" s="4" t="e">
        <f t="shared" si="525"/>
        <v>#REF!</v>
      </c>
      <c r="EV145" s="4" t="e">
        <f t="shared" si="489"/>
        <v>#REF!</v>
      </c>
      <c r="FA145" s="23" t="e">
        <f t="shared" si="490"/>
        <v>#REF!</v>
      </c>
      <c r="FB145" s="23" t="e">
        <f t="shared" si="491"/>
        <v>#REF!</v>
      </c>
      <c r="FC145" s="23" t="e">
        <f t="shared" si="527"/>
        <v>#REF!</v>
      </c>
      <c r="FD145" s="23" t="e">
        <f t="shared" si="492"/>
        <v>#REF!</v>
      </c>
      <c r="FE145" s="23" t="e">
        <f t="shared" si="493"/>
        <v>#REF!</v>
      </c>
      <c r="FF145" s="23" t="e">
        <f t="shared" si="494"/>
        <v>#REF!</v>
      </c>
      <c r="FG145" s="23" t="e">
        <f t="shared" si="533"/>
        <v>#REF!</v>
      </c>
      <c r="FH145" s="23"/>
      <c r="FR145" s="4">
        <f t="shared" si="351"/>
        <v>1.25</v>
      </c>
      <c r="FS145" s="4">
        <f t="shared" si="352"/>
        <v>0.67768622629572395</v>
      </c>
      <c r="FT145" s="4">
        <f t="shared" si="353"/>
        <v>0.3</v>
      </c>
      <c r="FU145" s="4" t="e">
        <f t="shared" si="354"/>
        <v>#REF!</v>
      </c>
    </row>
    <row r="146" spans="1:177" ht="12" customHeight="1" x14ac:dyDescent="0.3">
      <c r="B146" s="24"/>
      <c r="C146" s="7" t="s">
        <v>151</v>
      </c>
      <c r="D146" s="7">
        <v>710</v>
      </c>
      <c r="E146" s="7" t="e">
        <f>G146*#REF!</f>
        <v>#REF!</v>
      </c>
      <c r="F146" s="7">
        <v>62.9</v>
      </c>
      <c r="G146" s="7">
        <v>28.6</v>
      </c>
      <c r="H146" s="7">
        <v>261</v>
      </c>
      <c r="I146" s="7">
        <f t="shared" si="528"/>
        <v>28.6</v>
      </c>
      <c r="J146" s="7"/>
      <c r="K146" s="7">
        <f t="shared" si="526"/>
        <v>28.6</v>
      </c>
      <c r="L146" s="7">
        <v>2</v>
      </c>
      <c r="M146" s="7">
        <f t="shared" si="495"/>
        <v>58.2</v>
      </c>
      <c r="N146" s="7">
        <f t="shared" si="510"/>
        <v>1</v>
      </c>
      <c r="O146" s="7">
        <f t="shared" si="496"/>
        <v>1.5000000000000002</v>
      </c>
      <c r="P146" s="7">
        <f t="shared" si="509"/>
        <v>4</v>
      </c>
      <c r="Q146" s="7">
        <f t="shared" si="511"/>
        <v>4</v>
      </c>
      <c r="R146" s="7">
        <v>5</v>
      </c>
      <c r="S146" s="7">
        <f t="shared" si="447"/>
        <v>63.951544156493995</v>
      </c>
      <c r="T146" s="7"/>
      <c r="U146" s="7"/>
      <c r="V146" s="7">
        <v>562</v>
      </c>
      <c r="W146" s="7"/>
      <c r="X146" s="7" t="e">
        <f t="shared" si="482"/>
        <v>#REF!</v>
      </c>
      <c r="Y146" s="7">
        <v>9.5</v>
      </c>
      <c r="Z146" s="7">
        <v>7</v>
      </c>
      <c r="AA146" s="7">
        <v>65</v>
      </c>
      <c r="AB146" s="7">
        <v>7</v>
      </c>
      <c r="AC146" s="7">
        <v>7</v>
      </c>
      <c r="AD146" s="7">
        <f t="shared" si="534"/>
        <v>1.5251680311268359</v>
      </c>
      <c r="AE146" s="4" t="e">
        <f t="shared" si="483"/>
        <v>#REF!</v>
      </c>
      <c r="AF146" s="46" t="e">
        <f t="shared" si="497"/>
        <v>#REF!</v>
      </c>
      <c r="AG146" s="25" t="e">
        <f t="shared" si="448"/>
        <v>#REF!</v>
      </c>
      <c r="AH146" s="4" t="e">
        <f t="shared" si="449"/>
        <v>#REF!</v>
      </c>
      <c r="AI146" s="4">
        <v>1.25</v>
      </c>
      <c r="AJ146" s="25">
        <f t="shared" si="438"/>
        <v>5</v>
      </c>
      <c r="AK146" s="38" t="e">
        <f t="shared" si="480"/>
        <v>#REF!</v>
      </c>
      <c r="AL146" s="38" t="e">
        <f t="shared" si="356"/>
        <v>#REF!</v>
      </c>
      <c r="AN146" s="38" t="e">
        <f t="shared" si="498"/>
        <v>#REF!</v>
      </c>
      <c r="AO146" s="38" t="e">
        <f t="shared" si="316"/>
        <v>#REF!</v>
      </c>
      <c r="AP146" s="38" t="e">
        <f t="shared" si="357"/>
        <v>#REF!</v>
      </c>
      <c r="AQ146" s="4" t="e">
        <f t="shared" si="443"/>
        <v>#REF!</v>
      </c>
      <c r="AR146" s="4" t="e">
        <f>#REF!/G146*F146^0.5/0.19</f>
        <v>#REF!</v>
      </c>
      <c r="AS146" s="4">
        <f t="shared" si="450"/>
        <v>1.2000000000000002</v>
      </c>
      <c r="AT146" s="38">
        <f t="shared" si="451"/>
        <v>301.92</v>
      </c>
      <c r="AU146" s="4">
        <f t="shared" si="452"/>
        <v>0.44000000000000006</v>
      </c>
      <c r="AV146" s="4" t="e">
        <f>AU146*D146*#REF!/(D146*G146/2.75/F146^0.5)</f>
        <v>#REF!</v>
      </c>
      <c r="AW146" s="4" t="e">
        <f t="shared" si="499"/>
        <v>#REF!</v>
      </c>
      <c r="AY146" s="36">
        <f t="shared" si="529"/>
        <v>1.6863256140070761</v>
      </c>
      <c r="AZ146" s="36" t="e">
        <f>(1.6*#REF!+22)*AY146*F146^0.5</f>
        <v>#REF!</v>
      </c>
      <c r="BE146" s="4">
        <f t="shared" si="453"/>
        <v>20.700000000000003</v>
      </c>
      <c r="BF146" s="4">
        <f t="shared" si="454"/>
        <v>20.700000000000003</v>
      </c>
      <c r="BG146" s="4">
        <f t="shared" si="455"/>
        <v>58.2</v>
      </c>
      <c r="BH146" s="4">
        <f t="shared" si="456"/>
        <v>35</v>
      </c>
      <c r="BI146" s="4">
        <f t="shared" si="512"/>
        <v>1.181159420289855</v>
      </c>
      <c r="BJ146" s="25">
        <f t="shared" si="457"/>
        <v>3.4014035908980222</v>
      </c>
      <c r="BL146" s="4">
        <f t="shared" si="458"/>
        <v>14.3</v>
      </c>
      <c r="BP146" s="9"/>
      <c r="BR146" s="9"/>
      <c r="BS146" s="9"/>
      <c r="BT146" s="9">
        <f t="shared" si="459"/>
        <v>14.3</v>
      </c>
      <c r="BU146" s="9">
        <f t="shared" si="460"/>
        <v>28.6</v>
      </c>
      <c r="BV146" s="9">
        <f t="shared" si="461"/>
        <v>0.78458409789675088</v>
      </c>
      <c r="BW146" s="9">
        <v>20</v>
      </c>
      <c r="BX146" s="9">
        <f t="shared" si="462"/>
        <v>0.05</v>
      </c>
      <c r="BY146" s="9">
        <f t="shared" si="500"/>
        <v>0.8</v>
      </c>
      <c r="BZ146" s="9">
        <f t="shared" si="463"/>
        <v>0.96044432035915817</v>
      </c>
      <c r="CA146" s="9">
        <f t="shared" si="464"/>
        <v>0.74299999999999999</v>
      </c>
      <c r="CB146" s="9">
        <f t="shared" si="465"/>
        <v>1.9808626966691243</v>
      </c>
      <c r="CC146" s="9">
        <f t="shared" si="466"/>
        <v>3.1388435292587697</v>
      </c>
      <c r="CD146" s="9">
        <v>1</v>
      </c>
      <c r="CE146" s="9" t="e">
        <f>4*CC146*#REF!+60*CC146</f>
        <v>#REF!</v>
      </c>
      <c r="CG146" s="4" t="e">
        <f t="shared" si="501"/>
        <v>#REF!</v>
      </c>
      <c r="CH146" s="4" t="e">
        <f t="shared" si="502"/>
        <v>#REF!</v>
      </c>
      <c r="CI146" s="4" t="e">
        <f t="shared" si="530"/>
        <v>#REF!</v>
      </c>
      <c r="CJ146" s="4" t="e">
        <f t="shared" si="484"/>
        <v>#REF!</v>
      </c>
      <c r="CK146" s="4" t="e">
        <f t="shared" si="531"/>
        <v>#REF!</v>
      </c>
      <c r="CL146" s="4" t="e">
        <f t="shared" si="532"/>
        <v>#REF!</v>
      </c>
      <c r="CM146" s="4" t="e">
        <f t="shared" si="481"/>
        <v>#REF!</v>
      </c>
      <c r="CU146" s="4" t="e">
        <f t="shared" si="535"/>
        <v>#REF!</v>
      </c>
      <c r="CV146" s="4" t="e">
        <f t="shared" si="536"/>
        <v>#REF!</v>
      </c>
      <c r="CW146" s="4" t="e">
        <f t="shared" si="537"/>
        <v>#REF!</v>
      </c>
      <c r="CX146" s="4" t="e">
        <f t="shared" si="538"/>
        <v>#REF!</v>
      </c>
      <c r="CY146" s="4" t="e">
        <f t="shared" si="539"/>
        <v>#REF!</v>
      </c>
      <c r="CZ146" s="4" t="e">
        <f t="shared" si="540"/>
        <v>#REF!</v>
      </c>
      <c r="DB146" s="4">
        <f t="shared" si="518"/>
        <v>7</v>
      </c>
      <c r="DC146" s="4" t="e">
        <f t="shared" si="467"/>
        <v>#REF!</v>
      </c>
      <c r="DD146" s="4" t="e">
        <f>#REF!/E146</f>
        <v>#REF!</v>
      </c>
      <c r="DF146" s="4" t="e">
        <f t="shared" si="468"/>
        <v>#REF!</v>
      </c>
      <c r="DG146" s="4">
        <f t="shared" si="519"/>
        <v>9.850377101520138</v>
      </c>
      <c r="DH146" s="4" t="e">
        <f t="shared" si="486"/>
        <v>#REF!</v>
      </c>
      <c r="DI146" s="4" t="e">
        <f t="shared" si="359"/>
        <v>#REF!</v>
      </c>
      <c r="DJ146" s="4" t="e">
        <f t="shared" si="360"/>
        <v>#REF!</v>
      </c>
      <c r="DK146" s="4" t="e">
        <f t="shared" si="487"/>
        <v>#REF!</v>
      </c>
      <c r="DL146" s="38" t="e">
        <f t="shared" si="469"/>
        <v>#REF!</v>
      </c>
      <c r="DM146" s="4" t="e">
        <f t="shared" si="361"/>
        <v>#REF!</v>
      </c>
      <c r="DN146" s="4">
        <f t="shared" si="488"/>
        <v>2.2360679774997898</v>
      </c>
      <c r="DO146" s="4" t="e">
        <f t="shared" si="363"/>
        <v>#REF!</v>
      </c>
      <c r="DS146" s="4">
        <f t="shared" si="470"/>
        <v>1</v>
      </c>
      <c r="DT146" s="4">
        <f t="shared" si="471"/>
        <v>1</v>
      </c>
      <c r="DU146" s="4">
        <f t="shared" si="472"/>
        <v>0.7</v>
      </c>
      <c r="DV146" s="4">
        <f t="shared" si="504"/>
        <v>0.7</v>
      </c>
      <c r="DX146" s="4" t="e">
        <f t="shared" si="473"/>
        <v>#REF!</v>
      </c>
      <c r="DY146" s="25" t="e">
        <f t="shared" si="505"/>
        <v>#REF!</v>
      </c>
      <c r="EB146" s="4">
        <f t="shared" si="436"/>
        <v>9.850377101520138</v>
      </c>
      <c r="EC146" s="4">
        <f t="shared" si="474"/>
        <v>9.850377101520138</v>
      </c>
      <c r="EE146" s="4">
        <f t="shared" si="475"/>
        <v>63.951544156493995</v>
      </c>
      <c r="EF146" s="4">
        <f t="shared" si="520"/>
        <v>2.2360679774997898</v>
      </c>
      <c r="EG146" s="4" t="e">
        <f t="shared" si="476"/>
        <v>#REF!</v>
      </c>
      <c r="EJ146" s="4" t="e">
        <f t="shared" si="506"/>
        <v>#REF!</v>
      </c>
      <c r="EK146" s="4" t="e">
        <f t="shared" si="477"/>
        <v>#REF!</v>
      </c>
      <c r="EL146" s="4" t="e">
        <f t="shared" si="521"/>
        <v>#REF!</v>
      </c>
      <c r="EM146" s="4" t="e">
        <f t="shared" si="507"/>
        <v>#REF!</v>
      </c>
      <c r="EN146" s="4" t="e">
        <f t="shared" si="522"/>
        <v>#REF!</v>
      </c>
      <c r="EO146" s="4" t="e">
        <f t="shared" si="523"/>
        <v>#REF!</v>
      </c>
      <c r="EP146" s="4" t="e">
        <f t="shared" si="478"/>
        <v>#REF!</v>
      </c>
      <c r="EQ146" s="4" t="e">
        <f t="shared" si="508"/>
        <v>#REF!</v>
      </c>
      <c r="ER146" s="4" t="e">
        <f t="shared" si="479"/>
        <v>#REF!</v>
      </c>
      <c r="ES146" s="4" t="e">
        <f t="shared" si="524"/>
        <v>#REF!</v>
      </c>
      <c r="ET146" s="4" t="e">
        <f t="shared" si="525"/>
        <v>#REF!</v>
      </c>
      <c r="EV146" s="4" t="e">
        <f t="shared" si="489"/>
        <v>#REF!</v>
      </c>
      <c r="FA146" s="23" t="e">
        <f t="shared" si="490"/>
        <v>#REF!</v>
      </c>
      <c r="FB146" s="23" t="e">
        <f t="shared" si="491"/>
        <v>#REF!</v>
      </c>
      <c r="FC146" s="23" t="e">
        <f t="shared" si="527"/>
        <v>#REF!</v>
      </c>
      <c r="FD146" s="23" t="e">
        <f t="shared" si="492"/>
        <v>#REF!</v>
      </c>
      <c r="FE146" s="23" t="e">
        <f t="shared" si="493"/>
        <v>#REF!</v>
      </c>
      <c r="FF146" s="23" t="e">
        <f t="shared" si="494"/>
        <v>#REF!</v>
      </c>
      <c r="FG146" s="23" t="e">
        <f t="shared" si="533"/>
        <v>#REF!</v>
      </c>
      <c r="FH146" s="23"/>
      <c r="FR146" s="4">
        <f t="shared" si="351"/>
        <v>1.25</v>
      </c>
      <c r="FS146" s="4">
        <f t="shared" si="352"/>
        <v>0.67768622629572395</v>
      </c>
      <c r="FT146" s="4">
        <f t="shared" si="353"/>
        <v>0.3</v>
      </c>
      <c r="FU146" s="4" t="e">
        <f t="shared" si="354"/>
        <v>#REF!</v>
      </c>
    </row>
    <row r="147" spans="1:177" ht="12" customHeight="1" x14ac:dyDescent="0.3">
      <c r="B147" s="24"/>
      <c r="C147" s="7" t="s">
        <v>152</v>
      </c>
      <c r="D147" s="7">
        <v>710</v>
      </c>
      <c r="E147" s="7" t="e">
        <f>G147*#REF!</f>
        <v>#REF!</v>
      </c>
      <c r="F147" s="7">
        <v>62.9</v>
      </c>
      <c r="G147" s="7">
        <v>28.6</v>
      </c>
      <c r="H147" s="7">
        <v>261</v>
      </c>
      <c r="I147" s="7">
        <f t="shared" si="528"/>
        <v>28.6</v>
      </c>
      <c r="J147" s="7"/>
      <c r="K147" s="7">
        <f t="shared" si="526"/>
        <v>28.6</v>
      </c>
      <c r="L147" s="7">
        <v>2</v>
      </c>
      <c r="M147" s="7">
        <f t="shared" si="495"/>
        <v>58.2</v>
      </c>
      <c r="N147" s="7">
        <f t="shared" si="510"/>
        <v>1</v>
      </c>
      <c r="O147" s="7">
        <f t="shared" si="496"/>
        <v>1.5000000000000002</v>
      </c>
      <c r="P147" s="7">
        <f t="shared" si="509"/>
        <v>4</v>
      </c>
      <c r="Q147" s="7">
        <f t="shared" si="511"/>
        <v>4</v>
      </c>
      <c r="R147" s="7">
        <v>5</v>
      </c>
      <c r="S147" s="7">
        <f t="shared" si="447"/>
        <v>63.951544156493995</v>
      </c>
      <c r="T147" s="7"/>
      <c r="U147" s="7"/>
      <c r="V147" s="7">
        <v>710</v>
      </c>
      <c r="W147" s="7"/>
      <c r="X147" s="7" t="e">
        <f t="shared" si="482"/>
        <v>#REF!</v>
      </c>
      <c r="Y147" s="7">
        <v>9.5</v>
      </c>
      <c r="Z147" s="7">
        <v>9</v>
      </c>
      <c r="AA147" s="7">
        <v>65</v>
      </c>
      <c r="AB147" s="7">
        <v>9</v>
      </c>
      <c r="AC147" s="7">
        <v>9</v>
      </c>
      <c r="AD147" s="7">
        <f t="shared" si="534"/>
        <v>1.5251680311268359</v>
      </c>
      <c r="AE147" s="4" t="e">
        <f t="shared" si="483"/>
        <v>#REF!</v>
      </c>
      <c r="AF147" s="46" t="e">
        <f t="shared" si="497"/>
        <v>#REF!</v>
      </c>
      <c r="AG147" s="25" t="e">
        <f t="shared" si="448"/>
        <v>#REF!</v>
      </c>
      <c r="AH147" s="4" t="e">
        <f t="shared" si="449"/>
        <v>#REF!</v>
      </c>
      <c r="AI147" s="4">
        <v>1.25</v>
      </c>
      <c r="AJ147" s="25">
        <f t="shared" si="438"/>
        <v>5</v>
      </c>
      <c r="AK147" s="38" t="e">
        <f>AF147*AH147*AI147*AJ147*AG147</f>
        <v>#REF!</v>
      </c>
      <c r="AL147" s="38" t="e">
        <f t="shared" si="356"/>
        <v>#REF!</v>
      </c>
      <c r="AN147" s="38" t="e">
        <f t="shared" si="498"/>
        <v>#REF!</v>
      </c>
      <c r="AO147" s="38" t="e">
        <f t="shared" si="316"/>
        <v>#REF!</v>
      </c>
      <c r="AP147" s="38" t="e">
        <f t="shared" si="357"/>
        <v>#REF!</v>
      </c>
      <c r="AQ147" s="4" t="e">
        <f t="shared" si="443"/>
        <v>#REF!</v>
      </c>
      <c r="AR147" s="4" t="e">
        <f>#REF!/G147*F147^0.5/0.19</f>
        <v>#REF!</v>
      </c>
      <c r="AS147" s="4">
        <f t="shared" si="450"/>
        <v>1.2000000000000002</v>
      </c>
      <c r="AT147" s="38">
        <f t="shared" si="451"/>
        <v>301.92</v>
      </c>
      <c r="AU147" s="4">
        <f t="shared" si="452"/>
        <v>0.44000000000000006</v>
      </c>
      <c r="AV147" s="4" t="e">
        <f>AU147*D147*#REF!/(D147*G147/2.75/F147^0.5)</f>
        <v>#REF!</v>
      </c>
      <c r="AW147" s="4" t="e">
        <f t="shared" si="499"/>
        <v>#REF!</v>
      </c>
      <c r="AY147" s="36">
        <f t="shared" si="529"/>
        <v>1.6863256140070761</v>
      </c>
      <c r="AZ147" s="36" t="e">
        <f>(1.6*#REF!+22)*AY147*F147^0.5</f>
        <v>#REF!</v>
      </c>
      <c r="BE147" s="4">
        <f t="shared" si="453"/>
        <v>20.700000000000003</v>
      </c>
      <c r="BF147" s="4">
        <f t="shared" si="454"/>
        <v>20.700000000000003</v>
      </c>
      <c r="BG147" s="4">
        <f t="shared" si="455"/>
        <v>58.2</v>
      </c>
      <c r="BH147" s="4">
        <f t="shared" si="456"/>
        <v>35</v>
      </c>
      <c r="BI147" s="4">
        <f t="shared" si="512"/>
        <v>1.181159420289855</v>
      </c>
      <c r="BJ147" s="25">
        <f t="shared" si="457"/>
        <v>3.4014035908980222</v>
      </c>
      <c r="BL147" s="4">
        <f t="shared" si="458"/>
        <v>14.3</v>
      </c>
      <c r="BP147" s="9"/>
      <c r="BR147" s="9"/>
      <c r="BS147" s="9"/>
      <c r="BT147" s="9">
        <f t="shared" si="459"/>
        <v>14.3</v>
      </c>
      <c r="BU147" s="9">
        <f t="shared" si="460"/>
        <v>28.6</v>
      </c>
      <c r="BV147" s="9">
        <f t="shared" si="461"/>
        <v>0.78458409789675088</v>
      </c>
      <c r="BW147" s="9">
        <v>20</v>
      </c>
      <c r="BX147" s="9">
        <f t="shared" si="462"/>
        <v>0.05</v>
      </c>
      <c r="BY147" s="9">
        <f t="shared" si="500"/>
        <v>0.8</v>
      </c>
      <c r="BZ147" s="9">
        <f t="shared" si="463"/>
        <v>0.96044432035915817</v>
      </c>
      <c r="CA147" s="9">
        <f t="shared" si="464"/>
        <v>0.74299999999999999</v>
      </c>
      <c r="CB147" s="9">
        <f t="shared" si="465"/>
        <v>1.9808626966691243</v>
      </c>
      <c r="CC147" s="9">
        <f t="shared" si="466"/>
        <v>3.1388435292587697</v>
      </c>
      <c r="CD147" s="9">
        <v>1</v>
      </c>
      <c r="CE147" s="9" t="e">
        <f>4*CC147*#REF!+60*CC147</f>
        <v>#REF!</v>
      </c>
      <c r="CG147" s="4" t="e">
        <f t="shared" si="501"/>
        <v>#REF!</v>
      </c>
      <c r="CH147" s="4" t="e">
        <f t="shared" si="502"/>
        <v>#REF!</v>
      </c>
      <c r="CI147" s="4" t="e">
        <f t="shared" si="530"/>
        <v>#REF!</v>
      </c>
      <c r="CJ147" s="4" t="e">
        <f t="shared" si="484"/>
        <v>#REF!</v>
      </c>
      <c r="CK147" s="4" t="e">
        <f t="shared" si="531"/>
        <v>#REF!</v>
      </c>
      <c r="CL147" s="4" t="e">
        <f t="shared" si="532"/>
        <v>#REF!</v>
      </c>
      <c r="CM147" s="4" t="e">
        <f t="shared" si="481"/>
        <v>#REF!</v>
      </c>
      <c r="CU147" s="4" t="e">
        <f t="shared" si="535"/>
        <v>#REF!</v>
      </c>
      <c r="CV147" s="4" t="e">
        <f t="shared" si="536"/>
        <v>#REF!</v>
      </c>
      <c r="CW147" s="4" t="e">
        <f t="shared" si="537"/>
        <v>#REF!</v>
      </c>
      <c r="CX147" s="4" t="e">
        <f t="shared" si="538"/>
        <v>#REF!</v>
      </c>
      <c r="CY147" s="4" t="e">
        <f t="shared" si="539"/>
        <v>#REF!</v>
      </c>
      <c r="CZ147" s="4" t="e">
        <f t="shared" si="540"/>
        <v>#REF!</v>
      </c>
      <c r="DB147" s="4">
        <f t="shared" si="518"/>
        <v>9</v>
      </c>
      <c r="DC147" s="4" t="e">
        <f t="shared" si="467"/>
        <v>#REF!</v>
      </c>
      <c r="DD147" s="4" t="e">
        <f>#REF!/E147</f>
        <v>#REF!</v>
      </c>
      <c r="DF147" s="4" t="e">
        <f t="shared" si="468"/>
        <v>#REF!</v>
      </c>
      <c r="DG147" s="4">
        <f t="shared" si="519"/>
        <v>9.850377101520138</v>
      </c>
      <c r="DH147" s="4" t="e">
        <f t="shared" si="486"/>
        <v>#REF!</v>
      </c>
      <c r="DI147" s="4" t="e">
        <f t="shared" si="359"/>
        <v>#REF!</v>
      </c>
      <c r="DJ147" s="4" t="e">
        <f t="shared" si="360"/>
        <v>#REF!</v>
      </c>
      <c r="DK147" s="4" t="e">
        <f t="shared" si="487"/>
        <v>#REF!</v>
      </c>
      <c r="DL147" s="38" t="e">
        <f t="shared" si="469"/>
        <v>#REF!</v>
      </c>
      <c r="DM147" s="4" t="e">
        <f t="shared" si="361"/>
        <v>#REF!</v>
      </c>
      <c r="DN147" s="4">
        <f t="shared" si="488"/>
        <v>2.2360679774997898</v>
      </c>
      <c r="DO147" s="4" t="e">
        <f t="shared" si="363"/>
        <v>#REF!</v>
      </c>
      <c r="DS147" s="4">
        <f t="shared" si="470"/>
        <v>1</v>
      </c>
      <c r="DT147" s="4">
        <f t="shared" si="471"/>
        <v>1</v>
      </c>
      <c r="DU147" s="4">
        <f t="shared" si="472"/>
        <v>0.7</v>
      </c>
      <c r="DV147" s="4">
        <f t="shared" si="504"/>
        <v>0.7</v>
      </c>
      <c r="DX147" s="4" t="e">
        <f t="shared" si="473"/>
        <v>#REF!</v>
      </c>
      <c r="DY147" s="25" t="e">
        <f t="shared" si="505"/>
        <v>#REF!</v>
      </c>
      <c r="EB147" s="4">
        <f t="shared" si="436"/>
        <v>9.850377101520138</v>
      </c>
      <c r="EC147" s="4">
        <f t="shared" si="474"/>
        <v>9.850377101520138</v>
      </c>
      <c r="EE147" s="4">
        <f t="shared" si="475"/>
        <v>63.951544156493995</v>
      </c>
      <c r="EF147" s="4">
        <f t="shared" si="520"/>
        <v>2.2360679774997898</v>
      </c>
      <c r="EG147" s="4" t="e">
        <f t="shared" si="476"/>
        <v>#REF!</v>
      </c>
      <c r="EJ147" s="4" t="e">
        <f t="shared" si="506"/>
        <v>#REF!</v>
      </c>
      <c r="EK147" s="4" t="e">
        <f t="shared" si="477"/>
        <v>#REF!</v>
      </c>
      <c r="EL147" s="4" t="e">
        <f t="shared" si="521"/>
        <v>#REF!</v>
      </c>
      <c r="EM147" s="4" t="e">
        <f t="shared" si="507"/>
        <v>#REF!</v>
      </c>
      <c r="EN147" s="4" t="e">
        <f t="shared" si="522"/>
        <v>#REF!</v>
      </c>
      <c r="EO147" s="4" t="e">
        <f t="shared" si="523"/>
        <v>#REF!</v>
      </c>
      <c r="EP147" s="4" t="e">
        <f t="shared" si="478"/>
        <v>#REF!</v>
      </c>
      <c r="EQ147" s="4" t="e">
        <f t="shared" si="508"/>
        <v>#REF!</v>
      </c>
      <c r="ER147" s="4" t="e">
        <f t="shared" si="479"/>
        <v>#REF!</v>
      </c>
      <c r="ES147" s="4" t="e">
        <f t="shared" si="524"/>
        <v>#REF!</v>
      </c>
      <c r="ET147" s="4" t="e">
        <f t="shared" si="525"/>
        <v>#REF!</v>
      </c>
      <c r="EV147" s="4" t="e">
        <f t="shared" si="489"/>
        <v>#REF!</v>
      </c>
      <c r="FA147" s="23" t="e">
        <f t="shared" si="490"/>
        <v>#REF!</v>
      </c>
      <c r="FB147" s="23" t="e">
        <f t="shared" si="491"/>
        <v>#REF!</v>
      </c>
      <c r="FC147" s="23" t="e">
        <f t="shared" si="527"/>
        <v>#REF!</v>
      </c>
      <c r="FD147" s="23" t="e">
        <f t="shared" si="492"/>
        <v>#REF!</v>
      </c>
      <c r="FE147" s="23" t="e">
        <f t="shared" si="493"/>
        <v>#REF!</v>
      </c>
      <c r="FF147" s="23" t="e">
        <f t="shared" si="494"/>
        <v>#REF!</v>
      </c>
      <c r="FG147" s="23" t="e">
        <f t="shared" si="533"/>
        <v>#REF!</v>
      </c>
      <c r="FH147" s="23"/>
      <c r="FR147" s="4">
        <f t="shared" si="351"/>
        <v>1.25</v>
      </c>
      <c r="FS147" s="4">
        <f t="shared" si="352"/>
        <v>0.67768622629572395</v>
      </c>
      <c r="FT147" s="4">
        <f t="shared" si="353"/>
        <v>0.3</v>
      </c>
      <c r="FU147" s="4" t="e">
        <f t="shared" si="354"/>
        <v>#REF!</v>
      </c>
    </row>
    <row r="148" spans="1:177" ht="12" customHeight="1" x14ac:dyDescent="0.3">
      <c r="B148" s="24" t="s">
        <v>611</v>
      </c>
      <c r="C148" s="7" t="s">
        <v>646</v>
      </c>
      <c r="D148" s="38">
        <f>119.8/0.145</f>
        <v>826.20689655172418</v>
      </c>
      <c r="E148" s="38">
        <f>12*25.4</f>
        <v>304.79999999999995</v>
      </c>
      <c r="F148" s="38">
        <f>6330/145</f>
        <v>43.655172413793103</v>
      </c>
      <c r="G148" s="38">
        <f>0.75*25.4</f>
        <v>19.049999999999997</v>
      </c>
      <c r="H148" s="38">
        <f>18*25.4</f>
        <v>457.2</v>
      </c>
      <c r="I148" s="38">
        <f>2*25.4</f>
        <v>50.8</v>
      </c>
      <c r="J148" s="21">
        <f>(6-0.5-2*0.75)*25.4</f>
        <v>101.6</v>
      </c>
      <c r="K148" s="21">
        <f>(0.5)*25.4</f>
        <v>12.7</v>
      </c>
      <c r="L148" s="38">
        <v>3</v>
      </c>
      <c r="M148" s="38">
        <f>2*25.4</f>
        <v>50.8</v>
      </c>
      <c r="N148" s="7">
        <f t="shared" si="510"/>
        <v>0.83333333333333337</v>
      </c>
      <c r="O148" s="7">
        <f t="shared" si="496"/>
        <v>3.166666666666667</v>
      </c>
      <c r="P148" s="38">
        <v>4</v>
      </c>
      <c r="Q148" s="4">
        <f>P148</f>
        <v>4</v>
      </c>
      <c r="R148" s="4">
        <f t="shared" ref="R148:R153" si="541">Q148+1</f>
        <v>5</v>
      </c>
      <c r="S148" s="7">
        <f t="shared" ref="S148:S153" si="542">G148*R148^0.5</f>
        <v>42.597094971370993</v>
      </c>
      <c r="T148" s="7"/>
      <c r="U148" s="7"/>
      <c r="V148" s="38">
        <f t="shared" ref="V148" si="543">W148/0.145</f>
        <v>573.79310344827593</v>
      </c>
      <c r="W148" s="4">
        <v>83.2</v>
      </c>
      <c r="X148" s="7" t="e">
        <f t="shared" si="482"/>
        <v>#REF!</v>
      </c>
      <c r="Y148" s="7"/>
      <c r="Z148" s="7"/>
      <c r="AA148" s="7">
        <v>1</v>
      </c>
      <c r="AB148" s="7"/>
      <c r="AC148" s="7"/>
      <c r="AD148" s="7">
        <f t="shared" si="534"/>
        <v>0</v>
      </c>
      <c r="AE148" s="4">
        <f t="shared" si="483"/>
        <v>304.79999999999995</v>
      </c>
      <c r="AF148" s="47">
        <f t="shared" ref="AF148:AF153" si="544">MIN(H148)*(MIN(360-M148-0.5*G148,1.5*AE148)+M148+G148/2)/(3*E148)^2</f>
        <v>0.19685039370078747</v>
      </c>
      <c r="AG148" s="25">
        <f t="shared" ref="AG148:AG153" si="545">MIN(10*F148^0.5*AE148^1.5,100*3.9*F148^0.5*AE148^(5/3))/(PI()/4*G148^2)/L148</f>
        <v>411.18683539092382</v>
      </c>
      <c r="AH148" s="4">
        <f t="shared" ref="AH148:AH153" si="546">MIN(0.7+0.3*(MIN(I148,M148)+0.5*G148)/1.5/E148,1)</f>
        <v>0.73958333333333326</v>
      </c>
      <c r="AI148" s="4">
        <v>1.25</v>
      </c>
      <c r="AJ148" s="25">
        <f t="shared" si="438"/>
        <v>5</v>
      </c>
      <c r="AK148" s="38">
        <f>AF148*AH148*AI148*AJ148*AG148</f>
        <v>374.14730603002477</v>
      </c>
      <c r="AL148" s="38">
        <f t="shared" si="356"/>
        <v>374.14730603002477</v>
      </c>
      <c r="AN148" s="38">
        <f t="shared" ref="AN148:AN153" si="547">AJ148* (F148^0.5/AE148^0.5)/(PI()/4*G148^2)/L148/0.72 *(0.7+(MIN(I148,M148)+0.5*G148)/5/E148) *(H148*MIN(M148+0.5*G148+1.5*E148,360))</f>
        <v>374.14730603002448</v>
      </c>
      <c r="AO148" s="38">
        <f t="shared" ref="AO148:AO211" si="548">AK148/AN148</f>
        <v>1.0000000000000007</v>
      </c>
      <c r="AP148" s="38">
        <f t="shared" si="357"/>
        <v>0.77786069301609739</v>
      </c>
      <c r="AQ148" s="4">
        <f t="shared" si="443"/>
        <v>1</v>
      </c>
      <c r="AR148" s="4" t="e">
        <f>#REF!/G148*F148^0.5/0.19</f>
        <v>#REF!</v>
      </c>
      <c r="AS148" s="4">
        <f t="shared" ref="AS148:AS167" si="549">MIN(0.6+0.4*(O148/N148),2)</f>
        <v>2</v>
      </c>
      <c r="AT148" s="38">
        <f t="shared" ref="AT148:AT153" si="550">2*F148*N148*P148^0.5*AS148*0.7/0.7</f>
        <v>291.0344827586207</v>
      </c>
      <c r="AU148" s="4">
        <f t="shared" ref="AU148:AU153" si="551">MAX(1-0.7*Q148/5,0.3)</f>
        <v>0.44000000000000006</v>
      </c>
      <c r="AV148" s="4" t="e">
        <f>AU148*D148*#REF!/(D148*G148/2.75/F148^0.5)</f>
        <v>#REF!</v>
      </c>
      <c r="AW148" s="4" t="e">
        <f t="shared" ref="AW148:AW153" si="552">AT148+AV148</f>
        <v>#REF!</v>
      </c>
      <c r="AY148" s="36">
        <f t="shared" si="529"/>
        <v>1.2083333333333333</v>
      </c>
      <c r="AZ148" s="36" t="e">
        <f>(1.6*#REF!+22)*AY148*F148^0.5</f>
        <v>#REF!</v>
      </c>
      <c r="BE148" s="4">
        <f t="shared" ref="BE148:BE153" si="553">IF(L148=1,I148,MIN(I148,K148/2+6.4))</f>
        <v>12.75</v>
      </c>
      <c r="BF148" s="4">
        <f t="shared" ref="BF148:BF153" si="554">MIN(M148,BE148)</f>
        <v>12.75</v>
      </c>
      <c r="BG148" s="4">
        <f t="shared" ref="BG148:BG153" si="555">MAX(M148,BE148)</f>
        <v>50.8</v>
      </c>
      <c r="BH148" s="4">
        <f t="shared" ref="BH148:BH153" si="556">BF148+G148/2</f>
        <v>22.274999999999999</v>
      </c>
      <c r="BI148" s="4">
        <f t="shared" ref="BI148:BI153" si="557">MIN(1.25, 0.1*BG148/BF148+0.9)</f>
        <v>1.25</v>
      </c>
      <c r="BJ148" s="25">
        <f t="shared" ref="BJ148:BJ153" si="558">MIN(4, (BH148*BI148+(6*F148^0.5*(0.03*G148+0.22)*(Y148^2/4*PI())*2/AA148/L148))/G148)</f>
        <v>1.4616141732283467</v>
      </c>
      <c r="BL148" s="4">
        <f t="shared" ref="BL148:BL153" si="559">IF(K148=0,I148,MIN(K148/2,I148))</f>
        <v>6.35</v>
      </c>
      <c r="BP148" s="9"/>
      <c r="BR148" s="9"/>
      <c r="BS148" s="9"/>
      <c r="BT148" s="9">
        <f t="shared" ref="BT148:BT153" si="560">IF(K148=0,MIN(I148,J148),MIN(K148/2,I148,J148))</f>
        <v>6.35</v>
      </c>
      <c r="BU148" s="9">
        <f t="shared" ref="BU148:BU153" si="561">MAX(K148/2,I148)</f>
        <v>50.8</v>
      </c>
      <c r="BV148" s="9">
        <f t="shared" ref="BV148:BV153" si="562">(BT148/G148)^0.5*(BU148/BT148)^0.15</f>
        <v>0.78868370996101578</v>
      </c>
      <c r="BW148" s="9">
        <v>20</v>
      </c>
      <c r="BX148" s="9">
        <f t="shared" ref="BX148:BX153" si="563">MIN(PI()*Y148^2/4*Z148*2/L148/G148/MAX(0.01,AA148),0.05)</f>
        <v>0</v>
      </c>
      <c r="BY148" s="9">
        <f t="shared" ref="BY148:BY153" si="564">MAX(0,BW148*(BX148-0.5/50))</f>
        <v>0</v>
      </c>
      <c r="BZ148" s="9">
        <f t="shared" ref="BZ148:BZ153" si="565">MIN(1,(25/G148)^0.3)</f>
        <v>1</v>
      </c>
      <c r="CA148" s="9">
        <f t="shared" ref="CA148:CA153" si="566">IF(D148&gt;=800,0.68,IF(D148&gt;=700,0.75-(D148-700)*0.07/100,IF(D148&gt;=600,0.85-(D148-600)*0.1/100,IF(D148&gt;=500,1-(D148-500)*0.15/100,1.2-(D148-400)*0.2/100))))</f>
        <v>0.68</v>
      </c>
      <c r="CB148" s="9">
        <f t="shared" ref="CB148:CB153" si="567">1.75*BZ148*CA148*(F148/25)^0.5</f>
        <v>1.5725150511861237</v>
      </c>
      <c r="CC148" s="9">
        <f t="shared" ref="CC148:CC153" si="568">MIN((BV148+BY148)*CB148,2.5*CB148,F148^0.5)</f>
        <v>1.2402170045390086</v>
      </c>
      <c r="CD148" s="9">
        <v>1</v>
      </c>
      <c r="CE148" s="9" t="e">
        <f>4*CC148*#REF!+60*CC148</f>
        <v>#REF!</v>
      </c>
      <c r="CG148" s="4" t="e">
        <f t="shared" ref="CG148:CG153" si="569">V148/AR148</f>
        <v>#REF!</v>
      </c>
      <c r="CH148" s="4" t="e">
        <f t="shared" ref="CH148:CH153" si="570">V148/AW148</f>
        <v>#REF!</v>
      </c>
      <c r="CI148" s="4" t="e">
        <f t="shared" ref="CI148:CI153" si="571">V148/AZ148</f>
        <v>#REF!</v>
      </c>
      <c r="CJ148" s="4" t="e">
        <f t="shared" ref="CJ148:CJ153" si="572">V148/CE148</f>
        <v>#REF!</v>
      </c>
      <c r="CK148" s="4" t="e">
        <f t="shared" ref="CK148:CK153" si="573">V148/DL148</f>
        <v>#REF!</v>
      </c>
      <c r="CL148" s="4" t="e">
        <f t="shared" ref="CL148:CL153" si="574">V148/DX148</f>
        <v>#REF!</v>
      </c>
      <c r="CM148" s="4">
        <f t="shared" si="481"/>
        <v>1.5566949833453998</v>
      </c>
      <c r="CU148" s="4" t="e">
        <f t="shared" ref="CU148:CU153" si="575">CG148</f>
        <v>#REF!</v>
      </c>
      <c r="CV148" s="4" t="e">
        <f t="shared" ref="CV148:CV153" si="576">CH148</f>
        <v>#REF!</v>
      </c>
      <c r="CW148" s="4" t="e">
        <f t="shared" ref="CW148:CW153" si="577">CJ148</f>
        <v>#REF!</v>
      </c>
      <c r="CX148" s="4">
        <f t="shared" si="538"/>
        <v>1.5566949833453998</v>
      </c>
      <c r="CY148" s="4" t="e">
        <f t="shared" ref="CY148:CY153" si="578">CK148</f>
        <v>#REF!</v>
      </c>
      <c r="CZ148" s="4" t="e">
        <f t="shared" ref="CZ148:CZ153" si="579">CL148</f>
        <v>#REF!</v>
      </c>
      <c r="DB148" s="4">
        <f t="shared" ref="DB148:DB153" si="580">Z148</f>
        <v>0</v>
      </c>
      <c r="DC148" s="4">
        <f t="shared" ref="DC148:DC153" si="581">E148</f>
        <v>304.79999999999995</v>
      </c>
      <c r="DD148" s="4" t="e">
        <f>#REF!/E148</f>
        <v>#REF!</v>
      </c>
      <c r="DF148" s="4">
        <f t="shared" ref="DF148:DF167" si="582">E148/4/(1-0.3*(F148/30)^0.5)/200000/G148</f>
        <v>3.1342636205669919E-5</v>
      </c>
      <c r="DG148" s="4">
        <f t="shared" ref="DG148:DG153" si="583">EB148</f>
        <v>3.8789363481980437</v>
      </c>
      <c r="DH148" s="4">
        <f t="shared" si="486"/>
        <v>0.35513525052023837</v>
      </c>
      <c r="DI148" s="4">
        <f t="shared" si="359"/>
        <v>2.5637174885558873</v>
      </c>
      <c r="DJ148" s="4">
        <f t="shared" si="360"/>
        <v>3.2880315468491821</v>
      </c>
      <c r="DK148" s="4">
        <f t="shared" si="487"/>
        <v>3.6696783450107433</v>
      </c>
      <c r="DL148" s="38" t="e">
        <f t="shared" ref="DL148:DL167" si="584">MIN(1/G148*(4*S148*(DI148-DJ148)+(3*DJ148+DK148)*E148)+DO148 -EV148,MAX(D148,V148))</f>
        <v>#REF!</v>
      </c>
      <c r="DM148" s="4" t="e">
        <f t="shared" si="361"/>
        <v>#REF!</v>
      </c>
      <c r="DN148" s="4">
        <f t="shared" si="488"/>
        <v>2.2360679774997898</v>
      </c>
      <c r="DO148" s="4">
        <f t="shared" si="363"/>
        <v>374.14730603002448</v>
      </c>
      <c r="DS148" s="4">
        <f t="shared" ref="DS148:DS153" si="585">IF(J148&gt;1*G148,0.85,1)</f>
        <v>0.85</v>
      </c>
      <c r="DT148" s="4">
        <f t="shared" ref="DT148:DT153" si="586">MIN(1,MAX(0.7,(1-0.1*(BL148-1*G148)/G148)))</f>
        <v>1</v>
      </c>
      <c r="DU148" s="4">
        <f t="shared" ref="DU148:DU153" si="587">MIN(1,MAX(0.7,1-0.3*(PI()*Y148^2/4*Z148*2-0.25*PI()/4*G148^2)/(PI()/4*G148^2)))</f>
        <v>1</v>
      </c>
      <c r="DV148" s="4">
        <f t="shared" ref="DV148:DV153" si="588">IF(DT148*DU148&lt;0.7,0.7,DT148*DU148)</f>
        <v>1</v>
      </c>
      <c r="DX148" s="4" t="e">
        <f t="shared" ref="DX148:DX153" si="589">MIN(DG148/G148*3*E148+DY148-EV148,MAX(D148,V148))</f>
        <v>#REF!</v>
      </c>
      <c r="DY148" s="25">
        <f t="shared" ref="DY148:DY153" si="590">8.8*H148*360*F148^0.5/L148/G148^2/E148^0.5*(0.7+MIN(M148,I148)/5/E148)</f>
        <v>369.2257476362654</v>
      </c>
      <c r="EB148" s="4">
        <f t="shared" si="436"/>
        <v>3.8789363481980437</v>
      </c>
      <c r="EC148" s="4">
        <f t="shared" ref="EC148:EC153" si="591">IF(G148&lt;22.2,1.1*5*(F148/30)^0.5,IF(G148&gt;=31.8,0.9*5*(F148/30)^0.5,1*5*(F148/30)^0.5))*BJ148/2.5</f>
        <v>3.8789363481980437</v>
      </c>
      <c r="EE148" s="4">
        <f t="shared" ref="EE148:EE167" si="592">EF148*G148</f>
        <v>42.597094971370993</v>
      </c>
      <c r="EF148" s="4">
        <f t="shared" ref="EF148:EF153" si="593">R148^0.5</f>
        <v>2.2360679774997898</v>
      </c>
      <c r="EG148" s="4">
        <f t="shared" ref="EG148:EG167" si="594">MIN(DO148)/(4700*F148^0.5)/Q148*EE148</f>
        <v>0.12830598100215107</v>
      </c>
      <c r="EJ148" s="4">
        <f t="shared" ref="EJ148:EJ153" si="595">EG148</f>
        <v>0.12830598100215107</v>
      </c>
      <c r="EK148" s="4">
        <f t="shared" ref="EK148:EK153" si="596">MIN(0.999, EJ148/(0.3*(F148/30)^0.5))</f>
        <v>0.35454259597533333</v>
      </c>
      <c r="EL148" s="4">
        <f t="shared" ref="EL148:EL153" si="597">EB148/1*EK148^0.4</f>
        <v>2.5620052843463426</v>
      </c>
      <c r="EM148" s="4">
        <f t="shared" ref="EM148:EM153" si="598">EB148/1.4*(1-EK148^1.4)/(1-EK148)</f>
        <v>3.2873657007314261</v>
      </c>
      <c r="EN148" s="4">
        <f t="shared" ref="EN148:EN153" si="599">MAX(0,DC148*EN$9-EE148)</f>
        <v>186.00290502862896</v>
      </c>
      <c r="EO148" s="4">
        <f t="shared" ref="EO148:EO153" si="600">MAX(0,DC148-EE148-EN148)</f>
        <v>76.199999999999989</v>
      </c>
      <c r="EP148" s="4">
        <f t="shared" ref="EP148:EP153" si="601">EO148/(1-0.3*(F148/30)^0.5)/200000/G148</f>
        <v>3.1342636205669919E-5</v>
      </c>
      <c r="EQ148" s="4">
        <f t="shared" ref="EQ148:EQ153" si="602">MAX(0.5*EB148, (1-2*EP148*(EE148*EL148+EN148*EM148))/(1/EB148+EP148*EO148))</f>
        <v>3.6697257543228932</v>
      </c>
      <c r="ER148" s="4" t="e">
        <f t="shared" ref="ER148:ER153" si="603">MIN(4/G148*(1*EL148*EE148+EM148*ES148+ET148*EQ148)+DO148,MAX(D148,V148))</f>
        <v>#REF!</v>
      </c>
      <c r="ES148" s="4" t="e">
        <f t="shared" ref="ES148:ES153" si="604">IF(DD148&lt;=EN$9, MAX(0,DC148*DD148-EE148), MAX(0,DC148*EN$9-EE148))</f>
        <v>#REF!</v>
      </c>
      <c r="ET148" s="4" t="e">
        <f t="shared" ref="ET148:ET153" si="605">MAX(0, DC148*DD148-ES148-EE148)</f>
        <v>#REF!</v>
      </c>
      <c r="EV148" s="4" t="e">
        <f t="shared" si="489"/>
        <v>#REF!</v>
      </c>
      <c r="FA148" s="23" t="e">
        <f t="shared" si="490"/>
        <v>#REF!</v>
      </c>
      <c r="FB148" s="23" t="e">
        <f t="shared" ref="FB148:FB153" si="606">IF(CH148&lt;0.6,0.6,IF(CH148&lt;0.8,0.8,IF(CH148&lt;1,1,IF(CH148&lt;1.2,1.2,IF(CH148&lt;1.4,1.4,IF(CH148&lt;1.6,1.6,IF(CH148&lt;1.8,1.8,IF(CH148&lt;2,2,2.2))))))))</f>
        <v>#REF!</v>
      </c>
      <c r="FC148" s="23">
        <f t="shared" si="527"/>
        <v>1.6</v>
      </c>
      <c r="FD148" s="23" t="e">
        <f t="shared" si="492"/>
        <v>#REF!</v>
      </c>
      <c r="FE148" s="23" t="e">
        <f t="shared" si="493"/>
        <v>#REF!</v>
      </c>
      <c r="FF148" s="23" t="e">
        <f t="shared" si="494"/>
        <v>#REF!</v>
      </c>
      <c r="FG148" s="23" t="e">
        <f t="shared" si="533"/>
        <v>#REF!</v>
      </c>
      <c r="FH148" s="23"/>
      <c r="FR148" s="4">
        <f t="shared" ref="FR148:FR211" si="607">IF(I148&gt;=2.5*25.4,1,1.25)</f>
        <v>1.25</v>
      </c>
      <c r="FS148" s="4">
        <f t="shared" ref="FS148:FS211" si="608">IF(AA148&gt;1, 0.05*(18-MIN(8,(K148+G148)/G148))*(1-48000/MAX(60000,(D148*145))*(G148/25.4)^0.75*FT148), 1/12*(14-MIN(8,(K148+G148)/G148)))</f>
        <v>1.0277777777777777</v>
      </c>
      <c r="FT148" s="4">
        <f t="shared" ref="FT148:FT211" si="609">MIN(0.3, Y148^2*PI()/4*2*AB148/(G148^2*PI()/4*L148))</f>
        <v>0</v>
      </c>
      <c r="FU148" s="4">
        <f t="shared" ref="FU148:FU211" si="610">(E148/25.4)/(G148/25.4)^1.5/0.0024*(F148*145)^0.25/FR148/FS148/145</f>
        <v>368.59700171652867</v>
      </c>
    </row>
    <row r="149" spans="1:177" ht="12" customHeight="1" x14ac:dyDescent="0.3">
      <c r="B149" s="24">
        <v>2016</v>
      </c>
      <c r="C149" s="7" t="s">
        <v>647</v>
      </c>
      <c r="D149" s="38">
        <f t="shared" ref="D149:D153" si="611">119.8/0.145</f>
        <v>826.20689655172418</v>
      </c>
      <c r="E149" s="38">
        <f t="shared" ref="E149:E153" si="612">12*25.4</f>
        <v>304.79999999999995</v>
      </c>
      <c r="F149" s="38">
        <f t="shared" ref="F149:F150" si="613">6330/145</f>
        <v>43.655172413793103</v>
      </c>
      <c r="G149" s="38">
        <f t="shared" ref="G149:G153" si="614">0.75*25.4</f>
        <v>19.049999999999997</v>
      </c>
      <c r="H149" s="38">
        <f>18.1*25.4</f>
        <v>459.74</v>
      </c>
      <c r="I149" s="38">
        <f t="shared" ref="I149:I153" si="615">2*25.4</f>
        <v>50.8</v>
      </c>
      <c r="J149" s="21">
        <f>(5.8-1-2*0.75)*25.4</f>
        <v>83.82</v>
      </c>
      <c r="K149" s="21">
        <f>(1)*25.4</f>
        <v>25.4</v>
      </c>
      <c r="L149" s="38">
        <v>3</v>
      </c>
      <c r="M149" s="38">
        <f t="shared" ref="M149:M153" si="616">2*25.4</f>
        <v>50.8</v>
      </c>
      <c r="N149" s="7">
        <f t="shared" si="510"/>
        <v>1.1666666666666667</v>
      </c>
      <c r="O149" s="7">
        <f t="shared" si="496"/>
        <v>3.166666666666667</v>
      </c>
      <c r="P149" s="38">
        <v>4</v>
      </c>
      <c r="Q149" s="7">
        <f t="shared" ref="Q149:Q153" si="617">MIN(Q$16,P149)</f>
        <v>4</v>
      </c>
      <c r="R149" s="4">
        <f t="shared" si="541"/>
        <v>5</v>
      </c>
      <c r="S149" s="7">
        <f t="shared" si="542"/>
        <v>42.597094971370993</v>
      </c>
      <c r="T149" s="7"/>
      <c r="U149" s="7"/>
      <c r="V149" s="38">
        <f t="shared" ref="V149:V153" si="618">W149/0.145</f>
        <v>621.37931034482756</v>
      </c>
      <c r="W149" s="4">
        <v>90.1</v>
      </c>
      <c r="X149" s="7" t="e">
        <f t="shared" si="482"/>
        <v>#REF!</v>
      </c>
      <c r="Y149" s="7"/>
      <c r="Z149" s="7"/>
      <c r="AA149" s="7">
        <v>1</v>
      </c>
      <c r="AB149" s="7"/>
      <c r="AC149" s="7"/>
      <c r="AD149" s="7">
        <f t="shared" si="534"/>
        <v>0</v>
      </c>
      <c r="AE149" s="4">
        <f t="shared" si="483"/>
        <v>304.79999999999995</v>
      </c>
      <c r="AF149" s="47">
        <f t="shared" si="544"/>
        <v>0.19794400699912515</v>
      </c>
      <c r="AG149" s="25">
        <f t="shared" si="545"/>
        <v>411.18683539092382</v>
      </c>
      <c r="AH149" s="4">
        <f t="shared" si="546"/>
        <v>0.73958333333333326</v>
      </c>
      <c r="AI149" s="4">
        <v>1.25</v>
      </c>
      <c r="AJ149" s="25">
        <f t="shared" si="438"/>
        <v>5</v>
      </c>
      <c r="AK149" s="38">
        <f t="shared" si="480"/>
        <v>376.22590217463596</v>
      </c>
      <c r="AL149" s="38">
        <f t="shared" ref="AL149:AL153" si="619">AK149</f>
        <v>376.22590217463596</v>
      </c>
      <c r="AN149" s="38">
        <f t="shared" si="547"/>
        <v>376.22590217463573</v>
      </c>
      <c r="AO149" s="38">
        <f t="shared" si="548"/>
        <v>1.0000000000000007</v>
      </c>
      <c r="AP149" s="38">
        <f t="shared" ref="AP149:AP153" si="620">AT149/AN149</f>
        <v>0.91280448174927686</v>
      </c>
      <c r="AQ149" s="4">
        <f t="shared" si="443"/>
        <v>1</v>
      </c>
      <c r="AR149" s="4" t="e">
        <f>#REF!/G149*F149^0.5/0.19</f>
        <v>#REF!</v>
      </c>
      <c r="AS149" s="4">
        <f t="shared" si="549"/>
        <v>1.6857142857142859</v>
      </c>
      <c r="AT149" s="38">
        <f t="shared" si="550"/>
        <v>343.42068965517251</v>
      </c>
      <c r="AU149" s="4">
        <f t="shared" si="551"/>
        <v>0.44000000000000006</v>
      </c>
      <c r="AV149" s="4" t="e">
        <f>AU149*D149*#REF!/(D149*G149/2.75/F149^0.5)</f>
        <v>#REF!</v>
      </c>
      <c r="AW149" s="4" t="e">
        <f t="shared" si="552"/>
        <v>#REF!</v>
      </c>
      <c r="AY149" s="36">
        <f t="shared" si="529"/>
        <v>1.1366666666666669</v>
      </c>
      <c r="AZ149" s="36" t="e">
        <f>(1.6*#REF!+22)*AY149*F149^0.5</f>
        <v>#REF!</v>
      </c>
      <c r="BE149" s="4">
        <f t="shared" si="553"/>
        <v>19.100000000000001</v>
      </c>
      <c r="BF149" s="4">
        <f t="shared" si="554"/>
        <v>19.100000000000001</v>
      </c>
      <c r="BG149" s="4">
        <f t="shared" si="555"/>
        <v>50.8</v>
      </c>
      <c r="BH149" s="4">
        <f t="shared" si="556"/>
        <v>28.625</v>
      </c>
      <c r="BI149" s="4">
        <f t="shared" si="557"/>
        <v>1.1659685863874345</v>
      </c>
      <c r="BJ149" s="25">
        <f t="shared" si="558"/>
        <v>1.7520131645847936</v>
      </c>
      <c r="BL149" s="4">
        <f t="shared" si="559"/>
        <v>12.7</v>
      </c>
      <c r="BP149" s="9"/>
      <c r="BR149" s="9"/>
      <c r="BS149" s="9"/>
      <c r="BT149" s="9">
        <f t="shared" si="560"/>
        <v>12.7</v>
      </c>
      <c r="BU149" s="9">
        <f t="shared" si="561"/>
        <v>50.8</v>
      </c>
      <c r="BV149" s="9">
        <f t="shared" si="562"/>
        <v>1.0052252041243952</v>
      </c>
      <c r="BW149" s="9">
        <v>20</v>
      </c>
      <c r="BX149" s="9">
        <f t="shared" si="563"/>
        <v>0</v>
      </c>
      <c r="BY149" s="9">
        <f t="shared" si="564"/>
        <v>0</v>
      </c>
      <c r="BZ149" s="9">
        <f t="shared" si="565"/>
        <v>1</v>
      </c>
      <c r="CA149" s="9">
        <f t="shared" si="566"/>
        <v>0.68</v>
      </c>
      <c r="CB149" s="9">
        <f t="shared" si="567"/>
        <v>1.5725150511861237</v>
      </c>
      <c r="CC149" s="9">
        <f t="shared" si="568"/>
        <v>1.5807317633172548</v>
      </c>
      <c r="CD149" s="9">
        <v>1</v>
      </c>
      <c r="CE149" s="9" t="e">
        <f>4*CC149*#REF!+60*CC149</f>
        <v>#REF!</v>
      </c>
      <c r="CG149" s="4" t="e">
        <f t="shared" si="569"/>
        <v>#REF!</v>
      </c>
      <c r="CH149" s="4" t="e">
        <f t="shared" si="570"/>
        <v>#REF!</v>
      </c>
      <c r="CI149" s="4" t="e">
        <f t="shared" si="571"/>
        <v>#REF!</v>
      </c>
      <c r="CJ149" s="4" t="e">
        <f t="shared" si="572"/>
        <v>#REF!</v>
      </c>
      <c r="CK149" s="4" t="e">
        <f t="shared" si="573"/>
        <v>#REF!</v>
      </c>
      <c r="CL149" s="4" t="e">
        <f t="shared" si="574"/>
        <v>#REF!</v>
      </c>
      <c r="CM149" s="4">
        <f t="shared" si="481"/>
        <v>1.5946717872855112</v>
      </c>
      <c r="CU149" s="4" t="e">
        <f t="shared" si="575"/>
        <v>#REF!</v>
      </c>
      <c r="CV149" s="4" t="e">
        <f t="shared" si="576"/>
        <v>#REF!</v>
      </c>
      <c r="CW149" s="4" t="e">
        <f t="shared" si="577"/>
        <v>#REF!</v>
      </c>
      <c r="CX149" s="4">
        <f t="shared" si="538"/>
        <v>1.5946717872855112</v>
      </c>
      <c r="CY149" s="4" t="e">
        <f t="shared" si="578"/>
        <v>#REF!</v>
      </c>
      <c r="CZ149" s="4" t="e">
        <f t="shared" si="579"/>
        <v>#REF!</v>
      </c>
      <c r="DB149" s="4">
        <f t="shared" si="580"/>
        <v>0</v>
      </c>
      <c r="DC149" s="4">
        <f t="shared" si="581"/>
        <v>304.79999999999995</v>
      </c>
      <c r="DD149" s="4" t="e">
        <f>#REF!/E149</f>
        <v>#REF!</v>
      </c>
      <c r="DF149" s="4">
        <f t="shared" si="582"/>
        <v>3.1342636205669919E-5</v>
      </c>
      <c r="DG149" s="4">
        <f t="shared" si="583"/>
        <v>4.6496179847646513</v>
      </c>
      <c r="DH149" s="4">
        <f t="shared" si="486"/>
        <v>0.35710822413423976</v>
      </c>
      <c r="DI149" s="4">
        <f t="shared" ref="DI149:DI153" si="621">DG149*DH149^0.4</f>
        <v>3.0799042372107639</v>
      </c>
      <c r="DJ149" s="4">
        <f t="shared" ref="DJ149:DJ153" si="622">MIN(DG149, DG149/1.4*(1-DH149^1.4)/(1-DH149))</f>
        <v>3.9439640269273464</v>
      </c>
      <c r="DK149" s="4">
        <f t="shared" si="487"/>
        <v>4.349268467956561</v>
      </c>
      <c r="DL149" s="38" t="e">
        <f t="shared" si="584"/>
        <v>#REF!</v>
      </c>
      <c r="DM149" s="4" t="e">
        <f t="shared" ref="DM149:DM167" si="623">DL149/ER149</f>
        <v>#REF!</v>
      </c>
      <c r="DN149" s="4">
        <f t="shared" si="488"/>
        <v>2.2360679774997898</v>
      </c>
      <c r="DO149" s="4">
        <f t="shared" ref="DO149:DO167" si="624">MIN(DN$10*AN149)</f>
        <v>376.22590217463573</v>
      </c>
      <c r="DS149" s="4">
        <f t="shared" si="585"/>
        <v>0.85</v>
      </c>
      <c r="DT149" s="4">
        <f t="shared" si="586"/>
        <v>1</v>
      </c>
      <c r="DU149" s="4">
        <f t="shared" si="587"/>
        <v>1</v>
      </c>
      <c r="DV149" s="4">
        <f t="shared" si="588"/>
        <v>1</v>
      </c>
      <c r="DX149" s="4" t="e">
        <f t="shared" si="589"/>
        <v>#REF!</v>
      </c>
      <c r="DY149" s="25">
        <f t="shared" si="590"/>
        <v>371.27700178980012</v>
      </c>
      <c r="EB149" s="4">
        <f t="shared" si="436"/>
        <v>4.6496179847646513</v>
      </c>
      <c r="EC149" s="4">
        <f t="shared" si="591"/>
        <v>4.6496179847646513</v>
      </c>
      <c r="EE149" s="4">
        <f t="shared" si="592"/>
        <v>42.597094971370993</v>
      </c>
      <c r="EF149" s="4">
        <f t="shared" si="593"/>
        <v>2.2360679774997898</v>
      </c>
      <c r="EG149" s="4">
        <f t="shared" si="594"/>
        <v>0.12901879200771857</v>
      </c>
      <c r="EJ149" s="4">
        <f t="shared" si="595"/>
        <v>0.12901879200771857</v>
      </c>
      <c r="EK149" s="4">
        <f t="shared" si="596"/>
        <v>0.35651227706408517</v>
      </c>
      <c r="EL149" s="4">
        <f t="shared" si="597"/>
        <v>3.0778472925499387</v>
      </c>
      <c r="EM149" s="4">
        <f t="shared" si="598"/>
        <v>3.9431628512491677</v>
      </c>
      <c r="EN149" s="4">
        <f t="shared" si="599"/>
        <v>186.00290502862896</v>
      </c>
      <c r="EO149" s="4">
        <f t="shared" si="600"/>
        <v>76.199999999999989</v>
      </c>
      <c r="EP149" s="4">
        <f t="shared" si="601"/>
        <v>3.1342636205669919E-5</v>
      </c>
      <c r="EQ149" s="4">
        <f t="shared" si="602"/>
        <v>4.3493366824102093</v>
      </c>
      <c r="ER149" s="4" t="e">
        <f t="shared" si="603"/>
        <v>#REF!</v>
      </c>
      <c r="ES149" s="4" t="e">
        <f t="shared" si="604"/>
        <v>#REF!</v>
      </c>
      <c r="ET149" s="4" t="e">
        <f t="shared" si="605"/>
        <v>#REF!</v>
      </c>
      <c r="EV149" s="4" t="e">
        <f t="shared" si="489"/>
        <v>#REF!</v>
      </c>
      <c r="FA149" s="23" t="e">
        <f t="shared" si="490"/>
        <v>#REF!</v>
      </c>
      <c r="FB149" s="23" t="e">
        <f t="shared" si="606"/>
        <v>#REF!</v>
      </c>
      <c r="FC149" s="23">
        <f t="shared" si="527"/>
        <v>1.6</v>
      </c>
      <c r="FD149" s="23" t="e">
        <f t="shared" si="492"/>
        <v>#REF!</v>
      </c>
      <c r="FE149" s="23" t="e">
        <f t="shared" si="493"/>
        <v>#REF!</v>
      </c>
      <c r="FF149" s="23" t="e">
        <f t="shared" si="494"/>
        <v>#REF!</v>
      </c>
      <c r="FG149" s="23" t="e">
        <f t="shared" si="533"/>
        <v>#REF!</v>
      </c>
      <c r="FH149" s="23"/>
      <c r="FR149" s="4">
        <f t="shared" si="607"/>
        <v>1.25</v>
      </c>
      <c r="FS149" s="4">
        <f t="shared" si="608"/>
        <v>0.9722222222222221</v>
      </c>
      <c r="FT149" s="4">
        <f t="shared" si="609"/>
        <v>0</v>
      </c>
      <c r="FU149" s="4">
        <f t="shared" si="610"/>
        <v>389.65968752890177</v>
      </c>
    </row>
    <row r="150" spans="1:177" ht="12" customHeight="1" x14ac:dyDescent="0.3">
      <c r="B150" s="24" t="s">
        <v>645</v>
      </c>
      <c r="C150" s="7" t="s">
        <v>648</v>
      </c>
      <c r="D150" s="38">
        <f t="shared" si="611"/>
        <v>826.20689655172418</v>
      </c>
      <c r="E150" s="38">
        <f t="shared" si="612"/>
        <v>304.79999999999995</v>
      </c>
      <c r="F150" s="38">
        <f t="shared" si="613"/>
        <v>43.655172413793103</v>
      </c>
      <c r="G150" s="38">
        <f t="shared" si="614"/>
        <v>19.049999999999997</v>
      </c>
      <c r="H150" s="38">
        <f t="shared" ref="H150:H153" si="625">18*25.4</f>
        <v>457.2</v>
      </c>
      <c r="I150" s="38">
        <f t="shared" si="615"/>
        <v>50.8</v>
      </c>
      <c r="J150" s="21">
        <f>(5.3-1.9-2*0.75)*25.4</f>
        <v>48.26</v>
      </c>
      <c r="K150" s="21">
        <f>(1.9)*25.4</f>
        <v>48.26</v>
      </c>
      <c r="L150" s="38">
        <v>3</v>
      </c>
      <c r="M150" s="38">
        <f t="shared" si="616"/>
        <v>50.8</v>
      </c>
      <c r="N150" s="7">
        <f t="shared" si="510"/>
        <v>1.7666666666666668</v>
      </c>
      <c r="O150" s="7">
        <f t="shared" si="496"/>
        <v>3.166666666666667</v>
      </c>
      <c r="P150" s="38">
        <v>4</v>
      </c>
      <c r="Q150" s="7">
        <f t="shared" si="617"/>
        <v>4</v>
      </c>
      <c r="R150" s="4">
        <f t="shared" si="541"/>
        <v>5</v>
      </c>
      <c r="S150" s="7">
        <f t="shared" si="542"/>
        <v>42.597094971370993</v>
      </c>
      <c r="T150" s="7"/>
      <c r="U150" s="7"/>
      <c r="V150" s="38">
        <f t="shared" si="618"/>
        <v>566.89655172413802</v>
      </c>
      <c r="W150" s="4">
        <v>82.2</v>
      </c>
      <c r="X150" s="7" t="e">
        <f t="shared" si="482"/>
        <v>#REF!</v>
      </c>
      <c r="Y150" s="7"/>
      <c r="Z150" s="7"/>
      <c r="AA150" s="7">
        <v>1</v>
      </c>
      <c r="AB150" s="7"/>
      <c r="AC150" s="7"/>
      <c r="AD150" s="7">
        <f t="shared" si="534"/>
        <v>0</v>
      </c>
      <c r="AE150" s="4">
        <f t="shared" si="483"/>
        <v>304.79999999999995</v>
      </c>
      <c r="AF150" s="47">
        <f t="shared" si="544"/>
        <v>0.19685039370078747</v>
      </c>
      <c r="AG150" s="25">
        <f t="shared" si="545"/>
        <v>411.18683539092382</v>
      </c>
      <c r="AH150" s="4">
        <f t="shared" si="546"/>
        <v>0.73958333333333326</v>
      </c>
      <c r="AI150" s="4">
        <v>1.25</v>
      </c>
      <c r="AJ150" s="25">
        <f t="shared" si="438"/>
        <v>5</v>
      </c>
      <c r="AK150" s="38">
        <f t="shared" si="480"/>
        <v>374.14730603002477</v>
      </c>
      <c r="AL150" s="38">
        <f t="shared" si="619"/>
        <v>374.14730603002477</v>
      </c>
      <c r="AN150" s="38">
        <f t="shared" si="547"/>
        <v>374.14730603002448</v>
      </c>
      <c r="AO150" s="38">
        <f t="shared" si="548"/>
        <v>1.0000000000000007</v>
      </c>
      <c r="AP150" s="38">
        <f t="shared" si="620"/>
        <v>1.0858935274504717</v>
      </c>
      <c r="AQ150" s="4">
        <f t="shared" si="443"/>
        <v>0</v>
      </c>
      <c r="AR150" s="4" t="e">
        <f>#REF!/G150*F150^0.5/0.19</f>
        <v>#REF!</v>
      </c>
      <c r="AS150" s="4">
        <f t="shared" si="549"/>
        <v>1.3169811320754716</v>
      </c>
      <c r="AT150" s="38">
        <f t="shared" si="550"/>
        <v>406.28413793103448</v>
      </c>
      <c r="AU150" s="4">
        <f t="shared" si="551"/>
        <v>0.44000000000000006</v>
      </c>
      <c r="AV150" s="4" t="e">
        <f>AU150*D150*#REF!/(D150*G150/2.75/F150^0.5)</f>
        <v>#REF!</v>
      </c>
      <c r="AW150" s="4" t="e">
        <f t="shared" si="552"/>
        <v>#REF!</v>
      </c>
      <c r="AY150" s="36">
        <f t="shared" si="529"/>
        <v>1.1057894736842107</v>
      </c>
      <c r="AZ150" s="36" t="e">
        <f>(1.6*#REF!+22)*AY150*F150^0.5</f>
        <v>#REF!</v>
      </c>
      <c r="BE150" s="4">
        <f t="shared" si="553"/>
        <v>30.53</v>
      </c>
      <c r="BF150" s="4">
        <f t="shared" si="554"/>
        <v>30.53</v>
      </c>
      <c r="BG150" s="4">
        <f t="shared" si="555"/>
        <v>50.8</v>
      </c>
      <c r="BH150" s="4">
        <f t="shared" si="556"/>
        <v>40.055</v>
      </c>
      <c r="BI150" s="4">
        <f t="shared" si="557"/>
        <v>1.0663937111038324</v>
      </c>
      <c r="BJ150" s="25">
        <f t="shared" si="558"/>
        <v>2.2422257269429928</v>
      </c>
      <c r="BL150" s="4">
        <f t="shared" si="559"/>
        <v>24.13</v>
      </c>
      <c r="BP150" s="9"/>
      <c r="BR150" s="9"/>
      <c r="BS150" s="9"/>
      <c r="BT150" s="9">
        <f t="shared" si="560"/>
        <v>24.13</v>
      </c>
      <c r="BU150" s="9">
        <f t="shared" si="561"/>
        <v>50.8</v>
      </c>
      <c r="BV150" s="9">
        <f t="shared" si="562"/>
        <v>1.2584243974819915</v>
      </c>
      <c r="BW150" s="9">
        <v>20</v>
      </c>
      <c r="BX150" s="9">
        <f t="shared" si="563"/>
        <v>0</v>
      </c>
      <c r="BY150" s="9">
        <f t="shared" si="564"/>
        <v>0</v>
      </c>
      <c r="BZ150" s="9">
        <f t="shared" si="565"/>
        <v>1</v>
      </c>
      <c r="CA150" s="9">
        <f t="shared" si="566"/>
        <v>0.68</v>
      </c>
      <c r="CB150" s="9">
        <f t="shared" si="567"/>
        <v>1.5725150511861237</v>
      </c>
      <c r="CC150" s="9">
        <f t="shared" si="568"/>
        <v>1.9788913058202608</v>
      </c>
      <c r="CD150" s="9">
        <v>1</v>
      </c>
      <c r="CE150" s="9" t="e">
        <f>4*CC150*#REF!+60*CC150</f>
        <v>#REF!</v>
      </c>
      <c r="CG150" s="4" t="e">
        <f t="shared" si="569"/>
        <v>#REF!</v>
      </c>
      <c r="CH150" s="4" t="e">
        <f t="shared" si="570"/>
        <v>#REF!</v>
      </c>
      <c r="CI150" s="4" t="e">
        <f t="shared" si="571"/>
        <v>#REF!</v>
      </c>
      <c r="CJ150" s="4" t="e">
        <f t="shared" si="572"/>
        <v>#REF!</v>
      </c>
      <c r="CK150" s="4" t="e">
        <f t="shared" si="573"/>
        <v>#REF!</v>
      </c>
      <c r="CL150" s="4" t="e">
        <f t="shared" si="574"/>
        <v>#REF!</v>
      </c>
      <c r="CM150" s="4">
        <f t="shared" si="481"/>
        <v>1.3052086433254757</v>
      </c>
      <c r="CU150" s="4" t="e">
        <f t="shared" si="575"/>
        <v>#REF!</v>
      </c>
      <c r="CV150" s="4" t="e">
        <f t="shared" si="576"/>
        <v>#REF!</v>
      </c>
      <c r="CW150" s="4" t="e">
        <f t="shared" si="577"/>
        <v>#REF!</v>
      </c>
      <c r="CX150" s="4">
        <f t="shared" si="538"/>
        <v>1.3052086433254757</v>
      </c>
      <c r="CY150" s="4" t="e">
        <f t="shared" si="578"/>
        <v>#REF!</v>
      </c>
      <c r="CZ150" s="4" t="e">
        <f t="shared" si="579"/>
        <v>#REF!</v>
      </c>
      <c r="DB150" s="4">
        <f t="shared" si="580"/>
        <v>0</v>
      </c>
      <c r="DC150" s="4">
        <f t="shared" si="581"/>
        <v>304.79999999999995</v>
      </c>
      <c r="DD150" s="4" t="e">
        <f>#REF!/E150</f>
        <v>#REF!</v>
      </c>
      <c r="DF150" s="4">
        <f t="shared" si="582"/>
        <v>3.1342636205669919E-5</v>
      </c>
      <c r="DG150" s="4">
        <f t="shared" si="583"/>
        <v>5.9505791832145585</v>
      </c>
      <c r="DH150" s="4">
        <f t="shared" si="486"/>
        <v>0.35513525052023837</v>
      </c>
      <c r="DI150" s="4">
        <f t="shared" si="621"/>
        <v>3.9329348433703348</v>
      </c>
      <c r="DJ150" s="4">
        <f t="shared" si="622"/>
        <v>5.0440869145797498</v>
      </c>
      <c r="DK150" s="4">
        <f t="shared" si="487"/>
        <v>5.4605167584808374</v>
      </c>
      <c r="DL150" s="38" t="e">
        <f t="shared" si="584"/>
        <v>#REF!</v>
      </c>
      <c r="DM150" s="4" t="e">
        <f t="shared" si="623"/>
        <v>#REF!</v>
      </c>
      <c r="DN150" s="4">
        <f t="shared" si="488"/>
        <v>2.2360679774997898</v>
      </c>
      <c r="DO150" s="4">
        <f t="shared" si="624"/>
        <v>374.14730603002448</v>
      </c>
      <c r="DS150" s="4">
        <f t="shared" si="585"/>
        <v>0.85</v>
      </c>
      <c r="DT150" s="4">
        <f t="shared" si="586"/>
        <v>0.97333333333333327</v>
      </c>
      <c r="DU150" s="4">
        <f t="shared" si="587"/>
        <v>1</v>
      </c>
      <c r="DV150" s="4">
        <f t="shared" si="588"/>
        <v>0.97333333333333327</v>
      </c>
      <c r="DX150" s="4" t="e">
        <f t="shared" si="589"/>
        <v>#REF!</v>
      </c>
      <c r="DY150" s="25">
        <f t="shared" si="590"/>
        <v>369.2257476362654</v>
      </c>
      <c r="EB150" s="4">
        <f t="shared" si="436"/>
        <v>5.9505791832145585</v>
      </c>
      <c r="EC150" s="4">
        <f t="shared" si="591"/>
        <v>5.9505791832145585</v>
      </c>
      <c r="EE150" s="4">
        <f t="shared" si="592"/>
        <v>42.597094971370993</v>
      </c>
      <c r="EF150" s="4">
        <f t="shared" si="593"/>
        <v>2.2360679774997898</v>
      </c>
      <c r="EG150" s="4">
        <f t="shared" si="594"/>
        <v>0.12830598100215107</v>
      </c>
      <c r="EJ150" s="4">
        <f t="shared" si="595"/>
        <v>0.12830598100215107</v>
      </c>
      <c r="EK150" s="4">
        <f t="shared" si="596"/>
        <v>0.35454259597533333</v>
      </c>
      <c r="EL150" s="4">
        <f t="shared" si="597"/>
        <v>3.9303081937395761</v>
      </c>
      <c r="EM150" s="4">
        <f t="shared" si="598"/>
        <v>5.0430654567129842</v>
      </c>
      <c r="EN150" s="4">
        <f t="shared" si="599"/>
        <v>186.00290502862896</v>
      </c>
      <c r="EO150" s="4">
        <f t="shared" si="600"/>
        <v>76.199999999999989</v>
      </c>
      <c r="EP150" s="4">
        <f t="shared" si="601"/>
        <v>3.1342636205669919E-5</v>
      </c>
      <c r="EQ150" s="4">
        <f t="shared" si="602"/>
        <v>5.4606277865997805</v>
      </c>
      <c r="ER150" s="4" t="e">
        <f t="shared" si="603"/>
        <v>#REF!</v>
      </c>
      <c r="ES150" s="4" t="e">
        <f t="shared" si="604"/>
        <v>#REF!</v>
      </c>
      <c r="ET150" s="4" t="e">
        <f t="shared" si="605"/>
        <v>#REF!</v>
      </c>
      <c r="EV150" s="4" t="e">
        <f t="shared" si="489"/>
        <v>#REF!</v>
      </c>
      <c r="FA150" s="23" t="e">
        <f t="shared" si="490"/>
        <v>#REF!</v>
      </c>
      <c r="FB150" s="23" t="e">
        <f t="shared" si="606"/>
        <v>#REF!</v>
      </c>
      <c r="FC150" s="23">
        <f t="shared" si="527"/>
        <v>1.4</v>
      </c>
      <c r="FD150" s="23" t="e">
        <f t="shared" si="492"/>
        <v>#REF!</v>
      </c>
      <c r="FE150" s="23" t="e">
        <f t="shared" si="493"/>
        <v>#REF!</v>
      </c>
      <c r="FF150" s="23" t="e">
        <f t="shared" si="494"/>
        <v>#REF!</v>
      </c>
      <c r="FG150" s="23" t="e">
        <f t="shared" si="533"/>
        <v>#REF!</v>
      </c>
      <c r="FH150" s="23"/>
      <c r="FR150" s="4">
        <f t="shared" si="607"/>
        <v>1.25</v>
      </c>
      <c r="FS150" s="4">
        <f t="shared" si="608"/>
        <v>0.87222222222222201</v>
      </c>
      <c r="FT150" s="4">
        <f t="shared" si="609"/>
        <v>0</v>
      </c>
      <c r="FU150" s="4">
        <f t="shared" si="610"/>
        <v>434.33404660864852</v>
      </c>
    </row>
    <row r="151" spans="1:177" ht="12" customHeight="1" x14ac:dyDescent="0.3">
      <c r="B151" s="24"/>
      <c r="C151" s="7" t="s">
        <v>649</v>
      </c>
      <c r="D151" s="38">
        <f t="shared" si="611"/>
        <v>826.20689655172418</v>
      </c>
      <c r="E151" s="38">
        <f t="shared" si="612"/>
        <v>304.79999999999995</v>
      </c>
      <c r="F151" s="38">
        <f>10890/145</f>
        <v>75.103448275862064</v>
      </c>
      <c r="G151" s="38">
        <f t="shared" si="614"/>
        <v>19.049999999999997</v>
      </c>
      <c r="H151" s="38">
        <f t="shared" si="625"/>
        <v>457.2</v>
      </c>
      <c r="I151" s="38">
        <f t="shared" si="615"/>
        <v>50.8</v>
      </c>
      <c r="J151" s="21">
        <f>(6-0.5-2*0.75)*25.4</f>
        <v>101.6</v>
      </c>
      <c r="K151" s="21">
        <f>(0.5)*25.4</f>
        <v>12.7</v>
      </c>
      <c r="L151" s="38">
        <v>3</v>
      </c>
      <c r="M151" s="38">
        <f t="shared" si="616"/>
        <v>50.8</v>
      </c>
      <c r="N151" s="7">
        <f t="shared" si="510"/>
        <v>0.83333333333333337</v>
      </c>
      <c r="O151" s="7">
        <f t="shared" si="496"/>
        <v>3.166666666666667</v>
      </c>
      <c r="P151" s="38">
        <v>4</v>
      </c>
      <c r="Q151" s="7">
        <f t="shared" si="617"/>
        <v>4</v>
      </c>
      <c r="R151" s="4">
        <f t="shared" si="541"/>
        <v>5</v>
      </c>
      <c r="S151" s="7">
        <f t="shared" si="542"/>
        <v>42.597094971370993</v>
      </c>
      <c r="T151" s="7"/>
      <c r="U151" s="7"/>
      <c r="V151" s="38">
        <f t="shared" si="618"/>
        <v>614.48275862068965</v>
      </c>
      <c r="W151" s="4">
        <v>89.1</v>
      </c>
      <c r="X151" s="7" t="e">
        <f t="shared" si="482"/>
        <v>#REF!</v>
      </c>
      <c r="Y151" s="7"/>
      <c r="Z151" s="7"/>
      <c r="AA151" s="7">
        <v>1</v>
      </c>
      <c r="AB151" s="7"/>
      <c r="AC151" s="7"/>
      <c r="AD151" s="7">
        <f t="shared" si="534"/>
        <v>0</v>
      </c>
      <c r="AE151" s="4">
        <f t="shared" si="483"/>
        <v>304.79999999999995</v>
      </c>
      <c r="AF151" s="47">
        <f t="shared" si="544"/>
        <v>0.19685039370078747</v>
      </c>
      <c r="AG151" s="25">
        <f t="shared" si="545"/>
        <v>539.3259121429644</v>
      </c>
      <c r="AH151" s="4">
        <f t="shared" si="546"/>
        <v>0.73958333333333326</v>
      </c>
      <c r="AI151" s="4">
        <v>1.25</v>
      </c>
      <c r="AJ151" s="25">
        <f t="shared" si="438"/>
        <v>5</v>
      </c>
      <c r="AK151" s="38">
        <f t="shared" si="480"/>
        <v>490.74367108235009</v>
      </c>
      <c r="AL151" s="38">
        <f t="shared" si="619"/>
        <v>490.74367108235009</v>
      </c>
      <c r="AN151" s="38">
        <f t="shared" si="547"/>
        <v>490.74367108234986</v>
      </c>
      <c r="AO151" s="38">
        <f t="shared" si="548"/>
        <v>1.0000000000000004</v>
      </c>
      <c r="AP151" s="38">
        <f t="shared" si="620"/>
        <v>1.020267167313901</v>
      </c>
      <c r="AQ151" s="4">
        <f t="shared" si="443"/>
        <v>0</v>
      </c>
      <c r="AR151" s="4" t="e">
        <f>#REF!/G151*F151^0.5/0.19</f>
        <v>#REF!</v>
      </c>
      <c r="AS151" s="4">
        <f t="shared" si="549"/>
        <v>2</v>
      </c>
      <c r="AT151" s="38">
        <f t="shared" si="550"/>
        <v>500.68965517241384</v>
      </c>
      <c r="AU151" s="4">
        <f t="shared" si="551"/>
        <v>0.44000000000000006</v>
      </c>
      <c r="AV151" s="4" t="e">
        <f>AU151*D151*#REF!/(D151*G151/2.75/F151^0.5)</f>
        <v>#REF!</v>
      </c>
      <c r="AW151" s="4" t="e">
        <f t="shared" si="552"/>
        <v>#REF!</v>
      </c>
      <c r="AY151" s="36">
        <f t="shared" si="529"/>
        <v>1.2083333333333333</v>
      </c>
      <c r="AZ151" s="36" t="e">
        <f>(1.6*#REF!+22)*AY151*F151^0.5</f>
        <v>#REF!</v>
      </c>
      <c r="BE151" s="4">
        <f t="shared" si="553"/>
        <v>12.75</v>
      </c>
      <c r="BF151" s="4">
        <f t="shared" si="554"/>
        <v>12.75</v>
      </c>
      <c r="BG151" s="4">
        <f t="shared" si="555"/>
        <v>50.8</v>
      </c>
      <c r="BH151" s="4">
        <f t="shared" si="556"/>
        <v>22.274999999999999</v>
      </c>
      <c r="BI151" s="4">
        <f t="shared" si="557"/>
        <v>1.25</v>
      </c>
      <c r="BJ151" s="25">
        <f t="shared" si="558"/>
        <v>1.4616141732283467</v>
      </c>
      <c r="BL151" s="4">
        <f t="shared" si="559"/>
        <v>6.35</v>
      </c>
      <c r="BP151" s="9"/>
      <c r="BR151" s="9"/>
      <c r="BS151" s="9"/>
      <c r="BT151" s="9">
        <f t="shared" si="560"/>
        <v>6.35</v>
      </c>
      <c r="BU151" s="9">
        <f t="shared" si="561"/>
        <v>50.8</v>
      </c>
      <c r="BV151" s="9">
        <f t="shared" si="562"/>
        <v>0.78868370996101578</v>
      </c>
      <c r="BW151" s="9">
        <v>20</v>
      </c>
      <c r="BX151" s="9">
        <f t="shared" si="563"/>
        <v>0</v>
      </c>
      <c r="BY151" s="9">
        <f t="shared" si="564"/>
        <v>0</v>
      </c>
      <c r="BZ151" s="9">
        <f t="shared" si="565"/>
        <v>1</v>
      </c>
      <c r="CA151" s="9">
        <f t="shared" si="566"/>
        <v>0.68</v>
      </c>
      <c r="CB151" s="9">
        <f t="shared" si="567"/>
        <v>2.062561447360522</v>
      </c>
      <c r="CC151" s="9">
        <f t="shared" si="568"/>
        <v>1.626708614326859</v>
      </c>
      <c r="CD151" s="9">
        <v>1</v>
      </c>
      <c r="CE151" s="9" t="e">
        <f>4*CC151*#REF!+60*CC151</f>
        <v>#REF!</v>
      </c>
      <c r="CG151" s="4" t="e">
        <f t="shared" si="569"/>
        <v>#REF!</v>
      </c>
      <c r="CH151" s="4" t="e">
        <f t="shared" si="570"/>
        <v>#REF!</v>
      </c>
      <c r="CI151" s="4" t="e">
        <f t="shared" si="571"/>
        <v>#REF!</v>
      </c>
      <c r="CJ151" s="4" t="e">
        <f t="shared" si="572"/>
        <v>#REF!</v>
      </c>
      <c r="CK151" s="4" t="e">
        <f t="shared" si="573"/>
        <v>#REF!</v>
      </c>
      <c r="CL151" s="4" t="e">
        <f t="shared" si="574"/>
        <v>#REF!</v>
      </c>
      <c r="CM151" s="4">
        <f t="shared" si="481"/>
        <v>1.4556328942092587</v>
      </c>
      <c r="CU151" s="4" t="e">
        <f t="shared" si="575"/>
        <v>#REF!</v>
      </c>
      <c r="CV151" s="4" t="e">
        <f t="shared" si="576"/>
        <v>#REF!</v>
      </c>
      <c r="CW151" s="4" t="e">
        <f t="shared" si="577"/>
        <v>#REF!</v>
      </c>
      <c r="CX151" s="4">
        <f t="shared" si="538"/>
        <v>1.4556328942092587</v>
      </c>
      <c r="CY151" s="4" t="e">
        <f t="shared" si="578"/>
        <v>#REF!</v>
      </c>
      <c r="CZ151" s="4" t="e">
        <f t="shared" si="579"/>
        <v>#REF!</v>
      </c>
      <c r="DB151" s="4">
        <f t="shared" si="580"/>
        <v>0</v>
      </c>
      <c r="DC151" s="4">
        <f t="shared" si="581"/>
        <v>304.79999999999995</v>
      </c>
      <c r="DD151" s="4" t="e">
        <f>#REF!/E151</f>
        <v>#REF!</v>
      </c>
      <c r="DF151" s="4">
        <f t="shared" si="582"/>
        <v>3.807121106173361E-5</v>
      </c>
      <c r="DG151" s="4">
        <f t="shared" si="583"/>
        <v>5.0877379917756649</v>
      </c>
      <c r="DH151" s="4">
        <f t="shared" si="486"/>
        <v>0.2707582493430632</v>
      </c>
      <c r="DI151" s="4">
        <f t="shared" si="621"/>
        <v>3.0168756996773256</v>
      </c>
      <c r="DJ151" s="4">
        <f t="shared" si="622"/>
        <v>4.1833021422574221</v>
      </c>
      <c r="DK151" s="4">
        <f t="shared" si="487"/>
        <v>4.6676287655490585</v>
      </c>
      <c r="DL151" s="38" t="e">
        <f t="shared" si="584"/>
        <v>#REF!</v>
      </c>
      <c r="DM151" s="4" t="e">
        <f t="shared" si="623"/>
        <v>#REF!</v>
      </c>
      <c r="DN151" s="4">
        <f t="shared" si="488"/>
        <v>2.2360679774997898</v>
      </c>
      <c r="DO151" s="4">
        <f t="shared" si="624"/>
        <v>490.74367108234986</v>
      </c>
      <c r="DS151" s="4">
        <f t="shared" si="585"/>
        <v>0.85</v>
      </c>
      <c r="DT151" s="4">
        <f t="shared" si="586"/>
        <v>1</v>
      </c>
      <c r="DU151" s="4">
        <f t="shared" si="587"/>
        <v>1</v>
      </c>
      <c r="DV151" s="4">
        <f t="shared" si="588"/>
        <v>1</v>
      </c>
      <c r="DX151" s="4" t="e">
        <f t="shared" si="589"/>
        <v>#REF!</v>
      </c>
      <c r="DY151" s="25">
        <f t="shared" si="590"/>
        <v>484.28839639595202</v>
      </c>
      <c r="EB151" s="4">
        <f t="shared" si="436"/>
        <v>5.0877379917756649</v>
      </c>
      <c r="EC151" s="4">
        <f t="shared" si="591"/>
        <v>5.0877379917756649</v>
      </c>
      <c r="EE151" s="4">
        <f t="shared" si="592"/>
        <v>42.597094971370993</v>
      </c>
      <c r="EF151" s="4">
        <f t="shared" si="593"/>
        <v>2.2360679774997898</v>
      </c>
      <c r="EG151" s="4">
        <f t="shared" si="594"/>
        <v>0.1283059810021511</v>
      </c>
      <c r="EJ151" s="4">
        <f t="shared" si="595"/>
        <v>0.1283059810021511</v>
      </c>
      <c r="EK151" s="4">
        <f t="shared" si="596"/>
        <v>0.27030640428738761</v>
      </c>
      <c r="EL151" s="4">
        <f t="shared" si="597"/>
        <v>3.0148608492518321</v>
      </c>
      <c r="EM151" s="4">
        <f t="shared" si="598"/>
        <v>4.1825792372626935</v>
      </c>
      <c r="EN151" s="4">
        <f t="shared" si="599"/>
        <v>186.00290502862896</v>
      </c>
      <c r="EO151" s="4">
        <f t="shared" si="600"/>
        <v>76.199999999999989</v>
      </c>
      <c r="EP151" s="4">
        <f t="shared" si="601"/>
        <v>3.807121106173361E-5</v>
      </c>
      <c r="EQ151" s="4">
        <f t="shared" si="602"/>
        <v>4.6677128627312667</v>
      </c>
      <c r="ER151" s="4" t="e">
        <f t="shared" si="603"/>
        <v>#REF!</v>
      </c>
      <c r="ES151" s="4" t="e">
        <f t="shared" si="604"/>
        <v>#REF!</v>
      </c>
      <c r="ET151" s="4" t="e">
        <f t="shared" si="605"/>
        <v>#REF!</v>
      </c>
      <c r="EV151" s="4" t="e">
        <f t="shared" si="489"/>
        <v>#REF!</v>
      </c>
      <c r="FA151" s="23" t="e">
        <f t="shared" si="490"/>
        <v>#REF!</v>
      </c>
      <c r="FB151" s="23" t="e">
        <f t="shared" si="606"/>
        <v>#REF!</v>
      </c>
      <c r="FC151" s="23">
        <f t="shared" si="527"/>
        <v>1.6</v>
      </c>
      <c r="FD151" s="23" t="e">
        <f t="shared" si="492"/>
        <v>#REF!</v>
      </c>
      <c r="FE151" s="23" t="e">
        <f t="shared" si="493"/>
        <v>#REF!</v>
      </c>
      <c r="FF151" s="23" t="e">
        <f t="shared" si="494"/>
        <v>#REF!</v>
      </c>
      <c r="FG151" s="23" t="e">
        <f t="shared" si="533"/>
        <v>#REF!</v>
      </c>
      <c r="FH151" s="23"/>
      <c r="FR151" s="4">
        <f t="shared" si="607"/>
        <v>1.25</v>
      </c>
      <c r="FS151" s="4">
        <f t="shared" si="608"/>
        <v>1.0277777777777777</v>
      </c>
      <c r="FT151" s="4">
        <f t="shared" si="609"/>
        <v>0</v>
      </c>
      <c r="FU151" s="4">
        <f t="shared" si="610"/>
        <v>422.14129748317777</v>
      </c>
    </row>
    <row r="152" spans="1:177" ht="12" customHeight="1" x14ac:dyDescent="0.3">
      <c r="B152" s="24"/>
      <c r="C152" s="7" t="s">
        <v>650</v>
      </c>
      <c r="D152" s="38">
        <f t="shared" si="611"/>
        <v>826.20689655172418</v>
      </c>
      <c r="E152" s="38">
        <f t="shared" si="612"/>
        <v>304.79999999999995</v>
      </c>
      <c r="F152" s="38">
        <f t="shared" ref="F152:F153" si="626">10890/145</f>
        <v>75.103448275862064</v>
      </c>
      <c r="G152" s="38">
        <f t="shared" si="614"/>
        <v>19.049999999999997</v>
      </c>
      <c r="H152" s="38">
        <f t="shared" si="625"/>
        <v>457.2</v>
      </c>
      <c r="I152" s="38">
        <f t="shared" si="615"/>
        <v>50.8</v>
      </c>
      <c r="J152" s="21">
        <f>(5.8-1-2*0.75)*25.4</f>
        <v>83.82</v>
      </c>
      <c r="K152" s="21">
        <f>(1)*25.4</f>
        <v>25.4</v>
      </c>
      <c r="L152" s="38">
        <v>3</v>
      </c>
      <c r="M152" s="38">
        <f t="shared" si="616"/>
        <v>50.8</v>
      </c>
      <c r="N152" s="7">
        <f t="shared" si="510"/>
        <v>1.1666666666666667</v>
      </c>
      <c r="O152" s="7">
        <f t="shared" si="496"/>
        <v>3.166666666666667</v>
      </c>
      <c r="P152" s="38">
        <v>4</v>
      </c>
      <c r="Q152" s="7">
        <f t="shared" si="617"/>
        <v>4</v>
      </c>
      <c r="R152" s="4">
        <f t="shared" si="541"/>
        <v>5</v>
      </c>
      <c r="S152" s="7">
        <f t="shared" si="542"/>
        <v>42.597094971370993</v>
      </c>
      <c r="T152" s="7"/>
      <c r="U152" s="7"/>
      <c r="V152" s="38">
        <f t="shared" si="618"/>
        <v>562.06896551724139</v>
      </c>
      <c r="W152" s="4">
        <v>81.5</v>
      </c>
      <c r="X152" s="7" t="e">
        <f t="shared" si="482"/>
        <v>#REF!</v>
      </c>
      <c r="Y152" s="7"/>
      <c r="Z152" s="7"/>
      <c r="AA152" s="7">
        <v>1</v>
      </c>
      <c r="AB152" s="7"/>
      <c r="AC152" s="7"/>
      <c r="AD152" s="7">
        <f t="shared" si="534"/>
        <v>0</v>
      </c>
      <c r="AE152" s="4">
        <f t="shared" si="483"/>
        <v>304.79999999999995</v>
      </c>
      <c r="AF152" s="47">
        <f t="shared" si="544"/>
        <v>0.19685039370078747</v>
      </c>
      <c r="AG152" s="25">
        <f t="shared" si="545"/>
        <v>539.3259121429644</v>
      </c>
      <c r="AH152" s="4">
        <f t="shared" si="546"/>
        <v>0.73958333333333326</v>
      </c>
      <c r="AI152" s="4">
        <v>1.25</v>
      </c>
      <c r="AJ152" s="25">
        <f t="shared" si="438"/>
        <v>5</v>
      </c>
      <c r="AK152" s="38">
        <f t="shared" si="480"/>
        <v>490.74367108235009</v>
      </c>
      <c r="AL152" s="38">
        <f t="shared" si="619"/>
        <v>490.74367108235009</v>
      </c>
      <c r="AN152" s="38">
        <f t="shared" si="547"/>
        <v>490.74367108234986</v>
      </c>
      <c r="AO152" s="38">
        <f t="shared" si="548"/>
        <v>1.0000000000000004</v>
      </c>
      <c r="AP152" s="38">
        <f t="shared" si="620"/>
        <v>1.2039152574304033</v>
      </c>
      <c r="AQ152" s="4">
        <f t="shared" si="443"/>
        <v>0</v>
      </c>
      <c r="AR152" s="4" t="e">
        <f>#REF!/G152*F152^0.5/0.19</f>
        <v>#REF!</v>
      </c>
      <c r="AS152" s="4">
        <f t="shared" si="549"/>
        <v>1.6857142857142859</v>
      </c>
      <c r="AT152" s="38">
        <f t="shared" si="550"/>
        <v>590.81379310344835</v>
      </c>
      <c r="AU152" s="4">
        <f t="shared" si="551"/>
        <v>0.44000000000000006</v>
      </c>
      <c r="AV152" s="4" t="e">
        <f>AU152*D152*#REF!/(D152*G152/2.75/F152^0.5)</f>
        <v>#REF!</v>
      </c>
      <c r="AW152" s="4" t="e">
        <f t="shared" si="552"/>
        <v>#REF!</v>
      </c>
      <c r="AY152" s="36">
        <f t="shared" si="529"/>
        <v>1.1366666666666669</v>
      </c>
      <c r="AZ152" s="36" t="e">
        <f>(1.6*#REF!+22)*AY152*F152^0.5</f>
        <v>#REF!</v>
      </c>
      <c r="BE152" s="4">
        <f t="shared" si="553"/>
        <v>19.100000000000001</v>
      </c>
      <c r="BF152" s="4">
        <f t="shared" si="554"/>
        <v>19.100000000000001</v>
      </c>
      <c r="BG152" s="4">
        <f t="shared" si="555"/>
        <v>50.8</v>
      </c>
      <c r="BH152" s="4">
        <f t="shared" si="556"/>
        <v>28.625</v>
      </c>
      <c r="BI152" s="4">
        <f t="shared" si="557"/>
        <v>1.1659685863874345</v>
      </c>
      <c r="BJ152" s="25">
        <f t="shared" si="558"/>
        <v>1.7520131645847936</v>
      </c>
      <c r="BL152" s="4">
        <f t="shared" si="559"/>
        <v>12.7</v>
      </c>
      <c r="BP152" s="9"/>
      <c r="BR152" s="9"/>
      <c r="BS152" s="9"/>
      <c r="BT152" s="9">
        <f t="shared" si="560"/>
        <v>12.7</v>
      </c>
      <c r="BU152" s="9">
        <f t="shared" si="561"/>
        <v>50.8</v>
      </c>
      <c r="BV152" s="9">
        <f t="shared" si="562"/>
        <v>1.0052252041243952</v>
      </c>
      <c r="BW152" s="9">
        <v>20</v>
      </c>
      <c r="BX152" s="9">
        <f t="shared" si="563"/>
        <v>0</v>
      </c>
      <c r="BY152" s="9">
        <f t="shared" si="564"/>
        <v>0</v>
      </c>
      <c r="BZ152" s="9">
        <f t="shared" si="565"/>
        <v>1</v>
      </c>
      <c r="CA152" s="9">
        <f t="shared" si="566"/>
        <v>0.68</v>
      </c>
      <c r="CB152" s="9">
        <f t="shared" si="567"/>
        <v>2.062561447360522</v>
      </c>
      <c r="CC152" s="9">
        <f t="shared" si="568"/>
        <v>2.0733387519420887</v>
      </c>
      <c r="CD152" s="9">
        <v>1</v>
      </c>
      <c r="CE152" s="9" t="e">
        <f>4*CC152*#REF!+60*CC152</f>
        <v>#REF!</v>
      </c>
      <c r="CG152" s="4" t="e">
        <f t="shared" si="569"/>
        <v>#REF!</v>
      </c>
      <c r="CH152" s="4" t="e">
        <f t="shared" si="570"/>
        <v>#REF!</v>
      </c>
      <c r="CI152" s="4" t="e">
        <f t="shared" si="571"/>
        <v>#REF!</v>
      </c>
      <c r="CJ152" s="4" t="e">
        <f t="shared" si="572"/>
        <v>#REF!</v>
      </c>
      <c r="CK152" s="4" t="e">
        <f t="shared" si="573"/>
        <v>#REF!</v>
      </c>
      <c r="CL152" s="4" t="e">
        <f t="shared" si="574"/>
        <v>#REF!</v>
      </c>
      <c r="CM152" s="4">
        <f t="shared" si="481"/>
        <v>1.259499751488431</v>
      </c>
      <c r="CU152" s="4" t="e">
        <f t="shared" si="575"/>
        <v>#REF!</v>
      </c>
      <c r="CV152" s="4" t="e">
        <f t="shared" si="576"/>
        <v>#REF!</v>
      </c>
      <c r="CW152" s="4" t="e">
        <f t="shared" si="577"/>
        <v>#REF!</v>
      </c>
      <c r="CX152" s="4">
        <f t="shared" si="538"/>
        <v>1.259499751488431</v>
      </c>
      <c r="CY152" s="4" t="e">
        <f t="shared" si="578"/>
        <v>#REF!</v>
      </c>
      <c r="CZ152" s="4" t="e">
        <f t="shared" si="579"/>
        <v>#REF!</v>
      </c>
      <c r="DB152" s="4">
        <f t="shared" si="580"/>
        <v>0</v>
      </c>
      <c r="DC152" s="4">
        <f t="shared" si="581"/>
        <v>304.79999999999995</v>
      </c>
      <c r="DD152" s="4" t="e">
        <f>#REF!/E152</f>
        <v>#REF!</v>
      </c>
      <c r="DF152" s="4">
        <f t="shared" si="582"/>
        <v>3.807121106173361E-5</v>
      </c>
      <c r="DG152" s="4">
        <f t="shared" si="583"/>
        <v>6.0985888771595622</v>
      </c>
      <c r="DH152" s="4">
        <f t="shared" si="486"/>
        <v>0.2707582493430632</v>
      </c>
      <c r="DI152" s="4">
        <f t="shared" si="621"/>
        <v>3.6162798901135647</v>
      </c>
      <c r="DJ152" s="4">
        <f t="shared" si="622"/>
        <v>5.0144563174851866</v>
      </c>
      <c r="DK152" s="4">
        <f t="shared" si="487"/>
        <v>5.4966973614584278</v>
      </c>
      <c r="DL152" s="38" t="e">
        <f t="shared" si="584"/>
        <v>#REF!</v>
      </c>
      <c r="DM152" s="4" t="e">
        <f t="shared" si="623"/>
        <v>#REF!</v>
      </c>
      <c r="DN152" s="4">
        <f t="shared" si="488"/>
        <v>2.2360679774997898</v>
      </c>
      <c r="DO152" s="4">
        <f t="shared" si="624"/>
        <v>490.74367108234986</v>
      </c>
      <c r="DS152" s="4">
        <f t="shared" si="585"/>
        <v>0.85</v>
      </c>
      <c r="DT152" s="4">
        <f t="shared" si="586"/>
        <v>1</v>
      </c>
      <c r="DU152" s="4">
        <f t="shared" si="587"/>
        <v>1</v>
      </c>
      <c r="DV152" s="4">
        <f t="shared" si="588"/>
        <v>1</v>
      </c>
      <c r="DX152" s="4" t="e">
        <f t="shared" si="589"/>
        <v>#REF!</v>
      </c>
      <c r="DY152" s="25">
        <f t="shared" si="590"/>
        <v>484.28839639595202</v>
      </c>
      <c r="EB152" s="4">
        <f t="shared" si="436"/>
        <v>6.0985888771595622</v>
      </c>
      <c r="EC152" s="4">
        <f t="shared" si="591"/>
        <v>6.0985888771595622</v>
      </c>
      <c r="EE152" s="4">
        <f t="shared" si="592"/>
        <v>42.597094971370993</v>
      </c>
      <c r="EF152" s="4">
        <f t="shared" si="593"/>
        <v>2.2360679774997898</v>
      </c>
      <c r="EG152" s="4">
        <f t="shared" si="594"/>
        <v>0.1283059810021511</v>
      </c>
      <c r="EJ152" s="4">
        <f t="shared" si="595"/>
        <v>0.1283059810021511</v>
      </c>
      <c r="EK152" s="4">
        <f t="shared" si="596"/>
        <v>0.27030640428738761</v>
      </c>
      <c r="EL152" s="4">
        <f t="shared" si="597"/>
        <v>3.6138647216410691</v>
      </c>
      <c r="EM152" s="4">
        <f t="shared" si="598"/>
        <v>5.0135897830120628</v>
      </c>
      <c r="EN152" s="4">
        <f t="shared" si="599"/>
        <v>186.00290502862896</v>
      </c>
      <c r="EO152" s="4">
        <f t="shared" si="600"/>
        <v>76.199999999999989</v>
      </c>
      <c r="EP152" s="4">
        <f t="shared" si="601"/>
        <v>3.807121106173361E-5</v>
      </c>
      <c r="EQ152" s="4">
        <f t="shared" si="602"/>
        <v>5.4968178476970175</v>
      </c>
      <c r="ER152" s="4" t="e">
        <f t="shared" si="603"/>
        <v>#REF!</v>
      </c>
      <c r="ES152" s="4" t="e">
        <f t="shared" si="604"/>
        <v>#REF!</v>
      </c>
      <c r="ET152" s="4" t="e">
        <f t="shared" si="605"/>
        <v>#REF!</v>
      </c>
      <c r="EV152" s="4" t="e">
        <f t="shared" si="489"/>
        <v>#REF!</v>
      </c>
      <c r="FA152" s="23" t="e">
        <f t="shared" si="490"/>
        <v>#REF!</v>
      </c>
      <c r="FB152" s="23" t="e">
        <f t="shared" si="606"/>
        <v>#REF!</v>
      </c>
      <c r="FC152" s="23">
        <f t="shared" si="527"/>
        <v>1.4</v>
      </c>
      <c r="FD152" s="23" t="e">
        <f t="shared" si="492"/>
        <v>#REF!</v>
      </c>
      <c r="FE152" s="23" t="e">
        <f t="shared" si="493"/>
        <v>#REF!</v>
      </c>
      <c r="FF152" s="23" t="e">
        <f t="shared" si="494"/>
        <v>#REF!</v>
      </c>
      <c r="FG152" s="23" t="e">
        <f t="shared" si="533"/>
        <v>#REF!</v>
      </c>
      <c r="FH152" s="23"/>
      <c r="FR152" s="4">
        <f t="shared" si="607"/>
        <v>1.25</v>
      </c>
      <c r="FS152" s="4">
        <f t="shared" si="608"/>
        <v>0.9722222222222221</v>
      </c>
      <c r="FT152" s="4">
        <f t="shared" si="609"/>
        <v>0</v>
      </c>
      <c r="FU152" s="4">
        <f t="shared" si="610"/>
        <v>446.26365733935933</v>
      </c>
    </row>
    <row r="153" spans="1:177" ht="12" customHeight="1" x14ac:dyDescent="0.3">
      <c r="B153" s="24"/>
      <c r="C153" s="7" t="s">
        <v>651</v>
      </c>
      <c r="D153" s="38">
        <f t="shared" si="611"/>
        <v>826.20689655172418</v>
      </c>
      <c r="E153" s="38">
        <f t="shared" si="612"/>
        <v>304.79999999999995</v>
      </c>
      <c r="F153" s="38">
        <f t="shared" si="626"/>
        <v>75.103448275862064</v>
      </c>
      <c r="G153" s="38">
        <f t="shared" si="614"/>
        <v>19.049999999999997</v>
      </c>
      <c r="H153" s="38">
        <f t="shared" si="625"/>
        <v>457.2</v>
      </c>
      <c r="I153" s="38">
        <f t="shared" si="615"/>
        <v>50.8</v>
      </c>
      <c r="J153" s="21">
        <f>(5.3-1.9-2*0.75)*25.4</f>
        <v>48.26</v>
      </c>
      <c r="K153" s="21">
        <f>(1.9)*25.4</f>
        <v>48.26</v>
      </c>
      <c r="L153" s="38">
        <v>3</v>
      </c>
      <c r="M153" s="38">
        <f t="shared" si="616"/>
        <v>50.8</v>
      </c>
      <c r="N153" s="7">
        <f t="shared" si="510"/>
        <v>1.7666666666666668</v>
      </c>
      <c r="O153" s="7">
        <f t="shared" si="496"/>
        <v>3.166666666666667</v>
      </c>
      <c r="P153" s="38">
        <v>4</v>
      </c>
      <c r="Q153" s="7">
        <f t="shared" si="617"/>
        <v>4</v>
      </c>
      <c r="R153" s="4">
        <f t="shared" si="541"/>
        <v>5</v>
      </c>
      <c r="S153" s="7">
        <f t="shared" si="542"/>
        <v>42.597094971370993</v>
      </c>
      <c r="T153" s="7"/>
      <c r="U153" s="7"/>
      <c r="V153" s="38">
        <f t="shared" si="618"/>
        <v>621.37931034482756</v>
      </c>
      <c r="W153" s="4">
        <v>90.1</v>
      </c>
      <c r="X153" s="7" t="e">
        <f t="shared" si="482"/>
        <v>#REF!</v>
      </c>
      <c r="Y153" s="7"/>
      <c r="Z153" s="7"/>
      <c r="AA153" s="7">
        <v>1</v>
      </c>
      <c r="AB153" s="7"/>
      <c r="AC153" s="7"/>
      <c r="AD153" s="7">
        <f t="shared" si="534"/>
        <v>0</v>
      </c>
      <c r="AE153" s="4">
        <f t="shared" si="483"/>
        <v>304.79999999999995</v>
      </c>
      <c r="AF153" s="47">
        <f t="shared" si="544"/>
        <v>0.19685039370078747</v>
      </c>
      <c r="AG153" s="25">
        <f t="shared" si="545"/>
        <v>539.3259121429644</v>
      </c>
      <c r="AH153" s="4">
        <f t="shared" si="546"/>
        <v>0.73958333333333326</v>
      </c>
      <c r="AI153" s="4">
        <v>1.25</v>
      </c>
      <c r="AJ153" s="25">
        <f t="shared" si="438"/>
        <v>5</v>
      </c>
      <c r="AK153" s="38">
        <f t="shared" si="480"/>
        <v>490.74367108235009</v>
      </c>
      <c r="AL153" s="38">
        <f t="shared" si="619"/>
        <v>490.74367108235009</v>
      </c>
      <c r="AN153" s="38">
        <f t="shared" si="547"/>
        <v>490.74367108234986</v>
      </c>
      <c r="AO153" s="38">
        <f t="shared" si="548"/>
        <v>1.0000000000000004</v>
      </c>
      <c r="AP153" s="38">
        <f t="shared" si="620"/>
        <v>1.4242929655702057</v>
      </c>
      <c r="AQ153" s="4">
        <f t="shared" si="443"/>
        <v>0</v>
      </c>
      <c r="AR153" s="4" t="e">
        <f>#REF!/G153*F153^0.5/0.19</f>
        <v>#REF!</v>
      </c>
      <c r="AS153" s="4">
        <f t="shared" si="549"/>
        <v>1.3169811320754716</v>
      </c>
      <c r="AT153" s="38">
        <f t="shared" si="550"/>
        <v>698.96275862068967</v>
      </c>
      <c r="AU153" s="4">
        <f t="shared" si="551"/>
        <v>0.44000000000000006</v>
      </c>
      <c r="AV153" s="4" t="e">
        <f>AU153*D153*#REF!/(D153*G153/2.75/F153^0.5)</f>
        <v>#REF!</v>
      </c>
      <c r="AW153" s="4" t="e">
        <f t="shared" si="552"/>
        <v>#REF!</v>
      </c>
      <c r="AY153" s="36">
        <f t="shared" si="529"/>
        <v>1.1057894736842107</v>
      </c>
      <c r="AZ153" s="36" t="e">
        <f>(1.6*#REF!+22)*AY153*F153^0.5</f>
        <v>#REF!</v>
      </c>
      <c r="BE153" s="4">
        <f t="shared" si="553"/>
        <v>30.53</v>
      </c>
      <c r="BF153" s="4">
        <f t="shared" si="554"/>
        <v>30.53</v>
      </c>
      <c r="BG153" s="4">
        <f t="shared" si="555"/>
        <v>50.8</v>
      </c>
      <c r="BH153" s="4">
        <f t="shared" si="556"/>
        <v>40.055</v>
      </c>
      <c r="BI153" s="4">
        <f t="shared" si="557"/>
        <v>1.0663937111038324</v>
      </c>
      <c r="BJ153" s="25">
        <f t="shared" si="558"/>
        <v>2.2422257269429928</v>
      </c>
      <c r="BL153" s="4">
        <f t="shared" si="559"/>
        <v>24.13</v>
      </c>
      <c r="BP153" s="9"/>
      <c r="BR153" s="9"/>
      <c r="BS153" s="9"/>
      <c r="BT153" s="9">
        <f t="shared" si="560"/>
        <v>24.13</v>
      </c>
      <c r="BU153" s="9">
        <f t="shared" si="561"/>
        <v>50.8</v>
      </c>
      <c r="BV153" s="9">
        <f t="shared" si="562"/>
        <v>1.2584243974819915</v>
      </c>
      <c r="BW153" s="9">
        <v>20</v>
      </c>
      <c r="BX153" s="9">
        <f t="shared" si="563"/>
        <v>0</v>
      </c>
      <c r="BY153" s="9">
        <f t="shared" si="564"/>
        <v>0</v>
      </c>
      <c r="BZ153" s="9">
        <f t="shared" si="565"/>
        <v>1</v>
      </c>
      <c r="CA153" s="9">
        <f t="shared" si="566"/>
        <v>0.68</v>
      </c>
      <c r="CB153" s="9">
        <f t="shared" si="567"/>
        <v>2.062561447360522</v>
      </c>
      <c r="CC153" s="9">
        <f t="shared" si="568"/>
        <v>2.5955776466642493</v>
      </c>
      <c r="CD153" s="9">
        <v>1</v>
      </c>
      <c r="CE153" s="9" t="e">
        <f>4*CC153*#REF!+60*CC153</f>
        <v>#REF!</v>
      </c>
      <c r="CG153" s="4" t="e">
        <f t="shared" si="569"/>
        <v>#REF!</v>
      </c>
      <c r="CH153" s="4" t="e">
        <f t="shared" si="570"/>
        <v>#REF!</v>
      </c>
      <c r="CI153" s="4" t="e">
        <f t="shared" si="571"/>
        <v>#REF!</v>
      </c>
      <c r="CJ153" s="4" t="e">
        <f t="shared" si="572"/>
        <v>#REF!</v>
      </c>
      <c r="CK153" s="4" t="e">
        <f t="shared" si="573"/>
        <v>#REF!</v>
      </c>
      <c r="CL153" s="4" t="e">
        <f t="shared" si="574"/>
        <v>#REF!</v>
      </c>
      <c r="CM153" s="4">
        <f t="shared" si="481"/>
        <v>1.249185320570019</v>
      </c>
      <c r="CU153" s="4" t="e">
        <f t="shared" si="575"/>
        <v>#REF!</v>
      </c>
      <c r="CV153" s="4" t="e">
        <f t="shared" si="576"/>
        <v>#REF!</v>
      </c>
      <c r="CW153" s="4" t="e">
        <f t="shared" si="577"/>
        <v>#REF!</v>
      </c>
      <c r="CX153" s="4">
        <f t="shared" si="538"/>
        <v>1.249185320570019</v>
      </c>
      <c r="CY153" s="4" t="e">
        <f t="shared" si="578"/>
        <v>#REF!</v>
      </c>
      <c r="CZ153" s="4" t="e">
        <f t="shared" si="579"/>
        <v>#REF!</v>
      </c>
      <c r="DB153" s="4">
        <f t="shared" si="580"/>
        <v>0</v>
      </c>
      <c r="DC153" s="4">
        <f t="shared" si="581"/>
        <v>304.79999999999995</v>
      </c>
      <c r="DD153" s="4" t="e">
        <f>#REF!/E153</f>
        <v>#REF!</v>
      </c>
      <c r="DF153" s="4">
        <f t="shared" si="582"/>
        <v>3.807121106173361E-5</v>
      </c>
      <c r="DG153" s="4">
        <f t="shared" si="583"/>
        <v>7.8049715349349125</v>
      </c>
      <c r="DH153" s="4">
        <f t="shared" si="486"/>
        <v>0.2707582493430632</v>
      </c>
      <c r="DI153" s="4">
        <f t="shared" si="621"/>
        <v>4.6281135149808286</v>
      </c>
      <c r="DJ153" s="4">
        <f t="shared" si="622"/>
        <v>6.4174991312703371</v>
      </c>
      <c r="DK153" s="4">
        <f t="shared" si="487"/>
        <v>6.8239133200440145</v>
      </c>
      <c r="DL153" s="38" t="e">
        <f t="shared" si="584"/>
        <v>#REF!</v>
      </c>
      <c r="DM153" s="4" t="e">
        <f t="shared" si="623"/>
        <v>#REF!</v>
      </c>
      <c r="DN153" s="4">
        <f t="shared" si="488"/>
        <v>2.2360679774997898</v>
      </c>
      <c r="DO153" s="4">
        <f t="shared" si="624"/>
        <v>490.74367108234986</v>
      </c>
      <c r="DS153" s="4">
        <f t="shared" si="585"/>
        <v>0.85</v>
      </c>
      <c r="DT153" s="4">
        <f t="shared" si="586"/>
        <v>0.97333333333333327</v>
      </c>
      <c r="DU153" s="4">
        <f t="shared" si="587"/>
        <v>1</v>
      </c>
      <c r="DV153" s="4">
        <f t="shared" si="588"/>
        <v>0.97333333333333327</v>
      </c>
      <c r="DX153" s="4" t="e">
        <f t="shared" si="589"/>
        <v>#REF!</v>
      </c>
      <c r="DY153" s="25">
        <f t="shared" si="590"/>
        <v>484.28839639595202</v>
      </c>
      <c r="EB153" s="4">
        <f t="shared" si="436"/>
        <v>7.8049715349349125</v>
      </c>
      <c r="EC153" s="4">
        <f t="shared" si="591"/>
        <v>7.8049715349349125</v>
      </c>
      <c r="EE153" s="4">
        <f t="shared" si="592"/>
        <v>42.597094971370993</v>
      </c>
      <c r="EF153" s="4">
        <f t="shared" si="593"/>
        <v>2.2360679774997898</v>
      </c>
      <c r="EG153" s="4">
        <f t="shared" si="594"/>
        <v>0.1283059810021511</v>
      </c>
      <c r="EJ153" s="4">
        <f t="shared" si="595"/>
        <v>0.1283059810021511</v>
      </c>
      <c r="EK153" s="4">
        <f t="shared" si="596"/>
        <v>0.27030640428738761</v>
      </c>
      <c r="EL153" s="4">
        <f t="shared" si="597"/>
        <v>4.6250225833637622</v>
      </c>
      <c r="EM153" s="4">
        <f t="shared" si="598"/>
        <v>6.4163901408082813</v>
      </c>
      <c r="EN153" s="4">
        <f t="shared" si="599"/>
        <v>186.00290502862896</v>
      </c>
      <c r="EO153" s="4">
        <f t="shared" si="600"/>
        <v>76.199999999999989</v>
      </c>
      <c r="EP153" s="4">
        <f t="shared" si="601"/>
        <v>3.807121106173361E-5</v>
      </c>
      <c r="EQ153" s="4">
        <f t="shared" si="602"/>
        <v>6.824109707617299</v>
      </c>
      <c r="ER153" s="4" t="e">
        <f t="shared" si="603"/>
        <v>#REF!</v>
      </c>
      <c r="ES153" s="4" t="e">
        <f t="shared" si="604"/>
        <v>#REF!</v>
      </c>
      <c r="ET153" s="4" t="e">
        <f t="shared" si="605"/>
        <v>#REF!</v>
      </c>
      <c r="EV153" s="4" t="e">
        <f t="shared" si="489"/>
        <v>#REF!</v>
      </c>
      <c r="FA153" s="23" t="e">
        <f t="shared" si="490"/>
        <v>#REF!</v>
      </c>
      <c r="FB153" s="23" t="e">
        <f t="shared" si="606"/>
        <v>#REF!</v>
      </c>
      <c r="FC153" s="23">
        <f t="shared" si="527"/>
        <v>1.4</v>
      </c>
      <c r="FD153" s="23" t="e">
        <f t="shared" si="492"/>
        <v>#REF!</v>
      </c>
      <c r="FE153" s="23" t="e">
        <f t="shared" si="493"/>
        <v>#REF!</v>
      </c>
      <c r="FF153" s="23" t="e">
        <f t="shared" si="494"/>
        <v>#REF!</v>
      </c>
      <c r="FG153" s="23" t="e">
        <f t="shared" si="533"/>
        <v>#REF!</v>
      </c>
      <c r="FH153" s="23"/>
      <c r="FR153" s="4">
        <f t="shared" si="607"/>
        <v>1.25</v>
      </c>
      <c r="FS153" s="4">
        <f t="shared" si="608"/>
        <v>0.87222222222222201</v>
      </c>
      <c r="FT153" s="4">
        <f t="shared" si="609"/>
        <v>0</v>
      </c>
      <c r="FU153" s="4">
        <f t="shared" si="610"/>
        <v>497.42764353113307</v>
      </c>
    </row>
    <row r="154" spans="1:177" ht="12" customHeight="1" x14ac:dyDescent="0.3">
      <c r="B154" s="24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>
        <v>1</v>
      </c>
      <c r="AB154" s="7"/>
      <c r="AC154" s="7"/>
      <c r="AD154" s="7"/>
      <c r="AJ154" s="25"/>
      <c r="AK154" s="38">
        <f t="shared" si="480"/>
        <v>0</v>
      </c>
      <c r="AS154" s="4" t="e">
        <f t="shared" si="549"/>
        <v>#DIV/0!</v>
      </c>
      <c r="AY154" s="4" t="e">
        <f t="shared" ref="AY154:AY167" si="627">MIN(1.5, 0.75+0.25*MIN(3,MAX(1,I154/G154))+0.4*MIN(1,(40*2*PI()*Y154^2/4/AA154/L154)/G154))</f>
        <v>#DIV/0!</v>
      </c>
      <c r="AZ154" s="4" t="e">
        <f>(3*#REF!+30)*AY154*F154^0.5</f>
        <v>#REF!</v>
      </c>
      <c r="BP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DB154" s="4">
        <f t="shared" si="518"/>
        <v>0</v>
      </c>
      <c r="DF154" s="4" t="e">
        <f t="shared" si="582"/>
        <v>#DIV/0!</v>
      </c>
      <c r="DG154" s="4">
        <f t="shared" si="519"/>
        <v>0</v>
      </c>
      <c r="DL154" s="38" t="e">
        <f t="shared" si="584"/>
        <v>#DIV/0!</v>
      </c>
      <c r="DM154" s="4" t="e">
        <f t="shared" si="623"/>
        <v>#DIV/0!</v>
      </c>
      <c r="DO154" s="4">
        <f t="shared" si="624"/>
        <v>0</v>
      </c>
      <c r="DY154" s="25"/>
      <c r="EE154" s="4">
        <f t="shared" si="592"/>
        <v>0</v>
      </c>
      <c r="EG154" s="4" t="e">
        <f t="shared" si="594"/>
        <v>#DIV/0!</v>
      </c>
      <c r="EL154" s="4">
        <f t="shared" si="521"/>
        <v>0</v>
      </c>
      <c r="EN154" s="4">
        <f t="shared" ref="EN154:EN156" si="628">MAX(0,DC154*EN$9-EE154)</f>
        <v>0</v>
      </c>
      <c r="EO154" s="4">
        <f t="shared" ref="EO154:EO156" si="629">MAX(0,DC154-EE154-EN154)</f>
        <v>0</v>
      </c>
      <c r="FA154" s="23"/>
      <c r="FB154" s="23"/>
      <c r="FC154" s="23"/>
      <c r="FD154" s="23"/>
      <c r="FE154" s="23"/>
      <c r="FF154" s="23"/>
      <c r="FG154" s="23"/>
      <c r="FH154" s="23"/>
      <c r="FR154" s="4">
        <f t="shared" si="607"/>
        <v>1.25</v>
      </c>
      <c r="FS154" s="4" t="e">
        <f t="shared" si="608"/>
        <v>#DIV/0!</v>
      </c>
      <c r="FT154" s="4" t="e">
        <f t="shared" si="609"/>
        <v>#DIV/0!</v>
      </c>
      <c r="FU154" s="4" t="e">
        <f t="shared" si="610"/>
        <v>#DIV/0!</v>
      </c>
    </row>
    <row r="155" spans="1:177" ht="12" customHeight="1" x14ac:dyDescent="0.3">
      <c r="B155" s="24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>
        <v>1</v>
      </c>
      <c r="AB155" s="7"/>
      <c r="AC155" s="7"/>
      <c r="AD155" s="7"/>
      <c r="AJ155" s="25"/>
      <c r="AK155" s="38">
        <f t="shared" si="480"/>
        <v>0</v>
      </c>
      <c r="AS155" s="4" t="e">
        <f t="shared" si="549"/>
        <v>#DIV/0!</v>
      </c>
      <c r="AY155" s="4" t="e">
        <f t="shared" si="627"/>
        <v>#DIV/0!</v>
      </c>
      <c r="AZ155" s="4" t="e">
        <f>(3*#REF!+30)*AY155*F155^0.5</f>
        <v>#REF!</v>
      </c>
      <c r="BC155" s="4" t="e">
        <f>8/3*T155*U155^2/(S155-G155)/G155</f>
        <v>#DIV/0!</v>
      </c>
      <c r="BP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DB155" s="4">
        <f t="shared" si="518"/>
        <v>0</v>
      </c>
      <c r="DF155" s="4" t="e">
        <f t="shared" si="582"/>
        <v>#DIV/0!</v>
      </c>
      <c r="DG155" s="4">
        <f t="shared" si="519"/>
        <v>0</v>
      </c>
      <c r="DL155" s="38" t="e">
        <f t="shared" si="584"/>
        <v>#DIV/0!</v>
      </c>
      <c r="DM155" s="4" t="e">
        <f t="shared" si="623"/>
        <v>#DIV/0!</v>
      </c>
      <c r="DO155" s="4">
        <f t="shared" si="624"/>
        <v>0</v>
      </c>
      <c r="DY155" s="25"/>
      <c r="EE155" s="4">
        <f t="shared" si="592"/>
        <v>0</v>
      </c>
      <c r="EG155" s="4" t="e">
        <f t="shared" si="594"/>
        <v>#DIV/0!</v>
      </c>
      <c r="EL155" s="4">
        <f t="shared" si="521"/>
        <v>0</v>
      </c>
      <c r="EN155" s="4">
        <f t="shared" si="628"/>
        <v>0</v>
      </c>
      <c r="EO155" s="4">
        <f t="shared" si="629"/>
        <v>0</v>
      </c>
      <c r="FA155" s="23"/>
      <c r="FB155" s="23"/>
      <c r="FC155" s="23"/>
      <c r="FD155" s="23"/>
      <c r="FE155" s="23"/>
      <c r="FF155" s="23"/>
      <c r="FG155" s="23"/>
      <c r="FH155" s="23"/>
      <c r="FR155" s="4">
        <f t="shared" si="607"/>
        <v>1.25</v>
      </c>
      <c r="FS155" s="4" t="e">
        <f t="shared" si="608"/>
        <v>#DIV/0!</v>
      </c>
      <c r="FT155" s="4" t="e">
        <f t="shared" si="609"/>
        <v>#DIV/0!</v>
      </c>
      <c r="FU155" s="4" t="e">
        <f t="shared" si="610"/>
        <v>#DIV/0!</v>
      </c>
    </row>
    <row r="156" spans="1:177" ht="12" customHeight="1" x14ac:dyDescent="0.3">
      <c r="A156" s="4">
        <v>4</v>
      </c>
      <c r="B156" s="24" t="s">
        <v>307</v>
      </c>
      <c r="C156" s="4" t="s">
        <v>112</v>
      </c>
      <c r="D156" s="7">
        <v>447.7</v>
      </c>
      <c r="E156" s="7">
        <v>888</v>
      </c>
      <c r="F156" s="7">
        <v>24.2</v>
      </c>
      <c r="G156" s="37">
        <v>57.3</v>
      </c>
      <c r="H156" s="7">
        <v>350</v>
      </c>
      <c r="I156" s="7">
        <f t="shared" ref="I156:I167" si="630">(H156-G156)/2</f>
        <v>146.35</v>
      </c>
      <c r="J156" s="7" t="e">
        <f>958-20-#REF!</f>
        <v>#REF!</v>
      </c>
      <c r="K156" s="7">
        <v>0</v>
      </c>
      <c r="L156" s="7">
        <v>1</v>
      </c>
      <c r="M156" s="7">
        <f>958-105</f>
        <v>853</v>
      </c>
      <c r="N156" s="7">
        <f t="shared" ref="N156:N167" si="631">I156/G156+0.5</f>
        <v>3.0541012216404888</v>
      </c>
      <c r="O156" s="7">
        <f t="shared" ref="O156:O167" si="632">I156/G156+0.5</f>
        <v>3.0541012216404888</v>
      </c>
      <c r="P156" s="7">
        <f>10324/2581</f>
        <v>4</v>
      </c>
      <c r="Q156" s="7">
        <f>10324/2581</f>
        <v>4</v>
      </c>
      <c r="R156" s="7">
        <f t="shared" ref="R156:R167" si="633">Q156+1</f>
        <v>5</v>
      </c>
      <c r="S156" s="7">
        <f t="shared" ref="S156:S167" si="634">G156*R156^0.5</f>
        <v>128.12669511073796</v>
      </c>
      <c r="T156" s="7">
        <f t="shared" ref="T156:T167" si="635">D156</f>
        <v>447.7</v>
      </c>
      <c r="U156" s="7">
        <v>20</v>
      </c>
      <c r="V156" s="7"/>
      <c r="W156" s="32" t="s">
        <v>308</v>
      </c>
      <c r="X156" s="7"/>
      <c r="Y156" s="7"/>
      <c r="Z156" s="7"/>
      <c r="AA156" s="7">
        <v>1</v>
      </c>
      <c r="AB156" s="7"/>
      <c r="AC156" s="7"/>
      <c r="AD156" s="7"/>
      <c r="AE156" s="4">
        <f t="shared" ref="AE156:AE167" si="636">E156</f>
        <v>888</v>
      </c>
      <c r="AF156" s="4">
        <f t="shared" ref="AF156:AF167" si="637">MIN(9*E156^2,H156*3*E156)/(9*E156^2)</f>
        <v>0.13138138138138139</v>
      </c>
      <c r="AG156" s="4">
        <f t="shared" ref="AG156:AG167" si="638">MIN(10*F156^0.5*E156^1.5,3.9*F156^0.5*E156^(5/3))/(PI()/4*G156^2)</f>
        <v>504.810066148418</v>
      </c>
      <c r="AH156" s="4">
        <f t="shared" ref="AH156:AH167" si="639">MIN(0.7+0.3*H156/2/1.5/E156,1)</f>
        <v>0.73941441441441436</v>
      </c>
      <c r="AI156" s="4">
        <v>1.25</v>
      </c>
      <c r="AJ156" s="25">
        <v>1</v>
      </c>
      <c r="AK156" s="38">
        <f>AF156*AH156*AI156*AJ156*AG156</f>
        <v>61.299898558592346</v>
      </c>
      <c r="AN156" s="38">
        <f t="shared" ref="AN156:AN219" si="640">AJ156* (F156^0.5/AE156^0.5)/(PI()/4*G156^2)/L156/0.72 *(0.7+(MIN(I156,M156)+0.5*G156)/5/E156) *(3*H156*E156)</f>
        <v>61.299898558592375</v>
      </c>
      <c r="AO156" s="38">
        <f t="shared" si="548"/>
        <v>0.99999999999999956</v>
      </c>
      <c r="AP156" s="38">
        <f t="shared" ref="AP156:AP219" si="641">AT156/AN156</f>
        <v>4.8227975120092603</v>
      </c>
      <c r="AQ156" s="4">
        <f t="shared" ref="AQ156:AQ219" si="642">IF(AP156&lt;1,1,0)</f>
        <v>0</v>
      </c>
      <c r="AR156" s="4" t="e">
        <f>#REF!/G156*F156^0.5/0.19</f>
        <v>#REF!</v>
      </c>
      <c r="AS156" s="4">
        <f t="shared" si="549"/>
        <v>1</v>
      </c>
      <c r="AT156" s="38">
        <f t="shared" ref="AT156:AT167" si="643">2*F156*N156*P156^0.5*AS156*0.7/0.7</f>
        <v>295.63699825479932</v>
      </c>
      <c r="AU156" s="4">
        <f t="shared" ref="AU156:AU167" si="644">MAX(1-0.7*Q156/5,0.3)</f>
        <v>0.44000000000000006</v>
      </c>
      <c r="AV156" s="4" t="e">
        <f>AU156*D156*#REF!/(D156*G156/2.75/F156^0.5)</f>
        <v>#REF!</v>
      </c>
      <c r="AW156" s="4" t="e">
        <f t="shared" ref="AW156:AW167" si="645">AT156+AV156</f>
        <v>#REF!</v>
      </c>
      <c r="AY156" s="4">
        <f t="shared" si="627"/>
        <v>1.3885253054101221</v>
      </c>
      <c r="AZ156" s="4" t="e">
        <f>(3*#REF!+30)*AY156*F156^0.5</f>
        <v>#REF!</v>
      </c>
      <c r="BB156" s="4">
        <f t="shared" ref="BB156:BB167" si="646">3.4/PI()^0.5*F156*N156*Q156^0.5*AS156</f>
        <v>283.55203537536278</v>
      </c>
      <c r="BC156" s="4">
        <f t="shared" ref="BC156:BC167" si="647">8/3*T156*U156^2/(S156-G156-22)/G156*(S156^2-G156^2)/(S156^2-(G156+22)^2)</f>
        <v>221.33552459284101</v>
      </c>
      <c r="BD156" s="4">
        <f>BC156/BB156</f>
        <v>0.78058168159449004</v>
      </c>
      <c r="BL156" s="4">
        <f t="shared" ref="BL156:BL167" si="648">IF(K156=0,I156,MIN(K156/2,I156))</f>
        <v>146.35</v>
      </c>
      <c r="BP156" s="9"/>
      <c r="BR156" s="9"/>
      <c r="BS156" s="9"/>
      <c r="BT156" s="9" t="e">
        <f t="shared" ref="BT156:BT167" si="649">IF(K156=0,MIN(I156,J156),MIN(K156/2,I156,J156))</f>
        <v>#REF!</v>
      </c>
      <c r="BU156" s="9">
        <f t="shared" ref="BU156:BU167" si="650">MAX(K156/2,I156)</f>
        <v>146.35</v>
      </c>
      <c r="BV156" s="9" t="e">
        <f t="shared" ref="BV156:BV167" si="651">(BT156/G156)^0.5*(BU156/BT156)^0.15</f>
        <v>#REF!</v>
      </c>
      <c r="BW156" s="9">
        <v>0</v>
      </c>
      <c r="BX156" s="9">
        <f t="shared" ref="BX156:BX167" si="652">MIN(PI()*Y156^2/4*Z156*2/L156/G156/MAX(0.01,AA156),0.05)</f>
        <v>0</v>
      </c>
      <c r="BY156" s="9">
        <f t="shared" ref="BY156:BY167" si="653">MAX(0,BW156*(BX156-0.5/50))</f>
        <v>0</v>
      </c>
      <c r="BZ156" s="9">
        <f t="shared" ref="BZ156:BZ167" si="654">MIN(1,(25/G156)^0.3)</f>
        <v>0.77971450958075206</v>
      </c>
      <c r="CA156" s="9">
        <f t="shared" ref="CA156:CA167" si="655">IF(D156&gt;=800,0.68,IF(D156&gt;=700,0.75-(D156-700)*0.07/100,IF(D156&gt;=600,0.85-(D156-600)*0.1/100,IF(D156&gt;=500,1-(D156-500)*0.15/100,1.2-(D156-400)*0.2/100))))</f>
        <v>1.1046</v>
      </c>
      <c r="CB156" s="9">
        <f t="shared" ref="CB156:CB167" si="656">1.75*BZ156*CA156*(F156/25)^0.5</f>
        <v>1.4829154235940361</v>
      </c>
      <c r="CC156" s="9" t="e">
        <f t="shared" ref="CC156:CC167" si="657">MIN((BV156+BY156)*CB156,2.5*CB156,F156^0.5)</f>
        <v>#REF!</v>
      </c>
      <c r="CD156" s="9">
        <v>1</v>
      </c>
      <c r="CE156" s="9" t="e">
        <f>4*CC156*#REF!+60*CC156</f>
        <v>#REF!</v>
      </c>
      <c r="DB156" s="4">
        <f t="shared" si="518"/>
        <v>0</v>
      </c>
      <c r="DC156" s="4" t="e">
        <f>#REF!</f>
        <v>#REF!</v>
      </c>
      <c r="DF156" s="4">
        <f t="shared" si="582"/>
        <v>2.6516412632020574E-5</v>
      </c>
      <c r="DG156" s="4" t="e">
        <f t="shared" si="519"/>
        <v>#REF!</v>
      </c>
      <c r="DL156" s="38">
        <f t="shared" si="584"/>
        <v>61.299898558592375</v>
      </c>
      <c r="DM156" s="4" t="e">
        <f t="shared" si="623"/>
        <v>#REF!</v>
      </c>
      <c r="DO156" s="4">
        <f t="shared" si="624"/>
        <v>61.299898558592375</v>
      </c>
      <c r="DS156" s="4" t="e">
        <f t="shared" ref="DS156:DS167" si="658">IF(J156&gt;1*G156,0.85,1)</f>
        <v>#REF!</v>
      </c>
      <c r="DT156" s="4">
        <f t="shared" ref="DT156:DT167" si="659">MIN(1,MAX(0.7,(1-0.1*(BL156-1*G156)/G156)))</f>
        <v>0.84458987783595108</v>
      </c>
      <c r="DU156" s="4">
        <f t="shared" ref="DU156:DU167" si="660">MIN(1,MAX(0.7,1-0.3*(PI()*Y156^2/4*Z156*2-0.25*PI()/4*G156^2)/(PI()/4*G156^2)))</f>
        <v>1</v>
      </c>
      <c r="DV156" s="4">
        <f t="shared" ref="DV156:DV167" si="661">IF(DT156*DU156&lt;0.7,0.7,DT156*DU156)</f>
        <v>0.84458987783595108</v>
      </c>
      <c r="DY156" s="25"/>
      <c r="EB156" s="4" t="e">
        <f t="shared" ref="EB156:EB167" si="662">IF(G156&lt;22.2,1.1*5*(F156/30)^0.5,IF(G156&gt;=31.8,0.9*5*(F156/30)^0.5,1*5*(F156/30)^0.5))/DV156/DS156</f>
        <v>#REF!</v>
      </c>
      <c r="EE156" s="4">
        <f t="shared" si="592"/>
        <v>128.12669511073796</v>
      </c>
      <c r="EF156" s="4">
        <f t="shared" si="520"/>
        <v>2.2360679774997898</v>
      </c>
      <c r="EG156" s="4">
        <f t="shared" si="594"/>
        <v>8.4924666039829386E-2</v>
      </c>
      <c r="EJ156" s="4">
        <f t="shared" ref="EJ156:EJ167" si="663">EG156</f>
        <v>8.4924666039829386E-2</v>
      </c>
      <c r="EK156" s="4">
        <f t="shared" ref="EK156:EK167" si="664">MIN(0.999, EJ156/(0.3*(F156/30)^0.5))</f>
        <v>0.31518499753613483</v>
      </c>
      <c r="EL156" s="4" t="e">
        <f t="shared" si="521"/>
        <v>#REF!</v>
      </c>
      <c r="EM156" s="4" t="e">
        <f t="shared" ref="EM156:EM167" si="665">EB156/1.4*(1-EK156^1.4)/(1-EK156)</f>
        <v>#REF!</v>
      </c>
      <c r="EN156" s="4" t="e">
        <f t="shared" si="628"/>
        <v>#REF!</v>
      </c>
      <c r="EO156" s="4" t="e">
        <f t="shared" si="629"/>
        <v>#REF!</v>
      </c>
      <c r="EP156" s="4" t="e">
        <f t="shared" ref="EP156:EP167" si="666">EO156/(1-0.3*(F156/30)^0.5)/200000/G156</f>
        <v>#REF!</v>
      </c>
      <c r="EQ156" s="4" t="e">
        <f t="shared" ref="EQ156:EQ167" si="667">MAX(0.5*EB156, (1-2*EP156*(EE156*EL156+EN156*EM156))/(1/EB156+EP156*EO156))</f>
        <v>#REF!</v>
      </c>
      <c r="ER156" s="4" t="e">
        <f t="shared" ref="ER156:ER167" si="668">MIN(4/G156*(1*EL156*EE156+EM156*EN156+EO156*EQ156)+DO156,MAX(D156,V156))</f>
        <v>#REF!</v>
      </c>
      <c r="FA156" s="23"/>
      <c r="FB156" s="23"/>
      <c r="FC156" s="23"/>
      <c r="FD156" s="23"/>
      <c r="FE156" s="23"/>
      <c r="FF156" s="23"/>
      <c r="FG156" s="23"/>
      <c r="FH156" s="23"/>
      <c r="FR156" s="4">
        <f t="shared" si="607"/>
        <v>1</v>
      </c>
      <c r="FS156" s="4">
        <f t="shared" si="608"/>
        <v>1.0833333333333333</v>
      </c>
      <c r="FT156" s="4">
        <f t="shared" si="609"/>
        <v>0</v>
      </c>
      <c r="FU156" s="4">
        <f t="shared" si="610"/>
        <v>210.64559565541157</v>
      </c>
    </row>
    <row r="157" spans="1:177" ht="12" customHeight="1" x14ac:dyDescent="0.3">
      <c r="B157" s="24" t="s">
        <v>309</v>
      </c>
      <c r="C157" s="4" t="s">
        <v>113</v>
      </c>
      <c r="D157" s="7">
        <v>447.7</v>
      </c>
      <c r="E157" s="7">
        <v>684</v>
      </c>
      <c r="F157" s="7">
        <v>24.2</v>
      </c>
      <c r="G157" s="37">
        <v>57.3</v>
      </c>
      <c r="H157" s="7">
        <v>350</v>
      </c>
      <c r="I157" s="7">
        <f t="shared" si="630"/>
        <v>146.35</v>
      </c>
      <c r="J157" s="7" t="e">
        <f>958-20-#REF!</f>
        <v>#REF!</v>
      </c>
      <c r="K157" s="7">
        <v>0</v>
      </c>
      <c r="L157" s="7">
        <v>1</v>
      </c>
      <c r="M157" s="7">
        <f t="shared" ref="M157:M159" si="669">958-105</f>
        <v>853</v>
      </c>
      <c r="N157" s="7">
        <f t="shared" si="631"/>
        <v>3.0541012216404888</v>
      </c>
      <c r="O157" s="7">
        <f t="shared" si="632"/>
        <v>3.0541012216404888</v>
      </c>
      <c r="P157" s="7">
        <f t="shared" ref="P157:Q163" si="670">10324/2581</f>
        <v>4</v>
      </c>
      <c r="Q157" s="7">
        <f t="shared" si="670"/>
        <v>4</v>
      </c>
      <c r="R157" s="7">
        <f t="shared" si="633"/>
        <v>5</v>
      </c>
      <c r="S157" s="7">
        <f t="shared" si="634"/>
        <v>128.12669511073796</v>
      </c>
      <c r="T157" s="7">
        <f t="shared" si="635"/>
        <v>447.7</v>
      </c>
      <c r="U157" s="7">
        <v>20</v>
      </c>
      <c r="V157" s="7"/>
      <c r="W157" s="32" t="s">
        <v>308</v>
      </c>
      <c r="X157" s="7"/>
      <c r="Y157" s="7"/>
      <c r="Z157" s="7"/>
      <c r="AA157" s="7">
        <v>1</v>
      </c>
      <c r="AB157" s="7"/>
      <c r="AC157" s="7"/>
      <c r="AD157" s="7"/>
      <c r="AE157" s="4">
        <f t="shared" si="636"/>
        <v>684</v>
      </c>
      <c r="AF157" s="4">
        <f t="shared" si="637"/>
        <v>0.1705653021442495</v>
      </c>
      <c r="AG157" s="4">
        <f t="shared" si="638"/>
        <v>341.26575496815576</v>
      </c>
      <c r="AH157" s="4">
        <f t="shared" si="639"/>
        <v>0.75116959064327482</v>
      </c>
      <c r="AI157" s="4">
        <v>1.25</v>
      </c>
      <c r="AJ157" s="25">
        <v>1</v>
      </c>
      <c r="AK157" s="38">
        <f t="shared" ref="AK157:AK167" si="671">AF157*AH157*AI157*AJ157*AG157</f>
        <v>54.655190126095995</v>
      </c>
      <c r="AN157" s="38">
        <f t="shared" si="640"/>
        <v>54.655190126096059</v>
      </c>
      <c r="AO157" s="38">
        <f t="shared" si="548"/>
        <v>0.99999999999999878</v>
      </c>
      <c r="AP157" s="38">
        <f t="shared" si="641"/>
        <v>5.4091294453963004</v>
      </c>
      <c r="AQ157" s="4">
        <f t="shared" si="642"/>
        <v>0</v>
      </c>
      <c r="AR157" s="4" t="e">
        <f>#REF!/G157*F157^0.5/0.19</f>
        <v>#REF!</v>
      </c>
      <c r="AS157" s="4">
        <f t="shared" si="549"/>
        <v>1</v>
      </c>
      <c r="AT157" s="38">
        <f t="shared" si="643"/>
        <v>295.63699825479932</v>
      </c>
      <c r="AU157" s="4">
        <f t="shared" si="644"/>
        <v>0.44000000000000006</v>
      </c>
      <c r="AV157" s="4" t="e">
        <f>AU157*D157*#REF!/(D157*G157/2.75/F157^0.5)</f>
        <v>#REF!</v>
      </c>
      <c r="AW157" s="4" t="e">
        <f t="shared" si="645"/>
        <v>#REF!</v>
      </c>
      <c r="AY157" s="4">
        <f t="shared" si="627"/>
        <v>1.3885253054101221</v>
      </c>
      <c r="AZ157" s="4" t="e">
        <f>(3*#REF!+30)*AY157*F157^0.5</f>
        <v>#REF!</v>
      </c>
      <c r="BB157" s="4">
        <f t="shared" si="646"/>
        <v>283.55203537536278</v>
      </c>
      <c r="BC157" s="4">
        <f t="shared" si="647"/>
        <v>221.33552459284101</v>
      </c>
      <c r="BD157" s="4">
        <f t="shared" ref="BD157:BD221" si="672">BC157/BB157</f>
        <v>0.78058168159449004</v>
      </c>
      <c r="BL157" s="4">
        <f t="shared" si="648"/>
        <v>146.35</v>
      </c>
      <c r="BP157" s="9"/>
      <c r="BR157" s="9"/>
      <c r="BS157" s="9"/>
      <c r="BT157" s="9" t="e">
        <f t="shared" si="649"/>
        <v>#REF!</v>
      </c>
      <c r="BU157" s="9">
        <f t="shared" si="650"/>
        <v>146.35</v>
      </c>
      <c r="BV157" s="9" t="e">
        <f t="shared" si="651"/>
        <v>#REF!</v>
      </c>
      <c r="BW157" s="9">
        <v>0</v>
      </c>
      <c r="BX157" s="9">
        <f t="shared" si="652"/>
        <v>0</v>
      </c>
      <c r="BY157" s="9">
        <f t="shared" si="653"/>
        <v>0</v>
      </c>
      <c r="BZ157" s="9">
        <f t="shared" si="654"/>
        <v>0.77971450958075206</v>
      </c>
      <c r="CA157" s="9">
        <f t="shared" si="655"/>
        <v>1.1046</v>
      </c>
      <c r="CB157" s="9">
        <f t="shared" si="656"/>
        <v>1.4829154235940361</v>
      </c>
      <c r="CC157" s="9" t="e">
        <f t="shared" si="657"/>
        <v>#REF!</v>
      </c>
      <c r="CD157" s="9">
        <v>1</v>
      </c>
      <c r="CE157" s="9" t="e">
        <f>4*CC157*#REF!+60*CC157</f>
        <v>#REF!</v>
      </c>
      <c r="DB157" s="4">
        <f t="shared" si="518"/>
        <v>0</v>
      </c>
      <c r="DC157" s="4" t="e">
        <f>#REF!</f>
        <v>#REF!</v>
      </c>
      <c r="DF157" s="4">
        <f t="shared" si="582"/>
        <v>2.0424804324664502E-5</v>
      </c>
      <c r="DG157" s="4" t="e">
        <f t="shared" si="519"/>
        <v>#REF!</v>
      </c>
      <c r="DL157" s="38">
        <f t="shared" si="584"/>
        <v>54.655190126096059</v>
      </c>
      <c r="DM157" s="4" t="e">
        <f t="shared" si="623"/>
        <v>#REF!</v>
      </c>
      <c r="DO157" s="4">
        <f t="shared" si="624"/>
        <v>54.655190126096059</v>
      </c>
      <c r="DS157" s="4" t="e">
        <f t="shared" si="658"/>
        <v>#REF!</v>
      </c>
      <c r="DT157" s="4">
        <f t="shared" si="659"/>
        <v>0.84458987783595108</v>
      </c>
      <c r="DU157" s="4">
        <f t="shared" si="660"/>
        <v>1</v>
      </c>
      <c r="DV157" s="4">
        <f t="shared" si="661"/>
        <v>0.84458987783595108</v>
      </c>
      <c r="DY157" s="25"/>
      <c r="EB157" s="4" t="e">
        <f t="shared" si="662"/>
        <v>#REF!</v>
      </c>
      <c r="EE157" s="4">
        <f t="shared" si="592"/>
        <v>128.12669511073796</v>
      </c>
      <c r="EF157" s="4">
        <f t="shared" si="520"/>
        <v>2.2360679774997898</v>
      </c>
      <c r="EG157" s="4">
        <f t="shared" si="594"/>
        <v>7.5719110111830371E-2</v>
      </c>
      <c r="EJ157" s="4">
        <f t="shared" si="663"/>
        <v>7.5719110111830371E-2</v>
      </c>
      <c r="EK157" s="4">
        <f t="shared" si="664"/>
        <v>0.28101997507817955</v>
      </c>
      <c r="EL157" s="4" t="e">
        <f t="shared" si="521"/>
        <v>#REF!</v>
      </c>
      <c r="EM157" s="4" t="e">
        <f t="shared" si="665"/>
        <v>#REF!</v>
      </c>
      <c r="EN157" s="4" t="e">
        <f t="shared" ref="EN157:EN221" si="673">MAX(0,DC157*EN$9-EE157)</f>
        <v>#REF!</v>
      </c>
      <c r="EO157" s="4" t="e">
        <f t="shared" ref="EO157:EO221" si="674">MAX(0,DC157-EE157-EN157)</f>
        <v>#REF!</v>
      </c>
      <c r="EP157" s="4" t="e">
        <f t="shared" si="666"/>
        <v>#REF!</v>
      </c>
      <c r="EQ157" s="4" t="e">
        <f t="shared" si="667"/>
        <v>#REF!</v>
      </c>
      <c r="ER157" s="4" t="e">
        <f t="shared" si="668"/>
        <v>#REF!</v>
      </c>
      <c r="FA157" s="23"/>
      <c r="FB157" s="23"/>
      <c r="FC157" s="23"/>
      <c r="FD157" s="23"/>
      <c r="FE157" s="23"/>
      <c r="FF157" s="23"/>
      <c r="FG157" s="23"/>
      <c r="FH157" s="23"/>
      <c r="FR157" s="4">
        <f t="shared" si="607"/>
        <v>1</v>
      </c>
      <c r="FS157" s="4">
        <f t="shared" si="608"/>
        <v>1.0833333333333333</v>
      </c>
      <c r="FT157" s="4">
        <f t="shared" si="609"/>
        <v>0</v>
      </c>
      <c r="FU157" s="4">
        <f t="shared" si="610"/>
        <v>162.25403989673589</v>
      </c>
    </row>
    <row r="158" spans="1:177" ht="12" customHeight="1" x14ac:dyDescent="0.3">
      <c r="B158" s="24"/>
      <c r="C158" s="4" t="s">
        <v>114</v>
      </c>
      <c r="D158" s="7">
        <v>447.7</v>
      </c>
      <c r="E158" s="7">
        <v>684</v>
      </c>
      <c r="F158" s="7">
        <v>24.2</v>
      </c>
      <c r="G158" s="37">
        <v>57.3</v>
      </c>
      <c r="H158" s="7">
        <v>350</v>
      </c>
      <c r="I158" s="7">
        <f t="shared" si="630"/>
        <v>146.35</v>
      </c>
      <c r="J158" s="7" t="e">
        <f>958-20-#REF!</f>
        <v>#REF!</v>
      </c>
      <c r="K158" s="7">
        <v>0</v>
      </c>
      <c r="L158" s="7">
        <v>1</v>
      </c>
      <c r="M158" s="7">
        <f t="shared" si="669"/>
        <v>853</v>
      </c>
      <c r="N158" s="7">
        <f t="shared" si="631"/>
        <v>3.0541012216404888</v>
      </c>
      <c r="O158" s="7">
        <f t="shared" si="632"/>
        <v>3.0541012216404888</v>
      </c>
      <c r="P158" s="7">
        <f t="shared" si="670"/>
        <v>4</v>
      </c>
      <c r="Q158" s="7">
        <f t="shared" si="670"/>
        <v>4</v>
      </c>
      <c r="R158" s="7">
        <f t="shared" si="633"/>
        <v>5</v>
      </c>
      <c r="S158" s="7">
        <f t="shared" si="634"/>
        <v>128.12669511073796</v>
      </c>
      <c r="T158" s="7">
        <f t="shared" si="635"/>
        <v>447.7</v>
      </c>
      <c r="U158" s="7">
        <v>20</v>
      </c>
      <c r="V158" s="7"/>
      <c r="W158" s="32" t="s">
        <v>308</v>
      </c>
      <c r="X158" s="7"/>
      <c r="Y158" s="7"/>
      <c r="Z158" s="7"/>
      <c r="AA158" s="7">
        <v>1</v>
      </c>
      <c r="AB158" s="7"/>
      <c r="AC158" s="7"/>
      <c r="AD158" s="7"/>
      <c r="AE158" s="4">
        <f t="shared" si="636"/>
        <v>684</v>
      </c>
      <c r="AF158" s="4">
        <f t="shared" si="637"/>
        <v>0.1705653021442495</v>
      </c>
      <c r="AG158" s="4">
        <f t="shared" si="638"/>
        <v>341.26575496815576</v>
      </c>
      <c r="AH158" s="4">
        <f t="shared" si="639"/>
        <v>0.75116959064327482</v>
      </c>
      <c r="AI158" s="4">
        <v>1.25</v>
      </c>
      <c r="AJ158" s="25">
        <v>1</v>
      </c>
      <c r="AK158" s="38">
        <f t="shared" si="671"/>
        <v>54.655190126095995</v>
      </c>
      <c r="AN158" s="38">
        <f t="shared" si="640"/>
        <v>54.655190126096059</v>
      </c>
      <c r="AO158" s="38">
        <f t="shared" si="548"/>
        <v>0.99999999999999878</v>
      </c>
      <c r="AP158" s="38">
        <f t="shared" si="641"/>
        <v>5.4091294453963004</v>
      </c>
      <c r="AQ158" s="4">
        <f t="shared" si="642"/>
        <v>0</v>
      </c>
      <c r="AR158" s="4" t="e">
        <f>#REF!/G158*F158^0.5/0.19</f>
        <v>#REF!</v>
      </c>
      <c r="AS158" s="4">
        <f t="shared" si="549"/>
        <v>1</v>
      </c>
      <c r="AT158" s="38">
        <f t="shared" si="643"/>
        <v>295.63699825479932</v>
      </c>
      <c r="AU158" s="4">
        <f t="shared" si="644"/>
        <v>0.44000000000000006</v>
      </c>
      <c r="AV158" s="4" t="e">
        <f>AU158*D158*#REF!/(D158*G158/2.75/F158^0.5)</f>
        <v>#REF!</v>
      </c>
      <c r="AW158" s="4" t="e">
        <f t="shared" si="645"/>
        <v>#REF!</v>
      </c>
      <c r="AY158" s="4">
        <f t="shared" si="627"/>
        <v>1.3885253054101221</v>
      </c>
      <c r="AZ158" s="4" t="e">
        <f>(3*#REF!+30)*AY158*F158^0.5</f>
        <v>#REF!</v>
      </c>
      <c r="BB158" s="4">
        <f t="shared" si="646"/>
        <v>283.55203537536278</v>
      </c>
      <c r="BC158" s="4">
        <f t="shared" si="647"/>
        <v>221.33552459284101</v>
      </c>
      <c r="BD158" s="4">
        <f t="shared" si="672"/>
        <v>0.78058168159449004</v>
      </c>
      <c r="BL158" s="4">
        <f t="shared" si="648"/>
        <v>146.35</v>
      </c>
      <c r="BP158" s="9"/>
      <c r="BR158" s="9"/>
      <c r="BS158" s="9"/>
      <c r="BT158" s="9" t="e">
        <f t="shared" si="649"/>
        <v>#REF!</v>
      </c>
      <c r="BU158" s="9">
        <f t="shared" si="650"/>
        <v>146.35</v>
      </c>
      <c r="BV158" s="9" t="e">
        <f t="shared" si="651"/>
        <v>#REF!</v>
      </c>
      <c r="BW158" s="9">
        <v>0</v>
      </c>
      <c r="BX158" s="9">
        <f t="shared" si="652"/>
        <v>0</v>
      </c>
      <c r="BY158" s="9">
        <f t="shared" si="653"/>
        <v>0</v>
      </c>
      <c r="BZ158" s="9">
        <f t="shared" si="654"/>
        <v>0.77971450958075206</v>
      </c>
      <c r="CA158" s="9">
        <f t="shared" si="655"/>
        <v>1.1046</v>
      </c>
      <c r="CB158" s="9">
        <f t="shared" si="656"/>
        <v>1.4829154235940361</v>
      </c>
      <c r="CC158" s="9" t="e">
        <f t="shared" si="657"/>
        <v>#REF!</v>
      </c>
      <c r="CD158" s="9">
        <v>1</v>
      </c>
      <c r="CE158" s="9" t="e">
        <f>4*CC158*#REF!+60*CC158</f>
        <v>#REF!</v>
      </c>
      <c r="DB158" s="4">
        <f t="shared" si="518"/>
        <v>0</v>
      </c>
      <c r="DC158" s="4" t="e">
        <f>#REF!</f>
        <v>#REF!</v>
      </c>
      <c r="DF158" s="4">
        <f t="shared" si="582"/>
        <v>2.0424804324664502E-5</v>
      </c>
      <c r="DG158" s="4" t="e">
        <f t="shared" si="519"/>
        <v>#REF!</v>
      </c>
      <c r="DL158" s="38">
        <f t="shared" si="584"/>
        <v>54.655190126096059</v>
      </c>
      <c r="DM158" s="4" t="e">
        <f t="shared" si="623"/>
        <v>#REF!</v>
      </c>
      <c r="DO158" s="4">
        <f t="shared" si="624"/>
        <v>54.655190126096059</v>
      </c>
      <c r="DS158" s="4" t="e">
        <f t="shared" si="658"/>
        <v>#REF!</v>
      </c>
      <c r="DT158" s="4">
        <f t="shared" si="659"/>
        <v>0.84458987783595108</v>
      </c>
      <c r="DU158" s="4">
        <f t="shared" si="660"/>
        <v>1</v>
      </c>
      <c r="DV158" s="4">
        <f t="shared" si="661"/>
        <v>0.84458987783595108</v>
      </c>
      <c r="DY158" s="25"/>
      <c r="EB158" s="4" t="e">
        <f t="shared" si="662"/>
        <v>#REF!</v>
      </c>
      <c r="EE158" s="4">
        <f t="shared" si="592"/>
        <v>128.12669511073796</v>
      </c>
      <c r="EF158" s="4">
        <f t="shared" si="520"/>
        <v>2.2360679774997898</v>
      </c>
      <c r="EG158" s="4">
        <f t="shared" si="594"/>
        <v>7.5719110111830371E-2</v>
      </c>
      <c r="EJ158" s="4">
        <f t="shared" si="663"/>
        <v>7.5719110111830371E-2</v>
      </c>
      <c r="EK158" s="4">
        <f t="shared" si="664"/>
        <v>0.28101997507817955</v>
      </c>
      <c r="EL158" s="4" t="e">
        <f t="shared" si="521"/>
        <v>#REF!</v>
      </c>
      <c r="EM158" s="4" t="e">
        <f t="shared" si="665"/>
        <v>#REF!</v>
      </c>
      <c r="EN158" s="4" t="e">
        <f t="shared" si="673"/>
        <v>#REF!</v>
      </c>
      <c r="EO158" s="4" t="e">
        <f t="shared" si="674"/>
        <v>#REF!</v>
      </c>
      <c r="EP158" s="4" t="e">
        <f t="shared" si="666"/>
        <v>#REF!</v>
      </c>
      <c r="EQ158" s="4" t="e">
        <f t="shared" si="667"/>
        <v>#REF!</v>
      </c>
      <c r="ER158" s="4" t="e">
        <f t="shared" si="668"/>
        <v>#REF!</v>
      </c>
      <c r="FA158" s="23"/>
      <c r="FB158" s="23"/>
      <c r="FC158" s="23"/>
      <c r="FD158" s="23"/>
      <c r="FE158" s="23"/>
      <c r="FF158" s="23"/>
      <c r="FG158" s="23"/>
      <c r="FH158" s="23"/>
      <c r="FR158" s="4">
        <f t="shared" si="607"/>
        <v>1</v>
      </c>
      <c r="FS158" s="4">
        <f t="shared" si="608"/>
        <v>1.0833333333333333</v>
      </c>
      <c r="FT158" s="4">
        <f t="shared" si="609"/>
        <v>0</v>
      </c>
      <c r="FU158" s="4">
        <f t="shared" si="610"/>
        <v>162.25403989673589</v>
      </c>
    </row>
    <row r="159" spans="1:177" ht="12" customHeight="1" x14ac:dyDescent="0.3">
      <c r="B159" s="24"/>
      <c r="C159" s="4" t="s">
        <v>115</v>
      </c>
      <c r="D159" s="7">
        <v>447.7</v>
      </c>
      <c r="E159" s="7">
        <v>479</v>
      </c>
      <c r="F159" s="7">
        <v>24.2</v>
      </c>
      <c r="G159" s="37">
        <v>57.3</v>
      </c>
      <c r="H159" s="7">
        <v>350</v>
      </c>
      <c r="I159" s="7">
        <f t="shared" si="630"/>
        <v>146.35</v>
      </c>
      <c r="J159" s="7" t="e">
        <f>958-20-#REF!</f>
        <v>#REF!</v>
      </c>
      <c r="K159" s="7">
        <v>0</v>
      </c>
      <c r="L159" s="7">
        <v>1</v>
      </c>
      <c r="M159" s="7">
        <f t="shared" si="669"/>
        <v>853</v>
      </c>
      <c r="N159" s="7">
        <f t="shared" si="631"/>
        <v>3.0541012216404888</v>
      </c>
      <c r="O159" s="7">
        <f t="shared" si="632"/>
        <v>3.0541012216404888</v>
      </c>
      <c r="P159" s="7">
        <f t="shared" si="670"/>
        <v>4</v>
      </c>
      <c r="Q159" s="7">
        <f t="shared" si="670"/>
        <v>4</v>
      </c>
      <c r="R159" s="7">
        <f t="shared" si="633"/>
        <v>5</v>
      </c>
      <c r="S159" s="7">
        <f t="shared" si="634"/>
        <v>128.12669511073796</v>
      </c>
      <c r="T159" s="7">
        <f t="shared" si="635"/>
        <v>447.7</v>
      </c>
      <c r="U159" s="7">
        <v>20</v>
      </c>
      <c r="V159" s="7">
        <f>309/2581*1000</f>
        <v>119.72103835722588</v>
      </c>
      <c r="W159" s="32"/>
      <c r="X159" s="7"/>
      <c r="Y159" s="7"/>
      <c r="Z159" s="7"/>
      <c r="AA159" s="7">
        <v>1</v>
      </c>
      <c r="AB159" s="7"/>
      <c r="AC159" s="7"/>
      <c r="AD159" s="7"/>
      <c r="AE159" s="4">
        <f t="shared" si="636"/>
        <v>479</v>
      </c>
      <c r="AF159" s="4">
        <f t="shared" si="637"/>
        <v>0.24356297842727906</v>
      </c>
      <c r="AG159" s="4">
        <f t="shared" si="638"/>
        <v>199.9916335695587</v>
      </c>
      <c r="AH159" s="4">
        <f t="shared" si="639"/>
        <v>0.77306889352818364</v>
      </c>
      <c r="AI159" s="4">
        <v>1.25</v>
      </c>
      <c r="AJ159" s="25">
        <v>1</v>
      </c>
      <c r="AK159" s="38">
        <f t="shared" si="671"/>
        <v>47.070771405253517</v>
      </c>
      <c r="AN159" s="38">
        <f t="shared" si="640"/>
        <v>47.070771405253538</v>
      </c>
      <c r="AO159" s="38">
        <f t="shared" si="548"/>
        <v>0.99999999999999956</v>
      </c>
      <c r="AP159" s="38">
        <f t="shared" si="641"/>
        <v>6.2806915932931462</v>
      </c>
      <c r="AQ159" s="4">
        <f t="shared" si="642"/>
        <v>0</v>
      </c>
      <c r="AR159" s="4" t="e">
        <f>#REF!/G159*F159^0.5/0.19</f>
        <v>#REF!</v>
      </c>
      <c r="AS159" s="4">
        <f t="shared" si="549"/>
        <v>1</v>
      </c>
      <c r="AT159" s="38">
        <f t="shared" si="643"/>
        <v>295.63699825479932</v>
      </c>
      <c r="AU159" s="4">
        <f t="shared" si="644"/>
        <v>0.44000000000000006</v>
      </c>
      <c r="AV159" s="4" t="e">
        <f>AU159*D159*#REF!/(D159*G159/2.75/F159^0.5)</f>
        <v>#REF!</v>
      </c>
      <c r="AW159" s="4" t="e">
        <f t="shared" si="645"/>
        <v>#REF!</v>
      </c>
      <c r="AY159" s="4">
        <f t="shared" si="627"/>
        <v>1.3885253054101221</v>
      </c>
      <c r="AZ159" s="4" t="e">
        <f>(3*#REF!+30)*AY159*F159^0.5</f>
        <v>#REF!</v>
      </c>
      <c r="BB159" s="4">
        <f t="shared" si="646"/>
        <v>283.55203537536278</v>
      </c>
      <c r="BC159" s="4">
        <f t="shared" si="647"/>
        <v>221.33552459284101</v>
      </c>
      <c r="BD159" s="4">
        <f t="shared" si="672"/>
        <v>0.78058168159449004</v>
      </c>
      <c r="BL159" s="4">
        <f t="shared" si="648"/>
        <v>146.35</v>
      </c>
      <c r="BP159" s="9"/>
      <c r="BR159" s="9"/>
      <c r="BS159" s="9"/>
      <c r="BT159" s="9" t="e">
        <f t="shared" si="649"/>
        <v>#REF!</v>
      </c>
      <c r="BU159" s="9">
        <f t="shared" si="650"/>
        <v>146.35</v>
      </c>
      <c r="BV159" s="9" t="e">
        <f t="shared" si="651"/>
        <v>#REF!</v>
      </c>
      <c r="BW159" s="9">
        <v>0</v>
      </c>
      <c r="BX159" s="9">
        <f t="shared" si="652"/>
        <v>0</v>
      </c>
      <c r="BY159" s="9">
        <f t="shared" si="653"/>
        <v>0</v>
      </c>
      <c r="BZ159" s="9">
        <f t="shared" si="654"/>
        <v>0.77971450958075206</v>
      </c>
      <c r="CA159" s="9">
        <f t="shared" si="655"/>
        <v>1.1046</v>
      </c>
      <c r="CB159" s="9">
        <f t="shared" si="656"/>
        <v>1.4829154235940361</v>
      </c>
      <c r="CC159" s="9" t="e">
        <f t="shared" si="657"/>
        <v>#REF!</v>
      </c>
      <c r="CD159" s="9">
        <v>1</v>
      </c>
      <c r="CE159" s="9" t="e">
        <f>4*CC159*#REF!+60*CC159</f>
        <v>#REF!</v>
      </c>
      <c r="DB159" s="4">
        <f t="shared" si="518"/>
        <v>0</v>
      </c>
      <c r="DC159" s="4" t="e">
        <f>#REF!</f>
        <v>#REF!</v>
      </c>
      <c r="DF159" s="4">
        <f t="shared" si="582"/>
        <v>1.4303335192272361E-5</v>
      </c>
      <c r="DG159" s="4" t="e">
        <f t="shared" si="519"/>
        <v>#REF!</v>
      </c>
      <c r="DL159" s="38">
        <f t="shared" si="584"/>
        <v>47.070771405253538</v>
      </c>
      <c r="DM159" s="4" t="e">
        <f t="shared" si="623"/>
        <v>#REF!</v>
      </c>
      <c r="DO159" s="4">
        <f t="shared" si="624"/>
        <v>47.070771405253538</v>
      </c>
      <c r="DS159" s="4" t="e">
        <f t="shared" si="658"/>
        <v>#REF!</v>
      </c>
      <c r="DT159" s="4">
        <f t="shared" si="659"/>
        <v>0.84458987783595108</v>
      </c>
      <c r="DU159" s="4">
        <f t="shared" si="660"/>
        <v>1</v>
      </c>
      <c r="DV159" s="4">
        <f t="shared" si="661"/>
        <v>0.84458987783595108</v>
      </c>
      <c r="DY159" s="25"/>
      <c r="EB159" s="4" t="e">
        <f t="shared" si="662"/>
        <v>#REF!</v>
      </c>
      <c r="EE159" s="4">
        <f t="shared" si="592"/>
        <v>128.12669511073796</v>
      </c>
      <c r="EF159" s="4">
        <f t="shared" si="520"/>
        <v>2.2360679774997898</v>
      </c>
      <c r="EG159" s="4">
        <f t="shared" si="594"/>
        <v>6.5211682822075137E-2</v>
      </c>
      <c r="EJ159" s="4">
        <f t="shared" si="663"/>
        <v>6.5211682822075137E-2</v>
      </c>
      <c r="EK159" s="4">
        <f t="shared" si="664"/>
        <v>0.24202325482167125</v>
      </c>
      <c r="EL159" s="4" t="e">
        <f t="shared" si="521"/>
        <v>#REF!</v>
      </c>
      <c r="EM159" s="4" t="e">
        <f t="shared" si="665"/>
        <v>#REF!</v>
      </c>
      <c r="EN159" s="4" t="e">
        <f t="shared" si="673"/>
        <v>#REF!</v>
      </c>
      <c r="EO159" s="4" t="e">
        <f t="shared" si="674"/>
        <v>#REF!</v>
      </c>
      <c r="EP159" s="4" t="e">
        <f t="shared" si="666"/>
        <v>#REF!</v>
      </c>
      <c r="EQ159" s="4" t="e">
        <f t="shared" si="667"/>
        <v>#REF!</v>
      </c>
      <c r="ER159" s="4" t="e">
        <f t="shared" si="668"/>
        <v>#REF!</v>
      </c>
      <c r="FA159" s="23"/>
      <c r="FB159" s="23"/>
      <c r="FC159" s="23"/>
      <c r="FD159" s="23"/>
      <c r="FE159" s="23"/>
      <c r="FF159" s="23"/>
      <c r="FG159" s="23"/>
      <c r="FH159" s="23"/>
      <c r="FR159" s="4">
        <f t="shared" si="607"/>
        <v>1</v>
      </c>
      <c r="FS159" s="4">
        <f t="shared" si="608"/>
        <v>1.0833333333333333</v>
      </c>
      <c r="FT159" s="4">
        <f t="shared" si="609"/>
        <v>0</v>
      </c>
      <c r="FU159" s="4">
        <f t="shared" si="610"/>
        <v>113.62527062943933</v>
      </c>
    </row>
    <row r="160" spans="1:177" ht="12" customHeight="1" x14ac:dyDescent="0.3">
      <c r="B160" s="24"/>
      <c r="C160" s="4" t="s">
        <v>116</v>
      </c>
      <c r="D160" s="7">
        <v>450.6</v>
      </c>
      <c r="E160" s="7">
        <v>372</v>
      </c>
      <c r="F160" s="7">
        <v>24.6</v>
      </c>
      <c r="G160" s="7">
        <v>35.799999999999997</v>
      </c>
      <c r="H160" s="7">
        <v>220</v>
      </c>
      <c r="I160" s="7">
        <f t="shared" si="630"/>
        <v>92.1</v>
      </c>
      <c r="J160" s="7" t="e">
        <f>434-12-#REF!</f>
        <v>#REF!</v>
      </c>
      <c r="K160" s="7">
        <v>0</v>
      </c>
      <c r="L160" s="7">
        <v>1</v>
      </c>
      <c r="M160" s="7">
        <f>434-65</f>
        <v>369</v>
      </c>
      <c r="N160" s="7">
        <f t="shared" si="631"/>
        <v>3.0726256983240225</v>
      </c>
      <c r="O160" s="7">
        <f t="shared" si="632"/>
        <v>3.0726256983240225</v>
      </c>
      <c r="P160" s="7">
        <f>4024/1006</f>
        <v>4</v>
      </c>
      <c r="Q160" s="7">
        <f>4024/1006</f>
        <v>4</v>
      </c>
      <c r="R160" s="7">
        <f t="shared" si="633"/>
        <v>5</v>
      </c>
      <c r="S160" s="7">
        <f t="shared" si="634"/>
        <v>80.051233594492473</v>
      </c>
      <c r="T160" s="7">
        <f t="shared" si="635"/>
        <v>450.6</v>
      </c>
      <c r="U160" s="7">
        <v>12</v>
      </c>
      <c r="V160" s="7"/>
      <c r="W160" s="32" t="s">
        <v>308</v>
      </c>
      <c r="X160" s="7"/>
      <c r="Y160" s="7"/>
      <c r="Z160" s="7"/>
      <c r="AA160" s="7">
        <v>1</v>
      </c>
      <c r="AB160" s="7"/>
      <c r="AC160" s="7"/>
      <c r="AD160" s="7"/>
      <c r="AE160" s="4">
        <f t="shared" si="636"/>
        <v>372</v>
      </c>
      <c r="AF160" s="4">
        <f t="shared" si="637"/>
        <v>0.1971326164874552</v>
      </c>
      <c r="AG160" s="4">
        <f t="shared" si="638"/>
        <v>353.52980095027158</v>
      </c>
      <c r="AH160" s="4">
        <f t="shared" si="639"/>
        <v>0.75913978494623646</v>
      </c>
      <c r="AI160" s="4">
        <v>1.25</v>
      </c>
      <c r="AJ160" s="25">
        <v>1</v>
      </c>
      <c r="AK160" s="38">
        <f t="shared" si="671"/>
        <v>66.132704025990705</v>
      </c>
      <c r="AN160" s="38">
        <f t="shared" si="640"/>
        <v>66.132704025990748</v>
      </c>
      <c r="AO160" s="38">
        <f t="shared" si="548"/>
        <v>0.99999999999999933</v>
      </c>
      <c r="AP160" s="38">
        <f t="shared" si="641"/>
        <v>4.5718131923996177</v>
      </c>
      <c r="AQ160" s="4">
        <f t="shared" si="642"/>
        <v>0</v>
      </c>
      <c r="AR160" s="4" t="e">
        <f>#REF!/G160*F160^0.5/0.19</f>
        <v>#REF!</v>
      </c>
      <c r="AS160" s="4">
        <f t="shared" si="549"/>
        <v>1</v>
      </c>
      <c r="AT160" s="38">
        <f t="shared" si="643"/>
        <v>302.34636871508383</v>
      </c>
      <c r="AU160" s="4">
        <f t="shared" si="644"/>
        <v>0.44000000000000006</v>
      </c>
      <c r="AV160" s="4" t="e">
        <f>AU160*D160*#REF!/(D160*G160/2.75/F160^0.5)</f>
        <v>#REF!</v>
      </c>
      <c r="AW160" s="4" t="e">
        <f t="shared" si="645"/>
        <v>#REF!</v>
      </c>
      <c r="AY160" s="4">
        <f t="shared" si="627"/>
        <v>1.3931564245810057</v>
      </c>
      <c r="AZ160" s="4" t="e">
        <f>(3*#REF!+30)*AY160*F160^0.5</f>
        <v>#REF!</v>
      </c>
      <c r="BB160" s="4">
        <f t="shared" si="646"/>
        <v>289.98714214931721</v>
      </c>
      <c r="BC160" s="4">
        <f t="shared" si="647"/>
        <v>363.03340318192352</v>
      </c>
      <c r="BD160" s="4">
        <f t="shared" si="672"/>
        <v>1.2518948270988997</v>
      </c>
      <c r="BL160" s="4">
        <f t="shared" si="648"/>
        <v>92.1</v>
      </c>
      <c r="BP160" s="9"/>
      <c r="BR160" s="9"/>
      <c r="BS160" s="9"/>
      <c r="BT160" s="9" t="e">
        <f t="shared" si="649"/>
        <v>#REF!</v>
      </c>
      <c r="BU160" s="9">
        <f t="shared" si="650"/>
        <v>92.1</v>
      </c>
      <c r="BV160" s="9" t="e">
        <f t="shared" si="651"/>
        <v>#REF!</v>
      </c>
      <c r="BW160" s="9">
        <v>0</v>
      </c>
      <c r="BX160" s="9">
        <f t="shared" si="652"/>
        <v>0</v>
      </c>
      <c r="BY160" s="9">
        <f t="shared" si="653"/>
        <v>0</v>
      </c>
      <c r="BZ160" s="9">
        <f t="shared" si="654"/>
        <v>0.89787751228078194</v>
      </c>
      <c r="CA160" s="9">
        <f t="shared" si="655"/>
        <v>1.0988</v>
      </c>
      <c r="CB160" s="9">
        <f t="shared" si="656"/>
        <v>1.7126607436390533</v>
      </c>
      <c r="CC160" s="9" t="e">
        <f t="shared" si="657"/>
        <v>#REF!</v>
      </c>
      <c r="CD160" s="9">
        <v>1</v>
      </c>
      <c r="CE160" s="9" t="e">
        <f>4*CC160*#REF!+60*CC160</f>
        <v>#REF!</v>
      </c>
      <c r="DB160" s="4">
        <f t="shared" si="518"/>
        <v>0</v>
      </c>
      <c r="DC160" s="4" t="e">
        <f>#REF!</f>
        <v>#REF!</v>
      </c>
      <c r="DF160" s="4">
        <f t="shared" si="582"/>
        <v>1.7833504313203137E-5</v>
      </c>
      <c r="DG160" s="4" t="e">
        <f t="shared" si="519"/>
        <v>#REF!</v>
      </c>
      <c r="DL160" s="38">
        <f t="shared" si="584"/>
        <v>66.132704025990748</v>
      </c>
      <c r="DM160" s="4" t="e">
        <f t="shared" si="623"/>
        <v>#REF!</v>
      </c>
      <c r="DO160" s="4">
        <f t="shared" si="624"/>
        <v>66.132704025990748</v>
      </c>
      <c r="DS160" s="4" t="e">
        <f t="shared" si="658"/>
        <v>#REF!</v>
      </c>
      <c r="DT160" s="4">
        <f t="shared" si="659"/>
        <v>0.84273743016759772</v>
      </c>
      <c r="DU160" s="4">
        <f t="shared" si="660"/>
        <v>1</v>
      </c>
      <c r="DV160" s="4">
        <f t="shared" si="661"/>
        <v>0.84273743016759772</v>
      </c>
      <c r="DY160" s="25"/>
      <c r="EB160" s="4" t="e">
        <f t="shared" si="662"/>
        <v>#REF!</v>
      </c>
      <c r="EE160" s="4">
        <f t="shared" si="592"/>
        <v>80.051233594492473</v>
      </c>
      <c r="EF160" s="4">
        <f t="shared" si="520"/>
        <v>2.2360679774997898</v>
      </c>
      <c r="EG160" s="4">
        <f t="shared" si="594"/>
        <v>5.6775230548321946E-2</v>
      </c>
      <c r="EJ160" s="4">
        <f t="shared" si="663"/>
        <v>5.6775230548321946E-2</v>
      </c>
      <c r="EK160" s="4">
        <f t="shared" si="664"/>
        <v>0.20899251175674796</v>
      </c>
      <c r="EL160" s="4" t="e">
        <f t="shared" si="521"/>
        <v>#REF!</v>
      </c>
      <c r="EM160" s="4" t="e">
        <f t="shared" si="665"/>
        <v>#REF!</v>
      </c>
      <c r="EN160" s="4" t="e">
        <f t="shared" si="673"/>
        <v>#REF!</v>
      </c>
      <c r="EO160" s="4" t="e">
        <f t="shared" si="674"/>
        <v>#REF!</v>
      </c>
      <c r="EP160" s="4" t="e">
        <f t="shared" si="666"/>
        <v>#REF!</v>
      </c>
      <c r="EQ160" s="4" t="e">
        <f t="shared" si="667"/>
        <v>#REF!</v>
      </c>
      <c r="ER160" s="4" t="e">
        <f t="shared" si="668"/>
        <v>#REF!</v>
      </c>
      <c r="FA160" s="23"/>
      <c r="FB160" s="23"/>
      <c r="FC160" s="23"/>
      <c r="FD160" s="23"/>
      <c r="FE160" s="23"/>
      <c r="FF160" s="23"/>
      <c r="FG160" s="23"/>
      <c r="FH160" s="23"/>
      <c r="FR160" s="4">
        <f t="shared" si="607"/>
        <v>1</v>
      </c>
      <c r="FS160" s="4">
        <f t="shared" si="608"/>
        <v>1.0833333333333333</v>
      </c>
      <c r="FT160" s="4">
        <f t="shared" si="609"/>
        <v>0</v>
      </c>
      <c r="FU160" s="4">
        <f t="shared" si="610"/>
        <v>179.41951788441713</v>
      </c>
    </row>
    <row r="161" spans="1:177" ht="12" customHeight="1" x14ac:dyDescent="0.3">
      <c r="B161" s="24"/>
      <c r="C161" s="4" t="s">
        <v>117</v>
      </c>
      <c r="D161" s="7">
        <v>450.6</v>
      </c>
      <c r="E161" s="7">
        <v>295</v>
      </c>
      <c r="F161" s="7">
        <v>24.6</v>
      </c>
      <c r="G161" s="7">
        <v>35.799999999999997</v>
      </c>
      <c r="H161" s="7">
        <v>220</v>
      </c>
      <c r="I161" s="7">
        <f t="shared" si="630"/>
        <v>92.1</v>
      </c>
      <c r="J161" s="7" t="e">
        <f>434-12-#REF!</f>
        <v>#REF!</v>
      </c>
      <c r="K161" s="7">
        <v>0</v>
      </c>
      <c r="L161" s="7">
        <v>1</v>
      </c>
      <c r="M161" s="7">
        <f>434-65</f>
        <v>369</v>
      </c>
      <c r="N161" s="7">
        <f t="shared" si="631"/>
        <v>3.0726256983240225</v>
      </c>
      <c r="O161" s="7">
        <f t="shared" si="632"/>
        <v>3.0726256983240225</v>
      </c>
      <c r="P161" s="7">
        <f t="shared" si="670"/>
        <v>4</v>
      </c>
      <c r="Q161" s="7">
        <f t="shared" si="670"/>
        <v>4</v>
      </c>
      <c r="R161" s="7">
        <f t="shared" si="633"/>
        <v>5</v>
      </c>
      <c r="S161" s="7">
        <f t="shared" si="634"/>
        <v>80.051233594492473</v>
      </c>
      <c r="T161" s="7">
        <f t="shared" si="635"/>
        <v>450.6</v>
      </c>
      <c r="U161" s="7">
        <v>12</v>
      </c>
      <c r="V161" s="7"/>
      <c r="W161" s="32" t="s">
        <v>308</v>
      </c>
      <c r="X161" s="7"/>
      <c r="Y161" s="7"/>
      <c r="Z161" s="7"/>
      <c r="AA161" s="7">
        <v>1</v>
      </c>
      <c r="AB161" s="7"/>
      <c r="AC161" s="7"/>
      <c r="AD161" s="7"/>
      <c r="AE161" s="4">
        <f t="shared" si="636"/>
        <v>295</v>
      </c>
      <c r="AF161" s="4">
        <f t="shared" si="637"/>
        <v>0.24858757062146894</v>
      </c>
      <c r="AG161" s="4">
        <f t="shared" si="638"/>
        <v>249.65751469880246</v>
      </c>
      <c r="AH161" s="4">
        <f t="shared" si="639"/>
        <v>0.77457627118644068</v>
      </c>
      <c r="AI161" s="4">
        <v>1.25</v>
      </c>
      <c r="AJ161" s="25">
        <v>1</v>
      </c>
      <c r="AK161" s="38">
        <f t="shared" si="671"/>
        <v>60.089453528242842</v>
      </c>
      <c r="AN161" s="38">
        <f t="shared" si="640"/>
        <v>60.089453528242863</v>
      </c>
      <c r="AO161" s="38">
        <f t="shared" si="548"/>
        <v>0.99999999999999967</v>
      </c>
      <c r="AP161" s="38">
        <f t="shared" si="641"/>
        <v>5.0316045655661839</v>
      </c>
      <c r="AQ161" s="4">
        <f t="shared" si="642"/>
        <v>0</v>
      </c>
      <c r="AR161" s="4" t="e">
        <f>#REF!/G161*F161^0.5/0.19</f>
        <v>#REF!</v>
      </c>
      <c r="AS161" s="4">
        <f t="shared" si="549"/>
        <v>1</v>
      </c>
      <c r="AT161" s="38">
        <f t="shared" si="643"/>
        <v>302.34636871508383</v>
      </c>
      <c r="AU161" s="4">
        <f t="shared" si="644"/>
        <v>0.44000000000000006</v>
      </c>
      <c r="AV161" s="4" t="e">
        <f>AU161*D161*#REF!/(D161*G161/2.75/F161^0.5)</f>
        <v>#REF!</v>
      </c>
      <c r="AW161" s="4" t="e">
        <f t="shared" si="645"/>
        <v>#REF!</v>
      </c>
      <c r="AY161" s="4">
        <f t="shared" si="627"/>
        <v>1.3931564245810057</v>
      </c>
      <c r="AZ161" s="4" t="e">
        <f>(3*#REF!+30)*AY161*F161^0.5</f>
        <v>#REF!</v>
      </c>
      <c r="BB161" s="4">
        <f t="shared" si="646"/>
        <v>289.98714214931721</v>
      </c>
      <c r="BC161" s="4">
        <f t="shared" si="647"/>
        <v>363.03340318192352</v>
      </c>
      <c r="BD161" s="4">
        <f t="shared" si="672"/>
        <v>1.2518948270988997</v>
      </c>
      <c r="BL161" s="4">
        <f t="shared" si="648"/>
        <v>92.1</v>
      </c>
      <c r="BP161" s="9"/>
      <c r="BR161" s="9"/>
      <c r="BS161" s="9"/>
      <c r="BT161" s="9" t="e">
        <f t="shared" si="649"/>
        <v>#REF!</v>
      </c>
      <c r="BU161" s="9">
        <f t="shared" si="650"/>
        <v>92.1</v>
      </c>
      <c r="BV161" s="9" t="e">
        <f t="shared" si="651"/>
        <v>#REF!</v>
      </c>
      <c r="BW161" s="9">
        <v>0</v>
      </c>
      <c r="BX161" s="9">
        <f t="shared" si="652"/>
        <v>0</v>
      </c>
      <c r="BY161" s="9">
        <f t="shared" si="653"/>
        <v>0</v>
      </c>
      <c r="BZ161" s="9">
        <f t="shared" si="654"/>
        <v>0.89787751228078194</v>
      </c>
      <c r="CA161" s="9">
        <f t="shared" si="655"/>
        <v>1.0988</v>
      </c>
      <c r="CB161" s="9">
        <f t="shared" si="656"/>
        <v>1.7126607436390533</v>
      </c>
      <c r="CC161" s="9" t="e">
        <f t="shared" si="657"/>
        <v>#REF!</v>
      </c>
      <c r="CD161" s="9">
        <v>1</v>
      </c>
      <c r="CE161" s="9" t="e">
        <f>4*CC161*#REF!+60*CC161</f>
        <v>#REF!</v>
      </c>
      <c r="DB161" s="4">
        <f t="shared" si="518"/>
        <v>0</v>
      </c>
      <c r="DC161" s="4" t="e">
        <f>#REF!</f>
        <v>#REF!</v>
      </c>
      <c r="DF161" s="4">
        <f t="shared" si="582"/>
        <v>1.4142160678480981E-5</v>
      </c>
      <c r="DG161" s="4" t="e">
        <f t="shared" si="519"/>
        <v>#REF!</v>
      </c>
      <c r="DL161" s="38">
        <f t="shared" si="584"/>
        <v>60.089453528242863</v>
      </c>
      <c r="DM161" s="4" t="e">
        <f t="shared" si="623"/>
        <v>#REF!</v>
      </c>
      <c r="DO161" s="4">
        <f t="shared" si="624"/>
        <v>60.089453528242863</v>
      </c>
      <c r="DS161" s="4" t="e">
        <f t="shared" si="658"/>
        <v>#REF!</v>
      </c>
      <c r="DT161" s="4">
        <f t="shared" si="659"/>
        <v>0.84273743016759772</v>
      </c>
      <c r="DU161" s="4">
        <f t="shared" si="660"/>
        <v>1</v>
      </c>
      <c r="DV161" s="4">
        <f t="shared" si="661"/>
        <v>0.84273743016759772</v>
      </c>
      <c r="DY161" s="25"/>
      <c r="EB161" s="4" t="e">
        <f t="shared" si="662"/>
        <v>#REF!</v>
      </c>
      <c r="EE161" s="4">
        <f t="shared" si="592"/>
        <v>80.051233594492473</v>
      </c>
      <c r="EF161" s="4">
        <f t="shared" si="520"/>
        <v>2.2360679774997898</v>
      </c>
      <c r="EG161" s="4">
        <f t="shared" si="594"/>
        <v>5.1587072203306245E-2</v>
      </c>
      <c r="EJ161" s="4">
        <f t="shared" si="663"/>
        <v>5.1587072203306245E-2</v>
      </c>
      <c r="EK161" s="4">
        <f t="shared" si="664"/>
        <v>0.18989463697148015</v>
      </c>
      <c r="EL161" s="4" t="e">
        <f t="shared" si="521"/>
        <v>#REF!</v>
      </c>
      <c r="EM161" s="4" t="e">
        <f t="shared" si="665"/>
        <v>#REF!</v>
      </c>
      <c r="EN161" s="4" t="e">
        <f t="shared" si="673"/>
        <v>#REF!</v>
      </c>
      <c r="EO161" s="4" t="e">
        <f t="shared" si="674"/>
        <v>#REF!</v>
      </c>
      <c r="EP161" s="4" t="e">
        <f t="shared" si="666"/>
        <v>#REF!</v>
      </c>
      <c r="EQ161" s="4" t="e">
        <f t="shared" si="667"/>
        <v>#REF!</v>
      </c>
      <c r="ER161" s="4" t="e">
        <f t="shared" si="668"/>
        <v>#REF!</v>
      </c>
      <c r="FA161" s="23"/>
      <c r="FB161" s="23"/>
      <c r="FC161" s="23"/>
      <c r="FD161" s="23"/>
      <c r="FE161" s="23"/>
      <c r="FF161" s="23"/>
      <c r="FG161" s="23"/>
      <c r="FH161" s="23"/>
      <c r="FR161" s="4">
        <f t="shared" si="607"/>
        <v>1</v>
      </c>
      <c r="FS161" s="4">
        <f t="shared" si="608"/>
        <v>1.0833333333333333</v>
      </c>
      <c r="FT161" s="4">
        <f t="shared" si="609"/>
        <v>0</v>
      </c>
      <c r="FU161" s="4">
        <f t="shared" si="610"/>
        <v>142.28160692447059</v>
      </c>
    </row>
    <row r="162" spans="1:177" ht="12" customHeight="1" x14ac:dyDescent="0.3">
      <c r="B162" s="24"/>
      <c r="C162" s="4" t="s">
        <v>118</v>
      </c>
      <c r="D162" s="7">
        <v>450.6</v>
      </c>
      <c r="E162" s="7">
        <v>295</v>
      </c>
      <c r="F162" s="7">
        <v>24.6</v>
      </c>
      <c r="G162" s="7">
        <v>35.799999999999997</v>
      </c>
      <c r="H162" s="7">
        <v>220</v>
      </c>
      <c r="I162" s="7">
        <f t="shared" si="630"/>
        <v>92.1</v>
      </c>
      <c r="J162" s="7" t="e">
        <f>434-12-#REF!</f>
        <v>#REF!</v>
      </c>
      <c r="K162" s="7">
        <v>0</v>
      </c>
      <c r="L162" s="7">
        <v>1</v>
      </c>
      <c r="M162" s="7">
        <f>434-65</f>
        <v>369</v>
      </c>
      <c r="N162" s="7">
        <f t="shared" si="631"/>
        <v>3.0726256983240225</v>
      </c>
      <c r="O162" s="7">
        <f t="shared" si="632"/>
        <v>3.0726256983240225</v>
      </c>
      <c r="P162" s="7">
        <f t="shared" si="670"/>
        <v>4</v>
      </c>
      <c r="Q162" s="7">
        <f t="shared" si="670"/>
        <v>4</v>
      </c>
      <c r="R162" s="7">
        <f t="shared" si="633"/>
        <v>5</v>
      </c>
      <c r="S162" s="7">
        <f t="shared" si="634"/>
        <v>80.051233594492473</v>
      </c>
      <c r="T162" s="7">
        <f t="shared" si="635"/>
        <v>450.6</v>
      </c>
      <c r="U162" s="7">
        <v>12</v>
      </c>
      <c r="V162" s="7"/>
      <c r="W162" s="32" t="s">
        <v>308</v>
      </c>
      <c r="X162" s="7"/>
      <c r="Y162" s="7"/>
      <c r="Z162" s="7"/>
      <c r="AA162" s="7">
        <v>1</v>
      </c>
      <c r="AB162" s="7"/>
      <c r="AC162" s="7"/>
      <c r="AD162" s="7"/>
      <c r="AE162" s="4">
        <f t="shared" si="636"/>
        <v>295</v>
      </c>
      <c r="AF162" s="4">
        <f t="shared" si="637"/>
        <v>0.24858757062146894</v>
      </c>
      <c r="AG162" s="4">
        <f t="shared" si="638"/>
        <v>249.65751469880246</v>
      </c>
      <c r="AH162" s="4">
        <f t="shared" si="639"/>
        <v>0.77457627118644068</v>
      </c>
      <c r="AI162" s="4">
        <v>1.25</v>
      </c>
      <c r="AJ162" s="25">
        <v>1</v>
      </c>
      <c r="AK162" s="38">
        <f t="shared" si="671"/>
        <v>60.089453528242842</v>
      </c>
      <c r="AN162" s="38">
        <f t="shared" si="640"/>
        <v>60.089453528242863</v>
      </c>
      <c r="AO162" s="38">
        <f t="shared" si="548"/>
        <v>0.99999999999999967</v>
      </c>
      <c r="AP162" s="38">
        <f t="shared" si="641"/>
        <v>5.0316045655661839</v>
      </c>
      <c r="AQ162" s="4">
        <f t="shared" si="642"/>
        <v>0</v>
      </c>
      <c r="AR162" s="4" t="e">
        <f>#REF!/G162*F162^0.5/0.19</f>
        <v>#REF!</v>
      </c>
      <c r="AS162" s="4">
        <f t="shared" si="549"/>
        <v>1</v>
      </c>
      <c r="AT162" s="38">
        <f t="shared" si="643"/>
        <v>302.34636871508383</v>
      </c>
      <c r="AU162" s="4">
        <f t="shared" si="644"/>
        <v>0.44000000000000006</v>
      </c>
      <c r="AV162" s="4" t="e">
        <f>AU162*D162*#REF!/(D162*G162/2.75/F162^0.5)</f>
        <v>#REF!</v>
      </c>
      <c r="AW162" s="4" t="e">
        <f t="shared" si="645"/>
        <v>#REF!</v>
      </c>
      <c r="AY162" s="4">
        <f t="shared" si="627"/>
        <v>1.3931564245810057</v>
      </c>
      <c r="AZ162" s="4" t="e">
        <f>(3*#REF!+30)*AY162*F162^0.5</f>
        <v>#REF!</v>
      </c>
      <c r="BB162" s="4">
        <f t="shared" si="646"/>
        <v>289.98714214931721</v>
      </c>
      <c r="BC162" s="4">
        <f t="shared" si="647"/>
        <v>363.03340318192352</v>
      </c>
      <c r="BD162" s="4">
        <f t="shared" si="672"/>
        <v>1.2518948270988997</v>
      </c>
      <c r="BL162" s="4">
        <f t="shared" si="648"/>
        <v>92.1</v>
      </c>
      <c r="BP162" s="9"/>
      <c r="BR162" s="9"/>
      <c r="BS162" s="9"/>
      <c r="BT162" s="9" t="e">
        <f t="shared" si="649"/>
        <v>#REF!</v>
      </c>
      <c r="BU162" s="9">
        <f t="shared" si="650"/>
        <v>92.1</v>
      </c>
      <c r="BV162" s="9" t="e">
        <f t="shared" si="651"/>
        <v>#REF!</v>
      </c>
      <c r="BW162" s="9">
        <v>0</v>
      </c>
      <c r="BX162" s="9">
        <f t="shared" si="652"/>
        <v>0</v>
      </c>
      <c r="BY162" s="9">
        <f t="shared" si="653"/>
        <v>0</v>
      </c>
      <c r="BZ162" s="9">
        <f t="shared" si="654"/>
        <v>0.89787751228078194</v>
      </c>
      <c r="CA162" s="9">
        <f t="shared" si="655"/>
        <v>1.0988</v>
      </c>
      <c r="CB162" s="9">
        <f t="shared" si="656"/>
        <v>1.7126607436390533</v>
      </c>
      <c r="CC162" s="9" t="e">
        <f t="shared" si="657"/>
        <v>#REF!</v>
      </c>
      <c r="CD162" s="9">
        <v>1</v>
      </c>
      <c r="CE162" s="9" t="e">
        <f>4*CC162*#REF!+60*CC162</f>
        <v>#REF!</v>
      </c>
      <c r="DB162" s="4">
        <f t="shared" si="518"/>
        <v>0</v>
      </c>
      <c r="DC162" s="4" t="e">
        <f>#REF!</f>
        <v>#REF!</v>
      </c>
      <c r="DF162" s="4">
        <f t="shared" si="582"/>
        <v>1.4142160678480981E-5</v>
      </c>
      <c r="DG162" s="4" t="e">
        <f t="shared" si="519"/>
        <v>#REF!</v>
      </c>
      <c r="DL162" s="38">
        <f t="shared" si="584"/>
        <v>60.089453528242863</v>
      </c>
      <c r="DM162" s="4" t="e">
        <f t="shared" si="623"/>
        <v>#REF!</v>
      </c>
      <c r="DO162" s="4">
        <f t="shared" si="624"/>
        <v>60.089453528242863</v>
      </c>
      <c r="DS162" s="4" t="e">
        <f t="shared" si="658"/>
        <v>#REF!</v>
      </c>
      <c r="DT162" s="4">
        <f t="shared" si="659"/>
        <v>0.84273743016759772</v>
      </c>
      <c r="DU162" s="4">
        <f t="shared" si="660"/>
        <v>1</v>
      </c>
      <c r="DV162" s="4">
        <f t="shared" si="661"/>
        <v>0.84273743016759772</v>
      </c>
      <c r="DY162" s="25"/>
      <c r="EB162" s="4" t="e">
        <f t="shared" si="662"/>
        <v>#REF!</v>
      </c>
      <c r="EE162" s="4">
        <f t="shared" si="592"/>
        <v>80.051233594492473</v>
      </c>
      <c r="EF162" s="4">
        <f t="shared" si="520"/>
        <v>2.2360679774997898</v>
      </c>
      <c r="EG162" s="4">
        <f t="shared" si="594"/>
        <v>5.1587072203306245E-2</v>
      </c>
      <c r="EJ162" s="4">
        <f t="shared" si="663"/>
        <v>5.1587072203306245E-2</v>
      </c>
      <c r="EK162" s="4">
        <f t="shared" si="664"/>
        <v>0.18989463697148015</v>
      </c>
      <c r="EL162" s="4" t="e">
        <f t="shared" si="521"/>
        <v>#REF!</v>
      </c>
      <c r="EM162" s="4" t="e">
        <f t="shared" si="665"/>
        <v>#REF!</v>
      </c>
      <c r="EN162" s="4" t="e">
        <f t="shared" si="673"/>
        <v>#REF!</v>
      </c>
      <c r="EO162" s="4" t="e">
        <f t="shared" si="674"/>
        <v>#REF!</v>
      </c>
      <c r="EP162" s="4" t="e">
        <f t="shared" si="666"/>
        <v>#REF!</v>
      </c>
      <c r="EQ162" s="4" t="e">
        <f t="shared" si="667"/>
        <v>#REF!</v>
      </c>
      <c r="ER162" s="4" t="e">
        <f t="shared" si="668"/>
        <v>#REF!</v>
      </c>
      <c r="FA162" s="23"/>
      <c r="FB162" s="23"/>
      <c r="FC162" s="23"/>
      <c r="FD162" s="23"/>
      <c r="FE162" s="23"/>
      <c r="FF162" s="23"/>
      <c r="FG162" s="23"/>
      <c r="FH162" s="23"/>
      <c r="FR162" s="4">
        <f t="shared" si="607"/>
        <v>1</v>
      </c>
      <c r="FS162" s="4">
        <f t="shared" si="608"/>
        <v>1.0833333333333333</v>
      </c>
      <c r="FT162" s="4">
        <f t="shared" si="609"/>
        <v>0</v>
      </c>
      <c r="FU162" s="4">
        <f t="shared" si="610"/>
        <v>142.28160692447059</v>
      </c>
    </row>
    <row r="163" spans="1:177" ht="12" customHeight="1" x14ac:dyDescent="0.3">
      <c r="B163" s="24"/>
      <c r="C163" s="4" t="s">
        <v>119</v>
      </c>
      <c r="D163" s="7">
        <v>450.6</v>
      </c>
      <c r="E163" s="7">
        <v>217</v>
      </c>
      <c r="F163" s="7">
        <v>24.6</v>
      </c>
      <c r="G163" s="7">
        <v>35.799999999999997</v>
      </c>
      <c r="H163" s="7">
        <v>220</v>
      </c>
      <c r="I163" s="7">
        <f t="shared" si="630"/>
        <v>92.1</v>
      </c>
      <c r="J163" s="7" t="e">
        <f>434-12-#REF!</f>
        <v>#REF!</v>
      </c>
      <c r="K163" s="7">
        <v>0</v>
      </c>
      <c r="L163" s="7">
        <v>1</v>
      </c>
      <c r="M163" s="7">
        <f>434-65</f>
        <v>369</v>
      </c>
      <c r="N163" s="7">
        <f t="shared" si="631"/>
        <v>3.0726256983240225</v>
      </c>
      <c r="O163" s="7">
        <f t="shared" si="632"/>
        <v>3.0726256983240225</v>
      </c>
      <c r="P163" s="7">
        <f t="shared" si="670"/>
        <v>4</v>
      </c>
      <c r="Q163" s="7">
        <f t="shared" si="670"/>
        <v>4</v>
      </c>
      <c r="R163" s="7">
        <f t="shared" si="633"/>
        <v>5</v>
      </c>
      <c r="S163" s="7">
        <f t="shared" si="634"/>
        <v>80.051233594492473</v>
      </c>
      <c r="T163" s="7">
        <f t="shared" si="635"/>
        <v>450.6</v>
      </c>
      <c r="U163" s="7">
        <v>12</v>
      </c>
      <c r="V163" s="7">
        <f>(117+122)/2/1006*1000</f>
        <v>118.78727634194831</v>
      </c>
      <c r="W163" s="7"/>
      <c r="X163" s="7"/>
      <c r="Y163" s="7"/>
      <c r="Z163" s="7"/>
      <c r="AA163" s="7">
        <v>1</v>
      </c>
      <c r="AB163" s="7"/>
      <c r="AC163" s="7"/>
      <c r="AD163" s="7"/>
      <c r="AE163" s="4">
        <f t="shared" si="636"/>
        <v>217</v>
      </c>
      <c r="AF163" s="4">
        <f t="shared" si="637"/>
        <v>0.33794162826420893</v>
      </c>
      <c r="AG163" s="4">
        <f t="shared" si="638"/>
        <v>150.58294354764655</v>
      </c>
      <c r="AH163" s="4">
        <f t="shared" si="639"/>
        <v>0.80138248847926263</v>
      </c>
      <c r="AI163" s="4">
        <v>1.25</v>
      </c>
      <c r="AJ163" s="25">
        <v>1</v>
      </c>
      <c r="AK163" s="38">
        <f t="shared" si="671"/>
        <v>50.976185647089032</v>
      </c>
      <c r="AN163" s="38">
        <f t="shared" si="640"/>
        <v>53.320323184075299</v>
      </c>
      <c r="AO163" s="38">
        <f t="shared" si="548"/>
        <v>0.95603669676018821</v>
      </c>
      <c r="AP163" s="38">
        <f t="shared" si="641"/>
        <v>5.6703776470241447</v>
      </c>
      <c r="AQ163" s="4">
        <f t="shared" si="642"/>
        <v>0</v>
      </c>
      <c r="AR163" s="4" t="e">
        <f>#REF!/G163*F163^0.5/0.19</f>
        <v>#REF!</v>
      </c>
      <c r="AS163" s="4">
        <f t="shared" si="549"/>
        <v>1</v>
      </c>
      <c r="AT163" s="38">
        <f t="shared" si="643"/>
        <v>302.34636871508383</v>
      </c>
      <c r="AU163" s="4">
        <f t="shared" si="644"/>
        <v>0.44000000000000006</v>
      </c>
      <c r="AV163" s="4" t="e">
        <f>AU163*D163*#REF!/(D163*G163/2.75/F163^0.5)</f>
        <v>#REF!</v>
      </c>
      <c r="AW163" s="4" t="e">
        <f t="shared" si="645"/>
        <v>#REF!</v>
      </c>
      <c r="AY163" s="4">
        <f t="shared" si="627"/>
        <v>1.3931564245810057</v>
      </c>
      <c r="AZ163" s="4" t="e">
        <f>(3*#REF!+30)*AY163*F163^0.5</f>
        <v>#REF!</v>
      </c>
      <c r="BB163" s="4">
        <f t="shared" si="646"/>
        <v>289.98714214931721</v>
      </c>
      <c r="BC163" s="4">
        <f t="shared" si="647"/>
        <v>363.03340318192352</v>
      </c>
      <c r="BD163" s="4">
        <f t="shared" si="672"/>
        <v>1.2518948270988997</v>
      </c>
      <c r="BL163" s="4">
        <f t="shared" si="648"/>
        <v>92.1</v>
      </c>
      <c r="BP163" s="9"/>
      <c r="BR163" s="9"/>
      <c r="BS163" s="9"/>
      <c r="BT163" s="9" t="e">
        <f t="shared" si="649"/>
        <v>#REF!</v>
      </c>
      <c r="BU163" s="9">
        <f t="shared" si="650"/>
        <v>92.1</v>
      </c>
      <c r="BV163" s="9" t="e">
        <f t="shared" si="651"/>
        <v>#REF!</v>
      </c>
      <c r="BW163" s="9">
        <v>0</v>
      </c>
      <c r="BX163" s="9">
        <f t="shared" si="652"/>
        <v>0</v>
      </c>
      <c r="BY163" s="9">
        <f t="shared" si="653"/>
        <v>0</v>
      </c>
      <c r="BZ163" s="9">
        <f t="shared" si="654"/>
        <v>0.89787751228078194</v>
      </c>
      <c r="CA163" s="9">
        <f t="shared" si="655"/>
        <v>1.0988</v>
      </c>
      <c r="CB163" s="9">
        <f t="shared" si="656"/>
        <v>1.7126607436390533</v>
      </c>
      <c r="CC163" s="9" t="e">
        <f t="shared" si="657"/>
        <v>#REF!</v>
      </c>
      <c r="CD163" s="9">
        <v>1</v>
      </c>
      <c r="CE163" s="9" t="e">
        <f>4*CC163*#REF!+60*CC163</f>
        <v>#REF!</v>
      </c>
      <c r="DB163" s="4">
        <f t="shared" si="518"/>
        <v>0</v>
      </c>
      <c r="DC163" s="4" t="e">
        <f>#REF!</f>
        <v>#REF!</v>
      </c>
      <c r="DF163" s="4">
        <f t="shared" si="582"/>
        <v>1.0402877516035162E-5</v>
      </c>
      <c r="DG163" s="4" t="e">
        <f t="shared" si="519"/>
        <v>#REF!</v>
      </c>
      <c r="DL163" s="38">
        <f t="shared" si="584"/>
        <v>53.320323184075299</v>
      </c>
      <c r="DM163" s="4" t="e">
        <f t="shared" si="623"/>
        <v>#REF!</v>
      </c>
      <c r="DO163" s="4">
        <f t="shared" si="624"/>
        <v>53.320323184075299</v>
      </c>
      <c r="DS163" s="4" t="e">
        <f t="shared" si="658"/>
        <v>#REF!</v>
      </c>
      <c r="DT163" s="4">
        <f t="shared" si="659"/>
        <v>0.84273743016759772</v>
      </c>
      <c r="DU163" s="4">
        <f t="shared" si="660"/>
        <v>1</v>
      </c>
      <c r="DV163" s="4">
        <f t="shared" si="661"/>
        <v>0.84273743016759772</v>
      </c>
      <c r="DY163" s="25"/>
      <c r="EB163" s="4" t="e">
        <f t="shared" si="662"/>
        <v>#REF!</v>
      </c>
      <c r="EE163" s="4">
        <f t="shared" si="592"/>
        <v>80.051233594492473</v>
      </c>
      <c r="EF163" s="4">
        <f t="shared" si="520"/>
        <v>2.2360679774997898</v>
      </c>
      <c r="EG163" s="4">
        <f t="shared" si="594"/>
        <v>4.5775742671843048E-2</v>
      </c>
      <c r="EJ163" s="4">
        <f t="shared" si="663"/>
        <v>4.5775742671843048E-2</v>
      </c>
      <c r="EK163" s="4">
        <f t="shared" si="664"/>
        <v>0.16850283734870336</v>
      </c>
      <c r="EL163" s="4" t="e">
        <f t="shared" si="521"/>
        <v>#REF!</v>
      </c>
      <c r="EM163" s="4" t="e">
        <f t="shared" si="665"/>
        <v>#REF!</v>
      </c>
      <c r="EN163" s="4" t="e">
        <f t="shared" si="673"/>
        <v>#REF!</v>
      </c>
      <c r="EO163" s="4" t="e">
        <f t="shared" si="674"/>
        <v>#REF!</v>
      </c>
      <c r="EP163" s="4" t="e">
        <f t="shared" si="666"/>
        <v>#REF!</v>
      </c>
      <c r="EQ163" s="4" t="e">
        <f t="shared" si="667"/>
        <v>#REF!</v>
      </c>
      <c r="ER163" s="4" t="e">
        <f t="shared" si="668"/>
        <v>#REF!</v>
      </c>
      <c r="FA163" s="23"/>
      <c r="FB163" s="23"/>
      <c r="FC163" s="23"/>
      <c r="FD163" s="23"/>
      <c r="FE163" s="23"/>
      <c r="FF163" s="23"/>
      <c r="FG163" s="23"/>
      <c r="FH163" s="23"/>
      <c r="FR163" s="4">
        <f t="shared" si="607"/>
        <v>1</v>
      </c>
      <c r="FS163" s="4">
        <f t="shared" si="608"/>
        <v>1.0833333333333333</v>
      </c>
      <c r="FT163" s="4">
        <f t="shared" si="609"/>
        <v>0</v>
      </c>
      <c r="FU163" s="4">
        <f t="shared" si="610"/>
        <v>104.66138543257668</v>
      </c>
    </row>
    <row r="164" spans="1:177" ht="12" customHeight="1" x14ac:dyDescent="0.3">
      <c r="B164" s="24"/>
      <c r="C164" s="4" t="s">
        <v>120</v>
      </c>
      <c r="D164" s="7">
        <v>454.8</v>
      </c>
      <c r="E164" s="7">
        <v>264</v>
      </c>
      <c r="F164" s="7">
        <v>25.1</v>
      </c>
      <c r="G164" s="7">
        <v>25.4</v>
      </c>
      <c r="H164" s="7">
        <v>160</v>
      </c>
      <c r="I164" s="7">
        <f t="shared" si="630"/>
        <v>67.3</v>
      </c>
      <c r="J164" s="7" t="e">
        <f>323-9-#REF!</f>
        <v>#REF!</v>
      </c>
      <c r="K164" s="7">
        <v>0</v>
      </c>
      <c r="L164" s="7">
        <v>1</v>
      </c>
      <c r="M164" s="7">
        <f>323-45</f>
        <v>278</v>
      </c>
      <c r="N164" s="7">
        <f t="shared" si="631"/>
        <v>3.1496062992125986</v>
      </c>
      <c r="O164" s="7">
        <f t="shared" si="632"/>
        <v>3.1496062992125986</v>
      </c>
      <c r="P164" s="7">
        <f>2040/510</f>
        <v>4</v>
      </c>
      <c r="Q164" s="7">
        <f>2040/510</f>
        <v>4</v>
      </c>
      <c r="R164" s="7">
        <f t="shared" si="633"/>
        <v>5</v>
      </c>
      <c r="S164" s="7">
        <f t="shared" si="634"/>
        <v>56.796126628494655</v>
      </c>
      <c r="T164" s="7">
        <f t="shared" si="635"/>
        <v>454.8</v>
      </c>
      <c r="U164" s="7">
        <v>9</v>
      </c>
      <c r="V164" s="7"/>
      <c r="W164" s="32" t="s">
        <v>308</v>
      </c>
      <c r="X164" s="7"/>
      <c r="Y164" s="7"/>
      <c r="Z164" s="7"/>
      <c r="AA164" s="7">
        <v>1</v>
      </c>
      <c r="AB164" s="7"/>
      <c r="AC164" s="7"/>
      <c r="AD164" s="7"/>
      <c r="AE164" s="4">
        <f t="shared" si="636"/>
        <v>264</v>
      </c>
      <c r="AF164" s="4">
        <f t="shared" si="637"/>
        <v>0.20202020202020202</v>
      </c>
      <c r="AG164" s="4">
        <f t="shared" si="638"/>
        <v>418.93890953923358</v>
      </c>
      <c r="AH164" s="4">
        <f t="shared" si="639"/>
        <v>0.76060606060606051</v>
      </c>
      <c r="AI164" s="4">
        <v>1.25</v>
      </c>
      <c r="AJ164" s="25">
        <v>1</v>
      </c>
      <c r="AK164" s="38">
        <f t="shared" si="671"/>
        <v>80.466533742231093</v>
      </c>
      <c r="AN164" s="38">
        <f t="shared" si="640"/>
        <v>81.461055336491228</v>
      </c>
      <c r="AO164" s="38">
        <f t="shared" si="548"/>
        <v>0.98779144721177425</v>
      </c>
      <c r="AP164" s="38">
        <f t="shared" si="641"/>
        <v>3.8818607386650328</v>
      </c>
      <c r="AQ164" s="4">
        <f t="shared" si="642"/>
        <v>0</v>
      </c>
      <c r="AR164" s="4" t="e">
        <f>#REF!/G164*F164^0.5/0.19</f>
        <v>#REF!</v>
      </c>
      <c r="AS164" s="4">
        <f t="shared" si="549"/>
        <v>1</v>
      </c>
      <c r="AT164" s="38">
        <f t="shared" si="643"/>
        <v>316.22047244094495</v>
      </c>
      <c r="AU164" s="4">
        <f t="shared" si="644"/>
        <v>0.44000000000000006</v>
      </c>
      <c r="AV164" s="4" t="e">
        <f>AU164*D164*#REF!/(D164*G164/2.75/F164^0.5)</f>
        <v>#REF!</v>
      </c>
      <c r="AW164" s="4" t="e">
        <f t="shared" si="645"/>
        <v>#REF!</v>
      </c>
      <c r="AY164" s="4">
        <f t="shared" si="627"/>
        <v>1.4124015748031495</v>
      </c>
      <c r="AZ164" s="4" t="e">
        <f>(3*#REF!+30)*AY164*F164^0.5</f>
        <v>#REF!</v>
      </c>
      <c r="BB164" s="4">
        <f t="shared" si="646"/>
        <v>303.29410431474349</v>
      </c>
      <c r="BC164" s="4">
        <f t="shared" si="647"/>
        <v>1084.9722194286705</v>
      </c>
      <c r="BD164" s="4">
        <f t="shared" si="672"/>
        <v>3.5772941313186242</v>
      </c>
      <c r="BL164" s="4">
        <f t="shared" si="648"/>
        <v>67.3</v>
      </c>
      <c r="BP164" s="9"/>
      <c r="BR164" s="9"/>
      <c r="BS164" s="9"/>
      <c r="BT164" s="9" t="e">
        <f t="shared" si="649"/>
        <v>#REF!</v>
      </c>
      <c r="BU164" s="9">
        <f t="shared" si="650"/>
        <v>67.3</v>
      </c>
      <c r="BV164" s="9" t="e">
        <f t="shared" si="651"/>
        <v>#REF!</v>
      </c>
      <c r="BW164" s="9">
        <v>0</v>
      </c>
      <c r="BX164" s="9">
        <f t="shared" si="652"/>
        <v>0</v>
      </c>
      <c r="BY164" s="9">
        <f t="shared" si="653"/>
        <v>0</v>
      </c>
      <c r="BZ164" s="9">
        <f t="shared" si="654"/>
        <v>0.99524931562137331</v>
      </c>
      <c r="CA164" s="9">
        <f t="shared" si="655"/>
        <v>1.0903999999999998</v>
      </c>
      <c r="CB164" s="9">
        <f t="shared" si="656"/>
        <v>1.9029292228649537</v>
      </c>
      <c r="CC164" s="9" t="e">
        <f t="shared" si="657"/>
        <v>#REF!</v>
      </c>
      <c r="CD164" s="9">
        <v>1</v>
      </c>
      <c r="CE164" s="9" t="e">
        <f>4*CC164*#REF!+60*CC164</f>
        <v>#REF!</v>
      </c>
      <c r="DB164" s="4">
        <f t="shared" si="518"/>
        <v>0</v>
      </c>
      <c r="DC164" s="4" t="e">
        <f>#REF!</f>
        <v>#REF!</v>
      </c>
      <c r="DF164" s="4">
        <f t="shared" si="582"/>
        <v>1.7905564181465992E-5</v>
      </c>
      <c r="DG164" s="4" t="e">
        <f t="shared" si="519"/>
        <v>#REF!</v>
      </c>
      <c r="DL164" s="38">
        <f t="shared" si="584"/>
        <v>81.461055336491228</v>
      </c>
      <c r="DM164" s="4" t="e">
        <f t="shared" si="623"/>
        <v>#REF!</v>
      </c>
      <c r="DO164" s="4">
        <f t="shared" si="624"/>
        <v>81.461055336491228</v>
      </c>
      <c r="DS164" s="4" t="e">
        <f t="shared" si="658"/>
        <v>#REF!</v>
      </c>
      <c r="DT164" s="4">
        <f t="shared" si="659"/>
        <v>0.83503937007874018</v>
      </c>
      <c r="DU164" s="4">
        <f t="shared" si="660"/>
        <v>1</v>
      </c>
      <c r="DV164" s="4">
        <f t="shared" si="661"/>
        <v>0.83503937007874018</v>
      </c>
      <c r="DY164" s="25"/>
      <c r="EB164" s="4" t="e">
        <f t="shared" si="662"/>
        <v>#REF!</v>
      </c>
      <c r="EE164" s="4">
        <f t="shared" si="592"/>
        <v>56.796126628494655</v>
      </c>
      <c r="EF164" s="4">
        <f t="shared" si="520"/>
        <v>2.2360679774997898</v>
      </c>
      <c r="EG164" s="4">
        <f t="shared" si="594"/>
        <v>4.9121773799761105E-2</v>
      </c>
      <c r="EJ164" s="4">
        <f t="shared" si="663"/>
        <v>4.9121773799761105E-2</v>
      </c>
      <c r="EK164" s="4">
        <f t="shared" si="664"/>
        <v>0.1790096950802787</v>
      </c>
      <c r="EL164" s="4" t="e">
        <f t="shared" si="521"/>
        <v>#REF!</v>
      </c>
      <c r="EM164" s="4" t="e">
        <f t="shared" si="665"/>
        <v>#REF!</v>
      </c>
      <c r="EN164" s="4" t="e">
        <f t="shared" si="673"/>
        <v>#REF!</v>
      </c>
      <c r="EO164" s="4" t="e">
        <f t="shared" si="674"/>
        <v>#REF!</v>
      </c>
      <c r="EP164" s="4" t="e">
        <f t="shared" si="666"/>
        <v>#REF!</v>
      </c>
      <c r="EQ164" s="4" t="e">
        <f t="shared" si="667"/>
        <v>#REF!</v>
      </c>
      <c r="ER164" s="4" t="e">
        <f t="shared" si="668"/>
        <v>#REF!</v>
      </c>
      <c r="FA164" s="23"/>
      <c r="FB164" s="23"/>
      <c r="FC164" s="23"/>
      <c r="FD164" s="23"/>
      <c r="FE164" s="23"/>
      <c r="FF164" s="23"/>
      <c r="FG164" s="23"/>
      <c r="FH164" s="23"/>
      <c r="FR164" s="4">
        <f t="shared" si="607"/>
        <v>1</v>
      </c>
      <c r="FS164" s="4">
        <f t="shared" si="608"/>
        <v>1.0833333333333333</v>
      </c>
      <c r="FT164" s="4">
        <f t="shared" si="609"/>
        <v>0</v>
      </c>
      <c r="FU164" s="4">
        <f t="shared" si="610"/>
        <v>214.13580526663139</v>
      </c>
    </row>
    <row r="165" spans="1:177" ht="12" customHeight="1" x14ac:dyDescent="0.3">
      <c r="B165" s="24"/>
      <c r="C165" s="4" t="s">
        <v>121</v>
      </c>
      <c r="D165" s="7">
        <v>454.8</v>
      </c>
      <c r="E165" s="7">
        <v>212</v>
      </c>
      <c r="F165" s="7">
        <v>25.1</v>
      </c>
      <c r="G165" s="7">
        <v>25.4</v>
      </c>
      <c r="H165" s="7">
        <v>160</v>
      </c>
      <c r="I165" s="7">
        <f t="shared" si="630"/>
        <v>67.3</v>
      </c>
      <c r="J165" s="7" t="e">
        <f>323-9-#REF!</f>
        <v>#REF!</v>
      </c>
      <c r="K165" s="7">
        <v>0</v>
      </c>
      <c r="L165" s="7">
        <v>1</v>
      </c>
      <c r="M165" s="7">
        <f t="shared" ref="M165:M167" si="675">323-45</f>
        <v>278</v>
      </c>
      <c r="N165" s="7">
        <f t="shared" si="631"/>
        <v>3.1496062992125986</v>
      </c>
      <c r="O165" s="7">
        <f t="shared" si="632"/>
        <v>3.1496062992125986</v>
      </c>
      <c r="P165" s="7">
        <f t="shared" ref="P165:Q215" si="676">2040/510</f>
        <v>4</v>
      </c>
      <c r="Q165" s="7">
        <f t="shared" si="676"/>
        <v>4</v>
      </c>
      <c r="R165" s="7">
        <f t="shared" si="633"/>
        <v>5</v>
      </c>
      <c r="S165" s="7">
        <f t="shared" si="634"/>
        <v>56.796126628494655</v>
      </c>
      <c r="T165" s="7">
        <f t="shared" si="635"/>
        <v>454.8</v>
      </c>
      <c r="U165" s="7">
        <v>9</v>
      </c>
      <c r="V165" s="7"/>
      <c r="W165" s="32" t="s">
        <v>308</v>
      </c>
      <c r="X165" s="7"/>
      <c r="Y165" s="7"/>
      <c r="Z165" s="7"/>
      <c r="AA165" s="7">
        <v>1</v>
      </c>
      <c r="AB165" s="7"/>
      <c r="AC165" s="7"/>
      <c r="AD165" s="7"/>
      <c r="AE165" s="4">
        <f t="shared" si="636"/>
        <v>212</v>
      </c>
      <c r="AF165" s="4">
        <f t="shared" si="637"/>
        <v>0.25157232704402516</v>
      </c>
      <c r="AG165" s="4">
        <f t="shared" si="638"/>
        <v>290.65017450591699</v>
      </c>
      <c r="AH165" s="4">
        <f t="shared" si="639"/>
        <v>0.77547169811320749</v>
      </c>
      <c r="AI165" s="4">
        <v>1.25</v>
      </c>
      <c r="AJ165" s="25">
        <v>1</v>
      </c>
      <c r="AK165" s="38">
        <f t="shared" si="671"/>
        <v>70.877668044340737</v>
      </c>
      <c r="AN165" s="38">
        <f t="shared" si="640"/>
        <v>74.425570064086557</v>
      </c>
      <c r="AO165" s="38">
        <f t="shared" si="548"/>
        <v>0.95232952845788377</v>
      </c>
      <c r="AP165" s="38">
        <f t="shared" si="641"/>
        <v>4.2488149189674065</v>
      </c>
      <c r="AQ165" s="4">
        <f t="shared" si="642"/>
        <v>0</v>
      </c>
      <c r="AR165" s="4" t="e">
        <f>#REF!/G165*F165^0.5/0.19</f>
        <v>#REF!</v>
      </c>
      <c r="AS165" s="4">
        <f t="shared" si="549"/>
        <v>1</v>
      </c>
      <c r="AT165" s="38">
        <f t="shared" si="643"/>
        <v>316.22047244094495</v>
      </c>
      <c r="AU165" s="4">
        <f t="shared" si="644"/>
        <v>0.44000000000000006</v>
      </c>
      <c r="AV165" s="4" t="e">
        <f>AU165*D165*#REF!/(D165*G165/2.75/F165^0.5)</f>
        <v>#REF!</v>
      </c>
      <c r="AW165" s="4" t="e">
        <f t="shared" si="645"/>
        <v>#REF!</v>
      </c>
      <c r="AY165" s="4">
        <f t="shared" si="627"/>
        <v>1.4124015748031495</v>
      </c>
      <c r="AZ165" s="4" t="e">
        <f>(3*#REF!+30)*AY165*F165^0.5</f>
        <v>#REF!</v>
      </c>
      <c r="BB165" s="4">
        <f t="shared" si="646"/>
        <v>303.29410431474349</v>
      </c>
      <c r="BC165" s="4">
        <f t="shared" si="647"/>
        <v>1084.9722194286705</v>
      </c>
      <c r="BD165" s="4">
        <f t="shared" si="672"/>
        <v>3.5772941313186242</v>
      </c>
      <c r="BL165" s="4">
        <f t="shared" si="648"/>
        <v>67.3</v>
      </c>
      <c r="BP165" s="9"/>
      <c r="BR165" s="9"/>
      <c r="BS165" s="9"/>
      <c r="BT165" s="9" t="e">
        <f t="shared" si="649"/>
        <v>#REF!</v>
      </c>
      <c r="BU165" s="9">
        <f t="shared" si="650"/>
        <v>67.3</v>
      </c>
      <c r="BV165" s="9" t="e">
        <f t="shared" si="651"/>
        <v>#REF!</v>
      </c>
      <c r="BW165" s="9">
        <v>0</v>
      </c>
      <c r="BX165" s="9">
        <f t="shared" si="652"/>
        <v>0</v>
      </c>
      <c r="BY165" s="9">
        <f t="shared" si="653"/>
        <v>0</v>
      </c>
      <c r="BZ165" s="9">
        <f t="shared" si="654"/>
        <v>0.99524931562137331</v>
      </c>
      <c r="CA165" s="9">
        <f t="shared" si="655"/>
        <v>1.0903999999999998</v>
      </c>
      <c r="CB165" s="9">
        <f t="shared" si="656"/>
        <v>1.9029292228649537</v>
      </c>
      <c r="CC165" s="9" t="e">
        <f t="shared" si="657"/>
        <v>#REF!</v>
      </c>
      <c r="CD165" s="9">
        <v>1</v>
      </c>
      <c r="CE165" s="9" t="e">
        <f>4*CC165*#REF!+60*CC165</f>
        <v>#REF!</v>
      </c>
      <c r="DB165" s="4">
        <f t="shared" ref="DB165:DB229" si="677">Z165</f>
        <v>0</v>
      </c>
      <c r="DC165" s="4" t="e">
        <f>#REF!</f>
        <v>#REF!</v>
      </c>
      <c r="DF165" s="4">
        <f t="shared" si="582"/>
        <v>1.4378710630571176E-5</v>
      </c>
      <c r="DG165" s="4" t="e">
        <f t="shared" ref="DG165:DG167" si="678">EB165</f>
        <v>#REF!</v>
      </c>
      <c r="DL165" s="38">
        <f t="shared" si="584"/>
        <v>74.425570064086557</v>
      </c>
      <c r="DM165" s="4" t="e">
        <f t="shared" si="623"/>
        <v>#REF!</v>
      </c>
      <c r="DO165" s="4">
        <f t="shared" si="624"/>
        <v>74.425570064086557</v>
      </c>
      <c r="DS165" s="4" t="e">
        <f t="shared" si="658"/>
        <v>#REF!</v>
      </c>
      <c r="DT165" s="4">
        <f t="shared" si="659"/>
        <v>0.83503937007874018</v>
      </c>
      <c r="DU165" s="4">
        <f t="shared" si="660"/>
        <v>1</v>
      </c>
      <c r="DV165" s="4">
        <f t="shared" si="661"/>
        <v>0.83503937007874018</v>
      </c>
      <c r="DY165" s="25"/>
      <c r="EB165" s="4" t="e">
        <f t="shared" si="662"/>
        <v>#REF!</v>
      </c>
      <c r="EE165" s="4">
        <f t="shared" si="592"/>
        <v>56.796126628494655</v>
      </c>
      <c r="EF165" s="4">
        <f>R165^0.5</f>
        <v>2.2360679774997898</v>
      </c>
      <c r="EG165" s="4">
        <f t="shared" si="594"/>
        <v>4.4879310763957535E-2</v>
      </c>
      <c r="EJ165" s="4">
        <f t="shared" si="663"/>
        <v>4.4879310763957535E-2</v>
      </c>
      <c r="EK165" s="4">
        <f t="shared" si="664"/>
        <v>0.16354930031676054</v>
      </c>
      <c r="EL165" s="4" t="e">
        <f t="shared" ref="EL165:EL229" si="679">EB165/1*EK165^0.4</f>
        <v>#REF!</v>
      </c>
      <c r="EM165" s="4" t="e">
        <f t="shared" si="665"/>
        <v>#REF!</v>
      </c>
      <c r="EN165" s="4" t="e">
        <f t="shared" si="673"/>
        <v>#REF!</v>
      </c>
      <c r="EO165" s="4" t="e">
        <f t="shared" si="674"/>
        <v>#REF!</v>
      </c>
      <c r="EP165" s="4" t="e">
        <f t="shared" si="666"/>
        <v>#REF!</v>
      </c>
      <c r="EQ165" s="4" t="e">
        <f t="shared" si="667"/>
        <v>#REF!</v>
      </c>
      <c r="ER165" s="4" t="e">
        <f t="shared" si="668"/>
        <v>#REF!</v>
      </c>
      <c r="FA165" s="23"/>
      <c r="FB165" s="23"/>
      <c r="FC165" s="23"/>
      <c r="FD165" s="23"/>
      <c r="FE165" s="23"/>
      <c r="FF165" s="23"/>
      <c r="FG165" s="23"/>
      <c r="FH165" s="23"/>
      <c r="FR165" s="4">
        <f t="shared" si="607"/>
        <v>1</v>
      </c>
      <c r="FS165" s="4">
        <f t="shared" si="608"/>
        <v>1.0833333333333333</v>
      </c>
      <c r="FT165" s="4">
        <f t="shared" si="609"/>
        <v>0</v>
      </c>
      <c r="FU165" s="4">
        <f t="shared" si="610"/>
        <v>171.95754059290095</v>
      </c>
    </row>
    <row r="166" spans="1:177" ht="12" customHeight="1" x14ac:dyDescent="0.3">
      <c r="B166" s="24"/>
      <c r="C166" s="4" t="s">
        <v>122</v>
      </c>
      <c r="D166" s="7">
        <v>454.8</v>
      </c>
      <c r="E166" s="7">
        <v>212</v>
      </c>
      <c r="F166" s="7">
        <v>25.1</v>
      </c>
      <c r="G166" s="7">
        <v>25.4</v>
      </c>
      <c r="H166" s="7">
        <v>160</v>
      </c>
      <c r="I166" s="7">
        <f t="shared" si="630"/>
        <v>67.3</v>
      </c>
      <c r="J166" s="7" t="e">
        <f>323-9-#REF!</f>
        <v>#REF!</v>
      </c>
      <c r="K166" s="7">
        <v>0</v>
      </c>
      <c r="L166" s="7">
        <v>1</v>
      </c>
      <c r="M166" s="7">
        <f t="shared" si="675"/>
        <v>278</v>
      </c>
      <c r="N166" s="7">
        <f t="shared" si="631"/>
        <v>3.1496062992125986</v>
      </c>
      <c r="O166" s="7">
        <f t="shared" si="632"/>
        <v>3.1496062992125986</v>
      </c>
      <c r="P166" s="7">
        <f t="shared" si="676"/>
        <v>4</v>
      </c>
      <c r="Q166" s="7">
        <f t="shared" si="676"/>
        <v>4</v>
      </c>
      <c r="R166" s="7">
        <f t="shared" si="633"/>
        <v>5</v>
      </c>
      <c r="S166" s="7">
        <f t="shared" si="634"/>
        <v>56.796126628494655</v>
      </c>
      <c r="T166" s="7">
        <f t="shared" si="635"/>
        <v>454.8</v>
      </c>
      <c r="U166" s="7">
        <v>9</v>
      </c>
      <c r="V166" s="7"/>
      <c r="W166" s="32" t="s">
        <v>308</v>
      </c>
      <c r="X166" s="7"/>
      <c r="Y166" s="7"/>
      <c r="Z166" s="7"/>
      <c r="AA166" s="7">
        <v>1</v>
      </c>
      <c r="AB166" s="7"/>
      <c r="AC166" s="7"/>
      <c r="AD166" s="7">
        <f>3*AE166/(K166+G166)</f>
        <v>25.039370078740159</v>
      </c>
      <c r="AE166" s="4">
        <f t="shared" si="636"/>
        <v>212</v>
      </c>
      <c r="AF166" s="4">
        <f t="shared" si="637"/>
        <v>0.25157232704402516</v>
      </c>
      <c r="AG166" s="4">
        <f t="shared" si="638"/>
        <v>290.65017450591699</v>
      </c>
      <c r="AH166" s="4">
        <f t="shared" si="639"/>
        <v>0.77547169811320749</v>
      </c>
      <c r="AI166" s="4">
        <v>1.25</v>
      </c>
      <c r="AJ166" s="25">
        <v>1</v>
      </c>
      <c r="AK166" s="38">
        <f t="shared" si="671"/>
        <v>70.877668044340737</v>
      </c>
      <c r="AN166" s="38">
        <f t="shared" si="640"/>
        <v>74.425570064086557</v>
      </c>
      <c r="AO166" s="38">
        <f t="shared" si="548"/>
        <v>0.95232952845788377</v>
      </c>
      <c r="AP166" s="38">
        <f t="shared" si="641"/>
        <v>4.2488149189674065</v>
      </c>
      <c r="AQ166" s="4">
        <f t="shared" si="642"/>
        <v>0</v>
      </c>
      <c r="AR166" s="4" t="e">
        <f>#REF!/G166*F166^0.5/0.19</f>
        <v>#REF!</v>
      </c>
      <c r="AS166" s="4">
        <f t="shared" si="549"/>
        <v>1</v>
      </c>
      <c r="AT166" s="38">
        <f t="shared" si="643"/>
        <v>316.22047244094495</v>
      </c>
      <c r="AU166" s="4">
        <f t="shared" si="644"/>
        <v>0.44000000000000006</v>
      </c>
      <c r="AV166" s="4" t="e">
        <f>AU166*D166*#REF!/(D166*G166/2.75/F166^0.5)</f>
        <v>#REF!</v>
      </c>
      <c r="AW166" s="4" t="e">
        <f t="shared" si="645"/>
        <v>#REF!</v>
      </c>
      <c r="AY166" s="4">
        <f t="shared" si="627"/>
        <v>1.4124015748031495</v>
      </c>
      <c r="AZ166" s="4" t="e">
        <f>(3*#REF!+30)*AY166*F166^0.5</f>
        <v>#REF!</v>
      </c>
      <c r="BB166" s="4">
        <f t="shared" si="646"/>
        <v>303.29410431474349</v>
      </c>
      <c r="BC166" s="4">
        <f t="shared" si="647"/>
        <v>1084.9722194286705</v>
      </c>
      <c r="BD166" s="4">
        <f t="shared" si="672"/>
        <v>3.5772941313186242</v>
      </c>
      <c r="BL166" s="4">
        <f t="shared" si="648"/>
        <v>67.3</v>
      </c>
      <c r="BP166" s="9"/>
      <c r="BR166" s="9"/>
      <c r="BS166" s="9"/>
      <c r="BT166" s="9" t="e">
        <f t="shared" si="649"/>
        <v>#REF!</v>
      </c>
      <c r="BU166" s="9">
        <f t="shared" si="650"/>
        <v>67.3</v>
      </c>
      <c r="BV166" s="9" t="e">
        <f t="shared" si="651"/>
        <v>#REF!</v>
      </c>
      <c r="BW166" s="9">
        <v>0</v>
      </c>
      <c r="BX166" s="9">
        <f t="shared" si="652"/>
        <v>0</v>
      </c>
      <c r="BY166" s="9">
        <f t="shared" si="653"/>
        <v>0</v>
      </c>
      <c r="BZ166" s="9">
        <f t="shared" si="654"/>
        <v>0.99524931562137331</v>
      </c>
      <c r="CA166" s="9">
        <f t="shared" si="655"/>
        <v>1.0903999999999998</v>
      </c>
      <c r="CB166" s="9">
        <f t="shared" si="656"/>
        <v>1.9029292228649537</v>
      </c>
      <c r="CC166" s="9" t="e">
        <f t="shared" si="657"/>
        <v>#REF!</v>
      </c>
      <c r="CD166" s="9">
        <v>1</v>
      </c>
      <c r="CE166" s="9" t="e">
        <f>4*CC166*#REF!+60*CC166</f>
        <v>#REF!</v>
      </c>
      <c r="DB166" s="4">
        <f t="shared" si="677"/>
        <v>0</v>
      </c>
      <c r="DC166" s="4" t="e">
        <f>#REF!</f>
        <v>#REF!</v>
      </c>
      <c r="DF166" s="4">
        <f t="shared" si="582"/>
        <v>1.4378710630571176E-5</v>
      </c>
      <c r="DG166" s="4" t="e">
        <f t="shared" si="678"/>
        <v>#REF!</v>
      </c>
      <c r="DL166" s="38">
        <f t="shared" si="584"/>
        <v>74.425570064086557</v>
      </c>
      <c r="DM166" s="4" t="e">
        <f t="shared" si="623"/>
        <v>#REF!</v>
      </c>
      <c r="DO166" s="4">
        <f t="shared" si="624"/>
        <v>74.425570064086557</v>
      </c>
      <c r="DS166" s="4" t="e">
        <f t="shared" si="658"/>
        <v>#REF!</v>
      </c>
      <c r="DT166" s="4">
        <f t="shared" si="659"/>
        <v>0.83503937007874018</v>
      </c>
      <c r="DU166" s="4">
        <f t="shared" si="660"/>
        <v>1</v>
      </c>
      <c r="DV166" s="4">
        <f t="shared" si="661"/>
        <v>0.83503937007874018</v>
      </c>
      <c r="DY166" s="25"/>
      <c r="EB166" s="4" t="e">
        <f t="shared" si="662"/>
        <v>#REF!</v>
      </c>
      <c r="EE166" s="4">
        <f t="shared" si="592"/>
        <v>56.796126628494655</v>
      </c>
      <c r="EF166" s="4">
        <f>R166^0.5</f>
        <v>2.2360679774997898</v>
      </c>
      <c r="EG166" s="4">
        <f t="shared" si="594"/>
        <v>4.4879310763957535E-2</v>
      </c>
      <c r="EJ166" s="4">
        <f t="shared" si="663"/>
        <v>4.4879310763957535E-2</v>
      </c>
      <c r="EK166" s="4">
        <f t="shared" si="664"/>
        <v>0.16354930031676054</v>
      </c>
      <c r="EL166" s="4" t="e">
        <f t="shared" si="679"/>
        <v>#REF!</v>
      </c>
      <c r="EM166" s="4" t="e">
        <f t="shared" si="665"/>
        <v>#REF!</v>
      </c>
      <c r="EN166" s="4" t="e">
        <f t="shared" si="673"/>
        <v>#REF!</v>
      </c>
      <c r="EO166" s="4" t="e">
        <f t="shared" si="674"/>
        <v>#REF!</v>
      </c>
      <c r="EP166" s="4" t="e">
        <f t="shared" si="666"/>
        <v>#REF!</v>
      </c>
      <c r="EQ166" s="4" t="e">
        <f t="shared" si="667"/>
        <v>#REF!</v>
      </c>
      <c r="ER166" s="4" t="e">
        <f t="shared" si="668"/>
        <v>#REF!</v>
      </c>
      <c r="FA166" s="23"/>
      <c r="FB166" s="23"/>
      <c r="FC166" s="23"/>
      <c r="FD166" s="23"/>
      <c r="FE166" s="23"/>
      <c r="FF166" s="23"/>
      <c r="FG166" s="23"/>
      <c r="FH166" s="23"/>
      <c r="FR166" s="4">
        <f t="shared" si="607"/>
        <v>1</v>
      </c>
      <c r="FS166" s="4">
        <f t="shared" si="608"/>
        <v>1.0833333333333333</v>
      </c>
      <c r="FT166" s="4">
        <f t="shared" si="609"/>
        <v>0</v>
      </c>
      <c r="FU166" s="4">
        <f t="shared" si="610"/>
        <v>171.95754059290095</v>
      </c>
    </row>
    <row r="167" spans="1:177" ht="12" customHeight="1" x14ac:dyDescent="0.3">
      <c r="B167" s="24"/>
      <c r="C167" s="4" t="s">
        <v>123</v>
      </c>
      <c r="D167" s="7">
        <v>454.8</v>
      </c>
      <c r="E167" s="7">
        <v>161</v>
      </c>
      <c r="F167" s="7">
        <v>25.1</v>
      </c>
      <c r="G167" s="7">
        <v>25.4</v>
      </c>
      <c r="H167" s="7">
        <v>160</v>
      </c>
      <c r="I167" s="7">
        <f t="shared" si="630"/>
        <v>67.3</v>
      </c>
      <c r="J167" s="7" t="e">
        <f>323-9-#REF!</f>
        <v>#REF!</v>
      </c>
      <c r="K167" s="7">
        <v>0</v>
      </c>
      <c r="L167" s="7">
        <v>1</v>
      </c>
      <c r="M167" s="7">
        <f t="shared" si="675"/>
        <v>278</v>
      </c>
      <c r="N167" s="7">
        <f t="shared" si="631"/>
        <v>3.1496062992125986</v>
      </c>
      <c r="O167" s="7">
        <f t="shared" si="632"/>
        <v>3.1496062992125986</v>
      </c>
      <c r="P167" s="7">
        <f t="shared" si="676"/>
        <v>4</v>
      </c>
      <c r="Q167" s="7">
        <f t="shared" si="676"/>
        <v>4</v>
      </c>
      <c r="R167" s="7">
        <f t="shared" si="633"/>
        <v>5</v>
      </c>
      <c r="S167" s="7">
        <f t="shared" si="634"/>
        <v>56.796126628494655</v>
      </c>
      <c r="T167" s="7">
        <f t="shared" si="635"/>
        <v>454.8</v>
      </c>
      <c r="U167" s="7">
        <v>9</v>
      </c>
      <c r="V167" s="7">
        <f>(59+56)/2/510*1000</f>
        <v>112.74509803921569</v>
      </c>
      <c r="W167" s="7"/>
      <c r="X167" s="7"/>
      <c r="Y167" s="7"/>
      <c r="Z167" s="7"/>
      <c r="AA167" s="7">
        <v>1</v>
      </c>
      <c r="AB167" s="7"/>
      <c r="AC167" s="7"/>
      <c r="AD167" s="7">
        <f>3*AE167/(K167+G167)</f>
        <v>19.015748031496063</v>
      </c>
      <c r="AE167" s="4">
        <f t="shared" si="636"/>
        <v>161</v>
      </c>
      <c r="AF167" s="4">
        <f t="shared" si="637"/>
        <v>0.33126293995859213</v>
      </c>
      <c r="AG167" s="4">
        <f t="shared" si="638"/>
        <v>183.73304806343879</v>
      </c>
      <c r="AH167" s="4">
        <f t="shared" si="639"/>
        <v>0.79937888198757756</v>
      </c>
      <c r="AI167" s="4">
        <v>1.25</v>
      </c>
      <c r="AJ167" s="25">
        <v>1</v>
      </c>
      <c r="AK167" s="38">
        <f t="shared" si="671"/>
        <v>60.816695049739771</v>
      </c>
      <c r="AN167" s="38">
        <f t="shared" si="640"/>
        <v>66.858079292379969</v>
      </c>
      <c r="AO167" s="38">
        <f t="shared" si="548"/>
        <v>0.90963868082090182</v>
      </c>
      <c r="AP167" s="38">
        <f t="shared" si="641"/>
        <v>4.7297271442403765</v>
      </c>
      <c r="AQ167" s="4">
        <f t="shared" si="642"/>
        <v>0</v>
      </c>
      <c r="AR167" s="4" t="e">
        <f>#REF!/G167*F167^0.5/0.19</f>
        <v>#REF!</v>
      </c>
      <c r="AS167" s="4">
        <f t="shared" si="549"/>
        <v>1</v>
      </c>
      <c r="AT167" s="38">
        <f t="shared" si="643"/>
        <v>316.22047244094495</v>
      </c>
      <c r="AU167" s="4">
        <f t="shared" si="644"/>
        <v>0.44000000000000006</v>
      </c>
      <c r="AV167" s="4" t="e">
        <f>AU167*D167*#REF!/(D167*G167/2.75/F167^0.5)</f>
        <v>#REF!</v>
      </c>
      <c r="AW167" s="4" t="e">
        <f t="shared" si="645"/>
        <v>#REF!</v>
      </c>
      <c r="AY167" s="4">
        <f t="shared" si="627"/>
        <v>1.4124015748031495</v>
      </c>
      <c r="AZ167" s="4" t="e">
        <f>(3*#REF!+30)*AY167*F167^0.5</f>
        <v>#REF!</v>
      </c>
      <c r="BB167" s="4">
        <f t="shared" si="646"/>
        <v>303.29410431474349</v>
      </c>
      <c r="BC167" s="4">
        <f t="shared" si="647"/>
        <v>1084.9722194286705</v>
      </c>
      <c r="BD167" s="4">
        <f t="shared" si="672"/>
        <v>3.5772941313186242</v>
      </c>
      <c r="BL167" s="4">
        <f t="shared" si="648"/>
        <v>67.3</v>
      </c>
      <c r="BP167" s="9"/>
      <c r="BR167" s="9"/>
      <c r="BS167" s="9"/>
      <c r="BT167" s="9" t="e">
        <f t="shared" si="649"/>
        <v>#REF!</v>
      </c>
      <c r="BU167" s="9">
        <f t="shared" si="650"/>
        <v>67.3</v>
      </c>
      <c r="BV167" s="9" t="e">
        <f t="shared" si="651"/>
        <v>#REF!</v>
      </c>
      <c r="BW167" s="9">
        <v>0</v>
      </c>
      <c r="BX167" s="9">
        <f t="shared" si="652"/>
        <v>0</v>
      </c>
      <c r="BY167" s="9">
        <f t="shared" si="653"/>
        <v>0</v>
      </c>
      <c r="BZ167" s="9">
        <f t="shared" si="654"/>
        <v>0.99524931562137331</v>
      </c>
      <c r="CA167" s="9">
        <f t="shared" si="655"/>
        <v>1.0903999999999998</v>
      </c>
      <c r="CB167" s="9">
        <f t="shared" si="656"/>
        <v>1.9029292228649537</v>
      </c>
      <c r="CC167" s="9" t="e">
        <f t="shared" si="657"/>
        <v>#REF!</v>
      </c>
      <c r="CD167" s="9">
        <v>1</v>
      </c>
      <c r="CE167" s="9" t="e">
        <f>4*CC167*#REF!+60*CC167</f>
        <v>#REF!</v>
      </c>
      <c r="DB167" s="4">
        <f t="shared" si="677"/>
        <v>0</v>
      </c>
      <c r="DC167" s="4" t="e">
        <f>#REF!</f>
        <v>#REF!</v>
      </c>
      <c r="DF167" s="4">
        <f t="shared" si="582"/>
        <v>1.0919681186424338E-5</v>
      </c>
      <c r="DG167" s="4" t="e">
        <f t="shared" si="678"/>
        <v>#REF!</v>
      </c>
      <c r="DL167" s="38">
        <f t="shared" si="584"/>
        <v>66.858079292379969</v>
      </c>
      <c r="DM167" s="4" t="e">
        <f t="shared" si="623"/>
        <v>#REF!</v>
      </c>
      <c r="DO167" s="4">
        <f t="shared" si="624"/>
        <v>66.858079292379969</v>
      </c>
      <c r="DS167" s="4" t="e">
        <f t="shared" si="658"/>
        <v>#REF!</v>
      </c>
      <c r="DT167" s="4">
        <f t="shared" si="659"/>
        <v>0.83503937007874018</v>
      </c>
      <c r="DU167" s="4">
        <f t="shared" si="660"/>
        <v>1</v>
      </c>
      <c r="DV167" s="4">
        <f t="shared" si="661"/>
        <v>0.83503937007874018</v>
      </c>
      <c r="DY167" s="25"/>
      <c r="EB167" s="4" t="e">
        <f t="shared" si="662"/>
        <v>#REF!</v>
      </c>
      <c r="EE167" s="4">
        <f t="shared" si="592"/>
        <v>56.796126628494655</v>
      </c>
      <c r="EF167" s="4">
        <f>R167^0.5</f>
        <v>2.2360679774997898</v>
      </c>
      <c r="EG167" s="4">
        <f t="shared" si="594"/>
        <v>4.0316043465442299E-2</v>
      </c>
      <c r="EJ167" s="4">
        <f t="shared" si="663"/>
        <v>4.0316043465442299E-2</v>
      </c>
      <c r="EK167" s="4">
        <f t="shared" si="664"/>
        <v>0.14691982982966276</v>
      </c>
      <c r="EL167" s="4" t="e">
        <f t="shared" si="679"/>
        <v>#REF!</v>
      </c>
      <c r="EM167" s="4" t="e">
        <f t="shared" si="665"/>
        <v>#REF!</v>
      </c>
      <c r="EN167" s="4" t="e">
        <f t="shared" si="673"/>
        <v>#REF!</v>
      </c>
      <c r="EO167" s="4" t="e">
        <f t="shared" si="674"/>
        <v>#REF!</v>
      </c>
      <c r="EP167" s="4" t="e">
        <f t="shared" si="666"/>
        <v>#REF!</v>
      </c>
      <c r="EQ167" s="4" t="e">
        <f t="shared" si="667"/>
        <v>#REF!</v>
      </c>
      <c r="ER167" s="4" t="e">
        <f t="shared" si="668"/>
        <v>#REF!</v>
      </c>
      <c r="FA167" s="23"/>
      <c r="FB167" s="23"/>
      <c r="FC167" s="23"/>
      <c r="FD167" s="23"/>
      <c r="FE167" s="23"/>
      <c r="FF167" s="23"/>
      <c r="FG167" s="23"/>
      <c r="FH167" s="23"/>
      <c r="FR167" s="4">
        <f t="shared" si="607"/>
        <v>1</v>
      </c>
      <c r="FS167" s="4">
        <f t="shared" si="608"/>
        <v>1.0833333333333333</v>
      </c>
      <c r="FT167" s="4">
        <f t="shared" si="609"/>
        <v>0</v>
      </c>
      <c r="FU167" s="4">
        <f t="shared" si="610"/>
        <v>130.59039639366534</v>
      </c>
    </row>
    <row r="168" spans="1:177" ht="12" customHeight="1" x14ac:dyDescent="0.3">
      <c r="AN168" s="38" t="e">
        <f t="shared" si="640"/>
        <v>#DIV/0!</v>
      </c>
      <c r="AO168" s="38" t="e">
        <f t="shared" si="548"/>
        <v>#DIV/0!</v>
      </c>
      <c r="FR168" s="4">
        <f t="shared" si="607"/>
        <v>1.25</v>
      </c>
      <c r="FS168" s="4" t="e">
        <f t="shared" si="608"/>
        <v>#DIV/0!</v>
      </c>
      <c r="FT168" s="4" t="e">
        <f t="shared" si="609"/>
        <v>#DIV/0!</v>
      </c>
      <c r="FU168" s="4" t="e">
        <f t="shared" si="610"/>
        <v>#DIV/0!</v>
      </c>
    </row>
    <row r="169" spans="1:177" ht="12" customHeight="1" x14ac:dyDescent="0.3">
      <c r="A169" s="4">
        <v>6</v>
      </c>
      <c r="B169" s="24" t="s">
        <v>326</v>
      </c>
      <c r="C169" s="4" t="s">
        <v>155</v>
      </c>
      <c r="D169" s="7">
        <v>606</v>
      </c>
      <c r="E169" s="7">
        <f>7*G169</f>
        <v>301</v>
      </c>
      <c r="F169" s="7">
        <v>47.9</v>
      </c>
      <c r="G169" s="37">
        <v>43</v>
      </c>
      <c r="H169" s="7">
        <f t="shared" ref="H169:H195" si="680">K169+2*I169+2*G169</f>
        <v>541.79999999999995</v>
      </c>
      <c r="I169" s="7">
        <f t="shared" ref="I169:I175" si="681">1*G169</f>
        <v>43</v>
      </c>
      <c r="J169" s="7">
        <f>40+16</f>
        <v>56</v>
      </c>
      <c r="K169" s="7">
        <f t="shared" ref="K169:K174" si="682">(9.6-1)*G169</f>
        <v>369.8</v>
      </c>
      <c r="L169" s="7">
        <v>2</v>
      </c>
      <c r="M169" s="7">
        <f t="shared" ref="M169:M174" si="683">2/3*E169-0.5*125</f>
        <v>138.16666666666666</v>
      </c>
      <c r="N169" s="7">
        <f t="shared" ref="N169:N232" si="684">MIN(I169/G169+0.5, K169/2/G169+0.5)</f>
        <v>1.5</v>
      </c>
      <c r="O169" s="7">
        <f t="shared" ref="O169:O232" si="685">I169/G169+0.5</f>
        <v>1.5</v>
      </c>
      <c r="P169" s="7">
        <f t="shared" si="676"/>
        <v>4</v>
      </c>
      <c r="Q169" s="7">
        <f t="shared" si="676"/>
        <v>4</v>
      </c>
      <c r="R169" s="7">
        <f t="shared" ref="R169:R232" si="686">Q169+1</f>
        <v>5</v>
      </c>
      <c r="S169" s="7">
        <f t="shared" ref="S169:S232" si="687">G169*R169^0.5</f>
        <v>96.150923032490965</v>
      </c>
      <c r="T169" s="7">
        <f t="shared" ref="T169:T200" si="688">D169</f>
        <v>606</v>
      </c>
      <c r="U169" s="7">
        <v>19</v>
      </c>
      <c r="V169" s="7">
        <f>(297+328)/2</f>
        <v>312.5</v>
      </c>
      <c r="W169" s="7"/>
      <c r="X169" s="4">
        <f t="shared" ref="X169:X232" si="689">CK169</f>
        <v>0.96129394656467926</v>
      </c>
      <c r="Y169" s="7"/>
      <c r="Z169" s="7"/>
      <c r="AA169" s="7">
        <v>1</v>
      </c>
      <c r="AB169" s="7"/>
      <c r="AC169" s="7"/>
      <c r="AD169" s="7">
        <f t="shared" ref="AD169:AD200" si="690">3*AE169/(K169+G169)</f>
        <v>2.1875</v>
      </c>
      <c r="AE169" s="4">
        <f t="shared" ref="AE169:AE232" si="691">E169</f>
        <v>301</v>
      </c>
      <c r="AF169" s="4">
        <f t="shared" ref="AF169:AF232" si="692">IF(E169*3&gt;K169+G169, H169, (I169+G169/2)*2+1.5*E169*(2*L169-2))*(3*E169)/(9*E169^2)</f>
        <v>0.6</v>
      </c>
      <c r="AG169" s="4">
        <f t="shared" ref="AG169:AG232" si="693">MIN(10*F169^0.5*E169^1.5,100*3.9*F169^0.5*E169^(5/3))/(PI()/4*G169^2)/L169</f>
        <v>124.44020328781106</v>
      </c>
      <c r="AH169" s="4">
        <f t="shared" ref="AH169:AH232" si="694">MIN(0.7+0.3*(MIN(I169,M169)+0.5*G169)/1.5/E169,1)</f>
        <v>0.74285714285714277</v>
      </c>
      <c r="AI169" s="4">
        <v>1.25</v>
      </c>
      <c r="AJ169" s="4">
        <v>2.5</v>
      </c>
      <c r="AK169" s="38">
        <f>AF169*AH169*AI169*AJ169*AG169</f>
        <v>173.32742600802251</v>
      </c>
      <c r="AL169" s="38">
        <f>AK169</f>
        <v>173.32742600802251</v>
      </c>
      <c r="AM169" s="38">
        <f t="shared" ref="AM169:AM232" si="695">IF(F169&lt;50, 0.3*F169^(2/3), 2.12*LN(1+0.1*(F169+8)))</f>
        <v>3.9568075739830846</v>
      </c>
      <c r="AN169" s="38">
        <f t="shared" si="640"/>
        <v>173.32742600802277</v>
      </c>
      <c r="AO169" s="38">
        <f t="shared" si="548"/>
        <v>0.99999999999999856</v>
      </c>
      <c r="AP169" s="38">
        <f t="shared" si="641"/>
        <v>1.6581334334630755</v>
      </c>
      <c r="AQ169" s="4">
        <f t="shared" si="642"/>
        <v>0</v>
      </c>
      <c r="AR169" s="4" t="e">
        <f>#REF!/G169*F169^0.5/0.19</f>
        <v>#REF!</v>
      </c>
      <c r="AS169" s="4">
        <f t="shared" ref="AS169:AS232" si="696">MIN(0.6+0.4*(O169/N169),2)</f>
        <v>1</v>
      </c>
      <c r="AT169" s="38">
        <f t="shared" ref="AT169:AT232" si="697">2*F169*N169*P169^0.5*AS169*0.7/0.7</f>
        <v>287.39999999999998</v>
      </c>
      <c r="AU169" s="4">
        <f t="shared" ref="AU169:AU232" si="698">MAX(1-0.7*Q169/5,0.3)</f>
        <v>0.44000000000000006</v>
      </c>
      <c r="AV169" s="4" t="e">
        <f>AU169*D169*#REF!/(D169*G169/2.75/F169^0.5)</f>
        <v>#REF!</v>
      </c>
      <c r="AW169" s="4" t="e">
        <f t="shared" ref="AW169:AW195" si="699">AT169+AV169</f>
        <v>#REF!</v>
      </c>
      <c r="AY169" s="4">
        <f t="shared" ref="AY169:AY232" si="700">MIN(1.5, 0.75+0.25*MIN(3,MAX(1,I169/G169))+0.4*MIN(1,(40*2*PI()*Y169^2/4/AA169/L169)/G169))</f>
        <v>1</v>
      </c>
      <c r="AZ169" s="4" t="e">
        <f>(3*#REF!+30)*AY169*F169^0.5</f>
        <v>#REF!</v>
      </c>
      <c r="BB169" s="4">
        <f t="shared" ref="BB169:BB232" si="701">3.4/PI()^0.5*F169*N169*Q169^0.5*AS169</f>
        <v>275.65174672976275</v>
      </c>
      <c r="BC169" s="4">
        <f t="shared" ref="BC169:BC200" si="702">8/3*T169*U169^2/(S169-G169-22)/G169*(S169^2-G169^2)/(S169^2-(G169+22)^2)</f>
        <v>641.65616063635548</v>
      </c>
      <c r="BD169" s="4">
        <f t="shared" ref="BD169:BD195" si="703">BC169/BB169</f>
        <v>2.3277783226434909</v>
      </c>
      <c r="BL169" s="4">
        <f t="shared" ref="BL169:BL232" si="704">IF(K169=0,I169,MIN(K169/2,I169))</f>
        <v>43</v>
      </c>
      <c r="BP169" s="9"/>
      <c r="BR169" s="9"/>
      <c r="BS169" s="9"/>
      <c r="BT169" s="9">
        <f t="shared" ref="BT169:BT232" si="705">IF(K169=0,MIN(I169,J169),MIN(K169/2,I169,J169))</f>
        <v>43</v>
      </c>
      <c r="BU169" s="9">
        <f t="shared" ref="BU169:BU232" si="706">MAX(K169/2,I169)</f>
        <v>184.9</v>
      </c>
      <c r="BV169" s="9">
        <f t="shared" ref="BV169:BV232" si="707">(BT169/G169)^0.5*(BU169/BT169)^0.15</f>
        <v>1.2445726940891169</v>
      </c>
      <c r="BW169" s="9">
        <v>0</v>
      </c>
      <c r="BX169" s="9">
        <f t="shared" ref="BX169:BX232" si="708">MIN(PI()*Y169^2/4*Z169*2/L169/G169/MAX(0.01,AA169),0.05)</f>
        <v>0</v>
      </c>
      <c r="BY169" s="9">
        <f t="shared" ref="BY169:BY195" si="709">MAX(0,BW169*(BX169-0.5/50))</f>
        <v>0</v>
      </c>
      <c r="BZ169" s="9">
        <f t="shared" ref="BZ169:BZ232" si="710">MIN(1,(25/G169)^0.3)</f>
        <v>0.84984840943171969</v>
      </c>
      <c r="CA169" s="9">
        <f t="shared" ref="CA169:CA232" si="711">IF(D169&gt;=800,0.68,IF(D169&gt;=700,0.75-(D169-700)*0.07/100,IF(D169&gt;=600,0.85-(D169-600)*0.1/100,IF(D169&gt;=500,1-(D169-500)*0.15/100,1.2-(D169-400)*0.2/100))))</f>
        <v>0.84399999999999997</v>
      </c>
      <c r="CB169" s="9">
        <f t="shared" ref="CB169:CB232" si="712">1.75*BZ169*CA169*(F169/25)^0.5</f>
        <v>1.7374795977330737</v>
      </c>
      <c r="CC169" s="9">
        <f t="shared" ref="CC169:CC232" si="713">MIN((BV169+BY169)*CB169,2.5*CB169,F169^0.5)</f>
        <v>2.1624196638755264</v>
      </c>
      <c r="CD169" s="9">
        <v>1</v>
      </c>
      <c r="CE169" s="9" t="e">
        <f>4*CC169*#REF!+60*CC169</f>
        <v>#REF!</v>
      </c>
      <c r="CG169" s="4" t="e">
        <f t="shared" ref="CG169:CG195" si="714">V169/AR169</f>
        <v>#REF!</v>
      </c>
      <c r="CH169" s="4" t="e">
        <f t="shared" ref="CH169:CH195" si="715">V169/AW169</f>
        <v>#REF!</v>
      </c>
      <c r="CI169" s="4" t="e">
        <f t="shared" ref="CI169:CI195" si="716">V169/AZ169</f>
        <v>#REF!</v>
      </c>
      <c r="CJ169" s="4" t="e">
        <f t="shared" ref="CJ169:CJ195" si="717">V169/CE169</f>
        <v>#REF!</v>
      </c>
      <c r="CK169" s="4">
        <f t="shared" ref="CK169:CK195" si="718">V169/DL169</f>
        <v>0.96129394656467926</v>
      </c>
      <c r="CL169" s="4">
        <f t="shared" ref="CL169:CL195" si="719">V169/DX169</f>
        <v>1.0049803374710342</v>
      </c>
      <c r="CM169" s="4">
        <f t="shared" ref="CM169:CM215" si="720">V169/FU169</f>
        <v>1.3838937040210169</v>
      </c>
      <c r="CO169" s="4" t="e">
        <f>CG169</f>
        <v>#REF!</v>
      </c>
      <c r="CP169" s="4" t="e">
        <f>CH169</f>
        <v>#REF!</v>
      </c>
      <c r="CQ169" s="4" t="e">
        <f>CJ169</f>
        <v>#REF!</v>
      </c>
      <c r="CR169" s="4">
        <f t="shared" ref="CR169:CR176" si="721">CM169</f>
        <v>1.3838937040210169</v>
      </c>
      <c r="CS169" s="4">
        <f>CK169</f>
        <v>0.96129394656467926</v>
      </c>
      <c r="CT169" s="4">
        <f>CL169</f>
        <v>1.0049803374710342</v>
      </c>
      <c r="DB169" s="4">
        <f t="shared" ref="DB169:DB195" si="722">Z169</f>
        <v>0</v>
      </c>
      <c r="DC169" s="4" t="e">
        <f>#REF!</f>
        <v>#REF!</v>
      </c>
      <c r="DF169" s="4">
        <f t="shared" ref="DF169:DF232" si="723">E169/4/(1-0.3*(F169/30)^0.5)/200000/G169</f>
        <v>1.4091943242647847E-5</v>
      </c>
      <c r="DG169" s="4">
        <f t="shared" ref="DG169:DG232" si="724">EB169</f>
        <v>6.6896087368323061</v>
      </c>
      <c r="DH169" s="4">
        <f t="shared" ref="DH169:DH232" si="725">DO169*S169/257/F169/P169</f>
        <v>0.33844812875228814</v>
      </c>
      <c r="DI169" s="4">
        <f t="shared" ref="DI169:DI232" si="726">DG169*DH169^0.4</f>
        <v>4.3370813109730566</v>
      </c>
      <c r="DJ169" s="4">
        <f t="shared" ref="DJ169:DJ232" si="727">MIN(DG169, DG169/1.4*(1-DH169^1.4)/(1-DH169))</f>
        <v>5.6379680974746442</v>
      </c>
      <c r="DK169" s="4">
        <f t="shared" ref="DK169:DK232" si="728">MAX(DG169/2, (4-DF169*(8*S169*(DI169-DJ169)+6*E169*DJ169))/(4+DF169*E169*DG169)*DG169)</f>
        <v>6.4276280243738011</v>
      </c>
      <c r="DL169" s="38">
        <f t="shared" ref="DL169:DL232" si="729">MIN(1/G169*(4*S169*(DI169-DJ169)+(3*DJ169+DK169)*E169)+DO169 -EV169,MAX(D169,V169))</f>
        <v>325.08266708301164</v>
      </c>
      <c r="DM169" s="4" t="e">
        <f t="shared" ref="DM169:DM232" si="730">DL169/ER169</f>
        <v>#REF!</v>
      </c>
      <c r="DN169" s="4">
        <f t="shared" ref="DN169:DN232" si="731">S169/G169</f>
        <v>2.2360679774997898</v>
      </c>
      <c r="DO169" s="4">
        <f t="shared" ref="DO169:DO181" si="732">MIN(DN$10*AN169)</f>
        <v>173.32742600802277</v>
      </c>
      <c r="DS169" s="4">
        <f t="shared" ref="DS169:DS232" si="733">IF(J169&gt;1*G169,0.85,1)</f>
        <v>0.85</v>
      </c>
      <c r="DT169" s="4">
        <f t="shared" ref="DT169:DT232" si="734">MIN(1,MAX(0.7,(1-0.1*(BL169-1*G169)/G169)))</f>
        <v>1</v>
      </c>
      <c r="DU169" s="4">
        <f t="shared" ref="DU169:DU232" si="735">MIN(1,MAX(0.7,1-0.3*(PI()*Y169^2/4*AC169*2-0.25*PI()/4*G169^2)/(PI()/4*G169^2)))</f>
        <v>1</v>
      </c>
      <c r="DV169" s="4">
        <f t="shared" ref="DV169:DV232" si="736">IF(DT169*DU169&lt;0.7,0.7,DT169*DU169)</f>
        <v>1</v>
      </c>
      <c r="DX169" s="4">
        <f t="shared" ref="DX169:DX232" si="737">MIN(DG169/G169*3*E169+DY169-EV169,MAX(D169,V169))</f>
        <v>310.95135730355219</v>
      </c>
      <c r="DY169" s="25">
        <f t="shared" ref="DY169:DY195" si="738">13.3*H169*E169^0.5*F169^0.5/L169/G169^2*(0.7+I169/5/E169)</f>
        <v>170.46957383007376</v>
      </c>
      <c r="EB169" s="4">
        <f t="shared" ref="EB169:EB232" si="739">IF(G169&lt;22.2,1.1*5*(F169/30)^0.5,IF(G169&gt;=31.8,0.9*5*(F169/30)^0.5,1*5*(F169/30)^0.5))/DS169/DV169</f>
        <v>6.6896087368323061</v>
      </c>
      <c r="EE169" s="4">
        <f t="shared" ref="EE169:EE232" si="740">EF169*G169</f>
        <v>96.150923032490965</v>
      </c>
      <c r="EF169" s="4">
        <f t="shared" ref="EF169:EF232" si="741">R169^0.5</f>
        <v>2.2360679774997898</v>
      </c>
      <c r="EG169" s="4">
        <f t="shared" ref="EG169:EG232" si="742">MIN(DO169)/(4700*F169^0.5)/Q169*EE169</f>
        <v>0.12808407592670423</v>
      </c>
      <c r="EJ169" s="4">
        <f t="shared" ref="EJ169:EJ195" si="743">EG169</f>
        <v>0.12808407592670423</v>
      </c>
      <c r="EK169" s="4">
        <f t="shared" ref="EK169:EK232" si="744">MIN(0.999, EJ169/(0.3*(F169/30)^0.5))</f>
        <v>0.33788332190355697</v>
      </c>
      <c r="EL169" s="4">
        <f t="shared" ref="EL169:EL195" si="745">EB169/1*EK169^0.4</f>
        <v>4.3341847481064635</v>
      </c>
      <c r="EM169" s="4">
        <f t="shared" ref="EM169:EM195" si="746">EB169/1.4*(1-EK169^1.4)/(1-EK169)</f>
        <v>5.6368571639286049</v>
      </c>
      <c r="EN169" s="4" t="e">
        <f t="shared" ref="EN169:EN195" si="747">MAX(0,DC169*EN$9-EE169)</f>
        <v>#REF!</v>
      </c>
      <c r="EO169" s="4" t="e">
        <f t="shared" ref="EO169:EO195" si="748">MAX(0,DC169-EE169-EN169)</f>
        <v>#REF!</v>
      </c>
      <c r="EP169" s="4" t="e">
        <f t="shared" ref="EP169:EP232" si="749">EO169/(1-0.3*(F169/30)^0.5)/200000/G169</f>
        <v>#REF!</v>
      </c>
      <c r="EQ169" s="4" t="e">
        <f t="shared" ref="EQ169:EQ195" si="750">MAX(0.5*EB169, (1-2*EP169*(EE169*EL169+EN169*EM169))/(1/EB169+EP169*EO169))</f>
        <v>#REF!</v>
      </c>
      <c r="ER169" s="4" t="e">
        <f t="shared" ref="ER169:ER232" si="751">MIN(4/G169*(1*EL169*EE169+EM169*EN169+EO169*EQ169)+DO169,MAX(D169,V169))</f>
        <v>#REF!</v>
      </c>
      <c r="FA169" s="23" t="e">
        <f t="shared" ref="FA169:FA195" si="752">IF(CG169&lt;0.6,0.6,IF(CG169&lt;0.8,0.8,IF(CG169&lt;1,1,IF(CG169&lt;1.2,1.2,IF(CG169&lt;1.4,1.4,IF(CG169&lt;1.6,1.6,IF(CG169&lt;1.8,1.8,IF(CG169&lt;2,2,2.2))))))))</f>
        <v>#REF!</v>
      </c>
      <c r="FB169" s="23" t="e">
        <f t="shared" ref="FB169:FB195" si="753">IF(CH169&lt;0.6,0.6,IF(CH169&lt;0.8,0.8,IF(CH169&lt;1,1,IF(CH169&lt;1.2,1.2,IF(CH169&lt;1.4,1.4,IF(CH169&lt;1.6,1.6,IF(CH169&lt;1.8,1.8,IF(CH169&lt;2,2,2.2))))))))</f>
        <v>#REF!</v>
      </c>
      <c r="FC169" s="23">
        <f t="shared" ref="FC169:FC215" si="754">IF(CM169&lt;0.6,0.6,IF(CM169&lt;0.8,0.8,IF(CM169&lt;1,1,IF(CM169&lt;1.2,1.2,IF(CM169&lt;1.4,1.4,IF(CM169&lt;1.6,1.6,IF(CM169&lt;1.8,1.8,IF(CM169&lt;2,2,2.2))))))))</f>
        <v>1.4</v>
      </c>
      <c r="FD169" s="23" t="e">
        <f t="shared" ref="FD169:FD195" si="755">IF(CJ169&lt;0.6,0.6,IF(CJ169&lt;0.8,0.8,IF(CJ169&lt;1,1,IF(CJ169&lt;1.2,1.2,IF(CJ169&lt;1.4,1.4,IF(CJ169&lt;1.6,1.6,IF(CJ169&lt;1.8,1.8,IF(CJ169&lt;2,2,2.2))))))))</f>
        <v>#REF!</v>
      </c>
      <c r="FE169" s="23">
        <f t="shared" ref="FE169:FE195" si="756">IF(CK169&lt;0.6,0.6,IF(CK169&lt;0.8,0.8,IF(CK169&lt;1,1,IF(CK169&lt;1.2,1.2,IF(CK169&lt;1.4,1.4,IF(CK169&lt;1.6,1.6,IF(CK169&lt;1.8,1.8,IF(CK169&lt;2,2,2.2))))))))</f>
        <v>1</v>
      </c>
      <c r="FF169" s="23">
        <f t="shared" ref="FF169:FF195" si="757">IF(CL169&lt;0.6,0.6,IF(CL169&lt;0.8,0.8,IF(CL169&lt;1,1,IF(CL169&lt;1.2,1.2,IF(CL169&lt;1.4,1.4,IF(CL169&lt;1.6,1.6,IF(CL169&lt;1.8,1.8,IF(CL169&lt;2,2,2.2))))))))</f>
        <v>1.2</v>
      </c>
      <c r="FG169" s="23">
        <f t="shared" ref="FG169:FG195" si="758">IF(FE169&lt;1,1,0)</f>
        <v>0</v>
      </c>
      <c r="FH169" s="23"/>
      <c r="FR169" s="4">
        <f t="shared" si="607"/>
        <v>1.25</v>
      </c>
      <c r="FS169" s="4">
        <f t="shared" si="608"/>
        <v>0.5</v>
      </c>
      <c r="FT169" s="4">
        <f t="shared" si="609"/>
        <v>0</v>
      </c>
      <c r="FU169" s="4">
        <f t="shared" si="610"/>
        <v>225.81214084001218</v>
      </c>
    </row>
    <row r="170" spans="1:177" ht="12" customHeight="1" x14ac:dyDescent="0.3">
      <c r="B170" s="24" t="s">
        <v>309</v>
      </c>
      <c r="C170" s="4" t="s">
        <v>156</v>
      </c>
      <c r="D170" s="7">
        <v>606</v>
      </c>
      <c r="E170" s="7">
        <f>7*G170</f>
        <v>301</v>
      </c>
      <c r="F170" s="7">
        <v>47.9</v>
      </c>
      <c r="G170" s="37">
        <v>43</v>
      </c>
      <c r="H170" s="7">
        <f t="shared" si="680"/>
        <v>541.79999999999995</v>
      </c>
      <c r="I170" s="7">
        <f t="shared" si="681"/>
        <v>43</v>
      </c>
      <c r="J170" s="7">
        <f t="shared" ref="J170:J195" si="759">40+16</f>
        <v>56</v>
      </c>
      <c r="K170" s="7">
        <f t="shared" si="682"/>
        <v>369.8</v>
      </c>
      <c r="L170" s="7">
        <v>2</v>
      </c>
      <c r="M170" s="7">
        <f t="shared" si="683"/>
        <v>138.16666666666666</v>
      </c>
      <c r="N170" s="7">
        <f t="shared" si="684"/>
        <v>1.5</v>
      </c>
      <c r="O170" s="7">
        <f t="shared" si="685"/>
        <v>1.5</v>
      </c>
      <c r="P170" s="7">
        <f t="shared" si="676"/>
        <v>4</v>
      </c>
      <c r="Q170" s="7">
        <f t="shared" si="676"/>
        <v>4</v>
      </c>
      <c r="R170" s="7">
        <f t="shared" si="686"/>
        <v>5</v>
      </c>
      <c r="S170" s="7">
        <f t="shared" si="687"/>
        <v>96.150923032490965</v>
      </c>
      <c r="T170" s="7">
        <f t="shared" si="688"/>
        <v>606</v>
      </c>
      <c r="U170" s="7">
        <v>19</v>
      </c>
      <c r="V170" s="7">
        <f>(449+385)/2</f>
        <v>417</v>
      </c>
      <c r="W170" s="7"/>
      <c r="X170" s="4">
        <f t="shared" si="689"/>
        <v>1.2785719938235214</v>
      </c>
      <c r="Y170" s="7">
        <v>15.9</v>
      </c>
      <c r="Z170" s="7">
        <v>1</v>
      </c>
      <c r="AA170" s="7">
        <v>370</v>
      </c>
      <c r="AB170" s="7">
        <v>2</v>
      </c>
      <c r="AC170" s="7">
        <f>Z170</f>
        <v>1</v>
      </c>
      <c r="AD170" s="7">
        <f t="shared" si="690"/>
        <v>2.1875</v>
      </c>
      <c r="AE170" s="4">
        <f t="shared" si="691"/>
        <v>301</v>
      </c>
      <c r="AF170" s="4">
        <f t="shared" si="692"/>
        <v>0.6</v>
      </c>
      <c r="AG170" s="4">
        <f t="shared" si="693"/>
        <v>124.44020328781106</v>
      </c>
      <c r="AH170" s="4">
        <f t="shared" si="694"/>
        <v>0.74285714285714277</v>
      </c>
      <c r="AI170" s="4">
        <v>1.25</v>
      </c>
      <c r="AJ170" s="4">
        <f t="shared" ref="AJ170:AJ194" si="760">AJ169</f>
        <v>2.5</v>
      </c>
      <c r="AK170" s="38">
        <f t="shared" ref="AK170:AK195" si="761">AF170*AH170*AI170*AJ170*AG170</f>
        <v>173.32742600802251</v>
      </c>
      <c r="AL170" s="38">
        <f t="shared" ref="AL170:AL233" si="762">AK170</f>
        <v>173.32742600802251</v>
      </c>
      <c r="AM170" s="38">
        <f t="shared" si="695"/>
        <v>3.9568075739830846</v>
      </c>
      <c r="AN170" s="38">
        <f t="shared" si="640"/>
        <v>173.32742600802277</v>
      </c>
      <c r="AO170" s="38">
        <f t="shared" si="548"/>
        <v>0.99999999999999856</v>
      </c>
      <c r="AP170" s="38">
        <f t="shared" si="641"/>
        <v>1.6581334334630755</v>
      </c>
      <c r="AQ170" s="4">
        <f t="shared" si="642"/>
        <v>0</v>
      </c>
      <c r="AR170" s="4" t="e">
        <f>#REF!/G170*F170^0.5/0.19</f>
        <v>#REF!</v>
      </c>
      <c r="AS170" s="4">
        <f t="shared" si="696"/>
        <v>1</v>
      </c>
      <c r="AT170" s="38">
        <f t="shared" si="697"/>
        <v>287.39999999999998</v>
      </c>
      <c r="AU170" s="4">
        <f t="shared" si="698"/>
        <v>0.44000000000000006</v>
      </c>
      <c r="AV170" s="4" t="e">
        <f>AU170*D170*#REF!/(D170*G170/2.75/F170^0.5)</f>
        <v>#REF!</v>
      </c>
      <c r="AW170" s="4" t="e">
        <f t="shared" si="699"/>
        <v>#REF!</v>
      </c>
      <c r="AY170" s="4">
        <f t="shared" si="700"/>
        <v>1.1996797080462691</v>
      </c>
      <c r="AZ170" s="4" t="e">
        <f>(3*#REF!+30)*AY170*F170^0.5</f>
        <v>#REF!</v>
      </c>
      <c r="BB170" s="4">
        <f t="shared" si="701"/>
        <v>275.65174672976275</v>
      </c>
      <c r="BC170" s="4">
        <f t="shared" si="702"/>
        <v>641.65616063635548</v>
      </c>
      <c r="BD170" s="4">
        <f t="shared" si="703"/>
        <v>2.3277783226434909</v>
      </c>
      <c r="BL170" s="4">
        <f t="shared" si="704"/>
        <v>43</v>
      </c>
      <c r="BP170" s="9"/>
      <c r="BR170" s="9"/>
      <c r="BS170" s="9"/>
      <c r="BT170" s="9">
        <f t="shared" si="705"/>
        <v>43</v>
      </c>
      <c r="BU170" s="9">
        <f t="shared" si="706"/>
        <v>184.9</v>
      </c>
      <c r="BV170" s="9">
        <f t="shared" si="707"/>
        <v>1.2445726940891169</v>
      </c>
      <c r="BW170" s="9">
        <v>20</v>
      </c>
      <c r="BX170" s="9">
        <f t="shared" si="708"/>
        <v>1.2479981752891823E-2</v>
      </c>
      <c r="BY170" s="9">
        <f t="shared" si="709"/>
        <v>4.9599635057836454E-2</v>
      </c>
      <c r="BZ170" s="9">
        <f t="shared" si="710"/>
        <v>0.84984840943171969</v>
      </c>
      <c r="CA170" s="9">
        <f t="shared" si="711"/>
        <v>0.84399999999999997</v>
      </c>
      <c r="CB170" s="9">
        <f t="shared" si="712"/>
        <v>1.7374795977330737</v>
      </c>
      <c r="CC170" s="9">
        <f t="shared" si="713"/>
        <v>2.2485980178435234</v>
      </c>
      <c r="CD170" s="9">
        <v>1</v>
      </c>
      <c r="CE170" s="9" t="e">
        <f>4*CC170*#REF!+60*CC170</f>
        <v>#REF!</v>
      </c>
      <c r="CG170" s="4" t="e">
        <f t="shared" si="714"/>
        <v>#REF!</v>
      </c>
      <c r="CH170" s="4" t="e">
        <f t="shared" si="715"/>
        <v>#REF!</v>
      </c>
      <c r="CI170" s="4" t="e">
        <f t="shared" si="716"/>
        <v>#REF!</v>
      </c>
      <c r="CJ170" s="4" t="e">
        <f t="shared" si="717"/>
        <v>#REF!</v>
      </c>
      <c r="CK170" s="4">
        <f t="shared" si="718"/>
        <v>1.2785719938235214</v>
      </c>
      <c r="CL170" s="4">
        <f t="shared" si="719"/>
        <v>1.336765961716297</v>
      </c>
      <c r="CM170" s="4">
        <f t="shared" si="720"/>
        <v>1.4372631142025567</v>
      </c>
      <c r="CU170" s="4" t="e">
        <f>CG170</f>
        <v>#REF!</v>
      </c>
      <c r="CV170" s="4" t="e">
        <f>CH170</f>
        <v>#REF!</v>
      </c>
      <c r="CW170" s="4" t="e">
        <f>CJ170</f>
        <v>#REF!</v>
      </c>
      <c r="CX170" s="4">
        <f t="shared" ref="CX170" si="763">CM170</f>
        <v>1.4372631142025567</v>
      </c>
      <c r="CY170" s="4">
        <f>CK170</f>
        <v>1.2785719938235214</v>
      </c>
      <c r="CZ170" s="4">
        <f>CL170</f>
        <v>1.336765961716297</v>
      </c>
      <c r="DB170" s="4">
        <f t="shared" si="722"/>
        <v>1</v>
      </c>
      <c r="DC170" s="4" t="e">
        <f>#REF!</f>
        <v>#REF!</v>
      </c>
      <c r="DF170" s="4">
        <f t="shared" si="723"/>
        <v>1.4091943242647847E-5</v>
      </c>
      <c r="DG170" s="4">
        <f t="shared" si="724"/>
        <v>6.7370156108794408</v>
      </c>
      <c r="DH170" s="4">
        <f t="shared" si="725"/>
        <v>0.33844812875228814</v>
      </c>
      <c r="DI170" s="4">
        <f t="shared" si="726"/>
        <v>4.3678166612050413</v>
      </c>
      <c r="DJ170" s="4">
        <f t="shared" si="727"/>
        <v>5.6779223689415446</v>
      </c>
      <c r="DK170" s="4">
        <f t="shared" si="728"/>
        <v>6.4713218762920217</v>
      </c>
      <c r="DL170" s="38">
        <f t="shared" si="729"/>
        <v>326.14510720900216</v>
      </c>
      <c r="DM170" s="4" t="e">
        <f t="shared" si="730"/>
        <v>#REF!</v>
      </c>
      <c r="DN170" s="4">
        <f t="shared" si="731"/>
        <v>2.2360679774997898</v>
      </c>
      <c r="DO170" s="4">
        <f t="shared" si="732"/>
        <v>173.32742600802277</v>
      </c>
      <c r="DS170" s="4">
        <f t="shared" si="733"/>
        <v>0.85</v>
      </c>
      <c r="DT170" s="4">
        <f t="shared" si="734"/>
        <v>1</v>
      </c>
      <c r="DU170" s="4">
        <f t="shared" si="735"/>
        <v>0.99296322336398057</v>
      </c>
      <c r="DV170" s="4">
        <f t="shared" si="736"/>
        <v>0.99296322336398057</v>
      </c>
      <c r="DX170" s="4">
        <f t="shared" si="737"/>
        <v>311.946901658542</v>
      </c>
      <c r="DY170" s="25">
        <f t="shared" si="738"/>
        <v>170.46957383007376</v>
      </c>
      <c r="EB170" s="4">
        <f t="shared" si="739"/>
        <v>6.7370156108794408</v>
      </c>
      <c r="EE170" s="4">
        <f t="shared" si="740"/>
        <v>96.150923032490965</v>
      </c>
      <c r="EF170" s="4">
        <f t="shared" si="741"/>
        <v>2.2360679774997898</v>
      </c>
      <c r="EG170" s="4">
        <f t="shared" si="742"/>
        <v>0.12808407592670423</v>
      </c>
      <c r="EJ170" s="4">
        <f t="shared" si="743"/>
        <v>0.12808407592670423</v>
      </c>
      <c r="EK170" s="4">
        <f t="shared" si="744"/>
        <v>0.33788332190355697</v>
      </c>
      <c r="EL170" s="4">
        <f t="shared" si="745"/>
        <v>4.3648995714292678</v>
      </c>
      <c r="EM170" s="4">
        <f t="shared" si="746"/>
        <v>5.6768035626052171</v>
      </c>
      <c r="EN170" s="4" t="e">
        <f t="shared" si="747"/>
        <v>#REF!</v>
      </c>
      <c r="EO170" s="4" t="e">
        <f t="shared" si="748"/>
        <v>#REF!</v>
      </c>
      <c r="EP170" s="4" t="e">
        <f t="shared" si="749"/>
        <v>#REF!</v>
      </c>
      <c r="EQ170" s="4" t="e">
        <f t="shared" si="750"/>
        <v>#REF!</v>
      </c>
      <c r="ER170" s="4" t="e">
        <f t="shared" si="751"/>
        <v>#REF!</v>
      </c>
      <c r="FA170" s="23" t="e">
        <f t="shared" si="752"/>
        <v>#REF!</v>
      </c>
      <c r="FB170" s="23" t="e">
        <f t="shared" si="753"/>
        <v>#REF!</v>
      </c>
      <c r="FC170" s="23">
        <f t="shared" si="754"/>
        <v>1.6</v>
      </c>
      <c r="FD170" s="23" t="e">
        <f t="shared" si="755"/>
        <v>#REF!</v>
      </c>
      <c r="FE170" s="23">
        <f t="shared" si="756"/>
        <v>1.4</v>
      </c>
      <c r="FF170" s="23">
        <f t="shared" si="757"/>
        <v>1.4</v>
      </c>
      <c r="FG170" s="23">
        <f t="shared" si="758"/>
        <v>0</v>
      </c>
      <c r="FH170" s="23"/>
      <c r="FR170" s="4">
        <f t="shared" si="607"/>
        <v>1.25</v>
      </c>
      <c r="FS170" s="4">
        <f t="shared" si="608"/>
        <v>0.38915043257609383</v>
      </c>
      <c r="FT170" s="4">
        <f t="shared" si="609"/>
        <v>0.27345592212006492</v>
      </c>
      <c r="FU170" s="4">
        <f t="shared" si="610"/>
        <v>290.13476786494033</v>
      </c>
    </row>
    <row r="171" spans="1:177" ht="12" customHeight="1" x14ac:dyDescent="0.3">
      <c r="B171" s="24"/>
      <c r="C171" s="4" t="s">
        <v>157</v>
      </c>
      <c r="D171" s="7">
        <v>606</v>
      </c>
      <c r="E171" s="7">
        <f>7*G171</f>
        <v>301</v>
      </c>
      <c r="F171" s="7">
        <v>68.2</v>
      </c>
      <c r="G171" s="37">
        <v>43</v>
      </c>
      <c r="H171" s="7">
        <f t="shared" si="680"/>
        <v>541.79999999999995</v>
      </c>
      <c r="I171" s="7">
        <f t="shared" si="681"/>
        <v>43</v>
      </c>
      <c r="J171" s="7">
        <f t="shared" si="759"/>
        <v>56</v>
      </c>
      <c r="K171" s="7">
        <f t="shared" si="682"/>
        <v>369.8</v>
      </c>
      <c r="L171" s="7">
        <v>2</v>
      </c>
      <c r="M171" s="7">
        <f t="shared" si="683"/>
        <v>138.16666666666666</v>
      </c>
      <c r="N171" s="7">
        <f t="shared" si="684"/>
        <v>1.5</v>
      </c>
      <c r="O171" s="7">
        <f t="shared" si="685"/>
        <v>1.5</v>
      </c>
      <c r="P171" s="7">
        <f t="shared" si="676"/>
        <v>4</v>
      </c>
      <c r="Q171" s="7">
        <f t="shared" si="676"/>
        <v>4</v>
      </c>
      <c r="R171" s="7">
        <f t="shared" si="686"/>
        <v>5</v>
      </c>
      <c r="S171" s="7">
        <f t="shared" si="687"/>
        <v>96.150923032490965</v>
      </c>
      <c r="T171" s="7">
        <f t="shared" si="688"/>
        <v>606</v>
      </c>
      <c r="U171" s="7">
        <v>19</v>
      </c>
      <c r="V171" s="7">
        <f>(501+501)/2</f>
        <v>501</v>
      </c>
      <c r="W171" s="7"/>
      <c r="X171" s="4">
        <f t="shared" si="689"/>
        <v>1.3098915185197448</v>
      </c>
      <c r="Y171" s="7"/>
      <c r="Z171" s="7"/>
      <c r="AA171" s="7">
        <v>1</v>
      </c>
      <c r="AB171" s="7"/>
      <c r="AC171" s="7"/>
      <c r="AD171" s="7">
        <f t="shared" si="690"/>
        <v>2.1875</v>
      </c>
      <c r="AE171" s="4">
        <f t="shared" si="691"/>
        <v>301</v>
      </c>
      <c r="AF171" s="4">
        <f t="shared" si="692"/>
        <v>0.6</v>
      </c>
      <c r="AG171" s="4">
        <f t="shared" si="693"/>
        <v>148.48587499878823</v>
      </c>
      <c r="AH171" s="4">
        <f t="shared" si="694"/>
        <v>0.74285714285714277</v>
      </c>
      <c r="AI171" s="4">
        <v>1.25</v>
      </c>
      <c r="AJ171" s="4">
        <f t="shared" si="760"/>
        <v>2.5</v>
      </c>
      <c r="AK171" s="38">
        <f t="shared" si="761"/>
        <v>206.81961160545501</v>
      </c>
      <c r="AL171" s="38">
        <f t="shared" si="762"/>
        <v>206.81961160545501</v>
      </c>
      <c r="AM171" s="38">
        <f t="shared" si="695"/>
        <v>4.5666603795122764</v>
      </c>
      <c r="AN171" s="38">
        <f t="shared" si="640"/>
        <v>206.81961160545529</v>
      </c>
      <c r="AO171" s="38">
        <f t="shared" si="548"/>
        <v>0.99999999999999867</v>
      </c>
      <c r="AP171" s="38">
        <f t="shared" si="641"/>
        <v>1.9785357724228825</v>
      </c>
      <c r="AQ171" s="4">
        <f t="shared" si="642"/>
        <v>0</v>
      </c>
      <c r="AR171" s="4" t="e">
        <f>#REF!/G171*F171^0.5/0.19</f>
        <v>#REF!</v>
      </c>
      <c r="AS171" s="4">
        <f t="shared" si="696"/>
        <v>1</v>
      </c>
      <c r="AT171" s="38">
        <f t="shared" si="697"/>
        <v>409.20000000000005</v>
      </c>
      <c r="AU171" s="4">
        <f t="shared" si="698"/>
        <v>0.44000000000000006</v>
      </c>
      <c r="AV171" s="4" t="e">
        <f>AU171*D171*#REF!/(D171*G171/2.75/F171^0.5)</f>
        <v>#REF!</v>
      </c>
      <c r="AW171" s="4" t="e">
        <f t="shared" si="699"/>
        <v>#REF!</v>
      </c>
      <c r="AY171" s="4">
        <f t="shared" si="700"/>
        <v>1</v>
      </c>
      <c r="AZ171" s="4" t="e">
        <f>(3*#REF!+30)*AY171*F171^0.5</f>
        <v>#REF!</v>
      </c>
      <c r="BB171" s="4">
        <f t="shared" si="701"/>
        <v>392.47284189916127</v>
      </c>
      <c r="BC171" s="4">
        <f t="shared" si="702"/>
        <v>641.65616063635548</v>
      </c>
      <c r="BD171" s="4">
        <f t="shared" si="703"/>
        <v>1.6349058893639763</v>
      </c>
      <c r="BL171" s="4">
        <f t="shared" si="704"/>
        <v>43</v>
      </c>
      <c r="BP171" s="9"/>
      <c r="BR171" s="9"/>
      <c r="BS171" s="9"/>
      <c r="BT171" s="9">
        <f t="shared" si="705"/>
        <v>43</v>
      </c>
      <c r="BU171" s="9">
        <f t="shared" si="706"/>
        <v>184.9</v>
      </c>
      <c r="BV171" s="9">
        <f t="shared" si="707"/>
        <v>1.2445726940891169</v>
      </c>
      <c r="BW171" s="9">
        <v>0</v>
      </c>
      <c r="BX171" s="9">
        <f t="shared" si="708"/>
        <v>0</v>
      </c>
      <c r="BY171" s="9">
        <f t="shared" si="709"/>
        <v>0</v>
      </c>
      <c r="BZ171" s="9">
        <f t="shared" si="710"/>
        <v>0.84984840943171969</v>
      </c>
      <c r="CA171" s="9">
        <f t="shared" si="711"/>
        <v>0.84399999999999997</v>
      </c>
      <c r="CB171" s="9">
        <f t="shared" si="712"/>
        <v>2.0732140541850779</v>
      </c>
      <c r="CC171" s="9">
        <f t="shared" si="713"/>
        <v>2.5802656008405425</v>
      </c>
      <c r="CD171" s="9">
        <v>1</v>
      </c>
      <c r="CE171" s="9" t="e">
        <f>4*CC171*#REF!+60*CC171</f>
        <v>#REF!</v>
      </c>
      <c r="CG171" s="4" t="e">
        <f t="shared" si="714"/>
        <v>#REF!</v>
      </c>
      <c r="CH171" s="4" t="e">
        <f t="shared" si="715"/>
        <v>#REF!</v>
      </c>
      <c r="CI171" s="4" t="e">
        <f t="shared" si="716"/>
        <v>#REF!</v>
      </c>
      <c r="CJ171" s="4" t="e">
        <f t="shared" si="717"/>
        <v>#REF!</v>
      </c>
      <c r="CK171" s="4">
        <f t="shared" si="718"/>
        <v>1.3098915185197448</v>
      </c>
      <c r="CL171" s="4">
        <f t="shared" si="719"/>
        <v>1.3502706830387621</v>
      </c>
      <c r="CM171" s="4">
        <f t="shared" si="720"/>
        <v>2.0310855779776316</v>
      </c>
      <c r="CO171" s="4" t="e">
        <f>CG171</f>
        <v>#REF!</v>
      </c>
      <c r="CP171" s="4" t="e">
        <f>CH171</f>
        <v>#REF!</v>
      </c>
      <c r="CQ171" s="4" t="e">
        <f>CJ171</f>
        <v>#REF!</v>
      </c>
      <c r="CR171" s="4">
        <f t="shared" si="721"/>
        <v>2.0310855779776316</v>
      </c>
      <c r="CS171" s="4">
        <f>CK171</f>
        <v>1.3098915185197448</v>
      </c>
      <c r="CT171" s="4">
        <f>CL171</f>
        <v>1.3502706830387621</v>
      </c>
      <c r="DB171" s="4">
        <f t="shared" si="722"/>
        <v>0</v>
      </c>
      <c r="DC171" s="4" t="e">
        <f>#REF!</f>
        <v>#REF!</v>
      </c>
      <c r="DF171" s="4">
        <f t="shared" si="723"/>
        <v>1.5976696011144739E-5</v>
      </c>
      <c r="DG171" s="4">
        <f t="shared" si="724"/>
        <v>7.9822467373402182</v>
      </c>
      <c r="DH171" s="4">
        <f t="shared" si="725"/>
        <v>0.2836401371151141</v>
      </c>
      <c r="DI171" s="4">
        <f t="shared" si="726"/>
        <v>4.8220557004738289</v>
      </c>
      <c r="DJ171" s="4">
        <f t="shared" si="727"/>
        <v>6.5953665189642372</v>
      </c>
      <c r="DK171" s="4">
        <f t="shared" si="728"/>
        <v>7.5732980781767054</v>
      </c>
      <c r="DL171" s="38">
        <f t="shared" si="729"/>
        <v>382.47442090941985</v>
      </c>
      <c r="DM171" s="4" t="e">
        <f t="shared" si="730"/>
        <v>#REF!</v>
      </c>
      <c r="DN171" s="4">
        <f t="shared" si="731"/>
        <v>2.2360679774997898</v>
      </c>
      <c r="DO171" s="4">
        <f t="shared" si="732"/>
        <v>206.81961160545529</v>
      </c>
      <c r="DS171" s="4">
        <f t="shared" si="733"/>
        <v>0.85</v>
      </c>
      <c r="DT171" s="4">
        <f t="shared" si="734"/>
        <v>1</v>
      </c>
      <c r="DU171" s="4">
        <f t="shared" si="735"/>
        <v>1</v>
      </c>
      <c r="DV171" s="4">
        <f t="shared" si="736"/>
        <v>1</v>
      </c>
      <c r="DX171" s="4">
        <f t="shared" si="737"/>
        <v>371.03671604015551</v>
      </c>
      <c r="DY171" s="25">
        <f t="shared" si="738"/>
        <v>203.40953455601098</v>
      </c>
      <c r="EB171" s="4">
        <f t="shared" si="739"/>
        <v>7.9822467373402182</v>
      </c>
      <c r="EE171" s="4">
        <f t="shared" si="740"/>
        <v>96.150923032490965</v>
      </c>
      <c r="EF171" s="4">
        <f t="shared" si="741"/>
        <v>2.2360679774997898</v>
      </c>
      <c r="EG171" s="4">
        <f t="shared" si="742"/>
        <v>0.12808407592670423</v>
      </c>
      <c r="EJ171" s="4">
        <f t="shared" si="743"/>
        <v>0.12808407592670423</v>
      </c>
      <c r="EK171" s="4">
        <f t="shared" si="744"/>
        <v>0.28316679458960436</v>
      </c>
      <c r="EL171" s="4">
        <f t="shared" si="745"/>
        <v>4.8188352426402856</v>
      </c>
      <c r="EM171" s="4">
        <f t="shared" si="746"/>
        <v>6.5941944952946905</v>
      </c>
      <c r="EN171" s="4" t="e">
        <f t="shared" si="747"/>
        <v>#REF!</v>
      </c>
      <c r="EO171" s="4" t="e">
        <f t="shared" si="748"/>
        <v>#REF!</v>
      </c>
      <c r="EP171" s="4" t="e">
        <f t="shared" si="749"/>
        <v>#REF!</v>
      </c>
      <c r="EQ171" s="4" t="e">
        <f t="shared" si="750"/>
        <v>#REF!</v>
      </c>
      <c r="ER171" s="4" t="e">
        <f t="shared" si="751"/>
        <v>#REF!</v>
      </c>
      <c r="FA171" s="23" t="e">
        <f t="shared" si="752"/>
        <v>#REF!</v>
      </c>
      <c r="FB171" s="23" t="e">
        <f t="shared" si="753"/>
        <v>#REF!</v>
      </c>
      <c r="FC171" s="23">
        <f t="shared" si="754"/>
        <v>2.2000000000000002</v>
      </c>
      <c r="FD171" s="23" t="e">
        <f t="shared" si="755"/>
        <v>#REF!</v>
      </c>
      <c r="FE171" s="23">
        <f t="shared" si="756"/>
        <v>1.4</v>
      </c>
      <c r="FF171" s="23">
        <f t="shared" si="757"/>
        <v>1.4</v>
      </c>
      <c r="FG171" s="23">
        <f t="shared" si="758"/>
        <v>0</v>
      </c>
      <c r="FH171" s="23"/>
      <c r="FR171" s="4">
        <f t="shared" si="607"/>
        <v>1.25</v>
      </c>
      <c r="FS171" s="4">
        <f t="shared" si="608"/>
        <v>0.5</v>
      </c>
      <c r="FT171" s="4">
        <f t="shared" si="609"/>
        <v>0</v>
      </c>
      <c r="FU171" s="4">
        <f t="shared" si="610"/>
        <v>246.6661205377913</v>
      </c>
    </row>
    <row r="172" spans="1:177" ht="12" customHeight="1" x14ac:dyDescent="0.3">
      <c r="B172" s="24"/>
      <c r="C172" s="4" t="s">
        <v>158</v>
      </c>
      <c r="D172" s="7">
        <v>606</v>
      </c>
      <c r="E172" s="7">
        <f>10*G172</f>
        <v>430</v>
      </c>
      <c r="F172" s="7">
        <v>52.2</v>
      </c>
      <c r="G172" s="37">
        <v>43</v>
      </c>
      <c r="H172" s="7">
        <f t="shared" si="680"/>
        <v>541.79999999999995</v>
      </c>
      <c r="I172" s="7">
        <f t="shared" si="681"/>
        <v>43</v>
      </c>
      <c r="J172" s="7">
        <f t="shared" si="759"/>
        <v>56</v>
      </c>
      <c r="K172" s="7">
        <f t="shared" si="682"/>
        <v>369.8</v>
      </c>
      <c r="L172" s="7">
        <v>2</v>
      </c>
      <c r="M172" s="7">
        <f t="shared" si="683"/>
        <v>224.16666666666663</v>
      </c>
      <c r="N172" s="7">
        <f t="shared" si="684"/>
        <v>1.5</v>
      </c>
      <c r="O172" s="7">
        <f t="shared" si="685"/>
        <v>1.5</v>
      </c>
      <c r="P172" s="7">
        <f t="shared" si="676"/>
        <v>4</v>
      </c>
      <c r="Q172" s="7">
        <f t="shared" si="676"/>
        <v>4</v>
      </c>
      <c r="R172" s="7">
        <f t="shared" si="686"/>
        <v>5</v>
      </c>
      <c r="S172" s="7">
        <f t="shared" si="687"/>
        <v>96.150923032490965</v>
      </c>
      <c r="T172" s="7">
        <f t="shared" si="688"/>
        <v>606</v>
      </c>
      <c r="U172" s="7">
        <v>19</v>
      </c>
      <c r="V172" s="7">
        <f>(437+437)/2</f>
        <v>437</v>
      </c>
      <c r="W172" s="7"/>
      <c r="X172" s="4">
        <f t="shared" si="689"/>
        <v>0.98353055359065744</v>
      </c>
      <c r="Y172" s="7"/>
      <c r="Z172" s="7"/>
      <c r="AA172" s="7">
        <v>1</v>
      </c>
      <c r="AB172" s="7"/>
      <c r="AC172" s="7"/>
      <c r="AD172" s="7">
        <f t="shared" si="690"/>
        <v>3.125</v>
      </c>
      <c r="AE172" s="4">
        <f t="shared" si="691"/>
        <v>430</v>
      </c>
      <c r="AF172" s="4">
        <f t="shared" si="692"/>
        <v>0.41999999999999993</v>
      </c>
      <c r="AG172" s="4">
        <f t="shared" si="693"/>
        <v>221.8100126942922</v>
      </c>
      <c r="AH172" s="4">
        <f t="shared" si="694"/>
        <v>0.73</v>
      </c>
      <c r="AI172" s="4">
        <v>1.25</v>
      </c>
      <c r="AJ172" s="4">
        <f t="shared" si="760"/>
        <v>2.5</v>
      </c>
      <c r="AK172" s="38">
        <f t="shared" si="761"/>
        <v>212.52171841271866</v>
      </c>
      <c r="AL172" s="38">
        <f t="shared" si="762"/>
        <v>212.52171841271866</v>
      </c>
      <c r="AM172" s="38">
        <f t="shared" si="695"/>
        <v>4.1313780222399661</v>
      </c>
      <c r="AN172" s="38">
        <f t="shared" si="640"/>
        <v>212.52171841271891</v>
      </c>
      <c r="AO172" s="38">
        <f t="shared" si="548"/>
        <v>0.99999999999999878</v>
      </c>
      <c r="AP172" s="38">
        <f t="shared" si="641"/>
        <v>1.4737317312283496</v>
      </c>
      <c r="AQ172" s="4">
        <f t="shared" si="642"/>
        <v>0</v>
      </c>
      <c r="AR172" s="4" t="e">
        <f>#REF!/G172*F172^0.5/0.19</f>
        <v>#REF!</v>
      </c>
      <c r="AS172" s="4">
        <f t="shared" si="696"/>
        <v>1</v>
      </c>
      <c r="AT172" s="38">
        <f t="shared" si="697"/>
        <v>313.20000000000005</v>
      </c>
      <c r="AU172" s="4">
        <f t="shared" si="698"/>
        <v>0.44000000000000006</v>
      </c>
      <c r="AV172" s="4" t="e">
        <f>AU172*D172*#REF!/(D172*G172/2.75/F172^0.5)</f>
        <v>#REF!</v>
      </c>
      <c r="AW172" s="4" t="e">
        <f t="shared" si="699"/>
        <v>#REF!</v>
      </c>
      <c r="AY172" s="4">
        <f t="shared" si="700"/>
        <v>1</v>
      </c>
      <c r="AZ172" s="4" t="e">
        <f>(3*#REF!+30)*AY172*F172^0.5</f>
        <v>#REF!</v>
      </c>
      <c r="BB172" s="4">
        <f t="shared" si="701"/>
        <v>300.39710186416738</v>
      </c>
      <c r="BC172" s="4">
        <f t="shared" si="702"/>
        <v>641.65616063635548</v>
      </c>
      <c r="BD172" s="4">
        <f t="shared" si="703"/>
        <v>2.1360264684793715</v>
      </c>
      <c r="BL172" s="4">
        <f t="shared" si="704"/>
        <v>43</v>
      </c>
      <c r="BP172" s="9"/>
      <c r="BR172" s="9"/>
      <c r="BS172" s="9"/>
      <c r="BT172" s="9">
        <f t="shared" si="705"/>
        <v>43</v>
      </c>
      <c r="BU172" s="9">
        <f t="shared" si="706"/>
        <v>184.9</v>
      </c>
      <c r="BV172" s="9">
        <f t="shared" si="707"/>
        <v>1.2445726940891169</v>
      </c>
      <c r="BW172" s="9">
        <v>0</v>
      </c>
      <c r="BX172" s="9">
        <f t="shared" si="708"/>
        <v>0</v>
      </c>
      <c r="BY172" s="9">
        <f t="shared" si="709"/>
        <v>0</v>
      </c>
      <c r="BZ172" s="9">
        <f t="shared" si="710"/>
        <v>0.84984840943171969</v>
      </c>
      <c r="CA172" s="9">
        <f t="shared" si="711"/>
        <v>0.84399999999999997</v>
      </c>
      <c r="CB172" s="9">
        <f t="shared" si="712"/>
        <v>1.8137908571660144</v>
      </c>
      <c r="CC172" s="9">
        <f t="shared" si="713"/>
        <v>2.2573945736173151</v>
      </c>
      <c r="CD172" s="9">
        <v>1</v>
      </c>
      <c r="CE172" s="9" t="e">
        <f>4*CC172*#REF!+60*CC172</f>
        <v>#REF!</v>
      </c>
      <c r="CG172" s="4" t="e">
        <f t="shared" si="714"/>
        <v>#REF!</v>
      </c>
      <c r="CH172" s="4" t="e">
        <f t="shared" si="715"/>
        <v>#REF!</v>
      </c>
      <c r="CI172" s="4" t="e">
        <f t="shared" si="716"/>
        <v>#REF!</v>
      </c>
      <c r="CJ172" s="4" t="e">
        <f t="shared" si="717"/>
        <v>#REF!</v>
      </c>
      <c r="CK172" s="4">
        <f t="shared" si="718"/>
        <v>0.98353055359065744</v>
      </c>
      <c r="CL172" s="4">
        <f t="shared" si="719"/>
        <v>1.0412218156152346</v>
      </c>
      <c r="CM172" s="4">
        <f t="shared" si="720"/>
        <v>1.3258623595815355</v>
      </c>
      <c r="CO172" s="4" t="e">
        <f>CG172</f>
        <v>#REF!</v>
      </c>
      <c r="CP172" s="4" t="e">
        <f>CH172</f>
        <v>#REF!</v>
      </c>
      <c r="CQ172" s="4" t="e">
        <f>CJ172</f>
        <v>#REF!</v>
      </c>
      <c r="CR172" s="4">
        <f t="shared" si="721"/>
        <v>1.3258623595815355</v>
      </c>
      <c r="CS172" s="4">
        <f>CK172</f>
        <v>0.98353055359065744</v>
      </c>
      <c r="CT172" s="4">
        <f>CL172</f>
        <v>1.0412218156152346</v>
      </c>
      <c r="DB172" s="4">
        <f t="shared" si="722"/>
        <v>0</v>
      </c>
      <c r="DC172" s="4" t="e">
        <f>#REF!</f>
        <v>#REF!</v>
      </c>
      <c r="DF172" s="4">
        <f t="shared" si="723"/>
        <v>2.068602055294326E-5</v>
      </c>
      <c r="DG172" s="4">
        <f t="shared" si="724"/>
        <v>6.9834208014386041</v>
      </c>
      <c r="DH172" s="4">
        <f t="shared" si="725"/>
        <v>0.38079668496343849</v>
      </c>
      <c r="DI172" s="4">
        <f t="shared" si="726"/>
        <v>4.7461938887450668</v>
      </c>
      <c r="DJ172" s="4">
        <f t="shared" si="727"/>
        <v>5.9709050746754713</v>
      </c>
      <c r="DK172" s="4">
        <f t="shared" si="728"/>
        <v>6.3622945193921439</v>
      </c>
      <c r="DL172" s="38">
        <f t="shared" si="729"/>
        <v>444.31766598872548</v>
      </c>
      <c r="DM172" s="4" t="e">
        <f t="shared" si="730"/>
        <v>#REF!</v>
      </c>
      <c r="DN172" s="4">
        <f t="shared" si="731"/>
        <v>2.2360679774997898</v>
      </c>
      <c r="DO172" s="4">
        <f t="shared" si="732"/>
        <v>212.52171841271891</v>
      </c>
      <c r="DS172" s="4">
        <f t="shared" si="733"/>
        <v>0.85</v>
      </c>
      <c r="DT172" s="4">
        <f t="shared" si="734"/>
        <v>1</v>
      </c>
      <c r="DU172" s="4">
        <f t="shared" si="735"/>
        <v>1</v>
      </c>
      <c r="DV172" s="4">
        <f t="shared" si="736"/>
        <v>1</v>
      </c>
      <c r="DX172" s="4">
        <f t="shared" si="737"/>
        <v>419.69923550034969</v>
      </c>
      <c r="DY172" s="25">
        <f t="shared" si="738"/>
        <v>210.19661145719158</v>
      </c>
      <c r="EB172" s="4">
        <f t="shared" si="739"/>
        <v>6.9834208014386041</v>
      </c>
      <c r="EE172" s="4">
        <f t="shared" si="740"/>
        <v>96.150923032490965</v>
      </c>
      <c r="EF172" s="4">
        <f t="shared" si="741"/>
        <v>2.2360679774997898</v>
      </c>
      <c r="EG172" s="4">
        <f t="shared" si="742"/>
        <v>0.15044012162558293</v>
      </c>
      <c r="EJ172" s="4">
        <f t="shared" si="743"/>
        <v>0.15044012162558293</v>
      </c>
      <c r="EK172" s="4">
        <f t="shared" si="744"/>
        <v>0.38016120626708905</v>
      </c>
      <c r="EL172" s="4">
        <f t="shared" si="745"/>
        <v>4.7430240959765975</v>
      </c>
      <c r="EM172" s="4">
        <f t="shared" si="746"/>
        <v>5.9696478367042616</v>
      </c>
      <c r="EN172" s="4" t="e">
        <f t="shared" si="747"/>
        <v>#REF!</v>
      </c>
      <c r="EO172" s="4" t="e">
        <f t="shared" si="748"/>
        <v>#REF!</v>
      </c>
      <c r="EP172" s="4" t="e">
        <f t="shared" si="749"/>
        <v>#REF!</v>
      </c>
      <c r="EQ172" s="4" t="e">
        <f t="shared" si="750"/>
        <v>#REF!</v>
      </c>
      <c r="ER172" s="4" t="e">
        <f t="shared" si="751"/>
        <v>#REF!</v>
      </c>
      <c r="FA172" s="23" t="e">
        <f t="shared" si="752"/>
        <v>#REF!</v>
      </c>
      <c r="FB172" s="23" t="e">
        <f t="shared" si="753"/>
        <v>#REF!</v>
      </c>
      <c r="FC172" s="23">
        <f t="shared" si="754"/>
        <v>1.4</v>
      </c>
      <c r="FD172" s="23" t="e">
        <f t="shared" si="755"/>
        <v>#REF!</v>
      </c>
      <c r="FE172" s="23">
        <f t="shared" si="756"/>
        <v>1</v>
      </c>
      <c r="FF172" s="23">
        <f t="shared" si="757"/>
        <v>1.2</v>
      </c>
      <c r="FG172" s="23">
        <f t="shared" si="758"/>
        <v>0</v>
      </c>
      <c r="FH172" s="23"/>
      <c r="FR172" s="4">
        <f t="shared" si="607"/>
        <v>1.25</v>
      </c>
      <c r="FS172" s="4">
        <f t="shared" si="608"/>
        <v>0.5</v>
      </c>
      <c r="FT172" s="4">
        <f t="shared" si="609"/>
        <v>0</v>
      </c>
      <c r="FU172" s="4">
        <f t="shared" si="610"/>
        <v>329.59680681931764</v>
      </c>
    </row>
    <row r="173" spans="1:177" ht="12" customHeight="1" x14ac:dyDescent="0.3">
      <c r="B173" s="24"/>
      <c r="C173" s="4" t="s">
        <v>181</v>
      </c>
      <c r="D173" s="7">
        <v>606</v>
      </c>
      <c r="E173" s="7">
        <f t="shared" ref="E173:E174" si="764">10*G173</f>
        <v>430</v>
      </c>
      <c r="F173" s="7">
        <v>52.2</v>
      </c>
      <c r="G173" s="37">
        <v>43</v>
      </c>
      <c r="H173" s="7">
        <f t="shared" si="680"/>
        <v>541.79999999999995</v>
      </c>
      <c r="I173" s="7">
        <f t="shared" si="681"/>
        <v>43</v>
      </c>
      <c r="J173" s="7">
        <f t="shared" si="759"/>
        <v>56</v>
      </c>
      <c r="K173" s="7">
        <f t="shared" si="682"/>
        <v>369.8</v>
      </c>
      <c r="L173" s="7">
        <v>2</v>
      </c>
      <c r="M173" s="7">
        <f t="shared" si="683"/>
        <v>224.16666666666663</v>
      </c>
      <c r="N173" s="7">
        <f t="shared" si="684"/>
        <v>1.5</v>
      </c>
      <c r="O173" s="7">
        <f t="shared" si="685"/>
        <v>1.5</v>
      </c>
      <c r="P173" s="7">
        <f t="shared" si="676"/>
        <v>4</v>
      </c>
      <c r="Q173" s="7">
        <f t="shared" si="676"/>
        <v>4</v>
      </c>
      <c r="R173" s="7">
        <f t="shared" si="686"/>
        <v>5</v>
      </c>
      <c r="S173" s="7">
        <f t="shared" si="687"/>
        <v>96.150923032490965</v>
      </c>
      <c r="T173" s="7">
        <f t="shared" si="688"/>
        <v>606</v>
      </c>
      <c r="U173" s="7">
        <v>19</v>
      </c>
      <c r="V173" s="7">
        <f>(489+498)/2</f>
        <v>493.5</v>
      </c>
      <c r="W173" s="7"/>
      <c r="X173" s="4">
        <f t="shared" si="689"/>
        <v>1.1067090057702911</v>
      </c>
      <c r="Y173" s="7">
        <v>15.9</v>
      </c>
      <c r="Z173" s="7">
        <v>1</v>
      </c>
      <c r="AA173" s="7">
        <v>370</v>
      </c>
      <c r="AB173" s="7">
        <v>2</v>
      </c>
      <c r="AC173" s="7">
        <f>Z173</f>
        <v>1</v>
      </c>
      <c r="AD173" s="7">
        <f t="shared" si="690"/>
        <v>3.125</v>
      </c>
      <c r="AE173" s="4">
        <f t="shared" si="691"/>
        <v>430</v>
      </c>
      <c r="AF173" s="4">
        <f t="shared" si="692"/>
        <v>0.41999999999999993</v>
      </c>
      <c r="AG173" s="4">
        <f t="shared" si="693"/>
        <v>221.8100126942922</v>
      </c>
      <c r="AH173" s="4">
        <f t="shared" si="694"/>
        <v>0.73</v>
      </c>
      <c r="AI173" s="4">
        <v>1.25</v>
      </c>
      <c r="AJ173" s="4">
        <f t="shared" si="760"/>
        <v>2.5</v>
      </c>
      <c r="AK173" s="38">
        <f t="shared" si="761"/>
        <v>212.52171841271866</v>
      </c>
      <c r="AL173" s="38">
        <f t="shared" si="762"/>
        <v>212.52171841271866</v>
      </c>
      <c r="AM173" s="38">
        <f t="shared" si="695"/>
        <v>4.1313780222399661</v>
      </c>
      <c r="AN173" s="38">
        <f t="shared" si="640"/>
        <v>212.52171841271891</v>
      </c>
      <c r="AO173" s="38">
        <f t="shared" si="548"/>
        <v>0.99999999999999878</v>
      </c>
      <c r="AP173" s="38">
        <f t="shared" si="641"/>
        <v>1.4737317312283496</v>
      </c>
      <c r="AQ173" s="4">
        <f t="shared" si="642"/>
        <v>0</v>
      </c>
      <c r="AR173" s="4" t="e">
        <f>#REF!/G173*F173^0.5/0.19</f>
        <v>#REF!</v>
      </c>
      <c r="AS173" s="4">
        <f t="shared" si="696"/>
        <v>1</v>
      </c>
      <c r="AT173" s="38">
        <f t="shared" si="697"/>
        <v>313.20000000000005</v>
      </c>
      <c r="AU173" s="4">
        <f t="shared" si="698"/>
        <v>0.44000000000000006</v>
      </c>
      <c r="AV173" s="4" t="e">
        <f>AU173*D173*#REF!/(D173*G173/2.75/F173^0.5)</f>
        <v>#REF!</v>
      </c>
      <c r="AW173" s="4" t="e">
        <f t="shared" si="699"/>
        <v>#REF!</v>
      </c>
      <c r="AY173" s="4">
        <f t="shared" si="700"/>
        <v>1.1996797080462691</v>
      </c>
      <c r="AZ173" s="4" t="e">
        <f>(3*#REF!+30)*AY173*F173^0.5</f>
        <v>#REF!</v>
      </c>
      <c r="BB173" s="4">
        <f t="shared" si="701"/>
        <v>300.39710186416738</v>
      </c>
      <c r="BC173" s="4">
        <f t="shared" si="702"/>
        <v>641.65616063635548</v>
      </c>
      <c r="BD173" s="4">
        <f t="shared" si="703"/>
        <v>2.1360264684793715</v>
      </c>
      <c r="BL173" s="4">
        <f t="shared" si="704"/>
        <v>43</v>
      </c>
      <c r="BP173" s="9"/>
      <c r="BR173" s="9"/>
      <c r="BS173" s="9"/>
      <c r="BT173" s="9">
        <f t="shared" si="705"/>
        <v>43</v>
      </c>
      <c r="BU173" s="9">
        <f t="shared" si="706"/>
        <v>184.9</v>
      </c>
      <c r="BV173" s="9">
        <f t="shared" si="707"/>
        <v>1.2445726940891169</v>
      </c>
      <c r="BW173" s="9">
        <v>20</v>
      </c>
      <c r="BX173" s="9">
        <f t="shared" si="708"/>
        <v>1.2479981752891823E-2</v>
      </c>
      <c r="BY173" s="9">
        <f t="shared" si="709"/>
        <v>4.9599635057836454E-2</v>
      </c>
      <c r="BZ173" s="9">
        <f t="shared" si="710"/>
        <v>0.84984840943171969</v>
      </c>
      <c r="CA173" s="9">
        <f t="shared" si="711"/>
        <v>0.84399999999999997</v>
      </c>
      <c r="CB173" s="9">
        <f t="shared" si="712"/>
        <v>1.8137908571660144</v>
      </c>
      <c r="CC173" s="9">
        <f t="shared" si="713"/>
        <v>2.3473579382039897</v>
      </c>
      <c r="CD173" s="9">
        <v>1</v>
      </c>
      <c r="CE173" s="9" t="e">
        <f>4*CC173*#REF!+60*CC173</f>
        <v>#REF!</v>
      </c>
      <c r="CG173" s="4" t="e">
        <f t="shared" si="714"/>
        <v>#REF!</v>
      </c>
      <c r="CH173" s="4" t="e">
        <f t="shared" si="715"/>
        <v>#REF!</v>
      </c>
      <c r="CI173" s="4" t="e">
        <f t="shared" si="716"/>
        <v>#REF!</v>
      </c>
      <c r="CJ173" s="4" t="e">
        <f t="shared" si="717"/>
        <v>#REF!</v>
      </c>
      <c r="CK173" s="4">
        <f t="shared" si="718"/>
        <v>1.1067090057702911</v>
      </c>
      <c r="CL173" s="4">
        <f t="shared" si="719"/>
        <v>1.1716971921552939</v>
      </c>
      <c r="CM173" s="4">
        <f t="shared" si="720"/>
        <v>1.1653373728318932</v>
      </c>
      <c r="CU173" s="4" t="e">
        <f>CG173</f>
        <v>#REF!</v>
      </c>
      <c r="CV173" s="4" t="e">
        <f>CH173</f>
        <v>#REF!</v>
      </c>
      <c r="CW173" s="4" t="e">
        <f>CJ173</f>
        <v>#REF!</v>
      </c>
      <c r="CX173" s="4">
        <f t="shared" ref="CX173" si="765">CM173</f>
        <v>1.1653373728318932</v>
      </c>
      <c r="CY173" s="4">
        <f>CK173</f>
        <v>1.1067090057702911</v>
      </c>
      <c r="CZ173" s="4">
        <f>CL173</f>
        <v>1.1716971921552939</v>
      </c>
      <c r="DB173" s="4">
        <f t="shared" si="722"/>
        <v>1</v>
      </c>
      <c r="DC173" s="4" t="e">
        <f>#REF!</f>
        <v>#REF!</v>
      </c>
      <c r="DF173" s="4">
        <f t="shared" si="723"/>
        <v>2.068602055294326E-5</v>
      </c>
      <c r="DG173" s="4">
        <f t="shared" si="724"/>
        <v>7.0329098169215492</v>
      </c>
      <c r="DH173" s="4">
        <f t="shared" si="725"/>
        <v>0.38079668496343849</v>
      </c>
      <c r="DI173" s="4">
        <f t="shared" si="726"/>
        <v>4.7798284740756225</v>
      </c>
      <c r="DJ173" s="4">
        <f t="shared" si="727"/>
        <v>6.0132187518960869</v>
      </c>
      <c r="DK173" s="4">
        <f t="shared" si="728"/>
        <v>6.403017200513113</v>
      </c>
      <c r="DL173" s="38">
        <f t="shared" si="729"/>
        <v>445.91667495875697</v>
      </c>
      <c r="DM173" s="4" t="e">
        <f t="shared" si="730"/>
        <v>#REF!</v>
      </c>
      <c r="DN173" s="4">
        <f t="shared" si="731"/>
        <v>2.2360679774997898</v>
      </c>
      <c r="DO173" s="4">
        <f t="shared" si="732"/>
        <v>212.52171841271891</v>
      </c>
      <c r="DS173" s="4">
        <f t="shared" si="733"/>
        <v>0.85</v>
      </c>
      <c r="DT173" s="4">
        <f t="shared" si="734"/>
        <v>1</v>
      </c>
      <c r="DU173" s="4">
        <f t="shared" si="735"/>
        <v>0.99296322336398057</v>
      </c>
      <c r="DV173" s="4">
        <f t="shared" si="736"/>
        <v>0.99296322336398057</v>
      </c>
      <c r="DX173" s="4">
        <f t="shared" si="737"/>
        <v>421.183905964838</v>
      </c>
      <c r="DY173" s="25">
        <f t="shared" si="738"/>
        <v>210.19661145719158</v>
      </c>
      <c r="EB173" s="4">
        <f t="shared" si="739"/>
        <v>7.0329098169215492</v>
      </c>
      <c r="EE173" s="4">
        <f t="shared" si="740"/>
        <v>96.150923032490965</v>
      </c>
      <c r="EF173" s="4">
        <f t="shared" si="741"/>
        <v>2.2360679774997898</v>
      </c>
      <c r="EG173" s="4">
        <f t="shared" si="742"/>
        <v>0.15044012162558293</v>
      </c>
      <c r="EJ173" s="4">
        <f t="shared" si="743"/>
        <v>0.15044012162558293</v>
      </c>
      <c r="EK173" s="4">
        <f t="shared" si="744"/>
        <v>0.38016120626708905</v>
      </c>
      <c r="EL173" s="4">
        <f t="shared" si="745"/>
        <v>4.7766362181149926</v>
      </c>
      <c r="EM173" s="4">
        <f t="shared" si="746"/>
        <v>6.0119526043272469</v>
      </c>
      <c r="EN173" s="4" t="e">
        <f t="shared" si="747"/>
        <v>#REF!</v>
      </c>
      <c r="EO173" s="4" t="e">
        <f t="shared" si="748"/>
        <v>#REF!</v>
      </c>
      <c r="EP173" s="4" t="e">
        <f t="shared" si="749"/>
        <v>#REF!</v>
      </c>
      <c r="EQ173" s="4" t="e">
        <f t="shared" si="750"/>
        <v>#REF!</v>
      </c>
      <c r="ER173" s="4" t="e">
        <f t="shared" si="751"/>
        <v>#REF!</v>
      </c>
      <c r="FA173" s="23" t="e">
        <f t="shared" si="752"/>
        <v>#REF!</v>
      </c>
      <c r="FB173" s="23" t="e">
        <f t="shared" si="753"/>
        <v>#REF!</v>
      </c>
      <c r="FC173" s="23">
        <f t="shared" si="754"/>
        <v>1.2</v>
      </c>
      <c r="FD173" s="23" t="e">
        <f t="shared" si="755"/>
        <v>#REF!</v>
      </c>
      <c r="FE173" s="23">
        <f t="shared" si="756"/>
        <v>1.2</v>
      </c>
      <c r="FF173" s="23">
        <f t="shared" si="757"/>
        <v>1.2</v>
      </c>
      <c r="FG173" s="23">
        <f t="shared" si="758"/>
        <v>0</v>
      </c>
      <c r="FH173" s="23"/>
      <c r="FR173" s="4">
        <f t="shared" si="607"/>
        <v>1.25</v>
      </c>
      <c r="FS173" s="4">
        <f t="shared" si="608"/>
        <v>0.38915043257609383</v>
      </c>
      <c r="FT173" s="4">
        <f t="shared" si="609"/>
        <v>0.27345592212006492</v>
      </c>
      <c r="FU173" s="4">
        <f t="shared" si="610"/>
        <v>423.48251373826855</v>
      </c>
    </row>
    <row r="174" spans="1:177" ht="12" customHeight="1" x14ac:dyDescent="0.3">
      <c r="B174" s="24"/>
      <c r="C174" s="4" t="s">
        <v>159</v>
      </c>
      <c r="D174" s="7">
        <v>606</v>
      </c>
      <c r="E174" s="7">
        <f t="shared" si="764"/>
        <v>430</v>
      </c>
      <c r="F174" s="7">
        <v>81.2</v>
      </c>
      <c r="G174" s="37">
        <v>43</v>
      </c>
      <c r="H174" s="7">
        <f t="shared" si="680"/>
        <v>541.79999999999995</v>
      </c>
      <c r="I174" s="7">
        <f t="shared" si="681"/>
        <v>43</v>
      </c>
      <c r="J174" s="7">
        <f t="shared" si="759"/>
        <v>56</v>
      </c>
      <c r="K174" s="7">
        <f t="shared" si="682"/>
        <v>369.8</v>
      </c>
      <c r="L174" s="7">
        <v>2</v>
      </c>
      <c r="M174" s="7">
        <f t="shared" si="683"/>
        <v>224.16666666666663</v>
      </c>
      <c r="N174" s="7">
        <f t="shared" si="684"/>
        <v>1.5</v>
      </c>
      <c r="O174" s="7">
        <f t="shared" si="685"/>
        <v>1.5</v>
      </c>
      <c r="P174" s="7">
        <f t="shared" si="676"/>
        <v>4</v>
      </c>
      <c r="Q174" s="7">
        <f t="shared" si="676"/>
        <v>4</v>
      </c>
      <c r="R174" s="7">
        <f t="shared" si="686"/>
        <v>5</v>
      </c>
      <c r="S174" s="7">
        <f t="shared" si="687"/>
        <v>96.150923032490965</v>
      </c>
      <c r="T174" s="7">
        <f t="shared" si="688"/>
        <v>606</v>
      </c>
      <c r="U174" s="7">
        <v>19</v>
      </c>
      <c r="V174" s="7">
        <f>(595+590)/2</f>
        <v>592.5</v>
      </c>
      <c r="W174" s="7"/>
      <c r="X174" s="4">
        <f t="shared" si="689"/>
        <v>1.0925318620009352</v>
      </c>
      <c r="Y174" s="7"/>
      <c r="Z174" s="7"/>
      <c r="AA174" s="7">
        <v>1</v>
      </c>
      <c r="AB174" s="7"/>
      <c r="AC174" s="7"/>
      <c r="AD174" s="7">
        <f t="shared" si="690"/>
        <v>3.125</v>
      </c>
      <c r="AE174" s="4">
        <f t="shared" si="691"/>
        <v>430</v>
      </c>
      <c r="AF174" s="4">
        <f t="shared" si="692"/>
        <v>0.41999999999999993</v>
      </c>
      <c r="AG174" s="4">
        <f t="shared" si="693"/>
        <v>276.64569081934007</v>
      </c>
      <c r="AH174" s="4">
        <f t="shared" si="694"/>
        <v>0.73</v>
      </c>
      <c r="AI174" s="4">
        <v>1.25</v>
      </c>
      <c r="AJ174" s="4">
        <f t="shared" si="760"/>
        <v>2.5</v>
      </c>
      <c r="AK174" s="38">
        <f t="shared" si="761"/>
        <v>265.06115251628017</v>
      </c>
      <c r="AL174" s="38">
        <f t="shared" si="762"/>
        <v>265.06115251628017</v>
      </c>
      <c r="AM174" s="38">
        <f t="shared" si="695"/>
        <v>4.8644521931491767</v>
      </c>
      <c r="AN174" s="38">
        <f t="shared" si="640"/>
        <v>265.0611525162804</v>
      </c>
      <c r="AO174" s="38">
        <f t="shared" si="548"/>
        <v>0.99999999999999911</v>
      </c>
      <c r="AP174" s="38">
        <f t="shared" si="641"/>
        <v>1.8380664060912344</v>
      </c>
      <c r="AQ174" s="4">
        <f t="shared" si="642"/>
        <v>0</v>
      </c>
      <c r="AR174" s="4" t="e">
        <f>#REF!/G174*F174^0.5/0.19</f>
        <v>#REF!</v>
      </c>
      <c r="AS174" s="4">
        <f t="shared" si="696"/>
        <v>1</v>
      </c>
      <c r="AT174" s="38">
        <f t="shared" si="697"/>
        <v>487.20000000000005</v>
      </c>
      <c r="AU174" s="4">
        <f t="shared" si="698"/>
        <v>0.44000000000000006</v>
      </c>
      <c r="AV174" s="4" t="e">
        <f>AU174*D174*#REF!/(D174*G174/2.75/F174^0.5)</f>
        <v>#REF!</v>
      </c>
      <c r="AW174" s="4" t="e">
        <f t="shared" si="699"/>
        <v>#REF!</v>
      </c>
      <c r="AY174" s="4">
        <f t="shared" si="700"/>
        <v>1</v>
      </c>
      <c r="AZ174" s="4" t="e">
        <f>(3*#REF!+30)*AY174*F174^0.5</f>
        <v>#REF!</v>
      </c>
      <c r="BB174" s="4">
        <f t="shared" si="701"/>
        <v>467.28438067759373</v>
      </c>
      <c r="BC174" s="4">
        <f t="shared" si="702"/>
        <v>641.65616063635548</v>
      </c>
      <c r="BD174" s="4">
        <f t="shared" si="703"/>
        <v>1.3731598725938816</v>
      </c>
      <c r="BL174" s="4">
        <f t="shared" si="704"/>
        <v>43</v>
      </c>
      <c r="BP174" s="9"/>
      <c r="BR174" s="9"/>
      <c r="BS174" s="9"/>
      <c r="BT174" s="9">
        <f t="shared" si="705"/>
        <v>43</v>
      </c>
      <c r="BU174" s="9">
        <f t="shared" si="706"/>
        <v>184.9</v>
      </c>
      <c r="BV174" s="9">
        <f t="shared" si="707"/>
        <v>1.2445726940891169</v>
      </c>
      <c r="BW174" s="9">
        <v>0</v>
      </c>
      <c r="BX174" s="9">
        <f t="shared" si="708"/>
        <v>0</v>
      </c>
      <c r="BY174" s="9">
        <f t="shared" si="709"/>
        <v>0</v>
      </c>
      <c r="BZ174" s="9">
        <f t="shared" si="710"/>
        <v>0.84984840943171969</v>
      </c>
      <c r="CA174" s="9">
        <f t="shared" si="711"/>
        <v>0.84399999999999997</v>
      </c>
      <c r="CB174" s="9">
        <f t="shared" si="712"/>
        <v>2.2621946529260857</v>
      </c>
      <c r="CC174" s="9">
        <f t="shared" si="713"/>
        <v>2.815465693746213</v>
      </c>
      <c r="CD174" s="9">
        <v>1</v>
      </c>
      <c r="CE174" s="9" t="e">
        <f>4*CC174*#REF!+60*CC174</f>
        <v>#REF!</v>
      </c>
      <c r="CG174" s="4" t="e">
        <f t="shared" si="714"/>
        <v>#REF!</v>
      </c>
      <c r="CH174" s="4" t="e">
        <f t="shared" si="715"/>
        <v>#REF!</v>
      </c>
      <c r="CI174" s="4" t="e">
        <f t="shared" si="716"/>
        <v>#REF!</v>
      </c>
      <c r="CJ174" s="4" t="e">
        <f t="shared" si="717"/>
        <v>#REF!</v>
      </c>
      <c r="CK174" s="4">
        <f t="shared" si="718"/>
        <v>1.0925318620009352</v>
      </c>
      <c r="CL174" s="4">
        <f t="shared" si="719"/>
        <v>1.131898315070766</v>
      </c>
      <c r="CM174" s="4">
        <f t="shared" si="720"/>
        <v>1.6096593536070971</v>
      </c>
      <c r="CO174" s="4" t="e">
        <f t="shared" ref="CO174:CP176" si="766">CG174</f>
        <v>#REF!</v>
      </c>
      <c r="CP174" s="4" t="e">
        <f t="shared" si="766"/>
        <v>#REF!</v>
      </c>
      <c r="CQ174" s="4" t="e">
        <f>CJ174</f>
        <v>#REF!</v>
      </c>
      <c r="CR174" s="4">
        <f t="shared" si="721"/>
        <v>1.6096593536070971</v>
      </c>
      <c r="CS174" s="4">
        <f t="shared" ref="CS174:CT176" si="767">CK174</f>
        <v>1.0925318620009352</v>
      </c>
      <c r="CT174" s="4">
        <f t="shared" si="767"/>
        <v>1.131898315070766</v>
      </c>
      <c r="DB174" s="4">
        <f t="shared" si="722"/>
        <v>0</v>
      </c>
      <c r="DC174" s="4" t="e">
        <f>#REF!</f>
        <v>#REF!</v>
      </c>
      <c r="DF174" s="4">
        <f t="shared" si="723"/>
        <v>2.4682021866243434E-5</v>
      </c>
      <c r="DG174" s="4">
        <f t="shared" si="724"/>
        <v>8.7098560088845165</v>
      </c>
      <c r="DH174" s="4">
        <f t="shared" si="725"/>
        <v>0.30531658481838836</v>
      </c>
      <c r="DI174" s="4">
        <f t="shared" si="726"/>
        <v>5.4188999627402126</v>
      </c>
      <c r="DJ174" s="4">
        <f t="shared" si="727"/>
        <v>7.2544617597434549</v>
      </c>
      <c r="DK174" s="4">
        <f t="shared" si="728"/>
        <v>7.6041038286671467</v>
      </c>
      <c r="DL174" s="38">
        <f t="shared" si="729"/>
        <v>542.31827977525177</v>
      </c>
      <c r="DM174" s="4" t="e">
        <f t="shared" si="730"/>
        <v>#REF!</v>
      </c>
      <c r="DN174" s="4">
        <f t="shared" si="731"/>
        <v>2.2360679774997898</v>
      </c>
      <c r="DO174" s="4">
        <f t="shared" si="732"/>
        <v>265.0611525162804</v>
      </c>
      <c r="DS174" s="4">
        <f t="shared" si="733"/>
        <v>0.85</v>
      </c>
      <c r="DT174" s="4">
        <f t="shared" si="734"/>
        <v>1</v>
      </c>
      <c r="DU174" s="4">
        <f t="shared" si="735"/>
        <v>1</v>
      </c>
      <c r="DV174" s="4">
        <f t="shared" si="736"/>
        <v>1</v>
      </c>
      <c r="DX174" s="4">
        <f t="shared" si="737"/>
        <v>523.45691491108641</v>
      </c>
      <c r="DY174" s="25">
        <f t="shared" si="738"/>
        <v>262.16123464455097</v>
      </c>
      <c r="EB174" s="4">
        <f t="shared" si="739"/>
        <v>8.7098560088845165</v>
      </c>
      <c r="EE174" s="4">
        <f t="shared" si="740"/>
        <v>96.150923032490965</v>
      </c>
      <c r="EF174" s="4">
        <f t="shared" si="741"/>
        <v>2.2360679774997898</v>
      </c>
      <c r="EG174" s="4">
        <f t="shared" si="742"/>
        <v>0.1504401216255829</v>
      </c>
      <c r="EJ174" s="4">
        <f t="shared" si="743"/>
        <v>0.1504401216255829</v>
      </c>
      <c r="EK174" s="4">
        <f t="shared" si="744"/>
        <v>0.30480706834160254</v>
      </c>
      <c r="EL174" s="4">
        <f t="shared" si="745"/>
        <v>5.4152808965331429</v>
      </c>
      <c r="EM174" s="4">
        <f t="shared" si="746"/>
        <v>7.2531151252049844</v>
      </c>
      <c r="EN174" s="4" t="e">
        <f t="shared" si="747"/>
        <v>#REF!</v>
      </c>
      <c r="EO174" s="4" t="e">
        <f t="shared" si="748"/>
        <v>#REF!</v>
      </c>
      <c r="EP174" s="4" t="e">
        <f t="shared" si="749"/>
        <v>#REF!</v>
      </c>
      <c r="EQ174" s="4" t="e">
        <f t="shared" si="750"/>
        <v>#REF!</v>
      </c>
      <c r="ER174" s="4" t="e">
        <f t="shared" si="751"/>
        <v>#REF!</v>
      </c>
      <c r="FA174" s="23" t="e">
        <f t="shared" si="752"/>
        <v>#REF!</v>
      </c>
      <c r="FB174" s="23" t="e">
        <f t="shared" si="753"/>
        <v>#REF!</v>
      </c>
      <c r="FC174" s="23">
        <f t="shared" si="754"/>
        <v>1.8</v>
      </c>
      <c r="FD174" s="23" t="e">
        <f t="shared" si="755"/>
        <v>#REF!</v>
      </c>
      <c r="FE174" s="23">
        <f t="shared" si="756"/>
        <v>1.2</v>
      </c>
      <c r="FF174" s="23">
        <f t="shared" si="757"/>
        <v>1.2</v>
      </c>
      <c r="FG174" s="23">
        <f t="shared" si="758"/>
        <v>0</v>
      </c>
      <c r="FH174" s="23"/>
      <c r="FR174" s="4">
        <f t="shared" si="607"/>
        <v>1.25</v>
      </c>
      <c r="FS174" s="4">
        <f t="shared" si="608"/>
        <v>0.5</v>
      </c>
      <c r="FT174" s="4">
        <f t="shared" si="609"/>
        <v>0</v>
      </c>
      <c r="FU174" s="4">
        <f t="shared" si="610"/>
        <v>368.09030349947182</v>
      </c>
    </row>
    <row r="175" spans="1:177" ht="12" customHeight="1" x14ac:dyDescent="0.3">
      <c r="B175" s="24"/>
      <c r="C175" s="4" t="s">
        <v>160</v>
      </c>
      <c r="D175" s="7">
        <v>606</v>
      </c>
      <c r="E175" s="7">
        <f>13*G175</f>
        <v>559</v>
      </c>
      <c r="F175" s="7">
        <v>45.8</v>
      </c>
      <c r="G175" s="37">
        <v>43</v>
      </c>
      <c r="H175" s="7">
        <f t="shared" si="680"/>
        <v>344</v>
      </c>
      <c r="I175" s="7">
        <f t="shared" si="681"/>
        <v>43</v>
      </c>
      <c r="J175" s="7">
        <f t="shared" si="759"/>
        <v>56</v>
      </c>
      <c r="K175" s="7">
        <f t="shared" ref="K175:K182" si="768">(5-1)*G175</f>
        <v>172</v>
      </c>
      <c r="L175" s="7">
        <v>2</v>
      </c>
      <c r="M175" s="7">
        <f t="shared" ref="M175:M182" si="769">2/3*E175-0.5*200</f>
        <v>272.66666666666663</v>
      </c>
      <c r="N175" s="7">
        <f t="shared" si="684"/>
        <v>1.5</v>
      </c>
      <c r="O175" s="7">
        <f t="shared" si="685"/>
        <v>1.5</v>
      </c>
      <c r="P175" s="7">
        <f t="shared" si="676"/>
        <v>4</v>
      </c>
      <c r="Q175" s="7">
        <f t="shared" si="676"/>
        <v>4</v>
      </c>
      <c r="R175" s="7">
        <f t="shared" si="686"/>
        <v>5</v>
      </c>
      <c r="S175" s="7">
        <f t="shared" si="687"/>
        <v>96.150923032490965</v>
      </c>
      <c r="T175" s="7">
        <f t="shared" si="688"/>
        <v>606</v>
      </c>
      <c r="U175" s="7">
        <v>19</v>
      </c>
      <c r="V175" s="7">
        <f>(475+475)/2</f>
        <v>475</v>
      </c>
      <c r="W175" s="7"/>
      <c r="X175" s="4">
        <f t="shared" si="689"/>
        <v>1.1437168102008413</v>
      </c>
      <c r="Y175" s="7"/>
      <c r="Z175" s="7"/>
      <c r="AA175" s="7">
        <v>1</v>
      </c>
      <c r="AB175" s="7"/>
      <c r="AC175" s="7"/>
      <c r="AD175" s="7">
        <f t="shared" si="690"/>
        <v>7.8</v>
      </c>
      <c r="AE175" s="4">
        <f t="shared" si="691"/>
        <v>559</v>
      </c>
      <c r="AF175" s="4">
        <f t="shared" si="692"/>
        <v>0.20512820512820512</v>
      </c>
      <c r="AG175" s="4">
        <f t="shared" si="693"/>
        <v>307.95954027775866</v>
      </c>
      <c r="AH175" s="4">
        <f t="shared" si="694"/>
        <v>0.72307692307692306</v>
      </c>
      <c r="AI175" s="4">
        <v>1.25</v>
      </c>
      <c r="AJ175" s="4">
        <f t="shared" si="760"/>
        <v>2.5</v>
      </c>
      <c r="AK175" s="38">
        <f t="shared" si="761"/>
        <v>142.74258770270868</v>
      </c>
      <c r="AL175" s="38">
        <f t="shared" si="762"/>
        <v>142.74258770270868</v>
      </c>
      <c r="AM175" s="38">
        <f t="shared" si="695"/>
        <v>3.8402978284624769</v>
      </c>
      <c r="AN175" s="38">
        <f t="shared" si="640"/>
        <v>142.74258770270856</v>
      </c>
      <c r="AO175" s="38">
        <f t="shared" si="548"/>
        <v>1.0000000000000009</v>
      </c>
      <c r="AP175" s="38">
        <f t="shared" si="641"/>
        <v>1.9251437459738976</v>
      </c>
      <c r="AQ175" s="4">
        <f t="shared" si="642"/>
        <v>0</v>
      </c>
      <c r="AR175" s="4" t="e">
        <f>#REF!/G175*F175^0.5/0.19</f>
        <v>#REF!</v>
      </c>
      <c r="AS175" s="4">
        <f t="shared" si="696"/>
        <v>1</v>
      </c>
      <c r="AT175" s="38">
        <f t="shared" si="697"/>
        <v>274.79999999999995</v>
      </c>
      <c r="AU175" s="4">
        <f t="shared" si="698"/>
        <v>0.44000000000000006</v>
      </c>
      <c r="AV175" s="4" t="e">
        <f>AU175*D175*#REF!/(D175*G175/2.75/F175^0.5)</f>
        <v>#REF!</v>
      </c>
      <c r="AW175" s="4" t="e">
        <f t="shared" si="699"/>
        <v>#REF!</v>
      </c>
      <c r="AY175" s="4">
        <f t="shared" si="700"/>
        <v>1</v>
      </c>
      <c r="AZ175" s="4" t="e">
        <f>(3*#REF!+30)*AY175*F175^0.5</f>
        <v>#REF!</v>
      </c>
      <c r="BB175" s="4">
        <f t="shared" si="701"/>
        <v>263.56680585016983</v>
      </c>
      <c r="BC175" s="4">
        <f t="shared" si="702"/>
        <v>641.65616063635548</v>
      </c>
      <c r="BD175" s="4">
        <f t="shared" si="703"/>
        <v>2.4345105164764891</v>
      </c>
      <c r="BL175" s="4">
        <f t="shared" si="704"/>
        <v>43</v>
      </c>
      <c r="BP175" s="9"/>
      <c r="BR175" s="9"/>
      <c r="BS175" s="9"/>
      <c r="BT175" s="9">
        <f t="shared" si="705"/>
        <v>43</v>
      </c>
      <c r="BU175" s="9">
        <f t="shared" si="706"/>
        <v>86</v>
      </c>
      <c r="BV175" s="9">
        <f t="shared" si="707"/>
        <v>1.1095694720678451</v>
      </c>
      <c r="BW175" s="9">
        <v>0</v>
      </c>
      <c r="BX175" s="9">
        <f t="shared" si="708"/>
        <v>0</v>
      </c>
      <c r="BY175" s="9">
        <f t="shared" si="709"/>
        <v>0</v>
      </c>
      <c r="BZ175" s="9">
        <f t="shared" si="710"/>
        <v>0.84984840943171969</v>
      </c>
      <c r="CA175" s="9">
        <f t="shared" si="711"/>
        <v>0.84399999999999997</v>
      </c>
      <c r="CB175" s="9">
        <f t="shared" si="712"/>
        <v>1.6989660317871056</v>
      </c>
      <c r="CC175" s="9">
        <f t="shared" si="713"/>
        <v>1.8851208429512205</v>
      </c>
      <c r="CD175" s="9">
        <v>1</v>
      </c>
      <c r="CE175" s="9" t="e">
        <f>4*CC175*#REF!+60*CC175</f>
        <v>#REF!</v>
      </c>
      <c r="CG175" s="4" t="e">
        <f t="shared" si="714"/>
        <v>#REF!</v>
      </c>
      <c r="CH175" s="4" t="e">
        <f t="shared" si="715"/>
        <v>#REF!</v>
      </c>
      <c r="CI175" s="4" t="e">
        <f t="shared" si="716"/>
        <v>#REF!</v>
      </c>
      <c r="CJ175" s="4" t="e">
        <f t="shared" si="717"/>
        <v>#REF!</v>
      </c>
      <c r="CK175" s="4">
        <f t="shared" si="718"/>
        <v>1.1437168102008413</v>
      </c>
      <c r="CL175" s="4">
        <f t="shared" si="719"/>
        <v>1.1972859454860088</v>
      </c>
      <c r="CM175" s="4">
        <f t="shared" si="720"/>
        <v>1.7181448594746873</v>
      </c>
      <c r="CO175" s="4" t="e">
        <f t="shared" si="766"/>
        <v>#REF!</v>
      </c>
      <c r="CP175" s="4" t="e">
        <f t="shared" si="766"/>
        <v>#REF!</v>
      </c>
      <c r="CQ175" s="4" t="e">
        <f>CJ175</f>
        <v>#REF!</v>
      </c>
      <c r="CR175" s="4">
        <f t="shared" si="721"/>
        <v>1.7181448594746873</v>
      </c>
      <c r="CS175" s="4">
        <f t="shared" si="767"/>
        <v>1.1437168102008413</v>
      </c>
      <c r="CT175" s="4">
        <f t="shared" si="767"/>
        <v>1.1972859454860088</v>
      </c>
      <c r="DB175" s="4">
        <f t="shared" si="722"/>
        <v>0</v>
      </c>
      <c r="DC175" s="4" t="e">
        <f>#REF!</f>
        <v>#REF!</v>
      </c>
      <c r="DF175" s="4">
        <f t="shared" si="723"/>
        <v>2.5821318945834057E-5</v>
      </c>
      <c r="DG175" s="4">
        <f t="shared" si="724"/>
        <v>6.5413245857119913</v>
      </c>
      <c r="DH175" s="4">
        <f t="shared" si="725"/>
        <v>0.29150662590823162</v>
      </c>
      <c r="DI175" s="4">
        <f t="shared" si="726"/>
        <v>3.9950762435455838</v>
      </c>
      <c r="DJ175" s="4">
        <f t="shared" si="727"/>
        <v>5.4206912728238548</v>
      </c>
      <c r="DK175" s="4">
        <f t="shared" si="728"/>
        <v>5.685703021131018</v>
      </c>
      <c r="DL175" s="38">
        <f t="shared" si="729"/>
        <v>415.31259815669591</v>
      </c>
      <c r="DM175" s="4" t="e">
        <f t="shared" si="730"/>
        <v>#REF!</v>
      </c>
      <c r="DN175" s="4">
        <f t="shared" si="731"/>
        <v>2.2360679774997898</v>
      </c>
      <c r="DO175" s="4">
        <f t="shared" si="732"/>
        <v>142.74258770270856</v>
      </c>
      <c r="DS175" s="4">
        <f t="shared" si="733"/>
        <v>0.85</v>
      </c>
      <c r="DT175" s="4">
        <f t="shared" si="734"/>
        <v>1</v>
      </c>
      <c r="DU175" s="4">
        <f t="shared" si="735"/>
        <v>1</v>
      </c>
      <c r="DV175" s="4">
        <f t="shared" si="736"/>
        <v>1</v>
      </c>
      <c r="DX175" s="4">
        <f t="shared" si="737"/>
        <v>396.73062378359873</v>
      </c>
      <c r="DY175" s="25">
        <f t="shared" si="738"/>
        <v>141.61896494083106</v>
      </c>
      <c r="EB175" s="4">
        <f t="shared" si="739"/>
        <v>6.5413245857119913</v>
      </c>
      <c r="EE175" s="4">
        <f t="shared" si="740"/>
        <v>96.150923032490965</v>
      </c>
      <c r="EF175" s="4">
        <f t="shared" si="741"/>
        <v>2.2360679774997898</v>
      </c>
      <c r="EG175" s="4">
        <f t="shared" si="742"/>
        <v>0.10787391362592545</v>
      </c>
      <c r="EJ175" s="4">
        <f t="shared" si="743"/>
        <v>0.10787391362592545</v>
      </c>
      <c r="EK175" s="4">
        <f t="shared" si="744"/>
        <v>0.29102015567904033</v>
      </c>
      <c r="EL175" s="4">
        <f t="shared" si="745"/>
        <v>3.9924080921629965</v>
      </c>
      <c r="EM175" s="4">
        <f t="shared" si="746"/>
        <v>5.419712164383319</v>
      </c>
      <c r="EN175" s="4" t="e">
        <f t="shared" si="747"/>
        <v>#REF!</v>
      </c>
      <c r="EO175" s="4" t="e">
        <f t="shared" si="748"/>
        <v>#REF!</v>
      </c>
      <c r="EP175" s="4" t="e">
        <f t="shared" si="749"/>
        <v>#REF!</v>
      </c>
      <c r="EQ175" s="4" t="e">
        <f t="shared" si="750"/>
        <v>#REF!</v>
      </c>
      <c r="ER175" s="4" t="e">
        <f t="shared" si="751"/>
        <v>#REF!</v>
      </c>
      <c r="FA175" s="23" t="e">
        <f t="shared" si="752"/>
        <v>#REF!</v>
      </c>
      <c r="FB175" s="23" t="e">
        <f t="shared" si="753"/>
        <v>#REF!</v>
      </c>
      <c r="FC175" s="23">
        <f t="shared" si="754"/>
        <v>1.8</v>
      </c>
      <c r="FD175" s="23" t="e">
        <f t="shared" si="755"/>
        <v>#REF!</v>
      </c>
      <c r="FE175" s="23">
        <f t="shared" si="756"/>
        <v>1.2</v>
      </c>
      <c r="FF175" s="23">
        <f t="shared" si="757"/>
        <v>1.2</v>
      </c>
      <c r="FG175" s="23">
        <f t="shared" si="758"/>
        <v>0</v>
      </c>
      <c r="FH175" s="23"/>
      <c r="FR175" s="4">
        <f t="shared" si="607"/>
        <v>1.25</v>
      </c>
      <c r="FS175" s="4">
        <f t="shared" si="608"/>
        <v>0.75</v>
      </c>
      <c r="FT175" s="4">
        <f t="shared" si="609"/>
        <v>0</v>
      </c>
      <c r="FU175" s="4">
        <f t="shared" si="610"/>
        <v>276.46097322971269</v>
      </c>
    </row>
    <row r="176" spans="1:177" ht="12" customHeight="1" x14ac:dyDescent="0.3">
      <c r="B176" s="24"/>
      <c r="C176" s="4" t="s">
        <v>161</v>
      </c>
      <c r="D176" s="7">
        <v>606</v>
      </c>
      <c r="E176" s="7">
        <f t="shared" ref="E176:E178" si="770">13*G176</f>
        <v>559</v>
      </c>
      <c r="F176" s="7">
        <v>44.3</v>
      </c>
      <c r="G176" s="37">
        <v>43</v>
      </c>
      <c r="H176" s="7">
        <f t="shared" si="680"/>
        <v>430</v>
      </c>
      <c r="I176" s="7">
        <f>2*G176</f>
        <v>86</v>
      </c>
      <c r="J176" s="7">
        <f t="shared" si="759"/>
        <v>56</v>
      </c>
      <c r="K176" s="7">
        <f t="shared" si="768"/>
        <v>172</v>
      </c>
      <c r="L176" s="7">
        <v>2</v>
      </c>
      <c r="M176" s="7">
        <f t="shared" si="769"/>
        <v>272.66666666666663</v>
      </c>
      <c r="N176" s="7">
        <f t="shared" si="684"/>
        <v>2.5</v>
      </c>
      <c r="O176" s="7">
        <f t="shared" si="685"/>
        <v>2.5</v>
      </c>
      <c r="P176" s="7">
        <f t="shared" si="676"/>
        <v>4</v>
      </c>
      <c r="Q176" s="7">
        <f t="shared" si="676"/>
        <v>4</v>
      </c>
      <c r="R176" s="7">
        <f t="shared" si="686"/>
        <v>5</v>
      </c>
      <c r="S176" s="7">
        <f t="shared" si="687"/>
        <v>96.150923032490965</v>
      </c>
      <c r="T176" s="7">
        <f t="shared" si="688"/>
        <v>606</v>
      </c>
      <c r="U176" s="7">
        <v>19</v>
      </c>
      <c r="V176" s="7">
        <f>(540+540)/2</f>
        <v>540</v>
      </c>
      <c r="W176" s="7"/>
      <c r="X176" s="4">
        <f t="shared" si="689"/>
        <v>1.112459169884874</v>
      </c>
      <c r="Y176" s="7"/>
      <c r="Z176" s="7"/>
      <c r="AA176" s="7">
        <v>1</v>
      </c>
      <c r="AB176" s="7"/>
      <c r="AC176" s="7"/>
      <c r="AD176" s="7">
        <f t="shared" si="690"/>
        <v>7.8</v>
      </c>
      <c r="AE176" s="4">
        <f t="shared" si="691"/>
        <v>559</v>
      </c>
      <c r="AF176" s="4">
        <f t="shared" si="692"/>
        <v>0.25641025641025639</v>
      </c>
      <c r="AG176" s="4">
        <f t="shared" si="693"/>
        <v>302.87455339265739</v>
      </c>
      <c r="AH176" s="4">
        <f t="shared" si="694"/>
        <v>0.73846153846153839</v>
      </c>
      <c r="AI176" s="4">
        <v>1.25</v>
      </c>
      <c r="AJ176" s="4">
        <f t="shared" si="760"/>
        <v>2.5</v>
      </c>
      <c r="AK176" s="38">
        <f t="shared" si="761"/>
        <v>179.21571206666115</v>
      </c>
      <c r="AL176" s="38">
        <f t="shared" si="762"/>
        <v>179.21571206666115</v>
      </c>
      <c r="AM176" s="38">
        <f t="shared" si="695"/>
        <v>3.7559840459059588</v>
      </c>
      <c r="AN176" s="38">
        <f t="shared" si="640"/>
        <v>179.21571206666113</v>
      </c>
      <c r="AO176" s="38">
        <f t="shared" si="548"/>
        <v>1.0000000000000002</v>
      </c>
      <c r="AP176" s="38">
        <f t="shared" si="641"/>
        <v>2.4718814823290804</v>
      </c>
      <c r="AQ176" s="4">
        <f t="shared" si="642"/>
        <v>0</v>
      </c>
      <c r="AR176" s="4" t="e">
        <f>#REF!/G176*F176^0.5/0.19</f>
        <v>#REF!</v>
      </c>
      <c r="AS176" s="4">
        <f t="shared" si="696"/>
        <v>1</v>
      </c>
      <c r="AT176" s="38">
        <f t="shared" si="697"/>
        <v>443</v>
      </c>
      <c r="AU176" s="4">
        <f t="shared" si="698"/>
        <v>0.44000000000000006</v>
      </c>
      <c r="AV176" s="4" t="e">
        <f>AU176*D176*#REF!/(D176*G176/2.75/F176^0.5)</f>
        <v>#REF!</v>
      </c>
      <c r="AW176" s="4" t="e">
        <f t="shared" si="699"/>
        <v>#REF!</v>
      </c>
      <c r="AY176" s="4">
        <f t="shared" si="700"/>
        <v>1.25</v>
      </c>
      <c r="AZ176" s="4" t="e">
        <f>(3*#REF!+30)*AY176*F176^0.5</f>
        <v>#REF!</v>
      </c>
      <c r="BB176" s="4">
        <f t="shared" si="701"/>
        <v>424.89117536981524</v>
      </c>
      <c r="BC176" s="4">
        <f t="shared" si="702"/>
        <v>641.65616063635548</v>
      </c>
      <c r="BD176" s="4">
        <f t="shared" si="703"/>
        <v>1.5101658914847387</v>
      </c>
      <c r="BL176" s="4">
        <f t="shared" si="704"/>
        <v>86</v>
      </c>
      <c r="BP176" s="9"/>
      <c r="BR176" s="9"/>
      <c r="BS176" s="9"/>
      <c r="BT176" s="9">
        <f t="shared" si="705"/>
        <v>56</v>
      </c>
      <c r="BU176" s="9">
        <f t="shared" si="706"/>
        <v>86</v>
      </c>
      <c r="BV176" s="9">
        <f t="shared" si="707"/>
        <v>1.2170441953580799</v>
      </c>
      <c r="BW176" s="9">
        <v>0</v>
      </c>
      <c r="BX176" s="9">
        <f t="shared" si="708"/>
        <v>0</v>
      </c>
      <c r="BY176" s="9">
        <f t="shared" si="709"/>
        <v>0</v>
      </c>
      <c r="BZ176" s="9">
        <f t="shared" si="710"/>
        <v>0.84984840943171969</v>
      </c>
      <c r="CA176" s="9">
        <f t="shared" si="711"/>
        <v>0.84399999999999997</v>
      </c>
      <c r="CB176" s="9">
        <f t="shared" si="712"/>
        <v>1.6709129311035618</v>
      </c>
      <c r="CC176" s="9">
        <f t="shared" si="713"/>
        <v>2.0335748837483454</v>
      </c>
      <c r="CD176" s="9">
        <v>1</v>
      </c>
      <c r="CE176" s="9" t="e">
        <f>4*CC176*#REF!+60*CC176</f>
        <v>#REF!</v>
      </c>
      <c r="CG176" s="4" t="e">
        <f t="shared" si="714"/>
        <v>#REF!</v>
      </c>
      <c r="CH176" s="4" t="e">
        <f t="shared" si="715"/>
        <v>#REF!</v>
      </c>
      <c r="CI176" s="4" t="e">
        <f t="shared" si="716"/>
        <v>#REF!</v>
      </c>
      <c r="CJ176" s="4" t="e">
        <f t="shared" si="717"/>
        <v>#REF!</v>
      </c>
      <c r="CK176" s="4">
        <f t="shared" si="718"/>
        <v>1.112459169884874</v>
      </c>
      <c r="CL176" s="4">
        <f t="shared" si="719"/>
        <v>1.1825979304836267</v>
      </c>
      <c r="CM176" s="4">
        <f t="shared" si="720"/>
        <v>1.5756703115990831</v>
      </c>
      <c r="CO176" s="4" t="e">
        <f t="shared" si="766"/>
        <v>#REF!</v>
      </c>
      <c r="CP176" s="4" t="e">
        <f t="shared" si="766"/>
        <v>#REF!</v>
      </c>
      <c r="CQ176" s="4" t="e">
        <f>CJ176</f>
        <v>#REF!</v>
      </c>
      <c r="CR176" s="4">
        <f t="shared" si="721"/>
        <v>1.5756703115990831</v>
      </c>
      <c r="CS176" s="4">
        <f t="shared" si="767"/>
        <v>1.112459169884874</v>
      </c>
      <c r="CT176" s="4">
        <f t="shared" si="767"/>
        <v>1.1825979304836267</v>
      </c>
      <c r="DB176" s="4">
        <f t="shared" si="722"/>
        <v>0</v>
      </c>
      <c r="DC176" s="4" t="e">
        <f>#REF!</f>
        <v>#REF!</v>
      </c>
      <c r="DF176" s="4">
        <f t="shared" si="723"/>
        <v>2.5572610994587026E-5</v>
      </c>
      <c r="DG176" s="4">
        <f t="shared" si="724"/>
        <v>7.1481278955130128</v>
      </c>
      <c r="DH176" s="4">
        <f t="shared" si="725"/>
        <v>0.37838394342462073</v>
      </c>
      <c r="DI176" s="4">
        <f t="shared" si="726"/>
        <v>4.8457989776777417</v>
      </c>
      <c r="DJ176" s="4">
        <f t="shared" si="727"/>
        <v>6.1068418968815141</v>
      </c>
      <c r="DK176" s="4">
        <f t="shared" si="728"/>
        <v>6.1005875633463997</v>
      </c>
      <c r="DL176" s="38">
        <f t="shared" si="729"/>
        <v>485.41107360900577</v>
      </c>
      <c r="DM176" s="4" t="e">
        <f t="shared" si="730"/>
        <v>#REF!</v>
      </c>
      <c r="DN176" s="4">
        <f t="shared" si="731"/>
        <v>2.2360679774997898</v>
      </c>
      <c r="DO176" s="4">
        <f t="shared" si="732"/>
        <v>179.21571206666113</v>
      </c>
      <c r="DS176" s="4">
        <f t="shared" si="733"/>
        <v>0.85</v>
      </c>
      <c r="DT176" s="4">
        <f t="shared" si="734"/>
        <v>0.9</v>
      </c>
      <c r="DU176" s="4">
        <f t="shared" si="735"/>
        <v>1</v>
      </c>
      <c r="DV176" s="4">
        <f t="shared" si="736"/>
        <v>0.9</v>
      </c>
      <c r="DX176" s="4">
        <f t="shared" si="737"/>
        <v>456.6218036413826</v>
      </c>
      <c r="DY176" s="25">
        <f t="shared" si="738"/>
        <v>177.84481571637505</v>
      </c>
      <c r="EB176" s="4">
        <f t="shared" si="739"/>
        <v>7.1481278955130128</v>
      </c>
      <c r="EE176" s="4">
        <f t="shared" si="740"/>
        <v>96.150923032490965</v>
      </c>
      <c r="EF176" s="4">
        <f t="shared" si="741"/>
        <v>2.2360679774997898</v>
      </c>
      <c r="EG176" s="4">
        <f t="shared" si="742"/>
        <v>0.1377113790969261</v>
      </c>
      <c r="EJ176" s="4">
        <f t="shared" si="743"/>
        <v>0.1377113790969261</v>
      </c>
      <c r="EK176" s="4">
        <f t="shared" si="744"/>
        <v>0.37775249114422549</v>
      </c>
      <c r="EL176" s="4">
        <f t="shared" si="745"/>
        <v>4.8425626626604963</v>
      </c>
      <c r="EM176" s="4">
        <f t="shared" si="746"/>
        <v>6.1055605578094418</v>
      </c>
      <c r="EN176" s="4" t="e">
        <f t="shared" si="747"/>
        <v>#REF!</v>
      </c>
      <c r="EO176" s="4" t="e">
        <f t="shared" si="748"/>
        <v>#REF!</v>
      </c>
      <c r="EP176" s="4" t="e">
        <f t="shared" si="749"/>
        <v>#REF!</v>
      </c>
      <c r="EQ176" s="4" t="e">
        <f t="shared" si="750"/>
        <v>#REF!</v>
      </c>
      <c r="ER176" s="4" t="e">
        <f t="shared" si="751"/>
        <v>#REF!</v>
      </c>
      <c r="FA176" s="23" t="e">
        <f t="shared" si="752"/>
        <v>#REF!</v>
      </c>
      <c r="FB176" s="23" t="e">
        <f t="shared" si="753"/>
        <v>#REF!</v>
      </c>
      <c r="FC176" s="23">
        <f t="shared" si="754"/>
        <v>1.6</v>
      </c>
      <c r="FD176" s="23" t="e">
        <f t="shared" si="755"/>
        <v>#REF!</v>
      </c>
      <c r="FE176" s="23">
        <f t="shared" si="756"/>
        <v>1.2</v>
      </c>
      <c r="FF176" s="23">
        <f t="shared" si="757"/>
        <v>1.2</v>
      </c>
      <c r="FG176" s="23">
        <f t="shared" si="758"/>
        <v>0</v>
      </c>
      <c r="FH176" s="23"/>
      <c r="FR176" s="4">
        <f t="shared" si="607"/>
        <v>1</v>
      </c>
      <c r="FS176" s="4">
        <f t="shared" si="608"/>
        <v>0.75</v>
      </c>
      <c r="FT176" s="4">
        <f t="shared" si="609"/>
        <v>0</v>
      </c>
      <c r="FU176" s="4">
        <f t="shared" si="610"/>
        <v>342.71128676149021</v>
      </c>
    </row>
    <row r="177" spans="2:177" ht="12" customHeight="1" x14ac:dyDescent="0.3">
      <c r="B177" s="24"/>
      <c r="C177" s="4" t="s">
        <v>162</v>
      </c>
      <c r="D177" s="7">
        <v>606</v>
      </c>
      <c r="E177" s="7">
        <f t="shared" si="770"/>
        <v>559</v>
      </c>
      <c r="F177" s="7">
        <v>40.5</v>
      </c>
      <c r="G177" s="37">
        <v>43</v>
      </c>
      <c r="H177" s="7">
        <f t="shared" si="680"/>
        <v>344</v>
      </c>
      <c r="I177" s="7">
        <f>1*G177</f>
        <v>43</v>
      </c>
      <c r="J177" s="7">
        <f t="shared" si="759"/>
        <v>56</v>
      </c>
      <c r="K177" s="7">
        <f t="shared" si="768"/>
        <v>172</v>
      </c>
      <c r="L177" s="7">
        <v>2</v>
      </c>
      <c r="M177" s="7">
        <f t="shared" si="769"/>
        <v>272.66666666666663</v>
      </c>
      <c r="N177" s="7">
        <f t="shared" si="684"/>
        <v>1.5</v>
      </c>
      <c r="O177" s="7">
        <f t="shared" si="685"/>
        <v>1.5</v>
      </c>
      <c r="P177" s="7">
        <f t="shared" si="676"/>
        <v>4</v>
      </c>
      <c r="Q177" s="7">
        <f t="shared" si="676"/>
        <v>4</v>
      </c>
      <c r="R177" s="7">
        <f t="shared" si="686"/>
        <v>5</v>
      </c>
      <c r="S177" s="7">
        <f t="shared" si="687"/>
        <v>96.150923032490965</v>
      </c>
      <c r="T177" s="7">
        <f t="shared" si="688"/>
        <v>606</v>
      </c>
      <c r="U177" s="7">
        <v>19</v>
      </c>
      <c r="V177" s="7">
        <f>(468+468)/2</f>
        <v>468</v>
      </c>
      <c r="W177" s="7"/>
      <c r="X177" s="4">
        <f t="shared" si="689"/>
        <v>1.1206763468020458</v>
      </c>
      <c r="Y177" s="7">
        <v>15.9</v>
      </c>
      <c r="Z177" s="10">
        <v>2</v>
      </c>
      <c r="AA177" s="7">
        <v>120</v>
      </c>
      <c r="AB177" s="7">
        <v>4</v>
      </c>
      <c r="AC177" s="7">
        <f>Z177</f>
        <v>2</v>
      </c>
      <c r="AD177" s="7">
        <f t="shared" si="690"/>
        <v>7.8</v>
      </c>
      <c r="AE177" s="4">
        <f t="shared" si="691"/>
        <v>559</v>
      </c>
      <c r="AF177" s="4">
        <f t="shared" si="692"/>
        <v>0.20512820512820512</v>
      </c>
      <c r="AG177" s="4">
        <f t="shared" si="693"/>
        <v>289.59325025411408</v>
      </c>
      <c r="AH177" s="4">
        <f t="shared" si="694"/>
        <v>0.72307692307692306</v>
      </c>
      <c r="AI177" s="4">
        <v>1.25</v>
      </c>
      <c r="AJ177" s="4">
        <f t="shared" si="760"/>
        <v>2.5</v>
      </c>
      <c r="AK177" s="38">
        <f t="shared" si="761"/>
        <v>134.22961303691679</v>
      </c>
      <c r="AL177" s="38">
        <f t="shared" si="762"/>
        <v>134.22961303691679</v>
      </c>
      <c r="AM177" s="38">
        <f t="shared" si="695"/>
        <v>3.538000882182009</v>
      </c>
      <c r="AN177" s="38">
        <f t="shared" si="640"/>
        <v>134.22961303691673</v>
      </c>
      <c r="AO177" s="38">
        <f t="shared" si="548"/>
        <v>1.0000000000000004</v>
      </c>
      <c r="AP177" s="38">
        <f t="shared" si="641"/>
        <v>1.8103307794917691</v>
      </c>
      <c r="AQ177" s="4">
        <f t="shared" si="642"/>
        <v>0</v>
      </c>
      <c r="AR177" s="4" t="e">
        <f>#REF!/G177*F177^0.5/0.19</f>
        <v>#REF!</v>
      </c>
      <c r="AS177" s="4">
        <f t="shared" si="696"/>
        <v>1</v>
      </c>
      <c r="AT177" s="38">
        <f t="shared" si="697"/>
        <v>243</v>
      </c>
      <c r="AU177" s="4">
        <f t="shared" si="698"/>
        <v>0.44000000000000006</v>
      </c>
      <c r="AV177" s="4" t="e">
        <f>AU177*D177*#REF!/(D177*G177/2.75/F177^0.5)</f>
        <v>#REF!</v>
      </c>
      <c r="AW177" s="4" t="e">
        <f t="shared" si="699"/>
        <v>#REF!</v>
      </c>
      <c r="AY177" s="4">
        <f t="shared" si="700"/>
        <v>1.4</v>
      </c>
      <c r="AZ177" s="4" t="e">
        <f>(3*#REF!+30)*AY177*F177^0.5</f>
        <v>#REF!</v>
      </c>
      <c r="BB177" s="4">
        <f t="shared" si="701"/>
        <v>233.06671696357813</v>
      </c>
      <c r="BC177" s="4">
        <f t="shared" si="702"/>
        <v>641.65616063635548</v>
      </c>
      <c r="BD177" s="4">
        <f t="shared" si="703"/>
        <v>2.7531007815956343</v>
      </c>
      <c r="BL177" s="4">
        <f t="shared" si="704"/>
        <v>43</v>
      </c>
      <c r="BP177" s="9"/>
      <c r="BR177" s="9"/>
      <c r="BS177" s="9"/>
      <c r="BT177" s="9">
        <f t="shared" si="705"/>
        <v>43</v>
      </c>
      <c r="BU177" s="9">
        <f t="shared" si="706"/>
        <v>86</v>
      </c>
      <c r="BV177" s="9">
        <f t="shared" si="707"/>
        <v>1.1095694720678451</v>
      </c>
      <c r="BW177" s="9">
        <v>20</v>
      </c>
      <c r="BX177" s="9">
        <f t="shared" si="708"/>
        <v>0.05</v>
      </c>
      <c r="BY177" s="9">
        <f t="shared" si="709"/>
        <v>0.8</v>
      </c>
      <c r="BZ177" s="9">
        <f t="shared" si="710"/>
        <v>0.84984840943171969</v>
      </c>
      <c r="CA177" s="9">
        <f t="shared" si="711"/>
        <v>0.84399999999999997</v>
      </c>
      <c r="CB177" s="9">
        <f t="shared" si="712"/>
        <v>1.5976419979481837</v>
      </c>
      <c r="CC177" s="9">
        <f t="shared" si="713"/>
        <v>3.0508083865753304</v>
      </c>
      <c r="CD177" s="9">
        <v>1</v>
      </c>
      <c r="CE177" s="9" t="e">
        <f>4*CC177*#REF!+60*CC177</f>
        <v>#REF!</v>
      </c>
      <c r="CG177" s="4" t="e">
        <f t="shared" si="714"/>
        <v>#REF!</v>
      </c>
      <c r="CH177" s="4" t="e">
        <f t="shared" si="715"/>
        <v>#REF!</v>
      </c>
      <c r="CI177" s="4" t="e">
        <f t="shared" si="716"/>
        <v>#REF!</v>
      </c>
      <c r="CJ177" s="4" t="e">
        <f t="shared" si="717"/>
        <v>#REF!</v>
      </c>
      <c r="CK177" s="4">
        <f t="shared" si="718"/>
        <v>1.1206763468020458</v>
      </c>
      <c r="CL177" s="4">
        <f t="shared" si="719"/>
        <v>1.1802441564682067</v>
      </c>
      <c r="CM177" s="4">
        <f t="shared" si="720"/>
        <v>1.1449507661346809</v>
      </c>
      <c r="CU177" s="4" t="e">
        <f>CG177</f>
        <v>#REF!</v>
      </c>
      <c r="CV177" s="4" t="e">
        <f>CH177</f>
        <v>#REF!</v>
      </c>
      <c r="CW177" s="4" t="e">
        <f>CJ177</f>
        <v>#REF!</v>
      </c>
      <c r="CX177" s="4">
        <f t="shared" ref="CX177:CX178" si="771">CM177</f>
        <v>1.1449507661346809</v>
      </c>
      <c r="CY177" s="4">
        <f>CK177</f>
        <v>1.1206763468020458</v>
      </c>
      <c r="CZ177" s="4">
        <f>CL177</f>
        <v>1.1802441564682067</v>
      </c>
      <c r="DB177" s="4">
        <f t="shared" si="722"/>
        <v>2</v>
      </c>
      <c r="DC177" s="4" t="e">
        <f>#REF!</f>
        <v>#REF!</v>
      </c>
      <c r="DF177" s="4">
        <f t="shared" si="723"/>
        <v>2.4945063339588327E-5</v>
      </c>
      <c r="DG177" s="4">
        <f t="shared" si="724"/>
        <v>6.7526954191214541</v>
      </c>
      <c r="DH177" s="4">
        <f t="shared" si="725"/>
        <v>0.30999426410610625</v>
      </c>
      <c r="DI177" s="4">
        <f t="shared" si="726"/>
        <v>4.2268674058260229</v>
      </c>
      <c r="DJ177" s="4">
        <f t="shared" si="727"/>
        <v>5.6338980606213793</v>
      </c>
      <c r="DK177" s="4">
        <f t="shared" si="728"/>
        <v>5.8644758836363353</v>
      </c>
      <c r="DL177" s="38">
        <f t="shared" si="729"/>
        <v>417.60495912622901</v>
      </c>
      <c r="DM177" s="4" t="e">
        <f t="shared" si="730"/>
        <v>#REF!</v>
      </c>
      <c r="DN177" s="4">
        <f t="shared" si="731"/>
        <v>2.2360679774997898</v>
      </c>
      <c r="DO177" s="4">
        <f t="shared" si="732"/>
        <v>134.22961303691673</v>
      </c>
      <c r="DS177" s="4">
        <f t="shared" si="733"/>
        <v>0.85</v>
      </c>
      <c r="DT177" s="4">
        <f t="shared" si="734"/>
        <v>1</v>
      </c>
      <c r="DU177" s="4">
        <f t="shared" si="735"/>
        <v>0.91092644672796108</v>
      </c>
      <c r="DV177" s="4">
        <f t="shared" si="736"/>
        <v>0.91092644672796108</v>
      </c>
      <c r="DX177" s="4">
        <f t="shared" si="737"/>
        <v>396.52812296097733</v>
      </c>
      <c r="DY177" s="25">
        <f t="shared" si="738"/>
        <v>133.17300161524059</v>
      </c>
      <c r="EB177" s="4">
        <f t="shared" si="739"/>
        <v>6.7526954191214541</v>
      </c>
      <c r="EE177" s="4">
        <f t="shared" si="740"/>
        <v>96.150923032490965</v>
      </c>
      <c r="EF177" s="4">
        <f t="shared" si="741"/>
        <v>2.2360679774997898</v>
      </c>
      <c r="EG177" s="4">
        <f t="shared" si="742"/>
        <v>0.10787391362592545</v>
      </c>
      <c r="EJ177" s="4">
        <f t="shared" si="743"/>
        <v>0.10787391362592545</v>
      </c>
      <c r="EK177" s="4">
        <f t="shared" si="744"/>
        <v>0.30947694145439009</v>
      </c>
      <c r="EL177" s="4">
        <f t="shared" si="745"/>
        <v>4.2240444504115704</v>
      </c>
      <c r="EM177" s="4">
        <f t="shared" si="746"/>
        <v>5.6328428910831558</v>
      </c>
      <c r="EN177" s="4" t="e">
        <f t="shared" si="747"/>
        <v>#REF!</v>
      </c>
      <c r="EO177" s="4" t="e">
        <f t="shared" si="748"/>
        <v>#REF!</v>
      </c>
      <c r="EP177" s="4" t="e">
        <f t="shared" si="749"/>
        <v>#REF!</v>
      </c>
      <c r="EQ177" s="4" t="e">
        <f t="shared" si="750"/>
        <v>#REF!</v>
      </c>
      <c r="ER177" s="4" t="e">
        <f t="shared" si="751"/>
        <v>#REF!</v>
      </c>
      <c r="FA177" s="23" t="e">
        <f t="shared" si="752"/>
        <v>#REF!</v>
      </c>
      <c r="FB177" s="23" t="e">
        <f t="shared" si="753"/>
        <v>#REF!</v>
      </c>
      <c r="FC177" s="23">
        <f t="shared" si="754"/>
        <v>1.2</v>
      </c>
      <c r="FD177" s="23" t="e">
        <f t="shared" si="755"/>
        <v>#REF!</v>
      </c>
      <c r="FE177" s="23">
        <f t="shared" si="756"/>
        <v>1.2</v>
      </c>
      <c r="FF177" s="23">
        <f t="shared" si="757"/>
        <v>1.2</v>
      </c>
      <c r="FG177" s="23">
        <f t="shared" si="758"/>
        <v>0</v>
      </c>
      <c r="FH177" s="23"/>
      <c r="FR177" s="4">
        <f t="shared" si="607"/>
        <v>1.25</v>
      </c>
      <c r="FS177" s="4">
        <f t="shared" si="608"/>
        <v>0.49190749660801991</v>
      </c>
      <c r="FT177" s="4">
        <f t="shared" si="609"/>
        <v>0.3</v>
      </c>
      <c r="FU177" s="4">
        <f t="shared" si="610"/>
        <v>408.75120035069614</v>
      </c>
    </row>
    <row r="178" spans="2:177" ht="12" customHeight="1" x14ac:dyDescent="0.3">
      <c r="B178" s="24"/>
      <c r="C178" s="4" t="s">
        <v>163</v>
      </c>
      <c r="D178" s="7">
        <v>606</v>
      </c>
      <c r="E178" s="7">
        <f t="shared" si="770"/>
        <v>559</v>
      </c>
      <c r="F178" s="7">
        <v>41.8</v>
      </c>
      <c r="G178" s="37">
        <v>43</v>
      </c>
      <c r="H178" s="7">
        <f t="shared" si="680"/>
        <v>430</v>
      </c>
      <c r="I178" s="7">
        <f>2*G178</f>
        <v>86</v>
      </c>
      <c r="J178" s="7">
        <f t="shared" si="759"/>
        <v>56</v>
      </c>
      <c r="K178" s="7">
        <f t="shared" si="768"/>
        <v>172</v>
      </c>
      <c r="L178" s="7">
        <v>2</v>
      </c>
      <c r="M178" s="7">
        <f t="shared" si="769"/>
        <v>272.66666666666663</v>
      </c>
      <c r="N178" s="7">
        <f t="shared" si="684"/>
        <v>2.5</v>
      </c>
      <c r="O178" s="7">
        <f t="shared" si="685"/>
        <v>2.5</v>
      </c>
      <c r="P178" s="7">
        <f t="shared" si="676"/>
        <v>4</v>
      </c>
      <c r="Q178" s="7">
        <f t="shared" si="676"/>
        <v>4</v>
      </c>
      <c r="R178" s="7">
        <f t="shared" si="686"/>
        <v>5</v>
      </c>
      <c r="S178" s="7">
        <f t="shared" si="687"/>
        <v>96.150923032490965</v>
      </c>
      <c r="T178" s="7">
        <f t="shared" si="688"/>
        <v>606</v>
      </c>
      <c r="U178" s="7">
        <v>19</v>
      </c>
      <c r="V178" s="7">
        <f>(644+644)/2</f>
        <v>644</v>
      </c>
      <c r="W178" s="7"/>
      <c r="X178" s="4">
        <f t="shared" si="689"/>
        <v>1.285171889692756</v>
      </c>
      <c r="Y178" s="7">
        <v>15.9</v>
      </c>
      <c r="Z178" s="10">
        <v>2</v>
      </c>
      <c r="AA178" s="7">
        <v>120</v>
      </c>
      <c r="AB178" s="7">
        <v>4</v>
      </c>
      <c r="AC178" s="7">
        <f>Z178</f>
        <v>2</v>
      </c>
      <c r="AD178" s="7">
        <f t="shared" si="690"/>
        <v>7.8</v>
      </c>
      <c r="AE178" s="4">
        <f t="shared" si="691"/>
        <v>559</v>
      </c>
      <c r="AF178" s="4">
        <f t="shared" si="692"/>
        <v>0.25641025641025639</v>
      </c>
      <c r="AG178" s="4">
        <f t="shared" si="693"/>
        <v>294.20433290598754</v>
      </c>
      <c r="AH178" s="4">
        <f t="shared" si="694"/>
        <v>0.73846153846153839</v>
      </c>
      <c r="AI178" s="4">
        <v>1.25</v>
      </c>
      <c r="AJ178" s="4">
        <f t="shared" si="760"/>
        <v>2.5</v>
      </c>
      <c r="AK178" s="38">
        <f t="shared" si="761"/>
        <v>174.08540408638314</v>
      </c>
      <c r="AL178" s="38">
        <f t="shared" si="762"/>
        <v>174.08540408638314</v>
      </c>
      <c r="AM178" s="38">
        <f t="shared" si="695"/>
        <v>3.613311826901703</v>
      </c>
      <c r="AN178" s="38">
        <f t="shared" si="640"/>
        <v>174.08540408638308</v>
      </c>
      <c r="AO178" s="38">
        <f t="shared" si="548"/>
        <v>1.0000000000000002</v>
      </c>
      <c r="AP178" s="38">
        <f t="shared" si="641"/>
        <v>2.4011203132950989</v>
      </c>
      <c r="AQ178" s="4">
        <f t="shared" si="642"/>
        <v>0</v>
      </c>
      <c r="AR178" s="4" t="e">
        <f>#REF!/G178*F178^0.5/0.19</f>
        <v>#REF!</v>
      </c>
      <c r="AS178" s="4">
        <f t="shared" si="696"/>
        <v>1</v>
      </c>
      <c r="AT178" s="38">
        <f t="shared" si="697"/>
        <v>418</v>
      </c>
      <c r="AU178" s="4">
        <f t="shared" si="698"/>
        <v>0.44000000000000006</v>
      </c>
      <c r="AV178" s="4" t="e">
        <f>AU178*D178*#REF!/(D178*G178/2.75/F178^0.5)</f>
        <v>#REF!</v>
      </c>
      <c r="AW178" s="4" t="e">
        <f t="shared" si="699"/>
        <v>#REF!</v>
      </c>
      <c r="AY178" s="4">
        <f t="shared" si="700"/>
        <v>1.5</v>
      </c>
      <c r="AZ178" s="4" t="e">
        <f>(3*#REF!+30)*AY178*F178^0.5</f>
        <v>#REF!</v>
      </c>
      <c r="BB178" s="4">
        <f t="shared" si="701"/>
        <v>400.91311806903559</v>
      </c>
      <c r="BC178" s="4">
        <f t="shared" si="702"/>
        <v>641.65616063635548</v>
      </c>
      <c r="BD178" s="4">
        <f t="shared" si="703"/>
        <v>1.6004868180089455</v>
      </c>
      <c r="BL178" s="4">
        <f t="shared" si="704"/>
        <v>86</v>
      </c>
      <c r="BP178" s="9"/>
      <c r="BR178" s="9"/>
      <c r="BS178" s="9"/>
      <c r="BT178" s="9">
        <f t="shared" si="705"/>
        <v>56</v>
      </c>
      <c r="BU178" s="9">
        <f t="shared" si="706"/>
        <v>86</v>
      </c>
      <c r="BV178" s="9">
        <f t="shared" si="707"/>
        <v>1.2170441953580799</v>
      </c>
      <c r="BW178" s="9">
        <v>20</v>
      </c>
      <c r="BX178" s="9">
        <f t="shared" si="708"/>
        <v>0.05</v>
      </c>
      <c r="BY178" s="9">
        <f t="shared" si="709"/>
        <v>0.8</v>
      </c>
      <c r="BZ178" s="9">
        <f t="shared" si="710"/>
        <v>0.84984840943171969</v>
      </c>
      <c r="CA178" s="9">
        <f t="shared" si="711"/>
        <v>0.84399999999999997</v>
      </c>
      <c r="CB178" s="9">
        <f t="shared" si="712"/>
        <v>1.6230806409213159</v>
      </c>
      <c r="CC178" s="9">
        <f t="shared" si="713"/>
        <v>3.2738253853684127</v>
      </c>
      <c r="CD178" s="9">
        <v>1</v>
      </c>
      <c r="CE178" s="9" t="e">
        <f>4*CC178*#REF!+60*CC178</f>
        <v>#REF!</v>
      </c>
      <c r="CG178" s="4" t="e">
        <f t="shared" si="714"/>
        <v>#REF!</v>
      </c>
      <c r="CH178" s="4" t="e">
        <f t="shared" si="715"/>
        <v>#REF!</v>
      </c>
      <c r="CI178" s="4" t="e">
        <f t="shared" si="716"/>
        <v>#REF!</v>
      </c>
      <c r="CJ178" s="4" t="e">
        <f t="shared" si="717"/>
        <v>#REF!</v>
      </c>
      <c r="CK178" s="4">
        <f t="shared" si="718"/>
        <v>1.285171889692756</v>
      </c>
      <c r="CL178" s="4">
        <f t="shared" si="719"/>
        <v>1.3701259564751176</v>
      </c>
      <c r="CM178" s="4">
        <f t="shared" si="720"/>
        <v>1.2505080698215565</v>
      </c>
      <c r="CU178" s="4" t="e">
        <f>CG178</f>
        <v>#REF!</v>
      </c>
      <c r="CV178" s="4" t="e">
        <f>CH178</f>
        <v>#REF!</v>
      </c>
      <c r="CW178" s="4" t="e">
        <f>CJ178</f>
        <v>#REF!</v>
      </c>
      <c r="CX178" s="4">
        <f t="shared" si="771"/>
        <v>1.2505080698215565</v>
      </c>
      <c r="CY178" s="4">
        <f>CK178</f>
        <v>1.285171889692756</v>
      </c>
      <c r="CZ178" s="4">
        <f>CL178</f>
        <v>1.3701259564751176</v>
      </c>
      <c r="DB178" s="4">
        <f t="shared" si="722"/>
        <v>2</v>
      </c>
      <c r="DC178" s="4" t="e">
        <f>#REF!</f>
        <v>#REF!</v>
      </c>
      <c r="DF178" s="4">
        <f t="shared" si="723"/>
        <v>2.5159418755006149E-5</v>
      </c>
      <c r="DG178" s="4">
        <f t="shared" si="724"/>
        <v>7.6224622307194574</v>
      </c>
      <c r="DH178" s="4">
        <f t="shared" si="725"/>
        <v>0.38953494241128567</v>
      </c>
      <c r="DI178" s="4">
        <f t="shared" si="726"/>
        <v>5.2277384310464221</v>
      </c>
      <c r="DJ178" s="4">
        <f t="shared" si="727"/>
        <v>6.5360889007016727</v>
      </c>
      <c r="DK178" s="4">
        <f t="shared" si="728"/>
        <v>6.4468966142736903</v>
      </c>
      <c r="DL178" s="38">
        <f t="shared" si="729"/>
        <v>501.10028484513464</v>
      </c>
      <c r="DM178" s="4" t="e">
        <f t="shared" si="730"/>
        <v>#REF!</v>
      </c>
      <c r="DN178" s="4">
        <f t="shared" si="731"/>
        <v>2.2360679774997898</v>
      </c>
      <c r="DO178" s="4">
        <f t="shared" si="732"/>
        <v>174.08540408638308</v>
      </c>
      <c r="DS178" s="4">
        <f t="shared" si="733"/>
        <v>0.85</v>
      </c>
      <c r="DT178" s="4">
        <f t="shared" si="734"/>
        <v>0.9</v>
      </c>
      <c r="DU178" s="4">
        <f t="shared" si="735"/>
        <v>0.91092644672796108</v>
      </c>
      <c r="DV178" s="4">
        <f t="shared" si="736"/>
        <v>0.81983380205516498</v>
      </c>
      <c r="DX178" s="4">
        <f t="shared" si="737"/>
        <v>470.02977861743432</v>
      </c>
      <c r="DY178" s="25">
        <f t="shared" si="738"/>
        <v>172.75375161937544</v>
      </c>
      <c r="EB178" s="4">
        <f t="shared" si="739"/>
        <v>7.6224622307194574</v>
      </c>
      <c r="EE178" s="4">
        <f t="shared" si="740"/>
        <v>96.150923032490965</v>
      </c>
      <c r="EF178" s="4">
        <f t="shared" si="741"/>
        <v>2.2360679774997898</v>
      </c>
      <c r="EG178" s="4">
        <f t="shared" si="742"/>
        <v>0.1377113790969261</v>
      </c>
      <c r="EJ178" s="4">
        <f t="shared" si="743"/>
        <v>0.1377113790969261</v>
      </c>
      <c r="EK178" s="4">
        <f t="shared" si="744"/>
        <v>0.38888488119184528</v>
      </c>
      <c r="EL178" s="4">
        <f t="shared" si="745"/>
        <v>5.2242470339685472</v>
      </c>
      <c r="EM178" s="4">
        <f t="shared" si="746"/>
        <v>6.5346953129848373</v>
      </c>
      <c r="EN178" s="4" t="e">
        <f t="shared" si="747"/>
        <v>#REF!</v>
      </c>
      <c r="EO178" s="4" t="e">
        <f t="shared" si="748"/>
        <v>#REF!</v>
      </c>
      <c r="EP178" s="4" t="e">
        <f t="shared" si="749"/>
        <v>#REF!</v>
      </c>
      <c r="EQ178" s="4" t="e">
        <f t="shared" si="750"/>
        <v>#REF!</v>
      </c>
      <c r="ER178" s="4" t="e">
        <f t="shared" si="751"/>
        <v>#REF!</v>
      </c>
      <c r="FA178" s="23" t="e">
        <f t="shared" si="752"/>
        <v>#REF!</v>
      </c>
      <c r="FB178" s="23" t="e">
        <f t="shared" si="753"/>
        <v>#REF!</v>
      </c>
      <c r="FC178" s="23">
        <f t="shared" si="754"/>
        <v>1.4</v>
      </c>
      <c r="FD178" s="23" t="e">
        <f t="shared" si="755"/>
        <v>#REF!</v>
      </c>
      <c r="FE178" s="23">
        <f t="shared" si="756"/>
        <v>1.4</v>
      </c>
      <c r="FF178" s="23">
        <f t="shared" si="757"/>
        <v>1.4</v>
      </c>
      <c r="FG178" s="23">
        <f t="shared" si="758"/>
        <v>0</v>
      </c>
      <c r="FH178" s="23"/>
      <c r="FR178" s="4">
        <f t="shared" si="607"/>
        <v>1</v>
      </c>
      <c r="FS178" s="4">
        <f t="shared" si="608"/>
        <v>0.49190749660801991</v>
      </c>
      <c r="FT178" s="4">
        <f t="shared" si="609"/>
        <v>0.3</v>
      </c>
      <c r="FU178" s="4">
        <f t="shared" si="610"/>
        <v>514.99067902208481</v>
      </c>
    </row>
    <row r="179" spans="2:177" ht="12" customHeight="1" x14ac:dyDescent="0.3">
      <c r="B179" s="24"/>
      <c r="C179" s="4" t="s">
        <v>164</v>
      </c>
      <c r="D179" s="7">
        <v>606</v>
      </c>
      <c r="E179" s="7">
        <f>16*G179</f>
        <v>688</v>
      </c>
      <c r="F179" s="7">
        <v>45.8</v>
      </c>
      <c r="G179" s="37">
        <v>43</v>
      </c>
      <c r="H179" s="7">
        <f t="shared" si="680"/>
        <v>344</v>
      </c>
      <c r="I179" s="7">
        <f>1*G179</f>
        <v>43</v>
      </c>
      <c r="J179" s="7">
        <f t="shared" si="759"/>
        <v>56</v>
      </c>
      <c r="K179" s="7">
        <f t="shared" si="768"/>
        <v>172</v>
      </c>
      <c r="L179" s="7">
        <v>2</v>
      </c>
      <c r="M179" s="7">
        <f t="shared" si="769"/>
        <v>358.66666666666663</v>
      </c>
      <c r="N179" s="7">
        <f t="shared" si="684"/>
        <v>1.5</v>
      </c>
      <c r="O179" s="7">
        <f t="shared" si="685"/>
        <v>1.5</v>
      </c>
      <c r="P179" s="7">
        <f t="shared" si="676"/>
        <v>4</v>
      </c>
      <c r="Q179" s="7">
        <f t="shared" si="676"/>
        <v>4</v>
      </c>
      <c r="R179" s="7">
        <f t="shared" si="686"/>
        <v>5</v>
      </c>
      <c r="S179" s="7">
        <f t="shared" si="687"/>
        <v>96.150923032490965</v>
      </c>
      <c r="T179" s="7">
        <f t="shared" si="688"/>
        <v>606</v>
      </c>
      <c r="U179" s="7">
        <v>19</v>
      </c>
      <c r="V179" s="7">
        <f>(572+572)/2</f>
        <v>572</v>
      </c>
      <c r="W179" s="7"/>
      <c r="X179" s="4">
        <f t="shared" si="689"/>
        <v>1.1618846803400318</v>
      </c>
      <c r="Y179" s="7"/>
      <c r="Z179" s="7"/>
      <c r="AA179" s="7">
        <v>1</v>
      </c>
      <c r="AB179" s="7"/>
      <c r="AC179" s="7"/>
      <c r="AD179" s="7">
        <f t="shared" si="690"/>
        <v>9.6</v>
      </c>
      <c r="AE179" s="4">
        <f t="shared" si="691"/>
        <v>688</v>
      </c>
      <c r="AF179" s="4">
        <f t="shared" si="692"/>
        <v>0.16666666666666666</v>
      </c>
      <c r="AG179" s="4">
        <f t="shared" si="693"/>
        <v>420.49284288370211</v>
      </c>
      <c r="AH179" s="4">
        <f t="shared" si="694"/>
        <v>0.71875</v>
      </c>
      <c r="AI179" s="4">
        <v>1.25</v>
      </c>
      <c r="AJ179" s="4">
        <f t="shared" si="760"/>
        <v>2.5</v>
      </c>
      <c r="AK179" s="38">
        <f t="shared" si="761"/>
        <v>157.41105772013586</v>
      </c>
      <c r="AL179" s="38">
        <f t="shared" si="762"/>
        <v>157.41105772013586</v>
      </c>
      <c r="AM179" s="38">
        <f t="shared" si="695"/>
        <v>3.8402978284624769</v>
      </c>
      <c r="AN179" s="38">
        <f t="shared" si="640"/>
        <v>157.41105772013589</v>
      </c>
      <c r="AO179" s="38">
        <f t="shared" si="548"/>
        <v>0.99999999999999978</v>
      </c>
      <c r="AP179" s="38">
        <f t="shared" si="641"/>
        <v>1.7457477510161459</v>
      </c>
      <c r="AQ179" s="4">
        <f t="shared" si="642"/>
        <v>0</v>
      </c>
      <c r="AR179" s="4" t="e">
        <f>#REF!/G179*F179^0.5/0.19</f>
        <v>#REF!</v>
      </c>
      <c r="AS179" s="4">
        <f t="shared" si="696"/>
        <v>1</v>
      </c>
      <c r="AT179" s="38">
        <f t="shared" si="697"/>
        <v>274.79999999999995</v>
      </c>
      <c r="AU179" s="4">
        <f t="shared" si="698"/>
        <v>0.44000000000000006</v>
      </c>
      <c r="AV179" s="4" t="e">
        <f>AU179*D179*#REF!/(D179*G179/2.75/F179^0.5)</f>
        <v>#REF!</v>
      </c>
      <c r="AW179" s="4" t="e">
        <f t="shared" si="699"/>
        <v>#REF!</v>
      </c>
      <c r="AY179" s="4">
        <f t="shared" si="700"/>
        <v>1</v>
      </c>
      <c r="AZ179" s="4" t="e">
        <f>(3*#REF!+30)*AY179*F179^0.5</f>
        <v>#REF!</v>
      </c>
      <c r="BB179" s="4">
        <f t="shared" si="701"/>
        <v>263.56680585016983</v>
      </c>
      <c r="BC179" s="4">
        <f t="shared" si="702"/>
        <v>641.65616063635548</v>
      </c>
      <c r="BD179" s="4">
        <f t="shared" si="703"/>
        <v>2.4345105164764891</v>
      </c>
      <c r="BL179" s="4">
        <f t="shared" si="704"/>
        <v>43</v>
      </c>
      <c r="BP179" s="9"/>
      <c r="BR179" s="9"/>
      <c r="BS179" s="9"/>
      <c r="BT179" s="9">
        <f t="shared" si="705"/>
        <v>43</v>
      </c>
      <c r="BU179" s="9">
        <f t="shared" si="706"/>
        <v>86</v>
      </c>
      <c r="BV179" s="9">
        <f t="shared" si="707"/>
        <v>1.1095694720678451</v>
      </c>
      <c r="BW179" s="9">
        <v>0</v>
      </c>
      <c r="BX179" s="9">
        <f t="shared" si="708"/>
        <v>0</v>
      </c>
      <c r="BY179" s="9">
        <f t="shared" si="709"/>
        <v>0</v>
      </c>
      <c r="BZ179" s="9">
        <f t="shared" si="710"/>
        <v>0.84984840943171969</v>
      </c>
      <c r="CA179" s="9">
        <f t="shared" si="711"/>
        <v>0.84399999999999997</v>
      </c>
      <c r="CB179" s="9">
        <f t="shared" si="712"/>
        <v>1.6989660317871056</v>
      </c>
      <c r="CC179" s="9">
        <f t="shared" si="713"/>
        <v>1.8851208429512205</v>
      </c>
      <c r="CD179" s="9">
        <v>1</v>
      </c>
      <c r="CE179" s="9" t="e">
        <f>4*CC179*#REF!+60*CC179</f>
        <v>#REF!</v>
      </c>
      <c r="CG179" s="4" t="e">
        <f t="shared" si="714"/>
        <v>#REF!</v>
      </c>
      <c r="CH179" s="4" t="e">
        <f t="shared" si="715"/>
        <v>#REF!</v>
      </c>
      <c r="CI179" s="4" t="e">
        <f t="shared" si="716"/>
        <v>#REF!</v>
      </c>
      <c r="CJ179" s="4" t="e">
        <f t="shared" si="717"/>
        <v>#REF!</v>
      </c>
      <c r="CK179" s="4">
        <f t="shared" si="718"/>
        <v>1.1618846803400318</v>
      </c>
      <c r="CL179" s="4">
        <f t="shared" si="719"/>
        <v>1.2158256317980205</v>
      </c>
      <c r="CM179" s="4">
        <f t="shared" si="720"/>
        <v>1.6810691019807604</v>
      </c>
      <c r="CO179" s="4" t="e">
        <f>CG179</f>
        <v>#REF!</v>
      </c>
      <c r="CP179" s="4" t="e">
        <f>CH179</f>
        <v>#REF!</v>
      </c>
      <c r="CQ179" s="4" t="e">
        <f>CJ179</f>
        <v>#REF!</v>
      </c>
      <c r="CR179" s="4">
        <f t="shared" ref="CR179:CR180" si="772">CM179</f>
        <v>1.6810691019807604</v>
      </c>
      <c r="CS179" s="4">
        <f>CK179</f>
        <v>1.1618846803400318</v>
      </c>
      <c r="CT179" s="4">
        <f>CL179</f>
        <v>1.2158256317980205</v>
      </c>
      <c r="DB179" s="4">
        <f t="shared" si="722"/>
        <v>0</v>
      </c>
      <c r="DC179" s="4" t="e">
        <f>#REF!</f>
        <v>#REF!</v>
      </c>
      <c r="DF179" s="4">
        <f t="shared" si="723"/>
        <v>3.1780084856411147E-5</v>
      </c>
      <c r="DG179" s="4">
        <f t="shared" si="724"/>
        <v>6.5413245857119913</v>
      </c>
      <c r="DH179" s="4">
        <f t="shared" si="725"/>
        <v>0.32146234039283844</v>
      </c>
      <c r="DI179" s="4">
        <f t="shared" si="726"/>
        <v>4.154490216734021</v>
      </c>
      <c r="DJ179" s="4">
        <f t="shared" si="727"/>
        <v>5.4800752805835637</v>
      </c>
      <c r="DK179" s="4">
        <f t="shared" si="728"/>
        <v>5.2315820417165027</v>
      </c>
      <c r="DL179" s="38">
        <f t="shared" si="729"/>
        <v>492.3035906047071</v>
      </c>
      <c r="DM179" s="4" t="e">
        <f t="shared" si="730"/>
        <v>#REF!</v>
      </c>
      <c r="DN179" s="4">
        <f t="shared" si="731"/>
        <v>2.2360679774997898</v>
      </c>
      <c r="DO179" s="4">
        <f t="shared" si="732"/>
        <v>157.41105772013589</v>
      </c>
      <c r="DS179" s="4">
        <f t="shared" si="733"/>
        <v>0.85</v>
      </c>
      <c r="DT179" s="4">
        <f t="shared" si="734"/>
        <v>1</v>
      </c>
      <c r="DU179" s="4">
        <f t="shared" si="735"/>
        <v>1</v>
      </c>
      <c r="DV179" s="4">
        <f t="shared" si="736"/>
        <v>1</v>
      </c>
      <c r="DX179" s="4">
        <f t="shared" si="737"/>
        <v>470.46219872342988</v>
      </c>
      <c r="DY179" s="25">
        <f t="shared" si="738"/>
        <v>156.47861860925426</v>
      </c>
      <c r="EB179" s="4">
        <f t="shared" si="739"/>
        <v>6.5413245857119913</v>
      </c>
      <c r="EE179" s="4">
        <f t="shared" si="740"/>
        <v>96.150923032490965</v>
      </c>
      <c r="EF179" s="4">
        <f t="shared" si="741"/>
        <v>2.2360679774997898</v>
      </c>
      <c r="EG179" s="4">
        <f t="shared" si="742"/>
        <v>0.1189592196523231</v>
      </c>
      <c r="EJ179" s="4">
        <f t="shared" si="743"/>
        <v>0.1189592196523231</v>
      </c>
      <c r="EK179" s="4">
        <f t="shared" si="744"/>
        <v>0.32092587965915864</v>
      </c>
      <c r="EL179" s="4">
        <f t="shared" si="745"/>
        <v>4.1517155991447741</v>
      </c>
      <c r="EM179" s="4">
        <f t="shared" si="746"/>
        <v>5.4790269878759252</v>
      </c>
      <c r="EN179" s="4" t="e">
        <f t="shared" si="747"/>
        <v>#REF!</v>
      </c>
      <c r="EO179" s="4" t="e">
        <f t="shared" si="748"/>
        <v>#REF!</v>
      </c>
      <c r="EP179" s="4" t="e">
        <f t="shared" si="749"/>
        <v>#REF!</v>
      </c>
      <c r="EQ179" s="4" t="e">
        <f t="shared" si="750"/>
        <v>#REF!</v>
      </c>
      <c r="ER179" s="4" t="e">
        <f t="shared" si="751"/>
        <v>#REF!</v>
      </c>
      <c r="FA179" s="23" t="e">
        <f t="shared" si="752"/>
        <v>#REF!</v>
      </c>
      <c r="FB179" s="23" t="e">
        <f t="shared" si="753"/>
        <v>#REF!</v>
      </c>
      <c r="FC179" s="23">
        <f t="shared" si="754"/>
        <v>1.8</v>
      </c>
      <c r="FD179" s="23" t="e">
        <f t="shared" si="755"/>
        <v>#REF!</v>
      </c>
      <c r="FE179" s="23">
        <f t="shared" si="756"/>
        <v>1.2</v>
      </c>
      <c r="FF179" s="23">
        <f t="shared" si="757"/>
        <v>1.4</v>
      </c>
      <c r="FG179" s="23">
        <f t="shared" si="758"/>
        <v>0</v>
      </c>
      <c r="FH179" s="23"/>
      <c r="FR179" s="4">
        <f t="shared" si="607"/>
        <v>1.25</v>
      </c>
      <c r="FS179" s="4">
        <f t="shared" si="608"/>
        <v>0.75</v>
      </c>
      <c r="FT179" s="4">
        <f t="shared" si="609"/>
        <v>0</v>
      </c>
      <c r="FU179" s="4">
        <f t="shared" si="610"/>
        <v>340.25965935964626</v>
      </c>
    </row>
    <row r="180" spans="2:177" ht="12" customHeight="1" x14ac:dyDescent="0.3">
      <c r="B180" s="24"/>
      <c r="C180" s="4" t="s">
        <v>165</v>
      </c>
      <c r="D180" s="7">
        <v>606</v>
      </c>
      <c r="E180" s="7">
        <f t="shared" ref="E180:E182" si="773">16*G180</f>
        <v>688</v>
      </c>
      <c r="F180" s="7">
        <v>45.8</v>
      </c>
      <c r="G180" s="37">
        <v>43</v>
      </c>
      <c r="H180" s="7">
        <f t="shared" si="680"/>
        <v>430</v>
      </c>
      <c r="I180" s="7">
        <f>2*G180</f>
        <v>86</v>
      </c>
      <c r="J180" s="7">
        <f t="shared" si="759"/>
        <v>56</v>
      </c>
      <c r="K180" s="7">
        <f t="shared" si="768"/>
        <v>172</v>
      </c>
      <c r="L180" s="7">
        <v>2</v>
      </c>
      <c r="M180" s="7">
        <f t="shared" si="769"/>
        <v>358.66666666666663</v>
      </c>
      <c r="N180" s="7">
        <f t="shared" si="684"/>
        <v>2.5</v>
      </c>
      <c r="O180" s="7">
        <f t="shared" si="685"/>
        <v>2.5</v>
      </c>
      <c r="P180" s="7">
        <f t="shared" si="676"/>
        <v>4</v>
      </c>
      <c r="Q180" s="7">
        <f t="shared" si="676"/>
        <v>4</v>
      </c>
      <c r="R180" s="7">
        <f t="shared" si="686"/>
        <v>5</v>
      </c>
      <c r="S180" s="7">
        <f t="shared" si="687"/>
        <v>96.150923032490965</v>
      </c>
      <c r="T180" s="7">
        <f t="shared" si="688"/>
        <v>606</v>
      </c>
      <c r="U180" s="7">
        <v>19</v>
      </c>
      <c r="V180" s="7">
        <f>(607+607)/2</f>
        <v>607</v>
      </c>
      <c r="W180" s="7"/>
      <c r="X180" s="4">
        <f t="shared" si="689"/>
        <v>1.0461407976053076</v>
      </c>
      <c r="Y180" s="7"/>
      <c r="Z180" s="7"/>
      <c r="AA180" s="7">
        <v>1</v>
      </c>
      <c r="AB180" s="7"/>
      <c r="AC180" s="7"/>
      <c r="AD180" s="7">
        <f t="shared" si="690"/>
        <v>9.6</v>
      </c>
      <c r="AE180" s="4">
        <f t="shared" si="691"/>
        <v>688</v>
      </c>
      <c r="AF180" s="4">
        <f t="shared" si="692"/>
        <v>0.20833333333333334</v>
      </c>
      <c r="AG180" s="4">
        <f t="shared" si="693"/>
        <v>420.49284288370211</v>
      </c>
      <c r="AH180" s="4">
        <f t="shared" si="694"/>
        <v>0.73124999999999996</v>
      </c>
      <c r="AI180" s="4">
        <v>1.25</v>
      </c>
      <c r="AJ180" s="4">
        <f t="shared" si="760"/>
        <v>2.5</v>
      </c>
      <c r="AK180" s="38">
        <f t="shared" si="761"/>
        <v>200.18580166582498</v>
      </c>
      <c r="AL180" s="38">
        <f t="shared" si="762"/>
        <v>200.18580166582498</v>
      </c>
      <c r="AM180" s="38">
        <f t="shared" si="695"/>
        <v>3.8402978284624769</v>
      </c>
      <c r="AN180" s="38">
        <f t="shared" si="640"/>
        <v>200.18580166582495</v>
      </c>
      <c r="AO180" s="38">
        <f t="shared" si="548"/>
        <v>1.0000000000000002</v>
      </c>
      <c r="AP180" s="38">
        <f t="shared" si="641"/>
        <v>2.2878745454912459</v>
      </c>
      <c r="AQ180" s="4">
        <f t="shared" si="642"/>
        <v>0</v>
      </c>
      <c r="AR180" s="4" t="e">
        <f>#REF!/G180*F180^0.5/0.19</f>
        <v>#REF!</v>
      </c>
      <c r="AS180" s="4">
        <f t="shared" si="696"/>
        <v>1</v>
      </c>
      <c r="AT180" s="38">
        <f t="shared" si="697"/>
        <v>458</v>
      </c>
      <c r="AU180" s="4">
        <f t="shared" si="698"/>
        <v>0.44000000000000006</v>
      </c>
      <c r="AV180" s="4" t="e">
        <f>AU180*D180*#REF!/(D180*G180/2.75/F180^0.5)</f>
        <v>#REF!</v>
      </c>
      <c r="AW180" s="4" t="e">
        <f t="shared" si="699"/>
        <v>#REF!</v>
      </c>
      <c r="AY180" s="4">
        <f t="shared" si="700"/>
        <v>1.25</v>
      </c>
      <c r="AZ180" s="4" t="e">
        <f>(3*#REF!+30)*AY180*F180^0.5</f>
        <v>#REF!</v>
      </c>
      <c r="BB180" s="4">
        <f t="shared" si="701"/>
        <v>439.27800975028305</v>
      </c>
      <c r="BC180" s="4">
        <f t="shared" si="702"/>
        <v>641.65616063635548</v>
      </c>
      <c r="BD180" s="4">
        <f t="shared" si="703"/>
        <v>1.4607063098858935</v>
      </c>
      <c r="BL180" s="4">
        <f t="shared" si="704"/>
        <v>86</v>
      </c>
      <c r="BP180" s="9"/>
      <c r="BR180" s="9"/>
      <c r="BS180" s="9"/>
      <c r="BT180" s="9">
        <f t="shared" si="705"/>
        <v>56</v>
      </c>
      <c r="BU180" s="9">
        <f t="shared" si="706"/>
        <v>86</v>
      </c>
      <c r="BV180" s="9">
        <f t="shared" si="707"/>
        <v>1.2170441953580799</v>
      </c>
      <c r="BW180" s="9">
        <v>0</v>
      </c>
      <c r="BX180" s="9">
        <f t="shared" si="708"/>
        <v>0</v>
      </c>
      <c r="BY180" s="9">
        <f t="shared" si="709"/>
        <v>0</v>
      </c>
      <c r="BZ180" s="9">
        <f t="shared" si="710"/>
        <v>0.84984840943171969</v>
      </c>
      <c r="CA180" s="9">
        <f t="shared" si="711"/>
        <v>0.84399999999999997</v>
      </c>
      <c r="CB180" s="9">
        <f t="shared" si="712"/>
        <v>1.6989660317871056</v>
      </c>
      <c r="CC180" s="9">
        <f t="shared" si="713"/>
        <v>2.0677167470970481</v>
      </c>
      <c r="CD180" s="9">
        <v>1</v>
      </c>
      <c r="CE180" s="9" t="e">
        <f>4*CC180*#REF!+60*CC180</f>
        <v>#REF!</v>
      </c>
      <c r="CG180" s="4" t="e">
        <f t="shared" si="714"/>
        <v>#REF!</v>
      </c>
      <c r="CH180" s="4" t="e">
        <f t="shared" si="715"/>
        <v>#REF!</v>
      </c>
      <c r="CI180" s="4" t="e">
        <f t="shared" si="716"/>
        <v>#REF!</v>
      </c>
      <c r="CJ180" s="4" t="e">
        <f t="shared" si="717"/>
        <v>#REF!</v>
      </c>
      <c r="CK180" s="4">
        <f t="shared" si="718"/>
        <v>1.0461407976053076</v>
      </c>
      <c r="CL180" s="4">
        <f t="shared" si="719"/>
        <v>1.1078654557321155</v>
      </c>
      <c r="CM180" s="4">
        <f t="shared" si="720"/>
        <v>1.4271453774857643</v>
      </c>
      <c r="CO180" s="4" t="e">
        <f>CG180</f>
        <v>#REF!</v>
      </c>
      <c r="CP180" s="4" t="e">
        <f>CH180</f>
        <v>#REF!</v>
      </c>
      <c r="CQ180" s="4" t="e">
        <f>CJ180</f>
        <v>#REF!</v>
      </c>
      <c r="CR180" s="4">
        <f t="shared" si="772"/>
        <v>1.4271453774857643</v>
      </c>
      <c r="CS180" s="4">
        <f>CK180</f>
        <v>1.0461407976053076</v>
      </c>
      <c r="CT180" s="4">
        <f>CL180</f>
        <v>1.1078654557321155</v>
      </c>
      <c r="DB180" s="4">
        <f t="shared" si="722"/>
        <v>0</v>
      </c>
      <c r="DC180" s="4" t="e">
        <f>#REF!</f>
        <v>#REF!</v>
      </c>
      <c r="DF180" s="4">
        <f t="shared" si="723"/>
        <v>3.1780084856411147E-5</v>
      </c>
      <c r="DG180" s="4">
        <f t="shared" si="724"/>
        <v>7.2681384285688786</v>
      </c>
      <c r="DH180" s="4">
        <f t="shared" si="725"/>
        <v>0.40881623723871846</v>
      </c>
      <c r="DI180" s="4">
        <f t="shared" si="726"/>
        <v>5.0819974748536216</v>
      </c>
      <c r="DJ180" s="4">
        <f t="shared" si="727"/>
        <v>6.2713583807787048</v>
      </c>
      <c r="DK180" s="4">
        <f t="shared" si="728"/>
        <v>5.6034242965167413</v>
      </c>
      <c r="DL180" s="38">
        <f t="shared" si="729"/>
        <v>580.22782534575379</v>
      </c>
      <c r="DM180" s="4" t="e">
        <f t="shared" si="730"/>
        <v>#REF!</v>
      </c>
      <c r="DN180" s="4">
        <f t="shared" si="731"/>
        <v>2.2360679774997898</v>
      </c>
      <c r="DO180" s="4">
        <f t="shared" si="732"/>
        <v>200.18580166582495</v>
      </c>
      <c r="DS180" s="4">
        <f t="shared" si="733"/>
        <v>0.85</v>
      </c>
      <c r="DT180" s="4">
        <f t="shared" si="734"/>
        <v>0.9</v>
      </c>
      <c r="DU180" s="4">
        <f t="shared" si="735"/>
        <v>1</v>
      </c>
      <c r="DV180" s="4">
        <f t="shared" si="736"/>
        <v>0.9</v>
      </c>
      <c r="DX180" s="4">
        <f t="shared" si="737"/>
        <v>547.90046648658574</v>
      </c>
      <c r="DY180" s="25">
        <f t="shared" si="738"/>
        <v>199.02982191527957</v>
      </c>
      <c r="EB180" s="4">
        <f t="shared" si="739"/>
        <v>7.2681384285688786</v>
      </c>
      <c r="EE180" s="4">
        <f t="shared" si="740"/>
        <v>96.150923032490965</v>
      </c>
      <c r="EF180" s="4">
        <f t="shared" si="741"/>
        <v>2.2360679774997898</v>
      </c>
      <c r="EG180" s="4">
        <f t="shared" si="742"/>
        <v>0.15128509455784567</v>
      </c>
      <c r="EJ180" s="4">
        <f t="shared" si="743"/>
        <v>0.15128509455784567</v>
      </c>
      <c r="EK180" s="4">
        <f t="shared" si="744"/>
        <v>0.40813399913175602</v>
      </c>
      <c r="EL180" s="4">
        <f t="shared" si="745"/>
        <v>5.0786034123220896</v>
      </c>
      <c r="EM180" s="4">
        <f t="shared" si="746"/>
        <v>6.2699854603578888</v>
      </c>
      <c r="EN180" s="4" t="e">
        <f t="shared" si="747"/>
        <v>#REF!</v>
      </c>
      <c r="EO180" s="4" t="e">
        <f t="shared" si="748"/>
        <v>#REF!</v>
      </c>
      <c r="EP180" s="4" t="e">
        <f t="shared" si="749"/>
        <v>#REF!</v>
      </c>
      <c r="EQ180" s="4" t="e">
        <f t="shared" si="750"/>
        <v>#REF!</v>
      </c>
      <c r="ER180" s="4" t="e">
        <f t="shared" si="751"/>
        <v>#REF!</v>
      </c>
      <c r="FA180" s="23" t="e">
        <f t="shared" si="752"/>
        <v>#REF!</v>
      </c>
      <c r="FB180" s="23" t="e">
        <f t="shared" si="753"/>
        <v>#REF!</v>
      </c>
      <c r="FC180" s="23">
        <f t="shared" si="754"/>
        <v>1.6</v>
      </c>
      <c r="FD180" s="23" t="e">
        <f t="shared" si="755"/>
        <v>#REF!</v>
      </c>
      <c r="FE180" s="23">
        <f t="shared" si="756"/>
        <v>1.2</v>
      </c>
      <c r="FF180" s="23">
        <f t="shared" si="757"/>
        <v>1.2</v>
      </c>
      <c r="FG180" s="23">
        <f t="shared" si="758"/>
        <v>0</v>
      </c>
      <c r="FH180" s="23"/>
      <c r="FR180" s="4">
        <f t="shared" si="607"/>
        <v>1</v>
      </c>
      <c r="FS180" s="4">
        <f t="shared" si="608"/>
        <v>0.75</v>
      </c>
      <c r="FT180" s="4">
        <f t="shared" si="609"/>
        <v>0</v>
      </c>
      <c r="FU180" s="4">
        <f t="shared" si="610"/>
        <v>425.3245741995579</v>
      </c>
    </row>
    <row r="181" spans="2:177" ht="12" customHeight="1" x14ac:dyDescent="0.3">
      <c r="B181" s="24"/>
      <c r="C181" s="4" t="s">
        <v>166</v>
      </c>
      <c r="D181" s="7">
        <v>606</v>
      </c>
      <c r="E181" s="7">
        <f t="shared" si="773"/>
        <v>688</v>
      </c>
      <c r="F181" s="7">
        <v>41.8</v>
      </c>
      <c r="G181" s="37">
        <v>43</v>
      </c>
      <c r="H181" s="7">
        <f t="shared" si="680"/>
        <v>344</v>
      </c>
      <c r="I181" s="7">
        <f>1*G181</f>
        <v>43</v>
      </c>
      <c r="J181" s="7">
        <f t="shared" si="759"/>
        <v>56</v>
      </c>
      <c r="K181" s="7">
        <f t="shared" si="768"/>
        <v>172</v>
      </c>
      <c r="L181" s="7">
        <v>2</v>
      </c>
      <c r="M181" s="7">
        <f t="shared" si="769"/>
        <v>358.66666666666663</v>
      </c>
      <c r="N181" s="7">
        <f t="shared" si="684"/>
        <v>1.5</v>
      </c>
      <c r="O181" s="7">
        <f t="shared" si="685"/>
        <v>1.5</v>
      </c>
      <c r="P181" s="7">
        <f t="shared" si="676"/>
        <v>4</v>
      </c>
      <c r="Q181" s="7">
        <f t="shared" si="676"/>
        <v>4</v>
      </c>
      <c r="R181" s="7">
        <f t="shared" si="686"/>
        <v>5</v>
      </c>
      <c r="S181" s="7">
        <f t="shared" si="687"/>
        <v>96.150923032490965</v>
      </c>
      <c r="T181" s="7">
        <f t="shared" si="688"/>
        <v>606</v>
      </c>
      <c r="U181" s="7">
        <v>19</v>
      </c>
      <c r="V181" s="7">
        <f>(424+424)/2</f>
        <v>424</v>
      </c>
      <c r="W181" s="7"/>
      <c r="X181" s="4">
        <f t="shared" si="689"/>
        <v>0.84308759932066202</v>
      </c>
      <c r="Y181" s="7">
        <v>15.9</v>
      </c>
      <c r="Z181" s="10">
        <v>2</v>
      </c>
      <c r="AA181" s="7">
        <v>120</v>
      </c>
      <c r="AB181" s="7">
        <v>4</v>
      </c>
      <c r="AC181" s="7">
        <f t="shared" ref="AC181:AC182" si="774">Z181</f>
        <v>2</v>
      </c>
      <c r="AD181" s="7">
        <f t="shared" si="690"/>
        <v>9.6</v>
      </c>
      <c r="AE181" s="4">
        <f t="shared" si="691"/>
        <v>688</v>
      </c>
      <c r="AF181" s="4">
        <f t="shared" si="692"/>
        <v>0.16666666666666666</v>
      </c>
      <c r="AG181" s="4">
        <f t="shared" si="693"/>
        <v>401.7112644757263</v>
      </c>
      <c r="AH181" s="4">
        <f t="shared" si="694"/>
        <v>0.71875</v>
      </c>
      <c r="AI181" s="4">
        <v>1.25</v>
      </c>
      <c r="AJ181" s="4">
        <f t="shared" si="760"/>
        <v>2.5</v>
      </c>
      <c r="AK181" s="38">
        <f>AF181*AH181*AI181*AJ181*AG181</f>
        <v>150.38019340725427</v>
      </c>
      <c r="AL181" s="38">
        <f t="shared" si="762"/>
        <v>150.38019340725427</v>
      </c>
      <c r="AM181" s="38">
        <f t="shared" si="695"/>
        <v>3.613311826901703</v>
      </c>
      <c r="AN181" s="38">
        <f t="shared" si="640"/>
        <v>150.38019340725435</v>
      </c>
      <c r="AO181" s="38">
        <f t="shared" si="548"/>
        <v>0.99999999999999944</v>
      </c>
      <c r="AP181" s="38">
        <f t="shared" si="641"/>
        <v>1.6677728251139579</v>
      </c>
      <c r="AQ181" s="4">
        <f t="shared" si="642"/>
        <v>0</v>
      </c>
      <c r="AR181" s="4" t="e">
        <f>#REF!/G181*F181^0.5/0.19</f>
        <v>#REF!</v>
      </c>
      <c r="AS181" s="4">
        <f t="shared" si="696"/>
        <v>1</v>
      </c>
      <c r="AT181" s="38">
        <f t="shared" si="697"/>
        <v>250.79999999999998</v>
      </c>
      <c r="AU181" s="4">
        <f t="shared" si="698"/>
        <v>0.44000000000000006</v>
      </c>
      <c r="AV181" s="4" t="e">
        <f>AU181*D181*#REF!/(D181*G181/2.75/F181^0.5)</f>
        <v>#REF!</v>
      </c>
      <c r="AW181" s="4" t="e">
        <f t="shared" si="699"/>
        <v>#REF!</v>
      </c>
      <c r="AY181" s="4">
        <f t="shared" si="700"/>
        <v>1.4</v>
      </c>
      <c r="AZ181" s="4" t="e">
        <f>(3*#REF!+30)*AY181*F181^0.5</f>
        <v>#REF!</v>
      </c>
      <c r="BB181" s="4">
        <f t="shared" si="701"/>
        <v>240.54787084142137</v>
      </c>
      <c r="BC181" s="4">
        <f t="shared" si="702"/>
        <v>641.65616063635548</v>
      </c>
      <c r="BD181" s="4">
        <f t="shared" si="703"/>
        <v>2.6674780300149092</v>
      </c>
      <c r="BL181" s="4">
        <f t="shared" si="704"/>
        <v>43</v>
      </c>
      <c r="BP181" s="9"/>
      <c r="BR181" s="9"/>
      <c r="BS181" s="9"/>
      <c r="BT181" s="9">
        <f t="shared" si="705"/>
        <v>43</v>
      </c>
      <c r="BU181" s="9">
        <f t="shared" si="706"/>
        <v>86</v>
      </c>
      <c r="BV181" s="9">
        <f t="shared" si="707"/>
        <v>1.1095694720678451</v>
      </c>
      <c r="BW181" s="9">
        <v>20</v>
      </c>
      <c r="BX181" s="9">
        <f t="shared" si="708"/>
        <v>0.05</v>
      </c>
      <c r="BY181" s="9">
        <f t="shared" si="709"/>
        <v>0.8</v>
      </c>
      <c r="BZ181" s="9">
        <f t="shared" si="710"/>
        <v>0.84984840943171969</v>
      </c>
      <c r="CA181" s="9">
        <f t="shared" si="711"/>
        <v>0.84399999999999997</v>
      </c>
      <c r="CB181" s="9">
        <f t="shared" si="712"/>
        <v>1.6230806409213159</v>
      </c>
      <c r="CC181" s="9">
        <f t="shared" si="713"/>
        <v>3.0993852426076569</v>
      </c>
      <c r="CD181" s="9">
        <v>1</v>
      </c>
      <c r="CE181" s="9" t="e">
        <f>4*CC181*#REF!+60*CC181</f>
        <v>#REF!</v>
      </c>
      <c r="CG181" s="4" t="e">
        <f t="shared" si="714"/>
        <v>#REF!</v>
      </c>
      <c r="CH181" s="4" t="e">
        <f t="shared" si="715"/>
        <v>#REF!</v>
      </c>
      <c r="CI181" s="4" t="e">
        <f t="shared" si="716"/>
        <v>#REF!</v>
      </c>
      <c r="CJ181" s="4" t="e">
        <f t="shared" si="717"/>
        <v>#REF!</v>
      </c>
      <c r="CK181" s="4">
        <f t="shared" si="718"/>
        <v>0.84308759932066202</v>
      </c>
      <c r="CL181" s="4">
        <f t="shared" si="719"/>
        <v>0.88558461738800009</v>
      </c>
      <c r="CM181" s="4">
        <f t="shared" si="720"/>
        <v>0.83618018255731019</v>
      </c>
      <c r="CU181" s="4" t="e">
        <f>CG181</f>
        <v>#REF!</v>
      </c>
      <c r="CV181" s="4" t="e">
        <f>CH181</f>
        <v>#REF!</v>
      </c>
      <c r="CW181" s="4" t="e">
        <f>CJ181</f>
        <v>#REF!</v>
      </c>
      <c r="CX181" s="4">
        <f t="shared" ref="CX181:CX182" si="775">CM181</f>
        <v>0.83618018255731019</v>
      </c>
      <c r="CY181" s="4">
        <f>CK181</f>
        <v>0.84308759932066202</v>
      </c>
      <c r="CZ181" s="4">
        <f>CL181</f>
        <v>0.88558461738800009</v>
      </c>
      <c r="DB181" s="4">
        <f t="shared" si="722"/>
        <v>2</v>
      </c>
      <c r="DC181" s="4" t="e">
        <f>#REF!</f>
        <v>#REF!</v>
      </c>
      <c r="DF181" s="4">
        <f t="shared" si="723"/>
        <v>3.0965438467699878E-5</v>
      </c>
      <c r="DG181" s="4">
        <f t="shared" si="724"/>
        <v>6.8602160076475114</v>
      </c>
      <c r="DH181" s="4">
        <f t="shared" si="725"/>
        <v>0.33649196660752562</v>
      </c>
      <c r="DI181" s="4">
        <f t="shared" si="726"/>
        <v>4.4373907190807582</v>
      </c>
      <c r="DJ181" s="4">
        <f t="shared" si="727"/>
        <v>5.7778067568446536</v>
      </c>
      <c r="DK181" s="4">
        <f t="shared" si="728"/>
        <v>5.4492167000577307</v>
      </c>
      <c r="DL181" s="38">
        <f t="shared" si="729"/>
        <v>502.91333942243739</v>
      </c>
      <c r="DM181" s="4" t="e">
        <f t="shared" si="730"/>
        <v>#REF!</v>
      </c>
      <c r="DN181" s="4">
        <f t="shared" si="731"/>
        <v>2.2360679774997898</v>
      </c>
      <c r="DO181" s="4">
        <f t="shared" si="732"/>
        <v>150.38019340725435</v>
      </c>
      <c r="DS181" s="4">
        <f t="shared" si="733"/>
        <v>0.85</v>
      </c>
      <c r="DT181" s="4">
        <f t="shared" si="734"/>
        <v>1</v>
      </c>
      <c r="DU181" s="4">
        <f t="shared" si="735"/>
        <v>0.91092644672796108</v>
      </c>
      <c r="DV181" s="4">
        <f t="shared" si="736"/>
        <v>0.91092644672796108</v>
      </c>
      <c r="DX181" s="4">
        <f t="shared" si="737"/>
        <v>478.77977064526334</v>
      </c>
      <c r="DY181" s="25">
        <f t="shared" si="738"/>
        <v>149.48940227818281</v>
      </c>
      <c r="EB181" s="4">
        <f t="shared" si="739"/>
        <v>6.8602160076475114</v>
      </c>
      <c r="EE181" s="4">
        <f t="shared" si="740"/>
        <v>96.150923032490965</v>
      </c>
      <c r="EF181" s="4">
        <f t="shared" si="741"/>
        <v>2.2360679774997898</v>
      </c>
      <c r="EG181" s="4">
        <f t="shared" si="742"/>
        <v>0.11895921965232313</v>
      </c>
      <c r="EJ181" s="4">
        <f t="shared" si="743"/>
        <v>0.11895921965232313</v>
      </c>
      <c r="EK181" s="4">
        <f t="shared" si="744"/>
        <v>0.33593042422883501</v>
      </c>
      <c r="EL181" s="4">
        <f t="shared" si="745"/>
        <v>4.4344271635788264</v>
      </c>
      <c r="EM181" s="4">
        <f t="shared" si="746"/>
        <v>5.7766720378636887</v>
      </c>
      <c r="EN181" s="4" t="e">
        <f t="shared" si="747"/>
        <v>#REF!</v>
      </c>
      <c r="EO181" s="4" t="e">
        <f t="shared" si="748"/>
        <v>#REF!</v>
      </c>
      <c r="EP181" s="4" t="e">
        <f t="shared" si="749"/>
        <v>#REF!</v>
      </c>
      <c r="EQ181" s="4" t="e">
        <f t="shared" si="750"/>
        <v>#REF!</v>
      </c>
      <c r="ER181" s="4" t="e">
        <f t="shared" si="751"/>
        <v>#REF!</v>
      </c>
      <c r="FA181" s="23" t="e">
        <f t="shared" si="752"/>
        <v>#REF!</v>
      </c>
      <c r="FB181" s="23" t="e">
        <f t="shared" si="753"/>
        <v>#REF!</v>
      </c>
      <c r="FC181" s="23">
        <f t="shared" si="754"/>
        <v>1</v>
      </c>
      <c r="FD181" s="23" t="e">
        <f t="shared" si="755"/>
        <v>#REF!</v>
      </c>
      <c r="FE181" s="23">
        <f t="shared" si="756"/>
        <v>1</v>
      </c>
      <c r="FF181" s="23">
        <f t="shared" si="757"/>
        <v>1</v>
      </c>
      <c r="FG181" s="23">
        <f t="shared" si="758"/>
        <v>0</v>
      </c>
      <c r="FH181" s="23"/>
      <c r="FR181" s="4">
        <f t="shared" si="607"/>
        <v>1.25</v>
      </c>
      <c r="FS181" s="4">
        <f t="shared" si="608"/>
        <v>0.49190749660801991</v>
      </c>
      <c r="FT181" s="4">
        <f t="shared" si="609"/>
        <v>0.3</v>
      </c>
      <c r="FU181" s="4">
        <f t="shared" si="610"/>
        <v>507.0677454986681</v>
      </c>
    </row>
    <row r="182" spans="2:177" ht="12" customHeight="1" x14ac:dyDescent="0.3">
      <c r="B182" s="24"/>
      <c r="C182" s="4" t="s">
        <v>167</v>
      </c>
      <c r="D182" s="7">
        <v>606</v>
      </c>
      <c r="E182" s="7">
        <f t="shared" si="773"/>
        <v>688</v>
      </c>
      <c r="F182" s="7">
        <v>44.3</v>
      </c>
      <c r="G182" s="37">
        <v>43</v>
      </c>
      <c r="H182" s="7">
        <f t="shared" si="680"/>
        <v>430</v>
      </c>
      <c r="I182" s="7">
        <f>2*G182</f>
        <v>86</v>
      </c>
      <c r="J182" s="7">
        <f t="shared" si="759"/>
        <v>56</v>
      </c>
      <c r="K182" s="7">
        <f t="shared" si="768"/>
        <v>172</v>
      </c>
      <c r="L182" s="7">
        <v>2</v>
      </c>
      <c r="M182" s="7">
        <f t="shared" si="769"/>
        <v>358.66666666666663</v>
      </c>
      <c r="N182" s="7">
        <f t="shared" si="684"/>
        <v>2.5</v>
      </c>
      <c r="O182" s="7">
        <f t="shared" si="685"/>
        <v>2.5</v>
      </c>
      <c r="P182" s="7">
        <f t="shared" si="676"/>
        <v>4</v>
      </c>
      <c r="Q182" s="7">
        <f t="shared" si="676"/>
        <v>4</v>
      </c>
      <c r="R182" s="7">
        <f t="shared" si="686"/>
        <v>5</v>
      </c>
      <c r="S182" s="7">
        <f t="shared" si="687"/>
        <v>96.150923032490965</v>
      </c>
      <c r="T182" s="7">
        <f t="shared" si="688"/>
        <v>606</v>
      </c>
      <c r="U182" s="7">
        <v>19</v>
      </c>
      <c r="V182" s="7">
        <f>(628+628)/2</f>
        <v>628</v>
      </c>
      <c r="W182" s="7"/>
      <c r="X182" s="4">
        <f t="shared" si="689"/>
        <v>1.0360993957423605</v>
      </c>
      <c r="Y182" s="7">
        <v>15.9</v>
      </c>
      <c r="Z182" s="10">
        <v>2</v>
      </c>
      <c r="AA182" s="7">
        <v>120</v>
      </c>
      <c r="AB182" s="7">
        <v>4</v>
      </c>
      <c r="AC182" s="7">
        <f t="shared" si="774"/>
        <v>2</v>
      </c>
      <c r="AD182" s="7">
        <f t="shared" si="690"/>
        <v>9.6</v>
      </c>
      <c r="AE182" s="4">
        <f t="shared" si="691"/>
        <v>688</v>
      </c>
      <c r="AF182" s="4">
        <f t="shared" si="692"/>
        <v>0.20833333333333334</v>
      </c>
      <c r="AG182" s="4">
        <f t="shared" si="693"/>
        <v>413.54972110408767</v>
      </c>
      <c r="AH182" s="4">
        <f t="shared" si="694"/>
        <v>0.73124999999999996</v>
      </c>
      <c r="AI182" s="4">
        <v>1.25</v>
      </c>
      <c r="AJ182" s="4">
        <f t="shared" si="760"/>
        <v>2.5</v>
      </c>
      <c r="AK182" s="38">
        <f t="shared" si="761"/>
        <v>196.88036038890891</v>
      </c>
      <c r="AL182" s="38">
        <f t="shared" si="762"/>
        <v>196.88036038890891</v>
      </c>
      <c r="AM182" s="38">
        <f t="shared" si="695"/>
        <v>3.7559840459059588</v>
      </c>
      <c r="AN182" s="38">
        <f t="shared" si="640"/>
        <v>196.88036038890891</v>
      </c>
      <c r="AO182" s="38">
        <f t="shared" si="548"/>
        <v>1</v>
      </c>
      <c r="AP182" s="38">
        <f t="shared" si="641"/>
        <v>2.2500974659174591</v>
      </c>
      <c r="AQ182" s="4">
        <f t="shared" si="642"/>
        <v>0</v>
      </c>
      <c r="AR182" s="4" t="e">
        <f>#REF!/G182*F182^0.5/0.19</f>
        <v>#REF!</v>
      </c>
      <c r="AS182" s="4">
        <f t="shared" si="696"/>
        <v>1</v>
      </c>
      <c r="AT182" s="38">
        <f t="shared" si="697"/>
        <v>443</v>
      </c>
      <c r="AU182" s="4">
        <f t="shared" si="698"/>
        <v>0.44000000000000006</v>
      </c>
      <c r="AV182" s="4" t="e">
        <f>AU182*D182*#REF!/(D182*G182/2.75/F182^0.5)</f>
        <v>#REF!</v>
      </c>
      <c r="AW182" s="4" t="e">
        <f t="shared" si="699"/>
        <v>#REF!</v>
      </c>
      <c r="AY182" s="4">
        <f t="shared" si="700"/>
        <v>1.5</v>
      </c>
      <c r="AZ182" s="4" t="e">
        <f>(3*#REF!+30)*AY182*F182^0.5</f>
        <v>#REF!</v>
      </c>
      <c r="BB182" s="4">
        <f t="shared" si="701"/>
        <v>424.89117536981524</v>
      </c>
      <c r="BC182" s="4">
        <f t="shared" si="702"/>
        <v>641.65616063635548</v>
      </c>
      <c r="BD182" s="4">
        <f t="shared" si="703"/>
        <v>1.5101658914847387</v>
      </c>
      <c r="BL182" s="4">
        <f t="shared" si="704"/>
        <v>86</v>
      </c>
      <c r="BP182" s="9"/>
      <c r="BR182" s="9"/>
      <c r="BS182" s="9"/>
      <c r="BT182" s="9">
        <f t="shared" si="705"/>
        <v>56</v>
      </c>
      <c r="BU182" s="9">
        <f t="shared" si="706"/>
        <v>86</v>
      </c>
      <c r="BV182" s="9">
        <f t="shared" si="707"/>
        <v>1.2170441953580799</v>
      </c>
      <c r="BW182" s="9">
        <v>20</v>
      </c>
      <c r="BX182" s="9">
        <f t="shared" si="708"/>
        <v>0.05</v>
      </c>
      <c r="BY182" s="9">
        <f t="shared" si="709"/>
        <v>0.8</v>
      </c>
      <c r="BZ182" s="9">
        <f t="shared" si="710"/>
        <v>0.84984840943171969</v>
      </c>
      <c r="CA182" s="9">
        <f t="shared" si="711"/>
        <v>0.84399999999999997</v>
      </c>
      <c r="CB182" s="9">
        <f t="shared" si="712"/>
        <v>1.6709129311035618</v>
      </c>
      <c r="CC182" s="9">
        <f t="shared" si="713"/>
        <v>3.370305228631195</v>
      </c>
      <c r="CD182" s="9">
        <v>1</v>
      </c>
      <c r="CE182" s="9" t="e">
        <f>4*CC182*#REF!+60*CC182</f>
        <v>#REF!</v>
      </c>
      <c r="CG182" s="4" t="e">
        <f t="shared" si="714"/>
        <v>#REF!</v>
      </c>
      <c r="CH182" s="4" t="e">
        <f t="shared" si="715"/>
        <v>#REF!</v>
      </c>
      <c r="CI182" s="4" t="e">
        <f t="shared" si="716"/>
        <v>#REF!</v>
      </c>
      <c r="CJ182" s="4" t="e">
        <f t="shared" si="717"/>
        <v>#REF!</v>
      </c>
      <c r="CK182" s="4">
        <f t="shared" si="718"/>
        <v>1.0360993957423605</v>
      </c>
      <c r="CL182" s="4">
        <f t="shared" si="719"/>
        <v>1.0971269956239666</v>
      </c>
      <c r="CM182" s="4">
        <f t="shared" si="720"/>
        <v>0.97651019906997372</v>
      </c>
      <c r="CU182" s="4" t="e">
        <f>CG182</f>
        <v>#REF!</v>
      </c>
      <c r="CV182" s="4" t="e">
        <f>CH182</f>
        <v>#REF!</v>
      </c>
      <c r="CW182" s="4" t="e">
        <f>CJ182</f>
        <v>#REF!</v>
      </c>
      <c r="CX182" s="4">
        <f t="shared" si="775"/>
        <v>0.97651019906997372</v>
      </c>
      <c r="CY182" s="4">
        <f>CK182</f>
        <v>1.0360993957423605</v>
      </c>
      <c r="CZ182" s="4">
        <f>CL182</f>
        <v>1.0971269956239666</v>
      </c>
      <c r="DB182" s="4">
        <f t="shared" si="722"/>
        <v>2</v>
      </c>
      <c r="DC182" s="4" t="e">
        <f>#REF!</f>
        <v>#REF!</v>
      </c>
      <c r="DF182" s="4">
        <f t="shared" si="723"/>
        <v>3.1473982762568646E-5</v>
      </c>
      <c r="DG182" s="4">
        <f t="shared" si="724"/>
        <v>7.8470966796375476</v>
      </c>
      <c r="DH182" s="4">
        <f t="shared" si="725"/>
        <v>0.41567988815124735</v>
      </c>
      <c r="DI182" s="4">
        <f t="shared" si="726"/>
        <v>5.5234777430767332</v>
      </c>
      <c r="DJ182" s="4">
        <f t="shared" si="727"/>
        <v>6.7857839718640527</v>
      </c>
      <c r="DK182" s="4">
        <f t="shared" si="728"/>
        <v>5.9257420668611704</v>
      </c>
      <c r="DL182" s="38">
        <f t="shared" si="729"/>
        <v>606.11945396420276</v>
      </c>
      <c r="DM182" s="4" t="e">
        <f t="shared" si="730"/>
        <v>#REF!</v>
      </c>
      <c r="DN182" s="4">
        <f t="shared" si="731"/>
        <v>2.2360679774997898</v>
      </c>
      <c r="DO182" s="4">
        <f t="shared" ref="DO182:DO245" si="776">MIN(DN$10*AN182)</f>
        <v>196.88036038890891</v>
      </c>
      <c r="DS182" s="4">
        <f t="shared" si="733"/>
        <v>0.85</v>
      </c>
      <c r="DT182" s="4">
        <f t="shared" si="734"/>
        <v>0.9</v>
      </c>
      <c r="DU182" s="4">
        <f t="shared" si="735"/>
        <v>0.91092644672796108</v>
      </c>
      <c r="DV182" s="4">
        <f t="shared" si="736"/>
        <v>0.81983380205516498</v>
      </c>
      <c r="DX182" s="4">
        <f t="shared" si="737"/>
        <v>572.40410864454111</v>
      </c>
      <c r="DY182" s="25">
        <f t="shared" si="738"/>
        <v>195.7434680219389</v>
      </c>
      <c r="EB182" s="4">
        <f t="shared" si="739"/>
        <v>7.8470966796375476</v>
      </c>
      <c r="EE182" s="4">
        <f t="shared" si="740"/>
        <v>96.150923032490965</v>
      </c>
      <c r="EF182" s="4">
        <f t="shared" si="741"/>
        <v>2.2360679774997898</v>
      </c>
      <c r="EG182" s="4">
        <f t="shared" si="742"/>
        <v>0.15128509455784567</v>
      </c>
      <c r="EJ182" s="4">
        <f t="shared" si="743"/>
        <v>0.15128509455784567</v>
      </c>
      <c r="EK182" s="4">
        <f t="shared" si="744"/>
        <v>0.41498619589012259</v>
      </c>
      <c r="EL182" s="4">
        <f t="shared" si="745"/>
        <v>5.5197888335595016</v>
      </c>
      <c r="EM182" s="4">
        <f t="shared" si="746"/>
        <v>6.784284979316852</v>
      </c>
      <c r="EN182" s="4" t="e">
        <f t="shared" si="747"/>
        <v>#REF!</v>
      </c>
      <c r="EO182" s="4" t="e">
        <f t="shared" si="748"/>
        <v>#REF!</v>
      </c>
      <c r="EP182" s="4" t="e">
        <f t="shared" si="749"/>
        <v>#REF!</v>
      </c>
      <c r="EQ182" s="4" t="e">
        <f t="shared" si="750"/>
        <v>#REF!</v>
      </c>
      <c r="ER182" s="4" t="e">
        <f t="shared" si="751"/>
        <v>#REF!</v>
      </c>
      <c r="FA182" s="23" t="e">
        <f t="shared" si="752"/>
        <v>#REF!</v>
      </c>
      <c r="FB182" s="23" t="e">
        <f t="shared" si="753"/>
        <v>#REF!</v>
      </c>
      <c r="FC182" s="23">
        <f t="shared" si="754"/>
        <v>1</v>
      </c>
      <c r="FD182" s="23" t="e">
        <f t="shared" si="755"/>
        <v>#REF!</v>
      </c>
      <c r="FE182" s="23">
        <f t="shared" si="756"/>
        <v>1.2</v>
      </c>
      <c r="FF182" s="23">
        <f t="shared" si="757"/>
        <v>1.2</v>
      </c>
      <c r="FG182" s="23">
        <f t="shared" si="758"/>
        <v>0</v>
      </c>
      <c r="FH182" s="23"/>
      <c r="FR182" s="4">
        <f t="shared" si="607"/>
        <v>1</v>
      </c>
      <c r="FS182" s="4">
        <f t="shared" si="608"/>
        <v>0.49190749660801991</v>
      </c>
      <c r="FT182" s="4">
        <f t="shared" si="609"/>
        <v>0.3</v>
      </c>
      <c r="FU182" s="4">
        <f t="shared" si="610"/>
        <v>643.10644230659943</v>
      </c>
    </row>
    <row r="183" spans="2:177" ht="12" customHeight="1" x14ac:dyDescent="0.3">
      <c r="B183" s="24"/>
      <c r="C183" s="4" t="s">
        <v>168</v>
      </c>
      <c r="D183" s="7">
        <v>583</v>
      </c>
      <c r="E183" s="7">
        <f t="shared" ref="E183:E185" si="777">7*G183</f>
        <v>401.09999999999997</v>
      </c>
      <c r="F183" s="7">
        <v>51.4</v>
      </c>
      <c r="G183" s="37">
        <v>57.3</v>
      </c>
      <c r="H183" s="7">
        <f t="shared" si="680"/>
        <v>584.46</v>
      </c>
      <c r="I183" s="7">
        <f t="shared" ref="I183:I192" si="778">1*G183</f>
        <v>57.3</v>
      </c>
      <c r="J183" s="7">
        <f t="shared" si="759"/>
        <v>56</v>
      </c>
      <c r="K183" s="7">
        <f t="shared" ref="K183:K195" si="779">(7.2-1)*G183</f>
        <v>355.26</v>
      </c>
      <c r="L183" s="7">
        <v>2</v>
      </c>
      <c r="M183" s="7">
        <f t="shared" ref="M183:M188" si="780">2/3*E183-0.5*186</f>
        <v>174.39999999999998</v>
      </c>
      <c r="N183" s="7">
        <f t="shared" si="684"/>
        <v>1.5</v>
      </c>
      <c r="O183" s="7">
        <f t="shared" si="685"/>
        <v>1.5</v>
      </c>
      <c r="P183" s="7">
        <f t="shared" si="676"/>
        <v>4</v>
      </c>
      <c r="Q183" s="7">
        <f t="shared" si="676"/>
        <v>4</v>
      </c>
      <c r="R183" s="7">
        <f t="shared" si="686"/>
        <v>5</v>
      </c>
      <c r="S183" s="7">
        <f t="shared" si="687"/>
        <v>128.12669511073796</v>
      </c>
      <c r="T183" s="7">
        <f t="shared" si="688"/>
        <v>583</v>
      </c>
      <c r="U183" s="7">
        <v>25</v>
      </c>
      <c r="V183" s="7">
        <f>(338+330)/2</f>
        <v>334</v>
      </c>
      <c r="W183" s="7"/>
      <c r="X183" s="4">
        <f t="shared" si="689"/>
        <v>1.2987627920477962</v>
      </c>
      <c r="Y183" s="7"/>
      <c r="Z183" s="7"/>
      <c r="AA183" s="7">
        <v>1</v>
      </c>
      <c r="AB183" s="7"/>
      <c r="AC183" s="7"/>
      <c r="AD183" s="7">
        <f t="shared" si="690"/>
        <v>2.9166666666666665</v>
      </c>
      <c r="AE183" s="4">
        <f t="shared" si="691"/>
        <v>401.09999999999997</v>
      </c>
      <c r="AF183" s="4">
        <f t="shared" si="692"/>
        <v>0.48571428571428582</v>
      </c>
      <c r="AG183" s="4">
        <f t="shared" si="693"/>
        <v>111.66869259763561</v>
      </c>
      <c r="AH183" s="4">
        <f t="shared" si="694"/>
        <v>0.74285714285714277</v>
      </c>
      <c r="AI183" s="4">
        <v>1.25</v>
      </c>
      <c r="AJ183" s="4">
        <f t="shared" si="760"/>
        <v>2.5</v>
      </c>
      <c r="AK183" s="38">
        <f t="shared" si="761"/>
        <v>125.91214828610957</v>
      </c>
      <c r="AL183" s="38">
        <f t="shared" si="762"/>
        <v>125.91214828610957</v>
      </c>
      <c r="AM183" s="38">
        <f t="shared" si="695"/>
        <v>4.107079761979672</v>
      </c>
      <c r="AN183" s="38">
        <f t="shared" si="640"/>
        <v>125.91214828610951</v>
      </c>
      <c r="AO183" s="38">
        <f t="shared" si="548"/>
        <v>1.0000000000000004</v>
      </c>
      <c r="AP183" s="38">
        <f t="shared" si="641"/>
        <v>2.4493268060141764</v>
      </c>
      <c r="AQ183" s="4">
        <f t="shared" si="642"/>
        <v>0</v>
      </c>
      <c r="AR183" s="4" t="e">
        <f>#REF!/G183*F183^0.5/0.19</f>
        <v>#REF!</v>
      </c>
      <c r="AS183" s="4">
        <f t="shared" si="696"/>
        <v>1</v>
      </c>
      <c r="AT183" s="38">
        <f t="shared" si="697"/>
        <v>308.39999999999998</v>
      </c>
      <c r="AU183" s="4">
        <f t="shared" si="698"/>
        <v>0.44000000000000006</v>
      </c>
      <c r="AV183" s="4" t="e">
        <f>AU183*D183*#REF!/(D183*G183/2.75/F183^0.5)</f>
        <v>#REF!</v>
      </c>
      <c r="AW183" s="4" t="e">
        <f t="shared" si="699"/>
        <v>#REF!</v>
      </c>
      <c r="AY183" s="4">
        <f t="shared" si="700"/>
        <v>1</v>
      </c>
      <c r="AZ183" s="4" t="e">
        <f>(3*#REF!+30)*AY183*F183^0.5</f>
        <v>#REF!</v>
      </c>
      <c r="BB183" s="4">
        <f t="shared" si="701"/>
        <v>295.79331486241767</v>
      </c>
      <c r="BC183" s="4">
        <f t="shared" si="702"/>
        <v>450.3525339151019</v>
      </c>
      <c r="BD183" s="4">
        <f t="shared" si="703"/>
        <v>1.5225243820151051</v>
      </c>
      <c r="BL183" s="4">
        <f t="shared" si="704"/>
        <v>57.3</v>
      </c>
      <c r="BP183" s="9"/>
      <c r="BR183" s="9"/>
      <c r="BS183" s="9"/>
      <c r="BT183" s="9">
        <f t="shared" si="705"/>
        <v>56</v>
      </c>
      <c r="BU183" s="9">
        <f t="shared" si="706"/>
        <v>177.63</v>
      </c>
      <c r="BV183" s="9">
        <f t="shared" si="707"/>
        <v>1.1754818988273255</v>
      </c>
      <c r="BW183" s="9">
        <v>0</v>
      </c>
      <c r="BX183" s="9">
        <f t="shared" si="708"/>
        <v>0</v>
      </c>
      <c r="BY183" s="9">
        <f t="shared" si="709"/>
        <v>0</v>
      </c>
      <c r="BZ183" s="9">
        <f t="shared" si="710"/>
        <v>0.77971450958075206</v>
      </c>
      <c r="CA183" s="9">
        <f t="shared" si="711"/>
        <v>0.87549999999999994</v>
      </c>
      <c r="CB183" s="9">
        <f t="shared" si="712"/>
        <v>1.7129369207551171</v>
      </c>
      <c r="CC183" s="9">
        <f t="shared" si="713"/>
        <v>2.013526344180657</v>
      </c>
      <c r="CD183" s="9">
        <v>1</v>
      </c>
      <c r="CE183" s="9" t="e">
        <f>4*CC183*#REF!+60*CC183</f>
        <v>#REF!</v>
      </c>
      <c r="CG183" s="4" t="e">
        <f t="shared" si="714"/>
        <v>#REF!</v>
      </c>
      <c r="CH183" s="4" t="e">
        <f t="shared" si="715"/>
        <v>#REF!</v>
      </c>
      <c r="CI183" s="4" t="e">
        <f t="shared" si="716"/>
        <v>#REF!</v>
      </c>
      <c r="CJ183" s="4" t="e">
        <f t="shared" si="717"/>
        <v>#REF!</v>
      </c>
      <c r="CK183" s="4">
        <f t="shared" si="718"/>
        <v>1.2987627920477962</v>
      </c>
      <c r="CL183" s="4">
        <f t="shared" si="719"/>
        <v>1.3493245422364921</v>
      </c>
      <c r="CM183" s="4">
        <f t="shared" si="720"/>
        <v>1.9012666169183468</v>
      </c>
      <c r="CO183" s="4" t="e">
        <f>CG183</f>
        <v>#REF!</v>
      </c>
      <c r="CP183" s="4" t="e">
        <f>CH183</f>
        <v>#REF!</v>
      </c>
      <c r="CQ183" s="4" t="e">
        <f>CJ183</f>
        <v>#REF!</v>
      </c>
      <c r="CR183" s="4">
        <f t="shared" ref="CR183" si="781">CM183</f>
        <v>1.9012666169183468</v>
      </c>
      <c r="CS183" s="4">
        <f>CK183</f>
        <v>1.2987627920477962</v>
      </c>
      <c r="CT183" s="4">
        <f>CL183</f>
        <v>1.3493245422364921</v>
      </c>
      <c r="DB183" s="4">
        <f t="shared" si="722"/>
        <v>0</v>
      </c>
      <c r="DC183" s="4" t="e">
        <f>#REF!</f>
        <v>#REF!</v>
      </c>
      <c r="DF183" s="4">
        <f t="shared" si="723"/>
        <v>1.4407634115999734E-5</v>
      </c>
      <c r="DG183" s="4">
        <f t="shared" si="724"/>
        <v>5.8902461748215584</v>
      </c>
      <c r="DH183" s="4">
        <f t="shared" si="725"/>
        <v>0.30531702664295407</v>
      </c>
      <c r="DI183" s="4">
        <f t="shared" si="726"/>
        <v>3.6646614158187836</v>
      </c>
      <c r="DJ183" s="4">
        <f t="shared" si="727"/>
        <v>4.9060021731239356</v>
      </c>
      <c r="DK183" s="4">
        <f t="shared" si="728"/>
        <v>5.6189312114065979</v>
      </c>
      <c r="DL183" s="38">
        <f t="shared" si="729"/>
        <v>257.16782313525681</v>
      </c>
      <c r="DM183" s="4" t="e">
        <f t="shared" si="730"/>
        <v>#REF!</v>
      </c>
      <c r="DN183" s="4">
        <f t="shared" si="731"/>
        <v>2.2360679774997898</v>
      </c>
      <c r="DO183" s="4">
        <f t="shared" si="776"/>
        <v>125.91214828610951</v>
      </c>
      <c r="DS183" s="4">
        <f t="shared" si="733"/>
        <v>1</v>
      </c>
      <c r="DT183" s="4">
        <f t="shared" si="734"/>
        <v>1</v>
      </c>
      <c r="DU183" s="4">
        <f t="shared" si="735"/>
        <v>1</v>
      </c>
      <c r="DV183" s="4">
        <f t="shared" si="736"/>
        <v>1</v>
      </c>
      <c r="DX183" s="4">
        <f t="shared" si="737"/>
        <v>247.53125696980081</v>
      </c>
      <c r="DY183" s="25">
        <f t="shared" si="738"/>
        <v>123.83608729854809</v>
      </c>
      <c r="EB183" s="4">
        <f t="shared" si="739"/>
        <v>5.8902461748215584</v>
      </c>
      <c r="EE183" s="4">
        <f t="shared" si="740"/>
        <v>128.12669511073796</v>
      </c>
      <c r="EF183" s="4">
        <f t="shared" si="741"/>
        <v>2.2360679774997898</v>
      </c>
      <c r="EG183" s="4">
        <f t="shared" si="742"/>
        <v>0.1196927510980095</v>
      </c>
      <c r="EJ183" s="4">
        <f t="shared" si="743"/>
        <v>0.1196927510980095</v>
      </c>
      <c r="EK183" s="4">
        <f t="shared" si="744"/>
        <v>0.30480750942884544</v>
      </c>
      <c r="EL183" s="4">
        <f t="shared" si="745"/>
        <v>3.6622139352634062</v>
      </c>
      <c r="EM183" s="4">
        <f t="shared" si="746"/>
        <v>4.9050914787398536</v>
      </c>
      <c r="EN183" s="4" t="e">
        <f t="shared" si="747"/>
        <v>#REF!</v>
      </c>
      <c r="EO183" s="4" t="e">
        <f t="shared" si="748"/>
        <v>#REF!</v>
      </c>
      <c r="EP183" s="4" t="e">
        <f t="shared" si="749"/>
        <v>#REF!</v>
      </c>
      <c r="EQ183" s="4" t="e">
        <f t="shared" si="750"/>
        <v>#REF!</v>
      </c>
      <c r="ER183" s="4" t="e">
        <f t="shared" si="751"/>
        <v>#REF!</v>
      </c>
      <c r="FA183" s="23" t="e">
        <f t="shared" si="752"/>
        <v>#REF!</v>
      </c>
      <c r="FB183" s="23" t="e">
        <f t="shared" si="753"/>
        <v>#REF!</v>
      </c>
      <c r="FC183" s="23">
        <f t="shared" si="754"/>
        <v>2</v>
      </c>
      <c r="FD183" s="23" t="e">
        <f t="shared" si="755"/>
        <v>#REF!</v>
      </c>
      <c r="FE183" s="23">
        <f t="shared" si="756"/>
        <v>1.4</v>
      </c>
      <c r="FF183" s="23">
        <f t="shared" si="757"/>
        <v>1.4</v>
      </c>
      <c r="FG183" s="23">
        <f t="shared" si="758"/>
        <v>0</v>
      </c>
      <c r="FH183" s="23"/>
      <c r="FR183" s="4">
        <f t="shared" si="607"/>
        <v>1.25</v>
      </c>
      <c r="FS183" s="4">
        <f t="shared" si="608"/>
        <v>0.56666666666666665</v>
      </c>
      <c r="FT183" s="4">
        <f t="shared" si="609"/>
        <v>0</v>
      </c>
      <c r="FU183" s="4">
        <f t="shared" si="610"/>
        <v>175.67236337498068</v>
      </c>
    </row>
    <row r="184" spans="2:177" ht="12" customHeight="1" x14ac:dyDescent="0.3">
      <c r="B184" s="24"/>
      <c r="C184" s="4" t="s">
        <v>169</v>
      </c>
      <c r="D184" s="7">
        <v>583</v>
      </c>
      <c r="E184" s="7">
        <f t="shared" si="777"/>
        <v>401.09999999999997</v>
      </c>
      <c r="F184" s="7">
        <v>51.4</v>
      </c>
      <c r="G184" s="37">
        <v>57.3</v>
      </c>
      <c r="H184" s="7">
        <f t="shared" si="680"/>
        <v>584.46</v>
      </c>
      <c r="I184" s="7">
        <f t="shared" si="778"/>
        <v>57.3</v>
      </c>
      <c r="J184" s="7">
        <f t="shared" si="759"/>
        <v>56</v>
      </c>
      <c r="K184" s="7">
        <f t="shared" si="779"/>
        <v>355.26</v>
      </c>
      <c r="L184" s="7">
        <v>2</v>
      </c>
      <c r="M184" s="7">
        <f t="shared" si="780"/>
        <v>174.39999999999998</v>
      </c>
      <c r="N184" s="7">
        <f t="shared" si="684"/>
        <v>1.5</v>
      </c>
      <c r="O184" s="7">
        <f t="shared" si="685"/>
        <v>1.5</v>
      </c>
      <c r="P184" s="7">
        <f t="shared" si="676"/>
        <v>4</v>
      </c>
      <c r="Q184" s="7">
        <f t="shared" si="676"/>
        <v>4</v>
      </c>
      <c r="R184" s="7">
        <f t="shared" si="686"/>
        <v>5</v>
      </c>
      <c r="S184" s="7">
        <f t="shared" si="687"/>
        <v>128.12669511073796</v>
      </c>
      <c r="T184" s="7">
        <f t="shared" si="688"/>
        <v>583</v>
      </c>
      <c r="U184" s="7">
        <v>25</v>
      </c>
      <c r="V184" s="7">
        <f>(424+424)/2</f>
        <v>424</v>
      </c>
      <c r="W184" s="7"/>
      <c r="X184" s="4">
        <f t="shared" si="689"/>
        <v>1.634175742192578</v>
      </c>
      <c r="Y184" s="7">
        <v>15.9</v>
      </c>
      <c r="Z184" s="7">
        <v>2</v>
      </c>
      <c r="AA184" s="7">
        <v>275</v>
      </c>
      <c r="AB184" s="7">
        <v>4</v>
      </c>
      <c r="AC184" s="7">
        <f>Z184</f>
        <v>2</v>
      </c>
      <c r="AD184" s="7">
        <f t="shared" si="690"/>
        <v>2.9166666666666665</v>
      </c>
      <c r="AE184" s="4">
        <f t="shared" si="691"/>
        <v>401.09999999999997</v>
      </c>
      <c r="AF184" s="4">
        <f t="shared" si="692"/>
        <v>0.48571428571428582</v>
      </c>
      <c r="AG184" s="4">
        <f t="shared" si="693"/>
        <v>111.66869259763561</v>
      </c>
      <c r="AH184" s="4">
        <f t="shared" si="694"/>
        <v>0.74285714285714277</v>
      </c>
      <c r="AI184" s="4">
        <v>1.25</v>
      </c>
      <c r="AJ184" s="4">
        <f t="shared" si="760"/>
        <v>2.5</v>
      </c>
      <c r="AK184" s="38">
        <f t="shared" si="761"/>
        <v>125.91214828610957</v>
      </c>
      <c r="AL184" s="38">
        <f t="shared" si="762"/>
        <v>125.91214828610957</v>
      </c>
      <c r="AM184" s="38">
        <f t="shared" si="695"/>
        <v>4.107079761979672</v>
      </c>
      <c r="AN184" s="38">
        <f t="shared" si="640"/>
        <v>125.91214828610951</v>
      </c>
      <c r="AO184" s="38">
        <f t="shared" si="548"/>
        <v>1.0000000000000004</v>
      </c>
      <c r="AP184" s="38">
        <f t="shared" si="641"/>
        <v>2.4493268060141764</v>
      </c>
      <c r="AQ184" s="4">
        <f t="shared" si="642"/>
        <v>0</v>
      </c>
      <c r="AR184" s="4" t="e">
        <f>#REF!/G184*F184^0.5/0.19</f>
        <v>#REF!</v>
      </c>
      <c r="AS184" s="4">
        <f t="shared" si="696"/>
        <v>1</v>
      </c>
      <c r="AT184" s="38">
        <f t="shared" si="697"/>
        <v>308.39999999999998</v>
      </c>
      <c r="AU184" s="4">
        <f t="shared" si="698"/>
        <v>0.44000000000000006</v>
      </c>
      <c r="AV184" s="4" t="e">
        <f>AU184*D184*#REF!/(D184*G184/2.75/F184^0.5)</f>
        <v>#REF!</v>
      </c>
      <c r="AW184" s="4" t="e">
        <f t="shared" si="699"/>
        <v>#REF!</v>
      </c>
      <c r="AY184" s="4">
        <f t="shared" si="700"/>
        <v>1.201612194511575</v>
      </c>
      <c r="AZ184" s="4" t="e">
        <f>(3*#REF!+30)*AY184*F184^0.5</f>
        <v>#REF!</v>
      </c>
      <c r="BB184" s="4">
        <f t="shared" si="701"/>
        <v>295.79331486241767</v>
      </c>
      <c r="BC184" s="4">
        <f t="shared" si="702"/>
        <v>450.3525339151019</v>
      </c>
      <c r="BD184" s="4">
        <f t="shared" si="703"/>
        <v>1.5225243820151051</v>
      </c>
      <c r="BL184" s="4">
        <f t="shared" si="704"/>
        <v>57.3</v>
      </c>
      <c r="BP184" s="9"/>
      <c r="BR184" s="9"/>
      <c r="BS184" s="9"/>
      <c r="BT184" s="9">
        <f t="shared" si="705"/>
        <v>56</v>
      </c>
      <c r="BU184" s="9">
        <f t="shared" si="706"/>
        <v>177.63</v>
      </c>
      <c r="BV184" s="9">
        <f t="shared" si="707"/>
        <v>1.1754818988273255</v>
      </c>
      <c r="BW184" s="9">
        <v>20</v>
      </c>
      <c r="BX184" s="9">
        <f t="shared" si="708"/>
        <v>2.5201524313946871E-2</v>
      </c>
      <c r="BY184" s="9">
        <f t="shared" si="709"/>
        <v>0.30403048627893742</v>
      </c>
      <c r="BZ184" s="9">
        <f t="shared" si="710"/>
        <v>0.77971450958075206</v>
      </c>
      <c r="CA184" s="9">
        <f t="shared" si="711"/>
        <v>0.87549999999999994</v>
      </c>
      <c r="CB184" s="9">
        <f t="shared" si="712"/>
        <v>1.7129369207551171</v>
      </c>
      <c r="CC184" s="9">
        <f t="shared" si="713"/>
        <v>2.5343113891629807</v>
      </c>
      <c r="CD184" s="9">
        <v>1</v>
      </c>
      <c r="CE184" s="9" t="e">
        <f>4*CC184*#REF!+60*CC184</f>
        <v>#REF!</v>
      </c>
      <c r="CG184" s="4" t="e">
        <f t="shared" si="714"/>
        <v>#REF!</v>
      </c>
      <c r="CH184" s="4" t="e">
        <f t="shared" si="715"/>
        <v>#REF!</v>
      </c>
      <c r="CI184" s="4" t="e">
        <f t="shared" si="716"/>
        <v>#REF!</v>
      </c>
      <c r="CJ184" s="4" t="e">
        <f t="shared" si="717"/>
        <v>#REF!</v>
      </c>
      <c r="CK184" s="4">
        <f t="shared" si="718"/>
        <v>1.634175742192578</v>
      </c>
      <c r="CL184" s="4">
        <f t="shared" si="719"/>
        <v>1.6978913823018422</v>
      </c>
      <c r="CM184" s="4">
        <f t="shared" si="720"/>
        <v>1.5788211461636792</v>
      </c>
      <c r="CU184" s="4" t="e">
        <f>CG184</f>
        <v>#REF!</v>
      </c>
      <c r="CV184" s="4" t="e">
        <f>CH184</f>
        <v>#REF!</v>
      </c>
      <c r="CW184" s="4" t="e">
        <f>CJ184</f>
        <v>#REF!</v>
      </c>
      <c r="CX184" s="4">
        <f t="shared" ref="CX184" si="782">CM184</f>
        <v>1.5788211461636792</v>
      </c>
      <c r="CY184" s="4">
        <f>CK184</f>
        <v>1.634175742192578</v>
      </c>
      <c r="CZ184" s="4">
        <f>CL184</f>
        <v>1.6978913823018422</v>
      </c>
      <c r="DB184" s="4">
        <f t="shared" si="722"/>
        <v>2</v>
      </c>
      <c r="DC184" s="4" t="e">
        <f>#REF!</f>
        <v>#REF!</v>
      </c>
      <c r="DF184" s="4">
        <f t="shared" si="723"/>
        <v>1.4407634115999734E-5</v>
      </c>
      <c r="DG184" s="4">
        <f t="shared" si="724"/>
        <v>5.99454394365008</v>
      </c>
      <c r="DH184" s="4">
        <f t="shared" si="725"/>
        <v>0.30531702664295407</v>
      </c>
      <c r="DI184" s="4">
        <f t="shared" si="726"/>
        <v>3.7295510652218411</v>
      </c>
      <c r="DJ184" s="4">
        <f t="shared" si="727"/>
        <v>4.9928720704657401</v>
      </c>
      <c r="DK184" s="4">
        <f t="shared" si="728"/>
        <v>5.7135776207412556</v>
      </c>
      <c r="DL184" s="38">
        <f t="shared" si="729"/>
        <v>259.45801853056395</v>
      </c>
      <c r="DM184" s="4" t="e">
        <f t="shared" si="730"/>
        <v>#REF!</v>
      </c>
      <c r="DN184" s="4">
        <f t="shared" si="731"/>
        <v>2.2360679774997898</v>
      </c>
      <c r="DO184" s="4">
        <f t="shared" si="776"/>
        <v>125.91214828610951</v>
      </c>
      <c r="DS184" s="4">
        <f t="shared" si="733"/>
        <v>1</v>
      </c>
      <c r="DT184" s="4">
        <f t="shared" si="734"/>
        <v>1</v>
      </c>
      <c r="DU184" s="4">
        <f t="shared" si="735"/>
        <v>0.9826012170719004</v>
      </c>
      <c r="DV184" s="4">
        <f t="shared" si="736"/>
        <v>0.9826012170719004</v>
      </c>
      <c r="DX184" s="4">
        <f t="shared" si="737"/>
        <v>249.72151011519978</v>
      </c>
      <c r="DY184" s="25">
        <f t="shared" si="738"/>
        <v>123.83608729854809</v>
      </c>
      <c r="EB184" s="4">
        <f t="shared" si="739"/>
        <v>5.99454394365008</v>
      </c>
      <c r="EE184" s="4">
        <f t="shared" si="740"/>
        <v>128.12669511073796</v>
      </c>
      <c r="EF184" s="4">
        <f t="shared" si="741"/>
        <v>2.2360679774997898</v>
      </c>
      <c r="EG184" s="4">
        <f t="shared" si="742"/>
        <v>0.1196927510980095</v>
      </c>
      <c r="EJ184" s="4">
        <f t="shared" si="743"/>
        <v>0.1196927510980095</v>
      </c>
      <c r="EK184" s="4">
        <f t="shared" si="744"/>
        <v>0.30480750942884544</v>
      </c>
      <c r="EL184" s="4">
        <f t="shared" si="745"/>
        <v>3.7270602474690695</v>
      </c>
      <c r="EM184" s="4">
        <f t="shared" si="746"/>
        <v>4.9919452505430089</v>
      </c>
      <c r="EN184" s="4" t="e">
        <f t="shared" si="747"/>
        <v>#REF!</v>
      </c>
      <c r="EO184" s="4" t="e">
        <f t="shared" si="748"/>
        <v>#REF!</v>
      </c>
      <c r="EP184" s="4" t="e">
        <f t="shared" si="749"/>
        <v>#REF!</v>
      </c>
      <c r="EQ184" s="4" t="e">
        <f t="shared" si="750"/>
        <v>#REF!</v>
      </c>
      <c r="ER184" s="4" t="e">
        <f t="shared" si="751"/>
        <v>#REF!</v>
      </c>
      <c r="FA184" s="23" t="e">
        <f t="shared" si="752"/>
        <v>#REF!</v>
      </c>
      <c r="FB184" s="23" t="e">
        <f t="shared" si="753"/>
        <v>#REF!</v>
      </c>
      <c r="FC184" s="23">
        <f t="shared" si="754"/>
        <v>1.6</v>
      </c>
      <c r="FD184" s="23" t="e">
        <f t="shared" si="755"/>
        <v>#REF!</v>
      </c>
      <c r="FE184" s="23">
        <f t="shared" si="756"/>
        <v>1.8</v>
      </c>
      <c r="FF184" s="23">
        <f t="shared" si="757"/>
        <v>1.8</v>
      </c>
      <c r="FG184" s="23">
        <f t="shared" si="758"/>
        <v>0</v>
      </c>
      <c r="FH184" s="23"/>
      <c r="FR184" s="4">
        <f t="shared" si="607"/>
        <v>1.25</v>
      </c>
      <c r="FS184" s="4">
        <f t="shared" si="608"/>
        <v>0.37067917575318227</v>
      </c>
      <c r="FT184" s="4">
        <f t="shared" si="609"/>
        <v>0.3</v>
      </c>
      <c r="FU184" s="4">
        <f t="shared" si="610"/>
        <v>268.55480180909814</v>
      </c>
    </row>
    <row r="185" spans="2:177" ht="12" customHeight="1" x14ac:dyDescent="0.3">
      <c r="B185" s="24"/>
      <c r="C185" s="4" t="s">
        <v>170</v>
      </c>
      <c r="D185" s="7">
        <v>583</v>
      </c>
      <c r="E185" s="7">
        <f t="shared" si="777"/>
        <v>401.09999999999997</v>
      </c>
      <c r="F185" s="7">
        <v>76.900000000000006</v>
      </c>
      <c r="G185" s="37">
        <v>57.3</v>
      </c>
      <c r="H185" s="7">
        <f t="shared" si="680"/>
        <v>584.46</v>
      </c>
      <c r="I185" s="7">
        <f t="shared" si="778"/>
        <v>57.3</v>
      </c>
      <c r="J185" s="7">
        <f t="shared" si="759"/>
        <v>56</v>
      </c>
      <c r="K185" s="7">
        <f t="shared" si="779"/>
        <v>355.26</v>
      </c>
      <c r="L185" s="7">
        <v>2</v>
      </c>
      <c r="M185" s="7">
        <f t="shared" si="780"/>
        <v>174.39999999999998</v>
      </c>
      <c r="N185" s="7">
        <f t="shared" si="684"/>
        <v>1.5</v>
      </c>
      <c r="O185" s="7">
        <f t="shared" si="685"/>
        <v>1.5</v>
      </c>
      <c r="P185" s="7">
        <f t="shared" si="676"/>
        <v>4</v>
      </c>
      <c r="Q185" s="7">
        <f t="shared" si="676"/>
        <v>4</v>
      </c>
      <c r="R185" s="7">
        <f t="shared" si="686"/>
        <v>5</v>
      </c>
      <c r="S185" s="7">
        <f t="shared" si="687"/>
        <v>128.12669511073796</v>
      </c>
      <c r="T185" s="7">
        <f t="shared" si="688"/>
        <v>583</v>
      </c>
      <c r="U185" s="7">
        <v>25</v>
      </c>
      <c r="V185" s="7">
        <f>(405+388)/2</f>
        <v>396.5</v>
      </c>
      <c r="W185" s="7"/>
      <c r="X185" s="4">
        <f t="shared" si="689"/>
        <v>1.2828934748820127</v>
      </c>
      <c r="Y185" s="7"/>
      <c r="Z185" s="7"/>
      <c r="AA185" s="7">
        <v>1</v>
      </c>
      <c r="AB185" s="7"/>
      <c r="AC185" s="7"/>
      <c r="AD185" s="7">
        <f t="shared" si="690"/>
        <v>2.9166666666666665</v>
      </c>
      <c r="AE185" s="4">
        <f t="shared" si="691"/>
        <v>401.09999999999997</v>
      </c>
      <c r="AF185" s="4">
        <f t="shared" si="692"/>
        <v>0.48571428571428582</v>
      </c>
      <c r="AG185" s="4">
        <f t="shared" si="693"/>
        <v>136.58815600212856</v>
      </c>
      <c r="AH185" s="4">
        <f t="shared" si="694"/>
        <v>0.74285714285714277</v>
      </c>
      <c r="AI185" s="4">
        <v>1.25</v>
      </c>
      <c r="AJ185" s="4">
        <f t="shared" si="760"/>
        <v>2.5</v>
      </c>
      <c r="AK185" s="38">
        <f t="shared" si="761"/>
        <v>154.01011467586949</v>
      </c>
      <c r="AL185" s="38">
        <f t="shared" si="762"/>
        <v>154.01011467586949</v>
      </c>
      <c r="AM185" s="38">
        <f t="shared" si="695"/>
        <v>4.7705058587582929</v>
      </c>
      <c r="AN185" s="38">
        <f t="shared" si="640"/>
        <v>154.01011467586937</v>
      </c>
      <c r="AO185" s="38">
        <f t="shared" si="548"/>
        <v>1.0000000000000007</v>
      </c>
      <c r="AP185" s="38">
        <f t="shared" si="641"/>
        <v>2.9959071257823897</v>
      </c>
      <c r="AQ185" s="4">
        <f t="shared" si="642"/>
        <v>0</v>
      </c>
      <c r="AR185" s="4" t="e">
        <f>#REF!/G185*F185^0.5/0.19</f>
        <v>#REF!</v>
      </c>
      <c r="AS185" s="4">
        <f t="shared" si="696"/>
        <v>1</v>
      </c>
      <c r="AT185" s="38">
        <f t="shared" si="697"/>
        <v>461.40000000000003</v>
      </c>
      <c r="AU185" s="4">
        <f t="shared" si="698"/>
        <v>0.44000000000000006</v>
      </c>
      <c r="AV185" s="4" t="e">
        <f>AU185*D185*#REF!/(D185*G185/2.75/F185^0.5)</f>
        <v>#REF!</v>
      </c>
      <c r="AW185" s="4" t="e">
        <f t="shared" si="699"/>
        <v>#REF!</v>
      </c>
      <c r="AY185" s="4">
        <f t="shared" si="700"/>
        <v>1</v>
      </c>
      <c r="AZ185" s="4" t="e">
        <f>(3*#REF!+30)*AY185*F185^0.5</f>
        <v>#REF!</v>
      </c>
      <c r="BB185" s="4">
        <f t="shared" si="701"/>
        <v>442.53902554318915</v>
      </c>
      <c r="BC185" s="4">
        <f t="shared" si="702"/>
        <v>450.3525339151019</v>
      </c>
      <c r="BD185" s="4">
        <f t="shared" si="703"/>
        <v>1.0176560888891599</v>
      </c>
      <c r="BL185" s="4">
        <f t="shared" si="704"/>
        <v>57.3</v>
      </c>
      <c r="BP185" s="9"/>
      <c r="BR185" s="9"/>
      <c r="BS185" s="9"/>
      <c r="BT185" s="9">
        <f t="shared" si="705"/>
        <v>56</v>
      </c>
      <c r="BU185" s="9">
        <f t="shared" si="706"/>
        <v>177.63</v>
      </c>
      <c r="BV185" s="9">
        <f t="shared" si="707"/>
        <v>1.1754818988273255</v>
      </c>
      <c r="BW185" s="9">
        <v>0</v>
      </c>
      <c r="BX185" s="9">
        <f t="shared" si="708"/>
        <v>0</v>
      </c>
      <c r="BY185" s="9">
        <f t="shared" si="709"/>
        <v>0</v>
      </c>
      <c r="BZ185" s="9">
        <f t="shared" si="710"/>
        <v>0.77971450958075206</v>
      </c>
      <c r="CA185" s="9">
        <f t="shared" si="711"/>
        <v>0.87549999999999994</v>
      </c>
      <c r="CB185" s="9">
        <f t="shared" si="712"/>
        <v>2.0951879162491376</v>
      </c>
      <c r="CC185" s="9">
        <f t="shared" si="713"/>
        <v>2.4628554701926038</v>
      </c>
      <c r="CD185" s="9">
        <v>1</v>
      </c>
      <c r="CE185" s="9" t="e">
        <f>4*CC185*#REF!+60*CC185</f>
        <v>#REF!</v>
      </c>
      <c r="CG185" s="4" t="e">
        <f t="shared" si="714"/>
        <v>#REF!</v>
      </c>
      <c r="CH185" s="4" t="e">
        <f t="shared" si="715"/>
        <v>#REF!</v>
      </c>
      <c r="CI185" s="4" t="e">
        <f t="shared" si="716"/>
        <v>#REF!</v>
      </c>
      <c r="CJ185" s="4" t="e">
        <f t="shared" si="717"/>
        <v>#REF!</v>
      </c>
      <c r="CK185" s="4">
        <f t="shared" si="718"/>
        <v>1.2828934748820127</v>
      </c>
      <c r="CL185" s="4">
        <f t="shared" si="719"/>
        <v>1.3095784928162608</v>
      </c>
      <c r="CM185" s="4">
        <f t="shared" si="720"/>
        <v>2.0407929363744293</v>
      </c>
      <c r="CO185" s="4" t="e">
        <f>CG185</f>
        <v>#REF!</v>
      </c>
      <c r="CP185" s="4" t="e">
        <f>CH185</f>
        <v>#REF!</v>
      </c>
      <c r="CQ185" s="4" t="e">
        <f>CJ185</f>
        <v>#REF!</v>
      </c>
      <c r="CR185" s="4">
        <f t="shared" ref="CR185:CR186" si="783">CM185</f>
        <v>2.0407929363744293</v>
      </c>
      <c r="CS185" s="4">
        <f>CK185</f>
        <v>1.2828934748820127</v>
      </c>
      <c r="CT185" s="4">
        <f>CL185</f>
        <v>1.3095784928162608</v>
      </c>
      <c r="DB185" s="4">
        <f t="shared" si="722"/>
        <v>0</v>
      </c>
      <c r="DC185" s="4" t="e">
        <f>#REF!</f>
        <v>#REF!</v>
      </c>
      <c r="DF185" s="4">
        <f t="shared" si="723"/>
        <v>1.6837038197690092E-5</v>
      </c>
      <c r="DG185" s="4">
        <f t="shared" si="724"/>
        <v>7.2046859751136969</v>
      </c>
      <c r="DH185" s="4">
        <f t="shared" si="725"/>
        <v>0.24961427250313586</v>
      </c>
      <c r="DI185" s="4">
        <f t="shared" si="726"/>
        <v>4.1354504528865519</v>
      </c>
      <c r="DJ185" s="4">
        <f t="shared" si="727"/>
        <v>5.875472052633139</v>
      </c>
      <c r="DK185" s="4">
        <f t="shared" si="728"/>
        <v>6.7478813180619772</v>
      </c>
      <c r="DL185" s="38">
        <f t="shared" si="729"/>
        <v>309.0669706901939</v>
      </c>
      <c r="DM185" s="4" t="e">
        <f t="shared" si="730"/>
        <v>#REF!</v>
      </c>
      <c r="DN185" s="4">
        <f t="shared" si="731"/>
        <v>2.2360679774997898</v>
      </c>
      <c r="DO185" s="4">
        <f t="shared" si="776"/>
        <v>154.01011467586937</v>
      </c>
      <c r="DS185" s="4">
        <f t="shared" si="733"/>
        <v>1</v>
      </c>
      <c r="DT185" s="4">
        <f t="shared" si="734"/>
        <v>1</v>
      </c>
      <c r="DU185" s="4">
        <f t="shared" si="735"/>
        <v>1</v>
      </c>
      <c r="DV185" s="4">
        <f t="shared" si="736"/>
        <v>1</v>
      </c>
      <c r="DX185" s="4">
        <f t="shared" si="737"/>
        <v>302.76917510100753</v>
      </c>
      <c r="DY185" s="25">
        <f t="shared" si="738"/>
        <v>151.4707696236199</v>
      </c>
      <c r="EB185" s="4">
        <f t="shared" si="739"/>
        <v>7.2046859751136969</v>
      </c>
      <c r="EE185" s="4">
        <f t="shared" si="740"/>
        <v>128.12669511073796</v>
      </c>
      <c r="EF185" s="4">
        <f t="shared" si="741"/>
        <v>2.2360679774997898</v>
      </c>
      <c r="EG185" s="4">
        <f t="shared" si="742"/>
        <v>0.11969275109800948</v>
      </c>
      <c r="EJ185" s="4">
        <f t="shared" si="743"/>
        <v>0.11969275109800948</v>
      </c>
      <c r="EK185" s="4">
        <f t="shared" si="744"/>
        <v>0.24919771280410444</v>
      </c>
      <c r="EL185" s="4">
        <f t="shared" si="745"/>
        <v>4.1326885511928575</v>
      </c>
      <c r="EM185" s="4">
        <f t="shared" si="746"/>
        <v>5.8745058887859321</v>
      </c>
      <c r="EN185" s="4" t="e">
        <f t="shared" si="747"/>
        <v>#REF!</v>
      </c>
      <c r="EO185" s="4" t="e">
        <f t="shared" si="748"/>
        <v>#REF!</v>
      </c>
      <c r="EP185" s="4" t="e">
        <f t="shared" si="749"/>
        <v>#REF!</v>
      </c>
      <c r="EQ185" s="4" t="e">
        <f t="shared" si="750"/>
        <v>#REF!</v>
      </c>
      <c r="ER185" s="4" t="e">
        <f t="shared" si="751"/>
        <v>#REF!</v>
      </c>
      <c r="FA185" s="23" t="e">
        <f t="shared" si="752"/>
        <v>#REF!</v>
      </c>
      <c r="FB185" s="23" t="e">
        <f t="shared" si="753"/>
        <v>#REF!</v>
      </c>
      <c r="FC185" s="23">
        <f t="shared" si="754"/>
        <v>2.2000000000000002</v>
      </c>
      <c r="FD185" s="23" t="e">
        <f t="shared" si="755"/>
        <v>#REF!</v>
      </c>
      <c r="FE185" s="23">
        <f t="shared" si="756"/>
        <v>1.4</v>
      </c>
      <c r="FF185" s="23">
        <f t="shared" si="757"/>
        <v>1.4</v>
      </c>
      <c r="FG185" s="23">
        <f t="shared" si="758"/>
        <v>0</v>
      </c>
      <c r="FH185" s="23"/>
      <c r="FR185" s="4">
        <f t="shared" si="607"/>
        <v>1.25</v>
      </c>
      <c r="FS185" s="4">
        <f t="shared" si="608"/>
        <v>0.56666666666666665</v>
      </c>
      <c r="FT185" s="4">
        <f t="shared" si="609"/>
        <v>0</v>
      </c>
      <c r="FU185" s="4">
        <f t="shared" si="610"/>
        <v>194.28722676020334</v>
      </c>
    </row>
    <row r="186" spans="2:177" ht="12" customHeight="1" x14ac:dyDescent="0.3">
      <c r="B186" s="24"/>
      <c r="C186" s="4" t="s">
        <v>171</v>
      </c>
      <c r="D186" s="7">
        <v>583</v>
      </c>
      <c r="E186" s="7">
        <f>10*G186</f>
        <v>573</v>
      </c>
      <c r="F186" s="7">
        <v>51.4</v>
      </c>
      <c r="G186" s="37">
        <v>57.3</v>
      </c>
      <c r="H186" s="7">
        <f t="shared" si="680"/>
        <v>584.46</v>
      </c>
      <c r="I186" s="7">
        <f t="shared" si="778"/>
        <v>57.3</v>
      </c>
      <c r="J186" s="7">
        <f t="shared" si="759"/>
        <v>56</v>
      </c>
      <c r="K186" s="7">
        <f t="shared" si="779"/>
        <v>355.26</v>
      </c>
      <c r="L186" s="7">
        <v>2</v>
      </c>
      <c r="M186" s="7">
        <f t="shared" si="780"/>
        <v>289</v>
      </c>
      <c r="N186" s="7">
        <f t="shared" si="684"/>
        <v>1.5</v>
      </c>
      <c r="O186" s="7">
        <f t="shared" si="685"/>
        <v>1.5</v>
      </c>
      <c r="P186" s="7">
        <f t="shared" ref="P186:Q195" si="784">2040/510</f>
        <v>4</v>
      </c>
      <c r="Q186" s="7">
        <f t="shared" si="784"/>
        <v>4</v>
      </c>
      <c r="R186" s="7">
        <f t="shared" si="686"/>
        <v>5</v>
      </c>
      <c r="S186" s="7">
        <f t="shared" si="687"/>
        <v>128.12669511073796</v>
      </c>
      <c r="T186" s="7">
        <f t="shared" si="688"/>
        <v>583</v>
      </c>
      <c r="U186" s="7">
        <v>25</v>
      </c>
      <c r="V186" s="7">
        <f>(354+380)/2</f>
        <v>367</v>
      </c>
      <c r="W186" s="7"/>
      <c r="X186" s="4">
        <f t="shared" si="689"/>
        <v>1.0755836101514773</v>
      </c>
      <c r="Y186" s="7"/>
      <c r="Z186" s="7"/>
      <c r="AA186" s="7">
        <v>1</v>
      </c>
      <c r="AB186" s="7"/>
      <c r="AC186" s="7"/>
      <c r="AD186" s="7">
        <f t="shared" si="690"/>
        <v>4.166666666666667</v>
      </c>
      <c r="AE186" s="4">
        <f t="shared" si="691"/>
        <v>573</v>
      </c>
      <c r="AF186" s="4">
        <f t="shared" si="692"/>
        <v>0.34</v>
      </c>
      <c r="AG186" s="4">
        <f t="shared" si="693"/>
        <v>190.67088022808852</v>
      </c>
      <c r="AH186" s="4">
        <f t="shared" si="694"/>
        <v>0.73</v>
      </c>
      <c r="AI186" s="4">
        <v>1.25</v>
      </c>
      <c r="AJ186" s="4">
        <f t="shared" si="760"/>
        <v>2.5</v>
      </c>
      <c r="AK186" s="38">
        <f t="shared" si="761"/>
        <v>147.88910147691115</v>
      </c>
      <c r="AL186" s="38">
        <f t="shared" si="762"/>
        <v>147.88910147691115</v>
      </c>
      <c r="AM186" s="38">
        <f t="shared" si="695"/>
        <v>4.107079761979672</v>
      </c>
      <c r="AN186" s="38">
        <f t="shared" si="640"/>
        <v>147.88910147691104</v>
      </c>
      <c r="AO186" s="38">
        <f t="shared" si="548"/>
        <v>1.0000000000000007</v>
      </c>
      <c r="AP186" s="38">
        <f t="shared" si="641"/>
        <v>2.0853463637288274</v>
      </c>
      <c r="AQ186" s="4">
        <f t="shared" si="642"/>
        <v>0</v>
      </c>
      <c r="AR186" s="4" t="e">
        <f>#REF!/G186*F186^0.5/0.19</f>
        <v>#REF!</v>
      </c>
      <c r="AS186" s="4">
        <f t="shared" si="696"/>
        <v>1</v>
      </c>
      <c r="AT186" s="38">
        <f t="shared" si="697"/>
        <v>308.39999999999998</v>
      </c>
      <c r="AU186" s="4">
        <f t="shared" si="698"/>
        <v>0.44000000000000006</v>
      </c>
      <c r="AV186" s="4" t="e">
        <f>AU186*D186*#REF!/(D186*G186/2.75/F186^0.5)</f>
        <v>#REF!</v>
      </c>
      <c r="AW186" s="4" t="e">
        <f t="shared" si="699"/>
        <v>#REF!</v>
      </c>
      <c r="AY186" s="4">
        <f t="shared" si="700"/>
        <v>1</v>
      </c>
      <c r="AZ186" s="4" t="e">
        <f>(3*#REF!+30)*AY186*F186^0.5</f>
        <v>#REF!</v>
      </c>
      <c r="BB186" s="4">
        <f t="shared" si="701"/>
        <v>295.79331486241767</v>
      </c>
      <c r="BC186" s="4">
        <f t="shared" si="702"/>
        <v>450.3525339151019</v>
      </c>
      <c r="BD186" s="4">
        <f t="shared" si="703"/>
        <v>1.5225243820151051</v>
      </c>
      <c r="BL186" s="4">
        <f t="shared" si="704"/>
        <v>57.3</v>
      </c>
      <c r="BP186" s="9"/>
      <c r="BR186" s="9"/>
      <c r="BS186" s="9"/>
      <c r="BT186" s="9">
        <f t="shared" si="705"/>
        <v>56</v>
      </c>
      <c r="BU186" s="9">
        <f t="shared" si="706"/>
        <v>177.63</v>
      </c>
      <c r="BV186" s="9">
        <f t="shared" si="707"/>
        <v>1.1754818988273255</v>
      </c>
      <c r="BW186" s="9">
        <v>0</v>
      </c>
      <c r="BX186" s="9">
        <f t="shared" si="708"/>
        <v>0</v>
      </c>
      <c r="BY186" s="9">
        <f t="shared" si="709"/>
        <v>0</v>
      </c>
      <c r="BZ186" s="9">
        <f t="shared" si="710"/>
        <v>0.77971450958075206</v>
      </c>
      <c r="CA186" s="9">
        <f t="shared" si="711"/>
        <v>0.87549999999999994</v>
      </c>
      <c r="CB186" s="9">
        <f t="shared" si="712"/>
        <v>1.7129369207551171</v>
      </c>
      <c r="CC186" s="9">
        <f t="shared" si="713"/>
        <v>2.013526344180657</v>
      </c>
      <c r="CD186" s="9">
        <v>1</v>
      </c>
      <c r="CE186" s="9" t="e">
        <f>4*CC186*#REF!+60*CC186</f>
        <v>#REF!</v>
      </c>
      <c r="CG186" s="4" t="e">
        <f t="shared" si="714"/>
        <v>#REF!</v>
      </c>
      <c r="CH186" s="4" t="e">
        <f t="shared" si="715"/>
        <v>#REF!</v>
      </c>
      <c r="CI186" s="4" t="e">
        <f t="shared" si="716"/>
        <v>#REF!</v>
      </c>
      <c r="CJ186" s="4" t="e">
        <f t="shared" si="717"/>
        <v>#REF!</v>
      </c>
      <c r="CK186" s="4">
        <f t="shared" si="718"/>
        <v>1.0755836101514773</v>
      </c>
      <c r="CL186" s="4">
        <f t="shared" si="719"/>
        <v>1.1362985571149462</v>
      </c>
      <c r="CM186" s="4">
        <f t="shared" si="720"/>
        <v>1.4623814188213276</v>
      </c>
      <c r="CO186" s="4" t="e">
        <f>CG186</f>
        <v>#REF!</v>
      </c>
      <c r="CP186" s="4" t="e">
        <f>CH186</f>
        <v>#REF!</v>
      </c>
      <c r="CQ186" s="4" t="e">
        <f>CJ186</f>
        <v>#REF!</v>
      </c>
      <c r="CR186" s="4">
        <f t="shared" si="783"/>
        <v>1.4623814188213276</v>
      </c>
      <c r="CS186" s="4">
        <f>CK186</f>
        <v>1.0755836101514773</v>
      </c>
      <c r="CT186" s="4">
        <f>CL186</f>
        <v>1.1362985571149462</v>
      </c>
      <c r="DB186" s="4">
        <f t="shared" si="722"/>
        <v>0</v>
      </c>
      <c r="DC186" s="4" t="e">
        <f>#REF!</f>
        <v>#REF!</v>
      </c>
      <c r="DF186" s="4">
        <f t="shared" si="723"/>
        <v>2.0582334451428195E-5</v>
      </c>
      <c r="DG186" s="4">
        <f t="shared" si="724"/>
        <v>5.8902461748215584</v>
      </c>
      <c r="DH186" s="4">
        <f t="shared" si="725"/>
        <v>0.35860765899432934</v>
      </c>
      <c r="DI186" s="4">
        <f t="shared" si="726"/>
        <v>3.9082404040937933</v>
      </c>
      <c r="DJ186" s="4">
        <f t="shared" si="727"/>
        <v>4.9988583382791711</v>
      </c>
      <c r="DK186" s="4">
        <f t="shared" si="728"/>
        <v>5.3110039929911856</v>
      </c>
      <c r="DL186" s="38">
        <f t="shared" si="729"/>
        <v>341.21010820192248</v>
      </c>
      <c r="DM186" s="4" t="e">
        <f t="shared" si="730"/>
        <v>#REF!</v>
      </c>
      <c r="DN186" s="4">
        <f t="shared" si="731"/>
        <v>2.2360679774997898</v>
      </c>
      <c r="DO186" s="4">
        <f t="shared" si="776"/>
        <v>147.88910147691104</v>
      </c>
      <c r="DS186" s="4">
        <f t="shared" si="733"/>
        <v>1</v>
      </c>
      <c r="DT186" s="4">
        <f t="shared" si="734"/>
        <v>1</v>
      </c>
      <c r="DU186" s="4">
        <f t="shared" si="735"/>
        <v>1</v>
      </c>
      <c r="DV186" s="4">
        <f t="shared" si="736"/>
        <v>1</v>
      </c>
      <c r="DX186" s="4">
        <f t="shared" si="737"/>
        <v>322.97849689417046</v>
      </c>
      <c r="DY186" s="25">
        <f t="shared" si="738"/>
        <v>146.27111164952376</v>
      </c>
      <c r="EB186" s="4">
        <f t="shared" si="739"/>
        <v>5.8902461748215584</v>
      </c>
      <c r="EE186" s="4">
        <f t="shared" si="740"/>
        <v>128.12669511073796</v>
      </c>
      <c r="EF186" s="4">
        <f t="shared" si="741"/>
        <v>2.2360679774997898</v>
      </c>
      <c r="EG186" s="4">
        <f t="shared" si="742"/>
        <v>0.14058415851154979</v>
      </c>
      <c r="EJ186" s="4">
        <f t="shared" si="743"/>
        <v>0.14058415851154979</v>
      </c>
      <c r="EK186" s="4">
        <f t="shared" si="744"/>
        <v>0.3580092096468499</v>
      </c>
      <c r="EL186" s="4">
        <f t="shared" si="745"/>
        <v>3.9056302468897819</v>
      </c>
      <c r="EM186" s="4">
        <f t="shared" si="746"/>
        <v>4.9978404724563692</v>
      </c>
      <c r="EN186" s="4" t="e">
        <f t="shared" si="747"/>
        <v>#REF!</v>
      </c>
      <c r="EO186" s="4" t="e">
        <f t="shared" si="748"/>
        <v>#REF!</v>
      </c>
      <c r="EP186" s="4" t="e">
        <f t="shared" si="749"/>
        <v>#REF!</v>
      </c>
      <c r="EQ186" s="4" t="e">
        <f t="shared" si="750"/>
        <v>#REF!</v>
      </c>
      <c r="ER186" s="4" t="e">
        <f t="shared" si="751"/>
        <v>#REF!</v>
      </c>
      <c r="FA186" s="23" t="e">
        <f t="shared" si="752"/>
        <v>#REF!</v>
      </c>
      <c r="FB186" s="23" t="e">
        <f t="shared" si="753"/>
        <v>#REF!</v>
      </c>
      <c r="FC186" s="23">
        <f t="shared" si="754"/>
        <v>1.6</v>
      </c>
      <c r="FD186" s="23" t="e">
        <f t="shared" si="755"/>
        <v>#REF!</v>
      </c>
      <c r="FE186" s="23">
        <f t="shared" si="756"/>
        <v>1.2</v>
      </c>
      <c r="FF186" s="23">
        <f t="shared" si="757"/>
        <v>1.2</v>
      </c>
      <c r="FG186" s="23">
        <f t="shared" si="758"/>
        <v>0</v>
      </c>
      <c r="FH186" s="23"/>
      <c r="FR186" s="4">
        <f t="shared" si="607"/>
        <v>1.25</v>
      </c>
      <c r="FS186" s="4">
        <f t="shared" si="608"/>
        <v>0.56666666666666665</v>
      </c>
      <c r="FT186" s="4">
        <f t="shared" si="609"/>
        <v>0</v>
      </c>
      <c r="FU186" s="4">
        <f t="shared" si="610"/>
        <v>250.9605191071152</v>
      </c>
    </row>
    <row r="187" spans="2:177" ht="12" customHeight="1" x14ac:dyDescent="0.3">
      <c r="B187" s="24"/>
      <c r="C187" s="4" t="s">
        <v>172</v>
      </c>
      <c r="D187" s="7">
        <v>583</v>
      </c>
      <c r="E187" s="7">
        <f t="shared" ref="E187:E188" si="785">10*G187</f>
        <v>573</v>
      </c>
      <c r="F187" s="7">
        <v>51.4</v>
      </c>
      <c r="G187" s="37">
        <v>57.3</v>
      </c>
      <c r="H187" s="7">
        <f t="shared" si="680"/>
        <v>584.46</v>
      </c>
      <c r="I187" s="7">
        <f t="shared" si="778"/>
        <v>57.3</v>
      </c>
      <c r="J187" s="7">
        <f t="shared" si="759"/>
        <v>56</v>
      </c>
      <c r="K187" s="7">
        <f t="shared" si="779"/>
        <v>355.26</v>
      </c>
      <c r="L187" s="7">
        <v>2</v>
      </c>
      <c r="M187" s="7">
        <f t="shared" si="780"/>
        <v>289</v>
      </c>
      <c r="N187" s="7">
        <f t="shared" si="684"/>
        <v>1.5</v>
      </c>
      <c r="O187" s="7">
        <f t="shared" si="685"/>
        <v>1.5</v>
      </c>
      <c r="P187" s="7">
        <f t="shared" si="784"/>
        <v>4</v>
      </c>
      <c r="Q187" s="7">
        <f t="shared" si="784"/>
        <v>4</v>
      </c>
      <c r="R187" s="7">
        <f t="shared" si="686"/>
        <v>5</v>
      </c>
      <c r="S187" s="7">
        <f t="shared" si="687"/>
        <v>128.12669511073796</v>
      </c>
      <c r="T187" s="7">
        <f t="shared" si="688"/>
        <v>583</v>
      </c>
      <c r="U187" s="7">
        <v>25</v>
      </c>
      <c r="V187" s="7">
        <f>(470+475)/2</f>
        <v>472.5</v>
      </c>
      <c r="W187" s="7"/>
      <c r="X187" s="4">
        <f t="shared" si="689"/>
        <v>1.3714309698264442</v>
      </c>
      <c r="Y187" s="7">
        <v>15.9</v>
      </c>
      <c r="Z187" s="7">
        <v>2</v>
      </c>
      <c r="AA187" s="7">
        <v>275</v>
      </c>
      <c r="AB187" s="7">
        <v>4</v>
      </c>
      <c r="AC187" s="7">
        <f>Z187</f>
        <v>2</v>
      </c>
      <c r="AD187" s="7">
        <f t="shared" si="690"/>
        <v>4.166666666666667</v>
      </c>
      <c r="AE187" s="4">
        <f t="shared" si="691"/>
        <v>573</v>
      </c>
      <c r="AF187" s="4">
        <f t="shared" si="692"/>
        <v>0.34</v>
      </c>
      <c r="AG187" s="4">
        <f t="shared" si="693"/>
        <v>190.67088022808852</v>
      </c>
      <c r="AH187" s="4">
        <f t="shared" si="694"/>
        <v>0.73</v>
      </c>
      <c r="AI187" s="4">
        <v>1.25</v>
      </c>
      <c r="AJ187" s="4">
        <f t="shared" si="760"/>
        <v>2.5</v>
      </c>
      <c r="AK187" s="38">
        <f t="shared" si="761"/>
        <v>147.88910147691115</v>
      </c>
      <c r="AL187" s="38">
        <f t="shared" si="762"/>
        <v>147.88910147691115</v>
      </c>
      <c r="AM187" s="38">
        <f t="shared" si="695"/>
        <v>4.107079761979672</v>
      </c>
      <c r="AN187" s="38">
        <f t="shared" si="640"/>
        <v>147.88910147691104</v>
      </c>
      <c r="AO187" s="38">
        <f t="shared" si="548"/>
        <v>1.0000000000000007</v>
      </c>
      <c r="AP187" s="38">
        <f t="shared" si="641"/>
        <v>2.0853463637288274</v>
      </c>
      <c r="AQ187" s="4">
        <f t="shared" si="642"/>
        <v>0</v>
      </c>
      <c r="AR187" s="4" t="e">
        <f>#REF!/G187*F187^0.5/0.19</f>
        <v>#REF!</v>
      </c>
      <c r="AS187" s="4">
        <f t="shared" si="696"/>
        <v>1</v>
      </c>
      <c r="AT187" s="38">
        <f t="shared" si="697"/>
        <v>308.39999999999998</v>
      </c>
      <c r="AU187" s="4">
        <f t="shared" si="698"/>
        <v>0.44000000000000006</v>
      </c>
      <c r="AV187" s="4" t="e">
        <f>AU187*D187*#REF!/(D187*G187/2.75/F187^0.5)</f>
        <v>#REF!</v>
      </c>
      <c r="AW187" s="4" t="e">
        <f t="shared" si="699"/>
        <v>#REF!</v>
      </c>
      <c r="AY187" s="4">
        <f t="shared" si="700"/>
        <v>1.201612194511575</v>
      </c>
      <c r="AZ187" s="4" t="e">
        <f>(3*#REF!+30)*AY187*F187^0.5</f>
        <v>#REF!</v>
      </c>
      <c r="BB187" s="4">
        <f t="shared" si="701"/>
        <v>295.79331486241767</v>
      </c>
      <c r="BC187" s="4">
        <f t="shared" si="702"/>
        <v>450.3525339151019</v>
      </c>
      <c r="BD187" s="4">
        <f t="shared" si="703"/>
        <v>1.5225243820151051</v>
      </c>
      <c r="BL187" s="4">
        <f t="shared" si="704"/>
        <v>57.3</v>
      </c>
      <c r="BP187" s="9"/>
      <c r="BR187" s="9"/>
      <c r="BS187" s="9"/>
      <c r="BT187" s="9">
        <f t="shared" si="705"/>
        <v>56</v>
      </c>
      <c r="BU187" s="9">
        <f t="shared" si="706"/>
        <v>177.63</v>
      </c>
      <c r="BV187" s="9">
        <f t="shared" si="707"/>
        <v>1.1754818988273255</v>
      </c>
      <c r="BW187" s="9">
        <v>20</v>
      </c>
      <c r="BX187" s="9">
        <f t="shared" si="708"/>
        <v>2.5201524313946871E-2</v>
      </c>
      <c r="BY187" s="9">
        <f t="shared" si="709"/>
        <v>0.30403048627893742</v>
      </c>
      <c r="BZ187" s="9">
        <f t="shared" si="710"/>
        <v>0.77971450958075206</v>
      </c>
      <c r="CA187" s="9">
        <f t="shared" si="711"/>
        <v>0.87549999999999994</v>
      </c>
      <c r="CB187" s="9">
        <f t="shared" si="712"/>
        <v>1.7129369207551171</v>
      </c>
      <c r="CC187" s="9">
        <f t="shared" si="713"/>
        <v>2.5343113891629807</v>
      </c>
      <c r="CD187" s="9">
        <v>1</v>
      </c>
      <c r="CE187" s="9" t="e">
        <f>4*CC187*#REF!+60*CC187</f>
        <v>#REF!</v>
      </c>
      <c r="CG187" s="4" t="e">
        <f t="shared" si="714"/>
        <v>#REF!</v>
      </c>
      <c r="CH187" s="4" t="e">
        <f t="shared" si="715"/>
        <v>#REF!</v>
      </c>
      <c r="CI187" s="4" t="e">
        <f t="shared" si="716"/>
        <v>#REF!</v>
      </c>
      <c r="CJ187" s="4" t="e">
        <f t="shared" si="717"/>
        <v>#REF!</v>
      </c>
      <c r="CK187" s="4">
        <f t="shared" si="718"/>
        <v>1.3714309698264442</v>
      </c>
      <c r="CL187" s="4">
        <f t="shared" si="719"/>
        <v>1.4489090299456451</v>
      </c>
      <c r="CM187" s="4">
        <f t="shared" si="720"/>
        <v>1.2315922030510305</v>
      </c>
      <c r="CU187" s="4" t="e">
        <f>CG187</f>
        <v>#REF!</v>
      </c>
      <c r="CV187" s="4" t="e">
        <f>CH187</f>
        <v>#REF!</v>
      </c>
      <c r="CW187" s="4" t="e">
        <f>CJ187</f>
        <v>#REF!</v>
      </c>
      <c r="CX187" s="4">
        <f t="shared" ref="CX187" si="786">CM187</f>
        <v>1.2315922030510305</v>
      </c>
      <c r="CY187" s="4">
        <f>CK187</f>
        <v>1.3714309698264442</v>
      </c>
      <c r="CZ187" s="4">
        <f>CL187</f>
        <v>1.4489090299456451</v>
      </c>
      <c r="DB187" s="4">
        <f t="shared" si="722"/>
        <v>2</v>
      </c>
      <c r="DC187" s="4" t="e">
        <f>#REF!</f>
        <v>#REF!</v>
      </c>
      <c r="DF187" s="4">
        <f t="shared" si="723"/>
        <v>2.0582334451428195E-5</v>
      </c>
      <c r="DG187" s="4">
        <f t="shared" si="724"/>
        <v>5.99454394365008</v>
      </c>
      <c r="DH187" s="4">
        <f t="shared" si="725"/>
        <v>0.35860765899432934</v>
      </c>
      <c r="DI187" s="4">
        <f t="shared" si="726"/>
        <v>3.9774430727250092</v>
      </c>
      <c r="DJ187" s="4">
        <f t="shared" si="727"/>
        <v>5.0873724268075948</v>
      </c>
      <c r="DK187" s="4">
        <f t="shared" si="728"/>
        <v>5.3947883136519268</v>
      </c>
      <c r="DL187" s="38">
        <f t="shared" si="729"/>
        <v>344.53064747385378</v>
      </c>
      <c r="DM187" s="4" t="e">
        <f t="shared" si="730"/>
        <v>#REF!</v>
      </c>
      <c r="DN187" s="4">
        <f t="shared" si="731"/>
        <v>2.2360679774997898</v>
      </c>
      <c r="DO187" s="4">
        <f t="shared" si="776"/>
        <v>147.88910147691104</v>
      </c>
      <c r="DS187" s="4">
        <f t="shared" si="733"/>
        <v>1</v>
      </c>
      <c r="DT187" s="4">
        <f t="shared" si="734"/>
        <v>1</v>
      </c>
      <c r="DU187" s="4">
        <f t="shared" si="735"/>
        <v>0.9826012170719004</v>
      </c>
      <c r="DV187" s="4">
        <f t="shared" si="736"/>
        <v>0.9826012170719004</v>
      </c>
      <c r="DX187" s="4">
        <f t="shared" si="737"/>
        <v>326.10742995902615</v>
      </c>
      <c r="DY187" s="25">
        <f t="shared" si="738"/>
        <v>146.27111164952376</v>
      </c>
      <c r="EB187" s="4">
        <f t="shared" si="739"/>
        <v>5.99454394365008</v>
      </c>
      <c r="EE187" s="4">
        <f t="shared" si="740"/>
        <v>128.12669511073796</v>
      </c>
      <c r="EF187" s="4">
        <f t="shared" si="741"/>
        <v>2.2360679774997898</v>
      </c>
      <c r="EG187" s="4">
        <f t="shared" si="742"/>
        <v>0.14058415851154979</v>
      </c>
      <c r="EJ187" s="4">
        <f t="shared" si="743"/>
        <v>0.14058415851154979</v>
      </c>
      <c r="EK187" s="4">
        <f t="shared" si="744"/>
        <v>0.3580092096468499</v>
      </c>
      <c r="EL187" s="4">
        <f t="shared" si="745"/>
        <v>3.9747866978308384</v>
      </c>
      <c r="EM187" s="4">
        <f t="shared" si="746"/>
        <v>5.0863365377764023</v>
      </c>
      <c r="EN187" s="4" t="e">
        <f t="shared" si="747"/>
        <v>#REF!</v>
      </c>
      <c r="EO187" s="4" t="e">
        <f t="shared" si="748"/>
        <v>#REF!</v>
      </c>
      <c r="EP187" s="4" t="e">
        <f t="shared" si="749"/>
        <v>#REF!</v>
      </c>
      <c r="EQ187" s="4" t="e">
        <f t="shared" si="750"/>
        <v>#REF!</v>
      </c>
      <c r="ER187" s="4" t="e">
        <f t="shared" si="751"/>
        <v>#REF!</v>
      </c>
      <c r="FA187" s="23" t="e">
        <f t="shared" si="752"/>
        <v>#REF!</v>
      </c>
      <c r="FB187" s="23" t="e">
        <f t="shared" si="753"/>
        <v>#REF!</v>
      </c>
      <c r="FC187" s="23">
        <f t="shared" si="754"/>
        <v>1.4</v>
      </c>
      <c r="FD187" s="23" t="e">
        <f t="shared" si="755"/>
        <v>#REF!</v>
      </c>
      <c r="FE187" s="23">
        <f t="shared" si="756"/>
        <v>1.4</v>
      </c>
      <c r="FF187" s="23">
        <f t="shared" si="757"/>
        <v>1.6</v>
      </c>
      <c r="FG187" s="23">
        <f t="shared" si="758"/>
        <v>0</v>
      </c>
      <c r="FH187" s="23"/>
      <c r="FR187" s="4">
        <f t="shared" si="607"/>
        <v>1.25</v>
      </c>
      <c r="FS187" s="4">
        <f t="shared" si="608"/>
        <v>0.37067917575318227</v>
      </c>
      <c r="FT187" s="4">
        <f t="shared" si="609"/>
        <v>0.3</v>
      </c>
      <c r="FU187" s="4">
        <f t="shared" si="610"/>
        <v>383.64971687014014</v>
      </c>
    </row>
    <row r="188" spans="2:177" ht="12" customHeight="1" x14ac:dyDescent="0.3">
      <c r="B188" s="24"/>
      <c r="C188" s="4" t="s">
        <v>173</v>
      </c>
      <c r="D188" s="7">
        <v>583</v>
      </c>
      <c r="E188" s="7">
        <f t="shared" si="785"/>
        <v>573</v>
      </c>
      <c r="F188" s="7">
        <v>76.900000000000006</v>
      </c>
      <c r="G188" s="37">
        <v>57.3</v>
      </c>
      <c r="H188" s="7">
        <f t="shared" si="680"/>
        <v>584.46</v>
      </c>
      <c r="I188" s="7">
        <f t="shared" si="778"/>
        <v>57.3</v>
      </c>
      <c r="J188" s="7">
        <f t="shared" si="759"/>
        <v>56</v>
      </c>
      <c r="K188" s="7">
        <f t="shared" si="779"/>
        <v>355.26</v>
      </c>
      <c r="L188" s="7">
        <v>2</v>
      </c>
      <c r="M188" s="7">
        <f t="shared" si="780"/>
        <v>289</v>
      </c>
      <c r="N188" s="7">
        <f t="shared" si="684"/>
        <v>1.5</v>
      </c>
      <c r="O188" s="7">
        <f t="shared" si="685"/>
        <v>1.5</v>
      </c>
      <c r="P188" s="7">
        <f t="shared" si="784"/>
        <v>4</v>
      </c>
      <c r="Q188" s="7">
        <f t="shared" si="784"/>
        <v>4</v>
      </c>
      <c r="R188" s="7">
        <f t="shared" si="686"/>
        <v>5</v>
      </c>
      <c r="S188" s="7">
        <f t="shared" si="687"/>
        <v>128.12669511073796</v>
      </c>
      <c r="T188" s="7">
        <f t="shared" si="688"/>
        <v>583</v>
      </c>
      <c r="U188" s="7">
        <v>25</v>
      </c>
      <c r="V188" s="7">
        <f>(445+445)/2</f>
        <v>445</v>
      </c>
      <c r="W188" s="7"/>
      <c r="X188" s="4">
        <f t="shared" si="689"/>
        <v>1.0895526539249616</v>
      </c>
      <c r="Y188" s="7"/>
      <c r="Z188" s="7"/>
      <c r="AA188" s="7">
        <v>1</v>
      </c>
      <c r="AB188" s="7"/>
      <c r="AC188" s="7"/>
      <c r="AD188" s="7">
        <f t="shared" si="690"/>
        <v>4.166666666666667</v>
      </c>
      <c r="AE188" s="4">
        <f t="shared" si="691"/>
        <v>573</v>
      </c>
      <c r="AF188" s="4">
        <f t="shared" si="692"/>
        <v>0.34</v>
      </c>
      <c r="AG188" s="4">
        <f t="shared" si="693"/>
        <v>233.220102499962</v>
      </c>
      <c r="AH188" s="4">
        <f t="shared" si="694"/>
        <v>0.73</v>
      </c>
      <c r="AI188" s="4">
        <v>1.25</v>
      </c>
      <c r="AJ188" s="4">
        <f t="shared" si="760"/>
        <v>2.5</v>
      </c>
      <c r="AK188" s="38">
        <f t="shared" si="761"/>
        <v>180.89134200153302</v>
      </c>
      <c r="AL188" s="38">
        <f t="shared" si="762"/>
        <v>180.89134200153302</v>
      </c>
      <c r="AM188" s="38">
        <f t="shared" si="695"/>
        <v>4.7705058587582929</v>
      </c>
      <c r="AN188" s="38">
        <f t="shared" si="640"/>
        <v>180.89134200153285</v>
      </c>
      <c r="AO188" s="38">
        <f t="shared" si="548"/>
        <v>1.0000000000000009</v>
      </c>
      <c r="AP188" s="38">
        <f t="shared" si="641"/>
        <v>2.550702509554549</v>
      </c>
      <c r="AQ188" s="4">
        <f t="shared" si="642"/>
        <v>0</v>
      </c>
      <c r="AR188" s="4" t="e">
        <f>#REF!/G188*F188^0.5/0.19</f>
        <v>#REF!</v>
      </c>
      <c r="AS188" s="4">
        <f t="shared" si="696"/>
        <v>1</v>
      </c>
      <c r="AT188" s="38">
        <f t="shared" si="697"/>
        <v>461.40000000000003</v>
      </c>
      <c r="AU188" s="4">
        <f t="shared" si="698"/>
        <v>0.44000000000000006</v>
      </c>
      <c r="AV188" s="4" t="e">
        <f>AU188*D188*#REF!/(D188*G188/2.75/F188^0.5)</f>
        <v>#REF!</v>
      </c>
      <c r="AW188" s="4" t="e">
        <f t="shared" si="699"/>
        <v>#REF!</v>
      </c>
      <c r="AY188" s="4">
        <f t="shared" si="700"/>
        <v>1</v>
      </c>
      <c r="AZ188" s="4" t="e">
        <f>(3*#REF!+30)*AY188*F188^0.5</f>
        <v>#REF!</v>
      </c>
      <c r="BB188" s="4">
        <f t="shared" si="701"/>
        <v>442.53902554318915</v>
      </c>
      <c r="BC188" s="4">
        <f t="shared" si="702"/>
        <v>450.3525339151019</v>
      </c>
      <c r="BD188" s="4">
        <f t="shared" si="703"/>
        <v>1.0176560888891599</v>
      </c>
      <c r="BL188" s="4">
        <f t="shared" si="704"/>
        <v>57.3</v>
      </c>
      <c r="BP188" s="9"/>
      <c r="BR188" s="9"/>
      <c r="BS188" s="9"/>
      <c r="BT188" s="9">
        <f t="shared" si="705"/>
        <v>56</v>
      </c>
      <c r="BU188" s="9">
        <f t="shared" si="706"/>
        <v>177.63</v>
      </c>
      <c r="BV188" s="9">
        <f t="shared" si="707"/>
        <v>1.1754818988273255</v>
      </c>
      <c r="BW188" s="9">
        <v>0</v>
      </c>
      <c r="BX188" s="9">
        <f t="shared" si="708"/>
        <v>0</v>
      </c>
      <c r="BY188" s="9">
        <f t="shared" si="709"/>
        <v>0</v>
      </c>
      <c r="BZ188" s="9">
        <f t="shared" si="710"/>
        <v>0.77971450958075206</v>
      </c>
      <c r="CA188" s="9">
        <f t="shared" si="711"/>
        <v>0.87549999999999994</v>
      </c>
      <c r="CB188" s="9">
        <f t="shared" si="712"/>
        <v>2.0951879162491376</v>
      </c>
      <c r="CC188" s="9">
        <f t="shared" si="713"/>
        <v>2.4628554701926038</v>
      </c>
      <c r="CD188" s="9">
        <v>1</v>
      </c>
      <c r="CE188" s="9" t="e">
        <f>4*CC188*#REF!+60*CC188</f>
        <v>#REF!</v>
      </c>
      <c r="CG188" s="4" t="e">
        <f t="shared" si="714"/>
        <v>#REF!</v>
      </c>
      <c r="CH188" s="4" t="e">
        <f t="shared" si="715"/>
        <v>#REF!</v>
      </c>
      <c r="CI188" s="4" t="e">
        <f t="shared" si="716"/>
        <v>#REF!</v>
      </c>
      <c r="CJ188" s="4" t="e">
        <f t="shared" si="717"/>
        <v>#REF!</v>
      </c>
      <c r="CK188" s="4">
        <f t="shared" si="718"/>
        <v>1.0895526539249616</v>
      </c>
      <c r="CL188" s="4">
        <f t="shared" si="719"/>
        <v>1.1264315123772384</v>
      </c>
      <c r="CM188" s="4">
        <f t="shared" si="720"/>
        <v>1.6032963421957998</v>
      </c>
      <c r="CO188" s="4" t="e">
        <f>CG188</f>
        <v>#REF!</v>
      </c>
      <c r="CP188" s="4" t="e">
        <f>CH188</f>
        <v>#REF!</v>
      </c>
      <c r="CQ188" s="4" t="e">
        <f>CJ188</f>
        <v>#REF!</v>
      </c>
      <c r="CR188" s="4">
        <f t="shared" ref="CR188:CR189" si="787">CM188</f>
        <v>1.6032963421957998</v>
      </c>
      <c r="CS188" s="4">
        <f>CK188</f>
        <v>1.0895526539249616</v>
      </c>
      <c r="CT188" s="4">
        <f>CL188</f>
        <v>1.1264315123772384</v>
      </c>
      <c r="DB188" s="4">
        <f t="shared" si="722"/>
        <v>0</v>
      </c>
      <c r="DC188" s="4" t="e">
        <f>#REF!</f>
        <v>#REF!</v>
      </c>
      <c r="DF188" s="4">
        <f t="shared" si="723"/>
        <v>2.4052911710985851E-5</v>
      </c>
      <c r="DG188" s="4">
        <f t="shared" si="724"/>
        <v>7.2046859751136969</v>
      </c>
      <c r="DH188" s="4">
        <f t="shared" si="725"/>
        <v>0.2931824369513521</v>
      </c>
      <c r="DI188" s="4">
        <f t="shared" si="726"/>
        <v>4.4103213681169242</v>
      </c>
      <c r="DJ188" s="4">
        <f t="shared" si="727"/>
        <v>5.9741190834231039</v>
      </c>
      <c r="DK188" s="4">
        <f t="shared" si="728"/>
        <v>6.2296619398373565</v>
      </c>
      <c r="DL188" s="38">
        <f t="shared" si="729"/>
        <v>408.42450192466561</v>
      </c>
      <c r="DM188" s="4" t="e">
        <f t="shared" si="730"/>
        <v>#REF!</v>
      </c>
      <c r="DN188" s="4">
        <f t="shared" si="731"/>
        <v>2.2360679774997898</v>
      </c>
      <c r="DO188" s="4">
        <f t="shared" si="776"/>
        <v>180.89134200153285</v>
      </c>
      <c r="DS188" s="4">
        <f t="shared" si="733"/>
        <v>1</v>
      </c>
      <c r="DT188" s="4">
        <f t="shared" si="734"/>
        <v>1</v>
      </c>
      <c r="DU188" s="4">
        <f t="shared" si="735"/>
        <v>1</v>
      </c>
      <c r="DV188" s="4">
        <f t="shared" si="736"/>
        <v>1</v>
      </c>
      <c r="DX188" s="4">
        <f t="shared" si="737"/>
        <v>395.05286838155405</v>
      </c>
      <c r="DY188" s="25">
        <f t="shared" si="738"/>
        <v>178.9122891281431</v>
      </c>
      <c r="EB188" s="4">
        <f t="shared" si="739"/>
        <v>7.2046859751136969</v>
      </c>
      <c r="EE188" s="4">
        <f t="shared" si="740"/>
        <v>128.12669511073796</v>
      </c>
      <c r="EF188" s="4">
        <f t="shared" si="741"/>
        <v>2.2360679774997898</v>
      </c>
      <c r="EG188" s="4">
        <f t="shared" si="742"/>
        <v>0.14058415851154979</v>
      </c>
      <c r="EJ188" s="4">
        <f t="shared" si="743"/>
        <v>0.14058415851154979</v>
      </c>
      <c r="EK188" s="4">
        <f t="shared" si="744"/>
        <v>0.2926931701058586</v>
      </c>
      <c r="EL188" s="4">
        <f t="shared" si="745"/>
        <v>4.4073758911501191</v>
      </c>
      <c r="EM188" s="4">
        <f t="shared" si="746"/>
        <v>5.9730363357603444</v>
      </c>
      <c r="EN188" s="4" t="e">
        <f t="shared" si="747"/>
        <v>#REF!</v>
      </c>
      <c r="EO188" s="4" t="e">
        <f t="shared" si="748"/>
        <v>#REF!</v>
      </c>
      <c r="EP188" s="4" t="e">
        <f t="shared" si="749"/>
        <v>#REF!</v>
      </c>
      <c r="EQ188" s="4" t="e">
        <f t="shared" si="750"/>
        <v>#REF!</v>
      </c>
      <c r="ER188" s="4" t="e">
        <f t="shared" si="751"/>
        <v>#REF!</v>
      </c>
      <c r="FA188" s="23" t="e">
        <f t="shared" si="752"/>
        <v>#REF!</v>
      </c>
      <c r="FB188" s="23" t="e">
        <f t="shared" si="753"/>
        <v>#REF!</v>
      </c>
      <c r="FC188" s="23">
        <f t="shared" si="754"/>
        <v>1.8</v>
      </c>
      <c r="FD188" s="23" t="e">
        <f t="shared" si="755"/>
        <v>#REF!</v>
      </c>
      <c r="FE188" s="23">
        <f t="shared" si="756"/>
        <v>1.2</v>
      </c>
      <c r="FF188" s="23">
        <f t="shared" si="757"/>
        <v>1.2</v>
      </c>
      <c r="FG188" s="23">
        <f t="shared" si="758"/>
        <v>0</v>
      </c>
      <c r="FH188" s="23"/>
      <c r="FR188" s="4">
        <f t="shared" si="607"/>
        <v>1.25</v>
      </c>
      <c r="FS188" s="4">
        <f t="shared" si="608"/>
        <v>0.56666666666666665</v>
      </c>
      <c r="FT188" s="4">
        <f t="shared" si="609"/>
        <v>0</v>
      </c>
      <c r="FU188" s="4">
        <f t="shared" si="610"/>
        <v>277.55318108600483</v>
      </c>
    </row>
    <row r="189" spans="2:177" ht="12" customHeight="1" x14ac:dyDescent="0.3">
      <c r="B189" s="24"/>
      <c r="C189" s="4" t="s">
        <v>174</v>
      </c>
      <c r="D189" s="7">
        <v>583</v>
      </c>
      <c r="E189" s="7">
        <f t="shared" ref="E189:E193" si="788">13*G189</f>
        <v>744.9</v>
      </c>
      <c r="F189" s="7">
        <v>40.5</v>
      </c>
      <c r="G189" s="37">
        <v>57.3</v>
      </c>
      <c r="H189" s="7">
        <f t="shared" si="680"/>
        <v>584.46</v>
      </c>
      <c r="I189" s="7">
        <f t="shared" si="778"/>
        <v>57.3</v>
      </c>
      <c r="J189" s="7">
        <f t="shared" si="759"/>
        <v>56</v>
      </c>
      <c r="K189" s="7">
        <f t="shared" si="779"/>
        <v>355.26</v>
      </c>
      <c r="L189" s="7">
        <v>2</v>
      </c>
      <c r="M189" s="7">
        <f t="shared" ref="M189:M195" si="789">2/3*E189-0.5*240</f>
        <v>376.59999999999997</v>
      </c>
      <c r="N189" s="7">
        <f t="shared" si="684"/>
        <v>1.5</v>
      </c>
      <c r="O189" s="7">
        <f t="shared" si="685"/>
        <v>1.5</v>
      </c>
      <c r="P189" s="7">
        <f t="shared" si="784"/>
        <v>4</v>
      </c>
      <c r="Q189" s="7">
        <f t="shared" si="784"/>
        <v>4</v>
      </c>
      <c r="R189" s="7">
        <f t="shared" si="686"/>
        <v>5</v>
      </c>
      <c r="S189" s="7">
        <f t="shared" si="687"/>
        <v>128.12669511073796</v>
      </c>
      <c r="T189" s="7">
        <f t="shared" si="688"/>
        <v>583</v>
      </c>
      <c r="U189" s="7">
        <v>25</v>
      </c>
      <c r="V189" s="7">
        <f>(439+439)/2</f>
        <v>439</v>
      </c>
      <c r="W189" s="7"/>
      <c r="X189" s="4">
        <f t="shared" si="689"/>
        <v>1.1605850652682879</v>
      </c>
      <c r="Y189" s="7"/>
      <c r="Z189" s="7"/>
      <c r="AA189" s="7">
        <v>1</v>
      </c>
      <c r="AB189" s="7"/>
      <c r="AC189" s="7"/>
      <c r="AD189" s="7">
        <f t="shared" si="690"/>
        <v>5.4166666666666661</v>
      </c>
      <c r="AE189" s="4">
        <f t="shared" si="691"/>
        <v>744.9</v>
      </c>
      <c r="AF189" s="4">
        <f t="shared" si="692"/>
        <v>0.2615384615384615</v>
      </c>
      <c r="AG189" s="4">
        <f t="shared" si="693"/>
        <v>250.86804884585459</v>
      </c>
      <c r="AH189" s="4">
        <f t="shared" si="694"/>
        <v>0.72307692307692306</v>
      </c>
      <c r="AI189" s="4">
        <v>1.25</v>
      </c>
      <c r="AJ189" s="4">
        <f t="shared" si="760"/>
        <v>2.5</v>
      </c>
      <c r="AK189" s="38">
        <f t="shared" si="761"/>
        <v>148.25707916260191</v>
      </c>
      <c r="AL189" s="38">
        <f t="shared" si="762"/>
        <v>148.25707916260191</v>
      </c>
      <c r="AM189" s="38">
        <f t="shared" si="695"/>
        <v>3.538000882182009</v>
      </c>
      <c r="AN189" s="38">
        <f t="shared" si="640"/>
        <v>148.25707916260185</v>
      </c>
      <c r="AO189" s="38">
        <f t="shared" si="548"/>
        <v>1.0000000000000004</v>
      </c>
      <c r="AP189" s="38">
        <f t="shared" si="641"/>
        <v>1.6390448359871455</v>
      </c>
      <c r="AQ189" s="4">
        <f t="shared" si="642"/>
        <v>0</v>
      </c>
      <c r="AR189" s="4" t="e">
        <f>#REF!/G189*F189^0.5/0.19</f>
        <v>#REF!</v>
      </c>
      <c r="AS189" s="4">
        <f t="shared" si="696"/>
        <v>1</v>
      </c>
      <c r="AT189" s="38">
        <f t="shared" si="697"/>
        <v>243</v>
      </c>
      <c r="AU189" s="4">
        <f t="shared" si="698"/>
        <v>0.44000000000000006</v>
      </c>
      <c r="AV189" s="4" t="e">
        <f>AU189*D189*#REF!/(D189*G189/2.75/F189^0.5)</f>
        <v>#REF!</v>
      </c>
      <c r="AW189" s="4" t="e">
        <f t="shared" si="699"/>
        <v>#REF!</v>
      </c>
      <c r="AY189" s="4">
        <f t="shared" si="700"/>
        <v>1</v>
      </c>
      <c r="AZ189" s="4" t="e">
        <f>(3*#REF!+30)*AY189*F189^0.5</f>
        <v>#REF!</v>
      </c>
      <c r="BB189" s="4">
        <f t="shared" si="701"/>
        <v>233.06671696357813</v>
      </c>
      <c r="BC189" s="4">
        <f t="shared" si="702"/>
        <v>450.3525339151019</v>
      </c>
      <c r="BD189" s="4">
        <f t="shared" si="703"/>
        <v>1.9322902033475655</v>
      </c>
      <c r="BL189" s="4">
        <f t="shared" si="704"/>
        <v>57.3</v>
      </c>
      <c r="BP189" s="9"/>
      <c r="BR189" s="9"/>
      <c r="BS189" s="9"/>
      <c r="BT189" s="9">
        <f t="shared" si="705"/>
        <v>56</v>
      </c>
      <c r="BU189" s="9">
        <f t="shared" si="706"/>
        <v>177.63</v>
      </c>
      <c r="BV189" s="9">
        <f t="shared" si="707"/>
        <v>1.1754818988273255</v>
      </c>
      <c r="BW189" s="9">
        <v>0</v>
      </c>
      <c r="BX189" s="9">
        <f t="shared" si="708"/>
        <v>0</v>
      </c>
      <c r="BY189" s="9">
        <f t="shared" si="709"/>
        <v>0</v>
      </c>
      <c r="BZ189" s="9">
        <f t="shared" si="710"/>
        <v>0.77971450958075206</v>
      </c>
      <c r="CA189" s="9">
        <f t="shared" si="711"/>
        <v>0.87549999999999994</v>
      </c>
      <c r="CB189" s="9">
        <f t="shared" si="712"/>
        <v>1.5205031436526735</v>
      </c>
      <c r="CC189" s="9">
        <f t="shared" si="713"/>
        <v>1.7873239224737623</v>
      </c>
      <c r="CD189" s="9">
        <v>1</v>
      </c>
      <c r="CE189" s="9" t="e">
        <f>4*CC189*#REF!+60*CC189</f>
        <v>#REF!</v>
      </c>
      <c r="CG189" s="4" t="e">
        <f t="shared" si="714"/>
        <v>#REF!</v>
      </c>
      <c r="CH189" s="4" t="e">
        <f t="shared" si="715"/>
        <v>#REF!</v>
      </c>
      <c r="CI189" s="4" t="e">
        <f t="shared" si="716"/>
        <v>#REF!</v>
      </c>
      <c r="CJ189" s="4" t="e">
        <f t="shared" si="717"/>
        <v>#REF!</v>
      </c>
      <c r="CK189" s="4">
        <f t="shared" si="718"/>
        <v>1.1605850652682879</v>
      </c>
      <c r="CL189" s="4">
        <f t="shared" si="719"/>
        <v>1.250702910301895</v>
      </c>
      <c r="CM189" s="4">
        <f t="shared" si="720"/>
        <v>1.4282123621188205</v>
      </c>
      <c r="CO189" s="4" t="e">
        <f>CG189</f>
        <v>#REF!</v>
      </c>
      <c r="CP189" s="4" t="e">
        <f>CH189</f>
        <v>#REF!</v>
      </c>
      <c r="CQ189" s="4" t="e">
        <f>CJ189</f>
        <v>#REF!</v>
      </c>
      <c r="CR189" s="4">
        <f t="shared" si="787"/>
        <v>1.4282123621188205</v>
      </c>
      <c r="CS189" s="4">
        <f>CK189</f>
        <v>1.1605850652682879</v>
      </c>
      <c r="CT189" s="4">
        <f>CL189</f>
        <v>1.250702910301895</v>
      </c>
      <c r="DB189" s="4">
        <f t="shared" si="722"/>
        <v>0</v>
      </c>
      <c r="DC189" s="4" t="e">
        <f>#REF!</f>
        <v>#REF!</v>
      </c>
      <c r="DF189" s="4">
        <f t="shared" si="723"/>
        <v>2.4945063339588324E-5</v>
      </c>
      <c r="DG189" s="4">
        <f t="shared" si="724"/>
        <v>5.2285275173800132</v>
      </c>
      <c r="DH189" s="4">
        <f t="shared" si="725"/>
        <v>0.45625425325155472</v>
      </c>
      <c r="DI189" s="4">
        <f t="shared" si="726"/>
        <v>3.819989493522661</v>
      </c>
      <c r="DJ189" s="4">
        <f t="shared" si="727"/>
        <v>4.5788746518647905</v>
      </c>
      <c r="DK189" s="4">
        <f t="shared" si="728"/>
        <v>4.4778446177325462</v>
      </c>
      <c r="DL189" s="38">
        <f t="shared" si="729"/>
        <v>378.25749541117705</v>
      </c>
      <c r="DM189" s="4" t="e">
        <f t="shared" si="730"/>
        <v>#REF!</v>
      </c>
      <c r="DN189" s="4">
        <f t="shared" si="731"/>
        <v>2.2360679774997898</v>
      </c>
      <c r="DO189" s="4">
        <f t="shared" si="776"/>
        <v>148.25707916260185</v>
      </c>
      <c r="DS189" s="4">
        <f t="shared" si="733"/>
        <v>1</v>
      </c>
      <c r="DT189" s="4">
        <f t="shared" si="734"/>
        <v>1</v>
      </c>
      <c r="DU189" s="4">
        <f t="shared" si="735"/>
        <v>1</v>
      </c>
      <c r="DV189" s="4">
        <f t="shared" si="736"/>
        <v>1</v>
      </c>
      <c r="DX189" s="4">
        <f t="shared" si="737"/>
        <v>351.00262131318948</v>
      </c>
      <c r="DY189" s="25">
        <f t="shared" si="738"/>
        <v>147.09004813536899</v>
      </c>
      <c r="EB189" s="4">
        <f t="shared" si="739"/>
        <v>5.2285275173800132</v>
      </c>
      <c r="EE189" s="4">
        <f t="shared" si="740"/>
        <v>128.12669511073796</v>
      </c>
      <c r="EF189" s="4">
        <f t="shared" si="741"/>
        <v>2.2360679774997898</v>
      </c>
      <c r="EG189" s="4">
        <f t="shared" si="742"/>
        <v>0.15877045999106873</v>
      </c>
      <c r="EJ189" s="4">
        <f t="shared" si="743"/>
        <v>0.15877045999106873</v>
      </c>
      <c r="EK189" s="4">
        <f t="shared" si="744"/>
        <v>0.45549284993711125</v>
      </c>
      <c r="EL189" s="4">
        <f t="shared" si="745"/>
        <v>3.8174382755665395</v>
      </c>
      <c r="EM189" s="4">
        <f t="shared" si="746"/>
        <v>4.5778116928835146</v>
      </c>
      <c r="EN189" s="4" t="e">
        <f t="shared" si="747"/>
        <v>#REF!</v>
      </c>
      <c r="EO189" s="4" t="e">
        <f t="shared" si="748"/>
        <v>#REF!</v>
      </c>
      <c r="EP189" s="4" t="e">
        <f t="shared" si="749"/>
        <v>#REF!</v>
      </c>
      <c r="EQ189" s="4" t="e">
        <f t="shared" si="750"/>
        <v>#REF!</v>
      </c>
      <c r="ER189" s="4" t="e">
        <f t="shared" si="751"/>
        <v>#REF!</v>
      </c>
      <c r="FA189" s="23" t="e">
        <f t="shared" si="752"/>
        <v>#REF!</v>
      </c>
      <c r="FB189" s="23" t="e">
        <f t="shared" si="753"/>
        <v>#REF!</v>
      </c>
      <c r="FC189" s="23">
        <f t="shared" si="754"/>
        <v>1.6</v>
      </c>
      <c r="FD189" s="23" t="e">
        <f t="shared" si="755"/>
        <v>#REF!</v>
      </c>
      <c r="FE189" s="23">
        <f t="shared" si="756"/>
        <v>1.2</v>
      </c>
      <c r="FF189" s="23">
        <f t="shared" si="757"/>
        <v>1.4</v>
      </c>
      <c r="FG189" s="23">
        <f t="shared" si="758"/>
        <v>0</v>
      </c>
      <c r="FH189" s="23"/>
      <c r="FR189" s="4">
        <f t="shared" si="607"/>
        <v>1.25</v>
      </c>
      <c r="FS189" s="4">
        <f t="shared" si="608"/>
        <v>0.56666666666666665</v>
      </c>
      <c r="FT189" s="4">
        <f t="shared" si="609"/>
        <v>0</v>
      </c>
      <c r="FU189" s="4">
        <f t="shared" si="610"/>
        <v>307.37725820320077</v>
      </c>
    </row>
    <row r="190" spans="2:177" ht="12" customHeight="1" x14ac:dyDescent="0.3">
      <c r="B190" s="24"/>
      <c r="C190" s="4" t="s">
        <v>175</v>
      </c>
      <c r="D190" s="7">
        <v>583</v>
      </c>
      <c r="E190" s="7">
        <f t="shared" si="788"/>
        <v>744.9</v>
      </c>
      <c r="F190" s="7">
        <v>40.5</v>
      </c>
      <c r="G190" s="37">
        <v>57.3</v>
      </c>
      <c r="H190" s="7">
        <f t="shared" si="680"/>
        <v>584.46</v>
      </c>
      <c r="I190" s="7">
        <f t="shared" si="778"/>
        <v>57.3</v>
      </c>
      <c r="J190" s="7">
        <f t="shared" si="759"/>
        <v>56</v>
      </c>
      <c r="K190" s="7">
        <f t="shared" si="779"/>
        <v>355.26</v>
      </c>
      <c r="L190" s="7">
        <v>2</v>
      </c>
      <c r="M190" s="7">
        <f t="shared" si="789"/>
        <v>376.59999999999997</v>
      </c>
      <c r="N190" s="7">
        <f t="shared" si="684"/>
        <v>1.5</v>
      </c>
      <c r="O190" s="7">
        <f t="shared" si="685"/>
        <v>1.5</v>
      </c>
      <c r="P190" s="7">
        <f t="shared" si="784"/>
        <v>4</v>
      </c>
      <c r="Q190" s="7">
        <f t="shared" si="784"/>
        <v>4</v>
      </c>
      <c r="R190" s="7">
        <f t="shared" si="686"/>
        <v>5</v>
      </c>
      <c r="S190" s="7">
        <f t="shared" si="687"/>
        <v>128.12669511073796</v>
      </c>
      <c r="T190" s="7">
        <f t="shared" si="688"/>
        <v>583</v>
      </c>
      <c r="U190" s="7">
        <v>25</v>
      </c>
      <c r="V190" s="7">
        <f>(586+586)/2</f>
        <v>586</v>
      </c>
      <c r="W190" s="7"/>
      <c r="X190" s="4">
        <f t="shared" si="689"/>
        <v>1.4903787129361226</v>
      </c>
      <c r="Y190" s="7">
        <v>15.9</v>
      </c>
      <c r="Z190" s="7">
        <v>3</v>
      </c>
      <c r="AA190" s="7">
        <v>275</v>
      </c>
      <c r="AB190" s="7">
        <v>4</v>
      </c>
      <c r="AC190" s="7">
        <f t="shared" ref="AC190:AC192" si="790">Z190</f>
        <v>3</v>
      </c>
      <c r="AD190" s="7">
        <f t="shared" si="690"/>
        <v>5.4166666666666661</v>
      </c>
      <c r="AE190" s="4">
        <f t="shared" si="691"/>
        <v>744.9</v>
      </c>
      <c r="AF190" s="4">
        <f t="shared" si="692"/>
        <v>0.2615384615384615</v>
      </c>
      <c r="AG190" s="4">
        <f t="shared" si="693"/>
        <v>250.86804884585459</v>
      </c>
      <c r="AH190" s="4">
        <f t="shared" si="694"/>
        <v>0.72307692307692306</v>
      </c>
      <c r="AI190" s="4">
        <v>1.25</v>
      </c>
      <c r="AJ190" s="4">
        <f t="shared" si="760"/>
        <v>2.5</v>
      </c>
      <c r="AK190" s="38">
        <f t="shared" si="761"/>
        <v>148.25707916260191</v>
      </c>
      <c r="AL190" s="38">
        <f t="shared" si="762"/>
        <v>148.25707916260191</v>
      </c>
      <c r="AM190" s="38">
        <f t="shared" si="695"/>
        <v>3.538000882182009</v>
      </c>
      <c r="AN190" s="38">
        <f t="shared" si="640"/>
        <v>148.25707916260185</v>
      </c>
      <c r="AO190" s="38">
        <f t="shared" si="548"/>
        <v>1.0000000000000004</v>
      </c>
      <c r="AP190" s="38">
        <f t="shared" si="641"/>
        <v>1.6390448359871455</v>
      </c>
      <c r="AQ190" s="4">
        <f t="shared" si="642"/>
        <v>0</v>
      </c>
      <c r="AR190" s="4" t="e">
        <f>#REF!/G190*F190^0.5/0.19</f>
        <v>#REF!</v>
      </c>
      <c r="AS190" s="4">
        <f t="shared" si="696"/>
        <v>1</v>
      </c>
      <c r="AT190" s="38">
        <f t="shared" si="697"/>
        <v>243</v>
      </c>
      <c r="AU190" s="4">
        <f t="shared" si="698"/>
        <v>0.44000000000000006</v>
      </c>
      <c r="AV190" s="4" t="e">
        <f>AU190*D190*#REF!/(D190*G190/2.75/F190^0.5)</f>
        <v>#REF!</v>
      </c>
      <c r="AW190" s="4" t="e">
        <f t="shared" si="699"/>
        <v>#REF!</v>
      </c>
      <c r="AY190" s="4">
        <f t="shared" si="700"/>
        <v>1.201612194511575</v>
      </c>
      <c r="AZ190" s="4" t="e">
        <f>(3*#REF!+30)*AY190*F190^0.5</f>
        <v>#REF!</v>
      </c>
      <c r="BB190" s="4">
        <f t="shared" si="701"/>
        <v>233.06671696357813</v>
      </c>
      <c r="BC190" s="4">
        <f t="shared" si="702"/>
        <v>450.3525339151019</v>
      </c>
      <c r="BD190" s="4">
        <f t="shared" si="703"/>
        <v>1.9322902033475655</v>
      </c>
      <c r="BL190" s="4">
        <f t="shared" si="704"/>
        <v>57.3</v>
      </c>
      <c r="BP190" s="9"/>
      <c r="BR190" s="9"/>
      <c r="BS190" s="9"/>
      <c r="BT190" s="9">
        <f t="shared" si="705"/>
        <v>56</v>
      </c>
      <c r="BU190" s="9">
        <f t="shared" si="706"/>
        <v>177.63</v>
      </c>
      <c r="BV190" s="9">
        <f t="shared" si="707"/>
        <v>1.1754818988273255</v>
      </c>
      <c r="BW190" s="9">
        <v>20</v>
      </c>
      <c r="BX190" s="9">
        <f t="shared" si="708"/>
        <v>3.7802286470920307E-2</v>
      </c>
      <c r="BY190" s="9">
        <f t="shared" si="709"/>
        <v>0.55604572941840613</v>
      </c>
      <c r="BZ190" s="9">
        <f t="shared" si="710"/>
        <v>0.77971450958075206</v>
      </c>
      <c r="CA190" s="9">
        <f t="shared" si="711"/>
        <v>0.87549999999999994</v>
      </c>
      <c r="CB190" s="9">
        <f t="shared" si="712"/>
        <v>1.5205031436526735</v>
      </c>
      <c r="CC190" s="9">
        <f t="shared" si="713"/>
        <v>2.632793202069093</v>
      </c>
      <c r="CD190" s="9">
        <v>1</v>
      </c>
      <c r="CE190" s="9" t="e">
        <f>4*CC190*#REF!+60*CC190</f>
        <v>#REF!</v>
      </c>
      <c r="CG190" s="4" t="e">
        <f t="shared" si="714"/>
        <v>#REF!</v>
      </c>
      <c r="CH190" s="4" t="e">
        <f t="shared" si="715"/>
        <v>#REF!</v>
      </c>
      <c r="CI190" s="4" t="e">
        <f t="shared" si="716"/>
        <v>#REF!</v>
      </c>
      <c r="CJ190" s="4" t="e">
        <f t="shared" si="717"/>
        <v>#REF!</v>
      </c>
      <c r="CK190" s="4">
        <f t="shared" si="718"/>
        <v>1.4903787129361226</v>
      </c>
      <c r="CL190" s="4">
        <f t="shared" si="719"/>
        <v>1.6061312508358303</v>
      </c>
      <c r="CM190" s="4">
        <f t="shared" si="720"/>
        <v>1.2470860052703576</v>
      </c>
      <c r="CU190" s="4" t="e">
        <f t="shared" ref="CU190:CV192" si="791">CG190</f>
        <v>#REF!</v>
      </c>
      <c r="CV190" s="4" t="e">
        <f t="shared" si="791"/>
        <v>#REF!</v>
      </c>
      <c r="CW190" s="4" t="e">
        <f>CJ190</f>
        <v>#REF!</v>
      </c>
      <c r="CX190" s="4">
        <f t="shared" ref="CX190:CX192" si="792">CM190</f>
        <v>1.2470860052703576</v>
      </c>
      <c r="CY190" s="4">
        <f t="shared" ref="CY190:CZ192" si="793">CK190</f>
        <v>1.4903787129361226</v>
      </c>
      <c r="CZ190" s="4">
        <f t="shared" si="793"/>
        <v>1.6061312508358303</v>
      </c>
      <c r="DB190" s="4">
        <f t="shared" si="722"/>
        <v>3</v>
      </c>
      <c r="DC190" s="4" t="e">
        <f>#REF!</f>
        <v>#REF!</v>
      </c>
      <c r="DF190" s="4">
        <f t="shared" si="723"/>
        <v>2.4945063339588324E-5</v>
      </c>
      <c r="DG190" s="4">
        <f t="shared" si="724"/>
        <v>5.5836366123976697</v>
      </c>
      <c r="DH190" s="4">
        <f t="shared" si="725"/>
        <v>0.45625425325155472</v>
      </c>
      <c r="DI190" s="4">
        <f t="shared" si="726"/>
        <v>4.0794340517682928</v>
      </c>
      <c r="DJ190" s="4">
        <f t="shared" si="727"/>
        <v>4.8898608766514151</v>
      </c>
      <c r="DK190" s="4">
        <f t="shared" si="728"/>
        <v>4.7288983440601244</v>
      </c>
      <c r="DL190" s="38">
        <f t="shared" si="729"/>
        <v>393.18865393987676</v>
      </c>
      <c r="DM190" s="4" t="e">
        <f t="shared" si="730"/>
        <v>#REF!</v>
      </c>
      <c r="DN190" s="4">
        <f t="shared" si="731"/>
        <v>2.2360679774997898</v>
      </c>
      <c r="DO190" s="4">
        <f t="shared" si="776"/>
        <v>148.25707916260185</v>
      </c>
      <c r="DS190" s="4">
        <f t="shared" si="733"/>
        <v>1</v>
      </c>
      <c r="DT190" s="4">
        <f t="shared" si="734"/>
        <v>1</v>
      </c>
      <c r="DU190" s="4">
        <f t="shared" si="735"/>
        <v>0.93640182560785068</v>
      </c>
      <c r="DV190" s="4">
        <f t="shared" si="736"/>
        <v>0.93640182560785068</v>
      </c>
      <c r="DX190" s="4">
        <f t="shared" si="737"/>
        <v>364.8518760188781</v>
      </c>
      <c r="DY190" s="25">
        <f t="shared" si="738"/>
        <v>147.09004813536899</v>
      </c>
      <c r="EB190" s="4">
        <f t="shared" si="739"/>
        <v>5.5836366123976697</v>
      </c>
      <c r="EE190" s="4">
        <f t="shared" si="740"/>
        <v>128.12669511073796</v>
      </c>
      <c r="EF190" s="4">
        <f t="shared" si="741"/>
        <v>2.2360679774997898</v>
      </c>
      <c r="EG190" s="4">
        <f t="shared" si="742"/>
        <v>0.15877045999106873</v>
      </c>
      <c r="EJ190" s="4">
        <f t="shared" si="743"/>
        <v>0.15877045999106873</v>
      </c>
      <c r="EK190" s="4">
        <f t="shared" si="744"/>
        <v>0.45549284993711125</v>
      </c>
      <c r="EL190" s="4">
        <f t="shared" si="745"/>
        <v>4.07670956118492</v>
      </c>
      <c r="EM190" s="4">
        <f t="shared" si="746"/>
        <v>4.888725724036151</v>
      </c>
      <c r="EN190" s="4" t="e">
        <f t="shared" si="747"/>
        <v>#REF!</v>
      </c>
      <c r="EO190" s="4" t="e">
        <f t="shared" si="748"/>
        <v>#REF!</v>
      </c>
      <c r="EP190" s="4" t="e">
        <f t="shared" si="749"/>
        <v>#REF!</v>
      </c>
      <c r="EQ190" s="4" t="e">
        <f t="shared" si="750"/>
        <v>#REF!</v>
      </c>
      <c r="ER190" s="4" t="e">
        <f t="shared" si="751"/>
        <v>#REF!</v>
      </c>
      <c r="FA190" s="23" t="e">
        <f t="shared" si="752"/>
        <v>#REF!</v>
      </c>
      <c r="FB190" s="23" t="e">
        <f t="shared" si="753"/>
        <v>#REF!</v>
      </c>
      <c r="FC190" s="23">
        <f t="shared" si="754"/>
        <v>1.4</v>
      </c>
      <c r="FD190" s="23" t="e">
        <f t="shared" si="755"/>
        <v>#REF!</v>
      </c>
      <c r="FE190" s="23">
        <f t="shared" si="756"/>
        <v>1.6</v>
      </c>
      <c r="FF190" s="23">
        <f t="shared" si="757"/>
        <v>1.8</v>
      </c>
      <c r="FG190" s="23">
        <f t="shared" si="758"/>
        <v>0</v>
      </c>
      <c r="FH190" s="23"/>
      <c r="FR190" s="4">
        <f t="shared" si="607"/>
        <v>1.25</v>
      </c>
      <c r="FS190" s="4">
        <f t="shared" si="608"/>
        <v>0.37067917575318227</v>
      </c>
      <c r="FT190" s="4">
        <f t="shared" si="609"/>
        <v>0.3</v>
      </c>
      <c r="FU190" s="4">
        <f t="shared" si="610"/>
        <v>469.89541821773565</v>
      </c>
    </row>
    <row r="191" spans="2:177" ht="12" customHeight="1" x14ac:dyDescent="0.3">
      <c r="B191" s="24"/>
      <c r="C191" s="4" t="s">
        <v>176</v>
      </c>
      <c r="D191" s="7">
        <v>583</v>
      </c>
      <c r="E191" s="7">
        <f t="shared" si="788"/>
        <v>744.9</v>
      </c>
      <c r="F191" s="7">
        <v>40.5</v>
      </c>
      <c r="G191" s="37">
        <v>57.3</v>
      </c>
      <c r="H191" s="7">
        <f t="shared" si="680"/>
        <v>584.46</v>
      </c>
      <c r="I191" s="7">
        <f t="shared" si="778"/>
        <v>57.3</v>
      </c>
      <c r="J191" s="7">
        <f t="shared" si="759"/>
        <v>56</v>
      </c>
      <c r="K191" s="7">
        <f t="shared" si="779"/>
        <v>355.26</v>
      </c>
      <c r="L191" s="7">
        <v>2</v>
      </c>
      <c r="M191" s="7">
        <f t="shared" si="789"/>
        <v>376.59999999999997</v>
      </c>
      <c r="N191" s="7">
        <f t="shared" si="684"/>
        <v>1.5</v>
      </c>
      <c r="O191" s="7">
        <f t="shared" si="685"/>
        <v>1.5</v>
      </c>
      <c r="P191" s="7">
        <f t="shared" si="784"/>
        <v>4</v>
      </c>
      <c r="Q191" s="7">
        <f t="shared" si="784"/>
        <v>4</v>
      </c>
      <c r="R191" s="7">
        <f t="shared" si="686"/>
        <v>5</v>
      </c>
      <c r="S191" s="7">
        <f t="shared" si="687"/>
        <v>128.12669511073796</v>
      </c>
      <c r="T191" s="7">
        <f t="shared" si="688"/>
        <v>583</v>
      </c>
      <c r="U191" s="7">
        <v>25</v>
      </c>
      <c r="V191" s="7">
        <f>(586+586)/2</f>
        <v>586</v>
      </c>
      <c r="W191" s="7"/>
      <c r="X191" s="4">
        <f t="shared" si="689"/>
        <v>1.3995998347943011</v>
      </c>
      <c r="Y191" s="7">
        <v>15.9</v>
      </c>
      <c r="Z191" s="7">
        <v>5</v>
      </c>
      <c r="AA191" s="7">
        <v>138</v>
      </c>
      <c r="AB191" s="7">
        <v>6</v>
      </c>
      <c r="AC191" s="7">
        <f t="shared" si="790"/>
        <v>5</v>
      </c>
      <c r="AD191" s="7">
        <f t="shared" si="690"/>
        <v>5.4166666666666661</v>
      </c>
      <c r="AE191" s="4">
        <f t="shared" si="691"/>
        <v>744.9</v>
      </c>
      <c r="AF191" s="4">
        <f t="shared" si="692"/>
        <v>0.2615384615384615</v>
      </c>
      <c r="AG191" s="4">
        <f t="shared" si="693"/>
        <v>250.86804884585459</v>
      </c>
      <c r="AH191" s="4">
        <f t="shared" si="694"/>
        <v>0.72307692307692306</v>
      </c>
      <c r="AI191" s="4">
        <v>1.25</v>
      </c>
      <c r="AJ191" s="4">
        <f t="shared" si="760"/>
        <v>2.5</v>
      </c>
      <c r="AK191" s="38">
        <f t="shared" si="761"/>
        <v>148.25707916260191</v>
      </c>
      <c r="AL191" s="38">
        <f t="shared" si="762"/>
        <v>148.25707916260191</v>
      </c>
      <c r="AM191" s="38">
        <f t="shared" si="695"/>
        <v>3.538000882182009</v>
      </c>
      <c r="AN191" s="38">
        <f t="shared" si="640"/>
        <v>148.25707916260185</v>
      </c>
      <c r="AO191" s="38">
        <f t="shared" si="548"/>
        <v>1.0000000000000004</v>
      </c>
      <c r="AP191" s="38">
        <f t="shared" si="641"/>
        <v>1.6390448359871455</v>
      </c>
      <c r="AQ191" s="4">
        <f t="shared" si="642"/>
        <v>0</v>
      </c>
      <c r="AR191" s="4" t="e">
        <f>#REF!/G191*F191^0.5/0.19</f>
        <v>#REF!</v>
      </c>
      <c r="AS191" s="4">
        <f t="shared" si="696"/>
        <v>1</v>
      </c>
      <c r="AT191" s="38">
        <f t="shared" si="697"/>
        <v>243</v>
      </c>
      <c r="AU191" s="4">
        <f t="shared" si="698"/>
        <v>0.44000000000000006</v>
      </c>
      <c r="AV191" s="4" t="e">
        <f>AU191*D191*#REF!/(D191*G191/2.75/F191^0.5)</f>
        <v>#REF!</v>
      </c>
      <c r="AW191" s="4" t="e">
        <f t="shared" si="699"/>
        <v>#REF!</v>
      </c>
      <c r="AY191" s="4">
        <f t="shared" si="700"/>
        <v>1.4</v>
      </c>
      <c r="AZ191" s="4" t="e">
        <f>(3*#REF!+30)*AY191*F191^0.5</f>
        <v>#REF!</v>
      </c>
      <c r="BB191" s="4">
        <f t="shared" si="701"/>
        <v>233.06671696357813</v>
      </c>
      <c r="BC191" s="4">
        <f t="shared" si="702"/>
        <v>450.3525339151019</v>
      </c>
      <c r="BD191" s="4">
        <f t="shared" si="703"/>
        <v>1.9322902033475655</v>
      </c>
      <c r="BL191" s="4">
        <f t="shared" si="704"/>
        <v>57.3</v>
      </c>
      <c r="BP191" s="9"/>
      <c r="BR191" s="9"/>
      <c r="BS191" s="9"/>
      <c r="BT191" s="9">
        <f t="shared" si="705"/>
        <v>56</v>
      </c>
      <c r="BU191" s="9">
        <f t="shared" si="706"/>
        <v>177.63</v>
      </c>
      <c r="BV191" s="9">
        <f t="shared" si="707"/>
        <v>1.1754818988273255</v>
      </c>
      <c r="BW191" s="9">
        <v>20</v>
      </c>
      <c r="BX191" s="9">
        <f t="shared" si="708"/>
        <v>0.05</v>
      </c>
      <c r="BY191" s="9">
        <f t="shared" si="709"/>
        <v>0.8</v>
      </c>
      <c r="BZ191" s="9">
        <f t="shared" si="710"/>
        <v>0.77971450958075206</v>
      </c>
      <c r="CA191" s="9">
        <f t="shared" si="711"/>
        <v>0.87549999999999994</v>
      </c>
      <c r="CB191" s="9">
        <f t="shared" si="712"/>
        <v>1.5205031436526735</v>
      </c>
      <c r="CC191" s="9">
        <f t="shared" si="713"/>
        <v>3.0037264373959012</v>
      </c>
      <c r="CD191" s="9">
        <v>1</v>
      </c>
      <c r="CE191" s="9" t="e">
        <f>4*CC191*#REF!+60*CC191</f>
        <v>#REF!</v>
      </c>
      <c r="CG191" s="4" t="e">
        <f t="shared" si="714"/>
        <v>#REF!</v>
      </c>
      <c r="CH191" s="4" t="e">
        <f t="shared" si="715"/>
        <v>#REF!</v>
      </c>
      <c r="CI191" s="4" t="e">
        <f t="shared" si="716"/>
        <v>#REF!</v>
      </c>
      <c r="CJ191" s="4" t="e">
        <f t="shared" si="717"/>
        <v>#REF!</v>
      </c>
      <c r="CK191" s="4">
        <f t="shared" si="718"/>
        <v>1.3995998347943011</v>
      </c>
      <c r="CL191" s="4">
        <f t="shared" si="719"/>
        <v>1.5076213914643732</v>
      </c>
      <c r="CM191" s="4">
        <f t="shared" si="720"/>
        <v>1.2470860052703576</v>
      </c>
      <c r="CU191" s="4" t="e">
        <f t="shared" si="791"/>
        <v>#REF!</v>
      </c>
      <c r="CV191" s="4" t="e">
        <f t="shared" si="791"/>
        <v>#REF!</v>
      </c>
      <c r="CW191" s="4" t="e">
        <f>CJ191</f>
        <v>#REF!</v>
      </c>
      <c r="CX191" s="4">
        <f t="shared" si="792"/>
        <v>1.2470860052703576</v>
      </c>
      <c r="CY191" s="4">
        <f t="shared" si="793"/>
        <v>1.3995998347943011</v>
      </c>
      <c r="CZ191" s="4">
        <f t="shared" si="793"/>
        <v>1.5076213914643732</v>
      </c>
      <c r="DB191" s="4">
        <f t="shared" si="722"/>
        <v>5</v>
      </c>
      <c r="DC191" s="4" t="e">
        <f>#REF!</f>
        <v>#REF!</v>
      </c>
      <c r="DF191" s="4">
        <f t="shared" si="723"/>
        <v>2.4945063339588324E-5</v>
      </c>
      <c r="DG191" s="4">
        <f t="shared" si="724"/>
        <v>6.1949154836920748</v>
      </c>
      <c r="DH191" s="4">
        <f t="shared" si="725"/>
        <v>0.45625425325155472</v>
      </c>
      <c r="DI191" s="4">
        <f t="shared" si="726"/>
        <v>4.5260375855921167</v>
      </c>
      <c r="DJ191" s="4">
        <f t="shared" si="727"/>
        <v>5.4251873753045228</v>
      </c>
      <c r="DK191" s="4">
        <f t="shared" si="728"/>
        <v>5.1456890319944577</v>
      </c>
      <c r="DL191" s="38">
        <f t="shared" si="729"/>
        <v>418.69110400839986</v>
      </c>
      <c r="DM191" s="4" t="e">
        <f t="shared" si="730"/>
        <v>#REF!</v>
      </c>
      <c r="DN191" s="4">
        <f t="shared" si="731"/>
        <v>2.2360679774997898</v>
      </c>
      <c r="DO191" s="4">
        <f t="shared" si="776"/>
        <v>148.25707916260185</v>
      </c>
      <c r="DS191" s="4">
        <f t="shared" si="733"/>
        <v>1</v>
      </c>
      <c r="DT191" s="4">
        <f t="shared" si="734"/>
        <v>1</v>
      </c>
      <c r="DU191" s="4">
        <f t="shared" si="735"/>
        <v>0.84400304267975113</v>
      </c>
      <c r="DV191" s="4">
        <f t="shared" si="736"/>
        <v>0.84400304267975113</v>
      </c>
      <c r="DX191" s="4">
        <f t="shared" si="737"/>
        <v>388.69175199935989</v>
      </c>
      <c r="DY191" s="25">
        <f t="shared" si="738"/>
        <v>147.09004813536899</v>
      </c>
      <c r="EB191" s="4">
        <f t="shared" si="739"/>
        <v>6.1949154836920748</v>
      </c>
      <c r="EE191" s="4">
        <f t="shared" si="740"/>
        <v>128.12669511073796</v>
      </c>
      <c r="EF191" s="4">
        <f t="shared" si="741"/>
        <v>2.2360679774997898</v>
      </c>
      <c r="EG191" s="4">
        <f t="shared" si="742"/>
        <v>0.15877045999106873</v>
      </c>
      <c r="EJ191" s="4">
        <f t="shared" si="743"/>
        <v>0.15877045999106873</v>
      </c>
      <c r="EK191" s="4">
        <f t="shared" si="744"/>
        <v>0.45549284993711125</v>
      </c>
      <c r="EL191" s="4">
        <f t="shared" si="745"/>
        <v>4.5230148263991863</v>
      </c>
      <c r="EM191" s="4">
        <f t="shared" si="746"/>
        <v>5.4239279497722386</v>
      </c>
      <c r="EN191" s="4" t="e">
        <f t="shared" si="747"/>
        <v>#REF!</v>
      </c>
      <c r="EO191" s="4" t="e">
        <f t="shared" si="748"/>
        <v>#REF!</v>
      </c>
      <c r="EP191" s="4" t="e">
        <f t="shared" si="749"/>
        <v>#REF!</v>
      </c>
      <c r="EQ191" s="4" t="e">
        <f t="shared" si="750"/>
        <v>#REF!</v>
      </c>
      <c r="ER191" s="4" t="e">
        <f t="shared" si="751"/>
        <v>#REF!</v>
      </c>
      <c r="FA191" s="23" t="e">
        <f t="shared" si="752"/>
        <v>#REF!</v>
      </c>
      <c r="FB191" s="23" t="e">
        <f t="shared" si="753"/>
        <v>#REF!</v>
      </c>
      <c r="FC191" s="23">
        <f t="shared" si="754"/>
        <v>1.4</v>
      </c>
      <c r="FD191" s="23" t="e">
        <f t="shared" si="755"/>
        <v>#REF!</v>
      </c>
      <c r="FE191" s="23">
        <f t="shared" si="756"/>
        <v>1.4</v>
      </c>
      <c r="FF191" s="23">
        <f t="shared" si="757"/>
        <v>1.6</v>
      </c>
      <c r="FG191" s="23">
        <f t="shared" si="758"/>
        <v>0</v>
      </c>
      <c r="FH191" s="23"/>
      <c r="FR191" s="4">
        <f t="shared" si="607"/>
        <v>1.25</v>
      </c>
      <c r="FS191" s="4">
        <f t="shared" si="608"/>
        <v>0.37067917575318227</v>
      </c>
      <c r="FT191" s="4">
        <f t="shared" si="609"/>
        <v>0.3</v>
      </c>
      <c r="FU191" s="4">
        <f t="shared" si="610"/>
        <v>469.89541821773565</v>
      </c>
    </row>
    <row r="192" spans="2:177" ht="12" customHeight="1" x14ac:dyDescent="0.3">
      <c r="B192" s="24"/>
      <c r="C192" s="4" t="s">
        <v>177</v>
      </c>
      <c r="D192" s="7">
        <v>583</v>
      </c>
      <c r="E192" s="7">
        <f t="shared" si="788"/>
        <v>744.9</v>
      </c>
      <c r="F192" s="7">
        <v>40.5</v>
      </c>
      <c r="G192" s="37">
        <v>57.3</v>
      </c>
      <c r="H192" s="7">
        <f t="shared" si="680"/>
        <v>584.46</v>
      </c>
      <c r="I192" s="7">
        <f t="shared" si="778"/>
        <v>57.3</v>
      </c>
      <c r="J192" s="7">
        <f t="shared" si="759"/>
        <v>56</v>
      </c>
      <c r="K192" s="7">
        <f t="shared" si="779"/>
        <v>355.26</v>
      </c>
      <c r="L192" s="7">
        <v>2</v>
      </c>
      <c r="M192" s="7">
        <f t="shared" si="789"/>
        <v>376.59999999999997</v>
      </c>
      <c r="N192" s="7">
        <f t="shared" si="684"/>
        <v>1.5</v>
      </c>
      <c r="O192" s="7">
        <f t="shared" si="685"/>
        <v>1.5</v>
      </c>
      <c r="P192" s="7">
        <f t="shared" si="784"/>
        <v>4</v>
      </c>
      <c r="Q192" s="7">
        <f t="shared" si="784"/>
        <v>4</v>
      </c>
      <c r="R192" s="7">
        <f t="shared" si="686"/>
        <v>5</v>
      </c>
      <c r="S192" s="7">
        <f t="shared" si="687"/>
        <v>128.12669511073796</v>
      </c>
      <c r="T192" s="7">
        <f t="shared" si="688"/>
        <v>583</v>
      </c>
      <c r="U192" s="7">
        <v>25</v>
      </c>
      <c r="V192" s="7">
        <f>(588+588)/2</f>
        <v>588</v>
      </c>
      <c r="W192" s="7"/>
      <c r="X192" s="4">
        <f t="shared" si="689"/>
        <v>1.4954653297038225</v>
      </c>
      <c r="Y192" s="7">
        <v>15.9</v>
      </c>
      <c r="Z192" s="7">
        <v>3</v>
      </c>
      <c r="AA192" s="7">
        <v>275</v>
      </c>
      <c r="AB192" s="7">
        <v>4</v>
      </c>
      <c r="AC192" s="7">
        <f t="shared" si="790"/>
        <v>3</v>
      </c>
      <c r="AD192" s="7">
        <f t="shared" si="690"/>
        <v>5.4166666666666661</v>
      </c>
      <c r="AE192" s="4">
        <f t="shared" si="691"/>
        <v>744.9</v>
      </c>
      <c r="AF192" s="4">
        <f t="shared" si="692"/>
        <v>0.2615384615384615</v>
      </c>
      <c r="AG192" s="4">
        <f t="shared" si="693"/>
        <v>250.86804884585459</v>
      </c>
      <c r="AH192" s="4">
        <f t="shared" si="694"/>
        <v>0.72307692307692306</v>
      </c>
      <c r="AI192" s="4">
        <v>1.25</v>
      </c>
      <c r="AJ192" s="4">
        <f t="shared" si="760"/>
        <v>2.5</v>
      </c>
      <c r="AK192" s="38">
        <f t="shared" si="761"/>
        <v>148.25707916260191</v>
      </c>
      <c r="AL192" s="38">
        <f t="shared" si="762"/>
        <v>148.25707916260191</v>
      </c>
      <c r="AM192" s="38">
        <f t="shared" si="695"/>
        <v>3.538000882182009</v>
      </c>
      <c r="AN192" s="38">
        <f t="shared" si="640"/>
        <v>148.25707916260185</v>
      </c>
      <c r="AO192" s="38">
        <f t="shared" si="548"/>
        <v>1.0000000000000004</v>
      </c>
      <c r="AP192" s="38">
        <f t="shared" si="641"/>
        <v>1.6390448359871455</v>
      </c>
      <c r="AQ192" s="4">
        <f t="shared" si="642"/>
        <v>0</v>
      </c>
      <c r="AR192" s="4" t="e">
        <f>#REF!/G192*F192^0.5/0.19</f>
        <v>#REF!</v>
      </c>
      <c r="AS192" s="4">
        <f t="shared" si="696"/>
        <v>1</v>
      </c>
      <c r="AT192" s="38">
        <f t="shared" si="697"/>
        <v>243</v>
      </c>
      <c r="AU192" s="4">
        <f t="shared" si="698"/>
        <v>0.44000000000000006</v>
      </c>
      <c r="AV192" s="4" t="e">
        <f>AU192*D192*#REF!/(D192*G192/2.75/F192^0.5)</f>
        <v>#REF!</v>
      </c>
      <c r="AW192" s="4" t="e">
        <f t="shared" si="699"/>
        <v>#REF!</v>
      </c>
      <c r="AY192" s="4">
        <f t="shared" si="700"/>
        <v>1.201612194511575</v>
      </c>
      <c r="AZ192" s="4" t="e">
        <f>(3*#REF!+30)*AY192*F192^0.5</f>
        <v>#REF!</v>
      </c>
      <c r="BB192" s="4">
        <f t="shared" si="701"/>
        <v>233.06671696357813</v>
      </c>
      <c r="BC192" s="4">
        <f t="shared" si="702"/>
        <v>450.3525339151019</v>
      </c>
      <c r="BD192" s="4">
        <f t="shared" si="703"/>
        <v>1.9322902033475655</v>
      </c>
      <c r="BL192" s="4">
        <f t="shared" si="704"/>
        <v>57.3</v>
      </c>
      <c r="BP192" s="9"/>
      <c r="BR192" s="9"/>
      <c r="BS192" s="9"/>
      <c r="BT192" s="9">
        <f t="shared" si="705"/>
        <v>56</v>
      </c>
      <c r="BU192" s="9">
        <f t="shared" si="706"/>
        <v>177.63</v>
      </c>
      <c r="BV192" s="9">
        <f t="shared" si="707"/>
        <v>1.1754818988273255</v>
      </c>
      <c r="BW192" s="9">
        <v>20</v>
      </c>
      <c r="BX192" s="9">
        <f t="shared" si="708"/>
        <v>3.7802286470920307E-2</v>
      </c>
      <c r="BY192" s="9">
        <f t="shared" si="709"/>
        <v>0.55604572941840613</v>
      </c>
      <c r="BZ192" s="9">
        <f t="shared" si="710"/>
        <v>0.77971450958075206</v>
      </c>
      <c r="CA192" s="9">
        <f t="shared" si="711"/>
        <v>0.87549999999999994</v>
      </c>
      <c r="CB192" s="9">
        <f t="shared" si="712"/>
        <v>1.5205031436526735</v>
      </c>
      <c r="CC192" s="9">
        <f t="shared" si="713"/>
        <v>2.632793202069093</v>
      </c>
      <c r="CD192" s="9">
        <v>1</v>
      </c>
      <c r="CE192" s="9" t="e">
        <f>4*CC192*#REF!+60*CC192</f>
        <v>#REF!</v>
      </c>
      <c r="CG192" s="4" t="e">
        <f t="shared" si="714"/>
        <v>#REF!</v>
      </c>
      <c r="CH192" s="4" t="e">
        <f t="shared" si="715"/>
        <v>#REF!</v>
      </c>
      <c r="CI192" s="4" t="e">
        <f t="shared" si="716"/>
        <v>#REF!</v>
      </c>
      <c r="CJ192" s="4" t="e">
        <f t="shared" si="717"/>
        <v>#REF!</v>
      </c>
      <c r="CK192" s="4">
        <f t="shared" si="718"/>
        <v>1.4954653297038225</v>
      </c>
      <c r="CL192" s="4">
        <f t="shared" si="719"/>
        <v>1.6116129274598434</v>
      </c>
      <c r="CM192" s="4">
        <f t="shared" si="720"/>
        <v>1.2513422714999494</v>
      </c>
      <c r="CU192" s="4" t="e">
        <f t="shared" si="791"/>
        <v>#REF!</v>
      </c>
      <c r="CV192" s="4" t="e">
        <f t="shared" si="791"/>
        <v>#REF!</v>
      </c>
      <c r="CW192" s="4" t="e">
        <f>CJ192</f>
        <v>#REF!</v>
      </c>
      <c r="CX192" s="4">
        <f t="shared" si="792"/>
        <v>1.2513422714999494</v>
      </c>
      <c r="CY192" s="4">
        <f t="shared" si="793"/>
        <v>1.4954653297038225</v>
      </c>
      <c r="CZ192" s="4">
        <f t="shared" si="793"/>
        <v>1.6116129274598434</v>
      </c>
      <c r="DB192" s="4">
        <f t="shared" si="722"/>
        <v>3</v>
      </c>
      <c r="DC192" s="4" t="e">
        <f>#REF!</f>
        <v>#REF!</v>
      </c>
      <c r="DF192" s="4">
        <f t="shared" si="723"/>
        <v>2.4945063339588324E-5</v>
      </c>
      <c r="DG192" s="4">
        <f t="shared" si="724"/>
        <v>5.5836366123976697</v>
      </c>
      <c r="DH192" s="4">
        <f t="shared" si="725"/>
        <v>0.45625425325155472</v>
      </c>
      <c r="DI192" s="4">
        <f t="shared" si="726"/>
        <v>4.0794340517682928</v>
      </c>
      <c r="DJ192" s="4">
        <f t="shared" si="727"/>
        <v>4.8898608766514151</v>
      </c>
      <c r="DK192" s="4">
        <f t="shared" si="728"/>
        <v>4.7288983440601244</v>
      </c>
      <c r="DL192" s="38">
        <f t="shared" si="729"/>
        <v>393.18865393987676</v>
      </c>
      <c r="DM192" s="4" t="e">
        <f t="shared" si="730"/>
        <v>#REF!</v>
      </c>
      <c r="DN192" s="4">
        <f t="shared" si="731"/>
        <v>2.2360679774997898</v>
      </c>
      <c r="DO192" s="4">
        <f t="shared" si="776"/>
        <v>148.25707916260185</v>
      </c>
      <c r="DS192" s="4">
        <f t="shared" si="733"/>
        <v>1</v>
      </c>
      <c r="DT192" s="4">
        <f t="shared" si="734"/>
        <v>1</v>
      </c>
      <c r="DU192" s="4">
        <f t="shared" si="735"/>
        <v>0.93640182560785068</v>
      </c>
      <c r="DV192" s="4">
        <f t="shared" si="736"/>
        <v>0.93640182560785068</v>
      </c>
      <c r="DX192" s="4">
        <f t="shared" si="737"/>
        <v>364.8518760188781</v>
      </c>
      <c r="DY192" s="25">
        <f t="shared" si="738"/>
        <v>147.09004813536899</v>
      </c>
      <c r="EB192" s="4">
        <f t="shared" si="739"/>
        <v>5.5836366123976697</v>
      </c>
      <c r="EE192" s="4">
        <f t="shared" si="740"/>
        <v>128.12669511073796</v>
      </c>
      <c r="EF192" s="4">
        <f t="shared" si="741"/>
        <v>2.2360679774997898</v>
      </c>
      <c r="EG192" s="4">
        <f t="shared" si="742"/>
        <v>0.15877045999106873</v>
      </c>
      <c r="EJ192" s="4">
        <f t="shared" si="743"/>
        <v>0.15877045999106873</v>
      </c>
      <c r="EK192" s="4">
        <f t="shared" si="744"/>
        <v>0.45549284993711125</v>
      </c>
      <c r="EL192" s="4">
        <f t="shared" si="745"/>
        <v>4.07670956118492</v>
      </c>
      <c r="EM192" s="4">
        <f t="shared" si="746"/>
        <v>4.888725724036151</v>
      </c>
      <c r="EN192" s="4" t="e">
        <f t="shared" si="747"/>
        <v>#REF!</v>
      </c>
      <c r="EO192" s="4" t="e">
        <f t="shared" si="748"/>
        <v>#REF!</v>
      </c>
      <c r="EP192" s="4" t="e">
        <f t="shared" si="749"/>
        <v>#REF!</v>
      </c>
      <c r="EQ192" s="4" t="e">
        <f t="shared" si="750"/>
        <v>#REF!</v>
      </c>
      <c r="ER192" s="4" t="e">
        <f t="shared" si="751"/>
        <v>#REF!</v>
      </c>
      <c r="FA192" s="23" t="e">
        <f t="shared" si="752"/>
        <v>#REF!</v>
      </c>
      <c r="FB192" s="23" t="e">
        <f t="shared" si="753"/>
        <v>#REF!</v>
      </c>
      <c r="FC192" s="23">
        <f t="shared" si="754"/>
        <v>1.4</v>
      </c>
      <c r="FD192" s="23" t="e">
        <f t="shared" si="755"/>
        <v>#REF!</v>
      </c>
      <c r="FE192" s="23">
        <f t="shared" si="756"/>
        <v>1.6</v>
      </c>
      <c r="FF192" s="23">
        <f t="shared" si="757"/>
        <v>1.8</v>
      </c>
      <c r="FG192" s="23">
        <f t="shared" si="758"/>
        <v>0</v>
      </c>
      <c r="FH192" s="23"/>
      <c r="FR192" s="4">
        <f t="shared" si="607"/>
        <v>1.25</v>
      </c>
      <c r="FS192" s="4">
        <f t="shared" si="608"/>
        <v>0.37067917575318227</v>
      </c>
      <c r="FT192" s="4">
        <f t="shared" si="609"/>
        <v>0.3</v>
      </c>
      <c r="FU192" s="4">
        <f t="shared" si="610"/>
        <v>469.89541821773565</v>
      </c>
    </row>
    <row r="193" spans="1:177" ht="12" customHeight="1" x14ac:dyDescent="0.3">
      <c r="B193" s="24"/>
      <c r="C193" s="4" t="s">
        <v>178</v>
      </c>
      <c r="D193" s="7">
        <v>583</v>
      </c>
      <c r="E193" s="7">
        <f t="shared" si="788"/>
        <v>744.9</v>
      </c>
      <c r="F193" s="7">
        <v>40.5</v>
      </c>
      <c r="G193" s="37">
        <v>57.3</v>
      </c>
      <c r="H193" s="7">
        <f t="shared" si="680"/>
        <v>699.06000000000006</v>
      </c>
      <c r="I193" s="7">
        <f>2*G193</f>
        <v>114.6</v>
      </c>
      <c r="J193" s="7">
        <f t="shared" si="759"/>
        <v>56</v>
      </c>
      <c r="K193" s="7">
        <f t="shared" si="779"/>
        <v>355.26</v>
      </c>
      <c r="L193" s="7">
        <v>2</v>
      </c>
      <c r="M193" s="7">
        <f t="shared" si="789"/>
        <v>376.59999999999997</v>
      </c>
      <c r="N193" s="7">
        <f t="shared" si="684"/>
        <v>2.5</v>
      </c>
      <c r="O193" s="7">
        <f t="shared" si="685"/>
        <v>2.5</v>
      </c>
      <c r="P193" s="7">
        <f t="shared" si="784"/>
        <v>4</v>
      </c>
      <c r="Q193" s="7">
        <f t="shared" si="784"/>
        <v>4</v>
      </c>
      <c r="R193" s="7">
        <f t="shared" si="686"/>
        <v>5</v>
      </c>
      <c r="S193" s="7">
        <f t="shared" si="687"/>
        <v>128.12669511073796</v>
      </c>
      <c r="T193" s="7">
        <f t="shared" si="688"/>
        <v>583</v>
      </c>
      <c r="U193" s="7">
        <v>25</v>
      </c>
      <c r="V193" s="7">
        <f>(550+550)/2</f>
        <v>550</v>
      </c>
      <c r="W193" s="7"/>
      <c r="X193" s="4">
        <f t="shared" si="689"/>
        <v>1.2421247257802632</v>
      </c>
      <c r="Y193" s="7"/>
      <c r="Z193" s="7"/>
      <c r="AA193" s="7">
        <v>1</v>
      </c>
      <c r="AB193" s="7"/>
      <c r="AC193" s="7"/>
      <c r="AD193" s="7">
        <f t="shared" si="690"/>
        <v>5.4166666666666661</v>
      </c>
      <c r="AE193" s="4">
        <f t="shared" si="691"/>
        <v>744.9</v>
      </c>
      <c r="AF193" s="4">
        <f t="shared" si="692"/>
        <v>0.31282051282051282</v>
      </c>
      <c r="AG193" s="4">
        <f t="shared" si="693"/>
        <v>250.86804884585459</v>
      </c>
      <c r="AH193" s="4">
        <f t="shared" si="694"/>
        <v>0.73846153846153839</v>
      </c>
      <c r="AI193" s="4">
        <v>1.25</v>
      </c>
      <c r="AJ193" s="4">
        <f t="shared" si="760"/>
        <v>2.5</v>
      </c>
      <c r="AK193" s="38">
        <f t="shared" si="761"/>
        <v>181.10001159286543</v>
      </c>
      <c r="AL193" s="38">
        <f t="shared" si="762"/>
        <v>181.10001159286543</v>
      </c>
      <c r="AM193" s="38">
        <f t="shared" si="695"/>
        <v>3.538000882182009</v>
      </c>
      <c r="AN193" s="38">
        <f t="shared" si="640"/>
        <v>181.10001159286537</v>
      </c>
      <c r="AO193" s="38">
        <f t="shared" si="548"/>
        <v>1.0000000000000002</v>
      </c>
      <c r="AP193" s="38">
        <f t="shared" si="641"/>
        <v>2.2363333742379252</v>
      </c>
      <c r="AQ193" s="4">
        <f t="shared" si="642"/>
        <v>0</v>
      </c>
      <c r="AR193" s="4" t="e">
        <f>#REF!/G193*F193^0.5/0.19</f>
        <v>#REF!</v>
      </c>
      <c r="AS193" s="4">
        <f t="shared" si="696"/>
        <v>1</v>
      </c>
      <c r="AT193" s="38">
        <f t="shared" si="697"/>
        <v>405</v>
      </c>
      <c r="AU193" s="4">
        <f t="shared" si="698"/>
        <v>0.44000000000000006</v>
      </c>
      <c r="AV193" s="4" t="e">
        <f>AU193*D193*#REF!/(D193*G193/2.75/F193^0.5)</f>
        <v>#REF!</v>
      </c>
      <c r="AW193" s="4" t="e">
        <f t="shared" si="699"/>
        <v>#REF!</v>
      </c>
      <c r="AY193" s="4">
        <f t="shared" si="700"/>
        <v>1.25</v>
      </c>
      <c r="AZ193" s="4" t="e">
        <f>(3*#REF!+30)*AY193*F193^0.5</f>
        <v>#REF!</v>
      </c>
      <c r="BB193" s="4">
        <f t="shared" si="701"/>
        <v>388.44452827263018</v>
      </c>
      <c r="BC193" s="4">
        <f t="shared" si="702"/>
        <v>450.3525339151019</v>
      </c>
      <c r="BD193" s="4">
        <f t="shared" si="703"/>
        <v>1.1593741220085394</v>
      </c>
      <c r="BL193" s="4">
        <f t="shared" si="704"/>
        <v>114.6</v>
      </c>
      <c r="BP193" s="9"/>
      <c r="BR193" s="9"/>
      <c r="BS193" s="9"/>
      <c r="BT193" s="9">
        <f t="shared" si="705"/>
        <v>56</v>
      </c>
      <c r="BU193" s="9">
        <f t="shared" si="706"/>
        <v>177.63</v>
      </c>
      <c r="BV193" s="9">
        <f t="shared" si="707"/>
        <v>1.1754818988273255</v>
      </c>
      <c r="BW193" s="9">
        <v>0</v>
      </c>
      <c r="BX193" s="9">
        <f t="shared" si="708"/>
        <v>0</v>
      </c>
      <c r="BY193" s="9">
        <f t="shared" si="709"/>
        <v>0</v>
      </c>
      <c r="BZ193" s="9">
        <f t="shared" si="710"/>
        <v>0.77971450958075206</v>
      </c>
      <c r="CA193" s="9">
        <f t="shared" si="711"/>
        <v>0.87549999999999994</v>
      </c>
      <c r="CB193" s="9">
        <f t="shared" si="712"/>
        <v>1.5205031436526735</v>
      </c>
      <c r="CC193" s="9">
        <f t="shared" si="713"/>
        <v>1.7873239224737623</v>
      </c>
      <c r="CD193" s="9">
        <v>1</v>
      </c>
      <c r="CE193" s="9" t="e">
        <f>4*CC193*#REF!+60*CC193</f>
        <v>#REF!</v>
      </c>
      <c r="CG193" s="4" t="e">
        <f t="shared" si="714"/>
        <v>#REF!</v>
      </c>
      <c r="CH193" s="4" t="e">
        <f t="shared" si="715"/>
        <v>#REF!</v>
      </c>
      <c r="CI193" s="4" t="e">
        <f t="shared" si="716"/>
        <v>#REF!</v>
      </c>
      <c r="CJ193" s="4" t="e">
        <f t="shared" si="717"/>
        <v>#REF!</v>
      </c>
      <c r="CK193" s="4">
        <f t="shared" si="718"/>
        <v>1.2421247257802632</v>
      </c>
      <c r="CL193" s="4">
        <f t="shared" si="719"/>
        <v>1.353732099805089</v>
      </c>
      <c r="CM193" s="4">
        <f t="shared" si="720"/>
        <v>1.4314656932398204</v>
      </c>
      <c r="CO193" s="4" t="e">
        <f t="shared" ref="CO193:CP195" si="794">CG193</f>
        <v>#REF!</v>
      </c>
      <c r="CP193" s="4" t="e">
        <f t="shared" si="794"/>
        <v>#REF!</v>
      </c>
      <c r="CQ193" s="4" t="e">
        <f>CJ193</f>
        <v>#REF!</v>
      </c>
      <c r="CR193" s="4">
        <f t="shared" ref="CR193:CR203" si="795">CM193</f>
        <v>1.4314656932398204</v>
      </c>
      <c r="CS193" s="4">
        <f t="shared" ref="CS193:CT195" si="796">CK193</f>
        <v>1.2421247257802632</v>
      </c>
      <c r="CT193" s="4">
        <f t="shared" si="796"/>
        <v>1.353732099805089</v>
      </c>
      <c r="DB193" s="4">
        <f t="shared" si="722"/>
        <v>0</v>
      </c>
      <c r="DC193" s="4" t="e">
        <f>#REF!</f>
        <v>#REF!</v>
      </c>
      <c r="DF193" s="4">
        <f t="shared" si="723"/>
        <v>2.4945063339588324E-5</v>
      </c>
      <c r="DG193" s="4">
        <f t="shared" si="724"/>
        <v>5.809475019311126</v>
      </c>
      <c r="DH193" s="4">
        <f t="shared" si="725"/>
        <v>0.55732684752630468</v>
      </c>
      <c r="DI193" s="4">
        <f t="shared" si="726"/>
        <v>4.5981260687888756</v>
      </c>
      <c r="DJ193" s="4">
        <f t="shared" si="727"/>
        <v>5.2389764559133809</v>
      </c>
      <c r="DK193" s="4">
        <f t="shared" si="728"/>
        <v>4.8539629856897069</v>
      </c>
      <c r="DL193" s="38">
        <f t="shared" si="729"/>
        <v>442.78967207138356</v>
      </c>
      <c r="DM193" s="4" t="e">
        <f t="shared" si="730"/>
        <v>#REF!</v>
      </c>
      <c r="DN193" s="4">
        <f t="shared" si="731"/>
        <v>2.2360679774997898</v>
      </c>
      <c r="DO193" s="4">
        <f t="shared" si="776"/>
        <v>181.10001159286537</v>
      </c>
      <c r="DS193" s="4">
        <f t="shared" si="733"/>
        <v>1</v>
      </c>
      <c r="DT193" s="4">
        <f t="shared" si="734"/>
        <v>0.9</v>
      </c>
      <c r="DU193" s="4">
        <f t="shared" si="735"/>
        <v>1</v>
      </c>
      <c r="DV193" s="4">
        <f t="shared" si="736"/>
        <v>0.9</v>
      </c>
      <c r="DX193" s="4">
        <f t="shared" si="737"/>
        <v>406.28422719620022</v>
      </c>
      <c r="DY193" s="25">
        <f t="shared" si="738"/>
        <v>179.7147014430663</v>
      </c>
      <c r="EB193" s="4">
        <f t="shared" si="739"/>
        <v>5.809475019311126</v>
      </c>
      <c r="EE193" s="4">
        <f t="shared" si="740"/>
        <v>128.12669511073796</v>
      </c>
      <c r="EF193" s="4">
        <f t="shared" si="741"/>
        <v>2.2360679774997898</v>
      </c>
      <c r="EG193" s="4">
        <f t="shared" si="742"/>
        <v>0.19394238917557335</v>
      </c>
      <c r="EJ193" s="4">
        <f t="shared" si="743"/>
        <v>0.19394238917557335</v>
      </c>
      <c r="EK193" s="4">
        <f t="shared" si="744"/>
        <v>0.5563967728893876</v>
      </c>
      <c r="EL193" s="4">
        <f t="shared" si="745"/>
        <v>4.5950551645858413</v>
      </c>
      <c r="EM193" s="4">
        <f t="shared" si="746"/>
        <v>5.2376296069701249</v>
      </c>
      <c r="EN193" s="4" t="e">
        <f t="shared" si="747"/>
        <v>#REF!</v>
      </c>
      <c r="EO193" s="4" t="e">
        <f t="shared" si="748"/>
        <v>#REF!</v>
      </c>
      <c r="EP193" s="4" t="e">
        <f t="shared" si="749"/>
        <v>#REF!</v>
      </c>
      <c r="EQ193" s="4" t="e">
        <f t="shared" si="750"/>
        <v>#REF!</v>
      </c>
      <c r="ER193" s="4" t="e">
        <f t="shared" si="751"/>
        <v>#REF!</v>
      </c>
      <c r="FA193" s="23" t="e">
        <f t="shared" si="752"/>
        <v>#REF!</v>
      </c>
      <c r="FB193" s="23" t="e">
        <f t="shared" si="753"/>
        <v>#REF!</v>
      </c>
      <c r="FC193" s="23">
        <f t="shared" si="754"/>
        <v>1.6</v>
      </c>
      <c r="FD193" s="23" t="e">
        <f t="shared" si="755"/>
        <v>#REF!</v>
      </c>
      <c r="FE193" s="23">
        <f t="shared" si="756"/>
        <v>1.4</v>
      </c>
      <c r="FF193" s="23">
        <f t="shared" si="757"/>
        <v>1.4</v>
      </c>
      <c r="FG193" s="23">
        <f t="shared" si="758"/>
        <v>0</v>
      </c>
      <c r="FH193" s="23"/>
      <c r="FR193" s="4">
        <f t="shared" si="607"/>
        <v>1</v>
      </c>
      <c r="FS193" s="4">
        <f t="shared" si="608"/>
        <v>0.56666666666666665</v>
      </c>
      <c r="FT193" s="4">
        <f t="shared" si="609"/>
        <v>0</v>
      </c>
      <c r="FU193" s="4">
        <f t="shared" si="610"/>
        <v>384.22157275400093</v>
      </c>
    </row>
    <row r="194" spans="1:177" ht="12" customHeight="1" x14ac:dyDescent="0.3">
      <c r="B194" s="24"/>
      <c r="C194" s="4" t="s">
        <v>179</v>
      </c>
      <c r="D194" s="7">
        <v>583</v>
      </c>
      <c r="E194" s="7">
        <f>16*G194</f>
        <v>916.8</v>
      </c>
      <c r="F194" s="7">
        <v>41.8</v>
      </c>
      <c r="G194" s="37">
        <v>57.3</v>
      </c>
      <c r="H194" s="7">
        <f t="shared" si="680"/>
        <v>584.46</v>
      </c>
      <c r="I194" s="7">
        <f>1*G194</f>
        <v>57.3</v>
      </c>
      <c r="J194" s="7">
        <f t="shared" si="759"/>
        <v>56</v>
      </c>
      <c r="K194" s="7">
        <f t="shared" si="779"/>
        <v>355.26</v>
      </c>
      <c r="L194" s="7">
        <v>2</v>
      </c>
      <c r="M194" s="7">
        <f t="shared" si="789"/>
        <v>491.19999999999993</v>
      </c>
      <c r="N194" s="7">
        <f t="shared" si="684"/>
        <v>1.5</v>
      </c>
      <c r="O194" s="7">
        <f t="shared" si="685"/>
        <v>1.5</v>
      </c>
      <c r="P194" s="7">
        <f t="shared" si="784"/>
        <v>4</v>
      </c>
      <c r="Q194" s="7">
        <f t="shared" si="784"/>
        <v>4</v>
      </c>
      <c r="R194" s="7">
        <f t="shared" si="686"/>
        <v>5</v>
      </c>
      <c r="S194" s="7">
        <f t="shared" si="687"/>
        <v>128.12669511073796</v>
      </c>
      <c r="T194" s="7">
        <f t="shared" si="688"/>
        <v>583</v>
      </c>
      <c r="U194" s="7">
        <v>25</v>
      </c>
      <c r="V194" s="7">
        <f>(510+510)/2</f>
        <v>510</v>
      </c>
      <c r="W194" s="7"/>
      <c r="X194" s="4">
        <f t="shared" si="689"/>
        <v>1.1290382156017438</v>
      </c>
      <c r="Y194" s="7"/>
      <c r="Z194" s="7"/>
      <c r="AA194" s="7">
        <v>1</v>
      </c>
      <c r="AB194" s="7"/>
      <c r="AC194" s="7"/>
      <c r="AD194" s="7">
        <f t="shared" si="690"/>
        <v>6.6666666666666661</v>
      </c>
      <c r="AE194" s="4">
        <f t="shared" si="691"/>
        <v>916.8</v>
      </c>
      <c r="AF194" s="4">
        <f t="shared" si="692"/>
        <v>0.21250000000000002</v>
      </c>
      <c r="AG194" s="4">
        <f t="shared" si="693"/>
        <v>347.99333558360394</v>
      </c>
      <c r="AH194" s="4">
        <f t="shared" si="694"/>
        <v>0.71875</v>
      </c>
      <c r="AI194" s="4">
        <v>1.25</v>
      </c>
      <c r="AJ194" s="4">
        <f t="shared" si="760"/>
        <v>2.5</v>
      </c>
      <c r="AK194" s="38">
        <f t="shared" si="761"/>
        <v>166.0954519203969</v>
      </c>
      <c r="AL194" s="38">
        <f t="shared" si="762"/>
        <v>166.0954519203969</v>
      </c>
      <c r="AM194" s="38">
        <f t="shared" si="695"/>
        <v>3.613311826901703</v>
      </c>
      <c r="AN194" s="38">
        <f t="shared" si="640"/>
        <v>166.09545192039693</v>
      </c>
      <c r="AO194" s="38">
        <f t="shared" si="548"/>
        <v>0.99999999999999978</v>
      </c>
      <c r="AP194" s="38">
        <f t="shared" si="641"/>
        <v>1.5099751203314022</v>
      </c>
      <c r="AQ194" s="4">
        <f t="shared" si="642"/>
        <v>0</v>
      </c>
      <c r="AR194" s="4" t="e">
        <f>#REF!/G194*F194^0.5/0.19</f>
        <v>#REF!</v>
      </c>
      <c r="AS194" s="4">
        <f t="shared" si="696"/>
        <v>1</v>
      </c>
      <c r="AT194" s="38">
        <f t="shared" si="697"/>
        <v>250.79999999999998</v>
      </c>
      <c r="AU194" s="4">
        <f t="shared" si="698"/>
        <v>0.44000000000000006</v>
      </c>
      <c r="AV194" s="4" t="e">
        <f>AU194*D194*#REF!/(D194*G194/2.75/F194^0.5)</f>
        <v>#REF!</v>
      </c>
      <c r="AW194" s="4" t="e">
        <f t="shared" si="699"/>
        <v>#REF!</v>
      </c>
      <c r="AY194" s="4">
        <f t="shared" si="700"/>
        <v>1</v>
      </c>
      <c r="AZ194" s="4" t="e">
        <f>(3*#REF!+30)*AY194*F194^0.5</f>
        <v>#REF!</v>
      </c>
      <c r="BB194" s="4">
        <f t="shared" si="701"/>
        <v>240.54787084142137</v>
      </c>
      <c r="BC194" s="4">
        <f t="shared" si="702"/>
        <v>450.3525339151019</v>
      </c>
      <c r="BD194" s="4">
        <f t="shared" si="703"/>
        <v>1.8721950534826892</v>
      </c>
      <c r="BL194" s="4">
        <f t="shared" si="704"/>
        <v>57.3</v>
      </c>
      <c r="BP194" s="9"/>
      <c r="BR194" s="9"/>
      <c r="BS194" s="9"/>
      <c r="BT194" s="9">
        <f t="shared" si="705"/>
        <v>56</v>
      </c>
      <c r="BU194" s="9">
        <f t="shared" si="706"/>
        <v>177.63</v>
      </c>
      <c r="BV194" s="9">
        <f t="shared" si="707"/>
        <v>1.1754818988273255</v>
      </c>
      <c r="BW194" s="9">
        <v>0</v>
      </c>
      <c r="BX194" s="9">
        <f t="shared" si="708"/>
        <v>0</v>
      </c>
      <c r="BY194" s="9">
        <f t="shared" si="709"/>
        <v>0</v>
      </c>
      <c r="BZ194" s="9">
        <f t="shared" si="710"/>
        <v>0.77971450958075206</v>
      </c>
      <c r="CA194" s="9">
        <f t="shared" si="711"/>
        <v>0.87549999999999994</v>
      </c>
      <c r="CB194" s="9">
        <f t="shared" si="712"/>
        <v>1.5447135341285001</v>
      </c>
      <c r="CC194" s="9">
        <f t="shared" si="713"/>
        <v>1.8157827982416379</v>
      </c>
      <c r="CD194" s="9">
        <v>1</v>
      </c>
      <c r="CE194" s="9" t="e">
        <f>4*CC194*#REF!+60*CC194</f>
        <v>#REF!</v>
      </c>
      <c r="CG194" s="4" t="e">
        <f t="shared" si="714"/>
        <v>#REF!</v>
      </c>
      <c r="CH194" s="4" t="e">
        <f t="shared" si="715"/>
        <v>#REF!</v>
      </c>
      <c r="CI194" s="4" t="e">
        <f t="shared" si="716"/>
        <v>#REF!</v>
      </c>
      <c r="CJ194" s="4" t="e">
        <f t="shared" si="717"/>
        <v>#REF!</v>
      </c>
      <c r="CK194" s="4">
        <f t="shared" si="718"/>
        <v>1.1290382156017438</v>
      </c>
      <c r="CL194" s="4">
        <f t="shared" si="719"/>
        <v>1.2140631955584191</v>
      </c>
      <c r="CM194" s="4">
        <f t="shared" si="720"/>
        <v>1.3374929414311942</v>
      </c>
      <c r="CO194" s="4" t="e">
        <f t="shared" si="794"/>
        <v>#REF!</v>
      </c>
      <c r="CP194" s="4" t="e">
        <f t="shared" si="794"/>
        <v>#REF!</v>
      </c>
      <c r="CQ194" s="4" t="e">
        <f>CJ194</f>
        <v>#REF!</v>
      </c>
      <c r="CR194" s="4">
        <f t="shared" si="795"/>
        <v>1.3374929414311942</v>
      </c>
      <c r="CS194" s="4">
        <f t="shared" si="796"/>
        <v>1.1290382156017438</v>
      </c>
      <c r="CT194" s="4">
        <f t="shared" si="796"/>
        <v>1.2140631955584191</v>
      </c>
      <c r="DB194" s="4">
        <f t="shared" si="722"/>
        <v>0</v>
      </c>
      <c r="DC194" s="4" t="e">
        <f>#REF!</f>
        <v>#REF!</v>
      </c>
      <c r="DF194" s="4">
        <f t="shared" si="723"/>
        <v>3.0965438467699871E-5</v>
      </c>
      <c r="DG194" s="4">
        <f t="shared" si="724"/>
        <v>5.3117793628877328</v>
      </c>
      <c r="DH194" s="4">
        <f t="shared" si="725"/>
        <v>0.49525397314162617</v>
      </c>
      <c r="DI194" s="4">
        <f t="shared" si="726"/>
        <v>4.0102478497857943</v>
      </c>
      <c r="DJ194" s="4">
        <f t="shared" si="727"/>
        <v>4.7063105644554275</v>
      </c>
      <c r="DK194" s="4">
        <f t="shared" si="728"/>
        <v>4.1212073343230777</v>
      </c>
      <c r="DL194" s="38">
        <f t="shared" si="729"/>
        <v>451.71190217700928</v>
      </c>
      <c r="DM194" s="4" t="e">
        <f t="shared" si="730"/>
        <v>#REF!</v>
      </c>
      <c r="DN194" s="4">
        <f t="shared" si="731"/>
        <v>2.2360679774997898</v>
      </c>
      <c r="DO194" s="4">
        <f t="shared" si="776"/>
        <v>166.09545192039693</v>
      </c>
      <c r="DS194" s="4">
        <f t="shared" si="733"/>
        <v>1</v>
      </c>
      <c r="DT194" s="4">
        <f t="shared" si="734"/>
        <v>1</v>
      </c>
      <c r="DU194" s="4">
        <f t="shared" si="735"/>
        <v>1</v>
      </c>
      <c r="DV194" s="4">
        <f t="shared" si="736"/>
        <v>1</v>
      </c>
      <c r="DX194" s="4">
        <f t="shared" si="737"/>
        <v>420.07697940750188</v>
      </c>
      <c r="DY194" s="25">
        <f t="shared" si="738"/>
        <v>165.11156998889066</v>
      </c>
      <c r="EB194" s="4">
        <f t="shared" si="739"/>
        <v>5.3117793628877328</v>
      </c>
      <c r="EE194" s="4">
        <f t="shared" si="740"/>
        <v>128.12669511073796</v>
      </c>
      <c r="EF194" s="4">
        <f t="shared" si="741"/>
        <v>2.2360679774997898</v>
      </c>
      <c r="EG194" s="4">
        <f t="shared" si="742"/>
        <v>0.17508598130474001</v>
      </c>
      <c r="EJ194" s="4">
        <f t="shared" si="743"/>
        <v>0.17508598130474001</v>
      </c>
      <c r="EK194" s="4">
        <f t="shared" si="744"/>
        <v>0.4944274865632457</v>
      </c>
      <c r="EL194" s="4">
        <f t="shared" si="745"/>
        <v>4.0075695658951647</v>
      </c>
      <c r="EM194" s="4">
        <f t="shared" si="746"/>
        <v>4.7051704844984386</v>
      </c>
      <c r="EN194" s="4" t="e">
        <f t="shared" si="747"/>
        <v>#REF!</v>
      </c>
      <c r="EO194" s="4" t="e">
        <f t="shared" si="748"/>
        <v>#REF!</v>
      </c>
      <c r="EP194" s="4" t="e">
        <f t="shared" si="749"/>
        <v>#REF!</v>
      </c>
      <c r="EQ194" s="4" t="e">
        <f t="shared" si="750"/>
        <v>#REF!</v>
      </c>
      <c r="ER194" s="4" t="e">
        <f t="shared" si="751"/>
        <v>#REF!</v>
      </c>
      <c r="FA194" s="23" t="e">
        <f t="shared" si="752"/>
        <v>#REF!</v>
      </c>
      <c r="FB194" s="23" t="e">
        <f t="shared" si="753"/>
        <v>#REF!</v>
      </c>
      <c r="FC194" s="23">
        <f t="shared" si="754"/>
        <v>1.4</v>
      </c>
      <c r="FD194" s="23" t="e">
        <f t="shared" si="755"/>
        <v>#REF!</v>
      </c>
      <c r="FE194" s="23">
        <f t="shared" si="756"/>
        <v>1.2</v>
      </c>
      <c r="FF194" s="23">
        <f t="shared" si="757"/>
        <v>1.4</v>
      </c>
      <c r="FG194" s="23">
        <f t="shared" si="758"/>
        <v>0</v>
      </c>
      <c r="FH194" s="23"/>
      <c r="FR194" s="4">
        <f t="shared" si="607"/>
        <v>1.25</v>
      </c>
      <c r="FS194" s="4">
        <f t="shared" si="608"/>
        <v>0.56666666666666665</v>
      </c>
      <c r="FT194" s="4">
        <f t="shared" si="609"/>
        <v>0</v>
      </c>
      <c r="FU194" s="4">
        <f t="shared" si="610"/>
        <v>381.31042355578393</v>
      </c>
    </row>
    <row r="195" spans="1:177" ht="12" customHeight="1" x14ac:dyDescent="0.3">
      <c r="B195" s="24"/>
      <c r="C195" s="4" t="s">
        <v>180</v>
      </c>
      <c r="D195" s="7">
        <v>583</v>
      </c>
      <c r="E195" s="7">
        <f>16*G195</f>
        <v>916.8</v>
      </c>
      <c r="F195" s="7">
        <v>41.8</v>
      </c>
      <c r="G195" s="37">
        <v>57.3</v>
      </c>
      <c r="H195" s="7">
        <f t="shared" si="680"/>
        <v>699.06000000000006</v>
      </c>
      <c r="I195" s="7">
        <f>2*G195</f>
        <v>114.6</v>
      </c>
      <c r="J195" s="7">
        <f t="shared" si="759"/>
        <v>56</v>
      </c>
      <c r="K195" s="7">
        <f t="shared" si="779"/>
        <v>355.26</v>
      </c>
      <c r="L195" s="7">
        <v>2</v>
      </c>
      <c r="M195" s="7">
        <f t="shared" si="789"/>
        <v>491.19999999999993</v>
      </c>
      <c r="N195" s="7">
        <f t="shared" si="684"/>
        <v>2.5</v>
      </c>
      <c r="O195" s="7">
        <f t="shared" si="685"/>
        <v>2.5</v>
      </c>
      <c r="P195" s="7">
        <f t="shared" si="784"/>
        <v>4</v>
      </c>
      <c r="Q195" s="7">
        <f t="shared" si="784"/>
        <v>4</v>
      </c>
      <c r="R195" s="7">
        <f t="shared" si="686"/>
        <v>5</v>
      </c>
      <c r="S195" s="7">
        <f t="shared" si="687"/>
        <v>128.12669511073796</v>
      </c>
      <c r="T195" s="7">
        <f t="shared" si="688"/>
        <v>583</v>
      </c>
      <c r="U195" s="7">
        <v>25</v>
      </c>
      <c r="V195" s="7">
        <f>(588+588)/2</f>
        <v>588</v>
      </c>
      <c r="W195" s="7"/>
      <c r="X195" s="4">
        <f t="shared" si="689"/>
        <v>1.118054357765794</v>
      </c>
      <c r="Y195" s="7"/>
      <c r="Z195" s="7"/>
      <c r="AA195" s="7">
        <v>1</v>
      </c>
      <c r="AB195" s="7"/>
      <c r="AC195" s="7"/>
      <c r="AD195" s="7">
        <f t="shared" si="690"/>
        <v>6.6666666666666661</v>
      </c>
      <c r="AE195" s="4">
        <f t="shared" si="691"/>
        <v>916.8</v>
      </c>
      <c r="AF195" s="4">
        <f t="shared" si="692"/>
        <v>0.25416666666666665</v>
      </c>
      <c r="AG195" s="4">
        <f t="shared" si="693"/>
        <v>347.99333558360394</v>
      </c>
      <c r="AH195" s="4">
        <f t="shared" si="694"/>
        <v>0.73124999999999996</v>
      </c>
      <c r="AI195" s="4">
        <v>1.25</v>
      </c>
      <c r="AJ195" s="4">
        <f>AJ194</f>
        <v>2.5</v>
      </c>
      <c r="AK195" s="38">
        <f t="shared" si="761"/>
        <v>202.11819954916837</v>
      </c>
      <c r="AL195" s="38">
        <f t="shared" si="762"/>
        <v>202.11819954916837</v>
      </c>
      <c r="AM195" s="38">
        <f t="shared" si="695"/>
        <v>3.613311826901703</v>
      </c>
      <c r="AN195" s="38">
        <f t="shared" si="640"/>
        <v>202.11819954916842</v>
      </c>
      <c r="AO195" s="38">
        <f t="shared" si="548"/>
        <v>0.99999999999999967</v>
      </c>
      <c r="AP195" s="38">
        <f t="shared" si="641"/>
        <v>2.068096791542589</v>
      </c>
      <c r="AQ195" s="4">
        <f t="shared" si="642"/>
        <v>0</v>
      </c>
      <c r="AR195" s="4" t="e">
        <f>#REF!/G195*F195^0.5/0.19</f>
        <v>#REF!</v>
      </c>
      <c r="AS195" s="4">
        <f t="shared" si="696"/>
        <v>1</v>
      </c>
      <c r="AT195" s="38">
        <f t="shared" si="697"/>
        <v>418</v>
      </c>
      <c r="AU195" s="4">
        <f t="shared" si="698"/>
        <v>0.44000000000000006</v>
      </c>
      <c r="AV195" s="4" t="e">
        <f>AU195*D195*#REF!/(D195*G195/2.75/F195^0.5)</f>
        <v>#REF!</v>
      </c>
      <c r="AW195" s="4" t="e">
        <f t="shared" si="699"/>
        <v>#REF!</v>
      </c>
      <c r="AY195" s="4">
        <f t="shared" si="700"/>
        <v>1.25</v>
      </c>
      <c r="AZ195" s="4" t="e">
        <f>(3*#REF!+30)*AY195*F195^0.5</f>
        <v>#REF!</v>
      </c>
      <c r="BB195" s="4">
        <f t="shared" si="701"/>
        <v>400.91311806903559</v>
      </c>
      <c r="BC195" s="4">
        <f t="shared" si="702"/>
        <v>450.3525339151019</v>
      </c>
      <c r="BD195" s="4">
        <f t="shared" si="703"/>
        <v>1.1233170320896135</v>
      </c>
      <c r="BL195" s="4">
        <f t="shared" si="704"/>
        <v>114.6</v>
      </c>
      <c r="BP195" s="9"/>
      <c r="BR195" s="9"/>
      <c r="BS195" s="9"/>
      <c r="BT195" s="9">
        <f t="shared" si="705"/>
        <v>56</v>
      </c>
      <c r="BU195" s="9">
        <f t="shared" si="706"/>
        <v>177.63</v>
      </c>
      <c r="BV195" s="9">
        <f t="shared" si="707"/>
        <v>1.1754818988273255</v>
      </c>
      <c r="BW195" s="9">
        <v>0</v>
      </c>
      <c r="BX195" s="9">
        <f t="shared" si="708"/>
        <v>0</v>
      </c>
      <c r="BY195" s="9">
        <f t="shared" si="709"/>
        <v>0</v>
      </c>
      <c r="BZ195" s="9">
        <f t="shared" si="710"/>
        <v>0.77971450958075206</v>
      </c>
      <c r="CA195" s="9">
        <f t="shared" si="711"/>
        <v>0.87549999999999994</v>
      </c>
      <c r="CB195" s="9">
        <f t="shared" si="712"/>
        <v>1.5447135341285001</v>
      </c>
      <c r="CC195" s="9">
        <f t="shared" si="713"/>
        <v>1.8157827982416379</v>
      </c>
      <c r="CD195" s="9">
        <v>1</v>
      </c>
      <c r="CE195" s="9" t="e">
        <f>4*CC195*#REF!+60*CC195</f>
        <v>#REF!</v>
      </c>
      <c r="CG195" s="4" t="e">
        <f t="shared" si="714"/>
        <v>#REF!</v>
      </c>
      <c r="CH195" s="4" t="e">
        <f t="shared" si="715"/>
        <v>#REF!</v>
      </c>
      <c r="CI195" s="4" t="e">
        <f t="shared" si="716"/>
        <v>#REF!</v>
      </c>
      <c r="CJ195" s="4" t="e">
        <f t="shared" si="717"/>
        <v>#REF!</v>
      </c>
      <c r="CK195" s="4">
        <f t="shared" si="718"/>
        <v>1.118054357765794</v>
      </c>
      <c r="CL195" s="4">
        <f t="shared" si="719"/>
        <v>1.2142589675863487</v>
      </c>
      <c r="CM195" s="4">
        <f t="shared" si="720"/>
        <v>1.2336405483318309</v>
      </c>
      <c r="CO195" s="4" t="e">
        <f t="shared" si="794"/>
        <v>#REF!</v>
      </c>
      <c r="CP195" s="4" t="e">
        <f t="shared" si="794"/>
        <v>#REF!</v>
      </c>
      <c r="CQ195" s="4" t="e">
        <f>CJ195</f>
        <v>#REF!</v>
      </c>
      <c r="CR195" s="4">
        <f t="shared" si="795"/>
        <v>1.2336405483318309</v>
      </c>
      <c r="CS195" s="4">
        <f t="shared" si="796"/>
        <v>1.118054357765794</v>
      </c>
      <c r="CT195" s="4">
        <f t="shared" si="796"/>
        <v>1.2142589675863487</v>
      </c>
      <c r="DB195" s="4">
        <f t="shared" si="722"/>
        <v>0</v>
      </c>
      <c r="DC195" s="4" t="e">
        <f>#REF!</f>
        <v>#REF!</v>
      </c>
      <c r="DF195" s="4">
        <f t="shared" si="723"/>
        <v>3.0965438467699871E-5</v>
      </c>
      <c r="DG195" s="4">
        <f t="shared" si="724"/>
        <v>5.9019770698752589</v>
      </c>
      <c r="DH195" s="4">
        <f t="shared" si="725"/>
        <v>0.6026645535058458</v>
      </c>
      <c r="DI195" s="4">
        <f t="shared" si="726"/>
        <v>4.8197862381440757</v>
      </c>
      <c r="DJ195" s="4">
        <f t="shared" si="727"/>
        <v>5.3881474261259941</v>
      </c>
      <c r="DK195" s="4">
        <f t="shared" si="728"/>
        <v>4.390494243913488</v>
      </c>
      <c r="DL195" s="38">
        <f t="shared" si="729"/>
        <v>525.91360689743146</v>
      </c>
      <c r="DM195" s="4" t="e">
        <f t="shared" si="730"/>
        <v>#REF!</v>
      </c>
      <c r="DN195" s="4">
        <f t="shared" si="731"/>
        <v>2.2360679774997898</v>
      </c>
      <c r="DO195" s="4">
        <f t="shared" si="776"/>
        <v>202.11819954916842</v>
      </c>
      <c r="DS195" s="4">
        <f t="shared" si="733"/>
        <v>1</v>
      </c>
      <c r="DT195" s="4">
        <f t="shared" si="734"/>
        <v>0.9</v>
      </c>
      <c r="DU195" s="4">
        <f t="shared" si="735"/>
        <v>1</v>
      </c>
      <c r="DV195" s="4">
        <f t="shared" si="736"/>
        <v>0.9</v>
      </c>
      <c r="DX195" s="4">
        <f t="shared" si="737"/>
        <v>484.24596045504273</v>
      </c>
      <c r="DY195" s="25">
        <f t="shared" si="738"/>
        <v>200.95106110103035</v>
      </c>
      <c r="EB195" s="4">
        <f t="shared" si="739"/>
        <v>5.9019770698752589</v>
      </c>
      <c r="EE195" s="4">
        <f t="shared" si="740"/>
        <v>128.12669511073796</v>
      </c>
      <c r="EF195" s="4">
        <f t="shared" si="741"/>
        <v>2.2360679774997898</v>
      </c>
      <c r="EG195" s="4">
        <f t="shared" si="742"/>
        <v>0.21305859310689335</v>
      </c>
      <c r="EJ195" s="4">
        <f t="shared" si="743"/>
        <v>0.21305859310689335</v>
      </c>
      <c r="EK195" s="4">
        <f t="shared" si="744"/>
        <v>0.60165881868744842</v>
      </c>
      <c r="EL195" s="4">
        <f t="shared" si="745"/>
        <v>4.816567295993508</v>
      </c>
      <c r="EM195" s="4">
        <f t="shared" si="746"/>
        <v>5.3867083605866668</v>
      </c>
      <c r="EN195" s="4" t="e">
        <f t="shared" si="747"/>
        <v>#REF!</v>
      </c>
      <c r="EO195" s="4" t="e">
        <f t="shared" si="748"/>
        <v>#REF!</v>
      </c>
      <c r="EP195" s="4" t="e">
        <f t="shared" si="749"/>
        <v>#REF!</v>
      </c>
      <c r="EQ195" s="4" t="e">
        <f t="shared" si="750"/>
        <v>#REF!</v>
      </c>
      <c r="ER195" s="4" t="e">
        <f t="shared" si="751"/>
        <v>#REF!</v>
      </c>
      <c r="FA195" s="23" t="e">
        <f t="shared" si="752"/>
        <v>#REF!</v>
      </c>
      <c r="FB195" s="23" t="e">
        <f t="shared" si="753"/>
        <v>#REF!</v>
      </c>
      <c r="FC195" s="23">
        <f t="shared" si="754"/>
        <v>1.4</v>
      </c>
      <c r="FD195" s="23" t="e">
        <f t="shared" si="755"/>
        <v>#REF!</v>
      </c>
      <c r="FE195" s="23">
        <f t="shared" si="756"/>
        <v>1.2</v>
      </c>
      <c r="FF195" s="23">
        <f t="shared" si="757"/>
        <v>1.4</v>
      </c>
      <c r="FG195" s="23">
        <f t="shared" si="758"/>
        <v>0</v>
      </c>
      <c r="FH195" s="23"/>
      <c r="FR195" s="4">
        <f t="shared" si="607"/>
        <v>1</v>
      </c>
      <c r="FS195" s="4">
        <f t="shared" si="608"/>
        <v>0.56666666666666665</v>
      </c>
      <c r="FT195" s="4">
        <f t="shared" si="609"/>
        <v>0</v>
      </c>
      <c r="FU195" s="4">
        <f t="shared" si="610"/>
        <v>476.63802944472991</v>
      </c>
    </row>
    <row r="196" spans="1:177" ht="12" customHeight="1" x14ac:dyDescent="0.3">
      <c r="A196" s="4">
        <v>5</v>
      </c>
      <c r="B196" s="24" t="s">
        <v>310</v>
      </c>
      <c r="C196" s="4" t="s">
        <v>153</v>
      </c>
      <c r="D196" s="7">
        <v>661</v>
      </c>
      <c r="E196" s="7">
        <f>4*G196</f>
        <v>88.8</v>
      </c>
      <c r="F196" s="7">
        <v>225.5</v>
      </c>
      <c r="G196" s="7">
        <v>22.2</v>
      </c>
      <c r="H196" s="7">
        <v>366</v>
      </c>
      <c r="I196" s="7">
        <f t="shared" ref="I196:I201" si="797">1*G196</f>
        <v>22.2</v>
      </c>
      <c r="J196" s="7" t="e">
        <f>118-#REF!</f>
        <v>#REF!</v>
      </c>
      <c r="K196" s="7">
        <f t="shared" ref="K196:K227" si="798">H196-2*G196-2*I196</f>
        <v>277.20000000000005</v>
      </c>
      <c r="L196" s="7">
        <v>2</v>
      </c>
      <c r="M196" s="7">
        <f t="shared" ref="M196:M215" si="799">2/3*E196</f>
        <v>59.199999999999996</v>
      </c>
      <c r="N196" s="7">
        <f t="shared" si="684"/>
        <v>1.5</v>
      </c>
      <c r="O196" s="7">
        <f t="shared" si="685"/>
        <v>1.5</v>
      </c>
      <c r="P196" s="7">
        <f t="shared" si="676"/>
        <v>4</v>
      </c>
      <c r="Q196" s="7">
        <f t="shared" si="676"/>
        <v>4</v>
      </c>
      <c r="R196" s="7">
        <f t="shared" si="686"/>
        <v>5</v>
      </c>
      <c r="S196" s="7">
        <f t="shared" si="687"/>
        <v>49.640709100495329</v>
      </c>
      <c r="T196" s="7">
        <f t="shared" si="688"/>
        <v>661</v>
      </c>
      <c r="U196" s="7">
        <v>8</v>
      </c>
      <c r="V196" s="7">
        <f>(853+842)/2</f>
        <v>847.5</v>
      </c>
      <c r="W196" s="7"/>
      <c r="X196" s="4" t="e">
        <f t="shared" si="689"/>
        <v>#REF!</v>
      </c>
      <c r="Y196" s="7"/>
      <c r="Z196" s="7"/>
      <c r="AA196" s="7">
        <v>1</v>
      </c>
      <c r="AB196" s="7"/>
      <c r="AC196" s="7"/>
      <c r="AD196" s="7">
        <f t="shared" si="690"/>
        <v>0.88977955911823625</v>
      </c>
      <c r="AE196" s="4">
        <f t="shared" si="691"/>
        <v>88.8</v>
      </c>
      <c r="AF196" s="4">
        <f t="shared" si="692"/>
        <v>1.25</v>
      </c>
      <c r="AG196" s="4">
        <f t="shared" si="693"/>
        <v>162.318079587065</v>
      </c>
      <c r="AH196" s="4">
        <f t="shared" si="694"/>
        <v>0.77499999999999991</v>
      </c>
      <c r="AI196" s="4">
        <v>1.25</v>
      </c>
      <c r="AJ196" s="47">
        <v>5</v>
      </c>
      <c r="AK196" s="38">
        <f t="shared" ref="AK196:AK215" si="800">AF196*AH196*AI196*AJ196*AG196</f>
        <v>982.7852474998075</v>
      </c>
      <c r="AL196" s="38">
        <f t="shared" si="762"/>
        <v>982.7852474998075</v>
      </c>
      <c r="AM196" s="38">
        <f t="shared" si="695"/>
        <v>6.7681675210006302</v>
      </c>
      <c r="AN196" s="38">
        <f t="shared" si="640"/>
        <v>1080.1783801349238</v>
      </c>
      <c r="AO196" s="38">
        <f t="shared" si="548"/>
        <v>0.90983606557377028</v>
      </c>
      <c r="AP196" s="38">
        <f t="shared" si="641"/>
        <v>1.2525708946618597</v>
      </c>
      <c r="AQ196" s="4">
        <f t="shared" si="642"/>
        <v>0</v>
      </c>
      <c r="AR196" s="4" t="e">
        <f>#REF!/G196*F196^0.5/0.19</f>
        <v>#REF!</v>
      </c>
      <c r="AS196" s="4">
        <f t="shared" si="696"/>
        <v>1</v>
      </c>
      <c r="AT196" s="38">
        <f t="shared" si="697"/>
        <v>1353</v>
      </c>
      <c r="AU196" s="4">
        <f t="shared" si="698"/>
        <v>0.44000000000000006</v>
      </c>
      <c r="AV196" s="4" t="e">
        <f>AU196*D196*#REF!/(D196*G196/2.75/F196^0.5)</f>
        <v>#REF!</v>
      </c>
      <c r="AW196" s="4" t="e">
        <f t="shared" ref="AW196:AW215" si="801">AT196+AV196</f>
        <v>#REF!</v>
      </c>
      <c r="AY196" s="4">
        <f t="shared" si="700"/>
        <v>1</v>
      </c>
      <c r="AZ196" s="4" t="e">
        <f>(3*#REF!+30)*AY196*F196^0.5</f>
        <v>#REF!</v>
      </c>
      <c r="BB196" s="4">
        <f t="shared" si="701"/>
        <v>1297.6924611181944</v>
      </c>
      <c r="BC196" s="4">
        <f t="shared" si="702"/>
        <v>3606.2915864545262</v>
      </c>
      <c r="BD196" s="4">
        <f t="shared" si="672"/>
        <v>2.779003265031732</v>
      </c>
      <c r="BL196" s="4">
        <f t="shared" si="704"/>
        <v>22.2</v>
      </c>
      <c r="BP196" s="9"/>
      <c r="BR196" s="9"/>
      <c r="BS196" s="9"/>
      <c r="BT196" s="9" t="e">
        <f t="shared" si="705"/>
        <v>#REF!</v>
      </c>
      <c r="BU196" s="9">
        <f t="shared" si="706"/>
        <v>138.60000000000002</v>
      </c>
      <c r="BV196" s="9" t="e">
        <f t="shared" si="707"/>
        <v>#REF!</v>
      </c>
      <c r="BW196" s="9">
        <v>0</v>
      </c>
      <c r="BX196" s="9">
        <f t="shared" si="708"/>
        <v>0</v>
      </c>
      <c r="BY196" s="9">
        <f t="shared" ref="BY196:BY215" si="802">MAX(0,BW196*(BX196-0.5/50))</f>
        <v>0</v>
      </c>
      <c r="BZ196" s="9">
        <f t="shared" si="710"/>
        <v>1</v>
      </c>
      <c r="CA196" s="9">
        <f t="shared" si="711"/>
        <v>0.78899999999999992</v>
      </c>
      <c r="CB196" s="9">
        <f t="shared" si="712"/>
        <v>4.1468499458926642</v>
      </c>
      <c r="CC196" s="9" t="e">
        <f t="shared" si="713"/>
        <v>#REF!</v>
      </c>
      <c r="CD196" s="9">
        <v>1</v>
      </c>
      <c r="CE196" s="9" t="e">
        <f>4*CC196*#REF!+60*CC196</f>
        <v>#REF!</v>
      </c>
      <c r="CG196" s="4" t="e">
        <f t="shared" ref="CG196:CG215" si="803">V196/AR196</f>
        <v>#REF!</v>
      </c>
      <c r="CH196" s="4" t="e">
        <f t="shared" ref="CH196:CH215" si="804">V196/AW196</f>
        <v>#REF!</v>
      </c>
      <c r="CI196" s="4" t="e">
        <f t="shared" ref="CI196:CI215" si="805">V196/AZ196</f>
        <v>#REF!</v>
      </c>
      <c r="CJ196" s="4" t="e">
        <f t="shared" ref="CJ196:CJ215" si="806">V196/CE196</f>
        <v>#REF!</v>
      </c>
      <c r="CK196" s="44" t="e">
        <f t="shared" ref="CK196:CK215" si="807">V196/DL196</f>
        <v>#REF!</v>
      </c>
      <c r="CL196" s="4" t="e">
        <f t="shared" ref="CL196:CL215" si="808">V196/DX196</f>
        <v>#REF!</v>
      </c>
      <c r="CM196" s="4">
        <f t="shared" si="720"/>
        <v>3.203833724920901</v>
      </c>
      <c r="CO196" s="4" t="e">
        <f t="shared" ref="CO196:CO228" si="809">CG196</f>
        <v>#REF!</v>
      </c>
      <c r="CP196" s="4" t="e">
        <f t="shared" ref="CP196:CP228" si="810">CH196</f>
        <v>#REF!</v>
      </c>
      <c r="CQ196" s="4" t="e">
        <f t="shared" ref="CQ196:CQ228" si="811">CJ196</f>
        <v>#REF!</v>
      </c>
      <c r="CR196" s="4">
        <f t="shared" si="795"/>
        <v>3.203833724920901</v>
      </c>
      <c r="CS196" s="4" t="e">
        <f t="shared" ref="CS196:CS228" si="812">CK196</f>
        <v>#REF!</v>
      </c>
      <c r="CT196" s="4" t="e">
        <f t="shared" ref="CT196:CT228" si="813">CL196</f>
        <v>#REF!</v>
      </c>
      <c r="DB196" s="4">
        <f t="shared" si="677"/>
        <v>0</v>
      </c>
      <c r="DC196" s="4" t="e">
        <f>#REF!</f>
        <v>#REF!</v>
      </c>
      <c r="DF196" s="4">
        <f t="shared" si="723"/>
        <v>2.8168411137544479E-5</v>
      </c>
      <c r="DG196" s="4" t="e">
        <f t="shared" si="724"/>
        <v>#REF!</v>
      </c>
      <c r="DH196" s="4">
        <f t="shared" si="725"/>
        <v>0.23130967389770252</v>
      </c>
      <c r="DI196" s="4" t="e">
        <f t="shared" si="726"/>
        <v>#REF!</v>
      </c>
      <c r="DJ196" s="4" t="e">
        <f t="shared" si="727"/>
        <v>#REF!</v>
      </c>
      <c r="DK196" s="4" t="e">
        <f t="shared" si="728"/>
        <v>#REF!</v>
      </c>
      <c r="DL196" s="38" t="e">
        <f t="shared" si="729"/>
        <v>#REF!</v>
      </c>
      <c r="DM196" s="4" t="e">
        <f t="shared" si="730"/>
        <v>#REF!</v>
      </c>
      <c r="DN196" s="4">
        <f t="shared" si="731"/>
        <v>2.2360679774997898</v>
      </c>
      <c r="DO196" s="4">
        <f t="shared" si="776"/>
        <v>1080.1783801349238</v>
      </c>
      <c r="DS196" s="4" t="e">
        <f t="shared" si="733"/>
        <v>#REF!</v>
      </c>
      <c r="DT196" s="4">
        <f t="shared" si="734"/>
        <v>1</v>
      </c>
      <c r="DU196" s="4">
        <f t="shared" si="735"/>
        <v>1</v>
      </c>
      <c r="DV196" s="4">
        <f t="shared" si="736"/>
        <v>1</v>
      </c>
      <c r="DX196" s="4" t="e">
        <f t="shared" si="737"/>
        <v>#REF!</v>
      </c>
      <c r="DY196" s="25">
        <f t="shared" ref="DY196:DY215" si="814">26.5*H196*E196^0.5*F196^0.5/L196/G196^2*(0.7+I196/5/E196)</f>
        <v>1044.3162458944753</v>
      </c>
      <c r="EB196" s="4" t="e">
        <f t="shared" si="739"/>
        <v>#REF!</v>
      </c>
      <c r="EE196" s="4">
        <f t="shared" si="740"/>
        <v>49.640709100495329</v>
      </c>
      <c r="EF196" s="4">
        <f t="shared" si="741"/>
        <v>2.2360679774997898</v>
      </c>
      <c r="EG196" s="4">
        <f t="shared" si="742"/>
        <v>0.18993383393437457</v>
      </c>
      <c r="EJ196" s="4">
        <f t="shared" ref="EJ196:EJ215" si="815">EG196</f>
        <v>0.18993383393437457</v>
      </c>
      <c r="EK196" s="4">
        <f t="shared" si="744"/>
        <v>0.23092366116223015</v>
      </c>
      <c r="EL196" s="4" t="e">
        <f t="shared" si="679"/>
        <v>#REF!</v>
      </c>
      <c r="EM196" s="4" t="e">
        <f t="shared" ref="EM196:EM215" si="816">EB196/1.4*(1-EK196^1.4)/(1-EK196)</f>
        <v>#REF!</v>
      </c>
      <c r="EN196" s="4" t="e">
        <f t="shared" si="673"/>
        <v>#REF!</v>
      </c>
      <c r="EO196" s="4" t="e">
        <f t="shared" si="674"/>
        <v>#REF!</v>
      </c>
      <c r="EP196" s="4" t="e">
        <f t="shared" si="749"/>
        <v>#REF!</v>
      </c>
      <c r="EQ196" s="4" t="e">
        <f t="shared" ref="EQ196:EQ215" si="817">MAX(0.5*EB196, (1-2*EP196*(EE196*EL196+EN196*EM196))/(1/EB196+EP196*EO196))</f>
        <v>#REF!</v>
      </c>
      <c r="ER196" s="4" t="e">
        <f t="shared" si="751"/>
        <v>#REF!</v>
      </c>
      <c r="FA196" s="23" t="e">
        <f t="shared" ref="FA196:FA215" si="818">IF(CG196&lt;0.6,0.6,IF(CG196&lt;0.8,0.8,IF(CG196&lt;1,1,IF(CG196&lt;1.2,1.2,IF(CG196&lt;1.4,1.4,IF(CG196&lt;1.6,1.6,IF(CG196&lt;1.8,1.8,IF(CG196&lt;2,2,2.2))))))))</f>
        <v>#REF!</v>
      </c>
      <c r="FB196" s="23" t="e">
        <f t="shared" ref="FB196:FB215" si="819">IF(CH196&lt;0.6,0.6,IF(CH196&lt;0.8,0.8,IF(CH196&lt;1,1,IF(CH196&lt;1.2,1.2,IF(CH196&lt;1.4,1.4,IF(CH196&lt;1.6,1.6,IF(CH196&lt;1.8,1.8,IF(CH196&lt;2,2,2.2))))))))</f>
        <v>#REF!</v>
      </c>
      <c r="FC196" s="23">
        <f t="shared" si="754"/>
        <v>2.2000000000000002</v>
      </c>
      <c r="FD196" s="23" t="e">
        <f t="shared" ref="FD196:FD215" si="820">IF(CJ196&lt;0.6,0.6,IF(CJ196&lt;0.8,0.8,IF(CJ196&lt;1,1,IF(CJ196&lt;1.2,1.2,IF(CJ196&lt;1.4,1.4,IF(CJ196&lt;1.6,1.6,IF(CJ196&lt;1.8,1.8,IF(CJ196&lt;2,2,2.2))))))))</f>
        <v>#REF!</v>
      </c>
      <c r="FE196" s="23" t="e">
        <f t="shared" ref="FE196:FE215" si="821">IF(CK196&lt;0.6,0.6,IF(CK196&lt;0.8,0.8,IF(CK196&lt;1,1,IF(CK196&lt;1.2,1.2,IF(CK196&lt;1.4,1.4,IF(CK196&lt;1.6,1.6,IF(CK196&lt;1.8,1.8,IF(CK196&lt;2,2,2.2))))))))</f>
        <v>#REF!</v>
      </c>
      <c r="FF196" s="23" t="e">
        <f t="shared" ref="FF196:FF215" si="822">IF(CL196&lt;0.6,0.6,IF(CL196&lt;0.8,0.8,IF(CL196&lt;1,1,IF(CL196&lt;1.2,1.2,IF(CL196&lt;1.4,1.4,IF(CL196&lt;1.6,1.6,IF(CL196&lt;1.8,1.8,IF(CL196&lt;2,2,2.2))))))))</f>
        <v>#REF!</v>
      </c>
      <c r="FG196" s="23" t="e">
        <f t="shared" ref="FG196:FG215" si="823">IF(FE196&lt;1,1,0)</f>
        <v>#REF!</v>
      </c>
      <c r="FH196" s="23"/>
      <c r="FR196" s="4">
        <f t="shared" si="607"/>
        <v>1.25</v>
      </c>
      <c r="FS196" s="4">
        <f t="shared" si="608"/>
        <v>0.5</v>
      </c>
      <c r="FT196" s="4">
        <f t="shared" si="609"/>
        <v>0</v>
      </c>
      <c r="FU196" s="4">
        <f t="shared" si="610"/>
        <v>264.52683652330421</v>
      </c>
    </row>
    <row r="197" spans="1:177" ht="12" customHeight="1" x14ac:dyDescent="0.3">
      <c r="B197" s="24" t="s">
        <v>309</v>
      </c>
      <c r="C197" s="4" t="s">
        <v>311</v>
      </c>
      <c r="D197" s="7">
        <v>661</v>
      </c>
      <c r="E197" s="7">
        <f t="shared" ref="E197:E213" si="824">4*G197</f>
        <v>88.8</v>
      </c>
      <c r="F197" s="7">
        <v>225.5</v>
      </c>
      <c r="G197" s="7">
        <v>22.2</v>
      </c>
      <c r="H197" s="7">
        <v>366</v>
      </c>
      <c r="I197" s="7">
        <f t="shared" si="797"/>
        <v>22.2</v>
      </c>
      <c r="J197" s="7" t="e">
        <f>118-#REF!</f>
        <v>#REF!</v>
      </c>
      <c r="K197" s="7">
        <f t="shared" si="798"/>
        <v>277.20000000000005</v>
      </c>
      <c r="L197" s="7">
        <v>2</v>
      </c>
      <c r="M197" s="7">
        <f t="shared" si="799"/>
        <v>59.199999999999996</v>
      </c>
      <c r="N197" s="7">
        <f t="shared" si="684"/>
        <v>1.5</v>
      </c>
      <c r="O197" s="7">
        <f t="shared" si="685"/>
        <v>1.5</v>
      </c>
      <c r="P197" s="7">
        <f t="shared" si="676"/>
        <v>4</v>
      </c>
      <c r="Q197" s="7">
        <f t="shared" si="676"/>
        <v>4</v>
      </c>
      <c r="R197" s="7">
        <f t="shared" si="686"/>
        <v>5</v>
      </c>
      <c r="S197" s="7">
        <f t="shared" si="687"/>
        <v>49.640709100495329</v>
      </c>
      <c r="T197" s="7">
        <f t="shared" si="688"/>
        <v>661</v>
      </c>
      <c r="U197" s="7">
        <v>8</v>
      </c>
      <c r="V197" s="7">
        <f>(847+826)/2</f>
        <v>836.5</v>
      </c>
      <c r="W197" s="7"/>
      <c r="X197" s="4" t="e">
        <f t="shared" si="689"/>
        <v>#REF!</v>
      </c>
      <c r="Y197" s="7"/>
      <c r="Z197" s="7"/>
      <c r="AA197" s="7">
        <v>1</v>
      </c>
      <c r="AB197" s="7"/>
      <c r="AC197" s="7"/>
      <c r="AD197" s="7">
        <f t="shared" si="690"/>
        <v>0.88977955911823625</v>
      </c>
      <c r="AE197" s="4">
        <f t="shared" si="691"/>
        <v>88.8</v>
      </c>
      <c r="AF197" s="4">
        <f t="shared" si="692"/>
        <v>1.25</v>
      </c>
      <c r="AG197" s="4">
        <f t="shared" si="693"/>
        <v>162.318079587065</v>
      </c>
      <c r="AH197" s="4">
        <f t="shared" si="694"/>
        <v>0.77499999999999991</v>
      </c>
      <c r="AI197" s="4">
        <v>1.25</v>
      </c>
      <c r="AJ197" s="47">
        <f>AJ196</f>
        <v>5</v>
      </c>
      <c r="AK197" s="38">
        <f t="shared" si="800"/>
        <v>982.7852474998075</v>
      </c>
      <c r="AL197" s="38">
        <f t="shared" si="762"/>
        <v>982.7852474998075</v>
      </c>
      <c r="AM197" s="38">
        <f t="shared" si="695"/>
        <v>6.7681675210006302</v>
      </c>
      <c r="AN197" s="38">
        <f t="shared" si="640"/>
        <v>1080.1783801349238</v>
      </c>
      <c r="AO197" s="38">
        <f t="shared" si="548"/>
        <v>0.90983606557377028</v>
      </c>
      <c r="AP197" s="38">
        <f t="shared" si="641"/>
        <v>1.2525708946618597</v>
      </c>
      <c r="AQ197" s="4">
        <f t="shared" si="642"/>
        <v>0</v>
      </c>
      <c r="AR197" s="4" t="e">
        <f>#REF!/G197*F197^0.5/0.19</f>
        <v>#REF!</v>
      </c>
      <c r="AS197" s="4">
        <f t="shared" si="696"/>
        <v>1</v>
      </c>
      <c r="AT197" s="38">
        <f t="shared" si="697"/>
        <v>1353</v>
      </c>
      <c r="AU197" s="4">
        <f t="shared" si="698"/>
        <v>0.44000000000000006</v>
      </c>
      <c r="AV197" s="4" t="e">
        <f>AU197*D197*#REF!/(D197*G197/2.75/F197^0.5)</f>
        <v>#REF!</v>
      </c>
      <c r="AW197" s="4" t="e">
        <f t="shared" si="801"/>
        <v>#REF!</v>
      </c>
      <c r="AY197" s="4">
        <f t="shared" si="700"/>
        <v>1</v>
      </c>
      <c r="AZ197" s="4" t="e">
        <f>(3*#REF!+30)*AY197*F197^0.5</f>
        <v>#REF!</v>
      </c>
      <c r="BB197" s="4">
        <f t="shared" si="701"/>
        <v>1297.6924611181944</v>
      </c>
      <c r="BC197" s="4">
        <f t="shared" si="702"/>
        <v>3606.2915864545262</v>
      </c>
      <c r="BD197" s="4">
        <f t="shared" si="672"/>
        <v>2.779003265031732</v>
      </c>
      <c r="BL197" s="4">
        <f t="shared" si="704"/>
        <v>22.2</v>
      </c>
      <c r="BP197" s="9"/>
      <c r="BR197" s="9"/>
      <c r="BS197" s="9"/>
      <c r="BT197" s="9" t="e">
        <f t="shared" si="705"/>
        <v>#REF!</v>
      </c>
      <c r="BU197" s="9">
        <f t="shared" si="706"/>
        <v>138.60000000000002</v>
      </c>
      <c r="BV197" s="9" t="e">
        <f t="shared" si="707"/>
        <v>#REF!</v>
      </c>
      <c r="BW197" s="9">
        <v>0</v>
      </c>
      <c r="BX197" s="9">
        <f t="shared" si="708"/>
        <v>0</v>
      </c>
      <c r="BY197" s="9">
        <f t="shared" si="802"/>
        <v>0</v>
      </c>
      <c r="BZ197" s="9">
        <f t="shared" si="710"/>
        <v>1</v>
      </c>
      <c r="CA197" s="9">
        <f t="shared" si="711"/>
        <v>0.78899999999999992</v>
      </c>
      <c r="CB197" s="9">
        <f t="shared" si="712"/>
        <v>4.1468499458926642</v>
      </c>
      <c r="CC197" s="9" t="e">
        <f t="shared" si="713"/>
        <v>#REF!</v>
      </c>
      <c r="CD197" s="9">
        <v>1</v>
      </c>
      <c r="CE197" s="9" t="e">
        <f>4*CC197*#REF!+60*CC197</f>
        <v>#REF!</v>
      </c>
      <c r="CG197" s="4" t="e">
        <f t="shared" si="803"/>
        <v>#REF!</v>
      </c>
      <c r="CH197" s="4" t="e">
        <f t="shared" si="804"/>
        <v>#REF!</v>
      </c>
      <c r="CI197" s="4" t="e">
        <f t="shared" si="805"/>
        <v>#REF!</v>
      </c>
      <c r="CJ197" s="4" t="e">
        <f t="shared" si="806"/>
        <v>#REF!</v>
      </c>
      <c r="CK197" s="44" t="e">
        <f t="shared" si="807"/>
        <v>#REF!</v>
      </c>
      <c r="CL197" s="4" t="e">
        <f t="shared" si="808"/>
        <v>#REF!</v>
      </c>
      <c r="CM197" s="4">
        <f t="shared" si="720"/>
        <v>3.1622500423555562</v>
      </c>
      <c r="CO197" s="4" t="e">
        <f t="shared" si="809"/>
        <v>#REF!</v>
      </c>
      <c r="CP197" s="4" t="e">
        <f t="shared" si="810"/>
        <v>#REF!</v>
      </c>
      <c r="CQ197" s="4" t="e">
        <f t="shared" si="811"/>
        <v>#REF!</v>
      </c>
      <c r="CR197" s="4">
        <f t="shared" si="795"/>
        <v>3.1622500423555562</v>
      </c>
      <c r="CS197" s="4" t="e">
        <f t="shared" si="812"/>
        <v>#REF!</v>
      </c>
      <c r="CT197" s="4" t="e">
        <f t="shared" si="813"/>
        <v>#REF!</v>
      </c>
      <c r="DB197" s="4">
        <f t="shared" si="677"/>
        <v>0</v>
      </c>
      <c r="DC197" s="4" t="e">
        <f>#REF!</f>
        <v>#REF!</v>
      </c>
      <c r="DF197" s="4">
        <f t="shared" si="723"/>
        <v>2.8168411137544479E-5</v>
      </c>
      <c r="DG197" s="4" t="e">
        <f t="shared" si="724"/>
        <v>#REF!</v>
      </c>
      <c r="DH197" s="4">
        <f t="shared" si="725"/>
        <v>0.23130967389770252</v>
      </c>
      <c r="DI197" s="4" t="e">
        <f t="shared" si="726"/>
        <v>#REF!</v>
      </c>
      <c r="DJ197" s="4" t="e">
        <f t="shared" si="727"/>
        <v>#REF!</v>
      </c>
      <c r="DK197" s="4" t="e">
        <f t="shared" si="728"/>
        <v>#REF!</v>
      </c>
      <c r="DL197" s="38" t="e">
        <f t="shared" si="729"/>
        <v>#REF!</v>
      </c>
      <c r="DM197" s="4" t="e">
        <f t="shared" si="730"/>
        <v>#REF!</v>
      </c>
      <c r="DN197" s="4">
        <f t="shared" si="731"/>
        <v>2.2360679774997898</v>
      </c>
      <c r="DO197" s="4">
        <f t="shared" si="776"/>
        <v>1080.1783801349238</v>
      </c>
      <c r="DS197" s="4" t="e">
        <f t="shared" si="733"/>
        <v>#REF!</v>
      </c>
      <c r="DT197" s="4">
        <f t="shared" si="734"/>
        <v>1</v>
      </c>
      <c r="DU197" s="4">
        <f t="shared" si="735"/>
        <v>1</v>
      </c>
      <c r="DV197" s="4">
        <f t="shared" si="736"/>
        <v>1</v>
      </c>
      <c r="DX197" s="4" t="e">
        <f t="shared" si="737"/>
        <v>#REF!</v>
      </c>
      <c r="DY197" s="25">
        <f t="shared" si="814"/>
        <v>1044.3162458944753</v>
      </c>
      <c r="EB197" s="4" t="e">
        <f t="shared" si="739"/>
        <v>#REF!</v>
      </c>
      <c r="EE197" s="4">
        <f t="shared" si="740"/>
        <v>49.640709100495329</v>
      </c>
      <c r="EF197" s="4">
        <f t="shared" si="741"/>
        <v>2.2360679774997898</v>
      </c>
      <c r="EG197" s="4">
        <f t="shared" si="742"/>
        <v>0.18993383393437457</v>
      </c>
      <c r="EJ197" s="4">
        <f t="shared" si="815"/>
        <v>0.18993383393437457</v>
      </c>
      <c r="EK197" s="4">
        <f t="shared" si="744"/>
        <v>0.23092366116223015</v>
      </c>
      <c r="EL197" s="4" t="e">
        <f t="shared" si="679"/>
        <v>#REF!</v>
      </c>
      <c r="EM197" s="4" t="e">
        <f t="shared" si="816"/>
        <v>#REF!</v>
      </c>
      <c r="EN197" s="4" t="e">
        <f t="shared" si="673"/>
        <v>#REF!</v>
      </c>
      <c r="EO197" s="4" t="e">
        <f t="shared" si="674"/>
        <v>#REF!</v>
      </c>
      <c r="EP197" s="4" t="e">
        <f t="shared" si="749"/>
        <v>#REF!</v>
      </c>
      <c r="EQ197" s="4" t="e">
        <f t="shared" si="817"/>
        <v>#REF!</v>
      </c>
      <c r="ER197" s="4" t="e">
        <f t="shared" si="751"/>
        <v>#REF!</v>
      </c>
      <c r="FA197" s="23" t="e">
        <f t="shared" si="818"/>
        <v>#REF!</v>
      </c>
      <c r="FB197" s="23" t="e">
        <f t="shared" si="819"/>
        <v>#REF!</v>
      </c>
      <c r="FC197" s="23">
        <f t="shared" si="754"/>
        <v>2.2000000000000002</v>
      </c>
      <c r="FD197" s="23" t="e">
        <f t="shared" si="820"/>
        <v>#REF!</v>
      </c>
      <c r="FE197" s="23" t="e">
        <f t="shared" si="821"/>
        <v>#REF!</v>
      </c>
      <c r="FF197" s="23" t="e">
        <f t="shared" si="822"/>
        <v>#REF!</v>
      </c>
      <c r="FG197" s="23" t="e">
        <f t="shared" si="823"/>
        <v>#REF!</v>
      </c>
      <c r="FH197" s="23"/>
      <c r="FR197" s="4">
        <f t="shared" si="607"/>
        <v>1.25</v>
      </c>
      <c r="FS197" s="4">
        <f t="shared" si="608"/>
        <v>0.5</v>
      </c>
      <c r="FT197" s="4">
        <f t="shared" si="609"/>
        <v>0</v>
      </c>
      <c r="FU197" s="4">
        <f t="shared" si="610"/>
        <v>264.52683652330421</v>
      </c>
    </row>
    <row r="198" spans="1:177" ht="12" customHeight="1" x14ac:dyDescent="0.3">
      <c r="B198" s="24" t="s">
        <v>657</v>
      </c>
      <c r="C198" s="4" t="s">
        <v>312</v>
      </c>
      <c r="D198" s="7">
        <v>667</v>
      </c>
      <c r="E198" s="7">
        <f t="shared" si="824"/>
        <v>88.8</v>
      </c>
      <c r="F198" s="7">
        <v>225.5</v>
      </c>
      <c r="G198" s="7">
        <v>22.2</v>
      </c>
      <c r="H198" s="7">
        <v>396</v>
      </c>
      <c r="I198" s="7">
        <f t="shared" si="797"/>
        <v>22.2</v>
      </c>
      <c r="J198" s="7" t="e">
        <f>171-#REF!</f>
        <v>#REF!</v>
      </c>
      <c r="K198" s="7">
        <f t="shared" si="798"/>
        <v>307.20000000000005</v>
      </c>
      <c r="L198" s="7">
        <v>2</v>
      </c>
      <c r="M198" s="7">
        <f t="shared" si="799"/>
        <v>59.199999999999996</v>
      </c>
      <c r="N198" s="7">
        <f t="shared" si="684"/>
        <v>1.5</v>
      </c>
      <c r="O198" s="7">
        <f t="shared" si="685"/>
        <v>1.5</v>
      </c>
      <c r="P198" s="7">
        <f t="shared" si="676"/>
        <v>4</v>
      </c>
      <c r="Q198" s="7">
        <f t="shared" si="676"/>
        <v>4</v>
      </c>
      <c r="R198" s="7">
        <f t="shared" si="686"/>
        <v>5</v>
      </c>
      <c r="S198" s="7">
        <f t="shared" si="687"/>
        <v>49.640709100495329</v>
      </c>
      <c r="T198" s="7">
        <f t="shared" si="688"/>
        <v>667</v>
      </c>
      <c r="U198" s="7">
        <v>11</v>
      </c>
      <c r="V198" s="7">
        <f>(728+642)/2</f>
        <v>685</v>
      </c>
      <c r="W198" s="7"/>
      <c r="X198" s="4" t="e">
        <f t="shared" si="689"/>
        <v>#REF!</v>
      </c>
      <c r="Y198" s="7"/>
      <c r="Z198" s="7"/>
      <c r="AA198" s="7">
        <v>1</v>
      </c>
      <c r="AB198" s="7"/>
      <c r="AC198" s="7"/>
      <c r="AD198" s="7">
        <f t="shared" si="690"/>
        <v>0.808743169398907</v>
      </c>
      <c r="AE198" s="4">
        <f t="shared" si="691"/>
        <v>88.8</v>
      </c>
      <c r="AF198" s="4">
        <f t="shared" si="692"/>
        <v>1.25</v>
      </c>
      <c r="AG198" s="4">
        <f t="shared" si="693"/>
        <v>162.318079587065</v>
      </c>
      <c r="AH198" s="4">
        <f t="shared" si="694"/>
        <v>0.77499999999999991</v>
      </c>
      <c r="AI198" s="4">
        <v>1.25</v>
      </c>
      <c r="AJ198" s="47">
        <f t="shared" ref="AJ198:AJ215" si="825">AJ197</f>
        <v>5</v>
      </c>
      <c r="AK198" s="38">
        <f t="shared" si="800"/>
        <v>982.7852474998075</v>
      </c>
      <c r="AL198" s="38">
        <f t="shared" si="762"/>
        <v>982.7852474998075</v>
      </c>
      <c r="AM198" s="38">
        <f t="shared" si="695"/>
        <v>6.7681675210006302</v>
      </c>
      <c r="AN198" s="38">
        <f t="shared" si="640"/>
        <v>1168.717591621393</v>
      </c>
      <c r="AO198" s="38">
        <f t="shared" si="548"/>
        <v>0.84090909090909072</v>
      </c>
      <c r="AP198" s="38">
        <f t="shared" si="641"/>
        <v>1.1576791602177794</v>
      </c>
      <c r="AQ198" s="4">
        <f t="shared" si="642"/>
        <v>0</v>
      </c>
      <c r="AR198" s="4" t="e">
        <f>#REF!/G198*F198^0.5/0.19</f>
        <v>#REF!</v>
      </c>
      <c r="AS198" s="4">
        <f t="shared" si="696"/>
        <v>1</v>
      </c>
      <c r="AT198" s="38">
        <f t="shared" si="697"/>
        <v>1353</v>
      </c>
      <c r="AU198" s="4">
        <f t="shared" si="698"/>
        <v>0.44000000000000006</v>
      </c>
      <c r="AV198" s="4" t="e">
        <f>AU198*D198*#REF!/(D198*G198/2.75/F198^0.5)</f>
        <v>#REF!</v>
      </c>
      <c r="AW198" s="4" t="e">
        <f t="shared" si="801"/>
        <v>#REF!</v>
      </c>
      <c r="AY198" s="4">
        <f t="shared" si="700"/>
        <v>1</v>
      </c>
      <c r="AZ198" s="4" t="e">
        <f>(3*#REF!+30)*AY198*F198^0.5</f>
        <v>#REF!</v>
      </c>
      <c r="BB198" s="4">
        <f t="shared" si="701"/>
        <v>1297.6924611181944</v>
      </c>
      <c r="BC198" s="4">
        <f t="shared" si="702"/>
        <v>6880.0343955178114</v>
      </c>
      <c r="BD198" s="4">
        <f t="shared" si="672"/>
        <v>5.3017449061770998</v>
      </c>
      <c r="BL198" s="4">
        <f t="shared" si="704"/>
        <v>22.2</v>
      </c>
      <c r="BP198" s="9"/>
      <c r="BR198" s="9"/>
      <c r="BS198" s="9"/>
      <c r="BT198" s="9" t="e">
        <f t="shared" si="705"/>
        <v>#REF!</v>
      </c>
      <c r="BU198" s="9">
        <f t="shared" si="706"/>
        <v>153.60000000000002</v>
      </c>
      <c r="BV198" s="9" t="e">
        <f t="shared" si="707"/>
        <v>#REF!</v>
      </c>
      <c r="BW198" s="9">
        <v>0</v>
      </c>
      <c r="BX198" s="9">
        <f t="shared" si="708"/>
        <v>0</v>
      </c>
      <c r="BY198" s="9">
        <f t="shared" si="802"/>
        <v>0</v>
      </c>
      <c r="BZ198" s="9">
        <f t="shared" si="710"/>
        <v>1</v>
      </c>
      <c r="CA198" s="9">
        <f t="shared" si="711"/>
        <v>0.78299999999999992</v>
      </c>
      <c r="CB198" s="9">
        <f t="shared" si="712"/>
        <v>4.1153149653155339</v>
      </c>
      <c r="CC198" s="9" t="e">
        <f t="shared" si="713"/>
        <v>#REF!</v>
      </c>
      <c r="CD198" s="9">
        <v>1</v>
      </c>
      <c r="CE198" s="9" t="e">
        <f>4*CC198*#REF!+60*CC198</f>
        <v>#REF!</v>
      </c>
      <c r="CG198" s="4" t="e">
        <f t="shared" si="803"/>
        <v>#REF!</v>
      </c>
      <c r="CH198" s="4" t="e">
        <f t="shared" si="804"/>
        <v>#REF!</v>
      </c>
      <c r="CI198" s="4" t="e">
        <f t="shared" si="805"/>
        <v>#REF!</v>
      </c>
      <c r="CJ198" s="4" t="e">
        <f t="shared" si="806"/>
        <v>#REF!</v>
      </c>
      <c r="CK198" s="44" t="e">
        <f t="shared" si="807"/>
        <v>#REF!</v>
      </c>
      <c r="CL198" s="4" t="e">
        <f t="shared" si="808"/>
        <v>#REF!</v>
      </c>
      <c r="CM198" s="4">
        <f t="shared" si="720"/>
        <v>2.5895293233873948</v>
      </c>
      <c r="CO198" s="4" t="e">
        <f t="shared" si="809"/>
        <v>#REF!</v>
      </c>
      <c r="CP198" s="4" t="e">
        <f t="shared" si="810"/>
        <v>#REF!</v>
      </c>
      <c r="CQ198" s="4" t="e">
        <f t="shared" si="811"/>
        <v>#REF!</v>
      </c>
      <c r="CR198" s="4">
        <f t="shared" si="795"/>
        <v>2.5895293233873948</v>
      </c>
      <c r="CS198" s="4" t="e">
        <f t="shared" si="812"/>
        <v>#REF!</v>
      </c>
      <c r="CT198" s="4" t="e">
        <f t="shared" si="813"/>
        <v>#REF!</v>
      </c>
      <c r="DB198" s="4">
        <f t="shared" si="677"/>
        <v>0</v>
      </c>
      <c r="DC198" s="4" t="e">
        <f>#REF!</f>
        <v>#REF!</v>
      </c>
      <c r="DF198" s="4">
        <f t="shared" si="723"/>
        <v>2.8168411137544479E-5</v>
      </c>
      <c r="DG198" s="4" t="e">
        <f t="shared" si="724"/>
        <v>#REF!</v>
      </c>
      <c r="DH198" s="4">
        <f t="shared" si="725"/>
        <v>0.25026948323357978</v>
      </c>
      <c r="DI198" s="4" t="e">
        <f t="shared" si="726"/>
        <v>#REF!</v>
      </c>
      <c r="DJ198" s="4" t="e">
        <f t="shared" si="727"/>
        <v>#REF!</v>
      </c>
      <c r="DK198" s="4" t="e">
        <f t="shared" si="728"/>
        <v>#REF!</v>
      </c>
      <c r="DL198" s="38" t="e">
        <f t="shared" si="729"/>
        <v>#REF!</v>
      </c>
      <c r="DM198" s="4" t="e">
        <f t="shared" si="730"/>
        <v>#REF!</v>
      </c>
      <c r="DN198" s="4">
        <f t="shared" si="731"/>
        <v>2.2360679774997898</v>
      </c>
      <c r="DO198" s="4">
        <f t="shared" si="776"/>
        <v>1168.717591621393</v>
      </c>
      <c r="DS198" s="4" t="e">
        <f t="shared" si="733"/>
        <v>#REF!</v>
      </c>
      <c r="DT198" s="4">
        <f t="shared" si="734"/>
        <v>1</v>
      </c>
      <c r="DU198" s="4">
        <f t="shared" si="735"/>
        <v>1</v>
      </c>
      <c r="DV198" s="4">
        <f t="shared" si="736"/>
        <v>1</v>
      </c>
      <c r="DX198" s="4" t="e">
        <f t="shared" si="737"/>
        <v>#REF!</v>
      </c>
      <c r="DY198" s="25">
        <f t="shared" si="814"/>
        <v>1129.9159381809077</v>
      </c>
      <c r="EB198" s="4" t="e">
        <f t="shared" si="739"/>
        <v>#REF!</v>
      </c>
      <c r="EE198" s="4">
        <f t="shared" si="740"/>
        <v>49.640709100495329</v>
      </c>
      <c r="EF198" s="4">
        <f t="shared" si="741"/>
        <v>2.2360679774997898</v>
      </c>
      <c r="EG198" s="4">
        <f t="shared" si="742"/>
        <v>0.20550218097817574</v>
      </c>
      <c r="EJ198" s="4">
        <f t="shared" si="815"/>
        <v>0.20550218097817574</v>
      </c>
      <c r="EK198" s="4">
        <f t="shared" si="744"/>
        <v>0.2498518301099539</v>
      </c>
      <c r="EL198" s="4" t="e">
        <f t="shared" si="679"/>
        <v>#REF!</v>
      </c>
      <c r="EM198" s="4" t="e">
        <f t="shared" si="816"/>
        <v>#REF!</v>
      </c>
      <c r="EN198" s="4" t="e">
        <f t="shared" si="673"/>
        <v>#REF!</v>
      </c>
      <c r="EO198" s="4" t="e">
        <f t="shared" si="674"/>
        <v>#REF!</v>
      </c>
      <c r="EP198" s="4" t="e">
        <f t="shared" si="749"/>
        <v>#REF!</v>
      </c>
      <c r="EQ198" s="4" t="e">
        <f t="shared" si="817"/>
        <v>#REF!</v>
      </c>
      <c r="ER198" s="4" t="e">
        <f t="shared" si="751"/>
        <v>#REF!</v>
      </c>
      <c r="FA198" s="23" t="e">
        <f t="shared" si="818"/>
        <v>#REF!</v>
      </c>
      <c r="FB198" s="23" t="e">
        <f t="shared" si="819"/>
        <v>#REF!</v>
      </c>
      <c r="FC198" s="23">
        <f t="shared" si="754"/>
        <v>2.2000000000000002</v>
      </c>
      <c r="FD198" s="23" t="e">
        <f t="shared" si="820"/>
        <v>#REF!</v>
      </c>
      <c r="FE198" s="23" t="e">
        <f t="shared" si="821"/>
        <v>#REF!</v>
      </c>
      <c r="FF198" s="23" t="e">
        <f t="shared" si="822"/>
        <v>#REF!</v>
      </c>
      <c r="FG198" s="23" t="e">
        <f t="shared" si="823"/>
        <v>#REF!</v>
      </c>
      <c r="FH198" s="23"/>
      <c r="FR198" s="4">
        <f t="shared" si="607"/>
        <v>1.25</v>
      </c>
      <c r="FS198" s="4">
        <f t="shared" si="608"/>
        <v>0.5</v>
      </c>
      <c r="FT198" s="4">
        <f t="shared" si="609"/>
        <v>0</v>
      </c>
      <c r="FU198" s="4">
        <f t="shared" si="610"/>
        <v>264.52683652330421</v>
      </c>
    </row>
    <row r="199" spans="1:177" ht="12" customHeight="1" x14ac:dyDescent="0.3">
      <c r="B199" s="24"/>
      <c r="C199" s="4" t="s">
        <v>313</v>
      </c>
      <c r="D199" s="7">
        <v>667</v>
      </c>
      <c r="E199" s="7">
        <f t="shared" si="824"/>
        <v>88.8</v>
      </c>
      <c r="F199" s="7">
        <v>225.5</v>
      </c>
      <c r="G199" s="7">
        <v>22.2</v>
      </c>
      <c r="H199" s="7">
        <v>396</v>
      </c>
      <c r="I199" s="7">
        <f t="shared" si="797"/>
        <v>22.2</v>
      </c>
      <c r="J199" s="7" t="e">
        <f>171-#REF!</f>
        <v>#REF!</v>
      </c>
      <c r="K199" s="7">
        <f t="shared" si="798"/>
        <v>307.20000000000005</v>
      </c>
      <c r="L199" s="7">
        <v>2</v>
      </c>
      <c r="M199" s="7">
        <f t="shared" si="799"/>
        <v>59.199999999999996</v>
      </c>
      <c r="N199" s="7">
        <f t="shared" si="684"/>
        <v>1.5</v>
      </c>
      <c r="O199" s="7">
        <f t="shared" si="685"/>
        <v>1.5</v>
      </c>
      <c r="P199" s="7">
        <f t="shared" si="676"/>
        <v>4</v>
      </c>
      <c r="Q199" s="7">
        <f t="shared" si="676"/>
        <v>4</v>
      </c>
      <c r="R199" s="7">
        <f t="shared" si="686"/>
        <v>5</v>
      </c>
      <c r="S199" s="7">
        <f t="shared" si="687"/>
        <v>49.640709100495329</v>
      </c>
      <c r="T199" s="7">
        <f t="shared" si="688"/>
        <v>667</v>
      </c>
      <c r="U199" s="7">
        <v>11</v>
      </c>
      <c r="V199" s="7">
        <f>(742+707)/2</f>
        <v>724.5</v>
      </c>
      <c r="W199" s="7"/>
      <c r="X199" s="4" t="e">
        <f t="shared" si="689"/>
        <v>#REF!</v>
      </c>
      <c r="Y199" s="7"/>
      <c r="Z199" s="7"/>
      <c r="AA199" s="7">
        <v>1</v>
      </c>
      <c r="AB199" s="7"/>
      <c r="AC199" s="7"/>
      <c r="AD199" s="7">
        <f t="shared" si="690"/>
        <v>0.808743169398907</v>
      </c>
      <c r="AE199" s="4">
        <f t="shared" si="691"/>
        <v>88.8</v>
      </c>
      <c r="AF199" s="4">
        <f t="shared" si="692"/>
        <v>1.25</v>
      </c>
      <c r="AG199" s="4">
        <f t="shared" si="693"/>
        <v>162.318079587065</v>
      </c>
      <c r="AH199" s="4">
        <f t="shared" si="694"/>
        <v>0.77499999999999991</v>
      </c>
      <c r="AI199" s="4">
        <v>1.25</v>
      </c>
      <c r="AJ199" s="47">
        <f t="shared" si="825"/>
        <v>5</v>
      </c>
      <c r="AK199" s="38">
        <f t="shared" si="800"/>
        <v>982.7852474998075</v>
      </c>
      <c r="AL199" s="38">
        <f t="shared" si="762"/>
        <v>982.7852474998075</v>
      </c>
      <c r="AM199" s="38">
        <f t="shared" si="695"/>
        <v>6.7681675210006302</v>
      </c>
      <c r="AN199" s="38">
        <f t="shared" si="640"/>
        <v>1168.717591621393</v>
      </c>
      <c r="AO199" s="38">
        <f t="shared" si="548"/>
        <v>0.84090909090909072</v>
      </c>
      <c r="AP199" s="38">
        <f t="shared" si="641"/>
        <v>1.1576791602177794</v>
      </c>
      <c r="AQ199" s="4">
        <f t="shared" si="642"/>
        <v>0</v>
      </c>
      <c r="AR199" s="4" t="e">
        <f>#REF!/G199*F199^0.5/0.19</f>
        <v>#REF!</v>
      </c>
      <c r="AS199" s="4">
        <f t="shared" si="696"/>
        <v>1</v>
      </c>
      <c r="AT199" s="38">
        <f t="shared" si="697"/>
        <v>1353</v>
      </c>
      <c r="AU199" s="4">
        <f t="shared" si="698"/>
        <v>0.44000000000000006</v>
      </c>
      <c r="AV199" s="4" t="e">
        <f>AU199*D199*#REF!/(D199*G199/2.75/F199^0.5)</f>
        <v>#REF!</v>
      </c>
      <c r="AW199" s="4" t="e">
        <f t="shared" si="801"/>
        <v>#REF!</v>
      </c>
      <c r="AY199" s="4">
        <f t="shared" si="700"/>
        <v>1</v>
      </c>
      <c r="AZ199" s="4" t="e">
        <f>(3*#REF!+30)*AY199*F199^0.5</f>
        <v>#REF!</v>
      </c>
      <c r="BB199" s="4">
        <f t="shared" si="701"/>
        <v>1297.6924611181944</v>
      </c>
      <c r="BC199" s="4">
        <f t="shared" si="702"/>
        <v>6880.0343955178114</v>
      </c>
      <c r="BD199" s="4">
        <f t="shared" si="672"/>
        <v>5.3017449061770998</v>
      </c>
      <c r="BL199" s="4">
        <f t="shared" si="704"/>
        <v>22.2</v>
      </c>
      <c r="BP199" s="9"/>
      <c r="BR199" s="9"/>
      <c r="BS199" s="9"/>
      <c r="BT199" s="9" t="e">
        <f t="shared" si="705"/>
        <v>#REF!</v>
      </c>
      <c r="BU199" s="9">
        <f t="shared" si="706"/>
        <v>153.60000000000002</v>
      </c>
      <c r="BV199" s="9" t="e">
        <f t="shared" si="707"/>
        <v>#REF!</v>
      </c>
      <c r="BW199" s="9">
        <v>0</v>
      </c>
      <c r="BX199" s="9">
        <f t="shared" si="708"/>
        <v>0</v>
      </c>
      <c r="BY199" s="9">
        <f t="shared" si="802"/>
        <v>0</v>
      </c>
      <c r="BZ199" s="9">
        <f t="shared" si="710"/>
        <v>1</v>
      </c>
      <c r="CA199" s="9">
        <f t="shared" si="711"/>
        <v>0.78299999999999992</v>
      </c>
      <c r="CB199" s="9">
        <f t="shared" si="712"/>
        <v>4.1153149653155339</v>
      </c>
      <c r="CC199" s="9" t="e">
        <f t="shared" si="713"/>
        <v>#REF!</v>
      </c>
      <c r="CD199" s="9">
        <v>1</v>
      </c>
      <c r="CE199" s="9" t="e">
        <f>4*CC199*#REF!+60*CC199</f>
        <v>#REF!</v>
      </c>
      <c r="CG199" s="4" t="e">
        <f t="shared" si="803"/>
        <v>#REF!</v>
      </c>
      <c r="CH199" s="4" t="e">
        <f t="shared" si="804"/>
        <v>#REF!</v>
      </c>
      <c r="CI199" s="4" t="e">
        <f t="shared" si="805"/>
        <v>#REF!</v>
      </c>
      <c r="CJ199" s="4" t="e">
        <f t="shared" si="806"/>
        <v>#REF!</v>
      </c>
      <c r="CK199" s="44" t="e">
        <f t="shared" si="807"/>
        <v>#REF!</v>
      </c>
      <c r="CL199" s="4" t="e">
        <f t="shared" si="808"/>
        <v>#REF!</v>
      </c>
      <c r="CM199" s="4">
        <f t="shared" si="720"/>
        <v>2.7388525471447704</v>
      </c>
      <c r="CO199" s="4" t="e">
        <f t="shared" si="809"/>
        <v>#REF!</v>
      </c>
      <c r="CP199" s="4" t="e">
        <f t="shared" si="810"/>
        <v>#REF!</v>
      </c>
      <c r="CQ199" s="4" t="e">
        <f t="shared" si="811"/>
        <v>#REF!</v>
      </c>
      <c r="CR199" s="4">
        <f t="shared" si="795"/>
        <v>2.7388525471447704</v>
      </c>
      <c r="CS199" s="4" t="e">
        <f t="shared" si="812"/>
        <v>#REF!</v>
      </c>
      <c r="CT199" s="4" t="e">
        <f t="shared" si="813"/>
        <v>#REF!</v>
      </c>
      <c r="DB199" s="4">
        <f t="shared" si="677"/>
        <v>0</v>
      </c>
      <c r="DC199" s="4" t="e">
        <f>#REF!</f>
        <v>#REF!</v>
      </c>
      <c r="DF199" s="4">
        <f t="shared" si="723"/>
        <v>2.8168411137544479E-5</v>
      </c>
      <c r="DG199" s="4" t="e">
        <f t="shared" si="724"/>
        <v>#REF!</v>
      </c>
      <c r="DH199" s="4">
        <f t="shared" si="725"/>
        <v>0.25026948323357978</v>
      </c>
      <c r="DI199" s="4" t="e">
        <f t="shared" si="726"/>
        <v>#REF!</v>
      </c>
      <c r="DJ199" s="4" t="e">
        <f t="shared" si="727"/>
        <v>#REF!</v>
      </c>
      <c r="DK199" s="4" t="e">
        <f t="shared" si="728"/>
        <v>#REF!</v>
      </c>
      <c r="DL199" s="38" t="e">
        <f t="shared" si="729"/>
        <v>#REF!</v>
      </c>
      <c r="DM199" s="4" t="e">
        <f t="shared" si="730"/>
        <v>#REF!</v>
      </c>
      <c r="DN199" s="4">
        <f t="shared" si="731"/>
        <v>2.2360679774997898</v>
      </c>
      <c r="DO199" s="4">
        <f t="shared" si="776"/>
        <v>1168.717591621393</v>
      </c>
      <c r="DS199" s="4" t="e">
        <f t="shared" si="733"/>
        <v>#REF!</v>
      </c>
      <c r="DT199" s="4">
        <f t="shared" si="734"/>
        <v>1</v>
      </c>
      <c r="DU199" s="4">
        <f t="shared" si="735"/>
        <v>1</v>
      </c>
      <c r="DV199" s="4">
        <f t="shared" si="736"/>
        <v>1</v>
      </c>
      <c r="DX199" s="4" t="e">
        <f t="shared" si="737"/>
        <v>#REF!</v>
      </c>
      <c r="DY199" s="25">
        <f t="shared" si="814"/>
        <v>1129.9159381809077</v>
      </c>
      <c r="EB199" s="4" t="e">
        <f t="shared" si="739"/>
        <v>#REF!</v>
      </c>
      <c r="EE199" s="4">
        <f t="shared" si="740"/>
        <v>49.640709100495329</v>
      </c>
      <c r="EF199" s="4">
        <f t="shared" si="741"/>
        <v>2.2360679774997898</v>
      </c>
      <c r="EG199" s="4">
        <f t="shared" si="742"/>
        <v>0.20550218097817574</v>
      </c>
      <c r="EJ199" s="4">
        <f t="shared" si="815"/>
        <v>0.20550218097817574</v>
      </c>
      <c r="EK199" s="4">
        <f t="shared" si="744"/>
        <v>0.2498518301099539</v>
      </c>
      <c r="EL199" s="4" t="e">
        <f t="shared" si="679"/>
        <v>#REF!</v>
      </c>
      <c r="EM199" s="4" t="e">
        <f t="shared" si="816"/>
        <v>#REF!</v>
      </c>
      <c r="EN199" s="4" t="e">
        <f t="shared" si="673"/>
        <v>#REF!</v>
      </c>
      <c r="EO199" s="4" t="e">
        <f t="shared" si="674"/>
        <v>#REF!</v>
      </c>
      <c r="EP199" s="4" t="e">
        <f t="shared" si="749"/>
        <v>#REF!</v>
      </c>
      <c r="EQ199" s="4" t="e">
        <f t="shared" si="817"/>
        <v>#REF!</v>
      </c>
      <c r="ER199" s="4" t="e">
        <f t="shared" si="751"/>
        <v>#REF!</v>
      </c>
      <c r="FA199" s="23" t="e">
        <f t="shared" si="818"/>
        <v>#REF!</v>
      </c>
      <c r="FB199" s="23" t="e">
        <f t="shared" si="819"/>
        <v>#REF!</v>
      </c>
      <c r="FC199" s="23">
        <f t="shared" si="754"/>
        <v>2.2000000000000002</v>
      </c>
      <c r="FD199" s="23" t="e">
        <f t="shared" si="820"/>
        <v>#REF!</v>
      </c>
      <c r="FE199" s="23" t="e">
        <f t="shared" si="821"/>
        <v>#REF!</v>
      </c>
      <c r="FF199" s="23" t="e">
        <f t="shared" si="822"/>
        <v>#REF!</v>
      </c>
      <c r="FG199" s="23" t="e">
        <f t="shared" si="823"/>
        <v>#REF!</v>
      </c>
      <c r="FH199" s="23"/>
      <c r="FR199" s="4">
        <f t="shared" si="607"/>
        <v>1.25</v>
      </c>
      <c r="FS199" s="4">
        <f t="shared" si="608"/>
        <v>0.5</v>
      </c>
      <c r="FT199" s="4">
        <f t="shared" si="609"/>
        <v>0</v>
      </c>
      <c r="FU199" s="4">
        <f t="shared" si="610"/>
        <v>264.52683652330421</v>
      </c>
    </row>
    <row r="200" spans="1:177" ht="12" customHeight="1" x14ac:dyDescent="0.3">
      <c r="B200" s="24"/>
      <c r="C200" s="4" t="s">
        <v>153</v>
      </c>
      <c r="D200" s="7">
        <v>679</v>
      </c>
      <c r="E200" s="7">
        <f t="shared" si="824"/>
        <v>88.8</v>
      </c>
      <c r="F200" s="7">
        <v>129.9</v>
      </c>
      <c r="G200" s="7">
        <v>22.2</v>
      </c>
      <c r="H200" s="7">
        <v>366</v>
      </c>
      <c r="I200" s="7">
        <f t="shared" si="797"/>
        <v>22.2</v>
      </c>
      <c r="J200" s="7" t="e">
        <f>118-#REF!</f>
        <v>#REF!</v>
      </c>
      <c r="K200" s="7">
        <f t="shared" si="798"/>
        <v>277.20000000000005</v>
      </c>
      <c r="L200" s="7">
        <v>2</v>
      </c>
      <c r="M200" s="7">
        <f t="shared" si="799"/>
        <v>59.199999999999996</v>
      </c>
      <c r="N200" s="7">
        <f t="shared" si="684"/>
        <v>1.5</v>
      </c>
      <c r="O200" s="7">
        <f t="shared" si="685"/>
        <v>1.5</v>
      </c>
      <c r="P200" s="7">
        <f t="shared" si="676"/>
        <v>4</v>
      </c>
      <c r="Q200" s="7">
        <f t="shared" si="676"/>
        <v>4</v>
      </c>
      <c r="R200" s="7">
        <f t="shared" si="686"/>
        <v>5</v>
      </c>
      <c r="S200" s="7">
        <f t="shared" si="687"/>
        <v>49.640709100495329</v>
      </c>
      <c r="T200" s="7">
        <f t="shared" si="688"/>
        <v>679</v>
      </c>
      <c r="U200" s="7">
        <v>8</v>
      </c>
      <c r="V200" s="7">
        <f>(678+662)/2</f>
        <v>670</v>
      </c>
      <c r="W200" s="7"/>
      <c r="X200" s="4" t="e">
        <f t="shared" si="689"/>
        <v>#REF!</v>
      </c>
      <c r="Y200" s="7"/>
      <c r="Z200" s="7"/>
      <c r="AA200" s="7">
        <v>1</v>
      </c>
      <c r="AB200" s="7"/>
      <c r="AC200" s="7"/>
      <c r="AD200" s="7">
        <f t="shared" si="690"/>
        <v>0.88977955911823625</v>
      </c>
      <c r="AE200" s="4">
        <f t="shared" si="691"/>
        <v>88.8</v>
      </c>
      <c r="AF200" s="4">
        <f t="shared" si="692"/>
        <v>1.25</v>
      </c>
      <c r="AG200" s="4">
        <f t="shared" si="693"/>
        <v>123.19645135939774</v>
      </c>
      <c r="AH200" s="4">
        <f t="shared" si="694"/>
        <v>0.77499999999999991</v>
      </c>
      <c r="AI200" s="4">
        <v>1.25</v>
      </c>
      <c r="AJ200" s="47">
        <f t="shared" si="825"/>
        <v>5</v>
      </c>
      <c r="AK200" s="38">
        <f>AF200*AH200*AI200*AJ200*AG200</f>
        <v>745.91601409010343</v>
      </c>
      <c r="AL200" s="38">
        <f t="shared" si="762"/>
        <v>745.91601409010343</v>
      </c>
      <c r="AM200" s="38">
        <f t="shared" si="695"/>
        <v>5.7111767066521422</v>
      </c>
      <c r="AN200" s="38">
        <f t="shared" si="640"/>
        <v>819.83561909002367</v>
      </c>
      <c r="AO200" s="38">
        <f>AK200/AN200</f>
        <v>0.90983606557377039</v>
      </c>
      <c r="AP200" s="38">
        <f t="shared" si="641"/>
        <v>0.9506783821677508</v>
      </c>
      <c r="AQ200" s="4">
        <f t="shared" si="642"/>
        <v>1</v>
      </c>
      <c r="AR200" s="4" t="e">
        <f>#REF!/G200*F200^0.5/0.19</f>
        <v>#REF!</v>
      </c>
      <c r="AS200" s="4">
        <f t="shared" si="696"/>
        <v>1</v>
      </c>
      <c r="AT200" s="38">
        <f t="shared" si="697"/>
        <v>779.40000000000009</v>
      </c>
      <c r="AU200" s="4">
        <f t="shared" si="698"/>
        <v>0.44000000000000006</v>
      </c>
      <c r="AV200" s="4" t="e">
        <f>AU200*D200*#REF!/(D200*G200/2.75/F200^0.5)</f>
        <v>#REF!</v>
      </c>
      <c r="AW200" s="4" t="e">
        <f t="shared" si="801"/>
        <v>#REF!</v>
      </c>
      <c r="AY200" s="4">
        <f t="shared" si="700"/>
        <v>1</v>
      </c>
      <c r="AZ200" s="4" t="e">
        <f>(3*#REF!+30)*AY200*F200^0.5</f>
        <v>#REF!</v>
      </c>
      <c r="BB200" s="4">
        <f t="shared" si="701"/>
        <v>747.53991440910613</v>
      </c>
      <c r="BC200" s="4">
        <f t="shared" si="702"/>
        <v>3704.4961984911101</v>
      </c>
      <c r="BD200" s="4">
        <f t="shared" si="672"/>
        <v>4.9555831429005819</v>
      </c>
      <c r="BL200" s="4">
        <f t="shared" si="704"/>
        <v>22.2</v>
      </c>
      <c r="BP200" s="9"/>
      <c r="BR200" s="9"/>
      <c r="BS200" s="9"/>
      <c r="BT200" s="9" t="e">
        <f t="shared" si="705"/>
        <v>#REF!</v>
      </c>
      <c r="BU200" s="9">
        <f t="shared" si="706"/>
        <v>138.60000000000002</v>
      </c>
      <c r="BV200" s="9" t="e">
        <f t="shared" si="707"/>
        <v>#REF!</v>
      </c>
      <c r="BW200" s="9">
        <v>0</v>
      </c>
      <c r="BX200" s="9">
        <f t="shared" si="708"/>
        <v>0</v>
      </c>
      <c r="BY200" s="9">
        <f t="shared" si="802"/>
        <v>0</v>
      </c>
      <c r="BZ200" s="9">
        <f t="shared" si="710"/>
        <v>1</v>
      </c>
      <c r="CA200" s="9">
        <f t="shared" si="711"/>
        <v>0.77100000000000002</v>
      </c>
      <c r="CB200" s="9">
        <f t="shared" si="712"/>
        <v>3.0755797864386483</v>
      </c>
      <c r="CC200" s="9" t="e">
        <f t="shared" si="713"/>
        <v>#REF!</v>
      </c>
      <c r="CD200" s="9">
        <v>1</v>
      </c>
      <c r="CE200" s="9" t="e">
        <f>4*CC200*#REF!+60*CC200</f>
        <v>#REF!</v>
      </c>
      <c r="CG200" s="4" t="e">
        <f t="shared" si="803"/>
        <v>#REF!</v>
      </c>
      <c r="CH200" s="4" t="e">
        <f t="shared" si="804"/>
        <v>#REF!</v>
      </c>
      <c r="CI200" s="4" t="e">
        <f t="shared" si="805"/>
        <v>#REF!</v>
      </c>
      <c r="CJ200" s="4" t="e">
        <f t="shared" si="806"/>
        <v>#REF!</v>
      </c>
      <c r="CK200" s="44" t="e">
        <f t="shared" si="807"/>
        <v>#REF!</v>
      </c>
      <c r="CL200" s="4" t="e">
        <f t="shared" si="808"/>
        <v>#REF!</v>
      </c>
      <c r="CM200" s="4">
        <f t="shared" si="720"/>
        <v>2.9072970877236819</v>
      </c>
      <c r="CO200" s="4" t="e">
        <f t="shared" si="809"/>
        <v>#REF!</v>
      </c>
      <c r="CP200" s="4" t="e">
        <f t="shared" si="810"/>
        <v>#REF!</v>
      </c>
      <c r="CQ200" s="4" t="e">
        <f t="shared" si="811"/>
        <v>#REF!</v>
      </c>
      <c r="CR200" s="4">
        <f t="shared" si="795"/>
        <v>2.9072970877236819</v>
      </c>
      <c r="CS200" s="4" t="e">
        <f t="shared" si="812"/>
        <v>#REF!</v>
      </c>
      <c r="CT200" s="4" t="e">
        <f t="shared" si="813"/>
        <v>#REF!</v>
      </c>
      <c r="DB200" s="4">
        <f t="shared" si="677"/>
        <v>0</v>
      </c>
      <c r="DC200" s="4" t="e">
        <f>#REF!</f>
        <v>#REF!</v>
      </c>
      <c r="DF200" s="4">
        <f t="shared" si="723"/>
        <v>1.3307058507295954E-5</v>
      </c>
      <c r="DG200" s="4" t="e">
        <f t="shared" si="724"/>
        <v>#REF!</v>
      </c>
      <c r="DH200" s="4">
        <f t="shared" si="725"/>
        <v>0.30476317818160303</v>
      </c>
      <c r="DI200" s="4" t="e">
        <f t="shared" si="726"/>
        <v>#REF!</v>
      </c>
      <c r="DJ200" s="4" t="e">
        <f t="shared" si="727"/>
        <v>#REF!</v>
      </c>
      <c r="DK200" s="4" t="e">
        <f t="shared" si="728"/>
        <v>#REF!</v>
      </c>
      <c r="DL200" s="38" t="e">
        <f t="shared" si="729"/>
        <v>#REF!</v>
      </c>
      <c r="DM200" s="4" t="e">
        <f t="shared" si="730"/>
        <v>#REF!</v>
      </c>
      <c r="DN200" s="4">
        <f t="shared" si="731"/>
        <v>2.2360679774997898</v>
      </c>
      <c r="DO200" s="4">
        <f t="shared" si="776"/>
        <v>819.83561909002367</v>
      </c>
      <c r="DS200" s="4" t="e">
        <f t="shared" si="733"/>
        <v>#REF!</v>
      </c>
      <c r="DT200" s="4">
        <f t="shared" si="734"/>
        <v>1</v>
      </c>
      <c r="DU200" s="4">
        <f t="shared" si="735"/>
        <v>1</v>
      </c>
      <c r="DV200" s="4">
        <f t="shared" si="736"/>
        <v>1</v>
      </c>
      <c r="DX200" s="4" t="e">
        <f t="shared" si="737"/>
        <v>#REF!</v>
      </c>
      <c r="DY200" s="25">
        <f t="shared" si="814"/>
        <v>792.6169156169592</v>
      </c>
      <c r="EB200" s="4" t="e">
        <f t="shared" si="739"/>
        <v>#REF!</v>
      </c>
      <c r="EE200" s="4">
        <f t="shared" si="740"/>
        <v>49.640709100495329</v>
      </c>
      <c r="EF200" s="4">
        <f t="shared" si="741"/>
        <v>2.2360679774997898</v>
      </c>
      <c r="EG200" s="4">
        <f t="shared" si="742"/>
        <v>0.18993383393437455</v>
      </c>
      <c r="EJ200" s="4">
        <f t="shared" si="815"/>
        <v>0.18993383393437455</v>
      </c>
      <c r="EK200" s="4">
        <f t="shared" si="744"/>
        <v>0.30425458523735305</v>
      </c>
      <c r="EL200" s="4" t="e">
        <f t="shared" si="679"/>
        <v>#REF!</v>
      </c>
      <c r="EM200" s="4" t="e">
        <f t="shared" si="816"/>
        <v>#REF!</v>
      </c>
      <c r="EN200" s="4" t="e">
        <f t="shared" si="673"/>
        <v>#REF!</v>
      </c>
      <c r="EO200" s="4" t="e">
        <f t="shared" si="674"/>
        <v>#REF!</v>
      </c>
      <c r="EP200" s="4" t="e">
        <f t="shared" si="749"/>
        <v>#REF!</v>
      </c>
      <c r="EQ200" s="4" t="e">
        <f t="shared" si="817"/>
        <v>#REF!</v>
      </c>
      <c r="ER200" s="4" t="e">
        <f t="shared" si="751"/>
        <v>#REF!</v>
      </c>
      <c r="FA200" s="23" t="e">
        <f t="shared" si="818"/>
        <v>#REF!</v>
      </c>
      <c r="FB200" s="23" t="e">
        <f t="shared" si="819"/>
        <v>#REF!</v>
      </c>
      <c r="FC200" s="23">
        <f t="shared" si="754"/>
        <v>2.2000000000000002</v>
      </c>
      <c r="FD200" s="23" t="e">
        <f t="shared" si="820"/>
        <v>#REF!</v>
      </c>
      <c r="FE200" s="23" t="e">
        <f t="shared" si="821"/>
        <v>#REF!</v>
      </c>
      <c r="FF200" s="23" t="e">
        <f t="shared" si="822"/>
        <v>#REF!</v>
      </c>
      <c r="FG200" s="23" t="e">
        <f t="shared" si="823"/>
        <v>#REF!</v>
      </c>
      <c r="FH200" s="23"/>
      <c r="FR200" s="4">
        <f t="shared" si="607"/>
        <v>1.25</v>
      </c>
      <c r="FS200" s="4">
        <f t="shared" si="608"/>
        <v>0.5</v>
      </c>
      <c r="FT200" s="4">
        <f t="shared" si="609"/>
        <v>0</v>
      </c>
      <c r="FU200" s="4">
        <f t="shared" si="610"/>
        <v>230.4546043227347</v>
      </c>
    </row>
    <row r="201" spans="1:177" ht="12" customHeight="1" x14ac:dyDescent="0.3">
      <c r="B201" s="24"/>
      <c r="C201" s="4" t="s">
        <v>311</v>
      </c>
      <c r="D201" s="7">
        <v>679</v>
      </c>
      <c r="E201" s="7">
        <f t="shared" si="824"/>
        <v>88.8</v>
      </c>
      <c r="F201" s="7">
        <v>129.9</v>
      </c>
      <c r="G201" s="7">
        <v>22.2</v>
      </c>
      <c r="H201" s="7">
        <v>366</v>
      </c>
      <c r="I201" s="7">
        <f t="shared" si="797"/>
        <v>22.2</v>
      </c>
      <c r="J201" s="7" t="e">
        <f>118-#REF!</f>
        <v>#REF!</v>
      </c>
      <c r="K201" s="7">
        <f t="shared" si="798"/>
        <v>277.20000000000005</v>
      </c>
      <c r="L201" s="7">
        <v>2</v>
      </c>
      <c r="M201" s="7">
        <f t="shared" si="799"/>
        <v>59.199999999999996</v>
      </c>
      <c r="N201" s="7">
        <f t="shared" si="684"/>
        <v>1.5</v>
      </c>
      <c r="O201" s="7">
        <f t="shared" si="685"/>
        <v>1.5</v>
      </c>
      <c r="P201" s="7">
        <f t="shared" si="676"/>
        <v>4</v>
      </c>
      <c r="Q201" s="7">
        <f t="shared" si="676"/>
        <v>4</v>
      </c>
      <c r="R201" s="7">
        <f t="shared" si="686"/>
        <v>5</v>
      </c>
      <c r="S201" s="7">
        <f t="shared" si="687"/>
        <v>49.640709100495329</v>
      </c>
      <c r="T201" s="7">
        <f t="shared" ref="T201:T232" si="826">D201</f>
        <v>679</v>
      </c>
      <c r="U201" s="7">
        <v>8</v>
      </c>
      <c r="V201" s="7">
        <f>(711+686)/2</f>
        <v>698.5</v>
      </c>
      <c r="W201" s="7"/>
      <c r="X201" s="4" t="e">
        <f t="shared" si="689"/>
        <v>#REF!</v>
      </c>
      <c r="Y201" s="7"/>
      <c r="Z201" s="7"/>
      <c r="AA201" s="7">
        <v>1</v>
      </c>
      <c r="AB201" s="7"/>
      <c r="AC201" s="7"/>
      <c r="AD201" s="7">
        <f t="shared" ref="AD201:AD232" si="827">3*AE201/(K201+G201)</f>
        <v>0.88977955911823625</v>
      </c>
      <c r="AE201" s="4">
        <f t="shared" si="691"/>
        <v>88.8</v>
      </c>
      <c r="AF201" s="4">
        <f t="shared" si="692"/>
        <v>1.25</v>
      </c>
      <c r="AG201" s="4">
        <f t="shared" si="693"/>
        <v>123.19645135939774</v>
      </c>
      <c r="AH201" s="4">
        <f t="shared" si="694"/>
        <v>0.77499999999999991</v>
      </c>
      <c r="AI201" s="4">
        <v>1.25</v>
      </c>
      <c r="AJ201" s="47">
        <f t="shared" si="825"/>
        <v>5</v>
      </c>
      <c r="AK201" s="38">
        <f t="shared" si="800"/>
        <v>745.91601409010343</v>
      </c>
      <c r="AL201" s="38">
        <f t="shared" si="762"/>
        <v>745.91601409010343</v>
      </c>
      <c r="AM201" s="38">
        <f t="shared" si="695"/>
        <v>5.7111767066521422</v>
      </c>
      <c r="AN201" s="38">
        <f t="shared" si="640"/>
        <v>819.83561909002367</v>
      </c>
      <c r="AO201" s="38">
        <f t="shared" si="548"/>
        <v>0.90983606557377039</v>
      </c>
      <c r="AP201" s="38">
        <f t="shared" si="641"/>
        <v>0.9506783821677508</v>
      </c>
      <c r="AQ201" s="4">
        <f t="shared" si="642"/>
        <v>1</v>
      </c>
      <c r="AR201" s="4" t="e">
        <f>#REF!/G201*F201^0.5/0.19</f>
        <v>#REF!</v>
      </c>
      <c r="AS201" s="4">
        <f t="shared" si="696"/>
        <v>1</v>
      </c>
      <c r="AT201" s="38">
        <f t="shared" si="697"/>
        <v>779.40000000000009</v>
      </c>
      <c r="AU201" s="4">
        <f t="shared" si="698"/>
        <v>0.44000000000000006</v>
      </c>
      <c r="AV201" s="4" t="e">
        <f>AU201*D201*#REF!/(D201*G201/2.75/F201^0.5)</f>
        <v>#REF!</v>
      </c>
      <c r="AW201" s="4" t="e">
        <f t="shared" si="801"/>
        <v>#REF!</v>
      </c>
      <c r="AY201" s="4">
        <f t="shared" si="700"/>
        <v>1</v>
      </c>
      <c r="AZ201" s="4" t="e">
        <f>(3*#REF!+30)*AY201*F201^0.5</f>
        <v>#REF!</v>
      </c>
      <c r="BB201" s="4">
        <f t="shared" si="701"/>
        <v>747.53991440910613</v>
      </c>
      <c r="BC201" s="4">
        <f t="shared" ref="BC201:BC232" si="828">8/3*T201*U201^2/(S201-G201-22)/G201*(S201^2-G201^2)/(S201^2-(G201+22)^2)</f>
        <v>3704.4961984911101</v>
      </c>
      <c r="BD201" s="4">
        <f t="shared" si="672"/>
        <v>4.9555831429005819</v>
      </c>
      <c r="BL201" s="4">
        <f t="shared" si="704"/>
        <v>22.2</v>
      </c>
      <c r="BP201" s="9"/>
      <c r="BR201" s="9"/>
      <c r="BS201" s="9"/>
      <c r="BT201" s="9" t="e">
        <f t="shared" si="705"/>
        <v>#REF!</v>
      </c>
      <c r="BU201" s="9">
        <f t="shared" si="706"/>
        <v>138.60000000000002</v>
      </c>
      <c r="BV201" s="9" t="e">
        <f t="shared" si="707"/>
        <v>#REF!</v>
      </c>
      <c r="BW201" s="9">
        <v>0</v>
      </c>
      <c r="BX201" s="9">
        <f t="shared" si="708"/>
        <v>0</v>
      </c>
      <c r="BY201" s="9">
        <f t="shared" si="802"/>
        <v>0</v>
      </c>
      <c r="BZ201" s="9">
        <f t="shared" si="710"/>
        <v>1</v>
      </c>
      <c r="CA201" s="9">
        <f t="shared" si="711"/>
        <v>0.77100000000000002</v>
      </c>
      <c r="CB201" s="9">
        <f t="shared" si="712"/>
        <v>3.0755797864386483</v>
      </c>
      <c r="CC201" s="9" t="e">
        <f t="shared" si="713"/>
        <v>#REF!</v>
      </c>
      <c r="CD201" s="9">
        <v>1</v>
      </c>
      <c r="CE201" s="9" t="e">
        <f>4*CC201*#REF!+60*CC201</f>
        <v>#REF!</v>
      </c>
      <c r="CG201" s="4" t="e">
        <f t="shared" si="803"/>
        <v>#REF!</v>
      </c>
      <c r="CH201" s="4" t="e">
        <f t="shared" si="804"/>
        <v>#REF!</v>
      </c>
      <c r="CI201" s="4" t="e">
        <f t="shared" si="805"/>
        <v>#REF!</v>
      </c>
      <c r="CJ201" s="4" t="e">
        <f t="shared" si="806"/>
        <v>#REF!</v>
      </c>
      <c r="CK201" s="44" t="e">
        <f t="shared" si="807"/>
        <v>#REF!</v>
      </c>
      <c r="CL201" s="4" t="e">
        <f t="shared" si="808"/>
        <v>#REF!</v>
      </c>
      <c r="CM201" s="4">
        <f t="shared" si="720"/>
        <v>3.0309656951865547</v>
      </c>
      <c r="CO201" s="4" t="e">
        <f t="shared" si="809"/>
        <v>#REF!</v>
      </c>
      <c r="CP201" s="4" t="e">
        <f t="shared" si="810"/>
        <v>#REF!</v>
      </c>
      <c r="CQ201" s="4" t="e">
        <f t="shared" si="811"/>
        <v>#REF!</v>
      </c>
      <c r="CR201" s="4">
        <f t="shared" si="795"/>
        <v>3.0309656951865547</v>
      </c>
      <c r="CS201" s="4" t="e">
        <f t="shared" si="812"/>
        <v>#REF!</v>
      </c>
      <c r="CT201" s="4" t="e">
        <f t="shared" si="813"/>
        <v>#REF!</v>
      </c>
      <c r="DB201" s="4">
        <f t="shared" si="677"/>
        <v>0</v>
      </c>
      <c r="DC201" s="4" t="e">
        <f>#REF!</f>
        <v>#REF!</v>
      </c>
      <c r="DF201" s="4">
        <f t="shared" si="723"/>
        <v>1.3307058507295954E-5</v>
      </c>
      <c r="DG201" s="4" t="e">
        <f t="shared" si="724"/>
        <v>#REF!</v>
      </c>
      <c r="DH201" s="4">
        <f t="shared" si="725"/>
        <v>0.30476317818160303</v>
      </c>
      <c r="DI201" s="4" t="e">
        <f t="shared" si="726"/>
        <v>#REF!</v>
      </c>
      <c r="DJ201" s="4" t="e">
        <f t="shared" si="727"/>
        <v>#REF!</v>
      </c>
      <c r="DK201" s="4" t="e">
        <f t="shared" si="728"/>
        <v>#REF!</v>
      </c>
      <c r="DL201" s="38" t="e">
        <f t="shared" si="729"/>
        <v>#REF!</v>
      </c>
      <c r="DM201" s="4" t="e">
        <f t="shared" si="730"/>
        <v>#REF!</v>
      </c>
      <c r="DN201" s="4">
        <f t="shared" si="731"/>
        <v>2.2360679774997898</v>
      </c>
      <c r="DO201" s="4">
        <f t="shared" si="776"/>
        <v>819.83561909002367</v>
      </c>
      <c r="DS201" s="4" t="e">
        <f t="shared" si="733"/>
        <v>#REF!</v>
      </c>
      <c r="DT201" s="4">
        <f t="shared" si="734"/>
        <v>1</v>
      </c>
      <c r="DU201" s="4">
        <f t="shared" si="735"/>
        <v>1</v>
      </c>
      <c r="DV201" s="4">
        <f t="shared" si="736"/>
        <v>1</v>
      </c>
      <c r="DX201" s="4" t="e">
        <f t="shared" si="737"/>
        <v>#REF!</v>
      </c>
      <c r="DY201" s="25">
        <f t="shared" si="814"/>
        <v>792.6169156169592</v>
      </c>
      <c r="EB201" s="4" t="e">
        <f t="shared" si="739"/>
        <v>#REF!</v>
      </c>
      <c r="EE201" s="4">
        <f t="shared" si="740"/>
        <v>49.640709100495329</v>
      </c>
      <c r="EF201" s="4">
        <f t="shared" si="741"/>
        <v>2.2360679774997898</v>
      </c>
      <c r="EG201" s="4">
        <f t="shared" si="742"/>
        <v>0.18993383393437455</v>
      </c>
      <c r="EJ201" s="4">
        <f t="shared" si="815"/>
        <v>0.18993383393437455</v>
      </c>
      <c r="EK201" s="4">
        <f t="shared" si="744"/>
        <v>0.30425458523735305</v>
      </c>
      <c r="EL201" s="4" t="e">
        <f t="shared" si="679"/>
        <v>#REF!</v>
      </c>
      <c r="EM201" s="4" t="e">
        <f t="shared" si="816"/>
        <v>#REF!</v>
      </c>
      <c r="EN201" s="4" t="e">
        <f t="shared" si="673"/>
        <v>#REF!</v>
      </c>
      <c r="EO201" s="4" t="e">
        <f t="shared" si="674"/>
        <v>#REF!</v>
      </c>
      <c r="EP201" s="4" t="e">
        <f t="shared" si="749"/>
        <v>#REF!</v>
      </c>
      <c r="EQ201" s="4" t="e">
        <f t="shared" si="817"/>
        <v>#REF!</v>
      </c>
      <c r="ER201" s="4" t="e">
        <f t="shared" si="751"/>
        <v>#REF!</v>
      </c>
      <c r="FA201" s="23" t="e">
        <f t="shared" si="818"/>
        <v>#REF!</v>
      </c>
      <c r="FB201" s="23" t="e">
        <f t="shared" si="819"/>
        <v>#REF!</v>
      </c>
      <c r="FC201" s="23">
        <f t="shared" si="754"/>
        <v>2.2000000000000002</v>
      </c>
      <c r="FD201" s="23" t="e">
        <f t="shared" si="820"/>
        <v>#REF!</v>
      </c>
      <c r="FE201" s="23" t="e">
        <f t="shared" si="821"/>
        <v>#REF!</v>
      </c>
      <c r="FF201" s="23" t="e">
        <f t="shared" si="822"/>
        <v>#REF!</v>
      </c>
      <c r="FG201" s="23" t="e">
        <f t="shared" si="823"/>
        <v>#REF!</v>
      </c>
      <c r="FH201" s="23"/>
      <c r="FR201" s="4">
        <f t="shared" si="607"/>
        <v>1.25</v>
      </c>
      <c r="FS201" s="4">
        <f t="shared" si="608"/>
        <v>0.5</v>
      </c>
      <c r="FT201" s="4">
        <f t="shared" si="609"/>
        <v>0</v>
      </c>
      <c r="FU201" s="4">
        <f t="shared" si="610"/>
        <v>230.4546043227347</v>
      </c>
    </row>
    <row r="202" spans="1:177" ht="12" customHeight="1" x14ac:dyDescent="0.3">
      <c r="B202" s="24"/>
      <c r="C202" s="4" t="s">
        <v>314</v>
      </c>
      <c r="D202" s="7">
        <v>679</v>
      </c>
      <c r="E202" s="7">
        <f t="shared" si="824"/>
        <v>88.8</v>
      </c>
      <c r="F202" s="7">
        <v>129.9</v>
      </c>
      <c r="G202" s="7">
        <v>22.2</v>
      </c>
      <c r="H202" s="7">
        <v>388</v>
      </c>
      <c r="I202" s="7">
        <f>1.5*G202</f>
        <v>33.299999999999997</v>
      </c>
      <c r="J202" s="7" t="e">
        <f>118-#REF!</f>
        <v>#REF!</v>
      </c>
      <c r="K202" s="7">
        <f t="shared" si="798"/>
        <v>277</v>
      </c>
      <c r="L202" s="7">
        <v>2</v>
      </c>
      <c r="M202" s="7">
        <f t="shared" si="799"/>
        <v>59.199999999999996</v>
      </c>
      <c r="N202" s="7">
        <f t="shared" si="684"/>
        <v>2</v>
      </c>
      <c r="O202" s="7">
        <f t="shared" si="685"/>
        <v>2</v>
      </c>
      <c r="P202" s="7">
        <f t="shared" si="676"/>
        <v>4</v>
      </c>
      <c r="Q202" s="7">
        <f t="shared" si="676"/>
        <v>4</v>
      </c>
      <c r="R202" s="7">
        <f t="shared" si="686"/>
        <v>5</v>
      </c>
      <c r="S202" s="7">
        <f t="shared" si="687"/>
        <v>49.640709100495329</v>
      </c>
      <c r="T202" s="7">
        <f t="shared" si="826"/>
        <v>679</v>
      </c>
      <c r="U202" s="7">
        <v>8</v>
      </c>
      <c r="V202" s="7">
        <f>(751+699)/2</f>
        <v>725</v>
      </c>
      <c r="W202" s="7"/>
      <c r="X202" s="4" t="e">
        <f t="shared" si="689"/>
        <v>#REF!</v>
      </c>
      <c r="Y202" s="7"/>
      <c r="Z202" s="7"/>
      <c r="AA202" s="7">
        <v>1</v>
      </c>
      <c r="AB202" s="7"/>
      <c r="AC202" s="7"/>
      <c r="AD202" s="7">
        <f t="shared" si="827"/>
        <v>0.89037433155080214</v>
      </c>
      <c r="AE202" s="4">
        <f t="shared" si="691"/>
        <v>88.8</v>
      </c>
      <c r="AF202" s="4">
        <f t="shared" si="692"/>
        <v>1.3333333333333333</v>
      </c>
      <c r="AG202" s="4">
        <f t="shared" si="693"/>
        <v>123.19645135939774</v>
      </c>
      <c r="AH202" s="4">
        <f t="shared" si="694"/>
        <v>0.79999999999999993</v>
      </c>
      <c r="AI202" s="4">
        <v>1.25</v>
      </c>
      <c r="AJ202" s="47">
        <f t="shared" si="825"/>
        <v>5</v>
      </c>
      <c r="AK202" s="38">
        <f t="shared" si="800"/>
        <v>821.30967572931809</v>
      </c>
      <c r="AL202" s="38">
        <f t="shared" si="762"/>
        <v>821.30967572931809</v>
      </c>
      <c r="AM202" s="38">
        <f t="shared" si="695"/>
        <v>5.7111767066521422</v>
      </c>
      <c r="AN202" s="38">
        <f t="shared" si="640"/>
        <v>897.15133497459317</v>
      </c>
      <c r="AO202" s="38">
        <f t="shared" si="548"/>
        <v>0.91546391752577294</v>
      </c>
      <c r="AP202" s="38">
        <f t="shared" si="641"/>
        <v>1.1583330030149592</v>
      </c>
      <c r="AQ202" s="4">
        <f t="shared" si="642"/>
        <v>0</v>
      </c>
      <c r="AR202" s="4" t="e">
        <f>#REF!/G202*F202^0.5/0.19</f>
        <v>#REF!</v>
      </c>
      <c r="AS202" s="4">
        <f t="shared" si="696"/>
        <v>1</v>
      </c>
      <c r="AT202" s="38">
        <f t="shared" si="697"/>
        <v>1039.2</v>
      </c>
      <c r="AU202" s="4">
        <f t="shared" si="698"/>
        <v>0.44000000000000006</v>
      </c>
      <c r="AV202" s="4" t="e">
        <f>AU202*D202*#REF!/(D202*G202/2.75/F202^0.5)</f>
        <v>#REF!</v>
      </c>
      <c r="AW202" s="4" t="e">
        <f t="shared" si="801"/>
        <v>#REF!</v>
      </c>
      <c r="AY202" s="4">
        <f t="shared" si="700"/>
        <v>1.125</v>
      </c>
      <c r="AZ202" s="4" t="e">
        <f>(3*#REF!+30)*AY202*F202^0.5</f>
        <v>#REF!</v>
      </c>
      <c r="BB202" s="4">
        <f t="shared" si="701"/>
        <v>996.71988587880821</v>
      </c>
      <c r="BC202" s="4">
        <f t="shared" si="828"/>
        <v>3704.4961984911101</v>
      </c>
      <c r="BD202" s="4">
        <f t="shared" si="672"/>
        <v>3.7166873571754362</v>
      </c>
      <c r="BL202" s="4">
        <f t="shared" si="704"/>
        <v>33.299999999999997</v>
      </c>
      <c r="BP202" s="9"/>
      <c r="BR202" s="9"/>
      <c r="BS202" s="9"/>
      <c r="BT202" s="9" t="e">
        <f t="shared" si="705"/>
        <v>#REF!</v>
      </c>
      <c r="BU202" s="9">
        <f t="shared" si="706"/>
        <v>138.5</v>
      </c>
      <c r="BV202" s="9" t="e">
        <f t="shared" si="707"/>
        <v>#REF!</v>
      </c>
      <c r="BW202" s="9">
        <v>0</v>
      </c>
      <c r="BX202" s="9">
        <f t="shared" si="708"/>
        <v>0</v>
      </c>
      <c r="BY202" s="9">
        <f t="shared" si="802"/>
        <v>0</v>
      </c>
      <c r="BZ202" s="9">
        <f t="shared" si="710"/>
        <v>1</v>
      </c>
      <c r="CA202" s="9">
        <f t="shared" si="711"/>
        <v>0.77100000000000002</v>
      </c>
      <c r="CB202" s="9">
        <f t="shared" si="712"/>
        <v>3.0755797864386483</v>
      </c>
      <c r="CC202" s="9" t="e">
        <f t="shared" si="713"/>
        <v>#REF!</v>
      </c>
      <c r="CD202" s="9">
        <v>1</v>
      </c>
      <c r="CE202" s="9" t="e">
        <f>4*CC202*#REF!+60*CC202</f>
        <v>#REF!</v>
      </c>
      <c r="CG202" s="4" t="e">
        <f t="shared" si="803"/>
        <v>#REF!</v>
      </c>
      <c r="CH202" s="4" t="e">
        <f t="shared" si="804"/>
        <v>#REF!</v>
      </c>
      <c r="CI202" s="4" t="e">
        <f t="shared" si="805"/>
        <v>#REF!</v>
      </c>
      <c r="CJ202" s="4" t="e">
        <f t="shared" si="806"/>
        <v>#REF!</v>
      </c>
      <c r="CK202" s="44" t="e">
        <f t="shared" si="807"/>
        <v>#REF!</v>
      </c>
      <c r="CL202" s="4" t="e">
        <f t="shared" si="808"/>
        <v>#REF!</v>
      </c>
      <c r="CM202" s="4">
        <f t="shared" si="720"/>
        <v>3.1459558038801037</v>
      </c>
      <c r="CO202" s="4" t="e">
        <f t="shared" si="809"/>
        <v>#REF!</v>
      </c>
      <c r="CP202" s="4" t="e">
        <f t="shared" si="810"/>
        <v>#REF!</v>
      </c>
      <c r="CQ202" s="4" t="e">
        <f t="shared" si="811"/>
        <v>#REF!</v>
      </c>
      <c r="CR202" s="4">
        <f t="shared" si="795"/>
        <v>3.1459558038801037</v>
      </c>
      <c r="CS202" s="4" t="e">
        <f t="shared" si="812"/>
        <v>#REF!</v>
      </c>
      <c r="CT202" s="4" t="e">
        <f t="shared" si="813"/>
        <v>#REF!</v>
      </c>
      <c r="DB202" s="4">
        <f t="shared" si="677"/>
        <v>0</v>
      </c>
      <c r="DC202" s="4" t="e">
        <f>#REF!</f>
        <v>#REF!</v>
      </c>
      <c r="DF202" s="4">
        <f t="shared" si="723"/>
        <v>1.3307058507295954E-5</v>
      </c>
      <c r="DG202" s="4" t="e">
        <f t="shared" si="724"/>
        <v>#REF!</v>
      </c>
      <c r="DH202" s="4">
        <f t="shared" si="725"/>
        <v>0.33350428523733322</v>
      </c>
      <c r="DI202" s="4" t="e">
        <f t="shared" si="726"/>
        <v>#REF!</v>
      </c>
      <c r="DJ202" s="4" t="e">
        <f t="shared" si="727"/>
        <v>#REF!</v>
      </c>
      <c r="DK202" s="4" t="e">
        <f t="shared" si="728"/>
        <v>#REF!</v>
      </c>
      <c r="DL202" s="38" t="e">
        <f t="shared" si="729"/>
        <v>#REF!</v>
      </c>
      <c r="DM202" s="4" t="e">
        <f t="shared" si="730"/>
        <v>#REF!</v>
      </c>
      <c r="DN202" s="4">
        <f t="shared" si="731"/>
        <v>2.2360679774997898</v>
      </c>
      <c r="DO202" s="4">
        <f t="shared" si="776"/>
        <v>897.15133497459317</v>
      </c>
      <c r="DS202" s="4" t="e">
        <f t="shared" si="733"/>
        <v>#REF!</v>
      </c>
      <c r="DT202" s="4">
        <f t="shared" si="734"/>
        <v>0.95</v>
      </c>
      <c r="DU202" s="4">
        <f t="shared" si="735"/>
        <v>1</v>
      </c>
      <c r="DV202" s="4">
        <f t="shared" si="736"/>
        <v>0.95</v>
      </c>
      <c r="DX202" s="4" t="e">
        <f t="shared" si="737"/>
        <v>#REF!</v>
      </c>
      <c r="DY202" s="25">
        <f t="shared" si="814"/>
        <v>868.2692405319475</v>
      </c>
      <c r="EB202" s="4" t="e">
        <f t="shared" si="739"/>
        <v>#REF!</v>
      </c>
      <c r="EE202" s="4">
        <f t="shared" si="740"/>
        <v>49.640709100495329</v>
      </c>
      <c r="EF202" s="4">
        <f t="shared" si="741"/>
        <v>2.2360679774997898</v>
      </c>
      <c r="EG202" s="4">
        <f t="shared" si="742"/>
        <v>0.20784580311380174</v>
      </c>
      <c r="EJ202" s="4">
        <f t="shared" si="815"/>
        <v>0.20784580311380174</v>
      </c>
      <c r="EK202" s="4">
        <f t="shared" si="744"/>
        <v>0.3329477287420215</v>
      </c>
      <c r="EL202" s="4" t="e">
        <f t="shared" si="679"/>
        <v>#REF!</v>
      </c>
      <c r="EM202" s="4" t="e">
        <f t="shared" si="816"/>
        <v>#REF!</v>
      </c>
      <c r="EN202" s="4" t="e">
        <f t="shared" si="673"/>
        <v>#REF!</v>
      </c>
      <c r="EO202" s="4" t="e">
        <f t="shared" si="674"/>
        <v>#REF!</v>
      </c>
      <c r="EP202" s="4" t="e">
        <f t="shared" si="749"/>
        <v>#REF!</v>
      </c>
      <c r="EQ202" s="4" t="e">
        <f t="shared" si="817"/>
        <v>#REF!</v>
      </c>
      <c r="ER202" s="4" t="e">
        <f t="shared" si="751"/>
        <v>#REF!</v>
      </c>
      <c r="FA202" s="23" t="e">
        <f t="shared" si="818"/>
        <v>#REF!</v>
      </c>
      <c r="FB202" s="23" t="e">
        <f t="shared" si="819"/>
        <v>#REF!</v>
      </c>
      <c r="FC202" s="23">
        <f t="shared" si="754"/>
        <v>2.2000000000000002</v>
      </c>
      <c r="FD202" s="23" t="e">
        <f t="shared" si="820"/>
        <v>#REF!</v>
      </c>
      <c r="FE202" s="23" t="e">
        <f t="shared" si="821"/>
        <v>#REF!</v>
      </c>
      <c r="FF202" s="23" t="e">
        <f t="shared" si="822"/>
        <v>#REF!</v>
      </c>
      <c r="FG202" s="23" t="e">
        <f t="shared" si="823"/>
        <v>#REF!</v>
      </c>
      <c r="FH202" s="23"/>
      <c r="FR202" s="4">
        <f t="shared" si="607"/>
        <v>1.25</v>
      </c>
      <c r="FS202" s="4">
        <f t="shared" si="608"/>
        <v>0.5</v>
      </c>
      <c r="FT202" s="4">
        <f t="shared" si="609"/>
        <v>0</v>
      </c>
      <c r="FU202" s="4">
        <f t="shared" si="610"/>
        <v>230.4546043227347</v>
      </c>
    </row>
    <row r="203" spans="1:177" ht="12" customHeight="1" x14ac:dyDescent="0.3">
      <c r="B203" s="24"/>
      <c r="C203" s="4" t="s">
        <v>315</v>
      </c>
      <c r="D203" s="7">
        <v>679</v>
      </c>
      <c r="E203" s="7">
        <f t="shared" si="824"/>
        <v>88.8</v>
      </c>
      <c r="F203" s="7">
        <v>129.9</v>
      </c>
      <c r="G203" s="7">
        <v>22.2</v>
      </c>
      <c r="H203" s="7">
        <v>388</v>
      </c>
      <c r="I203" s="7">
        <f>1.5*G203</f>
        <v>33.299999999999997</v>
      </c>
      <c r="J203" s="7" t="e">
        <f>118-#REF!</f>
        <v>#REF!</v>
      </c>
      <c r="K203" s="7">
        <f t="shared" si="798"/>
        <v>277</v>
      </c>
      <c r="L203" s="7">
        <v>2</v>
      </c>
      <c r="M203" s="7">
        <f t="shared" si="799"/>
        <v>59.199999999999996</v>
      </c>
      <c r="N203" s="7">
        <f t="shared" si="684"/>
        <v>2</v>
      </c>
      <c r="O203" s="7">
        <f t="shared" si="685"/>
        <v>2</v>
      </c>
      <c r="P203" s="7">
        <f t="shared" si="676"/>
        <v>4</v>
      </c>
      <c r="Q203" s="7">
        <f t="shared" si="676"/>
        <v>4</v>
      </c>
      <c r="R203" s="7">
        <f t="shared" si="686"/>
        <v>5</v>
      </c>
      <c r="S203" s="7">
        <f t="shared" si="687"/>
        <v>49.640709100495329</v>
      </c>
      <c r="T203" s="7">
        <f t="shared" si="826"/>
        <v>679</v>
      </c>
      <c r="U203" s="7">
        <v>8</v>
      </c>
      <c r="V203" s="7">
        <f>(731+693)/2</f>
        <v>712</v>
      </c>
      <c r="W203" s="7"/>
      <c r="X203" s="4" t="e">
        <f t="shared" si="689"/>
        <v>#REF!</v>
      </c>
      <c r="Y203" s="7"/>
      <c r="Z203" s="7"/>
      <c r="AA203" s="7">
        <v>1</v>
      </c>
      <c r="AB203" s="7"/>
      <c r="AC203" s="7"/>
      <c r="AD203" s="7">
        <f t="shared" si="827"/>
        <v>0.89037433155080214</v>
      </c>
      <c r="AE203" s="4">
        <f t="shared" si="691"/>
        <v>88.8</v>
      </c>
      <c r="AF203" s="4">
        <f t="shared" si="692"/>
        <v>1.3333333333333333</v>
      </c>
      <c r="AG203" s="4">
        <f t="shared" si="693"/>
        <v>123.19645135939774</v>
      </c>
      <c r="AH203" s="4">
        <f t="shared" si="694"/>
        <v>0.79999999999999993</v>
      </c>
      <c r="AI203" s="4">
        <v>1.25</v>
      </c>
      <c r="AJ203" s="47">
        <f t="shared" si="825"/>
        <v>5</v>
      </c>
      <c r="AK203" s="38">
        <f t="shared" si="800"/>
        <v>821.30967572931809</v>
      </c>
      <c r="AL203" s="38">
        <f t="shared" si="762"/>
        <v>821.30967572931809</v>
      </c>
      <c r="AM203" s="38">
        <f t="shared" si="695"/>
        <v>5.7111767066521422</v>
      </c>
      <c r="AN203" s="38">
        <f t="shared" si="640"/>
        <v>897.15133497459317</v>
      </c>
      <c r="AO203" s="38">
        <f t="shared" si="548"/>
        <v>0.91546391752577294</v>
      </c>
      <c r="AP203" s="38">
        <f t="shared" si="641"/>
        <v>1.1583330030149592</v>
      </c>
      <c r="AQ203" s="4">
        <f t="shared" si="642"/>
        <v>0</v>
      </c>
      <c r="AR203" s="4" t="e">
        <f>#REF!/G203*F203^0.5/0.19</f>
        <v>#REF!</v>
      </c>
      <c r="AS203" s="4">
        <f t="shared" si="696"/>
        <v>1</v>
      </c>
      <c r="AT203" s="38">
        <f t="shared" si="697"/>
        <v>1039.2</v>
      </c>
      <c r="AU203" s="4">
        <f t="shared" si="698"/>
        <v>0.44000000000000006</v>
      </c>
      <c r="AV203" s="4" t="e">
        <f>AU203*D203*#REF!/(D203*G203/2.75/F203^0.5)</f>
        <v>#REF!</v>
      </c>
      <c r="AW203" s="4" t="e">
        <f t="shared" si="801"/>
        <v>#REF!</v>
      </c>
      <c r="AY203" s="4">
        <f t="shared" si="700"/>
        <v>1.125</v>
      </c>
      <c r="AZ203" s="4" t="e">
        <f>(3*#REF!+30)*AY203*F203^0.5</f>
        <v>#REF!</v>
      </c>
      <c r="BB203" s="4">
        <f t="shared" si="701"/>
        <v>996.71988587880821</v>
      </c>
      <c r="BC203" s="4">
        <f t="shared" si="828"/>
        <v>3704.4961984911101</v>
      </c>
      <c r="BD203" s="4">
        <f t="shared" si="672"/>
        <v>3.7166873571754362</v>
      </c>
      <c r="BL203" s="4">
        <f t="shared" si="704"/>
        <v>33.299999999999997</v>
      </c>
      <c r="BP203" s="9"/>
      <c r="BR203" s="9"/>
      <c r="BS203" s="9"/>
      <c r="BT203" s="9" t="e">
        <f t="shared" si="705"/>
        <v>#REF!</v>
      </c>
      <c r="BU203" s="9">
        <f t="shared" si="706"/>
        <v>138.5</v>
      </c>
      <c r="BV203" s="9" t="e">
        <f t="shared" si="707"/>
        <v>#REF!</v>
      </c>
      <c r="BW203" s="9">
        <v>0</v>
      </c>
      <c r="BX203" s="9">
        <f t="shared" si="708"/>
        <v>0</v>
      </c>
      <c r="BY203" s="9">
        <f t="shared" si="802"/>
        <v>0</v>
      </c>
      <c r="BZ203" s="9">
        <f t="shared" si="710"/>
        <v>1</v>
      </c>
      <c r="CA203" s="9">
        <f t="shared" si="711"/>
        <v>0.77100000000000002</v>
      </c>
      <c r="CB203" s="9">
        <f t="shared" si="712"/>
        <v>3.0755797864386483</v>
      </c>
      <c r="CC203" s="9" t="e">
        <f t="shared" si="713"/>
        <v>#REF!</v>
      </c>
      <c r="CD203" s="9">
        <v>1</v>
      </c>
      <c r="CE203" s="9" t="e">
        <f>4*CC203*#REF!+60*CC203</f>
        <v>#REF!</v>
      </c>
      <c r="CG203" s="4" t="e">
        <f t="shared" si="803"/>
        <v>#REF!</v>
      </c>
      <c r="CH203" s="4" t="e">
        <f t="shared" si="804"/>
        <v>#REF!</v>
      </c>
      <c r="CI203" s="4" t="e">
        <f t="shared" si="805"/>
        <v>#REF!</v>
      </c>
      <c r="CJ203" s="4" t="e">
        <f t="shared" si="806"/>
        <v>#REF!</v>
      </c>
      <c r="CK203" s="44" t="e">
        <f t="shared" si="807"/>
        <v>#REF!</v>
      </c>
      <c r="CL203" s="4" t="e">
        <f t="shared" si="808"/>
        <v>#REF!</v>
      </c>
      <c r="CM203" s="4">
        <f t="shared" si="720"/>
        <v>3.0895455618794947</v>
      </c>
      <c r="CO203" s="4" t="e">
        <f t="shared" si="809"/>
        <v>#REF!</v>
      </c>
      <c r="CP203" s="4" t="e">
        <f t="shared" si="810"/>
        <v>#REF!</v>
      </c>
      <c r="CQ203" s="4" t="e">
        <f t="shared" si="811"/>
        <v>#REF!</v>
      </c>
      <c r="CR203" s="4">
        <f t="shared" si="795"/>
        <v>3.0895455618794947</v>
      </c>
      <c r="CS203" s="4" t="e">
        <f t="shared" si="812"/>
        <v>#REF!</v>
      </c>
      <c r="CT203" s="4" t="e">
        <f t="shared" si="813"/>
        <v>#REF!</v>
      </c>
      <c r="DB203" s="4">
        <f t="shared" si="677"/>
        <v>0</v>
      </c>
      <c r="DC203" s="4" t="e">
        <f>#REF!</f>
        <v>#REF!</v>
      </c>
      <c r="DF203" s="4">
        <f t="shared" si="723"/>
        <v>1.3307058507295954E-5</v>
      </c>
      <c r="DG203" s="4" t="e">
        <f t="shared" si="724"/>
        <v>#REF!</v>
      </c>
      <c r="DH203" s="4">
        <f t="shared" si="725"/>
        <v>0.33350428523733322</v>
      </c>
      <c r="DI203" s="4" t="e">
        <f t="shared" si="726"/>
        <v>#REF!</v>
      </c>
      <c r="DJ203" s="4" t="e">
        <f t="shared" si="727"/>
        <v>#REF!</v>
      </c>
      <c r="DK203" s="4" t="e">
        <f t="shared" si="728"/>
        <v>#REF!</v>
      </c>
      <c r="DL203" s="38" t="e">
        <f t="shared" si="729"/>
        <v>#REF!</v>
      </c>
      <c r="DM203" s="4" t="e">
        <f t="shared" si="730"/>
        <v>#REF!</v>
      </c>
      <c r="DN203" s="4">
        <f t="shared" si="731"/>
        <v>2.2360679774997898</v>
      </c>
      <c r="DO203" s="4">
        <f t="shared" si="776"/>
        <v>897.15133497459317</v>
      </c>
      <c r="DS203" s="4" t="e">
        <f t="shared" si="733"/>
        <v>#REF!</v>
      </c>
      <c r="DT203" s="4">
        <f t="shared" si="734"/>
        <v>0.95</v>
      </c>
      <c r="DU203" s="4">
        <f t="shared" si="735"/>
        <v>1</v>
      </c>
      <c r="DV203" s="4">
        <f t="shared" si="736"/>
        <v>0.95</v>
      </c>
      <c r="DX203" s="4" t="e">
        <f t="shared" si="737"/>
        <v>#REF!</v>
      </c>
      <c r="DY203" s="25">
        <f t="shared" si="814"/>
        <v>868.2692405319475</v>
      </c>
      <c r="EB203" s="4" t="e">
        <f t="shared" si="739"/>
        <v>#REF!</v>
      </c>
      <c r="EE203" s="4">
        <f t="shared" si="740"/>
        <v>49.640709100495329</v>
      </c>
      <c r="EF203" s="4">
        <f t="shared" si="741"/>
        <v>2.2360679774997898</v>
      </c>
      <c r="EG203" s="4">
        <f t="shared" si="742"/>
        <v>0.20784580311380174</v>
      </c>
      <c r="EJ203" s="4">
        <f t="shared" si="815"/>
        <v>0.20784580311380174</v>
      </c>
      <c r="EK203" s="4">
        <f t="shared" si="744"/>
        <v>0.3329477287420215</v>
      </c>
      <c r="EL203" s="4" t="e">
        <f t="shared" si="679"/>
        <v>#REF!</v>
      </c>
      <c r="EM203" s="4" t="e">
        <f t="shared" si="816"/>
        <v>#REF!</v>
      </c>
      <c r="EN203" s="4" t="e">
        <f t="shared" si="673"/>
        <v>#REF!</v>
      </c>
      <c r="EO203" s="4" t="e">
        <f t="shared" si="674"/>
        <v>#REF!</v>
      </c>
      <c r="EP203" s="4" t="e">
        <f t="shared" si="749"/>
        <v>#REF!</v>
      </c>
      <c r="EQ203" s="4" t="e">
        <f t="shared" si="817"/>
        <v>#REF!</v>
      </c>
      <c r="ER203" s="4" t="e">
        <f t="shared" si="751"/>
        <v>#REF!</v>
      </c>
      <c r="FA203" s="23" t="e">
        <f t="shared" si="818"/>
        <v>#REF!</v>
      </c>
      <c r="FB203" s="23" t="e">
        <f t="shared" si="819"/>
        <v>#REF!</v>
      </c>
      <c r="FC203" s="23">
        <f t="shared" si="754"/>
        <v>2.2000000000000002</v>
      </c>
      <c r="FD203" s="23" t="e">
        <f t="shared" si="820"/>
        <v>#REF!</v>
      </c>
      <c r="FE203" s="23" t="e">
        <f t="shared" si="821"/>
        <v>#REF!</v>
      </c>
      <c r="FF203" s="23" t="e">
        <f t="shared" si="822"/>
        <v>#REF!</v>
      </c>
      <c r="FG203" s="23" t="e">
        <f t="shared" si="823"/>
        <v>#REF!</v>
      </c>
      <c r="FH203" s="23"/>
      <c r="FR203" s="4">
        <f t="shared" si="607"/>
        <v>1.25</v>
      </c>
      <c r="FS203" s="4">
        <f t="shared" si="608"/>
        <v>0.5</v>
      </c>
      <c r="FT203" s="4">
        <f t="shared" si="609"/>
        <v>0</v>
      </c>
      <c r="FU203" s="4">
        <f t="shared" si="610"/>
        <v>230.4546043227347</v>
      </c>
    </row>
    <row r="204" spans="1:177" ht="12" customHeight="1" x14ac:dyDescent="0.3">
      <c r="B204" s="24"/>
      <c r="C204" s="4" t="s">
        <v>316</v>
      </c>
      <c r="D204" s="7">
        <v>679</v>
      </c>
      <c r="E204" s="7">
        <f t="shared" si="824"/>
        <v>88.8</v>
      </c>
      <c r="F204" s="7">
        <v>129.9</v>
      </c>
      <c r="G204" s="7">
        <v>22.2</v>
      </c>
      <c r="H204" s="7">
        <v>366</v>
      </c>
      <c r="I204" s="7">
        <f t="shared" ref="I204:I209" si="829">1*G204</f>
        <v>22.2</v>
      </c>
      <c r="J204" s="7" t="e">
        <f>118-#REF!</f>
        <v>#REF!</v>
      </c>
      <c r="K204" s="7">
        <f t="shared" si="798"/>
        <v>277.20000000000005</v>
      </c>
      <c r="L204" s="7">
        <v>2</v>
      </c>
      <c r="M204" s="7">
        <f t="shared" si="799"/>
        <v>59.199999999999996</v>
      </c>
      <c r="N204" s="7">
        <f t="shared" si="684"/>
        <v>1.5</v>
      </c>
      <c r="O204" s="7">
        <f t="shared" si="685"/>
        <v>1.5</v>
      </c>
      <c r="P204" s="7">
        <f t="shared" si="676"/>
        <v>4</v>
      </c>
      <c r="Q204" s="7">
        <f t="shared" si="676"/>
        <v>4</v>
      </c>
      <c r="R204" s="7">
        <f t="shared" si="686"/>
        <v>5</v>
      </c>
      <c r="S204" s="7">
        <f t="shared" si="687"/>
        <v>49.640709100495329</v>
      </c>
      <c r="T204" s="7">
        <f t="shared" si="826"/>
        <v>679</v>
      </c>
      <c r="U204" s="7">
        <v>8</v>
      </c>
      <c r="V204" s="7">
        <f>(735+707)/2</f>
        <v>721</v>
      </c>
      <c r="W204" s="7"/>
      <c r="X204" s="4" t="e">
        <f t="shared" si="689"/>
        <v>#REF!</v>
      </c>
      <c r="Y204" s="7">
        <v>9.5</v>
      </c>
      <c r="Z204" s="7">
        <v>2</v>
      </c>
      <c r="AA204" s="7">
        <v>52</v>
      </c>
      <c r="AB204" s="7">
        <v>4</v>
      </c>
      <c r="AC204" s="7">
        <f t="shared" ref="AC204:AC205" si="830">Z204</f>
        <v>2</v>
      </c>
      <c r="AD204" s="7">
        <f t="shared" si="827"/>
        <v>0.88977955911823625</v>
      </c>
      <c r="AE204" s="4">
        <f t="shared" si="691"/>
        <v>88.8</v>
      </c>
      <c r="AF204" s="4">
        <f t="shared" si="692"/>
        <v>1.25</v>
      </c>
      <c r="AG204" s="4">
        <f t="shared" si="693"/>
        <v>123.19645135939774</v>
      </c>
      <c r="AH204" s="4">
        <f t="shared" si="694"/>
        <v>0.77499999999999991</v>
      </c>
      <c r="AI204" s="4">
        <v>1.25</v>
      </c>
      <c r="AJ204" s="47">
        <f t="shared" si="825"/>
        <v>5</v>
      </c>
      <c r="AK204" s="38">
        <f t="shared" si="800"/>
        <v>745.91601409010343</v>
      </c>
      <c r="AL204" s="38">
        <f t="shared" si="762"/>
        <v>745.91601409010343</v>
      </c>
      <c r="AM204" s="38">
        <f t="shared" si="695"/>
        <v>5.7111767066521422</v>
      </c>
      <c r="AN204" s="38">
        <f t="shared" si="640"/>
        <v>819.83561909002367</v>
      </c>
      <c r="AO204" s="38">
        <f t="shared" si="548"/>
        <v>0.90983606557377039</v>
      </c>
      <c r="AP204" s="38">
        <f t="shared" si="641"/>
        <v>0.9506783821677508</v>
      </c>
      <c r="AQ204" s="4">
        <f t="shared" si="642"/>
        <v>1</v>
      </c>
      <c r="AR204" s="4" t="e">
        <f>#REF!/G204*F204^0.5/0.19</f>
        <v>#REF!</v>
      </c>
      <c r="AS204" s="4">
        <f t="shared" si="696"/>
        <v>1</v>
      </c>
      <c r="AT204" s="38">
        <f t="shared" si="697"/>
        <v>779.40000000000009</v>
      </c>
      <c r="AU204" s="4">
        <f t="shared" si="698"/>
        <v>0.44000000000000006</v>
      </c>
      <c r="AV204" s="4" t="e">
        <f>AU204*D204*#REF!/(D204*G204/2.75/F204^0.5)</f>
        <v>#REF!</v>
      </c>
      <c r="AW204" s="4" t="e">
        <f t="shared" si="801"/>
        <v>#REF!</v>
      </c>
      <c r="AY204" s="4">
        <f t="shared" si="700"/>
        <v>1.4</v>
      </c>
      <c r="AZ204" s="4" t="e">
        <f>(3*#REF!+30)*AY204*F204^0.5</f>
        <v>#REF!</v>
      </c>
      <c r="BB204" s="4">
        <f t="shared" si="701"/>
        <v>747.53991440910613</v>
      </c>
      <c r="BC204" s="4">
        <f t="shared" si="828"/>
        <v>3704.4961984911101</v>
      </c>
      <c r="BD204" s="4">
        <f t="shared" si="672"/>
        <v>4.9555831429005819</v>
      </c>
      <c r="BL204" s="4">
        <f t="shared" si="704"/>
        <v>22.2</v>
      </c>
      <c r="BP204" s="9"/>
      <c r="BR204" s="9"/>
      <c r="BS204" s="9"/>
      <c r="BT204" s="9" t="e">
        <f t="shared" si="705"/>
        <v>#REF!</v>
      </c>
      <c r="BU204" s="9">
        <f t="shared" si="706"/>
        <v>138.60000000000002</v>
      </c>
      <c r="BV204" s="9" t="e">
        <f t="shared" si="707"/>
        <v>#REF!</v>
      </c>
      <c r="BW204" s="9">
        <v>20</v>
      </c>
      <c r="BX204" s="9">
        <f t="shared" si="708"/>
        <v>0.05</v>
      </c>
      <c r="BY204" s="9">
        <f t="shared" si="802"/>
        <v>0.8</v>
      </c>
      <c r="BZ204" s="9">
        <f t="shared" si="710"/>
        <v>1</v>
      </c>
      <c r="CA204" s="9">
        <f t="shared" si="711"/>
        <v>0.77100000000000002</v>
      </c>
      <c r="CB204" s="9">
        <f t="shared" si="712"/>
        <v>3.0755797864386483</v>
      </c>
      <c r="CC204" s="9" t="e">
        <f t="shared" si="713"/>
        <v>#REF!</v>
      </c>
      <c r="CD204" s="9">
        <v>1</v>
      </c>
      <c r="CE204" s="9" t="e">
        <f>4*CC204*#REF!+60*CC204</f>
        <v>#REF!</v>
      </c>
      <c r="CG204" s="4" t="e">
        <f t="shared" si="803"/>
        <v>#REF!</v>
      </c>
      <c r="CH204" s="4" t="e">
        <f t="shared" si="804"/>
        <v>#REF!</v>
      </c>
      <c r="CI204" s="4" t="e">
        <f t="shared" si="805"/>
        <v>#REF!</v>
      </c>
      <c r="CJ204" s="4" t="e">
        <f t="shared" si="806"/>
        <v>#REF!</v>
      </c>
      <c r="CK204" s="44" t="e">
        <f t="shared" si="807"/>
        <v>#REF!</v>
      </c>
      <c r="CL204" s="4" t="e">
        <f t="shared" si="808"/>
        <v>#REF!</v>
      </c>
      <c r="CM204" s="4">
        <f t="shared" si="720"/>
        <v>2.7149668974723982</v>
      </c>
      <c r="CU204" s="4" t="e">
        <f t="shared" ref="CU204:CU229" si="831">CG204</f>
        <v>#REF!</v>
      </c>
      <c r="CV204" s="4" t="e">
        <f t="shared" ref="CV204:CV229" si="832">CH204</f>
        <v>#REF!</v>
      </c>
      <c r="CW204" s="4" t="e">
        <f t="shared" ref="CW204:CW229" si="833">CJ204</f>
        <v>#REF!</v>
      </c>
      <c r="CX204" s="4">
        <f t="shared" ref="CX204:CX205" si="834">CM204</f>
        <v>2.7149668974723982</v>
      </c>
      <c r="CY204" s="4" t="e">
        <f t="shared" ref="CY204:CY229" si="835">CK204</f>
        <v>#REF!</v>
      </c>
      <c r="CZ204" s="4" t="e">
        <f t="shared" ref="CZ204:CZ229" si="836">CL204</f>
        <v>#REF!</v>
      </c>
      <c r="DB204" s="4">
        <f t="shared" si="677"/>
        <v>2</v>
      </c>
      <c r="DC204" s="4" t="e">
        <f>#REF!</f>
        <v>#REF!</v>
      </c>
      <c r="DF204" s="4">
        <f t="shared" si="723"/>
        <v>1.3307058507295954E-5</v>
      </c>
      <c r="DG204" s="4" t="e">
        <f t="shared" si="724"/>
        <v>#REF!</v>
      </c>
      <c r="DH204" s="4">
        <f t="shared" si="725"/>
        <v>0.30476317818160303</v>
      </c>
      <c r="DI204" s="4" t="e">
        <f t="shared" si="726"/>
        <v>#REF!</v>
      </c>
      <c r="DJ204" s="4" t="e">
        <f t="shared" si="727"/>
        <v>#REF!</v>
      </c>
      <c r="DK204" s="4" t="e">
        <f t="shared" si="728"/>
        <v>#REF!</v>
      </c>
      <c r="DL204" s="38" t="e">
        <f t="shared" si="729"/>
        <v>#REF!</v>
      </c>
      <c r="DM204" s="4" t="e">
        <f t="shared" si="730"/>
        <v>#REF!</v>
      </c>
      <c r="DN204" s="4">
        <f t="shared" si="731"/>
        <v>2.2360679774997898</v>
      </c>
      <c r="DO204" s="4">
        <f t="shared" si="776"/>
        <v>819.83561909002367</v>
      </c>
      <c r="DS204" s="4" t="e">
        <f t="shared" si="733"/>
        <v>#REF!</v>
      </c>
      <c r="DT204" s="4">
        <f t="shared" si="734"/>
        <v>1</v>
      </c>
      <c r="DU204" s="4">
        <f t="shared" si="735"/>
        <v>0.8552532261991721</v>
      </c>
      <c r="DV204" s="4">
        <f t="shared" si="736"/>
        <v>0.8552532261991721</v>
      </c>
      <c r="DX204" s="4" t="e">
        <f t="shared" si="737"/>
        <v>#REF!</v>
      </c>
      <c r="DY204" s="25">
        <f t="shared" si="814"/>
        <v>792.6169156169592</v>
      </c>
      <c r="EB204" s="4" t="e">
        <f t="shared" si="739"/>
        <v>#REF!</v>
      </c>
      <c r="EE204" s="4">
        <f t="shared" si="740"/>
        <v>49.640709100495329</v>
      </c>
      <c r="EF204" s="4">
        <f t="shared" si="741"/>
        <v>2.2360679774997898</v>
      </c>
      <c r="EG204" s="4">
        <f t="shared" si="742"/>
        <v>0.18993383393437455</v>
      </c>
      <c r="EJ204" s="4">
        <f t="shared" si="815"/>
        <v>0.18993383393437455</v>
      </c>
      <c r="EK204" s="4">
        <f t="shared" si="744"/>
        <v>0.30425458523735305</v>
      </c>
      <c r="EL204" s="4" t="e">
        <f t="shared" si="679"/>
        <v>#REF!</v>
      </c>
      <c r="EM204" s="4" t="e">
        <f t="shared" si="816"/>
        <v>#REF!</v>
      </c>
      <c r="EN204" s="4" t="e">
        <f t="shared" si="673"/>
        <v>#REF!</v>
      </c>
      <c r="EO204" s="4" t="e">
        <f t="shared" si="674"/>
        <v>#REF!</v>
      </c>
      <c r="EP204" s="4" t="e">
        <f t="shared" si="749"/>
        <v>#REF!</v>
      </c>
      <c r="EQ204" s="4" t="e">
        <f t="shared" si="817"/>
        <v>#REF!</v>
      </c>
      <c r="ER204" s="4" t="e">
        <f t="shared" si="751"/>
        <v>#REF!</v>
      </c>
      <c r="FA204" s="23" t="e">
        <f t="shared" si="818"/>
        <v>#REF!</v>
      </c>
      <c r="FB204" s="23" t="e">
        <f t="shared" si="819"/>
        <v>#REF!</v>
      </c>
      <c r="FC204" s="23">
        <f t="shared" si="754"/>
        <v>2.2000000000000002</v>
      </c>
      <c r="FD204" s="23" t="e">
        <f t="shared" si="820"/>
        <v>#REF!</v>
      </c>
      <c r="FE204" s="23" t="e">
        <f t="shared" si="821"/>
        <v>#REF!</v>
      </c>
      <c r="FF204" s="23" t="e">
        <f t="shared" si="822"/>
        <v>#REF!</v>
      </c>
      <c r="FG204" s="23" t="e">
        <f t="shared" si="823"/>
        <v>#REF!</v>
      </c>
      <c r="FH204" s="23"/>
      <c r="FR204" s="4">
        <f t="shared" si="607"/>
        <v>1.25</v>
      </c>
      <c r="FS204" s="4">
        <f t="shared" si="608"/>
        <v>0.4338950222651346</v>
      </c>
      <c r="FT204" s="4">
        <f t="shared" si="609"/>
        <v>0.3</v>
      </c>
      <c r="FU204" s="4">
        <f t="shared" si="610"/>
        <v>265.56493218066208</v>
      </c>
    </row>
    <row r="205" spans="1:177" ht="12" customHeight="1" x14ac:dyDescent="0.3">
      <c r="B205" s="24"/>
      <c r="C205" s="4" t="s">
        <v>317</v>
      </c>
      <c r="D205" s="7">
        <v>679</v>
      </c>
      <c r="E205" s="7">
        <f t="shared" si="824"/>
        <v>88.8</v>
      </c>
      <c r="F205" s="7">
        <v>129.9</v>
      </c>
      <c r="G205" s="7">
        <v>22.2</v>
      </c>
      <c r="H205" s="7">
        <v>366</v>
      </c>
      <c r="I205" s="7">
        <f t="shared" si="829"/>
        <v>22.2</v>
      </c>
      <c r="J205" s="7" t="e">
        <f>118-#REF!</f>
        <v>#REF!</v>
      </c>
      <c r="K205" s="7">
        <f t="shared" si="798"/>
        <v>277.20000000000005</v>
      </c>
      <c r="L205" s="7">
        <v>2</v>
      </c>
      <c r="M205" s="7">
        <f t="shared" si="799"/>
        <v>59.199999999999996</v>
      </c>
      <c r="N205" s="7">
        <f t="shared" si="684"/>
        <v>1.5</v>
      </c>
      <c r="O205" s="7">
        <f t="shared" si="685"/>
        <v>1.5</v>
      </c>
      <c r="P205" s="7">
        <f t="shared" si="676"/>
        <v>4</v>
      </c>
      <c r="Q205" s="7">
        <f t="shared" si="676"/>
        <v>4</v>
      </c>
      <c r="R205" s="7">
        <f t="shared" si="686"/>
        <v>5</v>
      </c>
      <c r="S205" s="7">
        <f t="shared" si="687"/>
        <v>49.640709100495329</v>
      </c>
      <c r="T205" s="7">
        <f t="shared" si="826"/>
        <v>679</v>
      </c>
      <c r="U205" s="7">
        <v>8</v>
      </c>
      <c r="V205" s="7">
        <f>(735+703)/2</f>
        <v>719</v>
      </c>
      <c r="W205" s="7"/>
      <c r="X205" s="4" t="e">
        <f t="shared" si="689"/>
        <v>#REF!</v>
      </c>
      <c r="Y205" s="7">
        <v>9.5</v>
      </c>
      <c r="Z205" s="7">
        <v>2</v>
      </c>
      <c r="AA205" s="7">
        <v>52</v>
      </c>
      <c r="AB205" s="7">
        <v>4</v>
      </c>
      <c r="AC205" s="7">
        <f t="shared" si="830"/>
        <v>2</v>
      </c>
      <c r="AD205" s="7">
        <f t="shared" si="827"/>
        <v>0.88977955911823625</v>
      </c>
      <c r="AE205" s="4">
        <f t="shared" si="691"/>
        <v>88.8</v>
      </c>
      <c r="AF205" s="4">
        <f t="shared" si="692"/>
        <v>1.25</v>
      </c>
      <c r="AG205" s="4">
        <f t="shared" si="693"/>
        <v>123.19645135939774</v>
      </c>
      <c r="AH205" s="4">
        <f t="shared" si="694"/>
        <v>0.77499999999999991</v>
      </c>
      <c r="AI205" s="4">
        <v>1.25</v>
      </c>
      <c r="AJ205" s="47">
        <f t="shared" si="825"/>
        <v>5</v>
      </c>
      <c r="AK205" s="38">
        <f t="shared" si="800"/>
        <v>745.91601409010343</v>
      </c>
      <c r="AL205" s="38">
        <f t="shared" si="762"/>
        <v>745.91601409010343</v>
      </c>
      <c r="AM205" s="38">
        <f t="shared" si="695"/>
        <v>5.7111767066521422</v>
      </c>
      <c r="AN205" s="38">
        <f t="shared" si="640"/>
        <v>819.83561909002367</v>
      </c>
      <c r="AO205" s="38">
        <f t="shared" si="548"/>
        <v>0.90983606557377039</v>
      </c>
      <c r="AP205" s="38">
        <f t="shared" si="641"/>
        <v>0.9506783821677508</v>
      </c>
      <c r="AQ205" s="4">
        <f t="shared" si="642"/>
        <v>1</v>
      </c>
      <c r="AR205" s="4" t="e">
        <f>#REF!/G205*F205^0.5/0.19</f>
        <v>#REF!</v>
      </c>
      <c r="AS205" s="4">
        <f t="shared" si="696"/>
        <v>1</v>
      </c>
      <c r="AT205" s="38">
        <f t="shared" si="697"/>
        <v>779.40000000000009</v>
      </c>
      <c r="AU205" s="4">
        <f t="shared" si="698"/>
        <v>0.44000000000000006</v>
      </c>
      <c r="AV205" s="4" t="e">
        <f>AU205*D205*#REF!/(D205*G205/2.75/F205^0.5)</f>
        <v>#REF!</v>
      </c>
      <c r="AW205" s="4" t="e">
        <f t="shared" si="801"/>
        <v>#REF!</v>
      </c>
      <c r="AY205" s="4">
        <f t="shared" si="700"/>
        <v>1.4</v>
      </c>
      <c r="AZ205" s="4" t="e">
        <f>(3*#REF!+30)*AY205*F205^0.5</f>
        <v>#REF!</v>
      </c>
      <c r="BB205" s="4">
        <f t="shared" si="701"/>
        <v>747.53991440910613</v>
      </c>
      <c r="BC205" s="4">
        <f t="shared" si="828"/>
        <v>3704.4961984911101</v>
      </c>
      <c r="BD205" s="4">
        <f t="shared" si="672"/>
        <v>4.9555831429005819</v>
      </c>
      <c r="BL205" s="4">
        <f t="shared" si="704"/>
        <v>22.2</v>
      </c>
      <c r="BP205" s="9"/>
      <c r="BR205" s="9"/>
      <c r="BS205" s="9"/>
      <c r="BT205" s="9" t="e">
        <f t="shared" si="705"/>
        <v>#REF!</v>
      </c>
      <c r="BU205" s="9">
        <f t="shared" si="706"/>
        <v>138.60000000000002</v>
      </c>
      <c r="BV205" s="9" t="e">
        <f t="shared" si="707"/>
        <v>#REF!</v>
      </c>
      <c r="BW205" s="9">
        <v>20</v>
      </c>
      <c r="BX205" s="9">
        <f t="shared" si="708"/>
        <v>0.05</v>
      </c>
      <c r="BY205" s="9">
        <f t="shared" si="802"/>
        <v>0.8</v>
      </c>
      <c r="BZ205" s="9">
        <f t="shared" si="710"/>
        <v>1</v>
      </c>
      <c r="CA205" s="9">
        <f t="shared" si="711"/>
        <v>0.77100000000000002</v>
      </c>
      <c r="CB205" s="9">
        <f t="shared" si="712"/>
        <v>3.0755797864386483</v>
      </c>
      <c r="CC205" s="9" t="e">
        <f t="shared" si="713"/>
        <v>#REF!</v>
      </c>
      <c r="CD205" s="9">
        <v>1</v>
      </c>
      <c r="CE205" s="9" t="e">
        <f>4*CC205*#REF!+60*CC205</f>
        <v>#REF!</v>
      </c>
      <c r="CG205" s="4" t="e">
        <f t="shared" si="803"/>
        <v>#REF!</v>
      </c>
      <c r="CH205" s="4" t="e">
        <f t="shared" si="804"/>
        <v>#REF!</v>
      </c>
      <c r="CI205" s="4" t="e">
        <f t="shared" si="805"/>
        <v>#REF!</v>
      </c>
      <c r="CJ205" s="4" t="e">
        <f t="shared" si="806"/>
        <v>#REF!</v>
      </c>
      <c r="CK205" s="44" t="e">
        <f t="shared" si="807"/>
        <v>#REF!</v>
      </c>
      <c r="CL205" s="4" t="e">
        <f t="shared" si="808"/>
        <v>#REF!</v>
      </c>
      <c r="CM205" s="4">
        <f t="shared" si="720"/>
        <v>2.7074357826389104</v>
      </c>
      <c r="CU205" s="4" t="e">
        <f t="shared" si="831"/>
        <v>#REF!</v>
      </c>
      <c r="CV205" s="4" t="e">
        <f t="shared" si="832"/>
        <v>#REF!</v>
      </c>
      <c r="CW205" s="4" t="e">
        <f t="shared" si="833"/>
        <v>#REF!</v>
      </c>
      <c r="CX205" s="4">
        <f t="shared" si="834"/>
        <v>2.7074357826389104</v>
      </c>
      <c r="CY205" s="4" t="e">
        <f t="shared" si="835"/>
        <v>#REF!</v>
      </c>
      <c r="CZ205" s="4" t="e">
        <f t="shared" si="836"/>
        <v>#REF!</v>
      </c>
      <c r="DB205" s="4">
        <f t="shared" si="677"/>
        <v>2</v>
      </c>
      <c r="DC205" s="4" t="e">
        <f>#REF!</f>
        <v>#REF!</v>
      </c>
      <c r="DF205" s="4">
        <f t="shared" si="723"/>
        <v>1.3307058507295954E-5</v>
      </c>
      <c r="DG205" s="4" t="e">
        <f t="shared" si="724"/>
        <v>#REF!</v>
      </c>
      <c r="DH205" s="4">
        <f t="shared" si="725"/>
        <v>0.30476317818160303</v>
      </c>
      <c r="DI205" s="4" t="e">
        <f t="shared" si="726"/>
        <v>#REF!</v>
      </c>
      <c r="DJ205" s="4" t="e">
        <f t="shared" si="727"/>
        <v>#REF!</v>
      </c>
      <c r="DK205" s="4" t="e">
        <f t="shared" si="728"/>
        <v>#REF!</v>
      </c>
      <c r="DL205" s="38" t="e">
        <f t="shared" si="729"/>
        <v>#REF!</v>
      </c>
      <c r="DM205" s="4" t="e">
        <f t="shared" si="730"/>
        <v>#REF!</v>
      </c>
      <c r="DN205" s="4">
        <f t="shared" si="731"/>
        <v>2.2360679774997898</v>
      </c>
      <c r="DO205" s="4">
        <f t="shared" si="776"/>
        <v>819.83561909002367</v>
      </c>
      <c r="DS205" s="4" t="e">
        <f t="shared" si="733"/>
        <v>#REF!</v>
      </c>
      <c r="DT205" s="4">
        <f t="shared" si="734"/>
        <v>1</v>
      </c>
      <c r="DU205" s="4">
        <f t="shared" si="735"/>
        <v>0.8552532261991721</v>
      </c>
      <c r="DV205" s="4">
        <f t="shared" si="736"/>
        <v>0.8552532261991721</v>
      </c>
      <c r="DX205" s="4" t="e">
        <f t="shared" si="737"/>
        <v>#REF!</v>
      </c>
      <c r="DY205" s="25">
        <f t="shared" si="814"/>
        <v>792.6169156169592</v>
      </c>
      <c r="EB205" s="4" t="e">
        <f t="shared" si="739"/>
        <v>#REF!</v>
      </c>
      <c r="EE205" s="4">
        <f t="shared" si="740"/>
        <v>49.640709100495329</v>
      </c>
      <c r="EF205" s="4">
        <f t="shared" si="741"/>
        <v>2.2360679774997898</v>
      </c>
      <c r="EG205" s="4">
        <f t="shared" si="742"/>
        <v>0.18993383393437455</v>
      </c>
      <c r="EJ205" s="4">
        <f t="shared" si="815"/>
        <v>0.18993383393437455</v>
      </c>
      <c r="EK205" s="4">
        <f t="shared" si="744"/>
        <v>0.30425458523735305</v>
      </c>
      <c r="EL205" s="4" t="e">
        <f t="shared" si="679"/>
        <v>#REF!</v>
      </c>
      <c r="EM205" s="4" t="e">
        <f t="shared" si="816"/>
        <v>#REF!</v>
      </c>
      <c r="EN205" s="4" t="e">
        <f t="shared" si="673"/>
        <v>#REF!</v>
      </c>
      <c r="EO205" s="4" t="e">
        <f t="shared" si="674"/>
        <v>#REF!</v>
      </c>
      <c r="EP205" s="4" t="e">
        <f t="shared" si="749"/>
        <v>#REF!</v>
      </c>
      <c r="EQ205" s="4" t="e">
        <f t="shared" si="817"/>
        <v>#REF!</v>
      </c>
      <c r="ER205" s="4" t="e">
        <f t="shared" si="751"/>
        <v>#REF!</v>
      </c>
      <c r="FA205" s="23" t="e">
        <f t="shared" si="818"/>
        <v>#REF!</v>
      </c>
      <c r="FB205" s="23" t="e">
        <f t="shared" si="819"/>
        <v>#REF!</v>
      </c>
      <c r="FC205" s="23">
        <f t="shared" si="754"/>
        <v>2.2000000000000002</v>
      </c>
      <c r="FD205" s="23" t="e">
        <f t="shared" si="820"/>
        <v>#REF!</v>
      </c>
      <c r="FE205" s="23" t="e">
        <f t="shared" si="821"/>
        <v>#REF!</v>
      </c>
      <c r="FF205" s="23" t="e">
        <f t="shared" si="822"/>
        <v>#REF!</v>
      </c>
      <c r="FG205" s="23" t="e">
        <f t="shared" si="823"/>
        <v>#REF!</v>
      </c>
      <c r="FH205" s="23"/>
      <c r="FR205" s="4">
        <f t="shared" si="607"/>
        <v>1.25</v>
      </c>
      <c r="FS205" s="4">
        <f t="shared" si="608"/>
        <v>0.4338950222651346</v>
      </c>
      <c r="FT205" s="4">
        <f t="shared" si="609"/>
        <v>0.3</v>
      </c>
      <c r="FU205" s="4">
        <f t="shared" si="610"/>
        <v>265.56493218066208</v>
      </c>
    </row>
    <row r="206" spans="1:177" ht="12" customHeight="1" x14ac:dyDescent="0.3">
      <c r="B206" s="24"/>
      <c r="C206" s="4" t="s">
        <v>318</v>
      </c>
      <c r="D206" s="7">
        <v>679</v>
      </c>
      <c r="E206" s="7">
        <f>6*G206</f>
        <v>133.19999999999999</v>
      </c>
      <c r="F206" s="7">
        <v>129.9</v>
      </c>
      <c r="G206" s="7">
        <v>22.2</v>
      </c>
      <c r="H206" s="7">
        <v>366</v>
      </c>
      <c r="I206" s="7">
        <f t="shared" si="829"/>
        <v>22.2</v>
      </c>
      <c r="J206" s="7" t="e">
        <f>176-#REF!</f>
        <v>#REF!</v>
      </c>
      <c r="K206" s="7">
        <f t="shared" si="798"/>
        <v>277.20000000000005</v>
      </c>
      <c r="L206" s="7">
        <v>2</v>
      </c>
      <c r="M206" s="7">
        <f t="shared" si="799"/>
        <v>88.799999999999983</v>
      </c>
      <c r="N206" s="7">
        <f t="shared" si="684"/>
        <v>1.5</v>
      </c>
      <c r="O206" s="7">
        <f t="shared" si="685"/>
        <v>1.5</v>
      </c>
      <c r="P206" s="7">
        <f t="shared" si="676"/>
        <v>4</v>
      </c>
      <c r="Q206" s="7">
        <f t="shared" si="676"/>
        <v>4</v>
      </c>
      <c r="R206" s="7">
        <f t="shared" si="686"/>
        <v>5</v>
      </c>
      <c r="S206" s="7">
        <f t="shared" si="687"/>
        <v>49.640709100495329</v>
      </c>
      <c r="T206" s="7">
        <f t="shared" si="826"/>
        <v>679</v>
      </c>
      <c r="U206" s="7">
        <v>8</v>
      </c>
      <c r="V206" s="7">
        <f>(750+710)/2</f>
        <v>730</v>
      </c>
      <c r="W206" s="7"/>
      <c r="X206" s="4" t="e">
        <f t="shared" si="689"/>
        <v>#REF!</v>
      </c>
      <c r="Y206" s="7"/>
      <c r="Z206" s="7"/>
      <c r="AA206" s="7">
        <v>1</v>
      </c>
      <c r="AB206" s="7"/>
      <c r="AC206" s="7"/>
      <c r="AD206" s="7">
        <f t="shared" si="827"/>
        <v>1.3346693386773545</v>
      </c>
      <c r="AE206" s="4">
        <f t="shared" si="691"/>
        <v>133.19999999999999</v>
      </c>
      <c r="AF206" s="4">
        <f t="shared" si="692"/>
        <v>0.91591591591591592</v>
      </c>
      <c r="AG206" s="4">
        <f t="shared" si="693"/>
        <v>226.32633296409878</v>
      </c>
      <c r="AH206" s="4">
        <f t="shared" si="694"/>
        <v>0.75</v>
      </c>
      <c r="AI206" s="4">
        <v>1.25</v>
      </c>
      <c r="AJ206" s="47">
        <f t="shared" si="825"/>
        <v>5</v>
      </c>
      <c r="AK206" s="38">
        <f t="shared" si="800"/>
        <v>971.6994869657957</v>
      </c>
      <c r="AL206" s="38">
        <f t="shared" si="762"/>
        <v>971.6994869657957</v>
      </c>
      <c r="AM206" s="38">
        <f t="shared" si="695"/>
        <v>5.7111767066521422</v>
      </c>
      <c r="AN206" s="38">
        <f t="shared" si="640"/>
        <v>971.69948696579524</v>
      </c>
      <c r="AO206" s="38">
        <f t="shared" si="548"/>
        <v>1.0000000000000004</v>
      </c>
      <c r="AP206" s="38">
        <f t="shared" si="641"/>
        <v>0.80209983688859943</v>
      </c>
      <c r="AQ206" s="4">
        <f t="shared" si="642"/>
        <v>1</v>
      </c>
      <c r="AR206" s="4" t="e">
        <f>#REF!/G206*F206^0.5/0.19</f>
        <v>#REF!</v>
      </c>
      <c r="AS206" s="4">
        <f t="shared" si="696"/>
        <v>1</v>
      </c>
      <c r="AT206" s="38">
        <f t="shared" si="697"/>
        <v>779.40000000000009</v>
      </c>
      <c r="AU206" s="4">
        <f t="shared" si="698"/>
        <v>0.44000000000000006</v>
      </c>
      <c r="AV206" s="4" t="e">
        <f>AU206*D206*#REF!/(D206*G206/2.75/F206^0.5)</f>
        <v>#REF!</v>
      </c>
      <c r="AW206" s="4" t="e">
        <f t="shared" si="801"/>
        <v>#REF!</v>
      </c>
      <c r="AY206" s="4">
        <f t="shared" si="700"/>
        <v>1</v>
      </c>
      <c r="AZ206" s="4" t="e">
        <f>(3*#REF!+30)*AY206*F206^0.5</f>
        <v>#REF!</v>
      </c>
      <c r="BB206" s="4">
        <f t="shared" si="701"/>
        <v>747.53991440910613</v>
      </c>
      <c r="BC206" s="4">
        <f t="shared" si="828"/>
        <v>3704.4961984911101</v>
      </c>
      <c r="BD206" s="4">
        <f t="shared" si="672"/>
        <v>4.9555831429005819</v>
      </c>
      <c r="BL206" s="4">
        <f t="shared" si="704"/>
        <v>22.2</v>
      </c>
      <c r="BP206" s="9"/>
      <c r="BR206" s="9"/>
      <c r="BS206" s="9"/>
      <c r="BT206" s="9" t="e">
        <f t="shared" si="705"/>
        <v>#REF!</v>
      </c>
      <c r="BU206" s="9">
        <f t="shared" si="706"/>
        <v>138.60000000000002</v>
      </c>
      <c r="BV206" s="9" t="e">
        <f t="shared" si="707"/>
        <v>#REF!</v>
      </c>
      <c r="BW206" s="9">
        <v>0</v>
      </c>
      <c r="BX206" s="9">
        <f t="shared" si="708"/>
        <v>0</v>
      </c>
      <c r="BY206" s="9">
        <f t="shared" si="802"/>
        <v>0</v>
      </c>
      <c r="BZ206" s="9">
        <f t="shared" si="710"/>
        <v>1</v>
      </c>
      <c r="CA206" s="9">
        <f t="shared" si="711"/>
        <v>0.77100000000000002</v>
      </c>
      <c r="CB206" s="9">
        <f t="shared" si="712"/>
        <v>3.0755797864386483</v>
      </c>
      <c r="CC206" s="9" t="e">
        <f t="shared" si="713"/>
        <v>#REF!</v>
      </c>
      <c r="CD206" s="9">
        <v>1</v>
      </c>
      <c r="CE206" s="9" t="e">
        <f>4*CC206*#REF!+60*CC206</f>
        <v>#REF!</v>
      </c>
      <c r="CG206" s="4" t="e">
        <f t="shared" si="803"/>
        <v>#REF!</v>
      </c>
      <c r="CH206" s="4" t="e">
        <f t="shared" si="804"/>
        <v>#REF!</v>
      </c>
      <c r="CI206" s="4" t="e">
        <f t="shared" si="805"/>
        <v>#REF!</v>
      </c>
      <c r="CJ206" s="4" t="e">
        <f t="shared" si="806"/>
        <v>#REF!</v>
      </c>
      <c r="CK206" s="44" t="e">
        <f t="shared" si="807"/>
        <v>#REF!</v>
      </c>
      <c r="CL206" s="4" t="e">
        <f t="shared" si="808"/>
        <v>#REF!</v>
      </c>
      <c r="CM206" s="4">
        <f t="shared" si="720"/>
        <v>2.1117680338689433</v>
      </c>
      <c r="CO206" s="4" t="e">
        <f t="shared" si="809"/>
        <v>#REF!</v>
      </c>
      <c r="CP206" s="4" t="e">
        <f t="shared" si="810"/>
        <v>#REF!</v>
      </c>
      <c r="CQ206" s="4" t="e">
        <f t="shared" si="811"/>
        <v>#REF!</v>
      </c>
      <c r="CR206" s="4">
        <f t="shared" ref="CR206:CR211" si="837">CM206</f>
        <v>2.1117680338689433</v>
      </c>
      <c r="CS206" s="4" t="e">
        <f t="shared" si="812"/>
        <v>#REF!</v>
      </c>
      <c r="CT206" s="4" t="e">
        <f t="shared" si="813"/>
        <v>#REF!</v>
      </c>
      <c r="DB206" s="4">
        <f t="shared" si="677"/>
        <v>0</v>
      </c>
      <c r="DC206" s="4" t="e">
        <f>#REF!</f>
        <v>#REF!</v>
      </c>
      <c r="DF206" s="4">
        <f t="shared" si="723"/>
        <v>1.9960587760943928E-5</v>
      </c>
      <c r="DG206" s="4" t="e">
        <f t="shared" si="724"/>
        <v>#REF!</v>
      </c>
      <c r="DH206" s="4">
        <f t="shared" si="725"/>
        <v>0.36121658658088979</v>
      </c>
      <c r="DI206" s="4" t="e">
        <f t="shared" si="726"/>
        <v>#REF!</v>
      </c>
      <c r="DJ206" s="4" t="e">
        <f t="shared" si="727"/>
        <v>#REF!</v>
      </c>
      <c r="DK206" s="4" t="e">
        <f t="shared" si="728"/>
        <v>#REF!</v>
      </c>
      <c r="DL206" s="38" t="e">
        <f t="shared" si="729"/>
        <v>#REF!</v>
      </c>
      <c r="DM206" s="4" t="e">
        <f t="shared" si="730"/>
        <v>#REF!</v>
      </c>
      <c r="DN206" s="4">
        <f t="shared" si="731"/>
        <v>2.2360679774997898</v>
      </c>
      <c r="DO206" s="4">
        <f t="shared" si="776"/>
        <v>971.69948696579524</v>
      </c>
      <c r="DS206" s="4" t="e">
        <f t="shared" si="733"/>
        <v>#REF!</v>
      </c>
      <c r="DT206" s="4">
        <f t="shared" si="734"/>
        <v>1</v>
      </c>
      <c r="DU206" s="4">
        <f t="shared" si="735"/>
        <v>1</v>
      </c>
      <c r="DV206" s="4">
        <f t="shared" si="736"/>
        <v>1</v>
      </c>
      <c r="DX206" s="4" t="e">
        <f t="shared" si="737"/>
        <v>#REF!</v>
      </c>
      <c r="DY206" s="25">
        <f t="shared" si="814"/>
        <v>949.1812023271998</v>
      </c>
      <c r="EB206" s="4" t="e">
        <f t="shared" si="739"/>
        <v>#REF!</v>
      </c>
      <c r="EE206" s="4">
        <f t="shared" si="740"/>
        <v>49.640709100495329</v>
      </c>
      <c r="EF206" s="4">
        <f t="shared" si="741"/>
        <v>2.2360679774997898</v>
      </c>
      <c r="EG206" s="4">
        <f t="shared" si="742"/>
        <v>0.22511660227245195</v>
      </c>
      <c r="EJ206" s="4">
        <f t="shared" si="815"/>
        <v>0.22511660227245195</v>
      </c>
      <c r="EK206" s="4">
        <f t="shared" si="744"/>
        <v>0.36061378341950645</v>
      </c>
      <c r="EL206" s="4" t="e">
        <f t="shared" si="679"/>
        <v>#REF!</v>
      </c>
      <c r="EM206" s="4" t="e">
        <f t="shared" si="816"/>
        <v>#REF!</v>
      </c>
      <c r="EN206" s="4" t="e">
        <f t="shared" si="673"/>
        <v>#REF!</v>
      </c>
      <c r="EO206" s="4" t="e">
        <f t="shared" si="674"/>
        <v>#REF!</v>
      </c>
      <c r="EP206" s="4" t="e">
        <f t="shared" si="749"/>
        <v>#REF!</v>
      </c>
      <c r="EQ206" s="4" t="e">
        <f t="shared" si="817"/>
        <v>#REF!</v>
      </c>
      <c r="ER206" s="4" t="e">
        <f t="shared" si="751"/>
        <v>#REF!</v>
      </c>
      <c r="FA206" s="23" t="e">
        <f t="shared" si="818"/>
        <v>#REF!</v>
      </c>
      <c r="FB206" s="23" t="e">
        <f t="shared" si="819"/>
        <v>#REF!</v>
      </c>
      <c r="FC206" s="23">
        <f t="shared" si="754"/>
        <v>2.2000000000000002</v>
      </c>
      <c r="FD206" s="23" t="e">
        <f t="shared" si="820"/>
        <v>#REF!</v>
      </c>
      <c r="FE206" s="23" t="e">
        <f t="shared" si="821"/>
        <v>#REF!</v>
      </c>
      <c r="FF206" s="23" t="e">
        <f t="shared" si="822"/>
        <v>#REF!</v>
      </c>
      <c r="FG206" s="23" t="e">
        <f t="shared" si="823"/>
        <v>#REF!</v>
      </c>
      <c r="FH206" s="23"/>
      <c r="FR206" s="4">
        <f t="shared" si="607"/>
        <v>1.25</v>
      </c>
      <c r="FS206" s="4">
        <f t="shared" si="608"/>
        <v>0.5</v>
      </c>
      <c r="FT206" s="4">
        <f t="shared" si="609"/>
        <v>0</v>
      </c>
      <c r="FU206" s="4">
        <f t="shared" si="610"/>
        <v>345.681906484102</v>
      </c>
    </row>
    <row r="207" spans="1:177" ht="12" customHeight="1" x14ac:dyDescent="0.3">
      <c r="B207" s="24"/>
      <c r="C207" s="4" t="s">
        <v>319</v>
      </c>
      <c r="D207" s="7">
        <v>679</v>
      </c>
      <c r="E207" s="7">
        <f t="shared" ref="E207" si="838">6*G207</f>
        <v>133.19999999999999</v>
      </c>
      <c r="F207" s="7">
        <v>129.9</v>
      </c>
      <c r="G207" s="7">
        <v>22.2</v>
      </c>
      <c r="H207" s="7">
        <v>366</v>
      </c>
      <c r="I207" s="7">
        <f t="shared" si="829"/>
        <v>22.2</v>
      </c>
      <c r="J207" s="7" t="e">
        <f>176-#REF!</f>
        <v>#REF!</v>
      </c>
      <c r="K207" s="7">
        <f t="shared" si="798"/>
        <v>277.20000000000005</v>
      </c>
      <c r="L207" s="7">
        <v>2</v>
      </c>
      <c r="M207" s="7">
        <f t="shared" si="799"/>
        <v>88.799999999999983</v>
      </c>
      <c r="N207" s="7">
        <f t="shared" si="684"/>
        <v>1.5</v>
      </c>
      <c r="O207" s="7">
        <f t="shared" si="685"/>
        <v>1.5</v>
      </c>
      <c r="P207" s="7">
        <f t="shared" si="676"/>
        <v>4</v>
      </c>
      <c r="Q207" s="7">
        <f t="shared" si="676"/>
        <v>4</v>
      </c>
      <c r="R207" s="7">
        <f t="shared" si="686"/>
        <v>5</v>
      </c>
      <c r="S207" s="7">
        <f t="shared" si="687"/>
        <v>49.640709100495329</v>
      </c>
      <c r="T207" s="7">
        <f t="shared" si="826"/>
        <v>679</v>
      </c>
      <c r="U207" s="7">
        <v>8</v>
      </c>
      <c r="V207" s="7">
        <f>(742+721)/2</f>
        <v>731.5</v>
      </c>
      <c r="W207" s="7"/>
      <c r="X207" s="4" t="e">
        <f t="shared" si="689"/>
        <v>#REF!</v>
      </c>
      <c r="Y207" s="7"/>
      <c r="Z207" s="7"/>
      <c r="AA207" s="7">
        <v>1</v>
      </c>
      <c r="AB207" s="7"/>
      <c r="AC207" s="7"/>
      <c r="AD207" s="7">
        <f t="shared" si="827"/>
        <v>1.3346693386773545</v>
      </c>
      <c r="AE207" s="4">
        <f t="shared" si="691"/>
        <v>133.19999999999999</v>
      </c>
      <c r="AF207" s="4">
        <f t="shared" si="692"/>
        <v>0.91591591591591592</v>
      </c>
      <c r="AG207" s="4">
        <f t="shared" si="693"/>
        <v>226.32633296409878</v>
      </c>
      <c r="AH207" s="4">
        <f t="shared" si="694"/>
        <v>0.75</v>
      </c>
      <c r="AI207" s="4">
        <v>1.25</v>
      </c>
      <c r="AJ207" s="47">
        <f t="shared" si="825"/>
        <v>5</v>
      </c>
      <c r="AK207" s="38">
        <f t="shared" si="800"/>
        <v>971.6994869657957</v>
      </c>
      <c r="AL207" s="38">
        <f t="shared" si="762"/>
        <v>971.6994869657957</v>
      </c>
      <c r="AM207" s="38">
        <f t="shared" si="695"/>
        <v>5.7111767066521422</v>
      </c>
      <c r="AN207" s="38">
        <f t="shared" si="640"/>
        <v>971.69948696579524</v>
      </c>
      <c r="AO207" s="38">
        <f t="shared" si="548"/>
        <v>1.0000000000000004</v>
      </c>
      <c r="AP207" s="38">
        <f t="shared" si="641"/>
        <v>0.80209983688859943</v>
      </c>
      <c r="AQ207" s="4">
        <f t="shared" si="642"/>
        <v>1</v>
      </c>
      <c r="AR207" s="4" t="e">
        <f>#REF!/G207*F207^0.5/0.19</f>
        <v>#REF!</v>
      </c>
      <c r="AS207" s="4">
        <f t="shared" si="696"/>
        <v>1</v>
      </c>
      <c r="AT207" s="38">
        <f t="shared" si="697"/>
        <v>779.40000000000009</v>
      </c>
      <c r="AU207" s="4">
        <f t="shared" si="698"/>
        <v>0.44000000000000006</v>
      </c>
      <c r="AV207" s="4" t="e">
        <f>AU207*D207*#REF!/(D207*G207/2.75/F207^0.5)</f>
        <v>#REF!</v>
      </c>
      <c r="AW207" s="4" t="e">
        <f t="shared" si="801"/>
        <v>#REF!</v>
      </c>
      <c r="AY207" s="4">
        <f t="shared" si="700"/>
        <v>1</v>
      </c>
      <c r="AZ207" s="4" t="e">
        <f>(3*#REF!+30)*AY207*F207^0.5</f>
        <v>#REF!</v>
      </c>
      <c r="BB207" s="4">
        <f t="shared" si="701"/>
        <v>747.53991440910613</v>
      </c>
      <c r="BC207" s="4">
        <f t="shared" si="828"/>
        <v>3704.4961984911101</v>
      </c>
      <c r="BD207" s="4">
        <f t="shared" si="672"/>
        <v>4.9555831429005819</v>
      </c>
      <c r="BL207" s="4">
        <f t="shared" si="704"/>
        <v>22.2</v>
      </c>
      <c r="BP207" s="9"/>
      <c r="BR207" s="9"/>
      <c r="BS207" s="9"/>
      <c r="BT207" s="9" t="e">
        <f t="shared" si="705"/>
        <v>#REF!</v>
      </c>
      <c r="BU207" s="9">
        <f t="shared" si="706"/>
        <v>138.60000000000002</v>
      </c>
      <c r="BV207" s="9" t="e">
        <f t="shared" si="707"/>
        <v>#REF!</v>
      </c>
      <c r="BW207" s="9">
        <v>0</v>
      </c>
      <c r="BX207" s="9">
        <f t="shared" si="708"/>
        <v>0</v>
      </c>
      <c r="BY207" s="9">
        <f t="shared" si="802"/>
        <v>0</v>
      </c>
      <c r="BZ207" s="9">
        <f t="shared" si="710"/>
        <v>1</v>
      </c>
      <c r="CA207" s="9">
        <f t="shared" si="711"/>
        <v>0.77100000000000002</v>
      </c>
      <c r="CB207" s="9">
        <f t="shared" si="712"/>
        <v>3.0755797864386483</v>
      </c>
      <c r="CC207" s="9" t="e">
        <f t="shared" si="713"/>
        <v>#REF!</v>
      </c>
      <c r="CD207" s="9">
        <v>1</v>
      </c>
      <c r="CE207" s="9" t="e">
        <f>4*CC207*#REF!+60*CC207</f>
        <v>#REF!</v>
      </c>
      <c r="CG207" s="4" t="e">
        <f t="shared" si="803"/>
        <v>#REF!</v>
      </c>
      <c r="CH207" s="4" t="e">
        <f t="shared" si="804"/>
        <v>#REF!</v>
      </c>
      <c r="CI207" s="4" t="e">
        <f t="shared" si="805"/>
        <v>#REF!</v>
      </c>
      <c r="CJ207" s="4" t="e">
        <f t="shared" si="806"/>
        <v>#REF!</v>
      </c>
      <c r="CK207" s="44" t="e">
        <f t="shared" si="807"/>
        <v>#REF!</v>
      </c>
      <c r="CL207" s="4" t="e">
        <f t="shared" si="808"/>
        <v>#REF!</v>
      </c>
      <c r="CM207" s="4">
        <f t="shared" si="720"/>
        <v>2.1161072832536054</v>
      </c>
      <c r="CO207" s="4" t="e">
        <f t="shared" si="809"/>
        <v>#REF!</v>
      </c>
      <c r="CP207" s="4" t="e">
        <f t="shared" si="810"/>
        <v>#REF!</v>
      </c>
      <c r="CQ207" s="4" t="e">
        <f t="shared" si="811"/>
        <v>#REF!</v>
      </c>
      <c r="CR207" s="4">
        <f t="shared" si="837"/>
        <v>2.1161072832536054</v>
      </c>
      <c r="CS207" s="4" t="e">
        <f t="shared" si="812"/>
        <v>#REF!</v>
      </c>
      <c r="CT207" s="4" t="e">
        <f t="shared" si="813"/>
        <v>#REF!</v>
      </c>
      <c r="DB207" s="4">
        <f t="shared" si="677"/>
        <v>0</v>
      </c>
      <c r="DC207" s="4" t="e">
        <f>#REF!</f>
        <v>#REF!</v>
      </c>
      <c r="DF207" s="4">
        <f t="shared" si="723"/>
        <v>1.9960587760943928E-5</v>
      </c>
      <c r="DG207" s="4" t="e">
        <f t="shared" si="724"/>
        <v>#REF!</v>
      </c>
      <c r="DH207" s="4">
        <f t="shared" si="725"/>
        <v>0.36121658658088979</v>
      </c>
      <c r="DI207" s="4" t="e">
        <f t="shared" si="726"/>
        <v>#REF!</v>
      </c>
      <c r="DJ207" s="4" t="e">
        <f t="shared" si="727"/>
        <v>#REF!</v>
      </c>
      <c r="DK207" s="4" t="e">
        <f t="shared" si="728"/>
        <v>#REF!</v>
      </c>
      <c r="DL207" s="38" t="e">
        <f t="shared" si="729"/>
        <v>#REF!</v>
      </c>
      <c r="DM207" s="4" t="e">
        <f t="shared" si="730"/>
        <v>#REF!</v>
      </c>
      <c r="DN207" s="4">
        <f t="shared" si="731"/>
        <v>2.2360679774997898</v>
      </c>
      <c r="DO207" s="4">
        <f t="shared" si="776"/>
        <v>971.69948696579524</v>
      </c>
      <c r="DS207" s="4" t="e">
        <f t="shared" si="733"/>
        <v>#REF!</v>
      </c>
      <c r="DT207" s="4">
        <f t="shared" si="734"/>
        <v>1</v>
      </c>
      <c r="DU207" s="4">
        <f t="shared" si="735"/>
        <v>1</v>
      </c>
      <c r="DV207" s="4">
        <f t="shared" si="736"/>
        <v>1</v>
      </c>
      <c r="DX207" s="4" t="e">
        <f t="shared" si="737"/>
        <v>#REF!</v>
      </c>
      <c r="DY207" s="25">
        <f t="shared" si="814"/>
        <v>949.1812023271998</v>
      </c>
      <c r="EB207" s="4" t="e">
        <f t="shared" si="739"/>
        <v>#REF!</v>
      </c>
      <c r="EE207" s="4">
        <f t="shared" si="740"/>
        <v>49.640709100495329</v>
      </c>
      <c r="EF207" s="4">
        <f t="shared" si="741"/>
        <v>2.2360679774997898</v>
      </c>
      <c r="EG207" s="4">
        <f t="shared" si="742"/>
        <v>0.22511660227245195</v>
      </c>
      <c r="EJ207" s="4">
        <f t="shared" si="815"/>
        <v>0.22511660227245195</v>
      </c>
      <c r="EK207" s="4">
        <f t="shared" si="744"/>
        <v>0.36061378341950645</v>
      </c>
      <c r="EL207" s="4" t="e">
        <f t="shared" si="679"/>
        <v>#REF!</v>
      </c>
      <c r="EM207" s="4" t="e">
        <f t="shared" si="816"/>
        <v>#REF!</v>
      </c>
      <c r="EN207" s="4" t="e">
        <f t="shared" si="673"/>
        <v>#REF!</v>
      </c>
      <c r="EO207" s="4" t="e">
        <f t="shared" si="674"/>
        <v>#REF!</v>
      </c>
      <c r="EP207" s="4" t="e">
        <f t="shared" si="749"/>
        <v>#REF!</v>
      </c>
      <c r="EQ207" s="4" t="e">
        <f t="shared" si="817"/>
        <v>#REF!</v>
      </c>
      <c r="ER207" s="4" t="e">
        <f t="shared" si="751"/>
        <v>#REF!</v>
      </c>
      <c r="FA207" s="23" t="e">
        <f t="shared" si="818"/>
        <v>#REF!</v>
      </c>
      <c r="FB207" s="23" t="e">
        <f t="shared" si="819"/>
        <v>#REF!</v>
      </c>
      <c r="FC207" s="23">
        <f t="shared" si="754"/>
        <v>2.2000000000000002</v>
      </c>
      <c r="FD207" s="23" t="e">
        <f t="shared" si="820"/>
        <v>#REF!</v>
      </c>
      <c r="FE207" s="23" t="e">
        <f t="shared" si="821"/>
        <v>#REF!</v>
      </c>
      <c r="FF207" s="23" t="e">
        <f t="shared" si="822"/>
        <v>#REF!</v>
      </c>
      <c r="FG207" s="23" t="e">
        <f t="shared" si="823"/>
        <v>#REF!</v>
      </c>
      <c r="FH207" s="23"/>
      <c r="FR207" s="4">
        <f t="shared" si="607"/>
        <v>1.25</v>
      </c>
      <c r="FS207" s="4">
        <f t="shared" si="608"/>
        <v>0.5</v>
      </c>
      <c r="FT207" s="4">
        <f t="shared" si="609"/>
        <v>0</v>
      </c>
      <c r="FU207" s="4">
        <f t="shared" si="610"/>
        <v>345.681906484102</v>
      </c>
    </row>
    <row r="208" spans="1:177" ht="12" customHeight="1" x14ac:dyDescent="0.3">
      <c r="B208" s="24"/>
      <c r="C208" s="4" t="s">
        <v>312</v>
      </c>
      <c r="D208" s="7">
        <v>649</v>
      </c>
      <c r="E208" s="7">
        <f t="shared" si="824"/>
        <v>127.2</v>
      </c>
      <c r="F208" s="7">
        <v>129.9</v>
      </c>
      <c r="G208" s="7">
        <v>31.8</v>
      </c>
      <c r="H208" s="7">
        <v>396</v>
      </c>
      <c r="I208" s="7">
        <f t="shared" si="829"/>
        <v>31.8</v>
      </c>
      <c r="J208" s="7" t="e">
        <f>171-#REF!</f>
        <v>#REF!</v>
      </c>
      <c r="K208" s="7">
        <f t="shared" si="798"/>
        <v>268.79999999999995</v>
      </c>
      <c r="L208" s="7">
        <v>2</v>
      </c>
      <c r="M208" s="7">
        <f t="shared" si="799"/>
        <v>84.8</v>
      </c>
      <c r="N208" s="7">
        <f t="shared" si="684"/>
        <v>1.5</v>
      </c>
      <c r="O208" s="7">
        <f t="shared" si="685"/>
        <v>1.5</v>
      </c>
      <c r="P208" s="7">
        <f t="shared" si="676"/>
        <v>4</v>
      </c>
      <c r="Q208" s="7">
        <f t="shared" si="676"/>
        <v>4</v>
      </c>
      <c r="R208" s="7">
        <f t="shared" si="686"/>
        <v>5</v>
      </c>
      <c r="S208" s="7">
        <f t="shared" si="687"/>
        <v>71.106961684493314</v>
      </c>
      <c r="T208" s="7">
        <f t="shared" si="826"/>
        <v>649</v>
      </c>
      <c r="U208" s="7">
        <v>11</v>
      </c>
      <c r="V208" s="7">
        <f>(714+700)/2</f>
        <v>707</v>
      </c>
      <c r="W208" s="7"/>
      <c r="X208" s="4" t="e">
        <f t="shared" si="689"/>
        <v>#REF!</v>
      </c>
      <c r="Y208" s="7"/>
      <c r="Z208" s="7"/>
      <c r="AA208" s="7">
        <v>1</v>
      </c>
      <c r="AB208" s="7"/>
      <c r="AC208" s="7"/>
      <c r="AD208" s="7">
        <f t="shared" si="827"/>
        <v>1.2694610778443116</v>
      </c>
      <c r="AE208" s="4">
        <f t="shared" si="691"/>
        <v>127.2</v>
      </c>
      <c r="AF208" s="4">
        <f t="shared" si="692"/>
        <v>1.0377358490566038</v>
      </c>
      <c r="AG208" s="4">
        <f t="shared" si="693"/>
        <v>102.93453939452981</v>
      </c>
      <c r="AH208" s="4">
        <f t="shared" si="694"/>
        <v>0.77499999999999991</v>
      </c>
      <c r="AI208" s="4">
        <v>1.25</v>
      </c>
      <c r="AJ208" s="47">
        <f t="shared" si="825"/>
        <v>5</v>
      </c>
      <c r="AK208" s="38">
        <f t="shared" si="800"/>
        <v>517.40386104856509</v>
      </c>
      <c r="AL208" s="38">
        <f t="shared" si="762"/>
        <v>517.40386104856509</v>
      </c>
      <c r="AM208" s="38">
        <f t="shared" si="695"/>
        <v>5.7111767066521422</v>
      </c>
      <c r="AN208" s="38">
        <f t="shared" si="640"/>
        <v>517.40386104856543</v>
      </c>
      <c r="AO208" s="38">
        <f t="shared" si="548"/>
        <v>0.99999999999999933</v>
      </c>
      <c r="AP208" s="38">
        <f t="shared" si="641"/>
        <v>1.5063668029466883</v>
      </c>
      <c r="AQ208" s="4">
        <f t="shared" si="642"/>
        <v>0</v>
      </c>
      <c r="AR208" s="4" t="e">
        <f>#REF!/G208*F208^0.5/0.19</f>
        <v>#REF!</v>
      </c>
      <c r="AS208" s="4">
        <f t="shared" si="696"/>
        <v>1</v>
      </c>
      <c r="AT208" s="38">
        <f t="shared" si="697"/>
        <v>779.40000000000009</v>
      </c>
      <c r="AU208" s="4">
        <f t="shared" si="698"/>
        <v>0.44000000000000006</v>
      </c>
      <c r="AV208" s="4" t="e">
        <f>AU208*D208*#REF!/(D208*G208/2.75/F208^0.5)</f>
        <v>#REF!</v>
      </c>
      <c r="AW208" s="4" t="e">
        <f t="shared" si="801"/>
        <v>#REF!</v>
      </c>
      <c r="AY208" s="4">
        <f t="shared" si="700"/>
        <v>1</v>
      </c>
      <c r="AZ208" s="4" t="e">
        <f>(3*#REF!+30)*AY208*F208^0.5</f>
        <v>#REF!</v>
      </c>
      <c r="BB208" s="4">
        <f t="shared" si="701"/>
        <v>747.53991440910613</v>
      </c>
      <c r="BC208" s="4">
        <f t="shared" si="828"/>
        <v>711.96329095823319</v>
      </c>
      <c r="BD208" s="4">
        <f t="shared" si="672"/>
        <v>0.95240839617374207</v>
      </c>
      <c r="BL208" s="4">
        <f t="shared" si="704"/>
        <v>31.8</v>
      </c>
      <c r="BP208" s="9"/>
      <c r="BR208" s="9"/>
      <c r="BS208" s="9"/>
      <c r="BT208" s="9" t="e">
        <f t="shared" si="705"/>
        <v>#REF!</v>
      </c>
      <c r="BU208" s="9">
        <f t="shared" si="706"/>
        <v>134.39999999999998</v>
      </c>
      <c r="BV208" s="9" t="e">
        <f t="shared" si="707"/>
        <v>#REF!</v>
      </c>
      <c r="BW208" s="9">
        <v>0</v>
      </c>
      <c r="BX208" s="9">
        <f t="shared" si="708"/>
        <v>0</v>
      </c>
      <c r="BY208" s="9">
        <f t="shared" si="802"/>
        <v>0</v>
      </c>
      <c r="BZ208" s="9">
        <f t="shared" si="710"/>
        <v>0.93036607665491811</v>
      </c>
      <c r="CA208" s="9">
        <f t="shared" si="711"/>
        <v>0.80099999999999993</v>
      </c>
      <c r="CB208" s="9">
        <f t="shared" si="712"/>
        <v>2.9727542082721463</v>
      </c>
      <c r="CC208" s="9" t="e">
        <f t="shared" si="713"/>
        <v>#REF!</v>
      </c>
      <c r="CD208" s="9">
        <v>1</v>
      </c>
      <c r="CE208" s="9" t="e">
        <f>4*CC208*#REF!+60*CC208</f>
        <v>#REF!</v>
      </c>
      <c r="CG208" s="4" t="e">
        <f t="shared" si="803"/>
        <v>#REF!</v>
      </c>
      <c r="CH208" s="4" t="e">
        <f t="shared" si="804"/>
        <v>#REF!</v>
      </c>
      <c r="CI208" s="4" t="e">
        <f t="shared" si="805"/>
        <v>#REF!</v>
      </c>
      <c r="CJ208" s="4" t="e">
        <f t="shared" si="806"/>
        <v>#REF!</v>
      </c>
      <c r="CK208" s="44" t="e">
        <f t="shared" si="807"/>
        <v>#REF!</v>
      </c>
      <c r="CL208" s="4" t="e">
        <f t="shared" si="808"/>
        <v>#REF!</v>
      </c>
      <c r="CM208" s="4">
        <f t="shared" si="720"/>
        <v>3.6717330366569469</v>
      </c>
      <c r="CO208" s="4" t="e">
        <f t="shared" si="809"/>
        <v>#REF!</v>
      </c>
      <c r="CP208" s="4" t="e">
        <f t="shared" si="810"/>
        <v>#REF!</v>
      </c>
      <c r="CQ208" s="4" t="e">
        <f t="shared" si="811"/>
        <v>#REF!</v>
      </c>
      <c r="CR208" s="4">
        <f t="shared" si="837"/>
        <v>3.6717330366569469</v>
      </c>
      <c r="CS208" s="4" t="e">
        <f t="shared" si="812"/>
        <v>#REF!</v>
      </c>
      <c r="CT208" s="4" t="e">
        <f t="shared" si="813"/>
        <v>#REF!</v>
      </c>
      <c r="DB208" s="4">
        <f t="shared" si="677"/>
        <v>0</v>
      </c>
      <c r="DC208" s="4" t="e">
        <f>#REF!</f>
        <v>#REF!</v>
      </c>
      <c r="DF208" s="4">
        <f t="shared" si="723"/>
        <v>1.3307058507295954E-5</v>
      </c>
      <c r="DG208" s="4" t="e">
        <f t="shared" si="724"/>
        <v>#REF!</v>
      </c>
      <c r="DH208" s="4">
        <f t="shared" si="725"/>
        <v>0.2755113670422118</v>
      </c>
      <c r="DI208" s="4" t="e">
        <f t="shared" si="726"/>
        <v>#REF!</v>
      </c>
      <c r="DJ208" s="4" t="e">
        <f t="shared" si="727"/>
        <v>#REF!</v>
      </c>
      <c r="DK208" s="4" t="e">
        <f t="shared" si="728"/>
        <v>#REF!</v>
      </c>
      <c r="DL208" s="38" t="e">
        <f t="shared" si="729"/>
        <v>#REF!</v>
      </c>
      <c r="DM208" s="4" t="e">
        <f t="shared" si="730"/>
        <v>#REF!</v>
      </c>
      <c r="DN208" s="4">
        <f t="shared" si="731"/>
        <v>2.2360679774997898</v>
      </c>
      <c r="DO208" s="4">
        <f t="shared" si="776"/>
        <v>517.40386104856543</v>
      </c>
      <c r="DS208" s="4" t="e">
        <f t="shared" si="733"/>
        <v>#REF!</v>
      </c>
      <c r="DT208" s="4">
        <f t="shared" si="734"/>
        <v>1</v>
      </c>
      <c r="DU208" s="4">
        <f t="shared" si="735"/>
        <v>1</v>
      </c>
      <c r="DV208" s="4">
        <f t="shared" si="736"/>
        <v>1</v>
      </c>
      <c r="DX208" s="4" t="e">
        <f t="shared" si="737"/>
        <v>#REF!</v>
      </c>
      <c r="DY208" s="25">
        <f t="shared" si="814"/>
        <v>500.22595130449861</v>
      </c>
      <c r="EB208" s="4" t="e">
        <f t="shared" si="739"/>
        <v>#REF!</v>
      </c>
      <c r="EE208" s="4">
        <f t="shared" si="740"/>
        <v>71.106961684493314</v>
      </c>
      <c r="EF208" s="4">
        <f t="shared" si="741"/>
        <v>2.2360679774997898</v>
      </c>
      <c r="EG208" s="4">
        <f t="shared" si="742"/>
        <v>0.17170358488533044</v>
      </c>
      <c r="EJ208" s="4">
        <f t="shared" si="815"/>
        <v>0.17170358488533044</v>
      </c>
      <c r="EK208" s="4">
        <f t="shared" si="744"/>
        <v>0.27505158991895695</v>
      </c>
      <c r="EL208" s="4" t="e">
        <f t="shared" si="679"/>
        <v>#REF!</v>
      </c>
      <c r="EM208" s="4" t="e">
        <f t="shared" si="816"/>
        <v>#REF!</v>
      </c>
      <c r="EN208" s="4" t="e">
        <f t="shared" si="673"/>
        <v>#REF!</v>
      </c>
      <c r="EO208" s="4" t="e">
        <f t="shared" si="674"/>
        <v>#REF!</v>
      </c>
      <c r="EP208" s="4" t="e">
        <f t="shared" si="749"/>
        <v>#REF!</v>
      </c>
      <c r="EQ208" s="4" t="e">
        <f t="shared" si="817"/>
        <v>#REF!</v>
      </c>
      <c r="ER208" s="4" t="e">
        <f t="shared" si="751"/>
        <v>#REF!</v>
      </c>
      <c r="FA208" s="23" t="e">
        <f t="shared" si="818"/>
        <v>#REF!</v>
      </c>
      <c r="FB208" s="23" t="e">
        <f t="shared" si="819"/>
        <v>#REF!</v>
      </c>
      <c r="FC208" s="23">
        <f t="shared" si="754"/>
        <v>2.2000000000000002</v>
      </c>
      <c r="FD208" s="23" t="e">
        <f t="shared" si="820"/>
        <v>#REF!</v>
      </c>
      <c r="FE208" s="23" t="e">
        <f t="shared" si="821"/>
        <v>#REF!</v>
      </c>
      <c r="FF208" s="23" t="e">
        <f t="shared" si="822"/>
        <v>#REF!</v>
      </c>
      <c r="FG208" s="23" t="e">
        <f t="shared" si="823"/>
        <v>#REF!</v>
      </c>
      <c r="FH208" s="23"/>
      <c r="FR208" s="4">
        <f t="shared" si="607"/>
        <v>1.25</v>
      </c>
      <c r="FS208" s="4">
        <f t="shared" si="608"/>
        <v>0.5</v>
      </c>
      <c r="FT208" s="4">
        <f t="shared" si="609"/>
        <v>0</v>
      </c>
      <c r="FU208" s="4">
        <f t="shared" si="610"/>
        <v>192.55212537012548</v>
      </c>
    </row>
    <row r="209" spans="1:177" ht="12" customHeight="1" x14ac:dyDescent="0.3">
      <c r="B209" s="24"/>
      <c r="C209" s="4" t="s">
        <v>313</v>
      </c>
      <c r="D209" s="7">
        <v>649</v>
      </c>
      <c r="E209" s="7">
        <f t="shared" si="824"/>
        <v>127.2</v>
      </c>
      <c r="F209" s="7">
        <v>129.9</v>
      </c>
      <c r="G209" s="7">
        <v>31.8</v>
      </c>
      <c r="H209" s="7">
        <v>396</v>
      </c>
      <c r="I209" s="7">
        <f t="shared" si="829"/>
        <v>31.8</v>
      </c>
      <c r="J209" s="7" t="e">
        <f>171-#REF!</f>
        <v>#REF!</v>
      </c>
      <c r="K209" s="7">
        <f t="shared" si="798"/>
        <v>268.79999999999995</v>
      </c>
      <c r="L209" s="7">
        <v>2</v>
      </c>
      <c r="M209" s="7">
        <f t="shared" si="799"/>
        <v>84.8</v>
      </c>
      <c r="N209" s="7">
        <f t="shared" si="684"/>
        <v>1.5</v>
      </c>
      <c r="O209" s="7">
        <f t="shared" si="685"/>
        <v>1.5</v>
      </c>
      <c r="P209" s="7">
        <f t="shared" si="676"/>
        <v>4</v>
      </c>
      <c r="Q209" s="7">
        <f t="shared" si="676"/>
        <v>4</v>
      </c>
      <c r="R209" s="7">
        <f t="shared" si="686"/>
        <v>5</v>
      </c>
      <c r="S209" s="7">
        <f t="shared" si="687"/>
        <v>71.106961684493314</v>
      </c>
      <c r="T209" s="7">
        <f t="shared" si="826"/>
        <v>649</v>
      </c>
      <c r="U209" s="7">
        <v>11</v>
      </c>
      <c r="V209" s="7">
        <f>(720+688)/2</f>
        <v>704</v>
      </c>
      <c r="W209" s="7"/>
      <c r="X209" s="4" t="e">
        <f t="shared" si="689"/>
        <v>#REF!</v>
      </c>
      <c r="Y209" s="7"/>
      <c r="Z209" s="7"/>
      <c r="AA209" s="7">
        <v>1</v>
      </c>
      <c r="AB209" s="7"/>
      <c r="AC209" s="7"/>
      <c r="AD209" s="7">
        <f t="shared" si="827"/>
        <v>1.2694610778443116</v>
      </c>
      <c r="AE209" s="4">
        <f t="shared" si="691"/>
        <v>127.2</v>
      </c>
      <c r="AF209" s="4">
        <f t="shared" si="692"/>
        <v>1.0377358490566038</v>
      </c>
      <c r="AG209" s="4">
        <f t="shared" si="693"/>
        <v>102.93453939452981</v>
      </c>
      <c r="AH209" s="4">
        <f t="shared" si="694"/>
        <v>0.77499999999999991</v>
      </c>
      <c r="AI209" s="4">
        <v>1.25</v>
      </c>
      <c r="AJ209" s="47">
        <f t="shared" si="825"/>
        <v>5</v>
      </c>
      <c r="AK209" s="38">
        <f t="shared" si="800"/>
        <v>517.40386104856509</v>
      </c>
      <c r="AL209" s="38">
        <f t="shared" si="762"/>
        <v>517.40386104856509</v>
      </c>
      <c r="AM209" s="38">
        <f t="shared" si="695"/>
        <v>5.7111767066521422</v>
      </c>
      <c r="AN209" s="38">
        <f t="shared" si="640"/>
        <v>517.40386104856543</v>
      </c>
      <c r="AO209" s="38">
        <f t="shared" si="548"/>
        <v>0.99999999999999933</v>
      </c>
      <c r="AP209" s="38">
        <f t="shared" si="641"/>
        <v>1.5063668029466883</v>
      </c>
      <c r="AQ209" s="4">
        <f t="shared" si="642"/>
        <v>0</v>
      </c>
      <c r="AR209" s="4" t="e">
        <f>#REF!/G209*F209^0.5/0.19</f>
        <v>#REF!</v>
      </c>
      <c r="AS209" s="4">
        <f t="shared" si="696"/>
        <v>1</v>
      </c>
      <c r="AT209" s="38">
        <f t="shared" si="697"/>
        <v>779.40000000000009</v>
      </c>
      <c r="AU209" s="4">
        <f t="shared" si="698"/>
        <v>0.44000000000000006</v>
      </c>
      <c r="AV209" s="4" t="e">
        <f>AU209*D209*#REF!/(D209*G209/2.75/F209^0.5)</f>
        <v>#REF!</v>
      </c>
      <c r="AW209" s="4" t="e">
        <f t="shared" si="801"/>
        <v>#REF!</v>
      </c>
      <c r="AY209" s="4">
        <f t="shared" si="700"/>
        <v>1</v>
      </c>
      <c r="AZ209" s="4" t="e">
        <f>(3*#REF!+30)*AY209*F209^0.5</f>
        <v>#REF!</v>
      </c>
      <c r="BB209" s="4">
        <f t="shared" si="701"/>
        <v>747.53991440910613</v>
      </c>
      <c r="BC209" s="4">
        <f t="shared" si="828"/>
        <v>711.96329095823319</v>
      </c>
      <c r="BD209" s="4">
        <f t="shared" si="672"/>
        <v>0.95240839617374207</v>
      </c>
      <c r="BL209" s="4">
        <f t="shared" si="704"/>
        <v>31.8</v>
      </c>
      <c r="BP209" s="9"/>
      <c r="BR209" s="9"/>
      <c r="BS209" s="9"/>
      <c r="BT209" s="9" t="e">
        <f t="shared" si="705"/>
        <v>#REF!</v>
      </c>
      <c r="BU209" s="9">
        <f t="shared" si="706"/>
        <v>134.39999999999998</v>
      </c>
      <c r="BV209" s="9" t="e">
        <f t="shared" si="707"/>
        <v>#REF!</v>
      </c>
      <c r="BW209" s="9">
        <v>0</v>
      </c>
      <c r="BX209" s="9">
        <f t="shared" si="708"/>
        <v>0</v>
      </c>
      <c r="BY209" s="9">
        <f t="shared" si="802"/>
        <v>0</v>
      </c>
      <c r="BZ209" s="9">
        <f t="shared" si="710"/>
        <v>0.93036607665491811</v>
      </c>
      <c r="CA209" s="9">
        <f t="shared" si="711"/>
        <v>0.80099999999999993</v>
      </c>
      <c r="CB209" s="9">
        <f t="shared" si="712"/>
        <v>2.9727542082721463</v>
      </c>
      <c r="CC209" s="9" t="e">
        <f t="shared" si="713"/>
        <v>#REF!</v>
      </c>
      <c r="CD209" s="9">
        <v>1</v>
      </c>
      <c r="CE209" s="9" t="e">
        <f>4*CC209*#REF!+60*CC209</f>
        <v>#REF!</v>
      </c>
      <c r="CG209" s="4" t="e">
        <f t="shared" si="803"/>
        <v>#REF!</v>
      </c>
      <c r="CH209" s="4" t="e">
        <f t="shared" si="804"/>
        <v>#REF!</v>
      </c>
      <c r="CI209" s="4" t="e">
        <f t="shared" si="805"/>
        <v>#REF!</v>
      </c>
      <c r="CJ209" s="4" t="e">
        <f t="shared" si="806"/>
        <v>#REF!</v>
      </c>
      <c r="CK209" s="44" t="e">
        <f t="shared" si="807"/>
        <v>#REF!</v>
      </c>
      <c r="CL209" s="4" t="e">
        <f t="shared" si="808"/>
        <v>#REF!</v>
      </c>
      <c r="CM209" s="4">
        <f t="shared" si="720"/>
        <v>3.6561528398960266</v>
      </c>
      <c r="CO209" s="4" t="e">
        <f t="shared" si="809"/>
        <v>#REF!</v>
      </c>
      <c r="CP209" s="4" t="e">
        <f t="shared" si="810"/>
        <v>#REF!</v>
      </c>
      <c r="CQ209" s="4" t="e">
        <f t="shared" si="811"/>
        <v>#REF!</v>
      </c>
      <c r="CR209" s="4">
        <f t="shared" si="837"/>
        <v>3.6561528398960266</v>
      </c>
      <c r="CS209" s="4" t="e">
        <f t="shared" si="812"/>
        <v>#REF!</v>
      </c>
      <c r="CT209" s="4" t="e">
        <f t="shared" si="813"/>
        <v>#REF!</v>
      </c>
      <c r="DB209" s="4">
        <f t="shared" si="677"/>
        <v>0</v>
      </c>
      <c r="DC209" s="4" t="e">
        <f>#REF!</f>
        <v>#REF!</v>
      </c>
      <c r="DF209" s="4">
        <f t="shared" si="723"/>
        <v>1.3307058507295954E-5</v>
      </c>
      <c r="DG209" s="4" t="e">
        <f t="shared" si="724"/>
        <v>#REF!</v>
      </c>
      <c r="DH209" s="4">
        <f t="shared" si="725"/>
        <v>0.2755113670422118</v>
      </c>
      <c r="DI209" s="4" t="e">
        <f t="shared" si="726"/>
        <v>#REF!</v>
      </c>
      <c r="DJ209" s="4" t="e">
        <f t="shared" si="727"/>
        <v>#REF!</v>
      </c>
      <c r="DK209" s="4" t="e">
        <f t="shared" si="728"/>
        <v>#REF!</v>
      </c>
      <c r="DL209" s="38" t="e">
        <f t="shared" si="729"/>
        <v>#REF!</v>
      </c>
      <c r="DM209" s="4" t="e">
        <f t="shared" si="730"/>
        <v>#REF!</v>
      </c>
      <c r="DN209" s="4">
        <f t="shared" si="731"/>
        <v>2.2360679774997898</v>
      </c>
      <c r="DO209" s="4">
        <f t="shared" si="776"/>
        <v>517.40386104856543</v>
      </c>
      <c r="DS209" s="4" t="e">
        <f t="shared" si="733"/>
        <v>#REF!</v>
      </c>
      <c r="DT209" s="4">
        <f t="shared" si="734"/>
        <v>1</v>
      </c>
      <c r="DU209" s="4">
        <f t="shared" si="735"/>
        <v>1</v>
      </c>
      <c r="DV209" s="4">
        <f t="shared" si="736"/>
        <v>1</v>
      </c>
      <c r="DX209" s="4" t="e">
        <f t="shared" si="737"/>
        <v>#REF!</v>
      </c>
      <c r="DY209" s="25">
        <f t="shared" si="814"/>
        <v>500.22595130449861</v>
      </c>
      <c r="EB209" s="4" t="e">
        <f t="shared" si="739"/>
        <v>#REF!</v>
      </c>
      <c r="EE209" s="4">
        <f t="shared" si="740"/>
        <v>71.106961684493314</v>
      </c>
      <c r="EF209" s="4">
        <f t="shared" si="741"/>
        <v>2.2360679774997898</v>
      </c>
      <c r="EG209" s="4">
        <f t="shared" si="742"/>
        <v>0.17170358488533044</v>
      </c>
      <c r="EJ209" s="4">
        <f t="shared" si="815"/>
        <v>0.17170358488533044</v>
      </c>
      <c r="EK209" s="4">
        <f t="shared" si="744"/>
        <v>0.27505158991895695</v>
      </c>
      <c r="EL209" s="4" t="e">
        <f t="shared" si="679"/>
        <v>#REF!</v>
      </c>
      <c r="EM209" s="4" t="e">
        <f t="shared" si="816"/>
        <v>#REF!</v>
      </c>
      <c r="EN209" s="4" t="e">
        <f t="shared" si="673"/>
        <v>#REF!</v>
      </c>
      <c r="EO209" s="4" t="e">
        <f t="shared" si="674"/>
        <v>#REF!</v>
      </c>
      <c r="EP209" s="4" t="e">
        <f t="shared" si="749"/>
        <v>#REF!</v>
      </c>
      <c r="EQ209" s="4" t="e">
        <f t="shared" si="817"/>
        <v>#REF!</v>
      </c>
      <c r="ER209" s="4" t="e">
        <f t="shared" si="751"/>
        <v>#REF!</v>
      </c>
      <c r="FA209" s="23" t="e">
        <f t="shared" si="818"/>
        <v>#REF!</v>
      </c>
      <c r="FB209" s="23" t="e">
        <f t="shared" si="819"/>
        <v>#REF!</v>
      </c>
      <c r="FC209" s="23">
        <f t="shared" si="754"/>
        <v>2.2000000000000002</v>
      </c>
      <c r="FD209" s="23" t="e">
        <f t="shared" si="820"/>
        <v>#REF!</v>
      </c>
      <c r="FE209" s="23" t="e">
        <f t="shared" si="821"/>
        <v>#REF!</v>
      </c>
      <c r="FF209" s="23" t="e">
        <f t="shared" si="822"/>
        <v>#REF!</v>
      </c>
      <c r="FG209" s="23" t="e">
        <f t="shared" si="823"/>
        <v>#REF!</v>
      </c>
      <c r="FH209" s="23"/>
      <c r="FR209" s="4">
        <f t="shared" si="607"/>
        <v>1.25</v>
      </c>
      <c r="FS209" s="4">
        <f t="shared" si="608"/>
        <v>0.5</v>
      </c>
      <c r="FT209" s="4">
        <f t="shared" si="609"/>
        <v>0</v>
      </c>
      <c r="FU209" s="4">
        <f t="shared" si="610"/>
        <v>192.55212537012548</v>
      </c>
    </row>
    <row r="210" spans="1:177" ht="12" customHeight="1" x14ac:dyDescent="0.3">
      <c r="B210" s="24"/>
      <c r="C210" s="4" t="s">
        <v>320</v>
      </c>
      <c r="D210" s="7">
        <v>649</v>
      </c>
      <c r="E210" s="7">
        <f t="shared" si="824"/>
        <v>127.2</v>
      </c>
      <c r="F210" s="7">
        <v>129.9</v>
      </c>
      <c r="G210" s="7">
        <v>31.8</v>
      </c>
      <c r="H210" s="7">
        <v>428</v>
      </c>
      <c r="I210" s="7">
        <f>1.5*G210</f>
        <v>47.7</v>
      </c>
      <c r="J210" s="7" t="e">
        <f>171-#REF!</f>
        <v>#REF!</v>
      </c>
      <c r="K210" s="7">
        <f t="shared" si="798"/>
        <v>269</v>
      </c>
      <c r="L210" s="7">
        <v>2</v>
      </c>
      <c r="M210" s="7">
        <f t="shared" si="799"/>
        <v>84.8</v>
      </c>
      <c r="N210" s="7">
        <f t="shared" si="684"/>
        <v>2</v>
      </c>
      <c r="O210" s="7">
        <f t="shared" si="685"/>
        <v>2</v>
      </c>
      <c r="P210" s="7">
        <f t="shared" si="676"/>
        <v>4</v>
      </c>
      <c r="Q210" s="7">
        <f t="shared" si="676"/>
        <v>4</v>
      </c>
      <c r="R210" s="7">
        <f t="shared" si="686"/>
        <v>5</v>
      </c>
      <c r="S210" s="7">
        <f t="shared" si="687"/>
        <v>71.106961684493314</v>
      </c>
      <c r="T210" s="7">
        <f t="shared" si="826"/>
        <v>649</v>
      </c>
      <c r="U210" s="7">
        <v>11</v>
      </c>
      <c r="V210" s="7">
        <f>(741+710)/2</f>
        <v>725.5</v>
      </c>
      <c r="W210" s="7"/>
      <c r="X210" s="4" t="e">
        <f t="shared" si="689"/>
        <v>#REF!</v>
      </c>
      <c r="Y210" s="7"/>
      <c r="Z210" s="7"/>
      <c r="AA210" s="7">
        <v>1</v>
      </c>
      <c r="AB210" s="7"/>
      <c r="AC210" s="7"/>
      <c r="AD210" s="7">
        <f t="shared" si="827"/>
        <v>1.2686170212765957</v>
      </c>
      <c r="AE210" s="4">
        <f t="shared" si="691"/>
        <v>127.2</v>
      </c>
      <c r="AF210" s="4">
        <f t="shared" si="692"/>
        <v>1.1215932914046123</v>
      </c>
      <c r="AG210" s="4">
        <f t="shared" si="693"/>
        <v>102.93453939452981</v>
      </c>
      <c r="AH210" s="4">
        <f t="shared" si="694"/>
        <v>0.79999999999999993</v>
      </c>
      <c r="AI210" s="4">
        <v>1.25</v>
      </c>
      <c r="AJ210" s="47">
        <f t="shared" si="825"/>
        <v>5</v>
      </c>
      <c r="AK210" s="38">
        <f t="shared" si="800"/>
        <v>577.25344419364194</v>
      </c>
      <c r="AL210" s="38">
        <f t="shared" si="762"/>
        <v>577.25344419364194</v>
      </c>
      <c r="AM210" s="38">
        <f t="shared" si="695"/>
        <v>5.7111767066521422</v>
      </c>
      <c r="AN210" s="38">
        <f t="shared" si="640"/>
        <v>577.25344419364239</v>
      </c>
      <c r="AO210" s="38">
        <f t="shared" si="548"/>
        <v>0.99999999999999922</v>
      </c>
      <c r="AP210" s="38">
        <f t="shared" si="641"/>
        <v>1.8002491114654926</v>
      </c>
      <c r="AQ210" s="4">
        <f t="shared" si="642"/>
        <v>0</v>
      </c>
      <c r="AR210" s="4" t="e">
        <f>#REF!/G210*F210^0.5/0.19</f>
        <v>#REF!</v>
      </c>
      <c r="AS210" s="4">
        <f t="shared" si="696"/>
        <v>1</v>
      </c>
      <c r="AT210" s="38">
        <f t="shared" si="697"/>
        <v>1039.2</v>
      </c>
      <c r="AU210" s="4">
        <f t="shared" si="698"/>
        <v>0.44000000000000006</v>
      </c>
      <c r="AV210" s="4" t="e">
        <f>AU210*D210*#REF!/(D210*G210/2.75/F210^0.5)</f>
        <v>#REF!</v>
      </c>
      <c r="AW210" s="4" t="e">
        <f t="shared" si="801"/>
        <v>#REF!</v>
      </c>
      <c r="AY210" s="4">
        <f t="shared" si="700"/>
        <v>1.125</v>
      </c>
      <c r="AZ210" s="4" t="e">
        <f>(3*#REF!+30)*AY210*F210^0.5</f>
        <v>#REF!</v>
      </c>
      <c r="BB210" s="4">
        <f t="shared" si="701"/>
        <v>996.71988587880821</v>
      </c>
      <c r="BC210" s="4">
        <f t="shared" si="828"/>
        <v>711.96329095823319</v>
      </c>
      <c r="BD210" s="4">
        <f t="shared" si="672"/>
        <v>0.71430629713030647</v>
      </c>
      <c r="BL210" s="4">
        <f t="shared" si="704"/>
        <v>47.7</v>
      </c>
      <c r="BP210" s="9"/>
      <c r="BR210" s="9"/>
      <c r="BS210" s="9"/>
      <c r="BT210" s="9" t="e">
        <f t="shared" si="705"/>
        <v>#REF!</v>
      </c>
      <c r="BU210" s="9">
        <f t="shared" si="706"/>
        <v>134.5</v>
      </c>
      <c r="BV210" s="9" t="e">
        <f t="shared" si="707"/>
        <v>#REF!</v>
      </c>
      <c r="BW210" s="9">
        <v>0</v>
      </c>
      <c r="BX210" s="9">
        <f t="shared" si="708"/>
        <v>0</v>
      </c>
      <c r="BY210" s="9">
        <f t="shared" si="802"/>
        <v>0</v>
      </c>
      <c r="BZ210" s="9">
        <f t="shared" si="710"/>
        <v>0.93036607665491811</v>
      </c>
      <c r="CA210" s="9">
        <f t="shared" si="711"/>
        <v>0.80099999999999993</v>
      </c>
      <c r="CB210" s="9">
        <f t="shared" si="712"/>
        <v>2.9727542082721463</v>
      </c>
      <c r="CC210" s="9" t="e">
        <f t="shared" si="713"/>
        <v>#REF!</v>
      </c>
      <c r="CD210" s="9">
        <v>1</v>
      </c>
      <c r="CE210" s="9" t="e">
        <f>4*CC210*#REF!+60*CC210</f>
        <v>#REF!</v>
      </c>
      <c r="CG210" s="4" t="e">
        <f t="shared" si="803"/>
        <v>#REF!</v>
      </c>
      <c r="CH210" s="4" t="e">
        <f t="shared" si="804"/>
        <v>#REF!</v>
      </c>
      <c r="CI210" s="4" t="e">
        <f t="shared" si="805"/>
        <v>#REF!</v>
      </c>
      <c r="CJ210" s="4" t="e">
        <f t="shared" si="806"/>
        <v>#REF!</v>
      </c>
      <c r="CK210" s="44" t="e">
        <f t="shared" si="807"/>
        <v>#REF!</v>
      </c>
      <c r="CL210" s="4" t="e">
        <f t="shared" si="808"/>
        <v>#REF!</v>
      </c>
      <c r="CM210" s="4">
        <f t="shared" si="720"/>
        <v>3.7678109166826239</v>
      </c>
      <c r="CO210" s="4" t="e">
        <f t="shared" si="809"/>
        <v>#REF!</v>
      </c>
      <c r="CP210" s="4" t="e">
        <f t="shared" si="810"/>
        <v>#REF!</v>
      </c>
      <c r="CQ210" s="4" t="e">
        <f t="shared" si="811"/>
        <v>#REF!</v>
      </c>
      <c r="CR210" s="4">
        <f t="shared" si="837"/>
        <v>3.7678109166826239</v>
      </c>
      <c r="CS210" s="4" t="e">
        <f t="shared" si="812"/>
        <v>#REF!</v>
      </c>
      <c r="CT210" s="4" t="e">
        <f t="shared" si="813"/>
        <v>#REF!</v>
      </c>
      <c r="DB210" s="4">
        <f t="shared" si="677"/>
        <v>0</v>
      </c>
      <c r="DC210" s="4" t="e">
        <f>#REF!</f>
        <v>#REF!</v>
      </c>
      <c r="DF210" s="4">
        <f t="shared" si="723"/>
        <v>1.3307058507295954E-5</v>
      </c>
      <c r="DG210" s="4" t="e">
        <f t="shared" si="724"/>
        <v>#REF!</v>
      </c>
      <c r="DH210" s="4">
        <f t="shared" si="725"/>
        <v>0.30738055417156512</v>
      </c>
      <c r="DI210" s="4" t="e">
        <f t="shared" si="726"/>
        <v>#REF!</v>
      </c>
      <c r="DJ210" s="4" t="e">
        <f t="shared" si="727"/>
        <v>#REF!</v>
      </c>
      <c r="DK210" s="4" t="e">
        <f t="shared" si="728"/>
        <v>#REF!</v>
      </c>
      <c r="DL210" s="38" t="e">
        <f t="shared" si="729"/>
        <v>#REF!</v>
      </c>
      <c r="DM210" s="4" t="e">
        <f t="shared" si="730"/>
        <v>#REF!</v>
      </c>
      <c r="DN210" s="4">
        <f t="shared" si="731"/>
        <v>2.2360679774997898</v>
      </c>
      <c r="DO210" s="4">
        <f t="shared" si="776"/>
        <v>577.25344419364239</v>
      </c>
      <c r="DS210" s="4" t="e">
        <f t="shared" si="733"/>
        <v>#REF!</v>
      </c>
      <c r="DT210" s="4">
        <f t="shared" si="734"/>
        <v>0.95</v>
      </c>
      <c r="DU210" s="4">
        <f t="shared" si="735"/>
        <v>1</v>
      </c>
      <c r="DV210" s="4">
        <f t="shared" si="736"/>
        <v>0.95</v>
      </c>
      <c r="DX210" s="4" t="e">
        <f t="shared" si="737"/>
        <v>#REF!</v>
      </c>
      <c r="DY210" s="25">
        <f t="shared" si="814"/>
        <v>558.66985874647196</v>
      </c>
      <c r="EB210" s="4" t="e">
        <f t="shared" si="739"/>
        <v>#REF!</v>
      </c>
      <c r="EE210" s="4">
        <f t="shared" si="740"/>
        <v>71.106961684493314</v>
      </c>
      <c r="EF210" s="4">
        <f t="shared" si="741"/>
        <v>2.2360679774997898</v>
      </c>
      <c r="EG210" s="4">
        <f t="shared" si="742"/>
        <v>0.19156502921061311</v>
      </c>
      <c r="EJ210" s="4">
        <f t="shared" si="815"/>
        <v>0.19156502921061311</v>
      </c>
      <c r="EK210" s="4">
        <f t="shared" si="744"/>
        <v>0.30686759331460051</v>
      </c>
      <c r="EL210" s="4" t="e">
        <f t="shared" si="679"/>
        <v>#REF!</v>
      </c>
      <c r="EM210" s="4" t="e">
        <f t="shared" si="816"/>
        <v>#REF!</v>
      </c>
      <c r="EN210" s="4" t="e">
        <f t="shared" si="673"/>
        <v>#REF!</v>
      </c>
      <c r="EO210" s="4" t="e">
        <f t="shared" si="674"/>
        <v>#REF!</v>
      </c>
      <c r="EP210" s="4" t="e">
        <f t="shared" si="749"/>
        <v>#REF!</v>
      </c>
      <c r="EQ210" s="4" t="e">
        <f t="shared" si="817"/>
        <v>#REF!</v>
      </c>
      <c r="ER210" s="4" t="e">
        <f t="shared" si="751"/>
        <v>#REF!</v>
      </c>
      <c r="FA210" s="23" t="e">
        <f t="shared" si="818"/>
        <v>#REF!</v>
      </c>
      <c r="FB210" s="23" t="e">
        <f t="shared" si="819"/>
        <v>#REF!</v>
      </c>
      <c r="FC210" s="23">
        <f t="shared" si="754"/>
        <v>2.2000000000000002</v>
      </c>
      <c r="FD210" s="23" t="e">
        <f t="shared" si="820"/>
        <v>#REF!</v>
      </c>
      <c r="FE210" s="23" t="e">
        <f t="shared" si="821"/>
        <v>#REF!</v>
      </c>
      <c r="FF210" s="23" t="e">
        <f t="shared" si="822"/>
        <v>#REF!</v>
      </c>
      <c r="FG210" s="23" t="e">
        <f t="shared" si="823"/>
        <v>#REF!</v>
      </c>
      <c r="FH210" s="23"/>
      <c r="FR210" s="4">
        <f t="shared" si="607"/>
        <v>1.25</v>
      </c>
      <c r="FS210" s="4">
        <f t="shared" si="608"/>
        <v>0.5</v>
      </c>
      <c r="FT210" s="4">
        <f t="shared" si="609"/>
        <v>0</v>
      </c>
      <c r="FU210" s="4">
        <f t="shared" si="610"/>
        <v>192.55212537012548</v>
      </c>
    </row>
    <row r="211" spans="1:177" ht="12" customHeight="1" x14ac:dyDescent="0.3">
      <c r="B211" s="24"/>
      <c r="C211" s="4" t="s">
        <v>321</v>
      </c>
      <c r="D211" s="7">
        <v>649</v>
      </c>
      <c r="E211" s="7">
        <f t="shared" si="824"/>
        <v>127.2</v>
      </c>
      <c r="F211" s="7">
        <v>129.9</v>
      </c>
      <c r="G211" s="7">
        <v>31.8</v>
      </c>
      <c r="H211" s="7">
        <v>428</v>
      </c>
      <c r="I211" s="7">
        <f>1.5*G211</f>
        <v>47.7</v>
      </c>
      <c r="J211" s="7" t="e">
        <f>171-#REF!</f>
        <v>#REF!</v>
      </c>
      <c r="K211" s="7">
        <f t="shared" si="798"/>
        <v>269</v>
      </c>
      <c r="L211" s="7">
        <v>2</v>
      </c>
      <c r="M211" s="7">
        <f t="shared" si="799"/>
        <v>84.8</v>
      </c>
      <c r="N211" s="7">
        <f t="shared" si="684"/>
        <v>2</v>
      </c>
      <c r="O211" s="7">
        <f t="shared" si="685"/>
        <v>2</v>
      </c>
      <c r="P211" s="7">
        <f t="shared" si="676"/>
        <v>4</v>
      </c>
      <c r="Q211" s="7">
        <f t="shared" si="676"/>
        <v>4</v>
      </c>
      <c r="R211" s="7">
        <f t="shared" si="686"/>
        <v>5</v>
      </c>
      <c r="S211" s="7">
        <f t="shared" si="687"/>
        <v>71.106961684493314</v>
      </c>
      <c r="T211" s="7">
        <f t="shared" si="826"/>
        <v>649</v>
      </c>
      <c r="U211" s="7">
        <v>11</v>
      </c>
      <c r="V211" s="7">
        <f>(728+714)/2</f>
        <v>721</v>
      </c>
      <c r="W211" s="7"/>
      <c r="X211" s="4" t="e">
        <f t="shared" si="689"/>
        <v>#REF!</v>
      </c>
      <c r="Y211" s="7"/>
      <c r="Z211" s="7"/>
      <c r="AA211" s="7">
        <v>1</v>
      </c>
      <c r="AB211" s="7"/>
      <c r="AC211" s="7"/>
      <c r="AD211" s="7">
        <f t="shared" si="827"/>
        <v>1.2686170212765957</v>
      </c>
      <c r="AE211" s="4">
        <f t="shared" si="691"/>
        <v>127.2</v>
      </c>
      <c r="AF211" s="4">
        <f t="shared" si="692"/>
        <v>1.1215932914046123</v>
      </c>
      <c r="AG211" s="4">
        <f t="shared" si="693"/>
        <v>102.93453939452981</v>
      </c>
      <c r="AH211" s="4">
        <f t="shared" si="694"/>
        <v>0.79999999999999993</v>
      </c>
      <c r="AI211" s="4">
        <v>1.25</v>
      </c>
      <c r="AJ211" s="47">
        <f t="shared" si="825"/>
        <v>5</v>
      </c>
      <c r="AK211" s="38">
        <f t="shared" si="800"/>
        <v>577.25344419364194</v>
      </c>
      <c r="AL211" s="38">
        <f t="shared" si="762"/>
        <v>577.25344419364194</v>
      </c>
      <c r="AM211" s="38">
        <f t="shared" si="695"/>
        <v>5.7111767066521422</v>
      </c>
      <c r="AN211" s="38">
        <f t="shared" si="640"/>
        <v>577.25344419364239</v>
      </c>
      <c r="AO211" s="38">
        <f t="shared" si="548"/>
        <v>0.99999999999999922</v>
      </c>
      <c r="AP211" s="38">
        <f t="shared" si="641"/>
        <v>1.8002491114654926</v>
      </c>
      <c r="AQ211" s="4">
        <f t="shared" si="642"/>
        <v>0</v>
      </c>
      <c r="AR211" s="4" t="e">
        <f>#REF!/G211*F211^0.5/0.19</f>
        <v>#REF!</v>
      </c>
      <c r="AS211" s="4">
        <f t="shared" si="696"/>
        <v>1</v>
      </c>
      <c r="AT211" s="38">
        <f t="shared" si="697"/>
        <v>1039.2</v>
      </c>
      <c r="AU211" s="4">
        <f t="shared" si="698"/>
        <v>0.44000000000000006</v>
      </c>
      <c r="AV211" s="4" t="e">
        <f>AU211*D211*#REF!/(D211*G211/2.75/F211^0.5)</f>
        <v>#REF!</v>
      </c>
      <c r="AW211" s="4" t="e">
        <f t="shared" si="801"/>
        <v>#REF!</v>
      </c>
      <c r="AY211" s="4">
        <f t="shared" si="700"/>
        <v>1.125</v>
      </c>
      <c r="AZ211" s="4" t="e">
        <f>(3*#REF!+30)*AY211*F211^0.5</f>
        <v>#REF!</v>
      </c>
      <c r="BB211" s="4">
        <f t="shared" si="701"/>
        <v>996.71988587880821</v>
      </c>
      <c r="BC211" s="4">
        <f t="shared" si="828"/>
        <v>711.96329095823319</v>
      </c>
      <c r="BD211" s="4">
        <f t="shared" si="672"/>
        <v>0.71430629713030647</v>
      </c>
      <c r="BL211" s="4">
        <f t="shared" si="704"/>
        <v>47.7</v>
      </c>
      <c r="BP211" s="9"/>
      <c r="BR211" s="9"/>
      <c r="BS211" s="9"/>
      <c r="BT211" s="9" t="e">
        <f t="shared" si="705"/>
        <v>#REF!</v>
      </c>
      <c r="BU211" s="9">
        <f t="shared" si="706"/>
        <v>134.5</v>
      </c>
      <c r="BV211" s="9" t="e">
        <f t="shared" si="707"/>
        <v>#REF!</v>
      </c>
      <c r="BW211" s="9">
        <v>0</v>
      </c>
      <c r="BX211" s="9">
        <f t="shared" si="708"/>
        <v>0</v>
      </c>
      <c r="BY211" s="9">
        <f t="shared" si="802"/>
        <v>0</v>
      </c>
      <c r="BZ211" s="9">
        <f t="shared" si="710"/>
        <v>0.93036607665491811</v>
      </c>
      <c r="CA211" s="9">
        <f t="shared" si="711"/>
        <v>0.80099999999999993</v>
      </c>
      <c r="CB211" s="9">
        <f t="shared" si="712"/>
        <v>2.9727542082721463</v>
      </c>
      <c r="CC211" s="9" t="e">
        <f t="shared" si="713"/>
        <v>#REF!</v>
      </c>
      <c r="CD211" s="9">
        <v>1</v>
      </c>
      <c r="CE211" s="9" t="e">
        <f>4*CC211*#REF!+60*CC211</f>
        <v>#REF!</v>
      </c>
      <c r="CG211" s="4" t="e">
        <f t="shared" si="803"/>
        <v>#REF!</v>
      </c>
      <c r="CH211" s="4" t="e">
        <f t="shared" si="804"/>
        <v>#REF!</v>
      </c>
      <c r="CI211" s="4" t="e">
        <f t="shared" si="805"/>
        <v>#REF!</v>
      </c>
      <c r="CJ211" s="4" t="e">
        <f t="shared" si="806"/>
        <v>#REF!</v>
      </c>
      <c r="CK211" s="44" t="e">
        <f t="shared" si="807"/>
        <v>#REF!</v>
      </c>
      <c r="CL211" s="4" t="e">
        <f t="shared" si="808"/>
        <v>#REF!</v>
      </c>
      <c r="CM211" s="4">
        <f t="shared" si="720"/>
        <v>3.7444406215412429</v>
      </c>
      <c r="CO211" s="4" t="e">
        <f t="shared" si="809"/>
        <v>#REF!</v>
      </c>
      <c r="CP211" s="4" t="e">
        <f t="shared" si="810"/>
        <v>#REF!</v>
      </c>
      <c r="CQ211" s="4" t="e">
        <f t="shared" si="811"/>
        <v>#REF!</v>
      </c>
      <c r="CR211" s="4">
        <f t="shared" si="837"/>
        <v>3.7444406215412429</v>
      </c>
      <c r="CS211" s="4" t="e">
        <f t="shared" si="812"/>
        <v>#REF!</v>
      </c>
      <c r="CT211" s="4" t="e">
        <f t="shared" si="813"/>
        <v>#REF!</v>
      </c>
      <c r="DB211" s="4">
        <f t="shared" si="677"/>
        <v>0</v>
      </c>
      <c r="DC211" s="4" t="e">
        <f>#REF!</f>
        <v>#REF!</v>
      </c>
      <c r="DF211" s="4">
        <f t="shared" si="723"/>
        <v>1.3307058507295954E-5</v>
      </c>
      <c r="DG211" s="4" t="e">
        <f t="shared" si="724"/>
        <v>#REF!</v>
      </c>
      <c r="DH211" s="4">
        <f t="shared" si="725"/>
        <v>0.30738055417156512</v>
      </c>
      <c r="DI211" s="4" t="e">
        <f t="shared" si="726"/>
        <v>#REF!</v>
      </c>
      <c r="DJ211" s="4" t="e">
        <f t="shared" si="727"/>
        <v>#REF!</v>
      </c>
      <c r="DK211" s="4" t="e">
        <f t="shared" si="728"/>
        <v>#REF!</v>
      </c>
      <c r="DL211" s="38" t="e">
        <f t="shared" si="729"/>
        <v>#REF!</v>
      </c>
      <c r="DM211" s="4" t="e">
        <f t="shared" si="730"/>
        <v>#REF!</v>
      </c>
      <c r="DN211" s="4">
        <f t="shared" si="731"/>
        <v>2.2360679774997898</v>
      </c>
      <c r="DO211" s="4">
        <f t="shared" si="776"/>
        <v>577.25344419364239</v>
      </c>
      <c r="DS211" s="4" t="e">
        <f t="shared" si="733"/>
        <v>#REF!</v>
      </c>
      <c r="DT211" s="4">
        <f t="shared" si="734"/>
        <v>0.95</v>
      </c>
      <c r="DU211" s="4">
        <f t="shared" si="735"/>
        <v>1</v>
      </c>
      <c r="DV211" s="4">
        <f t="shared" si="736"/>
        <v>0.95</v>
      </c>
      <c r="DX211" s="4" t="e">
        <f t="shared" si="737"/>
        <v>#REF!</v>
      </c>
      <c r="DY211" s="25">
        <f t="shared" si="814"/>
        <v>558.66985874647196</v>
      </c>
      <c r="EB211" s="4" t="e">
        <f t="shared" si="739"/>
        <v>#REF!</v>
      </c>
      <c r="EE211" s="4">
        <f t="shared" si="740"/>
        <v>71.106961684493314</v>
      </c>
      <c r="EF211" s="4">
        <f t="shared" si="741"/>
        <v>2.2360679774997898</v>
      </c>
      <c r="EG211" s="4">
        <f t="shared" si="742"/>
        <v>0.19156502921061311</v>
      </c>
      <c r="EJ211" s="4">
        <f t="shared" si="815"/>
        <v>0.19156502921061311</v>
      </c>
      <c r="EK211" s="4">
        <f t="shared" si="744"/>
        <v>0.30686759331460051</v>
      </c>
      <c r="EL211" s="4" t="e">
        <f t="shared" si="679"/>
        <v>#REF!</v>
      </c>
      <c r="EM211" s="4" t="e">
        <f t="shared" si="816"/>
        <v>#REF!</v>
      </c>
      <c r="EN211" s="4" t="e">
        <f t="shared" si="673"/>
        <v>#REF!</v>
      </c>
      <c r="EO211" s="4" t="e">
        <f t="shared" si="674"/>
        <v>#REF!</v>
      </c>
      <c r="EP211" s="4" t="e">
        <f t="shared" si="749"/>
        <v>#REF!</v>
      </c>
      <c r="EQ211" s="4" t="e">
        <f t="shared" si="817"/>
        <v>#REF!</v>
      </c>
      <c r="ER211" s="4" t="e">
        <f t="shared" si="751"/>
        <v>#REF!</v>
      </c>
      <c r="FA211" s="23" t="e">
        <f t="shared" si="818"/>
        <v>#REF!</v>
      </c>
      <c r="FB211" s="23" t="e">
        <f t="shared" si="819"/>
        <v>#REF!</v>
      </c>
      <c r="FC211" s="23">
        <f t="shared" si="754"/>
        <v>2.2000000000000002</v>
      </c>
      <c r="FD211" s="23" t="e">
        <f t="shared" si="820"/>
        <v>#REF!</v>
      </c>
      <c r="FE211" s="23" t="e">
        <f t="shared" si="821"/>
        <v>#REF!</v>
      </c>
      <c r="FF211" s="23" t="e">
        <f t="shared" si="822"/>
        <v>#REF!</v>
      </c>
      <c r="FG211" s="23" t="e">
        <f t="shared" si="823"/>
        <v>#REF!</v>
      </c>
      <c r="FH211" s="23"/>
      <c r="FR211" s="4">
        <f t="shared" si="607"/>
        <v>1.25</v>
      </c>
      <c r="FS211" s="4">
        <f t="shared" si="608"/>
        <v>0.5</v>
      </c>
      <c r="FT211" s="4">
        <f t="shared" si="609"/>
        <v>0</v>
      </c>
      <c r="FU211" s="4">
        <f t="shared" si="610"/>
        <v>192.55212537012548</v>
      </c>
    </row>
    <row r="212" spans="1:177" ht="12" customHeight="1" x14ac:dyDescent="0.3">
      <c r="B212" s="24"/>
      <c r="C212" s="4" t="s">
        <v>322</v>
      </c>
      <c r="D212" s="7">
        <v>649</v>
      </c>
      <c r="E212" s="7">
        <f t="shared" si="824"/>
        <v>127.2</v>
      </c>
      <c r="F212" s="7">
        <v>129.9</v>
      </c>
      <c r="G212" s="7">
        <v>31.8</v>
      </c>
      <c r="H212" s="7">
        <v>396</v>
      </c>
      <c r="I212" s="7">
        <f>1*G212</f>
        <v>31.8</v>
      </c>
      <c r="J212" s="7" t="e">
        <f>171-#REF!</f>
        <v>#REF!</v>
      </c>
      <c r="K212" s="7">
        <f t="shared" si="798"/>
        <v>268.79999999999995</v>
      </c>
      <c r="L212" s="7">
        <v>2</v>
      </c>
      <c r="M212" s="7">
        <f t="shared" si="799"/>
        <v>84.8</v>
      </c>
      <c r="N212" s="7">
        <f t="shared" si="684"/>
        <v>1.5</v>
      </c>
      <c r="O212" s="7">
        <f t="shared" si="685"/>
        <v>1.5</v>
      </c>
      <c r="P212" s="7">
        <f t="shared" si="676"/>
        <v>4</v>
      </c>
      <c r="Q212" s="7">
        <f t="shared" si="676"/>
        <v>4</v>
      </c>
      <c r="R212" s="7">
        <f t="shared" si="686"/>
        <v>5</v>
      </c>
      <c r="S212" s="7">
        <f t="shared" si="687"/>
        <v>71.106961684493314</v>
      </c>
      <c r="T212" s="7">
        <f t="shared" si="826"/>
        <v>649</v>
      </c>
      <c r="U212" s="7">
        <v>11</v>
      </c>
      <c r="V212" s="7">
        <f>(738+710)/2</f>
        <v>724</v>
      </c>
      <c r="W212" s="7"/>
      <c r="X212" s="4" t="e">
        <f t="shared" si="689"/>
        <v>#REF!</v>
      </c>
      <c r="Y212" s="7">
        <v>12.7</v>
      </c>
      <c r="Z212" s="7">
        <v>2</v>
      </c>
      <c r="AA212" s="7">
        <v>64</v>
      </c>
      <c r="AB212" s="7">
        <v>4</v>
      </c>
      <c r="AC212" s="7">
        <f t="shared" ref="AC212:AC213" si="839">Z212</f>
        <v>2</v>
      </c>
      <c r="AD212" s="7">
        <f t="shared" si="827"/>
        <v>1.2694610778443116</v>
      </c>
      <c r="AE212" s="4">
        <f t="shared" si="691"/>
        <v>127.2</v>
      </c>
      <c r="AF212" s="4">
        <f t="shared" si="692"/>
        <v>1.0377358490566038</v>
      </c>
      <c r="AG212" s="4">
        <f t="shared" si="693"/>
        <v>102.93453939452981</v>
      </c>
      <c r="AH212" s="4">
        <f t="shared" si="694"/>
        <v>0.77499999999999991</v>
      </c>
      <c r="AI212" s="4">
        <v>1.25</v>
      </c>
      <c r="AJ212" s="47">
        <f t="shared" si="825"/>
        <v>5</v>
      </c>
      <c r="AK212" s="38">
        <f t="shared" si="800"/>
        <v>517.40386104856509</v>
      </c>
      <c r="AL212" s="38">
        <f t="shared" si="762"/>
        <v>517.40386104856509</v>
      </c>
      <c r="AM212" s="38">
        <f t="shared" si="695"/>
        <v>5.7111767066521422</v>
      </c>
      <c r="AN212" s="38">
        <f t="shared" si="640"/>
        <v>517.40386104856543</v>
      </c>
      <c r="AO212" s="38">
        <f t="shared" ref="AO212:AO275" si="840">AK212/AN212</f>
        <v>0.99999999999999933</v>
      </c>
      <c r="AP212" s="38">
        <f t="shared" si="641"/>
        <v>1.5063668029466883</v>
      </c>
      <c r="AQ212" s="4">
        <f t="shared" si="642"/>
        <v>0</v>
      </c>
      <c r="AR212" s="4" t="e">
        <f>#REF!/G212*F212^0.5/0.19</f>
        <v>#REF!</v>
      </c>
      <c r="AS212" s="4">
        <f t="shared" si="696"/>
        <v>1</v>
      </c>
      <c r="AT212" s="38">
        <f t="shared" si="697"/>
        <v>779.40000000000009</v>
      </c>
      <c r="AU212" s="4">
        <f t="shared" si="698"/>
        <v>0.44000000000000006</v>
      </c>
      <c r="AV212" s="4" t="e">
        <f>AU212*D212*#REF!/(D212*G212/2.75/F212^0.5)</f>
        <v>#REF!</v>
      </c>
      <c r="AW212" s="4" t="e">
        <f t="shared" si="801"/>
        <v>#REF!</v>
      </c>
      <c r="AY212" s="4">
        <f t="shared" si="700"/>
        <v>1.4</v>
      </c>
      <c r="AZ212" s="4" t="e">
        <f>(3*#REF!+30)*AY212*F212^0.5</f>
        <v>#REF!</v>
      </c>
      <c r="BB212" s="4">
        <f t="shared" si="701"/>
        <v>747.53991440910613</v>
      </c>
      <c r="BC212" s="4">
        <f t="shared" si="828"/>
        <v>711.96329095823319</v>
      </c>
      <c r="BD212" s="4">
        <f t="shared" si="672"/>
        <v>0.95240839617374207</v>
      </c>
      <c r="BL212" s="4">
        <f t="shared" si="704"/>
        <v>31.8</v>
      </c>
      <c r="BP212" s="9"/>
      <c r="BR212" s="9"/>
      <c r="BS212" s="9"/>
      <c r="BT212" s="9" t="e">
        <f t="shared" si="705"/>
        <v>#REF!</v>
      </c>
      <c r="BU212" s="9">
        <f t="shared" si="706"/>
        <v>134.39999999999998</v>
      </c>
      <c r="BV212" s="9" t="e">
        <f t="shared" si="707"/>
        <v>#REF!</v>
      </c>
      <c r="BW212" s="9">
        <v>20</v>
      </c>
      <c r="BX212" s="9">
        <f t="shared" si="708"/>
        <v>0.05</v>
      </c>
      <c r="BY212" s="9">
        <f t="shared" si="802"/>
        <v>0.8</v>
      </c>
      <c r="BZ212" s="9">
        <f t="shared" si="710"/>
        <v>0.93036607665491811</v>
      </c>
      <c r="CA212" s="9">
        <f t="shared" si="711"/>
        <v>0.80099999999999993</v>
      </c>
      <c r="CB212" s="9">
        <f t="shared" si="712"/>
        <v>2.9727542082721463</v>
      </c>
      <c r="CC212" s="9" t="e">
        <f t="shared" si="713"/>
        <v>#REF!</v>
      </c>
      <c r="CD212" s="9">
        <v>1</v>
      </c>
      <c r="CE212" s="9" t="e">
        <f>4*CC212*#REF!+60*CC212</f>
        <v>#REF!</v>
      </c>
      <c r="CG212" s="4" t="e">
        <f t="shared" si="803"/>
        <v>#REF!</v>
      </c>
      <c r="CH212" s="4" t="e">
        <f t="shared" si="804"/>
        <v>#REF!</v>
      </c>
      <c r="CI212" s="4" t="e">
        <f t="shared" si="805"/>
        <v>#REF!</v>
      </c>
      <c r="CJ212" s="4" t="e">
        <f t="shared" si="806"/>
        <v>#REF!</v>
      </c>
      <c r="CK212" s="44" t="e">
        <f t="shared" si="807"/>
        <v>#REF!</v>
      </c>
      <c r="CL212" s="4" t="e">
        <f t="shared" si="808"/>
        <v>#REF!</v>
      </c>
      <c r="CM212" s="4">
        <f t="shared" si="720"/>
        <v>3.0790396611328834</v>
      </c>
      <c r="CU212" s="4" t="e">
        <f t="shared" si="831"/>
        <v>#REF!</v>
      </c>
      <c r="CV212" s="4" t="e">
        <f t="shared" si="832"/>
        <v>#REF!</v>
      </c>
      <c r="CW212" s="4" t="e">
        <f t="shared" si="833"/>
        <v>#REF!</v>
      </c>
      <c r="CX212" s="4">
        <f t="shared" ref="CX212:CX213" si="841">CM212</f>
        <v>3.0790396611328834</v>
      </c>
      <c r="CY212" s="4" t="e">
        <f t="shared" si="835"/>
        <v>#REF!</v>
      </c>
      <c r="CZ212" s="4" t="e">
        <f t="shared" si="836"/>
        <v>#REF!</v>
      </c>
      <c r="DB212" s="4">
        <f t="shared" si="677"/>
        <v>2</v>
      </c>
      <c r="DC212" s="4" t="e">
        <f>#REF!</f>
        <v>#REF!</v>
      </c>
      <c r="DF212" s="4">
        <f t="shared" si="723"/>
        <v>1.3307058507295954E-5</v>
      </c>
      <c r="DG212" s="4" t="e">
        <f t="shared" si="724"/>
        <v>#REF!</v>
      </c>
      <c r="DH212" s="4">
        <f t="shared" si="725"/>
        <v>0.2755113670422118</v>
      </c>
      <c r="DI212" s="4" t="e">
        <f t="shared" si="726"/>
        <v>#REF!</v>
      </c>
      <c r="DJ212" s="4" t="e">
        <f t="shared" si="727"/>
        <v>#REF!</v>
      </c>
      <c r="DK212" s="4" t="e">
        <f t="shared" si="728"/>
        <v>#REF!</v>
      </c>
      <c r="DL212" s="38" t="e">
        <f t="shared" si="729"/>
        <v>#REF!</v>
      </c>
      <c r="DM212" s="4" t="e">
        <f t="shared" si="730"/>
        <v>#REF!</v>
      </c>
      <c r="DN212" s="4">
        <f t="shared" si="731"/>
        <v>2.2360679774997898</v>
      </c>
      <c r="DO212" s="4">
        <f t="shared" si="776"/>
        <v>517.40386104856543</v>
      </c>
      <c r="DS212" s="4" t="e">
        <f t="shared" si="733"/>
        <v>#REF!</v>
      </c>
      <c r="DT212" s="4">
        <f t="shared" si="734"/>
        <v>1</v>
      </c>
      <c r="DU212" s="4">
        <f t="shared" si="735"/>
        <v>0.88360329892013767</v>
      </c>
      <c r="DV212" s="4">
        <f t="shared" si="736"/>
        <v>0.88360329892013767</v>
      </c>
      <c r="DX212" s="4" t="e">
        <f t="shared" si="737"/>
        <v>#REF!</v>
      </c>
      <c r="DY212" s="25">
        <f t="shared" si="814"/>
        <v>500.22595130449861</v>
      </c>
      <c r="EB212" s="4" t="e">
        <f t="shared" si="739"/>
        <v>#REF!</v>
      </c>
      <c r="EE212" s="4">
        <f t="shared" si="740"/>
        <v>71.106961684493314</v>
      </c>
      <c r="EF212" s="4">
        <f t="shared" si="741"/>
        <v>2.2360679774997898</v>
      </c>
      <c r="EG212" s="4">
        <f t="shared" si="742"/>
        <v>0.17170358488533044</v>
      </c>
      <c r="EJ212" s="4">
        <f t="shared" si="815"/>
        <v>0.17170358488533044</v>
      </c>
      <c r="EK212" s="4">
        <f t="shared" si="744"/>
        <v>0.27505158991895695</v>
      </c>
      <c r="EL212" s="4" t="e">
        <f t="shared" si="679"/>
        <v>#REF!</v>
      </c>
      <c r="EM212" s="4" t="e">
        <f t="shared" si="816"/>
        <v>#REF!</v>
      </c>
      <c r="EN212" s="4" t="e">
        <f t="shared" si="673"/>
        <v>#REF!</v>
      </c>
      <c r="EO212" s="4" t="e">
        <f t="shared" si="674"/>
        <v>#REF!</v>
      </c>
      <c r="EP212" s="4" t="e">
        <f t="shared" si="749"/>
        <v>#REF!</v>
      </c>
      <c r="EQ212" s="4" t="e">
        <f t="shared" si="817"/>
        <v>#REF!</v>
      </c>
      <c r="ER212" s="4" t="e">
        <f t="shared" si="751"/>
        <v>#REF!</v>
      </c>
      <c r="FA212" s="23" t="e">
        <f t="shared" si="818"/>
        <v>#REF!</v>
      </c>
      <c r="FB212" s="23" t="e">
        <f t="shared" si="819"/>
        <v>#REF!</v>
      </c>
      <c r="FC212" s="23">
        <f t="shared" si="754"/>
        <v>2.2000000000000002</v>
      </c>
      <c r="FD212" s="23" t="e">
        <f t="shared" si="820"/>
        <v>#REF!</v>
      </c>
      <c r="FE212" s="23" t="e">
        <f t="shared" si="821"/>
        <v>#REF!</v>
      </c>
      <c r="FF212" s="23" t="e">
        <f t="shared" si="822"/>
        <v>#REF!</v>
      </c>
      <c r="FG212" s="23" t="e">
        <f t="shared" si="823"/>
        <v>#REF!</v>
      </c>
      <c r="FH212" s="23"/>
      <c r="FR212" s="4">
        <f t="shared" ref="FR212:FR275" si="842">IF(I212&gt;=2.5*25.4,1,1.25)</f>
        <v>1.25</v>
      </c>
      <c r="FS212" s="4">
        <f t="shared" ref="FS212:FS275" si="843">IF(AA212&gt;1, 0.05*(18-MIN(8,(K212+G212)/G212))*(1-48000/MAX(60000,(D212*145))*(G212/25.4)^0.75*FT212), 1/12*(14-MIN(8,(K212+G212)/G212)))</f>
        <v>0.40944449644340308</v>
      </c>
      <c r="FT212" s="4">
        <f t="shared" ref="FT212:FT275" si="844">MIN(0.3, Y212^2*PI()/4*2*AB212/(G212^2*PI()/4*L212))</f>
        <v>0.3</v>
      </c>
      <c r="FU212" s="4">
        <f t="shared" ref="FU212:FU275" si="845">(E212/25.4)/(G212/25.4)^1.5/0.0024*(F212*145)^0.25/FR212/FS212/145</f>
        <v>235.13825077966541</v>
      </c>
    </row>
    <row r="213" spans="1:177" ht="12" customHeight="1" x14ac:dyDescent="0.3">
      <c r="B213" s="24"/>
      <c r="C213" s="4" t="s">
        <v>323</v>
      </c>
      <c r="D213" s="7">
        <v>649</v>
      </c>
      <c r="E213" s="7">
        <f t="shared" si="824"/>
        <v>127.2</v>
      </c>
      <c r="F213" s="7">
        <v>129.9</v>
      </c>
      <c r="G213" s="7">
        <v>31.8</v>
      </c>
      <c r="H213" s="7">
        <v>396</v>
      </c>
      <c r="I213" s="7">
        <f>1*G213</f>
        <v>31.8</v>
      </c>
      <c r="J213" s="7" t="e">
        <f>171-#REF!</f>
        <v>#REF!</v>
      </c>
      <c r="K213" s="7">
        <f t="shared" si="798"/>
        <v>268.79999999999995</v>
      </c>
      <c r="L213" s="7">
        <v>2</v>
      </c>
      <c r="M213" s="7">
        <f t="shared" si="799"/>
        <v>84.8</v>
      </c>
      <c r="N213" s="7">
        <f t="shared" si="684"/>
        <v>1.5</v>
      </c>
      <c r="O213" s="7">
        <f t="shared" si="685"/>
        <v>1.5</v>
      </c>
      <c r="P213" s="7">
        <f t="shared" si="676"/>
        <v>4</v>
      </c>
      <c r="Q213" s="7">
        <f t="shared" si="676"/>
        <v>4</v>
      </c>
      <c r="R213" s="7">
        <f t="shared" si="686"/>
        <v>5</v>
      </c>
      <c r="S213" s="7">
        <f t="shared" si="687"/>
        <v>71.106961684493314</v>
      </c>
      <c r="T213" s="7">
        <f t="shared" si="826"/>
        <v>649</v>
      </c>
      <c r="U213" s="7">
        <v>11</v>
      </c>
      <c r="V213" s="7">
        <f>(732+713)/2</f>
        <v>722.5</v>
      </c>
      <c r="W213" s="7"/>
      <c r="X213" s="4" t="e">
        <f t="shared" si="689"/>
        <v>#REF!</v>
      </c>
      <c r="Y213" s="7">
        <v>12.7</v>
      </c>
      <c r="Z213" s="7">
        <v>2</v>
      </c>
      <c r="AA213" s="7">
        <v>64</v>
      </c>
      <c r="AB213" s="7">
        <v>4</v>
      </c>
      <c r="AC213" s="7">
        <f t="shared" si="839"/>
        <v>2</v>
      </c>
      <c r="AD213" s="7">
        <f t="shared" si="827"/>
        <v>1.2694610778443116</v>
      </c>
      <c r="AE213" s="4">
        <f t="shared" si="691"/>
        <v>127.2</v>
      </c>
      <c r="AF213" s="4">
        <f t="shared" si="692"/>
        <v>1.0377358490566038</v>
      </c>
      <c r="AG213" s="4">
        <f t="shared" si="693"/>
        <v>102.93453939452981</v>
      </c>
      <c r="AH213" s="4">
        <f t="shared" si="694"/>
        <v>0.77499999999999991</v>
      </c>
      <c r="AI213" s="4">
        <v>1.25</v>
      </c>
      <c r="AJ213" s="47">
        <f t="shared" si="825"/>
        <v>5</v>
      </c>
      <c r="AK213" s="38">
        <f t="shared" si="800"/>
        <v>517.40386104856509</v>
      </c>
      <c r="AL213" s="38">
        <f t="shared" si="762"/>
        <v>517.40386104856509</v>
      </c>
      <c r="AM213" s="38">
        <f t="shared" si="695"/>
        <v>5.7111767066521422</v>
      </c>
      <c r="AN213" s="38">
        <f t="shared" si="640"/>
        <v>517.40386104856543</v>
      </c>
      <c r="AO213" s="38">
        <f t="shared" si="840"/>
        <v>0.99999999999999933</v>
      </c>
      <c r="AP213" s="38">
        <f t="shared" si="641"/>
        <v>1.5063668029466883</v>
      </c>
      <c r="AQ213" s="4">
        <f t="shared" si="642"/>
        <v>0</v>
      </c>
      <c r="AR213" s="4" t="e">
        <f>#REF!/G213*F213^0.5/0.19</f>
        <v>#REF!</v>
      </c>
      <c r="AS213" s="4">
        <f t="shared" si="696"/>
        <v>1</v>
      </c>
      <c r="AT213" s="38">
        <f t="shared" si="697"/>
        <v>779.40000000000009</v>
      </c>
      <c r="AU213" s="4">
        <f t="shared" si="698"/>
        <v>0.44000000000000006</v>
      </c>
      <c r="AV213" s="4" t="e">
        <f>AU213*D213*#REF!/(D213*G213/2.75/F213^0.5)</f>
        <v>#REF!</v>
      </c>
      <c r="AW213" s="4" t="e">
        <f t="shared" si="801"/>
        <v>#REF!</v>
      </c>
      <c r="AY213" s="4">
        <f t="shared" si="700"/>
        <v>1.4</v>
      </c>
      <c r="AZ213" s="4" t="e">
        <f>(3*#REF!+30)*AY213*F213^0.5</f>
        <v>#REF!</v>
      </c>
      <c r="BB213" s="4">
        <f t="shared" si="701"/>
        <v>747.53991440910613</v>
      </c>
      <c r="BC213" s="4">
        <f t="shared" si="828"/>
        <v>711.96329095823319</v>
      </c>
      <c r="BD213" s="4">
        <f t="shared" si="672"/>
        <v>0.95240839617374207</v>
      </c>
      <c r="BL213" s="4">
        <f t="shared" si="704"/>
        <v>31.8</v>
      </c>
      <c r="BP213" s="9"/>
      <c r="BR213" s="9"/>
      <c r="BS213" s="9"/>
      <c r="BT213" s="9" t="e">
        <f t="shared" si="705"/>
        <v>#REF!</v>
      </c>
      <c r="BU213" s="9">
        <f t="shared" si="706"/>
        <v>134.39999999999998</v>
      </c>
      <c r="BV213" s="9" t="e">
        <f t="shared" si="707"/>
        <v>#REF!</v>
      </c>
      <c r="BW213" s="9">
        <v>20</v>
      </c>
      <c r="BX213" s="9">
        <f t="shared" si="708"/>
        <v>0.05</v>
      </c>
      <c r="BY213" s="9">
        <f t="shared" si="802"/>
        <v>0.8</v>
      </c>
      <c r="BZ213" s="9">
        <f t="shared" si="710"/>
        <v>0.93036607665491811</v>
      </c>
      <c r="CA213" s="9">
        <f t="shared" si="711"/>
        <v>0.80099999999999993</v>
      </c>
      <c r="CB213" s="9">
        <f t="shared" si="712"/>
        <v>2.9727542082721463</v>
      </c>
      <c r="CC213" s="9" t="e">
        <f t="shared" si="713"/>
        <v>#REF!</v>
      </c>
      <c r="CD213" s="9">
        <v>1</v>
      </c>
      <c r="CE213" s="9" t="e">
        <f>4*CC213*#REF!+60*CC213</f>
        <v>#REF!</v>
      </c>
      <c r="CG213" s="4" t="e">
        <f t="shared" si="803"/>
        <v>#REF!</v>
      </c>
      <c r="CH213" s="4" t="e">
        <f t="shared" si="804"/>
        <v>#REF!</v>
      </c>
      <c r="CI213" s="4" t="e">
        <f t="shared" si="805"/>
        <v>#REF!</v>
      </c>
      <c r="CJ213" s="4" t="e">
        <f t="shared" si="806"/>
        <v>#REF!</v>
      </c>
      <c r="CK213" s="44" t="e">
        <f t="shared" si="807"/>
        <v>#REF!</v>
      </c>
      <c r="CL213" s="4" t="e">
        <f t="shared" si="808"/>
        <v>#REF!</v>
      </c>
      <c r="CM213" s="4">
        <f t="shared" si="720"/>
        <v>3.0726604353156195</v>
      </c>
      <c r="CU213" s="4" t="e">
        <f t="shared" si="831"/>
        <v>#REF!</v>
      </c>
      <c r="CV213" s="4" t="e">
        <f t="shared" si="832"/>
        <v>#REF!</v>
      </c>
      <c r="CW213" s="4" t="e">
        <f t="shared" si="833"/>
        <v>#REF!</v>
      </c>
      <c r="CX213" s="4">
        <f t="shared" si="841"/>
        <v>3.0726604353156195</v>
      </c>
      <c r="CY213" s="4" t="e">
        <f t="shared" si="835"/>
        <v>#REF!</v>
      </c>
      <c r="CZ213" s="4" t="e">
        <f t="shared" si="836"/>
        <v>#REF!</v>
      </c>
      <c r="DB213" s="4">
        <f t="shared" si="677"/>
        <v>2</v>
      </c>
      <c r="DC213" s="4" t="e">
        <f>#REF!</f>
        <v>#REF!</v>
      </c>
      <c r="DF213" s="4">
        <f t="shared" si="723"/>
        <v>1.3307058507295954E-5</v>
      </c>
      <c r="DG213" s="4" t="e">
        <f t="shared" si="724"/>
        <v>#REF!</v>
      </c>
      <c r="DH213" s="4">
        <f t="shared" si="725"/>
        <v>0.2755113670422118</v>
      </c>
      <c r="DI213" s="4" t="e">
        <f t="shared" si="726"/>
        <v>#REF!</v>
      </c>
      <c r="DJ213" s="4" t="e">
        <f t="shared" si="727"/>
        <v>#REF!</v>
      </c>
      <c r="DK213" s="4" t="e">
        <f t="shared" si="728"/>
        <v>#REF!</v>
      </c>
      <c r="DL213" s="38" t="e">
        <f t="shared" si="729"/>
        <v>#REF!</v>
      </c>
      <c r="DM213" s="4" t="e">
        <f t="shared" si="730"/>
        <v>#REF!</v>
      </c>
      <c r="DN213" s="4">
        <f t="shared" si="731"/>
        <v>2.2360679774997898</v>
      </c>
      <c r="DO213" s="4">
        <f t="shared" si="776"/>
        <v>517.40386104856543</v>
      </c>
      <c r="DS213" s="4" t="e">
        <f t="shared" si="733"/>
        <v>#REF!</v>
      </c>
      <c r="DT213" s="4">
        <f t="shared" si="734"/>
        <v>1</v>
      </c>
      <c r="DU213" s="4">
        <f t="shared" si="735"/>
        <v>0.88360329892013767</v>
      </c>
      <c r="DV213" s="4">
        <f t="shared" si="736"/>
        <v>0.88360329892013767</v>
      </c>
      <c r="DX213" s="4" t="e">
        <f t="shared" si="737"/>
        <v>#REF!</v>
      </c>
      <c r="DY213" s="25">
        <f t="shared" si="814"/>
        <v>500.22595130449861</v>
      </c>
      <c r="EB213" s="4" t="e">
        <f t="shared" si="739"/>
        <v>#REF!</v>
      </c>
      <c r="EE213" s="4">
        <f t="shared" si="740"/>
        <v>71.106961684493314</v>
      </c>
      <c r="EF213" s="4">
        <f t="shared" si="741"/>
        <v>2.2360679774997898</v>
      </c>
      <c r="EG213" s="4">
        <f t="shared" si="742"/>
        <v>0.17170358488533044</v>
      </c>
      <c r="EJ213" s="4">
        <f t="shared" si="815"/>
        <v>0.17170358488533044</v>
      </c>
      <c r="EK213" s="4">
        <f t="shared" si="744"/>
        <v>0.27505158991895695</v>
      </c>
      <c r="EL213" s="4" t="e">
        <f t="shared" si="679"/>
        <v>#REF!</v>
      </c>
      <c r="EM213" s="4" t="e">
        <f t="shared" si="816"/>
        <v>#REF!</v>
      </c>
      <c r="EN213" s="4" t="e">
        <f t="shared" si="673"/>
        <v>#REF!</v>
      </c>
      <c r="EO213" s="4" t="e">
        <f t="shared" si="674"/>
        <v>#REF!</v>
      </c>
      <c r="EP213" s="4" t="e">
        <f t="shared" si="749"/>
        <v>#REF!</v>
      </c>
      <c r="EQ213" s="4" t="e">
        <f t="shared" si="817"/>
        <v>#REF!</v>
      </c>
      <c r="ER213" s="4" t="e">
        <f t="shared" si="751"/>
        <v>#REF!</v>
      </c>
      <c r="FA213" s="23" t="e">
        <f t="shared" si="818"/>
        <v>#REF!</v>
      </c>
      <c r="FB213" s="23" t="e">
        <f t="shared" si="819"/>
        <v>#REF!</v>
      </c>
      <c r="FC213" s="23">
        <f t="shared" si="754"/>
        <v>2.2000000000000002</v>
      </c>
      <c r="FD213" s="23" t="e">
        <f t="shared" si="820"/>
        <v>#REF!</v>
      </c>
      <c r="FE213" s="23" t="e">
        <f t="shared" si="821"/>
        <v>#REF!</v>
      </c>
      <c r="FF213" s="23" t="e">
        <f t="shared" si="822"/>
        <v>#REF!</v>
      </c>
      <c r="FG213" s="23" t="e">
        <f t="shared" si="823"/>
        <v>#REF!</v>
      </c>
      <c r="FH213" s="23"/>
      <c r="FR213" s="4">
        <f t="shared" si="842"/>
        <v>1.25</v>
      </c>
      <c r="FS213" s="4">
        <f t="shared" si="843"/>
        <v>0.40944449644340308</v>
      </c>
      <c r="FT213" s="4">
        <f t="shared" si="844"/>
        <v>0.3</v>
      </c>
      <c r="FU213" s="4">
        <f t="shared" si="845"/>
        <v>235.13825077966541</v>
      </c>
    </row>
    <row r="214" spans="1:177" ht="12" customHeight="1" x14ac:dyDescent="0.3">
      <c r="B214" s="24"/>
      <c r="C214" s="4" t="s">
        <v>324</v>
      </c>
      <c r="D214" s="7">
        <v>649</v>
      </c>
      <c r="E214" s="7">
        <f>6*G214</f>
        <v>190.8</v>
      </c>
      <c r="F214" s="7">
        <v>129.9</v>
      </c>
      <c r="G214" s="7">
        <v>31.8</v>
      </c>
      <c r="H214" s="7">
        <v>396</v>
      </c>
      <c r="I214" s="7">
        <f>1*G214</f>
        <v>31.8</v>
      </c>
      <c r="J214" s="7" t="e">
        <f>256-#REF!</f>
        <v>#REF!</v>
      </c>
      <c r="K214" s="7">
        <f t="shared" si="798"/>
        <v>268.79999999999995</v>
      </c>
      <c r="L214" s="7">
        <v>2</v>
      </c>
      <c r="M214" s="7">
        <f t="shared" si="799"/>
        <v>127.2</v>
      </c>
      <c r="N214" s="7">
        <f t="shared" si="684"/>
        <v>1.5</v>
      </c>
      <c r="O214" s="7">
        <f t="shared" si="685"/>
        <v>1.5</v>
      </c>
      <c r="P214" s="7">
        <f t="shared" si="676"/>
        <v>4</v>
      </c>
      <c r="Q214" s="7">
        <f t="shared" si="676"/>
        <v>4</v>
      </c>
      <c r="R214" s="7">
        <f t="shared" si="686"/>
        <v>5</v>
      </c>
      <c r="S214" s="7">
        <f t="shared" si="687"/>
        <v>71.106961684493314</v>
      </c>
      <c r="T214" s="7">
        <f t="shared" si="826"/>
        <v>649</v>
      </c>
      <c r="U214" s="7">
        <v>11</v>
      </c>
      <c r="V214" s="7">
        <f>(723+708)/2</f>
        <v>715.5</v>
      </c>
      <c r="W214" s="7"/>
      <c r="X214" s="4" t="e">
        <f t="shared" si="689"/>
        <v>#REF!</v>
      </c>
      <c r="Y214" s="7"/>
      <c r="Z214" s="7"/>
      <c r="AA214" s="7">
        <v>1</v>
      </c>
      <c r="AB214" s="7"/>
      <c r="AC214" s="7"/>
      <c r="AD214" s="7">
        <f t="shared" si="827"/>
        <v>1.9041916167664676</v>
      </c>
      <c r="AE214" s="4">
        <f t="shared" si="691"/>
        <v>190.8</v>
      </c>
      <c r="AF214" s="4">
        <f t="shared" si="692"/>
        <v>0.69182389937106914</v>
      </c>
      <c r="AG214" s="4">
        <f t="shared" si="693"/>
        <v>189.10282381875894</v>
      </c>
      <c r="AH214" s="4">
        <f t="shared" si="694"/>
        <v>0.75</v>
      </c>
      <c r="AI214" s="4">
        <v>1.25</v>
      </c>
      <c r="AJ214" s="47">
        <f t="shared" si="825"/>
        <v>5</v>
      </c>
      <c r="AK214" s="38">
        <f t="shared" si="800"/>
        <v>613.2461857330037</v>
      </c>
      <c r="AL214" s="38">
        <f t="shared" si="762"/>
        <v>613.2461857330037</v>
      </c>
      <c r="AM214" s="38">
        <f t="shared" si="695"/>
        <v>5.7111767066521422</v>
      </c>
      <c r="AN214" s="38">
        <f t="shared" si="640"/>
        <v>613.24618573300347</v>
      </c>
      <c r="AO214" s="38">
        <f t="shared" si="840"/>
        <v>1.0000000000000004</v>
      </c>
      <c r="AP214" s="38">
        <f t="shared" si="641"/>
        <v>1.2709414557033005</v>
      </c>
      <c r="AQ214" s="4">
        <f t="shared" si="642"/>
        <v>0</v>
      </c>
      <c r="AR214" s="4" t="e">
        <f>#REF!/G214*F214^0.5/0.19</f>
        <v>#REF!</v>
      </c>
      <c r="AS214" s="4">
        <f t="shared" si="696"/>
        <v>1</v>
      </c>
      <c r="AT214" s="38">
        <f t="shared" si="697"/>
        <v>779.40000000000009</v>
      </c>
      <c r="AU214" s="4">
        <f t="shared" si="698"/>
        <v>0.44000000000000006</v>
      </c>
      <c r="AV214" s="4" t="e">
        <f>AU214*D214*#REF!/(D214*G214/2.75/F214^0.5)</f>
        <v>#REF!</v>
      </c>
      <c r="AW214" s="4" t="e">
        <f t="shared" si="801"/>
        <v>#REF!</v>
      </c>
      <c r="AY214" s="4">
        <f t="shared" si="700"/>
        <v>1</v>
      </c>
      <c r="AZ214" s="4" t="e">
        <f>(3*#REF!+30)*AY214*F214^0.5</f>
        <v>#REF!</v>
      </c>
      <c r="BB214" s="4">
        <f t="shared" si="701"/>
        <v>747.53991440910613</v>
      </c>
      <c r="BC214" s="4">
        <f t="shared" si="828"/>
        <v>711.96329095823319</v>
      </c>
      <c r="BD214" s="4">
        <f t="shared" si="672"/>
        <v>0.95240839617374207</v>
      </c>
      <c r="BL214" s="4">
        <f t="shared" si="704"/>
        <v>31.8</v>
      </c>
      <c r="BP214" s="9"/>
      <c r="BR214" s="9"/>
      <c r="BS214" s="9"/>
      <c r="BT214" s="9" t="e">
        <f t="shared" si="705"/>
        <v>#REF!</v>
      </c>
      <c r="BU214" s="9">
        <f t="shared" si="706"/>
        <v>134.39999999999998</v>
      </c>
      <c r="BV214" s="9" t="e">
        <f t="shared" si="707"/>
        <v>#REF!</v>
      </c>
      <c r="BW214" s="9">
        <v>0</v>
      </c>
      <c r="BX214" s="9">
        <f t="shared" si="708"/>
        <v>0</v>
      </c>
      <c r="BY214" s="9">
        <f t="shared" si="802"/>
        <v>0</v>
      </c>
      <c r="BZ214" s="9">
        <f t="shared" si="710"/>
        <v>0.93036607665491811</v>
      </c>
      <c r="CA214" s="9">
        <f t="shared" si="711"/>
        <v>0.80099999999999993</v>
      </c>
      <c r="CB214" s="9">
        <f t="shared" si="712"/>
        <v>2.9727542082721463</v>
      </c>
      <c r="CC214" s="9" t="e">
        <f t="shared" si="713"/>
        <v>#REF!</v>
      </c>
      <c r="CD214" s="9">
        <v>1</v>
      </c>
      <c r="CE214" s="9" t="e">
        <f>4*CC214*#REF!+60*CC214</f>
        <v>#REF!</v>
      </c>
      <c r="CG214" s="4" t="e">
        <f t="shared" si="803"/>
        <v>#REF!</v>
      </c>
      <c r="CH214" s="4" t="e">
        <f t="shared" si="804"/>
        <v>#REF!</v>
      </c>
      <c r="CI214" s="4" t="e">
        <f t="shared" si="805"/>
        <v>#REF!</v>
      </c>
      <c r="CJ214" s="4" t="e">
        <f t="shared" si="806"/>
        <v>#REF!</v>
      </c>
      <c r="CK214" s="44" t="e">
        <f t="shared" si="807"/>
        <v>#REF!</v>
      </c>
      <c r="CL214" s="4" t="e">
        <f t="shared" si="808"/>
        <v>#REF!</v>
      </c>
      <c r="CM214" s="4">
        <f t="shared" si="720"/>
        <v>2.4772512849863699</v>
      </c>
      <c r="CO214" s="4" t="e">
        <f t="shared" si="809"/>
        <v>#REF!</v>
      </c>
      <c r="CP214" s="4" t="e">
        <f t="shared" si="810"/>
        <v>#REF!</v>
      </c>
      <c r="CQ214" s="4" t="e">
        <f t="shared" si="811"/>
        <v>#REF!</v>
      </c>
      <c r="CR214" s="4">
        <f t="shared" ref="CR214:CR215" si="846">CM214</f>
        <v>2.4772512849863699</v>
      </c>
      <c r="CS214" s="4" t="e">
        <f t="shared" si="812"/>
        <v>#REF!</v>
      </c>
      <c r="CT214" s="4" t="e">
        <f t="shared" si="813"/>
        <v>#REF!</v>
      </c>
      <c r="DB214" s="4">
        <f t="shared" si="677"/>
        <v>0</v>
      </c>
      <c r="DC214" s="4" t="e">
        <f>#REF!</f>
        <v>#REF!</v>
      </c>
      <c r="DF214" s="4">
        <f t="shared" si="723"/>
        <v>1.9960587760943931E-5</v>
      </c>
      <c r="DG214" s="4" t="e">
        <f t="shared" si="724"/>
        <v>#REF!</v>
      </c>
      <c r="DH214" s="4">
        <f t="shared" si="725"/>
        <v>0.32654625851132374</v>
      </c>
      <c r="DI214" s="4" t="e">
        <f t="shared" si="726"/>
        <v>#REF!</v>
      </c>
      <c r="DJ214" s="4" t="e">
        <f t="shared" si="727"/>
        <v>#REF!</v>
      </c>
      <c r="DK214" s="4" t="e">
        <f t="shared" si="728"/>
        <v>#REF!</v>
      </c>
      <c r="DL214" s="38" t="e">
        <f t="shared" si="729"/>
        <v>#REF!</v>
      </c>
      <c r="DM214" s="4" t="e">
        <f t="shared" si="730"/>
        <v>#REF!</v>
      </c>
      <c r="DN214" s="4">
        <f t="shared" si="731"/>
        <v>2.2360679774997898</v>
      </c>
      <c r="DO214" s="4">
        <f t="shared" si="776"/>
        <v>613.24618573300347</v>
      </c>
      <c r="DS214" s="4" t="e">
        <f t="shared" si="733"/>
        <v>#REF!</v>
      </c>
      <c r="DT214" s="4">
        <f t="shared" si="734"/>
        <v>1</v>
      </c>
      <c r="DU214" s="4">
        <f t="shared" si="735"/>
        <v>1</v>
      </c>
      <c r="DV214" s="4">
        <f t="shared" si="736"/>
        <v>1</v>
      </c>
      <c r="DX214" s="4" t="e">
        <f t="shared" si="737"/>
        <v>#REF!</v>
      </c>
      <c r="DY214" s="25">
        <f t="shared" si="814"/>
        <v>599.03474243278185</v>
      </c>
      <c r="EB214" s="4" t="e">
        <f t="shared" si="739"/>
        <v>#REF!</v>
      </c>
      <c r="EE214" s="4">
        <f t="shared" si="740"/>
        <v>71.106961684493314</v>
      </c>
      <c r="EF214" s="4">
        <f t="shared" si="741"/>
        <v>2.2360679774997898</v>
      </c>
      <c r="EG214" s="4">
        <f t="shared" si="742"/>
        <v>0.2035094370850247</v>
      </c>
      <c r="EJ214" s="4">
        <f t="shared" si="815"/>
        <v>0.2035094370850247</v>
      </c>
      <c r="EK214" s="4">
        <f t="shared" si="744"/>
        <v>0.3260013136658178</v>
      </c>
      <c r="EL214" s="4" t="e">
        <f t="shared" si="679"/>
        <v>#REF!</v>
      </c>
      <c r="EM214" s="4" t="e">
        <f t="shared" si="816"/>
        <v>#REF!</v>
      </c>
      <c r="EN214" s="4" t="e">
        <f t="shared" si="673"/>
        <v>#REF!</v>
      </c>
      <c r="EO214" s="4" t="e">
        <f t="shared" si="674"/>
        <v>#REF!</v>
      </c>
      <c r="EP214" s="4" t="e">
        <f t="shared" si="749"/>
        <v>#REF!</v>
      </c>
      <c r="EQ214" s="4" t="e">
        <f t="shared" si="817"/>
        <v>#REF!</v>
      </c>
      <c r="ER214" s="4" t="e">
        <f t="shared" si="751"/>
        <v>#REF!</v>
      </c>
      <c r="FA214" s="23" t="e">
        <f t="shared" si="818"/>
        <v>#REF!</v>
      </c>
      <c r="FB214" s="23" t="e">
        <f t="shared" si="819"/>
        <v>#REF!</v>
      </c>
      <c r="FC214" s="23">
        <f t="shared" si="754"/>
        <v>2.2000000000000002</v>
      </c>
      <c r="FD214" s="23" t="e">
        <f t="shared" si="820"/>
        <v>#REF!</v>
      </c>
      <c r="FE214" s="23" t="e">
        <f t="shared" si="821"/>
        <v>#REF!</v>
      </c>
      <c r="FF214" s="23" t="e">
        <f t="shared" si="822"/>
        <v>#REF!</v>
      </c>
      <c r="FG214" s="23" t="e">
        <f t="shared" si="823"/>
        <v>#REF!</v>
      </c>
      <c r="FH214" s="23"/>
      <c r="FR214" s="4">
        <f t="shared" si="842"/>
        <v>1.25</v>
      </c>
      <c r="FS214" s="4">
        <f t="shared" si="843"/>
        <v>0.5</v>
      </c>
      <c r="FT214" s="4">
        <f t="shared" si="844"/>
        <v>0</v>
      </c>
      <c r="FU214" s="4">
        <f t="shared" si="845"/>
        <v>288.82818805518826</v>
      </c>
    </row>
    <row r="215" spans="1:177" ht="12" customHeight="1" x14ac:dyDescent="0.3">
      <c r="B215" s="24"/>
      <c r="C215" s="4" t="s">
        <v>325</v>
      </c>
      <c r="D215" s="7">
        <v>649</v>
      </c>
      <c r="E215" s="7">
        <f t="shared" ref="E215" si="847">6*G215</f>
        <v>190.8</v>
      </c>
      <c r="F215" s="7">
        <v>129.9</v>
      </c>
      <c r="G215" s="7">
        <v>31.8</v>
      </c>
      <c r="H215" s="7">
        <v>396</v>
      </c>
      <c r="I215" s="7">
        <f>1*G215</f>
        <v>31.8</v>
      </c>
      <c r="J215" s="7" t="e">
        <f>256-#REF!</f>
        <v>#REF!</v>
      </c>
      <c r="K215" s="7">
        <f t="shared" si="798"/>
        <v>268.79999999999995</v>
      </c>
      <c r="L215" s="7">
        <v>2</v>
      </c>
      <c r="M215" s="7">
        <f t="shared" si="799"/>
        <v>127.2</v>
      </c>
      <c r="N215" s="7">
        <f t="shared" si="684"/>
        <v>1.5</v>
      </c>
      <c r="O215" s="7">
        <f t="shared" si="685"/>
        <v>1.5</v>
      </c>
      <c r="P215" s="7">
        <f t="shared" si="676"/>
        <v>4</v>
      </c>
      <c r="Q215" s="7">
        <f t="shared" si="676"/>
        <v>4</v>
      </c>
      <c r="R215" s="7">
        <f t="shared" si="686"/>
        <v>5</v>
      </c>
      <c r="S215" s="7">
        <f t="shared" si="687"/>
        <v>71.106961684493314</v>
      </c>
      <c r="T215" s="7">
        <f t="shared" si="826"/>
        <v>649</v>
      </c>
      <c r="U215" s="7">
        <v>11</v>
      </c>
      <c r="V215" s="7">
        <f>(736+710)/2</f>
        <v>723</v>
      </c>
      <c r="W215" s="7"/>
      <c r="X215" s="4" t="e">
        <f t="shared" si="689"/>
        <v>#REF!</v>
      </c>
      <c r="Y215" s="7"/>
      <c r="Z215" s="7"/>
      <c r="AA215" s="7">
        <v>1</v>
      </c>
      <c r="AB215" s="7"/>
      <c r="AC215" s="7"/>
      <c r="AD215" s="7">
        <f t="shared" si="827"/>
        <v>1.9041916167664676</v>
      </c>
      <c r="AE215" s="4">
        <f t="shared" si="691"/>
        <v>190.8</v>
      </c>
      <c r="AF215" s="4">
        <f t="shared" si="692"/>
        <v>0.69182389937106914</v>
      </c>
      <c r="AG215" s="4">
        <f t="shared" si="693"/>
        <v>189.10282381875894</v>
      </c>
      <c r="AH215" s="4">
        <f t="shared" si="694"/>
        <v>0.75</v>
      </c>
      <c r="AI215" s="4">
        <v>1.25</v>
      </c>
      <c r="AJ215" s="47">
        <f t="shared" si="825"/>
        <v>5</v>
      </c>
      <c r="AK215" s="38">
        <f t="shared" si="800"/>
        <v>613.2461857330037</v>
      </c>
      <c r="AL215" s="38">
        <f t="shared" si="762"/>
        <v>613.2461857330037</v>
      </c>
      <c r="AM215" s="38">
        <f t="shared" si="695"/>
        <v>5.7111767066521422</v>
      </c>
      <c r="AN215" s="38">
        <f t="shared" si="640"/>
        <v>613.24618573300347</v>
      </c>
      <c r="AO215" s="38">
        <f t="shared" si="840"/>
        <v>1.0000000000000004</v>
      </c>
      <c r="AP215" s="38">
        <f t="shared" si="641"/>
        <v>1.2709414557033005</v>
      </c>
      <c r="AQ215" s="4">
        <f t="shared" si="642"/>
        <v>0</v>
      </c>
      <c r="AR215" s="4" t="e">
        <f>#REF!/G215*F215^0.5/0.19</f>
        <v>#REF!</v>
      </c>
      <c r="AS215" s="4">
        <f t="shared" si="696"/>
        <v>1</v>
      </c>
      <c r="AT215" s="38">
        <f t="shared" si="697"/>
        <v>779.40000000000009</v>
      </c>
      <c r="AU215" s="4">
        <f t="shared" si="698"/>
        <v>0.44000000000000006</v>
      </c>
      <c r="AV215" s="4" t="e">
        <f>AU215*D215*#REF!/(D215*G215/2.75/F215^0.5)</f>
        <v>#REF!</v>
      </c>
      <c r="AW215" s="4" t="e">
        <f t="shared" si="801"/>
        <v>#REF!</v>
      </c>
      <c r="AY215" s="4">
        <f t="shared" si="700"/>
        <v>1</v>
      </c>
      <c r="AZ215" s="4" t="e">
        <f>(3*#REF!+30)*AY215*F215^0.5</f>
        <v>#REF!</v>
      </c>
      <c r="BB215" s="4">
        <f t="shared" si="701"/>
        <v>747.53991440910613</v>
      </c>
      <c r="BC215" s="4">
        <f t="shared" si="828"/>
        <v>711.96329095823319</v>
      </c>
      <c r="BD215" s="4">
        <f t="shared" si="672"/>
        <v>0.95240839617374207</v>
      </c>
      <c r="BL215" s="4">
        <f t="shared" si="704"/>
        <v>31.8</v>
      </c>
      <c r="BP215" s="9"/>
      <c r="BR215" s="9"/>
      <c r="BS215" s="9"/>
      <c r="BT215" s="9" t="e">
        <f t="shared" si="705"/>
        <v>#REF!</v>
      </c>
      <c r="BU215" s="9">
        <f t="shared" si="706"/>
        <v>134.39999999999998</v>
      </c>
      <c r="BV215" s="9" t="e">
        <f t="shared" si="707"/>
        <v>#REF!</v>
      </c>
      <c r="BW215" s="9">
        <v>0</v>
      </c>
      <c r="BX215" s="9">
        <f t="shared" si="708"/>
        <v>0</v>
      </c>
      <c r="BY215" s="9">
        <f t="shared" si="802"/>
        <v>0</v>
      </c>
      <c r="BZ215" s="9">
        <f t="shared" si="710"/>
        <v>0.93036607665491811</v>
      </c>
      <c r="CA215" s="9">
        <f t="shared" si="711"/>
        <v>0.80099999999999993</v>
      </c>
      <c r="CB215" s="9">
        <f t="shared" si="712"/>
        <v>2.9727542082721463</v>
      </c>
      <c r="CC215" s="9" t="e">
        <f t="shared" si="713"/>
        <v>#REF!</v>
      </c>
      <c r="CD215" s="9">
        <v>1</v>
      </c>
      <c r="CE215" s="9" t="e">
        <f>4*CC215*#REF!+60*CC215</f>
        <v>#REF!</v>
      </c>
      <c r="CG215" s="4" t="e">
        <f t="shared" si="803"/>
        <v>#REF!</v>
      </c>
      <c r="CH215" s="4" t="e">
        <f t="shared" si="804"/>
        <v>#REF!</v>
      </c>
      <c r="CI215" s="4" t="e">
        <f t="shared" si="805"/>
        <v>#REF!</v>
      </c>
      <c r="CJ215" s="4" t="e">
        <f t="shared" si="806"/>
        <v>#REF!</v>
      </c>
      <c r="CK215" s="44" t="e">
        <f t="shared" si="807"/>
        <v>#REF!</v>
      </c>
      <c r="CL215" s="4" t="e">
        <f t="shared" si="808"/>
        <v>#REF!</v>
      </c>
      <c r="CM215" s="4">
        <f t="shared" si="720"/>
        <v>2.5032182795879043</v>
      </c>
      <c r="CO215" s="4" t="e">
        <f t="shared" si="809"/>
        <v>#REF!</v>
      </c>
      <c r="CP215" s="4" t="e">
        <f t="shared" si="810"/>
        <v>#REF!</v>
      </c>
      <c r="CQ215" s="4" t="e">
        <f t="shared" si="811"/>
        <v>#REF!</v>
      </c>
      <c r="CR215" s="4">
        <f t="shared" si="846"/>
        <v>2.5032182795879043</v>
      </c>
      <c r="CS215" s="4" t="e">
        <f t="shared" si="812"/>
        <v>#REF!</v>
      </c>
      <c r="CT215" s="4" t="e">
        <f t="shared" si="813"/>
        <v>#REF!</v>
      </c>
      <c r="DB215" s="4">
        <f t="shared" si="677"/>
        <v>0</v>
      </c>
      <c r="DC215" s="4" t="e">
        <f>#REF!</f>
        <v>#REF!</v>
      </c>
      <c r="DF215" s="4">
        <f t="shared" si="723"/>
        <v>1.9960587760943931E-5</v>
      </c>
      <c r="DG215" s="4" t="e">
        <f t="shared" si="724"/>
        <v>#REF!</v>
      </c>
      <c r="DH215" s="4">
        <f t="shared" si="725"/>
        <v>0.32654625851132374</v>
      </c>
      <c r="DI215" s="4" t="e">
        <f t="shared" si="726"/>
        <v>#REF!</v>
      </c>
      <c r="DJ215" s="4" t="e">
        <f t="shared" si="727"/>
        <v>#REF!</v>
      </c>
      <c r="DK215" s="4" t="e">
        <f t="shared" si="728"/>
        <v>#REF!</v>
      </c>
      <c r="DL215" s="38" t="e">
        <f t="shared" si="729"/>
        <v>#REF!</v>
      </c>
      <c r="DM215" s="4" t="e">
        <f t="shared" si="730"/>
        <v>#REF!</v>
      </c>
      <c r="DN215" s="4">
        <f t="shared" si="731"/>
        <v>2.2360679774997898</v>
      </c>
      <c r="DO215" s="4">
        <f t="shared" si="776"/>
        <v>613.24618573300347</v>
      </c>
      <c r="DS215" s="4" t="e">
        <f t="shared" si="733"/>
        <v>#REF!</v>
      </c>
      <c r="DT215" s="4">
        <f t="shared" si="734"/>
        <v>1</v>
      </c>
      <c r="DU215" s="4">
        <f t="shared" si="735"/>
        <v>1</v>
      </c>
      <c r="DV215" s="4">
        <f t="shared" si="736"/>
        <v>1</v>
      </c>
      <c r="DX215" s="4" t="e">
        <f t="shared" si="737"/>
        <v>#REF!</v>
      </c>
      <c r="DY215" s="25">
        <f t="shared" si="814"/>
        <v>599.03474243278185</v>
      </c>
      <c r="EB215" s="4" t="e">
        <f t="shared" si="739"/>
        <v>#REF!</v>
      </c>
      <c r="EE215" s="4">
        <f t="shared" si="740"/>
        <v>71.106961684493314</v>
      </c>
      <c r="EF215" s="4">
        <f t="shared" si="741"/>
        <v>2.2360679774997898</v>
      </c>
      <c r="EG215" s="4">
        <f t="shared" si="742"/>
        <v>0.2035094370850247</v>
      </c>
      <c r="EJ215" s="4">
        <f t="shared" si="815"/>
        <v>0.2035094370850247</v>
      </c>
      <c r="EK215" s="4">
        <f t="shared" si="744"/>
        <v>0.3260013136658178</v>
      </c>
      <c r="EL215" s="4" t="e">
        <f t="shared" si="679"/>
        <v>#REF!</v>
      </c>
      <c r="EM215" s="4" t="e">
        <f t="shared" si="816"/>
        <v>#REF!</v>
      </c>
      <c r="EN215" s="4" t="e">
        <f t="shared" si="673"/>
        <v>#REF!</v>
      </c>
      <c r="EO215" s="4" t="e">
        <f t="shared" si="674"/>
        <v>#REF!</v>
      </c>
      <c r="EP215" s="4" t="e">
        <f t="shared" si="749"/>
        <v>#REF!</v>
      </c>
      <c r="EQ215" s="4" t="e">
        <f t="shared" si="817"/>
        <v>#REF!</v>
      </c>
      <c r="ER215" s="4" t="e">
        <f t="shared" si="751"/>
        <v>#REF!</v>
      </c>
      <c r="FA215" s="23" t="e">
        <f t="shared" si="818"/>
        <v>#REF!</v>
      </c>
      <c r="FB215" s="23" t="e">
        <f t="shared" si="819"/>
        <v>#REF!</v>
      </c>
      <c r="FC215" s="23">
        <f t="shared" si="754"/>
        <v>2.2000000000000002</v>
      </c>
      <c r="FD215" s="23" t="e">
        <f t="shared" si="820"/>
        <v>#REF!</v>
      </c>
      <c r="FE215" s="23" t="e">
        <f t="shared" si="821"/>
        <v>#REF!</v>
      </c>
      <c r="FF215" s="23" t="e">
        <f t="shared" si="822"/>
        <v>#REF!</v>
      </c>
      <c r="FG215" s="23" t="e">
        <f t="shared" si="823"/>
        <v>#REF!</v>
      </c>
      <c r="FH215" s="23"/>
      <c r="FR215" s="4">
        <f t="shared" si="842"/>
        <v>1.25</v>
      </c>
      <c r="FS215" s="4">
        <f t="shared" si="843"/>
        <v>0.5</v>
      </c>
      <c r="FT215" s="4">
        <f t="shared" si="844"/>
        <v>0</v>
      </c>
      <c r="FU215" s="4">
        <f t="shared" si="845"/>
        <v>288.82818805518826</v>
      </c>
    </row>
    <row r="216" spans="1:177" ht="12" customHeight="1" x14ac:dyDescent="0.3">
      <c r="A216" s="4">
        <v>7</v>
      </c>
      <c r="B216" s="24" t="s">
        <v>327</v>
      </c>
      <c r="C216" s="4" t="s">
        <v>328</v>
      </c>
      <c r="D216" s="7">
        <v>556</v>
      </c>
      <c r="E216" s="7">
        <f>381-J216-25</f>
        <v>280</v>
      </c>
      <c r="F216" s="7">
        <v>26.7</v>
      </c>
      <c r="G216" s="7">
        <v>35.799999999999997</v>
      </c>
      <c r="H216" s="7">
        <v>305</v>
      </c>
      <c r="I216" s="7">
        <v>76</v>
      </c>
      <c r="J216" s="7">
        <v>76</v>
      </c>
      <c r="K216" s="7">
        <f t="shared" si="798"/>
        <v>81.400000000000006</v>
      </c>
      <c r="L216" s="7">
        <v>2</v>
      </c>
      <c r="M216" s="7">
        <f>775-(343+152)</f>
        <v>280</v>
      </c>
      <c r="N216" s="7">
        <f t="shared" si="684"/>
        <v>1.6368715083798884</v>
      </c>
      <c r="O216" s="7">
        <f t="shared" si="685"/>
        <v>2.6229050279329611</v>
      </c>
      <c r="P216" s="7">
        <f>5500/(G216^2*PI()/4)-1</f>
        <v>4.4639504822285474</v>
      </c>
      <c r="Q216" s="7">
        <f>5500/(G216^2*PI()/4)-1</f>
        <v>4.4639504822285474</v>
      </c>
      <c r="R216" s="7">
        <f t="shared" si="686"/>
        <v>5.4639504822285474</v>
      </c>
      <c r="S216" s="7">
        <f t="shared" si="687"/>
        <v>83.682838718840046</v>
      </c>
      <c r="T216" s="7">
        <f t="shared" si="826"/>
        <v>556</v>
      </c>
      <c r="U216" s="7">
        <v>25</v>
      </c>
      <c r="V216" s="7"/>
      <c r="W216" s="32" t="s">
        <v>308</v>
      </c>
      <c r="X216" s="4">
        <f t="shared" si="689"/>
        <v>0</v>
      </c>
      <c r="Y216" s="7"/>
      <c r="Z216" s="7"/>
      <c r="AA216" s="7">
        <v>1</v>
      </c>
      <c r="AB216" s="7"/>
      <c r="AC216" s="7"/>
      <c r="AD216" s="7">
        <f t="shared" si="827"/>
        <v>7.1672354948805461</v>
      </c>
      <c r="AE216" s="4">
        <f t="shared" si="691"/>
        <v>280</v>
      </c>
      <c r="AF216" s="4">
        <f t="shared" si="692"/>
        <v>0.36309523809523808</v>
      </c>
      <c r="AG216" s="4">
        <f t="shared" si="693"/>
        <v>120.25599814291758</v>
      </c>
      <c r="AH216" s="4">
        <f t="shared" si="694"/>
        <v>0.76707142857142852</v>
      </c>
      <c r="AI216" s="4">
        <v>1.25</v>
      </c>
      <c r="AJ216" s="4">
        <f>AJ169</f>
        <v>2.5</v>
      </c>
      <c r="AK216" s="38">
        <f t="shared" ref="AK216:AK247" si="848">AF216*AH216*AI216*AJ216*AG216</f>
        <v>104.66780799248551</v>
      </c>
      <c r="AL216" s="38">
        <f t="shared" si="762"/>
        <v>104.66780799248551</v>
      </c>
      <c r="AM216" s="38">
        <f t="shared" si="695"/>
        <v>2.6799627788697054</v>
      </c>
      <c r="AN216" s="38">
        <f t="shared" si="640"/>
        <v>104.66780799248556</v>
      </c>
      <c r="AO216" s="38">
        <f t="shared" si="840"/>
        <v>0.99999999999999944</v>
      </c>
      <c r="AP216" s="38">
        <f t="shared" si="641"/>
        <v>2.1895691011964828</v>
      </c>
      <c r="AQ216" s="4">
        <f t="shared" si="642"/>
        <v>0</v>
      </c>
      <c r="AR216" s="4" t="e">
        <f>#REF!/G216*F216^0.5/0.19</f>
        <v>#REF!</v>
      </c>
      <c r="AS216" s="4">
        <f t="shared" si="696"/>
        <v>1.2409556313993173</v>
      </c>
      <c r="AT216" s="38">
        <f t="shared" si="697"/>
        <v>229.17739827031264</v>
      </c>
      <c r="AU216" s="4">
        <f t="shared" si="698"/>
        <v>0.37504693248800336</v>
      </c>
      <c r="AV216" s="4" t="e">
        <f>AU216*D216*#REF!/(D216*G216/2.75/F216^0.5)</f>
        <v>#REF!</v>
      </c>
      <c r="AW216" s="4" t="e">
        <f t="shared" ref="AW216:AW247" si="849">AT216+AV216</f>
        <v>#REF!</v>
      </c>
      <c r="AY216" s="4">
        <f t="shared" si="700"/>
        <v>1.2807262569832403</v>
      </c>
      <c r="AZ216" s="4" t="e">
        <f>(3*#REF!+30)*AY216*F216^0.5</f>
        <v>#REF!</v>
      </c>
      <c r="BB216" s="4">
        <f t="shared" si="701"/>
        <v>219.80915151076618</v>
      </c>
      <c r="BC216" s="4">
        <f t="shared" si="828"/>
        <v>1562.4220485187734</v>
      </c>
      <c r="BD216" s="4">
        <f t="shared" si="672"/>
        <v>7.1080846169512029</v>
      </c>
      <c r="BL216" s="4">
        <f t="shared" si="704"/>
        <v>40.700000000000003</v>
      </c>
      <c r="BP216" s="9"/>
      <c r="BR216" s="9"/>
      <c r="BS216" s="9"/>
      <c r="BT216" s="9">
        <f t="shared" si="705"/>
        <v>40.700000000000003</v>
      </c>
      <c r="BU216" s="9">
        <f t="shared" si="706"/>
        <v>76</v>
      </c>
      <c r="BV216" s="9">
        <f t="shared" si="707"/>
        <v>1.1709505872794554</v>
      </c>
      <c r="BW216" s="9">
        <v>0</v>
      </c>
      <c r="BX216" s="9">
        <f t="shared" si="708"/>
        <v>0</v>
      </c>
      <c r="BY216" s="9">
        <f t="shared" ref="BY216:BY247" si="850">MAX(0,BW216*(BX216-0.5/50))</f>
        <v>0</v>
      </c>
      <c r="BZ216" s="9">
        <f t="shared" si="710"/>
        <v>0.89787751228078194</v>
      </c>
      <c r="CA216" s="9">
        <f t="shared" si="711"/>
        <v>0.91600000000000004</v>
      </c>
      <c r="CB216" s="9">
        <f t="shared" si="712"/>
        <v>1.4874289957293467</v>
      </c>
      <c r="CC216" s="9">
        <f t="shared" si="713"/>
        <v>1.7417058560857692</v>
      </c>
      <c r="CD216" s="9">
        <v>1</v>
      </c>
      <c r="CE216" s="9" t="e">
        <f>4*CC216*#REF!+60*CC216</f>
        <v>#REF!</v>
      </c>
      <c r="DB216" s="4">
        <f t="shared" si="677"/>
        <v>0</v>
      </c>
      <c r="DC216" s="4" t="e">
        <f>#REF!</f>
        <v>#REF!</v>
      </c>
      <c r="DF216" s="4">
        <f t="shared" si="723"/>
        <v>1.3635706148731076E-5</v>
      </c>
      <c r="DG216" s="4">
        <f t="shared" si="724"/>
        <v>5.0637691717870918</v>
      </c>
      <c r="DH216" s="4">
        <f t="shared" si="725"/>
        <v>0.28594715504203178</v>
      </c>
      <c r="DI216" s="4">
        <f t="shared" si="726"/>
        <v>3.0689386907352811</v>
      </c>
      <c r="DJ216" s="4">
        <f t="shared" si="727"/>
        <v>4.187580106722991</v>
      </c>
      <c r="DK216" s="4">
        <f t="shared" si="728"/>
        <v>4.931420533735495</v>
      </c>
      <c r="DL216" s="38">
        <f t="shared" si="729"/>
        <v>231.03430749807197</v>
      </c>
      <c r="DM216" s="4" t="e">
        <f t="shared" si="730"/>
        <v>#REF!</v>
      </c>
      <c r="DN216" s="4">
        <f t="shared" si="731"/>
        <v>2.3375094614201131</v>
      </c>
      <c r="DO216" s="4">
        <f t="shared" si="776"/>
        <v>104.66780799248556</v>
      </c>
      <c r="DS216" s="4">
        <f t="shared" si="733"/>
        <v>0.85</v>
      </c>
      <c r="DT216" s="4">
        <f t="shared" si="734"/>
        <v>0.98631284916201112</v>
      </c>
      <c r="DU216" s="4">
        <f t="shared" si="735"/>
        <v>1</v>
      </c>
      <c r="DV216" s="4">
        <f t="shared" si="736"/>
        <v>0.98631284916201112</v>
      </c>
      <c r="DX216" s="4">
        <f t="shared" si="737"/>
        <v>222.0256895508856</v>
      </c>
      <c r="DY216" s="25">
        <f t="shared" ref="DY216:DY279" si="851">13.3*H216*E216^0.5*F216^0.5/L216/G216^2*(0.7+I216/5/E216)</f>
        <v>103.2109939000153</v>
      </c>
      <c r="EA216" s="4">
        <f t="shared" ref="EA216:EA279" si="852">DS216*DV216</f>
        <v>0.83836592178770941</v>
      </c>
      <c r="EB216" s="4">
        <f t="shared" si="739"/>
        <v>5.0637691717870918</v>
      </c>
      <c r="EE216" s="4">
        <f t="shared" si="740"/>
        <v>83.682838718840046</v>
      </c>
      <c r="EF216" s="4">
        <f t="shared" si="741"/>
        <v>2.3375094614201131</v>
      </c>
      <c r="EG216" s="4">
        <f t="shared" si="742"/>
        <v>8.0793547209318639E-2</v>
      </c>
      <c r="EJ216" s="4">
        <f t="shared" ref="EJ216:EJ247" si="853">EG216</f>
        <v>8.0793547209318639E-2</v>
      </c>
      <c r="EK216" s="4">
        <f t="shared" si="744"/>
        <v>0.28546996253357176</v>
      </c>
      <c r="EL216" s="4">
        <f t="shared" si="679"/>
        <v>3.0668890695236737</v>
      </c>
      <c r="EM216" s="4">
        <f t="shared" ref="EM216:EM247" si="854">EB216/1.4*(1-EK216^1.4)/(1-EK216)</f>
        <v>4.1868323477407055</v>
      </c>
      <c r="EN216" s="4" t="e">
        <f t="shared" si="673"/>
        <v>#REF!</v>
      </c>
      <c r="EO216" s="4" t="e">
        <f t="shared" si="674"/>
        <v>#REF!</v>
      </c>
      <c r="EP216" s="4" t="e">
        <f t="shared" si="749"/>
        <v>#REF!</v>
      </c>
      <c r="EQ216" s="4" t="e">
        <f t="shared" ref="EQ216:EQ247" si="855">MAX(0.5*EB216, (1-2*EP216*(EE216*EL216+EN216*EM216))/(1/EB216+EP216*EO216))</f>
        <v>#REF!</v>
      </c>
      <c r="ER216" s="4" t="e">
        <f t="shared" si="751"/>
        <v>#REF!</v>
      </c>
      <c r="FA216" s="23"/>
      <c r="FB216" s="23"/>
      <c r="FC216" s="23"/>
      <c r="FD216" s="23"/>
      <c r="FE216" s="23"/>
      <c r="FF216" s="23"/>
      <c r="FG216" s="23"/>
      <c r="FH216" s="23"/>
      <c r="FR216" s="4">
        <f t="shared" si="842"/>
        <v>1</v>
      </c>
      <c r="FS216" s="4">
        <f t="shared" si="843"/>
        <v>0.8938547486033519</v>
      </c>
      <c r="FT216" s="4">
        <f t="shared" si="844"/>
        <v>0</v>
      </c>
      <c r="FU216" s="4">
        <f t="shared" si="845"/>
        <v>167.06057427224937</v>
      </c>
    </row>
    <row r="217" spans="1:177" ht="12" customHeight="1" x14ac:dyDescent="0.3">
      <c r="B217" s="4">
        <v>1996</v>
      </c>
      <c r="C217" s="4" t="s">
        <v>329</v>
      </c>
      <c r="D217" s="7">
        <v>556</v>
      </c>
      <c r="E217" s="7">
        <f>381-J217-25</f>
        <v>280</v>
      </c>
      <c r="F217" s="7">
        <v>29.4</v>
      </c>
      <c r="G217" s="7">
        <v>35.799999999999997</v>
      </c>
      <c r="H217" s="7">
        <v>305</v>
      </c>
      <c r="I217" s="7">
        <v>76</v>
      </c>
      <c r="J217" s="7">
        <v>76</v>
      </c>
      <c r="K217" s="7">
        <f t="shared" si="798"/>
        <v>81.400000000000006</v>
      </c>
      <c r="L217" s="7">
        <v>2</v>
      </c>
      <c r="M217" s="7">
        <f t="shared" ref="M217:M247" si="856">775-(343+152)</f>
        <v>280</v>
      </c>
      <c r="N217" s="7">
        <f t="shared" si="684"/>
        <v>1.6368715083798884</v>
      </c>
      <c r="O217" s="7">
        <f t="shared" si="685"/>
        <v>2.6229050279329611</v>
      </c>
      <c r="P217" s="7">
        <f>5500/(G217^2*PI()/4)-1</f>
        <v>4.4639504822285474</v>
      </c>
      <c r="Q217" s="7">
        <f>5500/(G217^2*PI()/4)-1</f>
        <v>4.4639504822285474</v>
      </c>
      <c r="R217" s="7">
        <f t="shared" si="686"/>
        <v>5.4639504822285474</v>
      </c>
      <c r="S217" s="7">
        <f t="shared" si="687"/>
        <v>83.682838718840046</v>
      </c>
      <c r="T217" s="7">
        <f t="shared" si="826"/>
        <v>556</v>
      </c>
      <c r="U217" s="7">
        <v>25</v>
      </c>
      <c r="V217" s="7"/>
      <c r="W217" s="32" t="s">
        <v>308</v>
      </c>
      <c r="X217" s="4">
        <f t="shared" si="689"/>
        <v>0</v>
      </c>
      <c r="Y217" s="7"/>
      <c r="Z217" s="7"/>
      <c r="AA217" s="7">
        <v>1</v>
      </c>
      <c r="AB217" s="7"/>
      <c r="AC217" s="7"/>
      <c r="AD217" s="7">
        <f t="shared" si="827"/>
        <v>7.1672354948805461</v>
      </c>
      <c r="AE217" s="4">
        <f t="shared" si="691"/>
        <v>280</v>
      </c>
      <c r="AF217" s="4">
        <f t="shared" si="692"/>
        <v>0.36309523809523808</v>
      </c>
      <c r="AG217" s="4">
        <f t="shared" si="693"/>
        <v>126.18995395992187</v>
      </c>
      <c r="AH217" s="4">
        <f t="shared" si="694"/>
        <v>0.76707142857142852</v>
      </c>
      <c r="AI217" s="4">
        <v>1.25</v>
      </c>
      <c r="AJ217" s="4">
        <f>AJ216</f>
        <v>2.5</v>
      </c>
      <c r="AK217" s="38">
        <f t="shared" si="848"/>
        <v>109.83257447134307</v>
      </c>
      <c r="AL217" s="38">
        <f t="shared" si="762"/>
        <v>109.83257447134307</v>
      </c>
      <c r="AM217" s="38">
        <f t="shared" si="695"/>
        <v>2.8577186887004142</v>
      </c>
      <c r="AN217" s="38">
        <f t="shared" si="640"/>
        <v>109.83257447134312</v>
      </c>
      <c r="AO217" s="38">
        <f t="shared" si="840"/>
        <v>0.99999999999999944</v>
      </c>
      <c r="AP217" s="38">
        <f t="shared" si="641"/>
        <v>2.2976119972301303</v>
      </c>
      <c r="AQ217" s="4">
        <f t="shared" si="642"/>
        <v>0</v>
      </c>
      <c r="AR217" s="4" t="e">
        <f>#REF!/G217*F217^0.5/0.19</f>
        <v>#REF!</v>
      </c>
      <c r="AS217" s="4">
        <f t="shared" si="696"/>
        <v>1.2409556313993173</v>
      </c>
      <c r="AT217" s="38">
        <f t="shared" si="697"/>
        <v>252.35264079202972</v>
      </c>
      <c r="AU217" s="4">
        <f t="shared" si="698"/>
        <v>0.37504693248800336</v>
      </c>
      <c r="AV217" s="4" t="e">
        <f>AU217*D217*#REF!/(D217*G217/2.75/F217^0.5)</f>
        <v>#REF!</v>
      </c>
      <c r="AW217" s="4" t="e">
        <f t="shared" si="849"/>
        <v>#REF!</v>
      </c>
      <c r="AY217" s="4">
        <f t="shared" si="700"/>
        <v>1.2807262569832403</v>
      </c>
      <c r="AZ217" s="4" t="e">
        <f>(3*#REF!+30)*AY217*F217^0.5</f>
        <v>#REF!</v>
      </c>
      <c r="BB217" s="4">
        <f t="shared" si="701"/>
        <v>242.03704323657402</v>
      </c>
      <c r="BC217" s="4">
        <f t="shared" si="828"/>
        <v>1562.4220485187734</v>
      </c>
      <c r="BD217" s="4">
        <f t="shared" si="672"/>
        <v>6.4553013358026226</v>
      </c>
      <c r="BL217" s="4">
        <f t="shared" si="704"/>
        <v>40.700000000000003</v>
      </c>
      <c r="BP217" s="9"/>
      <c r="BR217" s="9"/>
      <c r="BS217" s="9"/>
      <c r="BT217" s="9">
        <f t="shared" si="705"/>
        <v>40.700000000000003</v>
      </c>
      <c r="BU217" s="9">
        <f t="shared" si="706"/>
        <v>76</v>
      </c>
      <c r="BV217" s="9">
        <f t="shared" si="707"/>
        <v>1.1709505872794554</v>
      </c>
      <c r="BW217" s="9">
        <v>0</v>
      </c>
      <c r="BX217" s="9">
        <f t="shared" si="708"/>
        <v>0</v>
      </c>
      <c r="BY217" s="9">
        <f t="shared" si="850"/>
        <v>0</v>
      </c>
      <c r="BZ217" s="9">
        <f t="shared" si="710"/>
        <v>0.89787751228078194</v>
      </c>
      <c r="CA217" s="9">
        <f t="shared" si="711"/>
        <v>0.91600000000000004</v>
      </c>
      <c r="CB217" s="9">
        <f t="shared" si="712"/>
        <v>1.560825234402609</v>
      </c>
      <c r="CC217" s="9">
        <f t="shared" si="713"/>
        <v>1.8276492248643288</v>
      </c>
      <c r="CD217" s="9">
        <v>1</v>
      </c>
      <c r="CE217" s="9" t="e">
        <f>4*CC217*#REF!+60*CC217</f>
        <v>#REF!</v>
      </c>
      <c r="DB217" s="4">
        <f t="shared" si="677"/>
        <v>0</v>
      </c>
      <c r="DC217" s="4" t="e">
        <f>#REF!</f>
        <v>#REF!</v>
      </c>
      <c r="DF217" s="4">
        <f t="shared" si="723"/>
        <v>1.3906579803299705E-5</v>
      </c>
      <c r="DG217" s="4">
        <f t="shared" si="724"/>
        <v>5.3136376440206563</v>
      </c>
      <c r="DH217" s="4">
        <f t="shared" si="725"/>
        <v>0.27250077733310263</v>
      </c>
      <c r="DI217" s="4">
        <f t="shared" si="726"/>
        <v>3.1589229508698327</v>
      </c>
      <c r="DJ217" s="4">
        <f t="shared" si="727"/>
        <v>4.3719523242236811</v>
      </c>
      <c r="DK217" s="4">
        <f t="shared" si="728"/>
        <v>5.1662301389039698</v>
      </c>
      <c r="DL217" s="38">
        <f t="shared" si="729"/>
        <v>241.47909473935039</v>
      </c>
      <c r="DM217" s="4" t="e">
        <f t="shared" si="730"/>
        <v>#REF!</v>
      </c>
      <c r="DN217" s="4">
        <f t="shared" si="731"/>
        <v>2.3375094614201131</v>
      </c>
      <c r="DO217" s="4">
        <f t="shared" si="776"/>
        <v>109.83257447134312</v>
      </c>
      <c r="DS217" s="4">
        <f t="shared" si="733"/>
        <v>0.85</v>
      </c>
      <c r="DT217" s="4">
        <f t="shared" si="734"/>
        <v>0.98631284916201112</v>
      </c>
      <c r="DU217" s="4">
        <f t="shared" si="735"/>
        <v>1</v>
      </c>
      <c r="DV217" s="4">
        <f t="shared" si="736"/>
        <v>0.98631284916201112</v>
      </c>
      <c r="DX217" s="4">
        <f t="shared" si="737"/>
        <v>232.98140612536457</v>
      </c>
      <c r="DY217" s="25">
        <f t="shared" si="851"/>
        <v>108.30387481314804</v>
      </c>
      <c r="EA217" s="4">
        <f t="shared" si="852"/>
        <v>0.83836592178770941</v>
      </c>
      <c r="EB217" s="4">
        <f t="shared" si="739"/>
        <v>5.3136376440206563</v>
      </c>
      <c r="EE217" s="4">
        <f t="shared" si="740"/>
        <v>83.682838718840046</v>
      </c>
      <c r="EF217" s="4">
        <f t="shared" si="741"/>
        <v>2.3375094614201131</v>
      </c>
      <c r="EG217" s="4">
        <f t="shared" si="742"/>
        <v>8.0793547209318639E-2</v>
      </c>
      <c r="EJ217" s="4">
        <f t="shared" si="853"/>
        <v>8.0793547209318639E-2</v>
      </c>
      <c r="EK217" s="4">
        <f t="shared" si="744"/>
        <v>0.27204602432297464</v>
      </c>
      <c r="EL217" s="4">
        <f t="shared" si="679"/>
        <v>3.1568132327755998</v>
      </c>
      <c r="EM217" s="4">
        <f t="shared" si="854"/>
        <v>4.3711938856443737</v>
      </c>
      <c r="EN217" s="4" t="e">
        <f t="shared" si="673"/>
        <v>#REF!</v>
      </c>
      <c r="EO217" s="4" t="e">
        <f t="shared" si="674"/>
        <v>#REF!</v>
      </c>
      <c r="EP217" s="4" t="e">
        <f t="shared" si="749"/>
        <v>#REF!</v>
      </c>
      <c r="EQ217" s="4" t="e">
        <f t="shared" si="855"/>
        <v>#REF!</v>
      </c>
      <c r="ER217" s="4" t="e">
        <f t="shared" si="751"/>
        <v>#REF!</v>
      </c>
      <c r="FA217" s="23"/>
      <c r="FB217" s="23"/>
      <c r="FC217" s="23"/>
      <c r="FD217" s="23"/>
      <c r="FE217" s="23"/>
      <c r="FF217" s="23"/>
      <c r="FG217" s="23"/>
      <c r="FH217" s="23"/>
      <c r="FR217" s="4">
        <f t="shared" si="842"/>
        <v>1</v>
      </c>
      <c r="FS217" s="4">
        <f t="shared" si="843"/>
        <v>0.8938547486033519</v>
      </c>
      <c r="FT217" s="4">
        <f t="shared" si="844"/>
        <v>0</v>
      </c>
      <c r="FU217" s="4">
        <f t="shared" si="845"/>
        <v>171.13269403318475</v>
      </c>
    </row>
    <row r="218" spans="1:177" ht="12" customHeight="1" x14ac:dyDescent="0.3">
      <c r="B218" s="24" t="s">
        <v>309</v>
      </c>
      <c r="C218" s="4" t="s">
        <v>330</v>
      </c>
      <c r="D218" s="7">
        <v>556</v>
      </c>
      <c r="E218" s="7">
        <f>381-J218-20</f>
        <v>285</v>
      </c>
      <c r="F218" s="7">
        <v>29.4</v>
      </c>
      <c r="G218" s="7">
        <v>35.799999999999997</v>
      </c>
      <c r="H218" s="7">
        <v>305</v>
      </c>
      <c r="I218" s="7">
        <v>76</v>
      </c>
      <c r="J218" s="7">
        <v>76</v>
      </c>
      <c r="K218" s="7">
        <f t="shared" si="798"/>
        <v>81.400000000000006</v>
      </c>
      <c r="L218" s="7">
        <v>2</v>
      </c>
      <c r="M218" s="7">
        <f t="shared" si="856"/>
        <v>280</v>
      </c>
      <c r="N218" s="7">
        <f t="shared" si="684"/>
        <v>1.6368715083798884</v>
      </c>
      <c r="O218" s="7">
        <f t="shared" si="685"/>
        <v>2.6229050279329611</v>
      </c>
      <c r="P218" s="7">
        <f>8100/(G218^2*PI()/4)-1</f>
        <v>7.0469088920093164</v>
      </c>
      <c r="Q218" s="7">
        <f>8100/(G218^2*PI()/4)-1</f>
        <v>7.0469088920093164</v>
      </c>
      <c r="R218" s="7">
        <f t="shared" si="686"/>
        <v>8.0469088920093164</v>
      </c>
      <c r="S218" s="7">
        <f t="shared" si="687"/>
        <v>101.55412503859614</v>
      </c>
      <c r="T218" s="7">
        <f t="shared" si="826"/>
        <v>556</v>
      </c>
      <c r="U218" s="7">
        <v>20</v>
      </c>
      <c r="V218" s="7"/>
      <c r="W218" s="32" t="s">
        <v>308</v>
      </c>
      <c r="X218" s="4">
        <f t="shared" si="689"/>
        <v>0</v>
      </c>
      <c r="Y218" s="7"/>
      <c r="Z218" s="7"/>
      <c r="AA218" s="7">
        <v>1</v>
      </c>
      <c r="AB218" s="7"/>
      <c r="AC218" s="7"/>
      <c r="AD218" s="7">
        <f t="shared" si="827"/>
        <v>7.2952218430034126</v>
      </c>
      <c r="AE218" s="4">
        <f t="shared" si="691"/>
        <v>285</v>
      </c>
      <c r="AF218" s="4">
        <f t="shared" si="692"/>
        <v>0.35672514619883039</v>
      </c>
      <c r="AG218" s="4">
        <f t="shared" si="693"/>
        <v>129.58508707954471</v>
      </c>
      <c r="AH218" s="4">
        <f t="shared" si="694"/>
        <v>0.76589473684210518</v>
      </c>
      <c r="AI218" s="4">
        <v>1.25</v>
      </c>
      <c r="AJ218" s="4">
        <f t="shared" ref="AJ218:AJ281" si="857">AJ217</f>
        <v>2.5</v>
      </c>
      <c r="AK218" s="38">
        <f t="shared" si="848"/>
        <v>110.63890179485381</v>
      </c>
      <c r="AL218" s="38">
        <f t="shared" si="762"/>
        <v>110.63890179485381</v>
      </c>
      <c r="AM218" s="38">
        <f t="shared" si="695"/>
        <v>2.8577186887004142</v>
      </c>
      <c r="AN218" s="38">
        <f t="shared" si="640"/>
        <v>110.63890179485385</v>
      </c>
      <c r="AO218" s="38">
        <f t="shared" si="840"/>
        <v>0.99999999999999967</v>
      </c>
      <c r="AP218" s="38">
        <f t="shared" si="641"/>
        <v>2.8657588460091983</v>
      </c>
      <c r="AQ218" s="4">
        <f t="shared" si="642"/>
        <v>0</v>
      </c>
      <c r="AR218" s="4" t="e">
        <f>#REF!/G218*F218^0.5/0.19</f>
        <v>#REF!</v>
      </c>
      <c r="AS218" s="4">
        <f t="shared" si="696"/>
        <v>1.2409556313993173</v>
      </c>
      <c r="AT218" s="38">
        <f t="shared" si="697"/>
        <v>317.0644115313454</v>
      </c>
      <c r="AU218" s="4">
        <f t="shared" si="698"/>
        <v>0.3</v>
      </c>
      <c r="AV218" s="4" t="e">
        <f>AU218*D218*#REF!/(D218*G218/2.75/F218^0.5)</f>
        <v>#REF!</v>
      </c>
      <c r="AW218" s="4" t="e">
        <f t="shared" si="849"/>
        <v>#REF!</v>
      </c>
      <c r="AY218" s="4">
        <f t="shared" si="700"/>
        <v>1.2807262569832403</v>
      </c>
      <c r="AZ218" s="4" t="e">
        <f>(3*#REF!+30)*AY218*F218^0.5</f>
        <v>#REF!</v>
      </c>
      <c r="BB218" s="4">
        <f t="shared" si="701"/>
        <v>304.10354510946308</v>
      </c>
      <c r="BC218" s="4">
        <f t="shared" si="828"/>
        <v>490.43773856597932</v>
      </c>
      <c r="BD218" s="4">
        <f t="shared" si="672"/>
        <v>1.6127327236170319</v>
      </c>
      <c r="BL218" s="4">
        <f t="shared" si="704"/>
        <v>40.700000000000003</v>
      </c>
      <c r="BP218" s="9"/>
      <c r="BR218" s="9"/>
      <c r="BS218" s="9"/>
      <c r="BT218" s="9">
        <f t="shared" si="705"/>
        <v>40.700000000000003</v>
      </c>
      <c r="BU218" s="9">
        <f t="shared" si="706"/>
        <v>76</v>
      </c>
      <c r="BV218" s="9">
        <f t="shared" si="707"/>
        <v>1.1709505872794554</v>
      </c>
      <c r="BW218" s="9">
        <v>0</v>
      </c>
      <c r="BX218" s="9">
        <f t="shared" si="708"/>
        <v>0</v>
      </c>
      <c r="BY218" s="9">
        <f t="shared" si="850"/>
        <v>0</v>
      </c>
      <c r="BZ218" s="9">
        <f t="shared" si="710"/>
        <v>0.89787751228078194</v>
      </c>
      <c r="CA218" s="9">
        <f t="shared" si="711"/>
        <v>0.91600000000000004</v>
      </c>
      <c r="CB218" s="9">
        <f t="shared" si="712"/>
        <v>1.560825234402609</v>
      </c>
      <c r="CC218" s="9">
        <f t="shared" si="713"/>
        <v>1.8276492248643288</v>
      </c>
      <c r="CD218" s="9">
        <v>1</v>
      </c>
      <c r="CE218" s="9" t="e">
        <f>4*CC218*#REF!+60*CC218</f>
        <v>#REF!</v>
      </c>
      <c r="DB218" s="4">
        <f t="shared" si="677"/>
        <v>0</v>
      </c>
      <c r="DC218" s="4" t="e">
        <f>#REF!</f>
        <v>#REF!</v>
      </c>
      <c r="DF218" s="4">
        <f t="shared" si="723"/>
        <v>1.4154911585501488E-5</v>
      </c>
      <c r="DG218" s="4">
        <f t="shared" si="724"/>
        <v>5.3136376440206563</v>
      </c>
      <c r="DH218" s="4">
        <f t="shared" si="725"/>
        <v>0.21102130995889065</v>
      </c>
      <c r="DI218" s="4">
        <f t="shared" si="726"/>
        <v>2.8518223011626525</v>
      </c>
      <c r="DJ218" s="4">
        <f t="shared" si="727"/>
        <v>4.2657700805707144</v>
      </c>
      <c r="DK218" s="4">
        <f t="shared" si="728"/>
        <v>5.1703683026065779</v>
      </c>
      <c r="DL218" s="38">
        <f t="shared" si="729"/>
        <v>237.63385896744128</v>
      </c>
      <c r="DM218" s="4" t="e">
        <f t="shared" si="730"/>
        <v>#REF!</v>
      </c>
      <c r="DN218" s="4">
        <f t="shared" si="731"/>
        <v>2.8367074033127415</v>
      </c>
      <c r="DO218" s="4">
        <f t="shared" si="776"/>
        <v>110.63890179485385</v>
      </c>
      <c r="DS218" s="4">
        <f t="shared" si="733"/>
        <v>0.85</v>
      </c>
      <c r="DT218" s="4">
        <f t="shared" si="734"/>
        <v>0.98631284916201112</v>
      </c>
      <c r="DU218" s="4">
        <f t="shared" si="735"/>
        <v>1</v>
      </c>
      <c r="DV218" s="4">
        <f t="shared" si="736"/>
        <v>0.98631284916201112</v>
      </c>
      <c r="DX218" s="4">
        <f t="shared" si="737"/>
        <v>236.03254778315886</v>
      </c>
      <c r="DY218" s="25">
        <f t="shared" si="851"/>
        <v>109.12863198322417</v>
      </c>
      <c r="EA218" s="4">
        <f t="shared" si="852"/>
        <v>0.83836592178770941</v>
      </c>
      <c r="EB218" s="4">
        <f t="shared" si="739"/>
        <v>5.3136376440206563</v>
      </c>
      <c r="EE218" s="4">
        <f t="shared" si="740"/>
        <v>101.55412503859614</v>
      </c>
      <c r="EF218" s="4">
        <f t="shared" si="741"/>
        <v>2.8367074033127415</v>
      </c>
      <c r="EG218" s="4">
        <f t="shared" si="742"/>
        <v>6.2565546914000694E-2</v>
      </c>
      <c r="EJ218" s="4">
        <f t="shared" si="853"/>
        <v>6.2565546914000694E-2</v>
      </c>
      <c r="EK218" s="4">
        <f t="shared" si="744"/>
        <v>0.21066915472159506</v>
      </c>
      <c r="EL218" s="4">
        <f t="shared" si="679"/>
        <v>2.8499176832900814</v>
      </c>
      <c r="EM218" s="4">
        <f t="shared" si="854"/>
        <v>4.2651388314267988</v>
      </c>
      <c r="EN218" s="4" t="e">
        <f t="shared" si="673"/>
        <v>#REF!</v>
      </c>
      <c r="EO218" s="4" t="e">
        <f t="shared" si="674"/>
        <v>#REF!</v>
      </c>
      <c r="EP218" s="4" t="e">
        <f t="shared" si="749"/>
        <v>#REF!</v>
      </c>
      <c r="EQ218" s="4" t="e">
        <f t="shared" si="855"/>
        <v>#REF!</v>
      </c>
      <c r="ER218" s="4" t="e">
        <f t="shared" si="751"/>
        <v>#REF!</v>
      </c>
      <c r="FA218" s="23"/>
      <c r="FB218" s="23"/>
      <c r="FC218" s="23"/>
      <c r="FD218" s="23"/>
      <c r="FE218" s="23"/>
      <c r="FF218" s="23"/>
      <c r="FG218" s="23"/>
      <c r="FH218" s="23"/>
      <c r="FR218" s="4">
        <f t="shared" si="842"/>
        <v>1</v>
      </c>
      <c r="FS218" s="4">
        <f t="shared" si="843"/>
        <v>0.8938547486033519</v>
      </c>
      <c r="FT218" s="4">
        <f t="shared" si="844"/>
        <v>0</v>
      </c>
      <c r="FU218" s="4">
        <f t="shared" si="845"/>
        <v>174.18863499806304</v>
      </c>
    </row>
    <row r="219" spans="1:177" ht="12" customHeight="1" x14ac:dyDescent="0.3">
      <c r="B219" s="24"/>
      <c r="C219" s="4" t="s">
        <v>331</v>
      </c>
      <c r="D219" s="7">
        <v>578</v>
      </c>
      <c r="E219" s="7">
        <f>305-J219-18</f>
        <v>211</v>
      </c>
      <c r="F219" s="7">
        <v>26.7</v>
      </c>
      <c r="G219" s="7">
        <v>25.4</v>
      </c>
      <c r="H219" s="7">
        <v>305</v>
      </c>
      <c r="I219" s="7">
        <v>76</v>
      </c>
      <c r="J219" s="7">
        <v>76</v>
      </c>
      <c r="K219" s="7">
        <f t="shared" si="798"/>
        <v>102.19999999999999</v>
      </c>
      <c r="L219" s="7">
        <v>2</v>
      </c>
      <c r="M219" s="7">
        <f t="shared" si="856"/>
        <v>280</v>
      </c>
      <c r="N219" s="7">
        <f t="shared" si="684"/>
        <v>2.5118110236220472</v>
      </c>
      <c r="O219" s="7">
        <f t="shared" si="685"/>
        <v>3.4921259842519685</v>
      </c>
      <c r="P219" s="7">
        <f>3200/(G219^2*PI()/4)-1</f>
        <v>5.3152807724479523</v>
      </c>
      <c r="Q219" s="7">
        <f>3200/(G219^2*PI()/4)-1</f>
        <v>5.3152807724479523</v>
      </c>
      <c r="R219" s="7">
        <f t="shared" si="686"/>
        <v>6.3152807724479523</v>
      </c>
      <c r="S219" s="7">
        <f t="shared" si="687"/>
        <v>63.830764864229231</v>
      </c>
      <c r="T219" s="7">
        <f t="shared" si="826"/>
        <v>578</v>
      </c>
      <c r="U219" s="7">
        <v>18</v>
      </c>
      <c r="V219" s="7"/>
      <c r="W219" s="32" t="s">
        <v>308</v>
      </c>
      <c r="X219" s="4">
        <f t="shared" si="689"/>
        <v>0</v>
      </c>
      <c r="Y219" s="7"/>
      <c r="Z219" s="7"/>
      <c r="AA219" s="7">
        <v>1</v>
      </c>
      <c r="AB219" s="7"/>
      <c r="AC219" s="7"/>
      <c r="AD219" s="7">
        <f t="shared" si="827"/>
        <v>4.9608150470219439</v>
      </c>
      <c r="AE219" s="4">
        <f t="shared" si="691"/>
        <v>211</v>
      </c>
      <c r="AF219" s="4">
        <f t="shared" si="692"/>
        <v>0.48183254344391785</v>
      </c>
      <c r="AG219" s="4">
        <f t="shared" si="693"/>
        <v>156.27589807670793</v>
      </c>
      <c r="AH219" s="4">
        <f t="shared" si="694"/>
        <v>0.7840758293838862</v>
      </c>
      <c r="AI219" s="4">
        <v>1.25</v>
      </c>
      <c r="AJ219" s="4">
        <f t="shared" si="857"/>
        <v>2.5</v>
      </c>
      <c r="AK219" s="38">
        <f t="shared" si="848"/>
        <v>184.49993627146509</v>
      </c>
      <c r="AL219" s="38">
        <f t="shared" si="762"/>
        <v>184.49993627146509</v>
      </c>
      <c r="AM219" s="38">
        <f t="shared" si="695"/>
        <v>2.6799627788697054</v>
      </c>
      <c r="AN219" s="38">
        <f t="shared" si="640"/>
        <v>184.49993627146509</v>
      </c>
      <c r="AO219" s="38">
        <f t="shared" si="840"/>
        <v>1</v>
      </c>
      <c r="AP219" s="38">
        <f t="shared" si="641"/>
        <v>1.937739236514296</v>
      </c>
      <c r="AQ219" s="4">
        <f t="shared" si="642"/>
        <v>0</v>
      </c>
      <c r="AR219" s="4" t="e">
        <f>#REF!/G219*F219^0.5/0.19</f>
        <v>#REF!</v>
      </c>
      <c r="AS219" s="4">
        <f t="shared" si="696"/>
        <v>1.1561128526645768</v>
      </c>
      <c r="AT219" s="38">
        <f t="shared" si="697"/>
        <v>357.51276564760502</v>
      </c>
      <c r="AU219" s="4">
        <f t="shared" si="698"/>
        <v>0.3</v>
      </c>
      <c r="AV219" s="4" t="e">
        <f>AU219*D219*#REF!/(D219*G219/2.75/F219^0.5)</f>
        <v>#REF!</v>
      </c>
      <c r="AW219" s="4" t="e">
        <f t="shared" si="849"/>
        <v>#REF!</v>
      </c>
      <c r="AY219" s="4">
        <f t="shared" si="700"/>
        <v>1.4980314960629921</v>
      </c>
      <c r="AZ219" s="4" t="e">
        <f>(3*#REF!+30)*AY219*F219^0.5</f>
        <v>#REF!</v>
      </c>
      <c r="BB219" s="4">
        <f t="shared" si="701"/>
        <v>342.89846321833909</v>
      </c>
      <c r="BC219" s="4">
        <f t="shared" si="828"/>
        <v>2245.2309649218914</v>
      </c>
      <c r="BD219" s="4">
        <f t="shared" si="672"/>
        <v>6.5478011882842724</v>
      </c>
      <c r="BL219" s="4">
        <f t="shared" si="704"/>
        <v>51.099999999999994</v>
      </c>
      <c r="BP219" s="9"/>
      <c r="BR219" s="9"/>
      <c r="BS219" s="9"/>
      <c r="BT219" s="9">
        <f t="shared" si="705"/>
        <v>51.099999999999994</v>
      </c>
      <c r="BU219" s="9">
        <f t="shared" si="706"/>
        <v>76</v>
      </c>
      <c r="BV219" s="9">
        <f t="shared" si="707"/>
        <v>1.5054020239149992</v>
      </c>
      <c r="BW219" s="9">
        <v>0</v>
      </c>
      <c r="BX219" s="9">
        <f t="shared" si="708"/>
        <v>0</v>
      </c>
      <c r="BY219" s="9">
        <f t="shared" si="850"/>
        <v>0</v>
      </c>
      <c r="BZ219" s="9">
        <f t="shared" si="710"/>
        <v>0.99524931562137331</v>
      </c>
      <c r="CA219" s="9">
        <f t="shared" si="711"/>
        <v>0.88300000000000001</v>
      </c>
      <c r="CB219" s="9">
        <f t="shared" si="712"/>
        <v>1.5893379964194141</v>
      </c>
      <c r="CC219" s="9">
        <f t="shared" si="713"/>
        <v>2.3925926364947956</v>
      </c>
      <c r="CD219" s="9">
        <v>1</v>
      </c>
      <c r="CE219" s="9" t="e">
        <f>4*CC219*#REF!+60*CC219</f>
        <v>#REF!</v>
      </c>
      <c r="DB219" s="4">
        <f t="shared" si="677"/>
        <v>0</v>
      </c>
      <c r="DC219" s="4" t="e">
        <f>#REF!</f>
        <v>#REF!</v>
      </c>
      <c r="DF219" s="4">
        <f t="shared" si="723"/>
        <v>1.4482761122930935E-5</v>
      </c>
      <c r="DG219" s="4">
        <f t="shared" si="724"/>
        <v>6.1741032375934068</v>
      </c>
      <c r="DH219" s="4">
        <f t="shared" si="725"/>
        <v>0.32289080206314286</v>
      </c>
      <c r="DI219" s="4">
        <f t="shared" si="726"/>
        <v>3.9282232030926831</v>
      </c>
      <c r="DJ219" s="4">
        <f t="shared" si="727"/>
        <v>5.1750632497803224</v>
      </c>
      <c r="DK219" s="4">
        <f t="shared" si="728"/>
        <v>6.0135131520244283</v>
      </c>
      <c r="DL219" s="38">
        <f t="shared" si="729"/>
        <v>350.89045976809524</v>
      </c>
      <c r="DM219" s="4" t="e">
        <f t="shared" si="730"/>
        <v>#REF!</v>
      </c>
      <c r="DN219" s="4">
        <f t="shared" si="731"/>
        <v>2.5130222387491825</v>
      </c>
      <c r="DO219" s="4">
        <f t="shared" si="776"/>
        <v>184.49993627146509</v>
      </c>
      <c r="DS219" s="4">
        <f t="shared" si="733"/>
        <v>0.85</v>
      </c>
      <c r="DT219" s="4">
        <f t="shared" si="734"/>
        <v>0.89881889763779532</v>
      </c>
      <c r="DU219" s="4">
        <f t="shared" si="735"/>
        <v>1</v>
      </c>
      <c r="DV219" s="4">
        <f t="shared" si="736"/>
        <v>0.89881889763779532</v>
      </c>
      <c r="DX219" s="4">
        <f t="shared" si="737"/>
        <v>336.04175011156474</v>
      </c>
      <c r="DY219" s="25">
        <f t="shared" si="851"/>
        <v>182.17531903295736</v>
      </c>
      <c r="EA219" s="4">
        <f t="shared" si="852"/>
        <v>0.76399606299212597</v>
      </c>
      <c r="EB219" s="4">
        <f t="shared" si="739"/>
        <v>6.1741032375934068</v>
      </c>
      <c r="EE219" s="4">
        <f t="shared" si="740"/>
        <v>63.830764864229231</v>
      </c>
      <c r="EF219" s="4">
        <f t="shared" si="741"/>
        <v>2.5130222387491825</v>
      </c>
      <c r="EG219" s="4">
        <f t="shared" si="742"/>
        <v>9.1231868546160749E-2</v>
      </c>
      <c r="EJ219" s="4">
        <f t="shared" si="853"/>
        <v>9.1231868546160749E-2</v>
      </c>
      <c r="EK219" s="4">
        <f t="shared" si="744"/>
        <v>0.32235195749316436</v>
      </c>
      <c r="EL219" s="4">
        <f t="shared" si="679"/>
        <v>3.9255997001777194</v>
      </c>
      <c r="EM219" s="4">
        <f t="shared" si="854"/>
        <v>5.1740707586068853</v>
      </c>
      <c r="EN219" s="4" t="e">
        <f t="shared" si="673"/>
        <v>#REF!</v>
      </c>
      <c r="EO219" s="4" t="e">
        <f t="shared" si="674"/>
        <v>#REF!</v>
      </c>
      <c r="EP219" s="4" t="e">
        <f t="shared" si="749"/>
        <v>#REF!</v>
      </c>
      <c r="EQ219" s="4" t="e">
        <f t="shared" si="855"/>
        <v>#REF!</v>
      </c>
      <c r="ER219" s="4" t="e">
        <f t="shared" si="751"/>
        <v>#REF!</v>
      </c>
      <c r="FA219" s="23"/>
      <c r="FB219" s="23"/>
      <c r="FC219" s="23"/>
      <c r="FD219" s="23"/>
      <c r="FE219" s="23"/>
      <c r="FF219" s="23"/>
      <c r="FG219" s="23"/>
      <c r="FH219" s="23"/>
      <c r="FR219" s="4">
        <f t="shared" si="842"/>
        <v>1</v>
      </c>
      <c r="FS219" s="4">
        <f t="shared" si="843"/>
        <v>0.74803149606299213</v>
      </c>
      <c r="FT219" s="4">
        <f t="shared" si="844"/>
        <v>0</v>
      </c>
      <c r="FU219" s="4">
        <f t="shared" si="845"/>
        <v>251.72098720127065</v>
      </c>
    </row>
    <row r="220" spans="1:177" ht="12" customHeight="1" x14ac:dyDescent="0.3">
      <c r="B220" s="24"/>
      <c r="C220" s="4" t="s">
        <v>332</v>
      </c>
      <c r="D220" s="7">
        <v>556</v>
      </c>
      <c r="E220" s="7">
        <f>381-J220-25</f>
        <v>280</v>
      </c>
      <c r="F220" s="7">
        <v>22.5</v>
      </c>
      <c r="G220" s="7">
        <v>35.799999999999997</v>
      </c>
      <c r="H220" s="7">
        <v>305</v>
      </c>
      <c r="I220" s="7">
        <v>76</v>
      </c>
      <c r="J220" s="7">
        <v>76</v>
      </c>
      <c r="K220" s="7">
        <f t="shared" si="798"/>
        <v>81.400000000000006</v>
      </c>
      <c r="L220" s="7">
        <v>2</v>
      </c>
      <c r="M220" s="7">
        <f t="shared" si="856"/>
        <v>280</v>
      </c>
      <c r="N220" s="7">
        <f t="shared" si="684"/>
        <v>1.6368715083798884</v>
      </c>
      <c r="O220" s="7">
        <f t="shared" si="685"/>
        <v>2.6229050279329611</v>
      </c>
      <c r="P220" s="7">
        <f>5500/(G220^2*PI()/4)-1</f>
        <v>4.4639504822285474</v>
      </c>
      <c r="Q220" s="7">
        <f>5500/(G220^2*PI()/4)-1</f>
        <v>4.4639504822285474</v>
      </c>
      <c r="R220" s="7">
        <f t="shared" si="686"/>
        <v>5.4639504822285474</v>
      </c>
      <c r="S220" s="7">
        <f t="shared" si="687"/>
        <v>83.682838718840046</v>
      </c>
      <c r="T220" s="7">
        <f t="shared" si="826"/>
        <v>556</v>
      </c>
      <c r="U220" s="7">
        <v>25</v>
      </c>
      <c r="V220" s="7"/>
      <c r="W220" s="32" t="s">
        <v>308</v>
      </c>
      <c r="X220" s="4">
        <f t="shared" si="689"/>
        <v>0</v>
      </c>
      <c r="Y220" s="7"/>
      <c r="Z220" s="7"/>
      <c r="AA220" s="7">
        <v>1</v>
      </c>
      <c r="AB220" s="7"/>
      <c r="AC220" s="7"/>
      <c r="AD220" s="7">
        <f t="shared" si="827"/>
        <v>7.1672354948805461</v>
      </c>
      <c r="AE220" s="4">
        <f t="shared" si="691"/>
        <v>280</v>
      </c>
      <c r="AF220" s="4">
        <f t="shared" si="692"/>
        <v>0.36309523809523808</v>
      </c>
      <c r="AG220" s="4">
        <f t="shared" si="693"/>
        <v>110.3932135239679</v>
      </c>
      <c r="AH220" s="4">
        <f t="shared" si="694"/>
        <v>0.76707142857142852</v>
      </c>
      <c r="AI220" s="4">
        <v>1.25</v>
      </c>
      <c r="AJ220" s="4">
        <f t="shared" si="857"/>
        <v>2.5</v>
      </c>
      <c r="AK220" s="38">
        <f t="shared" si="848"/>
        <v>96.083487353937286</v>
      </c>
      <c r="AL220" s="38">
        <f t="shared" si="762"/>
        <v>96.083487353937286</v>
      </c>
      <c r="AM220" s="38">
        <f t="shared" si="695"/>
        <v>2.3909817806608746</v>
      </c>
      <c r="AN220" s="38">
        <f t="shared" ref="AN220:AN283" si="858">AJ220* (F220^0.5/AE220^0.5)/(PI()/4*G220^2)/L220/0.72 *(0.7+(MIN(I220,M220)+0.5*G220)/5/E220) *(3*H220*E220)</f>
        <v>96.083487353937329</v>
      </c>
      <c r="AO220" s="38">
        <f t="shared" si="840"/>
        <v>0.99999999999999956</v>
      </c>
      <c r="AP220" s="38">
        <f t="shared" ref="AP220:AP283" si="859">AT220/AN220</f>
        <v>2.0099917928967055</v>
      </c>
      <c r="AQ220" s="4">
        <f t="shared" ref="AQ220:AQ283" si="860">IF(AP220&lt;1,1,0)</f>
        <v>0</v>
      </c>
      <c r="AR220" s="4" t="e">
        <f>#REF!/G220*F220^0.5/0.19</f>
        <v>#REF!</v>
      </c>
      <c r="AS220" s="4">
        <f t="shared" si="696"/>
        <v>1.2409556313993173</v>
      </c>
      <c r="AT220" s="38">
        <f t="shared" si="697"/>
        <v>193.12702101430844</v>
      </c>
      <c r="AU220" s="4">
        <f t="shared" si="698"/>
        <v>0.37504693248800336</v>
      </c>
      <c r="AV220" s="4" t="e">
        <f>AU220*D220*#REF!/(D220*G220/2.75/F220^0.5)</f>
        <v>#REF!</v>
      </c>
      <c r="AW220" s="4" t="e">
        <f t="shared" si="849"/>
        <v>#REF!</v>
      </c>
      <c r="AY220" s="4">
        <f t="shared" si="700"/>
        <v>1.2807262569832403</v>
      </c>
      <c r="AZ220" s="4" t="e">
        <f>(3*#REF!+30)*AY220*F220^0.5</f>
        <v>#REF!</v>
      </c>
      <c r="BB220" s="4">
        <f t="shared" si="701"/>
        <v>185.23243104839844</v>
      </c>
      <c r="BC220" s="4">
        <f t="shared" si="828"/>
        <v>1562.4220485187734</v>
      </c>
      <c r="BD220" s="4">
        <f t="shared" si="672"/>
        <v>8.4349270787820956</v>
      </c>
      <c r="BL220" s="4">
        <f t="shared" si="704"/>
        <v>40.700000000000003</v>
      </c>
      <c r="BP220" s="9"/>
      <c r="BR220" s="9"/>
      <c r="BS220" s="9"/>
      <c r="BT220" s="9">
        <f t="shared" si="705"/>
        <v>40.700000000000003</v>
      </c>
      <c r="BU220" s="9">
        <f t="shared" si="706"/>
        <v>76</v>
      </c>
      <c r="BV220" s="9">
        <f t="shared" si="707"/>
        <v>1.1709505872794554</v>
      </c>
      <c r="BW220" s="9">
        <v>0</v>
      </c>
      <c r="BX220" s="9">
        <f t="shared" si="708"/>
        <v>0</v>
      </c>
      <c r="BY220" s="9">
        <f t="shared" si="850"/>
        <v>0</v>
      </c>
      <c r="BZ220" s="9">
        <f t="shared" si="710"/>
        <v>0.89787751228078194</v>
      </c>
      <c r="CA220" s="9">
        <f t="shared" si="711"/>
        <v>0.91600000000000004</v>
      </c>
      <c r="CB220" s="9">
        <f t="shared" si="712"/>
        <v>1.3654376435522646</v>
      </c>
      <c r="CC220" s="9">
        <f t="shared" si="713"/>
        <v>1.598860010611</v>
      </c>
      <c r="CD220" s="9">
        <v>1</v>
      </c>
      <c r="CE220" s="9" t="e">
        <f>4*CC220*#REF!+60*CC220</f>
        <v>#REF!</v>
      </c>
      <c r="DB220" s="4">
        <f t="shared" si="677"/>
        <v>0</v>
      </c>
      <c r="DC220" s="4" t="e">
        <f>#REF!</f>
        <v>#REF!</v>
      </c>
      <c r="DF220" s="4">
        <f t="shared" si="723"/>
        <v>1.3208101828668835E-5</v>
      </c>
      <c r="DG220" s="4">
        <f t="shared" si="724"/>
        <v>4.6484646092482738</v>
      </c>
      <c r="DH220" s="4">
        <f t="shared" si="725"/>
        <v>0.31149433418967626</v>
      </c>
      <c r="DI220" s="4">
        <f t="shared" si="726"/>
        <v>2.9153425379443894</v>
      </c>
      <c r="DJ220" s="4">
        <f t="shared" si="727"/>
        <v>3.8804037208967719</v>
      </c>
      <c r="DK220" s="4">
        <f t="shared" si="728"/>
        <v>4.5388108160927203</v>
      </c>
      <c r="DL220" s="38">
        <f t="shared" si="729"/>
        <v>213.60778670455136</v>
      </c>
      <c r="DM220" s="4" t="e">
        <f t="shared" si="730"/>
        <v>#REF!</v>
      </c>
      <c r="DN220" s="4">
        <f t="shared" si="731"/>
        <v>2.3375094614201131</v>
      </c>
      <c r="DO220" s="4">
        <f t="shared" si="776"/>
        <v>96.083487353937329</v>
      </c>
      <c r="DS220" s="4">
        <f t="shared" si="733"/>
        <v>0.85</v>
      </c>
      <c r="DT220" s="4">
        <f t="shared" si="734"/>
        <v>0.98631284916201112</v>
      </c>
      <c r="DU220" s="4">
        <f t="shared" si="735"/>
        <v>1</v>
      </c>
      <c r="DV220" s="4">
        <f t="shared" si="736"/>
        <v>0.98631284916201112</v>
      </c>
      <c r="DX220" s="4">
        <f t="shared" si="737"/>
        <v>203.81627305831509</v>
      </c>
      <c r="DY220" s="25">
        <f t="shared" si="851"/>
        <v>94.746153735171248</v>
      </c>
      <c r="EA220" s="4">
        <f t="shared" si="852"/>
        <v>0.83836592178770941</v>
      </c>
      <c r="EB220" s="4">
        <f t="shared" si="739"/>
        <v>4.6484646092482738</v>
      </c>
      <c r="EE220" s="4">
        <f t="shared" si="740"/>
        <v>83.682838718840046</v>
      </c>
      <c r="EF220" s="4">
        <f t="shared" si="741"/>
        <v>2.3375094614201131</v>
      </c>
      <c r="EG220" s="4">
        <f t="shared" si="742"/>
        <v>8.0793547209318639E-2</v>
      </c>
      <c r="EJ220" s="4">
        <f t="shared" si="853"/>
        <v>8.0793547209318639E-2</v>
      </c>
      <c r="EK220" s="4">
        <f t="shared" si="744"/>
        <v>0.31097450820056571</v>
      </c>
      <c r="EL220" s="4">
        <f t="shared" si="679"/>
        <v>2.9133954974502569</v>
      </c>
      <c r="EM220" s="4">
        <f t="shared" si="854"/>
        <v>3.8796749091669303</v>
      </c>
      <c r="EN220" s="4" t="e">
        <f t="shared" si="673"/>
        <v>#REF!</v>
      </c>
      <c r="EO220" s="4" t="e">
        <f t="shared" si="674"/>
        <v>#REF!</v>
      </c>
      <c r="EP220" s="4" t="e">
        <f t="shared" si="749"/>
        <v>#REF!</v>
      </c>
      <c r="EQ220" s="4" t="e">
        <f t="shared" si="855"/>
        <v>#REF!</v>
      </c>
      <c r="ER220" s="4" t="e">
        <f t="shared" si="751"/>
        <v>#REF!</v>
      </c>
      <c r="FA220" s="23"/>
      <c r="FB220" s="23"/>
      <c r="FC220" s="23"/>
      <c r="FD220" s="23"/>
      <c r="FE220" s="23"/>
      <c r="FF220" s="23"/>
      <c r="FG220" s="23"/>
      <c r="FH220" s="23"/>
      <c r="FR220" s="4">
        <f t="shared" si="842"/>
        <v>1</v>
      </c>
      <c r="FS220" s="4">
        <f t="shared" si="843"/>
        <v>0.8938547486033519</v>
      </c>
      <c r="FT220" s="4">
        <f t="shared" si="844"/>
        <v>0</v>
      </c>
      <c r="FU220" s="4">
        <f t="shared" si="845"/>
        <v>160.06330653041465</v>
      </c>
    </row>
    <row r="221" spans="1:177" ht="12" customHeight="1" x14ac:dyDescent="0.3">
      <c r="B221" s="24"/>
      <c r="C221" s="4" t="s">
        <v>333</v>
      </c>
      <c r="D221" s="7">
        <v>556</v>
      </c>
      <c r="E221" s="7">
        <f>381-J221-25</f>
        <v>280</v>
      </c>
      <c r="F221" s="7">
        <v>22.5</v>
      </c>
      <c r="G221" s="7">
        <v>35.799999999999997</v>
      </c>
      <c r="H221" s="7">
        <v>305</v>
      </c>
      <c r="I221" s="7">
        <v>76</v>
      </c>
      <c r="J221" s="7">
        <v>76</v>
      </c>
      <c r="K221" s="7">
        <f t="shared" si="798"/>
        <v>81.400000000000006</v>
      </c>
      <c r="L221" s="7">
        <v>2</v>
      </c>
      <c r="M221" s="7">
        <f t="shared" si="856"/>
        <v>280</v>
      </c>
      <c r="N221" s="7">
        <f t="shared" si="684"/>
        <v>1.6368715083798884</v>
      </c>
      <c r="O221" s="7">
        <f t="shared" si="685"/>
        <v>2.6229050279329611</v>
      </c>
      <c r="P221" s="7">
        <f>5500/(G221^2*PI()/4)-1</f>
        <v>4.4639504822285474</v>
      </c>
      <c r="Q221" s="7">
        <f>5500/(G221^2*PI()/4)-1</f>
        <v>4.4639504822285474</v>
      </c>
      <c r="R221" s="7">
        <f t="shared" si="686"/>
        <v>5.4639504822285474</v>
      </c>
      <c r="S221" s="7">
        <f t="shared" si="687"/>
        <v>83.682838718840046</v>
      </c>
      <c r="T221" s="7">
        <f t="shared" si="826"/>
        <v>556</v>
      </c>
      <c r="U221" s="7">
        <v>25</v>
      </c>
      <c r="V221" s="7"/>
      <c r="W221" s="32" t="s">
        <v>308</v>
      </c>
      <c r="X221" s="4">
        <f t="shared" si="689"/>
        <v>0</v>
      </c>
      <c r="Y221" s="7">
        <v>9.5</v>
      </c>
      <c r="Z221" s="7">
        <v>2</v>
      </c>
      <c r="AA221" s="7">
        <v>102</v>
      </c>
      <c r="AB221" s="7">
        <v>4</v>
      </c>
      <c r="AC221" s="7">
        <f t="shared" ref="AC221:AC223" si="861">Z221</f>
        <v>2</v>
      </c>
      <c r="AD221" s="7">
        <f t="shared" si="827"/>
        <v>7.1672354948805461</v>
      </c>
      <c r="AE221" s="4">
        <f t="shared" si="691"/>
        <v>280</v>
      </c>
      <c r="AF221" s="4">
        <f t="shared" si="692"/>
        <v>0.36309523809523808</v>
      </c>
      <c r="AG221" s="4">
        <f t="shared" si="693"/>
        <v>110.3932135239679</v>
      </c>
      <c r="AH221" s="4">
        <f t="shared" si="694"/>
        <v>0.76707142857142852</v>
      </c>
      <c r="AI221" s="4">
        <v>1.25</v>
      </c>
      <c r="AJ221" s="4">
        <f t="shared" si="857"/>
        <v>2.5</v>
      </c>
      <c r="AK221" s="38">
        <f t="shared" si="848"/>
        <v>96.083487353937286</v>
      </c>
      <c r="AL221" s="38">
        <f t="shared" si="762"/>
        <v>96.083487353937286</v>
      </c>
      <c r="AM221" s="38">
        <f t="shared" si="695"/>
        <v>2.3909817806608746</v>
      </c>
      <c r="AN221" s="38">
        <f t="shared" si="858"/>
        <v>96.083487353937329</v>
      </c>
      <c r="AO221" s="38">
        <f t="shared" si="840"/>
        <v>0.99999999999999956</v>
      </c>
      <c r="AP221" s="38">
        <f t="shared" si="859"/>
        <v>2.0099917928967055</v>
      </c>
      <c r="AQ221" s="4">
        <f t="shared" si="860"/>
        <v>0</v>
      </c>
      <c r="AR221" s="4" t="e">
        <f>#REF!/G221*F221^0.5/0.19</f>
        <v>#REF!</v>
      </c>
      <c r="AS221" s="4">
        <f t="shared" si="696"/>
        <v>1.2409556313993173</v>
      </c>
      <c r="AT221" s="38">
        <f t="shared" si="697"/>
        <v>193.12702101430844</v>
      </c>
      <c r="AU221" s="4">
        <f t="shared" si="698"/>
        <v>0.37504693248800336</v>
      </c>
      <c r="AV221" s="4" t="e">
        <f>AU221*D221*#REF!/(D221*G221/2.75/F221^0.5)</f>
        <v>#REF!</v>
      </c>
      <c r="AW221" s="4" t="e">
        <f t="shared" si="849"/>
        <v>#REF!</v>
      </c>
      <c r="AY221" s="4">
        <f t="shared" si="700"/>
        <v>1.5</v>
      </c>
      <c r="AZ221" s="4" t="e">
        <f>(3*#REF!+30)*AY221*F221^0.5</f>
        <v>#REF!</v>
      </c>
      <c r="BB221" s="4">
        <f t="shared" si="701"/>
        <v>185.23243104839844</v>
      </c>
      <c r="BC221" s="4">
        <f t="shared" si="828"/>
        <v>1562.4220485187734</v>
      </c>
      <c r="BD221" s="4">
        <f t="shared" si="672"/>
        <v>8.4349270787820956</v>
      </c>
      <c r="BL221" s="4">
        <f t="shared" si="704"/>
        <v>40.700000000000003</v>
      </c>
      <c r="BP221" s="9"/>
      <c r="BR221" s="9"/>
      <c r="BS221" s="9"/>
      <c r="BT221" s="9">
        <f t="shared" si="705"/>
        <v>40.700000000000003</v>
      </c>
      <c r="BU221" s="9">
        <f t="shared" si="706"/>
        <v>76</v>
      </c>
      <c r="BV221" s="9">
        <f t="shared" si="707"/>
        <v>1.1709505872794554</v>
      </c>
      <c r="BW221" s="9">
        <v>20</v>
      </c>
      <c r="BX221" s="9">
        <f t="shared" si="708"/>
        <v>3.8822534914349713E-2</v>
      </c>
      <c r="BY221" s="9">
        <f t="shared" si="850"/>
        <v>0.57645069828699425</v>
      </c>
      <c r="BZ221" s="9">
        <f t="shared" si="710"/>
        <v>0.89787751228078194</v>
      </c>
      <c r="CA221" s="9">
        <f t="shared" si="711"/>
        <v>0.91600000000000004</v>
      </c>
      <c r="CB221" s="9">
        <f t="shared" si="712"/>
        <v>1.3654376435522646</v>
      </c>
      <c r="CC221" s="9">
        <f t="shared" si="713"/>
        <v>2.3859674937040509</v>
      </c>
      <c r="CD221" s="9">
        <v>1</v>
      </c>
      <c r="CE221" s="9" t="e">
        <f>4*CC221*#REF!+60*CC221</f>
        <v>#REF!</v>
      </c>
      <c r="DB221" s="4">
        <f t="shared" si="677"/>
        <v>2</v>
      </c>
      <c r="DC221" s="4" t="e">
        <f>#REF!</f>
        <v>#REF!</v>
      </c>
      <c r="DF221" s="4">
        <f t="shared" si="723"/>
        <v>1.3208101828668835E-5</v>
      </c>
      <c r="DG221" s="4">
        <f t="shared" si="724"/>
        <v>4.6930538202349794</v>
      </c>
      <c r="DH221" s="4">
        <f t="shared" si="725"/>
        <v>0.31149433418967626</v>
      </c>
      <c r="DI221" s="4">
        <f t="shared" si="726"/>
        <v>2.9433072175644721</v>
      </c>
      <c r="DJ221" s="4">
        <f t="shared" si="727"/>
        <v>3.9176255037367289</v>
      </c>
      <c r="DK221" s="4">
        <f t="shared" si="728"/>
        <v>4.5812908734182951</v>
      </c>
      <c r="DL221" s="38">
        <f t="shared" si="729"/>
        <v>214.72683896526962</v>
      </c>
      <c r="DM221" s="4" t="e">
        <f t="shared" si="730"/>
        <v>#REF!</v>
      </c>
      <c r="DN221" s="4">
        <f t="shared" si="731"/>
        <v>2.3375094614201131</v>
      </c>
      <c r="DO221" s="4">
        <f t="shared" si="776"/>
        <v>96.083487353937329</v>
      </c>
      <c r="DS221" s="4">
        <f t="shared" si="733"/>
        <v>0.85</v>
      </c>
      <c r="DT221" s="4">
        <f t="shared" si="734"/>
        <v>0.98631284916201112</v>
      </c>
      <c r="DU221" s="4">
        <f t="shared" si="735"/>
        <v>0.99049889204456787</v>
      </c>
      <c r="DV221" s="4">
        <f t="shared" si="736"/>
        <v>0.97694178430429301</v>
      </c>
      <c r="DX221" s="4">
        <f t="shared" si="737"/>
        <v>204.86250035520987</v>
      </c>
      <c r="DY221" s="25">
        <f t="shared" si="851"/>
        <v>94.746153735171248</v>
      </c>
      <c r="EA221" s="4">
        <f t="shared" si="852"/>
        <v>0.830400516658649</v>
      </c>
      <c r="EB221" s="4">
        <f t="shared" si="739"/>
        <v>4.6930538202349794</v>
      </c>
      <c r="EE221" s="4">
        <f t="shared" si="740"/>
        <v>83.682838718840046</v>
      </c>
      <c r="EF221" s="4">
        <f t="shared" si="741"/>
        <v>2.3375094614201131</v>
      </c>
      <c r="EG221" s="4">
        <f t="shared" si="742"/>
        <v>8.0793547209318639E-2</v>
      </c>
      <c r="EJ221" s="4">
        <f t="shared" si="853"/>
        <v>8.0793547209318639E-2</v>
      </c>
      <c r="EK221" s="4">
        <f t="shared" si="744"/>
        <v>0.31097450820056571</v>
      </c>
      <c r="EL221" s="4">
        <f t="shared" si="679"/>
        <v>2.9413415005810704</v>
      </c>
      <c r="EM221" s="4">
        <f t="shared" si="854"/>
        <v>3.9168897010662813</v>
      </c>
      <c r="EN221" s="4" t="e">
        <f t="shared" si="673"/>
        <v>#REF!</v>
      </c>
      <c r="EO221" s="4" t="e">
        <f t="shared" si="674"/>
        <v>#REF!</v>
      </c>
      <c r="EP221" s="4" t="e">
        <f t="shared" si="749"/>
        <v>#REF!</v>
      </c>
      <c r="EQ221" s="4" t="e">
        <f t="shared" si="855"/>
        <v>#REF!</v>
      </c>
      <c r="ER221" s="4" t="e">
        <f t="shared" si="751"/>
        <v>#REF!</v>
      </c>
      <c r="FA221" s="23"/>
      <c r="FB221" s="23"/>
      <c r="FC221" s="23"/>
      <c r="FD221" s="23"/>
      <c r="FE221" s="23"/>
      <c r="FF221" s="23"/>
      <c r="FG221" s="23"/>
      <c r="FH221" s="23"/>
      <c r="FR221" s="4">
        <f t="shared" si="842"/>
        <v>1</v>
      </c>
      <c r="FS221" s="4">
        <f t="shared" si="843"/>
        <v>0.57658194354098002</v>
      </c>
      <c r="FT221" s="4">
        <f t="shared" si="844"/>
        <v>0.28167035985144034</v>
      </c>
      <c r="FU221" s="4">
        <f t="shared" si="845"/>
        <v>248.14052576933713</v>
      </c>
    </row>
    <row r="222" spans="1:177" ht="12" customHeight="1" x14ac:dyDescent="0.3">
      <c r="B222" s="24"/>
      <c r="C222" s="4" t="s">
        <v>334</v>
      </c>
      <c r="D222" s="7">
        <v>556</v>
      </c>
      <c r="E222" s="7">
        <f>381-J222-25</f>
        <v>280</v>
      </c>
      <c r="F222" s="7">
        <v>23.2</v>
      </c>
      <c r="G222" s="7">
        <v>35.799999999999997</v>
      </c>
      <c r="H222" s="7">
        <v>305</v>
      </c>
      <c r="I222" s="7">
        <v>76</v>
      </c>
      <c r="J222" s="7">
        <v>76</v>
      </c>
      <c r="K222" s="7">
        <f t="shared" si="798"/>
        <v>81.400000000000006</v>
      </c>
      <c r="L222" s="7">
        <v>2</v>
      </c>
      <c r="M222" s="7">
        <f t="shared" si="856"/>
        <v>280</v>
      </c>
      <c r="N222" s="7">
        <f t="shared" si="684"/>
        <v>1.6368715083798884</v>
      </c>
      <c r="O222" s="7">
        <f t="shared" si="685"/>
        <v>2.6229050279329611</v>
      </c>
      <c r="P222" s="7">
        <f>5500/(G222^2*PI()/4)-1</f>
        <v>4.4639504822285474</v>
      </c>
      <c r="Q222" s="7">
        <f>5500/(G222^2*PI()/4)-1</f>
        <v>4.4639504822285474</v>
      </c>
      <c r="R222" s="7">
        <f t="shared" si="686"/>
        <v>5.4639504822285474</v>
      </c>
      <c r="S222" s="7">
        <f t="shared" si="687"/>
        <v>83.682838718840046</v>
      </c>
      <c r="T222" s="7">
        <f t="shared" si="826"/>
        <v>556</v>
      </c>
      <c r="U222" s="7">
        <v>25</v>
      </c>
      <c r="V222" s="7"/>
      <c r="W222" s="32" t="s">
        <v>308</v>
      </c>
      <c r="X222" s="4">
        <f t="shared" si="689"/>
        <v>0</v>
      </c>
      <c r="Y222" s="7">
        <v>9.5</v>
      </c>
      <c r="Z222" s="7">
        <v>2</v>
      </c>
      <c r="AA222" s="7">
        <v>64</v>
      </c>
      <c r="AB222" s="7">
        <v>6</v>
      </c>
      <c r="AC222" s="7">
        <f t="shared" si="861"/>
        <v>2</v>
      </c>
      <c r="AD222" s="7">
        <f t="shared" si="827"/>
        <v>7.1672354948805461</v>
      </c>
      <c r="AE222" s="4">
        <f t="shared" si="691"/>
        <v>280</v>
      </c>
      <c r="AF222" s="4">
        <f t="shared" si="692"/>
        <v>0.36309523809523808</v>
      </c>
      <c r="AG222" s="4">
        <f t="shared" si="693"/>
        <v>112.09728888343021</v>
      </c>
      <c r="AH222" s="4">
        <f t="shared" si="694"/>
        <v>0.76707142857142852</v>
      </c>
      <c r="AI222" s="4">
        <v>1.25</v>
      </c>
      <c r="AJ222" s="4">
        <f t="shared" si="857"/>
        <v>2.5</v>
      </c>
      <c r="AK222" s="38">
        <f t="shared" si="848"/>
        <v>97.56667185436406</v>
      </c>
      <c r="AL222" s="38">
        <f t="shared" si="762"/>
        <v>97.56667185436406</v>
      </c>
      <c r="AM222" s="38">
        <f t="shared" si="695"/>
        <v>2.4403188690141904</v>
      </c>
      <c r="AN222" s="38">
        <f t="shared" si="858"/>
        <v>97.566671854364117</v>
      </c>
      <c r="AO222" s="38">
        <f t="shared" si="840"/>
        <v>0.99999999999999944</v>
      </c>
      <c r="AP222" s="38">
        <f t="shared" si="859"/>
        <v>2.0410188585799882</v>
      </c>
      <c r="AQ222" s="4">
        <f t="shared" si="860"/>
        <v>0</v>
      </c>
      <c r="AR222" s="4" t="e">
        <f>#REF!/G222*F222^0.5/0.19</f>
        <v>#REF!</v>
      </c>
      <c r="AS222" s="4">
        <f t="shared" si="696"/>
        <v>1.2409556313993173</v>
      </c>
      <c r="AT222" s="38">
        <f t="shared" si="697"/>
        <v>199.13541722364249</v>
      </c>
      <c r="AU222" s="4">
        <f t="shared" si="698"/>
        <v>0.37504693248800336</v>
      </c>
      <c r="AV222" s="4" t="e">
        <f>AU222*D222*#REF!/(D222*G222/2.75/F222^0.5)</f>
        <v>#REF!</v>
      </c>
      <c r="AW222" s="4" t="e">
        <f t="shared" si="849"/>
        <v>#REF!</v>
      </c>
      <c r="AY222" s="4">
        <f t="shared" si="700"/>
        <v>1.5</v>
      </c>
      <c r="AZ222" s="4" t="e">
        <f>(3*#REF!+30)*AY222*F222^0.5</f>
        <v>#REF!</v>
      </c>
      <c r="BB222" s="4">
        <f t="shared" si="701"/>
        <v>190.99521779212648</v>
      </c>
      <c r="BC222" s="4">
        <f t="shared" si="828"/>
        <v>1562.4220485187734</v>
      </c>
      <c r="BD222" s="4">
        <f t="shared" ref="BD222:BD247" si="862">BC222/BB222</f>
        <v>8.1804249686464257</v>
      </c>
      <c r="BL222" s="4">
        <f t="shared" si="704"/>
        <v>40.700000000000003</v>
      </c>
      <c r="BP222" s="9"/>
      <c r="BR222" s="9"/>
      <c r="BS222" s="9"/>
      <c r="BT222" s="9">
        <f t="shared" si="705"/>
        <v>40.700000000000003</v>
      </c>
      <c r="BU222" s="9">
        <f t="shared" si="706"/>
        <v>76</v>
      </c>
      <c r="BV222" s="9">
        <f t="shared" si="707"/>
        <v>1.1709505872794554</v>
      </c>
      <c r="BW222" s="9">
        <v>20</v>
      </c>
      <c r="BX222" s="9">
        <f t="shared" si="708"/>
        <v>0.05</v>
      </c>
      <c r="BY222" s="9">
        <f t="shared" si="850"/>
        <v>0.8</v>
      </c>
      <c r="BZ222" s="9">
        <f t="shared" si="710"/>
        <v>0.89787751228078194</v>
      </c>
      <c r="CA222" s="9">
        <f t="shared" si="711"/>
        <v>0.91600000000000004</v>
      </c>
      <c r="CB222" s="9">
        <f t="shared" si="712"/>
        <v>1.3865151044666033</v>
      </c>
      <c r="CC222" s="9">
        <f t="shared" si="713"/>
        <v>2.7327527594202872</v>
      </c>
      <c r="CD222" s="9">
        <v>1</v>
      </c>
      <c r="CE222" s="9" t="e">
        <f>4*CC222*#REF!+60*CC222</f>
        <v>#REF!</v>
      </c>
      <c r="DB222" s="4">
        <f t="shared" si="677"/>
        <v>2</v>
      </c>
      <c r="DC222" s="4" t="e">
        <f>#REF!</f>
        <v>#REF!</v>
      </c>
      <c r="DF222" s="4">
        <f t="shared" si="723"/>
        <v>1.3280055604963279E-5</v>
      </c>
      <c r="DG222" s="4">
        <f t="shared" si="724"/>
        <v>4.765497742468991</v>
      </c>
      <c r="DH222" s="4">
        <f t="shared" si="725"/>
        <v>0.30675907408845532</v>
      </c>
      <c r="DI222" s="4">
        <f t="shared" si="726"/>
        <v>2.970484122953561</v>
      </c>
      <c r="DJ222" s="4">
        <f t="shared" si="727"/>
        <v>3.9712794120387733</v>
      </c>
      <c r="DK222" s="4">
        <f t="shared" si="728"/>
        <v>4.6499415161614266</v>
      </c>
      <c r="DL222" s="38">
        <f t="shared" si="729"/>
        <v>217.75831340658192</v>
      </c>
      <c r="DM222" s="4" t="e">
        <f t="shared" si="730"/>
        <v>#REF!</v>
      </c>
      <c r="DN222" s="4">
        <f t="shared" si="731"/>
        <v>2.3375094614201131</v>
      </c>
      <c r="DO222" s="4">
        <f t="shared" si="776"/>
        <v>97.566671854364117</v>
      </c>
      <c r="DS222" s="4">
        <f t="shared" si="733"/>
        <v>0.85</v>
      </c>
      <c r="DT222" s="4">
        <f t="shared" si="734"/>
        <v>0.98631284916201112</v>
      </c>
      <c r="DU222" s="4">
        <f t="shared" si="735"/>
        <v>0.99049889204456787</v>
      </c>
      <c r="DV222" s="4">
        <f t="shared" si="736"/>
        <v>0.97694178430429301</v>
      </c>
      <c r="DX222" s="4">
        <f t="shared" si="737"/>
        <v>208.02484274736571</v>
      </c>
      <c r="DY222" s="25">
        <f t="shared" si="851"/>
        <v>96.208694600048602</v>
      </c>
      <c r="EA222" s="4">
        <f t="shared" si="852"/>
        <v>0.830400516658649</v>
      </c>
      <c r="EB222" s="4">
        <f t="shared" si="739"/>
        <v>4.765497742468991</v>
      </c>
      <c r="EE222" s="4">
        <f t="shared" si="740"/>
        <v>83.682838718840046</v>
      </c>
      <c r="EF222" s="4">
        <f t="shared" si="741"/>
        <v>2.3375094614201131</v>
      </c>
      <c r="EG222" s="4">
        <f t="shared" si="742"/>
        <v>8.0793547209318639E-2</v>
      </c>
      <c r="EJ222" s="4">
        <f t="shared" si="853"/>
        <v>8.0793547209318639E-2</v>
      </c>
      <c r="EK222" s="4">
        <f t="shared" si="744"/>
        <v>0.30624715036592115</v>
      </c>
      <c r="EL222" s="4">
        <f t="shared" si="679"/>
        <v>2.9685002556037405</v>
      </c>
      <c r="EM222" s="4">
        <f t="shared" si="854"/>
        <v>3.970540188322834</v>
      </c>
      <c r="EN222" s="4" t="e">
        <f t="shared" ref="EN222:EN251" si="863">MAX(0,DC222*EN$9-EE222)</f>
        <v>#REF!</v>
      </c>
      <c r="EO222" s="4" t="e">
        <f t="shared" ref="EO222:EO251" si="864">MAX(0,DC222-EE222-EN222)</f>
        <v>#REF!</v>
      </c>
      <c r="EP222" s="4" t="e">
        <f t="shared" si="749"/>
        <v>#REF!</v>
      </c>
      <c r="EQ222" s="4" t="e">
        <f t="shared" si="855"/>
        <v>#REF!</v>
      </c>
      <c r="ER222" s="4" t="e">
        <f t="shared" si="751"/>
        <v>#REF!</v>
      </c>
      <c r="FA222" s="23"/>
      <c r="FB222" s="23"/>
      <c r="FC222" s="23"/>
      <c r="FD222" s="23"/>
      <c r="FE222" s="23"/>
      <c r="FF222" s="23"/>
      <c r="FG222" s="23"/>
      <c r="FH222" s="23"/>
      <c r="FR222" s="4">
        <f t="shared" si="842"/>
        <v>1</v>
      </c>
      <c r="FS222" s="4">
        <f t="shared" si="843"/>
        <v>0.56618748804278263</v>
      </c>
      <c r="FT222" s="4">
        <f t="shared" si="844"/>
        <v>0.3</v>
      </c>
      <c r="FU222" s="4">
        <f t="shared" si="845"/>
        <v>254.63894993046731</v>
      </c>
    </row>
    <row r="223" spans="1:177" ht="12" customHeight="1" x14ac:dyDescent="0.3">
      <c r="B223" s="24"/>
      <c r="C223" s="4" t="s">
        <v>335</v>
      </c>
      <c r="D223" s="7">
        <v>578</v>
      </c>
      <c r="E223" s="7">
        <f>305-J223-18</f>
        <v>211</v>
      </c>
      <c r="F223" s="7">
        <v>29.6</v>
      </c>
      <c r="G223" s="7">
        <v>25.4</v>
      </c>
      <c r="H223" s="7">
        <v>305</v>
      </c>
      <c r="I223" s="7">
        <v>76</v>
      </c>
      <c r="J223" s="7">
        <v>76</v>
      </c>
      <c r="K223" s="7">
        <f t="shared" si="798"/>
        <v>102.19999999999999</v>
      </c>
      <c r="L223" s="7">
        <v>2</v>
      </c>
      <c r="M223" s="7">
        <f t="shared" si="856"/>
        <v>280</v>
      </c>
      <c r="N223" s="7">
        <f t="shared" si="684"/>
        <v>2.5118110236220472</v>
      </c>
      <c r="O223" s="7">
        <f t="shared" si="685"/>
        <v>3.4921259842519685</v>
      </c>
      <c r="P223" s="7">
        <f>3200/(G223^2*PI()/4)-1</f>
        <v>5.3152807724479523</v>
      </c>
      <c r="Q223" s="7">
        <f>3200/(G223^2*PI()/4)-1</f>
        <v>5.3152807724479523</v>
      </c>
      <c r="R223" s="7">
        <f t="shared" si="686"/>
        <v>6.3152807724479523</v>
      </c>
      <c r="S223" s="7">
        <f t="shared" si="687"/>
        <v>63.830764864229231</v>
      </c>
      <c r="T223" s="7">
        <f t="shared" si="826"/>
        <v>578</v>
      </c>
      <c r="U223" s="7">
        <v>18</v>
      </c>
      <c r="V223" s="7"/>
      <c r="W223" s="32" t="s">
        <v>308</v>
      </c>
      <c r="X223" s="4">
        <f t="shared" si="689"/>
        <v>0</v>
      </c>
      <c r="Y223" s="7">
        <v>9.5</v>
      </c>
      <c r="Z223" s="7">
        <v>2</v>
      </c>
      <c r="AA223" s="7">
        <v>102</v>
      </c>
      <c r="AB223" s="7">
        <v>4</v>
      </c>
      <c r="AC223" s="7">
        <f t="shared" si="861"/>
        <v>2</v>
      </c>
      <c r="AD223" s="7">
        <f t="shared" si="827"/>
        <v>4.9608150470219439</v>
      </c>
      <c r="AE223" s="4">
        <f t="shared" si="691"/>
        <v>211</v>
      </c>
      <c r="AF223" s="4">
        <f t="shared" si="692"/>
        <v>0.48183254344391785</v>
      </c>
      <c r="AG223" s="4">
        <f t="shared" si="693"/>
        <v>164.54406728062244</v>
      </c>
      <c r="AH223" s="4">
        <f t="shared" si="694"/>
        <v>0.7840758293838862</v>
      </c>
      <c r="AI223" s="4">
        <v>1.25</v>
      </c>
      <c r="AJ223" s="4">
        <f t="shared" si="857"/>
        <v>2.5</v>
      </c>
      <c r="AK223" s="38">
        <f t="shared" si="848"/>
        <v>194.26136916020866</v>
      </c>
      <c r="AL223" s="38">
        <f t="shared" si="762"/>
        <v>194.26136916020866</v>
      </c>
      <c r="AM223" s="38">
        <f t="shared" si="695"/>
        <v>2.8706642143339227</v>
      </c>
      <c r="AN223" s="38">
        <f t="shared" si="858"/>
        <v>194.26136916020874</v>
      </c>
      <c r="AO223" s="38">
        <f t="shared" si="840"/>
        <v>0.99999999999999956</v>
      </c>
      <c r="AP223" s="38">
        <f t="shared" si="859"/>
        <v>2.0402602015366833</v>
      </c>
      <c r="AQ223" s="4">
        <f t="shared" si="860"/>
        <v>0</v>
      </c>
      <c r="AR223" s="4" t="e">
        <f>#REF!/G223*F223^0.5/0.19</f>
        <v>#REF!</v>
      </c>
      <c r="AS223" s="4">
        <f t="shared" si="696"/>
        <v>1.1561128526645768</v>
      </c>
      <c r="AT223" s="38">
        <f t="shared" si="697"/>
        <v>396.34374019359956</v>
      </c>
      <c r="AU223" s="4">
        <f t="shared" si="698"/>
        <v>0.3</v>
      </c>
      <c r="AV223" s="4" t="e">
        <f>AU223*D223*#REF!/(D223*G223/2.75/F223^0.5)</f>
        <v>#REF!</v>
      </c>
      <c r="AW223" s="4" t="e">
        <f t="shared" si="849"/>
        <v>#REF!</v>
      </c>
      <c r="AY223" s="4">
        <f t="shared" si="700"/>
        <v>1.5</v>
      </c>
      <c r="AZ223" s="4" t="e">
        <f>(3*#REF!+30)*AY223*F223^0.5</f>
        <v>#REF!</v>
      </c>
      <c r="BB223" s="4">
        <f t="shared" si="701"/>
        <v>380.14211652669815</v>
      </c>
      <c r="BC223" s="4">
        <f t="shared" si="828"/>
        <v>2245.2309649218914</v>
      </c>
      <c r="BD223" s="4">
        <f t="shared" si="862"/>
        <v>5.9062936394320946</v>
      </c>
      <c r="BL223" s="4">
        <f t="shared" si="704"/>
        <v>51.099999999999994</v>
      </c>
      <c r="BP223" s="9"/>
      <c r="BR223" s="9"/>
      <c r="BS223" s="9"/>
      <c r="BT223" s="9">
        <f t="shared" si="705"/>
        <v>51.099999999999994</v>
      </c>
      <c r="BU223" s="9">
        <f t="shared" si="706"/>
        <v>76</v>
      </c>
      <c r="BV223" s="9">
        <f t="shared" si="707"/>
        <v>1.5054020239149992</v>
      </c>
      <c r="BW223" s="9">
        <v>20</v>
      </c>
      <c r="BX223" s="9">
        <f t="shared" si="708"/>
        <v>0.05</v>
      </c>
      <c r="BY223" s="9">
        <f t="shared" si="850"/>
        <v>0.8</v>
      </c>
      <c r="BZ223" s="9">
        <f t="shared" si="710"/>
        <v>0.99524931562137331</v>
      </c>
      <c r="CA223" s="9">
        <f t="shared" si="711"/>
        <v>0.88300000000000001</v>
      </c>
      <c r="CB223" s="9">
        <f t="shared" si="712"/>
        <v>1.673425918090842</v>
      </c>
      <c r="CC223" s="9">
        <f t="shared" si="713"/>
        <v>3.8579194984384428</v>
      </c>
      <c r="CD223" s="9">
        <v>1</v>
      </c>
      <c r="CE223" s="9" t="e">
        <f>4*CC223*#REF!+60*CC223</f>
        <v>#REF!</v>
      </c>
      <c r="DB223" s="4">
        <f t="shared" si="677"/>
        <v>2</v>
      </c>
      <c r="DC223" s="4" t="e">
        <f>#REF!</f>
        <v>#REF!</v>
      </c>
      <c r="DF223" s="4">
        <f t="shared" si="723"/>
        <v>1.4791679478037025E-5</v>
      </c>
      <c r="DG223" s="4">
        <f t="shared" si="724"/>
        <v>7.1662565049066815</v>
      </c>
      <c r="DH223" s="4">
        <f t="shared" si="725"/>
        <v>0.30666587320385641</v>
      </c>
      <c r="DI223" s="4">
        <f t="shared" si="726"/>
        <v>4.4664093970676291</v>
      </c>
      <c r="DJ223" s="4">
        <f t="shared" si="727"/>
        <v>5.971725137421525</v>
      </c>
      <c r="DK223" s="4">
        <f t="shared" si="728"/>
        <v>6.9474326441800711</v>
      </c>
      <c r="DL223" s="38">
        <f t="shared" si="729"/>
        <v>385.66564001194138</v>
      </c>
      <c r="DM223" s="4" t="e">
        <f t="shared" si="730"/>
        <v>#REF!</v>
      </c>
      <c r="DN223" s="4">
        <f t="shared" si="731"/>
        <v>2.5130222387491825</v>
      </c>
      <c r="DO223" s="4">
        <f t="shared" si="776"/>
        <v>194.26136916020874</v>
      </c>
      <c r="DS223" s="4">
        <f t="shared" si="733"/>
        <v>0.85</v>
      </c>
      <c r="DT223" s="4">
        <f t="shared" si="734"/>
        <v>0.89881889763779532</v>
      </c>
      <c r="DU223" s="4">
        <f t="shared" si="735"/>
        <v>0.90713466426932854</v>
      </c>
      <c r="DV223" s="4">
        <f t="shared" si="736"/>
        <v>0.81534977894758942</v>
      </c>
      <c r="DX223" s="4">
        <f t="shared" si="737"/>
        <v>370.40590266045024</v>
      </c>
      <c r="DY223" s="25">
        <f t="shared" si="851"/>
        <v>191.81376220352391</v>
      </c>
      <c r="EA223" s="4">
        <f t="shared" si="852"/>
        <v>0.69304731210545101</v>
      </c>
      <c r="EB223" s="4">
        <f t="shared" si="739"/>
        <v>7.1662565049066815</v>
      </c>
      <c r="EE223" s="4">
        <f t="shared" si="740"/>
        <v>63.830764864229231</v>
      </c>
      <c r="EF223" s="4">
        <f t="shared" si="741"/>
        <v>2.5130222387491825</v>
      </c>
      <c r="EG223" s="4">
        <f t="shared" si="742"/>
        <v>9.1231868546160763E-2</v>
      </c>
      <c r="EJ223" s="4">
        <f t="shared" si="853"/>
        <v>9.1231868546160763E-2</v>
      </c>
      <c r="EK223" s="4">
        <f t="shared" si="744"/>
        <v>0.30615410501622836</v>
      </c>
      <c r="EL223" s="4">
        <f t="shared" si="679"/>
        <v>4.4634264611531416</v>
      </c>
      <c r="EM223" s="4">
        <f t="shared" si="854"/>
        <v>5.970613743851005</v>
      </c>
      <c r="EN223" s="4" t="e">
        <f t="shared" si="863"/>
        <v>#REF!</v>
      </c>
      <c r="EO223" s="4" t="e">
        <f t="shared" si="864"/>
        <v>#REF!</v>
      </c>
      <c r="EP223" s="4" t="e">
        <f t="shared" si="749"/>
        <v>#REF!</v>
      </c>
      <c r="EQ223" s="4" t="e">
        <f t="shared" si="855"/>
        <v>#REF!</v>
      </c>
      <c r="ER223" s="4" t="e">
        <f t="shared" si="751"/>
        <v>#REF!</v>
      </c>
      <c r="FA223" s="23"/>
      <c r="FB223" s="23"/>
      <c r="FC223" s="23"/>
      <c r="FD223" s="23"/>
      <c r="FE223" s="23"/>
      <c r="FF223" s="23"/>
      <c r="FG223" s="23"/>
      <c r="FH223" s="23"/>
      <c r="FR223" s="4">
        <f t="shared" si="842"/>
        <v>1</v>
      </c>
      <c r="FS223" s="4">
        <f t="shared" si="843"/>
        <v>0.53734064771553958</v>
      </c>
      <c r="FT223" s="4">
        <f t="shared" si="844"/>
        <v>0.3</v>
      </c>
      <c r="FU223" s="4">
        <f t="shared" si="845"/>
        <v>359.57105850766999</v>
      </c>
    </row>
    <row r="224" spans="1:177" ht="12" customHeight="1" x14ac:dyDescent="0.3">
      <c r="B224" s="24"/>
      <c r="C224" s="4" t="s">
        <v>336</v>
      </c>
      <c r="D224" s="7">
        <v>556</v>
      </c>
      <c r="E224" s="7">
        <f>381-J224-25</f>
        <v>280</v>
      </c>
      <c r="F224" s="7">
        <v>34.5</v>
      </c>
      <c r="G224" s="7">
        <v>35.799999999999997</v>
      </c>
      <c r="H224" s="7">
        <v>305</v>
      </c>
      <c r="I224" s="7">
        <v>76</v>
      </c>
      <c r="J224" s="7">
        <v>76</v>
      </c>
      <c r="K224" s="7">
        <f t="shared" si="798"/>
        <v>81.400000000000006</v>
      </c>
      <c r="L224" s="7">
        <v>2</v>
      </c>
      <c r="M224" s="7">
        <f t="shared" si="856"/>
        <v>280</v>
      </c>
      <c r="N224" s="7">
        <f t="shared" si="684"/>
        <v>1.6368715083798884</v>
      </c>
      <c r="O224" s="7">
        <f t="shared" si="685"/>
        <v>2.6229050279329611</v>
      </c>
      <c r="P224" s="7">
        <f>3025/(G224^2*PI()/4)-1</f>
        <v>2.0051727652257014</v>
      </c>
      <c r="Q224" s="7">
        <f>3025/(G224^2*PI()/4)-1</f>
        <v>2.0051727652257014</v>
      </c>
      <c r="R224" s="7">
        <f t="shared" si="686"/>
        <v>3.0051727652257014</v>
      </c>
      <c r="S224" s="7">
        <f t="shared" si="687"/>
        <v>62.060854190253195</v>
      </c>
      <c r="T224" s="7">
        <f t="shared" si="826"/>
        <v>556</v>
      </c>
      <c r="U224" s="7">
        <v>25</v>
      </c>
      <c r="V224" s="7">
        <f>340*1000/(G224^2*PI()/4)</f>
        <v>337.7714843559466</v>
      </c>
      <c r="W224" s="7"/>
      <c r="X224" s="4">
        <f t="shared" si="689"/>
        <v>1.2380919937878554</v>
      </c>
      <c r="Y224" s="7"/>
      <c r="Z224" s="7"/>
      <c r="AA224" s="7">
        <v>1</v>
      </c>
      <c r="AB224" s="7"/>
      <c r="AC224" s="7"/>
      <c r="AD224" s="7">
        <f t="shared" si="827"/>
        <v>7.1672354948805461</v>
      </c>
      <c r="AE224" s="4">
        <f t="shared" si="691"/>
        <v>280</v>
      </c>
      <c r="AF224" s="4">
        <f t="shared" si="692"/>
        <v>0.36309523809523808</v>
      </c>
      <c r="AG224" s="4">
        <f t="shared" si="693"/>
        <v>136.69752902409817</v>
      </c>
      <c r="AH224" s="4">
        <f t="shared" si="694"/>
        <v>0.76707142857142852</v>
      </c>
      <c r="AI224" s="4">
        <v>1.25</v>
      </c>
      <c r="AJ224" s="4">
        <f t="shared" si="857"/>
        <v>2.5</v>
      </c>
      <c r="AK224" s="38">
        <f t="shared" si="848"/>
        <v>118.97810455938722</v>
      </c>
      <c r="AL224" s="38">
        <f t="shared" si="762"/>
        <v>118.97810455938722</v>
      </c>
      <c r="AM224" s="38">
        <f t="shared" si="695"/>
        <v>3.1793181165219675</v>
      </c>
      <c r="AN224" s="38">
        <f t="shared" si="858"/>
        <v>118.97810455938726</v>
      </c>
      <c r="AO224" s="38">
        <f t="shared" si="840"/>
        <v>0.99999999999999967</v>
      </c>
      <c r="AP224" s="38">
        <f t="shared" si="859"/>
        <v>1.6681257525259441</v>
      </c>
      <c r="AQ224" s="4">
        <f t="shared" si="860"/>
        <v>0</v>
      </c>
      <c r="AR224" s="4" t="e">
        <f>#REF!/G224*F224^0.5/0.19</f>
        <v>#REF!</v>
      </c>
      <c r="AS224" s="4">
        <f t="shared" si="696"/>
        <v>1.2409556313993173</v>
      </c>
      <c r="AT224" s="38">
        <f t="shared" si="697"/>
        <v>198.47044020223834</v>
      </c>
      <c r="AU224" s="4">
        <f t="shared" si="698"/>
        <v>0.71927581286840181</v>
      </c>
      <c r="AV224" s="4" t="e">
        <f>AU224*D224*#REF!/(D224*G224/2.75/F224^0.5)</f>
        <v>#REF!</v>
      </c>
      <c r="AW224" s="4" t="e">
        <f t="shared" si="849"/>
        <v>#REF!</v>
      </c>
      <c r="AY224" s="4">
        <f t="shared" si="700"/>
        <v>1.2807262569832403</v>
      </c>
      <c r="AZ224" s="4" t="e">
        <f>(3*#REF!+30)*AY224*F224^0.5</f>
        <v>#REF!</v>
      </c>
      <c r="BB224" s="4">
        <f t="shared" si="701"/>
        <v>190.35742350720918</v>
      </c>
      <c r="BC224" s="4">
        <f t="shared" si="828"/>
        <v>30569.451870773988</v>
      </c>
      <c r="BD224" s="4">
        <f t="shared" si="862"/>
        <v>160.58975430299554</v>
      </c>
      <c r="BL224" s="4">
        <f t="shared" si="704"/>
        <v>40.700000000000003</v>
      </c>
      <c r="BP224" s="9"/>
      <c r="BR224" s="9"/>
      <c r="BS224" s="9"/>
      <c r="BT224" s="9">
        <f t="shared" si="705"/>
        <v>40.700000000000003</v>
      </c>
      <c r="BU224" s="9">
        <f t="shared" si="706"/>
        <v>76</v>
      </c>
      <c r="BV224" s="9">
        <f t="shared" si="707"/>
        <v>1.1709505872794554</v>
      </c>
      <c r="BW224" s="9">
        <v>0</v>
      </c>
      <c r="BX224" s="9">
        <f t="shared" si="708"/>
        <v>0</v>
      </c>
      <c r="BY224" s="9">
        <f t="shared" si="850"/>
        <v>0</v>
      </c>
      <c r="BZ224" s="9">
        <f t="shared" si="710"/>
        <v>0.89787751228078194</v>
      </c>
      <c r="CA224" s="9">
        <f t="shared" si="711"/>
        <v>0.91600000000000004</v>
      </c>
      <c r="CB224" s="9">
        <f t="shared" si="712"/>
        <v>1.6907919060582215</v>
      </c>
      <c r="CC224" s="9">
        <f t="shared" si="713"/>
        <v>1.9798337753662243</v>
      </c>
      <c r="CD224" s="9">
        <v>1</v>
      </c>
      <c r="CE224" s="9" t="e">
        <f>4*CC224*#REF!+60*CC224</f>
        <v>#REF!</v>
      </c>
      <c r="CG224" s="4" t="e">
        <f>V224/AR224</f>
        <v>#REF!</v>
      </c>
      <c r="CH224" s="4" t="e">
        <f>V224/AW224</f>
        <v>#REF!</v>
      </c>
      <c r="CI224" s="4" t="e">
        <f t="shared" ref="CI224:CI225" si="865">V224/AZ224</f>
        <v>#REF!</v>
      </c>
      <c r="CJ224" s="4" t="e">
        <f>V224/CE224</f>
        <v>#REF!</v>
      </c>
      <c r="CK224" s="4">
        <f t="shared" ref="CK224:CK231" si="866">V224/DL224</f>
        <v>1.2380919937878554</v>
      </c>
      <c r="CL224" s="4">
        <f t="shared" ref="CL224:CL225" si="867">V224/DX224</f>
        <v>1.3383380886118024</v>
      </c>
      <c r="CM224" s="4">
        <f>V224/FU224</f>
        <v>1.8963655360936886</v>
      </c>
      <c r="CO224" s="4" t="e">
        <f t="shared" si="809"/>
        <v>#REF!</v>
      </c>
      <c r="CP224" s="4" t="e">
        <f t="shared" si="810"/>
        <v>#REF!</v>
      </c>
      <c r="CQ224" s="4" t="e">
        <f t="shared" si="811"/>
        <v>#REF!</v>
      </c>
      <c r="CR224" s="4">
        <f t="shared" ref="CR224:CR225" si="868">CM224</f>
        <v>1.8963655360936886</v>
      </c>
      <c r="CS224" s="4">
        <f t="shared" si="812"/>
        <v>1.2380919937878554</v>
      </c>
      <c r="CT224" s="4">
        <f t="shared" si="813"/>
        <v>1.3383380886118024</v>
      </c>
      <c r="DB224" s="4">
        <f t="shared" si="677"/>
        <v>0</v>
      </c>
      <c r="DC224" s="4" t="e">
        <f>#REF!</f>
        <v>#REF!</v>
      </c>
      <c r="DF224" s="4">
        <f t="shared" si="723"/>
        <v>1.4413593384422284E-5</v>
      </c>
      <c r="DG224" s="4">
        <f t="shared" si="724"/>
        <v>5.7560932013474524</v>
      </c>
      <c r="DH224" s="4">
        <f t="shared" si="725"/>
        <v>0.41531802396359924</v>
      </c>
      <c r="DI224" s="4">
        <f t="shared" si="726"/>
        <v>4.0502341293306188</v>
      </c>
      <c r="DJ224" s="4">
        <f t="shared" si="727"/>
        <v>4.9770133082573631</v>
      </c>
      <c r="DK224" s="4">
        <f t="shared" si="728"/>
        <v>5.5599195823198233</v>
      </c>
      <c r="DL224" s="38">
        <f t="shared" si="729"/>
        <v>272.8161445601134</v>
      </c>
      <c r="DM224" s="4" t="e">
        <f t="shared" si="730"/>
        <v>#REF!</v>
      </c>
      <c r="DN224" s="4">
        <f t="shared" si="731"/>
        <v>1.7335434131355643</v>
      </c>
      <c r="DO224" s="4">
        <f t="shared" si="776"/>
        <v>118.97810455938726</v>
      </c>
      <c r="DS224" s="4">
        <f t="shared" si="733"/>
        <v>0.85</v>
      </c>
      <c r="DT224" s="4">
        <f t="shared" si="734"/>
        <v>0.98631284916201112</v>
      </c>
      <c r="DU224" s="4">
        <f t="shared" si="735"/>
        <v>1</v>
      </c>
      <c r="DV224" s="4">
        <f t="shared" si="736"/>
        <v>0.98631284916201112</v>
      </c>
      <c r="DX224" s="4">
        <f t="shared" si="737"/>
        <v>252.38128334694687</v>
      </c>
      <c r="DY224" s="25">
        <f t="shared" si="851"/>
        <v>117.32211325946476</v>
      </c>
      <c r="EA224" s="4">
        <f t="shared" si="852"/>
        <v>0.83836592178770941</v>
      </c>
      <c r="EB224" s="4">
        <f t="shared" si="739"/>
        <v>5.7560932013474524</v>
      </c>
      <c r="EE224" s="4">
        <f t="shared" si="740"/>
        <v>62.060854190253195</v>
      </c>
      <c r="EF224" s="4">
        <f t="shared" si="741"/>
        <v>1.7335434131355643</v>
      </c>
      <c r="EG224" s="4">
        <f t="shared" si="742"/>
        <v>0.13339071238746128</v>
      </c>
      <c r="EJ224" s="4">
        <f t="shared" si="853"/>
        <v>0.13339071238746128</v>
      </c>
      <c r="EK224" s="4">
        <f t="shared" si="744"/>
        <v>0.41462493558636138</v>
      </c>
      <c r="EL224" s="4">
        <f t="shared" si="679"/>
        <v>4.0475291402057101</v>
      </c>
      <c r="EM224" s="4">
        <f t="shared" si="854"/>
        <v>4.9759143938040786</v>
      </c>
      <c r="EN224" s="4" t="e">
        <f t="shared" si="863"/>
        <v>#REF!</v>
      </c>
      <c r="EO224" s="4" t="e">
        <f t="shared" si="864"/>
        <v>#REF!</v>
      </c>
      <c r="EP224" s="4" t="e">
        <f t="shared" si="749"/>
        <v>#REF!</v>
      </c>
      <c r="EQ224" s="4" t="e">
        <f t="shared" si="855"/>
        <v>#REF!</v>
      </c>
      <c r="ER224" s="4" t="e">
        <f t="shared" si="751"/>
        <v>#REF!</v>
      </c>
      <c r="FA224" s="23" t="e">
        <f t="shared" ref="FA224:FA225" si="869">IF(CG224&lt;0.6,0.6,IF(CG224&lt;0.8,0.8,IF(CG224&lt;1,1,IF(CG224&lt;1.2,1.2,IF(CG224&lt;1.4,1.4,IF(CG224&lt;1.6,1.6,IF(CG224&lt;1.8,1.8,IF(CG224&lt;2,2,2.2))))))))</f>
        <v>#REF!</v>
      </c>
      <c r="FB224" s="23" t="e">
        <f t="shared" ref="FB224:FB225" si="870">IF(CH224&lt;0.6,0.6,IF(CH224&lt;0.8,0.8,IF(CH224&lt;1,1,IF(CH224&lt;1.2,1.2,IF(CH224&lt;1.4,1.4,IF(CH224&lt;1.6,1.6,IF(CH224&lt;1.8,1.8,IF(CH224&lt;2,2,2.2))))))))</f>
        <v>#REF!</v>
      </c>
      <c r="FC224" s="23">
        <f t="shared" ref="FC224:FC225" si="871">IF(CM224&lt;0.6,0.6,IF(CM224&lt;0.8,0.8,IF(CM224&lt;1,1,IF(CM224&lt;1.2,1.2,IF(CM224&lt;1.4,1.4,IF(CM224&lt;1.6,1.6,IF(CM224&lt;1.8,1.8,IF(CM224&lt;2,2,2.2))))))))</f>
        <v>2</v>
      </c>
      <c r="FD224" s="23" t="e">
        <f t="shared" ref="FD224:FD225" si="872">IF(CJ224&lt;0.6,0.6,IF(CJ224&lt;0.8,0.8,IF(CJ224&lt;1,1,IF(CJ224&lt;1.2,1.2,IF(CJ224&lt;1.4,1.4,IF(CJ224&lt;1.6,1.6,IF(CJ224&lt;1.8,1.8,IF(CJ224&lt;2,2,2.2))))))))</f>
        <v>#REF!</v>
      </c>
      <c r="FE224" s="23">
        <f t="shared" ref="FE224:FE225" si="873">IF(CK224&lt;0.6,0.6,IF(CK224&lt;0.8,0.8,IF(CK224&lt;1,1,IF(CK224&lt;1.2,1.2,IF(CK224&lt;1.4,1.4,IF(CK224&lt;1.6,1.6,IF(CK224&lt;1.8,1.8,IF(CK224&lt;2,2,2.2))))))))</f>
        <v>1.4</v>
      </c>
      <c r="FF224" s="23">
        <f t="shared" ref="FF224:FF225" si="874">IF(CL224&lt;0.6,0.6,IF(CL224&lt;0.8,0.8,IF(CL224&lt;1,1,IF(CL224&lt;1.2,1.2,IF(CL224&lt;1.4,1.4,IF(CL224&lt;1.6,1.6,IF(CL224&lt;1.8,1.8,IF(CL224&lt;2,2,2.2))))))))</f>
        <v>1.4</v>
      </c>
      <c r="FG224" s="23">
        <f t="shared" ref="FG224:FG225" si="875">IF(FE224&lt;1,1,0)</f>
        <v>0</v>
      </c>
      <c r="FH224" s="23"/>
      <c r="FR224" s="4">
        <f t="shared" si="842"/>
        <v>1</v>
      </c>
      <c r="FS224" s="4">
        <f t="shared" si="843"/>
        <v>0.8938547486033519</v>
      </c>
      <c r="FT224" s="4">
        <f t="shared" si="844"/>
        <v>0</v>
      </c>
      <c r="FU224" s="4">
        <f t="shared" si="845"/>
        <v>178.11517765278521</v>
      </c>
    </row>
    <row r="225" spans="2:177" ht="12" customHeight="1" x14ac:dyDescent="0.3">
      <c r="B225" s="24"/>
      <c r="C225" s="4" t="s">
        <v>337</v>
      </c>
      <c r="D225" s="7">
        <v>556</v>
      </c>
      <c r="E225" s="7">
        <f>381-J225-25</f>
        <v>280</v>
      </c>
      <c r="F225" s="7">
        <v>34.5</v>
      </c>
      <c r="G225" s="7">
        <v>35.799999999999997</v>
      </c>
      <c r="H225" s="7">
        <v>305</v>
      </c>
      <c r="I225" s="7">
        <v>76</v>
      </c>
      <c r="J225" s="7">
        <v>76</v>
      </c>
      <c r="K225" s="7">
        <f t="shared" si="798"/>
        <v>81.400000000000006</v>
      </c>
      <c r="L225" s="7">
        <v>2</v>
      </c>
      <c r="M225" s="7">
        <f t="shared" si="856"/>
        <v>280</v>
      </c>
      <c r="N225" s="7">
        <f t="shared" si="684"/>
        <v>1.6368715083798884</v>
      </c>
      <c r="O225" s="7">
        <f t="shared" si="685"/>
        <v>2.6229050279329611</v>
      </c>
      <c r="P225" s="7">
        <f>2970/(G225^2*PI()/4)-1</f>
        <v>1.9505332604034158</v>
      </c>
      <c r="Q225" s="7">
        <f>2970/(G225^2*PI()/4)-1</f>
        <v>1.9505332604034158</v>
      </c>
      <c r="R225" s="7">
        <f t="shared" si="686"/>
        <v>2.9505332604034158</v>
      </c>
      <c r="S225" s="7">
        <f t="shared" si="687"/>
        <v>61.494076526633307</v>
      </c>
      <c r="T225" s="7">
        <f t="shared" si="826"/>
        <v>556</v>
      </c>
      <c r="U225" s="7">
        <v>25</v>
      </c>
      <c r="V225" s="7">
        <f>271*1000/(G225^2*PI()/4)</f>
        <v>269.22374194253388</v>
      </c>
      <c r="W225" s="7"/>
      <c r="X225" s="4">
        <f t="shared" si="689"/>
        <v>0.98516281921633742</v>
      </c>
      <c r="Y225" s="7"/>
      <c r="Z225" s="7"/>
      <c r="AA225" s="7">
        <v>1</v>
      </c>
      <c r="AB225" s="7"/>
      <c r="AC225" s="7"/>
      <c r="AD225" s="7">
        <f t="shared" si="827"/>
        <v>7.1672354948805461</v>
      </c>
      <c r="AE225" s="4">
        <f t="shared" si="691"/>
        <v>280</v>
      </c>
      <c r="AF225" s="4">
        <f t="shared" si="692"/>
        <v>0.36309523809523808</v>
      </c>
      <c r="AG225" s="4">
        <f t="shared" si="693"/>
        <v>136.69752902409817</v>
      </c>
      <c r="AH225" s="4">
        <f t="shared" si="694"/>
        <v>0.76707142857142852</v>
      </c>
      <c r="AI225" s="4">
        <v>1.25</v>
      </c>
      <c r="AJ225" s="4">
        <f t="shared" si="857"/>
        <v>2.5</v>
      </c>
      <c r="AK225" s="38">
        <f t="shared" si="848"/>
        <v>118.97810455938722</v>
      </c>
      <c r="AL225" s="38">
        <f t="shared" si="762"/>
        <v>118.97810455938722</v>
      </c>
      <c r="AM225" s="38">
        <f t="shared" si="695"/>
        <v>3.1793181165219675</v>
      </c>
      <c r="AN225" s="38">
        <f t="shared" si="858"/>
        <v>118.97810455938726</v>
      </c>
      <c r="AO225" s="38">
        <f t="shared" si="840"/>
        <v>0.99999999999999967</v>
      </c>
      <c r="AP225" s="38">
        <f t="shared" si="859"/>
        <v>1.6452411697278291</v>
      </c>
      <c r="AQ225" s="4">
        <f t="shared" si="860"/>
        <v>0</v>
      </c>
      <c r="AR225" s="4" t="e">
        <f>#REF!/G225*F225^0.5/0.19</f>
        <v>#REF!</v>
      </c>
      <c r="AS225" s="4">
        <f t="shared" si="696"/>
        <v>1.2409556313993173</v>
      </c>
      <c r="AT225" s="38">
        <f t="shared" si="697"/>
        <v>195.74767591728624</v>
      </c>
      <c r="AU225" s="4">
        <f t="shared" si="698"/>
        <v>0.72692534354352178</v>
      </c>
      <c r="AV225" s="4" t="e">
        <f>AU225*D225*#REF!/(D225*G225/2.75/F225^0.5)</f>
        <v>#REF!</v>
      </c>
      <c r="AW225" s="4" t="e">
        <f t="shared" si="849"/>
        <v>#REF!</v>
      </c>
      <c r="AY225" s="4">
        <f t="shared" si="700"/>
        <v>1.2807262569832403</v>
      </c>
      <c r="AZ225" s="4" t="e">
        <f>(3*#REF!+30)*AY225*F225^0.5</f>
        <v>#REF!</v>
      </c>
      <c r="BB225" s="4">
        <f t="shared" si="701"/>
        <v>187.74595958556532</v>
      </c>
      <c r="BC225" s="4">
        <f t="shared" si="828"/>
        <v>39749.280546165857</v>
      </c>
      <c r="BD225" s="4">
        <f t="shared" si="862"/>
        <v>211.7184339620907</v>
      </c>
      <c r="BL225" s="4">
        <f t="shared" si="704"/>
        <v>40.700000000000003</v>
      </c>
      <c r="BP225" s="9"/>
      <c r="BR225" s="9"/>
      <c r="BS225" s="9"/>
      <c r="BT225" s="9">
        <f t="shared" si="705"/>
        <v>40.700000000000003</v>
      </c>
      <c r="BU225" s="9">
        <f t="shared" si="706"/>
        <v>76</v>
      </c>
      <c r="BV225" s="9">
        <f t="shared" si="707"/>
        <v>1.1709505872794554</v>
      </c>
      <c r="BW225" s="9">
        <v>0</v>
      </c>
      <c r="BX225" s="9">
        <f t="shared" si="708"/>
        <v>0</v>
      </c>
      <c r="BY225" s="9">
        <f t="shared" si="850"/>
        <v>0</v>
      </c>
      <c r="BZ225" s="9">
        <f t="shared" si="710"/>
        <v>0.89787751228078194</v>
      </c>
      <c r="CA225" s="9">
        <f t="shared" si="711"/>
        <v>0.91600000000000004</v>
      </c>
      <c r="CB225" s="9">
        <f t="shared" si="712"/>
        <v>1.6907919060582215</v>
      </c>
      <c r="CC225" s="9">
        <f t="shared" si="713"/>
        <v>1.9798337753662243</v>
      </c>
      <c r="CD225" s="9">
        <v>1</v>
      </c>
      <c r="CE225" s="9" t="e">
        <f>4*CC225*#REF!+60*CC225</f>
        <v>#REF!</v>
      </c>
      <c r="CG225" s="4" t="e">
        <f>V225/AR225</f>
        <v>#REF!</v>
      </c>
      <c r="CH225" s="4" t="e">
        <f>V225/AW225</f>
        <v>#REF!</v>
      </c>
      <c r="CI225" s="4" t="e">
        <f t="shared" si="865"/>
        <v>#REF!</v>
      </c>
      <c r="CJ225" s="4" t="e">
        <f>V225/CE225</f>
        <v>#REF!</v>
      </c>
      <c r="CK225" s="4">
        <f t="shared" si="866"/>
        <v>0.98516281921633742</v>
      </c>
      <c r="CL225" s="4">
        <f t="shared" si="867"/>
        <v>1.0667341823935248</v>
      </c>
      <c r="CM225" s="4">
        <f>V225/FU225</f>
        <v>1.5115148831805576</v>
      </c>
      <c r="CO225" s="4" t="e">
        <f t="shared" si="809"/>
        <v>#REF!</v>
      </c>
      <c r="CP225" s="4" t="e">
        <f t="shared" si="810"/>
        <v>#REF!</v>
      </c>
      <c r="CQ225" s="4" t="e">
        <f t="shared" si="811"/>
        <v>#REF!</v>
      </c>
      <c r="CR225" s="4">
        <f t="shared" si="868"/>
        <v>1.5115148831805576</v>
      </c>
      <c r="CS225" s="4">
        <f t="shared" si="812"/>
        <v>0.98516281921633742</v>
      </c>
      <c r="CT225" s="4">
        <f t="shared" si="813"/>
        <v>1.0667341823935248</v>
      </c>
      <c r="DB225" s="4">
        <f t="shared" si="677"/>
        <v>0</v>
      </c>
      <c r="DC225" s="4" t="e">
        <f>#REF!</f>
        <v>#REF!</v>
      </c>
      <c r="DF225" s="4">
        <f t="shared" si="723"/>
        <v>1.4413593384422284E-5</v>
      </c>
      <c r="DG225" s="4">
        <f t="shared" si="724"/>
        <v>5.7560932013474524</v>
      </c>
      <c r="DH225" s="4">
        <f t="shared" si="725"/>
        <v>0.4230529727962522</v>
      </c>
      <c r="DI225" s="4">
        <f t="shared" si="726"/>
        <v>4.0802400819337299</v>
      </c>
      <c r="DJ225" s="4">
        <f t="shared" si="727"/>
        <v>4.9892368362464685</v>
      </c>
      <c r="DK225" s="4">
        <f t="shared" si="728"/>
        <v>5.5592290458545044</v>
      </c>
      <c r="DL225" s="38">
        <f t="shared" si="729"/>
        <v>273.2784233135107</v>
      </c>
      <c r="DM225" s="4" t="e">
        <f t="shared" si="730"/>
        <v>#REF!</v>
      </c>
      <c r="DN225" s="4">
        <f t="shared" si="731"/>
        <v>1.7177116348221595</v>
      </c>
      <c r="DO225" s="4">
        <f t="shared" si="776"/>
        <v>118.97810455938726</v>
      </c>
      <c r="DS225" s="4">
        <f t="shared" si="733"/>
        <v>0.85</v>
      </c>
      <c r="DT225" s="4">
        <f t="shared" si="734"/>
        <v>0.98631284916201112</v>
      </c>
      <c r="DU225" s="4">
        <f t="shared" si="735"/>
        <v>1</v>
      </c>
      <c r="DV225" s="4">
        <f t="shared" si="736"/>
        <v>0.98631284916201112</v>
      </c>
      <c r="DX225" s="4">
        <f t="shared" si="737"/>
        <v>252.38128334694687</v>
      </c>
      <c r="DY225" s="25">
        <f t="shared" si="851"/>
        <v>117.32211325946476</v>
      </c>
      <c r="EA225" s="4">
        <f t="shared" si="852"/>
        <v>0.83836592178770941</v>
      </c>
      <c r="EB225" s="4">
        <f t="shared" si="739"/>
        <v>5.7560932013474524</v>
      </c>
      <c r="EE225" s="4">
        <f t="shared" si="740"/>
        <v>61.494076526633307</v>
      </c>
      <c r="EF225" s="4">
        <f t="shared" si="741"/>
        <v>1.7177116348221595</v>
      </c>
      <c r="EG225" s="4">
        <f t="shared" si="742"/>
        <v>0.1358750021980055</v>
      </c>
      <c r="EJ225" s="4">
        <f t="shared" si="853"/>
        <v>0.1358750021980055</v>
      </c>
      <c r="EK225" s="4">
        <f t="shared" si="744"/>
        <v>0.42234697623101108</v>
      </c>
      <c r="EL225" s="4">
        <f t="shared" si="679"/>
        <v>4.0775150530350981</v>
      </c>
      <c r="EM225" s="4">
        <f t="shared" si="854"/>
        <v>4.9881242126995069</v>
      </c>
      <c r="EN225" s="4" t="e">
        <f t="shared" si="863"/>
        <v>#REF!</v>
      </c>
      <c r="EO225" s="4" t="e">
        <f t="shared" si="864"/>
        <v>#REF!</v>
      </c>
      <c r="EP225" s="4" t="e">
        <f t="shared" si="749"/>
        <v>#REF!</v>
      </c>
      <c r="EQ225" s="4" t="e">
        <f t="shared" si="855"/>
        <v>#REF!</v>
      </c>
      <c r="ER225" s="4" t="e">
        <f t="shared" si="751"/>
        <v>#REF!</v>
      </c>
      <c r="FA225" s="23" t="e">
        <f t="shared" si="869"/>
        <v>#REF!</v>
      </c>
      <c r="FB225" s="23" t="e">
        <f t="shared" si="870"/>
        <v>#REF!</v>
      </c>
      <c r="FC225" s="23">
        <f t="shared" si="871"/>
        <v>1.6</v>
      </c>
      <c r="FD225" s="23" t="e">
        <f t="shared" si="872"/>
        <v>#REF!</v>
      </c>
      <c r="FE225" s="23">
        <f t="shared" si="873"/>
        <v>1</v>
      </c>
      <c r="FF225" s="23">
        <f t="shared" si="874"/>
        <v>1.2</v>
      </c>
      <c r="FG225" s="23">
        <f t="shared" si="875"/>
        <v>0</v>
      </c>
      <c r="FH225" s="23"/>
      <c r="FR225" s="4">
        <f t="shared" si="842"/>
        <v>1</v>
      </c>
      <c r="FS225" s="4">
        <f t="shared" si="843"/>
        <v>0.8938547486033519</v>
      </c>
      <c r="FT225" s="4">
        <f t="shared" si="844"/>
        <v>0</v>
      </c>
      <c r="FU225" s="4">
        <f t="shared" si="845"/>
        <v>178.11517765278521</v>
      </c>
    </row>
    <row r="226" spans="2:177" ht="12" customHeight="1" x14ac:dyDescent="0.3">
      <c r="B226" s="24"/>
      <c r="C226" s="4" t="s">
        <v>338</v>
      </c>
      <c r="D226" s="7">
        <v>556</v>
      </c>
      <c r="E226" s="7">
        <f>381-J226-25</f>
        <v>280</v>
      </c>
      <c r="F226" s="7">
        <v>35</v>
      </c>
      <c r="G226" s="7">
        <v>35.799999999999997</v>
      </c>
      <c r="H226" s="7">
        <v>305</v>
      </c>
      <c r="I226" s="7">
        <v>76</v>
      </c>
      <c r="J226" s="7">
        <v>76</v>
      </c>
      <c r="K226" s="7">
        <f t="shared" si="798"/>
        <v>81.400000000000006</v>
      </c>
      <c r="L226" s="7">
        <v>2</v>
      </c>
      <c r="M226" s="7">
        <f t="shared" si="856"/>
        <v>280</v>
      </c>
      <c r="N226" s="7">
        <f t="shared" si="684"/>
        <v>1.6368715083798884</v>
      </c>
      <c r="O226" s="7">
        <f t="shared" si="685"/>
        <v>2.6229050279329611</v>
      </c>
      <c r="P226" s="7">
        <f>5500/(G226^2*PI()/4)-1</f>
        <v>4.4639504822285474</v>
      </c>
      <c r="Q226" s="7">
        <f>5500/(G226^2*PI()/4)-1</f>
        <v>4.4639504822285474</v>
      </c>
      <c r="R226" s="7">
        <f t="shared" si="686"/>
        <v>5.4639504822285474</v>
      </c>
      <c r="S226" s="7">
        <f t="shared" si="687"/>
        <v>83.682838718840046</v>
      </c>
      <c r="T226" s="7">
        <f t="shared" si="826"/>
        <v>556</v>
      </c>
      <c r="U226" s="7">
        <v>25</v>
      </c>
      <c r="V226" s="7"/>
      <c r="W226" s="32" t="s">
        <v>308</v>
      </c>
      <c r="X226" s="4">
        <f t="shared" si="689"/>
        <v>0</v>
      </c>
      <c r="Y226" s="7">
        <v>9.5</v>
      </c>
      <c r="Z226" s="7">
        <v>2</v>
      </c>
      <c r="AA226" s="7">
        <v>102</v>
      </c>
      <c r="AB226" s="7">
        <v>4</v>
      </c>
      <c r="AC226" s="7">
        <f>Z226</f>
        <v>2</v>
      </c>
      <c r="AD226" s="7">
        <f t="shared" si="827"/>
        <v>7.1672354948805461</v>
      </c>
      <c r="AE226" s="4">
        <f t="shared" si="691"/>
        <v>280</v>
      </c>
      <c r="AF226" s="4">
        <f t="shared" si="692"/>
        <v>0.36309523809523808</v>
      </c>
      <c r="AG226" s="4">
        <f t="shared" si="693"/>
        <v>137.68452761055582</v>
      </c>
      <c r="AH226" s="4">
        <f t="shared" si="694"/>
        <v>0.76707142857142852</v>
      </c>
      <c r="AI226" s="4">
        <v>1.25</v>
      </c>
      <c r="AJ226" s="4">
        <f t="shared" si="857"/>
        <v>2.5</v>
      </c>
      <c r="AK226" s="38">
        <f t="shared" si="848"/>
        <v>119.83716340162</v>
      </c>
      <c r="AL226" s="38">
        <f t="shared" si="762"/>
        <v>119.83716340162</v>
      </c>
      <c r="AM226" s="38">
        <f t="shared" si="695"/>
        <v>3.2099624416952368</v>
      </c>
      <c r="AN226" s="38">
        <f t="shared" si="858"/>
        <v>119.83716340162006</v>
      </c>
      <c r="AO226" s="38">
        <f t="shared" si="840"/>
        <v>0.99999999999999956</v>
      </c>
      <c r="AP226" s="38">
        <f t="shared" si="859"/>
        <v>2.5069002130823193</v>
      </c>
      <c r="AQ226" s="4">
        <f t="shared" si="860"/>
        <v>0</v>
      </c>
      <c r="AR226" s="4" t="e">
        <f>#REF!/G226*F226^0.5/0.19</f>
        <v>#REF!</v>
      </c>
      <c r="AS226" s="4">
        <f t="shared" si="696"/>
        <v>1.2409556313993173</v>
      </c>
      <c r="AT226" s="38">
        <f t="shared" si="697"/>
        <v>300.41981046670202</v>
      </c>
      <c r="AU226" s="4">
        <f t="shared" si="698"/>
        <v>0.37504693248800336</v>
      </c>
      <c r="AV226" s="4" t="e">
        <f>AU226*D226*#REF!/(D226*G226/2.75/F226^0.5)</f>
        <v>#REF!</v>
      </c>
      <c r="AW226" s="4" t="e">
        <f t="shared" si="849"/>
        <v>#REF!</v>
      </c>
      <c r="AY226" s="4">
        <f t="shared" si="700"/>
        <v>1.5</v>
      </c>
      <c r="AZ226" s="4" t="e">
        <f>(3*#REF!+30)*AY226*F226^0.5</f>
        <v>#REF!</v>
      </c>
      <c r="BB226" s="4">
        <f t="shared" si="701"/>
        <v>288.13933718639765</v>
      </c>
      <c r="BC226" s="4">
        <f t="shared" si="828"/>
        <v>1562.4220485187734</v>
      </c>
      <c r="BD226" s="4">
        <f t="shared" si="862"/>
        <v>5.4224531220742032</v>
      </c>
      <c r="BL226" s="4">
        <f t="shared" si="704"/>
        <v>40.700000000000003</v>
      </c>
      <c r="BP226" s="9"/>
      <c r="BR226" s="9"/>
      <c r="BS226" s="9"/>
      <c r="BT226" s="9">
        <f t="shared" si="705"/>
        <v>40.700000000000003</v>
      </c>
      <c r="BU226" s="9">
        <f t="shared" si="706"/>
        <v>76</v>
      </c>
      <c r="BV226" s="9">
        <f t="shared" si="707"/>
        <v>1.1709505872794554</v>
      </c>
      <c r="BW226" s="9">
        <v>20</v>
      </c>
      <c r="BX226" s="9">
        <f t="shared" si="708"/>
        <v>3.8822534914349713E-2</v>
      </c>
      <c r="BY226" s="9">
        <f t="shared" si="850"/>
        <v>0.57645069828699425</v>
      </c>
      <c r="BZ226" s="9">
        <f t="shared" si="710"/>
        <v>0.89787751228078194</v>
      </c>
      <c r="CA226" s="9">
        <f t="shared" si="711"/>
        <v>0.91600000000000004</v>
      </c>
      <c r="CB226" s="9">
        <f t="shared" si="712"/>
        <v>1.7029999483921783</v>
      </c>
      <c r="CC226" s="9">
        <f t="shared" si="713"/>
        <v>2.9758242991400894</v>
      </c>
      <c r="CD226" s="9">
        <v>1</v>
      </c>
      <c r="CE226" s="9" t="e">
        <f>4*CC226*#REF!+60*CC226</f>
        <v>#REF!</v>
      </c>
      <c r="DB226" s="4">
        <f t="shared" si="677"/>
        <v>2</v>
      </c>
      <c r="DC226" s="4" t="e">
        <f>#REF!</f>
        <v>#REF!</v>
      </c>
      <c r="DF226" s="4">
        <f t="shared" si="723"/>
        <v>1.4463124191571349E-5</v>
      </c>
      <c r="DG226" s="4">
        <f t="shared" si="724"/>
        <v>5.8532664976699591</v>
      </c>
      <c r="DH226" s="4">
        <f t="shared" si="725"/>
        <v>0.24975108781264987</v>
      </c>
      <c r="DI226" s="4">
        <f t="shared" si="726"/>
        <v>3.3604795222157038</v>
      </c>
      <c r="DJ226" s="4">
        <f t="shared" si="727"/>
        <v>4.7736376935091256</v>
      </c>
      <c r="DK226" s="4">
        <f t="shared" si="728"/>
        <v>5.669958822199864</v>
      </c>
      <c r="DL226" s="38">
        <f t="shared" si="729"/>
        <v>262.9772690841171</v>
      </c>
      <c r="DM226" s="4" t="e">
        <f t="shared" si="730"/>
        <v>#REF!</v>
      </c>
      <c r="DN226" s="4">
        <f t="shared" si="731"/>
        <v>2.3375094614201131</v>
      </c>
      <c r="DO226" s="4">
        <f t="shared" si="776"/>
        <v>119.83716340162006</v>
      </c>
      <c r="DS226" s="4">
        <f t="shared" si="733"/>
        <v>0.85</v>
      </c>
      <c r="DT226" s="4">
        <f t="shared" si="734"/>
        <v>0.98631284916201112</v>
      </c>
      <c r="DU226" s="4">
        <f t="shared" si="735"/>
        <v>0.99049889204456787</v>
      </c>
      <c r="DV226" s="4">
        <f t="shared" si="736"/>
        <v>0.97694178430429301</v>
      </c>
      <c r="DX226" s="4">
        <f t="shared" si="737"/>
        <v>255.5084292423501</v>
      </c>
      <c r="DY226" s="25">
        <f t="shared" si="851"/>
        <v>118.16921533054099</v>
      </c>
      <c r="EA226" s="4">
        <f t="shared" si="852"/>
        <v>0.830400516658649</v>
      </c>
      <c r="EB226" s="4">
        <f t="shared" si="739"/>
        <v>5.8532664976699591</v>
      </c>
      <c r="EE226" s="4">
        <f t="shared" si="740"/>
        <v>83.682838718840046</v>
      </c>
      <c r="EF226" s="4">
        <f t="shared" si="741"/>
        <v>2.3375094614201131</v>
      </c>
      <c r="EG226" s="4">
        <f t="shared" si="742"/>
        <v>8.0793547209318639E-2</v>
      </c>
      <c r="EJ226" s="4">
        <f t="shared" si="853"/>
        <v>8.0793547209318639E-2</v>
      </c>
      <c r="EK226" s="4">
        <f t="shared" si="744"/>
        <v>0.24933429979436575</v>
      </c>
      <c r="EL226" s="4">
        <f t="shared" si="679"/>
        <v>3.3582351925617111</v>
      </c>
      <c r="EM226" s="4">
        <f t="shared" si="854"/>
        <v>4.7728524504637697</v>
      </c>
      <c r="EN226" s="4" t="e">
        <f t="shared" si="863"/>
        <v>#REF!</v>
      </c>
      <c r="EO226" s="4" t="e">
        <f t="shared" si="864"/>
        <v>#REF!</v>
      </c>
      <c r="EP226" s="4" t="e">
        <f t="shared" si="749"/>
        <v>#REF!</v>
      </c>
      <c r="EQ226" s="4" t="e">
        <f t="shared" si="855"/>
        <v>#REF!</v>
      </c>
      <c r="ER226" s="4" t="e">
        <f t="shared" si="751"/>
        <v>#REF!</v>
      </c>
      <c r="FA226" s="23"/>
      <c r="FB226" s="23"/>
      <c r="FC226" s="23"/>
      <c r="FD226" s="23"/>
      <c r="FE226" s="23"/>
      <c r="FF226" s="23"/>
      <c r="FG226" s="23"/>
      <c r="FH226" s="23"/>
      <c r="FR226" s="4">
        <f t="shared" si="842"/>
        <v>1</v>
      </c>
      <c r="FS226" s="4">
        <f t="shared" si="843"/>
        <v>0.57658194354098002</v>
      </c>
      <c r="FT226" s="4">
        <f t="shared" si="844"/>
        <v>0.28167035985144034</v>
      </c>
      <c r="FU226" s="4">
        <f t="shared" si="845"/>
        <v>277.12077165548715</v>
      </c>
    </row>
    <row r="227" spans="2:177" ht="12" customHeight="1" x14ac:dyDescent="0.3">
      <c r="B227" s="24"/>
      <c r="C227" s="4" t="s">
        <v>339</v>
      </c>
      <c r="D227" s="7">
        <v>578</v>
      </c>
      <c r="E227" s="7">
        <f>305-J227-18</f>
        <v>211</v>
      </c>
      <c r="F227" s="7">
        <v>35</v>
      </c>
      <c r="G227" s="7">
        <v>25.4</v>
      </c>
      <c r="H227" s="7">
        <v>305</v>
      </c>
      <c r="I227" s="7">
        <v>38</v>
      </c>
      <c r="J227" s="7">
        <v>76</v>
      </c>
      <c r="K227" s="7">
        <f t="shared" si="798"/>
        <v>178.2</v>
      </c>
      <c r="L227" s="7">
        <v>2</v>
      </c>
      <c r="M227" s="7">
        <f t="shared" si="856"/>
        <v>280</v>
      </c>
      <c r="N227" s="7">
        <f t="shared" si="684"/>
        <v>1.9960629921259843</v>
      </c>
      <c r="O227" s="7">
        <f t="shared" si="685"/>
        <v>1.9960629921259843</v>
      </c>
      <c r="P227" s="7">
        <f>3200/(G227^2*PI()/4)-1</f>
        <v>5.3152807724479523</v>
      </c>
      <c r="Q227" s="7">
        <f>3200/(G227^2*PI()/4)-1</f>
        <v>5.3152807724479523</v>
      </c>
      <c r="R227" s="7">
        <f t="shared" si="686"/>
        <v>6.3152807724479523</v>
      </c>
      <c r="S227" s="7">
        <f t="shared" si="687"/>
        <v>63.830764864229231</v>
      </c>
      <c r="T227" s="7">
        <f t="shared" si="826"/>
        <v>578</v>
      </c>
      <c r="U227" s="7">
        <v>18</v>
      </c>
      <c r="V227" s="7">
        <f>178*1000/(G227^2*PI()/4)</f>
        <v>351.28749296741734</v>
      </c>
      <c r="W227" s="7"/>
      <c r="X227" s="4">
        <f t="shared" si="689"/>
        <v>0.93206382246205521</v>
      </c>
      <c r="Y227" s="7"/>
      <c r="Z227" s="7"/>
      <c r="AA227" s="7">
        <v>1</v>
      </c>
      <c r="AB227" s="7"/>
      <c r="AC227" s="7"/>
      <c r="AD227" s="7">
        <f t="shared" si="827"/>
        <v>3.1090373280943027</v>
      </c>
      <c r="AE227" s="4">
        <f t="shared" si="691"/>
        <v>211</v>
      </c>
      <c r="AF227" s="4">
        <f t="shared" si="692"/>
        <v>0.48183254344391785</v>
      </c>
      <c r="AG227" s="4">
        <f t="shared" si="693"/>
        <v>178.92474002033066</v>
      </c>
      <c r="AH227" s="4">
        <f t="shared" si="694"/>
        <v>0.7480568720379146</v>
      </c>
      <c r="AI227" s="4">
        <v>1.25</v>
      </c>
      <c r="AJ227" s="4">
        <f t="shared" si="857"/>
        <v>2.5</v>
      </c>
      <c r="AK227" s="38">
        <f t="shared" si="848"/>
        <v>201.53531700084281</v>
      </c>
      <c r="AL227" s="38">
        <f t="shared" si="762"/>
        <v>201.53531700084281</v>
      </c>
      <c r="AM227" s="38">
        <f t="shared" si="695"/>
        <v>3.2099624416952368</v>
      </c>
      <c r="AN227" s="38">
        <f t="shared" si="858"/>
        <v>201.53531700084287</v>
      </c>
      <c r="AO227" s="38">
        <f t="shared" si="840"/>
        <v>0.99999999999999967</v>
      </c>
      <c r="AP227" s="38">
        <f t="shared" si="859"/>
        <v>1.5983954151836357</v>
      </c>
      <c r="AQ227" s="4">
        <f t="shared" si="860"/>
        <v>0</v>
      </c>
      <c r="AR227" s="4" t="e">
        <f>#REF!/G227*F227^0.5/0.19</f>
        <v>#REF!</v>
      </c>
      <c r="AS227" s="4">
        <f t="shared" si="696"/>
        <v>1</v>
      </c>
      <c r="AT227" s="38">
        <f t="shared" si="697"/>
        <v>322.13312669172785</v>
      </c>
      <c r="AU227" s="4">
        <f t="shared" si="698"/>
        <v>0.3</v>
      </c>
      <c r="AV227" s="4" t="e">
        <f>AU227*D227*#REF!/(D227*G227/2.75/F227^0.5)</f>
        <v>#REF!</v>
      </c>
      <c r="AW227" s="4" t="e">
        <f t="shared" si="849"/>
        <v>#REF!</v>
      </c>
      <c r="AY227" s="4">
        <f t="shared" si="700"/>
        <v>1.1240157480314961</v>
      </c>
      <c r="AZ227" s="4" t="e">
        <f>(3*#REF!+30)*AY227*F227^0.5</f>
        <v>#REF!</v>
      </c>
      <c r="BB227" s="4">
        <f t="shared" si="701"/>
        <v>308.96506281174231</v>
      </c>
      <c r="BC227" s="4">
        <f t="shared" si="828"/>
        <v>2245.2309649218914</v>
      </c>
      <c r="BD227" s="4">
        <f t="shared" si="862"/>
        <v>7.2669412667216324</v>
      </c>
      <c r="BL227" s="4">
        <f t="shared" si="704"/>
        <v>38</v>
      </c>
      <c r="BP227" s="9"/>
      <c r="BR227" s="9"/>
      <c r="BS227" s="9"/>
      <c r="BT227" s="9">
        <f t="shared" si="705"/>
        <v>38</v>
      </c>
      <c r="BU227" s="9">
        <f t="shared" si="706"/>
        <v>89.1</v>
      </c>
      <c r="BV227" s="9">
        <f t="shared" si="707"/>
        <v>1.3899176059121618</v>
      </c>
      <c r="BW227" s="9">
        <v>0</v>
      </c>
      <c r="BX227" s="9">
        <f t="shared" si="708"/>
        <v>0</v>
      </c>
      <c r="BY227" s="9">
        <f t="shared" si="850"/>
        <v>0</v>
      </c>
      <c r="BZ227" s="9">
        <f t="shared" si="710"/>
        <v>0.99524931562137331</v>
      </c>
      <c r="CA227" s="9">
        <f t="shared" si="711"/>
        <v>0.88300000000000001</v>
      </c>
      <c r="CB227" s="9">
        <f t="shared" si="712"/>
        <v>1.8196784745027872</v>
      </c>
      <c r="CC227" s="9">
        <f t="shared" si="713"/>
        <v>2.5292031488108089</v>
      </c>
      <c r="CD227" s="9">
        <v>1</v>
      </c>
      <c r="CE227" s="9" t="e">
        <f>4*CC227*#REF!+60*CC227</f>
        <v>#REF!</v>
      </c>
      <c r="CG227" s="4" t="e">
        <f>V227/AR227</f>
        <v>#REF!</v>
      </c>
      <c r="CH227" s="4" t="e">
        <f>V227/AW227</f>
        <v>#REF!</v>
      </c>
      <c r="CI227" s="4" t="e">
        <f t="shared" ref="CI227:CI229" si="876">V227/AZ227</f>
        <v>#REF!</v>
      </c>
      <c r="CJ227" s="4" t="e">
        <f>V227/CE227</f>
        <v>#REF!</v>
      </c>
      <c r="CK227" s="4">
        <f t="shared" si="866"/>
        <v>0.93206382246205521</v>
      </c>
      <c r="CL227" s="4">
        <f t="shared" ref="CL227:CL229" si="877">V227/DX227</f>
        <v>0.96123910886210173</v>
      </c>
      <c r="CM227" s="4">
        <f>V227/FU227</f>
        <v>1.08971818573285</v>
      </c>
      <c r="CO227" s="4" t="e">
        <f t="shared" si="809"/>
        <v>#REF!</v>
      </c>
      <c r="CP227" s="4" t="e">
        <f t="shared" si="810"/>
        <v>#REF!</v>
      </c>
      <c r="CQ227" s="4" t="e">
        <f t="shared" si="811"/>
        <v>#REF!</v>
      </c>
      <c r="CR227" s="4">
        <f t="shared" ref="CR227:CR228" si="878">CM227</f>
        <v>1.08971818573285</v>
      </c>
      <c r="CS227" s="4">
        <f t="shared" si="812"/>
        <v>0.93206382246205521</v>
      </c>
      <c r="CT227" s="4">
        <f t="shared" si="813"/>
        <v>0.96123910886210173</v>
      </c>
      <c r="DB227" s="4">
        <f t="shared" si="677"/>
        <v>0</v>
      </c>
      <c r="DC227" s="4" t="e">
        <f>#REF!</f>
        <v>#REF!</v>
      </c>
      <c r="DF227" s="4">
        <f t="shared" si="723"/>
        <v>1.5361578672425713E-5</v>
      </c>
      <c r="DG227" s="4">
        <f t="shared" si="724"/>
        <v>6.6853003614357291</v>
      </c>
      <c r="DH227" s="4">
        <f t="shared" si="725"/>
        <v>0.26906290889067602</v>
      </c>
      <c r="DI227" s="4">
        <f t="shared" si="726"/>
        <v>3.9542348333817863</v>
      </c>
      <c r="DJ227" s="4">
        <f t="shared" si="727"/>
        <v>5.4933029542331306</v>
      </c>
      <c r="DK227" s="4">
        <f t="shared" si="728"/>
        <v>6.4917589700897658</v>
      </c>
      <c r="DL227" s="38">
        <f t="shared" si="729"/>
        <v>376.89210170124204</v>
      </c>
      <c r="DM227" s="4" t="e">
        <f t="shared" si="730"/>
        <v>#REF!</v>
      </c>
      <c r="DN227" s="4">
        <f t="shared" si="731"/>
        <v>2.5130222387491825</v>
      </c>
      <c r="DO227" s="4">
        <f t="shared" si="776"/>
        <v>201.53531700084287</v>
      </c>
      <c r="DS227" s="4">
        <f t="shared" si="733"/>
        <v>0.85</v>
      </c>
      <c r="DT227" s="4">
        <f t="shared" si="734"/>
        <v>0.9503937007874016</v>
      </c>
      <c r="DU227" s="4">
        <f t="shared" si="735"/>
        <v>1</v>
      </c>
      <c r="DV227" s="4">
        <f t="shared" si="736"/>
        <v>0.9503937007874016</v>
      </c>
      <c r="DX227" s="4">
        <f t="shared" si="737"/>
        <v>365.45276792084064</v>
      </c>
      <c r="DY227" s="25">
        <f t="shared" si="851"/>
        <v>198.84666048821009</v>
      </c>
      <c r="EA227" s="4">
        <f t="shared" si="852"/>
        <v>0.80783464566929131</v>
      </c>
      <c r="EB227" s="4">
        <f t="shared" si="739"/>
        <v>6.6853003614357291</v>
      </c>
      <c r="EE227" s="4">
        <f t="shared" si="740"/>
        <v>63.830764864229231</v>
      </c>
      <c r="EF227" s="4">
        <f t="shared" si="741"/>
        <v>2.5130222387491825</v>
      </c>
      <c r="EG227" s="4">
        <f t="shared" si="742"/>
        <v>8.7040849439833257E-2</v>
      </c>
      <c r="EJ227" s="4">
        <f t="shared" si="853"/>
        <v>8.7040849439833257E-2</v>
      </c>
      <c r="EK227" s="4">
        <f t="shared" si="744"/>
        <v>0.26861389304224681</v>
      </c>
      <c r="EL227" s="4">
        <f t="shared" si="679"/>
        <v>3.9515939583409634</v>
      </c>
      <c r="EM227" s="4">
        <f t="shared" si="854"/>
        <v>5.4923572720963749</v>
      </c>
      <c r="EN227" s="4" t="e">
        <f t="shared" si="863"/>
        <v>#REF!</v>
      </c>
      <c r="EO227" s="4" t="e">
        <f t="shared" si="864"/>
        <v>#REF!</v>
      </c>
      <c r="EP227" s="4" t="e">
        <f t="shared" si="749"/>
        <v>#REF!</v>
      </c>
      <c r="EQ227" s="4" t="e">
        <f t="shared" si="855"/>
        <v>#REF!</v>
      </c>
      <c r="ER227" s="4" t="e">
        <f t="shared" si="751"/>
        <v>#REF!</v>
      </c>
      <c r="FA227" s="23" t="e">
        <f t="shared" ref="FA227:FA229" si="879">IF(CG227&lt;0.6,0.6,IF(CG227&lt;0.8,0.8,IF(CG227&lt;1,1,IF(CG227&lt;1.2,1.2,IF(CG227&lt;1.4,1.4,IF(CG227&lt;1.6,1.6,IF(CG227&lt;1.8,1.8,IF(CG227&lt;2,2,2.2))))))))</f>
        <v>#REF!</v>
      </c>
      <c r="FB227" s="23" t="e">
        <f t="shared" ref="FB227:FB229" si="880">IF(CH227&lt;0.6,0.6,IF(CH227&lt;0.8,0.8,IF(CH227&lt;1,1,IF(CH227&lt;1.2,1.2,IF(CH227&lt;1.4,1.4,IF(CH227&lt;1.6,1.6,IF(CH227&lt;1.8,1.8,IF(CH227&lt;2,2,2.2))))))))</f>
        <v>#REF!</v>
      </c>
      <c r="FC227" s="23">
        <f t="shared" ref="FC227:FC229" si="881">IF(CM227&lt;0.6,0.6,IF(CM227&lt;0.8,0.8,IF(CM227&lt;1,1,IF(CM227&lt;1.2,1.2,IF(CM227&lt;1.4,1.4,IF(CM227&lt;1.6,1.6,IF(CM227&lt;1.8,1.8,IF(CM227&lt;2,2,2.2))))))))</f>
        <v>1.2</v>
      </c>
      <c r="FD227" s="23" t="e">
        <f t="shared" ref="FD227:FD229" si="882">IF(CJ227&lt;0.6,0.6,IF(CJ227&lt;0.8,0.8,IF(CJ227&lt;1,1,IF(CJ227&lt;1.2,1.2,IF(CJ227&lt;1.4,1.4,IF(CJ227&lt;1.6,1.6,IF(CJ227&lt;1.8,1.8,IF(CJ227&lt;2,2,2.2))))))))</f>
        <v>#REF!</v>
      </c>
      <c r="FE227" s="23">
        <f t="shared" ref="FE227:FE229" si="883">IF(CK227&lt;0.6,0.6,IF(CK227&lt;0.8,0.8,IF(CK227&lt;1,1,IF(CK227&lt;1.2,1.2,IF(CK227&lt;1.4,1.4,IF(CK227&lt;1.6,1.6,IF(CK227&lt;1.8,1.8,IF(CK227&lt;2,2,2.2))))))))</f>
        <v>1</v>
      </c>
      <c r="FF227" s="23">
        <f t="shared" ref="FF227:FF229" si="884">IF(CL227&lt;0.6,0.6,IF(CL227&lt;0.8,0.8,IF(CL227&lt;1,1,IF(CL227&lt;1.2,1.2,IF(CL227&lt;1.4,1.4,IF(CL227&lt;1.6,1.6,IF(CL227&lt;1.8,1.8,IF(CL227&lt;2,2,2.2))))))))</f>
        <v>1</v>
      </c>
      <c r="FG227" s="23">
        <f t="shared" ref="FG227:FG229" si="885">IF(FE227&lt;1,1,0)</f>
        <v>0</v>
      </c>
      <c r="FH227" s="23"/>
      <c r="FR227" s="4">
        <f t="shared" si="842"/>
        <v>1.25</v>
      </c>
      <c r="FS227" s="4">
        <f t="shared" si="843"/>
        <v>0.5</v>
      </c>
      <c r="FT227" s="4">
        <f t="shared" si="844"/>
        <v>0</v>
      </c>
      <c r="FU227" s="4">
        <f t="shared" si="845"/>
        <v>322.36544967924146</v>
      </c>
    </row>
    <row r="228" spans="2:177" ht="12" customHeight="1" x14ac:dyDescent="0.3">
      <c r="B228" s="24"/>
      <c r="C228" s="4" t="s">
        <v>340</v>
      </c>
      <c r="D228" s="7">
        <v>578</v>
      </c>
      <c r="E228" s="7">
        <f>381-J228-18</f>
        <v>287</v>
      </c>
      <c r="F228" s="7">
        <v>38.299999999999997</v>
      </c>
      <c r="G228" s="7">
        <v>25.4</v>
      </c>
      <c r="H228" s="7">
        <v>305</v>
      </c>
      <c r="I228" s="7">
        <v>76</v>
      </c>
      <c r="J228" s="7">
        <v>76</v>
      </c>
      <c r="K228" s="7">
        <f t="shared" ref="K228:K247" si="886">H228-2*G228-2*I228</f>
        <v>102.19999999999999</v>
      </c>
      <c r="L228" s="7">
        <v>2</v>
      </c>
      <c r="M228" s="7">
        <f t="shared" si="856"/>
        <v>280</v>
      </c>
      <c r="N228" s="7">
        <f t="shared" si="684"/>
        <v>2.5118110236220472</v>
      </c>
      <c r="O228" s="7">
        <f t="shared" si="685"/>
        <v>3.4921259842519685</v>
      </c>
      <c r="P228" s="7">
        <f>3200/(G228^2*PI()/4)-1</f>
        <v>5.3152807724479523</v>
      </c>
      <c r="Q228" s="7">
        <f>3200/(G228^2*PI()/4)-1</f>
        <v>5.3152807724479523</v>
      </c>
      <c r="R228" s="7">
        <f t="shared" si="686"/>
        <v>6.3152807724479523</v>
      </c>
      <c r="S228" s="7">
        <f t="shared" si="687"/>
        <v>63.830764864229231</v>
      </c>
      <c r="T228" s="7">
        <f t="shared" si="826"/>
        <v>578</v>
      </c>
      <c r="U228" s="7">
        <v>18</v>
      </c>
      <c r="V228" s="7">
        <f>273*1000/(G228^2*PI()/4)</f>
        <v>538.7723908994659</v>
      </c>
      <c r="W228" s="7"/>
      <c r="X228" s="4">
        <f t="shared" si="689"/>
        <v>1.0324950798962937</v>
      </c>
      <c r="Y228" s="7"/>
      <c r="Z228" s="7"/>
      <c r="AA228" s="7">
        <v>1</v>
      </c>
      <c r="AB228" s="7"/>
      <c r="AC228" s="7"/>
      <c r="AD228" s="7">
        <f t="shared" si="827"/>
        <v>6.7476489028213171</v>
      </c>
      <c r="AE228" s="4">
        <f t="shared" si="691"/>
        <v>287</v>
      </c>
      <c r="AF228" s="4">
        <f t="shared" si="692"/>
        <v>0.35423925667828104</v>
      </c>
      <c r="AG228" s="4">
        <f t="shared" si="693"/>
        <v>296.91690288490338</v>
      </c>
      <c r="AH228" s="4">
        <f t="shared" si="694"/>
        <v>0.76181184668989543</v>
      </c>
      <c r="AI228" s="4">
        <v>1.25</v>
      </c>
      <c r="AJ228" s="4">
        <f t="shared" si="857"/>
        <v>2.5</v>
      </c>
      <c r="AK228" s="38">
        <f t="shared" si="848"/>
        <v>250.39713378541933</v>
      </c>
      <c r="AL228" s="38">
        <f t="shared" si="762"/>
        <v>250.39713378541933</v>
      </c>
      <c r="AM228" s="38">
        <f t="shared" si="695"/>
        <v>3.408686840836292</v>
      </c>
      <c r="AN228" s="38">
        <f t="shared" si="858"/>
        <v>250.39713378541916</v>
      </c>
      <c r="AO228" s="38">
        <f t="shared" si="840"/>
        <v>1.0000000000000007</v>
      </c>
      <c r="AP228" s="38">
        <f t="shared" si="859"/>
        <v>2.0480931873248389</v>
      </c>
      <c r="AQ228" s="4">
        <f t="shared" si="860"/>
        <v>0</v>
      </c>
      <c r="AR228" s="4" t="e">
        <f>#REF!/G228*F228^0.5/0.19</f>
        <v>#REF!</v>
      </c>
      <c r="AS228" s="4">
        <f t="shared" si="696"/>
        <v>1.1561128526645768</v>
      </c>
      <c r="AT228" s="38">
        <f t="shared" si="697"/>
        <v>512.83666383158322</v>
      </c>
      <c r="AU228" s="4">
        <f t="shared" si="698"/>
        <v>0.3</v>
      </c>
      <c r="AV228" s="4" t="e">
        <f>AU228*D228*#REF!/(D228*G228/2.75/F228^0.5)</f>
        <v>#REF!</v>
      </c>
      <c r="AW228" s="4" t="e">
        <f t="shared" si="849"/>
        <v>#REF!</v>
      </c>
      <c r="AY228" s="4">
        <f t="shared" si="700"/>
        <v>1.4980314960629921</v>
      </c>
      <c r="AZ228" s="4" t="e">
        <f>(3*#REF!+30)*AY228*F228^0.5</f>
        <v>#REF!</v>
      </c>
      <c r="BB228" s="4">
        <f t="shared" si="701"/>
        <v>491.87307645177486</v>
      </c>
      <c r="BC228" s="4">
        <f t="shared" si="828"/>
        <v>2245.2309649218914</v>
      </c>
      <c r="BD228" s="4">
        <f t="shared" si="862"/>
        <v>4.564655136480158</v>
      </c>
      <c r="BL228" s="4">
        <f t="shared" si="704"/>
        <v>51.099999999999994</v>
      </c>
      <c r="BP228" s="9"/>
      <c r="BR228" s="9"/>
      <c r="BS228" s="9"/>
      <c r="BT228" s="9">
        <f t="shared" si="705"/>
        <v>51.099999999999994</v>
      </c>
      <c r="BU228" s="9">
        <f t="shared" si="706"/>
        <v>76</v>
      </c>
      <c r="BV228" s="9">
        <f t="shared" si="707"/>
        <v>1.5054020239149992</v>
      </c>
      <c r="BW228" s="9">
        <v>0</v>
      </c>
      <c r="BX228" s="9">
        <f t="shared" si="708"/>
        <v>0</v>
      </c>
      <c r="BY228" s="9">
        <f t="shared" si="850"/>
        <v>0</v>
      </c>
      <c r="BZ228" s="9">
        <f t="shared" si="710"/>
        <v>0.99524931562137331</v>
      </c>
      <c r="CA228" s="9">
        <f t="shared" si="711"/>
        <v>0.88300000000000001</v>
      </c>
      <c r="CB228" s="9">
        <f t="shared" si="712"/>
        <v>1.9035313007054222</v>
      </c>
      <c r="CC228" s="9">
        <f t="shared" si="713"/>
        <v>2.8655798726674937</v>
      </c>
      <c r="CD228" s="9">
        <v>1</v>
      </c>
      <c r="CE228" s="9" t="e">
        <f>4*CC228*#REF!+60*CC228</f>
        <v>#REF!</v>
      </c>
      <c r="CG228" s="4" t="e">
        <f>V228/AR228</f>
        <v>#REF!</v>
      </c>
      <c r="CH228" s="4" t="e">
        <f>V228/AW228</f>
        <v>#REF!</v>
      </c>
      <c r="CI228" s="4" t="e">
        <f t="shared" si="876"/>
        <v>#REF!</v>
      </c>
      <c r="CJ228" s="4" t="e">
        <f>V228/CE228</f>
        <v>#REF!</v>
      </c>
      <c r="CK228" s="4">
        <f t="shared" si="866"/>
        <v>1.0324950798962937</v>
      </c>
      <c r="CL228" s="4">
        <f t="shared" si="877"/>
        <v>1.0800473563193289</v>
      </c>
      <c r="CM228" s="4">
        <f>V228/FU228</f>
        <v>1.4378533266448839</v>
      </c>
      <c r="CO228" s="4" t="e">
        <f t="shared" si="809"/>
        <v>#REF!</v>
      </c>
      <c r="CP228" s="4" t="e">
        <f t="shared" si="810"/>
        <v>#REF!</v>
      </c>
      <c r="CQ228" s="4" t="e">
        <f t="shared" si="811"/>
        <v>#REF!</v>
      </c>
      <c r="CR228" s="4">
        <f t="shared" si="878"/>
        <v>1.4378533266448839</v>
      </c>
      <c r="CS228" s="4">
        <f t="shared" si="812"/>
        <v>1.0324950798962937</v>
      </c>
      <c r="CT228" s="4">
        <f t="shared" si="813"/>
        <v>1.0800473563193289</v>
      </c>
      <c r="DB228" s="4">
        <f t="shared" si="677"/>
        <v>0</v>
      </c>
      <c r="DC228" s="4" t="e">
        <f>#REF!</f>
        <v>#REF!</v>
      </c>
      <c r="DF228" s="4">
        <f t="shared" si="723"/>
        <v>2.13666473812144E-5</v>
      </c>
      <c r="DG228" s="4">
        <f t="shared" si="724"/>
        <v>7.3946503468884011</v>
      </c>
      <c r="DH228" s="4">
        <f t="shared" si="725"/>
        <v>0.30549302157709252</v>
      </c>
      <c r="DI228" s="4">
        <f t="shared" si="726"/>
        <v>4.6016985041395433</v>
      </c>
      <c r="DJ228" s="4">
        <f t="shared" si="727"/>
        <v>6.1594193049739197</v>
      </c>
      <c r="DK228" s="4">
        <f t="shared" si="728"/>
        <v>6.9285703929324711</v>
      </c>
      <c r="DL228" s="38">
        <f t="shared" si="729"/>
        <v>521.81594023051571</v>
      </c>
      <c r="DM228" s="4" t="e">
        <f t="shared" si="730"/>
        <v>#REF!</v>
      </c>
      <c r="DN228" s="4">
        <f t="shared" si="731"/>
        <v>2.5130222387491825</v>
      </c>
      <c r="DO228" s="4">
        <f t="shared" si="776"/>
        <v>250.39713378541916</v>
      </c>
      <c r="DS228" s="4">
        <f t="shared" si="733"/>
        <v>0.85</v>
      </c>
      <c r="DT228" s="4">
        <f t="shared" si="734"/>
        <v>0.89881889763779532</v>
      </c>
      <c r="DU228" s="4">
        <f t="shared" si="735"/>
        <v>1</v>
      </c>
      <c r="DV228" s="4">
        <f t="shared" si="736"/>
        <v>0.89881889763779532</v>
      </c>
      <c r="DX228" s="4">
        <f t="shared" si="737"/>
        <v>498.84145148555075</v>
      </c>
      <c r="DY228" s="25">
        <f t="shared" si="851"/>
        <v>248.18027240401869</v>
      </c>
      <c r="EA228" s="4">
        <f t="shared" si="852"/>
        <v>0.76399606299212597</v>
      </c>
      <c r="EB228" s="4">
        <f t="shared" si="739"/>
        <v>7.3946503468884011</v>
      </c>
      <c r="EE228" s="4">
        <f t="shared" si="740"/>
        <v>63.830764864229231</v>
      </c>
      <c r="EF228" s="4">
        <f t="shared" si="741"/>
        <v>2.5130222387491825</v>
      </c>
      <c r="EG228" s="4">
        <f t="shared" si="742"/>
        <v>0.10337986159960641</v>
      </c>
      <c r="EJ228" s="4">
        <f t="shared" si="853"/>
        <v>0.10337986159960641</v>
      </c>
      <c r="EK228" s="4">
        <f t="shared" si="744"/>
        <v>0.3049832106602397</v>
      </c>
      <c r="EL228" s="4">
        <f t="shared" si="679"/>
        <v>4.5986252140500472</v>
      </c>
      <c r="EM228" s="4">
        <f t="shared" si="854"/>
        <v>6.1582755537013707</v>
      </c>
      <c r="EN228" s="4" t="e">
        <f t="shared" si="863"/>
        <v>#REF!</v>
      </c>
      <c r="EO228" s="4" t="e">
        <f t="shared" si="864"/>
        <v>#REF!</v>
      </c>
      <c r="EP228" s="4" t="e">
        <f t="shared" si="749"/>
        <v>#REF!</v>
      </c>
      <c r="EQ228" s="4" t="e">
        <f t="shared" si="855"/>
        <v>#REF!</v>
      </c>
      <c r="ER228" s="4" t="e">
        <f t="shared" si="751"/>
        <v>#REF!</v>
      </c>
      <c r="FA228" s="23" t="e">
        <f t="shared" si="879"/>
        <v>#REF!</v>
      </c>
      <c r="FB228" s="23" t="e">
        <f t="shared" si="880"/>
        <v>#REF!</v>
      </c>
      <c r="FC228" s="23">
        <f t="shared" si="881"/>
        <v>1.6</v>
      </c>
      <c r="FD228" s="23" t="e">
        <f t="shared" si="882"/>
        <v>#REF!</v>
      </c>
      <c r="FE228" s="23">
        <f t="shared" si="883"/>
        <v>1.2</v>
      </c>
      <c r="FF228" s="23">
        <f t="shared" si="884"/>
        <v>1.2</v>
      </c>
      <c r="FG228" s="23">
        <f t="shared" si="885"/>
        <v>0</v>
      </c>
      <c r="FH228" s="23"/>
      <c r="FR228" s="4">
        <f t="shared" si="842"/>
        <v>1</v>
      </c>
      <c r="FS228" s="4">
        <f t="shared" si="843"/>
        <v>0.74803149606299213</v>
      </c>
      <c r="FT228" s="4">
        <f t="shared" si="844"/>
        <v>0</v>
      </c>
      <c r="FU228" s="4">
        <f t="shared" si="845"/>
        <v>374.70608504738681</v>
      </c>
    </row>
    <row r="229" spans="2:177" ht="12" customHeight="1" x14ac:dyDescent="0.3">
      <c r="B229" s="24"/>
      <c r="C229" s="4" t="s">
        <v>341</v>
      </c>
      <c r="D229" s="7">
        <v>556</v>
      </c>
      <c r="E229" s="7">
        <f>381-J229-25</f>
        <v>280</v>
      </c>
      <c r="F229" s="7">
        <v>37.200000000000003</v>
      </c>
      <c r="G229" s="7">
        <v>35.799999999999997</v>
      </c>
      <c r="H229" s="7">
        <v>305</v>
      </c>
      <c r="I229" s="7">
        <v>76</v>
      </c>
      <c r="J229" s="7">
        <v>76</v>
      </c>
      <c r="K229" s="7">
        <f t="shared" si="886"/>
        <v>81.400000000000006</v>
      </c>
      <c r="L229" s="7">
        <v>2</v>
      </c>
      <c r="M229" s="7">
        <f t="shared" si="856"/>
        <v>280</v>
      </c>
      <c r="N229" s="7">
        <f t="shared" si="684"/>
        <v>1.6368715083798884</v>
      </c>
      <c r="O229" s="7">
        <f t="shared" si="685"/>
        <v>2.6229050279329611</v>
      </c>
      <c r="P229" s="7">
        <f>3025/(G229^2*PI()/4)-1</f>
        <v>2.0051727652257014</v>
      </c>
      <c r="Q229" s="7">
        <f>3025/(G229^2*PI()/4)-1</f>
        <v>2.0051727652257014</v>
      </c>
      <c r="R229" s="7">
        <f t="shared" si="686"/>
        <v>3.0051727652257014</v>
      </c>
      <c r="S229" s="7">
        <f t="shared" si="687"/>
        <v>62.060854190253195</v>
      </c>
      <c r="T229" s="7">
        <f t="shared" si="826"/>
        <v>556</v>
      </c>
      <c r="U229" s="7">
        <v>25</v>
      </c>
      <c r="V229" s="7">
        <f>416*1000/(G229^2*PI()/4)</f>
        <v>413.27334556492286</v>
      </c>
      <c r="W229" s="7"/>
      <c r="X229" s="4">
        <f t="shared" si="689"/>
        <v>1.4559039363893846</v>
      </c>
      <c r="Y229" s="7">
        <v>9.5</v>
      </c>
      <c r="Z229" s="7">
        <v>2</v>
      </c>
      <c r="AA229" s="7">
        <v>102</v>
      </c>
      <c r="AB229" s="7">
        <v>4</v>
      </c>
      <c r="AC229" s="7">
        <f>Z229</f>
        <v>2</v>
      </c>
      <c r="AD229" s="7">
        <f t="shared" si="827"/>
        <v>7.1672354948805461</v>
      </c>
      <c r="AE229" s="4">
        <f t="shared" si="691"/>
        <v>280</v>
      </c>
      <c r="AF229" s="4">
        <f t="shared" si="692"/>
        <v>0.36309523809523808</v>
      </c>
      <c r="AG229" s="4">
        <f t="shared" si="693"/>
        <v>141.94581301451609</v>
      </c>
      <c r="AH229" s="4">
        <f t="shared" si="694"/>
        <v>0.76707142857142852</v>
      </c>
      <c r="AI229" s="4">
        <v>1.25</v>
      </c>
      <c r="AJ229" s="4">
        <f t="shared" si="857"/>
        <v>2.5</v>
      </c>
      <c r="AK229" s="38">
        <f t="shared" si="848"/>
        <v>123.54607945862055</v>
      </c>
      <c r="AL229" s="38">
        <f t="shared" si="762"/>
        <v>123.54607945862055</v>
      </c>
      <c r="AM229" s="38">
        <f t="shared" si="695"/>
        <v>3.3431039547269137</v>
      </c>
      <c r="AN229" s="38">
        <f t="shared" si="858"/>
        <v>123.54607945862062</v>
      </c>
      <c r="AO229" s="38">
        <f t="shared" si="840"/>
        <v>0.99999999999999944</v>
      </c>
      <c r="AP229" s="38">
        <f t="shared" si="859"/>
        <v>1.7321707849671844</v>
      </c>
      <c r="AQ229" s="4">
        <f t="shared" si="860"/>
        <v>0</v>
      </c>
      <c r="AR229" s="4" t="e">
        <f>#REF!/G229*F229^0.5/0.19</f>
        <v>#REF!</v>
      </c>
      <c r="AS229" s="4">
        <f t="shared" si="696"/>
        <v>1.2409556313993173</v>
      </c>
      <c r="AT229" s="38">
        <f t="shared" si="697"/>
        <v>214.00290943545701</v>
      </c>
      <c r="AU229" s="4">
        <f t="shared" si="698"/>
        <v>0.71927581286840181</v>
      </c>
      <c r="AV229" s="4" t="e">
        <f>AU229*D229*#REF!/(D229*G229/2.75/F229^0.5)</f>
        <v>#REF!</v>
      </c>
      <c r="AW229" s="4" t="e">
        <f t="shared" si="849"/>
        <v>#REF!</v>
      </c>
      <c r="AY229" s="4">
        <f t="shared" si="700"/>
        <v>1.5</v>
      </c>
      <c r="AZ229" s="4" t="e">
        <f>(3*#REF!+30)*AY229*F229^0.5</f>
        <v>#REF!</v>
      </c>
      <c r="BB229" s="4">
        <f t="shared" si="701"/>
        <v>205.25496099907775</v>
      </c>
      <c r="BC229" s="4">
        <f t="shared" si="828"/>
        <v>30569.451870773988</v>
      </c>
      <c r="BD229" s="4">
        <f t="shared" si="862"/>
        <v>148.93404632939101</v>
      </c>
      <c r="BL229" s="4">
        <f t="shared" si="704"/>
        <v>40.700000000000003</v>
      </c>
      <c r="BP229" s="9"/>
      <c r="BR229" s="9"/>
      <c r="BS229" s="9"/>
      <c r="BT229" s="9">
        <f t="shared" si="705"/>
        <v>40.700000000000003</v>
      </c>
      <c r="BU229" s="9">
        <f t="shared" si="706"/>
        <v>76</v>
      </c>
      <c r="BV229" s="9">
        <f t="shared" si="707"/>
        <v>1.1709505872794554</v>
      </c>
      <c r="BW229" s="9">
        <v>20</v>
      </c>
      <c r="BX229" s="9">
        <f t="shared" si="708"/>
        <v>3.8822534914349713E-2</v>
      </c>
      <c r="BY229" s="9">
        <f t="shared" si="850"/>
        <v>0.57645069828699425</v>
      </c>
      <c r="BZ229" s="9">
        <f t="shared" si="710"/>
        <v>0.89787751228078194</v>
      </c>
      <c r="CA229" s="9">
        <f t="shared" si="711"/>
        <v>0.91600000000000004</v>
      </c>
      <c r="CB229" s="9">
        <f t="shared" si="712"/>
        <v>1.7557071693774966</v>
      </c>
      <c r="CC229" s="9">
        <f t="shared" si="713"/>
        <v>3.0679249648484697</v>
      </c>
      <c r="CD229" s="9">
        <v>1</v>
      </c>
      <c r="CE229" s="9" t="e">
        <f>4*CC229*#REF!+60*CC229</f>
        <v>#REF!</v>
      </c>
      <c r="CG229" s="4" t="e">
        <f>V229/AR229</f>
        <v>#REF!</v>
      </c>
      <c r="CH229" s="4" t="e">
        <f>V229/AW229</f>
        <v>#REF!</v>
      </c>
      <c r="CI229" s="4" t="e">
        <f t="shared" si="876"/>
        <v>#REF!</v>
      </c>
      <c r="CJ229" s="4" t="e">
        <f>V229/CE229</f>
        <v>#REF!</v>
      </c>
      <c r="CK229" s="4">
        <f t="shared" si="866"/>
        <v>1.4559039363893846</v>
      </c>
      <c r="CL229" s="4">
        <f t="shared" si="877"/>
        <v>1.5688980242628909</v>
      </c>
      <c r="CM229" s="4">
        <f>V229/FU229</f>
        <v>1.468755792642539</v>
      </c>
      <c r="CU229" s="4" t="e">
        <f t="shared" si="831"/>
        <v>#REF!</v>
      </c>
      <c r="CV229" s="4" t="e">
        <f t="shared" si="832"/>
        <v>#REF!</v>
      </c>
      <c r="CW229" s="4" t="e">
        <f t="shared" si="833"/>
        <v>#REF!</v>
      </c>
      <c r="CX229" s="4">
        <f t="shared" ref="CX229" si="887">CM229</f>
        <v>1.468755792642539</v>
      </c>
      <c r="CY229" s="4">
        <f t="shared" si="835"/>
        <v>1.4559039363893846</v>
      </c>
      <c r="CZ229" s="4">
        <f t="shared" si="836"/>
        <v>1.5688980242628909</v>
      </c>
      <c r="DB229" s="4">
        <f t="shared" si="677"/>
        <v>2</v>
      </c>
      <c r="DC229" s="4" t="e">
        <f>#REF!</f>
        <v>#REF!</v>
      </c>
      <c r="DF229" s="4">
        <f t="shared" si="723"/>
        <v>1.4680935773666002E-5</v>
      </c>
      <c r="DG229" s="4">
        <f t="shared" si="724"/>
        <v>6.0344229393186612</v>
      </c>
      <c r="DH229" s="4">
        <f t="shared" si="725"/>
        <v>0.39996211532628534</v>
      </c>
      <c r="DI229" s="4">
        <f t="shared" si="726"/>
        <v>4.1825706759744072</v>
      </c>
      <c r="DJ229" s="4">
        <f t="shared" si="727"/>
        <v>5.1919973193811018</v>
      </c>
      <c r="DK229" s="4">
        <f t="shared" si="728"/>
        <v>5.8162689076432361</v>
      </c>
      <c r="DL229" s="38">
        <f t="shared" si="729"/>
        <v>283.8603119583791</v>
      </c>
      <c r="DM229" s="4" t="e">
        <f t="shared" si="730"/>
        <v>#REF!</v>
      </c>
      <c r="DN229" s="4">
        <f t="shared" si="731"/>
        <v>1.7335434131355643</v>
      </c>
      <c r="DO229" s="4">
        <f t="shared" si="776"/>
        <v>123.54607945862062</v>
      </c>
      <c r="DS229" s="4">
        <f t="shared" si="733"/>
        <v>0.85</v>
      </c>
      <c r="DT229" s="4">
        <f t="shared" si="734"/>
        <v>0.98631284916201112</v>
      </c>
      <c r="DU229" s="4">
        <f t="shared" si="735"/>
        <v>0.99049889204456787</v>
      </c>
      <c r="DV229" s="4">
        <f t="shared" si="736"/>
        <v>0.97694178430429301</v>
      </c>
      <c r="DX229" s="4">
        <f t="shared" si="737"/>
        <v>263.41632099325858</v>
      </c>
      <c r="DY229" s="25">
        <f t="shared" si="851"/>
        <v>121.8265090092453</v>
      </c>
      <c r="EA229" s="4">
        <f t="shared" si="852"/>
        <v>0.830400516658649</v>
      </c>
      <c r="EB229" s="4">
        <f t="shared" si="739"/>
        <v>6.0344229393186612</v>
      </c>
      <c r="EE229" s="4">
        <f t="shared" si="740"/>
        <v>62.060854190253195</v>
      </c>
      <c r="EF229" s="4">
        <f t="shared" si="741"/>
        <v>1.7335434131355643</v>
      </c>
      <c r="EG229" s="4">
        <f t="shared" si="742"/>
        <v>0.13339071238746128</v>
      </c>
      <c r="EJ229" s="4">
        <f t="shared" si="853"/>
        <v>0.13339071238746128</v>
      </c>
      <c r="EK229" s="4">
        <f t="shared" si="744"/>
        <v>0.39929465309861079</v>
      </c>
      <c r="EL229" s="4">
        <f t="shared" si="679"/>
        <v>4.1797773045713216</v>
      </c>
      <c r="EM229" s="4">
        <f t="shared" si="854"/>
        <v>5.1908741626807178</v>
      </c>
      <c r="EN229" s="4" t="e">
        <f t="shared" si="863"/>
        <v>#REF!</v>
      </c>
      <c r="EO229" s="4" t="e">
        <f t="shared" si="864"/>
        <v>#REF!</v>
      </c>
      <c r="EP229" s="4" t="e">
        <f t="shared" si="749"/>
        <v>#REF!</v>
      </c>
      <c r="EQ229" s="4" t="e">
        <f t="shared" si="855"/>
        <v>#REF!</v>
      </c>
      <c r="ER229" s="4" t="e">
        <f t="shared" si="751"/>
        <v>#REF!</v>
      </c>
      <c r="FA229" s="23" t="e">
        <f t="shared" si="879"/>
        <v>#REF!</v>
      </c>
      <c r="FB229" s="23" t="e">
        <f t="shared" si="880"/>
        <v>#REF!</v>
      </c>
      <c r="FC229" s="23">
        <f t="shared" si="881"/>
        <v>1.6</v>
      </c>
      <c r="FD229" s="23" t="e">
        <f t="shared" si="882"/>
        <v>#REF!</v>
      </c>
      <c r="FE229" s="23">
        <f t="shared" si="883"/>
        <v>1.6</v>
      </c>
      <c r="FF229" s="23">
        <f t="shared" si="884"/>
        <v>1.6</v>
      </c>
      <c r="FG229" s="23">
        <f t="shared" si="885"/>
        <v>0</v>
      </c>
      <c r="FH229" s="23"/>
      <c r="FR229" s="4">
        <f t="shared" si="842"/>
        <v>1</v>
      </c>
      <c r="FS229" s="4">
        <f t="shared" si="843"/>
        <v>0.57658194354098002</v>
      </c>
      <c r="FT229" s="4">
        <f t="shared" si="844"/>
        <v>0.28167035985144034</v>
      </c>
      <c r="FU229" s="4">
        <f t="shared" si="845"/>
        <v>281.37648725209419</v>
      </c>
    </row>
    <row r="230" spans="2:177" ht="12" customHeight="1" x14ac:dyDescent="0.3">
      <c r="B230" s="24"/>
      <c r="C230" s="4" t="s">
        <v>342</v>
      </c>
      <c r="D230" s="7">
        <v>556</v>
      </c>
      <c r="E230" s="7">
        <f>381-J230-20</f>
        <v>343</v>
      </c>
      <c r="F230" s="7">
        <v>40</v>
      </c>
      <c r="G230" s="7">
        <v>35.799999999999997</v>
      </c>
      <c r="H230" s="7">
        <v>305</v>
      </c>
      <c r="I230" s="7">
        <v>76</v>
      </c>
      <c r="J230" s="7">
        <v>18</v>
      </c>
      <c r="K230" s="7">
        <f t="shared" si="886"/>
        <v>81.400000000000006</v>
      </c>
      <c r="L230" s="7">
        <v>2</v>
      </c>
      <c r="M230" s="7">
        <f t="shared" si="856"/>
        <v>280</v>
      </c>
      <c r="N230" s="7">
        <f t="shared" si="684"/>
        <v>1.6368715083798884</v>
      </c>
      <c r="O230" s="7">
        <f t="shared" si="685"/>
        <v>2.6229050279329611</v>
      </c>
      <c r="P230" s="7">
        <f>3025/(G230^2*PI()/4)-1</f>
        <v>2.0051727652257014</v>
      </c>
      <c r="Q230" s="7">
        <f>3025/(G230^2*PI()/4)-1</f>
        <v>2.0051727652257014</v>
      </c>
      <c r="R230" s="7">
        <f t="shared" si="686"/>
        <v>3.0051727652257014</v>
      </c>
      <c r="S230" s="7">
        <f t="shared" si="687"/>
        <v>62.060854190253195</v>
      </c>
      <c r="T230" s="7">
        <f t="shared" si="826"/>
        <v>556</v>
      </c>
      <c r="U230" s="7">
        <v>20</v>
      </c>
      <c r="V230" s="7"/>
      <c r="W230" s="32" t="s">
        <v>308</v>
      </c>
      <c r="X230" s="4">
        <f t="shared" si="689"/>
        <v>0</v>
      </c>
      <c r="Y230" s="7"/>
      <c r="Z230" s="7"/>
      <c r="AA230" s="7">
        <v>1</v>
      </c>
      <c r="AB230" s="7"/>
      <c r="AC230" s="7"/>
      <c r="AD230" s="7">
        <f t="shared" si="827"/>
        <v>8.7798634812286682</v>
      </c>
      <c r="AE230" s="4">
        <f t="shared" si="691"/>
        <v>343</v>
      </c>
      <c r="AF230" s="4">
        <f t="shared" si="692"/>
        <v>0.29640427599611274</v>
      </c>
      <c r="AG230" s="4">
        <f t="shared" si="693"/>
        <v>199.56539930939542</v>
      </c>
      <c r="AH230" s="4">
        <f t="shared" si="694"/>
        <v>0.75475218658892129</v>
      </c>
      <c r="AI230" s="4">
        <v>1.25</v>
      </c>
      <c r="AJ230" s="4">
        <f t="shared" si="857"/>
        <v>2.5</v>
      </c>
      <c r="AK230" s="38">
        <f t="shared" si="848"/>
        <v>139.51603060118595</v>
      </c>
      <c r="AL230" s="38">
        <f t="shared" si="762"/>
        <v>139.51603060118595</v>
      </c>
      <c r="AM230" s="38">
        <f t="shared" si="695"/>
        <v>3.5088212858554391</v>
      </c>
      <c r="AN230" s="38">
        <f t="shared" si="858"/>
        <v>139.51603060118595</v>
      </c>
      <c r="AO230" s="38">
        <f t="shared" si="840"/>
        <v>1</v>
      </c>
      <c r="AP230" s="38">
        <f t="shared" si="859"/>
        <v>1.6493492132436494</v>
      </c>
      <c r="AQ230" s="4">
        <f t="shared" si="860"/>
        <v>0</v>
      </c>
      <c r="AR230" s="4" t="e">
        <f>#REF!/G230*F230^0.5/0.19</f>
        <v>#REF!</v>
      </c>
      <c r="AS230" s="4">
        <f t="shared" si="696"/>
        <v>1.2409556313993173</v>
      </c>
      <c r="AT230" s="38">
        <f t="shared" si="697"/>
        <v>230.11065530694296</v>
      </c>
      <c r="AU230" s="4">
        <f t="shared" si="698"/>
        <v>0.71927581286840181</v>
      </c>
      <c r="AV230" s="4" t="e">
        <f>AU230*D230*#REF!/(D230*G230/2.75/F230^0.5)</f>
        <v>#REF!</v>
      </c>
      <c r="AW230" s="4" t="e">
        <f t="shared" si="849"/>
        <v>#REF!</v>
      </c>
      <c r="AY230" s="4">
        <f t="shared" si="700"/>
        <v>1.2807262569832403</v>
      </c>
      <c r="AZ230" s="4" t="e">
        <f>(3*#REF!+30)*AY230*F230^0.5</f>
        <v>#REF!</v>
      </c>
      <c r="BB230" s="4">
        <f t="shared" si="701"/>
        <v>220.70425913879328</v>
      </c>
      <c r="BC230" s="4">
        <f t="shared" si="828"/>
        <v>19564.449197295351</v>
      </c>
      <c r="BD230" s="4">
        <f t="shared" si="862"/>
        <v>88.645544375253522</v>
      </c>
      <c r="BL230" s="4">
        <f t="shared" si="704"/>
        <v>40.700000000000003</v>
      </c>
      <c r="BP230" s="9"/>
      <c r="BR230" s="9"/>
      <c r="BS230" s="9"/>
      <c r="BT230" s="9">
        <f t="shared" si="705"/>
        <v>18</v>
      </c>
      <c r="BU230" s="9">
        <f t="shared" si="706"/>
        <v>76</v>
      </c>
      <c r="BV230" s="9">
        <f t="shared" si="707"/>
        <v>0.88008760053944035</v>
      </c>
      <c r="BW230" s="9">
        <v>0</v>
      </c>
      <c r="BX230" s="9">
        <f t="shared" si="708"/>
        <v>0</v>
      </c>
      <c r="BY230" s="9">
        <f t="shared" si="850"/>
        <v>0</v>
      </c>
      <c r="BZ230" s="9">
        <f t="shared" si="710"/>
        <v>0.89787751228078194</v>
      </c>
      <c r="CA230" s="9">
        <f t="shared" si="711"/>
        <v>0.91600000000000004</v>
      </c>
      <c r="CB230" s="9">
        <f t="shared" si="712"/>
        <v>1.8205835247363529</v>
      </c>
      <c r="CC230" s="9">
        <f t="shared" si="713"/>
        <v>1.6022729858668536</v>
      </c>
      <c r="CD230" s="9">
        <v>1</v>
      </c>
      <c r="CE230" s="9" t="e">
        <f>4*CC230*#REF!+60*CC230</f>
        <v>#REF!</v>
      </c>
      <c r="DB230" s="4">
        <f t="shared" ref="DB230:DB251" si="888">Z230</f>
        <v>0</v>
      </c>
      <c r="DC230" s="4" t="e">
        <f>#REF!</f>
        <v>#REF!</v>
      </c>
      <c r="DF230" s="4">
        <f t="shared" si="723"/>
        <v>1.8323811476289715E-5</v>
      </c>
      <c r="DG230" s="4">
        <f t="shared" si="724"/>
        <v>5.2682598904813771</v>
      </c>
      <c r="DH230" s="4">
        <f t="shared" si="725"/>
        <v>0.42004609193670067</v>
      </c>
      <c r="DI230" s="4">
        <f t="shared" si="726"/>
        <v>3.7237967669270295</v>
      </c>
      <c r="DJ230" s="4">
        <f t="shared" si="727"/>
        <v>4.5620541808432229</v>
      </c>
      <c r="DK230" s="4">
        <f t="shared" si="728"/>
        <v>5.0102461147907276</v>
      </c>
      <c r="DL230" s="38">
        <f t="shared" si="729"/>
        <v>312.83380392255719</v>
      </c>
      <c r="DM230" s="4" t="e">
        <f t="shared" si="730"/>
        <v>#REF!</v>
      </c>
      <c r="DN230" s="4">
        <f t="shared" si="731"/>
        <v>1.7335434131355643</v>
      </c>
      <c r="DO230" s="4">
        <f t="shared" si="776"/>
        <v>139.51603060118595</v>
      </c>
      <c r="DS230" s="4">
        <f t="shared" si="733"/>
        <v>1</v>
      </c>
      <c r="DT230" s="4">
        <f t="shared" si="734"/>
        <v>0.98631284916201112</v>
      </c>
      <c r="DU230" s="4">
        <f t="shared" si="735"/>
        <v>1</v>
      </c>
      <c r="DV230" s="4">
        <f t="shared" si="736"/>
        <v>0.98631284916201112</v>
      </c>
      <c r="DX230" s="4">
        <f t="shared" si="737"/>
        <v>289.39711749331366</v>
      </c>
      <c r="DY230" s="25">
        <f t="shared" si="851"/>
        <v>137.97143516634895</v>
      </c>
      <c r="EA230" s="4">
        <f t="shared" si="852"/>
        <v>0.98631284916201112</v>
      </c>
      <c r="EB230" s="4">
        <f t="shared" si="739"/>
        <v>5.2682598904813771</v>
      </c>
      <c r="EE230" s="4">
        <f t="shared" si="740"/>
        <v>62.060854190253195</v>
      </c>
      <c r="EF230" s="4">
        <f t="shared" si="741"/>
        <v>1.7335434131355643</v>
      </c>
      <c r="EG230" s="4">
        <f t="shared" si="742"/>
        <v>0.14526540842660543</v>
      </c>
      <c r="EJ230" s="4">
        <f t="shared" si="853"/>
        <v>0.14526540842660543</v>
      </c>
      <c r="EK230" s="4">
        <f t="shared" si="744"/>
        <v>0.41934511329520796</v>
      </c>
      <c r="EL230" s="4">
        <f t="shared" ref="EL230:EL251" si="889">EB230/1*EK230^0.4</f>
        <v>3.7213097922395755</v>
      </c>
      <c r="EM230" s="4">
        <f t="shared" si="854"/>
        <v>4.5610407181665344</v>
      </c>
      <c r="EN230" s="4" t="e">
        <f t="shared" si="863"/>
        <v>#REF!</v>
      </c>
      <c r="EO230" s="4" t="e">
        <f t="shared" si="864"/>
        <v>#REF!</v>
      </c>
      <c r="EP230" s="4" t="e">
        <f t="shared" si="749"/>
        <v>#REF!</v>
      </c>
      <c r="EQ230" s="4" t="e">
        <f t="shared" si="855"/>
        <v>#REF!</v>
      </c>
      <c r="ER230" s="4" t="e">
        <f t="shared" si="751"/>
        <v>#REF!</v>
      </c>
      <c r="FA230" s="23"/>
      <c r="FB230" s="23"/>
      <c r="FC230" s="23"/>
      <c r="FD230" s="23"/>
      <c r="FE230" s="23"/>
      <c r="FF230" s="23"/>
      <c r="FG230" s="23"/>
      <c r="FH230" s="23"/>
      <c r="FR230" s="4">
        <f t="shared" si="842"/>
        <v>1</v>
      </c>
      <c r="FS230" s="4">
        <f t="shared" si="843"/>
        <v>0.8938547486033519</v>
      </c>
      <c r="FT230" s="4">
        <f t="shared" si="844"/>
        <v>0</v>
      </c>
      <c r="FU230" s="4">
        <f t="shared" si="845"/>
        <v>226.41085312615539</v>
      </c>
    </row>
    <row r="231" spans="2:177" ht="12" customHeight="1" x14ac:dyDescent="0.3">
      <c r="B231" s="24"/>
      <c r="C231" s="4" t="s">
        <v>343</v>
      </c>
      <c r="D231" s="7">
        <v>556</v>
      </c>
      <c r="E231" s="7">
        <f>457-J231-25</f>
        <v>356</v>
      </c>
      <c r="F231" s="7">
        <v>39.6</v>
      </c>
      <c r="G231" s="7">
        <v>35.799999999999997</v>
      </c>
      <c r="H231" s="7">
        <v>305</v>
      </c>
      <c r="I231" s="7">
        <v>76</v>
      </c>
      <c r="J231" s="7">
        <v>76</v>
      </c>
      <c r="K231" s="7">
        <f t="shared" si="886"/>
        <v>81.400000000000006</v>
      </c>
      <c r="L231" s="7">
        <v>2</v>
      </c>
      <c r="M231" s="7">
        <f t="shared" si="856"/>
        <v>280</v>
      </c>
      <c r="N231" s="7">
        <f t="shared" si="684"/>
        <v>1.6368715083798884</v>
      </c>
      <c r="O231" s="7">
        <f t="shared" si="685"/>
        <v>2.6229050279329611</v>
      </c>
      <c r="P231" s="7">
        <f>3025/(G231^2*PI()/4)-1</f>
        <v>2.0051727652257014</v>
      </c>
      <c r="Q231" s="7">
        <f>3025/(G231^2*PI()/4)-1</f>
        <v>2.0051727652257014</v>
      </c>
      <c r="R231" s="7">
        <f t="shared" si="686"/>
        <v>3.0051727652257014</v>
      </c>
      <c r="S231" s="7">
        <f t="shared" si="687"/>
        <v>62.060854190253195</v>
      </c>
      <c r="T231" s="7">
        <f t="shared" si="826"/>
        <v>556</v>
      </c>
      <c r="U231" s="7">
        <v>25</v>
      </c>
      <c r="V231" s="7">
        <f>426*1000/(G231^2*PI()/4)</f>
        <v>423.20780098715659</v>
      </c>
      <c r="W231" s="7"/>
      <c r="X231" s="4">
        <f t="shared" si="689"/>
        <v>1.2033493663218637</v>
      </c>
      <c r="Y231" s="7"/>
      <c r="Z231" s="7"/>
      <c r="AA231" s="7">
        <v>1</v>
      </c>
      <c r="AB231" s="7"/>
      <c r="AC231" s="7"/>
      <c r="AD231" s="7">
        <f t="shared" si="827"/>
        <v>9.112627986348123</v>
      </c>
      <c r="AE231" s="4">
        <f t="shared" si="691"/>
        <v>356</v>
      </c>
      <c r="AF231" s="4">
        <f t="shared" si="692"/>
        <v>0.28558052434456926</v>
      </c>
      <c r="AG231" s="4">
        <f t="shared" si="693"/>
        <v>209.96004617345227</v>
      </c>
      <c r="AH231" s="4">
        <f t="shared" si="694"/>
        <v>0.75275280898876396</v>
      </c>
      <c r="AI231" s="4">
        <v>1.25</v>
      </c>
      <c r="AJ231" s="4">
        <f t="shared" si="857"/>
        <v>2.5</v>
      </c>
      <c r="AK231" s="38">
        <f t="shared" si="848"/>
        <v>141.04823394313382</v>
      </c>
      <c r="AL231" s="38">
        <f t="shared" si="762"/>
        <v>141.04823394313382</v>
      </c>
      <c r="AM231" s="38">
        <f t="shared" si="695"/>
        <v>3.4853899827538752</v>
      </c>
      <c r="AN231" s="38">
        <f t="shared" si="858"/>
        <v>141.04823394313374</v>
      </c>
      <c r="AO231" s="38">
        <f t="shared" si="840"/>
        <v>1.0000000000000007</v>
      </c>
      <c r="AP231" s="38">
        <f t="shared" si="859"/>
        <v>1.6151180513590784</v>
      </c>
      <c r="AQ231" s="4">
        <f t="shared" si="860"/>
        <v>0</v>
      </c>
      <c r="AR231" s="4" t="e">
        <f>#REF!/G231*F231^0.5/0.19</f>
        <v>#REF!</v>
      </c>
      <c r="AS231" s="4">
        <f t="shared" si="696"/>
        <v>1.2409556313993173</v>
      </c>
      <c r="AT231" s="38">
        <f t="shared" si="697"/>
        <v>227.80954875387357</v>
      </c>
      <c r="AU231" s="4">
        <f t="shared" si="698"/>
        <v>0.71927581286840181</v>
      </c>
      <c r="AV231" s="4" t="e">
        <f>AU231*D231*#REF!/(D231*G231/2.75/F231^0.5)</f>
        <v>#REF!</v>
      </c>
      <c r="AW231" s="4" t="e">
        <f t="shared" si="849"/>
        <v>#REF!</v>
      </c>
      <c r="AY231" s="4">
        <f t="shared" si="700"/>
        <v>1.2807262569832403</v>
      </c>
      <c r="AZ231" s="4" t="e">
        <f>(3*#REF!+30)*AY231*F231^0.5</f>
        <v>#REF!</v>
      </c>
      <c r="BB231" s="4">
        <f t="shared" si="701"/>
        <v>218.49721654740532</v>
      </c>
      <c r="BC231" s="4">
        <f t="shared" si="828"/>
        <v>30569.451870773988</v>
      </c>
      <c r="BD231" s="4">
        <f t="shared" si="862"/>
        <v>139.9077404912461</v>
      </c>
      <c r="BL231" s="4">
        <f t="shared" si="704"/>
        <v>40.700000000000003</v>
      </c>
      <c r="BP231" s="9"/>
      <c r="BR231" s="9"/>
      <c r="BS231" s="9"/>
      <c r="BT231" s="9">
        <f t="shared" si="705"/>
        <v>40.700000000000003</v>
      </c>
      <c r="BU231" s="9">
        <f t="shared" si="706"/>
        <v>76</v>
      </c>
      <c r="BV231" s="9">
        <f t="shared" si="707"/>
        <v>1.1709505872794554</v>
      </c>
      <c r="BW231" s="9">
        <v>0</v>
      </c>
      <c r="BX231" s="9">
        <f t="shared" si="708"/>
        <v>0</v>
      </c>
      <c r="BY231" s="9">
        <f t="shared" si="850"/>
        <v>0</v>
      </c>
      <c r="BZ231" s="9">
        <f t="shared" si="710"/>
        <v>0.89787751228078194</v>
      </c>
      <c r="CA231" s="9">
        <f t="shared" si="711"/>
        <v>0.91600000000000004</v>
      </c>
      <c r="CB231" s="9">
        <f t="shared" si="712"/>
        <v>1.8114577353159602</v>
      </c>
      <c r="CC231" s="9">
        <f t="shared" si="713"/>
        <v>2.1211274990001359</v>
      </c>
      <c r="CD231" s="9">
        <v>1</v>
      </c>
      <c r="CE231" s="9" t="e">
        <f>4*CC231*#REF!+60*CC231</f>
        <v>#REF!</v>
      </c>
      <c r="CG231" s="4" t="e">
        <f>V231/AR231</f>
        <v>#REF!</v>
      </c>
      <c r="CH231" s="4" t="e">
        <f>V231/AW231</f>
        <v>#REF!</v>
      </c>
      <c r="CI231" s="4" t="e">
        <f t="shared" ref="CI231" si="890">V231/AZ231</f>
        <v>#REF!</v>
      </c>
      <c r="CJ231" s="4" t="e">
        <f>V231/CE231</f>
        <v>#REF!</v>
      </c>
      <c r="CK231" s="4">
        <f t="shared" si="866"/>
        <v>1.2033493663218637</v>
      </c>
      <c r="CL231" s="4">
        <f t="shared" ref="CL231" si="891">V231/DX231</f>
        <v>1.3081102480693489</v>
      </c>
      <c r="CM231" s="4">
        <f>V231/FU231</f>
        <v>1.805476112010334</v>
      </c>
      <c r="CO231" s="4" t="e">
        <f t="shared" ref="CO231:CO247" si="892">CG231</f>
        <v>#REF!</v>
      </c>
      <c r="CP231" s="4" t="e">
        <f t="shared" ref="CP231:CP247" si="893">CH231</f>
        <v>#REF!</v>
      </c>
      <c r="CQ231" s="4" t="e">
        <f t="shared" ref="CQ231:CQ247" si="894">CJ231</f>
        <v>#REF!</v>
      </c>
      <c r="CR231" s="4">
        <f t="shared" ref="CR231" si="895">CM231</f>
        <v>1.805476112010334</v>
      </c>
      <c r="CS231" s="4">
        <f t="shared" ref="CS231:CS247" si="896">CK231</f>
        <v>1.2033493663218637</v>
      </c>
      <c r="CT231" s="4">
        <f t="shared" ref="CT231:CT247" si="897">CL231</f>
        <v>1.3081102480693489</v>
      </c>
      <c r="DB231" s="4">
        <f t="shared" si="888"/>
        <v>0</v>
      </c>
      <c r="DC231" s="4" t="e">
        <f>#REF!</f>
        <v>#REF!</v>
      </c>
      <c r="DF231" s="4">
        <f t="shared" si="723"/>
        <v>1.8967907610196526E-5</v>
      </c>
      <c r="DG231" s="4">
        <f t="shared" si="724"/>
        <v>6.1668851840490211</v>
      </c>
      <c r="DH231" s="4">
        <f t="shared" si="725"/>
        <v>0.42894863980926484</v>
      </c>
      <c r="DI231" s="4">
        <f t="shared" si="726"/>
        <v>4.3956993516638692</v>
      </c>
      <c r="DJ231" s="4">
        <f t="shared" si="727"/>
        <v>5.3552300003182269</v>
      </c>
      <c r="DK231" s="4">
        <f t="shared" si="728"/>
        <v>5.7860734734060939</v>
      </c>
      <c r="DL231" s="38">
        <f t="shared" si="729"/>
        <v>351.69154763485358</v>
      </c>
      <c r="DM231" s="4" t="e">
        <f t="shared" si="730"/>
        <v>#REF!</v>
      </c>
      <c r="DN231" s="4">
        <f t="shared" si="731"/>
        <v>1.7335434131355643</v>
      </c>
      <c r="DO231" s="4">
        <f t="shared" si="776"/>
        <v>141.04823394313374</v>
      </c>
      <c r="DS231" s="4">
        <f t="shared" si="733"/>
        <v>0.85</v>
      </c>
      <c r="DT231" s="4">
        <f t="shared" si="734"/>
        <v>0.98631284916201112</v>
      </c>
      <c r="DU231" s="4">
        <f t="shared" si="735"/>
        <v>1</v>
      </c>
      <c r="DV231" s="4">
        <f t="shared" si="736"/>
        <v>0.98631284916201112</v>
      </c>
      <c r="DX231" s="4">
        <f t="shared" si="737"/>
        <v>323.52609545852317</v>
      </c>
      <c r="DY231" s="25">
        <f t="shared" si="851"/>
        <v>139.55309611315016</v>
      </c>
      <c r="EA231" s="4">
        <f t="shared" si="852"/>
        <v>0.83836592178770941</v>
      </c>
      <c r="EB231" s="4">
        <f t="shared" si="739"/>
        <v>6.1668851840490211</v>
      </c>
      <c r="EE231" s="4">
        <f t="shared" si="740"/>
        <v>62.060854190253195</v>
      </c>
      <c r="EF231" s="4">
        <f t="shared" si="741"/>
        <v>1.7335434131355643</v>
      </c>
      <c r="EG231" s="4">
        <f t="shared" si="742"/>
        <v>0.14760061035641445</v>
      </c>
      <c r="EJ231" s="4">
        <f t="shared" si="853"/>
        <v>0.14760061035641445</v>
      </c>
      <c r="EK231" s="4">
        <f t="shared" si="744"/>
        <v>0.42823280447458212</v>
      </c>
      <c r="EL231" s="4">
        <f t="shared" si="889"/>
        <v>4.3927636401561037</v>
      </c>
      <c r="EM231" s="4">
        <f t="shared" si="854"/>
        <v>5.3540268593966776</v>
      </c>
      <c r="EN231" s="4" t="e">
        <f t="shared" si="863"/>
        <v>#REF!</v>
      </c>
      <c r="EO231" s="4" t="e">
        <f t="shared" si="864"/>
        <v>#REF!</v>
      </c>
      <c r="EP231" s="4" t="e">
        <f t="shared" si="749"/>
        <v>#REF!</v>
      </c>
      <c r="EQ231" s="4" t="e">
        <f t="shared" si="855"/>
        <v>#REF!</v>
      </c>
      <c r="ER231" s="4" t="e">
        <f t="shared" si="751"/>
        <v>#REF!</v>
      </c>
      <c r="FA231" s="23" t="e">
        <f t="shared" ref="FA231" si="898">IF(CG231&lt;0.6,0.6,IF(CG231&lt;0.8,0.8,IF(CG231&lt;1,1,IF(CG231&lt;1.2,1.2,IF(CG231&lt;1.4,1.4,IF(CG231&lt;1.6,1.6,IF(CG231&lt;1.8,1.8,IF(CG231&lt;2,2,2.2))))))))</f>
        <v>#REF!</v>
      </c>
      <c r="FB231" s="23" t="e">
        <f t="shared" ref="FB231" si="899">IF(CH231&lt;0.6,0.6,IF(CH231&lt;0.8,0.8,IF(CH231&lt;1,1,IF(CH231&lt;1.2,1.2,IF(CH231&lt;1.4,1.4,IF(CH231&lt;1.6,1.6,IF(CH231&lt;1.8,1.8,IF(CH231&lt;2,2,2.2))))))))</f>
        <v>#REF!</v>
      </c>
      <c r="FC231" s="23">
        <f t="shared" ref="FC231" si="900">IF(CM231&lt;0.6,0.6,IF(CM231&lt;0.8,0.8,IF(CM231&lt;1,1,IF(CM231&lt;1.2,1.2,IF(CM231&lt;1.4,1.4,IF(CM231&lt;1.6,1.6,IF(CM231&lt;1.8,1.8,IF(CM231&lt;2,2,2.2))))))))</f>
        <v>2</v>
      </c>
      <c r="FD231" s="23" t="e">
        <f t="shared" ref="FD231" si="901">IF(CJ231&lt;0.6,0.6,IF(CJ231&lt;0.8,0.8,IF(CJ231&lt;1,1,IF(CJ231&lt;1.2,1.2,IF(CJ231&lt;1.4,1.4,IF(CJ231&lt;1.6,1.6,IF(CJ231&lt;1.8,1.8,IF(CJ231&lt;2,2,2.2))))))))</f>
        <v>#REF!</v>
      </c>
      <c r="FE231" s="23">
        <f t="shared" ref="FE231" si="902">IF(CK231&lt;0.6,0.6,IF(CK231&lt;0.8,0.8,IF(CK231&lt;1,1,IF(CK231&lt;1.2,1.2,IF(CK231&lt;1.4,1.4,IF(CK231&lt;1.6,1.6,IF(CK231&lt;1.8,1.8,IF(CK231&lt;2,2,2.2))))))))</f>
        <v>1.4</v>
      </c>
      <c r="FF231" s="23">
        <f t="shared" ref="FF231" si="903">IF(CL231&lt;0.6,0.6,IF(CL231&lt;0.8,0.8,IF(CL231&lt;1,1,IF(CL231&lt;1.2,1.2,IF(CL231&lt;1.4,1.4,IF(CL231&lt;1.6,1.6,IF(CL231&lt;1.8,1.8,IF(CL231&lt;2,2,2.2))))))))</f>
        <v>1.4</v>
      </c>
      <c r="FG231" s="23">
        <f t="shared" ref="FG231" si="904">IF(FE231&lt;1,1,0)</f>
        <v>0</v>
      </c>
      <c r="FH231" s="23"/>
      <c r="FR231" s="4">
        <f t="shared" si="842"/>
        <v>1</v>
      </c>
      <c r="FS231" s="4">
        <f t="shared" si="843"/>
        <v>0.8938547486033519</v>
      </c>
      <c r="FT231" s="4">
        <f t="shared" si="844"/>
        <v>0</v>
      </c>
      <c r="FU231" s="4">
        <f t="shared" si="845"/>
        <v>234.40232644004888</v>
      </c>
    </row>
    <row r="232" spans="2:177" ht="12" customHeight="1" x14ac:dyDescent="0.3">
      <c r="B232" s="24"/>
      <c r="C232" s="4" t="s">
        <v>344</v>
      </c>
      <c r="D232" s="7">
        <v>556</v>
      </c>
      <c r="E232" s="7">
        <f>305-J232-25</f>
        <v>204</v>
      </c>
      <c r="F232" s="7">
        <v>36.1</v>
      </c>
      <c r="G232" s="7">
        <v>35.799999999999997</v>
      </c>
      <c r="H232" s="7">
        <v>305</v>
      </c>
      <c r="I232" s="7">
        <v>76</v>
      </c>
      <c r="J232" s="7">
        <v>76</v>
      </c>
      <c r="K232" s="7">
        <f t="shared" si="886"/>
        <v>81.400000000000006</v>
      </c>
      <c r="L232" s="7">
        <v>2</v>
      </c>
      <c r="M232" s="7">
        <f t="shared" si="856"/>
        <v>280</v>
      </c>
      <c r="N232" s="7">
        <f t="shared" si="684"/>
        <v>1.6368715083798884</v>
      </c>
      <c r="O232" s="7">
        <f t="shared" si="685"/>
        <v>2.6229050279329611</v>
      </c>
      <c r="P232" s="7">
        <f>3025/(G232^2*PI()/4)-1</f>
        <v>2.0051727652257014</v>
      </c>
      <c r="Q232" s="7">
        <f>3025/(G232^2*PI()/4)-1</f>
        <v>2.0051727652257014</v>
      </c>
      <c r="R232" s="7">
        <f t="shared" si="686"/>
        <v>3.0051727652257014</v>
      </c>
      <c r="S232" s="7">
        <f t="shared" si="687"/>
        <v>62.060854190253195</v>
      </c>
      <c r="T232" s="7">
        <f t="shared" si="826"/>
        <v>556</v>
      </c>
      <c r="U232" s="7">
        <v>25</v>
      </c>
      <c r="V232" s="7"/>
      <c r="W232" s="32" t="s">
        <v>308</v>
      </c>
      <c r="X232" s="4">
        <f t="shared" si="689"/>
        <v>0</v>
      </c>
      <c r="Y232" s="7"/>
      <c r="Z232" s="7"/>
      <c r="AA232" s="7">
        <v>1</v>
      </c>
      <c r="AB232" s="7"/>
      <c r="AC232" s="7"/>
      <c r="AD232" s="7">
        <f t="shared" si="827"/>
        <v>5.2218430034129693</v>
      </c>
      <c r="AE232" s="4">
        <f t="shared" si="691"/>
        <v>204</v>
      </c>
      <c r="AF232" s="4">
        <f t="shared" si="692"/>
        <v>0.49836601307189543</v>
      </c>
      <c r="AG232" s="4">
        <f t="shared" si="693"/>
        <v>86.958676610533459</v>
      </c>
      <c r="AH232" s="4">
        <f t="shared" si="694"/>
        <v>0.7920588235294117</v>
      </c>
      <c r="AI232" s="4">
        <v>1.25</v>
      </c>
      <c r="AJ232" s="4">
        <f t="shared" si="857"/>
        <v>2.5</v>
      </c>
      <c r="AK232" s="38">
        <f t="shared" si="848"/>
        <v>107.26765759294925</v>
      </c>
      <c r="AL232" s="38">
        <f t="shared" si="762"/>
        <v>107.26765759294925</v>
      </c>
      <c r="AM232" s="38">
        <f t="shared" si="695"/>
        <v>3.2768713349985528</v>
      </c>
      <c r="AN232" s="38">
        <f t="shared" si="858"/>
        <v>107.26765759294932</v>
      </c>
      <c r="AO232" s="38">
        <f t="shared" si="840"/>
        <v>0.99999999999999933</v>
      </c>
      <c r="AP232" s="38">
        <f t="shared" si="859"/>
        <v>1.9360436414355566</v>
      </c>
      <c r="AQ232" s="4">
        <f t="shared" si="860"/>
        <v>0</v>
      </c>
      <c r="AR232" s="4" t="e">
        <f>#REF!/G232*F232^0.5/0.19</f>
        <v>#REF!</v>
      </c>
      <c r="AS232" s="4">
        <f t="shared" si="696"/>
        <v>1.2409556313993173</v>
      </c>
      <c r="AT232" s="38">
        <f t="shared" si="697"/>
        <v>207.67486641451603</v>
      </c>
      <c r="AU232" s="4">
        <f t="shared" si="698"/>
        <v>0.71927581286840181</v>
      </c>
      <c r="AV232" s="4" t="e">
        <f>AU232*D232*#REF!/(D232*G232/2.75/F232^0.5)</f>
        <v>#REF!</v>
      </c>
      <c r="AW232" s="4" t="e">
        <f t="shared" si="849"/>
        <v>#REF!</v>
      </c>
      <c r="AY232" s="4">
        <f t="shared" si="700"/>
        <v>1.2807262569832403</v>
      </c>
      <c r="AZ232" s="4" t="e">
        <f>(3*#REF!+30)*AY232*F232^0.5</f>
        <v>#REF!</v>
      </c>
      <c r="BB232" s="4">
        <f t="shared" si="701"/>
        <v>199.18559387276096</v>
      </c>
      <c r="BC232" s="4">
        <f t="shared" si="828"/>
        <v>30569.451870773988</v>
      </c>
      <c r="BD232" s="4">
        <f t="shared" si="862"/>
        <v>153.47220286574361</v>
      </c>
      <c r="BL232" s="4">
        <f t="shared" si="704"/>
        <v>40.700000000000003</v>
      </c>
      <c r="BP232" s="9"/>
      <c r="BR232" s="9"/>
      <c r="BS232" s="9"/>
      <c r="BT232" s="9">
        <f t="shared" si="705"/>
        <v>40.700000000000003</v>
      </c>
      <c r="BU232" s="9">
        <f t="shared" si="706"/>
        <v>76</v>
      </c>
      <c r="BV232" s="9">
        <f t="shared" si="707"/>
        <v>1.1709505872794554</v>
      </c>
      <c r="BW232" s="9">
        <v>0</v>
      </c>
      <c r="BX232" s="9">
        <f t="shared" si="708"/>
        <v>0</v>
      </c>
      <c r="BY232" s="9">
        <f t="shared" si="850"/>
        <v>0</v>
      </c>
      <c r="BZ232" s="9">
        <f t="shared" si="710"/>
        <v>0.89787751228078194</v>
      </c>
      <c r="CA232" s="9">
        <f t="shared" si="711"/>
        <v>0.91600000000000004</v>
      </c>
      <c r="CB232" s="9">
        <f t="shared" si="712"/>
        <v>1.7295543484995353</v>
      </c>
      <c r="CC232" s="9">
        <f t="shared" si="713"/>
        <v>2.0252226801072668</v>
      </c>
      <c r="CD232" s="9">
        <v>1</v>
      </c>
      <c r="CE232" s="9" t="e">
        <f>4*CC232*#REF!+60*CC232</f>
        <v>#REF!</v>
      </c>
      <c r="DB232" s="4">
        <f t="shared" si="888"/>
        <v>0</v>
      </c>
      <c r="DC232" s="4" t="e">
        <f>#REF!</f>
        <v>#REF!</v>
      </c>
      <c r="DF232" s="4">
        <f t="shared" si="723"/>
        <v>1.0616776242063277E-5</v>
      </c>
      <c r="DG232" s="4">
        <f t="shared" si="724"/>
        <v>5.8880551717144805</v>
      </c>
      <c r="DH232" s="4">
        <f t="shared" si="725"/>
        <v>0.35784456322904007</v>
      </c>
      <c r="DI232" s="4">
        <f t="shared" si="726"/>
        <v>3.903459161346345</v>
      </c>
      <c r="DJ232" s="4">
        <f t="shared" si="727"/>
        <v>4.9957013919335163</v>
      </c>
      <c r="DK232" s="4">
        <f t="shared" si="728"/>
        <v>5.7825332101658145</v>
      </c>
      <c r="DL232" s="38">
        <f t="shared" si="729"/>
        <v>218.04598394729314</v>
      </c>
      <c r="DM232" s="4" t="e">
        <f t="shared" si="730"/>
        <v>#REF!</v>
      </c>
      <c r="DN232" s="4">
        <f t="shared" si="731"/>
        <v>1.7335434131355643</v>
      </c>
      <c r="DO232" s="4">
        <f t="shared" si="776"/>
        <v>107.26765759294932</v>
      </c>
      <c r="DS232" s="4">
        <f t="shared" si="733"/>
        <v>0.85</v>
      </c>
      <c r="DT232" s="4">
        <f t="shared" si="734"/>
        <v>0.98631284916201112</v>
      </c>
      <c r="DU232" s="4">
        <f t="shared" si="735"/>
        <v>1</v>
      </c>
      <c r="DV232" s="4">
        <f t="shared" si="736"/>
        <v>0.98631284916201112</v>
      </c>
      <c r="DX232" s="4">
        <f t="shared" si="737"/>
        <v>205.84046641765849</v>
      </c>
      <c r="DY232" s="25">
        <f t="shared" si="851"/>
        <v>105.18432772801428</v>
      </c>
      <c r="EA232" s="4">
        <f t="shared" si="852"/>
        <v>0.83836592178770941</v>
      </c>
      <c r="EB232" s="4">
        <f t="shared" si="739"/>
        <v>5.8880551717144805</v>
      </c>
      <c r="EE232" s="4">
        <f t="shared" si="740"/>
        <v>62.060854190253195</v>
      </c>
      <c r="EF232" s="4">
        <f t="shared" si="741"/>
        <v>1.7335434131355643</v>
      </c>
      <c r="EG232" s="4">
        <f t="shared" si="742"/>
        <v>0.1175664188934134</v>
      </c>
      <c r="EJ232" s="4">
        <f t="shared" si="853"/>
        <v>0.1175664188934134</v>
      </c>
      <c r="EK232" s="4">
        <f t="shared" si="744"/>
        <v>0.35724738734617123</v>
      </c>
      <c r="EL232" s="4">
        <f t="shared" si="889"/>
        <v>3.900852197342831</v>
      </c>
      <c r="EM232" s="4">
        <f t="shared" si="854"/>
        <v>4.994685388289958</v>
      </c>
      <c r="EN232" s="4" t="e">
        <f t="shared" si="863"/>
        <v>#REF!</v>
      </c>
      <c r="EO232" s="4" t="e">
        <f t="shared" si="864"/>
        <v>#REF!</v>
      </c>
      <c r="EP232" s="4" t="e">
        <f t="shared" si="749"/>
        <v>#REF!</v>
      </c>
      <c r="EQ232" s="4" t="e">
        <f t="shared" si="855"/>
        <v>#REF!</v>
      </c>
      <c r="ER232" s="4" t="e">
        <f t="shared" si="751"/>
        <v>#REF!</v>
      </c>
      <c r="FA232" s="23"/>
      <c r="FB232" s="23"/>
      <c r="FC232" s="23"/>
      <c r="FD232" s="23"/>
      <c r="FE232" s="23"/>
      <c r="FF232" s="23"/>
      <c r="FG232" s="23"/>
      <c r="FH232" s="23"/>
      <c r="FR232" s="4">
        <f t="shared" si="842"/>
        <v>1</v>
      </c>
      <c r="FS232" s="4">
        <f t="shared" si="843"/>
        <v>0.8938547486033519</v>
      </c>
      <c r="FT232" s="4">
        <f t="shared" si="844"/>
        <v>0</v>
      </c>
      <c r="FU232" s="4">
        <f t="shared" si="845"/>
        <v>131.24872439128001</v>
      </c>
    </row>
    <row r="233" spans="2:177" ht="12" customHeight="1" x14ac:dyDescent="0.3">
      <c r="B233" s="24"/>
      <c r="C233" s="4" t="s">
        <v>345</v>
      </c>
      <c r="D233" s="7">
        <v>556</v>
      </c>
      <c r="E233" s="7">
        <f>381-J233-20</f>
        <v>343</v>
      </c>
      <c r="F233" s="7">
        <v>36.200000000000003</v>
      </c>
      <c r="G233" s="7">
        <v>35.799999999999997</v>
      </c>
      <c r="H233" s="7">
        <v>305</v>
      </c>
      <c r="I233" s="7">
        <v>76</v>
      </c>
      <c r="J233" s="7">
        <v>18</v>
      </c>
      <c r="K233" s="7">
        <f t="shared" si="886"/>
        <v>81.400000000000006</v>
      </c>
      <c r="L233" s="7">
        <v>2</v>
      </c>
      <c r="M233" s="7">
        <f t="shared" si="856"/>
        <v>280</v>
      </c>
      <c r="N233" s="7">
        <f t="shared" ref="N233:N296" si="905">MIN(I233/G233+0.5, K233/2/G233+0.5)</f>
        <v>1.6368715083798884</v>
      </c>
      <c r="O233" s="7">
        <f t="shared" ref="O233:O296" si="906">I233/G233+0.5</f>
        <v>2.6229050279329611</v>
      </c>
      <c r="P233" s="7">
        <f>3150/(G233^2*PI()/4)-1</f>
        <v>2.1293534580036226</v>
      </c>
      <c r="Q233" s="7">
        <f>3150/(G233^2*PI()/4)-1</f>
        <v>2.1293534580036226</v>
      </c>
      <c r="R233" s="7">
        <f t="shared" ref="R233:R296" si="907">Q233+1</f>
        <v>3.1293534580036226</v>
      </c>
      <c r="S233" s="7">
        <f t="shared" ref="S233:S296" si="908">G233*R233^0.5</f>
        <v>63.330123684671278</v>
      </c>
      <c r="T233" s="7">
        <f t="shared" ref="T233:T247" si="909">D233</f>
        <v>556</v>
      </c>
      <c r="U233" s="7">
        <v>20</v>
      </c>
      <c r="V233" s="7"/>
      <c r="W233" s="32" t="s">
        <v>308</v>
      </c>
      <c r="X233" s="4">
        <f t="shared" ref="X233:X296" si="910">CK233</f>
        <v>0</v>
      </c>
      <c r="Y233" s="7"/>
      <c r="Z233" s="7"/>
      <c r="AA233" s="7">
        <v>1</v>
      </c>
      <c r="AB233" s="7"/>
      <c r="AC233" s="7"/>
      <c r="AD233" s="7">
        <f t="shared" ref="AD233:AD247" si="911">3*AE233/(K233+G233)</f>
        <v>8.7798634812286682</v>
      </c>
      <c r="AE233" s="4">
        <f t="shared" ref="AE233:AE296" si="912">E233</f>
        <v>343</v>
      </c>
      <c r="AF233" s="4">
        <f t="shared" ref="AF233:AF296" si="913">IF(E233*3&gt;K233+G233, H233, (I233+G233/2)*2+1.5*E233*(2*L233-2))*(3*E233)/(9*E233^2)</f>
        <v>0.29640427599611274</v>
      </c>
      <c r="AG233" s="4">
        <f t="shared" ref="AG233:AG296" si="914">MIN(10*F233^0.5*E233^1.5,100*3.9*F233^0.5*E233^(5/3))/(PI()/4*G233^2)/L233</f>
        <v>189.84953380078178</v>
      </c>
      <c r="AH233" s="4">
        <f t="shared" ref="AH233:AH296" si="915">MIN(0.7+0.3*(MIN(I233,M233)+0.5*G233)/1.5/E233,1)</f>
        <v>0.75475218658892129</v>
      </c>
      <c r="AI233" s="4">
        <v>1.25</v>
      </c>
      <c r="AJ233" s="4">
        <f t="shared" si="857"/>
        <v>2.5</v>
      </c>
      <c r="AK233" s="38">
        <f t="shared" si="848"/>
        <v>132.72367584275798</v>
      </c>
      <c r="AL233" s="38">
        <f t="shared" si="762"/>
        <v>132.72367584275798</v>
      </c>
      <c r="AM233" s="38">
        <f t="shared" ref="AM233:AM296" si="916">IF(F233&lt;50, 0.3*F233^(2/3), 2.12*LN(1+0.1*(F233+8)))</f>
        <v>3.282920015195979</v>
      </c>
      <c r="AN233" s="38">
        <f t="shared" si="858"/>
        <v>132.72367584275801</v>
      </c>
      <c r="AO233" s="38">
        <f t="shared" si="840"/>
        <v>0.99999999999999978</v>
      </c>
      <c r="AP233" s="38">
        <f t="shared" si="859"/>
        <v>1.6169064268162814</v>
      </c>
      <c r="AQ233" s="4">
        <f t="shared" si="860"/>
        <v>0</v>
      </c>
      <c r="AR233" s="4" t="e">
        <f>#REF!/G233*F233^0.5/0.19</f>
        <v>#REF!</v>
      </c>
      <c r="AS233" s="4">
        <f t="shared" ref="AS233:AS296" si="917">MIN(0.6+0.4*(O233/N233),2)</f>
        <v>1.2409556313993173</v>
      </c>
      <c r="AT233" s="38">
        <f t="shared" ref="AT233:AT296" si="918">2*F233*N233*P233^0.5*AS233*0.7/0.7</f>
        <v>214.60176446083625</v>
      </c>
      <c r="AU233" s="4">
        <f t="shared" ref="AU233:AU296" si="919">MAX(1-0.7*Q233/5,0.3)</f>
        <v>0.7018905158794928</v>
      </c>
      <c r="AV233" s="4" t="e">
        <f>AU233*D233*#REF!/(D233*G233/2.75/F233^0.5)</f>
        <v>#REF!</v>
      </c>
      <c r="AW233" s="4" t="e">
        <f t="shared" si="849"/>
        <v>#REF!</v>
      </c>
      <c r="AY233" s="4">
        <f t="shared" ref="AY233:AY296" si="920">MIN(1.5, 0.75+0.25*MIN(3,MAX(1,I233/G233))+0.4*MIN(1,(40*2*PI()*Y233^2/4/AA233/L233)/G233))</f>
        <v>1.2807262569832403</v>
      </c>
      <c r="AZ233" s="4" t="e">
        <f>(3*#REF!+30)*AY233*F233^0.5</f>
        <v>#REF!</v>
      </c>
      <c r="BB233" s="4">
        <f t="shared" ref="BB233:BB296" si="921">3.4/PI()^0.5*F233*N233*Q233^0.5*AS233</f>
        <v>205.82933620361388</v>
      </c>
      <c r="BC233" s="4">
        <f t="shared" ref="BC233:BC263" si="922">8/3*T233*U233^2/(S233-G233-22)/G233*(S233^2-G233^2)/(S233^2-(G233+22)^2)</f>
        <v>12204.288039811765</v>
      </c>
      <c r="BD233" s="4">
        <f t="shared" si="862"/>
        <v>59.29323907326232</v>
      </c>
      <c r="BL233" s="4">
        <f t="shared" ref="BL233:BL296" si="923">IF(K233=0,I233,MIN(K233/2,I233))</f>
        <v>40.700000000000003</v>
      </c>
      <c r="BP233" s="9"/>
      <c r="BR233" s="9"/>
      <c r="BS233" s="9"/>
      <c r="BT233" s="9">
        <f t="shared" ref="BT233:BT296" si="924">IF(K233=0,MIN(I233,J233),MIN(K233/2,I233,J233))</f>
        <v>18</v>
      </c>
      <c r="BU233" s="9">
        <f t="shared" ref="BU233:BU296" si="925">MAX(K233/2,I233)</f>
        <v>76</v>
      </c>
      <c r="BV233" s="9">
        <f t="shared" ref="BV233:BV296" si="926">(BT233/G233)^0.5*(BU233/BT233)^0.15</f>
        <v>0.88008760053944035</v>
      </c>
      <c r="BW233" s="9">
        <v>0</v>
      </c>
      <c r="BX233" s="9">
        <f t="shared" ref="BX233:BX296" si="927">MIN(PI()*Y233^2/4*Z233*2/L233/G233/MAX(0.01,AA233),0.05)</f>
        <v>0</v>
      </c>
      <c r="BY233" s="9">
        <f t="shared" si="850"/>
        <v>0</v>
      </c>
      <c r="BZ233" s="9">
        <f t="shared" ref="BZ233:BZ296" si="928">MIN(1,(25/G233)^0.3)</f>
        <v>0.89787751228078194</v>
      </c>
      <c r="CA233" s="9">
        <f t="shared" ref="CA233:CA296" si="929">IF(D233&gt;=800,0.68,IF(D233&gt;=700,0.75-(D233-700)*0.07/100,IF(D233&gt;=600,0.85-(D233-600)*0.1/100,IF(D233&gt;=500,1-(D233-500)*0.15/100,1.2-(D233-400)*0.2/100))))</f>
        <v>0.91600000000000004</v>
      </c>
      <c r="CB233" s="9">
        <f t="shared" ref="CB233:CB296" si="930">1.75*BZ233*CA233*(F233/25)^0.5</f>
        <v>1.7319481964943424</v>
      </c>
      <c r="CC233" s="9">
        <f t="shared" ref="CC233:CC296" si="931">MIN((BV233+BY233)*CB233,2.5*CB233,F233^0.5)</f>
        <v>1.5242661325113169</v>
      </c>
      <c r="CD233" s="9">
        <v>1</v>
      </c>
      <c r="CE233" s="9" t="e">
        <f>4*CC233*#REF!+60*CC233</f>
        <v>#REF!</v>
      </c>
      <c r="DB233" s="4">
        <f t="shared" si="888"/>
        <v>0</v>
      </c>
      <c r="DC233" s="4" t="e">
        <f>#REF!</f>
        <v>#REF!</v>
      </c>
      <c r="DF233" s="4">
        <f t="shared" ref="DF233:DF296" si="932">E233/4/(1-0.3*(F233/30)^0.5)/200000/G233</f>
        <v>1.7862883419588262E-5</v>
      </c>
      <c r="DG233" s="4">
        <f t="shared" ref="DG233:DG251" si="933">EB233</f>
        <v>5.0117740230039942</v>
      </c>
      <c r="DH233" s="4">
        <f t="shared" ref="DH233:DH296" si="934">DO233*S233/257/F233/P233</f>
        <v>0.42429634064630556</v>
      </c>
      <c r="DI233" s="4">
        <f t="shared" ref="DI233:DI251" si="935">DG233*DH233^0.4</f>
        <v>3.556797951623889</v>
      </c>
      <c r="DJ233" s="4">
        <f t="shared" ref="DJ233:DJ251" si="936">MIN(DG233, DG233/1.4*(1-DH233^1.4)/(1-DH233))</f>
        <v>4.3457845155512942</v>
      </c>
      <c r="DK233" s="4">
        <f t="shared" ref="DK233:DK296" si="937">MAX(DG233/2, (4-DF233*(8*S233*(DI233-DJ233)+6*E233*DJ233))/(4+DF233*E233*DG233)*DG233)</f>
        <v>4.7838273870400245</v>
      </c>
      <c r="DL233" s="38">
        <f t="shared" ref="DL233:DL296" si="938">MIN(1/G233*(4*S233*(DI233-DJ233)+(3*DJ233+DK233)*E233)+DO233 -EV233,MAX(D233,V233))</f>
        <v>297.88564772937099</v>
      </c>
      <c r="DM233" s="4" t="e">
        <f t="shared" ref="DM233:DM251" si="939">DL233/ER233</f>
        <v>#REF!</v>
      </c>
      <c r="DN233" s="4">
        <f t="shared" ref="DN233:DN296" si="940">S233/G233</f>
        <v>1.7689978682869074</v>
      </c>
      <c r="DO233" s="4">
        <f t="shared" si="776"/>
        <v>132.72367584275801</v>
      </c>
      <c r="DS233" s="4">
        <f t="shared" ref="DS233:DS296" si="941">IF(J233&gt;1*G233,0.85,1)</f>
        <v>1</v>
      </c>
      <c r="DT233" s="4">
        <f t="shared" ref="DT233:DT296" si="942">MIN(1,MAX(0.7,(1-0.1*(BL233-1*G233)/G233)))</f>
        <v>0.98631284916201112</v>
      </c>
      <c r="DU233" s="4">
        <f t="shared" ref="DU233:DU296" si="943">MIN(1,MAX(0.7,1-0.3*(PI()*Y233^2/4*AC233*2-0.25*PI()/4*G233^2)/(PI()/4*G233^2)))</f>
        <v>1</v>
      </c>
      <c r="DV233" s="4">
        <f t="shared" ref="DV233:DV251" si="944">IF(DT233*DU233&lt;0.7,0.7,DT233*DU233)</f>
        <v>0.98631284916201112</v>
      </c>
      <c r="DX233" s="4">
        <f t="shared" ref="DX233:DX296" si="945">MIN(DG233/G233*3*E233+DY233-EV233,MAX(D233,V233))</f>
        <v>275.30778396217227</v>
      </c>
      <c r="DY233" s="25">
        <f t="shared" si="851"/>
        <v>131.2542792227558</v>
      </c>
      <c r="EA233" s="4">
        <f t="shared" si="852"/>
        <v>0.98631284916201112</v>
      </c>
      <c r="EB233" s="4">
        <f t="shared" ref="EB233:EB296" si="946">IF(G233&lt;22.2,1.1*5*(F233/30)^0.5,IF(G233&gt;=31.8,0.9*5*(F233/30)^0.5,1*5*(F233/30)^0.5))/DS233/DV233</f>
        <v>5.0117740230039942</v>
      </c>
      <c r="EE233" s="4">
        <f t="shared" ref="EE233:EE296" si="947">EF233*G233</f>
        <v>63.330123684671278</v>
      </c>
      <c r="EF233" s="4">
        <f t="shared" ref="EF233:EF251" si="948">R233^0.5</f>
        <v>1.7689978682869074</v>
      </c>
      <c r="EG233" s="4">
        <f t="shared" ref="EG233:EG296" si="949">MIN(DO233)/(4700*F233^0.5)/Q233*EE233</f>
        <v>0.13959145590482508</v>
      </c>
      <c r="EJ233" s="4">
        <f t="shared" si="853"/>
        <v>0.13959145590482508</v>
      </c>
      <c r="EK233" s="4">
        <f t="shared" ref="EK233:EK296" si="950">MIN(0.999, EJ233/(0.3*(F233/30)^0.5))</f>
        <v>0.42358826913185504</v>
      </c>
      <c r="EL233" s="4">
        <f t="shared" si="889"/>
        <v>3.5544225087552985</v>
      </c>
      <c r="EM233" s="4">
        <f t="shared" si="854"/>
        <v>4.3448138556349702</v>
      </c>
      <c r="EN233" s="4" t="e">
        <f t="shared" si="863"/>
        <v>#REF!</v>
      </c>
      <c r="EO233" s="4" t="e">
        <f t="shared" si="864"/>
        <v>#REF!</v>
      </c>
      <c r="EP233" s="4" t="e">
        <f t="shared" ref="EP233:EP296" si="951">EO233/(1-0.3*(F233/30)^0.5)/200000/G233</f>
        <v>#REF!</v>
      </c>
      <c r="EQ233" s="4" t="e">
        <f t="shared" si="855"/>
        <v>#REF!</v>
      </c>
      <c r="ER233" s="4" t="e">
        <f t="shared" ref="ER233:ER296" si="952">MIN(4/G233*(1*EL233*EE233+EM233*EN233+EO233*EQ233)+DO233,MAX(D233,V233))</f>
        <v>#REF!</v>
      </c>
      <c r="FA233" s="23"/>
      <c r="FB233" s="23"/>
      <c r="FC233" s="23"/>
      <c r="FD233" s="23"/>
      <c r="FE233" s="23"/>
      <c r="FF233" s="23"/>
      <c r="FG233" s="23"/>
      <c r="FH233" s="23"/>
      <c r="FR233" s="4">
        <f t="shared" si="842"/>
        <v>1</v>
      </c>
      <c r="FS233" s="4">
        <f t="shared" si="843"/>
        <v>0.8938547486033519</v>
      </c>
      <c r="FT233" s="4">
        <f t="shared" si="844"/>
        <v>0</v>
      </c>
      <c r="FU233" s="4">
        <f t="shared" si="845"/>
        <v>220.83066789188138</v>
      </c>
    </row>
    <row r="234" spans="2:177" ht="12" customHeight="1" x14ac:dyDescent="0.3">
      <c r="B234" s="24"/>
      <c r="C234" s="4" t="s">
        <v>346</v>
      </c>
      <c r="D234" s="7">
        <v>556</v>
      </c>
      <c r="E234" s="7">
        <f>381-J234-25</f>
        <v>338</v>
      </c>
      <c r="F234" s="7">
        <v>36.200000000000003</v>
      </c>
      <c r="G234" s="7">
        <v>35.799999999999997</v>
      </c>
      <c r="H234" s="7">
        <v>305</v>
      </c>
      <c r="I234" s="7">
        <v>76</v>
      </c>
      <c r="J234" s="7">
        <v>18</v>
      </c>
      <c r="K234" s="7">
        <f t="shared" si="886"/>
        <v>81.400000000000006</v>
      </c>
      <c r="L234" s="7">
        <v>2</v>
      </c>
      <c r="M234" s="7">
        <f t="shared" si="856"/>
        <v>280</v>
      </c>
      <c r="N234" s="7">
        <f t="shared" si="905"/>
        <v>1.6368715083798884</v>
      </c>
      <c r="O234" s="7">
        <f t="shared" si="906"/>
        <v>2.6229050279329611</v>
      </c>
      <c r="P234" s="7">
        <f>2970/(G234^2*PI()/4)-1</f>
        <v>1.9505332604034158</v>
      </c>
      <c r="Q234" s="7">
        <f>2970/(G234^2*PI()/4)-1</f>
        <v>1.9505332604034158</v>
      </c>
      <c r="R234" s="7">
        <f t="shared" si="907"/>
        <v>2.9505332604034158</v>
      </c>
      <c r="S234" s="7">
        <f t="shared" si="908"/>
        <v>61.494076526633307</v>
      </c>
      <c r="T234" s="7">
        <f t="shared" si="909"/>
        <v>556</v>
      </c>
      <c r="U234" s="7">
        <v>25</v>
      </c>
      <c r="V234" s="7"/>
      <c r="W234" s="32" t="s">
        <v>308</v>
      </c>
      <c r="X234" s="4">
        <f t="shared" si="910"/>
        <v>0</v>
      </c>
      <c r="Y234" s="7"/>
      <c r="Z234" s="7"/>
      <c r="AA234" s="7">
        <v>1</v>
      </c>
      <c r="AB234" s="7"/>
      <c r="AC234" s="7"/>
      <c r="AD234" s="7">
        <f t="shared" si="911"/>
        <v>8.6518771331058026</v>
      </c>
      <c r="AE234" s="4">
        <f t="shared" si="912"/>
        <v>338</v>
      </c>
      <c r="AF234" s="4">
        <f t="shared" si="913"/>
        <v>0.30078895463510846</v>
      </c>
      <c r="AG234" s="4">
        <f t="shared" si="914"/>
        <v>185.71347027015665</v>
      </c>
      <c r="AH234" s="4">
        <f t="shared" si="915"/>
        <v>0.75556213017751472</v>
      </c>
      <c r="AI234" s="4">
        <v>1.25</v>
      </c>
      <c r="AJ234" s="4">
        <f t="shared" si="857"/>
        <v>2.5</v>
      </c>
      <c r="AK234" s="38">
        <f t="shared" si="848"/>
        <v>131.8941379622575</v>
      </c>
      <c r="AL234" s="38">
        <f t="shared" ref="AL234:AL297" si="953">AK234</f>
        <v>131.8941379622575</v>
      </c>
      <c r="AM234" s="38">
        <f t="shared" si="916"/>
        <v>3.282920015195979</v>
      </c>
      <c r="AN234" s="38">
        <f t="shared" si="858"/>
        <v>131.89413796225756</v>
      </c>
      <c r="AO234" s="38">
        <f t="shared" si="840"/>
        <v>0.99999999999999956</v>
      </c>
      <c r="AP234" s="38">
        <f t="shared" si="859"/>
        <v>1.5572580915609477</v>
      </c>
      <c r="AQ234" s="4">
        <f t="shared" si="860"/>
        <v>0</v>
      </c>
      <c r="AR234" s="4" t="e">
        <f>#REF!/G234*F234^0.5/0.19</f>
        <v>#REF!</v>
      </c>
      <c r="AS234" s="4">
        <f t="shared" si="917"/>
        <v>1.2409556313993173</v>
      </c>
      <c r="AT234" s="38">
        <f t="shared" si="918"/>
        <v>205.39321357118155</v>
      </c>
      <c r="AU234" s="4">
        <f t="shared" si="919"/>
        <v>0.72692534354352178</v>
      </c>
      <c r="AV234" s="4" t="e">
        <f>AU234*D234*#REF!/(D234*G234/2.75/F234^0.5)</f>
        <v>#REF!</v>
      </c>
      <c r="AW234" s="4" t="e">
        <f t="shared" si="849"/>
        <v>#REF!</v>
      </c>
      <c r="AY234" s="4">
        <f t="shared" si="920"/>
        <v>1.2807262569832403</v>
      </c>
      <c r="AZ234" s="4" t="e">
        <f>(3*#REF!+30)*AY234*F234^0.5</f>
        <v>#REF!</v>
      </c>
      <c r="BB234" s="4">
        <f t="shared" si="921"/>
        <v>196.99720976804247</v>
      </c>
      <c r="BC234" s="4">
        <f t="shared" si="922"/>
        <v>39749.280546165857</v>
      </c>
      <c r="BD234" s="4">
        <f t="shared" si="862"/>
        <v>201.77585557160575</v>
      </c>
      <c r="BL234" s="4">
        <f t="shared" si="923"/>
        <v>40.700000000000003</v>
      </c>
      <c r="BP234" s="9"/>
      <c r="BR234" s="9"/>
      <c r="BS234" s="9"/>
      <c r="BT234" s="9">
        <f t="shared" si="924"/>
        <v>18</v>
      </c>
      <c r="BU234" s="9">
        <f t="shared" si="925"/>
        <v>76</v>
      </c>
      <c r="BV234" s="9">
        <f t="shared" si="926"/>
        <v>0.88008760053944035</v>
      </c>
      <c r="BW234" s="9">
        <v>0</v>
      </c>
      <c r="BX234" s="9">
        <f t="shared" si="927"/>
        <v>0</v>
      </c>
      <c r="BY234" s="9">
        <f t="shared" si="850"/>
        <v>0</v>
      </c>
      <c r="BZ234" s="9">
        <f t="shared" si="928"/>
        <v>0.89787751228078194</v>
      </c>
      <c r="CA234" s="9">
        <f t="shared" si="929"/>
        <v>0.91600000000000004</v>
      </c>
      <c r="CB234" s="9">
        <f t="shared" si="930"/>
        <v>1.7319481964943424</v>
      </c>
      <c r="CC234" s="9">
        <f t="shared" si="931"/>
        <v>1.5242661325113169</v>
      </c>
      <c r="CD234" s="9">
        <v>1</v>
      </c>
      <c r="CE234" s="9" t="e">
        <f>4*CC234*#REF!+60*CC234</f>
        <v>#REF!</v>
      </c>
      <c r="DB234" s="4">
        <f t="shared" si="888"/>
        <v>0</v>
      </c>
      <c r="DC234" s="4" t="e">
        <f>#REF!</f>
        <v>#REF!</v>
      </c>
      <c r="DF234" s="4">
        <f t="shared" si="932"/>
        <v>1.7602491533005343E-5</v>
      </c>
      <c r="DG234" s="4">
        <f t="shared" si="933"/>
        <v>5.0117740230039942</v>
      </c>
      <c r="DH234" s="4">
        <f t="shared" si="934"/>
        <v>0.44695492134028231</v>
      </c>
      <c r="DI234" s="4">
        <f t="shared" si="935"/>
        <v>3.631591326605518</v>
      </c>
      <c r="DJ234" s="4">
        <f t="shared" si="936"/>
        <v>4.3765696221017283</v>
      </c>
      <c r="DK234" s="4">
        <f t="shared" si="937"/>
        <v>4.788408964910424</v>
      </c>
      <c r="DL234" s="38">
        <f t="shared" si="938"/>
        <v>295.94656303754186</v>
      </c>
      <c r="DM234" s="4" t="e">
        <f t="shared" si="939"/>
        <v>#REF!</v>
      </c>
      <c r="DN234" s="4">
        <f t="shared" si="940"/>
        <v>1.7177116348221595</v>
      </c>
      <c r="DO234" s="4">
        <f t="shared" si="776"/>
        <v>131.89413796225756</v>
      </c>
      <c r="DS234" s="4">
        <f t="shared" si="941"/>
        <v>1</v>
      </c>
      <c r="DT234" s="4">
        <f t="shared" si="942"/>
        <v>0.98631284916201112</v>
      </c>
      <c r="DU234" s="4">
        <f t="shared" si="943"/>
        <v>1</v>
      </c>
      <c r="DV234" s="4">
        <f t="shared" si="944"/>
        <v>0.98631284916201112</v>
      </c>
      <c r="DX234" s="4">
        <f t="shared" si="945"/>
        <v>272.36245756768136</v>
      </c>
      <c r="DY234" s="25">
        <f t="shared" si="851"/>
        <v>130.40885814516599</v>
      </c>
      <c r="EA234" s="4">
        <f t="shared" si="852"/>
        <v>0.98631284916201112</v>
      </c>
      <c r="EB234" s="4">
        <f t="shared" si="946"/>
        <v>5.0117740230039942</v>
      </c>
      <c r="EE234" s="4">
        <f t="shared" si="947"/>
        <v>61.494076526633307</v>
      </c>
      <c r="EF234" s="4">
        <f t="shared" si="948"/>
        <v>1.7177116348221595</v>
      </c>
      <c r="EG234" s="4">
        <f t="shared" si="949"/>
        <v>0.14704602000262343</v>
      </c>
      <c r="EJ234" s="4">
        <f t="shared" si="853"/>
        <v>0.14704602000262343</v>
      </c>
      <c r="EK234" s="4">
        <f t="shared" si="950"/>
        <v>0.44620903687763885</v>
      </c>
      <c r="EL234" s="4">
        <f t="shared" si="889"/>
        <v>3.6291659322379566</v>
      </c>
      <c r="EM234" s="4">
        <f t="shared" si="854"/>
        <v>4.3755646000742985</v>
      </c>
      <c r="EN234" s="4" t="e">
        <f t="shared" si="863"/>
        <v>#REF!</v>
      </c>
      <c r="EO234" s="4" t="e">
        <f t="shared" si="864"/>
        <v>#REF!</v>
      </c>
      <c r="EP234" s="4" t="e">
        <f t="shared" si="951"/>
        <v>#REF!</v>
      </c>
      <c r="EQ234" s="4" t="e">
        <f t="shared" si="855"/>
        <v>#REF!</v>
      </c>
      <c r="ER234" s="4" t="e">
        <f t="shared" si="952"/>
        <v>#REF!</v>
      </c>
      <c r="FA234" s="23"/>
      <c r="FB234" s="23"/>
      <c r="FC234" s="23"/>
      <c r="FD234" s="23"/>
      <c r="FE234" s="23"/>
      <c r="FF234" s="23"/>
      <c r="FG234" s="23"/>
      <c r="FH234" s="23"/>
      <c r="FR234" s="4">
        <f t="shared" si="842"/>
        <v>1</v>
      </c>
      <c r="FS234" s="4">
        <f t="shared" si="843"/>
        <v>0.8938547486033519</v>
      </c>
      <c r="FT234" s="4">
        <f t="shared" si="844"/>
        <v>0</v>
      </c>
      <c r="FU234" s="4">
        <f t="shared" si="845"/>
        <v>217.61156194593562</v>
      </c>
    </row>
    <row r="235" spans="2:177" ht="12" customHeight="1" x14ac:dyDescent="0.3">
      <c r="B235" s="24"/>
      <c r="C235" s="4" t="s">
        <v>347</v>
      </c>
      <c r="D235" s="7">
        <v>556</v>
      </c>
      <c r="E235" s="7">
        <f>305-J235-20</f>
        <v>209</v>
      </c>
      <c r="F235" s="7">
        <v>35.200000000000003</v>
      </c>
      <c r="G235" s="7">
        <v>35.799999999999997</v>
      </c>
      <c r="H235" s="7">
        <v>305</v>
      </c>
      <c r="I235" s="7">
        <v>76</v>
      </c>
      <c r="J235" s="7">
        <v>76</v>
      </c>
      <c r="K235" s="7">
        <f t="shared" si="886"/>
        <v>81.400000000000006</v>
      </c>
      <c r="L235" s="7">
        <v>2</v>
      </c>
      <c r="M235" s="7">
        <f t="shared" si="856"/>
        <v>280</v>
      </c>
      <c r="N235" s="7">
        <f t="shared" si="905"/>
        <v>1.6368715083798884</v>
      </c>
      <c r="O235" s="7">
        <f t="shared" si="906"/>
        <v>2.6229050279329611</v>
      </c>
      <c r="P235" s="7">
        <f>4225/(G235^2*PI()/4)-1</f>
        <v>3.1973074158937482</v>
      </c>
      <c r="Q235" s="7">
        <f>4225/(G235^2*PI()/4)-1</f>
        <v>3.1973074158937482</v>
      </c>
      <c r="R235" s="7">
        <f t="shared" si="907"/>
        <v>4.1973074158937482</v>
      </c>
      <c r="S235" s="7">
        <f t="shared" si="908"/>
        <v>73.344645861208321</v>
      </c>
      <c r="T235" s="7">
        <f t="shared" si="909"/>
        <v>556</v>
      </c>
      <c r="U235" s="7">
        <v>20</v>
      </c>
      <c r="V235" s="7">
        <f>349*1000/(G235^2*PI()/4)</f>
        <v>346.71249423595691</v>
      </c>
      <c r="W235" s="7"/>
      <c r="X235" s="4">
        <f t="shared" si="910"/>
        <v>1.6270397075880396</v>
      </c>
      <c r="Y235" s="7"/>
      <c r="Z235" s="7"/>
      <c r="AA235" s="7">
        <v>1</v>
      </c>
      <c r="AB235" s="7"/>
      <c r="AC235" s="7"/>
      <c r="AD235" s="7">
        <f t="shared" si="911"/>
        <v>5.3498293515358357</v>
      </c>
      <c r="AE235" s="4">
        <f t="shared" si="912"/>
        <v>209</v>
      </c>
      <c r="AF235" s="4">
        <f t="shared" si="913"/>
        <v>0.48644338118022329</v>
      </c>
      <c r="AG235" s="4">
        <f t="shared" si="914"/>
        <v>89.044034776358373</v>
      </c>
      <c r="AH235" s="4">
        <f t="shared" si="915"/>
        <v>0.78985645933014348</v>
      </c>
      <c r="AI235" s="4">
        <v>1.25</v>
      </c>
      <c r="AJ235" s="4">
        <f t="shared" si="857"/>
        <v>2.5</v>
      </c>
      <c r="AK235" s="38">
        <f t="shared" si="848"/>
        <v>106.91418381201157</v>
      </c>
      <c r="AL235" s="38">
        <f t="shared" si="953"/>
        <v>106.91418381201157</v>
      </c>
      <c r="AM235" s="38">
        <f t="shared" si="916"/>
        <v>3.222179253401551</v>
      </c>
      <c r="AN235" s="38">
        <f t="shared" si="858"/>
        <v>106.91418381201159</v>
      </c>
      <c r="AO235" s="38">
        <f t="shared" si="840"/>
        <v>0.99999999999999989</v>
      </c>
      <c r="AP235" s="38">
        <f t="shared" si="859"/>
        <v>2.3916651502566055</v>
      </c>
      <c r="AQ235" s="4">
        <f t="shared" si="860"/>
        <v>0</v>
      </c>
      <c r="AR235" s="4" t="e">
        <f>#REF!/G235*F235^0.5/0.19</f>
        <v>#REF!</v>
      </c>
      <c r="AS235" s="4">
        <f t="shared" si="917"/>
        <v>1.2409556313993173</v>
      </c>
      <c r="AT235" s="38">
        <f t="shared" si="918"/>
        <v>255.70292749131704</v>
      </c>
      <c r="AU235" s="4">
        <f t="shared" si="919"/>
        <v>0.55237696177487527</v>
      </c>
      <c r="AV235" s="4" t="e">
        <f>AU235*D235*#REF!/(D235*G235/2.75/F235^0.5)</f>
        <v>#REF!</v>
      </c>
      <c r="AW235" s="4" t="e">
        <f t="shared" si="849"/>
        <v>#REF!</v>
      </c>
      <c r="AY235" s="4">
        <f t="shared" si="920"/>
        <v>1.2807262569832403</v>
      </c>
      <c r="AZ235" s="4" t="e">
        <f>(3*#REF!+30)*AY235*F235^0.5</f>
        <v>#REF!</v>
      </c>
      <c r="BB235" s="4">
        <f t="shared" si="921"/>
        <v>245.25037789455612</v>
      </c>
      <c r="BC235" s="4">
        <f t="shared" si="922"/>
        <v>2142.1935501129287</v>
      </c>
      <c r="BD235" s="4">
        <f t="shared" si="862"/>
        <v>8.7347206903548642</v>
      </c>
      <c r="BL235" s="4">
        <f t="shared" si="923"/>
        <v>40.700000000000003</v>
      </c>
      <c r="BP235" s="9"/>
      <c r="BR235" s="9"/>
      <c r="BS235" s="9"/>
      <c r="BT235" s="9">
        <f t="shared" si="924"/>
        <v>40.700000000000003</v>
      </c>
      <c r="BU235" s="9">
        <f t="shared" si="925"/>
        <v>76</v>
      </c>
      <c r="BV235" s="9">
        <f t="shared" si="926"/>
        <v>1.1709505872794554</v>
      </c>
      <c r="BW235" s="9">
        <v>0</v>
      </c>
      <c r="BX235" s="9">
        <f t="shared" si="927"/>
        <v>0</v>
      </c>
      <c r="BY235" s="9">
        <f t="shared" si="850"/>
        <v>0</v>
      </c>
      <c r="BZ235" s="9">
        <f t="shared" si="928"/>
        <v>0.89787751228078194</v>
      </c>
      <c r="CA235" s="9">
        <f t="shared" si="929"/>
        <v>0.91600000000000004</v>
      </c>
      <c r="CB235" s="9">
        <f t="shared" si="930"/>
        <v>1.7078587312996556</v>
      </c>
      <c r="CC235" s="9">
        <f t="shared" si="931"/>
        <v>1.9998181844056775</v>
      </c>
      <c r="CD235" s="9">
        <v>1</v>
      </c>
      <c r="CE235" s="9" t="e">
        <f>4*CC235*#REF!+60*CC235</f>
        <v>#REF!</v>
      </c>
      <c r="CG235" s="4" t="e">
        <f t="shared" ref="CG235:CG245" si="954">V235/AR235</f>
        <v>#REF!</v>
      </c>
      <c r="CH235" s="4" t="e">
        <f t="shared" ref="CH235:CH245" si="955">V235/AW235</f>
        <v>#REF!</v>
      </c>
      <c r="CI235" s="4" t="e">
        <f t="shared" ref="CI235:CI245" si="956">V235/AZ235</f>
        <v>#REF!</v>
      </c>
      <c r="CJ235" s="4" t="e">
        <f t="shared" ref="CJ235:CJ245" si="957">V235/CE235</f>
        <v>#REF!</v>
      </c>
      <c r="CK235" s="4">
        <f t="shared" ref="CK235:CK251" si="958">V235/DL235</f>
        <v>1.6270397075880396</v>
      </c>
      <c r="CL235" s="4">
        <f t="shared" ref="CL235:CL251" si="959">V235/DX235</f>
        <v>1.6772269266410664</v>
      </c>
      <c r="CM235" s="4">
        <f t="shared" ref="CM235:CM245" si="960">V235/FU235</f>
        <v>2.5947732797879901</v>
      </c>
      <c r="CO235" s="4" t="e">
        <f t="shared" si="892"/>
        <v>#REF!</v>
      </c>
      <c r="CP235" s="4" t="e">
        <f t="shared" si="893"/>
        <v>#REF!</v>
      </c>
      <c r="CQ235" s="4" t="e">
        <f t="shared" si="894"/>
        <v>#REF!</v>
      </c>
      <c r="CR235" s="4">
        <f t="shared" ref="CR235:CR239" si="961">CM235</f>
        <v>2.5947732797879901</v>
      </c>
      <c r="CS235" s="4">
        <f t="shared" si="896"/>
        <v>1.6270397075880396</v>
      </c>
      <c r="CT235" s="4">
        <f t="shared" si="897"/>
        <v>1.6772269266410664</v>
      </c>
      <c r="DB235" s="4">
        <f t="shared" si="888"/>
        <v>0</v>
      </c>
      <c r="DC235" s="4" t="e">
        <f>#REF!</f>
        <v>#REF!</v>
      </c>
      <c r="DF235" s="4">
        <f t="shared" si="932"/>
        <v>1.0810474402128634E-5</v>
      </c>
      <c r="DG235" s="4">
        <f t="shared" si="933"/>
        <v>5.8141951099198845</v>
      </c>
      <c r="DH235" s="4">
        <f t="shared" si="934"/>
        <v>0.27110876525544425</v>
      </c>
      <c r="DI235" s="4">
        <f t="shared" si="935"/>
        <v>3.4494275298066173</v>
      </c>
      <c r="DJ235" s="4">
        <f t="shared" si="936"/>
        <v>4.7812591811704239</v>
      </c>
      <c r="DK235" s="4">
        <f t="shared" si="937"/>
        <v>5.7134970421870559</v>
      </c>
      <c r="DL235" s="38">
        <f t="shared" si="938"/>
        <v>213.09405825745418</v>
      </c>
      <c r="DM235" s="4" t="e">
        <f t="shared" si="939"/>
        <v>#REF!</v>
      </c>
      <c r="DN235" s="4">
        <f t="shared" si="940"/>
        <v>2.0487331246147575</v>
      </c>
      <c r="DO235" s="4">
        <f t="shared" si="776"/>
        <v>106.91418381201159</v>
      </c>
      <c r="DS235" s="4">
        <f t="shared" si="941"/>
        <v>0.85</v>
      </c>
      <c r="DT235" s="4">
        <f t="shared" si="942"/>
        <v>0.98631284916201112</v>
      </c>
      <c r="DU235" s="4">
        <f t="shared" si="943"/>
        <v>1</v>
      </c>
      <c r="DV235" s="4">
        <f t="shared" si="944"/>
        <v>0.98631284916201112</v>
      </c>
      <c r="DX235" s="4">
        <f t="shared" si="945"/>
        <v>206.71770094360932</v>
      </c>
      <c r="DY235" s="25">
        <f t="shared" si="851"/>
        <v>104.88808267769402</v>
      </c>
      <c r="EA235" s="4">
        <f t="shared" si="852"/>
        <v>0.83836592178770941</v>
      </c>
      <c r="EB235" s="4">
        <f t="shared" si="946"/>
        <v>5.8141951099198845</v>
      </c>
      <c r="EE235" s="4">
        <f t="shared" si="947"/>
        <v>73.344645861208321</v>
      </c>
      <c r="EF235" s="4">
        <f t="shared" si="948"/>
        <v>2.0487331246147575</v>
      </c>
      <c r="EG235" s="4">
        <f t="shared" si="949"/>
        <v>8.7952898482473257E-2</v>
      </c>
      <c r="EJ235" s="4">
        <f t="shared" si="853"/>
        <v>8.7952898482473257E-2</v>
      </c>
      <c r="EK235" s="4">
        <f t="shared" si="950"/>
        <v>0.27065633525403809</v>
      </c>
      <c r="EL235" s="4">
        <f t="shared" si="889"/>
        <v>3.4471237953415605</v>
      </c>
      <c r="EM235" s="4">
        <f t="shared" si="854"/>
        <v>4.7804322984849321</v>
      </c>
      <c r="EN235" s="4" t="e">
        <f t="shared" si="863"/>
        <v>#REF!</v>
      </c>
      <c r="EO235" s="4" t="e">
        <f t="shared" si="864"/>
        <v>#REF!</v>
      </c>
      <c r="EP235" s="4" t="e">
        <f t="shared" si="951"/>
        <v>#REF!</v>
      </c>
      <c r="EQ235" s="4" t="e">
        <f t="shared" si="855"/>
        <v>#REF!</v>
      </c>
      <c r="ER235" s="4" t="e">
        <f t="shared" si="952"/>
        <v>#REF!</v>
      </c>
      <c r="FA235" s="23" t="e">
        <f t="shared" ref="FA235:FA245" si="962">IF(CG235&lt;0.6,0.6,IF(CG235&lt;0.8,0.8,IF(CG235&lt;1,1,IF(CG235&lt;1.2,1.2,IF(CG235&lt;1.4,1.4,IF(CG235&lt;1.6,1.6,IF(CG235&lt;1.8,1.8,IF(CG235&lt;2,2,2.2))))))))</f>
        <v>#REF!</v>
      </c>
      <c r="FB235" s="23" t="e">
        <f t="shared" ref="FB235:FB245" si="963">IF(CH235&lt;0.6,0.6,IF(CH235&lt;0.8,0.8,IF(CH235&lt;1,1,IF(CH235&lt;1.2,1.2,IF(CH235&lt;1.4,1.4,IF(CH235&lt;1.6,1.6,IF(CH235&lt;1.8,1.8,IF(CH235&lt;2,2,2.2))))))))</f>
        <v>#REF!</v>
      </c>
      <c r="FC235" s="23">
        <f t="shared" ref="FC235:FC245" si="964">IF(CM235&lt;0.6,0.6,IF(CM235&lt;0.8,0.8,IF(CM235&lt;1,1,IF(CM235&lt;1.2,1.2,IF(CM235&lt;1.4,1.4,IF(CM235&lt;1.6,1.6,IF(CM235&lt;1.8,1.8,IF(CM235&lt;2,2,2.2))))))))</f>
        <v>2.2000000000000002</v>
      </c>
      <c r="FD235" s="23" t="e">
        <f t="shared" ref="FD235:FD245" si="965">IF(CJ235&lt;0.6,0.6,IF(CJ235&lt;0.8,0.8,IF(CJ235&lt;1,1,IF(CJ235&lt;1.2,1.2,IF(CJ235&lt;1.4,1.4,IF(CJ235&lt;1.6,1.6,IF(CJ235&lt;1.8,1.8,IF(CJ235&lt;2,2,2.2))))))))</f>
        <v>#REF!</v>
      </c>
      <c r="FE235" s="23">
        <f t="shared" ref="FE235:FE245" si="966">IF(CK235&lt;0.6,0.6,IF(CK235&lt;0.8,0.8,IF(CK235&lt;1,1,IF(CK235&lt;1.2,1.2,IF(CK235&lt;1.4,1.4,IF(CK235&lt;1.6,1.6,IF(CK235&lt;1.8,1.8,IF(CK235&lt;2,2,2.2))))))))</f>
        <v>1.8</v>
      </c>
      <c r="FF235" s="23">
        <f t="shared" ref="FF235:FF245" si="967">IF(CL235&lt;0.6,0.6,IF(CL235&lt;0.8,0.8,IF(CL235&lt;1,1,IF(CL235&lt;1.2,1.2,IF(CL235&lt;1.4,1.4,IF(CL235&lt;1.6,1.6,IF(CL235&lt;1.8,1.8,IF(CL235&lt;2,2,2.2))))))))</f>
        <v>1.8</v>
      </c>
      <c r="FG235" s="23">
        <f t="shared" ref="FG235:FG298" si="968">IF(FE235&lt;1,1,0)</f>
        <v>0</v>
      </c>
      <c r="FH235" s="23"/>
      <c r="FR235" s="4">
        <f t="shared" si="842"/>
        <v>1</v>
      </c>
      <c r="FS235" s="4">
        <f t="shared" si="843"/>
        <v>0.8938547486033519</v>
      </c>
      <c r="FT235" s="4">
        <f t="shared" si="844"/>
        <v>0</v>
      </c>
      <c r="FU235" s="4">
        <f t="shared" si="845"/>
        <v>133.61957167382485</v>
      </c>
    </row>
    <row r="236" spans="2:177" ht="12" customHeight="1" x14ac:dyDescent="0.3">
      <c r="B236" s="24"/>
      <c r="C236" s="4" t="s">
        <v>348</v>
      </c>
      <c r="D236" s="7">
        <v>578</v>
      </c>
      <c r="E236" s="7">
        <f>305-J236-18</f>
        <v>211</v>
      </c>
      <c r="F236" s="7">
        <v>35.200000000000003</v>
      </c>
      <c r="G236" s="7">
        <v>25.4</v>
      </c>
      <c r="H236" s="7">
        <v>305</v>
      </c>
      <c r="I236" s="7">
        <v>76</v>
      </c>
      <c r="J236" s="7">
        <v>76</v>
      </c>
      <c r="K236" s="7">
        <f t="shared" si="886"/>
        <v>102.19999999999999</v>
      </c>
      <c r="L236" s="7">
        <v>2</v>
      </c>
      <c r="M236" s="7">
        <f t="shared" si="856"/>
        <v>280</v>
      </c>
      <c r="N236" s="7">
        <f t="shared" si="905"/>
        <v>2.5118110236220472</v>
      </c>
      <c r="O236" s="7">
        <f t="shared" si="906"/>
        <v>3.4921259842519685</v>
      </c>
      <c r="P236" s="7">
        <f>3200/(G236^2*PI()/4)-1</f>
        <v>5.3152807724479523</v>
      </c>
      <c r="Q236" s="7">
        <f>3200/(G236^2*PI()/4)-1</f>
        <v>5.3152807724479523</v>
      </c>
      <c r="R236" s="7">
        <f t="shared" si="907"/>
        <v>6.3152807724479523</v>
      </c>
      <c r="S236" s="7">
        <f t="shared" si="908"/>
        <v>63.830764864229231</v>
      </c>
      <c r="T236" s="7">
        <f t="shared" si="909"/>
        <v>578</v>
      </c>
      <c r="U236" s="7">
        <v>18</v>
      </c>
      <c r="V236" s="7">
        <f>218*1000/(G236^2*PI()/4)</f>
        <v>430.22850262301677</v>
      </c>
      <c r="W236" s="7"/>
      <c r="X236" s="4">
        <f t="shared" si="910"/>
        <v>1.0787425247853666</v>
      </c>
      <c r="Y236" s="7"/>
      <c r="Z236" s="7"/>
      <c r="AA236" s="7">
        <v>1</v>
      </c>
      <c r="AB236" s="7"/>
      <c r="AC236" s="7"/>
      <c r="AD236" s="7">
        <f t="shared" si="911"/>
        <v>4.9608150470219439</v>
      </c>
      <c r="AE236" s="4">
        <f t="shared" si="912"/>
        <v>211</v>
      </c>
      <c r="AF236" s="4">
        <f t="shared" si="913"/>
        <v>0.48183254344391785</v>
      </c>
      <c r="AG236" s="4">
        <f t="shared" si="914"/>
        <v>179.43522533734807</v>
      </c>
      <c r="AH236" s="4">
        <f t="shared" si="915"/>
        <v>0.7840758293838862</v>
      </c>
      <c r="AI236" s="4">
        <v>1.25</v>
      </c>
      <c r="AJ236" s="4">
        <f t="shared" si="857"/>
        <v>2.5</v>
      </c>
      <c r="AK236" s="38">
        <f t="shared" si="848"/>
        <v>211.84192858291391</v>
      </c>
      <c r="AL236" s="38">
        <f t="shared" si="953"/>
        <v>211.84192858291391</v>
      </c>
      <c r="AM236" s="38">
        <f t="shared" si="916"/>
        <v>3.222179253401551</v>
      </c>
      <c r="AN236" s="38">
        <f t="shared" si="858"/>
        <v>211.84192858291399</v>
      </c>
      <c r="AO236" s="38">
        <f t="shared" si="840"/>
        <v>0.99999999999999956</v>
      </c>
      <c r="AP236" s="38">
        <f t="shared" si="859"/>
        <v>2.2249027574187785</v>
      </c>
      <c r="AQ236" s="4">
        <f t="shared" si="860"/>
        <v>0</v>
      </c>
      <c r="AR236" s="4" t="e">
        <f>#REF!/G236*F236^0.5/0.19</f>
        <v>#REF!</v>
      </c>
      <c r="AS236" s="4">
        <f t="shared" si="917"/>
        <v>1.1561128526645768</v>
      </c>
      <c r="AT236" s="38">
        <f t="shared" si="918"/>
        <v>471.32769104103733</v>
      </c>
      <c r="AU236" s="4">
        <f t="shared" si="919"/>
        <v>0.3</v>
      </c>
      <c r="AV236" s="4" t="e">
        <f>AU236*D236*#REF!/(D236*G236/2.75/F236^0.5)</f>
        <v>#REF!</v>
      </c>
      <c r="AW236" s="4" t="e">
        <f t="shared" si="849"/>
        <v>#REF!</v>
      </c>
      <c r="AY236" s="4">
        <f t="shared" si="920"/>
        <v>1.4980314960629921</v>
      </c>
      <c r="AZ236" s="4" t="e">
        <f>(3*#REF!+30)*AY236*F236^0.5</f>
        <v>#REF!</v>
      </c>
      <c r="BB236" s="4">
        <f t="shared" si="921"/>
        <v>452.06089532904645</v>
      </c>
      <c r="BC236" s="4">
        <f t="shared" si="922"/>
        <v>2245.2309649218914</v>
      </c>
      <c r="BD236" s="4">
        <f t="shared" si="862"/>
        <v>4.9666560149769889</v>
      </c>
      <c r="BL236" s="4">
        <f t="shared" si="923"/>
        <v>51.099999999999994</v>
      </c>
      <c r="BP236" s="9"/>
      <c r="BR236" s="9"/>
      <c r="BS236" s="9"/>
      <c r="BT236" s="9">
        <f t="shared" si="924"/>
        <v>51.099999999999994</v>
      </c>
      <c r="BU236" s="9">
        <f t="shared" si="925"/>
        <v>76</v>
      </c>
      <c r="BV236" s="9">
        <f t="shared" si="926"/>
        <v>1.5054020239149992</v>
      </c>
      <c r="BW236" s="9">
        <v>0</v>
      </c>
      <c r="BX236" s="9">
        <f t="shared" si="927"/>
        <v>0</v>
      </c>
      <c r="BY236" s="9">
        <f t="shared" si="850"/>
        <v>0</v>
      </c>
      <c r="BZ236" s="9">
        <f t="shared" si="928"/>
        <v>0.99524931562137331</v>
      </c>
      <c r="CA236" s="9">
        <f t="shared" si="929"/>
        <v>0.88300000000000001</v>
      </c>
      <c r="CB236" s="9">
        <f t="shared" si="930"/>
        <v>1.8248701497446835</v>
      </c>
      <c r="CC236" s="9">
        <f t="shared" si="931"/>
        <v>2.7471632168077145</v>
      </c>
      <c r="CD236" s="9">
        <v>1</v>
      </c>
      <c r="CE236" s="9" t="e">
        <f>4*CC236*#REF!+60*CC236</f>
        <v>#REF!</v>
      </c>
      <c r="CG236" s="4" t="e">
        <f t="shared" si="954"/>
        <v>#REF!</v>
      </c>
      <c r="CH236" s="4" t="e">
        <f t="shared" si="955"/>
        <v>#REF!</v>
      </c>
      <c r="CI236" s="4" t="e">
        <f t="shared" si="956"/>
        <v>#REF!</v>
      </c>
      <c r="CJ236" s="4" t="e">
        <f t="shared" si="957"/>
        <v>#REF!</v>
      </c>
      <c r="CK236" s="4">
        <f t="shared" si="958"/>
        <v>1.0787425247853666</v>
      </c>
      <c r="CL236" s="4">
        <f t="shared" si="959"/>
        <v>1.1150394683014302</v>
      </c>
      <c r="CM236" s="4">
        <f t="shared" si="960"/>
        <v>1.5950411881888569</v>
      </c>
      <c r="CO236" s="4" t="e">
        <f t="shared" si="892"/>
        <v>#REF!</v>
      </c>
      <c r="CP236" s="4" t="e">
        <f t="shared" si="893"/>
        <v>#REF!</v>
      </c>
      <c r="CQ236" s="4" t="e">
        <f t="shared" si="894"/>
        <v>#REF!</v>
      </c>
      <c r="CR236" s="4">
        <f t="shared" si="961"/>
        <v>1.5950411881888569</v>
      </c>
      <c r="CS236" s="4">
        <f t="shared" si="896"/>
        <v>1.0787425247853666</v>
      </c>
      <c r="CT236" s="4">
        <f t="shared" si="897"/>
        <v>1.1150394683014302</v>
      </c>
      <c r="DB236" s="4">
        <f t="shared" si="888"/>
        <v>0</v>
      </c>
      <c r="DC236" s="4" t="e">
        <f>#REF!</f>
        <v>#REF!</v>
      </c>
      <c r="DF236" s="4">
        <f t="shared" si="932"/>
        <v>1.5382617175677067E-5</v>
      </c>
      <c r="DG236" s="4">
        <f t="shared" si="933"/>
        <v>7.0890752785809319</v>
      </c>
      <c r="DH236" s="4">
        <f t="shared" si="934"/>
        <v>0.28121596513872082</v>
      </c>
      <c r="DI236" s="4">
        <f t="shared" si="935"/>
        <v>4.2678149187599521</v>
      </c>
      <c r="DJ236" s="4">
        <f t="shared" si="936"/>
        <v>5.8520434725818786</v>
      </c>
      <c r="DK236" s="4">
        <f t="shared" si="937"/>
        <v>6.8696369122175298</v>
      </c>
      <c r="DL236" s="38">
        <f t="shared" si="938"/>
        <v>398.82408706249691</v>
      </c>
      <c r="DM236" s="4" t="e">
        <f t="shared" si="939"/>
        <v>#REF!</v>
      </c>
      <c r="DN236" s="4">
        <f t="shared" si="940"/>
        <v>2.5130222387491825</v>
      </c>
      <c r="DO236" s="4">
        <f t="shared" si="776"/>
        <v>211.84192858291399</v>
      </c>
      <c r="DS236" s="4">
        <f t="shared" si="941"/>
        <v>0.85</v>
      </c>
      <c r="DT236" s="4">
        <f t="shared" si="942"/>
        <v>0.89881889763779532</v>
      </c>
      <c r="DU236" s="4">
        <f t="shared" si="943"/>
        <v>1</v>
      </c>
      <c r="DV236" s="4">
        <f t="shared" si="944"/>
        <v>0.89881889763779532</v>
      </c>
      <c r="DX236" s="4">
        <f t="shared" si="945"/>
        <v>385.84150144783257</v>
      </c>
      <c r="DY236" s="25">
        <f t="shared" si="851"/>
        <v>209.17281438713454</v>
      </c>
      <c r="EA236" s="4">
        <f t="shared" si="852"/>
        <v>0.76399606299212597</v>
      </c>
      <c r="EB236" s="4">
        <f t="shared" si="946"/>
        <v>7.0890752785809319</v>
      </c>
      <c r="EE236" s="4">
        <f t="shared" si="947"/>
        <v>63.830764864229231</v>
      </c>
      <c r="EF236" s="4">
        <f t="shared" si="948"/>
        <v>2.5130222387491825</v>
      </c>
      <c r="EG236" s="4">
        <f t="shared" si="949"/>
        <v>9.1231868546160763E-2</v>
      </c>
      <c r="EJ236" s="4">
        <f t="shared" si="853"/>
        <v>9.1231868546160763E-2</v>
      </c>
      <c r="EK236" s="4">
        <f t="shared" si="950"/>
        <v>0.28074666810443544</v>
      </c>
      <c r="EL236" s="4">
        <f t="shared" si="889"/>
        <v>4.2649646161419463</v>
      </c>
      <c r="EM236" s="4">
        <f t="shared" si="854"/>
        <v>5.85100886844935</v>
      </c>
      <c r="EN236" s="4" t="e">
        <f t="shared" si="863"/>
        <v>#REF!</v>
      </c>
      <c r="EO236" s="4" t="e">
        <f t="shared" si="864"/>
        <v>#REF!</v>
      </c>
      <c r="EP236" s="4" t="e">
        <f t="shared" si="951"/>
        <v>#REF!</v>
      </c>
      <c r="EQ236" s="4" t="e">
        <f t="shared" si="855"/>
        <v>#REF!</v>
      </c>
      <c r="ER236" s="4" t="e">
        <f t="shared" si="952"/>
        <v>#REF!</v>
      </c>
      <c r="FA236" s="23" t="e">
        <f t="shared" si="962"/>
        <v>#REF!</v>
      </c>
      <c r="FB236" s="23" t="e">
        <f t="shared" si="963"/>
        <v>#REF!</v>
      </c>
      <c r="FC236" s="23">
        <f t="shared" si="964"/>
        <v>1.6</v>
      </c>
      <c r="FD236" s="23" t="e">
        <f t="shared" si="965"/>
        <v>#REF!</v>
      </c>
      <c r="FE236" s="23">
        <f t="shared" si="966"/>
        <v>1.2</v>
      </c>
      <c r="FF236" s="23">
        <f t="shared" si="967"/>
        <v>1.2</v>
      </c>
      <c r="FG236" s="23">
        <f t="shared" si="968"/>
        <v>0</v>
      </c>
      <c r="FH236" s="23"/>
      <c r="FR236" s="4">
        <f t="shared" si="842"/>
        <v>1</v>
      </c>
      <c r="FS236" s="4">
        <f t="shared" si="843"/>
        <v>0.74803149606299213</v>
      </c>
      <c r="FT236" s="4">
        <f t="shared" si="844"/>
        <v>0</v>
      </c>
      <c r="FU236" s="4">
        <f t="shared" si="845"/>
        <v>269.72877303032794</v>
      </c>
    </row>
    <row r="237" spans="2:177" ht="12" customHeight="1" x14ac:dyDescent="0.3">
      <c r="B237" s="24"/>
      <c r="C237" s="4" t="s">
        <v>349</v>
      </c>
      <c r="D237" s="7">
        <v>578</v>
      </c>
      <c r="E237" s="7">
        <f>305-J237-18</f>
        <v>211</v>
      </c>
      <c r="F237" s="7">
        <v>35.200000000000003</v>
      </c>
      <c r="G237" s="7">
        <v>25.4</v>
      </c>
      <c r="H237" s="7">
        <v>305</v>
      </c>
      <c r="I237" s="7">
        <v>76</v>
      </c>
      <c r="J237" s="7">
        <v>76</v>
      </c>
      <c r="K237" s="7">
        <f t="shared" si="886"/>
        <v>102.19999999999999</v>
      </c>
      <c r="L237" s="7">
        <v>2</v>
      </c>
      <c r="M237" s="7">
        <f t="shared" si="856"/>
        <v>280</v>
      </c>
      <c r="N237" s="7">
        <f t="shared" si="905"/>
        <v>2.5118110236220472</v>
      </c>
      <c r="O237" s="7">
        <f t="shared" si="906"/>
        <v>3.4921259842519685</v>
      </c>
      <c r="P237" s="7">
        <f>1624/(G237^2*PI()/4)-1</f>
        <v>2.205004992017336</v>
      </c>
      <c r="Q237" s="7">
        <f>1624/(G237^2*PI()/4)-1</f>
        <v>2.205004992017336</v>
      </c>
      <c r="R237" s="7">
        <f t="shared" si="907"/>
        <v>3.205004992017336</v>
      </c>
      <c r="S237" s="7">
        <f t="shared" si="908"/>
        <v>45.472420439755616</v>
      </c>
      <c r="T237" s="7">
        <f t="shared" si="909"/>
        <v>578</v>
      </c>
      <c r="U237" s="7">
        <v>18</v>
      </c>
      <c r="V237" s="7">
        <f>183*1000/(G237^2*PI()/4)</f>
        <v>361.15511917436726</v>
      </c>
      <c r="W237" s="7"/>
      <c r="X237" s="4">
        <f t="shared" si="910"/>
        <v>0.864466025227837</v>
      </c>
      <c r="Y237" s="7"/>
      <c r="Z237" s="7"/>
      <c r="AA237" s="7">
        <v>1</v>
      </c>
      <c r="AB237" s="7"/>
      <c r="AC237" s="7"/>
      <c r="AD237" s="7">
        <f t="shared" si="911"/>
        <v>4.9608150470219439</v>
      </c>
      <c r="AE237" s="4">
        <f t="shared" si="912"/>
        <v>211</v>
      </c>
      <c r="AF237" s="4">
        <f t="shared" si="913"/>
        <v>0.48183254344391785</v>
      </c>
      <c r="AG237" s="4">
        <f t="shared" si="914"/>
        <v>179.43522533734807</v>
      </c>
      <c r="AH237" s="4">
        <f t="shared" si="915"/>
        <v>0.7840758293838862</v>
      </c>
      <c r="AI237" s="4">
        <v>1.25</v>
      </c>
      <c r="AJ237" s="4">
        <f t="shared" si="857"/>
        <v>2.5</v>
      </c>
      <c r="AK237" s="38">
        <f t="shared" si="848"/>
        <v>211.84192858291391</v>
      </c>
      <c r="AL237" s="38">
        <f t="shared" si="953"/>
        <v>211.84192858291391</v>
      </c>
      <c r="AM237" s="38">
        <f t="shared" si="916"/>
        <v>3.222179253401551</v>
      </c>
      <c r="AN237" s="38">
        <f t="shared" si="858"/>
        <v>211.84192858291399</v>
      </c>
      <c r="AO237" s="38">
        <f t="shared" si="840"/>
        <v>0.99999999999999956</v>
      </c>
      <c r="AP237" s="38">
        <f t="shared" si="859"/>
        <v>1.4330215371477693</v>
      </c>
      <c r="AQ237" s="4">
        <f t="shared" si="860"/>
        <v>0</v>
      </c>
      <c r="AR237" s="4" t="e">
        <f>#REF!/G237*F237^0.5/0.19</f>
        <v>#REF!</v>
      </c>
      <c r="AS237" s="4">
        <f t="shared" si="917"/>
        <v>1.1561128526645768</v>
      </c>
      <c r="AT237" s="38">
        <f t="shared" si="918"/>
        <v>303.57404613023539</v>
      </c>
      <c r="AU237" s="4">
        <f t="shared" si="919"/>
        <v>0.69129930111757298</v>
      </c>
      <c r="AV237" s="4" t="e">
        <f>AU237*D237*#REF!/(D237*G237/2.75/F237^0.5)</f>
        <v>#REF!</v>
      </c>
      <c r="AW237" s="4" t="e">
        <f t="shared" si="849"/>
        <v>#REF!</v>
      </c>
      <c r="AY237" s="4">
        <f t="shared" si="920"/>
        <v>1.4980314960629921</v>
      </c>
      <c r="AZ237" s="4" t="e">
        <f>(3*#REF!+30)*AY237*F237^0.5</f>
        <v>#REF!</v>
      </c>
      <c r="BB237" s="4">
        <f t="shared" si="921"/>
        <v>291.16463492561229</v>
      </c>
      <c r="BC237" s="4">
        <f t="shared" si="922"/>
        <v>81053.819577985545</v>
      </c>
      <c r="BD237" s="4">
        <f t="shared" si="862"/>
        <v>278.37796852867604</v>
      </c>
      <c r="BL237" s="4">
        <f t="shared" si="923"/>
        <v>51.099999999999994</v>
      </c>
      <c r="BP237" s="9"/>
      <c r="BR237" s="9"/>
      <c r="BS237" s="9"/>
      <c r="BT237" s="9">
        <f t="shared" si="924"/>
        <v>51.099999999999994</v>
      </c>
      <c r="BU237" s="9">
        <f t="shared" si="925"/>
        <v>76</v>
      </c>
      <c r="BV237" s="9">
        <f t="shared" si="926"/>
        <v>1.5054020239149992</v>
      </c>
      <c r="BW237" s="9">
        <v>0</v>
      </c>
      <c r="BX237" s="9">
        <f t="shared" si="927"/>
        <v>0</v>
      </c>
      <c r="BY237" s="9">
        <f t="shared" si="850"/>
        <v>0</v>
      </c>
      <c r="BZ237" s="9">
        <f t="shared" si="928"/>
        <v>0.99524931562137331</v>
      </c>
      <c r="CA237" s="9">
        <f t="shared" si="929"/>
        <v>0.88300000000000001</v>
      </c>
      <c r="CB237" s="9">
        <f t="shared" si="930"/>
        <v>1.8248701497446835</v>
      </c>
      <c r="CC237" s="9">
        <f t="shared" si="931"/>
        <v>2.7471632168077145</v>
      </c>
      <c r="CD237" s="9">
        <v>1</v>
      </c>
      <c r="CE237" s="9" t="e">
        <f>4*CC237*#REF!+60*CC237</f>
        <v>#REF!</v>
      </c>
      <c r="CG237" s="4" t="e">
        <f t="shared" si="954"/>
        <v>#REF!</v>
      </c>
      <c r="CH237" s="4" t="e">
        <f t="shared" si="955"/>
        <v>#REF!</v>
      </c>
      <c r="CI237" s="4" t="e">
        <f t="shared" si="956"/>
        <v>#REF!</v>
      </c>
      <c r="CJ237" s="4" t="e">
        <f t="shared" si="957"/>
        <v>#REF!</v>
      </c>
      <c r="CK237" s="4">
        <f t="shared" si="958"/>
        <v>0.864466025227837</v>
      </c>
      <c r="CL237" s="4">
        <f t="shared" si="959"/>
        <v>0.93601937017964099</v>
      </c>
      <c r="CM237" s="4">
        <f t="shared" si="960"/>
        <v>1.338956593754866</v>
      </c>
      <c r="CO237" s="4" t="e">
        <f t="shared" si="892"/>
        <v>#REF!</v>
      </c>
      <c r="CP237" s="4" t="e">
        <f t="shared" si="893"/>
        <v>#REF!</v>
      </c>
      <c r="CQ237" s="4" t="e">
        <f t="shared" si="894"/>
        <v>#REF!</v>
      </c>
      <c r="CR237" s="4">
        <f t="shared" si="961"/>
        <v>1.338956593754866</v>
      </c>
      <c r="CS237" s="4">
        <f t="shared" si="896"/>
        <v>0.864466025227837</v>
      </c>
      <c r="CT237" s="4">
        <f t="shared" si="897"/>
        <v>0.93601937017964099</v>
      </c>
      <c r="DB237" s="4">
        <f t="shared" si="888"/>
        <v>0</v>
      </c>
      <c r="DC237" s="4" t="e">
        <f>#REF!</f>
        <v>#REF!</v>
      </c>
      <c r="DF237" s="4">
        <f t="shared" si="932"/>
        <v>1.5382617175677067E-5</v>
      </c>
      <c r="DG237" s="4">
        <f t="shared" si="933"/>
        <v>7.0890752785809319</v>
      </c>
      <c r="DH237" s="4">
        <f t="shared" si="934"/>
        <v>0.48291937453805894</v>
      </c>
      <c r="DI237" s="4">
        <f t="shared" si="935"/>
        <v>5.298335314469159</v>
      </c>
      <c r="DJ237" s="4">
        <f t="shared" si="936"/>
        <v>6.2582206434403789</v>
      </c>
      <c r="DK237" s="4">
        <f t="shared" si="937"/>
        <v>6.8432350850706829</v>
      </c>
      <c r="DL237" s="38">
        <f t="shared" si="938"/>
        <v>417.7782684740929</v>
      </c>
      <c r="DM237" s="4" t="e">
        <f t="shared" si="939"/>
        <v>#REF!</v>
      </c>
      <c r="DN237" s="4">
        <f t="shared" si="940"/>
        <v>1.7902527732187252</v>
      </c>
      <c r="DO237" s="4">
        <f t="shared" si="776"/>
        <v>211.84192858291399</v>
      </c>
      <c r="DS237" s="4">
        <f t="shared" si="941"/>
        <v>0.85</v>
      </c>
      <c r="DT237" s="4">
        <f t="shared" si="942"/>
        <v>0.89881889763779532</v>
      </c>
      <c r="DU237" s="4">
        <f t="shared" si="943"/>
        <v>1</v>
      </c>
      <c r="DV237" s="4">
        <f t="shared" si="944"/>
        <v>0.89881889763779532</v>
      </c>
      <c r="DX237" s="4">
        <f t="shared" si="945"/>
        <v>385.84150144783257</v>
      </c>
      <c r="DY237" s="25">
        <f t="shared" si="851"/>
        <v>209.17281438713454</v>
      </c>
      <c r="EA237" s="4">
        <f t="shared" si="852"/>
        <v>0.76399606299212597</v>
      </c>
      <c r="EB237" s="4">
        <f t="shared" si="946"/>
        <v>7.0890752785809319</v>
      </c>
      <c r="EE237" s="4">
        <f t="shared" si="947"/>
        <v>45.472420439755616</v>
      </c>
      <c r="EF237" s="4">
        <f t="shared" si="948"/>
        <v>1.7902527732187252</v>
      </c>
      <c r="EG237" s="4">
        <f t="shared" si="949"/>
        <v>0.15666833451122594</v>
      </c>
      <c r="EJ237" s="4">
        <f t="shared" si="853"/>
        <v>0.15666833451122594</v>
      </c>
      <c r="EK237" s="4">
        <f t="shared" si="950"/>
        <v>0.48211347210589123</v>
      </c>
      <c r="EL237" s="4">
        <f t="shared" si="889"/>
        <v>5.2947967685609179</v>
      </c>
      <c r="EM237" s="4">
        <f t="shared" si="854"/>
        <v>6.2567241775106712</v>
      </c>
      <c r="EN237" s="4" t="e">
        <f t="shared" si="863"/>
        <v>#REF!</v>
      </c>
      <c r="EO237" s="4" t="e">
        <f t="shared" si="864"/>
        <v>#REF!</v>
      </c>
      <c r="EP237" s="4" t="e">
        <f t="shared" si="951"/>
        <v>#REF!</v>
      </c>
      <c r="EQ237" s="4" t="e">
        <f t="shared" si="855"/>
        <v>#REF!</v>
      </c>
      <c r="ER237" s="4" t="e">
        <f t="shared" si="952"/>
        <v>#REF!</v>
      </c>
      <c r="FA237" s="23" t="e">
        <f t="shared" si="962"/>
        <v>#REF!</v>
      </c>
      <c r="FB237" s="23" t="e">
        <f t="shared" si="963"/>
        <v>#REF!</v>
      </c>
      <c r="FC237" s="23">
        <f t="shared" si="964"/>
        <v>1.4</v>
      </c>
      <c r="FD237" s="23" t="e">
        <f t="shared" si="965"/>
        <v>#REF!</v>
      </c>
      <c r="FE237" s="23">
        <f t="shared" si="966"/>
        <v>1</v>
      </c>
      <c r="FF237" s="23">
        <f t="shared" si="967"/>
        <v>1</v>
      </c>
      <c r="FG237" s="23">
        <f t="shared" si="968"/>
        <v>0</v>
      </c>
      <c r="FH237" s="23"/>
      <c r="FR237" s="4">
        <f t="shared" si="842"/>
        <v>1</v>
      </c>
      <c r="FS237" s="4">
        <f t="shared" si="843"/>
        <v>0.74803149606299213</v>
      </c>
      <c r="FT237" s="4">
        <f t="shared" si="844"/>
        <v>0</v>
      </c>
      <c r="FU237" s="4">
        <f t="shared" si="845"/>
        <v>269.72877303032794</v>
      </c>
    </row>
    <row r="238" spans="2:177" ht="12" customHeight="1" x14ac:dyDescent="0.3">
      <c r="B238" s="24"/>
      <c r="C238" s="4" t="s">
        <v>350</v>
      </c>
      <c r="D238" s="7">
        <v>556</v>
      </c>
      <c r="E238" s="7">
        <f>381-J238-20</f>
        <v>285</v>
      </c>
      <c r="F238" s="7">
        <v>33.200000000000003</v>
      </c>
      <c r="G238" s="7">
        <v>35.799999999999997</v>
      </c>
      <c r="H238" s="7">
        <v>305</v>
      </c>
      <c r="I238" s="7">
        <v>76</v>
      </c>
      <c r="J238" s="7">
        <v>76</v>
      </c>
      <c r="K238" s="7">
        <f t="shared" si="886"/>
        <v>81.400000000000006</v>
      </c>
      <c r="L238" s="7">
        <v>2</v>
      </c>
      <c r="M238" s="7">
        <f t="shared" si="856"/>
        <v>280</v>
      </c>
      <c r="N238" s="7">
        <f t="shared" si="905"/>
        <v>1.6368715083798884</v>
      </c>
      <c r="O238" s="7">
        <f t="shared" si="906"/>
        <v>2.6229050279329611</v>
      </c>
      <c r="P238" s="7">
        <f>2970/(G238^2*PI()/4)-1</f>
        <v>1.9505332604034158</v>
      </c>
      <c r="Q238" s="7">
        <f>2970/(G238^2*PI()/4)-1</f>
        <v>1.9505332604034158</v>
      </c>
      <c r="R238" s="7">
        <f t="shared" si="907"/>
        <v>2.9505332604034158</v>
      </c>
      <c r="S238" s="7">
        <f t="shared" si="908"/>
        <v>61.494076526633307</v>
      </c>
      <c r="T238" s="7">
        <f t="shared" si="909"/>
        <v>556</v>
      </c>
      <c r="U238" s="7">
        <v>20</v>
      </c>
      <c r="V238" s="7">
        <f>306*1000/(G238^2*PI()/4)</f>
        <v>303.99433592035194</v>
      </c>
      <c r="W238" s="7"/>
      <c r="X238" s="4">
        <f t="shared" si="910"/>
        <v>1.1163081599228812</v>
      </c>
      <c r="Y238" s="7"/>
      <c r="Z238" s="7"/>
      <c r="AA238" s="7">
        <v>1</v>
      </c>
      <c r="AB238" s="7"/>
      <c r="AC238" s="7"/>
      <c r="AD238" s="7">
        <f t="shared" si="911"/>
        <v>7.2952218430034126</v>
      </c>
      <c r="AE238" s="4">
        <f t="shared" si="912"/>
        <v>285</v>
      </c>
      <c r="AF238" s="4">
        <f t="shared" si="913"/>
        <v>0.35672514619883039</v>
      </c>
      <c r="AG238" s="4">
        <f t="shared" si="914"/>
        <v>137.70521941374017</v>
      </c>
      <c r="AH238" s="4">
        <f t="shared" si="915"/>
        <v>0.76589473684210518</v>
      </c>
      <c r="AI238" s="4">
        <v>1.25</v>
      </c>
      <c r="AJ238" s="4">
        <f t="shared" si="857"/>
        <v>2.5</v>
      </c>
      <c r="AK238" s="38">
        <f t="shared" si="848"/>
        <v>117.57181779723911</v>
      </c>
      <c r="AL238" s="38">
        <f t="shared" si="953"/>
        <v>117.57181779723911</v>
      </c>
      <c r="AM238" s="38">
        <f t="shared" si="916"/>
        <v>3.098941018792384</v>
      </c>
      <c r="AN238" s="38">
        <f t="shared" si="858"/>
        <v>117.57181779723915</v>
      </c>
      <c r="AO238" s="38">
        <f t="shared" si="840"/>
        <v>0.99999999999999967</v>
      </c>
      <c r="AP238" s="38">
        <f t="shared" si="859"/>
        <v>1.6021839252307555</v>
      </c>
      <c r="AQ238" s="4">
        <f t="shared" si="860"/>
        <v>0</v>
      </c>
      <c r="AR238" s="4" t="e">
        <f>#REF!/G238*F238^0.5/0.19</f>
        <v>#REF!</v>
      </c>
      <c r="AS238" s="4">
        <f t="shared" si="917"/>
        <v>1.2409556313993173</v>
      </c>
      <c r="AT238" s="38">
        <f t="shared" si="918"/>
        <v>188.37167653489581</v>
      </c>
      <c r="AU238" s="4">
        <f t="shared" si="919"/>
        <v>0.72692534354352178</v>
      </c>
      <c r="AV238" s="4" t="e">
        <f>AU238*D238*#REF!/(D238*G238/2.75/F238^0.5)</f>
        <v>#REF!</v>
      </c>
      <c r="AW238" s="4" t="e">
        <f t="shared" si="849"/>
        <v>#REF!</v>
      </c>
      <c r="AY238" s="4">
        <f t="shared" si="920"/>
        <v>1.2807262569832403</v>
      </c>
      <c r="AZ238" s="4" t="e">
        <f>(3*#REF!+30)*AY238*F238^0.5</f>
        <v>#REF!</v>
      </c>
      <c r="BB238" s="4">
        <f t="shared" si="921"/>
        <v>180.67147415190635</v>
      </c>
      <c r="BC238" s="4">
        <f t="shared" si="922"/>
        <v>25439.539549546142</v>
      </c>
      <c r="BD238" s="4">
        <f t="shared" si="862"/>
        <v>140.80551270731809</v>
      </c>
      <c r="BL238" s="4">
        <f t="shared" si="923"/>
        <v>40.700000000000003</v>
      </c>
      <c r="BP238" s="9"/>
      <c r="BR238" s="9"/>
      <c r="BS238" s="9"/>
      <c r="BT238" s="9">
        <f t="shared" si="924"/>
        <v>40.700000000000003</v>
      </c>
      <c r="BU238" s="9">
        <f t="shared" si="925"/>
        <v>76</v>
      </c>
      <c r="BV238" s="9">
        <f t="shared" si="926"/>
        <v>1.1709505872794554</v>
      </c>
      <c r="BW238" s="9">
        <v>0</v>
      </c>
      <c r="BX238" s="9">
        <f t="shared" si="927"/>
        <v>0</v>
      </c>
      <c r="BY238" s="9">
        <f t="shared" si="850"/>
        <v>0</v>
      </c>
      <c r="BZ238" s="9">
        <f t="shared" si="928"/>
        <v>0.89787751228078194</v>
      </c>
      <c r="CA238" s="9">
        <f t="shared" si="929"/>
        <v>0.91600000000000004</v>
      </c>
      <c r="CB238" s="9">
        <f t="shared" si="930"/>
        <v>1.6586305277394953</v>
      </c>
      <c r="CC238" s="9">
        <f t="shared" si="931"/>
        <v>1.942174390536195</v>
      </c>
      <c r="CD238" s="9">
        <v>1</v>
      </c>
      <c r="CE238" s="9" t="e">
        <f>4*CC238*#REF!+60*CC238</f>
        <v>#REF!</v>
      </c>
      <c r="CG238" s="4" t="e">
        <f t="shared" si="954"/>
        <v>#REF!</v>
      </c>
      <c r="CH238" s="4" t="e">
        <f t="shared" si="955"/>
        <v>#REF!</v>
      </c>
      <c r="CI238" s="4" t="e">
        <f t="shared" si="956"/>
        <v>#REF!</v>
      </c>
      <c r="CJ238" s="4" t="e">
        <f t="shared" si="957"/>
        <v>#REF!</v>
      </c>
      <c r="CK238" s="4">
        <f t="shared" si="958"/>
        <v>1.1163081599228812</v>
      </c>
      <c r="CL238" s="4">
        <f t="shared" si="959"/>
        <v>1.2119877238401617</v>
      </c>
      <c r="CM238" s="4">
        <f t="shared" si="960"/>
        <v>1.6929650308865152</v>
      </c>
      <c r="CO238" s="4" t="e">
        <f t="shared" si="892"/>
        <v>#REF!</v>
      </c>
      <c r="CP238" s="4" t="e">
        <f t="shared" si="893"/>
        <v>#REF!</v>
      </c>
      <c r="CQ238" s="4" t="e">
        <f t="shared" si="894"/>
        <v>#REF!</v>
      </c>
      <c r="CR238" s="4">
        <f t="shared" si="961"/>
        <v>1.6929650308865152</v>
      </c>
      <c r="CS238" s="4">
        <f t="shared" si="896"/>
        <v>1.1163081599228812</v>
      </c>
      <c r="CT238" s="4">
        <f t="shared" si="897"/>
        <v>1.2119877238401617</v>
      </c>
      <c r="DB238" s="4">
        <f t="shared" si="888"/>
        <v>0</v>
      </c>
      <c r="DC238" s="4" t="e">
        <f>#REF!</f>
        <v>#REF!</v>
      </c>
      <c r="DF238" s="4">
        <f t="shared" si="932"/>
        <v>1.4539801168325371E-5</v>
      </c>
      <c r="DG238" s="4">
        <f t="shared" si="933"/>
        <v>5.6466037423412478</v>
      </c>
      <c r="DH238" s="4">
        <f t="shared" si="934"/>
        <v>0.43442213896878051</v>
      </c>
      <c r="DI238" s="4">
        <f t="shared" si="935"/>
        <v>4.0453126399641084</v>
      </c>
      <c r="DJ238" s="4">
        <f t="shared" si="936"/>
        <v>4.9118289205503318</v>
      </c>
      <c r="DK238" s="4">
        <f t="shared" si="937"/>
        <v>5.4510711945142196</v>
      </c>
      <c r="DL238" s="38">
        <f t="shared" si="938"/>
        <v>272.32116259129828</v>
      </c>
      <c r="DM238" s="4" t="e">
        <f t="shared" si="939"/>
        <v>#REF!</v>
      </c>
      <c r="DN238" s="4">
        <f t="shared" si="940"/>
        <v>1.7177116348221595</v>
      </c>
      <c r="DO238" s="4">
        <f t="shared" si="776"/>
        <v>117.57181779723915</v>
      </c>
      <c r="DS238" s="4">
        <f t="shared" si="941"/>
        <v>0.85</v>
      </c>
      <c r="DT238" s="4">
        <f t="shared" si="942"/>
        <v>0.98631284916201112</v>
      </c>
      <c r="DU238" s="4">
        <f t="shared" si="943"/>
        <v>1</v>
      </c>
      <c r="DV238" s="4">
        <f t="shared" si="944"/>
        <v>0.98631284916201112</v>
      </c>
      <c r="DX238" s="4">
        <f t="shared" si="945"/>
        <v>250.82294972192562</v>
      </c>
      <c r="DY238" s="25">
        <f t="shared" si="851"/>
        <v>115.96691062411087</v>
      </c>
      <c r="EA238" s="4">
        <f t="shared" si="852"/>
        <v>0.83836592178770941</v>
      </c>
      <c r="EB238" s="4">
        <f t="shared" si="946"/>
        <v>5.6466037423412478</v>
      </c>
      <c r="EE238" s="4">
        <f t="shared" si="947"/>
        <v>61.494076526633307</v>
      </c>
      <c r="EF238" s="4">
        <f t="shared" si="948"/>
        <v>1.7177116348221595</v>
      </c>
      <c r="EG238" s="4">
        <f t="shared" si="949"/>
        <v>0.13687251798402508</v>
      </c>
      <c r="EJ238" s="4">
        <f t="shared" si="853"/>
        <v>0.13687251798402508</v>
      </c>
      <c r="EK238" s="4">
        <f t="shared" si="950"/>
        <v>0.43369716938412217</v>
      </c>
      <c r="EL238" s="4">
        <f t="shared" si="889"/>
        <v>4.0426109377047954</v>
      </c>
      <c r="EM238" s="4">
        <f t="shared" si="854"/>
        <v>4.9107178946531684</v>
      </c>
      <c r="EN238" s="4" t="e">
        <f t="shared" si="863"/>
        <v>#REF!</v>
      </c>
      <c r="EO238" s="4" t="e">
        <f t="shared" si="864"/>
        <v>#REF!</v>
      </c>
      <c r="EP238" s="4" t="e">
        <f t="shared" si="951"/>
        <v>#REF!</v>
      </c>
      <c r="EQ238" s="4" t="e">
        <f t="shared" si="855"/>
        <v>#REF!</v>
      </c>
      <c r="ER238" s="4" t="e">
        <f t="shared" si="952"/>
        <v>#REF!</v>
      </c>
      <c r="FA238" s="23" t="e">
        <f t="shared" si="962"/>
        <v>#REF!</v>
      </c>
      <c r="FB238" s="23" t="e">
        <f t="shared" si="963"/>
        <v>#REF!</v>
      </c>
      <c r="FC238" s="23">
        <f t="shared" si="964"/>
        <v>1.8</v>
      </c>
      <c r="FD238" s="23" t="e">
        <f t="shared" si="965"/>
        <v>#REF!</v>
      </c>
      <c r="FE238" s="23">
        <f t="shared" si="966"/>
        <v>1.2</v>
      </c>
      <c r="FF238" s="23">
        <f t="shared" si="967"/>
        <v>1.4</v>
      </c>
      <c r="FG238" s="23">
        <f t="shared" si="968"/>
        <v>0</v>
      </c>
      <c r="FH238" s="23"/>
      <c r="FR238" s="4">
        <f t="shared" si="842"/>
        <v>1</v>
      </c>
      <c r="FS238" s="4">
        <f t="shared" si="843"/>
        <v>0.8938547486033519</v>
      </c>
      <c r="FT238" s="4">
        <f t="shared" si="844"/>
        <v>0</v>
      </c>
      <c r="FU238" s="4">
        <f t="shared" si="845"/>
        <v>179.56326939674966</v>
      </c>
    </row>
    <row r="239" spans="2:177" ht="12" customHeight="1" x14ac:dyDescent="0.3">
      <c r="B239" s="24"/>
      <c r="C239" s="4" t="s">
        <v>351</v>
      </c>
      <c r="D239" s="7">
        <v>556</v>
      </c>
      <c r="E239" s="7">
        <f>381-J239-20</f>
        <v>285</v>
      </c>
      <c r="F239" s="7">
        <v>32.299999999999997</v>
      </c>
      <c r="G239" s="7">
        <v>35.799999999999997</v>
      </c>
      <c r="H239" s="7">
        <v>305</v>
      </c>
      <c r="I239" s="7">
        <v>76</v>
      </c>
      <c r="J239" s="7">
        <v>76</v>
      </c>
      <c r="K239" s="7">
        <f t="shared" si="886"/>
        <v>81.400000000000006</v>
      </c>
      <c r="L239" s="7">
        <v>2</v>
      </c>
      <c r="M239" s="7">
        <f t="shared" si="856"/>
        <v>280</v>
      </c>
      <c r="N239" s="7">
        <f t="shared" si="905"/>
        <v>1.6368715083798884</v>
      </c>
      <c r="O239" s="7">
        <f t="shared" si="906"/>
        <v>2.6229050279329611</v>
      </c>
      <c r="P239" s="7">
        <f>2970/(G239^2*PI()/4)-1</f>
        <v>1.9505332604034158</v>
      </c>
      <c r="Q239" s="7">
        <f>2970/(G239^2*PI()/4)-1</f>
        <v>1.9505332604034158</v>
      </c>
      <c r="R239" s="7">
        <f t="shared" si="907"/>
        <v>2.9505332604034158</v>
      </c>
      <c r="S239" s="7">
        <f t="shared" si="908"/>
        <v>61.494076526633307</v>
      </c>
      <c r="T239" s="7">
        <f t="shared" si="909"/>
        <v>556</v>
      </c>
      <c r="U239" s="7">
        <v>20</v>
      </c>
      <c r="V239" s="7">
        <f>357*1000/(G239^2*PI()/4)</f>
        <v>354.66005857374392</v>
      </c>
      <c r="W239" s="7"/>
      <c r="X239" s="4">
        <f t="shared" si="910"/>
        <v>1.3187489627900544</v>
      </c>
      <c r="Y239" s="7"/>
      <c r="Z239" s="7"/>
      <c r="AA239" s="7">
        <v>1</v>
      </c>
      <c r="AB239" s="7"/>
      <c r="AC239" s="7"/>
      <c r="AD239" s="7">
        <f t="shared" si="911"/>
        <v>7.2952218430034126</v>
      </c>
      <c r="AE239" s="4">
        <f t="shared" si="912"/>
        <v>285</v>
      </c>
      <c r="AF239" s="4">
        <f t="shared" si="913"/>
        <v>0.35672514619883039</v>
      </c>
      <c r="AG239" s="4">
        <f t="shared" si="914"/>
        <v>135.82590921165087</v>
      </c>
      <c r="AH239" s="4">
        <f t="shared" si="915"/>
        <v>0.76589473684210518</v>
      </c>
      <c r="AI239" s="4">
        <v>1.25</v>
      </c>
      <c r="AJ239" s="4">
        <f t="shared" si="857"/>
        <v>2.5</v>
      </c>
      <c r="AK239" s="38">
        <f t="shared" si="848"/>
        <v>115.9672750093534</v>
      </c>
      <c r="AL239" s="38">
        <f t="shared" si="953"/>
        <v>115.9672750093534</v>
      </c>
      <c r="AM239" s="38">
        <f t="shared" si="916"/>
        <v>3.042679928466983</v>
      </c>
      <c r="AN239" s="38">
        <f t="shared" si="858"/>
        <v>115.96727500935347</v>
      </c>
      <c r="AO239" s="38">
        <f t="shared" si="840"/>
        <v>0.99999999999999933</v>
      </c>
      <c r="AP239" s="38">
        <f t="shared" si="859"/>
        <v>1.5803183735172579</v>
      </c>
      <c r="AQ239" s="4">
        <f t="shared" si="860"/>
        <v>0</v>
      </c>
      <c r="AR239" s="4" t="e">
        <f>#REF!/G239*F239^0.5/0.19</f>
        <v>#REF!</v>
      </c>
      <c r="AS239" s="4">
        <f t="shared" si="917"/>
        <v>1.2409556313993173</v>
      </c>
      <c r="AT239" s="38">
        <f t="shared" si="918"/>
        <v>183.26521542401002</v>
      </c>
      <c r="AU239" s="4">
        <f t="shared" si="919"/>
        <v>0.72692534354352178</v>
      </c>
      <c r="AV239" s="4" t="e">
        <f>AU239*D239*#REF!/(D239*G239/2.75/F239^0.5)</f>
        <v>#REF!</v>
      </c>
      <c r="AW239" s="4" t="e">
        <f t="shared" si="849"/>
        <v>#REF!</v>
      </c>
      <c r="AY239" s="4">
        <f t="shared" si="920"/>
        <v>1.2807262569832403</v>
      </c>
      <c r="AZ239" s="4" t="e">
        <f>(3*#REF!+30)*AY239*F239^0.5</f>
        <v>#REF!</v>
      </c>
      <c r="BB239" s="4">
        <f t="shared" si="921"/>
        <v>175.77375346706549</v>
      </c>
      <c r="BC239" s="4">
        <f t="shared" si="922"/>
        <v>25439.539549546142</v>
      </c>
      <c r="BD239" s="4">
        <f t="shared" si="862"/>
        <v>144.72888612640747</v>
      </c>
      <c r="BL239" s="4">
        <f t="shared" si="923"/>
        <v>40.700000000000003</v>
      </c>
      <c r="BP239" s="9"/>
      <c r="BR239" s="9"/>
      <c r="BS239" s="9"/>
      <c r="BT239" s="9">
        <f t="shared" si="924"/>
        <v>40.700000000000003</v>
      </c>
      <c r="BU239" s="9">
        <f t="shared" si="925"/>
        <v>76</v>
      </c>
      <c r="BV239" s="9">
        <f t="shared" si="926"/>
        <v>1.1709505872794554</v>
      </c>
      <c r="BW239" s="9">
        <v>0</v>
      </c>
      <c r="BX239" s="9">
        <f t="shared" si="927"/>
        <v>0</v>
      </c>
      <c r="BY239" s="9">
        <f t="shared" si="850"/>
        <v>0</v>
      </c>
      <c r="BZ239" s="9">
        <f t="shared" si="928"/>
        <v>0.89787751228078194</v>
      </c>
      <c r="CA239" s="9">
        <f t="shared" si="929"/>
        <v>0.91600000000000004</v>
      </c>
      <c r="CB239" s="9">
        <f t="shared" si="930"/>
        <v>1.6359946299460197</v>
      </c>
      <c r="CC239" s="9">
        <f t="shared" si="931"/>
        <v>1.9156688727213271</v>
      </c>
      <c r="CD239" s="9">
        <v>1</v>
      </c>
      <c r="CE239" s="9" t="e">
        <f>4*CC239*#REF!+60*CC239</f>
        <v>#REF!</v>
      </c>
      <c r="CG239" s="4" t="e">
        <f t="shared" si="954"/>
        <v>#REF!</v>
      </c>
      <c r="CH239" s="4" t="e">
        <f t="shared" si="955"/>
        <v>#REF!</v>
      </c>
      <c r="CI239" s="4" t="e">
        <f t="shared" si="956"/>
        <v>#REF!</v>
      </c>
      <c r="CJ239" s="4" t="e">
        <f t="shared" si="957"/>
        <v>#REF!</v>
      </c>
      <c r="CK239" s="4">
        <f t="shared" si="958"/>
        <v>1.3187489627900544</v>
      </c>
      <c r="CL239" s="4">
        <f t="shared" si="959"/>
        <v>1.4335498222786425</v>
      </c>
      <c r="CM239" s="4">
        <f t="shared" si="960"/>
        <v>1.9887430163203406</v>
      </c>
      <c r="CO239" s="4" t="e">
        <f t="shared" si="892"/>
        <v>#REF!</v>
      </c>
      <c r="CP239" s="4" t="e">
        <f t="shared" si="893"/>
        <v>#REF!</v>
      </c>
      <c r="CQ239" s="4" t="e">
        <f t="shared" si="894"/>
        <v>#REF!</v>
      </c>
      <c r="CR239" s="4">
        <f t="shared" si="961"/>
        <v>1.9887430163203406</v>
      </c>
      <c r="CS239" s="4">
        <f t="shared" si="896"/>
        <v>1.3187489627900544</v>
      </c>
      <c r="CT239" s="4">
        <f t="shared" si="897"/>
        <v>1.4335498222786425</v>
      </c>
      <c r="DB239" s="4">
        <f t="shared" si="888"/>
        <v>0</v>
      </c>
      <c r="DC239" s="4" t="e">
        <f>#REF!</f>
        <v>#REF!</v>
      </c>
      <c r="DF239" s="4">
        <f t="shared" si="932"/>
        <v>1.4448873022591579E-5</v>
      </c>
      <c r="DG239" s="4">
        <f t="shared" si="933"/>
        <v>5.5695426108509878</v>
      </c>
      <c r="DH239" s="4">
        <f t="shared" si="934"/>
        <v>0.44043287699745309</v>
      </c>
      <c r="DI239" s="4">
        <f t="shared" si="935"/>
        <v>4.0120969880188291</v>
      </c>
      <c r="DJ239" s="4">
        <f t="shared" si="936"/>
        <v>4.8538581180670093</v>
      </c>
      <c r="DK239" s="4">
        <f t="shared" si="937"/>
        <v>5.3800412813062595</v>
      </c>
      <c r="DL239" s="38">
        <f t="shared" si="938"/>
        <v>268.93674882852287</v>
      </c>
      <c r="DM239" s="4" t="e">
        <f t="shared" si="939"/>
        <v>#REF!</v>
      </c>
      <c r="DN239" s="4">
        <f t="shared" si="940"/>
        <v>1.7177116348221595</v>
      </c>
      <c r="DO239" s="4">
        <f t="shared" si="776"/>
        <v>115.96727500935347</v>
      </c>
      <c r="DS239" s="4">
        <f t="shared" si="941"/>
        <v>0.85</v>
      </c>
      <c r="DT239" s="4">
        <f t="shared" si="942"/>
        <v>0.98631284916201112</v>
      </c>
      <c r="DU239" s="4">
        <f t="shared" si="943"/>
        <v>1</v>
      </c>
      <c r="DV239" s="4">
        <f t="shared" si="944"/>
        <v>0.98631284916201112</v>
      </c>
      <c r="DX239" s="4">
        <f t="shared" si="945"/>
        <v>247.39988318648602</v>
      </c>
      <c r="DY239" s="25">
        <f t="shared" si="851"/>
        <v>114.38427055303366</v>
      </c>
      <c r="EA239" s="4">
        <f t="shared" si="852"/>
        <v>0.83836592178770941</v>
      </c>
      <c r="EB239" s="4">
        <f t="shared" si="946"/>
        <v>5.5695426108509878</v>
      </c>
      <c r="EE239" s="4">
        <f t="shared" si="947"/>
        <v>61.494076526633307</v>
      </c>
      <c r="EF239" s="4">
        <f t="shared" si="948"/>
        <v>1.7177116348221595</v>
      </c>
      <c r="EG239" s="4">
        <f t="shared" si="949"/>
        <v>0.13687251798402508</v>
      </c>
      <c r="EJ239" s="4">
        <f t="shared" si="853"/>
        <v>0.13687251798402508</v>
      </c>
      <c r="EK239" s="4">
        <f t="shared" si="950"/>
        <v>0.43969787661127396</v>
      </c>
      <c r="EL239" s="4">
        <f t="shared" si="889"/>
        <v>4.009417469162849</v>
      </c>
      <c r="EM239" s="4">
        <f t="shared" si="854"/>
        <v>4.8527521445412711</v>
      </c>
      <c r="EN239" s="4" t="e">
        <f t="shared" si="863"/>
        <v>#REF!</v>
      </c>
      <c r="EO239" s="4" t="e">
        <f t="shared" si="864"/>
        <v>#REF!</v>
      </c>
      <c r="EP239" s="4" t="e">
        <f t="shared" si="951"/>
        <v>#REF!</v>
      </c>
      <c r="EQ239" s="4" t="e">
        <f t="shared" si="855"/>
        <v>#REF!</v>
      </c>
      <c r="ER239" s="4" t="e">
        <f t="shared" si="952"/>
        <v>#REF!</v>
      </c>
      <c r="FA239" s="23" t="e">
        <f t="shared" si="962"/>
        <v>#REF!</v>
      </c>
      <c r="FB239" s="23" t="e">
        <f t="shared" si="963"/>
        <v>#REF!</v>
      </c>
      <c r="FC239" s="23">
        <f t="shared" si="964"/>
        <v>2</v>
      </c>
      <c r="FD239" s="23" t="e">
        <f t="shared" si="965"/>
        <v>#REF!</v>
      </c>
      <c r="FE239" s="23">
        <f t="shared" si="966"/>
        <v>1.4</v>
      </c>
      <c r="FF239" s="23">
        <f t="shared" si="967"/>
        <v>1.6</v>
      </c>
      <c r="FG239" s="23">
        <f t="shared" si="968"/>
        <v>0</v>
      </c>
      <c r="FH239" s="23"/>
      <c r="FR239" s="4">
        <f t="shared" si="842"/>
        <v>1</v>
      </c>
      <c r="FS239" s="4">
        <f t="shared" si="843"/>
        <v>0.8938547486033519</v>
      </c>
      <c r="FT239" s="4">
        <f t="shared" si="844"/>
        <v>0</v>
      </c>
      <c r="FU239" s="4">
        <f t="shared" si="845"/>
        <v>178.33377950960778</v>
      </c>
    </row>
    <row r="240" spans="2:177" ht="12" customHeight="1" x14ac:dyDescent="0.3">
      <c r="B240" s="24"/>
      <c r="C240" s="4" t="s">
        <v>352</v>
      </c>
      <c r="D240" s="7">
        <v>556</v>
      </c>
      <c r="E240" s="7">
        <f>381-J240-25</f>
        <v>280</v>
      </c>
      <c r="F240" s="7">
        <v>32.299999999999997</v>
      </c>
      <c r="G240" s="7">
        <v>35.799999999999997</v>
      </c>
      <c r="H240" s="7">
        <v>305</v>
      </c>
      <c r="I240" s="7">
        <v>76</v>
      </c>
      <c r="J240" s="7">
        <v>76</v>
      </c>
      <c r="K240" s="7">
        <f t="shared" si="886"/>
        <v>81.400000000000006</v>
      </c>
      <c r="L240" s="7">
        <v>2</v>
      </c>
      <c r="M240" s="7">
        <f t="shared" si="856"/>
        <v>280</v>
      </c>
      <c r="N240" s="7">
        <f t="shared" si="905"/>
        <v>1.6368715083798884</v>
      </c>
      <c r="O240" s="7">
        <f t="shared" si="906"/>
        <v>2.6229050279329611</v>
      </c>
      <c r="P240" s="7">
        <f>3025/(G240^2*PI()/4)-1</f>
        <v>2.0051727652257014</v>
      </c>
      <c r="Q240" s="7">
        <f>3025/(G240^2*PI()/4)-1</f>
        <v>2.0051727652257014</v>
      </c>
      <c r="R240" s="7">
        <f t="shared" si="907"/>
        <v>3.0051727652257014</v>
      </c>
      <c r="S240" s="7">
        <f t="shared" si="908"/>
        <v>62.060854190253195</v>
      </c>
      <c r="T240" s="7">
        <f t="shared" si="909"/>
        <v>556</v>
      </c>
      <c r="U240" s="7">
        <v>25</v>
      </c>
      <c r="V240" s="7">
        <f>426*1000/(G240^2*PI()/4)</f>
        <v>423.20780098715659</v>
      </c>
      <c r="W240" s="7"/>
      <c r="X240" s="4">
        <f t="shared" si="910"/>
        <v>1.5899976895949632</v>
      </c>
      <c r="Y240" s="7">
        <v>9.5</v>
      </c>
      <c r="Z240" s="7">
        <v>2</v>
      </c>
      <c r="AA240" s="7">
        <v>102</v>
      </c>
      <c r="AB240" s="7">
        <v>4</v>
      </c>
      <c r="AC240" s="7">
        <f>Z240</f>
        <v>2</v>
      </c>
      <c r="AD240" s="7">
        <f t="shared" si="911"/>
        <v>7.1672354948805461</v>
      </c>
      <c r="AE240" s="4">
        <f t="shared" si="912"/>
        <v>280</v>
      </c>
      <c r="AF240" s="4">
        <f t="shared" si="913"/>
        <v>0.36309523809523808</v>
      </c>
      <c r="AG240" s="4">
        <f t="shared" si="914"/>
        <v>132.26726636732195</v>
      </c>
      <c r="AH240" s="4">
        <f t="shared" si="915"/>
        <v>0.76707142857142852</v>
      </c>
      <c r="AI240" s="4">
        <v>1.25</v>
      </c>
      <c r="AJ240" s="4">
        <f t="shared" si="857"/>
        <v>2.5</v>
      </c>
      <c r="AK240" s="38">
        <f t="shared" si="848"/>
        <v>115.1221149349475</v>
      </c>
      <c r="AL240" s="38">
        <f t="shared" si="953"/>
        <v>115.1221149349475</v>
      </c>
      <c r="AM240" s="38">
        <f t="shared" si="916"/>
        <v>3.042679928466983</v>
      </c>
      <c r="AN240" s="38">
        <f t="shared" si="858"/>
        <v>115.12211493494758</v>
      </c>
      <c r="AO240" s="38">
        <f t="shared" si="840"/>
        <v>0.99999999999999933</v>
      </c>
      <c r="AP240" s="38">
        <f t="shared" si="859"/>
        <v>1.6140630691622992</v>
      </c>
      <c r="AQ240" s="4">
        <f t="shared" si="860"/>
        <v>0</v>
      </c>
      <c r="AR240" s="4" t="e">
        <f>#REF!/G240*F240^0.5/0.19</f>
        <v>#REF!</v>
      </c>
      <c r="AS240" s="4">
        <f t="shared" si="917"/>
        <v>1.2409556313993173</v>
      </c>
      <c r="AT240" s="38">
        <f t="shared" si="918"/>
        <v>185.81435416035646</v>
      </c>
      <c r="AU240" s="4">
        <f t="shared" si="919"/>
        <v>0.71927581286840181</v>
      </c>
      <c r="AV240" s="4" t="e">
        <f>AU240*D240*#REF!/(D240*G240/2.75/F240^0.5)</f>
        <v>#REF!</v>
      </c>
      <c r="AW240" s="4" t="e">
        <f t="shared" si="849"/>
        <v>#REF!</v>
      </c>
      <c r="AY240" s="4">
        <f t="shared" si="920"/>
        <v>1.5</v>
      </c>
      <c r="AZ240" s="4" t="e">
        <f>(3*#REF!+30)*AY240*F240^0.5</f>
        <v>#REF!</v>
      </c>
      <c r="BB240" s="4">
        <f t="shared" si="921"/>
        <v>178.21868925457557</v>
      </c>
      <c r="BC240" s="4">
        <f t="shared" si="922"/>
        <v>30569.451870773988</v>
      </c>
      <c r="BD240" s="4">
        <f t="shared" si="862"/>
        <v>171.52775614406642</v>
      </c>
      <c r="BL240" s="4">
        <f t="shared" si="923"/>
        <v>40.700000000000003</v>
      </c>
      <c r="BP240" s="9"/>
      <c r="BR240" s="9"/>
      <c r="BS240" s="9"/>
      <c r="BT240" s="9">
        <f t="shared" si="924"/>
        <v>40.700000000000003</v>
      </c>
      <c r="BU240" s="9">
        <f t="shared" si="925"/>
        <v>76</v>
      </c>
      <c r="BV240" s="9">
        <f t="shared" si="926"/>
        <v>1.1709505872794554</v>
      </c>
      <c r="BW240" s="9">
        <v>20</v>
      </c>
      <c r="BX240" s="9">
        <f t="shared" si="927"/>
        <v>3.8822534914349713E-2</v>
      </c>
      <c r="BY240" s="9">
        <f t="shared" si="850"/>
        <v>0.57645069828699425</v>
      </c>
      <c r="BZ240" s="9">
        <f t="shared" si="928"/>
        <v>0.89787751228078194</v>
      </c>
      <c r="CA240" s="9">
        <f t="shared" si="929"/>
        <v>0.91600000000000004</v>
      </c>
      <c r="CB240" s="9">
        <f t="shared" si="930"/>
        <v>1.6359946299460197</v>
      </c>
      <c r="CC240" s="9">
        <f t="shared" si="931"/>
        <v>2.8587391195474829</v>
      </c>
      <c r="CD240" s="9">
        <v>1</v>
      </c>
      <c r="CE240" s="9" t="e">
        <f>4*CC240*#REF!+60*CC240</f>
        <v>#REF!</v>
      </c>
      <c r="CG240" s="4" t="e">
        <f t="shared" si="954"/>
        <v>#REF!</v>
      </c>
      <c r="CH240" s="4" t="e">
        <f t="shared" si="955"/>
        <v>#REF!</v>
      </c>
      <c r="CI240" s="4" t="e">
        <f t="shared" si="956"/>
        <v>#REF!</v>
      </c>
      <c r="CJ240" s="4" t="e">
        <f t="shared" si="957"/>
        <v>#REF!</v>
      </c>
      <c r="CK240" s="4">
        <f t="shared" si="958"/>
        <v>1.5899976895949632</v>
      </c>
      <c r="CL240" s="4">
        <f t="shared" si="959"/>
        <v>1.7241744032031006</v>
      </c>
      <c r="CM240" s="4">
        <f t="shared" si="960"/>
        <v>1.5581202263866585</v>
      </c>
      <c r="CU240" s="4" t="e">
        <f t="shared" ref="CU240:CU251" si="969">CG240</f>
        <v>#REF!</v>
      </c>
      <c r="CV240" s="4" t="e">
        <f t="shared" ref="CV240:CV251" si="970">CH240</f>
        <v>#REF!</v>
      </c>
      <c r="CW240" s="4" t="e">
        <f t="shared" ref="CW240:CW251" si="971">CJ240</f>
        <v>#REF!</v>
      </c>
      <c r="CX240" s="4">
        <f t="shared" ref="CX240" si="972">CM240</f>
        <v>1.5581202263866585</v>
      </c>
      <c r="CY240" s="4">
        <f t="shared" ref="CY240:CY251" si="973">CK240</f>
        <v>1.5899976895949632</v>
      </c>
      <c r="CZ240" s="4">
        <f t="shared" ref="CZ240:CZ251" si="974">CL240</f>
        <v>1.7241744032031006</v>
      </c>
      <c r="DB240" s="4">
        <f t="shared" si="888"/>
        <v>2</v>
      </c>
      <c r="DC240" s="4" t="e">
        <f>#REF!</f>
        <v>#REF!</v>
      </c>
      <c r="DF240" s="4">
        <f t="shared" si="932"/>
        <v>1.4195384022195234E-5</v>
      </c>
      <c r="DG240" s="4">
        <f t="shared" si="933"/>
        <v>5.6229670276101471</v>
      </c>
      <c r="DH240" s="4">
        <f t="shared" si="934"/>
        <v>0.42922900876570613</v>
      </c>
      <c r="DI240" s="4">
        <f t="shared" si="935"/>
        <v>4.0090471412339257</v>
      </c>
      <c r="DJ240" s="4">
        <f t="shared" si="936"/>
        <v>4.8833291873266678</v>
      </c>
      <c r="DK240" s="4">
        <f t="shared" si="937"/>
        <v>5.4375361051668163</v>
      </c>
      <c r="DL240" s="38">
        <f t="shared" si="938"/>
        <v>266.16881505970287</v>
      </c>
      <c r="DM240" s="4" t="e">
        <f t="shared" si="939"/>
        <v>#REF!</v>
      </c>
      <c r="DN240" s="4">
        <f t="shared" si="940"/>
        <v>1.7335434131355643</v>
      </c>
      <c r="DO240" s="4">
        <f t="shared" si="776"/>
        <v>115.12211493494758</v>
      </c>
      <c r="DS240" s="4">
        <f t="shared" si="941"/>
        <v>0.85</v>
      </c>
      <c r="DT240" s="4">
        <f t="shared" si="942"/>
        <v>0.98631284916201112</v>
      </c>
      <c r="DU240" s="4">
        <f t="shared" si="943"/>
        <v>0.99049889204456787</v>
      </c>
      <c r="DV240" s="4">
        <f t="shared" si="944"/>
        <v>0.97694178430429301</v>
      </c>
      <c r="DX240" s="4">
        <f t="shared" si="945"/>
        <v>245.45533224535666</v>
      </c>
      <c r="DY240" s="25">
        <f t="shared" si="851"/>
        <v>113.51979305003475</v>
      </c>
      <c r="EA240" s="4">
        <f t="shared" si="852"/>
        <v>0.830400516658649</v>
      </c>
      <c r="EB240" s="4">
        <f t="shared" si="946"/>
        <v>5.6229670276101471</v>
      </c>
      <c r="EE240" s="4">
        <f t="shared" si="947"/>
        <v>62.060854190253195</v>
      </c>
      <c r="EF240" s="4">
        <f t="shared" si="948"/>
        <v>1.7335434131355643</v>
      </c>
      <c r="EG240" s="4">
        <f t="shared" si="949"/>
        <v>0.13339071238746131</v>
      </c>
      <c r="EJ240" s="4">
        <f t="shared" si="853"/>
        <v>0.13339071238746131</v>
      </c>
      <c r="EK240" s="4">
        <f t="shared" si="950"/>
        <v>0.42851270554748871</v>
      </c>
      <c r="EL240" s="4">
        <f t="shared" si="889"/>
        <v>4.0063696592484384</v>
      </c>
      <c r="EM240" s="4">
        <f t="shared" si="854"/>
        <v>4.8822316829137922</v>
      </c>
      <c r="EN240" s="4" t="e">
        <f t="shared" si="863"/>
        <v>#REF!</v>
      </c>
      <c r="EO240" s="4" t="e">
        <f t="shared" si="864"/>
        <v>#REF!</v>
      </c>
      <c r="EP240" s="4" t="e">
        <f t="shared" si="951"/>
        <v>#REF!</v>
      </c>
      <c r="EQ240" s="4" t="e">
        <f t="shared" si="855"/>
        <v>#REF!</v>
      </c>
      <c r="ER240" s="4" t="e">
        <f t="shared" si="952"/>
        <v>#REF!</v>
      </c>
      <c r="FA240" s="23" t="e">
        <f t="shared" si="962"/>
        <v>#REF!</v>
      </c>
      <c r="FB240" s="23" t="e">
        <f t="shared" si="963"/>
        <v>#REF!</v>
      </c>
      <c r="FC240" s="23">
        <f t="shared" si="964"/>
        <v>1.6</v>
      </c>
      <c r="FD240" s="23" t="e">
        <f t="shared" si="965"/>
        <v>#REF!</v>
      </c>
      <c r="FE240" s="23">
        <f t="shared" si="966"/>
        <v>1.6</v>
      </c>
      <c r="FF240" s="23">
        <f t="shared" si="967"/>
        <v>1.8</v>
      </c>
      <c r="FG240" s="23">
        <f t="shared" si="968"/>
        <v>0</v>
      </c>
      <c r="FH240" s="23"/>
      <c r="FR240" s="4">
        <f t="shared" si="842"/>
        <v>1</v>
      </c>
      <c r="FS240" s="4">
        <f t="shared" si="843"/>
        <v>0.57658194354098002</v>
      </c>
      <c r="FT240" s="4">
        <f t="shared" si="844"/>
        <v>0.28167035985144034</v>
      </c>
      <c r="FU240" s="4">
        <f t="shared" si="845"/>
        <v>271.61434260345362</v>
      </c>
    </row>
    <row r="241" spans="1:177" ht="12" customHeight="1" x14ac:dyDescent="0.3">
      <c r="B241" s="24"/>
      <c r="C241" s="4" t="s">
        <v>353</v>
      </c>
      <c r="D241" s="7">
        <v>556</v>
      </c>
      <c r="E241" s="7">
        <f>533-J241-25</f>
        <v>432</v>
      </c>
      <c r="F241" s="7">
        <v>31.4</v>
      </c>
      <c r="G241" s="7">
        <v>35.799999999999997</v>
      </c>
      <c r="H241" s="7">
        <v>305</v>
      </c>
      <c r="I241" s="7">
        <v>76</v>
      </c>
      <c r="J241" s="7">
        <v>76</v>
      </c>
      <c r="K241" s="7">
        <f t="shared" si="886"/>
        <v>81.400000000000006</v>
      </c>
      <c r="L241" s="7">
        <v>2</v>
      </c>
      <c r="M241" s="7">
        <f t="shared" si="856"/>
        <v>280</v>
      </c>
      <c r="N241" s="7">
        <f t="shared" si="905"/>
        <v>1.6368715083798884</v>
      </c>
      <c r="O241" s="7">
        <f t="shared" si="906"/>
        <v>2.6229050279329611</v>
      </c>
      <c r="P241" s="7">
        <f>2970/(G241^2*PI()/4)-1</f>
        <v>1.9505332604034158</v>
      </c>
      <c r="Q241" s="7">
        <f>2970/(G241^2*PI()/4)-1</f>
        <v>1.9505332604034158</v>
      </c>
      <c r="R241" s="7">
        <f t="shared" si="907"/>
        <v>2.9505332604034158</v>
      </c>
      <c r="S241" s="7">
        <f t="shared" si="908"/>
        <v>61.494076526633307</v>
      </c>
      <c r="T241" s="7">
        <f t="shared" si="909"/>
        <v>556</v>
      </c>
      <c r="U241" s="7">
        <v>25</v>
      </c>
      <c r="V241" s="7">
        <f>495*1000/(G241^2*PI()/4)</f>
        <v>491.75554340056931</v>
      </c>
      <c r="W241" s="7"/>
      <c r="X241" s="4">
        <f t="shared" si="910"/>
        <v>1.3244193650535829</v>
      </c>
      <c r="Y241" s="7"/>
      <c r="Z241" s="7"/>
      <c r="AA241" s="7">
        <v>1</v>
      </c>
      <c r="AB241" s="7"/>
      <c r="AC241" s="7"/>
      <c r="AD241" s="7">
        <f t="shared" si="911"/>
        <v>11.058020477815699</v>
      </c>
      <c r="AE241" s="4">
        <f t="shared" si="912"/>
        <v>432</v>
      </c>
      <c r="AF241" s="4">
        <f t="shared" si="913"/>
        <v>0.2353395061728395</v>
      </c>
      <c r="AG241" s="4">
        <f t="shared" si="914"/>
        <v>249.92201512888658</v>
      </c>
      <c r="AH241" s="4">
        <f t="shared" si="915"/>
        <v>0.7434722222222222</v>
      </c>
      <c r="AI241" s="4">
        <v>1.25</v>
      </c>
      <c r="AJ241" s="4">
        <f t="shared" si="857"/>
        <v>2.5</v>
      </c>
      <c r="AK241" s="38">
        <f t="shared" si="848"/>
        <v>136.65141100233745</v>
      </c>
      <c r="AL241" s="38">
        <f t="shared" si="953"/>
        <v>136.65141100233745</v>
      </c>
      <c r="AM241" s="38">
        <f t="shared" si="916"/>
        <v>2.9858937754367516</v>
      </c>
      <c r="AN241" s="38">
        <f t="shared" si="858"/>
        <v>136.65141100233737</v>
      </c>
      <c r="AO241" s="38">
        <f t="shared" si="840"/>
        <v>1.0000000000000007</v>
      </c>
      <c r="AP241" s="38">
        <f t="shared" si="859"/>
        <v>1.3037461743448588</v>
      </c>
      <c r="AQ241" s="4">
        <f t="shared" si="860"/>
        <v>0</v>
      </c>
      <c r="AR241" s="4" t="e">
        <f>#REF!/G241*F241^0.5/0.19</f>
        <v>#REF!</v>
      </c>
      <c r="AS241" s="4">
        <f t="shared" si="917"/>
        <v>1.2409556313993173</v>
      </c>
      <c r="AT241" s="38">
        <f t="shared" si="918"/>
        <v>178.15875431312429</v>
      </c>
      <c r="AU241" s="4">
        <f t="shared" si="919"/>
        <v>0.72692534354352178</v>
      </c>
      <c r="AV241" s="4" t="e">
        <f>AU241*D241*#REF!/(D241*G241/2.75/F241^0.5)</f>
        <v>#REF!</v>
      </c>
      <c r="AW241" s="4" t="e">
        <f t="shared" si="849"/>
        <v>#REF!</v>
      </c>
      <c r="AY241" s="4">
        <f t="shared" si="920"/>
        <v>1.2807262569832403</v>
      </c>
      <c r="AZ241" s="4" t="e">
        <f>(3*#REF!+30)*AY241*F241^0.5</f>
        <v>#REF!</v>
      </c>
      <c r="BB241" s="4">
        <f t="shared" si="921"/>
        <v>170.87603278222466</v>
      </c>
      <c r="BC241" s="4">
        <f t="shared" si="922"/>
        <v>39749.280546165857</v>
      </c>
      <c r="BD241" s="4">
        <f t="shared" si="862"/>
        <v>232.62057234688308</v>
      </c>
      <c r="BL241" s="4">
        <f t="shared" si="923"/>
        <v>40.700000000000003</v>
      </c>
      <c r="BP241" s="9"/>
      <c r="BR241" s="9"/>
      <c r="BS241" s="9"/>
      <c r="BT241" s="9">
        <f t="shared" si="924"/>
        <v>40.700000000000003</v>
      </c>
      <c r="BU241" s="9">
        <f t="shared" si="925"/>
        <v>76</v>
      </c>
      <c r="BV241" s="9">
        <f t="shared" si="926"/>
        <v>1.1709505872794554</v>
      </c>
      <c r="BW241" s="9">
        <v>0</v>
      </c>
      <c r="BX241" s="9">
        <f t="shared" si="927"/>
        <v>0</v>
      </c>
      <c r="BY241" s="9">
        <f t="shared" si="850"/>
        <v>0</v>
      </c>
      <c r="BZ241" s="9">
        <f t="shared" si="928"/>
        <v>0.89787751228078194</v>
      </c>
      <c r="CA241" s="9">
        <f t="shared" si="929"/>
        <v>0.91600000000000004</v>
      </c>
      <c r="CB241" s="9">
        <f t="shared" si="930"/>
        <v>1.6130411125805293</v>
      </c>
      <c r="CC241" s="9">
        <f t="shared" si="931"/>
        <v>1.8887914380820769</v>
      </c>
      <c r="CD241" s="9">
        <v>1</v>
      </c>
      <c r="CE241" s="9" t="e">
        <f>4*CC241*#REF!+60*CC241</f>
        <v>#REF!</v>
      </c>
      <c r="CG241" s="4" t="e">
        <f t="shared" si="954"/>
        <v>#REF!</v>
      </c>
      <c r="CH241" s="4" t="e">
        <f t="shared" si="955"/>
        <v>#REF!</v>
      </c>
      <c r="CI241" s="4" t="e">
        <f t="shared" si="956"/>
        <v>#REF!</v>
      </c>
      <c r="CJ241" s="4" t="e">
        <f t="shared" si="957"/>
        <v>#REF!</v>
      </c>
      <c r="CK241" s="4">
        <f t="shared" si="958"/>
        <v>1.3244193650535829</v>
      </c>
      <c r="CL241" s="4">
        <f t="shared" si="959"/>
        <v>1.4709966291791812</v>
      </c>
      <c r="CM241" s="4">
        <f t="shared" si="960"/>
        <v>1.832082313538461</v>
      </c>
      <c r="CO241" s="4" t="e">
        <f t="shared" si="892"/>
        <v>#REF!</v>
      </c>
      <c r="CP241" s="4" t="e">
        <f t="shared" si="893"/>
        <v>#REF!</v>
      </c>
      <c r="CQ241" s="4" t="e">
        <f t="shared" si="894"/>
        <v>#REF!</v>
      </c>
      <c r="CR241" s="4">
        <f t="shared" ref="CR241:CR245" si="975">CM241</f>
        <v>1.832082313538461</v>
      </c>
      <c r="CS241" s="4">
        <f t="shared" si="896"/>
        <v>1.3244193650535829</v>
      </c>
      <c r="CT241" s="4">
        <f t="shared" si="897"/>
        <v>1.4709966291791812</v>
      </c>
      <c r="DB241" s="4">
        <f t="shared" si="888"/>
        <v>0</v>
      </c>
      <c r="DC241" s="4" t="e">
        <f>#REF!</f>
        <v>#REF!</v>
      </c>
      <c r="DF241" s="4">
        <f t="shared" si="932"/>
        <v>2.176343699186269E-5</v>
      </c>
      <c r="DG241" s="4">
        <f t="shared" si="933"/>
        <v>5.4914001825716072</v>
      </c>
      <c r="DH241" s="4">
        <f t="shared" si="934"/>
        <v>0.53386478251404901</v>
      </c>
      <c r="DI241" s="4">
        <f t="shared" si="935"/>
        <v>4.2722396162260505</v>
      </c>
      <c r="DJ241" s="4">
        <f t="shared" si="936"/>
        <v>4.9197893483158488</v>
      </c>
      <c r="DK241" s="4">
        <f t="shared" si="937"/>
        <v>5.0546699885538677</v>
      </c>
      <c r="DL241" s="38">
        <f t="shared" si="938"/>
        <v>371.29896796750177</v>
      </c>
      <c r="DM241" s="4" t="e">
        <f t="shared" si="939"/>
        <v>#REF!</v>
      </c>
      <c r="DN241" s="4">
        <f t="shared" si="940"/>
        <v>1.7177116348221595</v>
      </c>
      <c r="DO241" s="4">
        <f t="shared" si="776"/>
        <v>136.65141100233737</v>
      </c>
      <c r="DS241" s="4">
        <f t="shared" si="941"/>
        <v>0.85</v>
      </c>
      <c r="DT241" s="4">
        <f t="shared" si="942"/>
        <v>0.98631284916201112</v>
      </c>
      <c r="DU241" s="4">
        <f t="shared" si="943"/>
        <v>1</v>
      </c>
      <c r="DV241" s="4">
        <f t="shared" si="944"/>
        <v>0.98631284916201112</v>
      </c>
      <c r="DX241" s="4">
        <f t="shared" si="945"/>
        <v>334.30093152216796</v>
      </c>
      <c r="DY241" s="25">
        <f t="shared" si="851"/>
        <v>135.50610927041362</v>
      </c>
      <c r="EA241" s="4">
        <f t="shared" si="852"/>
        <v>0.83836592178770941</v>
      </c>
      <c r="EB241" s="4">
        <f t="shared" si="946"/>
        <v>5.4914001825716072</v>
      </c>
      <c r="EE241" s="4">
        <f t="shared" si="947"/>
        <v>61.494076526633307</v>
      </c>
      <c r="EF241" s="4">
        <f t="shared" si="948"/>
        <v>1.7177116348221595</v>
      </c>
      <c r="EG241" s="4">
        <f t="shared" si="949"/>
        <v>0.16358043626468974</v>
      </c>
      <c r="EJ241" s="4">
        <f t="shared" si="853"/>
        <v>0.16358043626468974</v>
      </c>
      <c r="EK241" s="4">
        <f t="shared" si="950"/>
        <v>0.53297386169090288</v>
      </c>
      <c r="EL241" s="4">
        <f t="shared" si="889"/>
        <v>4.2693863585298581</v>
      </c>
      <c r="EM241" s="4">
        <f t="shared" si="854"/>
        <v>4.9185513312243492</v>
      </c>
      <c r="EN241" s="4" t="e">
        <f t="shared" si="863"/>
        <v>#REF!</v>
      </c>
      <c r="EO241" s="4" t="e">
        <f t="shared" si="864"/>
        <v>#REF!</v>
      </c>
      <c r="EP241" s="4" t="e">
        <f t="shared" si="951"/>
        <v>#REF!</v>
      </c>
      <c r="EQ241" s="4" t="e">
        <f t="shared" si="855"/>
        <v>#REF!</v>
      </c>
      <c r="ER241" s="4" t="e">
        <f t="shared" si="952"/>
        <v>#REF!</v>
      </c>
      <c r="FA241" s="23" t="e">
        <f t="shared" si="962"/>
        <v>#REF!</v>
      </c>
      <c r="FB241" s="23" t="e">
        <f t="shared" si="963"/>
        <v>#REF!</v>
      </c>
      <c r="FC241" s="23">
        <f t="shared" si="964"/>
        <v>2</v>
      </c>
      <c r="FD241" s="23" t="e">
        <f t="shared" si="965"/>
        <v>#REF!</v>
      </c>
      <c r="FE241" s="23">
        <f t="shared" si="966"/>
        <v>1.4</v>
      </c>
      <c r="FF241" s="23">
        <f t="shared" si="967"/>
        <v>1.6</v>
      </c>
      <c r="FG241" s="23">
        <f t="shared" si="968"/>
        <v>0</v>
      </c>
      <c r="FH241" s="23"/>
      <c r="FR241" s="4">
        <f t="shared" si="842"/>
        <v>1</v>
      </c>
      <c r="FS241" s="4">
        <f t="shared" si="843"/>
        <v>0.8938547486033519</v>
      </c>
      <c r="FT241" s="4">
        <f t="shared" si="844"/>
        <v>0</v>
      </c>
      <c r="FU241" s="4">
        <f t="shared" si="845"/>
        <v>268.41345487954567</v>
      </c>
    </row>
    <row r="242" spans="1:177" ht="12" customHeight="1" x14ac:dyDescent="0.3">
      <c r="B242" s="24"/>
      <c r="C242" s="4" t="s">
        <v>354</v>
      </c>
      <c r="D242" s="7">
        <v>556</v>
      </c>
      <c r="E242" s="7">
        <f>305-J242-25</f>
        <v>204</v>
      </c>
      <c r="F242" s="7">
        <v>31.4</v>
      </c>
      <c r="G242" s="7">
        <v>35.799999999999997</v>
      </c>
      <c r="H242" s="7">
        <v>305</v>
      </c>
      <c r="I242" s="7">
        <v>76</v>
      </c>
      <c r="J242" s="7">
        <v>76</v>
      </c>
      <c r="K242" s="7">
        <f t="shared" si="886"/>
        <v>81.400000000000006</v>
      </c>
      <c r="L242" s="7">
        <v>2</v>
      </c>
      <c r="M242" s="7">
        <f t="shared" si="856"/>
        <v>280</v>
      </c>
      <c r="N242" s="7">
        <f t="shared" si="905"/>
        <v>1.6368715083798884</v>
      </c>
      <c r="O242" s="7">
        <f t="shared" si="906"/>
        <v>2.6229050279329611</v>
      </c>
      <c r="P242" s="7">
        <f>3025/(G242^2*PI()/4)-1</f>
        <v>2.0051727652257014</v>
      </c>
      <c r="Q242" s="7">
        <f>3025/(G242^2*PI()/4)-1</f>
        <v>2.0051727652257014</v>
      </c>
      <c r="R242" s="7">
        <f t="shared" si="907"/>
        <v>3.0051727652257014</v>
      </c>
      <c r="S242" s="7">
        <f t="shared" si="908"/>
        <v>62.060854190253195</v>
      </c>
      <c r="T242" s="7">
        <f t="shared" si="909"/>
        <v>556</v>
      </c>
      <c r="U242" s="7">
        <v>25</v>
      </c>
      <c r="V242" s="7">
        <f>198*1000/(G242^2*PI()/4)</f>
        <v>196.70221736022771</v>
      </c>
      <c r="W242" s="7"/>
      <c r="X242" s="4">
        <f t="shared" si="910"/>
        <v>0.96172270015417394</v>
      </c>
      <c r="Y242" s="7"/>
      <c r="Z242" s="7"/>
      <c r="AA242" s="7">
        <v>1</v>
      </c>
      <c r="AB242" s="7"/>
      <c r="AC242" s="7"/>
      <c r="AD242" s="7">
        <f t="shared" si="911"/>
        <v>5.2218430034129693</v>
      </c>
      <c r="AE242" s="4">
        <f t="shared" si="912"/>
        <v>204</v>
      </c>
      <c r="AF242" s="4">
        <f t="shared" si="913"/>
        <v>0.49836601307189543</v>
      </c>
      <c r="AG242" s="4">
        <f t="shared" si="914"/>
        <v>81.100614496488049</v>
      </c>
      <c r="AH242" s="4">
        <f t="shared" si="915"/>
        <v>0.7920588235294117</v>
      </c>
      <c r="AI242" s="4">
        <v>1.25</v>
      </c>
      <c r="AJ242" s="4">
        <f t="shared" si="857"/>
        <v>2.5</v>
      </c>
      <c r="AK242" s="38">
        <f t="shared" si="848"/>
        <v>100.04145975392262</v>
      </c>
      <c r="AL242" s="38">
        <f t="shared" si="953"/>
        <v>100.04145975392262</v>
      </c>
      <c r="AM242" s="38">
        <f t="shared" si="916"/>
        <v>2.9858937754367516</v>
      </c>
      <c r="AN242" s="38">
        <f t="shared" si="858"/>
        <v>100.04145975392271</v>
      </c>
      <c r="AO242" s="38">
        <f t="shared" si="840"/>
        <v>0.99999999999999911</v>
      </c>
      <c r="AP242" s="38">
        <f t="shared" si="859"/>
        <v>1.8056200385347467</v>
      </c>
      <c r="AQ242" s="4">
        <f t="shared" si="860"/>
        <v>0</v>
      </c>
      <c r="AR242" s="4" t="e">
        <f>#REF!/G242*F242^0.5/0.19</f>
        <v>#REF!</v>
      </c>
      <c r="AS242" s="4">
        <f t="shared" si="917"/>
        <v>1.2409556313993173</v>
      </c>
      <c r="AT242" s="38">
        <f t="shared" si="918"/>
        <v>180.63686441595024</v>
      </c>
      <c r="AU242" s="4">
        <f t="shared" si="919"/>
        <v>0.71927581286840181</v>
      </c>
      <c r="AV242" s="4" t="e">
        <f>AU242*D242*#REF!/(D242*G242/2.75/F242^0.5)</f>
        <v>#REF!</v>
      </c>
      <c r="AW242" s="4" t="e">
        <f t="shared" si="849"/>
        <v>#REF!</v>
      </c>
      <c r="AY242" s="4">
        <f t="shared" si="920"/>
        <v>1.2807262569832403</v>
      </c>
      <c r="AZ242" s="4" t="e">
        <f>(3*#REF!+30)*AY242*F242^0.5</f>
        <v>#REF!</v>
      </c>
      <c r="BB242" s="4">
        <f t="shared" si="921"/>
        <v>173.2528434239527</v>
      </c>
      <c r="BC242" s="4">
        <f t="shared" si="922"/>
        <v>30569.451870773988</v>
      </c>
      <c r="BD242" s="4">
        <f t="shared" si="862"/>
        <v>176.44415679787727</v>
      </c>
      <c r="BL242" s="4">
        <f t="shared" si="923"/>
        <v>40.700000000000003</v>
      </c>
      <c r="BP242" s="9"/>
      <c r="BR242" s="9"/>
      <c r="BS242" s="9"/>
      <c r="BT242" s="9">
        <f t="shared" si="924"/>
        <v>40.700000000000003</v>
      </c>
      <c r="BU242" s="9">
        <f t="shared" si="925"/>
        <v>76</v>
      </c>
      <c r="BV242" s="9">
        <f t="shared" si="926"/>
        <v>1.1709505872794554</v>
      </c>
      <c r="BW242" s="9">
        <v>0</v>
      </c>
      <c r="BX242" s="9">
        <f t="shared" si="927"/>
        <v>0</v>
      </c>
      <c r="BY242" s="9">
        <f t="shared" si="850"/>
        <v>0</v>
      </c>
      <c r="BZ242" s="9">
        <f t="shared" si="928"/>
        <v>0.89787751228078194</v>
      </c>
      <c r="CA242" s="9">
        <f t="shared" si="929"/>
        <v>0.91600000000000004</v>
      </c>
      <c r="CB242" s="9">
        <f t="shared" si="930"/>
        <v>1.6130411125805293</v>
      </c>
      <c r="CC242" s="9">
        <f t="shared" si="931"/>
        <v>1.8887914380820769</v>
      </c>
      <c r="CD242" s="9">
        <v>1</v>
      </c>
      <c r="CE242" s="9" t="e">
        <f>4*CC242*#REF!+60*CC242</f>
        <v>#REF!</v>
      </c>
      <c r="CG242" s="4" t="e">
        <f t="shared" si="954"/>
        <v>#REF!</v>
      </c>
      <c r="CH242" s="4" t="e">
        <f t="shared" si="955"/>
        <v>#REF!</v>
      </c>
      <c r="CI242" s="4" t="e">
        <f t="shared" si="956"/>
        <v>#REF!</v>
      </c>
      <c r="CJ242" s="4" t="e">
        <f t="shared" si="957"/>
        <v>#REF!</v>
      </c>
      <c r="CK242" s="4">
        <f t="shared" si="958"/>
        <v>0.96172270015417394</v>
      </c>
      <c r="CL242" s="4">
        <f t="shared" si="959"/>
        <v>1.024630490427666</v>
      </c>
      <c r="CM242" s="4">
        <f t="shared" si="960"/>
        <v>1.5518814891149317</v>
      </c>
      <c r="CO242" s="4" t="e">
        <f t="shared" si="892"/>
        <v>#REF!</v>
      </c>
      <c r="CP242" s="4" t="e">
        <f t="shared" si="893"/>
        <v>#REF!</v>
      </c>
      <c r="CQ242" s="4" t="e">
        <f t="shared" si="894"/>
        <v>#REF!</v>
      </c>
      <c r="CR242" s="4">
        <f t="shared" si="975"/>
        <v>1.5518814891149317</v>
      </c>
      <c r="CS242" s="4">
        <f t="shared" si="896"/>
        <v>0.96172270015417394</v>
      </c>
      <c r="CT242" s="4">
        <f t="shared" si="897"/>
        <v>1.024630490427666</v>
      </c>
      <c r="DB242" s="4">
        <f t="shared" si="888"/>
        <v>0</v>
      </c>
      <c r="DC242" s="4" t="e">
        <f>#REF!</f>
        <v>#REF!</v>
      </c>
      <c r="DF242" s="4">
        <f t="shared" si="932"/>
        <v>1.0277178579490715E-5</v>
      </c>
      <c r="DG242" s="4">
        <f t="shared" si="933"/>
        <v>5.4914001825716072</v>
      </c>
      <c r="DH242" s="4">
        <f t="shared" si="934"/>
        <v>0.38369240287346035</v>
      </c>
      <c r="DI242" s="4">
        <f t="shared" si="935"/>
        <v>3.7434873846016892</v>
      </c>
      <c r="DJ242" s="4">
        <f t="shared" si="936"/>
        <v>4.6997085450668452</v>
      </c>
      <c r="DK242" s="4">
        <f t="shared" si="937"/>
        <v>5.4013905886816325</v>
      </c>
      <c r="DL242" s="38">
        <f t="shared" si="938"/>
        <v>204.53111622372472</v>
      </c>
      <c r="DM242" s="4" t="e">
        <f t="shared" si="939"/>
        <v>#REF!</v>
      </c>
      <c r="DN242" s="4">
        <f t="shared" si="940"/>
        <v>1.7335434131355643</v>
      </c>
      <c r="DO242" s="4">
        <f t="shared" si="776"/>
        <v>100.04145975392271</v>
      </c>
      <c r="DS242" s="4">
        <f t="shared" si="941"/>
        <v>0.85</v>
      </c>
      <c r="DT242" s="4">
        <f t="shared" si="942"/>
        <v>0.98631284916201112</v>
      </c>
      <c r="DU242" s="4">
        <f t="shared" si="943"/>
        <v>1</v>
      </c>
      <c r="DV242" s="4">
        <f t="shared" si="944"/>
        <v>0.98631284916201112</v>
      </c>
      <c r="DX242" s="4">
        <f t="shared" si="945"/>
        <v>191.97380831223074</v>
      </c>
      <c r="DY242" s="25">
        <f t="shared" si="851"/>
        <v>98.098475582235665</v>
      </c>
      <c r="EA242" s="4">
        <f t="shared" si="852"/>
        <v>0.83836592178770941</v>
      </c>
      <c r="EB242" s="4">
        <f t="shared" si="946"/>
        <v>5.4914001825716072</v>
      </c>
      <c r="EE242" s="4">
        <f t="shared" si="947"/>
        <v>62.060854190253195</v>
      </c>
      <c r="EF242" s="4">
        <f t="shared" si="948"/>
        <v>1.7335434131355643</v>
      </c>
      <c r="EG242" s="4">
        <f t="shared" si="949"/>
        <v>0.11756641889341342</v>
      </c>
      <c r="EJ242" s="4">
        <f t="shared" si="853"/>
        <v>0.11756641889341342</v>
      </c>
      <c r="EK242" s="4">
        <f t="shared" si="950"/>
        <v>0.38305209176360744</v>
      </c>
      <c r="EL242" s="4">
        <f t="shared" si="889"/>
        <v>3.7409872593394851</v>
      </c>
      <c r="EM242" s="4">
        <f t="shared" si="854"/>
        <v>4.6987148155807104</v>
      </c>
      <c r="EN242" s="4" t="e">
        <f t="shared" si="863"/>
        <v>#REF!</v>
      </c>
      <c r="EO242" s="4" t="e">
        <f t="shared" si="864"/>
        <v>#REF!</v>
      </c>
      <c r="EP242" s="4" t="e">
        <f t="shared" si="951"/>
        <v>#REF!</v>
      </c>
      <c r="EQ242" s="4" t="e">
        <f t="shared" si="855"/>
        <v>#REF!</v>
      </c>
      <c r="ER242" s="4" t="e">
        <f t="shared" si="952"/>
        <v>#REF!</v>
      </c>
      <c r="FA242" s="23" t="e">
        <f t="shared" si="962"/>
        <v>#REF!</v>
      </c>
      <c r="FB242" s="23" t="e">
        <f t="shared" si="963"/>
        <v>#REF!</v>
      </c>
      <c r="FC242" s="23">
        <f t="shared" si="964"/>
        <v>1.6</v>
      </c>
      <c r="FD242" s="23" t="e">
        <f t="shared" si="965"/>
        <v>#REF!</v>
      </c>
      <c r="FE242" s="23">
        <f t="shared" si="966"/>
        <v>1</v>
      </c>
      <c r="FF242" s="23">
        <f t="shared" si="967"/>
        <v>1.2</v>
      </c>
      <c r="FG242" s="23">
        <f t="shared" si="968"/>
        <v>0</v>
      </c>
      <c r="FH242" s="23"/>
      <c r="FR242" s="4">
        <f t="shared" si="842"/>
        <v>1</v>
      </c>
      <c r="FS242" s="4">
        <f t="shared" si="843"/>
        <v>0.8938547486033519</v>
      </c>
      <c r="FT242" s="4">
        <f t="shared" si="844"/>
        <v>0</v>
      </c>
      <c r="FU242" s="4">
        <f t="shared" si="845"/>
        <v>126.75079813756321</v>
      </c>
    </row>
    <row r="243" spans="1:177" ht="12" customHeight="1" x14ac:dyDescent="0.3">
      <c r="B243" s="24"/>
      <c r="C243" s="4" t="s">
        <v>355</v>
      </c>
      <c r="D243" s="7">
        <v>556</v>
      </c>
      <c r="E243" s="7">
        <f>381-J243-20</f>
        <v>285</v>
      </c>
      <c r="F243" s="7">
        <v>33.299999999999997</v>
      </c>
      <c r="G243" s="7">
        <v>35.799999999999997</v>
      </c>
      <c r="H243" s="7">
        <v>305</v>
      </c>
      <c r="I243" s="7">
        <v>76</v>
      </c>
      <c r="J243" s="7">
        <v>76</v>
      </c>
      <c r="K243" s="7">
        <f t="shared" si="886"/>
        <v>81.400000000000006</v>
      </c>
      <c r="L243" s="7">
        <v>2</v>
      </c>
      <c r="M243" s="7">
        <f t="shared" si="856"/>
        <v>280</v>
      </c>
      <c r="N243" s="7">
        <f t="shared" si="905"/>
        <v>1.6368715083798884</v>
      </c>
      <c r="O243" s="7">
        <f t="shared" si="906"/>
        <v>2.6229050279329611</v>
      </c>
      <c r="P243" s="7">
        <f>8100/(G243^2*PI()/4)-1</f>
        <v>7.0469088920093164</v>
      </c>
      <c r="Q243" s="7">
        <f>8100/(G243^2*PI()/4)-1</f>
        <v>7.0469088920093164</v>
      </c>
      <c r="R243" s="7">
        <f t="shared" si="907"/>
        <v>8.0469088920093164</v>
      </c>
      <c r="S243" s="7">
        <f t="shared" si="908"/>
        <v>101.55412503859614</v>
      </c>
      <c r="T243" s="7">
        <f t="shared" si="909"/>
        <v>556</v>
      </c>
      <c r="U243" s="7">
        <v>20</v>
      </c>
      <c r="V243" s="7">
        <f>432*1000/(G243^2*PI()/4)</f>
        <v>429.16847424049683</v>
      </c>
      <c r="W243" s="7"/>
      <c r="X243" s="4">
        <f t="shared" si="910"/>
        <v>1.7054171816068107</v>
      </c>
      <c r="Y243" s="7"/>
      <c r="Z243" s="7"/>
      <c r="AA243" s="7">
        <v>1</v>
      </c>
      <c r="AB243" s="7"/>
      <c r="AC243" s="7"/>
      <c r="AD243" s="7">
        <f t="shared" si="911"/>
        <v>7.2952218430034126</v>
      </c>
      <c r="AE243" s="4">
        <f t="shared" si="912"/>
        <v>285</v>
      </c>
      <c r="AF243" s="4">
        <f t="shared" si="913"/>
        <v>0.35672514619883039</v>
      </c>
      <c r="AG243" s="4">
        <f t="shared" si="914"/>
        <v>137.91245086192728</v>
      </c>
      <c r="AH243" s="4">
        <f t="shared" si="915"/>
        <v>0.76589473684210518</v>
      </c>
      <c r="AI243" s="4">
        <v>1.25</v>
      </c>
      <c r="AJ243" s="4">
        <f t="shared" si="857"/>
        <v>2.5</v>
      </c>
      <c r="AK243" s="38">
        <f t="shared" si="848"/>
        <v>117.74875065549853</v>
      </c>
      <c r="AL243" s="38">
        <f t="shared" si="953"/>
        <v>117.74875065549853</v>
      </c>
      <c r="AM243" s="38">
        <f t="shared" si="916"/>
        <v>3.1051606722149665</v>
      </c>
      <c r="AN243" s="38">
        <f t="shared" si="858"/>
        <v>117.74875065549857</v>
      </c>
      <c r="AO243" s="38">
        <f t="shared" si="840"/>
        <v>0.99999999999999967</v>
      </c>
      <c r="AP243" s="38">
        <f t="shared" si="859"/>
        <v>3.0499175093332469</v>
      </c>
      <c r="AQ243" s="4">
        <f t="shared" si="860"/>
        <v>0</v>
      </c>
      <c r="AR243" s="4" t="e">
        <f>#REF!/G243*F243^0.5/0.19</f>
        <v>#REF!</v>
      </c>
      <c r="AS243" s="4">
        <f t="shared" si="917"/>
        <v>1.2409556313993173</v>
      </c>
      <c r="AT243" s="38">
        <f t="shared" si="918"/>
        <v>359.12397632631973</v>
      </c>
      <c r="AU243" s="4">
        <f t="shared" si="919"/>
        <v>0.3</v>
      </c>
      <c r="AV243" s="4" t="e">
        <f>AU243*D243*#REF!/(D243*G243/2.75/F243^0.5)</f>
        <v>#REF!</v>
      </c>
      <c r="AW243" s="4" t="e">
        <f t="shared" si="849"/>
        <v>#REF!</v>
      </c>
      <c r="AY243" s="4">
        <f t="shared" si="920"/>
        <v>1.2807262569832403</v>
      </c>
      <c r="AZ243" s="4" t="e">
        <f>(3*#REF!+30)*AY243*F243^0.5</f>
        <v>#REF!</v>
      </c>
      <c r="BB243" s="4">
        <f t="shared" si="921"/>
        <v>344.44381129745312</v>
      </c>
      <c r="BC243" s="4">
        <f t="shared" si="922"/>
        <v>490.43773856597932</v>
      </c>
      <c r="BD243" s="4">
        <f t="shared" si="862"/>
        <v>1.4238541163465686</v>
      </c>
      <c r="BL243" s="4">
        <f t="shared" si="923"/>
        <v>40.700000000000003</v>
      </c>
      <c r="BP243" s="9"/>
      <c r="BR243" s="9"/>
      <c r="BS243" s="9"/>
      <c r="BT243" s="9">
        <f t="shared" si="924"/>
        <v>40.700000000000003</v>
      </c>
      <c r="BU243" s="9">
        <f t="shared" si="925"/>
        <v>76</v>
      </c>
      <c r="BV243" s="9">
        <f t="shared" si="926"/>
        <v>1.1709505872794554</v>
      </c>
      <c r="BW243" s="9">
        <v>0</v>
      </c>
      <c r="BX243" s="9">
        <f t="shared" si="927"/>
        <v>0</v>
      </c>
      <c r="BY243" s="9">
        <f t="shared" si="850"/>
        <v>0</v>
      </c>
      <c r="BZ243" s="9">
        <f t="shared" si="928"/>
        <v>0.89787751228078194</v>
      </c>
      <c r="CA243" s="9">
        <f t="shared" si="929"/>
        <v>0.91600000000000004</v>
      </c>
      <c r="CB243" s="9">
        <f t="shared" si="930"/>
        <v>1.661126587131682</v>
      </c>
      <c r="CC243" s="9">
        <f t="shared" si="931"/>
        <v>1.9450971527473606</v>
      </c>
      <c r="CD243" s="9">
        <v>1</v>
      </c>
      <c r="CE243" s="9" t="e">
        <f>4*CC243*#REF!+60*CC243</f>
        <v>#REF!</v>
      </c>
      <c r="CG243" s="4" t="e">
        <f t="shared" si="954"/>
        <v>#REF!</v>
      </c>
      <c r="CH243" s="4" t="e">
        <f t="shared" si="955"/>
        <v>#REF!</v>
      </c>
      <c r="CI243" s="4" t="e">
        <f t="shared" si="956"/>
        <v>#REF!</v>
      </c>
      <c r="CJ243" s="4" t="e">
        <f t="shared" si="957"/>
        <v>#REF!</v>
      </c>
      <c r="CK243" s="4">
        <f t="shared" si="958"/>
        <v>1.7054171816068107</v>
      </c>
      <c r="CL243" s="4">
        <f t="shared" si="959"/>
        <v>1.7084704294313242</v>
      </c>
      <c r="CM243" s="4">
        <f t="shared" si="960"/>
        <v>2.3882719091374538</v>
      </c>
      <c r="CO243" s="4" t="e">
        <f t="shared" si="892"/>
        <v>#REF!</v>
      </c>
      <c r="CP243" s="4" t="e">
        <f t="shared" si="893"/>
        <v>#REF!</v>
      </c>
      <c r="CQ243" s="4" t="e">
        <f t="shared" si="894"/>
        <v>#REF!</v>
      </c>
      <c r="CR243" s="4">
        <f t="shared" si="975"/>
        <v>2.3882719091374538</v>
      </c>
      <c r="CS243" s="4">
        <f t="shared" si="896"/>
        <v>1.7054171816068107</v>
      </c>
      <c r="CT243" s="4">
        <f t="shared" si="897"/>
        <v>1.7084704294313242</v>
      </c>
      <c r="DB243" s="4">
        <f t="shared" si="888"/>
        <v>0</v>
      </c>
      <c r="DC243" s="4" t="e">
        <f>#REF!</f>
        <v>#REF!</v>
      </c>
      <c r="DF243" s="4">
        <f t="shared" si="932"/>
        <v>1.4549897915862038E-5</v>
      </c>
      <c r="DG243" s="4">
        <f t="shared" si="933"/>
        <v>5.6551012697105509</v>
      </c>
      <c r="DH243" s="4">
        <f t="shared" si="934"/>
        <v>0.19827952194134693</v>
      </c>
      <c r="DI243" s="4">
        <f t="shared" si="935"/>
        <v>2.960407745355111</v>
      </c>
      <c r="DJ243" s="4">
        <f t="shared" si="936"/>
        <v>4.5153901390049072</v>
      </c>
      <c r="DK243" s="4">
        <f t="shared" si="937"/>
        <v>5.4900726728617038</v>
      </c>
      <c r="DL243" s="38">
        <f t="shared" si="938"/>
        <v>251.65014101484701</v>
      </c>
      <c r="DM243" s="4" t="e">
        <f t="shared" si="939"/>
        <v>#REF!</v>
      </c>
      <c r="DN243" s="4">
        <f t="shared" si="940"/>
        <v>2.8367074033127415</v>
      </c>
      <c r="DO243" s="4">
        <f t="shared" si="776"/>
        <v>117.74875065549857</v>
      </c>
      <c r="DS243" s="4">
        <f t="shared" si="941"/>
        <v>0.85</v>
      </c>
      <c r="DT243" s="4">
        <f t="shared" si="942"/>
        <v>0.98631284916201112</v>
      </c>
      <c r="DU243" s="4">
        <f t="shared" si="943"/>
        <v>1</v>
      </c>
      <c r="DV243" s="4">
        <f t="shared" si="944"/>
        <v>0.98631284916201112</v>
      </c>
      <c r="DX243" s="4">
        <f t="shared" si="945"/>
        <v>251.2004111088703</v>
      </c>
      <c r="DY243" s="25">
        <f t="shared" si="851"/>
        <v>116.14142827081106</v>
      </c>
      <c r="EA243" s="4">
        <f t="shared" si="852"/>
        <v>0.83836592178770941</v>
      </c>
      <c r="EB243" s="4">
        <f t="shared" si="946"/>
        <v>5.6551012697105509</v>
      </c>
      <c r="EE243" s="4">
        <f t="shared" si="947"/>
        <v>101.55412503859614</v>
      </c>
      <c r="EF243" s="4">
        <f t="shared" si="948"/>
        <v>2.8367074033127415</v>
      </c>
      <c r="EG243" s="4">
        <f t="shared" si="949"/>
        <v>6.2565546914000694E-2</v>
      </c>
      <c r="EJ243" s="4">
        <f t="shared" si="853"/>
        <v>6.2565546914000694E-2</v>
      </c>
      <c r="EK243" s="4">
        <f t="shared" si="950"/>
        <v>0.19794863037350618</v>
      </c>
      <c r="EL243" s="4">
        <f t="shared" si="889"/>
        <v>2.9584306076142348</v>
      </c>
      <c r="EM243" s="4">
        <f t="shared" si="854"/>
        <v>4.51474821301841</v>
      </c>
      <c r="EN243" s="4" t="e">
        <f t="shared" si="863"/>
        <v>#REF!</v>
      </c>
      <c r="EO243" s="4" t="e">
        <f t="shared" si="864"/>
        <v>#REF!</v>
      </c>
      <c r="EP243" s="4" t="e">
        <f t="shared" si="951"/>
        <v>#REF!</v>
      </c>
      <c r="EQ243" s="4" t="e">
        <f t="shared" si="855"/>
        <v>#REF!</v>
      </c>
      <c r="ER243" s="4" t="e">
        <f t="shared" si="952"/>
        <v>#REF!</v>
      </c>
      <c r="FA243" s="23" t="e">
        <f t="shared" si="962"/>
        <v>#REF!</v>
      </c>
      <c r="FB243" s="23" t="e">
        <f t="shared" si="963"/>
        <v>#REF!</v>
      </c>
      <c r="FC243" s="23">
        <f t="shared" si="964"/>
        <v>2.2000000000000002</v>
      </c>
      <c r="FD243" s="23" t="e">
        <f t="shared" si="965"/>
        <v>#REF!</v>
      </c>
      <c r="FE243" s="23">
        <f t="shared" si="966"/>
        <v>1.8</v>
      </c>
      <c r="FF243" s="23">
        <f t="shared" si="967"/>
        <v>1.8</v>
      </c>
      <c r="FG243" s="23">
        <f t="shared" si="968"/>
        <v>0</v>
      </c>
      <c r="FH243" s="23"/>
      <c r="FR243" s="4">
        <f t="shared" si="842"/>
        <v>1</v>
      </c>
      <c r="FS243" s="4">
        <f t="shared" si="843"/>
        <v>0.8938547486033519</v>
      </c>
      <c r="FT243" s="4">
        <f t="shared" si="844"/>
        <v>0</v>
      </c>
      <c r="FU243" s="4">
        <f t="shared" si="845"/>
        <v>179.69833024393566</v>
      </c>
    </row>
    <row r="244" spans="1:177" ht="12" customHeight="1" x14ac:dyDescent="0.3">
      <c r="B244" s="24"/>
      <c r="C244" s="4" t="s">
        <v>356</v>
      </c>
      <c r="D244" s="7">
        <v>556</v>
      </c>
      <c r="E244" s="7">
        <f>381-J244-25</f>
        <v>280</v>
      </c>
      <c r="F244" s="7">
        <v>33.299999999999997</v>
      </c>
      <c r="G244" s="7">
        <v>35.799999999999997</v>
      </c>
      <c r="H244" s="7">
        <v>305</v>
      </c>
      <c r="I244" s="7">
        <v>76</v>
      </c>
      <c r="J244" s="7">
        <v>76</v>
      </c>
      <c r="K244" s="7">
        <f t="shared" si="886"/>
        <v>81.400000000000006</v>
      </c>
      <c r="L244" s="7">
        <v>2</v>
      </c>
      <c r="M244" s="7">
        <f t="shared" si="856"/>
        <v>280</v>
      </c>
      <c r="N244" s="7">
        <f t="shared" si="905"/>
        <v>1.6368715083798884</v>
      </c>
      <c r="O244" s="7">
        <f t="shared" si="906"/>
        <v>2.6229050279329611</v>
      </c>
      <c r="P244" s="7">
        <f>5500/(G244^2*PI()/4)-1</f>
        <v>4.4639504822285474</v>
      </c>
      <c r="Q244" s="7">
        <f>5500/(G244^2*PI()/4)-1</f>
        <v>4.4639504822285474</v>
      </c>
      <c r="R244" s="7">
        <f t="shared" si="907"/>
        <v>5.4639504822285474</v>
      </c>
      <c r="S244" s="7">
        <f t="shared" si="908"/>
        <v>83.682838718840046</v>
      </c>
      <c r="T244" s="7">
        <f t="shared" si="909"/>
        <v>556</v>
      </c>
      <c r="U244" s="7">
        <v>25</v>
      </c>
      <c r="V244" s="7">
        <f>385*1000/(G244^2*PI()/4)</f>
        <v>382.47653375599833</v>
      </c>
      <c r="W244" s="7"/>
      <c r="X244" s="4">
        <f t="shared" si="910"/>
        <v>1.4957640290850434</v>
      </c>
      <c r="Y244" s="7"/>
      <c r="Z244" s="7"/>
      <c r="AA244" s="7">
        <v>1</v>
      </c>
      <c r="AB244" s="7"/>
      <c r="AC244" s="7"/>
      <c r="AD244" s="7">
        <f t="shared" si="911"/>
        <v>7.1672354948805461</v>
      </c>
      <c r="AE244" s="4">
        <f t="shared" si="912"/>
        <v>280</v>
      </c>
      <c r="AF244" s="4">
        <f t="shared" si="913"/>
        <v>0.36309523809523808</v>
      </c>
      <c r="AG244" s="4">
        <f t="shared" si="914"/>
        <v>134.2991405645605</v>
      </c>
      <c r="AH244" s="4">
        <f t="shared" si="915"/>
        <v>0.76707142857142852</v>
      </c>
      <c r="AI244" s="4">
        <v>1.25</v>
      </c>
      <c r="AJ244" s="4">
        <f t="shared" si="857"/>
        <v>2.5</v>
      </c>
      <c r="AK244" s="38">
        <f t="shared" si="848"/>
        <v>116.8906073313825</v>
      </c>
      <c r="AL244" s="38">
        <f t="shared" si="953"/>
        <v>116.8906073313825</v>
      </c>
      <c r="AM244" s="38">
        <f t="shared" si="916"/>
        <v>3.1051606722149665</v>
      </c>
      <c r="AN244" s="38">
        <f t="shared" si="858"/>
        <v>116.89060733138254</v>
      </c>
      <c r="AO244" s="38">
        <f t="shared" si="840"/>
        <v>0.99999999999999967</v>
      </c>
      <c r="AP244" s="38">
        <f t="shared" si="859"/>
        <v>2.4452605528078042</v>
      </c>
      <c r="AQ244" s="4">
        <f t="shared" si="860"/>
        <v>0</v>
      </c>
      <c r="AR244" s="4" t="e">
        <f>#REF!/G244*F244^0.5/0.19</f>
        <v>#REF!</v>
      </c>
      <c r="AS244" s="4">
        <f t="shared" si="917"/>
        <v>1.2409556313993173</v>
      </c>
      <c r="AT244" s="38">
        <f t="shared" si="918"/>
        <v>285.82799110117645</v>
      </c>
      <c r="AU244" s="4">
        <f t="shared" si="919"/>
        <v>0.37504693248800336</v>
      </c>
      <c r="AV244" s="4" t="e">
        <f>AU244*D244*#REF!/(D244*G244/2.75/F244^0.5)</f>
        <v>#REF!</v>
      </c>
      <c r="AW244" s="4" t="e">
        <f t="shared" si="849"/>
        <v>#REF!</v>
      </c>
      <c r="AY244" s="4">
        <f t="shared" si="920"/>
        <v>1.2807262569832403</v>
      </c>
      <c r="AZ244" s="4" t="e">
        <f>(3*#REF!+30)*AY244*F244^0.5</f>
        <v>#REF!</v>
      </c>
      <c r="BB244" s="4">
        <f t="shared" si="921"/>
        <v>274.14399795162973</v>
      </c>
      <c r="BC244" s="4">
        <f t="shared" si="922"/>
        <v>1562.4220485187734</v>
      </c>
      <c r="BD244" s="4">
        <f t="shared" si="862"/>
        <v>5.6992750532311449</v>
      </c>
      <c r="BL244" s="4">
        <f t="shared" si="923"/>
        <v>40.700000000000003</v>
      </c>
      <c r="BP244" s="9"/>
      <c r="BR244" s="9"/>
      <c r="BS244" s="9"/>
      <c r="BT244" s="9">
        <f t="shared" si="924"/>
        <v>40.700000000000003</v>
      </c>
      <c r="BU244" s="9">
        <f t="shared" si="925"/>
        <v>76</v>
      </c>
      <c r="BV244" s="9">
        <f t="shared" si="926"/>
        <v>1.1709505872794554</v>
      </c>
      <c r="BW244" s="9">
        <v>0</v>
      </c>
      <c r="BX244" s="9">
        <f t="shared" si="927"/>
        <v>0</v>
      </c>
      <c r="BY244" s="9">
        <f t="shared" si="850"/>
        <v>0</v>
      </c>
      <c r="BZ244" s="9">
        <f t="shared" si="928"/>
        <v>0.89787751228078194</v>
      </c>
      <c r="CA244" s="9">
        <f t="shared" si="929"/>
        <v>0.91600000000000004</v>
      </c>
      <c r="CB244" s="9">
        <f t="shared" si="930"/>
        <v>1.661126587131682</v>
      </c>
      <c r="CC244" s="9">
        <f t="shared" si="931"/>
        <v>1.9450971527473606</v>
      </c>
      <c r="CD244" s="9">
        <v>1</v>
      </c>
      <c r="CE244" s="9" t="e">
        <f>4*CC244*#REF!+60*CC244</f>
        <v>#REF!</v>
      </c>
      <c r="CG244" s="4" t="e">
        <f t="shared" si="954"/>
        <v>#REF!</v>
      </c>
      <c r="CH244" s="4" t="e">
        <f t="shared" si="955"/>
        <v>#REF!</v>
      </c>
      <c r="CI244" s="4" t="e">
        <f t="shared" si="956"/>
        <v>#REF!</v>
      </c>
      <c r="CJ244" s="4" t="e">
        <f t="shared" si="957"/>
        <v>#REF!</v>
      </c>
      <c r="CK244" s="4">
        <f t="shared" si="958"/>
        <v>1.4957640290850434</v>
      </c>
      <c r="CL244" s="4">
        <f t="shared" si="959"/>
        <v>1.5425351929470028</v>
      </c>
      <c r="CM244" s="4">
        <f t="shared" si="960"/>
        <v>2.1664445703547215</v>
      </c>
      <c r="CO244" s="4" t="e">
        <f t="shared" si="892"/>
        <v>#REF!</v>
      </c>
      <c r="CP244" s="4" t="e">
        <f t="shared" si="893"/>
        <v>#REF!</v>
      </c>
      <c r="CQ244" s="4" t="e">
        <f t="shared" si="894"/>
        <v>#REF!</v>
      </c>
      <c r="CR244" s="4">
        <f t="shared" si="975"/>
        <v>2.1664445703547215</v>
      </c>
      <c r="CS244" s="4">
        <f t="shared" si="896"/>
        <v>1.4957640290850434</v>
      </c>
      <c r="CT244" s="4">
        <f t="shared" si="897"/>
        <v>1.5425351929470028</v>
      </c>
      <c r="DB244" s="4">
        <f t="shared" si="888"/>
        <v>0</v>
      </c>
      <c r="DC244" s="4" t="e">
        <f>#REF!</f>
        <v>#REF!</v>
      </c>
      <c r="DF244" s="4">
        <f t="shared" si="932"/>
        <v>1.4294636548917093E-5</v>
      </c>
      <c r="DG244" s="4">
        <f t="shared" si="933"/>
        <v>5.6551012697105509</v>
      </c>
      <c r="DH244" s="4">
        <f t="shared" si="934"/>
        <v>0.25604676546069649</v>
      </c>
      <c r="DI244" s="4">
        <f t="shared" si="935"/>
        <v>3.2792015010621469</v>
      </c>
      <c r="DJ244" s="4">
        <f t="shared" si="936"/>
        <v>4.6234399349920459</v>
      </c>
      <c r="DK244" s="4">
        <f t="shared" si="937"/>
        <v>5.485274803656603</v>
      </c>
      <c r="DL244" s="38">
        <f t="shared" si="938"/>
        <v>255.70646593898817</v>
      </c>
      <c r="DM244" s="4" t="e">
        <f t="shared" si="939"/>
        <v>#REF!</v>
      </c>
      <c r="DN244" s="4">
        <f t="shared" si="940"/>
        <v>2.3375094614201131</v>
      </c>
      <c r="DO244" s="4">
        <f t="shared" si="776"/>
        <v>116.89060733138254</v>
      </c>
      <c r="DS244" s="4">
        <f t="shared" si="941"/>
        <v>0.85</v>
      </c>
      <c r="DT244" s="4">
        <f t="shared" si="942"/>
        <v>0.98631284916201112</v>
      </c>
      <c r="DU244" s="4">
        <f t="shared" si="943"/>
        <v>1</v>
      </c>
      <c r="DV244" s="4">
        <f t="shared" si="944"/>
        <v>0.98631284916201112</v>
      </c>
      <c r="DX244" s="4">
        <f t="shared" si="945"/>
        <v>247.95319776482995</v>
      </c>
      <c r="DY244" s="25">
        <f t="shared" si="851"/>
        <v>115.26367076603489</v>
      </c>
      <c r="EA244" s="4">
        <f t="shared" si="852"/>
        <v>0.83836592178770941</v>
      </c>
      <c r="EB244" s="4">
        <f t="shared" si="946"/>
        <v>5.6551012697105509</v>
      </c>
      <c r="EE244" s="4">
        <f t="shared" si="947"/>
        <v>83.682838718840046</v>
      </c>
      <c r="EF244" s="4">
        <f t="shared" si="948"/>
        <v>2.3375094614201131</v>
      </c>
      <c r="EG244" s="4">
        <f t="shared" si="949"/>
        <v>8.0793547209318639E-2</v>
      </c>
      <c r="EJ244" s="4">
        <f t="shared" si="853"/>
        <v>8.0793547209318639E-2</v>
      </c>
      <c r="EK244" s="4">
        <f t="shared" si="950"/>
        <v>0.25561947112977262</v>
      </c>
      <c r="EL244" s="4">
        <f t="shared" si="889"/>
        <v>3.2770114537425306</v>
      </c>
      <c r="EM244" s="4">
        <f t="shared" si="854"/>
        <v>4.6226676777134283</v>
      </c>
      <c r="EN244" s="4" t="e">
        <f t="shared" si="863"/>
        <v>#REF!</v>
      </c>
      <c r="EO244" s="4" t="e">
        <f t="shared" si="864"/>
        <v>#REF!</v>
      </c>
      <c r="EP244" s="4" t="e">
        <f t="shared" si="951"/>
        <v>#REF!</v>
      </c>
      <c r="EQ244" s="4" t="e">
        <f t="shared" si="855"/>
        <v>#REF!</v>
      </c>
      <c r="ER244" s="4" t="e">
        <f t="shared" si="952"/>
        <v>#REF!</v>
      </c>
      <c r="FA244" s="23" t="e">
        <f t="shared" si="962"/>
        <v>#REF!</v>
      </c>
      <c r="FB244" s="23" t="e">
        <f t="shared" si="963"/>
        <v>#REF!</v>
      </c>
      <c r="FC244" s="23">
        <f t="shared" si="964"/>
        <v>2.2000000000000002</v>
      </c>
      <c r="FD244" s="23" t="e">
        <f t="shared" si="965"/>
        <v>#REF!</v>
      </c>
      <c r="FE244" s="23">
        <f t="shared" si="966"/>
        <v>1.6</v>
      </c>
      <c r="FF244" s="23">
        <f t="shared" si="967"/>
        <v>1.6</v>
      </c>
      <c r="FG244" s="23">
        <f t="shared" si="968"/>
        <v>0</v>
      </c>
      <c r="FH244" s="23"/>
      <c r="FR244" s="4">
        <f t="shared" si="842"/>
        <v>1</v>
      </c>
      <c r="FS244" s="4">
        <f t="shared" si="843"/>
        <v>0.8938547486033519</v>
      </c>
      <c r="FT244" s="4">
        <f t="shared" si="844"/>
        <v>0</v>
      </c>
      <c r="FU244" s="4">
        <f t="shared" si="845"/>
        <v>176.54572795895433</v>
      </c>
    </row>
    <row r="245" spans="1:177" ht="12" customHeight="1" x14ac:dyDescent="0.3">
      <c r="B245" s="24"/>
      <c r="C245" s="4" t="s">
        <v>357</v>
      </c>
      <c r="D245" s="7">
        <v>578</v>
      </c>
      <c r="E245" s="7">
        <f>381-J245-18</f>
        <v>287</v>
      </c>
      <c r="F245" s="7">
        <v>22.1</v>
      </c>
      <c r="G245" s="7">
        <v>25.4</v>
      </c>
      <c r="H245" s="7">
        <v>305</v>
      </c>
      <c r="I245" s="7">
        <v>76</v>
      </c>
      <c r="J245" s="7">
        <v>76</v>
      </c>
      <c r="K245" s="7">
        <f t="shared" si="886"/>
        <v>102.19999999999999</v>
      </c>
      <c r="L245" s="7">
        <v>2</v>
      </c>
      <c r="M245" s="7">
        <f t="shared" si="856"/>
        <v>280</v>
      </c>
      <c r="N245" s="7">
        <f t="shared" si="905"/>
        <v>2.5118110236220472</v>
      </c>
      <c r="O245" s="7">
        <f t="shared" si="906"/>
        <v>3.4921259842519685</v>
      </c>
      <c r="P245" s="7">
        <f>3200/(G245^2*PI()/4)-1</f>
        <v>5.3152807724479523</v>
      </c>
      <c r="Q245" s="7">
        <f>3200/(G245^2*PI()/4)-1</f>
        <v>5.3152807724479523</v>
      </c>
      <c r="R245" s="7">
        <f t="shared" si="907"/>
        <v>6.3152807724479523</v>
      </c>
      <c r="S245" s="7">
        <f t="shared" si="908"/>
        <v>63.830764864229231</v>
      </c>
      <c r="T245" s="7">
        <f t="shared" si="909"/>
        <v>578</v>
      </c>
      <c r="U245" s="7">
        <v>18</v>
      </c>
      <c r="V245" s="7">
        <f>279*1000/(G245^2*PI()/4)</f>
        <v>550.61354234780583</v>
      </c>
      <c r="W245" s="7"/>
      <c r="X245" s="4">
        <f t="shared" si="910"/>
        <v>1.3582301682762954</v>
      </c>
      <c r="Y245" s="7"/>
      <c r="Z245" s="7"/>
      <c r="AA245" s="7">
        <v>1</v>
      </c>
      <c r="AB245" s="7"/>
      <c r="AC245" s="7"/>
      <c r="AD245" s="7">
        <f t="shared" si="911"/>
        <v>6.7476489028213171</v>
      </c>
      <c r="AE245" s="4">
        <f t="shared" si="912"/>
        <v>287</v>
      </c>
      <c r="AF245" s="4">
        <f t="shared" si="913"/>
        <v>0.35423925667828104</v>
      </c>
      <c r="AG245" s="4">
        <f t="shared" si="914"/>
        <v>225.54420427456137</v>
      </c>
      <c r="AH245" s="4">
        <f t="shared" si="915"/>
        <v>0.76181184668989543</v>
      </c>
      <c r="AI245" s="4">
        <v>1.25</v>
      </c>
      <c r="AJ245" s="4">
        <f t="shared" si="857"/>
        <v>2.5</v>
      </c>
      <c r="AK245" s="38">
        <f t="shared" si="848"/>
        <v>190.20682805032305</v>
      </c>
      <c r="AL245" s="38">
        <f t="shared" si="953"/>
        <v>190.20682805032305</v>
      </c>
      <c r="AM245" s="38">
        <f t="shared" si="916"/>
        <v>2.3625595852948513</v>
      </c>
      <c r="AN245" s="38">
        <f t="shared" si="858"/>
        <v>190.20682805032291</v>
      </c>
      <c r="AO245" s="38">
        <f t="shared" si="840"/>
        <v>1.0000000000000007</v>
      </c>
      <c r="AP245" s="38">
        <f t="shared" si="859"/>
        <v>1.5557738334432083</v>
      </c>
      <c r="AQ245" s="4">
        <f t="shared" si="860"/>
        <v>0</v>
      </c>
      <c r="AR245" s="4" t="e">
        <f>#REF!/G245*F245^0.5/0.19</f>
        <v>#REF!</v>
      </c>
      <c r="AS245" s="4">
        <f t="shared" si="917"/>
        <v>1.1561128526645768</v>
      </c>
      <c r="AT245" s="38">
        <f t="shared" si="918"/>
        <v>295.91880602292406</v>
      </c>
      <c r="AU245" s="4">
        <f t="shared" si="919"/>
        <v>0.3</v>
      </c>
      <c r="AV245" s="4" t="e">
        <f>AU245*D245*#REF!/(D245*G245/2.75/F245^0.5)</f>
        <v>#REF!</v>
      </c>
      <c r="AW245" s="4" t="e">
        <f t="shared" si="849"/>
        <v>#REF!</v>
      </c>
      <c r="AY245" s="4">
        <f t="shared" si="920"/>
        <v>1.4980314960629921</v>
      </c>
      <c r="AZ245" s="4" t="e">
        <f>(3*#REF!+30)*AY245*F245^0.5</f>
        <v>#REF!</v>
      </c>
      <c r="BB245" s="4">
        <f t="shared" si="921"/>
        <v>283.82232348783879</v>
      </c>
      <c r="BC245" s="4">
        <f t="shared" si="922"/>
        <v>2245.2309649218914</v>
      </c>
      <c r="BD245" s="4">
        <f t="shared" si="862"/>
        <v>7.9106919333570147</v>
      </c>
      <c r="BL245" s="4">
        <f t="shared" si="923"/>
        <v>51.099999999999994</v>
      </c>
      <c r="BP245" s="9"/>
      <c r="BR245" s="9"/>
      <c r="BS245" s="9"/>
      <c r="BT245" s="9">
        <f t="shared" si="924"/>
        <v>51.099999999999994</v>
      </c>
      <c r="BU245" s="9">
        <f t="shared" si="925"/>
        <v>76</v>
      </c>
      <c r="BV245" s="9">
        <f t="shared" si="926"/>
        <v>1.5054020239149992</v>
      </c>
      <c r="BW245" s="9">
        <v>0</v>
      </c>
      <c r="BX245" s="9">
        <f t="shared" si="927"/>
        <v>0</v>
      </c>
      <c r="BY245" s="9">
        <f t="shared" si="850"/>
        <v>0</v>
      </c>
      <c r="BZ245" s="9">
        <f t="shared" si="928"/>
        <v>0.99524931562137331</v>
      </c>
      <c r="CA245" s="9">
        <f t="shared" si="929"/>
        <v>0.88300000000000001</v>
      </c>
      <c r="CB245" s="9">
        <f t="shared" si="930"/>
        <v>1.4459616423243864</v>
      </c>
      <c r="CC245" s="9">
        <f t="shared" si="931"/>
        <v>2.1767535828585873</v>
      </c>
      <c r="CD245" s="9">
        <v>1</v>
      </c>
      <c r="CE245" s="9" t="e">
        <f>4*CC245*#REF!+60*CC245</f>
        <v>#REF!</v>
      </c>
      <c r="CG245" s="4" t="e">
        <f t="shared" si="954"/>
        <v>#REF!</v>
      </c>
      <c r="CH245" s="4" t="e">
        <f t="shared" si="955"/>
        <v>#REF!</v>
      </c>
      <c r="CI245" s="4" t="e">
        <f t="shared" si="956"/>
        <v>#REF!</v>
      </c>
      <c r="CJ245" s="4" t="e">
        <f t="shared" si="957"/>
        <v>#REF!</v>
      </c>
      <c r="CK245" s="4">
        <f t="shared" si="958"/>
        <v>1.3582301682762954</v>
      </c>
      <c r="CL245" s="4">
        <f t="shared" si="959"/>
        <v>1.4530735737887628</v>
      </c>
      <c r="CM245" s="4">
        <f t="shared" si="960"/>
        <v>1.6860007669757939</v>
      </c>
      <c r="CO245" s="4" t="e">
        <f t="shared" si="892"/>
        <v>#REF!</v>
      </c>
      <c r="CP245" s="4" t="e">
        <f t="shared" si="893"/>
        <v>#REF!</v>
      </c>
      <c r="CQ245" s="4" t="e">
        <f t="shared" si="894"/>
        <v>#REF!</v>
      </c>
      <c r="CR245" s="4">
        <f t="shared" si="975"/>
        <v>1.6860007669757939</v>
      </c>
      <c r="CS245" s="4">
        <f t="shared" si="896"/>
        <v>1.3582301682762954</v>
      </c>
      <c r="CT245" s="4">
        <f t="shared" si="897"/>
        <v>1.4530735737887628</v>
      </c>
      <c r="DB245" s="4">
        <f t="shared" si="888"/>
        <v>0</v>
      </c>
      <c r="DC245" s="4" t="e">
        <f>#REF!</f>
        <v>#REF!</v>
      </c>
      <c r="DF245" s="4">
        <f t="shared" si="932"/>
        <v>1.9021932517031272E-5</v>
      </c>
      <c r="DG245" s="4">
        <f t="shared" si="933"/>
        <v>5.6171289413727514</v>
      </c>
      <c r="DH245" s="4">
        <f t="shared" si="934"/>
        <v>0.40216525231214639</v>
      </c>
      <c r="DI245" s="4">
        <f t="shared" si="935"/>
        <v>3.9019006831634799</v>
      </c>
      <c r="DJ245" s="4">
        <f t="shared" si="936"/>
        <v>4.8364058609445459</v>
      </c>
      <c r="DK245" s="4">
        <f t="shared" si="937"/>
        <v>5.3662694517765832</v>
      </c>
      <c r="DL245" s="38">
        <f t="shared" si="938"/>
        <v>405.39045237566711</v>
      </c>
      <c r="DM245" s="4" t="e">
        <f t="shared" si="939"/>
        <v>#REF!</v>
      </c>
      <c r="DN245" s="4">
        <f t="shared" si="940"/>
        <v>2.5130222387491825</v>
      </c>
      <c r="DO245" s="4">
        <f t="shared" si="776"/>
        <v>190.20682805032291</v>
      </c>
      <c r="DS245" s="4">
        <f t="shared" si="941"/>
        <v>0.85</v>
      </c>
      <c r="DT245" s="4">
        <f t="shared" si="942"/>
        <v>0.89881889763779532</v>
      </c>
      <c r="DU245" s="4">
        <f t="shared" si="943"/>
        <v>1</v>
      </c>
      <c r="DV245" s="4">
        <f t="shared" si="944"/>
        <v>0.89881889763779532</v>
      </c>
      <c r="DX245" s="4">
        <f t="shared" si="945"/>
        <v>378.93025671929945</v>
      </c>
      <c r="DY245" s="25">
        <f t="shared" si="851"/>
        <v>188.52285441528608</v>
      </c>
      <c r="EA245" s="4">
        <f t="shared" si="852"/>
        <v>0.76399606299212597</v>
      </c>
      <c r="EB245" s="4">
        <f t="shared" si="946"/>
        <v>5.6171289413727514</v>
      </c>
      <c r="EE245" s="4">
        <f t="shared" si="947"/>
        <v>63.830764864229231</v>
      </c>
      <c r="EF245" s="4">
        <f t="shared" si="948"/>
        <v>2.5130222387491825</v>
      </c>
      <c r="EG245" s="4">
        <f t="shared" si="949"/>
        <v>0.10337986159960641</v>
      </c>
      <c r="EJ245" s="4">
        <f t="shared" si="853"/>
        <v>0.10337986159960641</v>
      </c>
      <c r="EK245" s="4">
        <f t="shared" si="950"/>
        <v>0.40149411345945146</v>
      </c>
      <c r="EL245" s="4">
        <f t="shared" si="889"/>
        <v>3.8992947600051124</v>
      </c>
      <c r="EM245" s="4">
        <f t="shared" si="854"/>
        <v>4.8353564860443772</v>
      </c>
      <c r="EN245" s="4" t="e">
        <f t="shared" si="863"/>
        <v>#REF!</v>
      </c>
      <c r="EO245" s="4" t="e">
        <f t="shared" si="864"/>
        <v>#REF!</v>
      </c>
      <c r="EP245" s="4" t="e">
        <f t="shared" si="951"/>
        <v>#REF!</v>
      </c>
      <c r="EQ245" s="4" t="e">
        <f t="shared" si="855"/>
        <v>#REF!</v>
      </c>
      <c r="ER245" s="4" t="e">
        <f t="shared" si="952"/>
        <v>#REF!</v>
      </c>
      <c r="FA245" s="23" t="e">
        <f t="shared" si="962"/>
        <v>#REF!</v>
      </c>
      <c r="FB245" s="23" t="e">
        <f t="shared" si="963"/>
        <v>#REF!</v>
      </c>
      <c r="FC245" s="23">
        <f t="shared" si="964"/>
        <v>1.8</v>
      </c>
      <c r="FD245" s="23" t="e">
        <f t="shared" si="965"/>
        <v>#REF!</v>
      </c>
      <c r="FE245" s="23">
        <f t="shared" si="966"/>
        <v>1.4</v>
      </c>
      <c r="FF245" s="23">
        <f t="shared" si="967"/>
        <v>1.6</v>
      </c>
      <c r="FG245" s="23">
        <f t="shared" si="968"/>
        <v>0</v>
      </c>
      <c r="FH245" s="23"/>
      <c r="FR245" s="4">
        <f t="shared" si="842"/>
        <v>1</v>
      </c>
      <c r="FS245" s="4">
        <f t="shared" si="843"/>
        <v>0.74803149606299213</v>
      </c>
      <c r="FT245" s="4">
        <f t="shared" si="844"/>
        <v>0</v>
      </c>
      <c r="FU245" s="4">
        <f t="shared" si="845"/>
        <v>326.57965116792326</v>
      </c>
    </row>
    <row r="246" spans="1:177" ht="12" customHeight="1" x14ac:dyDescent="0.3">
      <c r="B246" s="24"/>
      <c r="C246" s="4" t="s">
        <v>358</v>
      </c>
      <c r="D246" s="7">
        <v>556</v>
      </c>
      <c r="E246" s="7">
        <f>305-J246-20</f>
        <v>209</v>
      </c>
      <c r="F246" s="7">
        <v>33.299999999999997</v>
      </c>
      <c r="G246" s="7">
        <v>35.799999999999997</v>
      </c>
      <c r="H246" s="7">
        <v>305</v>
      </c>
      <c r="I246" s="7">
        <v>76</v>
      </c>
      <c r="J246" s="7">
        <v>76</v>
      </c>
      <c r="K246" s="7">
        <f t="shared" si="886"/>
        <v>81.400000000000006</v>
      </c>
      <c r="L246" s="7">
        <v>2</v>
      </c>
      <c r="M246" s="7">
        <f t="shared" si="856"/>
        <v>280</v>
      </c>
      <c r="N246" s="7">
        <f t="shared" si="905"/>
        <v>1.6368715083798884</v>
      </c>
      <c r="O246" s="7">
        <f t="shared" si="906"/>
        <v>2.6229050279329611</v>
      </c>
      <c r="P246" s="7">
        <f>3844/(G246^2*PI()/4)-1</f>
        <v>2.8188046643066431</v>
      </c>
      <c r="Q246" s="7">
        <f>3844/(G246^2*PI()/4)-1</f>
        <v>2.8188046643066431</v>
      </c>
      <c r="R246" s="7">
        <f t="shared" si="907"/>
        <v>3.8188046643066431</v>
      </c>
      <c r="S246" s="7">
        <f t="shared" si="908"/>
        <v>69.95950835992177</v>
      </c>
      <c r="T246" s="7">
        <f t="shared" si="909"/>
        <v>556</v>
      </c>
      <c r="U246" s="7">
        <v>20</v>
      </c>
      <c r="V246" s="7"/>
      <c r="W246" s="32" t="s">
        <v>308</v>
      </c>
      <c r="X246" s="4">
        <f t="shared" si="910"/>
        <v>0</v>
      </c>
      <c r="Y246" s="7"/>
      <c r="Z246" s="7"/>
      <c r="AA246" s="7">
        <v>1</v>
      </c>
      <c r="AB246" s="7"/>
      <c r="AC246" s="7"/>
      <c r="AD246" s="7">
        <f t="shared" si="911"/>
        <v>5.3498293515358357</v>
      </c>
      <c r="AE246" s="4">
        <f t="shared" si="912"/>
        <v>209</v>
      </c>
      <c r="AF246" s="4">
        <f t="shared" si="913"/>
        <v>0.48644338118022329</v>
      </c>
      <c r="AG246" s="4">
        <f t="shared" si="914"/>
        <v>86.607522555408934</v>
      </c>
      <c r="AH246" s="4">
        <f t="shared" si="915"/>
        <v>0.78985645933014348</v>
      </c>
      <c r="AI246" s="4">
        <v>1.25</v>
      </c>
      <c r="AJ246" s="4">
        <f t="shared" si="857"/>
        <v>2.5</v>
      </c>
      <c r="AK246" s="38">
        <f t="shared" si="848"/>
        <v>103.98869064332192</v>
      </c>
      <c r="AL246" s="38">
        <f t="shared" si="953"/>
        <v>103.98869064332192</v>
      </c>
      <c r="AM246" s="38">
        <f t="shared" si="916"/>
        <v>3.1051606722149665</v>
      </c>
      <c r="AN246" s="38">
        <f t="shared" si="858"/>
        <v>103.98869064332189</v>
      </c>
      <c r="AO246" s="38">
        <f t="shared" si="840"/>
        <v>1.0000000000000002</v>
      </c>
      <c r="AP246" s="38">
        <f t="shared" si="859"/>
        <v>2.1841952262281148</v>
      </c>
      <c r="AQ246" s="4">
        <f t="shared" si="860"/>
        <v>0</v>
      </c>
      <c r="AR246" s="4" t="e">
        <f>#REF!/G246*F246^0.5/0.19</f>
        <v>#REF!</v>
      </c>
      <c r="AS246" s="4">
        <f t="shared" si="917"/>
        <v>1.2409556313993173</v>
      </c>
      <c r="AT246" s="38">
        <f t="shared" si="918"/>
        <v>227.13160168485589</v>
      </c>
      <c r="AU246" s="4">
        <f t="shared" si="919"/>
        <v>0.60536734699706995</v>
      </c>
      <c r="AV246" s="4" t="e">
        <f>AU246*D246*#REF!/(D246*G246/2.75/F246^0.5)</f>
        <v>#REF!</v>
      </c>
      <c r="AW246" s="4" t="e">
        <f t="shared" si="849"/>
        <v>#REF!</v>
      </c>
      <c r="AY246" s="4">
        <f t="shared" si="920"/>
        <v>1.2807262569832403</v>
      </c>
      <c r="AZ246" s="4" t="e">
        <f>(3*#REF!+30)*AY246*F246^0.5</f>
        <v>#REF!</v>
      </c>
      <c r="BB246" s="4">
        <f t="shared" si="921"/>
        <v>217.84698240069329</v>
      </c>
      <c r="BC246" s="4">
        <f t="shared" si="922"/>
        <v>3168.2997281821408</v>
      </c>
      <c r="BD246" s="4">
        <f t="shared" si="862"/>
        <v>14.543693436866526</v>
      </c>
      <c r="BL246" s="4">
        <f t="shared" si="923"/>
        <v>40.700000000000003</v>
      </c>
      <c r="BP246" s="9"/>
      <c r="BR246" s="9"/>
      <c r="BS246" s="9"/>
      <c r="BT246" s="9">
        <f t="shared" si="924"/>
        <v>40.700000000000003</v>
      </c>
      <c r="BU246" s="9">
        <f t="shared" si="925"/>
        <v>76</v>
      </c>
      <c r="BV246" s="9">
        <f t="shared" si="926"/>
        <v>1.1709505872794554</v>
      </c>
      <c r="BW246" s="9">
        <v>0</v>
      </c>
      <c r="BX246" s="9">
        <f t="shared" si="927"/>
        <v>0</v>
      </c>
      <c r="BY246" s="9">
        <f t="shared" si="850"/>
        <v>0</v>
      </c>
      <c r="BZ246" s="9">
        <f t="shared" si="928"/>
        <v>0.89787751228078194</v>
      </c>
      <c r="CA246" s="9">
        <f t="shared" si="929"/>
        <v>0.91600000000000004</v>
      </c>
      <c r="CB246" s="9">
        <f t="shared" si="930"/>
        <v>1.661126587131682</v>
      </c>
      <c r="CC246" s="9">
        <f t="shared" si="931"/>
        <v>1.9450971527473606</v>
      </c>
      <c r="CD246" s="9">
        <v>1</v>
      </c>
      <c r="CE246" s="9" t="e">
        <f>4*CC246*#REF!+60*CC246</f>
        <v>#REF!</v>
      </c>
      <c r="DB246" s="4">
        <f t="shared" si="888"/>
        <v>0</v>
      </c>
      <c r="DC246" s="4" t="e">
        <f>#REF!</f>
        <v>#REF!</v>
      </c>
      <c r="DF246" s="4">
        <f t="shared" si="932"/>
        <v>1.0669925138298828E-5</v>
      </c>
      <c r="DG246" s="4">
        <f t="shared" si="933"/>
        <v>5.6551012697105509</v>
      </c>
      <c r="DH246" s="4">
        <f t="shared" si="934"/>
        <v>0.30157165572085265</v>
      </c>
      <c r="DI246" s="4">
        <f t="shared" si="935"/>
        <v>3.5010361467581061</v>
      </c>
      <c r="DJ246" s="4">
        <f t="shared" si="936"/>
        <v>4.7037119022476839</v>
      </c>
      <c r="DK246" s="4">
        <f t="shared" si="937"/>
        <v>5.5587522742613205</v>
      </c>
      <c r="DL246" s="38">
        <f t="shared" si="938"/>
        <v>209.42031549662136</v>
      </c>
      <c r="DM246" s="4" t="e">
        <f t="shared" si="939"/>
        <v>#REF!</v>
      </c>
      <c r="DN246" s="4">
        <f t="shared" si="940"/>
        <v>1.9541762111709993</v>
      </c>
      <c r="DO246" s="4">
        <f t="shared" ref="DO246:DO309" si="976">MIN(DN$10*AN246)</f>
        <v>103.98869064332189</v>
      </c>
      <c r="DS246" s="4">
        <f t="shared" si="941"/>
        <v>0.85</v>
      </c>
      <c r="DT246" s="4">
        <f t="shared" si="942"/>
        <v>0.98631284916201112</v>
      </c>
      <c r="DU246" s="4">
        <f t="shared" si="943"/>
        <v>1</v>
      </c>
      <c r="DV246" s="4">
        <f t="shared" si="944"/>
        <v>0.98631284916201112</v>
      </c>
      <c r="DX246" s="4">
        <f t="shared" si="945"/>
        <v>201.06128380235231</v>
      </c>
      <c r="DY246" s="25">
        <f t="shared" si="851"/>
        <v>102.01802972110887</v>
      </c>
      <c r="EA246" s="4">
        <f t="shared" si="852"/>
        <v>0.83836592178770941</v>
      </c>
      <c r="EB246" s="4">
        <f t="shared" si="946"/>
        <v>5.6551012697105509</v>
      </c>
      <c r="EE246" s="4">
        <f t="shared" si="947"/>
        <v>69.95950835992177</v>
      </c>
      <c r="EF246" s="4">
        <f t="shared" si="948"/>
        <v>1.9541762111709995</v>
      </c>
      <c r="EG246" s="4">
        <f t="shared" si="949"/>
        <v>9.5158569020139236E-2</v>
      </c>
      <c r="EJ246" s="4">
        <f t="shared" si="853"/>
        <v>9.5158569020139236E-2</v>
      </c>
      <c r="EK246" s="4">
        <f t="shared" si="950"/>
        <v>0.30106838883277071</v>
      </c>
      <c r="EL246" s="4">
        <f t="shared" si="889"/>
        <v>3.4986979449651985</v>
      </c>
      <c r="EM246" s="4">
        <f t="shared" si="854"/>
        <v>4.7028450718644867</v>
      </c>
      <c r="EN246" s="4" t="e">
        <f t="shared" si="863"/>
        <v>#REF!</v>
      </c>
      <c r="EO246" s="4" t="e">
        <f t="shared" si="864"/>
        <v>#REF!</v>
      </c>
      <c r="EP246" s="4" t="e">
        <f t="shared" si="951"/>
        <v>#REF!</v>
      </c>
      <c r="EQ246" s="4" t="e">
        <f t="shared" si="855"/>
        <v>#REF!</v>
      </c>
      <c r="ER246" s="4" t="e">
        <f t="shared" si="952"/>
        <v>#REF!</v>
      </c>
      <c r="FA246" s="23"/>
      <c r="FB246" s="23"/>
      <c r="FC246" s="23"/>
      <c r="FD246" s="23"/>
      <c r="FE246" s="23"/>
      <c r="FF246" s="23"/>
      <c r="FG246" s="23"/>
      <c r="FH246" s="23"/>
      <c r="FR246" s="4">
        <f t="shared" si="842"/>
        <v>1</v>
      </c>
      <c r="FS246" s="4">
        <f t="shared" si="843"/>
        <v>0.8938547486033519</v>
      </c>
      <c r="FT246" s="4">
        <f t="shared" si="844"/>
        <v>0</v>
      </c>
      <c r="FU246" s="4">
        <f t="shared" si="845"/>
        <v>131.77877551221948</v>
      </c>
    </row>
    <row r="247" spans="1:177" ht="12" customHeight="1" x14ac:dyDescent="0.3">
      <c r="B247" s="24"/>
      <c r="C247" s="4" t="s">
        <v>359</v>
      </c>
      <c r="D247" s="7">
        <v>578</v>
      </c>
      <c r="E247" s="7">
        <f>305-J247-25</f>
        <v>204</v>
      </c>
      <c r="F247" s="7">
        <v>33.299999999999997</v>
      </c>
      <c r="G247" s="7">
        <v>25.4</v>
      </c>
      <c r="H247" s="7">
        <v>305</v>
      </c>
      <c r="I247" s="7">
        <v>76</v>
      </c>
      <c r="J247" s="7">
        <v>76</v>
      </c>
      <c r="K247" s="7">
        <f t="shared" si="886"/>
        <v>102.19999999999999</v>
      </c>
      <c r="L247" s="7">
        <v>2</v>
      </c>
      <c r="M247" s="7">
        <f t="shared" si="856"/>
        <v>280</v>
      </c>
      <c r="N247" s="7">
        <f t="shared" si="905"/>
        <v>2.5118110236220472</v>
      </c>
      <c r="O247" s="7">
        <f t="shared" si="906"/>
        <v>3.4921259842519685</v>
      </c>
      <c r="P247" s="7">
        <f>3800/(G247^2*PI()/4)-1</f>
        <v>6.4993959172819435</v>
      </c>
      <c r="Q247" s="7">
        <f>3800/(G247^2*PI()/4)-1</f>
        <v>6.4993959172819435</v>
      </c>
      <c r="R247" s="7">
        <f t="shared" si="907"/>
        <v>7.4993959172819435</v>
      </c>
      <c r="S247" s="7">
        <f t="shared" si="908"/>
        <v>69.557963383020478</v>
      </c>
      <c r="T247" s="7">
        <f t="shared" si="909"/>
        <v>578</v>
      </c>
      <c r="U247" s="7">
        <v>25</v>
      </c>
      <c r="V247" s="7">
        <f>216*1000/(G247^2*PI()/4)</f>
        <v>426.28145214023681</v>
      </c>
      <c r="W247" s="7"/>
      <c r="X247" s="4">
        <f t="shared" si="910"/>
        <v>1.1369631936734077</v>
      </c>
      <c r="Y247" s="7"/>
      <c r="Z247" s="7"/>
      <c r="AA247" s="7">
        <v>1</v>
      </c>
      <c r="AB247" s="7"/>
      <c r="AC247" s="7"/>
      <c r="AD247" s="7">
        <f t="shared" si="911"/>
        <v>4.7962382445141065</v>
      </c>
      <c r="AE247" s="4">
        <f t="shared" si="912"/>
        <v>204</v>
      </c>
      <c r="AF247" s="4">
        <f t="shared" si="913"/>
        <v>0.49836601307189543</v>
      </c>
      <c r="AG247" s="4">
        <f t="shared" si="914"/>
        <v>165.91286301077704</v>
      </c>
      <c r="AH247" s="4">
        <f t="shared" si="915"/>
        <v>0.7869607843137254</v>
      </c>
      <c r="AI247" s="4">
        <v>1.25</v>
      </c>
      <c r="AJ247" s="4">
        <f t="shared" si="857"/>
        <v>2.5</v>
      </c>
      <c r="AK247" s="38">
        <f t="shared" si="848"/>
        <v>203.34410551890588</v>
      </c>
      <c r="AL247" s="38">
        <f t="shared" si="953"/>
        <v>203.34410551890588</v>
      </c>
      <c r="AM247" s="38">
        <f t="shared" si="916"/>
        <v>3.1051606722149665</v>
      </c>
      <c r="AN247" s="38">
        <f t="shared" si="858"/>
        <v>203.34410551890599</v>
      </c>
      <c r="AO247" s="38">
        <f t="shared" si="840"/>
        <v>0.99999999999999944</v>
      </c>
      <c r="AP247" s="38">
        <f t="shared" si="859"/>
        <v>2.4247464351615653</v>
      </c>
      <c r="AQ247" s="4">
        <f t="shared" si="860"/>
        <v>0</v>
      </c>
      <c r="AR247" s="4" t="e">
        <f>#REF!/G247*F247^0.5/0.19</f>
        <v>#REF!</v>
      </c>
      <c r="AS247" s="4">
        <f t="shared" si="917"/>
        <v>1.1561128526645768</v>
      </c>
      <c r="AT247" s="38">
        <f t="shared" si="918"/>
        <v>493.05789496808444</v>
      </c>
      <c r="AU247" s="4">
        <f t="shared" si="919"/>
        <v>0.3</v>
      </c>
      <c r="AV247" s="4" t="e">
        <f>AU247*D247*#REF!/(D247*G247/2.75/F247^0.5)</f>
        <v>#REF!</v>
      </c>
      <c r="AW247" s="4" t="e">
        <f t="shared" si="849"/>
        <v>#REF!</v>
      </c>
      <c r="AY247" s="4">
        <f t="shared" si="920"/>
        <v>1.4980314960629921</v>
      </c>
      <c r="AZ247" s="4" t="e">
        <f>(3*#REF!+30)*AY247*F247^0.5</f>
        <v>#REF!</v>
      </c>
      <c r="BB247" s="4">
        <f t="shared" si="921"/>
        <v>472.90281832586072</v>
      </c>
      <c r="BC247" s="4">
        <f t="shared" si="922"/>
        <v>2769.4518574340823</v>
      </c>
      <c r="BD247" s="4">
        <f t="shared" si="862"/>
        <v>5.8562811430016692</v>
      </c>
      <c r="BL247" s="4">
        <f t="shared" si="923"/>
        <v>51.099999999999994</v>
      </c>
      <c r="BP247" s="9"/>
      <c r="BR247" s="9"/>
      <c r="BS247" s="9"/>
      <c r="BT247" s="9">
        <f t="shared" si="924"/>
        <v>51.099999999999994</v>
      </c>
      <c r="BU247" s="9">
        <f t="shared" si="925"/>
        <v>76</v>
      </c>
      <c r="BV247" s="9">
        <f t="shared" si="926"/>
        <v>1.5054020239149992</v>
      </c>
      <c r="BW247" s="9">
        <v>0</v>
      </c>
      <c r="BX247" s="9">
        <f t="shared" si="927"/>
        <v>0</v>
      </c>
      <c r="BY247" s="9">
        <f t="shared" si="850"/>
        <v>0</v>
      </c>
      <c r="BZ247" s="9">
        <f t="shared" si="928"/>
        <v>0.99524931562137331</v>
      </c>
      <c r="CA247" s="9">
        <f t="shared" si="929"/>
        <v>0.88300000000000001</v>
      </c>
      <c r="CB247" s="9">
        <f t="shared" si="930"/>
        <v>1.7749362217430373</v>
      </c>
      <c r="CC247" s="9">
        <f t="shared" si="931"/>
        <v>2.6719925805320104</v>
      </c>
      <c r="CD247" s="9">
        <v>1</v>
      </c>
      <c r="CE247" s="9" t="e">
        <f>4*CC247*#REF!+60*CC247</f>
        <v>#REF!</v>
      </c>
      <c r="CG247" s="4" t="e">
        <f>V247/AR247</f>
        <v>#REF!</v>
      </c>
      <c r="CH247" s="4" t="e">
        <f>V247/AW247</f>
        <v>#REF!</v>
      </c>
      <c r="CI247" s="4" t="e">
        <f t="shared" ref="CI247:CI251" si="977">V247/AZ247</f>
        <v>#REF!</v>
      </c>
      <c r="CJ247" s="4" t="e">
        <f>V247/CE247</f>
        <v>#REF!</v>
      </c>
      <c r="CK247" s="4">
        <f t="shared" si="958"/>
        <v>1.1369631936734077</v>
      </c>
      <c r="CL247" s="4">
        <f t="shared" si="959"/>
        <v>1.162098744070923</v>
      </c>
      <c r="CM247" s="4">
        <f t="shared" ref="CM247:CM310" si="978">V247/FU247</f>
        <v>1.6574714449565529</v>
      </c>
      <c r="CO247" s="4" t="e">
        <f t="shared" si="892"/>
        <v>#REF!</v>
      </c>
      <c r="CP247" s="4" t="e">
        <f t="shared" si="893"/>
        <v>#REF!</v>
      </c>
      <c r="CQ247" s="4" t="e">
        <f t="shared" si="894"/>
        <v>#REF!</v>
      </c>
      <c r="CR247" s="4">
        <f t="shared" ref="CR247" si="979">CM247</f>
        <v>1.6574714449565529</v>
      </c>
      <c r="CS247" s="4">
        <f t="shared" si="896"/>
        <v>1.1369631936734077</v>
      </c>
      <c r="CT247" s="4">
        <f t="shared" si="897"/>
        <v>1.162098744070923</v>
      </c>
      <c r="DB247" s="4">
        <f t="shared" si="888"/>
        <v>0</v>
      </c>
      <c r="DC247" s="4" t="e">
        <f>#REF!</f>
        <v>#REF!</v>
      </c>
      <c r="DF247" s="4">
        <f t="shared" si="932"/>
        <v>1.4678935551750747E-5</v>
      </c>
      <c r="DG247" s="4">
        <f t="shared" si="933"/>
        <v>6.8950968880590437</v>
      </c>
      <c r="DH247" s="4">
        <f t="shared" si="934"/>
        <v>0.25428930524237559</v>
      </c>
      <c r="DI247" s="4">
        <f t="shared" si="935"/>
        <v>3.9872329649554095</v>
      </c>
      <c r="DJ247" s="4">
        <f t="shared" si="936"/>
        <v>5.6333472301811316</v>
      </c>
      <c r="DK247" s="4">
        <f t="shared" si="937"/>
        <v>6.7091720926999621</v>
      </c>
      <c r="DL247" s="38">
        <f t="shared" si="938"/>
        <v>374.92986097726396</v>
      </c>
      <c r="DM247" s="4" t="e">
        <f t="shared" si="939"/>
        <v>#REF!</v>
      </c>
      <c r="DN247" s="4">
        <f t="shared" si="940"/>
        <v>2.7385024953945072</v>
      </c>
      <c r="DO247" s="4">
        <f t="shared" si="976"/>
        <v>203.34410551890599</v>
      </c>
      <c r="DS247" s="4">
        <f t="shared" si="941"/>
        <v>0.85</v>
      </c>
      <c r="DT247" s="4">
        <f t="shared" si="942"/>
        <v>0.89881889763779532</v>
      </c>
      <c r="DU247" s="4">
        <f t="shared" si="943"/>
        <v>1</v>
      </c>
      <c r="DV247" s="4">
        <f t="shared" si="944"/>
        <v>0.89881889763779532</v>
      </c>
      <c r="DX247" s="4">
        <f t="shared" si="945"/>
        <v>366.82033632266007</v>
      </c>
      <c r="DY247" s="25">
        <f t="shared" si="851"/>
        <v>200.68650579147365</v>
      </c>
      <c r="EA247" s="4">
        <f t="shared" si="852"/>
        <v>0.76399606299212597</v>
      </c>
      <c r="EB247" s="4">
        <f t="shared" si="946"/>
        <v>6.8950968880590437</v>
      </c>
      <c r="EE247" s="4">
        <f t="shared" si="947"/>
        <v>69.557963383020478</v>
      </c>
      <c r="EF247" s="4">
        <f t="shared" si="948"/>
        <v>2.7385024953945072</v>
      </c>
      <c r="EG247" s="4">
        <f t="shared" si="949"/>
        <v>8.0238994431188704E-2</v>
      </c>
      <c r="EJ247" s="4">
        <f t="shared" si="853"/>
        <v>8.0238994431188704E-2</v>
      </c>
      <c r="EK247" s="4">
        <f t="shared" si="950"/>
        <v>0.25386494378501001</v>
      </c>
      <c r="EL247" s="4">
        <f t="shared" si="889"/>
        <v>3.9845700517843952</v>
      </c>
      <c r="EM247" s="4">
        <f t="shared" si="854"/>
        <v>5.6324102518589836</v>
      </c>
      <c r="EN247" s="4" t="e">
        <f t="shared" si="863"/>
        <v>#REF!</v>
      </c>
      <c r="EO247" s="4" t="e">
        <f t="shared" si="864"/>
        <v>#REF!</v>
      </c>
      <c r="EP247" s="4" t="e">
        <f t="shared" si="951"/>
        <v>#REF!</v>
      </c>
      <c r="EQ247" s="4" t="e">
        <f t="shared" si="855"/>
        <v>#REF!</v>
      </c>
      <c r="ER247" s="4" t="e">
        <f t="shared" si="952"/>
        <v>#REF!</v>
      </c>
      <c r="FA247" s="23" t="e">
        <f t="shared" ref="FA247:FB262" si="980">IF(CG247&lt;0.6,0.6,IF(CG247&lt;0.8,0.8,IF(CG247&lt;1,1,IF(CG247&lt;1.2,1.2,IF(CG247&lt;1.4,1.4,IF(CG247&lt;1.6,1.6,IF(CG247&lt;1.8,1.8,IF(CG247&lt;2,2,2.2))))))))</f>
        <v>#REF!</v>
      </c>
      <c r="FB247" s="23" t="e">
        <f t="shared" si="980"/>
        <v>#REF!</v>
      </c>
      <c r="FC247" s="23">
        <f t="shared" ref="FC247:FC310" si="981">IF(CM247&lt;0.6,0.6,IF(CM247&lt;0.8,0.8,IF(CM247&lt;1,1,IF(CM247&lt;1.2,1.2,IF(CM247&lt;1.4,1.4,IF(CM247&lt;1.6,1.6,IF(CM247&lt;1.8,1.8,IF(CM247&lt;2,2,2.2))))))))</f>
        <v>1.8</v>
      </c>
      <c r="FD247" s="23" t="e">
        <f t="shared" ref="FD247:FF262" si="982">IF(CJ247&lt;0.6,0.6,IF(CJ247&lt;0.8,0.8,IF(CJ247&lt;1,1,IF(CJ247&lt;1.2,1.2,IF(CJ247&lt;1.4,1.4,IF(CJ247&lt;1.6,1.6,IF(CJ247&lt;1.8,1.8,IF(CJ247&lt;2,2,2.2))))))))</f>
        <v>#REF!</v>
      </c>
      <c r="FE247" s="23">
        <f t="shared" si="982"/>
        <v>1.2</v>
      </c>
      <c r="FF247" s="23">
        <f t="shared" si="982"/>
        <v>1.2</v>
      </c>
      <c r="FG247" s="23">
        <f t="shared" si="968"/>
        <v>0</v>
      </c>
      <c r="FH247" s="23"/>
      <c r="FR247" s="4">
        <f t="shared" si="842"/>
        <v>1</v>
      </c>
      <c r="FS247" s="4">
        <f t="shared" si="843"/>
        <v>0.74803149606299213</v>
      </c>
      <c r="FT247" s="4">
        <f t="shared" si="844"/>
        <v>0</v>
      </c>
      <c r="FU247" s="4">
        <f t="shared" si="845"/>
        <v>257.18781064817131</v>
      </c>
    </row>
    <row r="248" spans="1:177" ht="12" customHeight="1" x14ac:dyDescent="0.3">
      <c r="A248" s="4">
        <v>5</v>
      </c>
      <c r="B248" s="24" t="s">
        <v>360</v>
      </c>
      <c r="C248" s="7" t="s">
        <v>361</v>
      </c>
      <c r="D248" s="7">
        <v>506</v>
      </c>
      <c r="E248" s="7">
        <v>190</v>
      </c>
      <c r="F248" s="7">
        <v>27.1</v>
      </c>
      <c r="G248" s="7">
        <v>19.100000000000001</v>
      </c>
      <c r="H248" s="7">
        <v>240</v>
      </c>
      <c r="I248" s="7">
        <f>63-G248/2</f>
        <v>53.45</v>
      </c>
      <c r="J248" s="7" t="e">
        <f>400-G248-#REF!</f>
        <v>#REF!</v>
      </c>
      <c r="K248" s="7">
        <f>114-G248</f>
        <v>94.9</v>
      </c>
      <c r="L248" s="7">
        <v>2</v>
      </c>
      <c r="M248" s="7"/>
      <c r="N248" s="7">
        <f t="shared" si="905"/>
        <v>2.9842931937172774</v>
      </c>
      <c r="O248" s="7">
        <f t="shared" si="906"/>
        <v>3.2984293193717278</v>
      </c>
      <c r="P248" s="7">
        <f>32^2/(PI()/4*G248^2)-1</f>
        <v>2.5739077706444626</v>
      </c>
      <c r="Q248" s="7">
        <f>32^2/(PI()/4*G248^2)-1</f>
        <v>2.5739077706444626</v>
      </c>
      <c r="R248" s="7">
        <f t="shared" si="907"/>
        <v>3.5739077706444626</v>
      </c>
      <c r="S248" s="7">
        <f t="shared" si="908"/>
        <v>36.108133347056402</v>
      </c>
      <c r="T248" s="7"/>
      <c r="U248" s="7"/>
      <c r="V248" s="7">
        <f>290/(PI()/4*G248^2)*1000/L248</f>
        <v>506.0709245541475</v>
      </c>
      <c r="W248" s="7"/>
      <c r="X248" s="4" t="e">
        <f t="shared" si="910"/>
        <v>#REF!</v>
      </c>
      <c r="Y248" s="7">
        <v>9.5</v>
      </c>
      <c r="Z248" s="10">
        <v>3</v>
      </c>
      <c r="AA248" s="7">
        <v>57</v>
      </c>
      <c r="AB248" s="7">
        <v>4</v>
      </c>
      <c r="AC248" s="7">
        <f t="shared" ref="AC248:AC251" si="983">Z248</f>
        <v>3</v>
      </c>
      <c r="AD248" s="7"/>
      <c r="AE248" s="4">
        <f t="shared" si="912"/>
        <v>190</v>
      </c>
      <c r="AF248" s="4">
        <f t="shared" si="913"/>
        <v>0.42105263157894735</v>
      </c>
      <c r="AG248" s="4">
        <f t="shared" si="914"/>
        <v>237.91862175035638</v>
      </c>
      <c r="AH248" s="4">
        <f t="shared" si="915"/>
        <v>0.76631578947368417</v>
      </c>
      <c r="AI248" s="4">
        <v>1.25</v>
      </c>
      <c r="AJ248" s="4">
        <f t="shared" si="857"/>
        <v>2.5</v>
      </c>
      <c r="AK248" s="38">
        <f>AF248*AH248*AI248*AJ248*AG248</f>
        <v>239.89578481199368</v>
      </c>
      <c r="AL248" s="38">
        <f t="shared" si="953"/>
        <v>239.89578481199368</v>
      </c>
      <c r="AM248" s="38">
        <f t="shared" si="916"/>
        <v>2.7066625581997639</v>
      </c>
      <c r="AN248" s="38">
        <f t="shared" si="858"/>
        <v>239.89578481199356</v>
      </c>
      <c r="AO248" s="38">
        <f t="shared" si="840"/>
        <v>1.0000000000000004</v>
      </c>
      <c r="AP248" s="38">
        <f t="shared" si="859"/>
        <v>1.1272655573426391</v>
      </c>
      <c r="AQ248" s="4">
        <f t="shared" si="860"/>
        <v>0</v>
      </c>
      <c r="AR248" s="4" t="e">
        <f>#REF!/G248*F248^0.5/0.19</f>
        <v>#REF!</v>
      </c>
      <c r="AS248" s="4">
        <f t="shared" si="917"/>
        <v>1.0421052631578949</v>
      </c>
      <c r="AT248" s="38">
        <f t="shared" si="918"/>
        <v>270.42625557024172</v>
      </c>
      <c r="AU248" s="4">
        <f t="shared" si="919"/>
        <v>0.63965291210977526</v>
      </c>
      <c r="AV248" s="4" t="e">
        <f>AU248*D248*#REF!/(D248*G248/2.75/F248^0.5)</f>
        <v>#REF!</v>
      </c>
      <c r="AW248" s="4" t="e">
        <f>AT248+AV248</f>
        <v>#REF!</v>
      </c>
      <c r="AY248" s="4">
        <f t="shared" si="920"/>
        <v>1.5</v>
      </c>
      <c r="AZ248" s="4" t="e">
        <f>(3*#REF!+30)*AY248*F248^0.5</f>
        <v>#REF!</v>
      </c>
      <c r="BB248" s="4">
        <f t="shared" si="921"/>
        <v>259.37185006794141</v>
      </c>
      <c r="BC248" s="4">
        <f t="shared" si="922"/>
        <v>0</v>
      </c>
      <c r="BD248" s="4">
        <f t="shared" ref="BD248:BD251" si="984">BC248/BB248</f>
        <v>0</v>
      </c>
      <c r="BL248" s="4">
        <f t="shared" si="923"/>
        <v>47.45</v>
      </c>
      <c r="BP248" s="9"/>
      <c r="BR248" s="9"/>
      <c r="BS248" s="9"/>
      <c r="BT248" s="9" t="e">
        <f t="shared" si="924"/>
        <v>#REF!</v>
      </c>
      <c r="BU248" s="9">
        <f t="shared" si="925"/>
        <v>53.45</v>
      </c>
      <c r="BV248" s="9" t="e">
        <f t="shared" si="926"/>
        <v>#REF!</v>
      </c>
      <c r="BW248" s="9">
        <v>20</v>
      </c>
      <c r="BX248" s="9">
        <f t="shared" si="927"/>
        <v>0.05</v>
      </c>
      <c r="BY248" s="9">
        <f>MAX(0,BW248*(BX248-0.5/50))</f>
        <v>0.8</v>
      </c>
      <c r="BZ248" s="9">
        <f t="shared" si="928"/>
        <v>1</v>
      </c>
      <c r="CA248" s="9">
        <f t="shared" si="929"/>
        <v>0.99099999999999999</v>
      </c>
      <c r="CB248" s="9">
        <f t="shared" si="930"/>
        <v>1.8056199488679785</v>
      </c>
      <c r="CC248" s="9" t="e">
        <f t="shared" si="931"/>
        <v>#REF!</v>
      </c>
      <c r="CD248" s="9">
        <v>1</v>
      </c>
      <c r="CE248" s="9" t="e">
        <f>4*CC248*#REF!+60*CC248</f>
        <v>#REF!</v>
      </c>
      <c r="CG248" s="4" t="e">
        <f>V248/AR248</f>
        <v>#REF!</v>
      </c>
      <c r="CH248" s="4" t="e">
        <f>V248/AW248</f>
        <v>#REF!</v>
      </c>
      <c r="CI248" s="4" t="e">
        <f t="shared" si="977"/>
        <v>#REF!</v>
      </c>
      <c r="CJ248" s="4" t="e">
        <f>V248/CE248</f>
        <v>#REF!</v>
      </c>
      <c r="CK248" s="4" t="e">
        <f t="shared" si="958"/>
        <v>#REF!</v>
      </c>
      <c r="CL248" s="4" t="e">
        <f t="shared" si="959"/>
        <v>#REF!</v>
      </c>
      <c r="CM248" s="4">
        <f t="shared" si="978"/>
        <v>1.2269966870795557</v>
      </c>
      <c r="CU248" s="4" t="e">
        <f t="shared" si="969"/>
        <v>#REF!</v>
      </c>
      <c r="CV248" s="4" t="e">
        <f t="shared" si="970"/>
        <v>#REF!</v>
      </c>
      <c r="CW248" s="4" t="e">
        <f t="shared" si="971"/>
        <v>#REF!</v>
      </c>
      <c r="CX248" s="4">
        <f t="shared" ref="CX248:CX251" si="985">CM248</f>
        <v>1.2269966870795557</v>
      </c>
      <c r="CY248" s="4" t="e">
        <f t="shared" si="973"/>
        <v>#REF!</v>
      </c>
      <c r="CZ248" s="4" t="e">
        <f t="shared" si="974"/>
        <v>#REF!</v>
      </c>
      <c r="DB248" s="4">
        <f t="shared" si="888"/>
        <v>3</v>
      </c>
      <c r="DC248" s="4" t="e">
        <f>#REF!</f>
        <v>#REF!</v>
      </c>
      <c r="DF248" s="4">
        <f t="shared" si="932"/>
        <v>1.7394186230005775E-5</v>
      </c>
      <c r="DG248" s="4" t="e">
        <f t="shared" si="933"/>
        <v>#REF!</v>
      </c>
      <c r="DH248" s="4">
        <f t="shared" si="934"/>
        <v>0.48320593455916955</v>
      </c>
      <c r="DI248" s="4" t="e">
        <f t="shared" si="935"/>
        <v>#REF!</v>
      </c>
      <c r="DJ248" s="4" t="e">
        <f t="shared" si="936"/>
        <v>#REF!</v>
      </c>
      <c r="DK248" s="4" t="e">
        <f t="shared" si="937"/>
        <v>#REF!</v>
      </c>
      <c r="DL248" s="38" t="e">
        <f t="shared" si="938"/>
        <v>#REF!</v>
      </c>
      <c r="DM248" s="4" t="e">
        <f t="shared" si="939"/>
        <v>#REF!</v>
      </c>
      <c r="DN248" s="4">
        <f t="shared" si="940"/>
        <v>1.8904781857097592</v>
      </c>
      <c r="DO248" s="4">
        <f t="shared" si="976"/>
        <v>239.89578481199356</v>
      </c>
      <c r="DS248" s="4" t="e">
        <f t="shared" si="941"/>
        <v>#REF!</v>
      </c>
      <c r="DT248" s="4">
        <f t="shared" si="942"/>
        <v>0.85157068062827224</v>
      </c>
      <c r="DU248" s="4">
        <f t="shared" si="943"/>
        <v>0.7</v>
      </c>
      <c r="DV248" s="4">
        <f t="shared" si="944"/>
        <v>0.7</v>
      </c>
      <c r="DX248" s="4" t="e">
        <f t="shared" si="945"/>
        <v>#REF!</v>
      </c>
      <c r="DY248" s="25">
        <f t="shared" si="851"/>
        <v>237.4108387047049</v>
      </c>
      <c r="EA248" s="4" t="e">
        <f t="shared" si="852"/>
        <v>#REF!</v>
      </c>
      <c r="EB248" s="4" t="e">
        <f t="shared" si="946"/>
        <v>#REF!</v>
      </c>
      <c r="EE248" s="4">
        <f t="shared" si="947"/>
        <v>36.108133347056402</v>
      </c>
      <c r="EF248" s="4">
        <f t="shared" si="948"/>
        <v>1.8904781857097592</v>
      </c>
      <c r="EG248" s="4">
        <f t="shared" si="949"/>
        <v>0.1375473318448516</v>
      </c>
      <c r="EJ248" s="4">
        <f>EG248</f>
        <v>0.1375473318448516</v>
      </c>
      <c r="EK248" s="4">
        <f t="shared" si="950"/>
        <v>0.48239955391173428</v>
      </c>
      <c r="EL248" s="4" t="e">
        <f t="shared" si="889"/>
        <v>#REF!</v>
      </c>
      <c r="EM248" s="4" t="e">
        <f>EB248/1.4*(1-EK248^1.4)/(1-EK248)</f>
        <v>#REF!</v>
      </c>
      <c r="EN248" s="4" t="e">
        <f t="shared" si="863"/>
        <v>#REF!</v>
      </c>
      <c r="EO248" s="4" t="e">
        <f t="shared" si="864"/>
        <v>#REF!</v>
      </c>
      <c r="EP248" s="4" t="e">
        <f t="shared" si="951"/>
        <v>#REF!</v>
      </c>
      <c r="EQ248" s="4" t="e">
        <f>MAX(0.5*EB248, (1-2*EP248*(EE248*EL248+EN248*EM248))/(1/EB248+EP248*EO248))</f>
        <v>#REF!</v>
      </c>
      <c r="ER248" s="4" t="e">
        <f t="shared" si="952"/>
        <v>#REF!</v>
      </c>
      <c r="FA248" s="23" t="e">
        <f t="shared" si="980"/>
        <v>#REF!</v>
      </c>
      <c r="FB248" s="23" t="e">
        <f t="shared" si="980"/>
        <v>#REF!</v>
      </c>
      <c r="FC248" s="23">
        <f t="shared" si="981"/>
        <v>1.4</v>
      </c>
      <c r="FD248" s="23" t="e">
        <f t="shared" si="982"/>
        <v>#REF!</v>
      </c>
      <c r="FE248" s="23" t="e">
        <f t="shared" si="982"/>
        <v>#REF!</v>
      </c>
      <c r="FF248" s="23" t="e">
        <f t="shared" si="982"/>
        <v>#REF!</v>
      </c>
      <c r="FG248" s="23" t="e">
        <f t="shared" si="968"/>
        <v>#REF!</v>
      </c>
      <c r="FH248" s="23"/>
      <c r="FR248" s="4">
        <f t="shared" si="842"/>
        <v>1.25</v>
      </c>
      <c r="FS248" s="4">
        <f t="shared" si="843"/>
        <v>0.50622953362009215</v>
      </c>
      <c r="FT248" s="4">
        <f t="shared" si="844"/>
        <v>0.3</v>
      </c>
      <c r="FU248" s="4">
        <f t="shared" si="845"/>
        <v>412.44685489630422</v>
      </c>
    </row>
    <row r="249" spans="1:177" ht="12" customHeight="1" x14ac:dyDescent="0.3">
      <c r="B249" s="24" t="s">
        <v>309</v>
      </c>
      <c r="C249" s="7" t="s">
        <v>362</v>
      </c>
      <c r="D249" s="7">
        <v>506</v>
      </c>
      <c r="E249" s="7">
        <v>190</v>
      </c>
      <c r="F249" s="7">
        <v>27.1</v>
      </c>
      <c r="G249" s="7">
        <v>19.100000000000001</v>
      </c>
      <c r="H249" s="7">
        <v>240</v>
      </c>
      <c r="I249" s="7">
        <f>63-G249/2</f>
        <v>53.45</v>
      </c>
      <c r="J249" s="7" t="e">
        <f>400-G249-#REF!</f>
        <v>#REF!</v>
      </c>
      <c r="K249" s="7">
        <f>114-G249</f>
        <v>94.9</v>
      </c>
      <c r="L249" s="7">
        <v>2</v>
      </c>
      <c r="M249" s="7"/>
      <c r="N249" s="7">
        <f t="shared" si="905"/>
        <v>2.9842931937172774</v>
      </c>
      <c r="O249" s="7">
        <f t="shared" si="906"/>
        <v>3.2984293193717278</v>
      </c>
      <c r="P249" s="7">
        <f>32^2/(PI()/4*G249^2)-1</f>
        <v>2.5739077706444626</v>
      </c>
      <c r="Q249" s="7">
        <f>32^2/(PI()/4*G249^2)-1</f>
        <v>2.5739077706444626</v>
      </c>
      <c r="R249" s="7">
        <f t="shared" si="907"/>
        <v>3.5739077706444626</v>
      </c>
      <c r="S249" s="7">
        <f t="shared" si="908"/>
        <v>36.108133347056402</v>
      </c>
      <c r="T249" s="7"/>
      <c r="U249" s="7"/>
      <c r="V249" s="7">
        <f>302/(PI()/4*G249^2)*1000/L249</f>
        <v>527.0117903977673</v>
      </c>
      <c r="W249" s="7"/>
      <c r="X249" s="4" t="e">
        <f t="shared" si="910"/>
        <v>#REF!</v>
      </c>
      <c r="Y249" s="7">
        <v>9.5</v>
      </c>
      <c r="Z249" s="10">
        <v>3</v>
      </c>
      <c r="AA249" s="7">
        <v>57</v>
      </c>
      <c r="AB249" s="7">
        <v>4</v>
      </c>
      <c r="AC249" s="7">
        <f t="shared" si="983"/>
        <v>3</v>
      </c>
      <c r="AD249" s="7"/>
      <c r="AE249" s="4">
        <f t="shared" si="912"/>
        <v>190</v>
      </c>
      <c r="AF249" s="4">
        <f t="shared" si="913"/>
        <v>0.42105263157894735</v>
      </c>
      <c r="AG249" s="4">
        <f t="shared" si="914"/>
        <v>237.91862175035638</v>
      </c>
      <c r="AH249" s="4">
        <f t="shared" si="915"/>
        <v>0.76631578947368417</v>
      </c>
      <c r="AI249" s="4">
        <v>1.25</v>
      </c>
      <c r="AJ249" s="4">
        <f t="shared" si="857"/>
        <v>2.5</v>
      </c>
      <c r="AK249" s="38">
        <f>AF249*AH249*AI249*AJ249*AG249</f>
        <v>239.89578481199368</v>
      </c>
      <c r="AL249" s="38">
        <f t="shared" si="953"/>
        <v>239.89578481199368</v>
      </c>
      <c r="AM249" s="38">
        <f t="shared" si="916"/>
        <v>2.7066625581997639</v>
      </c>
      <c r="AN249" s="38">
        <f t="shared" si="858"/>
        <v>239.89578481199356</v>
      </c>
      <c r="AO249" s="38">
        <f t="shared" si="840"/>
        <v>1.0000000000000004</v>
      </c>
      <c r="AP249" s="38">
        <f t="shared" si="859"/>
        <v>1.1272655573426391</v>
      </c>
      <c r="AQ249" s="4">
        <f t="shared" si="860"/>
        <v>0</v>
      </c>
      <c r="AR249" s="4" t="e">
        <f>#REF!/G249*F249^0.5/0.19</f>
        <v>#REF!</v>
      </c>
      <c r="AS249" s="4">
        <f t="shared" si="917"/>
        <v>1.0421052631578949</v>
      </c>
      <c r="AT249" s="38">
        <f t="shared" si="918"/>
        <v>270.42625557024172</v>
      </c>
      <c r="AU249" s="4">
        <f t="shared" si="919"/>
        <v>0.63965291210977526</v>
      </c>
      <c r="AV249" s="4" t="e">
        <f>AU249*D249*#REF!/(D249*G249/2.75/F249^0.5)</f>
        <v>#REF!</v>
      </c>
      <c r="AW249" s="4" t="e">
        <f>AT249+AV249</f>
        <v>#REF!</v>
      </c>
      <c r="AY249" s="4">
        <f t="shared" si="920"/>
        <v>1.5</v>
      </c>
      <c r="AZ249" s="4" t="e">
        <f>(3*#REF!+30)*AY249*F249^0.5</f>
        <v>#REF!</v>
      </c>
      <c r="BB249" s="4">
        <f t="shared" si="921"/>
        <v>259.37185006794141</v>
      </c>
      <c r="BC249" s="4">
        <f t="shared" si="922"/>
        <v>0</v>
      </c>
      <c r="BD249" s="4">
        <f t="shared" si="984"/>
        <v>0</v>
      </c>
      <c r="BL249" s="4">
        <f t="shared" si="923"/>
        <v>47.45</v>
      </c>
      <c r="BP249" s="9"/>
      <c r="BR249" s="9"/>
      <c r="BS249" s="9"/>
      <c r="BT249" s="9" t="e">
        <f t="shared" si="924"/>
        <v>#REF!</v>
      </c>
      <c r="BU249" s="9">
        <f t="shared" si="925"/>
        <v>53.45</v>
      </c>
      <c r="BV249" s="9" t="e">
        <f t="shared" si="926"/>
        <v>#REF!</v>
      </c>
      <c r="BW249" s="9">
        <v>20</v>
      </c>
      <c r="BX249" s="9">
        <f t="shared" si="927"/>
        <v>0.05</v>
      </c>
      <c r="BY249" s="9">
        <f>MAX(0,BW249*(BX249-0.5/50))</f>
        <v>0.8</v>
      </c>
      <c r="BZ249" s="9">
        <f t="shared" si="928"/>
        <v>1</v>
      </c>
      <c r="CA249" s="9">
        <f t="shared" si="929"/>
        <v>0.99099999999999999</v>
      </c>
      <c r="CB249" s="9">
        <f t="shared" si="930"/>
        <v>1.8056199488679785</v>
      </c>
      <c r="CC249" s="9" t="e">
        <f t="shared" si="931"/>
        <v>#REF!</v>
      </c>
      <c r="CD249" s="9">
        <v>1</v>
      </c>
      <c r="CE249" s="9" t="e">
        <f>4*CC249*#REF!+60*CC249</f>
        <v>#REF!</v>
      </c>
      <c r="CG249" s="4" t="e">
        <f>V249/AR249</f>
        <v>#REF!</v>
      </c>
      <c r="CH249" s="4" t="e">
        <f>V249/AW249</f>
        <v>#REF!</v>
      </c>
      <c r="CI249" s="4" t="e">
        <f t="shared" si="977"/>
        <v>#REF!</v>
      </c>
      <c r="CJ249" s="4" t="e">
        <f>V249/CE249</f>
        <v>#REF!</v>
      </c>
      <c r="CK249" s="4" t="e">
        <f t="shared" si="958"/>
        <v>#REF!</v>
      </c>
      <c r="CL249" s="4" t="e">
        <f t="shared" si="959"/>
        <v>#REF!</v>
      </c>
      <c r="CM249" s="4">
        <f t="shared" si="978"/>
        <v>1.2777689637862957</v>
      </c>
      <c r="CU249" s="4" t="e">
        <f t="shared" si="969"/>
        <v>#REF!</v>
      </c>
      <c r="CV249" s="4" t="e">
        <f t="shared" si="970"/>
        <v>#REF!</v>
      </c>
      <c r="CW249" s="4" t="e">
        <f t="shared" si="971"/>
        <v>#REF!</v>
      </c>
      <c r="CX249" s="4">
        <f t="shared" si="985"/>
        <v>1.2777689637862957</v>
      </c>
      <c r="CY249" s="4" t="e">
        <f t="shared" si="973"/>
        <v>#REF!</v>
      </c>
      <c r="CZ249" s="4" t="e">
        <f t="shared" si="974"/>
        <v>#REF!</v>
      </c>
      <c r="DB249" s="4">
        <f t="shared" si="888"/>
        <v>3</v>
      </c>
      <c r="DC249" s="4" t="e">
        <f>#REF!</f>
        <v>#REF!</v>
      </c>
      <c r="DF249" s="4">
        <f t="shared" si="932"/>
        <v>1.7394186230005775E-5</v>
      </c>
      <c r="DG249" s="4" t="e">
        <f t="shared" si="933"/>
        <v>#REF!</v>
      </c>
      <c r="DH249" s="4">
        <f t="shared" si="934"/>
        <v>0.48320593455916955</v>
      </c>
      <c r="DI249" s="4" t="e">
        <f t="shared" si="935"/>
        <v>#REF!</v>
      </c>
      <c r="DJ249" s="4" t="e">
        <f t="shared" si="936"/>
        <v>#REF!</v>
      </c>
      <c r="DK249" s="4" t="e">
        <f t="shared" si="937"/>
        <v>#REF!</v>
      </c>
      <c r="DL249" s="38" t="e">
        <f t="shared" si="938"/>
        <v>#REF!</v>
      </c>
      <c r="DM249" s="4" t="e">
        <f t="shared" si="939"/>
        <v>#REF!</v>
      </c>
      <c r="DN249" s="4">
        <f t="shared" si="940"/>
        <v>1.8904781857097592</v>
      </c>
      <c r="DO249" s="4">
        <f t="shared" si="976"/>
        <v>239.89578481199356</v>
      </c>
      <c r="DS249" s="4" t="e">
        <f t="shared" si="941"/>
        <v>#REF!</v>
      </c>
      <c r="DT249" s="4">
        <f t="shared" si="942"/>
        <v>0.85157068062827224</v>
      </c>
      <c r="DU249" s="4">
        <f t="shared" si="943"/>
        <v>0.7</v>
      </c>
      <c r="DV249" s="4">
        <f t="shared" si="944"/>
        <v>0.7</v>
      </c>
      <c r="DX249" s="4" t="e">
        <f t="shared" si="945"/>
        <v>#REF!</v>
      </c>
      <c r="DY249" s="25">
        <f t="shared" si="851"/>
        <v>237.4108387047049</v>
      </c>
      <c r="EA249" s="4" t="e">
        <f t="shared" si="852"/>
        <v>#REF!</v>
      </c>
      <c r="EB249" s="4" t="e">
        <f t="shared" si="946"/>
        <v>#REF!</v>
      </c>
      <c r="EE249" s="4">
        <f t="shared" si="947"/>
        <v>36.108133347056402</v>
      </c>
      <c r="EF249" s="4">
        <f t="shared" si="948"/>
        <v>1.8904781857097592</v>
      </c>
      <c r="EG249" s="4">
        <f t="shared" si="949"/>
        <v>0.1375473318448516</v>
      </c>
      <c r="EJ249" s="4">
        <f>EG249</f>
        <v>0.1375473318448516</v>
      </c>
      <c r="EK249" s="4">
        <f t="shared" si="950"/>
        <v>0.48239955391173428</v>
      </c>
      <c r="EL249" s="4" t="e">
        <f t="shared" si="889"/>
        <v>#REF!</v>
      </c>
      <c r="EM249" s="4" t="e">
        <f>EB249/1.4*(1-EK249^1.4)/(1-EK249)</f>
        <v>#REF!</v>
      </c>
      <c r="EN249" s="4" t="e">
        <f t="shared" si="863"/>
        <v>#REF!</v>
      </c>
      <c r="EO249" s="4" t="e">
        <f t="shared" si="864"/>
        <v>#REF!</v>
      </c>
      <c r="EP249" s="4" t="e">
        <f t="shared" si="951"/>
        <v>#REF!</v>
      </c>
      <c r="EQ249" s="4" t="e">
        <f>MAX(0.5*EB249, (1-2*EP249*(EE249*EL249+EN249*EM249))/(1/EB249+EP249*EO249))</f>
        <v>#REF!</v>
      </c>
      <c r="ER249" s="4" t="e">
        <f t="shared" si="952"/>
        <v>#REF!</v>
      </c>
      <c r="FA249" s="23" t="e">
        <f t="shared" si="980"/>
        <v>#REF!</v>
      </c>
      <c r="FB249" s="23" t="e">
        <f t="shared" si="980"/>
        <v>#REF!</v>
      </c>
      <c r="FC249" s="23">
        <f t="shared" si="981"/>
        <v>1.4</v>
      </c>
      <c r="FD249" s="23" t="e">
        <f t="shared" si="982"/>
        <v>#REF!</v>
      </c>
      <c r="FE249" s="23" t="e">
        <f t="shared" si="982"/>
        <v>#REF!</v>
      </c>
      <c r="FF249" s="23" t="e">
        <f t="shared" si="982"/>
        <v>#REF!</v>
      </c>
      <c r="FG249" s="23" t="e">
        <f t="shared" si="968"/>
        <v>#REF!</v>
      </c>
      <c r="FH249" s="23"/>
      <c r="FR249" s="4">
        <f t="shared" si="842"/>
        <v>1.25</v>
      </c>
      <c r="FS249" s="4">
        <f t="shared" si="843"/>
        <v>0.50622953362009215</v>
      </c>
      <c r="FT249" s="4">
        <f t="shared" si="844"/>
        <v>0.3</v>
      </c>
      <c r="FU249" s="4">
        <f t="shared" si="845"/>
        <v>412.44685489630422</v>
      </c>
    </row>
    <row r="250" spans="1:177" ht="12" customHeight="1" x14ac:dyDescent="0.3">
      <c r="B250" s="24"/>
      <c r="C250" s="7" t="s">
        <v>363</v>
      </c>
      <c r="D250" s="7">
        <v>506</v>
      </c>
      <c r="E250" s="7">
        <v>190</v>
      </c>
      <c r="F250" s="7">
        <v>27.1</v>
      </c>
      <c r="G250" s="7">
        <v>19.100000000000001</v>
      </c>
      <c r="H250" s="7">
        <v>240</v>
      </c>
      <c r="I250" s="7">
        <f>63-G250/2</f>
        <v>53.45</v>
      </c>
      <c r="J250" s="7" t="e">
        <f>400-G250-#REF!</f>
        <v>#REF!</v>
      </c>
      <c r="K250" s="7">
        <f>114-G250</f>
        <v>94.9</v>
      </c>
      <c r="L250" s="7">
        <v>2</v>
      </c>
      <c r="M250" s="7"/>
      <c r="N250" s="7">
        <f t="shared" si="905"/>
        <v>2.9842931937172774</v>
      </c>
      <c r="O250" s="7">
        <f t="shared" si="906"/>
        <v>3.2984293193717278</v>
      </c>
      <c r="P250" s="7">
        <f>32^2/(PI()/4*G250^2)-1</f>
        <v>2.5739077706444626</v>
      </c>
      <c r="Q250" s="7">
        <f>32^2/(PI()/4*G250^2)-1</f>
        <v>2.5739077706444626</v>
      </c>
      <c r="R250" s="7">
        <f t="shared" si="907"/>
        <v>3.5739077706444626</v>
      </c>
      <c r="S250" s="7">
        <f t="shared" si="908"/>
        <v>36.108133347056402</v>
      </c>
      <c r="T250" s="7"/>
      <c r="U250" s="7"/>
      <c r="V250" s="7">
        <f>284/(PI()/4*G250^2)*1000/L250</f>
        <v>495.60049163233754</v>
      </c>
      <c r="W250" s="7"/>
      <c r="X250" s="4" t="e">
        <f t="shared" si="910"/>
        <v>#REF!</v>
      </c>
      <c r="Y250" s="7">
        <v>9.5</v>
      </c>
      <c r="Z250" s="10">
        <v>2</v>
      </c>
      <c r="AA250" s="7">
        <v>114</v>
      </c>
      <c r="AB250" s="7">
        <v>2</v>
      </c>
      <c r="AC250" s="7">
        <f t="shared" si="983"/>
        <v>2</v>
      </c>
      <c r="AD250" s="7"/>
      <c r="AE250" s="4">
        <f t="shared" si="912"/>
        <v>190</v>
      </c>
      <c r="AF250" s="4">
        <f t="shared" si="913"/>
        <v>0.42105263157894735</v>
      </c>
      <c r="AG250" s="4">
        <f t="shared" si="914"/>
        <v>237.91862175035638</v>
      </c>
      <c r="AH250" s="4">
        <f t="shared" si="915"/>
        <v>0.76631578947368417</v>
      </c>
      <c r="AI250" s="4">
        <v>1.25</v>
      </c>
      <c r="AJ250" s="4">
        <f t="shared" si="857"/>
        <v>2.5</v>
      </c>
      <c r="AK250" s="38">
        <f>AF250*AH250*AI250*AJ250*AG250</f>
        <v>239.89578481199368</v>
      </c>
      <c r="AL250" s="38">
        <f t="shared" si="953"/>
        <v>239.89578481199368</v>
      </c>
      <c r="AM250" s="38">
        <f t="shared" si="916"/>
        <v>2.7066625581997639</v>
      </c>
      <c r="AN250" s="38">
        <f t="shared" si="858"/>
        <v>239.89578481199356</v>
      </c>
      <c r="AO250" s="38">
        <f t="shared" si="840"/>
        <v>1.0000000000000004</v>
      </c>
      <c r="AP250" s="38">
        <f t="shared" si="859"/>
        <v>1.1272655573426391</v>
      </c>
      <c r="AQ250" s="4">
        <f t="shared" si="860"/>
        <v>0</v>
      </c>
      <c r="AR250" s="4" t="e">
        <f>#REF!/G250*F250^0.5/0.19</f>
        <v>#REF!</v>
      </c>
      <c r="AS250" s="4">
        <f t="shared" si="917"/>
        <v>1.0421052631578949</v>
      </c>
      <c r="AT250" s="38">
        <f t="shared" si="918"/>
        <v>270.42625557024172</v>
      </c>
      <c r="AU250" s="4">
        <f t="shared" si="919"/>
        <v>0.63965291210977526</v>
      </c>
      <c r="AV250" s="4" t="e">
        <f>AU250*D250*#REF!/(D250*G250/2.75/F250^0.5)</f>
        <v>#REF!</v>
      </c>
      <c r="AW250" s="4" t="e">
        <f>AT250+AV250</f>
        <v>#REF!</v>
      </c>
      <c r="AY250" s="4">
        <f t="shared" si="920"/>
        <v>1.5</v>
      </c>
      <c r="AZ250" s="4" t="e">
        <f>(3*#REF!+30)*AY250*F250^0.5</f>
        <v>#REF!</v>
      </c>
      <c r="BB250" s="4">
        <f t="shared" si="921"/>
        <v>259.37185006794141</v>
      </c>
      <c r="BC250" s="4">
        <f t="shared" si="922"/>
        <v>0</v>
      </c>
      <c r="BD250" s="4">
        <f t="shared" si="984"/>
        <v>0</v>
      </c>
      <c r="BL250" s="4">
        <f t="shared" si="923"/>
        <v>47.45</v>
      </c>
      <c r="BP250" s="9"/>
      <c r="BR250" s="9"/>
      <c r="BS250" s="9"/>
      <c r="BT250" s="9" t="e">
        <f t="shared" si="924"/>
        <v>#REF!</v>
      </c>
      <c r="BU250" s="9">
        <f t="shared" si="925"/>
        <v>53.45</v>
      </c>
      <c r="BV250" s="9" t="e">
        <f t="shared" si="926"/>
        <v>#REF!</v>
      </c>
      <c r="BW250" s="9">
        <v>20</v>
      </c>
      <c r="BX250" s="9">
        <f t="shared" si="927"/>
        <v>0.05</v>
      </c>
      <c r="BY250" s="9">
        <f>MAX(0,BW250*(BX250-0.5/50))</f>
        <v>0.8</v>
      </c>
      <c r="BZ250" s="9">
        <f t="shared" si="928"/>
        <v>1</v>
      </c>
      <c r="CA250" s="9">
        <f t="shared" si="929"/>
        <v>0.99099999999999999</v>
      </c>
      <c r="CB250" s="9">
        <f t="shared" si="930"/>
        <v>1.8056199488679785</v>
      </c>
      <c r="CC250" s="9" t="e">
        <f t="shared" si="931"/>
        <v>#REF!</v>
      </c>
      <c r="CD250" s="9">
        <v>1</v>
      </c>
      <c r="CE250" s="9" t="e">
        <f>4*CC250*#REF!+60*CC250</f>
        <v>#REF!</v>
      </c>
      <c r="CG250" s="4" t="e">
        <f>V250/AR250</f>
        <v>#REF!</v>
      </c>
      <c r="CH250" s="4" t="e">
        <f>V250/AW250</f>
        <v>#REF!</v>
      </c>
      <c r="CI250" s="4" t="e">
        <f t="shared" si="977"/>
        <v>#REF!</v>
      </c>
      <c r="CJ250" s="4" t="e">
        <f>V250/CE250</f>
        <v>#REF!</v>
      </c>
      <c r="CK250" s="4" t="e">
        <f t="shared" si="958"/>
        <v>#REF!</v>
      </c>
      <c r="CL250" s="4" t="e">
        <f t="shared" si="959"/>
        <v>#REF!</v>
      </c>
      <c r="CM250" s="4">
        <f t="shared" si="978"/>
        <v>1.2016105487261854</v>
      </c>
      <c r="CU250" s="4" t="e">
        <f t="shared" si="969"/>
        <v>#REF!</v>
      </c>
      <c r="CV250" s="4" t="e">
        <f t="shared" si="970"/>
        <v>#REF!</v>
      </c>
      <c r="CW250" s="4" t="e">
        <f t="shared" si="971"/>
        <v>#REF!</v>
      </c>
      <c r="CX250" s="4">
        <f t="shared" si="985"/>
        <v>1.2016105487261854</v>
      </c>
      <c r="CY250" s="4" t="e">
        <f t="shared" si="973"/>
        <v>#REF!</v>
      </c>
      <c r="CZ250" s="4" t="e">
        <f t="shared" si="974"/>
        <v>#REF!</v>
      </c>
      <c r="DB250" s="4">
        <f t="shared" si="888"/>
        <v>2</v>
      </c>
      <c r="DC250" s="4" t="e">
        <f>#REF!</f>
        <v>#REF!</v>
      </c>
      <c r="DF250" s="4">
        <f t="shared" si="932"/>
        <v>1.7394186230005775E-5</v>
      </c>
      <c r="DG250" s="4" t="e">
        <f t="shared" si="933"/>
        <v>#REF!</v>
      </c>
      <c r="DH250" s="4">
        <f t="shared" si="934"/>
        <v>0.48320593455916955</v>
      </c>
      <c r="DI250" s="4" t="e">
        <f t="shared" si="935"/>
        <v>#REF!</v>
      </c>
      <c r="DJ250" s="4" t="e">
        <f t="shared" si="936"/>
        <v>#REF!</v>
      </c>
      <c r="DK250" s="4" t="e">
        <f t="shared" si="937"/>
        <v>#REF!</v>
      </c>
      <c r="DL250" s="38" t="e">
        <f t="shared" si="938"/>
        <v>#REF!</v>
      </c>
      <c r="DM250" s="4" t="e">
        <f t="shared" si="939"/>
        <v>#REF!</v>
      </c>
      <c r="DN250" s="4">
        <f t="shared" si="940"/>
        <v>1.8904781857097592</v>
      </c>
      <c r="DO250" s="4">
        <f t="shared" si="976"/>
        <v>239.89578481199356</v>
      </c>
      <c r="DS250" s="4" t="e">
        <f t="shared" si="941"/>
        <v>#REF!</v>
      </c>
      <c r="DT250" s="4">
        <f t="shared" si="942"/>
        <v>0.85157068062827224</v>
      </c>
      <c r="DU250" s="4">
        <f t="shared" si="943"/>
        <v>0.77813313779775783</v>
      </c>
      <c r="DV250" s="4">
        <f t="shared" si="944"/>
        <v>0.7</v>
      </c>
      <c r="DX250" s="4" t="e">
        <f t="shared" si="945"/>
        <v>#REF!</v>
      </c>
      <c r="DY250" s="25">
        <f t="shared" si="851"/>
        <v>237.4108387047049</v>
      </c>
      <c r="EA250" s="4" t="e">
        <f t="shared" si="852"/>
        <v>#REF!</v>
      </c>
      <c r="EB250" s="4" t="e">
        <f t="shared" si="946"/>
        <v>#REF!</v>
      </c>
      <c r="EE250" s="4">
        <f t="shared" si="947"/>
        <v>36.108133347056402</v>
      </c>
      <c r="EF250" s="4">
        <f t="shared" si="948"/>
        <v>1.8904781857097592</v>
      </c>
      <c r="EG250" s="4">
        <f t="shared" si="949"/>
        <v>0.1375473318448516</v>
      </c>
      <c r="EJ250" s="4">
        <f>EG250</f>
        <v>0.1375473318448516</v>
      </c>
      <c r="EK250" s="4">
        <f t="shared" si="950"/>
        <v>0.48239955391173428</v>
      </c>
      <c r="EL250" s="4" t="e">
        <f t="shared" si="889"/>
        <v>#REF!</v>
      </c>
      <c r="EM250" s="4" t="e">
        <f>EB250/1.4*(1-EK250^1.4)/(1-EK250)</f>
        <v>#REF!</v>
      </c>
      <c r="EN250" s="4" t="e">
        <f t="shared" si="863"/>
        <v>#REF!</v>
      </c>
      <c r="EO250" s="4" t="e">
        <f t="shared" si="864"/>
        <v>#REF!</v>
      </c>
      <c r="EP250" s="4" t="e">
        <f t="shared" si="951"/>
        <v>#REF!</v>
      </c>
      <c r="EQ250" s="4" t="e">
        <f>MAX(0.5*EB250, (1-2*EP250*(EE250*EL250+EN250*EM250))/(1/EB250+EP250*EO250))</f>
        <v>#REF!</v>
      </c>
      <c r="ER250" s="4" t="e">
        <f t="shared" si="952"/>
        <v>#REF!</v>
      </c>
      <c r="FA250" s="23" t="e">
        <f t="shared" si="980"/>
        <v>#REF!</v>
      </c>
      <c r="FB250" s="23" t="e">
        <f t="shared" si="980"/>
        <v>#REF!</v>
      </c>
      <c r="FC250" s="23">
        <f t="shared" si="981"/>
        <v>1.4</v>
      </c>
      <c r="FD250" s="23" t="e">
        <f t="shared" si="982"/>
        <v>#REF!</v>
      </c>
      <c r="FE250" s="23" t="e">
        <f t="shared" si="982"/>
        <v>#REF!</v>
      </c>
      <c r="FF250" s="23" t="e">
        <f t="shared" si="982"/>
        <v>#REF!</v>
      </c>
      <c r="FG250" s="23" t="e">
        <f t="shared" si="968"/>
        <v>#REF!</v>
      </c>
      <c r="FH250" s="23"/>
      <c r="FR250" s="4">
        <f t="shared" si="842"/>
        <v>1.25</v>
      </c>
      <c r="FS250" s="4">
        <f t="shared" si="843"/>
        <v>0.50622953362009215</v>
      </c>
      <c r="FT250" s="4">
        <f t="shared" si="844"/>
        <v>0.3</v>
      </c>
      <c r="FU250" s="4">
        <f t="shared" si="845"/>
        <v>412.44685489630422</v>
      </c>
    </row>
    <row r="251" spans="1:177" ht="12" customHeight="1" x14ac:dyDescent="0.3">
      <c r="B251" s="24"/>
      <c r="C251" s="7" t="s">
        <v>364</v>
      </c>
      <c r="D251" s="7">
        <v>506</v>
      </c>
      <c r="E251" s="7">
        <v>190</v>
      </c>
      <c r="F251" s="7">
        <v>27.1</v>
      </c>
      <c r="G251" s="7">
        <v>19.100000000000001</v>
      </c>
      <c r="H251" s="7">
        <v>240</v>
      </c>
      <c r="I251" s="7">
        <f>63-G251/2</f>
        <v>53.45</v>
      </c>
      <c r="J251" s="7" t="e">
        <f>400-G251-#REF!</f>
        <v>#REF!</v>
      </c>
      <c r="K251" s="7">
        <f>114-G251</f>
        <v>94.9</v>
      </c>
      <c r="L251" s="7">
        <v>2</v>
      </c>
      <c r="M251" s="7"/>
      <c r="N251" s="7">
        <f t="shared" si="905"/>
        <v>2.9842931937172774</v>
      </c>
      <c r="O251" s="7">
        <f t="shared" si="906"/>
        <v>3.2984293193717278</v>
      </c>
      <c r="P251" s="7">
        <f>32^2/(PI()/4*G251^2)-1</f>
        <v>2.5739077706444626</v>
      </c>
      <c r="Q251" s="7">
        <f>32^2/(PI()/4*G251^2)-1</f>
        <v>2.5739077706444626</v>
      </c>
      <c r="R251" s="7">
        <f t="shared" si="907"/>
        <v>3.5739077706444626</v>
      </c>
      <c r="S251" s="7">
        <f t="shared" si="908"/>
        <v>36.108133347056402</v>
      </c>
      <c r="T251" s="7"/>
      <c r="U251" s="7"/>
      <c r="V251" s="7">
        <f>287/(PI()/4*G251^2)*1000/L251</f>
        <v>500.83570809324249</v>
      </c>
      <c r="W251" s="7"/>
      <c r="X251" s="4" t="e">
        <f t="shared" si="910"/>
        <v>#REF!</v>
      </c>
      <c r="Y251" s="7">
        <v>9.5</v>
      </c>
      <c r="Z251" s="10">
        <v>2</v>
      </c>
      <c r="AA251" s="7">
        <v>114</v>
      </c>
      <c r="AB251" s="7">
        <v>2</v>
      </c>
      <c r="AC251" s="7">
        <f t="shared" si="983"/>
        <v>2</v>
      </c>
      <c r="AD251" s="7"/>
      <c r="AE251" s="4">
        <f t="shared" si="912"/>
        <v>190</v>
      </c>
      <c r="AF251" s="4">
        <f t="shared" si="913"/>
        <v>0.42105263157894735</v>
      </c>
      <c r="AG251" s="4">
        <f t="shared" si="914"/>
        <v>237.91862175035638</v>
      </c>
      <c r="AH251" s="4">
        <f t="shared" si="915"/>
        <v>0.76631578947368417</v>
      </c>
      <c r="AI251" s="4">
        <v>1.25</v>
      </c>
      <c r="AJ251" s="4">
        <f t="shared" si="857"/>
        <v>2.5</v>
      </c>
      <c r="AK251" s="38">
        <f>AF251*AH251*AI251*AJ251*AG251</f>
        <v>239.89578481199368</v>
      </c>
      <c r="AL251" s="38">
        <f t="shared" si="953"/>
        <v>239.89578481199368</v>
      </c>
      <c r="AM251" s="38">
        <f t="shared" si="916"/>
        <v>2.7066625581997639</v>
      </c>
      <c r="AN251" s="38">
        <f t="shared" si="858"/>
        <v>239.89578481199356</v>
      </c>
      <c r="AO251" s="38">
        <f t="shared" si="840"/>
        <v>1.0000000000000004</v>
      </c>
      <c r="AP251" s="38">
        <f t="shared" si="859"/>
        <v>1.1272655573426391</v>
      </c>
      <c r="AQ251" s="4">
        <f t="shared" si="860"/>
        <v>0</v>
      </c>
      <c r="AR251" s="4" t="e">
        <f>#REF!/G251*F251^0.5/0.19</f>
        <v>#REF!</v>
      </c>
      <c r="AS251" s="4">
        <f t="shared" si="917"/>
        <v>1.0421052631578949</v>
      </c>
      <c r="AT251" s="38">
        <f t="shared" si="918"/>
        <v>270.42625557024172</v>
      </c>
      <c r="AU251" s="4">
        <f t="shared" si="919"/>
        <v>0.63965291210977526</v>
      </c>
      <c r="AV251" s="4" t="e">
        <f>AU251*D251*#REF!/(D251*G251/2.75/F251^0.5)</f>
        <v>#REF!</v>
      </c>
      <c r="AW251" s="4" t="e">
        <f>AT251+AV251</f>
        <v>#REF!</v>
      </c>
      <c r="AY251" s="4">
        <f t="shared" si="920"/>
        <v>1.5</v>
      </c>
      <c r="AZ251" s="4" t="e">
        <f>(3*#REF!+30)*AY251*F251^0.5</f>
        <v>#REF!</v>
      </c>
      <c r="BB251" s="4">
        <f t="shared" si="921"/>
        <v>259.37185006794141</v>
      </c>
      <c r="BC251" s="4">
        <f t="shared" si="922"/>
        <v>0</v>
      </c>
      <c r="BD251" s="4">
        <f t="shared" si="984"/>
        <v>0</v>
      </c>
      <c r="BL251" s="4">
        <f t="shared" si="923"/>
        <v>47.45</v>
      </c>
      <c r="BP251" s="9"/>
      <c r="BR251" s="9"/>
      <c r="BS251" s="9"/>
      <c r="BT251" s="9" t="e">
        <f t="shared" si="924"/>
        <v>#REF!</v>
      </c>
      <c r="BU251" s="9">
        <f t="shared" si="925"/>
        <v>53.45</v>
      </c>
      <c r="BV251" s="9" t="e">
        <f t="shared" si="926"/>
        <v>#REF!</v>
      </c>
      <c r="BW251" s="9">
        <v>20</v>
      </c>
      <c r="BX251" s="9">
        <f t="shared" si="927"/>
        <v>0.05</v>
      </c>
      <c r="BY251" s="9">
        <f>MAX(0,BW251*(BX251-0.5/50))</f>
        <v>0.8</v>
      </c>
      <c r="BZ251" s="9">
        <f t="shared" si="928"/>
        <v>1</v>
      </c>
      <c r="CA251" s="9">
        <f t="shared" si="929"/>
        <v>0.99099999999999999</v>
      </c>
      <c r="CB251" s="9">
        <f t="shared" si="930"/>
        <v>1.8056199488679785</v>
      </c>
      <c r="CC251" s="9" t="e">
        <f t="shared" si="931"/>
        <v>#REF!</v>
      </c>
      <c r="CD251" s="9">
        <v>1</v>
      </c>
      <c r="CE251" s="9" t="e">
        <f>4*CC251*#REF!+60*CC251</f>
        <v>#REF!</v>
      </c>
      <c r="CG251" s="4" t="e">
        <f>V251/AR251</f>
        <v>#REF!</v>
      </c>
      <c r="CH251" s="4" t="e">
        <f>V251/AW251</f>
        <v>#REF!</v>
      </c>
      <c r="CI251" s="4" t="e">
        <f t="shared" si="977"/>
        <v>#REF!</v>
      </c>
      <c r="CJ251" s="4" t="e">
        <f>V251/CE251</f>
        <v>#REF!</v>
      </c>
      <c r="CK251" s="4" t="e">
        <f t="shared" si="958"/>
        <v>#REF!</v>
      </c>
      <c r="CL251" s="4" t="e">
        <f t="shared" si="959"/>
        <v>#REF!</v>
      </c>
      <c r="CM251" s="4">
        <f t="shared" si="978"/>
        <v>1.2143036179028706</v>
      </c>
      <c r="CU251" s="4" t="e">
        <f t="shared" si="969"/>
        <v>#REF!</v>
      </c>
      <c r="CV251" s="4" t="e">
        <f t="shared" si="970"/>
        <v>#REF!</v>
      </c>
      <c r="CW251" s="4" t="e">
        <f t="shared" si="971"/>
        <v>#REF!</v>
      </c>
      <c r="CX251" s="4">
        <f t="shared" si="985"/>
        <v>1.2143036179028706</v>
      </c>
      <c r="CY251" s="4" t="e">
        <f t="shared" si="973"/>
        <v>#REF!</v>
      </c>
      <c r="CZ251" s="4" t="e">
        <f t="shared" si="974"/>
        <v>#REF!</v>
      </c>
      <c r="DB251" s="4">
        <f t="shared" si="888"/>
        <v>2</v>
      </c>
      <c r="DC251" s="4" t="e">
        <f>#REF!</f>
        <v>#REF!</v>
      </c>
      <c r="DF251" s="4">
        <f t="shared" si="932"/>
        <v>1.7394186230005775E-5</v>
      </c>
      <c r="DG251" s="4" t="e">
        <f t="shared" si="933"/>
        <v>#REF!</v>
      </c>
      <c r="DH251" s="4">
        <f t="shared" si="934"/>
        <v>0.48320593455916955</v>
      </c>
      <c r="DI251" s="4" t="e">
        <f t="shared" si="935"/>
        <v>#REF!</v>
      </c>
      <c r="DJ251" s="4" t="e">
        <f t="shared" si="936"/>
        <v>#REF!</v>
      </c>
      <c r="DK251" s="4" t="e">
        <f t="shared" si="937"/>
        <v>#REF!</v>
      </c>
      <c r="DL251" s="38" t="e">
        <f t="shared" si="938"/>
        <v>#REF!</v>
      </c>
      <c r="DM251" s="4" t="e">
        <f t="shared" si="939"/>
        <v>#REF!</v>
      </c>
      <c r="DN251" s="4">
        <f t="shared" si="940"/>
        <v>1.8904781857097592</v>
      </c>
      <c r="DO251" s="4">
        <f t="shared" si="976"/>
        <v>239.89578481199356</v>
      </c>
      <c r="DS251" s="4" t="e">
        <f t="shared" si="941"/>
        <v>#REF!</v>
      </c>
      <c r="DT251" s="4">
        <f t="shared" si="942"/>
        <v>0.85157068062827224</v>
      </c>
      <c r="DU251" s="4">
        <f t="shared" si="943"/>
        <v>0.77813313779775783</v>
      </c>
      <c r="DV251" s="4">
        <f t="shared" si="944"/>
        <v>0.7</v>
      </c>
      <c r="DX251" s="4" t="e">
        <f t="shared" si="945"/>
        <v>#REF!</v>
      </c>
      <c r="DY251" s="25">
        <f t="shared" si="851"/>
        <v>237.4108387047049</v>
      </c>
      <c r="EA251" s="4" t="e">
        <f t="shared" si="852"/>
        <v>#REF!</v>
      </c>
      <c r="EB251" s="4" t="e">
        <f t="shared" si="946"/>
        <v>#REF!</v>
      </c>
      <c r="EE251" s="4">
        <f t="shared" si="947"/>
        <v>36.108133347056402</v>
      </c>
      <c r="EF251" s="4">
        <f t="shared" si="948"/>
        <v>1.8904781857097592</v>
      </c>
      <c r="EG251" s="4">
        <f t="shared" si="949"/>
        <v>0.1375473318448516</v>
      </c>
      <c r="EJ251" s="4">
        <f>EG251</f>
        <v>0.1375473318448516</v>
      </c>
      <c r="EK251" s="4">
        <f t="shared" si="950"/>
        <v>0.48239955391173428</v>
      </c>
      <c r="EL251" s="4" t="e">
        <f t="shared" si="889"/>
        <v>#REF!</v>
      </c>
      <c r="EM251" s="4" t="e">
        <f>EB251/1.4*(1-EK251^1.4)/(1-EK251)</f>
        <v>#REF!</v>
      </c>
      <c r="EN251" s="4" t="e">
        <f t="shared" si="863"/>
        <v>#REF!</v>
      </c>
      <c r="EO251" s="4" t="e">
        <f t="shared" si="864"/>
        <v>#REF!</v>
      </c>
      <c r="EP251" s="4" t="e">
        <f t="shared" si="951"/>
        <v>#REF!</v>
      </c>
      <c r="EQ251" s="4" t="e">
        <f>MAX(0.5*EB251, (1-2*EP251*(EE251*EL251+EN251*EM251))/(1/EB251+EP251*EO251))</f>
        <v>#REF!</v>
      </c>
      <c r="ER251" s="4" t="e">
        <f t="shared" si="952"/>
        <v>#REF!</v>
      </c>
      <c r="FA251" s="23" t="e">
        <f t="shared" si="980"/>
        <v>#REF!</v>
      </c>
      <c r="FB251" s="23" t="e">
        <f t="shared" si="980"/>
        <v>#REF!</v>
      </c>
      <c r="FC251" s="23">
        <f t="shared" si="981"/>
        <v>1.4</v>
      </c>
      <c r="FD251" s="23" t="e">
        <f t="shared" si="982"/>
        <v>#REF!</v>
      </c>
      <c r="FE251" s="23" t="e">
        <f t="shared" si="982"/>
        <v>#REF!</v>
      </c>
      <c r="FF251" s="23" t="e">
        <f t="shared" si="982"/>
        <v>#REF!</v>
      </c>
      <c r="FG251" s="23" t="e">
        <f t="shared" si="968"/>
        <v>#REF!</v>
      </c>
      <c r="FH251" s="23"/>
      <c r="FR251" s="4">
        <f t="shared" si="842"/>
        <v>1.25</v>
      </c>
      <c r="FS251" s="4">
        <f t="shared" si="843"/>
        <v>0.50622953362009215</v>
      </c>
      <c r="FT251" s="4">
        <f t="shared" si="844"/>
        <v>0.3</v>
      </c>
      <c r="FU251" s="4">
        <f t="shared" si="845"/>
        <v>412.44685489630422</v>
      </c>
    </row>
    <row r="252" spans="1:177" ht="12" customHeight="1" x14ac:dyDescent="0.3">
      <c r="A252" s="4">
        <v>6</v>
      </c>
      <c r="B252" s="4" t="s">
        <v>381</v>
      </c>
      <c r="C252" s="4" t="s">
        <v>383</v>
      </c>
      <c r="D252" s="38">
        <f>120/0.145</f>
        <v>827.58620689655174</v>
      </c>
      <c r="E252" s="38">
        <f>15.75*25.4</f>
        <v>400.04999999999995</v>
      </c>
      <c r="F252" s="38">
        <f>4850/145</f>
        <v>33.448275862068968</v>
      </c>
      <c r="G252" s="38">
        <f>1*25.4</f>
        <v>25.4</v>
      </c>
      <c r="H252" s="38">
        <f>17.9*25.4</f>
        <v>454.65999999999991</v>
      </c>
      <c r="I252" s="38">
        <f>2.95*25.4</f>
        <v>74.930000000000007</v>
      </c>
      <c r="J252" s="39">
        <f>3.05*25.4</f>
        <v>77.469999999999985</v>
      </c>
      <c r="K252" s="7">
        <f t="shared" ref="K252:K315" si="986">(H252-L252*G252-2*I252)/(L252-1)</f>
        <v>253.99999999999989</v>
      </c>
      <c r="L252" s="38">
        <v>2</v>
      </c>
      <c r="M252" s="4">
        <f t="shared" ref="M252:M257" si="987">10.25*25.4</f>
        <v>260.34999999999997</v>
      </c>
      <c r="N252" s="7">
        <f t="shared" si="905"/>
        <v>3.4500000000000006</v>
      </c>
      <c r="O252" s="7">
        <f t="shared" si="906"/>
        <v>3.4500000000000006</v>
      </c>
      <c r="P252" s="38">
        <v>4</v>
      </c>
      <c r="Q252" s="4">
        <f>P252</f>
        <v>4</v>
      </c>
      <c r="R252" s="4">
        <f t="shared" si="907"/>
        <v>5</v>
      </c>
      <c r="S252" s="7">
        <f t="shared" si="908"/>
        <v>56.796126628494655</v>
      </c>
      <c r="V252" s="38">
        <f>101.8/0.145</f>
        <v>702.06896551724139</v>
      </c>
      <c r="X252" s="4">
        <f t="shared" si="910"/>
        <v>0.84833333333333338</v>
      </c>
      <c r="Y252" s="38"/>
      <c r="Z252" s="38"/>
      <c r="AA252" s="39">
        <v>1</v>
      </c>
      <c r="AB252" s="39"/>
      <c r="AC252" s="39"/>
      <c r="AE252" s="4">
        <f t="shared" si="912"/>
        <v>400.04999999999995</v>
      </c>
      <c r="AF252" s="4">
        <f t="shared" si="913"/>
        <v>0.37883597883597875</v>
      </c>
      <c r="AG252" s="4">
        <f t="shared" si="914"/>
        <v>456.63686520766981</v>
      </c>
      <c r="AH252" s="4">
        <f t="shared" si="915"/>
        <v>0.74380952380952381</v>
      </c>
      <c r="AI252" s="4">
        <v>1.25</v>
      </c>
      <c r="AJ252" s="4">
        <f t="shared" si="857"/>
        <v>2.5</v>
      </c>
      <c r="AK252" s="38">
        <f t="shared" ref="AK252:AK315" si="988">AF252*AH252*AI252*AJ252*AG252</f>
        <v>402.09988107311045</v>
      </c>
      <c r="AL252" s="38">
        <f t="shared" si="953"/>
        <v>402.09988107311045</v>
      </c>
      <c r="AM252" s="38">
        <f t="shared" si="916"/>
        <v>3.1143714702560636</v>
      </c>
      <c r="AN252" s="38">
        <f t="shared" si="858"/>
        <v>402.09988107311091</v>
      </c>
      <c r="AO252" s="38">
        <f t="shared" si="840"/>
        <v>0.99999999999999889</v>
      </c>
      <c r="AP252" s="38">
        <f t="shared" si="859"/>
        <v>1.1479391778597043</v>
      </c>
      <c r="AQ252" s="4">
        <f t="shared" si="860"/>
        <v>0</v>
      </c>
      <c r="AR252" s="4" t="e">
        <f>#REF!/G252*F252^0.5/0.19</f>
        <v>#REF!</v>
      </c>
      <c r="AS252" s="4">
        <f t="shared" si="917"/>
        <v>1</v>
      </c>
      <c r="AT252" s="38">
        <f t="shared" si="918"/>
        <v>461.58620689655186</v>
      </c>
      <c r="AU252" s="4">
        <f t="shared" si="919"/>
        <v>0.44000000000000006</v>
      </c>
      <c r="AV252" s="4" t="e">
        <f>AU252*D252*#REF!/(D252*G252/2.75/F252^0.5)</f>
        <v>#REF!</v>
      </c>
      <c r="AW252" s="4" t="e">
        <f t="shared" ref="AW252:AW270" si="989">AT252+AV252</f>
        <v>#REF!</v>
      </c>
      <c r="AY252" s="4">
        <f t="shared" si="920"/>
        <v>1.4875000000000003</v>
      </c>
      <c r="AZ252" s="4" t="e">
        <f>(3*#REF!+30)*AY252*F252^0.5</f>
        <v>#REF!</v>
      </c>
      <c r="BB252" s="4">
        <f t="shared" si="921"/>
        <v>442.7176207286019</v>
      </c>
      <c r="BC252" s="4">
        <f t="shared" si="922"/>
        <v>0</v>
      </c>
      <c r="BD252" s="4">
        <f t="shared" ref="BD252:BD270" si="990">BC252/BB252</f>
        <v>0</v>
      </c>
      <c r="BL252" s="4">
        <f t="shared" si="923"/>
        <v>74.930000000000007</v>
      </c>
      <c r="BT252" s="9">
        <f t="shared" si="924"/>
        <v>74.930000000000007</v>
      </c>
      <c r="BU252" s="9">
        <f t="shared" si="925"/>
        <v>126.99999999999994</v>
      </c>
      <c r="BV252" s="9">
        <f t="shared" si="926"/>
        <v>1.8590163364970096</v>
      </c>
      <c r="BW252" s="40">
        <f>IF(AA252&gt;1,20,0)</f>
        <v>0</v>
      </c>
      <c r="BX252" s="9">
        <f t="shared" si="927"/>
        <v>0</v>
      </c>
      <c r="BY252" s="9">
        <f t="shared" ref="BY252:BY270" si="991">MAX(0,BW252*(BX252-0.5/50))</f>
        <v>0</v>
      </c>
      <c r="BZ252" s="9">
        <f t="shared" si="928"/>
        <v>0.99524931562137331</v>
      </c>
      <c r="CA252" s="9">
        <f t="shared" si="929"/>
        <v>0.68</v>
      </c>
      <c r="CB252" s="9">
        <f t="shared" si="930"/>
        <v>1.3699215983187671</v>
      </c>
      <c r="CC252" s="9">
        <f t="shared" si="931"/>
        <v>2.5467066309946826</v>
      </c>
      <c r="CD252" s="40">
        <v>1</v>
      </c>
      <c r="CE252" s="9" t="e">
        <f>4*CC252*#REF!+60*CC252</f>
        <v>#REF!</v>
      </c>
      <c r="CG252" s="4" t="e">
        <f t="shared" ref="CG252:CG270" si="992">V252/AR252</f>
        <v>#REF!</v>
      </c>
      <c r="CH252" s="4" t="e">
        <f t="shared" ref="CH252:CH270" si="993">V252/AW252</f>
        <v>#REF!</v>
      </c>
      <c r="CI252" s="4" t="e">
        <f t="shared" ref="CI252:CI270" si="994">V252/AZ252</f>
        <v>#REF!</v>
      </c>
      <c r="CJ252" s="4" t="e">
        <f t="shared" ref="CJ252:CJ270" si="995">V252/CE252</f>
        <v>#REF!</v>
      </c>
      <c r="CK252" s="4">
        <f t="shared" ref="CK252:CK270" si="996">V252/DL252</f>
        <v>0.84833333333333338</v>
      </c>
      <c r="CL252" s="4">
        <f t="shared" ref="CL252:CL270" si="997">V252/DX252</f>
        <v>0.91851247644247092</v>
      </c>
      <c r="CM252" s="4">
        <f t="shared" si="978"/>
        <v>0.92942217759542134</v>
      </c>
      <c r="CN252" s="4">
        <f>Z252</f>
        <v>0</v>
      </c>
      <c r="CO252" s="4" t="e">
        <f t="shared" ref="CO252:CO253" si="998">CG252</f>
        <v>#REF!</v>
      </c>
      <c r="CP252" s="4" t="e">
        <f t="shared" ref="CP252:CP253" si="999">CH252</f>
        <v>#REF!</v>
      </c>
      <c r="CQ252" s="4" t="e">
        <f t="shared" ref="CQ252:CQ253" si="1000">CJ252</f>
        <v>#REF!</v>
      </c>
      <c r="CR252" s="4">
        <f t="shared" ref="CR252:CR253" si="1001">CM252</f>
        <v>0.92942217759542134</v>
      </c>
      <c r="CS252" s="4">
        <f t="shared" ref="CS252:CS253" si="1002">CK252</f>
        <v>0.84833333333333338</v>
      </c>
      <c r="CT252" s="4">
        <f t="shared" ref="CT252:CT253" si="1003">CL252</f>
        <v>0.91851247644247092</v>
      </c>
      <c r="DC252" s="4" t="e">
        <f>#REF!</f>
        <v>#REF!</v>
      </c>
      <c r="DF252" s="4">
        <f t="shared" si="932"/>
        <v>2.8815439209600622E-5</v>
      </c>
      <c r="DG252" s="4">
        <f t="shared" ref="DG252:DG270" si="1004">EB252</f>
        <v>7.7158084787289836</v>
      </c>
      <c r="DH252" s="4">
        <f t="shared" si="934"/>
        <v>0.66418002839985602</v>
      </c>
      <c r="DI252" s="4">
        <f t="shared" ref="DI252:DI270" si="1005">DG252*DH252^0.4</f>
        <v>6.5508214746578313</v>
      </c>
      <c r="DJ252" s="4">
        <f t="shared" ref="DJ252:DJ270" si="1006">MIN(DG252, DG252/1.4*(1-DH252^1.4)/(1-DH252))</f>
        <v>7.157073879314968</v>
      </c>
      <c r="DK252" s="4">
        <f t="shared" si="937"/>
        <v>6.628841658831333</v>
      </c>
      <c r="DL252" s="38">
        <f t="shared" si="938"/>
        <v>827.58620689655174</v>
      </c>
      <c r="DM252" s="4" t="e">
        <f t="shared" ref="DM252:DM270" si="1007">DL252/ER252</f>
        <v>#REF!</v>
      </c>
      <c r="DN252" s="4">
        <f t="shared" si="940"/>
        <v>2.2360679774997898</v>
      </c>
      <c r="DO252" s="4">
        <f t="shared" si="976"/>
        <v>402.09988107311091</v>
      </c>
      <c r="DS252" s="4">
        <f t="shared" si="941"/>
        <v>0.85</v>
      </c>
      <c r="DT252" s="4">
        <f t="shared" si="942"/>
        <v>0.80499999999999994</v>
      </c>
      <c r="DU252" s="4">
        <f t="shared" si="943"/>
        <v>1</v>
      </c>
      <c r="DV252" s="4">
        <f t="shared" ref="DV252:DV270" si="1008">IF(DT252*DU252&lt;0.7,0.7,DT252*DU252)</f>
        <v>0.80499999999999994</v>
      </c>
      <c r="DX252" s="4">
        <f t="shared" si="945"/>
        <v>764.35430494798948</v>
      </c>
      <c r="DY252" s="25">
        <f t="shared" si="851"/>
        <v>399.78235432804496</v>
      </c>
      <c r="EA252" s="4">
        <f t="shared" si="852"/>
        <v>0.68424999999999991</v>
      </c>
      <c r="EB252" s="4">
        <f t="shared" si="946"/>
        <v>7.7158084787289836</v>
      </c>
      <c r="EE252" s="4">
        <f t="shared" si="947"/>
        <v>56.796126628494655</v>
      </c>
      <c r="EF252" s="4">
        <f t="shared" ref="EF252:EF270" si="1009">R252^0.5</f>
        <v>2.2360679774997898</v>
      </c>
      <c r="EG252" s="4">
        <f t="shared" si="949"/>
        <v>0.21004287106042069</v>
      </c>
      <c r="EJ252" s="4">
        <f>EG252</f>
        <v>0.21004287106042069</v>
      </c>
      <c r="EK252" s="4">
        <f t="shared" si="950"/>
        <v>0.66307163571878669</v>
      </c>
      <c r="EL252" s="4">
        <f t="shared" ref="EL252:EL270" si="1010">EB252/1*EK252^0.4</f>
        <v>6.5464464434170813</v>
      </c>
      <c r="EM252" s="4">
        <f t="shared" ref="EM252:EM270" si="1011">EB252/1.4*(1-EK252^1.4)/(1-EK252)</f>
        <v>7.1550722967204541</v>
      </c>
      <c r="EN252" s="4" t="e">
        <f t="shared" ref="EN252:EN270" si="1012">MAX(0,DC252*EN$9-EE252)</f>
        <v>#REF!</v>
      </c>
      <c r="EO252" s="4" t="e">
        <f t="shared" ref="EO252:EO270" si="1013">MAX(0,DC252-EE252-EN252)</f>
        <v>#REF!</v>
      </c>
      <c r="EP252" s="4" t="e">
        <f t="shared" si="951"/>
        <v>#REF!</v>
      </c>
      <c r="EQ252" s="4" t="e">
        <f t="shared" ref="EQ252:EQ270" si="1014">MAX(0.5*EB252, (1-2*EP252*(EE252*EL252+EN252*EM252))/(1/EB252+EP252*EO252))</f>
        <v>#REF!</v>
      </c>
      <c r="ER252" s="4" t="e">
        <f t="shared" si="952"/>
        <v>#REF!</v>
      </c>
      <c r="FA252" s="23" t="e">
        <f t="shared" si="980"/>
        <v>#REF!</v>
      </c>
      <c r="FB252" s="23" t="e">
        <f t="shared" si="980"/>
        <v>#REF!</v>
      </c>
      <c r="FC252" s="23">
        <f t="shared" si="981"/>
        <v>1</v>
      </c>
      <c r="FD252" s="23" t="e">
        <f t="shared" si="982"/>
        <v>#REF!</v>
      </c>
      <c r="FE252" s="23">
        <f t="shared" si="982"/>
        <v>1</v>
      </c>
      <c r="FF252" s="23">
        <f t="shared" si="982"/>
        <v>1</v>
      </c>
      <c r="FG252" s="23">
        <f t="shared" si="968"/>
        <v>0</v>
      </c>
      <c r="FR252" s="4">
        <f t="shared" si="842"/>
        <v>1</v>
      </c>
      <c r="FS252" s="4">
        <f t="shared" si="843"/>
        <v>0.5</v>
      </c>
      <c r="FT252" s="4">
        <f t="shared" si="844"/>
        <v>0</v>
      </c>
      <c r="FU252" s="4">
        <f t="shared" si="845"/>
        <v>755.38219599366278</v>
      </c>
    </row>
    <row r="253" spans="1:177" ht="12" customHeight="1" x14ac:dyDescent="0.3">
      <c r="B253" s="4" t="s">
        <v>382</v>
      </c>
      <c r="C253" s="4" t="s">
        <v>384</v>
      </c>
      <c r="D253" s="38">
        <f t="shared" ref="D253:D269" si="1015">120/0.145</f>
        <v>827.58620689655174</v>
      </c>
      <c r="E253" s="38">
        <f>15.28*25.4</f>
        <v>388.11199999999997</v>
      </c>
      <c r="F253" s="38">
        <f>5070/145</f>
        <v>34.96551724137931</v>
      </c>
      <c r="G253" s="38">
        <f t="shared" ref="G253:G316" si="1016">1*25.4</f>
        <v>25.4</v>
      </c>
      <c r="H253" s="38">
        <f>19.6*25.4</f>
        <v>497.84000000000003</v>
      </c>
      <c r="I253" s="38">
        <f>3.85*25.4</f>
        <v>97.789999999999992</v>
      </c>
      <c r="J253" s="39">
        <f>3.5*25.4</f>
        <v>88.899999999999991</v>
      </c>
      <c r="K253" s="7">
        <f t="shared" si="986"/>
        <v>251.46000000000004</v>
      </c>
      <c r="L253" s="38">
        <v>2</v>
      </c>
      <c r="M253" s="4">
        <f t="shared" si="987"/>
        <v>260.34999999999997</v>
      </c>
      <c r="N253" s="7">
        <f t="shared" si="905"/>
        <v>4.3499999999999996</v>
      </c>
      <c r="O253" s="7">
        <f t="shared" si="906"/>
        <v>4.3499999999999996</v>
      </c>
      <c r="P253" s="38">
        <v>4</v>
      </c>
      <c r="Q253" s="4">
        <f t="shared" ref="Q253:Q316" si="1017">P253</f>
        <v>4</v>
      </c>
      <c r="R253" s="4">
        <f t="shared" si="907"/>
        <v>5</v>
      </c>
      <c r="S253" s="7">
        <f t="shared" si="908"/>
        <v>56.796126628494655</v>
      </c>
      <c r="V253" s="38">
        <f>120.8/0.145</f>
        <v>833.10344827586209</v>
      </c>
      <c r="X253" s="4">
        <f t="shared" si="910"/>
        <v>1</v>
      </c>
      <c r="Y253" s="38"/>
      <c r="Z253" s="38"/>
      <c r="AA253" s="39">
        <v>1</v>
      </c>
      <c r="AB253" s="39"/>
      <c r="AC253" s="39"/>
      <c r="AE253" s="4">
        <f t="shared" si="912"/>
        <v>388.11199999999997</v>
      </c>
      <c r="AF253" s="4">
        <f t="shared" si="913"/>
        <v>0.42757417102966838</v>
      </c>
      <c r="AG253" s="4">
        <f t="shared" si="914"/>
        <v>446.1370328547896</v>
      </c>
      <c r="AH253" s="4">
        <f t="shared" si="915"/>
        <v>0.75693717277486905</v>
      </c>
      <c r="AI253" s="4">
        <v>1.25</v>
      </c>
      <c r="AJ253" s="4">
        <f t="shared" si="857"/>
        <v>2.5</v>
      </c>
      <c r="AK253" s="38">
        <f t="shared" si="988"/>
        <v>451.22129994667296</v>
      </c>
      <c r="AL253" s="38">
        <f t="shared" si="953"/>
        <v>451.22129994667296</v>
      </c>
      <c r="AM253" s="38">
        <f t="shared" si="916"/>
        <v>3.2078537456295186</v>
      </c>
      <c r="AN253" s="38">
        <f t="shared" si="858"/>
        <v>451.22129994667353</v>
      </c>
      <c r="AO253" s="38">
        <f t="shared" si="840"/>
        <v>0.99999999999999878</v>
      </c>
      <c r="AP253" s="38">
        <f t="shared" si="859"/>
        <v>1.3483406037611749</v>
      </c>
      <c r="AQ253" s="4">
        <f t="shared" si="860"/>
        <v>0</v>
      </c>
      <c r="AR253" s="4" t="e">
        <f>#REF!/G253*F253^0.5/0.19</f>
        <v>#REF!</v>
      </c>
      <c r="AS253" s="4">
        <f t="shared" si="917"/>
        <v>1</v>
      </c>
      <c r="AT253" s="38">
        <f t="shared" si="918"/>
        <v>608.4</v>
      </c>
      <c r="AU253" s="4">
        <f t="shared" si="919"/>
        <v>0.44000000000000006</v>
      </c>
      <c r="AV253" s="4" t="e">
        <f>AU253*D253*#REF!/(D253*G253/2.75/F253^0.5)</f>
        <v>#REF!</v>
      </c>
      <c r="AW253" s="4" t="e">
        <f t="shared" si="989"/>
        <v>#REF!</v>
      </c>
      <c r="AY253" s="4">
        <f t="shared" si="920"/>
        <v>1.5</v>
      </c>
      <c r="AZ253" s="4" t="e">
        <f>(3*#REF!+30)*AY253*F253^0.5</f>
        <v>#REF!</v>
      </c>
      <c r="BB253" s="4">
        <f t="shared" si="921"/>
        <v>583.53000247177329</v>
      </c>
      <c r="BC253" s="4">
        <f t="shared" si="922"/>
        <v>0</v>
      </c>
      <c r="BD253" s="4">
        <f t="shared" si="990"/>
        <v>0</v>
      </c>
      <c r="BL253" s="4">
        <f t="shared" si="923"/>
        <v>97.789999999999992</v>
      </c>
      <c r="BT253" s="9">
        <f t="shared" si="924"/>
        <v>88.899999999999991</v>
      </c>
      <c r="BU253" s="9">
        <f t="shared" si="925"/>
        <v>125.73000000000002</v>
      </c>
      <c r="BV253" s="9">
        <f t="shared" si="926"/>
        <v>1.9706731314151338</v>
      </c>
      <c r="BW253" s="40">
        <f t="shared" ref="BW253:BW316" si="1018">IF(AA253&gt;1,20,0)</f>
        <v>0</v>
      </c>
      <c r="BX253" s="9">
        <f t="shared" si="927"/>
        <v>0</v>
      </c>
      <c r="BY253" s="9">
        <f t="shared" si="991"/>
        <v>0</v>
      </c>
      <c r="BZ253" s="9">
        <f t="shared" si="928"/>
        <v>0.99524931562137331</v>
      </c>
      <c r="CA253" s="9">
        <f t="shared" si="929"/>
        <v>0.68</v>
      </c>
      <c r="CB253" s="9">
        <f t="shared" si="930"/>
        <v>1.4006474122126336</v>
      </c>
      <c r="CC253" s="9">
        <f t="shared" si="931"/>
        <v>2.7602182218335742</v>
      </c>
      <c r="CD253" s="40">
        <v>1</v>
      </c>
      <c r="CE253" s="9" t="e">
        <f>4*CC253*#REF!+60*CC253</f>
        <v>#REF!</v>
      </c>
      <c r="CG253" s="4" t="e">
        <f t="shared" si="992"/>
        <v>#REF!</v>
      </c>
      <c r="CH253" s="4" t="e">
        <f t="shared" si="993"/>
        <v>#REF!</v>
      </c>
      <c r="CI253" s="4" t="e">
        <f t="shared" si="994"/>
        <v>#REF!</v>
      </c>
      <c r="CJ253" s="4" t="e">
        <f t="shared" si="995"/>
        <v>#REF!</v>
      </c>
      <c r="CK253" s="4">
        <f t="shared" si="996"/>
        <v>1</v>
      </c>
      <c r="CL253" s="4">
        <f t="shared" si="997"/>
        <v>1</v>
      </c>
      <c r="CM253" s="4">
        <f t="shared" si="978"/>
        <v>1.1242757318376362</v>
      </c>
      <c r="CN253" s="4">
        <f t="shared" ref="CN253:CN316" si="1019">Z253</f>
        <v>0</v>
      </c>
      <c r="CO253" s="4" t="e">
        <f t="shared" si="998"/>
        <v>#REF!</v>
      </c>
      <c r="CP253" s="4" t="e">
        <f t="shared" si="999"/>
        <v>#REF!</v>
      </c>
      <c r="CQ253" s="4" t="e">
        <f t="shared" si="1000"/>
        <v>#REF!</v>
      </c>
      <c r="CR253" s="4">
        <f t="shared" si="1001"/>
        <v>1.1242757318376362</v>
      </c>
      <c r="CS253" s="4">
        <f t="shared" si="1002"/>
        <v>1</v>
      </c>
      <c r="CT253" s="4">
        <f t="shared" si="1003"/>
        <v>1</v>
      </c>
      <c r="DC253" s="4" t="e">
        <f>#REF!</f>
        <v>#REF!</v>
      </c>
      <c r="DF253" s="4">
        <f t="shared" si="932"/>
        <v>2.824931335368085E-5</v>
      </c>
      <c r="DG253" s="4">
        <f t="shared" si="1004"/>
        <v>8.8818695030737906</v>
      </c>
      <c r="DH253" s="4">
        <f t="shared" si="934"/>
        <v>0.71297653914085279</v>
      </c>
      <c r="DI253" s="4">
        <f t="shared" si="1005"/>
        <v>7.757726845919704</v>
      </c>
      <c r="DJ253" s="4">
        <f t="shared" si="1006"/>
        <v>8.3387714689642198</v>
      </c>
      <c r="DK253" s="4">
        <f t="shared" si="937"/>
        <v>7.4978516818718992</v>
      </c>
      <c r="DL253" s="38">
        <f t="shared" si="938"/>
        <v>833.10344827586209</v>
      </c>
      <c r="DM253" s="4" t="e">
        <f t="shared" si="1007"/>
        <v>#REF!</v>
      </c>
      <c r="DN253" s="4">
        <f t="shared" si="940"/>
        <v>2.2360679774997898</v>
      </c>
      <c r="DO253" s="4">
        <f t="shared" si="976"/>
        <v>451.22129994667353</v>
      </c>
      <c r="DS253" s="4">
        <f t="shared" si="941"/>
        <v>0.85</v>
      </c>
      <c r="DT253" s="4">
        <f t="shared" si="942"/>
        <v>0.71500000000000008</v>
      </c>
      <c r="DU253" s="4">
        <f t="shared" si="943"/>
        <v>1</v>
      </c>
      <c r="DV253" s="4">
        <f t="shared" si="1008"/>
        <v>0.71500000000000008</v>
      </c>
      <c r="DX253" s="4">
        <f t="shared" si="945"/>
        <v>833.10344827586209</v>
      </c>
      <c r="DY253" s="25">
        <f t="shared" si="851"/>
        <v>448.57090093705455</v>
      </c>
      <c r="EA253" s="4">
        <f t="shared" si="852"/>
        <v>0.60775000000000001</v>
      </c>
      <c r="EB253" s="4">
        <f t="shared" si="946"/>
        <v>8.8818695030737906</v>
      </c>
      <c r="EE253" s="4">
        <f t="shared" si="947"/>
        <v>56.796126628494655</v>
      </c>
      <c r="EF253" s="4">
        <f t="shared" si="1009"/>
        <v>2.2360679774997898</v>
      </c>
      <c r="EG253" s="4">
        <f t="shared" si="949"/>
        <v>0.23053161000640462</v>
      </c>
      <c r="EJ253" s="4">
        <f t="shared" ref="EJ253:EJ270" si="1020">EG253</f>
        <v>0.23053161000640462</v>
      </c>
      <c r="EK253" s="4">
        <f t="shared" si="950"/>
        <v>0.71178671417779027</v>
      </c>
      <c r="EL253" s="4">
        <f t="shared" si="1010"/>
        <v>7.7525457709294319</v>
      </c>
      <c r="EM253" s="4">
        <f t="shared" si="1011"/>
        <v>8.3363620617554428</v>
      </c>
      <c r="EN253" s="4" t="e">
        <f t="shared" si="1012"/>
        <v>#REF!</v>
      </c>
      <c r="EO253" s="4" t="e">
        <f t="shared" si="1013"/>
        <v>#REF!</v>
      </c>
      <c r="EP253" s="4" t="e">
        <f t="shared" si="951"/>
        <v>#REF!</v>
      </c>
      <c r="EQ253" s="4" t="e">
        <f t="shared" si="1014"/>
        <v>#REF!</v>
      </c>
      <c r="ER253" s="4" t="e">
        <f t="shared" si="952"/>
        <v>#REF!</v>
      </c>
      <c r="FA253" s="23" t="e">
        <f t="shared" si="980"/>
        <v>#REF!</v>
      </c>
      <c r="FB253" s="23" t="e">
        <f t="shared" si="980"/>
        <v>#REF!</v>
      </c>
      <c r="FC253" s="23">
        <f t="shared" si="981"/>
        <v>1.2</v>
      </c>
      <c r="FD253" s="23" t="e">
        <f t="shared" si="982"/>
        <v>#REF!</v>
      </c>
      <c r="FE253" s="23">
        <f t="shared" si="982"/>
        <v>1.2</v>
      </c>
      <c r="FF253" s="23">
        <f t="shared" si="982"/>
        <v>1.2</v>
      </c>
      <c r="FG253" s="23">
        <f t="shared" si="968"/>
        <v>0</v>
      </c>
      <c r="FR253" s="4">
        <f t="shared" si="842"/>
        <v>1</v>
      </c>
      <c r="FS253" s="4">
        <f t="shared" si="843"/>
        <v>0.5</v>
      </c>
      <c r="FT253" s="4">
        <f t="shared" si="844"/>
        <v>0</v>
      </c>
      <c r="FU253" s="4">
        <f t="shared" si="845"/>
        <v>741.0134584281642</v>
      </c>
    </row>
    <row r="254" spans="1:177" ht="12" customHeight="1" x14ac:dyDescent="0.3">
      <c r="C254" s="4" t="s">
        <v>385</v>
      </c>
      <c r="D254" s="38">
        <f t="shared" si="1015"/>
        <v>827.58620689655174</v>
      </c>
      <c r="E254" s="38">
        <f>12.38*25.4</f>
        <v>314.452</v>
      </c>
      <c r="F254" s="38">
        <f>5070/145</f>
        <v>34.96551724137931</v>
      </c>
      <c r="G254" s="38">
        <f t="shared" si="1016"/>
        <v>25.4</v>
      </c>
      <c r="H254" s="38">
        <f>17.6*25.4</f>
        <v>447.04</v>
      </c>
      <c r="I254" s="38">
        <f>2.9*25.4</f>
        <v>73.66</v>
      </c>
      <c r="J254" s="39">
        <f>3.5*25.4</f>
        <v>88.899999999999991</v>
      </c>
      <c r="K254" s="7">
        <f t="shared" si="986"/>
        <v>248.92000000000002</v>
      </c>
      <c r="L254" s="38">
        <v>2</v>
      </c>
      <c r="M254" s="4">
        <f t="shared" si="987"/>
        <v>260.34999999999997</v>
      </c>
      <c r="N254" s="7">
        <f t="shared" si="905"/>
        <v>3.4</v>
      </c>
      <c r="O254" s="7">
        <f t="shared" si="906"/>
        <v>3.4</v>
      </c>
      <c r="P254" s="38">
        <v>4</v>
      </c>
      <c r="Q254" s="4">
        <f t="shared" si="1017"/>
        <v>4</v>
      </c>
      <c r="R254" s="4">
        <f t="shared" si="907"/>
        <v>5</v>
      </c>
      <c r="S254" s="7">
        <f t="shared" si="908"/>
        <v>56.796126628494655</v>
      </c>
      <c r="V254" s="38">
        <f>110.8/0.145</f>
        <v>764.13793103448279</v>
      </c>
      <c r="X254" s="4">
        <f t="shared" si="910"/>
        <v>1.0732340453544049</v>
      </c>
      <c r="Y254" s="38">
        <f>0.375*25.4</f>
        <v>9.5249999999999986</v>
      </c>
      <c r="Z254" s="38">
        <v>8</v>
      </c>
      <c r="AA254" s="39">
        <f>3*25.4</f>
        <v>76.199999999999989</v>
      </c>
      <c r="AB254" s="39">
        <v>3</v>
      </c>
      <c r="AC254" s="39">
        <v>1</v>
      </c>
      <c r="AE254" s="4">
        <f t="shared" si="912"/>
        <v>314.452</v>
      </c>
      <c r="AF254" s="4">
        <f t="shared" si="913"/>
        <v>0.47388260635433493</v>
      </c>
      <c r="AG254" s="4">
        <f t="shared" si="914"/>
        <v>325.36003808676742</v>
      </c>
      <c r="AH254" s="4">
        <f t="shared" si="915"/>
        <v>0.75492730210016146</v>
      </c>
      <c r="AI254" s="4">
        <v>1.25</v>
      </c>
      <c r="AJ254" s="4">
        <f t="shared" si="857"/>
        <v>2.5</v>
      </c>
      <c r="AK254" s="38">
        <f>AF254*AH254*AI254*AJ254*AG254</f>
        <v>363.73922097530163</v>
      </c>
      <c r="AL254" s="38">
        <f t="shared" si="953"/>
        <v>363.73922097530163</v>
      </c>
      <c r="AM254" s="38">
        <f t="shared" si="916"/>
        <v>3.2078537456295186</v>
      </c>
      <c r="AN254" s="38">
        <f t="shared" si="858"/>
        <v>363.73922097530118</v>
      </c>
      <c r="AO254" s="38">
        <f t="shared" si="840"/>
        <v>1.0000000000000013</v>
      </c>
      <c r="AP254" s="38">
        <f t="shared" si="859"/>
        <v>1.3073405535089337</v>
      </c>
      <c r="AQ254" s="4">
        <f t="shared" si="860"/>
        <v>0</v>
      </c>
      <c r="AR254" s="4" t="e">
        <f>#REF!/G254*F254^0.5/0.19</f>
        <v>#REF!</v>
      </c>
      <c r="AS254" s="4">
        <f t="shared" si="917"/>
        <v>1</v>
      </c>
      <c r="AT254" s="38">
        <f t="shared" si="918"/>
        <v>475.53103448275857</v>
      </c>
      <c r="AU254" s="4">
        <f t="shared" si="919"/>
        <v>0.44000000000000006</v>
      </c>
      <c r="AV254" s="4" t="e">
        <f>AU254*D254*#REF!/(D254*G254/2.75/F254^0.5)</f>
        <v>#REF!</v>
      </c>
      <c r="AW254" s="4" t="e">
        <f t="shared" si="989"/>
        <v>#REF!</v>
      </c>
      <c r="AY254" s="4">
        <f t="shared" si="920"/>
        <v>1.5</v>
      </c>
      <c r="AZ254" s="4" t="e">
        <f>(3*#REF!+30)*AY254*F254^0.5</f>
        <v>#REF!</v>
      </c>
      <c r="BB254" s="4">
        <f t="shared" si="921"/>
        <v>456.0924157250642</v>
      </c>
      <c r="BC254" s="4">
        <f t="shared" si="922"/>
        <v>0</v>
      </c>
      <c r="BD254" s="4">
        <f t="shared" si="990"/>
        <v>0</v>
      </c>
      <c r="BL254" s="4">
        <f t="shared" si="923"/>
        <v>73.66</v>
      </c>
      <c r="BT254" s="9">
        <f t="shared" si="924"/>
        <v>73.66</v>
      </c>
      <c r="BU254" s="9">
        <f t="shared" si="925"/>
        <v>124.46000000000001</v>
      </c>
      <c r="BV254" s="9">
        <f t="shared" si="926"/>
        <v>1.842335460367019</v>
      </c>
      <c r="BW254" s="40">
        <f t="shared" si="1018"/>
        <v>20</v>
      </c>
      <c r="BX254" s="9">
        <f t="shared" si="927"/>
        <v>0.05</v>
      </c>
      <c r="BY254" s="9">
        <f t="shared" si="991"/>
        <v>0.8</v>
      </c>
      <c r="BZ254" s="9">
        <f t="shared" si="928"/>
        <v>0.99524931562137331</v>
      </c>
      <c r="CA254" s="9">
        <f t="shared" si="929"/>
        <v>0.68</v>
      </c>
      <c r="CB254" s="9">
        <f t="shared" si="930"/>
        <v>1.4006474122126336</v>
      </c>
      <c r="CC254" s="9">
        <f t="shared" si="931"/>
        <v>3.5016185305315837</v>
      </c>
      <c r="CD254" s="40">
        <v>1</v>
      </c>
      <c r="CE254" s="9" t="e">
        <f>4*CC254*#REF!+60*CC254</f>
        <v>#REF!</v>
      </c>
      <c r="CG254" s="4" t="e">
        <f t="shared" si="992"/>
        <v>#REF!</v>
      </c>
      <c r="CH254" s="4" t="e">
        <f t="shared" si="993"/>
        <v>#REF!</v>
      </c>
      <c r="CI254" s="4" t="e">
        <f t="shared" si="994"/>
        <v>#REF!</v>
      </c>
      <c r="CJ254" s="4" t="e">
        <f t="shared" si="995"/>
        <v>#REF!</v>
      </c>
      <c r="CK254" s="4">
        <f t="shared" si="996"/>
        <v>1.0732340453544049</v>
      </c>
      <c r="CL254" s="4">
        <f t="shared" si="997"/>
        <v>1.1669913938500407</v>
      </c>
      <c r="CM254" s="4">
        <f t="shared" si="978"/>
        <v>1.1200335813374223</v>
      </c>
      <c r="CN254" s="4">
        <f t="shared" si="1019"/>
        <v>8</v>
      </c>
      <c r="CU254" s="4" t="e">
        <f t="shared" ref="CU254:CU257" si="1021">CG254</f>
        <v>#REF!</v>
      </c>
      <c r="CV254" s="4" t="e">
        <f t="shared" ref="CV254:CV257" si="1022">CH254</f>
        <v>#REF!</v>
      </c>
      <c r="CW254" s="4" t="e">
        <f t="shared" ref="CW254:CW257" si="1023">CJ254</f>
        <v>#REF!</v>
      </c>
      <c r="CX254" s="4">
        <f t="shared" ref="CX254:CX257" si="1024">CM254</f>
        <v>1.1200335813374223</v>
      </c>
      <c r="CY254" s="4">
        <f t="shared" ref="CY254:CY257" si="1025">CK254</f>
        <v>1.0732340453544049</v>
      </c>
      <c r="CZ254" s="4">
        <f t="shared" ref="CZ254:CZ257" si="1026">CL254</f>
        <v>1.1669913938500407</v>
      </c>
      <c r="DC254" s="4" t="e">
        <f>#REF!</f>
        <v>#REF!</v>
      </c>
      <c r="DF254" s="4">
        <f t="shared" si="932"/>
        <v>2.288785990304771E-5</v>
      </c>
      <c r="DG254" s="4">
        <f t="shared" si="1004"/>
        <v>7.9143659395695911</v>
      </c>
      <c r="DH254" s="4">
        <f t="shared" si="934"/>
        <v>0.57474576433206792</v>
      </c>
      <c r="DI254" s="4">
        <f t="shared" si="1005"/>
        <v>6.3417108831781732</v>
      </c>
      <c r="DJ254" s="4">
        <f t="shared" si="1006"/>
        <v>7.1713310578929521</v>
      </c>
      <c r="DK254" s="4">
        <f t="shared" si="937"/>
        <v>7.2159534770603102</v>
      </c>
      <c r="DL254" s="38">
        <f t="shared" si="938"/>
        <v>711.9956120867821</v>
      </c>
      <c r="DM254" s="4" t="e">
        <f t="shared" si="1007"/>
        <v>#REF!</v>
      </c>
      <c r="DN254" s="4">
        <f t="shared" si="940"/>
        <v>2.2360679774997898</v>
      </c>
      <c r="DO254" s="4">
        <f t="shared" si="976"/>
        <v>363.73922097530118</v>
      </c>
      <c r="DS254" s="4">
        <f t="shared" si="941"/>
        <v>0.85</v>
      </c>
      <c r="DT254" s="4">
        <f t="shared" si="942"/>
        <v>0.80999999999999994</v>
      </c>
      <c r="DU254" s="4">
        <f t="shared" si="943"/>
        <v>0.99062499999999998</v>
      </c>
      <c r="DV254" s="4">
        <f t="shared" si="1008"/>
        <v>0.80240624999999988</v>
      </c>
      <c r="DX254" s="4">
        <f t="shared" si="945"/>
        <v>654.79311592307693</v>
      </c>
      <c r="DY254" s="25">
        <f t="shared" si="851"/>
        <v>360.85356492746229</v>
      </c>
      <c r="EA254" s="4">
        <f t="shared" si="852"/>
        <v>0.68204531249999989</v>
      </c>
      <c r="EB254" s="4">
        <f t="shared" si="946"/>
        <v>7.9143659395695911</v>
      </c>
      <c r="EE254" s="4">
        <f t="shared" si="947"/>
        <v>56.796126628494655</v>
      </c>
      <c r="EF254" s="4">
        <f t="shared" si="1009"/>
        <v>2.2360679774997898</v>
      </c>
      <c r="EG254" s="4">
        <f t="shared" si="949"/>
        <v>0.18583650249627301</v>
      </c>
      <c r="EJ254" s="4">
        <f t="shared" si="1020"/>
        <v>0.18583650249627301</v>
      </c>
      <c r="EK254" s="4">
        <f t="shared" si="950"/>
        <v>0.57378662076944675</v>
      </c>
      <c r="EL254" s="4">
        <f t="shared" si="1010"/>
        <v>6.3374755085246219</v>
      </c>
      <c r="EM254" s="4">
        <f t="shared" si="1011"/>
        <v>7.169459329515119</v>
      </c>
      <c r="EN254" s="4" t="e">
        <f t="shared" si="1012"/>
        <v>#REF!</v>
      </c>
      <c r="EO254" s="4" t="e">
        <f t="shared" si="1013"/>
        <v>#REF!</v>
      </c>
      <c r="EP254" s="4" t="e">
        <f t="shared" si="951"/>
        <v>#REF!</v>
      </c>
      <c r="EQ254" s="4" t="e">
        <f t="shared" si="1014"/>
        <v>#REF!</v>
      </c>
      <c r="ER254" s="4" t="e">
        <f t="shared" si="952"/>
        <v>#REF!</v>
      </c>
      <c r="FA254" s="23" t="e">
        <f t="shared" si="980"/>
        <v>#REF!</v>
      </c>
      <c r="FB254" s="23" t="e">
        <f t="shared" si="980"/>
        <v>#REF!</v>
      </c>
      <c r="FC254" s="23">
        <f t="shared" si="981"/>
        <v>1.2</v>
      </c>
      <c r="FD254" s="23" t="e">
        <f t="shared" si="982"/>
        <v>#REF!</v>
      </c>
      <c r="FE254" s="23">
        <f t="shared" si="982"/>
        <v>1.2</v>
      </c>
      <c r="FF254" s="23">
        <f t="shared" si="982"/>
        <v>1.2</v>
      </c>
      <c r="FG254" s="23">
        <f t="shared" si="968"/>
        <v>0</v>
      </c>
      <c r="FR254" s="4">
        <f t="shared" si="842"/>
        <v>1</v>
      </c>
      <c r="FS254" s="4">
        <f t="shared" si="843"/>
        <v>0.44</v>
      </c>
      <c r="FT254" s="4">
        <f t="shared" si="844"/>
        <v>0.3</v>
      </c>
      <c r="FU254" s="4">
        <f t="shared" si="845"/>
        <v>682.24555385386964</v>
      </c>
    </row>
    <row r="255" spans="1:177" ht="12" customHeight="1" x14ac:dyDescent="0.3">
      <c r="B255" s="24"/>
      <c r="C255" s="7" t="s">
        <v>386</v>
      </c>
      <c r="D255" s="38">
        <f t="shared" si="1015"/>
        <v>827.58620689655174</v>
      </c>
      <c r="E255" s="38">
        <f>12.06*25.4</f>
        <v>306.32400000000001</v>
      </c>
      <c r="F255" s="38">
        <f>5380/145</f>
        <v>37.103448275862071</v>
      </c>
      <c r="G255" s="38">
        <f t="shared" si="1016"/>
        <v>25.4</v>
      </c>
      <c r="H255" s="38">
        <f>20*25.4</f>
        <v>508</v>
      </c>
      <c r="I255" s="38">
        <f>4*25.4</f>
        <v>101.6</v>
      </c>
      <c r="J255" s="39">
        <f>3.75*25.4</f>
        <v>95.25</v>
      </c>
      <c r="K255" s="7">
        <f t="shared" si="986"/>
        <v>254</v>
      </c>
      <c r="L255" s="38">
        <v>2</v>
      </c>
      <c r="M255" s="4">
        <f t="shared" si="987"/>
        <v>260.34999999999997</v>
      </c>
      <c r="N255" s="7">
        <f t="shared" si="905"/>
        <v>4.5</v>
      </c>
      <c r="O255" s="7">
        <f t="shared" si="906"/>
        <v>4.5</v>
      </c>
      <c r="P255" s="38">
        <v>4</v>
      </c>
      <c r="Q255" s="4">
        <f t="shared" si="1017"/>
        <v>4</v>
      </c>
      <c r="R255" s="4">
        <f t="shared" si="907"/>
        <v>5</v>
      </c>
      <c r="S255" s="7">
        <f t="shared" si="908"/>
        <v>56.796126628494655</v>
      </c>
      <c r="V255" s="38">
        <f>121.7/0.145</f>
        <v>839.31034482758628</v>
      </c>
      <c r="X255" s="4">
        <f t="shared" si="910"/>
        <v>1.0025154962900582</v>
      </c>
      <c r="Y255" s="38">
        <f t="shared" ref="Y255:Y257" si="1027">0.375*25.4</f>
        <v>9.5249999999999986</v>
      </c>
      <c r="Z255" s="38">
        <v>8</v>
      </c>
      <c r="AA255" s="39">
        <f>3*25.4</f>
        <v>76.199999999999989</v>
      </c>
      <c r="AB255" s="39">
        <v>3</v>
      </c>
      <c r="AC255" s="39">
        <v>1</v>
      </c>
      <c r="AD255" s="7"/>
      <c r="AE255" s="4">
        <f t="shared" si="912"/>
        <v>306.32400000000001</v>
      </c>
      <c r="AF255" s="4">
        <f t="shared" si="913"/>
        <v>0.55279159756771701</v>
      </c>
      <c r="AG255" s="4">
        <f t="shared" si="914"/>
        <v>322.24884028531784</v>
      </c>
      <c r="AH255" s="4">
        <f t="shared" si="915"/>
        <v>0.77462686567164174</v>
      </c>
      <c r="AI255" s="4">
        <v>1.25</v>
      </c>
      <c r="AJ255" s="4">
        <f t="shared" si="857"/>
        <v>2.5</v>
      </c>
      <c r="AK255" s="38">
        <f t="shared" si="988"/>
        <v>431.21650275797623</v>
      </c>
      <c r="AL255" s="38">
        <f t="shared" si="953"/>
        <v>431.21650275797623</v>
      </c>
      <c r="AM255" s="38">
        <f t="shared" si="916"/>
        <v>3.3373168177886376</v>
      </c>
      <c r="AN255" s="38">
        <f t="shared" si="858"/>
        <v>431.21650275797634</v>
      </c>
      <c r="AO255" s="38">
        <f t="shared" si="840"/>
        <v>0.99999999999999978</v>
      </c>
      <c r="AP255" s="38">
        <f t="shared" si="859"/>
        <v>1.5487859687512009</v>
      </c>
      <c r="AQ255" s="4">
        <f t="shared" si="860"/>
        <v>0</v>
      </c>
      <c r="AR255" s="4" t="e">
        <f>#REF!/G255*F255^0.5/0.19</f>
        <v>#REF!</v>
      </c>
      <c r="AS255" s="4">
        <f t="shared" si="917"/>
        <v>1</v>
      </c>
      <c r="AT255" s="38">
        <f t="shared" si="918"/>
        <v>667.86206896551732</v>
      </c>
      <c r="AU255" s="4">
        <f t="shared" si="919"/>
        <v>0.44000000000000006</v>
      </c>
      <c r="AV255" s="4" t="e">
        <f>AU255*D255*#REF!/(D255*G255/2.75/F255^0.5)</f>
        <v>#REF!</v>
      </c>
      <c r="AW255" s="4" t="e">
        <f t="shared" si="989"/>
        <v>#REF!</v>
      </c>
      <c r="AY255" s="4">
        <f t="shared" si="920"/>
        <v>1.5</v>
      </c>
      <c r="AZ255" s="4" t="e">
        <f>(3*#REF!+30)*AY255*F255^0.5</f>
        <v>#REF!</v>
      </c>
      <c r="BB255" s="4">
        <f t="shared" si="921"/>
        <v>640.56139834689668</v>
      </c>
      <c r="BC255" s="4">
        <f t="shared" si="922"/>
        <v>0</v>
      </c>
      <c r="BD255" s="4">
        <f t="shared" si="990"/>
        <v>0</v>
      </c>
      <c r="BL255" s="4">
        <f t="shared" si="923"/>
        <v>101.6</v>
      </c>
      <c r="BP255" s="9"/>
      <c r="BR255" s="9"/>
      <c r="BS255" s="9"/>
      <c r="BT255" s="9">
        <f t="shared" si="924"/>
        <v>95.25</v>
      </c>
      <c r="BU255" s="9">
        <f t="shared" si="925"/>
        <v>127</v>
      </c>
      <c r="BV255" s="9">
        <f t="shared" si="926"/>
        <v>2.0218849722190098</v>
      </c>
      <c r="BW255" s="40">
        <f t="shared" si="1018"/>
        <v>20</v>
      </c>
      <c r="BX255" s="9">
        <f t="shared" si="927"/>
        <v>0.05</v>
      </c>
      <c r="BY255" s="9">
        <f t="shared" si="991"/>
        <v>0.8</v>
      </c>
      <c r="BZ255" s="9">
        <f t="shared" si="928"/>
        <v>0.99524931562137331</v>
      </c>
      <c r="CA255" s="9">
        <f t="shared" si="929"/>
        <v>0.68</v>
      </c>
      <c r="CB255" s="9">
        <f t="shared" si="930"/>
        <v>1.4428327162401366</v>
      </c>
      <c r="CC255" s="9">
        <f t="shared" si="931"/>
        <v>3.6070817906003416</v>
      </c>
      <c r="CD255" s="40">
        <v>1</v>
      </c>
      <c r="CE255" s="9" t="e">
        <f>4*CC255*#REF!+60*CC255</f>
        <v>#REF!</v>
      </c>
      <c r="CG255" s="4" t="e">
        <f t="shared" si="992"/>
        <v>#REF!</v>
      </c>
      <c r="CH255" s="4" t="e">
        <f t="shared" si="993"/>
        <v>#REF!</v>
      </c>
      <c r="CI255" s="4" t="e">
        <f t="shared" si="994"/>
        <v>#REF!</v>
      </c>
      <c r="CJ255" s="4" t="e">
        <f t="shared" si="995"/>
        <v>#REF!</v>
      </c>
      <c r="CK255" s="4">
        <f t="shared" si="996"/>
        <v>1.0025154962900582</v>
      </c>
      <c r="CL255" s="4">
        <f t="shared" si="997"/>
        <v>1.0958321519136152</v>
      </c>
      <c r="CM255" s="4">
        <f t="shared" si="978"/>
        <v>1.2442613749021638</v>
      </c>
      <c r="CN255" s="4">
        <f t="shared" si="1019"/>
        <v>8</v>
      </c>
      <c r="CU255" s="4" t="e">
        <f t="shared" si="1021"/>
        <v>#REF!</v>
      </c>
      <c r="CV255" s="4" t="e">
        <f t="shared" si="1022"/>
        <v>#REF!</v>
      </c>
      <c r="CW255" s="4" t="e">
        <f t="shared" si="1023"/>
        <v>#REF!</v>
      </c>
      <c r="CX255" s="4">
        <f t="shared" si="1024"/>
        <v>1.2442613749021638</v>
      </c>
      <c r="CY255" s="4">
        <f t="shared" si="1025"/>
        <v>1.0025154962900582</v>
      </c>
      <c r="CZ255" s="4">
        <f t="shared" si="1026"/>
        <v>1.0958321519136152</v>
      </c>
      <c r="DC255" s="4" t="e">
        <f>#REF!</f>
        <v>#REF!</v>
      </c>
      <c r="DF255" s="4">
        <f t="shared" si="932"/>
        <v>2.2622636639966186E-5</v>
      </c>
      <c r="DG255" s="4">
        <f t="shared" si="1004"/>
        <v>9.3454355759249683</v>
      </c>
      <c r="DH255" s="4">
        <f t="shared" si="934"/>
        <v>0.6421059640052692</v>
      </c>
      <c r="DI255" s="4">
        <f t="shared" si="1005"/>
        <v>7.827845214538236</v>
      </c>
      <c r="DJ255" s="4">
        <f t="shared" si="1006"/>
        <v>8.6201282342357342</v>
      </c>
      <c r="DK255" s="4">
        <f t="shared" si="937"/>
        <v>8.3912116791286806</v>
      </c>
      <c r="DL255" s="38">
        <f t="shared" si="938"/>
        <v>837.20436036506749</v>
      </c>
      <c r="DM255" s="4" t="e">
        <f t="shared" si="1007"/>
        <v>#REF!</v>
      </c>
      <c r="DN255" s="4">
        <f t="shared" si="940"/>
        <v>2.2360679774997898</v>
      </c>
      <c r="DO255" s="4">
        <f t="shared" si="976"/>
        <v>431.21650275797634</v>
      </c>
      <c r="DS255" s="4">
        <f t="shared" si="941"/>
        <v>0.85</v>
      </c>
      <c r="DT255" s="4">
        <f t="shared" si="942"/>
        <v>0.7</v>
      </c>
      <c r="DU255" s="4">
        <f t="shared" si="943"/>
        <v>0.99062499999999998</v>
      </c>
      <c r="DV255" s="4">
        <f t="shared" si="1008"/>
        <v>0.7</v>
      </c>
      <c r="DX255" s="4">
        <f t="shared" si="945"/>
        <v>765.91140656160405</v>
      </c>
      <c r="DY255" s="25">
        <f t="shared" si="851"/>
        <v>427.79354742463875</v>
      </c>
      <c r="EA255" s="4">
        <f t="shared" si="852"/>
        <v>0.59499999999999997</v>
      </c>
      <c r="EB255" s="4">
        <f t="shared" si="946"/>
        <v>9.3454355759249683</v>
      </c>
      <c r="EE255" s="4">
        <f t="shared" si="947"/>
        <v>56.796126628494655</v>
      </c>
      <c r="EF255" s="4">
        <f t="shared" si="1009"/>
        <v>2.2360679774997898</v>
      </c>
      <c r="EG255" s="4">
        <f t="shared" si="949"/>
        <v>0.21386962397516138</v>
      </c>
      <c r="EJ255" s="4">
        <f t="shared" si="1020"/>
        <v>0.21386962397516138</v>
      </c>
      <c r="EK255" s="4">
        <f t="shared" si="950"/>
        <v>0.64103440882362794</v>
      </c>
      <c r="EL255" s="4">
        <f t="shared" si="1010"/>
        <v>7.8226173102984617</v>
      </c>
      <c r="EM255" s="4">
        <f t="shared" si="1011"/>
        <v>8.6177553730976868</v>
      </c>
      <c r="EN255" s="4" t="e">
        <f t="shared" si="1012"/>
        <v>#REF!</v>
      </c>
      <c r="EO255" s="4" t="e">
        <f t="shared" si="1013"/>
        <v>#REF!</v>
      </c>
      <c r="EP255" s="4" t="e">
        <f t="shared" si="951"/>
        <v>#REF!</v>
      </c>
      <c r="EQ255" s="4" t="e">
        <f t="shared" si="1014"/>
        <v>#REF!</v>
      </c>
      <c r="ER255" s="4" t="e">
        <f t="shared" si="952"/>
        <v>#REF!</v>
      </c>
      <c r="FA255" s="23" t="e">
        <f t="shared" si="980"/>
        <v>#REF!</v>
      </c>
      <c r="FB255" s="23" t="e">
        <f t="shared" si="980"/>
        <v>#REF!</v>
      </c>
      <c r="FC255" s="23">
        <f t="shared" si="981"/>
        <v>1.4</v>
      </c>
      <c r="FD255" s="23" t="e">
        <f t="shared" si="982"/>
        <v>#REF!</v>
      </c>
      <c r="FE255" s="23">
        <f t="shared" si="982"/>
        <v>1.2</v>
      </c>
      <c r="FF255" s="23">
        <f t="shared" si="982"/>
        <v>1.2</v>
      </c>
      <c r="FG255" s="23">
        <f t="shared" si="968"/>
        <v>0</v>
      </c>
      <c r="FH255" s="23"/>
      <c r="FR255" s="4">
        <f t="shared" si="842"/>
        <v>1</v>
      </c>
      <c r="FS255" s="4">
        <f t="shared" si="843"/>
        <v>0.44</v>
      </c>
      <c r="FT255" s="4">
        <f t="shared" si="844"/>
        <v>0.3</v>
      </c>
      <c r="FU255" s="4">
        <f t="shared" si="845"/>
        <v>674.54504476085754</v>
      </c>
    </row>
    <row r="256" spans="1:177" ht="12" customHeight="1" x14ac:dyDescent="0.3">
      <c r="B256" s="24"/>
      <c r="C256" s="7" t="s">
        <v>387</v>
      </c>
      <c r="D256" s="38">
        <f t="shared" si="1015"/>
        <v>827.58620689655174</v>
      </c>
      <c r="E256" s="38">
        <f>12.44*25.4</f>
        <v>315.97599999999994</v>
      </c>
      <c r="F256" s="38">
        <f>5070/145</f>
        <v>34.96551724137931</v>
      </c>
      <c r="G256" s="38">
        <f t="shared" si="1016"/>
        <v>25.4</v>
      </c>
      <c r="H256" s="38">
        <f>17.5*25.4</f>
        <v>444.5</v>
      </c>
      <c r="I256" s="38">
        <f>2.95*25.4</f>
        <v>74.930000000000007</v>
      </c>
      <c r="J256" s="39">
        <f>3.3*25.4</f>
        <v>83.82</v>
      </c>
      <c r="K256" s="7">
        <f t="shared" si="986"/>
        <v>243.83999999999997</v>
      </c>
      <c r="L256" s="38">
        <v>2</v>
      </c>
      <c r="M256" s="4">
        <f t="shared" si="987"/>
        <v>260.34999999999997</v>
      </c>
      <c r="N256" s="7">
        <f t="shared" si="905"/>
        <v>3.4500000000000006</v>
      </c>
      <c r="O256" s="7">
        <f t="shared" si="906"/>
        <v>3.4500000000000006</v>
      </c>
      <c r="P256" s="38">
        <v>4</v>
      </c>
      <c r="Q256" s="4">
        <f t="shared" si="1017"/>
        <v>4</v>
      </c>
      <c r="R256" s="4">
        <f t="shared" si="907"/>
        <v>5</v>
      </c>
      <c r="S256" s="7">
        <f t="shared" si="908"/>
        <v>56.796126628494655</v>
      </c>
      <c r="V256" s="38">
        <f>138/0.145</f>
        <v>951.72413793103453</v>
      </c>
      <c r="X256" s="4">
        <f t="shared" si="910"/>
        <v>1.3316690082587483</v>
      </c>
      <c r="Y256" s="38">
        <f t="shared" si="1027"/>
        <v>9.5249999999999986</v>
      </c>
      <c r="Z256" s="38">
        <v>8</v>
      </c>
      <c r="AA256" s="39">
        <f>4*25.4</f>
        <v>101.6</v>
      </c>
      <c r="AB256" s="39">
        <v>2</v>
      </c>
      <c r="AC256" s="39">
        <v>1</v>
      </c>
      <c r="AD256" s="7"/>
      <c r="AE256" s="4">
        <f t="shared" si="912"/>
        <v>315.97599999999994</v>
      </c>
      <c r="AF256" s="4">
        <f t="shared" si="913"/>
        <v>0.46891747052518773</v>
      </c>
      <c r="AG256" s="4">
        <f t="shared" si="914"/>
        <v>327.72820079341074</v>
      </c>
      <c r="AH256" s="4">
        <f t="shared" si="915"/>
        <v>0.7554662379421222</v>
      </c>
      <c r="AI256" s="4">
        <v>1.25</v>
      </c>
      <c r="AJ256" s="4">
        <f t="shared" si="857"/>
        <v>2.5</v>
      </c>
      <c r="AK256" s="38">
        <f t="shared" si="988"/>
        <v>362.80670896272306</v>
      </c>
      <c r="AL256" s="38">
        <f t="shared" si="953"/>
        <v>362.80670896272306</v>
      </c>
      <c r="AM256" s="38">
        <f t="shared" si="916"/>
        <v>3.2078537456295186</v>
      </c>
      <c r="AN256" s="38">
        <f t="shared" si="858"/>
        <v>362.80670896272267</v>
      </c>
      <c r="AO256" s="38">
        <f t="shared" si="840"/>
        <v>1.0000000000000011</v>
      </c>
      <c r="AP256" s="38">
        <f t="shared" si="859"/>
        <v>1.329975786033804</v>
      </c>
      <c r="AQ256" s="4">
        <f t="shared" si="860"/>
        <v>0</v>
      </c>
      <c r="AR256" s="4" t="e">
        <f>#REF!/G256*F256^0.5/0.19</f>
        <v>#REF!</v>
      </c>
      <c r="AS256" s="4">
        <f t="shared" si="917"/>
        <v>1</v>
      </c>
      <c r="AT256" s="38">
        <f t="shared" si="918"/>
        <v>482.5241379310346</v>
      </c>
      <c r="AU256" s="4">
        <f t="shared" si="919"/>
        <v>0.44000000000000006</v>
      </c>
      <c r="AV256" s="4" t="e">
        <f>AU256*D256*#REF!/(D256*G256/2.75/F256^0.5)</f>
        <v>#REF!</v>
      </c>
      <c r="AW256" s="4" t="e">
        <f t="shared" si="989"/>
        <v>#REF!</v>
      </c>
      <c r="AY256" s="4">
        <f t="shared" si="920"/>
        <v>1.5</v>
      </c>
      <c r="AZ256" s="4" t="e">
        <f>(3*#REF!+30)*AY256*F256^0.5</f>
        <v>#REF!</v>
      </c>
      <c r="BB256" s="4">
        <f t="shared" si="921"/>
        <v>462.79965713278585</v>
      </c>
      <c r="BC256" s="4">
        <f t="shared" si="922"/>
        <v>0</v>
      </c>
      <c r="BD256" s="4">
        <f t="shared" si="990"/>
        <v>0</v>
      </c>
      <c r="BL256" s="4">
        <f t="shared" si="923"/>
        <v>74.930000000000007</v>
      </c>
      <c r="BP256" s="9"/>
      <c r="BR256" s="9"/>
      <c r="BS256" s="9"/>
      <c r="BT256" s="9">
        <f t="shared" si="924"/>
        <v>74.930000000000007</v>
      </c>
      <c r="BU256" s="9">
        <f t="shared" si="925"/>
        <v>121.91999999999999</v>
      </c>
      <c r="BV256" s="9">
        <f t="shared" si="926"/>
        <v>1.8476678039809094</v>
      </c>
      <c r="BW256" s="40">
        <f t="shared" si="1018"/>
        <v>20</v>
      </c>
      <c r="BX256" s="9">
        <f t="shared" si="927"/>
        <v>0.05</v>
      </c>
      <c r="BY256" s="9">
        <f t="shared" si="991"/>
        <v>0.8</v>
      </c>
      <c r="BZ256" s="9">
        <f t="shared" si="928"/>
        <v>0.99524931562137331</v>
      </c>
      <c r="CA256" s="9">
        <f t="shared" si="929"/>
        <v>0.68</v>
      </c>
      <c r="CB256" s="9">
        <f t="shared" si="930"/>
        <v>1.4006474122126336</v>
      </c>
      <c r="CC256" s="9">
        <f t="shared" si="931"/>
        <v>3.5016185305315837</v>
      </c>
      <c r="CD256" s="40">
        <v>1</v>
      </c>
      <c r="CE256" s="9" t="e">
        <f>4*CC256*#REF!+60*CC256</f>
        <v>#REF!</v>
      </c>
      <c r="CG256" s="4" t="e">
        <f t="shared" si="992"/>
        <v>#REF!</v>
      </c>
      <c r="CH256" s="4" t="e">
        <f t="shared" si="993"/>
        <v>#REF!</v>
      </c>
      <c r="CI256" s="4" t="e">
        <f t="shared" si="994"/>
        <v>#REF!</v>
      </c>
      <c r="CJ256" s="4" t="e">
        <f t="shared" si="995"/>
        <v>#REF!</v>
      </c>
      <c r="CK256" s="4">
        <f t="shared" si="996"/>
        <v>1.3316690082587483</v>
      </c>
      <c r="CL256" s="4">
        <f t="shared" si="997"/>
        <v>1.4482630142707176</v>
      </c>
      <c r="CM256" s="4">
        <f t="shared" si="978"/>
        <v>1.400091193706031</v>
      </c>
      <c r="CN256" s="4">
        <f t="shared" si="1019"/>
        <v>8</v>
      </c>
      <c r="CU256" s="4" t="e">
        <f t="shared" si="1021"/>
        <v>#REF!</v>
      </c>
      <c r="CV256" s="4" t="e">
        <f t="shared" si="1022"/>
        <v>#REF!</v>
      </c>
      <c r="CW256" s="4" t="e">
        <f t="shared" si="1023"/>
        <v>#REF!</v>
      </c>
      <c r="CX256" s="4">
        <f t="shared" si="1024"/>
        <v>1.400091193706031</v>
      </c>
      <c r="CY256" s="4">
        <f t="shared" si="1025"/>
        <v>1.3316690082587483</v>
      </c>
      <c r="CZ256" s="4">
        <f t="shared" si="1026"/>
        <v>1.4482630142707176</v>
      </c>
      <c r="DC256" s="4" t="e">
        <f>#REF!</f>
        <v>#REF!</v>
      </c>
      <c r="DF256" s="4">
        <f t="shared" si="932"/>
        <v>2.2998786526164252E-5</v>
      </c>
      <c r="DG256" s="4">
        <f t="shared" si="1004"/>
        <v>7.9635234919892781</v>
      </c>
      <c r="DH256" s="4">
        <f t="shared" si="934"/>
        <v>0.57327229845730976</v>
      </c>
      <c r="DI256" s="4">
        <f t="shared" si="1005"/>
        <v>6.3745517050009441</v>
      </c>
      <c r="DJ256" s="4">
        <f t="shared" si="1006"/>
        <v>7.212979760780323</v>
      </c>
      <c r="DK256" s="4">
        <f t="shared" si="937"/>
        <v>7.2499372750174791</v>
      </c>
      <c r="DL256" s="38">
        <f t="shared" si="938"/>
        <v>714.68520482839904</v>
      </c>
      <c r="DM256" s="4" t="e">
        <f t="shared" si="1007"/>
        <v>#REF!</v>
      </c>
      <c r="DN256" s="4">
        <f t="shared" si="940"/>
        <v>2.2360679774997898</v>
      </c>
      <c r="DO256" s="4">
        <f t="shared" si="976"/>
        <v>362.80670896272267</v>
      </c>
      <c r="DS256" s="4">
        <f t="shared" si="941"/>
        <v>0.85</v>
      </c>
      <c r="DT256" s="4">
        <f t="shared" si="942"/>
        <v>0.80499999999999994</v>
      </c>
      <c r="DU256" s="4">
        <f t="shared" si="943"/>
        <v>0.99062499999999998</v>
      </c>
      <c r="DV256" s="4">
        <f t="shared" si="1008"/>
        <v>0.79745312499999987</v>
      </c>
      <c r="DX256" s="4">
        <f t="shared" si="945"/>
        <v>657.1486867737774</v>
      </c>
      <c r="DY256" s="25">
        <f t="shared" si="851"/>
        <v>359.94999005273769</v>
      </c>
      <c r="EA256" s="4">
        <f t="shared" si="852"/>
        <v>0.6778351562499999</v>
      </c>
      <c r="EB256" s="4">
        <f t="shared" si="946"/>
        <v>7.9635234919892781</v>
      </c>
      <c r="EE256" s="4">
        <f t="shared" si="947"/>
        <v>56.796126628494655</v>
      </c>
      <c r="EF256" s="4">
        <f t="shared" si="1009"/>
        <v>2.2360679774997898</v>
      </c>
      <c r="EG256" s="4">
        <f t="shared" si="949"/>
        <v>0.18536007663686557</v>
      </c>
      <c r="EJ256" s="4">
        <f t="shared" si="1020"/>
        <v>0.18536007663686557</v>
      </c>
      <c r="EK256" s="4">
        <f t="shared" si="950"/>
        <v>0.57231561383461671</v>
      </c>
      <c r="EL256" s="4">
        <f t="shared" si="1010"/>
        <v>6.3702943972780819</v>
      </c>
      <c r="EM256" s="4">
        <f t="shared" si="1011"/>
        <v>7.2110995253438732</v>
      </c>
      <c r="EN256" s="4" t="e">
        <f t="shared" si="1012"/>
        <v>#REF!</v>
      </c>
      <c r="EO256" s="4" t="e">
        <f t="shared" si="1013"/>
        <v>#REF!</v>
      </c>
      <c r="EP256" s="4" t="e">
        <f t="shared" si="951"/>
        <v>#REF!</v>
      </c>
      <c r="EQ256" s="4" t="e">
        <f t="shared" si="1014"/>
        <v>#REF!</v>
      </c>
      <c r="ER256" s="4" t="e">
        <f t="shared" si="952"/>
        <v>#REF!</v>
      </c>
      <c r="FA256" s="23" t="e">
        <f t="shared" si="980"/>
        <v>#REF!</v>
      </c>
      <c r="FB256" s="23" t="e">
        <f t="shared" si="980"/>
        <v>#REF!</v>
      </c>
      <c r="FC256" s="23">
        <f t="shared" si="981"/>
        <v>1.6</v>
      </c>
      <c r="FD256" s="23" t="e">
        <f t="shared" si="982"/>
        <v>#REF!</v>
      </c>
      <c r="FE256" s="23">
        <f t="shared" si="982"/>
        <v>1.4</v>
      </c>
      <c r="FF256" s="23">
        <f t="shared" si="982"/>
        <v>1.6</v>
      </c>
      <c r="FG256" s="23">
        <f t="shared" si="968"/>
        <v>0</v>
      </c>
      <c r="FH256" s="23"/>
      <c r="FR256" s="4">
        <f t="shared" si="842"/>
        <v>1</v>
      </c>
      <c r="FS256" s="4">
        <f t="shared" si="843"/>
        <v>0.44374999999999998</v>
      </c>
      <c r="FT256" s="4">
        <f t="shared" si="844"/>
        <v>0.28124999999999994</v>
      </c>
      <c r="FU256" s="4">
        <f t="shared" si="845"/>
        <v>679.75867729860352</v>
      </c>
    </row>
    <row r="257" spans="2:177" ht="12" customHeight="1" x14ac:dyDescent="0.3">
      <c r="B257" s="24"/>
      <c r="C257" s="7" t="s">
        <v>388</v>
      </c>
      <c r="D257" s="38">
        <f t="shared" si="1015"/>
        <v>827.58620689655174</v>
      </c>
      <c r="E257" s="38">
        <f>12.19*25.4</f>
        <v>309.62599999999998</v>
      </c>
      <c r="F257" s="38">
        <f>4850/145</f>
        <v>33.448275862068968</v>
      </c>
      <c r="G257" s="38">
        <f t="shared" si="1016"/>
        <v>25.4</v>
      </c>
      <c r="H257" s="38">
        <f>20.1*25.4</f>
        <v>510.54</v>
      </c>
      <c r="I257" s="38">
        <f>4*25.4</f>
        <v>101.6</v>
      </c>
      <c r="J257" s="39">
        <f>3.55*25.4</f>
        <v>90.169999999999987</v>
      </c>
      <c r="K257" s="7">
        <f t="shared" si="986"/>
        <v>256.54000000000002</v>
      </c>
      <c r="L257" s="38">
        <v>2</v>
      </c>
      <c r="M257" s="4">
        <f t="shared" si="987"/>
        <v>260.34999999999997</v>
      </c>
      <c r="N257" s="7">
        <f t="shared" si="905"/>
        <v>4.5</v>
      </c>
      <c r="O257" s="7">
        <f t="shared" si="906"/>
        <v>4.5</v>
      </c>
      <c r="P257" s="38">
        <v>4</v>
      </c>
      <c r="Q257" s="4">
        <f t="shared" si="1017"/>
        <v>4</v>
      </c>
      <c r="R257" s="4">
        <f t="shared" si="907"/>
        <v>5</v>
      </c>
      <c r="S257" s="7">
        <f t="shared" si="908"/>
        <v>56.796126628494655</v>
      </c>
      <c r="V257" s="38">
        <f>128.5/0.145</f>
        <v>886.20689655172418</v>
      </c>
      <c r="X257" s="4">
        <f t="shared" si="910"/>
        <v>1.097611405753202</v>
      </c>
      <c r="Y257" s="38">
        <f t="shared" si="1027"/>
        <v>9.5249999999999986</v>
      </c>
      <c r="Z257" s="38">
        <v>8</v>
      </c>
      <c r="AA257" s="39">
        <f>4*25.4</f>
        <v>101.6</v>
      </c>
      <c r="AB257" s="39">
        <v>2</v>
      </c>
      <c r="AC257" s="39">
        <v>1</v>
      </c>
      <c r="AD257" s="7"/>
      <c r="AE257" s="4">
        <f t="shared" si="912"/>
        <v>309.62599999999998</v>
      </c>
      <c r="AF257" s="4">
        <f t="shared" si="913"/>
        <v>0.54963084495488113</v>
      </c>
      <c r="AG257" s="4">
        <f t="shared" si="914"/>
        <v>310.92503455862817</v>
      </c>
      <c r="AH257" s="4">
        <f t="shared" si="915"/>
        <v>0.77383100902378998</v>
      </c>
      <c r="AI257" s="4">
        <v>1.25</v>
      </c>
      <c r="AJ257" s="4">
        <f t="shared" si="857"/>
        <v>2.5</v>
      </c>
      <c r="AK257" s="38">
        <f t="shared" si="988"/>
        <v>413.25958844233031</v>
      </c>
      <c r="AL257" s="38">
        <f t="shared" si="953"/>
        <v>413.25958844233031</v>
      </c>
      <c r="AM257" s="38">
        <f t="shared" si="916"/>
        <v>3.1143714702560636</v>
      </c>
      <c r="AN257" s="38">
        <f t="shared" si="858"/>
        <v>413.25958844233008</v>
      </c>
      <c r="AO257" s="38">
        <f t="shared" si="840"/>
        <v>1.0000000000000004</v>
      </c>
      <c r="AP257" s="38">
        <f t="shared" si="859"/>
        <v>1.4568783940055137</v>
      </c>
      <c r="AQ257" s="4">
        <f t="shared" si="860"/>
        <v>0</v>
      </c>
      <c r="AR257" s="4" t="e">
        <f>#REF!/G257*F257^0.5/0.19</f>
        <v>#REF!</v>
      </c>
      <c r="AS257" s="4">
        <f t="shared" si="917"/>
        <v>1</v>
      </c>
      <c r="AT257" s="38">
        <f t="shared" si="918"/>
        <v>602.06896551724139</v>
      </c>
      <c r="AU257" s="4">
        <f t="shared" si="919"/>
        <v>0.44000000000000006</v>
      </c>
      <c r="AV257" s="4" t="e">
        <f>AU257*D257*#REF!/(D257*G257/2.75/F257^0.5)</f>
        <v>#REF!</v>
      </c>
      <c r="AW257" s="4" t="e">
        <f t="shared" si="989"/>
        <v>#REF!</v>
      </c>
      <c r="AY257" s="4">
        <f t="shared" si="920"/>
        <v>1.5</v>
      </c>
      <c r="AZ257" s="4" t="e">
        <f>(3*#REF!+30)*AY257*F257^0.5</f>
        <v>#REF!</v>
      </c>
      <c r="BB257" s="4">
        <f t="shared" si="921"/>
        <v>577.45776616774151</v>
      </c>
      <c r="BC257" s="4">
        <f t="shared" si="922"/>
        <v>0</v>
      </c>
      <c r="BD257" s="4">
        <f t="shared" si="990"/>
        <v>0</v>
      </c>
      <c r="BL257" s="4">
        <f t="shared" si="923"/>
        <v>101.6</v>
      </c>
      <c r="BP257" s="9"/>
      <c r="BR257" s="9"/>
      <c r="BS257" s="9"/>
      <c r="BT257" s="9">
        <f t="shared" si="924"/>
        <v>90.169999999999987</v>
      </c>
      <c r="BU257" s="9">
        <f t="shared" si="925"/>
        <v>128.27000000000001</v>
      </c>
      <c r="BV257" s="9">
        <f t="shared" si="926"/>
        <v>1.9864316684380796</v>
      </c>
      <c r="BW257" s="40">
        <f t="shared" si="1018"/>
        <v>20</v>
      </c>
      <c r="BX257" s="9">
        <f t="shared" si="927"/>
        <v>0.05</v>
      </c>
      <c r="BY257" s="9">
        <f t="shared" si="991"/>
        <v>0.8</v>
      </c>
      <c r="BZ257" s="9">
        <f t="shared" si="928"/>
        <v>0.99524931562137331</v>
      </c>
      <c r="CA257" s="9">
        <f t="shared" si="929"/>
        <v>0.68</v>
      </c>
      <c r="CB257" s="9">
        <f t="shared" si="930"/>
        <v>1.3699215983187671</v>
      </c>
      <c r="CC257" s="9">
        <f t="shared" si="931"/>
        <v>3.4248039957969176</v>
      </c>
      <c r="CD257" s="40">
        <v>1</v>
      </c>
      <c r="CE257" s="9" t="e">
        <f>4*CC257*#REF!+60*CC257</f>
        <v>#REF!</v>
      </c>
      <c r="CG257" s="4" t="e">
        <f t="shared" si="992"/>
        <v>#REF!</v>
      </c>
      <c r="CH257" s="4" t="e">
        <f t="shared" si="993"/>
        <v>#REF!</v>
      </c>
      <c r="CI257" s="4" t="e">
        <f t="shared" si="994"/>
        <v>#REF!</v>
      </c>
      <c r="CJ257" s="4" t="e">
        <f t="shared" si="995"/>
        <v>#REF!</v>
      </c>
      <c r="CK257" s="4">
        <f t="shared" si="996"/>
        <v>1.097611405753202</v>
      </c>
      <c r="CL257" s="4">
        <f t="shared" si="997"/>
        <v>1.2065212017848979</v>
      </c>
      <c r="CM257" s="4">
        <f t="shared" si="978"/>
        <v>1.3452828172806048</v>
      </c>
      <c r="CN257" s="4">
        <f t="shared" si="1019"/>
        <v>8</v>
      </c>
      <c r="CU257" s="4" t="e">
        <f t="shared" si="1021"/>
        <v>#REF!</v>
      </c>
      <c r="CV257" s="4" t="e">
        <f t="shared" si="1022"/>
        <v>#REF!</v>
      </c>
      <c r="CW257" s="4" t="e">
        <f t="shared" si="1023"/>
        <v>#REF!</v>
      </c>
      <c r="CX257" s="4">
        <f t="shared" si="1024"/>
        <v>1.3452828172806048</v>
      </c>
      <c r="CY257" s="4">
        <f t="shared" si="1025"/>
        <v>1.097611405753202</v>
      </c>
      <c r="CZ257" s="4">
        <f t="shared" si="1026"/>
        <v>1.2065212017848979</v>
      </c>
      <c r="DC257" s="4" t="e">
        <f>#REF!</f>
        <v>#REF!</v>
      </c>
      <c r="DF257" s="4">
        <f t="shared" si="932"/>
        <v>2.2302235172382959E-5</v>
      </c>
      <c r="DG257" s="4">
        <f t="shared" si="1004"/>
        <v>8.8731797505383305</v>
      </c>
      <c r="DH257" s="4">
        <f t="shared" si="934"/>
        <v>0.68261339559618783</v>
      </c>
      <c r="DI257" s="4">
        <f t="shared" si="1005"/>
        <v>7.6163904897469754</v>
      </c>
      <c r="DJ257" s="4">
        <f t="shared" si="1006"/>
        <v>8.2687115091235786</v>
      </c>
      <c r="DK257" s="4">
        <f t="shared" si="937"/>
        <v>8.0052518981639746</v>
      </c>
      <c r="DL257" s="38">
        <f t="shared" si="938"/>
        <v>807.39585239968596</v>
      </c>
      <c r="DM257" s="4" t="e">
        <f t="shared" si="1007"/>
        <v>#REF!</v>
      </c>
      <c r="DN257" s="4">
        <f t="shared" si="940"/>
        <v>2.2360679774997898</v>
      </c>
      <c r="DO257" s="4">
        <f t="shared" si="976"/>
        <v>413.25958844233008</v>
      </c>
      <c r="DS257" s="4">
        <f t="shared" si="941"/>
        <v>0.85</v>
      </c>
      <c r="DT257" s="4">
        <f t="shared" si="942"/>
        <v>0.7</v>
      </c>
      <c r="DU257" s="4">
        <f t="shared" si="943"/>
        <v>0.99062499999999998</v>
      </c>
      <c r="DV257" s="4">
        <f t="shared" si="1008"/>
        <v>0.7</v>
      </c>
      <c r="DX257" s="4">
        <f t="shared" si="945"/>
        <v>734.51415129770737</v>
      </c>
      <c r="DY257" s="25">
        <f t="shared" si="851"/>
        <v>410.02196782052062</v>
      </c>
      <c r="EA257" s="4">
        <f t="shared" si="852"/>
        <v>0.59499999999999997</v>
      </c>
      <c r="EB257" s="4">
        <f t="shared" si="946"/>
        <v>8.8731797505383305</v>
      </c>
      <c r="EE257" s="4">
        <f t="shared" si="947"/>
        <v>56.796126628494655</v>
      </c>
      <c r="EF257" s="4">
        <f t="shared" si="1009"/>
        <v>2.2360679774997898</v>
      </c>
      <c r="EG257" s="4">
        <f t="shared" si="949"/>
        <v>0.21587231067569562</v>
      </c>
      <c r="EJ257" s="4">
        <f t="shared" si="1020"/>
        <v>0.21587231067569562</v>
      </c>
      <c r="EK257" s="4">
        <f t="shared" si="950"/>
        <v>0.68147424106078058</v>
      </c>
      <c r="EL257" s="4">
        <f t="shared" si="1010"/>
        <v>7.6113038076471362</v>
      </c>
      <c r="EM257" s="4">
        <f t="shared" si="1011"/>
        <v>8.2663694968956261</v>
      </c>
      <c r="EN257" s="4" t="e">
        <f t="shared" si="1012"/>
        <v>#REF!</v>
      </c>
      <c r="EO257" s="4" t="e">
        <f t="shared" si="1013"/>
        <v>#REF!</v>
      </c>
      <c r="EP257" s="4" t="e">
        <f t="shared" si="951"/>
        <v>#REF!</v>
      </c>
      <c r="EQ257" s="4" t="e">
        <f t="shared" si="1014"/>
        <v>#REF!</v>
      </c>
      <c r="ER257" s="4" t="e">
        <f t="shared" si="952"/>
        <v>#REF!</v>
      </c>
      <c r="FA257" s="23" t="e">
        <f t="shared" si="980"/>
        <v>#REF!</v>
      </c>
      <c r="FB257" s="23" t="e">
        <f t="shared" si="980"/>
        <v>#REF!</v>
      </c>
      <c r="FC257" s="23">
        <f t="shared" si="981"/>
        <v>1.4</v>
      </c>
      <c r="FD257" s="23" t="e">
        <f t="shared" si="982"/>
        <v>#REF!</v>
      </c>
      <c r="FE257" s="23">
        <f t="shared" si="982"/>
        <v>1.2</v>
      </c>
      <c r="FF257" s="23">
        <f t="shared" si="982"/>
        <v>1.4</v>
      </c>
      <c r="FG257" s="23">
        <f t="shared" si="968"/>
        <v>0</v>
      </c>
      <c r="FH257" s="23"/>
      <c r="FR257" s="4">
        <f t="shared" si="842"/>
        <v>1</v>
      </c>
      <c r="FS257" s="4">
        <f t="shared" si="843"/>
        <v>0.44374999999999998</v>
      </c>
      <c r="FT257" s="4">
        <f t="shared" si="844"/>
        <v>0.28124999999999994</v>
      </c>
      <c r="FU257" s="4">
        <f t="shared" si="845"/>
        <v>658.75136823878381</v>
      </c>
    </row>
    <row r="258" spans="2:177" ht="12" customHeight="1" x14ac:dyDescent="0.3">
      <c r="B258" s="24" t="s">
        <v>404</v>
      </c>
      <c r="C258" s="7" t="s">
        <v>389</v>
      </c>
      <c r="D258" s="38">
        <f t="shared" si="1015"/>
        <v>827.58620689655174</v>
      </c>
      <c r="E258" s="38">
        <f>12.56*25.4</f>
        <v>319.024</v>
      </c>
      <c r="F258" s="38">
        <f>5910/145</f>
        <v>40.758620689655174</v>
      </c>
      <c r="G258" s="38">
        <f t="shared" si="1016"/>
        <v>25.4</v>
      </c>
      <c r="H258" s="38">
        <f>16.8*25.4</f>
        <v>426.71999999999997</v>
      </c>
      <c r="I258" s="38">
        <f>2.5*25.4</f>
        <v>63.5</v>
      </c>
      <c r="J258" s="39">
        <f>3.15*25.4</f>
        <v>80.009999999999991</v>
      </c>
      <c r="K258" s="7">
        <f t="shared" si="986"/>
        <v>248.91999999999996</v>
      </c>
      <c r="L258" s="38">
        <v>2</v>
      </c>
      <c r="M258" s="4">
        <f t="shared" ref="M258:M321" si="1028">10.25*25.4</f>
        <v>260.34999999999997</v>
      </c>
      <c r="N258" s="7">
        <f t="shared" si="905"/>
        <v>3</v>
      </c>
      <c r="O258" s="7">
        <f t="shared" si="906"/>
        <v>3</v>
      </c>
      <c r="P258" s="38">
        <v>4</v>
      </c>
      <c r="Q258" s="4">
        <f t="shared" si="1017"/>
        <v>4</v>
      </c>
      <c r="R258" s="4">
        <f t="shared" si="907"/>
        <v>5</v>
      </c>
      <c r="S258" s="7">
        <f t="shared" si="908"/>
        <v>56.796126628494655</v>
      </c>
      <c r="V258" s="38">
        <f>123.7/0.145</f>
        <v>853.10344827586209</v>
      </c>
      <c r="X258" s="4">
        <f t="shared" si="910"/>
        <v>1.1737171323264513</v>
      </c>
      <c r="Y258" s="38"/>
      <c r="Z258" s="38"/>
      <c r="AA258" s="39">
        <v>1</v>
      </c>
      <c r="AB258" s="39"/>
      <c r="AC258" s="39"/>
      <c r="AD258" s="7"/>
      <c r="AE258" s="4">
        <f t="shared" si="912"/>
        <v>319.024</v>
      </c>
      <c r="AF258" s="4">
        <f t="shared" si="913"/>
        <v>0.44585987261146492</v>
      </c>
      <c r="AG258" s="4">
        <f t="shared" si="914"/>
        <v>358.96942805546695</v>
      </c>
      <c r="AH258" s="4">
        <f t="shared" si="915"/>
        <v>0.74777070063694262</v>
      </c>
      <c r="AI258" s="4">
        <v>1.25</v>
      </c>
      <c r="AJ258" s="4">
        <f t="shared" si="857"/>
        <v>2.5</v>
      </c>
      <c r="AK258" s="38">
        <f t="shared" si="988"/>
        <v>374.00233779258627</v>
      </c>
      <c r="AL258" s="38">
        <f t="shared" si="953"/>
        <v>374.00233779258627</v>
      </c>
      <c r="AM258" s="38">
        <f t="shared" si="916"/>
        <v>3.5530466297176955</v>
      </c>
      <c r="AN258" s="38">
        <f t="shared" si="858"/>
        <v>374.0023377925865</v>
      </c>
      <c r="AO258" s="38">
        <f t="shared" si="840"/>
        <v>0.99999999999999944</v>
      </c>
      <c r="AP258" s="38">
        <f t="shared" si="859"/>
        <v>1.3077550561919431</v>
      </c>
      <c r="AQ258" s="4">
        <f t="shared" si="860"/>
        <v>0</v>
      </c>
      <c r="AR258" s="4" t="e">
        <f>#REF!/G258*F258^0.5/0.19</f>
        <v>#REF!</v>
      </c>
      <c r="AS258" s="4">
        <f t="shared" si="917"/>
        <v>1</v>
      </c>
      <c r="AT258" s="38">
        <f t="shared" si="918"/>
        <v>489.10344827586204</v>
      </c>
      <c r="AU258" s="4">
        <f t="shared" si="919"/>
        <v>0.44000000000000006</v>
      </c>
      <c r="AV258" s="4" t="e">
        <f>AU258*D258*#REF!/(D258*G258/2.75/F258^0.5)</f>
        <v>#REF!</v>
      </c>
      <c r="AW258" s="4" t="e">
        <f t="shared" si="989"/>
        <v>#REF!</v>
      </c>
      <c r="AY258" s="4">
        <f t="shared" si="920"/>
        <v>1.375</v>
      </c>
      <c r="AZ258" s="4" t="e">
        <f>(3*#REF!+30)*AY258*F258^0.5</f>
        <v>#REF!</v>
      </c>
      <c r="BB258" s="4">
        <f t="shared" si="921"/>
        <v>469.11002035070135</v>
      </c>
      <c r="BC258" s="4">
        <f t="shared" si="922"/>
        <v>0</v>
      </c>
      <c r="BD258" s="4">
        <f t="shared" si="990"/>
        <v>0</v>
      </c>
      <c r="BL258" s="4">
        <f t="shared" si="923"/>
        <v>63.5</v>
      </c>
      <c r="BP258" s="9"/>
      <c r="BR258" s="9"/>
      <c r="BS258" s="9"/>
      <c r="BT258" s="9">
        <f t="shared" si="924"/>
        <v>63.5</v>
      </c>
      <c r="BU258" s="9">
        <f t="shared" si="925"/>
        <v>124.45999999999998</v>
      </c>
      <c r="BV258" s="9">
        <f t="shared" si="926"/>
        <v>1.7490749303163509</v>
      </c>
      <c r="BW258" s="40">
        <f t="shared" si="1018"/>
        <v>0</v>
      </c>
      <c r="BX258" s="9">
        <f t="shared" si="927"/>
        <v>0</v>
      </c>
      <c r="BY258" s="9">
        <f t="shared" si="991"/>
        <v>0</v>
      </c>
      <c r="BZ258" s="9">
        <f t="shared" si="928"/>
        <v>0.99524931562137331</v>
      </c>
      <c r="CA258" s="9">
        <f t="shared" si="929"/>
        <v>0.68</v>
      </c>
      <c r="CB258" s="9">
        <f t="shared" si="930"/>
        <v>1.5122325576992237</v>
      </c>
      <c r="CC258" s="9">
        <f t="shared" si="931"/>
        <v>2.6450080554798867</v>
      </c>
      <c r="CD258" s="40">
        <v>1</v>
      </c>
      <c r="CE258" s="9" t="e">
        <f>4*CC258*#REF!+60*CC258</f>
        <v>#REF!</v>
      </c>
      <c r="CG258" s="4" t="e">
        <f t="shared" si="992"/>
        <v>#REF!</v>
      </c>
      <c r="CH258" s="4" t="e">
        <f t="shared" si="993"/>
        <v>#REF!</v>
      </c>
      <c r="CI258" s="4" t="e">
        <f t="shared" si="994"/>
        <v>#REF!</v>
      </c>
      <c r="CJ258" s="4" t="e">
        <f t="shared" si="995"/>
        <v>#REF!</v>
      </c>
      <c r="CK258" s="4">
        <f t="shared" si="996"/>
        <v>1.1737171323264513</v>
      </c>
      <c r="CL258" s="4">
        <f t="shared" si="997"/>
        <v>1.2638608456589822</v>
      </c>
      <c r="CM258" s="4">
        <f t="shared" si="978"/>
        <v>1.3479209893794599</v>
      </c>
      <c r="CN258" s="4">
        <f t="shared" si="1019"/>
        <v>0</v>
      </c>
      <c r="CO258" s="4" t="e">
        <f t="shared" ref="CO258:CO259" si="1029">CG258</f>
        <v>#REF!</v>
      </c>
      <c r="CP258" s="4" t="e">
        <f t="shared" ref="CP258:CP259" si="1030">CH258</f>
        <v>#REF!</v>
      </c>
      <c r="CQ258" s="4" t="e">
        <f t="shared" ref="CQ258:CQ259" si="1031">CJ258</f>
        <v>#REF!</v>
      </c>
      <c r="CR258" s="4">
        <f t="shared" ref="CR258:CR259" si="1032">CM258</f>
        <v>1.3479209893794599</v>
      </c>
      <c r="CS258" s="4">
        <f t="shared" ref="CS258:CS259" si="1033">CK258</f>
        <v>1.1737171323264513</v>
      </c>
      <c r="CT258" s="4">
        <f t="shared" ref="CT258:CT259" si="1034">CL258</f>
        <v>1.2638608456589822</v>
      </c>
      <c r="DC258" s="4" t="e">
        <f>#REF!</f>
        <v>#REF!</v>
      </c>
      <c r="DF258" s="4">
        <f t="shared" si="932"/>
        <v>2.4141948123623064E-5</v>
      </c>
      <c r="DG258" s="4">
        <f t="shared" si="1004"/>
        <v>8.0664280589525461</v>
      </c>
      <c r="DH258" s="4">
        <f t="shared" si="934"/>
        <v>0.50696787740392724</v>
      </c>
      <c r="DI258" s="4">
        <f t="shared" si="1005"/>
        <v>6.1471447785115361</v>
      </c>
      <c r="DJ258" s="4">
        <f t="shared" si="1006"/>
        <v>7.1714004765210388</v>
      </c>
      <c r="DK258" s="4">
        <f t="shared" si="937"/>
        <v>7.3072902982542649</v>
      </c>
      <c r="DL258" s="38">
        <f t="shared" si="938"/>
        <v>726.83905242560991</v>
      </c>
      <c r="DM258" s="4" t="e">
        <f t="shared" si="1007"/>
        <v>#REF!</v>
      </c>
      <c r="DN258" s="4">
        <f t="shared" si="940"/>
        <v>2.2360679774997898</v>
      </c>
      <c r="DO258" s="4">
        <f t="shared" si="976"/>
        <v>374.0023377925865</v>
      </c>
      <c r="DS258" s="4">
        <f t="shared" si="941"/>
        <v>0.85</v>
      </c>
      <c r="DT258" s="4">
        <f t="shared" si="942"/>
        <v>0.85</v>
      </c>
      <c r="DU258" s="4">
        <f t="shared" si="943"/>
        <v>1</v>
      </c>
      <c r="DV258" s="4">
        <f t="shared" si="1008"/>
        <v>0.85</v>
      </c>
      <c r="DX258" s="4">
        <f t="shared" si="945"/>
        <v>674.99792497413</v>
      </c>
      <c r="DY258" s="25">
        <f t="shared" si="851"/>
        <v>371.05491571279799</v>
      </c>
      <c r="EA258" s="4">
        <f t="shared" si="852"/>
        <v>0.72249999999999992</v>
      </c>
      <c r="EB258" s="4">
        <f t="shared" si="946"/>
        <v>8.0664280589525461</v>
      </c>
      <c r="EE258" s="4">
        <f t="shared" si="947"/>
        <v>56.796126628494655</v>
      </c>
      <c r="EF258" s="4">
        <f t="shared" si="1009"/>
        <v>2.2360679774997898</v>
      </c>
      <c r="EG258" s="4">
        <f t="shared" si="949"/>
        <v>0.17698051196033657</v>
      </c>
      <c r="EJ258" s="4">
        <f t="shared" si="1020"/>
        <v>0.17698051196033657</v>
      </c>
      <c r="EK258" s="4">
        <f t="shared" si="950"/>
        <v>0.50612184250250825</v>
      </c>
      <c r="EL258" s="4">
        <f t="shared" si="1010"/>
        <v>6.1430393467650841</v>
      </c>
      <c r="EM258" s="4">
        <f t="shared" si="1011"/>
        <v>7.1696423658726474</v>
      </c>
      <c r="EN258" s="4" t="e">
        <f t="shared" si="1012"/>
        <v>#REF!</v>
      </c>
      <c r="EO258" s="4" t="e">
        <f t="shared" si="1013"/>
        <v>#REF!</v>
      </c>
      <c r="EP258" s="4" t="e">
        <f t="shared" si="951"/>
        <v>#REF!</v>
      </c>
      <c r="EQ258" s="4" t="e">
        <f t="shared" si="1014"/>
        <v>#REF!</v>
      </c>
      <c r="ER258" s="4" t="e">
        <f t="shared" si="952"/>
        <v>#REF!</v>
      </c>
      <c r="FA258" s="23" t="e">
        <f t="shared" si="980"/>
        <v>#REF!</v>
      </c>
      <c r="FB258" s="23" t="e">
        <f t="shared" si="980"/>
        <v>#REF!</v>
      </c>
      <c r="FC258" s="23">
        <f t="shared" si="981"/>
        <v>1.4</v>
      </c>
      <c r="FD258" s="23" t="e">
        <f t="shared" si="982"/>
        <v>#REF!</v>
      </c>
      <c r="FE258" s="23">
        <f t="shared" si="982"/>
        <v>1.2</v>
      </c>
      <c r="FF258" s="23">
        <f t="shared" si="982"/>
        <v>1.4</v>
      </c>
      <c r="FG258" s="23">
        <f t="shared" si="968"/>
        <v>0</v>
      </c>
      <c r="FH258" s="23"/>
      <c r="FR258" s="4">
        <f t="shared" si="842"/>
        <v>1</v>
      </c>
      <c r="FS258" s="4">
        <f t="shared" si="843"/>
        <v>0.5</v>
      </c>
      <c r="FT258" s="4">
        <f t="shared" si="844"/>
        <v>0</v>
      </c>
      <c r="FU258" s="4">
        <f t="shared" si="845"/>
        <v>632.90315604374098</v>
      </c>
    </row>
    <row r="259" spans="2:177" ht="12" customHeight="1" x14ac:dyDescent="0.3">
      <c r="B259" s="24"/>
      <c r="C259" s="7" t="s">
        <v>390</v>
      </c>
      <c r="D259" s="38">
        <f t="shared" si="1015"/>
        <v>827.58620689655174</v>
      </c>
      <c r="E259" s="38">
        <f>12.5*25.4</f>
        <v>317.5</v>
      </c>
      <c r="F259" s="38">
        <f>6320/145</f>
        <v>43.586206896551722</v>
      </c>
      <c r="G259" s="38">
        <f t="shared" si="1016"/>
        <v>25.4</v>
      </c>
      <c r="H259" s="38">
        <f>18.7*25.4</f>
        <v>474.97999999999996</v>
      </c>
      <c r="I259" s="38">
        <f>3.35*25.4</f>
        <v>85.09</v>
      </c>
      <c r="J259" s="39">
        <f>3.15*25.4</f>
        <v>80.009999999999991</v>
      </c>
      <c r="K259" s="7">
        <f t="shared" si="986"/>
        <v>253.99999999999994</v>
      </c>
      <c r="L259" s="38">
        <v>2</v>
      </c>
      <c r="M259" s="4">
        <f t="shared" si="1028"/>
        <v>260.34999999999997</v>
      </c>
      <c r="N259" s="7">
        <f t="shared" si="905"/>
        <v>3.8500000000000005</v>
      </c>
      <c r="O259" s="7">
        <f t="shared" si="906"/>
        <v>3.8500000000000005</v>
      </c>
      <c r="P259" s="38">
        <v>4</v>
      </c>
      <c r="Q259" s="4">
        <f t="shared" si="1017"/>
        <v>4</v>
      </c>
      <c r="R259" s="4">
        <f t="shared" si="907"/>
        <v>5</v>
      </c>
      <c r="S259" s="7">
        <f t="shared" si="908"/>
        <v>56.796126628494655</v>
      </c>
      <c r="V259" s="38">
        <f>118.2/0.145</f>
        <v>815.17241379310349</v>
      </c>
      <c r="X259" s="4">
        <f t="shared" si="910"/>
        <v>0.98499999999999999</v>
      </c>
      <c r="Y259" s="38"/>
      <c r="Z259" s="38"/>
      <c r="AA259" s="39">
        <v>1</v>
      </c>
      <c r="AB259" s="39"/>
      <c r="AC259" s="39"/>
      <c r="AD259" s="7"/>
      <c r="AE259" s="4">
        <f t="shared" si="912"/>
        <v>317.5</v>
      </c>
      <c r="AF259" s="4">
        <f t="shared" si="913"/>
        <v>0.49866666666666659</v>
      </c>
      <c r="AG259" s="4">
        <f t="shared" si="914"/>
        <v>368.55543684532665</v>
      </c>
      <c r="AH259" s="4">
        <f t="shared" si="915"/>
        <v>0.76159999999999994</v>
      </c>
      <c r="AI259" s="4">
        <v>1.25</v>
      </c>
      <c r="AJ259" s="4">
        <f t="shared" si="857"/>
        <v>2.5</v>
      </c>
      <c r="AK259" s="38">
        <f t="shared" si="988"/>
        <v>437.41142059301609</v>
      </c>
      <c r="AL259" s="38">
        <f t="shared" si="953"/>
        <v>437.41142059301609</v>
      </c>
      <c r="AM259" s="38">
        <f t="shared" si="916"/>
        <v>3.7155288579258352</v>
      </c>
      <c r="AN259" s="38">
        <f t="shared" si="858"/>
        <v>437.41142059301598</v>
      </c>
      <c r="AO259" s="38">
        <f t="shared" si="840"/>
        <v>1.0000000000000002</v>
      </c>
      <c r="AP259" s="38">
        <f t="shared" si="859"/>
        <v>1.5345451778485499</v>
      </c>
      <c r="AQ259" s="4">
        <f t="shared" si="860"/>
        <v>0</v>
      </c>
      <c r="AR259" s="4" t="e">
        <f>#REF!/G259*F259^0.5/0.19</f>
        <v>#REF!</v>
      </c>
      <c r="AS259" s="4">
        <f t="shared" si="917"/>
        <v>1</v>
      </c>
      <c r="AT259" s="38">
        <f t="shared" si="918"/>
        <v>671.2275862068966</v>
      </c>
      <c r="AU259" s="4">
        <f t="shared" si="919"/>
        <v>0.44000000000000006</v>
      </c>
      <c r="AV259" s="4" t="e">
        <f>AU259*D259*#REF!/(D259*G259/2.75/F259^0.5)</f>
        <v>#REF!</v>
      </c>
      <c r="AW259" s="4" t="e">
        <f t="shared" si="989"/>
        <v>#REF!</v>
      </c>
      <c r="AY259" s="4">
        <f t="shared" si="920"/>
        <v>1.5</v>
      </c>
      <c r="AZ259" s="4" t="e">
        <f>(3*#REF!+30)*AY259*F259^0.5</f>
        <v>#REF!</v>
      </c>
      <c r="BB259" s="4">
        <f t="shared" si="921"/>
        <v>643.78934095731893</v>
      </c>
      <c r="BC259" s="4">
        <f t="shared" si="922"/>
        <v>0</v>
      </c>
      <c r="BD259" s="4">
        <f t="shared" si="990"/>
        <v>0</v>
      </c>
      <c r="BL259" s="4">
        <f t="shared" si="923"/>
        <v>85.09</v>
      </c>
      <c r="BP259" s="9"/>
      <c r="BR259" s="9"/>
      <c r="BS259" s="9"/>
      <c r="BT259" s="9">
        <f t="shared" si="924"/>
        <v>80.009999999999991</v>
      </c>
      <c r="BU259" s="9">
        <f t="shared" si="925"/>
        <v>126.99999999999997</v>
      </c>
      <c r="BV259" s="9">
        <f t="shared" si="926"/>
        <v>1.9021913151302714</v>
      </c>
      <c r="BW259" s="40">
        <f t="shared" si="1018"/>
        <v>0</v>
      </c>
      <c r="BX259" s="9">
        <f t="shared" si="927"/>
        <v>0</v>
      </c>
      <c r="BY259" s="9">
        <f t="shared" si="991"/>
        <v>0</v>
      </c>
      <c r="BZ259" s="9">
        <f t="shared" si="928"/>
        <v>0.99524931562137331</v>
      </c>
      <c r="CA259" s="9">
        <f t="shared" si="929"/>
        <v>0.68</v>
      </c>
      <c r="CB259" s="9">
        <f t="shared" si="930"/>
        <v>1.5638078277680176</v>
      </c>
      <c r="CC259" s="9">
        <f t="shared" si="931"/>
        <v>2.9746616685130585</v>
      </c>
      <c r="CD259" s="40">
        <v>1</v>
      </c>
      <c r="CE259" s="9" t="e">
        <f>4*CC259*#REF!+60*CC259</f>
        <v>#REF!</v>
      </c>
      <c r="CG259" s="4" t="e">
        <f t="shared" si="992"/>
        <v>#REF!</v>
      </c>
      <c r="CH259" s="4" t="e">
        <f t="shared" si="993"/>
        <v>#REF!</v>
      </c>
      <c r="CI259" s="4" t="e">
        <f t="shared" si="994"/>
        <v>#REF!</v>
      </c>
      <c r="CJ259" s="4" t="e">
        <f t="shared" si="995"/>
        <v>#REF!</v>
      </c>
      <c r="CK259" s="4">
        <f t="shared" si="996"/>
        <v>0.98499999999999999</v>
      </c>
      <c r="CL259" s="4">
        <f t="shared" si="997"/>
        <v>1.0429653107588621</v>
      </c>
      <c r="CM259" s="4">
        <f t="shared" si="978"/>
        <v>1.2726513426267121</v>
      </c>
      <c r="CN259" s="4">
        <f t="shared" si="1019"/>
        <v>0</v>
      </c>
      <c r="CO259" s="4" t="e">
        <f t="shared" si="1029"/>
        <v>#REF!</v>
      </c>
      <c r="CP259" s="4" t="e">
        <f t="shared" si="1030"/>
        <v>#REF!</v>
      </c>
      <c r="CQ259" s="4" t="e">
        <f t="shared" si="1031"/>
        <v>#REF!</v>
      </c>
      <c r="CR259" s="4">
        <f t="shared" si="1032"/>
        <v>1.2726513426267121</v>
      </c>
      <c r="CS259" s="4">
        <f t="shared" si="1033"/>
        <v>0.98499999999999999</v>
      </c>
      <c r="CT259" s="4">
        <f t="shared" si="1034"/>
        <v>1.0429653107588621</v>
      </c>
      <c r="DC259" s="4" t="e">
        <f>#REF!</f>
        <v>#REF!</v>
      </c>
      <c r="DF259" s="4">
        <f t="shared" si="932"/>
        <v>2.4475465892892514E-5</v>
      </c>
      <c r="DG259" s="4">
        <f t="shared" si="1004"/>
        <v>9.2683740829956722</v>
      </c>
      <c r="DH259" s="4">
        <f t="shared" si="934"/>
        <v>0.55445543650397222</v>
      </c>
      <c r="DI259" s="4">
        <f t="shared" si="1005"/>
        <v>7.3206595886437924</v>
      </c>
      <c r="DJ259" s="4">
        <f t="shared" si="1006"/>
        <v>8.3515689115375462</v>
      </c>
      <c r="DK259" s="4">
        <f t="shared" si="937"/>
        <v>8.2442207183689185</v>
      </c>
      <c r="DL259" s="38">
        <f t="shared" si="938"/>
        <v>827.58620689655174</v>
      </c>
      <c r="DM259" s="4" t="e">
        <f t="shared" si="1007"/>
        <v>#REF!</v>
      </c>
      <c r="DN259" s="4">
        <f t="shared" si="940"/>
        <v>2.2360679774997898</v>
      </c>
      <c r="DO259" s="4">
        <f t="shared" si="976"/>
        <v>437.41142059301598</v>
      </c>
      <c r="DS259" s="4">
        <f t="shared" si="941"/>
        <v>0.85</v>
      </c>
      <c r="DT259" s="4">
        <f t="shared" si="942"/>
        <v>0.7649999999999999</v>
      </c>
      <c r="DU259" s="4">
        <f t="shared" si="943"/>
        <v>1</v>
      </c>
      <c r="DV259" s="4">
        <f t="shared" si="1008"/>
        <v>0.7649999999999999</v>
      </c>
      <c r="DX259" s="4">
        <f t="shared" si="945"/>
        <v>781.59110891232194</v>
      </c>
      <c r="DY259" s="25">
        <f t="shared" si="851"/>
        <v>434.02708079998422</v>
      </c>
      <c r="EA259" s="4">
        <f t="shared" si="852"/>
        <v>0.65024999999999988</v>
      </c>
      <c r="EB259" s="4">
        <f t="shared" si="946"/>
        <v>9.2683740829956722</v>
      </c>
      <c r="EE259" s="4">
        <f t="shared" si="947"/>
        <v>56.796126628494655</v>
      </c>
      <c r="EF259" s="4">
        <f t="shared" si="1009"/>
        <v>2.2360679774997898</v>
      </c>
      <c r="EG259" s="4">
        <f t="shared" si="949"/>
        <v>0.20015961157174716</v>
      </c>
      <c r="EJ259" s="4">
        <f t="shared" si="1020"/>
        <v>0.20015961157174716</v>
      </c>
      <c r="EK259" s="4">
        <f t="shared" si="950"/>
        <v>0.55353015371689307</v>
      </c>
      <c r="EL259" s="4">
        <f t="shared" si="1010"/>
        <v>7.3157704133659873</v>
      </c>
      <c r="EM259" s="4">
        <f t="shared" si="1011"/>
        <v>8.3494273465101507</v>
      </c>
      <c r="EN259" s="4" t="e">
        <f t="shared" si="1012"/>
        <v>#REF!</v>
      </c>
      <c r="EO259" s="4" t="e">
        <f t="shared" si="1013"/>
        <v>#REF!</v>
      </c>
      <c r="EP259" s="4" t="e">
        <f t="shared" si="951"/>
        <v>#REF!</v>
      </c>
      <c r="EQ259" s="4" t="e">
        <f t="shared" si="1014"/>
        <v>#REF!</v>
      </c>
      <c r="ER259" s="4" t="e">
        <f t="shared" si="952"/>
        <v>#REF!</v>
      </c>
      <c r="FA259" s="23" t="e">
        <f t="shared" si="980"/>
        <v>#REF!</v>
      </c>
      <c r="FB259" s="23" t="e">
        <f t="shared" si="980"/>
        <v>#REF!</v>
      </c>
      <c r="FC259" s="23">
        <f t="shared" si="981"/>
        <v>1.4</v>
      </c>
      <c r="FD259" s="23" t="e">
        <f t="shared" si="982"/>
        <v>#REF!</v>
      </c>
      <c r="FE259" s="23">
        <f t="shared" si="982"/>
        <v>1</v>
      </c>
      <c r="FF259" s="23">
        <f t="shared" si="982"/>
        <v>1.2</v>
      </c>
      <c r="FG259" s="23">
        <f t="shared" si="968"/>
        <v>0</v>
      </c>
      <c r="FH259" s="23"/>
      <c r="FR259" s="4">
        <f t="shared" si="842"/>
        <v>1</v>
      </c>
      <c r="FS259" s="4">
        <f t="shared" si="843"/>
        <v>0.5</v>
      </c>
      <c r="FT259" s="4">
        <f t="shared" si="844"/>
        <v>0</v>
      </c>
      <c r="FU259" s="4">
        <f t="shared" si="845"/>
        <v>640.53082449951569</v>
      </c>
    </row>
    <row r="260" spans="2:177" ht="12" customHeight="1" x14ac:dyDescent="0.3">
      <c r="B260" s="24"/>
      <c r="C260" s="7" t="s">
        <v>391</v>
      </c>
      <c r="D260" s="38">
        <f t="shared" si="1015"/>
        <v>827.58620689655174</v>
      </c>
      <c r="E260" s="38">
        <f>9.56*25.4</f>
        <v>242.82400000000001</v>
      </c>
      <c r="F260" s="38">
        <f>5090/145</f>
        <v>35.103448275862071</v>
      </c>
      <c r="G260" s="38">
        <f t="shared" si="1016"/>
        <v>25.4</v>
      </c>
      <c r="H260" s="38">
        <f>17.3*25.4</f>
        <v>439.42</v>
      </c>
      <c r="I260" s="38">
        <f>2.8*25.4</f>
        <v>71.11999999999999</v>
      </c>
      <c r="J260" s="39">
        <f>3.05*25.4</f>
        <v>77.469999999999985</v>
      </c>
      <c r="K260" s="7">
        <f t="shared" si="986"/>
        <v>246.38000000000002</v>
      </c>
      <c r="L260" s="38">
        <v>2</v>
      </c>
      <c r="M260" s="4">
        <f t="shared" si="1028"/>
        <v>260.34999999999997</v>
      </c>
      <c r="N260" s="7">
        <f t="shared" si="905"/>
        <v>3.3</v>
      </c>
      <c r="O260" s="7">
        <f t="shared" si="906"/>
        <v>3.3</v>
      </c>
      <c r="P260" s="38">
        <v>4</v>
      </c>
      <c r="Q260" s="4">
        <f t="shared" si="1017"/>
        <v>4</v>
      </c>
      <c r="R260" s="4">
        <f t="shared" si="907"/>
        <v>5</v>
      </c>
      <c r="S260" s="7">
        <f t="shared" si="908"/>
        <v>56.796126628494655</v>
      </c>
      <c r="V260" s="38">
        <f>99.6/0.145</f>
        <v>686.89655172413791</v>
      </c>
      <c r="X260" s="4">
        <f t="shared" si="910"/>
        <v>1.1793748514869569</v>
      </c>
      <c r="Y260" s="38">
        <f>0.375*25.4</f>
        <v>9.5249999999999986</v>
      </c>
      <c r="Z260" s="38">
        <v>10</v>
      </c>
      <c r="AA260" s="39">
        <f>3*25.4</f>
        <v>76.199999999999989</v>
      </c>
      <c r="AB260" s="39">
        <v>3</v>
      </c>
      <c r="AC260" s="39">
        <v>1</v>
      </c>
      <c r="AD260" s="7"/>
      <c r="AE260" s="4">
        <f t="shared" si="912"/>
        <v>242.82400000000001</v>
      </c>
      <c r="AF260" s="4">
        <f t="shared" si="913"/>
        <v>0.60320781032078097</v>
      </c>
      <c r="AG260" s="4">
        <f t="shared" si="914"/>
        <v>221.2203082426764</v>
      </c>
      <c r="AH260" s="4">
        <f t="shared" si="915"/>
        <v>0.76903765690376569</v>
      </c>
      <c r="AI260" s="4">
        <v>1.25</v>
      </c>
      <c r="AJ260" s="4">
        <f t="shared" si="857"/>
        <v>2.5</v>
      </c>
      <c r="AK260" s="38">
        <f t="shared" si="988"/>
        <v>320.69307138372187</v>
      </c>
      <c r="AL260" s="38">
        <f t="shared" si="953"/>
        <v>320.69307138372187</v>
      </c>
      <c r="AM260" s="38">
        <f t="shared" si="916"/>
        <v>3.2162843791396258</v>
      </c>
      <c r="AN260" s="38">
        <f t="shared" si="858"/>
        <v>320.69307138372176</v>
      </c>
      <c r="AO260" s="38">
        <f t="shared" si="840"/>
        <v>1.0000000000000004</v>
      </c>
      <c r="AP260" s="38">
        <f t="shared" si="859"/>
        <v>1.4448878338470383</v>
      </c>
      <c r="AQ260" s="4">
        <f t="shared" si="860"/>
        <v>0</v>
      </c>
      <c r="AR260" s="4" t="e">
        <f>#REF!/G260*F260^0.5/0.19</f>
        <v>#REF!</v>
      </c>
      <c r="AS260" s="4">
        <f t="shared" si="917"/>
        <v>1</v>
      </c>
      <c r="AT260" s="38">
        <f t="shared" si="918"/>
        <v>463.36551724137934</v>
      </c>
      <c r="AU260" s="4">
        <f t="shared" si="919"/>
        <v>0.44000000000000006</v>
      </c>
      <c r="AV260" s="4" t="e">
        <f>AU260*D260*#REF!/(D260*G260/2.75/F260^0.5)</f>
        <v>#REF!</v>
      </c>
      <c r="AW260" s="4" t="e">
        <f t="shared" si="989"/>
        <v>#REF!</v>
      </c>
      <c r="AY260" s="4">
        <f t="shared" si="920"/>
        <v>1.5</v>
      </c>
      <c r="AZ260" s="4" t="e">
        <f>(3*#REF!+30)*AY260*F260^0.5</f>
        <v>#REF!</v>
      </c>
      <c r="BB260" s="4">
        <f t="shared" si="921"/>
        <v>444.42419694476757</v>
      </c>
      <c r="BC260" s="4">
        <f t="shared" si="922"/>
        <v>0</v>
      </c>
      <c r="BD260" s="4">
        <f t="shared" si="990"/>
        <v>0</v>
      </c>
      <c r="BL260" s="4">
        <f t="shared" si="923"/>
        <v>71.11999999999999</v>
      </c>
      <c r="BP260" s="9"/>
      <c r="BR260" s="9"/>
      <c r="BS260" s="9"/>
      <c r="BT260" s="9">
        <f t="shared" si="924"/>
        <v>71.11999999999999</v>
      </c>
      <c r="BU260" s="9">
        <f t="shared" si="925"/>
        <v>123.19000000000001</v>
      </c>
      <c r="BV260" s="9">
        <f t="shared" si="926"/>
        <v>1.8170487186781425</v>
      </c>
      <c r="BW260" s="40">
        <f t="shared" si="1018"/>
        <v>20</v>
      </c>
      <c r="BX260" s="9">
        <f t="shared" si="927"/>
        <v>0.05</v>
      </c>
      <c r="BY260" s="9">
        <f t="shared" si="991"/>
        <v>0.8</v>
      </c>
      <c r="BZ260" s="9">
        <f t="shared" si="928"/>
        <v>0.99524931562137331</v>
      </c>
      <c r="CA260" s="9">
        <f t="shared" si="929"/>
        <v>0.68</v>
      </c>
      <c r="CB260" s="9">
        <f t="shared" si="930"/>
        <v>1.4034073112676719</v>
      </c>
      <c r="CC260" s="9">
        <f t="shared" si="931"/>
        <v>3.5085182781691797</v>
      </c>
      <c r="CD260" s="40">
        <v>1</v>
      </c>
      <c r="CE260" s="9" t="e">
        <f>4*CC260*#REF!+60*CC260</f>
        <v>#REF!</v>
      </c>
      <c r="CG260" s="4" t="e">
        <f t="shared" si="992"/>
        <v>#REF!</v>
      </c>
      <c r="CH260" s="4" t="e">
        <f t="shared" si="993"/>
        <v>#REF!</v>
      </c>
      <c r="CI260" s="4" t="e">
        <f t="shared" si="994"/>
        <v>#REF!</v>
      </c>
      <c r="CJ260" s="4" t="e">
        <f t="shared" si="995"/>
        <v>#REF!</v>
      </c>
      <c r="CK260" s="4">
        <f t="shared" si="996"/>
        <v>1.1793748514869569</v>
      </c>
      <c r="CL260" s="4">
        <f t="shared" si="997"/>
        <v>1.267632927019867</v>
      </c>
      <c r="CM260" s="4">
        <f t="shared" si="978"/>
        <v>1.3025245533720942</v>
      </c>
      <c r="CN260" s="4">
        <f t="shared" si="1019"/>
        <v>10</v>
      </c>
      <c r="CU260" s="4" t="e">
        <f t="shared" ref="CU260:CU263" si="1035">CG260</f>
        <v>#REF!</v>
      </c>
      <c r="CV260" s="4" t="e">
        <f t="shared" ref="CV260:CV263" si="1036">CH260</f>
        <v>#REF!</v>
      </c>
      <c r="CW260" s="4" t="e">
        <f t="shared" ref="CW260:CW263" si="1037">CJ260</f>
        <v>#REF!</v>
      </c>
      <c r="CX260" s="4">
        <f t="shared" ref="CX260:CX263" si="1038">CM260</f>
        <v>1.3025245533720942</v>
      </c>
      <c r="CY260" s="4">
        <f t="shared" ref="CY260:CY263" si="1039">CK260</f>
        <v>1.1793748514869569</v>
      </c>
      <c r="CZ260" s="4">
        <f t="shared" ref="CZ260:CZ263" si="1040">CL260</f>
        <v>1.267632927019867</v>
      </c>
      <c r="DC260" s="4" t="e">
        <f>#REF!</f>
        <v>#REF!</v>
      </c>
      <c r="DF260" s="4">
        <f t="shared" si="932"/>
        <v>1.7691006908959997E-5</v>
      </c>
      <c r="DG260" s="4">
        <f t="shared" si="1004"/>
        <v>7.8332539258345992</v>
      </c>
      <c r="DH260" s="4">
        <f t="shared" si="934"/>
        <v>0.50473730099887937</v>
      </c>
      <c r="DI260" s="4">
        <f t="shared" si="1005"/>
        <v>5.958931120908705</v>
      </c>
      <c r="DJ260" s="4">
        <f t="shared" si="1006"/>
        <v>6.9595952738984037</v>
      </c>
      <c r="DK260" s="4">
        <f t="shared" si="937"/>
        <v>7.4351706042633126</v>
      </c>
      <c r="DL260" s="38">
        <f t="shared" si="938"/>
        <v>582.42428254095648</v>
      </c>
      <c r="DM260" s="4" t="e">
        <f t="shared" si="1007"/>
        <v>#REF!</v>
      </c>
      <c r="DN260" s="4">
        <f t="shared" si="940"/>
        <v>2.2360679774997898</v>
      </c>
      <c r="DO260" s="4">
        <f t="shared" si="976"/>
        <v>320.69307138372176</v>
      </c>
      <c r="DS260" s="4">
        <f t="shared" si="941"/>
        <v>0.85</v>
      </c>
      <c r="DT260" s="4">
        <f t="shared" si="942"/>
        <v>0.82000000000000006</v>
      </c>
      <c r="DU260" s="4">
        <f t="shared" si="943"/>
        <v>0.99062499999999998</v>
      </c>
      <c r="DV260" s="4">
        <f t="shared" si="1008"/>
        <v>0.81231249999999999</v>
      </c>
      <c r="DX260" s="4">
        <f t="shared" si="945"/>
        <v>541.87339022424476</v>
      </c>
      <c r="DY260" s="25">
        <f t="shared" si="851"/>
        <v>317.21566763130841</v>
      </c>
      <c r="EA260" s="4">
        <f t="shared" si="852"/>
        <v>0.69046562499999997</v>
      </c>
      <c r="EB260" s="4">
        <f t="shared" si="946"/>
        <v>7.8332539258345992</v>
      </c>
      <c r="EE260" s="4">
        <f t="shared" si="947"/>
        <v>56.796126628494655</v>
      </c>
      <c r="EF260" s="4">
        <f t="shared" si="1009"/>
        <v>2.2360679774997898</v>
      </c>
      <c r="EG260" s="4">
        <f t="shared" si="949"/>
        <v>0.16352176138615632</v>
      </c>
      <c r="EJ260" s="4">
        <f t="shared" si="1020"/>
        <v>0.16352176138615632</v>
      </c>
      <c r="EK260" s="4">
        <f t="shared" si="950"/>
        <v>0.50389498851375736</v>
      </c>
      <c r="EL260" s="4">
        <f t="shared" si="1010"/>
        <v>5.9549513895244344</v>
      </c>
      <c r="EM260" s="4">
        <f t="shared" si="1011"/>
        <v>6.9578929171418729</v>
      </c>
      <c r="EN260" s="4" t="e">
        <f t="shared" si="1012"/>
        <v>#REF!</v>
      </c>
      <c r="EO260" s="4" t="e">
        <f t="shared" si="1013"/>
        <v>#REF!</v>
      </c>
      <c r="EP260" s="4" t="e">
        <f t="shared" si="951"/>
        <v>#REF!</v>
      </c>
      <c r="EQ260" s="4" t="e">
        <f t="shared" si="1014"/>
        <v>#REF!</v>
      </c>
      <c r="ER260" s="4" t="e">
        <f t="shared" si="952"/>
        <v>#REF!</v>
      </c>
      <c r="FA260" s="23" t="e">
        <f t="shared" si="980"/>
        <v>#REF!</v>
      </c>
      <c r="FB260" s="23" t="e">
        <f t="shared" si="980"/>
        <v>#REF!</v>
      </c>
      <c r="FC260" s="23">
        <f t="shared" si="981"/>
        <v>1.4</v>
      </c>
      <c r="FD260" s="23" t="e">
        <f t="shared" si="982"/>
        <v>#REF!</v>
      </c>
      <c r="FE260" s="23">
        <f t="shared" si="982"/>
        <v>1.2</v>
      </c>
      <c r="FF260" s="23">
        <f t="shared" si="982"/>
        <v>1.4</v>
      </c>
      <c r="FG260" s="23">
        <f t="shared" si="968"/>
        <v>0</v>
      </c>
      <c r="FH260" s="23"/>
      <c r="FR260" s="4">
        <f t="shared" si="842"/>
        <v>1</v>
      </c>
      <c r="FS260" s="4">
        <f t="shared" si="843"/>
        <v>0.44</v>
      </c>
      <c r="FT260" s="4">
        <f t="shared" si="844"/>
        <v>0.3</v>
      </c>
      <c r="FU260" s="4">
        <f t="shared" si="845"/>
        <v>527.35785282959739</v>
      </c>
    </row>
    <row r="261" spans="2:177" ht="12" customHeight="1" x14ac:dyDescent="0.3">
      <c r="B261" s="24"/>
      <c r="C261" s="7" t="s">
        <v>392</v>
      </c>
      <c r="D261" s="38">
        <f t="shared" si="1015"/>
        <v>827.58620689655174</v>
      </c>
      <c r="E261" s="38">
        <f>9.56*25.4</f>
        <v>242.82400000000001</v>
      </c>
      <c r="F261" s="38">
        <f>5910/145</f>
        <v>40.758620689655174</v>
      </c>
      <c r="G261" s="38">
        <f t="shared" si="1016"/>
        <v>25.4</v>
      </c>
      <c r="H261" s="38">
        <f>18.9*25.4</f>
        <v>480.05999999999995</v>
      </c>
      <c r="I261" s="38">
        <f>3.35*25.4</f>
        <v>85.09</v>
      </c>
      <c r="J261" s="39">
        <f>3.15*25.4</f>
        <v>80.009999999999991</v>
      </c>
      <c r="K261" s="7">
        <f t="shared" si="986"/>
        <v>259.07999999999993</v>
      </c>
      <c r="L261" s="38">
        <v>2</v>
      </c>
      <c r="M261" s="4">
        <f t="shared" si="1028"/>
        <v>260.34999999999997</v>
      </c>
      <c r="N261" s="7">
        <f t="shared" si="905"/>
        <v>3.8500000000000005</v>
      </c>
      <c r="O261" s="7">
        <f t="shared" si="906"/>
        <v>3.8500000000000005</v>
      </c>
      <c r="P261" s="38">
        <v>4</v>
      </c>
      <c r="Q261" s="4">
        <f t="shared" si="1017"/>
        <v>4</v>
      </c>
      <c r="R261" s="4">
        <f t="shared" si="907"/>
        <v>5</v>
      </c>
      <c r="S261" s="7">
        <f t="shared" si="908"/>
        <v>56.796126628494655</v>
      </c>
      <c r="V261" s="38">
        <f>100.6/0.145</f>
        <v>693.79310344827582</v>
      </c>
      <c r="X261" s="4">
        <f t="shared" si="910"/>
        <v>1.0114255979953197</v>
      </c>
      <c r="Y261" s="38">
        <f t="shared" ref="Y261" si="1041">0.375*25.4</f>
        <v>9.5249999999999986</v>
      </c>
      <c r="Z261" s="38">
        <v>10</v>
      </c>
      <c r="AA261" s="39">
        <f>3*25.4</f>
        <v>76.199999999999989</v>
      </c>
      <c r="AB261" s="39">
        <v>3</v>
      </c>
      <c r="AC261" s="39">
        <v>1</v>
      </c>
      <c r="AD261" s="7"/>
      <c r="AE261" s="4">
        <f t="shared" si="912"/>
        <v>242.82400000000001</v>
      </c>
      <c r="AF261" s="4">
        <f t="shared" si="913"/>
        <v>0.65899581589958145</v>
      </c>
      <c r="AG261" s="4">
        <f t="shared" si="914"/>
        <v>238.37452595758</v>
      </c>
      <c r="AH261" s="4">
        <f t="shared" si="915"/>
        <v>0.78054393305439329</v>
      </c>
      <c r="AI261" s="4">
        <v>1.25</v>
      </c>
      <c r="AJ261" s="4">
        <f t="shared" si="857"/>
        <v>2.5</v>
      </c>
      <c r="AK261" s="38">
        <f t="shared" si="988"/>
        <v>383.16856602860486</v>
      </c>
      <c r="AL261" s="38">
        <f t="shared" si="953"/>
        <v>383.16856602860486</v>
      </c>
      <c r="AM261" s="38">
        <f t="shared" si="916"/>
        <v>3.5530466297176955</v>
      </c>
      <c r="AN261" s="38">
        <f t="shared" si="858"/>
        <v>383.16856602860469</v>
      </c>
      <c r="AO261" s="38">
        <f t="shared" si="840"/>
        <v>1.0000000000000004</v>
      </c>
      <c r="AP261" s="38">
        <f t="shared" si="859"/>
        <v>1.6381374002736733</v>
      </c>
      <c r="AQ261" s="4">
        <f t="shared" si="860"/>
        <v>0</v>
      </c>
      <c r="AR261" s="4" t="e">
        <f>#REF!/G261*F261^0.5/0.19</f>
        <v>#REF!</v>
      </c>
      <c r="AS261" s="4">
        <f t="shared" si="917"/>
        <v>1</v>
      </c>
      <c r="AT261" s="38">
        <f t="shared" si="918"/>
        <v>627.68275862068981</v>
      </c>
      <c r="AU261" s="4">
        <f t="shared" si="919"/>
        <v>0.44000000000000006</v>
      </c>
      <c r="AV261" s="4" t="e">
        <f>AU261*D261*#REF!/(D261*G261/2.75/F261^0.5)</f>
        <v>#REF!</v>
      </c>
      <c r="AW261" s="4" t="e">
        <f t="shared" si="989"/>
        <v>#REF!</v>
      </c>
      <c r="AY261" s="4">
        <f t="shared" si="920"/>
        <v>1.5</v>
      </c>
      <c r="AZ261" s="4" t="e">
        <f>(3*#REF!+30)*AY261*F261^0.5</f>
        <v>#REF!</v>
      </c>
      <c r="BB261" s="4">
        <f t="shared" si="921"/>
        <v>602.02452611673345</v>
      </c>
      <c r="BC261" s="4">
        <f t="shared" si="922"/>
        <v>0</v>
      </c>
      <c r="BD261" s="4">
        <f t="shared" si="990"/>
        <v>0</v>
      </c>
      <c r="BL261" s="4">
        <f t="shared" si="923"/>
        <v>85.09</v>
      </c>
      <c r="BP261" s="9"/>
      <c r="BR261" s="9"/>
      <c r="BS261" s="9"/>
      <c r="BT261" s="9">
        <f t="shared" si="924"/>
        <v>80.009999999999991</v>
      </c>
      <c r="BU261" s="9">
        <f t="shared" si="925"/>
        <v>129.53999999999996</v>
      </c>
      <c r="BV261" s="9">
        <f t="shared" si="926"/>
        <v>1.9078499730405829</v>
      </c>
      <c r="BW261" s="40">
        <f t="shared" si="1018"/>
        <v>20</v>
      </c>
      <c r="BX261" s="9">
        <f t="shared" si="927"/>
        <v>0.05</v>
      </c>
      <c r="BY261" s="9">
        <f t="shared" si="991"/>
        <v>0.8</v>
      </c>
      <c r="BZ261" s="9">
        <f t="shared" si="928"/>
        <v>0.99524931562137331</v>
      </c>
      <c r="CA261" s="9">
        <f t="shared" si="929"/>
        <v>0.68</v>
      </c>
      <c r="CB261" s="9">
        <f t="shared" si="930"/>
        <v>1.5122325576992237</v>
      </c>
      <c r="CC261" s="9">
        <f t="shared" si="931"/>
        <v>3.7805813942480593</v>
      </c>
      <c r="CD261" s="40">
        <v>1</v>
      </c>
      <c r="CE261" s="9" t="e">
        <f>4*CC261*#REF!+60*CC261</f>
        <v>#REF!</v>
      </c>
      <c r="CG261" s="4" t="e">
        <f t="shared" si="992"/>
        <v>#REF!</v>
      </c>
      <c r="CH261" s="4" t="e">
        <f t="shared" si="993"/>
        <v>#REF!</v>
      </c>
      <c r="CI261" s="4" t="e">
        <f t="shared" si="994"/>
        <v>#REF!</v>
      </c>
      <c r="CJ261" s="4" t="e">
        <f t="shared" si="995"/>
        <v>#REF!</v>
      </c>
      <c r="CK261" s="4">
        <f t="shared" si="996"/>
        <v>1.0114255979953197</v>
      </c>
      <c r="CL261" s="4">
        <f t="shared" si="997"/>
        <v>1.0864732280294513</v>
      </c>
      <c r="CM261" s="4">
        <f t="shared" si="978"/>
        <v>1.2673808375373148</v>
      </c>
      <c r="CN261" s="4">
        <f t="shared" si="1019"/>
        <v>10</v>
      </c>
      <c r="CU261" s="4" t="e">
        <f t="shared" si="1035"/>
        <v>#REF!</v>
      </c>
      <c r="CV261" s="4" t="e">
        <f t="shared" si="1036"/>
        <v>#REF!</v>
      </c>
      <c r="CW261" s="4" t="e">
        <f t="shared" si="1037"/>
        <v>#REF!</v>
      </c>
      <c r="CX261" s="4">
        <f t="shared" si="1038"/>
        <v>1.2673808375373148</v>
      </c>
      <c r="CY261" s="4">
        <f t="shared" si="1039"/>
        <v>1.0114255979953197</v>
      </c>
      <c r="CZ261" s="4">
        <f t="shared" si="1040"/>
        <v>1.0864732280294513</v>
      </c>
      <c r="DC261" s="4" t="e">
        <f>#REF!</f>
        <v>#REF!</v>
      </c>
      <c r="DF261" s="4">
        <f t="shared" si="932"/>
        <v>1.8375559240592081E-5</v>
      </c>
      <c r="DG261" s="4">
        <f t="shared" si="1004"/>
        <v>9.0475183276018765</v>
      </c>
      <c r="DH261" s="4">
        <f t="shared" si="934"/>
        <v>0.5193928887020951</v>
      </c>
      <c r="DI261" s="4">
        <f t="shared" si="1005"/>
        <v>6.9619014486186845</v>
      </c>
      <c r="DJ261" s="4">
        <f t="shared" si="1006"/>
        <v>8.0724627777507614</v>
      </c>
      <c r="DK261" s="4">
        <f t="shared" si="937"/>
        <v>8.4939345141555673</v>
      </c>
      <c r="DL261" s="38">
        <f t="shared" si="938"/>
        <v>685.95564994933648</v>
      </c>
      <c r="DM261" s="4" t="e">
        <f t="shared" si="1007"/>
        <v>#REF!</v>
      </c>
      <c r="DN261" s="4">
        <f t="shared" si="940"/>
        <v>2.2360679774997898</v>
      </c>
      <c r="DO261" s="4">
        <f t="shared" si="976"/>
        <v>383.16856602860469</v>
      </c>
      <c r="DS261" s="4">
        <f t="shared" si="941"/>
        <v>0.85</v>
      </c>
      <c r="DT261" s="4">
        <f t="shared" si="942"/>
        <v>0.7649999999999999</v>
      </c>
      <c r="DU261" s="4">
        <f t="shared" si="943"/>
        <v>0.99062499999999998</v>
      </c>
      <c r="DV261" s="4">
        <f t="shared" si="1008"/>
        <v>0.75782812499999985</v>
      </c>
      <c r="DX261" s="4">
        <f t="shared" si="945"/>
        <v>638.57358428114799</v>
      </c>
      <c r="DY261" s="25">
        <f t="shared" si="851"/>
        <v>379.09075864552608</v>
      </c>
      <c r="EA261" s="4">
        <f t="shared" si="852"/>
        <v>0.64415390624999991</v>
      </c>
      <c r="EB261" s="4">
        <f t="shared" si="946"/>
        <v>9.0475183276018765</v>
      </c>
      <c r="EE261" s="4">
        <f t="shared" si="947"/>
        <v>56.796126628494655</v>
      </c>
      <c r="EF261" s="4">
        <f t="shared" si="1009"/>
        <v>2.2360679774997898</v>
      </c>
      <c r="EG261" s="4">
        <f t="shared" si="949"/>
        <v>0.18131803502377647</v>
      </c>
      <c r="EJ261" s="4">
        <f t="shared" si="1020"/>
        <v>0.18131803502377647</v>
      </c>
      <c r="EK261" s="4">
        <f t="shared" si="950"/>
        <v>0.51852611877252675</v>
      </c>
      <c r="EL261" s="4">
        <f t="shared" si="1010"/>
        <v>6.9572518735309554</v>
      </c>
      <c r="EM261" s="4">
        <f t="shared" si="1011"/>
        <v>8.0704593131350855</v>
      </c>
      <c r="EN261" s="4" t="e">
        <f t="shared" si="1012"/>
        <v>#REF!</v>
      </c>
      <c r="EO261" s="4" t="e">
        <f t="shared" si="1013"/>
        <v>#REF!</v>
      </c>
      <c r="EP261" s="4" t="e">
        <f t="shared" si="951"/>
        <v>#REF!</v>
      </c>
      <c r="EQ261" s="4" t="e">
        <f t="shared" si="1014"/>
        <v>#REF!</v>
      </c>
      <c r="ER261" s="4" t="e">
        <f t="shared" si="952"/>
        <v>#REF!</v>
      </c>
      <c r="FA261" s="23" t="e">
        <f t="shared" si="980"/>
        <v>#REF!</v>
      </c>
      <c r="FB261" s="23" t="e">
        <f t="shared" si="980"/>
        <v>#REF!</v>
      </c>
      <c r="FC261" s="23">
        <f t="shared" si="981"/>
        <v>1.4</v>
      </c>
      <c r="FD261" s="23" t="e">
        <f t="shared" si="982"/>
        <v>#REF!</v>
      </c>
      <c r="FE261" s="23">
        <f t="shared" si="982"/>
        <v>1.2</v>
      </c>
      <c r="FF261" s="23">
        <f t="shared" si="982"/>
        <v>1.2</v>
      </c>
      <c r="FG261" s="23">
        <f t="shared" si="968"/>
        <v>0</v>
      </c>
      <c r="FH261" s="23"/>
      <c r="FR261" s="4">
        <f t="shared" si="842"/>
        <v>1</v>
      </c>
      <c r="FS261" s="4">
        <f t="shared" si="843"/>
        <v>0.44</v>
      </c>
      <c r="FT261" s="4">
        <f t="shared" si="844"/>
        <v>0.3</v>
      </c>
      <c r="FU261" s="4">
        <f t="shared" si="845"/>
        <v>547.4227500523092</v>
      </c>
    </row>
    <row r="262" spans="2:177" ht="12" customHeight="1" x14ac:dyDescent="0.3">
      <c r="B262" s="24"/>
      <c r="C262" s="7" t="s">
        <v>393</v>
      </c>
      <c r="D262" s="38">
        <f t="shared" si="1015"/>
        <v>827.58620689655174</v>
      </c>
      <c r="E262" s="38">
        <f>9.19*25.4</f>
        <v>233.42599999999999</v>
      </c>
      <c r="F262" s="38">
        <f>5180/145</f>
        <v>35.724137931034484</v>
      </c>
      <c r="G262" s="38">
        <f t="shared" si="1016"/>
        <v>25.4</v>
      </c>
      <c r="H262" s="38">
        <f>16.5*25.4</f>
        <v>419.09999999999997</v>
      </c>
      <c r="I262" s="38">
        <f>2.5*25.4</f>
        <v>63.5</v>
      </c>
      <c r="J262" s="39">
        <f>3.45*25.4</f>
        <v>87.63</v>
      </c>
      <c r="K262" s="7">
        <f t="shared" si="986"/>
        <v>241.29999999999995</v>
      </c>
      <c r="L262" s="38">
        <v>2</v>
      </c>
      <c r="M262" s="4">
        <f t="shared" si="1028"/>
        <v>260.34999999999997</v>
      </c>
      <c r="N262" s="7">
        <f t="shared" si="905"/>
        <v>3</v>
      </c>
      <c r="O262" s="7">
        <f t="shared" si="906"/>
        <v>3</v>
      </c>
      <c r="P262" s="38">
        <v>4</v>
      </c>
      <c r="Q262" s="4">
        <f t="shared" si="1017"/>
        <v>4</v>
      </c>
      <c r="R262" s="4">
        <f t="shared" si="907"/>
        <v>5</v>
      </c>
      <c r="S262" s="7">
        <f t="shared" si="908"/>
        <v>56.796126628494655</v>
      </c>
      <c r="V262" s="38">
        <f>114.8/0.145</f>
        <v>791.72413793103453</v>
      </c>
      <c r="X262" s="4">
        <f t="shared" si="910"/>
        <v>1.4143463626576895</v>
      </c>
      <c r="Y262" s="38">
        <f>0.5*25.4</f>
        <v>12.7</v>
      </c>
      <c r="Z262" s="38">
        <v>8</v>
      </c>
      <c r="AA262" s="39">
        <f>4*25.4</f>
        <v>101.6</v>
      </c>
      <c r="AB262" s="39">
        <v>2</v>
      </c>
      <c r="AC262" s="39">
        <v>1</v>
      </c>
      <c r="AD262" s="7"/>
      <c r="AE262" s="4">
        <f t="shared" si="912"/>
        <v>233.42599999999999</v>
      </c>
      <c r="AF262" s="4">
        <f t="shared" si="913"/>
        <v>0.59847660500544075</v>
      </c>
      <c r="AG262" s="4">
        <f t="shared" si="914"/>
        <v>210.33784035951044</v>
      </c>
      <c r="AH262" s="4">
        <f t="shared" si="915"/>
        <v>0.76528835690968444</v>
      </c>
      <c r="AI262" s="4">
        <v>1.25</v>
      </c>
      <c r="AJ262" s="4">
        <f t="shared" si="857"/>
        <v>2.5</v>
      </c>
      <c r="AK262" s="38">
        <f t="shared" si="988"/>
        <v>301.05075195376668</v>
      </c>
      <c r="AL262" s="38">
        <f t="shared" si="953"/>
        <v>301.05075195376668</v>
      </c>
      <c r="AM262" s="38">
        <f t="shared" si="916"/>
        <v>3.2540864993004175</v>
      </c>
      <c r="AN262" s="38">
        <f t="shared" si="858"/>
        <v>301.05075195376651</v>
      </c>
      <c r="AO262" s="38">
        <f t="shared" si="840"/>
        <v>1.0000000000000007</v>
      </c>
      <c r="AP262" s="38">
        <f t="shared" si="859"/>
        <v>1.4239780249353082</v>
      </c>
      <c r="AQ262" s="4">
        <f t="shared" si="860"/>
        <v>0</v>
      </c>
      <c r="AR262" s="4" t="e">
        <f>#REF!/G262*F262^0.5/0.19</f>
        <v>#REF!</v>
      </c>
      <c r="AS262" s="4">
        <f t="shared" si="917"/>
        <v>1</v>
      </c>
      <c r="AT262" s="38">
        <f t="shared" si="918"/>
        <v>428.68965517241384</v>
      </c>
      <c r="AU262" s="4">
        <f t="shared" si="919"/>
        <v>0.44000000000000006</v>
      </c>
      <c r="AV262" s="4" t="e">
        <f>AU262*D262*#REF!/(D262*G262/2.75/F262^0.5)</f>
        <v>#REF!</v>
      </c>
      <c r="AW262" s="4" t="e">
        <f t="shared" si="989"/>
        <v>#REF!</v>
      </c>
      <c r="AY262" s="4">
        <f t="shared" si="920"/>
        <v>1.5</v>
      </c>
      <c r="AZ262" s="4" t="e">
        <f>(3*#REF!+30)*AY262*F262^0.5</f>
        <v>#REF!</v>
      </c>
      <c r="BB262" s="4">
        <f t="shared" si="921"/>
        <v>411.16580463902415</v>
      </c>
      <c r="BC262" s="4">
        <f t="shared" si="922"/>
        <v>0</v>
      </c>
      <c r="BD262" s="4">
        <f t="shared" si="990"/>
        <v>0</v>
      </c>
      <c r="BL262" s="4">
        <f t="shared" si="923"/>
        <v>63.5</v>
      </c>
      <c r="BP262" s="9"/>
      <c r="BR262" s="9"/>
      <c r="BS262" s="9"/>
      <c r="BT262" s="9">
        <f t="shared" si="924"/>
        <v>63.5</v>
      </c>
      <c r="BU262" s="9">
        <f t="shared" si="925"/>
        <v>120.64999999999998</v>
      </c>
      <c r="BV262" s="9">
        <f t="shared" si="926"/>
        <v>1.7409369561833321</v>
      </c>
      <c r="BW262" s="40">
        <f t="shared" si="1018"/>
        <v>20</v>
      </c>
      <c r="BX262" s="9">
        <f t="shared" si="927"/>
        <v>0.05</v>
      </c>
      <c r="BY262" s="9">
        <f t="shared" si="991"/>
        <v>0.8</v>
      </c>
      <c r="BZ262" s="9">
        <f t="shared" si="928"/>
        <v>0.99524931562137331</v>
      </c>
      <c r="CA262" s="9">
        <f t="shared" si="929"/>
        <v>0.68</v>
      </c>
      <c r="CB262" s="9">
        <f t="shared" si="930"/>
        <v>1.4157602788737922</v>
      </c>
      <c r="CC262" s="9">
        <f t="shared" si="931"/>
        <v>3.5394006971844805</v>
      </c>
      <c r="CD262" s="40">
        <v>1</v>
      </c>
      <c r="CE262" s="9" t="e">
        <f>4*CC262*#REF!+60*CC262</f>
        <v>#REF!</v>
      </c>
      <c r="CG262" s="4" t="e">
        <f t="shared" si="992"/>
        <v>#REF!</v>
      </c>
      <c r="CH262" s="4" t="e">
        <f t="shared" si="993"/>
        <v>#REF!</v>
      </c>
      <c r="CI262" s="4" t="e">
        <f t="shared" si="994"/>
        <v>#REF!</v>
      </c>
      <c r="CJ262" s="4" t="e">
        <f t="shared" si="995"/>
        <v>#REF!</v>
      </c>
      <c r="CK262" s="4">
        <f t="shared" si="996"/>
        <v>1.4143463626576895</v>
      </c>
      <c r="CL262" s="4">
        <f t="shared" si="997"/>
        <v>1.5147236131087898</v>
      </c>
      <c r="CM262" s="4">
        <f t="shared" si="978"/>
        <v>1.5549193028146699</v>
      </c>
      <c r="CN262" s="4">
        <f t="shared" si="1019"/>
        <v>8</v>
      </c>
      <c r="CU262" s="4" t="e">
        <f t="shared" si="1035"/>
        <v>#REF!</v>
      </c>
      <c r="CV262" s="4" t="e">
        <f t="shared" si="1036"/>
        <v>#REF!</v>
      </c>
      <c r="CW262" s="4" t="e">
        <f t="shared" si="1037"/>
        <v>#REF!</v>
      </c>
      <c r="CX262" s="4">
        <f t="shared" si="1038"/>
        <v>1.5549193028146699</v>
      </c>
      <c r="CY262" s="4">
        <f t="shared" si="1039"/>
        <v>1.4143463626576895</v>
      </c>
      <c r="CZ262" s="4">
        <f t="shared" si="1040"/>
        <v>1.5147236131087898</v>
      </c>
      <c r="DC262" s="4" t="e">
        <f>#REF!</f>
        <v>#REF!</v>
      </c>
      <c r="DF262" s="4">
        <f t="shared" si="932"/>
        <v>1.7078533262925979E-5</v>
      </c>
      <c r="DG262" s="4">
        <f t="shared" si="1004"/>
        <v>8.1641442880324373</v>
      </c>
      <c r="DH262" s="4">
        <f t="shared" si="934"/>
        <v>0.46558991318142223</v>
      </c>
      <c r="DI262" s="4">
        <f t="shared" si="1005"/>
        <v>6.0132892782925138</v>
      </c>
      <c r="DJ262" s="4">
        <f t="shared" si="1006"/>
        <v>7.1700120340069331</v>
      </c>
      <c r="DK262" s="4">
        <f t="shared" si="937"/>
        <v>7.769205682379722</v>
      </c>
      <c r="DL262" s="38">
        <f t="shared" si="938"/>
        <v>559.78094110081395</v>
      </c>
      <c r="DM262" s="4" t="e">
        <f t="shared" si="1007"/>
        <v>#REF!</v>
      </c>
      <c r="DN262" s="4">
        <f t="shared" si="940"/>
        <v>2.2360679774997898</v>
      </c>
      <c r="DO262" s="4">
        <f t="shared" si="976"/>
        <v>301.05075195376651</v>
      </c>
      <c r="DS262" s="4">
        <f t="shared" si="941"/>
        <v>0.85</v>
      </c>
      <c r="DT262" s="4">
        <f t="shared" si="942"/>
        <v>0.85</v>
      </c>
      <c r="DU262" s="4">
        <f t="shared" si="943"/>
        <v>0.92500000000000004</v>
      </c>
      <c r="DV262" s="4">
        <f t="shared" si="1008"/>
        <v>0.78625</v>
      </c>
      <c r="DX262" s="4">
        <f t="shared" si="945"/>
        <v>522.68554545480083</v>
      </c>
      <c r="DY262" s="25">
        <f t="shared" si="851"/>
        <v>297.60008743374652</v>
      </c>
      <c r="EA262" s="4">
        <f t="shared" si="852"/>
        <v>0.66831249999999998</v>
      </c>
      <c r="EB262" s="4">
        <f t="shared" si="946"/>
        <v>8.1641442880324373</v>
      </c>
      <c r="EE262" s="4">
        <f t="shared" si="947"/>
        <v>56.796126628494655</v>
      </c>
      <c r="EF262" s="4">
        <f t="shared" si="1009"/>
        <v>2.2360679774997898</v>
      </c>
      <c r="EG262" s="4">
        <f t="shared" si="949"/>
        <v>0.15216672970932105</v>
      </c>
      <c r="EJ262" s="4">
        <f t="shared" si="1020"/>
        <v>0.15216672970932105</v>
      </c>
      <c r="EK262" s="4">
        <f t="shared" si="950"/>
        <v>0.46481293039048616</v>
      </c>
      <c r="EL262" s="4">
        <f t="shared" si="1010"/>
        <v>6.0092732432724834</v>
      </c>
      <c r="EM262" s="4">
        <f t="shared" si="1011"/>
        <v>7.1683297930473469</v>
      </c>
      <c r="EN262" s="4" t="e">
        <f t="shared" si="1012"/>
        <v>#REF!</v>
      </c>
      <c r="EO262" s="4" t="e">
        <f t="shared" si="1013"/>
        <v>#REF!</v>
      </c>
      <c r="EP262" s="4" t="e">
        <f t="shared" si="951"/>
        <v>#REF!</v>
      </c>
      <c r="EQ262" s="4" t="e">
        <f t="shared" si="1014"/>
        <v>#REF!</v>
      </c>
      <c r="ER262" s="4" t="e">
        <f t="shared" si="952"/>
        <v>#REF!</v>
      </c>
      <c r="FA262" s="23" t="e">
        <f t="shared" si="980"/>
        <v>#REF!</v>
      </c>
      <c r="FB262" s="23" t="e">
        <f t="shared" si="980"/>
        <v>#REF!</v>
      </c>
      <c r="FC262" s="23">
        <f t="shared" si="981"/>
        <v>1.6</v>
      </c>
      <c r="FD262" s="23" t="e">
        <f t="shared" si="982"/>
        <v>#REF!</v>
      </c>
      <c r="FE262" s="23">
        <f t="shared" si="982"/>
        <v>1.6</v>
      </c>
      <c r="FF262" s="23">
        <f t="shared" si="982"/>
        <v>1.6</v>
      </c>
      <c r="FG262" s="23">
        <f t="shared" si="968"/>
        <v>0</v>
      </c>
      <c r="FH262" s="23"/>
      <c r="FR262" s="4">
        <f t="shared" si="842"/>
        <v>1</v>
      </c>
      <c r="FS262" s="4">
        <f t="shared" si="843"/>
        <v>0.44</v>
      </c>
      <c r="FT262" s="4">
        <f t="shared" si="844"/>
        <v>0.3</v>
      </c>
      <c r="FU262" s="4">
        <f t="shared" si="845"/>
        <v>509.17377930666783</v>
      </c>
    </row>
    <row r="263" spans="2:177" ht="12" customHeight="1" x14ac:dyDescent="0.3">
      <c r="B263" s="24"/>
      <c r="C263" s="7" t="s">
        <v>394</v>
      </c>
      <c r="D263" s="38">
        <f t="shared" si="1015"/>
        <v>827.58620689655174</v>
      </c>
      <c r="E263" s="38">
        <f>9.5*25.4</f>
        <v>241.29999999999998</v>
      </c>
      <c r="F263" s="38">
        <f>5910/145</f>
        <v>40.758620689655174</v>
      </c>
      <c r="G263" s="38">
        <f t="shared" si="1016"/>
        <v>25.4</v>
      </c>
      <c r="H263" s="38">
        <f>19*25.4</f>
        <v>482.59999999999997</v>
      </c>
      <c r="I263" s="38">
        <f>3.9*25.4</f>
        <v>99.059999999999988</v>
      </c>
      <c r="J263" s="39">
        <f>3.25*25.4</f>
        <v>82.55</v>
      </c>
      <c r="K263" s="7">
        <f t="shared" si="986"/>
        <v>233.67999999999998</v>
      </c>
      <c r="L263" s="38">
        <v>2</v>
      </c>
      <c r="M263" s="4">
        <f t="shared" si="1028"/>
        <v>260.34999999999997</v>
      </c>
      <c r="N263" s="7">
        <f t="shared" si="905"/>
        <v>4.4000000000000004</v>
      </c>
      <c r="O263" s="7">
        <f t="shared" si="906"/>
        <v>4.4000000000000004</v>
      </c>
      <c r="P263" s="38">
        <v>4</v>
      </c>
      <c r="Q263" s="4">
        <f t="shared" si="1017"/>
        <v>4</v>
      </c>
      <c r="R263" s="4">
        <f t="shared" si="907"/>
        <v>5</v>
      </c>
      <c r="S263" s="7">
        <f t="shared" si="908"/>
        <v>56.796126628494655</v>
      </c>
      <c r="V263" s="38">
        <f>122.4/0.145</f>
        <v>844.1379310344829</v>
      </c>
      <c r="X263" s="4">
        <f t="shared" si="910"/>
        <v>1.1787643163301271</v>
      </c>
      <c r="Y263" s="38">
        <f>0.5*25.4</f>
        <v>12.7</v>
      </c>
      <c r="Z263" s="38">
        <v>8</v>
      </c>
      <c r="AA263" s="39">
        <f>4*25.4</f>
        <v>101.6</v>
      </c>
      <c r="AB263" s="39">
        <v>2</v>
      </c>
      <c r="AC263" s="39">
        <v>1</v>
      </c>
      <c r="AD263" s="7"/>
      <c r="AE263" s="4">
        <f t="shared" si="912"/>
        <v>241.29999999999998</v>
      </c>
      <c r="AF263" s="4">
        <f t="shared" si="913"/>
        <v>0.66666666666666663</v>
      </c>
      <c r="AG263" s="4">
        <f t="shared" si="914"/>
        <v>236.13393909906492</v>
      </c>
      <c r="AH263" s="4">
        <f t="shared" si="915"/>
        <v>0.79263157894736835</v>
      </c>
      <c r="AI263" s="4">
        <v>1.25</v>
      </c>
      <c r="AJ263" s="4">
        <f t="shared" si="857"/>
        <v>2.5</v>
      </c>
      <c r="AK263" s="38">
        <f t="shared" si="988"/>
        <v>389.93170206490322</v>
      </c>
      <c r="AL263" s="38">
        <f t="shared" si="953"/>
        <v>389.93170206490322</v>
      </c>
      <c r="AM263" s="38">
        <f t="shared" si="916"/>
        <v>3.5530466297176955</v>
      </c>
      <c r="AN263" s="38">
        <f t="shared" si="858"/>
        <v>389.93170206490333</v>
      </c>
      <c r="AO263" s="38">
        <f t="shared" si="840"/>
        <v>0.99999999999999967</v>
      </c>
      <c r="AP263" s="38">
        <f t="shared" si="859"/>
        <v>1.8396855663162504</v>
      </c>
      <c r="AQ263" s="4">
        <f t="shared" si="860"/>
        <v>0</v>
      </c>
      <c r="AR263" s="4" t="e">
        <f>#REF!/G263*F263^0.5/0.19</f>
        <v>#REF!</v>
      </c>
      <c r="AS263" s="4">
        <f t="shared" si="917"/>
        <v>1</v>
      </c>
      <c r="AT263" s="38">
        <f t="shared" si="918"/>
        <v>717.35172413793111</v>
      </c>
      <c r="AU263" s="4">
        <f t="shared" si="919"/>
        <v>0.44000000000000006</v>
      </c>
      <c r="AV263" s="4" t="e">
        <f>AU263*D263*#REF!/(D263*G263/2.75/F263^0.5)</f>
        <v>#REF!</v>
      </c>
      <c r="AW263" s="4" t="e">
        <f t="shared" si="989"/>
        <v>#REF!</v>
      </c>
      <c r="AY263" s="4">
        <f t="shared" si="920"/>
        <v>1.5</v>
      </c>
      <c r="AZ263" s="4" t="e">
        <f>(3*#REF!+30)*AY263*F263^0.5</f>
        <v>#REF!</v>
      </c>
      <c r="BB263" s="4">
        <f t="shared" si="921"/>
        <v>688.02802984769528</v>
      </c>
      <c r="BC263" s="4">
        <f t="shared" si="922"/>
        <v>0</v>
      </c>
      <c r="BD263" s="4">
        <f t="shared" si="990"/>
        <v>0</v>
      </c>
      <c r="BL263" s="4">
        <f t="shared" si="923"/>
        <v>99.059999999999988</v>
      </c>
      <c r="BP263" s="9"/>
      <c r="BR263" s="9"/>
      <c r="BS263" s="9"/>
      <c r="BT263" s="9">
        <f t="shared" si="924"/>
        <v>82.55</v>
      </c>
      <c r="BU263" s="9">
        <f t="shared" si="925"/>
        <v>116.83999999999999</v>
      </c>
      <c r="BV263" s="9">
        <f t="shared" si="926"/>
        <v>1.8992093998678425</v>
      </c>
      <c r="BW263" s="40">
        <f t="shared" si="1018"/>
        <v>20</v>
      </c>
      <c r="BX263" s="9">
        <f t="shared" si="927"/>
        <v>0.05</v>
      </c>
      <c r="BY263" s="9">
        <f t="shared" si="991"/>
        <v>0.8</v>
      </c>
      <c r="BZ263" s="9">
        <f t="shared" si="928"/>
        <v>0.99524931562137331</v>
      </c>
      <c r="CA263" s="9">
        <f t="shared" si="929"/>
        <v>0.68</v>
      </c>
      <c r="CB263" s="9">
        <f t="shared" si="930"/>
        <v>1.5122325576992237</v>
      </c>
      <c r="CC263" s="9">
        <f t="shared" si="931"/>
        <v>3.7805813942480593</v>
      </c>
      <c r="CD263" s="40">
        <v>1</v>
      </c>
      <c r="CE263" s="9" t="e">
        <f>4*CC263*#REF!+60*CC263</f>
        <v>#REF!</v>
      </c>
      <c r="CG263" s="4" t="e">
        <f t="shared" si="992"/>
        <v>#REF!</v>
      </c>
      <c r="CH263" s="4" t="e">
        <f t="shared" si="993"/>
        <v>#REF!</v>
      </c>
      <c r="CI263" s="4" t="e">
        <f t="shared" si="994"/>
        <v>#REF!</v>
      </c>
      <c r="CJ263" s="4" t="e">
        <f t="shared" si="995"/>
        <v>#REF!</v>
      </c>
      <c r="CK263" s="4">
        <f t="shared" si="996"/>
        <v>1.1787643163301271</v>
      </c>
      <c r="CL263" s="4">
        <f t="shared" si="997"/>
        <v>1.2694084672363284</v>
      </c>
      <c r="CM263" s="4">
        <f t="shared" si="978"/>
        <v>1.5517610994655895</v>
      </c>
      <c r="CN263" s="4">
        <f t="shared" si="1019"/>
        <v>8</v>
      </c>
      <c r="CU263" s="4" t="e">
        <f t="shared" si="1035"/>
        <v>#REF!</v>
      </c>
      <c r="CV263" s="4" t="e">
        <f t="shared" si="1036"/>
        <v>#REF!</v>
      </c>
      <c r="CW263" s="4" t="e">
        <f t="shared" si="1037"/>
        <v>#REF!</v>
      </c>
      <c r="CX263" s="4">
        <f t="shared" si="1038"/>
        <v>1.5517610994655895</v>
      </c>
      <c r="CY263" s="4">
        <f t="shared" si="1039"/>
        <v>1.1787643163301271</v>
      </c>
      <c r="CZ263" s="4">
        <f t="shared" si="1040"/>
        <v>1.2694084672363284</v>
      </c>
      <c r="DC263" s="4" t="e">
        <f>#REF!</f>
        <v>#REF!</v>
      </c>
      <c r="DF263" s="4">
        <f t="shared" si="932"/>
        <v>1.8260231462931454E-5</v>
      </c>
      <c r="DG263" s="4">
        <f t="shared" si="1004"/>
        <v>9.7949483572995213</v>
      </c>
      <c r="DH263" s="4">
        <f t="shared" si="934"/>
        <v>0.5285604589936419</v>
      </c>
      <c r="DI263" s="4">
        <f t="shared" si="1005"/>
        <v>7.5899692945005892</v>
      </c>
      <c r="DJ263" s="4">
        <f t="shared" si="1006"/>
        <v>8.7622062704031336</v>
      </c>
      <c r="DK263" s="4">
        <f t="shared" si="937"/>
        <v>9.1527650475891438</v>
      </c>
      <c r="DL263" s="38">
        <f t="shared" si="938"/>
        <v>716.12104246806189</v>
      </c>
      <c r="DM263" s="4" t="e">
        <f t="shared" si="1007"/>
        <v>#REF!</v>
      </c>
      <c r="DN263" s="4">
        <f t="shared" si="940"/>
        <v>2.2360679774997898</v>
      </c>
      <c r="DO263" s="4">
        <f t="shared" si="976"/>
        <v>389.93170206490333</v>
      </c>
      <c r="DS263" s="4">
        <f t="shared" si="941"/>
        <v>0.85</v>
      </c>
      <c r="DT263" s="4">
        <f t="shared" si="942"/>
        <v>0.71</v>
      </c>
      <c r="DU263" s="4">
        <f t="shared" si="943"/>
        <v>0.92500000000000004</v>
      </c>
      <c r="DV263" s="4">
        <f t="shared" si="1008"/>
        <v>0.7</v>
      </c>
      <c r="DX263" s="4">
        <f t="shared" si="945"/>
        <v>664.98526898302782</v>
      </c>
      <c r="DY263" s="25">
        <f t="shared" si="851"/>
        <v>385.82924079999151</v>
      </c>
      <c r="EA263" s="4">
        <f t="shared" si="852"/>
        <v>0.59499999999999997</v>
      </c>
      <c r="EB263" s="4">
        <f t="shared" si="946"/>
        <v>9.7949483572995213</v>
      </c>
      <c r="EE263" s="4">
        <f t="shared" si="947"/>
        <v>56.796126628494655</v>
      </c>
      <c r="EF263" s="4">
        <f t="shared" si="1009"/>
        <v>2.2360679774997898</v>
      </c>
      <c r="EG263" s="4">
        <f t="shared" si="949"/>
        <v>0.18451839811569204</v>
      </c>
      <c r="EJ263" s="4">
        <f t="shared" si="1020"/>
        <v>0.18451839811569204</v>
      </c>
      <c r="EK263" s="4">
        <f t="shared" si="950"/>
        <v>0.52767839009785966</v>
      </c>
      <c r="EL263" s="4">
        <f t="shared" si="1010"/>
        <v>7.584900258058636</v>
      </c>
      <c r="EM263" s="4">
        <f t="shared" si="1011"/>
        <v>8.7600123648110575</v>
      </c>
      <c r="EN263" s="4" t="e">
        <f t="shared" si="1012"/>
        <v>#REF!</v>
      </c>
      <c r="EO263" s="4" t="e">
        <f t="shared" si="1013"/>
        <v>#REF!</v>
      </c>
      <c r="EP263" s="4" t="e">
        <f t="shared" si="951"/>
        <v>#REF!</v>
      </c>
      <c r="EQ263" s="4" t="e">
        <f t="shared" si="1014"/>
        <v>#REF!</v>
      </c>
      <c r="ER263" s="4" t="e">
        <f t="shared" si="952"/>
        <v>#REF!</v>
      </c>
      <c r="FA263" s="23" t="e">
        <f t="shared" ref="FA263:FA326" si="1042">IF(CG263&lt;0.6,0.6,IF(CG263&lt;0.8,0.8,IF(CG263&lt;1,1,IF(CG263&lt;1.2,1.2,IF(CG263&lt;1.4,1.4,IF(CG263&lt;1.6,1.6,IF(CG263&lt;1.8,1.8,IF(CG263&lt;2,2,2.2))))))))</f>
        <v>#REF!</v>
      </c>
      <c r="FB263" s="23" t="e">
        <f t="shared" ref="FB263:FB326" si="1043">IF(CH263&lt;0.6,0.6,IF(CH263&lt;0.8,0.8,IF(CH263&lt;1,1,IF(CH263&lt;1.2,1.2,IF(CH263&lt;1.4,1.4,IF(CH263&lt;1.6,1.6,IF(CH263&lt;1.8,1.8,IF(CH263&lt;2,2,2.2))))))))</f>
        <v>#REF!</v>
      </c>
      <c r="FC263" s="23">
        <f t="shared" si="981"/>
        <v>1.6</v>
      </c>
      <c r="FD263" s="23" t="e">
        <f t="shared" ref="FD263:FD326" si="1044">IF(CJ263&lt;0.6,0.6,IF(CJ263&lt;0.8,0.8,IF(CJ263&lt;1,1,IF(CJ263&lt;1.2,1.2,IF(CJ263&lt;1.4,1.4,IF(CJ263&lt;1.6,1.6,IF(CJ263&lt;1.8,1.8,IF(CJ263&lt;2,2,2.2))))))))</f>
        <v>#REF!</v>
      </c>
      <c r="FE263" s="23">
        <f t="shared" ref="FE263:FE326" si="1045">IF(CK263&lt;0.6,0.6,IF(CK263&lt;0.8,0.8,IF(CK263&lt;1,1,IF(CK263&lt;1.2,1.2,IF(CK263&lt;1.4,1.4,IF(CK263&lt;1.6,1.6,IF(CK263&lt;1.8,1.8,IF(CK263&lt;2,2,2.2))))))))</f>
        <v>1.2</v>
      </c>
      <c r="FF263" s="23">
        <f t="shared" ref="FF263:FF326" si="1046">IF(CL263&lt;0.6,0.6,IF(CL263&lt;0.8,0.8,IF(CL263&lt;1,1,IF(CL263&lt;1.2,1.2,IF(CL263&lt;1.4,1.4,IF(CL263&lt;1.6,1.6,IF(CL263&lt;1.8,1.8,IF(CL263&lt;2,2,2.2))))))))</f>
        <v>1.4</v>
      </c>
      <c r="FG263" s="23">
        <f t="shared" si="968"/>
        <v>0</v>
      </c>
      <c r="FH263" s="23"/>
      <c r="FR263" s="4">
        <f t="shared" si="842"/>
        <v>1</v>
      </c>
      <c r="FS263" s="4">
        <f t="shared" si="843"/>
        <v>0.44</v>
      </c>
      <c r="FT263" s="4">
        <f t="shared" si="844"/>
        <v>0.3</v>
      </c>
      <c r="FU263" s="4">
        <f t="shared" si="845"/>
        <v>543.98704241599773</v>
      </c>
    </row>
    <row r="264" spans="2:177" ht="12" customHeight="1" x14ac:dyDescent="0.3">
      <c r="B264" s="24" t="s">
        <v>405</v>
      </c>
      <c r="C264" s="7" t="s">
        <v>395</v>
      </c>
      <c r="D264" s="38">
        <f t="shared" si="1015"/>
        <v>827.58620689655174</v>
      </c>
      <c r="E264" s="38">
        <f>12.59*25.4</f>
        <v>319.786</v>
      </c>
      <c r="F264" s="38">
        <f>6210/145</f>
        <v>42.827586206896555</v>
      </c>
      <c r="G264" s="38">
        <f t="shared" si="1016"/>
        <v>25.4</v>
      </c>
      <c r="H264" s="38">
        <f>16.6*25.4</f>
        <v>421.64</v>
      </c>
      <c r="I264" s="38">
        <f>2.45*25.4</f>
        <v>62.230000000000004</v>
      </c>
      <c r="J264" s="39">
        <f>3.1*25.4</f>
        <v>78.739999999999995</v>
      </c>
      <c r="K264" s="7">
        <f t="shared" si="986"/>
        <v>246.37999999999997</v>
      </c>
      <c r="L264" s="38">
        <v>2</v>
      </c>
      <c r="M264" s="4">
        <f t="shared" si="1028"/>
        <v>260.34999999999997</v>
      </c>
      <c r="N264" s="7">
        <f t="shared" si="905"/>
        <v>2.95</v>
      </c>
      <c r="O264" s="7">
        <f t="shared" si="906"/>
        <v>2.95</v>
      </c>
      <c r="P264" s="38">
        <v>4</v>
      </c>
      <c r="Q264" s="4">
        <f t="shared" si="1017"/>
        <v>4</v>
      </c>
      <c r="R264" s="4">
        <f t="shared" si="907"/>
        <v>5</v>
      </c>
      <c r="S264" s="7">
        <f t="shared" si="908"/>
        <v>56.796126628494655</v>
      </c>
      <c r="V264" s="38">
        <f>W264/0.145</f>
        <v>726.89655172413802</v>
      </c>
      <c r="W264" s="4">
        <v>105.4</v>
      </c>
      <c r="X264" s="4">
        <f t="shared" si="910"/>
        <v>0.98628051473021827</v>
      </c>
      <c r="Y264" s="38"/>
      <c r="Z264" s="38"/>
      <c r="AA264" s="39">
        <v>1</v>
      </c>
      <c r="AB264" s="39"/>
      <c r="AC264" s="39"/>
      <c r="AD264" s="7"/>
      <c r="AE264" s="4">
        <f t="shared" si="912"/>
        <v>319.786</v>
      </c>
      <c r="AF264" s="4">
        <f t="shared" si="913"/>
        <v>0.43950225046333069</v>
      </c>
      <c r="AG264" s="4">
        <f t="shared" si="914"/>
        <v>369.2866933162444</v>
      </c>
      <c r="AH264" s="4">
        <f t="shared" si="915"/>
        <v>0.74686258935663219</v>
      </c>
      <c r="AI264" s="4">
        <v>1.25</v>
      </c>
      <c r="AJ264" s="4">
        <f t="shared" si="857"/>
        <v>2.5</v>
      </c>
      <c r="AK264" s="38">
        <f t="shared" si="988"/>
        <v>378.80481411776645</v>
      </c>
      <c r="AL264" s="38">
        <f t="shared" si="953"/>
        <v>378.80481411776645</v>
      </c>
      <c r="AM264" s="38">
        <f t="shared" si="916"/>
        <v>3.6722901407859458</v>
      </c>
      <c r="AN264" s="38">
        <f t="shared" si="858"/>
        <v>378.80481411776617</v>
      </c>
      <c r="AO264" s="38">
        <f t="shared" si="840"/>
        <v>1.0000000000000007</v>
      </c>
      <c r="AP264" s="38">
        <f t="shared" si="859"/>
        <v>1.3341053186411378</v>
      </c>
      <c r="AQ264" s="4">
        <f t="shared" si="860"/>
        <v>0</v>
      </c>
      <c r="AR264" s="4" t="e">
        <f>#REF!/G264*F264^0.5/0.19</f>
        <v>#REF!</v>
      </c>
      <c r="AS264" s="4">
        <f t="shared" si="917"/>
        <v>1</v>
      </c>
      <c r="AT264" s="38">
        <f t="shared" si="918"/>
        <v>505.36551724137939</v>
      </c>
      <c r="AU264" s="4">
        <f t="shared" si="919"/>
        <v>0.44000000000000006</v>
      </c>
      <c r="AV264" s="4" t="e">
        <f>AU264*D264*#REF!/(D264*G264/2.75/F264^0.5)</f>
        <v>#REF!</v>
      </c>
      <c r="AW264" s="4" t="e">
        <f t="shared" si="989"/>
        <v>#REF!</v>
      </c>
      <c r="AY264" s="4">
        <f t="shared" si="920"/>
        <v>1.3625</v>
      </c>
      <c r="AZ264" s="4" t="e">
        <f>(3*#REF!+30)*AY264*F264^0.5</f>
        <v>#REF!</v>
      </c>
      <c r="BB264" s="4">
        <f t="shared" si="921"/>
        <v>484.70733321007748</v>
      </c>
      <c r="BC264" s="4">
        <f t="shared" ref="BC264:BC272" si="1047">8/3*W264*U264^2/(S264-G264-22)/G264*(S264^2-G264^2)/(S264^2-(G264+22)^2)</f>
        <v>0</v>
      </c>
      <c r="BD264" s="4">
        <f t="shared" si="990"/>
        <v>0</v>
      </c>
      <c r="BL264" s="4">
        <f t="shared" si="923"/>
        <v>62.230000000000004</v>
      </c>
      <c r="BP264" s="9"/>
      <c r="BR264" s="9"/>
      <c r="BS264" s="9"/>
      <c r="BT264" s="9">
        <f t="shared" si="924"/>
        <v>62.230000000000004</v>
      </c>
      <c r="BU264" s="9">
        <f t="shared" si="925"/>
        <v>123.18999999999998</v>
      </c>
      <c r="BV264" s="9">
        <f t="shared" si="926"/>
        <v>1.7340810420811554</v>
      </c>
      <c r="BW264" s="40">
        <f t="shared" si="1018"/>
        <v>0</v>
      </c>
      <c r="BX264" s="9">
        <f t="shared" si="927"/>
        <v>0</v>
      </c>
      <c r="BY264" s="9">
        <f t="shared" si="991"/>
        <v>0</v>
      </c>
      <c r="BZ264" s="9">
        <f t="shared" si="928"/>
        <v>0.99524931562137331</v>
      </c>
      <c r="CA264" s="9">
        <f t="shared" si="929"/>
        <v>0.68</v>
      </c>
      <c r="CB264" s="9">
        <f t="shared" si="930"/>
        <v>1.5501390028928617</v>
      </c>
      <c r="CC264" s="9">
        <f t="shared" si="931"/>
        <v>2.6880666575070968</v>
      </c>
      <c r="CD264" s="40">
        <v>1</v>
      </c>
      <c r="CE264" s="9" t="e">
        <f>4*CC264*#REF!+60*CC264</f>
        <v>#REF!</v>
      </c>
      <c r="CG264" s="4" t="e">
        <f t="shared" si="992"/>
        <v>#REF!</v>
      </c>
      <c r="CH264" s="4" t="e">
        <f t="shared" si="993"/>
        <v>#REF!</v>
      </c>
      <c r="CI264" s="4" t="e">
        <f t="shared" si="994"/>
        <v>#REF!</v>
      </c>
      <c r="CJ264" s="4" t="e">
        <f t="shared" si="995"/>
        <v>#REF!</v>
      </c>
      <c r="CK264" s="4">
        <f t="shared" si="996"/>
        <v>0.98628051473021827</v>
      </c>
      <c r="CL264" s="4">
        <f t="shared" si="997"/>
        <v>1.0591467407093387</v>
      </c>
      <c r="CM264" s="4">
        <f t="shared" si="978"/>
        <v>1.4145986516145845</v>
      </c>
      <c r="CN264" s="4">
        <f t="shared" si="1019"/>
        <v>0</v>
      </c>
      <c r="CO264" s="4" t="e">
        <f t="shared" ref="CO264:CO265" si="1048">CG264</f>
        <v>#REF!</v>
      </c>
      <c r="CP264" s="4" t="e">
        <f t="shared" ref="CP264:CP265" si="1049">CH264</f>
        <v>#REF!</v>
      </c>
      <c r="CQ264" s="4" t="e">
        <f t="shared" ref="CQ264:CQ265" si="1050">CJ264</f>
        <v>#REF!</v>
      </c>
      <c r="CR264" s="4">
        <f t="shared" ref="CR264:CR265" si="1051">CM264</f>
        <v>1.4145986516145845</v>
      </c>
      <c r="CS264" s="4">
        <f t="shared" ref="CS264:CS265" si="1052">CK264</f>
        <v>0.98628051473021827</v>
      </c>
      <c r="CT264" s="4">
        <f t="shared" ref="CT264:CT265" si="1053">CL264</f>
        <v>1.0591467407093387</v>
      </c>
      <c r="DC264" s="4" t="e">
        <f>#REF!</f>
        <v>#REF!</v>
      </c>
      <c r="DF264" s="4">
        <f t="shared" si="932"/>
        <v>2.4530239757040505E-5</v>
      </c>
      <c r="DG264" s="4">
        <f t="shared" si="1004"/>
        <v>8.2202710041526839</v>
      </c>
      <c r="DH264" s="4">
        <f t="shared" si="934"/>
        <v>0.48867204545931681</v>
      </c>
      <c r="DI264" s="4">
        <f t="shared" si="1005"/>
        <v>6.1729553243941799</v>
      </c>
      <c r="DJ264" s="4">
        <f t="shared" si="1006"/>
        <v>7.2691959003750313</v>
      </c>
      <c r="DK264" s="4">
        <f t="shared" si="937"/>
        <v>7.4226093372503703</v>
      </c>
      <c r="DL264" s="38">
        <f t="shared" si="938"/>
        <v>737.00792104056654</v>
      </c>
      <c r="DM264" s="4" t="e">
        <f t="shared" si="1007"/>
        <v>#REF!</v>
      </c>
      <c r="DN264" s="4">
        <f t="shared" si="940"/>
        <v>2.2360679774997898</v>
      </c>
      <c r="DO264" s="4">
        <f t="shared" si="976"/>
        <v>378.80481411776617</v>
      </c>
      <c r="DS264" s="4">
        <f t="shared" si="941"/>
        <v>0.85</v>
      </c>
      <c r="DT264" s="4">
        <f t="shared" si="942"/>
        <v>0.85499999999999998</v>
      </c>
      <c r="DU264" s="4">
        <f t="shared" si="943"/>
        <v>1</v>
      </c>
      <c r="DV264" s="4">
        <f t="shared" si="1008"/>
        <v>0.85499999999999998</v>
      </c>
      <c r="DX264" s="4">
        <f t="shared" si="945"/>
        <v>686.30391218247632</v>
      </c>
      <c r="DY264" s="25">
        <f t="shared" si="851"/>
        <v>375.82427635562937</v>
      </c>
      <c r="EA264" s="4">
        <f t="shared" si="852"/>
        <v>0.72675000000000001</v>
      </c>
      <c r="EB264" s="4">
        <f t="shared" si="946"/>
        <v>8.2202710041526839</v>
      </c>
      <c r="EE264" s="4">
        <f t="shared" si="947"/>
        <v>56.796126628494655</v>
      </c>
      <c r="EF264" s="4">
        <f t="shared" si="1009"/>
        <v>2.2360679774997898</v>
      </c>
      <c r="EG264" s="4">
        <f t="shared" si="949"/>
        <v>0.17486969809104916</v>
      </c>
      <c r="EJ264" s="4">
        <f t="shared" si="1020"/>
        <v>0.17486969809104916</v>
      </c>
      <c r="EK264" s="4">
        <f t="shared" si="950"/>
        <v>0.48785654289153363</v>
      </c>
      <c r="EL264" s="4">
        <f t="shared" si="1010"/>
        <v>6.1688326548180887</v>
      </c>
      <c r="EM264" s="4">
        <f t="shared" si="1011"/>
        <v>7.2674470393181627</v>
      </c>
      <c r="EN264" s="4" t="e">
        <f t="shared" si="1012"/>
        <v>#REF!</v>
      </c>
      <c r="EO264" s="4" t="e">
        <f t="shared" si="1013"/>
        <v>#REF!</v>
      </c>
      <c r="EP264" s="4" t="e">
        <f t="shared" si="951"/>
        <v>#REF!</v>
      </c>
      <c r="EQ264" s="4" t="e">
        <f t="shared" si="1014"/>
        <v>#REF!</v>
      </c>
      <c r="ER264" s="4" t="e">
        <f t="shared" si="952"/>
        <v>#REF!</v>
      </c>
      <c r="FA264" s="23" t="e">
        <f t="shared" si="1042"/>
        <v>#REF!</v>
      </c>
      <c r="FB264" s="23" t="e">
        <f t="shared" si="1043"/>
        <v>#REF!</v>
      </c>
      <c r="FC264" s="23">
        <f t="shared" si="981"/>
        <v>1.6</v>
      </c>
      <c r="FD264" s="23" t="e">
        <f t="shared" si="1044"/>
        <v>#REF!</v>
      </c>
      <c r="FE264" s="23">
        <f t="shared" si="1045"/>
        <v>1</v>
      </c>
      <c r="FF264" s="23">
        <f t="shared" si="1046"/>
        <v>1.2</v>
      </c>
      <c r="FG264" s="23">
        <f t="shared" si="968"/>
        <v>0</v>
      </c>
      <c r="FH264" s="23"/>
      <c r="FR264" s="4">
        <f t="shared" si="842"/>
        <v>1.25</v>
      </c>
      <c r="FS264" s="4">
        <f t="shared" si="843"/>
        <v>0.5</v>
      </c>
      <c r="FT264" s="4">
        <f t="shared" si="844"/>
        <v>0</v>
      </c>
      <c r="FU264" s="4">
        <f t="shared" si="845"/>
        <v>513.85355902501249</v>
      </c>
    </row>
    <row r="265" spans="2:177" ht="12" customHeight="1" x14ac:dyDescent="0.3">
      <c r="B265" s="24"/>
      <c r="C265" s="7" t="s">
        <v>396</v>
      </c>
      <c r="D265" s="38">
        <f t="shared" si="1015"/>
        <v>827.58620689655174</v>
      </c>
      <c r="E265" s="38">
        <f>12.66*25.4</f>
        <v>321.56399999999996</v>
      </c>
      <c r="F265" s="38">
        <f>6440/145</f>
        <v>44.413793103448278</v>
      </c>
      <c r="G265" s="38">
        <f t="shared" si="1016"/>
        <v>25.4</v>
      </c>
      <c r="H265" s="38">
        <f>18.5*25.4</f>
        <v>469.9</v>
      </c>
      <c r="I265" s="38">
        <f>3.55*25.4</f>
        <v>90.169999999999987</v>
      </c>
      <c r="J265" s="39">
        <f>3.05*25.4</f>
        <v>77.469999999999985</v>
      </c>
      <c r="K265" s="7">
        <f t="shared" si="986"/>
        <v>238.76</v>
      </c>
      <c r="L265" s="38">
        <v>2</v>
      </c>
      <c r="M265" s="4">
        <f t="shared" si="1028"/>
        <v>260.34999999999997</v>
      </c>
      <c r="N265" s="7">
        <f t="shared" si="905"/>
        <v>4.05</v>
      </c>
      <c r="O265" s="7">
        <f t="shared" si="906"/>
        <v>4.05</v>
      </c>
      <c r="P265" s="38">
        <v>4</v>
      </c>
      <c r="Q265" s="4">
        <f t="shared" si="1017"/>
        <v>4</v>
      </c>
      <c r="R265" s="4">
        <f t="shared" si="907"/>
        <v>5</v>
      </c>
      <c r="S265" s="7">
        <f t="shared" si="908"/>
        <v>56.796126628494655</v>
      </c>
      <c r="V265" s="38">
        <f t="shared" ref="V265:V328" si="1054">W265/0.145</f>
        <v>802.06896551724139</v>
      </c>
      <c r="W265" s="4">
        <v>116.3</v>
      </c>
      <c r="X265" s="4">
        <f t="shared" si="910"/>
        <v>0.96916666666666662</v>
      </c>
      <c r="Y265" s="38"/>
      <c r="Z265" s="38"/>
      <c r="AA265" s="39">
        <v>1</v>
      </c>
      <c r="AB265" s="39"/>
      <c r="AC265" s="39"/>
      <c r="AD265" s="7"/>
      <c r="AE265" s="4">
        <f t="shared" si="912"/>
        <v>321.56399999999996</v>
      </c>
      <c r="AF265" s="4">
        <f t="shared" si="913"/>
        <v>0.48709847288046343</v>
      </c>
      <c r="AG265" s="4">
        <f t="shared" si="914"/>
        <v>379.20386548000778</v>
      </c>
      <c r="AH265" s="4">
        <f t="shared" si="915"/>
        <v>0.76398104265402833</v>
      </c>
      <c r="AI265" s="4">
        <v>1.25</v>
      </c>
      <c r="AJ265" s="4">
        <f t="shared" si="857"/>
        <v>2.5</v>
      </c>
      <c r="AK265" s="38">
        <f t="shared" si="988"/>
        <v>440.98328427505464</v>
      </c>
      <c r="AL265" s="38">
        <f t="shared" si="953"/>
        <v>440.98328427505464</v>
      </c>
      <c r="AM265" s="38">
        <f t="shared" si="916"/>
        <v>3.7624132755662103</v>
      </c>
      <c r="AN265" s="38">
        <f t="shared" si="858"/>
        <v>440.98328427505481</v>
      </c>
      <c r="AO265" s="38">
        <f t="shared" si="840"/>
        <v>0.99999999999999967</v>
      </c>
      <c r="AP265" s="38">
        <f t="shared" si="859"/>
        <v>1.6315889375686305</v>
      </c>
      <c r="AQ265" s="4">
        <f t="shared" si="860"/>
        <v>0</v>
      </c>
      <c r="AR265" s="4" t="e">
        <f>#REF!/G265*F265^0.5/0.19</f>
        <v>#REF!</v>
      </c>
      <c r="AS265" s="4">
        <f t="shared" si="917"/>
        <v>1</v>
      </c>
      <c r="AT265" s="38">
        <f t="shared" si="918"/>
        <v>719.50344827586207</v>
      </c>
      <c r="AU265" s="4">
        <f t="shared" si="919"/>
        <v>0.44000000000000006</v>
      </c>
      <c r="AV265" s="4" t="e">
        <f>AU265*D265*#REF!/(D265*G265/2.75/F265^0.5)</f>
        <v>#REF!</v>
      </c>
      <c r="AW265" s="4" t="e">
        <f t="shared" si="989"/>
        <v>#REF!</v>
      </c>
      <c r="AY265" s="4">
        <f t="shared" si="920"/>
        <v>1.5</v>
      </c>
      <c r="AZ265" s="4" t="e">
        <f>(3*#REF!+30)*AY265*F265^0.5</f>
        <v>#REF!</v>
      </c>
      <c r="BB265" s="4">
        <f t="shared" si="921"/>
        <v>690.09179643468656</v>
      </c>
      <c r="BC265" s="4">
        <f t="shared" si="1047"/>
        <v>0</v>
      </c>
      <c r="BD265" s="4">
        <f t="shared" si="990"/>
        <v>0</v>
      </c>
      <c r="BL265" s="4">
        <f t="shared" si="923"/>
        <v>90.169999999999987</v>
      </c>
      <c r="BP265" s="9"/>
      <c r="BR265" s="9"/>
      <c r="BS265" s="9"/>
      <c r="BT265" s="9">
        <f t="shared" si="924"/>
        <v>77.469999999999985</v>
      </c>
      <c r="BU265" s="9">
        <f t="shared" si="925"/>
        <v>119.38</v>
      </c>
      <c r="BV265" s="9">
        <f t="shared" si="926"/>
        <v>1.8634580588395866</v>
      </c>
      <c r="BW265" s="40">
        <f t="shared" si="1018"/>
        <v>0</v>
      </c>
      <c r="BX265" s="9">
        <f t="shared" si="927"/>
        <v>0</v>
      </c>
      <c r="BY265" s="9">
        <f t="shared" si="991"/>
        <v>0</v>
      </c>
      <c r="BZ265" s="9">
        <f t="shared" si="928"/>
        <v>0.99524931562137331</v>
      </c>
      <c r="CA265" s="9">
        <f t="shared" si="929"/>
        <v>0.68</v>
      </c>
      <c r="CB265" s="9">
        <f t="shared" si="930"/>
        <v>1.5785842929910907</v>
      </c>
      <c r="CC265" s="9">
        <f t="shared" si="931"/>
        <v>2.9416256223318391</v>
      </c>
      <c r="CD265" s="40">
        <v>1</v>
      </c>
      <c r="CE265" s="9" t="e">
        <f>4*CC265*#REF!+60*CC265</f>
        <v>#REF!</v>
      </c>
      <c r="CG265" s="4" t="e">
        <f t="shared" si="992"/>
        <v>#REF!</v>
      </c>
      <c r="CH265" s="4" t="e">
        <f t="shared" si="993"/>
        <v>#REF!</v>
      </c>
      <c r="CI265" s="4" t="e">
        <f t="shared" si="994"/>
        <v>#REF!</v>
      </c>
      <c r="CJ265" s="4" t="e">
        <f t="shared" si="995"/>
        <v>#REF!</v>
      </c>
      <c r="CK265" s="4">
        <f t="shared" si="996"/>
        <v>0.96916666666666662</v>
      </c>
      <c r="CL265" s="4">
        <f t="shared" si="997"/>
        <v>0.99943469121787187</v>
      </c>
      <c r="CM265" s="4">
        <f t="shared" si="978"/>
        <v>1.2305684841268119</v>
      </c>
      <c r="CN265" s="4">
        <f t="shared" si="1019"/>
        <v>0</v>
      </c>
      <c r="CO265" s="4" t="e">
        <f t="shared" si="1048"/>
        <v>#REF!</v>
      </c>
      <c r="CP265" s="4" t="e">
        <f t="shared" si="1049"/>
        <v>#REF!</v>
      </c>
      <c r="CQ265" s="4" t="e">
        <f t="shared" si="1050"/>
        <v>#REF!</v>
      </c>
      <c r="CR265" s="4">
        <f t="shared" si="1051"/>
        <v>1.2305684841268119</v>
      </c>
      <c r="CS265" s="4">
        <f t="shared" si="1052"/>
        <v>0.96916666666666662</v>
      </c>
      <c r="CT265" s="4">
        <f t="shared" si="1053"/>
        <v>0.99943469121787187</v>
      </c>
      <c r="DC265" s="4" t="e">
        <f>#REF!</f>
        <v>#REF!</v>
      </c>
      <c r="DF265" s="4">
        <f t="shared" si="932"/>
        <v>2.4922140426979919E-5</v>
      </c>
      <c r="DG265" s="4">
        <f t="shared" si="1004"/>
        <v>9.607117692376189</v>
      </c>
      <c r="DH265" s="4">
        <f t="shared" si="934"/>
        <v>0.54856723782787586</v>
      </c>
      <c r="DI265" s="4">
        <f t="shared" si="1005"/>
        <v>7.5558800997634963</v>
      </c>
      <c r="DJ265" s="4">
        <f t="shared" si="1006"/>
        <v>8.6426561865068745</v>
      </c>
      <c r="DK265" s="4">
        <f t="shared" si="937"/>
        <v>8.4754165416165588</v>
      </c>
      <c r="DL265" s="38">
        <f t="shared" si="938"/>
        <v>827.58620689655174</v>
      </c>
      <c r="DM265" s="4" t="e">
        <f t="shared" si="1007"/>
        <v>#REF!</v>
      </c>
      <c r="DN265" s="4">
        <f t="shared" si="940"/>
        <v>2.2360679774997898</v>
      </c>
      <c r="DO265" s="4">
        <f t="shared" si="976"/>
        <v>440.98328427505481</v>
      </c>
      <c r="DS265" s="4">
        <f t="shared" si="941"/>
        <v>0.85</v>
      </c>
      <c r="DT265" s="4">
        <f t="shared" si="942"/>
        <v>0.74500000000000011</v>
      </c>
      <c r="DU265" s="4">
        <f t="shared" si="943"/>
        <v>1</v>
      </c>
      <c r="DV265" s="4">
        <f t="shared" si="1008"/>
        <v>0.74500000000000011</v>
      </c>
      <c r="DX265" s="4">
        <f t="shared" si="945"/>
        <v>802.5226386127058</v>
      </c>
      <c r="DY265" s="25">
        <f t="shared" si="851"/>
        <v>437.64430865625809</v>
      </c>
      <c r="EA265" s="4">
        <f t="shared" si="852"/>
        <v>0.63325000000000009</v>
      </c>
      <c r="EB265" s="4">
        <f t="shared" si="946"/>
        <v>9.607117692376189</v>
      </c>
      <c r="EE265" s="4">
        <f t="shared" si="947"/>
        <v>56.796126628494655</v>
      </c>
      <c r="EF265" s="4">
        <f t="shared" si="1009"/>
        <v>2.2360679774997898</v>
      </c>
      <c r="EG265" s="4">
        <f t="shared" si="949"/>
        <v>0.19990518770232588</v>
      </c>
      <c r="EJ265" s="4">
        <f t="shared" si="1020"/>
        <v>0.19990518770232588</v>
      </c>
      <c r="EK265" s="4">
        <f t="shared" si="950"/>
        <v>0.54765178134697612</v>
      </c>
      <c r="EL265" s="4">
        <f t="shared" si="1010"/>
        <v>7.5508338301291147</v>
      </c>
      <c r="EM265" s="4">
        <f t="shared" si="1011"/>
        <v>8.6404516776680875</v>
      </c>
      <c r="EN265" s="4" t="e">
        <f t="shared" si="1012"/>
        <v>#REF!</v>
      </c>
      <c r="EO265" s="4" t="e">
        <f t="shared" si="1013"/>
        <v>#REF!</v>
      </c>
      <c r="EP265" s="4" t="e">
        <f t="shared" si="951"/>
        <v>#REF!</v>
      </c>
      <c r="EQ265" s="4" t="e">
        <f t="shared" si="1014"/>
        <v>#REF!</v>
      </c>
      <c r="ER265" s="4" t="e">
        <f t="shared" si="952"/>
        <v>#REF!</v>
      </c>
      <c r="FA265" s="23" t="e">
        <f t="shared" si="1042"/>
        <v>#REF!</v>
      </c>
      <c r="FB265" s="23" t="e">
        <f t="shared" si="1043"/>
        <v>#REF!</v>
      </c>
      <c r="FC265" s="23">
        <f t="shared" si="981"/>
        <v>1.4</v>
      </c>
      <c r="FD265" s="23" t="e">
        <f t="shared" si="1044"/>
        <v>#REF!</v>
      </c>
      <c r="FE265" s="23">
        <f t="shared" si="1045"/>
        <v>1</v>
      </c>
      <c r="FF265" s="23">
        <f t="shared" si="1046"/>
        <v>1</v>
      </c>
      <c r="FG265" s="23">
        <f t="shared" si="968"/>
        <v>0</v>
      </c>
      <c r="FH265" s="23"/>
      <c r="FR265" s="4">
        <f t="shared" si="842"/>
        <v>1</v>
      </c>
      <c r="FS265" s="4">
        <f t="shared" si="843"/>
        <v>0.5</v>
      </c>
      <c r="FT265" s="4">
        <f t="shared" si="844"/>
        <v>0</v>
      </c>
      <c r="FU265" s="4">
        <f t="shared" si="845"/>
        <v>651.78734533119007</v>
      </c>
    </row>
    <row r="266" spans="2:177" ht="12" customHeight="1" x14ac:dyDescent="0.3">
      <c r="B266" s="24"/>
      <c r="C266" s="7" t="s">
        <v>397</v>
      </c>
      <c r="D266" s="38">
        <f t="shared" si="1015"/>
        <v>827.58620689655174</v>
      </c>
      <c r="E266" s="38">
        <f>9.31*25.4</f>
        <v>236.47399999999999</v>
      </c>
      <c r="F266" s="38">
        <f>5960/145</f>
        <v>41.103448275862071</v>
      </c>
      <c r="G266" s="38">
        <f t="shared" si="1016"/>
        <v>25.4</v>
      </c>
      <c r="H266" s="38">
        <f>16.5*25.4</f>
        <v>419.09999999999997</v>
      </c>
      <c r="I266" s="38">
        <f>2.5*25.4</f>
        <v>63.5</v>
      </c>
      <c r="J266" s="39">
        <f>3.45*25.4</f>
        <v>87.63</v>
      </c>
      <c r="K266" s="7">
        <f t="shared" si="986"/>
        <v>241.29999999999995</v>
      </c>
      <c r="L266" s="38">
        <v>2</v>
      </c>
      <c r="M266" s="4">
        <f t="shared" si="1028"/>
        <v>260.34999999999997</v>
      </c>
      <c r="N266" s="7">
        <f t="shared" si="905"/>
        <v>3</v>
      </c>
      <c r="O266" s="7">
        <f t="shared" si="906"/>
        <v>3</v>
      </c>
      <c r="P266" s="38">
        <v>4</v>
      </c>
      <c r="Q266" s="4">
        <f t="shared" si="1017"/>
        <v>4</v>
      </c>
      <c r="R266" s="4">
        <f t="shared" si="907"/>
        <v>5</v>
      </c>
      <c r="S266" s="7">
        <f t="shared" si="908"/>
        <v>56.796126628494655</v>
      </c>
      <c r="V266" s="38">
        <f t="shared" si="1054"/>
        <v>647.58620689655186</v>
      </c>
      <c r="W266" s="4">
        <v>93.9</v>
      </c>
      <c r="X266" s="4">
        <f t="shared" si="910"/>
        <v>1.1078590441518625</v>
      </c>
      <c r="Y266" s="38">
        <f>0.375*25.4</f>
        <v>9.5249999999999986</v>
      </c>
      <c r="Z266" s="38">
        <v>10</v>
      </c>
      <c r="AA266" s="39">
        <f>3*25.4</f>
        <v>76.199999999999989</v>
      </c>
      <c r="AB266" s="39">
        <v>3</v>
      </c>
      <c r="AC266" s="39">
        <v>1</v>
      </c>
      <c r="AD266" s="7"/>
      <c r="AE266" s="4">
        <f t="shared" si="912"/>
        <v>236.47399999999999</v>
      </c>
      <c r="AF266" s="4">
        <f t="shared" si="913"/>
        <v>0.59076262083780873</v>
      </c>
      <c r="AG266" s="4">
        <f t="shared" si="914"/>
        <v>230.0524776158949</v>
      </c>
      <c r="AH266" s="4">
        <f t="shared" si="915"/>
        <v>0.76444683136412461</v>
      </c>
      <c r="AI266" s="4">
        <v>1.25</v>
      </c>
      <c r="AJ266" s="4">
        <f t="shared" si="857"/>
        <v>2.5</v>
      </c>
      <c r="AK266" s="38">
        <f t="shared" si="988"/>
        <v>324.66631363626266</v>
      </c>
      <c r="AL266" s="38">
        <f t="shared" si="953"/>
        <v>324.66631363626266</v>
      </c>
      <c r="AM266" s="38">
        <f t="shared" si="916"/>
        <v>3.5730582227190051</v>
      </c>
      <c r="AN266" s="38">
        <f t="shared" si="858"/>
        <v>324.66631363626226</v>
      </c>
      <c r="AO266" s="38">
        <f t="shared" si="840"/>
        <v>1.0000000000000013</v>
      </c>
      <c r="AP266" s="38">
        <f t="shared" si="859"/>
        <v>1.519225612863996</v>
      </c>
      <c r="AQ266" s="4">
        <f t="shared" si="860"/>
        <v>0</v>
      </c>
      <c r="AR266" s="4" t="e">
        <f>#REF!/G266*F266^0.5/0.19</f>
        <v>#REF!</v>
      </c>
      <c r="AS266" s="4">
        <f t="shared" si="917"/>
        <v>1</v>
      </c>
      <c r="AT266" s="38">
        <f t="shared" si="918"/>
        <v>493.24137931034488</v>
      </c>
      <c r="AU266" s="4">
        <f t="shared" si="919"/>
        <v>0.44000000000000006</v>
      </c>
      <c r="AV266" s="4" t="e">
        <f>AU266*D266*#REF!/(D266*G266/2.75/F266^0.5)</f>
        <v>#REF!</v>
      </c>
      <c r="AW266" s="4" t="e">
        <f t="shared" si="989"/>
        <v>#REF!</v>
      </c>
      <c r="AY266" s="4">
        <f t="shared" si="920"/>
        <v>1.5</v>
      </c>
      <c r="AZ266" s="4" t="e">
        <f>(3*#REF!+30)*AY266*F266^0.5</f>
        <v>#REF!</v>
      </c>
      <c r="BB266" s="4">
        <f t="shared" si="921"/>
        <v>473.07880224876135</v>
      </c>
      <c r="BC266" s="4">
        <f t="shared" si="1047"/>
        <v>0</v>
      </c>
      <c r="BD266" s="4">
        <f t="shared" si="990"/>
        <v>0</v>
      </c>
      <c r="BL266" s="4">
        <f t="shared" si="923"/>
        <v>63.5</v>
      </c>
      <c r="BP266" s="9"/>
      <c r="BR266" s="9"/>
      <c r="BS266" s="9"/>
      <c r="BT266" s="9">
        <f t="shared" si="924"/>
        <v>63.5</v>
      </c>
      <c r="BU266" s="9">
        <f t="shared" si="925"/>
        <v>120.64999999999998</v>
      </c>
      <c r="BV266" s="9">
        <f t="shared" si="926"/>
        <v>1.7409369561833321</v>
      </c>
      <c r="BW266" s="40">
        <f t="shared" si="1018"/>
        <v>20</v>
      </c>
      <c r="BX266" s="9">
        <f t="shared" si="927"/>
        <v>0.05</v>
      </c>
      <c r="BY266" s="9">
        <f t="shared" si="991"/>
        <v>0.8</v>
      </c>
      <c r="BZ266" s="9">
        <f t="shared" si="928"/>
        <v>0.99524931562137331</v>
      </c>
      <c r="CA266" s="9">
        <f t="shared" si="929"/>
        <v>0.68</v>
      </c>
      <c r="CB266" s="9">
        <f t="shared" si="930"/>
        <v>1.5186160075936113</v>
      </c>
      <c r="CC266" s="9">
        <f t="shared" si="931"/>
        <v>3.7965400189840279</v>
      </c>
      <c r="CD266" s="40">
        <v>1</v>
      </c>
      <c r="CE266" s="9" t="e">
        <f>4*CC266*#REF!+60*CC266</f>
        <v>#REF!</v>
      </c>
      <c r="CG266" s="4" t="e">
        <f t="shared" si="992"/>
        <v>#REF!</v>
      </c>
      <c r="CH266" s="4" t="e">
        <f t="shared" si="993"/>
        <v>#REF!</v>
      </c>
      <c r="CI266" s="4" t="e">
        <f t="shared" si="994"/>
        <v>#REF!</v>
      </c>
      <c r="CJ266" s="4" t="e">
        <f t="shared" si="995"/>
        <v>#REF!</v>
      </c>
      <c r="CK266" s="4">
        <f t="shared" si="996"/>
        <v>1.1078590441518625</v>
      </c>
      <c r="CL266" s="4">
        <f t="shared" si="997"/>
        <v>1.1787430355325779</v>
      </c>
      <c r="CM266" s="4">
        <f t="shared" si="978"/>
        <v>1.2121832107334114</v>
      </c>
      <c r="CN266" s="4">
        <f t="shared" si="1019"/>
        <v>10</v>
      </c>
      <c r="CU266" s="4" t="e">
        <f t="shared" ref="CU266:CU269" si="1055">CG266</f>
        <v>#REF!</v>
      </c>
      <c r="CV266" s="4" t="e">
        <f t="shared" ref="CV266:CV269" si="1056">CH266</f>
        <v>#REF!</v>
      </c>
      <c r="CW266" s="4" t="e">
        <f t="shared" ref="CW266:CW269" si="1057">CJ266</f>
        <v>#REF!</v>
      </c>
      <c r="CX266" s="4">
        <f t="shared" ref="CX266:CX269" si="1058">CM266</f>
        <v>1.2121832107334114</v>
      </c>
      <c r="CY266" s="4">
        <f t="shared" ref="CY266:CY269" si="1059">CK266</f>
        <v>1.1078590441518625</v>
      </c>
      <c r="CZ266" s="4">
        <f t="shared" ref="CZ266:CZ269" si="1060">CL266</f>
        <v>1.1787430355325779</v>
      </c>
      <c r="DC266" s="4" t="e">
        <f>#REF!</f>
        <v>#REF!</v>
      </c>
      <c r="DF266" s="4">
        <f t="shared" si="932"/>
        <v>1.7935736647377375E-5</v>
      </c>
      <c r="DG266" s="4">
        <f t="shared" si="1004"/>
        <v>8.1771388151947182</v>
      </c>
      <c r="DH266" s="4">
        <f t="shared" si="934"/>
        <v>0.43639983382852249</v>
      </c>
      <c r="DI266" s="4">
        <f t="shared" si="1005"/>
        <v>5.8688796130071648</v>
      </c>
      <c r="DJ266" s="4">
        <f t="shared" si="1006"/>
        <v>7.1174580141854262</v>
      </c>
      <c r="DK266" s="4">
        <f t="shared" si="937"/>
        <v>7.7603820959198675</v>
      </c>
      <c r="DL266" s="38">
        <f t="shared" si="938"/>
        <v>584.53844856438468</v>
      </c>
      <c r="DM266" s="4" t="e">
        <f t="shared" si="1007"/>
        <v>#REF!</v>
      </c>
      <c r="DN266" s="4">
        <f t="shared" si="940"/>
        <v>2.2360679774997898</v>
      </c>
      <c r="DO266" s="4">
        <f t="shared" si="976"/>
        <v>324.66631363626226</v>
      </c>
      <c r="DS266" s="4">
        <f t="shared" si="941"/>
        <v>0.85</v>
      </c>
      <c r="DT266" s="4">
        <f t="shared" si="942"/>
        <v>0.85</v>
      </c>
      <c r="DU266" s="4">
        <f t="shared" si="943"/>
        <v>0.99062499999999998</v>
      </c>
      <c r="DV266" s="4">
        <f t="shared" si="1008"/>
        <v>0.84203125000000001</v>
      </c>
      <c r="DX266" s="4">
        <f t="shared" si="945"/>
        <v>549.38709063418594</v>
      </c>
      <c r="DY266" s="25">
        <f t="shared" si="851"/>
        <v>320.9996035257974</v>
      </c>
      <c r="EA266" s="4">
        <f t="shared" si="852"/>
        <v>0.7157265625</v>
      </c>
      <c r="EB266" s="4">
        <f t="shared" si="946"/>
        <v>8.1771388151947182</v>
      </c>
      <c r="EE266" s="4">
        <f t="shared" si="947"/>
        <v>56.796126628494655</v>
      </c>
      <c r="EF266" s="4">
        <f t="shared" si="1009"/>
        <v>2.2360679774997898</v>
      </c>
      <c r="EG266" s="4">
        <f t="shared" si="949"/>
        <v>0.15298856487151113</v>
      </c>
      <c r="EJ266" s="4">
        <f t="shared" si="1020"/>
        <v>0.15298856487151113</v>
      </c>
      <c r="EK266" s="4">
        <f t="shared" si="950"/>
        <v>0.43567156383973532</v>
      </c>
      <c r="EL266" s="4">
        <f t="shared" si="1010"/>
        <v>5.8649600234176082</v>
      </c>
      <c r="EM266" s="4">
        <f t="shared" si="1011"/>
        <v>7.1158441858875401</v>
      </c>
      <c r="EN266" s="4" t="e">
        <f t="shared" si="1012"/>
        <v>#REF!</v>
      </c>
      <c r="EO266" s="4" t="e">
        <f t="shared" si="1013"/>
        <v>#REF!</v>
      </c>
      <c r="EP266" s="4" t="e">
        <f t="shared" si="951"/>
        <v>#REF!</v>
      </c>
      <c r="EQ266" s="4" t="e">
        <f t="shared" si="1014"/>
        <v>#REF!</v>
      </c>
      <c r="ER266" s="4" t="e">
        <f t="shared" si="952"/>
        <v>#REF!</v>
      </c>
      <c r="FA266" s="23" t="e">
        <f t="shared" si="1042"/>
        <v>#REF!</v>
      </c>
      <c r="FB266" s="23" t="e">
        <f t="shared" si="1043"/>
        <v>#REF!</v>
      </c>
      <c r="FC266" s="23">
        <f t="shared" si="981"/>
        <v>1.4</v>
      </c>
      <c r="FD266" s="23" t="e">
        <f t="shared" si="1044"/>
        <v>#REF!</v>
      </c>
      <c r="FE266" s="23">
        <f t="shared" si="1045"/>
        <v>1.2</v>
      </c>
      <c r="FF266" s="23">
        <f t="shared" si="1046"/>
        <v>1.2</v>
      </c>
      <c r="FG266" s="23">
        <f t="shared" si="968"/>
        <v>0</v>
      </c>
      <c r="FH266" s="23"/>
      <c r="FR266" s="4">
        <f t="shared" si="842"/>
        <v>1</v>
      </c>
      <c r="FS266" s="4">
        <f t="shared" si="843"/>
        <v>0.44</v>
      </c>
      <c r="FT266" s="4">
        <f t="shared" si="844"/>
        <v>0.3</v>
      </c>
      <c r="FU266" s="4">
        <f t="shared" si="845"/>
        <v>534.23129537055752</v>
      </c>
    </row>
    <row r="267" spans="2:177" ht="12" customHeight="1" x14ac:dyDescent="0.3">
      <c r="B267" s="24"/>
      <c r="C267" s="7" t="s">
        <v>398</v>
      </c>
      <c r="D267" s="38">
        <f t="shared" si="1015"/>
        <v>827.58620689655174</v>
      </c>
      <c r="E267" s="38">
        <f>9.06*25.4</f>
        <v>230.124</v>
      </c>
      <c r="F267" s="38">
        <f>6440/145</f>
        <v>44.413793103448278</v>
      </c>
      <c r="G267" s="38">
        <f t="shared" si="1016"/>
        <v>25.4</v>
      </c>
      <c r="H267" s="38">
        <f>18.6*25.4</f>
        <v>472.44</v>
      </c>
      <c r="I267" s="38">
        <f>3.45*25.4</f>
        <v>87.63</v>
      </c>
      <c r="J267" s="39">
        <f>3.7*25.4</f>
        <v>93.98</v>
      </c>
      <c r="K267" s="7">
        <f t="shared" si="986"/>
        <v>246.38</v>
      </c>
      <c r="L267" s="38">
        <v>2</v>
      </c>
      <c r="M267" s="4">
        <f t="shared" si="1028"/>
        <v>260.34999999999997</v>
      </c>
      <c r="N267" s="7">
        <f t="shared" si="905"/>
        <v>3.95</v>
      </c>
      <c r="O267" s="7">
        <f t="shared" si="906"/>
        <v>3.95</v>
      </c>
      <c r="P267" s="38">
        <v>4</v>
      </c>
      <c r="Q267" s="4">
        <f t="shared" si="1017"/>
        <v>4</v>
      </c>
      <c r="R267" s="4">
        <f t="shared" si="907"/>
        <v>5</v>
      </c>
      <c r="S267" s="7">
        <f t="shared" si="908"/>
        <v>56.796126628494655</v>
      </c>
      <c r="V267" s="38">
        <f t="shared" si="1054"/>
        <v>703.44827586206907</v>
      </c>
      <c r="W267" s="4">
        <v>102</v>
      </c>
      <c r="X267" s="4">
        <f t="shared" si="910"/>
        <v>1.0255837865554474</v>
      </c>
      <c r="Y267" s="38">
        <f t="shared" ref="Y267" si="1061">0.375*25.4</f>
        <v>9.5249999999999986</v>
      </c>
      <c r="Z267" s="38">
        <v>10</v>
      </c>
      <c r="AA267" s="39">
        <f>3*25.4</f>
        <v>76.199999999999989</v>
      </c>
      <c r="AB267" s="39">
        <v>3</v>
      </c>
      <c r="AC267" s="39">
        <v>1</v>
      </c>
      <c r="AD267" s="7"/>
      <c r="AE267" s="4">
        <f t="shared" si="912"/>
        <v>230.124</v>
      </c>
      <c r="AF267" s="4">
        <f t="shared" si="913"/>
        <v>0.6843267108167771</v>
      </c>
      <c r="AG267" s="4">
        <f t="shared" si="914"/>
        <v>229.56966143640747</v>
      </c>
      <c r="AH267" s="4">
        <f t="shared" si="915"/>
        <v>0.78719646799116993</v>
      </c>
      <c r="AI267" s="4">
        <v>1.25</v>
      </c>
      <c r="AJ267" s="4">
        <f t="shared" si="857"/>
        <v>2.5</v>
      </c>
      <c r="AK267" s="38">
        <f t="shared" si="988"/>
        <v>386.46586822990668</v>
      </c>
      <c r="AL267" s="38">
        <f t="shared" si="953"/>
        <v>386.46586822990668</v>
      </c>
      <c r="AM267" s="38">
        <f t="shared" si="916"/>
        <v>3.7624132755662103</v>
      </c>
      <c r="AN267" s="38">
        <f t="shared" si="858"/>
        <v>386.46586822990719</v>
      </c>
      <c r="AO267" s="38">
        <f t="shared" si="840"/>
        <v>0.99999999999999867</v>
      </c>
      <c r="AP267" s="38">
        <f t="shared" si="859"/>
        <v>1.8157824240691325</v>
      </c>
      <c r="AQ267" s="4">
        <f t="shared" si="860"/>
        <v>0</v>
      </c>
      <c r="AR267" s="4" t="e">
        <f>#REF!/G267*F267^0.5/0.19</f>
        <v>#REF!</v>
      </c>
      <c r="AS267" s="4">
        <f t="shared" si="917"/>
        <v>1</v>
      </c>
      <c r="AT267" s="38">
        <f t="shared" si="918"/>
        <v>701.73793103448281</v>
      </c>
      <c r="AU267" s="4">
        <f t="shared" si="919"/>
        <v>0.44000000000000006</v>
      </c>
      <c r="AV267" s="4" t="e">
        <f>AU267*D267*#REF!/(D267*G267/2.75/F267^0.5)</f>
        <v>#REF!</v>
      </c>
      <c r="AW267" s="4" t="e">
        <f t="shared" si="989"/>
        <v>#REF!</v>
      </c>
      <c r="AY267" s="4">
        <f t="shared" si="920"/>
        <v>1.5</v>
      </c>
      <c r="AZ267" s="4" t="e">
        <f>(3*#REF!+30)*AY267*F267^0.5</f>
        <v>#REF!</v>
      </c>
      <c r="BB267" s="4">
        <f t="shared" si="921"/>
        <v>673.05249281901524</v>
      </c>
      <c r="BC267" s="4">
        <f t="shared" si="1047"/>
        <v>0</v>
      </c>
      <c r="BD267" s="4">
        <f t="shared" si="990"/>
        <v>0</v>
      </c>
      <c r="BL267" s="4">
        <f t="shared" si="923"/>
        <v>87.63</v>
      </c>
      <c r="BP267" s="9"/>
      <c r="BR267" s="9"/>
      <c r="BS267" s="9"/>
      <c r="BT267" s="9">
        <f t="shared" si="924"/>
        <v>87.63</v>
      </c>
      <c r="BU267" s="9">
        <f t="shared" si="925"/>
        <v>123.19</v>
      </c>
      <c r="BV267" s="9">
        <f t="shared" si="926"/>
        <v>1.9547802569983255</v>
      </c>
      <c r="BW267" s="40">
        <f t="shared" si="1018"/>
        <v>20</v>
      </c>
      <c r="BX267" s="9">
        <f t="shared" si="927"/>
        <v>0.05</v>
      </c>
      <c r="BY267" s="9">
        <f t="shared" si="991"/>
        <v>0.8</v>
      </c>
      <c r="BZ267" s="9">
        <f t="shared" si="928"/>
        <v>0.99524931562137331</v>
      </c>
      <c r="CA267" s="9">
        <f t="shared" si="929"/>
        <v>0.68</v>
      </c>
      <c r="CB267" s="9">
        <f t="shared" si="930"/>
        <v>1.5785842929910907</v>
      </c>
      <c r="CC267" s="9">
        <f t="shared" si="931"/>
        <v>3.9464607324777266</v>
      </c>
      <c r="CD267" s="40">
        <v>1</v>
      </c>
      <c r="CE267" s="9" t="e">
        <f>4*CC267*#REF!+60*CC267</f>
        <v>#REF!</v>
      </c>
      <c r="CG267" s="4" t="e">
        <f t="shared" si="992"/>
        <v>#REF!</v>
      </c>
      <c r="CH267" s="4" t="e">
        <f t="shared" si="993"/>
        <v>#REF!</v>
      </c>
      <c r="CI267" s="4" t="e">
        <f t="shared" si="994"/>
        <v>#REF!</v>
      </c>
      <c r="CJ267" s="4" t="e">
        <f t="shared" si="995"/>
        <v>#REF!</v>
      </c>
      <c r="CK267" s="4">
        <f t="shared" si="996"/>
        <v>1.0255837865554474</v>
      </c>
      <c r="CL267" s="4">
        <f t="shared" si="997"/>
        <v>1.0953486974677027</v>
      </c>
      <c r="CM267" s="4">
        <f t="shared" si="978"/>
        <v>1.327132930109501</v>
      </c>
      <c r="CN267" s="4">
        <f t="shared" si="1019"/>
        <v>10</v>
      </c>
      <c r="CU267" s="4" t="e">
        <f t="shared" si="1055"/>
        <v>#REF!</v>
      </c>
      <c r="CV267" s="4" t="e">
        <f t="shared" si="1056"/>
        <v>#REF!</v>
      </c>
      <c r="CW267" s="4" t="e">
        <f t="shared" si="1057"/>
        <v>#REF!</v>
      </c>
      <c r="CX267" s="4">
        <f t="shared" si="1058"/>
        <v>1.327132930109501</v>
      </c>
      <c r="CY267" s="4">
        <f t="shared" si="1059"/>
        <v>1.0255837865554474</v>
      </c>
      <c r="CZ267" s="4">
        <f t="shared" si="1060"/>
        <v>1.0953486974677027</v>
      </c>
      <c r="DC267" s="4" t="e">
        <f>#REF!</f>
        <v>#REF!</v>
      </c>
      <c r="DF267" s="4">
        <f t="shared" si="932"/>
        <v>1.7835275850587528E-5</v>
      </c>
      <c r="DG267" s="4">
        <f t="shared" si="1004"/>
        <v>9.5695859688824623</v>
      </c>
      <c r="DH267" s="4">
        <f t="shared" si="934"/>
        <v>0.48074954631931027</v>
      </c>
      <c r="DI267" s="4">
        <f t="shared" si="1005"/>
        <v>7.1393833409390375</v>
      </c>
      <c r="DJ267" s="4">
        <f t="shared" si="1006"/>
        <v>8.4425686834085472</v>
      </c>
      <c r="DK267" s="4">
        <f t="shared" si="937"/>
        <v>9.0089963326407201</v>
      </c>
      <c r="DL267" s="38">
        <f t="shared" si="938"/>
        <v>685.90034776650373</v>
      </c>
      <c r="DM267" s="4" t="e">
        <f t="shared" si="1007"/>
        <v>#REF!</v>
      </c>
      <c r="DN267" s="4">
        <f t="shared" si="940"/>
        <v>2.2360679774997898</v>
      </c>
      <c r="DO267" s="4">
        <f t="shared" si="976"/>
        <v>386.46586822990719</v>
      </c>
      <c r="DS267" s="4">
        <f t="shared" si="941"/>
        <v>0.85</v>
      </c>
      <c r="DT267" s="4">
        <f t="shared" si="942"/>
        <v>0.755</v>
      </c>
      <c r="DU267" s="4">
        <f t="shared" si="943"/>
        <v>0.99062499999999998</v>
      </c>
      <c r="DV267" s="4">
        <f t="shared" si="1008"/>
        <v>0.74792187499999996</v>
      </c>
      <c r="DX267" s="4">
        <f t="shared" si="945"/>
        <v>642.21400681659259</v>
      </c>
      <c r="DY267" s="25">
        <f t="shared" si="851"/>
        <v>382.11266018236722</v>
      </c>
      <c r="EA267" s="4">
        <f t="shared" si="852"/>
        <v>0.63573359374999994</v>
      </c>
      <c r="EB267" s="4">
        <f t="shared" si="946"/>
        <v>9.5695859688824623</v>
      </c>
      <c r="EE267" s="4">
        <f t="shared" si="947"/>
        <v>56.796126628494655</v>
      </c>
      <c r="EF267" s="4">
        <f t="shared" si="1009"/>
        <v>2.2360679774997898</v>
      </c>
      <c r="EG267" s="4">
        <f t="shared" si="949"/>
        <v>0.17519152014128195</v>
      </c>
      <c r="EJ267" s="4">
        <f t="shared" si="1020"/>
        <v>0.17519152014128195</v>
      </c>
      <c r="EK267" s="4">
        <f t="shared" si="950"/>
        <v>0.47994726492603873</v>
      </c>
      <c r="EL267" s="4">
        <f t="shared" si="1010"/>
        <v>7.1346152328052508</v>
      </c>
      <c r="EM267" s="4">
        <f t="shared" si="1011"/>
        <v>8.4405545920590228</v>
      </c>
      <c r="EN267" s="4" t="e">
        <f t="shared" si="1012"/>
        <v>#REF!</v>
      </c>
      <c r="EO267" s="4" t="e">
        <f t="shared" si="1013"/>
        <v>#REF!</v>
      </c>
      <c r="EP267" s="4" t="e">
        <f t="shared" si="951"/>
        <v>#REF!</v>
      </c>
      <c r="EQ267" s="4" t="e">
        <f t="shared" si="1014"/>
        <v>#REF!</v>
      </c>
      <c r="ER267" s="4" t="e">
        <f t="shared" si="952"/>
        <v>#REF!</v>
      </c>
      <c r="FA267" s="23" t="e">
        <f t="shared" si="1042"/>
        <v>#REF!</v>
      </c>
      <c r="FB267" s="23" t="e">
        <f t="shared" si="1043"/>
        <v>#REF!</v>
      </c>
      <c r="FC267" s="23">
        <f t="shared" si="981"/>
        <v>1.4</v>
      </c>
      <c r="FD267" s="23" t="e">
        <f t="shared" si="1044"/>
        <v>#REF!</v>
      </c>
      <c r="FE267" s="23">
        <f t="shared" si="1045"/>
        <v>1.2</v>
      </c>
      <c r="FF267" s="23">
        <f t="shared" si="1046"/>
        <v>1.2</v>
      </c>
      <c r="FG267" s="23">
        <f t="shared" si="968"/>
        <v>0</v>
      </c>
      <c r="FH267" s="23"/>
      <c r="FR267" s="4">
        <f t="shared" si="842"/>
        <v>1</v>
      </c>
      <c r="FS267" s="4">
        <f t="shared" si="843"/>
        <v>0.44</v>
      </c>
      <c r="FT267" s="4">
        <f t="shared" si="844"/>
        <v>0.3</v>
      </c>
      <c r="FU267" s="4">
        <f t="shared" si="845"/>
        <v>530.05110483094404</v>
      </c>
    </row>
    <row r="268" spans="2:177" ht="12" customHeight="1" x14ac:dyDescent="0.3">
      <c r="B268" s="24"/>
      <c r="C268" s="7" t="s">
        <v>399</v>
      </c>
      <c r="D268" s="38">
        <f t="shared" si="1015"/>
        <v>827.58620689655174</v>
      </c>
      <c r="E268" s="38">
        <f>9.25*25.4</f>
        <v>234.95</v>
      </c>
      <c r="F268" s="38">
        <f>6440/145</f>
        <v>44.413793103448278</v>
      </c>
      <c r="G268" s="38">
        <f t="shared" si="1016"/>
        <v>25.4</v>
      </c>
      <c r="H268" s="38">
        <f>16.6*25.4</f>
        <v>421.64</v>
      </c>
      <c r="I268" s="38">
        <f>2.55*25.4</f>
        <v>64.77</v>
      </c>
      <c r="J268" s="39">
        <f>3.35*25.4</f>
        <v>85.09</v>
      </c>
      <c r="K268" s="7">
        <f t="shared" si="986"/>
        <v>241.29999999999998</v>
      </c>
      <c r="L268" s="38">
        <v>2</v>
      </c>
      <c r="M268" s="4">
        <f t="shared" si="1028"/>
        <v>260.34999999999997</v>
      </c>
      <c r="N268" s="7">
        <f t="shared" si="905"/>
        <v>3.05</v>
      </c>
      <c r="O268" s="7">
        <f t="shared" si="906"/>
        <v>3.05</v>
      </c>
      <c r="P268" s="38">
        <v>4</v>
      </c>
      <c r="Q268" s="4">
        <f t="shared" si="1017"/>
        <v>4</v>
      </c>
      <c r="R268" s="4">
        <f t="shared" si="907"/>
        <v>5</v>
      </c>
      <c r="S268" s="7">
        <f t="shared" si="908"/>
        <v>56.796126628494655</v>
      </c>
      <c r="V268" s="38">
        <f t="shared" si="1054"/>
        <v>790.34482758620686</v>
      </c>
      <c r="W268" s="4">
        <v>114.6</v>
      </c>
      <c r="X268" s="4">
        <f t="shared" si="910"/>
        <v>1.2622199993298189</v>
      </c>
      <c r="Y268" s="38">
        <f>0.5*25.4</f>
        <v>12.7</v>
      </c>
      <c r="Z268" s="38">
        <v>8</v>
      </c>
      <c r="AA268" s="39">
        <f>4*25.4</f>
        <v>101.6</v>
      </c>
      <c r="AB268" s="39">
        <v>2</v>
      </c>
      <c r="AC268" s="39">
        <v>1</v>
      </c>
      <c r="AD268" s="7"/>
      <c r="AE268" s="4">
        <f t="shared" si="912"/>
        <v>234.95</v>
      </c>
      <c r="AF268" s="4">
        <f t="shared" si="913"/>
        <v>0.59819819819819819</v>
      </c>
      <c r="AG268" s="4">
        <f t="shared" si="914"/>
        <v>236.82895372126541</v>
      </c>
      <c r="AH268" s="4">
        <f t="shared" si="915"/>
        <v>0.76594594594594589</v>
      </c>
      <c r="AI268" s="4">
        <v>1.25</v>
      </c>
      <c r="AJ268" s="4">
        <f t="shared" si="857"/>
        <v>2.5</v>
      </c>
      <c r="AK268" s="38">
        <f t="shared" si="988"/>
        <v>339.10019571599395</v>
      </c>
      <c r="AL268" s="38">
        <f t="shared" si="953"/>
        <v>339.10019571599395</v>
      </c>
      <c r="AM268" s="38">
        <f t="shared" si="916"/>
        <v>3.7624132755662103</v>
      </c>
      <c r="AN268" s="38">
        <f t="shared" si="858"/>
        <v>339.10019571599406</v>
      </c>
      <c r="AO268" s="38">
        <f t="shared" si="840"/>
        <v>0.99999999999999967</v>
      </c>
      <c r="AP268" s="38">
        <f t="shared" si="859"/>
        <v>1.5979002156515476</v>
      </c>
      <c r="AQ268" s="4">
        <f t="shared" si="860"/>
        <v>0</v>
      </c>
      <c r="AR268" s="4" t="e">
        <f>#REF!/G268*F268^0.5/0.19</f>
        <v>#REF!</v>
      </c>
      <c r="AS268" s="4">
        <f t="shared" si="917"/>
        <v>1</v>
      </c>
      <c r="AT268" s="38">
        <f t="shared" si="918"/>
        <v>541.84827586206893</v>
      </c>
      <c r="AU268" s="4">
        <f t="shared" si="919"/>
        <v>0.44000000000000006</v>
      </c>
      <c r="AV268" s="4" t="e">
        <f>AU268*D268*#REF!/(D268*G268/2.75/F268^0.5)</f>
        <v>#REF!</v>
      </c>
      <c r="AW268" s="4" t="e">
        <f t="shared" si="989"/>
        <v>#REF!</v>
      </c>
      <c r="AY268" s="4">
        <f t="shared" si="920"/>
        <v>1.5</v>
      </c>
      <c r="AZ268" s="4" t="e">
        <f>(3*#REF!+30)*AY268*F268^0.5</f>
        <v>#REF!</v>
      </c>
      <c r="BB268" s="4">
        <f t="shared" si="921"/>
        <v>519.69876027797375</v>
      </c>
      <c r="BC268" s="4">
        <f t="shared" si="1047"/>
        <v>0</v>
      </c>
      <c r="BD268" s="4">
        <f t="shared" si="990"/>
        <v>0</v>
      </c>
      <c r="BL268" s="4">
        <f t="shared" si="923"/>
        <v>64.77</v>
      </c>
      <c r="BP268" s="9"/>
      <c r="BR268" s="9"/>
      <c r="BS268" s="9"/>
      <c r="BT268" s="9">
        <f t="shared" si="924"/>
        <v>64.77</v>
      </c>
      <c r="BU268" s="9">
        <f t="shared" si="925"/>
        <v>120.64999999999999</v>
      </c>
      <c r="BV268" s="9">
        <f t="shared" si="926"/>
        <v>1.753045162204804</v>
      </c>
      <c r="BW268" s="40">
        <f t="shared" si="1018"/>
        <v>20</v>
      </c>
      <c r="BX268" s="9">
        <f t="shared" si="927"/>
        <v>0.05</v>
      </c>
      <c r="BY268" s="9">
        <f t="shared" si="991"/>
        <v>0.8</v>
      </c>
      <c r="BZ268" s="9">
        <f t="shared" si="928"/>
        <v>0.99524931562137331</v>
      </c>
      <c r="CA268" s="9">
        <f t="shared" si="929"/>
        <v>0.68</v>
      </c>
      <c r="CB268" s="9">
        <f t="shared" si="930"/>
        <v>1.5785842929910907</v>
      </c>
      <c r="CC268" s="9">
        <f t="shared" si="931"/>
        <v>3.9464607324777266</v>
      </c>
      <c r="CD268" s="40">
        <v>1</v>
      </c>
      <c r="CE268" s="9" t="e">
        <f>4*CC268*#REF!+60*CC268</f>
        <v>#REF!</v>
      </c>
      <c r="CG268" s="4" t="e">
        <f t="shared" si="992"/>
        <v>#REF!</v>
      </c>
      <c r="CH268" s="4" t="e">
        <f t="shared" si="993"/>
        <v>#REF!</v>
      </c>
      <c r="CI268" s="4" t="e">
        <f t="shared" si="994"/>
        <v>#REF!</v>
      </c>
      <c r="CJ268" s="4" t="e">
        <f t="shared" si="995"/>
        <v>#REF!</v>
      </c>
      <c r="CK268" s="4">
        <f t="shared" si="996"/>
        <v>1.2622199993298189</v>
      </c>
      <c r="CL268" s="4">
        <f t="shared" si="997"/>
        <v>1.3410351127446876</v>
      </c>
      <c r="CM268" s="4">
        <f t="shared" si="978"/>
        <v>1.4604454373528053</v>
      </c>
      <c r="CN268" s="4">
        <f t="shared" si="1019"/>
        <v>8</v>
      </c>
      <c r="CU268" s="4" t="e">
        <f t="shared" si="1055"/>
        <v>#REF!</v>
      </c>
      <c r="CV268" s="4" t="e">
        <f t="shared" si="1056"/>
        <v>#REF!</v>
      </c>
      <c r="CW268" s="4" t="e">
        <f t="shared" si="1057"/>
        <v>#REF!</v>
      </c>
      <c r="CX268" s="4">
        <f t="shared" si="1058"/>
        <v>1.4604454373528053</v>
      </c>
      <c r="CY268" s="4">
        <f t="shared" si="1059"/>
        <v>1.2622199993298189</v>
      </c>
      <c r="CZ268" s="4">
        <f t="shared" si="1060"/>
        <v>1.3410351127446876</v>
      </c>
      <c r="DC268" s="4" t="e">
        <f>#REF!</f>
        <v>#REF!</v>
      </c>
      <c r="DF268" s="4">
        <f t="shared" si="932"/>
        <v>1.8209304814341571E-5</v>
      </c>
      <c r="DG268" s="4">
        <f t="shared" si="1004"/>
        <v>9.1569520944446019</v>
      </c>
      <c r="DH268" s="4">
        <f t="shared" si="934"/>
        <v>0.42182836480212033</v>
      </c>
      <c r="DI268" s="4">
        <f t="shared" si="1005"/>
        <v>6.4834363846303589</v>
      </c>
      <c r="DJ268" s="4">
        <f t="shared" si="1006"/>
        <v>7.9339449877808761</v>
      </c>
      <c r="DK268" s="4">
        <f t="shared" si="937"/>
        <v>8.6336377842407881</v>
      </c>
      <c r="DL268" s="38">
        <f t="shared" si="938"/>
        <v>626.15457527676938</v>
      </c>
      <c r="DM268" s="4" t="e">
        <f t="shared" si="1007"/>
        <v>#REF!</v>
      </c>
      <c r="DN268" s="4">
        <f t="shared" si="940"/>
        <v>2.2360679774997898</v>
      </c>
      <c r="DO268" s="4">
        <f t="shared" si="976"/>
        <v>339.10019571599406</v>
      </c>
      <c r="DS268" s="4">
        <f t="shared" si="941"/>
        <v>0.85</v>
      </c>
      <c r="DT268" s="4">
        <f t="shared" si="942"/>
        <v>0.84499999999999997</v>
      </c>
      <c r="DU268" s="4">
        <f t="shared" si="943"/>
        <v>0.92500000000000004</v>
      </c>
      <c r="DV268" s="4">
        <f t="shared" si="1008"/>
        <v>0.78162500000000001</v>
      </c>
      <c r="DX268" s="4">
        <f t="shared" si="945"/>
        <v>589.35431300423852</v>
      </c>
      <c r="DY268" s="25">
        <f t="shared" si="851"/>
        <v>335.24889238340086</v>
      </c>
      <c r="EA268" s="4">
        <f t="shared" si="852"/>
        <v>0.66438125000000003</v>
      </c>
      <c r="EB268" s="4">
        <f t="shared" si="946"/>
        <v>9.1569520944446019</v>
      </c>
      <c r="EE268" s="4">
        <f t="shared" si="947"/>
        <v>56.796126628494655</v>
      </c>
      <c r="EF268" s="4">
        <f t="shared" si="1009"/>
        <v>2.2360679774997898</v>
      </c>
      <c r="EG268" s="4">
        <f t="shared" si="949"/>
        <v>0.15371985898726231</v>
      </c>
      <c r="EJ268" s="4">
        <f t="shared" si="1020"/>
        <v>0.15371985898726231</v>
      </c>
      <c r="EK268" s="4">
        <f t="shared" si="950"/>
        <v>0.42112441187938565</v>
      </c>
      <c r="EL268" s="4">
        <f t="shared" si="1010"/>
        <v>6.4791063571918306</v>
      </c>
      <c r="EM268" s="4">
        <f t="shared" si="1011"/>
        <v>7.9321784362025918</v>
      </c>
      <c r="EN268" s="4" t="e">
        <f t="shared" si="1012"/>
        <v>#REF!</v>
      </c>
      <c r="EO268" s="4" t="e">
        <f t="shared" si="1013"/>
        <v>#REF!</v>
      </c>
      <c r="EP268" s="4" t="e">
        <f t="shared" si="951"/>
        <v>#REF!</v>
      </c>
      <c r="EQ268" s="4" t="e">
        <f t="shared" si="1014"/>
        <v>#REF!</v>
      </c>
      <c r="ER268" s="4" t="e">
        <f t="shared" si="952"/>
        <v>#REF!</v>
      </c>
      <c r="FA268" s="23" t="e">
        <f t="shared" si="1042"/>
        <v>#REF!</v>
      </c>
      <c r="FB268" s="23" t="e">
        <f t="shared" si="1043"/>
        <v>#REF!</v>
      </c>
      <c r="FC268" s="23">
        <f t="shared" si="981"/>
        <v>1.6</v>
      </c>
      <c r="FD268" s="23" t="e">
        <f t="shared" si="1044"/>
        <v>#REF!</v>
      </c>
      <c r="FE268" s="23">
        <f t="shared" si="1045"/>
        <v>1.4</v>
      </c>
      <c r="FF268" s="23">
        <f t="shared" si="1046"/>
        <v>1.4</v>
      </c>
      <c r="FG268" s="23">
        <f t="shared" si="968"/>
        <v>0</v>
      </c>
      <c r="FH268" s="23"/>
      <c r="FR268" s="4">
        <f t="shared" si="842"/>
        <v>1</v>
      </c>
      <c r="FS268" s="4">
        <f t="shared" si="843"/>
        <v>0.44</v>
      </c>
      <c r="FT268" s="4">
        <f t="shared" si="844"/>
        <v>0.3</v>
      </c>
      <c r="FU268" s="4">
        <f t="shared" si="845"/>
        <v>541.16696685278509</v>
      </c>
    </row>
    <row r="269" spans="2:177" ht="12" customHeight="1" x14ac:dyDescent="0.3">
      <c r="B269" s="24"/>
      <c r="C269" s="7" t="s">
        <v>400</v>
      </c>
      <c r="D269" s="38">
        <f t="shared" si="1015"/>
        <v>827.58620689655174</v>
      </c>
      <c r="E269" s="38">
        <f>9.25*25.4</f>
        <v>234.95</v>
      </c>
      <c r="F269" s="38">
        <f>6210/145</f>
        <v>42.827586206896555</v>
      </c>
      <c r="G269" s="38">
        <f t="shared" si="1016"/>
        <v>25.4</v>
      </c>
      <c r="H269" s="38">
        <f>18.6*25.4</f>
        <v>472.44</v>
      </c>
      <c r="I269" s="38">
        <f>3.45*25.4</f>
        <v>87.63</v>
      </c>
      <c r="J269" s="39">
        <f>3.45*25.4</f>
        <v>87.63</v>
      </c>
      <c r="K269" s="7">
        <f t="shared" si="986"/>
        <v>246.38</v>
      </c>
      <c r="L269" s="38">
        <v>2</v>
      </c>
      <c r="M269" s="4">
        <f t="shared" si="1028"/>
        <v>260.34999999999997</v>
      </c>
      <c r="N269" s="7">
        <f t="shared" si="905"/>
        <v>3.95</v>
      </c>
      <c r="O269" s="7">
        <f t="shared" si="906"/>
        <v>3.95</v>
      </c>
      <c r="P269" s="38">
        <v>4</v>
      </c>
      <c r="Q269" s="4">
        <f t="shared" si="1017"/>
        <v>4</v>
      </c>
      <c r="R269" s="4">
        <f t="shared" si="907"/>
        <v>5</v>
      </c>
      <c r="S269" s="7">
        <f t="shared" si="908"/>
        <v>56.796126628494655</v>
      </c>
      <c r="V269" s="38">
        <f t="shared" si="1054"/>
        <v>747.58620689655186</v>
      </c>
      <c r="W269" s="4">
        <v>108.4</v>
      </c>
      <c r="X269" s="4">
        <f t="shared" si="910"/>
        <v>1.0612133921380551</v>
      </c>
      <c r="Y269" s="38">
        <f>0.5*25.4</f>
        <v>12.7</v>
      </c>
      <c r="Z269" s="38">
        <v>8</v>
      </c>
      <c r="AA269" s="39">
        <f>4*25.4</f>
        <v>101.6</v>
      </c>
      <c r="AB269" s="39">
        <v>2</v>
      </c>
      <c r="AC269" s="39">
        <v>1</v>
      </c>
      <c r="AD269" s="7"/>
      <c r="AE269" s="4">
        <f t="shared" si="912"/>
        <v>234.95</v>
      </c>
      <c r="AF269" s="4">
        <f t="shared" si="913"/>
        <v>0.67027027027027031</v>
      </c>
      <c r="AG269" s="4">
        <f t="shared" si="914"/>
        <v>232.56141582533411</v>
      </c>
      <c r="AH269" s="4">
        <f t="shared" si="915"/>
        <v>0.78540540540540538</v>
      </c>
      <c r="AI269" s="4">
        <v>1.25</v>
      </c>
      <c r="AJ269" s="4">
        <f t="shared" si="857"/>
        <v>2.5</v>
      </c>
      <c r="AK269" s="38">
        <f t="shared" si="988"/>
        <v>382.58816117679049</v>
      </c>
      <c r="AL269" s="38">
        <f t="shared" si="953"/>
        <v>382.58816117679049</v>
      </c>
      <c r="AM269" s="38">
        <f t="shared" si="916"/>
        <v>3.6722901407859458</v>
      </c>
      <c r="AN269" s="38">
        <f t="shared" si="858"/>
        <v>382.58816117679044</v>
      </c>
      <c r="AO269" s="38">
        <f t="shared" si="840"/>
        <v>1.0000000000000002</v>
      </c>
      <c r="AP269" s="38">
        <f t="shared" si="859"/>
        <v>1.7686795639143678</v>
      </c>
      <c r="AQ269" s="4">
        <f t="shared" si="860"/>
        <v>0</v>
      </c>
      <c r="AR269" s="4" t="e">
        <f>#REF!/G269*F269^0.5/0.19</f>
        <v>#REF!</v>
      </c>
      <c r="AS269" s="4">
        <f t="shared" si="917"/>
        <v>1</v>
      </c>
      <c r="AT269" s="38">
        <f t="shared" si="918"/>
        <v>676.67586206896556</v>
      </c>
      <c r="AU269" s="4">
        <f t="shared" si="919"/>
        <v>0.44000000000000006</v>
      </c>
      <c r="AV269" s="4" t="e">
        <f>AU269*D269*#REF!/(D269*G269/2.75/F269^0.5)</f>
        <v>#REF!</v>
      </c>
      <c r="AW269" s="4" t="e">
        <f t="shared" si="989"/>
        <v>#REF!</v>
      </c>
      <c r="AY269" s="4">
        <f t="shared" si="920"/>
        <v>1.5</v>
      </c>
      <c r="AZ269" s="4" t="e">
        <f>(3*#REF!+30)*AY269*F269^0.5</f>
        <v>#REF!</v>
      </c>
      <c r="BB269" s="4">
        <f t="shared" si="921"/>
        <v>649.01490378976473</v>
      </c>
      <c r="BC269" s="4">
        <f t="shared" si="1047"/>
        <v>0</v>
      </c>
      <c r="BD269" s="4">
        <f t="shared" si="990"/>
        <v>0</v>
      </c>
      <c r="BL269" s="4">
        <f t="shared" si="923"/>
        <v>87.63</v>
      </c>
      <c r="BP269" s="9"/>
      <c r="BR269" s="9"/>
      <c r="BS269" s="9"/>
      <c r="BT269" s="9">
        <f t="shared" si="924"/>
        <v>87.63</v>
      </c>
      <c r="BU269" s="9">
        <f t="shared" si="925"/>
        <v>123.19</v>
      </c>
      <c r="BV269" s="9">
        <f t="shared" si="926"/>
        <v>1.9547802569983255</v>
      </c>
      <c r="BW269" s="40">
        <f t="shared" si="1018"/>
        <v>20</v>
      </c>
      <c r="BX269" s="9">
        <f t="shared" si="927"/>
        <v>0.05</v>
      </c>
      <c r="BY269" s="9">
        <f t="shared" si="991"/>
        <v>0.8</v>
      </c>
      <c r="BZ269" s="9">
        <f t="shared" si="928"/>
        <v>0.99524931562137331</v>
      </c>
      <c r="CA269" s="9">
        <f t="shared" si="929"/>
        <v>0.68</v>
      </c>
      <c r="CB269" s="9">
        <f t="shared" si="930"/>
        <v>1.5501390028928617</v>
      </c>
      <c r="CC269" s="9">
        <f t="shared" si="931"/>
        <v>3.8753475072321542</v>
      </c>
      <c r="CD269" s="40">
        <v>1</v>
      </c>
      <c r="CE269" s="9" t="e">
        <f>4*CC269*#REF!+60*CC269</f>
        <v>#REF!</v>
      </c>
      <c r="CG269" s="4" t="e">
        <f t="shared" si="992"/>
        <v>#REF!</v>
      </c>
      <c r="CH269" s="4" t="e">
        <f t="shared" si="993"/>
        <v>#REF!</v>
      </c>
      <c r="CI269" s="4" t="e">
        <f t="shared" si="994"/>
        <v>#REF!</v>
      </c>
      <c r="CJ269" s="4" t="e">
        <f t="shared" si="995"/>
        <v>#REF!</v>
      </c>
      <c r="CK269" s="4">
        <f t="shared" si="996"/>
        <v>1.0612133921380551</v>
      </c>
      <c r="CL269" s="4">
        <f t="shared" si="997"/>
        <v>1.1378780950693508</v>
      </c>
      <c r="CM269" s="4">
        <f t="shared" si="978"/>
        <v>1.3940506960947452</v>
      </c>
      <c r="CN269" s="4">
        <f t="shared" si="1019"/>
        <v>8</v>
      </c>
      <c r="CU269" s="4" t="e">
        <f t="shared" si="1055"/>
        <v>#REF!</v>
      </c>
      <c r="CV269" s="4" t="e">
        <f t="shared" si="1056"/>
        <v>#REF!</v>
      </c>
      <c r="CW269" s="4" t="e">
        <f t="shared" si="1057"/>
        <v>#REF!</v>
      </c>
      <c r="CX269" s="4">
        <f t="shared" si="1058"/>
        <v>1.3940506960947452</v>
      </c>
      <c r="CY269" s="4">
        <f t="shared" si="1059"/>
        <v>1.0612133921380551</v>
      </c>
      <c r="CZ269" s="4">
        <f t="shared" si="1060"/>
        <v>1.1378780950693508</v>
      </c>
      <c r="DC269" s="4" t="e">
        <f>#REF!</f>
        <v>#REF!</v>
      </c>
      <c r="DF269" s="4">
        <f t="shared" si="932"/>
        <v>1.8022614595125072E-5</v>
      </c>
      <c r="DG269" s="4">
        <f t="shared" si="1004"/>
        <v>10.040473869357923</v>
      </c>
      <c r="DH269" s="4">
        <f t="shared" si="934"/>
        <v>0.49355270134623253</v>
      </c>
      <c r="DI269" s="4">
        <f t="shared" si="1005"/>
        <v>7.5698560949832281</v>
      </c>
      <c r="DJ269" s="4">
        <f t="shared" si="1006"/>
        <v>8.8915625174409794</v>
      </c>
      <c r="DK269" s="4">
        <f t="shared" si="937"/>
        <v>9.400679013749011</v>
      </c>
      <c r="DL269" s="38">
        <f t="shared" si="938"/>
        <v>704.4636002853016</v>
      </c>
      <c r="DM269" s="4" t="e">
        <f t="shared" si="1007"/>
        <v>#REF!</v>
      </c>
      <c r="DN269" s="4">
        <f t="shared" si="940"/>
        <v>2.2360679774997898</v>
      </c>
      <c r="DO269" s="4">
        <f t="shared" si="976"/>
        <v>382.58816117679044</v>
      </c>
      <c r="DS269" s="4">
        <f t="shared" si="941"/>
        <v>0.85</v>
      </c>
      <c r="DT269" s="4">
        <f t="shared" si="942"/>
        <v>0.755</v>
      </c>
      <c r="DU269" s="4">
        <f t="shared" si="943"/>
        <v>0.92500000000000004</v>
      </c>
      <c r="DV269" s="4">
        <f t="shared" si="1008"/>
        <v>0.7</v>
      </c>
      <c r="DX269" s="4">
        <f t="shared" si="945"/>
        <v>657.00026227413082</v>
      </c>
      <c r="DY269" s="25">
        <f t="shared" si="851"/>
        <v>378.37711239944844</v>
      </c>
      <c r="EA269" s="4">
        <f t="shared" si="852"/>
        <v>0.59499999999999997</v>
      </c>
      <c r="EB269" s="4">
        <f t="shared" si="946"/>
        <v>10.040473869357923</v>
      </c>
      <c r="EE269" s="4">
        <f t="shared" si="947"/>
        <v>56.796126628494655</v>
      </c>
      <c r="EF269" s="4">
        <f t="shared" si="1009"/>
        <v>2.2360679774997898</v>
      </c>
      <c r="EG269" s="4">
        <f t="shared" si="949"/>
        <v>0.17661622488619055</v>
      </c>
      <c r="EJ269" s="4">
        <f t="shared" si="1020"/>
        <v>0.17661622488619055</v>
      </c>
      <c r="EK269" s="4">
        <f t="shared" si="950"/>
        <v>0.49272905387340471</v>
      </c>
      <c r="EL269" s="4">
        <f t="shared" si="1010"/>
        <v>7.5648004913415097</v>
      </c>
      <c r="EM269" s="4">
        <f t="shared" si="1011"/>
        <v>8.8894123808466254</v>
      </c>
      <c r="EN269" s="4" t="e">
        <f t="shared" si="1012"/>
        <v>#REF!</v>
      </c>
      <c r="EO269" s="4" t="e">
        <f t="shared" si="1013"/>
        <v>#REF!</v>
      </c>
      <c r="EP269" s="4" t="e">
        <f t="shared" si="951"/>
        <v>#REF!</v>
      </c>
      <c r="EQ269" s="4" t="e">
        <f t="shared" si="1014"/>
        <v>#REF!</v>
      </c>
      <c r="ER269" s="4" t="e">
        <f t="shared" si="952"/>
        <v>#REF!</v>
      </c>
      <c r="FA269" s="23" t="e">
        <f t="shared" si="1042"/>
        <v>#REF!</v>
      </c>
      <c r="FB269" s="23" t="e">
        <f t="shared" si="1043"/>
        <v>#REF!</v>
      </c>
      <c r="FC269" s="23">
        <f t="shared" si="981"/>
        <v>1.4</v>
      </c>
      <c r="FD269" s="23" t="e">
        <f t="shared" si="1044"/>
        <v>#REF!</v>
      </c>
      <c r="FE269" s="23">
        <f t="shared" si="1045"/>
        <v>1.2</v>
      </c>
      <c r="FF269" s="23">
        <f t="shared" si="1046"/>
        <v>1.2</v>
      </c>
      <c r="FG269" s="23">
        <f t="shared" si="968"/>
        <v>0</v>
      </c>
      <c r="FH269" s="23"/>
      <c r="FR269" s="4">
        <f t="shared" si="842"/>
        <v>1</v>
      </c>
      <c r="FS269" s="4">
        <f t="shared" si="843"/>
        <v>0.44</v>
      </c>
      <c r="FT269" s="4">
        <f t="shared" si="844"/>
        <v>0.3</v>
      </c>
      <c r="FU269" s="4">
        <f t="shared" si="845"/>
        <v>536.269024498764</v>
      </c>
    </row>
    <row r="270" spans="2:177" ht="12" customHeight="1" x14ac:dyDescent="0.3">
      <c r="B270" s="24" t="s">
        <v>406</v>
      </c>
      <c r="C270" s="7" t="s">
        <v>401</v>
      </c>
      <c r="D270" s="38">
        <f>129/0.145</f>
        <v>889.65517241379314</v>
      </c>
      <c r="E270" s="38">
        <f>10.5*25.4</f>
        <v>266.7</v>
      </c>
      <c r="F270" s="38">
        <f>8450/145</f>
        <v>58.275862068965516</v>
      </c>
      <c r="G270" s="38">
        <f t="shared" si="1016"/>
        <v>25.4</v>
      </c>
      <c r="H270" s="38">
        <f>16.8*25.4</f>
        <v>426.71999999999997</v>
      </c>
      <c r="I270" s="38">
        <f>2.45*25.4</f>
        <v>62.230000000000004</v>
      </c>
      <c r="J270" s="39">
        <f>3.25*25.4</f>
        <v>82.55</v>
      </c>
      <c r="K270" s="7">
        <f t="shared" si="986"/>
        <v>251.45999999999995</v>
      </c>
      <c r="L270" s="38">
        <v>2</v>
      </c>
      <c r="M270" s="4">
        <f t="shared" si="1028"/>
        <v>260.34999999999997</v>
      </c>
      <c r="N270" s="7">
        <f t="shared" si="905"/>
        <v>2.95</v>
      </c>
      <c r="O270" s="7">
        <f t="shared" si="906"/>
        <v>2.95</v>
      </c>
      <c r="P270" s="38">
        <v>4.0999999999999996</v>
      </c>
      <c r="Q270" s="4">
        <f t="shared" si="1017"/>
        <v>4.0999999999999996</v>
      </c>
      <c r="R270" s="4">
        <f t="shared" si="907"/>
        <v>5.0999999999999996</v>
      </c>
      <c r="S270" s="7">
        <f t="shared" si="908"/>
        <v>57.361276136431961</v>
      </c>
      <c r="V270" s="38">
        <f t="shared" si="1054"/>
        <v>673.10344827586209</v>
      </c>
      <c r="W270" s="4">
        <v>97.6</v>
      </c>
      <c r="X270" s="4">
        <f t="shared" si="910"/>
        <v>0.89800579941581282</v>
      </c>
      <c r="Y270" s="38"/>
      <c r="Z270" s="38"/>
      <c r="AA270" s="39">
        <v>1</v>
      </c>
      <c r="AB270" s="39"/>
      <c r="AC270" s="39"/>
      <c r="AD270" s="7"/>
      <c r="AE270" s="4">
        <f t="shared" si="912"/>
        <v>266.7</v>
      </c>
      <c r="AF270" s="4">
        <f t="shared" si="913"/>
        <v>0.53333333333333321</v>
      </c>
      <c r="AG270" s="4">
        <f t="shared" si="914"/>
        <v>328.0889220335178</v>
      </c>
      <c r="AH270" s="4">
        <f t="shared" si="915"/>
        <v>0.75619047619047619</v>
      </c>
      <c r="AI270" s="4">
        <v>1.25</v>
      </c>
      <c r="AJ270" s="4">
        <f t="shared" si="857"/>
        <v>2.5</v>
      </c>
      <c r="AK270" s="38">
        <f t="shared" si="988"/>
        <v>413.49619697557625</v>
      </c>
      <c r="AL270" s="38">
        <f t="shared" si="953"/>
        <v>413.49619697557625</v>
      </c>
      <c r="AM270" s="38">
        <f t="shared" si="916"/>
        <v>4.3073554520828159</v>
      </c>
      <c r="AN270" s="38">
        <f t="shared" si="858"/>
        <v>413.49619697557631</v>
      </c>
      <c r="AO270" s="38">
        <f t="shared" si="840"/>
        <v>0.99999999999999989</v>
      </c>
      <c r="AP270" s="38">
        <f t="shared" si="859"/>
        <v>1.6836861023789744</v>
      </c>
      <c r="AQ270" s="4">
        <f t="shared" si="860"/>
        <v>0</v>
      </c>
      <c r="AR270" s="4" t="e">
        <f>#REF!/G270*F270^0.5/0.19</f>
        <v>#REF!</v>
      </c>
      <c r="AS270" s="4">
        <f t="shared" si="917"/>
        <v>1</v>
      </c>
      <c r="AT270" s="38">
        <f t="shared" si="918"/>
        <v>696.1978002343368</v>
      </c>
      <c r="AU270" s="4">
        <f t="shared" si="919"/>
        <v>0.42600000000000005</v>
      </c>
      <c r="AV270" s="4" t="e">
        <f>AU270*D270*#REF!/(D270*G270/2.75/F270^0.5)</f>
        <v>#REF!</v>
      </c>
      <c r="AW270" s="4" t="e">
        <f t="shared" si="989"/>
        <v>#REF!</v>
      </c>
      <c r="AY270" s="4">
        <f t="shared" si="920"/>
        <v>1.3625</v>
      </c>
      <c r="AZ270" s="4" t="e">
        <f>(3*#REF!+30)*AY270*F270^0.5</f>
        <v>#REF!</v>
      </c>
      <c r="BB270" s="4">
        <f t="shared" si="921"/>
        <v>667.73882986782667</v>
      </c>
      <c r="BC270" s="4">
        <f t="shared" si="1047"/>
        <v>0</v>
      </c>
      <c r="BD270" s="4">
        <f t="shared" si="990"/>
        <v>0</v>
      </c>
      <c r="BL270" s="4">
        <f t="shared" si="923"/>
        <v>62.230000000000004</v>
      </c>
      <c r="BP270" s="9"/>
      <c r="BR270" s="9"/>
      <c r="BS270" s="9"/>
      <c r="BT270" s="9">
        <f t="shared" si="924"/>
        <v>62.230000000000004</v>
      </c>
      <c r="BU270" s="9">
        <f t="shared" si="925"/>
        <v>125.72999999999998</v>
      </c>
      <c r="BV270" s="9">
        <f t="shared" si="926"/>
        <v>1.7393977716706714</v>
      </c>
      <c r="BW270" s="40">
        <f t="shared" si="1018"/>
        <v>0</v>
      </c>
      <c r="BX270" s="9">
        <f t="shared" si="927"/>
        <v>0</v>
      </c>
      <c r="BY270" s="9">
        <f t="shared" si="991"/>
        <v>0</v>
      </c>
      <c r="BZ270" s="9">
        <f t="shared" si="928"/>
        <v>0.99524931562137331</v>
      </c>
      <c r="CA270" s="9">
        <f t="shared" si="929"/>
        <v>0.68</v>
      </c>
      <c r="CB270" s="9">
        <f t="shared" si="930"/>
        <v>1.8082280338026815</v>
      </c>
      <c r="CC270" s="9">
        <f t="shared" si="931"/>
        <v>3.1452278126688236</v>
      </c>
      <c r="CD270" s="40">
        <v>1</v>
      </c>
      <c r="CE270" s="9" t="e">
        <f>4*CC270*#REF!+60*CC270</f>
        <v>#REF!</v>
      </c>
      <c r="CG270" s="4" t="e">
        <f t="shared" si="992"/>
        <v>#REF!</v>
      </c>
      <c r="CH270" s="4" t="e">
        <f t="shared" si="993"/>
        <v>#REF!</v>
      </c>
      <c r="CI270" s="4" t="e">
        <f t="shared" si="994"/>
        <v>#REF!</v>
      </c>
      <c r="CJ270" s="4" t="e">
        <f t="shared" si="995"/>
        <v>#REF!</v>
      </c>
      <c r="CK270" s="4">
        <f t="shared" si="996"/>
        <v>0.89800579941581282</v>
      </c>
      <c r="CL270" s="4">
        <f t="shared" si="997"/>
        <v>0.94606036381909953</v>
      </c>
      <c r="CM270" s="4">
        <f t="shared" si="978"/>
        <v>1.4542450707802723</v>
      </c>
      <c r="CN270" s="4">
        <f t="shared" si="1019"/>
        <v>0</v>
      </c>
      <c r="CO270" s="4" t="e">
        <f t="shared" ref="CO270" si="1062">CG270</f>
        <v>#REF!</v>
      </c>
      <c r="CP270" s="4" t="e">
        <f t="shared" ref="CP270" si="1063">CH270</f>
        <v>#REF!</v>
      </c>
      <c r="CQ270" s="4" t="e">
        <f t="shared" ref="CQ270" si="1064">CJ270</f>
        <v>#REF!</v>
      </c>
      <c r="CR270" s="4">
        <f t="shared" ref="CR270" si="1065">CM270</f>
        <v>1.4542450707802723</v>
      </c>
      <c r="CS270" s="4">
        <f t="shared" ref="CS270" si="1066">CK270</f>
        <v>0.89800579941581282</v>
      </c>
      <c r="CT270" s="4">
        <f t="shared" ref="CT270" si="1067">CL270</f>
        <v>0.94606036381909953</v>
      </c>
      <c r="DC270" s="4" t="e">
        <f>#REF!</f>
        <v>#REF!</v>
      </c>
      <c r="DF270" s="4">
        <f t="shared" si="932"/>
        <v>2.255634789357827E-5</v>
      </c>
      <c r="DG270" s="4">
        <f t="shared" si="1004"/>
        <v>9.5888978004068353</v>
      </c>
      <c r="DH270" s="4">
        <f t="shared" si="934"/>
        <v>0.38626435926056812</v>
      </c>
      <c r="DI270" s="4">
        <f t="shared" si="1005"/>
        <v>6.5542430902842153</v>
      </c>
      <c r="DJ270" s="4">
        <f t="shared" si="1006"/>
        <v>8.2134331184835929</v>
      </c>
      <c r="DK270" s="4">
        <f t="shared" si="937"/>
        <v>8.7925846918253416</v>
      </c>
      <c r="DL270" s="38">
        <f t="shared" si="938"/>
        <v>749.5535649254623</v>
      </c>
      <c r="DM270" s="4" t="e">
        <f t="shared" si="1007"/>
        <v>#REF!</v>
      </c>
      <c r="DN270" s="4">
        <f t="shared" si="940"/>
        <v>2.2583179581272428</v>
      </c>
      <c r="DO270" s="4">
        <f t="shared" si="976"/>
        <v>413.49619697557631</v>
      </c>
      <c r="DS270" s="4">
        <f t="shared" si="941"/>
        <v>0.85</v>
      </c>
      <c r="DT270" s="4">
        <f t="shared" si="942"/>
        <v>0.85499999999999998</v>
      </c>
      <c r="DU270" s="4">
        <f t="shared" si="943"/>
        <v>1</v>
      </c>
      <c r="DV270" s="4">
        <f t="shared" si="1008"/>
        <v>0.85499999999999998</v>
      </c>
      <c r="DX270" s="4">
        <f t="shared" si="945"/>
        <v>711.48044460783399</v>
      </c>
      <c r="DY270" s="25">
        <f t="shared" si="851"/>
        <v>409.43016389501861</v>
      </c>
      <c r="EA270" s="4">
        <f t="shared" si="852"/>
        <v>0.72675000000000001</v>
      </c>
      <c r="EB270" s="4">
        <f t="shared" si="946"/>
        <v>9.5888978004068353</v>
      </c>
      <c r="EE270" s="4">
        <f t="shared" si="947"/>
        <v>57.361276136431961</v>
      </c>
      <c r="EF270" s="4">
        <f t="shared" si="1009"/>
        <v>2.2583179581272428</v>
      </c>
      <c r="EG270" s="4">
        <f t="shared" si="949"/>
        <v>0.16123683190916255</v>
      </c>
      <c r="EJ270" s="4">
        <f t="shared" si="1020"/>
        <v>0.16123683190916255</v>
      </c>
      <c r="EK270" s="4">
        <f t="shared" si="950"/>
        <v>0.38561975603485255</v>
      </c>
      <c r="EL270" s="4">
        <f t="shared" si="1010"/>
        <v>6.5498657738834565</v>
      </c>
      <c r="EM270" s="4">
        <f t="shared" si="1011"/>
        <v>8.21169001258904</v>
      </c>
      <c r="EN270" s="4" t="e">
        <f t="shared" si="1012"/>
        <v>#REF!</v>
      </c>
      <c r="EO270" s="4" t="e">
        <f t="shared" si="1013"/>
        <v>#REF!</v>
      </c>
      <c r="EP270" s="4" t="e">
        <f t="shared" si="951"/>
        <v>#REF!</v>
      </c>
      <c r="EQ270" s="4" t="e">
        <f t="shared" si="1014"/>
        <v>#REF!</v>
      </c>
      <c r="ER270" s="4" t="e">
        <f t="shared" si="952"/>
        <v>#REF!</v>
      </c>
      <c r="FA270" s="23" t="e">
        <f t="shared" si="1042"/>
        <v>#REF!</v>
      </c>
      <c r="FB270" s="23" t="e">
        <f t="shared" si="1043"/>
        <v>#REF!</v>
      </c>
      <c r="FC270" s="23">
        <f t="shared" si="981"/>
        <v>1.6</v>
      </c>
      <c r="FD270" s="23" t="e">
        <f t="shared" si="1044"/>
        <v>#REF!</v>
      </c>
      <c r="FE270" s="23">
        <f t="shared" si="1045"/>
        <v>1</v>
      </c>
      <c r="FF270" s="23">
        <f t="shared" si="1046"/>
        <v>1</v>
      </c>
      <c r="FG270" s="23">
        <f t="shared" si="968"/>
        <v>0</v>
      </c>
      <c r="FH270" s="23"/>
      <c r="FR270" s="4">
        <f t="shared" si="842"/>
        <v>1.25</v>
      </c>
      <c r="FS270" s="4">
        <f t="shared" si="843"/>
        <v>0.5</v>
      </c>
      <c r="FT270" s="4">
        <f t="shared" si="844"/>
        <v>0</v>
      </c>
      <c r="FU270" s="4">
        <f t="shared" si="845"/>
        <v>462.8542064885321</v>
      </c>
    </row>
    <row r="271" spans="2:177" ht="12" customHeight="1" x14ac:dyDescent="0.3">
      <c r="B271" s="24"/>
      <c r="C271" s="7" t="s">
        <v>402</v>
      </c>
      <c r="D271" s="38">
        <f>129/0.145</f>
        <v>889.65517241379314</v>
      </c>
      <c r="E271" s="38">
        <f>9.88*25.4</f>
        <v>250.952</v>
      </c>
      <c r="F271" s="38">
        <f>8450/145</f>
        <v>58.275862068965516</v>
      </c>
      <c r="G271" s="38">
        <f t="shared" si="1016"/>
        <v>25.4</v>
      </c>
      <c r="H271" s="38">
        <f>17*25.4</f>
        <v>431.79999999999995</v>
      </c>
      <c r="I271" s="38">
        <f>2.45*25.4</f>
        <v>62.230000000000004</v>
      </c>
      <c r="J271" s="39">
        <f>3.2*25.4</f>
        <v>81.28</v>
      </c>
      <c r="K271" s="7">
        <f t="shared" si="986"/>
        <v>256.53999999999996</v>
      </c>
      <c r="L271" s="38">
        <v>2</v>
      </c>
      <c r="M271" s="4">
        <f t="shared" si="1028"/>
        <v>260.34999999999997</v>
      </c>
      <c r="N271" s="7">
        <f t="shared" si="905"/>
        <v>2.95</v>
      </c>
      <c r="O271" s="7">
        <f t="shared" si="906"/>
        <v>2.95</v>
      </c>
      <c r="P271" s="38">
        <v>4.0999999999999996</v>
      </c>
      <c r="Q271" s="4">
        <f t="shared" si="1017"/>
        <v>4.0999999999999996</v>
      </c>
      <c r="R271" s="4">
        <f t="shared" si="907"/>
        <v>5.0999999999999996</v>
      </c>
      <c r="S271" s="7">
        <f t="shared" si="908"/>
        <v>57.361276136431961</v>
      </c>
      <c r="V271" s="38">
        <f t="shared" si="1054"/>
        <v>640.68965517241384</v>
      </c>
      <c r="W271" s="4">
        <v>92.9</v>
      </c>
      <c r="X271" s="4">
        <f t="shared" si="910"/>
        <v>0.88210240843168164</v>
      </c>
      <c r="Y271" s="38">
        <f>0.375*25.4</f>
        <v>9.5249999999999986</v>
      </c>
      <c r="Z271" s="38">
        <v>4</v>
      </c>
      <c r="AA271" s="39">
        <f>5*25.4</f>
        <v>127</v>
      </c>
      <c r="AB271" s="39">
        <v>2</v>
      </c>
      <c r="AC271" s="39">
        <v>1</v>
      </c>
      <c r="AD271" s="7"/>
      <c r="AE271" s="4">
        <f t="shared" si="912"/>
        <v>250.952</v>
      </c>
      <c r="AF271" s="4">
        <f t="shared" si="913"/>
        <v>0.57354925775978405</v>
      </c>
      <c r="AG271" s="4">
        <f t="shared" si="914"/>
        <v>299.46290614995218</v>
      </c>
      <c r="AH271" s="4">
        <f t="shared" si="915"/>
        <v>0.75971659919028334</v>
      </c>
      <c r="AI271" s="4">
        <v>1.25</v>
      </c>
      <c r="AJ271" s="4">
        <f t="shared" si="857"/>
        <v>2.5</v>
      </c>
      <c r="AK271" s="38">
        <f t="shared" si="988"/>
        <v>407.77011544217817</v>
      </c>
      <c r="AL271" s="38">
        <f t="shared" si="953"/>
        <v>407.77011544217817</v>
      </c>
      <c r="AM271" s="38">
        <f t="shared" si="916"/>
        <v>4.3073554520828159</v>
      </c>
      <c r="AN271" s="38">
        <f t="shared" si="858"/>
        <v>407.77011544217788</v>
      </c>
      <c r="AO271" s="38">
        <f t="shared" si="840"/>
        <v>1.0000000000000007</v>
      </c>
      <c r="AP271" s="38">
        <f t="shared" si="859"/>
        <v>1.7073291393102548</v>
      </c>
      <c r="AQ271" s="4">
        <f t="shared" si="860"/>
        <v>0</v>
      </c>
      <c r="AR271" s="4" t="e">
        <f>#REF!/G271*F271^0.5/0.19</f>
        <v>#REF!</v>
      </c>
      <c r="AS271" s="4">
        <f t="shared" si="917"/>
        <v>1</v>
      </c>
      <c r="AT271" s="38">
        <f t="shared" si="918"/>
        <v>696.1978002343368</v>
      </c>
      <c r="AU271" s="4">
        <f t="shared" si="919"/>
        <v>0.42600000000000005</v>
      </c>
      <c r="AV271" s="4" t="e">
        <f>AU271*D271*#REF!/(D271*G271/2.75/F271^0.5)</f>
        <v>#REF!</v>
      </c>
      <c r="AW271" s="4" t="e">
        <f t="shared" ref="AW271:AW334" si="1068">AT271+AV271</f>
        <v>#REF!</v>
      </c>
      <c r="AY271" s="4">
        <f t="shared" si="920"/>
        <v>1.5</v>
      </c>
      <c r="AZ271" s="4" t="e">
        <f>(3*#REF!+30)*AY271*F271^0.5</f>
        <v>#REF!</v>
      </c>
      <c r="BB271" s="4">
        <f t="shared" si="921"/>
        <v>667.73882986782667</v>
      </c>
      <c r="BC271" s="4">
        <f t="shared" si="1047"/>
        <v>0</v>
      </c>
      <c r="BD271" s="4">
        <f t="shared" ref="BD271:BD334" si="1069">BC271/BB271</f>
        <v>0</v>
      </c>
      <c r="BL271" s="4">
        <f t="shared" si="923"/>
        <v>62.230000000000004</v>
      </c>
      <c r="BP271" s="9"/>
      <c r="BR271" s="9"/>
      <c r="BS271" s="9"/>
      <c r="BT271" s="9">
        <f t="shared" si="924"/>
        <v>62.230000000000004</v>
      </c>
      <c r="BU271" s="9">
        <f t="shared" si="925"/>
        <v>128.26999999999998</v>
      </c>
      <c r="BV271" s="9">
        <f t="shared" si="926"/>
        <v>1.7446239745816772</v>
      </c>
      <c r="BW271" s="40">
        <f t="shared" si="1018"/>
        <v>20</v>
      </c>
      <c r="BX271" s="9">
        <f t="shared" si="927"/>
        <v>0.05</v>
      </c>
      <c r="BY271" s="9">
        <f t="shared" ref="BY271:BY334" si="1070">MAX(0,BW271*(BX271-0.5/50))</f>
        <v>0.8</v>
      </c>
      <c r="BZ271" s="9">
        <f t="shared" si="928"/>
        <v>0.99524931562137331</v>
      </c>
      <c r="CA271" s="9">
        <f t="shared" si="929"/>
        <v>0.68</v>
      </c>
      <c r="CB271" s="9">
        <f t="shared" si="930"/>
        <v>1.8082280338026815</v>
      </c>
      <c r="CC271" s="9">
        <f t="shared" si="931"/>
        <v>4.5205700845067041</v>
      </c>
      <c r="CD271" s="40">
        <v>1</v>
      </c>
      <c r="CE271" s="9" t="e">
        <f>4*CC271*#REF!+60*CC271</f>
        <v>#REF!</v>
      </c>
      <c r="CG271" s="4" t="e">
        <f t="shared" ref="CG271:CG334" si="1071">V271/AR271</f>
        <v>#REF!</v>
      </c>
      <c r="CH271" s="4" t="e">
        <f t="shared" ref="CH271:CH334" si="1072">V271/AW271</f>
        <v>#REF!</v>
      </c>
      <c r="CI271" s="4" t="e">
        <f t="shared" ref="CI271:CI334" si="1073">V271/AZ271</f>
        <v>#REF!</v>
      </c>
      <c r="CJ271" s="4" t="e">
        <f t="shared" ref="CJ271:CJ334" si="1074">V271/CE271</f>
        <v>#REF!</v>
      </c>
      <c r="CK271" s="4">
        <f t="shared" ref="CK271:CK334" si="1075">V271/DL271</f>
        <v>0.88210240843168164</v>
      </c>
      <c r="CL271" s="4">
        <f t="shared" ref="CL271:CL334" si="1076">V271/DX271</f>
        <v>0.9280417512964777</v>
      </c>
      <c r="CM271" s="4">
        <f t="shared" si="978"/>
        <v>1.3171284334108457</v>
      </c>
      <c r="CN271" s="4">
        <f t="shared" si="1019"/>
        <v>4</v>
      </c>
      <c r="CU271" s="4" t="e">
        <f t="shared" ref="CU271" si="1077">CG271</f>
        <v>#REF!</v>
      </c>
      <c r="CV271" s="4" t="e">
        <f t="shared" ref="CV271" si="1078">CH271</f>
        <v>#REF!</v>
      </c>
      <c r="CW271" s="4" t="e">
        <f t="shared" ref="CW271" si="1079">CJ271</f>
        <v>#REF!</v>
      </c>
      <c r="CX271" s="4">
        <f t="shared" ref="CX271" si="1080">CM271</f>
        <v>1.3171284334108457</v>
      </c>
      <c r="CY271" s="4">
        <f t="shared" ref="CY271" si="1081">CK271</f>
        <v>0.88210240843168164</v>
      </c>
      <c r="CZ271" s="4">
        <f t="shared" ref="CZ271" si="1082">CL271</f>
        <v>0.9280417512964777</v>
      </c>
      <c r="DC271" s="4" t="e">
        <f>#REF!</f>
        <v>#REF!</v>
      </c>
      <c r="DF271" s="4">
        <f t="shared" si="932"/>
        <v>2.1224449256052693E-5</v>
      </c>
      <c r="DG271" s="4">
        <f t="shared" ref="DG271:DG334" si="1083">EB271</f>
        <v>9.6796444672876554</v>
      </c>
      <c r="DH271" s="4">
        <f t="shared" si="934"/>
        <v>0.38091538330686042</v>
      </c>
      <c r="DI271" s="4">
        <f t="shared" ref="DI271:DI334" si="1084">DG271*DH271^0.4</f>
        <v>6.5794684815608173</v>
      </c>
      <c r="DJ271" s="4">
        <f t="shared" ref="DJ271:DJ334" si="1085">MIN(DG271, DG271/1.4*(1-DH271^1.4)/(1-DH271))</f>
        <v>8.276532705653139</v>
      </c>
      <c r="DK271" s="4">
        <f t="shared" si="937"/>
        <v>8.9640353926650587</v>
      </c>
      <c r="DL271" s="38">
        <f t="shared" si="938"/>
        <v>726.32117206381588</v>
      </c>
      <c r="DM271" s="4" t="e">
        <f t="shared" ref="DM271:DM334" si="1086">DL271/ER271</f>
        <v>#REF!</v>
      </c>
      <c r="DN271" s="4">
        <f t="shared" si="940"/>
        <v>2.2583179581272428</v>
      </c>
      <c r="DO271" s="4">
        <f t="shared" si="976"/>
        <v>407.77011544217788</v>
      </c>
      <c r="DS271" s="4">
        <f t="shared" si="941"/>
        <v>0.85</v>
      </c>
      <c r="DT271" s="4">
        <f t="shared" si="942"/>
        <v>0.85499999999999998</v>
      </c>
      <c r="DU271" s="4">
        <f t="shared" si="943"/>
        <v>0.99062499999999998</v>
      </c>
      <c r="DV271" s="4">
        <f t="shared" ref="DV271:DV334" si="1087">IF(DT271*DU271&lt;0.7,0.7,DT271*DU271)</f>
        <v>0.84698437500000001</v>
      </c>
      <c r="DX271" s="4">
        <f t="shared" si="945"/>
        <v>690.36727526252787</v>
      </c>
      <c r="DY271" s="25">
        <f t="shared" si="851"/>
        <v>403.46261325212174</v>
      </c>
      <c r="EA271" s="4">
        <f t="shared" si="852"/>
        <v>0.71993671874999998</v>
      </c>
      <c r="EB271" s="4">
        <f t="shared" si="946"/>
        <v>9.6796444672876554</v>
      </c>
      <c r="EE271" s="4">
        <f t="shared" si="947"/>
        <v>57.361276136431961</v>
      </c>
      <c r="EF271" s="4">
        <f t="shared" ref="EF271:EF334" si="1088">R271^0.5</f>
        <v>2.2583179581272428</v>
      </c>
      <c r="EG271" s="4">
        <f t="shared" si="949"/>
        <v>0.15900402964289828</v>
      </c>
      <c r="EJ271" s="4">
        <f t="shared" ref="EJ271:EJ334" si="1089">EG271</f>
        <v>0.15900402964289828</v>
      </c>
      <c r="EK271" s="4">
        <f t="shared" si="950"/>
        <v>0.38027970652509807</v>
      </c>
      <c r="EL271" s="4">
        <f t="shared" ref="EL271:EL334" si="1090">EB271/1*EK271^0.4</f>
        <v>6.5750743181317404</v>
      </c>
      <c r="EM271" s="4">
        <f t="shared" ref="EM271:EM334" si="1091">EB271/1.4*(1-EK271^1.4)/(1-EK271)</f>
        <v>8.274789692335105</v>
      </c>
      <c r="EN271" s="4" t="e">
        <f t="shared" ref="EN271:EN334" si="1092">MAX(0,DC271*EN$9-EE271)</f>
        <v>#REF!</v>
      </c>
      <c r="EO271" s="4" t="e">
        <f t="shared" ref="EO271:EO334" si="1093">MAX(0,DC271-EE271-EN271)</f>
        <v>#REF!</v>
      </c>
      <c r="EP271" s="4" t="e">
        <f t="shared" si="951"/>
        <v>#REF!</v>
      </c>
      <c r="EQ271" s="4" t="e">
        <f t="shared" ref="EQ271:EQ334" si="1094">MAX(0.5*EB271, (1-2*EP271*(EE271*EL271+EN271*EM271))/(1/EB271+EP271*EO271))</f>
        <v>#REF!</v>
      </c>
      <c r="ER271" s="4" t="e">
        <f t="shared" si="952"/>
        <v>#REF!</v>
      </c>
      <c r="FA271" s="23" t="e">
        <f t="shared" si="1042"/>
        <v>#REF!</v>
      </c>
      <c r="FB271" s="23" t="e">
        <f t="shared" si="1043"/>
        <v>#REF!</v>
      </c>
      <c r="FC271" s="23">
        <f t="shared" si="981"/>
        <v>1.4</v>
      </c>
      <c r="FD271" s="23" t="e">
        <f t="shared" si="1044"/>
        <v>#REF!</v>
      </c>
      <c r="FE271" s="23">
        <f t="shared" si="1045"/>
        <v>1</v>
      </c>
      <c r="FF271" s="23">
        <f t="shared" si="1046"/>
        <v>1</v>
      </c>
      <c r="FG271" s="23">
        <f t="shared" si="968"/>
        <v>0</v>
      </c>
      <c r="FH271" s="23"/>
      <c r="FR271" s="4">
        <f t="shared" si="842"/>
        <v>1.25</v>
      </c>
      <c r="FS271" s="4">
        <f t="shared" si="843"/>
        <v>0.44767441860465118</v>
      </c>
      <c r="FT271" s="4">
        <f t="shared" si="844"/>
        <v>0.28124999999999994</v>
      </c>
      <c r="FU271" s="4">
        <f t="shared" si="845"/>
        <v>486.42914306638954</v>
      </c>
    </row>
    <row r="272" spans="2:177" ht="12" customHeight="1" x14ac:dyDescent="0.3">
      <c r="B272" s="24"/>
      <c r="C272" s="7" t="s">
        <v>403</v>
      </c>
      <c r="D272" s="38">
        <f>129/0.145</f>
        <v>889.65517241379314</v>
      </c>
      <c r="E272" s="38">
        <f>10.58*25.4</f>
        <v>268.73199999999997</v>
      </c>
      <c r="F272" s="38">
        <f>8450/145</f>
        <v>58.275862068965516</v>
      </c>
      <c r="G272" s="38">
        <f t="shared" si="1016"/>
        <v>25.4</v>
      </c>
      <c r="H272" s="38">
        <f>11.9*25.4</f>
        <v>302.26</v>
      </c>
      <c r="I272" s="38">
        <f>2.45*25.4</f>
        <v>62.230000000000004</v>
      </c>
      <c r="J272" s="39">
        <f>3*25.4</f>
        <v>76.199999999999989</v>
      </c>
      <c r="K272" s="7">
        <f t="shared" si="986"/>
        <v>50.8</v>
      </c>
      <c r="L272" s="38">
        <v>3</v>
      </c>
      <c r="M272" s="4">
        <f t="shared" si="1028"/>
        <v>260.34999999999997</v>
      </c>
      <c r="N272" s="7">
        <f t="shared" si="905"/>
        <v>1.5</v>
      </c>
      <c r="O272" s="7">
        <f t="shared" si="906"/>
        <v>2.95</v>
      </c>
      <c r="P272" s="38">
        <v>4.0999999999999996</v>
      </c>
      <c r="Q272" s="4">
        <f t="shared" si="1017"/>
        <v>4.0999999999999996</v>
      </c>
      <c r="R272" s="4">
        <f t="shared" si="907"/>
        <v>5.0999999999999996</v>
      </c>
      <c r="S272" s="7">
        <f t="shared" si="908"/>
        <v>57.361276136431961</v>
      </c>
      <c r="V272" s="38">
        <f t="shared" si="1054"/>
        <v>478.6206896551725</v>
      </c>
      <c r="W272" s="4">
        <v>69.400000000000006</v>
      </c>
      <c r="X272" s="4">
        <f t="shared" si="910"/>
        <v>1.0355623876435345</v>
      </c>
      <c r="Y272" s="38"/>
      <c r="Z272" s="38"/>
      <c r="AA272" s="39">
        <v>1</v>
      </c>
      <c r="AB272" s="39"/>
      <c r="AC272" s="39"/>
      <c r="AD272" s="7"/>
      <c r="AE272" s="4">
        <f t="shared" si="912"/>
        <v>268.73199999999997</v>
      </c>
      <c r="AF272" s="4">
        <f t="shared" si="913"/>
        <v>0.37492123503465657</v>
      </c>
      <c r="AG272" s="4">
        <f t="shared" si="914"/>
        <v>221.23042849479285</v>
      </c>
      <c r="AH272" s="4">
        <f t="shared" si="915"/>
        <v>0.75576559546313793</v>
      </c>
      <c r="AI272" s="4">
        <v>1.25</v>
      </c>
      <c r="AJ272" s="4">
        <f t="shared" si="857"/>
        <v>2.5</v>
      </c>
      <c r="AK272" s="38">
        <f t="shared" si="988"/>
        <v>195.8944080476719</v>
      </c>
      <c r="AL272" s="38">
        <f t="shared" si="953"/>
        <v>195.8944080476719</v>
      </c>
      <c r="AM272" s="38">
        <f t="shared" si="916"/>
        <v>4.3073554520828159</v>
      </c>
      <c r="AN272" s="38">
        <f t="shared" si="858"/>
        <v>195.89440804767207</v>
      </c>
      <c r="AO272" s="38">
        <f t="shared" si="840"/>
        <v>0.99999999999999911</v>
      </c>
      <c r="AP272" s="38">
        <f t="shared" si="859"/>
        <v>2.5058318604956216</v>
      </c>
      <c r="AQ272" s="4">
        <f t="shared" si="860"/>
        <v>0</v>
      </c>
      <c r="AR272" s="4" t="e">
        <f>#REF!/G272*F272^0.5/0.19</f>
        <v>#REF!</v>
      </c>
      <c r="AS272" s="4">
        <f t="shared" si="917"/>
        <v>1.3866666666666667</v>
      </c>
      <c r="AT272" s="38">
        <f t="shared" si="918"/>
        <v>490.87844897878659</v>
      </c>
      <c r="AU272" s="4">
        <f t="shared" si="919"/>
        <v>0.42600000000000005</v>
      </c>
      <c r="AV272" s="4" t="e">
        <f>AU272*D272*#REF!/(D272*G272/2.75/F272^0.5)</f>
        <v>#REF!</v>
      </c>
      <c r="AW272" s="4" t="e">
        <f t="shared" si="1068"/>
        <v>#REF!</v>
      </c>
      <c r="AY272" s="4">
        <f t="shared" si="920"/>
        <v>1.3625</v>
      </c>
      <c r="AZ272" s="4" t="e">
        <f>(3*#REF!+30)*AY272*F272^0.5</f>
        <v>#REF!</v>
      </c>
      <c r="BB272" s="4">
        <f t="shared" si="921"/>
        <v>470.81246309324723</v>
      </c>
      <c r="BC272" s="4">
        <f t="shared" si="1047"/>
        <v>0</v>
      </c>
      <c r="BD272" s="4">
        <f t="shared" si="1069"/>
        <v>0</v>
      </c>
      <c r="BL272" s="4">
        <f t="shared" si="923"/>
        <v>25.4</v>
      </c>
      <c r="BP272" s="9"/>
      <c r="BR272" s="9"/>
      <c r="BS272" s="9"/>
      <c r="BT272" s="9">
        <f t="shared" si="924"/>
        <v>25.4</v>
      </c>
      <c r="BU272" s="9">
        <f t="shared" si="925"/>
        <v>62.230000000000004</v>
      </c>
      <c r="BV272" s="9">
        <f t="shared" si="926"/>
        <v>1.1438653713927442</v>
      </c>
      <c r="BW272" s="40">
        <f t="shared" si="1018"/>
        <v>0</v>
      </c>
      <c r="BX272" s="9">
        <f t="shared" si="927"/>
        <v>0</v>
      </c>
      <c r="BY272" s="9">
        <f t="shared" si="1070"/>
        <v>0</v>
      </c>
      <c r="BZ272" s="9">
        <f t="shared" si="928"/>
        <v>0.99524931562137331</v>
      </c>
      <c r="CA272" s="9">
        <f t="shared" si="929"/>
        <v>0.68</v>
      </c>
      <c r="CB272" s="9">
        <f t="shared" si="930"/>
        <v>1.8082280338026815</v>
      </c>
      <c r="CC272" s="9">
        <f t="shared" si="931"/>
        <v>2.0683694314484757</v>
      </c>
      <c r="CD272" s="40">
        <v>1</v>
      </c>
      <c r="CE272" s="9" t="e">
        <f>4*CC272*#REF!+60*CC272</f>
        <v>#REF!</v>
      </c>
      <c r="CG272" s="4" t="e">
        <f t="shared" si="1071"/>
        <v>#REF!</v>
      </c>
      <c r="CH272" s="4" t="e">
        <f t="shared" si="1072"/>
        <v>#REF!</v>
      </c>
      <c r="CI272" s="4" t="e">
        <f t="shared" si="1073"/>
        <v>#REF!</v>
      </c>
      <c r="CJ272" s="4" t="e">
        <f t="shared" si="1074"/>
        <v>#REF!</v>
      </c>
      <c r="CK272" s="4">
        <f t="shared" si="1075"/>
        <v>1.0355623876435345</v>
      </c>
      <c r="CL272" s="4">
        <f t="shared" si="1076"/>
        <v>1.0537522781326267</v>
      </c>
      <c r="CM272" s="4">
        <f t="shared" si="978"/>
        <v>1.8814484318433564</v>
      </c>
      <c r="CN272" s="4">
        <f t="shared" si="1019"/>
        <v>0</v>
      </c>
      <c r="CO272" s="4" t="e">
        <f t="shared" ref="CO272" si="1095">CG272</f>
        <v>#REF!</v>
      </c>
      <c r="CP272" s="4" t="e">
        <f t="shared" ref="CP272" si="1096">CH272</f>
        <v>#REF!</v>
      </c>
      <c r="CQ272" s="4" t="e">
        <f t="shared" ref="CQ272" si="1097">CJ272</f>
        <v>#REF!</v>
      </c>
      <c r="CR272" s="4">
        <f t="shared" ref="CR272" si="1098">CM272</f>
        <v>1.8814484318433564</v>
      </c>
      <c r="CS272" s="4">
        <f t="shared" ref="CS272" si="1099">CK272</f>
        <v>1.0355623876435345</v>
      </c>
      <c r="CT272" s="4">
        <f t="shared" ref="CT272" si="1100">CL272</f>
        <v>1.0537522781326267</v>
      </c>
      <c r="DC272" s="4" t="e">
        <f>#REF!</f>
        <v>#REF!</v>
      </c>
      <c r="DF272" s="4">
        <f t="shared" si="932"/>
        <v>2.2728205782291242E-5</v>
      </c>
      <c r="DG272" s="4">
        <f t="shared" si="1083"/>
        <v>8.1985076193478434</v>
      </c>
      <c r="DH272" s="4">
        <f t="shared" si="934"/>
        <v>0.18299328642128165</v>
      </c>
      <c r="DI272" s="4">
        <f t="shared" si="1084"/>
        <v>4.1563189503887896</v>
      </c>
      <c r="DJ272" s="4">
        <f t="shared" si="1085"/>
        <v>6.5027697461111531</v>
      </c>
      <c r="DK272" s="4">
        <f t="shared" si="937"/>
        <v>7.664283561396096</v>
      </c>
      <c r="DL272" s="38">
        <f t="shared" si="938"/>
        <v>462.18431198944364</v>
      </c>
      <c r="DM272" s="4" t="e">
        <f t="shared" si="1086"/>
        <v>#REF!</v>
      </c>
      <c r="DN272" s="4">
        <f t="shared" si="940"/>
        <v>2.2583179581272428</v>
      </c>
      <c r="DO272" s="4">
        <f t="shared" si="976"/>
        <v>195.89440804767207</v>
      </c>
      <c r="DS272" s="4">
        <f t="shared" si="941"/>
        <v>0.85</v>
      </c>
      <c r="DT272" s="4">
        <f t="shared" si="942"/>
        <v>1</v>
      </c>
      <c r="DU272" s="4">
        <f t="shared" si="943"/>
        <v>1</v>
      </c>
      <c r="DV272" s="4">
        <f t="shared" si="1087"/>
        <v>1</v>
      </c>
      <c r="DX272" s="4">
        <f t="shared" si="945"/>
        <v>454.20607820971429</v>
      </c>
      <c r="DY272" s="25">
        <f t="shared" si="851"/>
        <v>193.98544637161379</v>
      </c>
      <c r="EA272" s="4">
        <f t="shared" si="852"/>
        <v>0.85</v>
      </c>
      <c r="EB272" s="4">
        <f t="shared" si="946"/>
        <v>8.1985076193478434</v>
      </c>
      <c r="EE272" s="4">
        <f t="shared" si="947"/>
        <v>57.361276136431961</v>
      </c>
      <c r="EF272" s="4">
        <f t="shared" si="1088"/>
        <v>2.2583179581272428</v>
      </c>
      <c r="EG272" s="4">
        <f t="shared" si="949"/>
        <v>7.6386177124122462E-2</v>
      </c>
      <c r="EJ272" s="4">
        <f t="shared" si="1089"/>
        <v>7.6386177124122462E-2</v>
      </c>
      <c r="EK272" s="4">
        <f t="shared" si="950"/>
        <v>0.18268790473155688</v>
      </c>
      <c r="EL272" s="4">
        <f t="shared" si="1090"/>
        <v>4.1535431114615937</v>
      </c>
      <c r="EM272" s="4">
        <f t="shared" si="1091"/>
        <v>6.5018924962975211</v>
      </c>
      <c r="EN272" s="4" t="e">
        <f t="shared" si="1092"/>
        <v>#REF!</v>
      </c>
      <c r="EO272" s="4" t="e">
        <f t="shared" si="1093"/>
        <v>#REF!</v>
      </c>
      <c r="EP272" s="4" t="e">
        <f t="shared" si="951"/>
        <v>#REF!</v>
      </c>
      <c r="EQ272" s="4" t="e">
        <f t="shared" si="1094"/>
        <v>#REF!</v>
      </c>
      <c r="ER272" s="4" t="e">
        <f t="shared" si="952"/>
        <v>#REF!</v>
      </c>
      <c r="FA272" s="23" t="e">
        <f t="shared" si="1042"/>
        <v>#REF!</v>
      </c>
      <c r="FB272" s="23" t="e">
        <f t="shared" si="1043"/>
        <v>#REF!</v>
      </c>
      <c r="FC272" s="23">
        <f t="shared" si="981"/>
        <v>2</v>
      </c>
      <c r="FD272" s="23" t="e">
        <f t="shared" si="1044"/>
        <v>#REF!</v>
      </c>
      <c r="FE272" s="23">
        <f t="shared" si="1045"/>
        <v>1.2</v>
      </c>
      <c r="FF272" s="23">
        <f t="shared" si="1046"/>
        <v>1.2</v>
      </c>
      <c r="FG272" s="23">
        <f t="shared" si="968"/>
        <v>0</v>
      </c>
      <c r="FH272" s="23"/>
      <c r="FR272" s="4">
        <f t="shared" si="842"/>
        <v>1.25</v>
      </c>
      <c r="FS272" s="4">
        <f t="shared" si="843"/>
        <v>0.91666666666666663</v>
      </c>
      <c r="FT272" s="4">
        <f t="shared" si="844"/>
        <v>0</v>
      </c>
      <c r="FU272" s="4">
        <f t="shared" si="845"/>
        <v>254.38948076096989</v>
      </c>
    </row>
    <row r="273" spans="2:177" ht="12" customHeight="1" x14ac:dyDescent="0.3">
      <c r="B273" s="24"/>
      <c r="C273" s="7" t="s">
        <v>407</v>
      </c>
      <c r="D273" s="38">
        <f t="shared" ref="D273:D290" si="1101">129/0.145</f>
        <v>889.65517241379314</v>
      </c>
      <c r="E273" s="38">
        <f>10.33*25.4</f>
        <v>262.38200000000001</v>
      </c>
      <c r="F273" s="38">
        <f>8450/145</f>
        <v>58.275862068965516</v>
      </c>
      <c r="G273" s="38">
        <f t="shared" si="1016"/>
        <v>25.4</v>
      </c>
      <c r="H273" s="38">
        <f>11.8*25.4</f>
        <v>299.72000000000003</v>
      </c>
      <c r="I273" s="38">
        <f>2.5*25.4</f>
        <v>63.5</v>
      </c>
      <c r="J273" s="39">
        <f>3.2*25.4</f>
        <v>81.28</v>
      </c>
      <c r="K273" s="7">
        <f t="shared" si="986"/>
        <v>48.260000000000019</v>
      </c>
      <c r="L273" s="38">
        <v>3</v>
      </c>
      <c r="M273" s="4">
        <f t="shared" si="1028"/>
        <v>260.34999999999997</v>
      </c>
      <c r="N273" s="7">
        <f t="shared" si="905"/>
        <v>1.4500000000000004</v>
      </c>
      <c r="O273" s="7">
        <f t="shared" si="906"/>
        <v>3</v>
      </c>
      <c r="P273" s="38">
        <v>4.0999999999999996</v>
      </c>
      <c r="Q273" s="4">
        <f t="shared" si="1017"/>
        <v>4.0999999999999996</v>
      </c>
      <c r="R273" s="4">
        <f t="shared" si="907"/>
        <v>5.0999999999999996</v>
      </c>
      <c r="S273" s="7">
        <f t="shared" si="908"/>
        <v>57.361276136431961</v>
      </c>
      <c r="V273" s="38">
        <f t="shared" si="1054"/>
        <v>440.68965517241384</v>
      </c>
      <c r="W273" s="4">
        <v>63.9</v>
      </c>
      <c r="X273" s="4">
        <f t="shared" si="910"/>
        <v>0.97531366488201143</v>
      </c>
      <c r="Y273" s="38">
        <f t="shared" ref="Y273:Y275" si="1102">0.375*25.4</f>
        <v>9.5249999999999986</v>
      </c>
      <c r="Z273" s="38">
        <v>2</v>
      </c>
      <c r="AA273" s="39">
        <f>3*25.4</f>
        <v>76.199999999999989</v>
      </c>
      <c r="AB273" s="39">
        <v>2</v>
      </c>
      <c r="AC273" s="39"/>
      <c r="AD273" s="7"/>
      <c r="AE273" s="4">
        <f t="shared" si="912"/>
        <v>262.38200000000001</v>
      </c>
      <c r="AF273" s="4">
        <f t="shared" si="913"/>
        <v>0.38076798967408843</v>
      </c>
      <c r="AG273" s="4">
        <f t="shared" si="914"/>
        <v>213.43559112635208</v>
      </c>
      <c r="AH273" s="4">
        <f t="shared" si="915"/>
        <v>0.75808325266214904</v>
      </c>
      <c r="AI273" s="4">
        <v>1.25</v>
      </c>
      <c r="AJ273" s="4">
        <f t="shared" si="857"/>
        <v>2.5</v>
      </c>
      <c r="AK273" s="38">
        <f t="shared" si="988"/>
        <v>192.52813169855349</v>
      </c>
      <c r="AL273" s="38">
        <f t="shared" si="953"/>
        <v>192.52813169855349</v>
      </c>
      <c r="AM273" s="38">
        <f t="shared" si="916"/>
        <v>4.3073554520828159</v>
      </c>
      <c r="AN273" s="38">
        <f t="shared" si="858"/>
        <v>192.52813169855358</v>
      </c>
      <c r="AO273" s="38">
        <f t="shared" si="840"/>
        <v>0.99999999999999956</v>
      </c>
      <c r="AP273" s="38">
        <f t="shared" si="859"/>
        <v>2.5373874047690124</v>
      </c>
      <c r="AQ273" s="4">
        <f t="shared" si="860"/>
        <v>0</v>
      </c>
      <c r="AR273" s="4" t="e">
        <f>#REF!/G273*F273^0.5/0.19</f>
        <v>#REF!</v>
      </c>
      <c r="AS273" s="4">
        <f t="shared" si="917"/>
        <v>1.4275862068965515</v>
      </c>
      <c r="AT273" s="38">
        <f t="shared" si="918"/>
        <v>488.5184564356195</v>
      </c>
      <c r="AU273" s="4">
        <f t="shared" si="919"/>
        <v>0.42600000000000005</v>
      </c>
      <c r="AV273" s="4" t="e">
        <f>AU273*D273*#REF!/(D273*G273/2.75/F273^0.5)</f>
        <v>#REF!</v>
      </c>
      <c r="AW273" s="4" t="e">
        <f t="shared" si="1068"/>
        <v>#REF!</v>
      </c>
      <c r="AY273" s="4">
        <f t="shared" si="920"/>
        <v>1.5</v>
      </c>
      <c r="AZ273" s="4" t="e">
        <f>(3*#REF!+30)*AY273*F273^0.5</f>
        <v>#REF!</v>
      </c>
      <c r="BB273" s="4">
        <f t="shared" si="921"/>
        <v>468.54894163606815</v>
      </c>
      <c r="BC273" s="4">
        <f t="shared" ref="BC273:BC304" si="1103">8/3*T273*U273^2/(S273-G273-22)/G273*(S273^2-G273^2)/(S273^2-(G273+22)^2)</f>
        <v>0</v>
      </c>
      <c r="BD273" s="4">
        <f t="shared" si="1069"/>
        <v>0</v>
      </c>
      <c r="BL273" s="4">
        <f t="shared" si="923"/>
        <v>24.13000000000001</v>
      </c>
      <c r="BP273" s="9"/>
      <c r="BR273" s="9"/>
      <c r="BS273" s="9"/>
      <c r="BT273" s="9">
        <f t="shared" si="924"/>
        <v>24.13000000000001</v>
      </c>
      <c r="BU273" s="9">
        <f t="shared" si="925"/>
        <v>63.5</v>
      </c>
      <c r="BV273" s="9">
        <f t="shared" si="926"/>
        <v>1.1269230529691339</v>
      </c>
      <c r="BW273" s="40">
        <f t="shared" si="1018"/>
        <v>20</v>
      </c>
      <c r="BX273" s="9">
        <f t="shared" si="927"/>
        <v>4.9087385212340517E-2</v>
      </c>
      <c r="BY273" s="9">
        <f t="shared" si="1070"/>
        <v>0.78174770424681028</v>
      </c>
      <c r="BZ273" s="9">
        <f t="shared" si="928"/>
        <v>0.99524931562137331</v>
      </c>
      <c r="CA273" s="9">
        <f t="shared" si="929"/>
        <v>0.68</v>
      </c>
      <c r="CB273" s="9">
        <f t="shared" si="930"/>
        <v>1.8082280338026815</v>
      </c>
      <c r="CC273" s="9">
        <f t="shared" si="931"/>
        <v>3.4513119704972617</v>
      </c>
      <c r="CD273" s="40">
        <v>1</v>
      </c>
      <c r="CE273" s="9" t="e">
        <f>4*CC273*#REF!+60*CC273</f>
        <v>#REF!</v>
      </c>
      <c r="CG273" s="4" t="e">
        <f t="shared" si="1071"/>
        <v>#REF!</v>
      </c>
      <c r="CH273" s="4" t="e">
        <f t="shared" si="1072"/>
        <v>#REF!</v>
      </c>
      <c r="CI273" s="4" t="e">
        <f t="shared" si="1073"/>
        <v>#REF!</v>
      </c>
      <c r="CJ273" s="4" t="e">
        <f t="shared" si="1074"/>
        <v>#REF!</v>
      </c>
      <c r="CK273" s="4">
        <f t="shared" si="1075"/>
        <v>0.97531366488201143</v>
      </c>
      <c r="CL273" s="4">
        <f t="shared" si="1076"/>
        <v>0.99104241411838778</v>
      </c>
      <c r="CM273" s="4">
        <f t="shared" si="978"/>
        <v>1.0875170850034528</v>
      </c>
      <c r="CN273" s="4">
        <f>Z273</f>
        <v>2</v>
      </c>
      <c r="CU273" s="4" t="e">
        <f t="shared" ref="CU273" si="1104">CG273</f>
        <v>#REF!</v>
      </c>
      <c r="CV273" s="4" t="e">
        <f t="shared" ref="CV273" si="1105">CH273</f>
        <v>#REF!</v>
      </c>
      <c r="CW273" s="4" t="e">
        <f t="shared" ref="CW273" si="1106">CJ273</f>
        <v>#REF!</v>
      </c>
      <c r="CX273" s="4">
        <f t="shared" ref="CX273:CX275" si="1107">CM273</f>
        <v>1.0875170850034528</v>
      </c>
      <c r="CY273" s="4">
        <f t="shared" ref="CY273" si="1108">CK273</f>
        <v>0.97531366488201143</v>
      </c>
      <c r="CZ273" s="4">
        <f t="shared" ref="CZ273" si="1109">CL273</f>
        <v>0.99104241411838778</v>
      </c>
      <c r="DC273" s="4" t="e">
        <f>#REF!</f>
        <v>#REF!</v>
      </c>
      <c r="DF273" s="4">
        <f t="shared" si="932"/>
        <v>2.2191149880063189E-5</v>
      </c>
      <c r="DG273" s="4">
        <f t="shared" si="1083"/>
        <v>8.1985076193478434</v>
      </c>
      <c r="DH273" s="4">
        <f t="shared" si="934"/>
        <v>0.17984870471388795</v>
      </c>
      <c r="DI273" s="4">
        <f t="shared" si="1084"/>
        <v>4.1276012029721132</v>
      </c>
      <c r="DJ273" s="4">
        <f t="shared" si="1085"/>
        <v>6.4937181471209255</v>
      </c>
      <c r="DK273" s="4">
        <f t="shared" si="937"/>
        <v>7.6911276613412358</v>
      </c>
      <c r="DL273" s="38">
        <f t="shared" si="938"/>
        <v>451.84402827548433</v>
      </c>
      <c r="DM273" s="4" t="e">
        <f t="shared" si="1086"/>
        <v>#REF!</v>
      </c>
      <c r="DN273" s="4">
        <f t="shared" si="940"/>
        <v>2.2583179581272428</v>
      </c>
      <c r="DO273" s="4">
        <f t="shared" si="976"/>
        <v>192.52813169855358</v>
      </c>
      <c r="DS273" s="4">
        <f t="shared" si="941"/>
        <v>0.85</v>
      </c>
      <c r="DT273" s="4">
        <f t="shared" si="942"/>
        <v>1</v>
      </c>
      <c r="DU273" s="4">
        <f t="shared" si="943"/>
        <v>1</v>
      </c>
      <c r="DV273" s="4">
        <f t="shared" si="1087"/>
        <v>1</v>
      </c>
      <c r="DX273" s="4">
        <f t="shared" si="945"/>
        <v>444.67285041926573</v>
      </c>
      <c r="DY273" s="25">
        <f t="shared" si="851"/>
        <v>190.60109929567602</v>
      </c>
      <c r="EA273" s="4">
        <f t="shared" si="852"/>
        <v>0.85</v>
      </c>
      <c r="EB273" s="4">
        <f t="shared" si="946"/>
        <v>8.1985076193478434</v>
      </c>
      <c r="EE273" s="4">
        <f t="shared" si="947"/>
        <v>57.361276136431961</v>
      </c>
      <c r="EF273" s="4">
        <f t="shared" si="1088"/>
        <v>2.2583179581272428</v>
      </c>
      <c r="EG273" s="4">
        <f t="shared" si="949"/>
        <v>7.5073546590075091E-2</v>
      </c>
      <c r="EJ273" s="4">
        <f t="shared" si="1089"/>
        <v>7.5073546590075091E-2</v>
      </c>
      <c r="EK273" s="4">
        <f t="shared" si="950"/>
        <v>0.17954857074496247</v>
      </c>
      <c r="EL273" s="4">
        <f t="shared" si="1090"/>
        <v>4.1248445434779999</v>
      </c>
      <c r="EM273" s="4">
        <f t="shared" si="1091"/>
        <v>6.4928520803940772</v>
      </c>
      <c r="EN273" s="4" t="e">
        <f t="shared" si="1092"/>
        <v>#REF!</v>
      </c>
      <c r="EO273" s="4" t="e">
        <f t="shared" si="1093"/>
        <v>#REF!</v>
      </c>
      <c r="EP273" s="4" t="e">
        <f t="shared" si="951"/>
        <v>#REF!</v>
      </c>
      <c r="EQ273" s="4" t="e">
        <f t="shared" si="1094"/>
        <v>#REF!</v>
      </c>
      <c r="ER273" s="4" t="e">
        <f t="shared" si="952"/>
        <v>#REF!</v>
      </c>
      <c r="FA273" s="23" t="e">
        <f t="shared" si="1042"/>
        <v>#REF!</v>
      </c>
      <c r="FB273" s="23" t="e">
        <f t="shared" si="1043"/>
        <v>#REF!</v>
      </c>
      <c r="FC273" s="23">
        <f t="shared" si="981"/>
        <v>1.2</v>
      </c>
      <c r="FD273" s="23" t="e">
        <f t="shared" si="1044"/>
        <v>#REF!</v>
      </c>
      <c r="FE273" s="23">
        <f t="shared" si="1045"/>
        <v>1</v>
      </c>
      <c r="FF273" s="23">
        <f t="shared" si="1046"/>
        <v>1</v>
      </c>
      <c r="FG273" s="23">
        <f t="shared" si="968"/>
        <v>0</v>
      </c>
      <c r="FH273" s="23"/>
      <c r="FR273" s="4">
        <f t="shared" si="842"/>
        <v>1</v>
      </c>
      <c r="FS273" s="4">
        <f t="shared" si="843"/>
        <v>0.70232558139534873</v>
      </c>
      <c r="FT273" s="4">
        <f t="shared" si="844"/>
        <v>0.18749999999999997</v>
      </c>
      <c r="FU273" s="4">
        <f t="shared" si="845"/>
        <v>405.2255005915743</v>
      </c>
    </row>
    <row r="274" spans="2:177" ht="12" customHeight="1" x14ac:dyDescent="0.3">
      <c r="B274" s="24"/>
      <c r="C274" s="7" t="s">
        <v>408</v>
      </c>
      <c r="D274" s="38">
        <f t="shared" si="1101"/>
        <v>889.65517241379314</v>
      </c>
      <c r="E274" s="38">
        <f>10.08*25.4</f>
        <v>256.03199999999998</v>
      </c>
      <c r="F274" s="38">
        <f>8260/145</f>
        <v>56.96551724137931</v>
      </c>
      <c r="G274" s="38">
        <f t="shared" si="1016"/>
        <v>25.4</v>
      </c>
      <c r="H274" s="38">
        <f>11.8*25.4</f>
        <v>299.72000000000003</v>
      </c>
      <c r="I274" s="38">
        <f>2.45*25.4</f>
        <v>62.230000000000004</v>
      </c>
      <c r="J274" s="39">
        <f>3.13*25.4</f>
        <v>79.501999999999995</v>
      </c>
      <c r="K274" s="7">
        <f t="shared" si="986"/>
        <v>49.530000000000015</v>
      </c>
      <c r="L274" s="38">
        <v>3</v>
      </c>
      <c r="M274" s="4">
        <f t="shared" si="1028"/>
        <v>260.34999999999997</v>
      </c>
      <c r="N274" s="7">
        <f t="shared" si="905"/>
        <v>1.4750000000000003</v>
      </c>
      <c r="O274" s="7">
        <f t="shared" si="906"/>
        <v>2.95</v>
      </c>
      <c r="P274" s="38">
        <v>4.0999999999999996</v>
      </c>
      <c r="Q274" s="4">
        <f t="shared" si="1017"/>
        <v>4.0999999999999996</v>
      </c>
      <c r="R274" s="4">
        <f t="shared" si="907"/>
        <v>5.0999999999999996</v>
      </c>
      <c r="S274" s="7">
        <f t="shared" si="908"/>
        <v>57.361276136431961</v>
      </c>
      <c r="V274" s="38">
        <f t="shared" si="1054"/>
        <v>540.68965517241384</v>
      </c>
      <c r="W274" s="4">
        <v>78.400000000000006</v>
      </c>
      <c r="X274" s="4">
        <f t="shared" si="910"/>
        <v>1.2275313013278444</v>
      </c>
      <c r="Y274" s="38">
        <f t="shared" si="1102"/>
        <v>9.5249999999999986</v>
      </c>
      <c r="Z274" s="38">
        <v>4</v>
      </c>
      <c r="AA274" s="39">
        <f>5*25.4</f>
        <v>127</v>
      </c>
      <c r="AB274" s="39">
        <v>2</v>
      </c>
      <c r="AC274" s="39">
        <v>1</v>
      </c>
      <c r="AD274" s="7"/>
      <c r="AE274" s="4">
        <f t="shared" si="912"/>
        <v>256.03199999999998</v>
      </c>
      <c r="AF274" s="4">
        <f t="shared" si="913"/>
        <v>0.39021164021164034</v>
      </c>
      <c r="AG274" s="4">
        <f t="shared" si="914"/>
        <v>203.40837312963279</v>
      </c>
      <c r="AH274" s="4">
        <f t="shared" si="915"/>
        <v>0.758531746031746</v>
      </c>
      <c r="AI274" s="4">
        <v>1.25</v>
      </c>
      <c r="AJ274" s="4">
        <f t="shared" si="857"/>
        <v>2.5</v>
      </c>
      <c r="AK274" s="38">
        <f t="shared" si="988"/>
        <v>188.14506442671836</v>
      </c>
      <c r="AL274" s="38">
        <f t="shared" si="953"/>
        <v>188.14506442671836</v>
      </c>
      <c r="AM274" s="38">
        <f t="shared" si="916"/>
        <v>4.2706194667653463</v>
      </c>
      <c r="AN274" s="38">
        <f t="shared" si="858"/>
        <v>188.14506442671828</v>
      </c>
      <c r="AO274" s="38">
        <f t="shared" si="840"/>
        <v>1.0000000000000004</v>
      </c>
      <c r="AP274" s="38">
        <f t="shared" si="859"/>
        <v>2.5319853880339886</v>
      </c>
      <c r="AQ274" s="4">
        <f t="shared" si="860"/>
        <v>0</v>
      </c>
      <c r="AR274" s="4" t="e">
        <f>#REF!/G274*F274^0.5/0.19</f>
        <v>#REF!</v>
      </c>
      <c r="AS274" s="4">
        <f t="shared" si="917"/>
        <v>1.4</v>
      </c>
      <c r="AT274" s="38">
        <f t="shared" si="918"/>
        <v>476.38055395916405</v>
      </c>
      <c r="AU274" s="4">
        <f t="shared" si="919"/>
        <v>0.42600000000000005</v>
      </c>
      <c r="AV274" s="4" t="e">
        <f>AU274*D274*#REF!/(D274*G274/2.75/F274^0.5)</f>
        <v>#REF!</v>
      </c>
      <c r="AW274" s="4" t="e">
        <f t="shared" si="1068"/>
        <v>#REF!</v>
      </c>
      <c r="AY274" s="4">
        <f t="shared" si="920"/>
        <v>1.5</v>
      </c>
      <c r="AZ274" s="4" t="e">
        <f>(3*#REF!+30)*AY274*F274^0.5</f>
        <v>#REF!</v>
      </c>
      <c r="BB274" s="4">
        <f t="shared" si="921"/>
        <v>456.90720879239922</v>
      </c>
      <c r="BC274" s="4">
        <f t="shared" si="1103"/>
        <v>0</v>
      </c>
      <c r="BD274" s="4">
        <f t="shared" si="1069"/>
        <v>0</v>
      </c>
      <c r="BL274" s="4">
        <f t="shared" si="923"/>
        <v>24.765000000000008</v>
      </c>
      <c r="BP274" s="9"/>
      <c r="BR274" s="9"/>
      <c r="BS274" s="9"/>
      <c r="BT274" s="9">
        <f t="shared" si="924"/>
        <v>24.765000000000008</v>
      </c>
      <c r="BU274" s="9">
        <f t="shared" si="925"/>
        <v>62.230000000000004</v>
      </c>
      <c r="BV274" s="9">
        <f t="shared" si="926"/>
        <v>1.1337740906768172</v>
      </c>
      <c r="BW274" s="40">
        <f t="shared" si="1018"/>
        <v>20</v>
      </c>
      <c r="BX274" s="9">
        <f t="shared" si="927"/>
        <v>0.05</v>
      </c>
      <c r="BY274" s="9">
        <f t="shared" si="1070"/>
        <v>0.8</v>
      </c>
      <c r="BZ274" s="9">
        <f t="shared" si="928"/>
        <v>0.99524931562137331</v>
      </c>
      <c r="CA274" s="9">
        <f t="shared" si="929"/>
        <v>0.68</v>
      </c>
      <c r="CB274" s="9">
        <f t="shared" si="930"/>
        <v>1.7877832632633699</v>
      </c>
      <c r="CC274" s="9">
        <f t="shared" si="931"/>
        <v>3.4571689542443562</v>
      </c>
      <c r="CD274" s="40">
        <v>1</v>
      </c>
      <c r="CE274" s="9" t="e">
        <f>4*CC274*#REF!+60*CC274</f>
        <v>#REF!</v>
      </c>
      <c r="CG274" s="4" t="e">
        <f t="shared" si="1071"/>
        <v>#REF!</v>
      </c>
      <c r="CH274" s="4" t="e">
        <f t="shared" si="1072"/>
        <v>#REF!</v>
      </c>
      <c r="CI274" s="4" t="e">
        <f t="shared" si="1073"/>
        <v>#REF!</v>
      </c>
      <c r="CJ274" s="4" t="e">
        <f t="shared" si="1074"/>
        <v>#REF!</v>
      </c>
      <c r="CK274" s="4">
        <f t="shared" si="1075"/>
        <v>1.2275313013278444</v>
      </c>
      <c r="CL274" s="4">
        <f t="shared" si="1076"/>
        <v>1.246854111705707</v>
      </c>
      <c r="CM274" s="4">
        <f t="shared" si="978"/>
        <v>1.7132857924449365</v>
      </c>
      <c r="CN274" s="4">
        <f t="shared" si="1019"/>
        <v>4</v>
      </c>
      <c r="CU274" s="4" t="e">
        <f t="shared" ref="CU274:CU275" si="1110">CG274</f>
        <v>#REF!</v>
      </c>
      <c r="CV274" s="4" t="e">
        <f t="shared" ref="CV274:CV275" si="1111">CH274</f>
        <v>#REF!</v>
      </c>
      <c r="CW274" s="4" t="e">
        <f t="shared" ref="CW274:CW275" si="1112">CJ274</f>
        <v>#REF!</v>
      </c>
      <c r="CX274" s="4">
        <f t="shared" si="1107"/>
        <v>1.7132857924449365</v>
      </c>
      <c r="CY274" s="4">
        <f t="shared" ref="CY274:CY275" si="1113">CK274</f>
        <v>1.2275313013278444</v>
      </c>
      <c r="CZ274" s="4">
        <f t="shared" ref="CZ274:CZ275" si="1114">CL274</f>
        <v>1.246854111705707</v>
      </c>
      <c r="DC274" s="4" t="e">
        <f>#REF!</f>
        <v>#REF!</v>
      </c>
      <c r="DF274" s="4">
        <f t="shared" si="932"/>
        <v>2.1479580373570616E-5</v>
      </c>
      <c r="DG274" s="4">
        <f t="shared" si="1083"/>
        <v>8.182522155550533</v>
      </c>
      <c r="DH274" s="4">
        <f t="shared" si="934"/>
        <v>0.17979706977117263</v>
      </c>
      <c r="DI274" s="4">
        <f t="shared" si="1084"/>
        <v>4.1190800655574753</v>
      </c>
      <c r="DJ274" s="4">
        <f t="shared" si="1085"/>
        <v>6.4809080040143563</v>
      </c>
      <c r="DK274" s="4">
        <f t="shared" si="937"/>
        <v>7.7059970380125735</v>
      </c>
      <c r="DL274" s="38">
        <f t="shared" si="938"/>
        <v>440.4691388215839</v>
      </c>
      <c r="DM274" s="4" t="e">
        <f t="shared" si="1086"/>
        <v>#REF!</v>
      </c>
      <c r="DN274" s="4">
        <f t="shared" si="940"/>
        <v>2.2583179581272428</v>
      </c>
      <c r="DO274" s="4">
        <f t="shared" si="976"/>
        <v>188.14506442671828</v>
      </c>
      <c r="DS274" s="4">
        <f t="shared" si="941"/>
        <v>0.85</v>
      </c>
      <c r="DT274" s="4">
        <f t="shared" si="942"/>
        <v>1</v>
      </c>
      <c r="DU274" s="4">
        <f t="shared" si="943"/>
        <v>0.99062499999999998</v>
      </c>
      <c r="DV274" s="4">
        <f t="shared" si="1087"/>
        <v>0.99062499999999998</v>
      </c>
      <c r="DX274" s="4">
        <f t="shared" si="945"/>
        <v>433.64307828503354</v>
      </c>
      <c r="DY274" s="25">
        <f t="shared" si="851"/>
        <v>186.20360830118545</v>
      </c>
      <c r="EA274" s="4">
        <f t="shared" si="852"/>
        <v>0.84203125000000001</v>
      </c>
      <c r="EB274" s="4">
        <f t="shared" si="946"/>
        <v>8.182522155550533</v>
      </c>
      <c r="EE274" s="4">
        <f t="shared" si="947"/>
        <v>57.361276136431961</v>
      </c>
      <c r="EF274" s="4">
        <f t="shared" si="1088"/>
        <v>2.2583179581272428</v>
      </c>
      <c r="EG274" s="4">
        <f t="shared" si="949"/>
        <v>7.4203415787966812E-2</v>
      </c>
      <c r="EJ274" s="4">
        <f t="shared" si="1089"/>
        <v>7.4203415787966812E-2</v>
      </c>
      <c r="EK274" s="4">
        <f t="shared" si="950"/>
        <v>0.1794970219713431</v>
      </c>
      <c r="EL274" s="4">
        <f t="shared" si="1090"/>
        <v>4.1163290969896895</v>
      </c>
      <c r="EM274" s="4">
        <f t="shared" si="1091"/>
        <v>6.4800438098095814</v>
      </c>
      <c r="EN274" s="4" t="e">
        <f t="shared" si="1092"/>
        <v>#REF!</v>
      </c>
      <c r="EO274" s="4" t="e">
        <f t="shared" si="1093"/>
        <v>#REF!</v>
      </c>
      <c r="EP274" s="4" t="e">
        <f t="shared" si="951"/>
        <v>#REF!</v>
      </c>
      <c r="EQ274" s="4" t="e">
        <f t="shared" si="1094"/>
        <v>#REF!</v>
      </c>
      <c r="ER274" s="4" t="e">
        <f t="shared" si="952"/>
        <v>#REF!</v>
      </c>
      <c r="FA274" s="23" t="e">
        <f t="shared" si="1042"/>
        <v>#REF!</v>
      </c>
      <c r="FB274" s="23" t="e">
        <f t="shared" si="1043"/>
        <v>#REF!</v>
      </c>
      <c r="FC274" s="23">
        <f t="shared" si="981"/>
        <v>1.8</v>
      </c>
      <c r="FD274" s="23" t="e">
        <f t="shared" si="1044"/>
        <v>#REF!</v>
      </c>
      <c r="FE274" s="23">
        <f t="shared" si="1045"/>
        <v>1.4</v>
      </c>
      <c r="FF274" s="23">
        <f t="shared" si="1046"/>
        <v>1.4</v>
      </c>
      <c r="FG274" s="23">
        <f t="shared" si="968"/>
        <v>0</v>
      </c>
      <c r="FH274" s="23"/>
      <c r="FR274" s="4">
        <f t="shared" si="842"/>
        <v>1.25</v>
      </c>
      <c r="FS274" s="4">
        <f t="shared" si="843"/>
        <v>0.7</v>
      </c>
      <c r="FT274" s="4">
        <f t="shared" si="844"/>
        <v>0.18749999999999997</v>
      </c>
      <c r="FU274" s="4">
        <f t="shared" si="845"/>
        <v>315.58637651505018</v>
      </c>
    </row>
    <row r="275" spans="2:177" ht="12" customHeight="1" x14ac:dyDescent="0.3">
      <c r="B275" s="24"/>
      <c r="C275" s="7" t="s">
        <v>409</v>
      </c>
      <c r="D275" s="38">
        <f t="shared" si="1101"/>
        <v>889.65517241379314</v>
      </c>
      <c r="E275" s="38">
        <f>10.29*25.4</f>
        <v>261.36599999999999</v>
      </c>
      <c r="F275" s="38">
        <f>8260/145</f>
        <v>56.96551724137931</v>
      </c>
      <c r="G275" s="38">
        <f t="shared" si="1016"/>
        <v>25.4</v>
      </c>
      <c r="H275" s="38">
        <f>12.1*25.4</f>
        <v>307.33999999999997</v>
      </c>
      <c r="I275" s="38">
        <f>2.55*25.4</f>
        <v>64.77</v>
      </c>
      <c r="J275" s="39">
        <f>(2.8+2.9+2.5)/3*25.4</f>
        <v>69.426666666666648</v>
      </c>
      <c r="K275" s="7">
        <f t="shared" si="986"/>
        <v>50.8</v>
      </c>
      <c r="L275" s="38">
        <v>3</v>
      </c>
      <c r="M275" s="4">
        <f t="shared" si="1028"/>
        <v>260.34999999999997</v>
      </c>
      <c r="N275" s="7">
        <f t="shared" si="905"/>
        <v>1.5</v>
      </c>
      <c r="O275" s="7">
        <f t="shared" si="906"/>
        <v>3.05</v>
      </c>
      <c r="P275" s="38">
        <v>4.0999999999999996</v>
      </c>
      <c r="Q275" s="4">
        <f t="shared" si="1017"/>
        <v>4.0999999999999996</v>
      </c>
      <c r="R275" s="4">
        <f t="shared" si="907"/>
        <v>5.0999999999999996</v>
      </c>
      <c r="S275" s="7">
        <f t="shared" si="908"/>
        <v>57.361276136431961</v>
      </c>
      <c r="V275" s="38">
        <f t="shared" si="1054"/>
        <v>495.17241379310349</v>
      </c>
      <c r="W275" s="4">
        <v>71.8</v>
      </c>
      <c r="X275" s="4">
        <f t="shared" si="910"/>
        <v>1.0909962422431996</v>
      </c>
      <c r="Y275" s="38">
        <f t="shared" si="1102"/>
        <v>9.5249999999999986</v>
      </c>
      <c r="Z275" s="38">
        <v>4</v>
      </c>
      <c r="AA275" s="39">
        <f>5*25.4</f>
        <v>127</v>
      </c>
      <c r="AB275" s="39">
        <f>2+2</f>
        <v>4</v>
      </c>
      <c r="AC275" s="39">
        <v>1</v>
      </c>
      <c r="AD275" s="7"/>
      <c r="AE275" s="4">
        <f t="shared" si="912"/>
        <v>261.36599999999999</v>
      </c>
      <c r="AF275" s="4">
        <f t="shared" si="913"/>
        <v>0.39196631033365731</v>
      </c>
      <c r="AG275" s="4">
        <f t="shared" si="914"/>
        <v>209.79787755605903</v>
      </c>
      <c r="AH275" s="4">
        <f t="shared" si="915"/>
        <v>0.7592808551992225</v>
      </c>
      <c r="AI275" s="4">
        <v>1.25</v>
      </c>
      <c r="AJ275" s="4">
        <f t="shared" si="857"/>
        <v>2.5</v>
      </c>
      <c r="AK275" s="38">
        <f t="shared" si="988"/>
        <v>195.12023140042214</v>
      </c>
      <c r="AL275" s="38">
        <f t="shared" si="953"/>
        <v>195.12023140042214</v>
      </c>
      <c r="AM275" s="38">
        <f t="shared" si="916"/>
        <v>4.2706194667653463</v>
      </c>
      <c r="AN275" s="38">
        <f t="shared" si="858"/>
        <v>195.12023140042217</v>
      </c>
      <c r="AO275" s="38">
        <f t="shared" si="840"/>
        <v>0.99999999999999989</v>
      </c>
      <c r="AP275" s="38">
        <f t="shared" si="859"/>
        <v>2.5064989538523901</v>
      </c>
      <c r="AQ275" s="4">
        <f t="shared" si="860"/>
        <v>0</v>
      </c>
      <c r="AR275" s="4" t="e">
        <f>#REF!/G275*F275^0.5/0.19</f>
        <v>#REF!</v>
      </c>
      <c r="AS275" s="4">
        <f t="shared" si="917"/>
        <v>1.4133333333333333</v>
      </c>
      <c r="AT275" s="38">
        <f t="shared" si="918"/>
        <v>489.06865588059446</v>
      </c>
      <c r="AU275" s="4">
        <f t="shared" si="919"/>
        <v>0.42600000000000005</v>
      </c>
      <c r="AV275" s="4" t="e">
        <f>AU275*D275*#REF!/(D275*G275/2.75/F275^0.5)</f>
        <v>#REF!</v>
      </c>
      <c r="AW275" s="4" t="e">
        <f t="shared" si="1068"/>
        <v>#REF!</v>
      </c>
      <c r="AY275" s="4">
        <f t="shared" si="920"/>
        <v>1.5</v>
      </c>
      <c r="AZ275" s="4" t="e">
        <f>(3*#REF!+30)*AY275*F275^0.5</f>
        <v>#REF!</v>
      </c>
      <c r="BB275" s="4">
        <f t="shared" si="921"/>
        <v>469.07665018880698</v>
      </c>
      <c r="BC275" s="4">
        <f t="shared" si="1103"/>
        <v>0</v>
      </c>
      <c r="BD275" s="4">
        <f t="shared" si="1069"/>
        <v>0</v>
      </c>
      <c r="BL275" s="4">
        <f t="shared" si="923"/>
        <v>25.4</v>
      </c>
      <c r="BP275" s="9"/>
      <c r="BR275" s="9"/>
      <c r="BS275" s="9"/>
      <c r="BT275" s="9">
        <f t="shared" si="924"/>
        <v>25.4</v>
      </c>
      <c r="BU275" s="9">
        <f t="shared" si="925"/>
        <v>64.77</v>
      </c>
      <c r="BV275" s="9">
        <f t="shared" si="926"/>
        <v>1.150750115259513</v>
      </c>
      <c r="BW275" s="40">
        <f t="shared" si="1018"/>
        <v>20</v>
      </c>
      <c r="BX275" s="9">
        <f t="shared" si="927"/>
        <v>0.05</v>
      </c>
      <c r="BY275" s="9">
        <f t="shared" si="1070"/>
        <v>0.8</v>
      </c>
      <c r="BZ275" s="9">
        <f t="shared" si="928"/>
        <v>0.99524931562137331</v>
      </c>
      <c r="CA275" s="9">
        <f t="shared" si="929"/>
        <v>0.68</v>
      </c>
      <c r="CB275" s="9">
        <f t="shared" si="930"/>
        <v>1.7877832632633699</v>
      </c>
      <c r="CC275" s="9">
        <f t="shared" si="931"/>
        <v>3.4875184068700471</v>
      </c>
      <c r="CD275" s="40">
        <v>1</v>
      </c>
      <c r="CE275" s="9" t="e">
        <f>4*CC275*#REF!+60*CC275</f>
        <v>#REF!</v>
      </c>
      <c r="CG275" s="4" t="e">
        <f t="shared" si="1071"/>
        <v>#REF!</v>
      </c>
      <c r="CH275" s="4" t="e">
        <f t="shared" si="1072"/>
        <v>#REF!</v>
      </c>
      <c r="CI275" s="4" t="e">
        <f t="shared" si="1073"/>
        <v>#REF!</v>
      </c>
      <c r="CJ275" s="4" t="e">
        <f t="shared" si="1074"/>
        <v>#REF!</v>
      </c>
      <c r="CK275" s="4">
        <f t="shared" si="1075"/>
        <v>1.0909962422431996</v>
      </c>
      <c r="CL275" s="4">
        <f t="shared" si="1076"/>
        <v>1.1108598911062268</v>
      </c>
      <c r="CM275" s="4">
        <f t="shared" si="978"/>
        <v>1.1703923382083732</v>
      </c>
      <c r="CN275" s="4">
        <f t="shared" si="1019"/>
        <v>4</v>
      </c>
      <c r="CU275" s="4" t="e">
        <f t="shared" si="1110"/>
        <v>#REF!</v>
      </c>
      <c r="CV275" s="4" t="e">
        <f t="shared" si="1111"/>
        <v>#REF!</v>
      </c>
      <c r="CW275" s="4" t="e">
        <f t="shared" si="1112"/>
        <v>#REF!</v>
      </c>
      <c r="CX275" s="4">
        <f t="shared" si="1107"/>
        <v>1.1703923382083732</v>
      </c>
      <c r="CY275" s="4">
        <f t="shared" si="1113"/>
        <v>1.0909962422431996</v>
      </c>
      <c r="CZ275" s="4">
        <f t="shared" si="1114"/>
        <v>1.1108598911062268</v>
      </c>
      <c r="DC275" s="4" t="e">
        <f>#REF!</f>
        <v>#REF!</v>
      </c>
      <c r="DF275" s="4">
        <f t="shared" si="932"/>
        <v>2.1927071631353337E-5</v>
      </c>
      <c r="DG275" s="4">
        <f t="shared" si="1083"/>
        <v>8.182522155550533</v>
      </c>
      <c r="DH275" s="4">
        <f t="shared" si="934"/>
        <v>0.18646274865495269</v>
      </c>
      <c r="DI275" s="4">
        <f t="shared" si="1084"/>
        <v>4.1794970464391463</v>
      </c>
      <c r="DJ275" s="4">
        <f t="shared" si="1085"/>
        <v>6.5000111163899925</v>
      </c>
      <c r="DK275" s="4">
        <f t="shared" si="937"/>
        <v>7.6829977221807759</v>
      </c>
      <c r="DL275" s="38">
        <f t="shared" si="938"/>
        <v>453.87178673959363</v>
      </c>
      <c r="DM275" s="4" t="e">
        <f t="shared" si="1086"/>
        <v>#REF!</v>
      </c>
      <c r="DN275" s="4">
        <f t="shared" si="940"/>
        <v>2.2583179581272428</v>
      </c>
      <c r="DO275" s="4">
        <f t="shared" si="976"/>
        <v>195.12023140042217</v>
      </c>
      <c r="DS275" s="4">
        <f t="shared" si="941"/>
        <v>0.85</v>
      </c>
      <c r="DT275" s="4">
        <f t="shared" si="942"/>
        <v>1</v>
      </c>
      <c r="DU275" s="4">
        <f t="shared" si="943"/>
        <v>0.99062499999999998</v>
      </c>
      <c r="DV275" s="4">
        <f t="shared" si="1087"/>
        <v>0.99062499999999998</v>
      </c>
      <c r="DX275" s="4">
        <f t="shared" si="945"/>
        <v>445.75595694610621</v>
      </c>
      <c r="DY275" s="25">
        <f t="shared" si="851"/>
        <v>193.16149800426129</v>
      </c>
      <c r="EA275" s="4">
        <f t="shared" si="852"/>
        <v>0.84203125000000001</v>
      </c>
      <c r="EB275" s="4">
        <f t="shared" si="946"/>
        <v>8.182522155550533</v>
      </c>
      <c r="EE275" s="4">
        <f t="shared" si="947"/>
        <v>57.361276136431961</v>
      </c>
      <c r="EF275" s="4">
        <f t="shared" si="1088"/>
        <v>2.2583179581272428</v>
      </c>
      <c r="EG275" s="4">
        <f t="shared" si="949"/>
        <v>7.6954384657213118E-2</v>
      </c>
      <c r="EJ275" s="4">
        <f t="shared" si="1089"/>
        <v>7.6954384657213118E-2</v>
      </c>
      <c r="EK275" s="4">
        <f t="shared" si="950"/>
        <v>0.18615157707937979</v>
      </c>
      <c r="EL275" s="4">
        <f t="shared" si="1090"/>
        <v>4.1767057277900994</v>
      </c>
      <c r="EM275" s="4">
        <f t="shared" si="1091"/>
        <v>6.4991233439056897</v>
      </c>
      <c r="EN275" s="4" t="e">
        <f t="shared" si="1092"/>
        <v>#REF!</v>
      </c>
      <c r="EO275" s="4" t="e">
        <f t="shared" si="1093"/>
        <v>#REF!</v>
      </c>
      <c r="EP275" s="4" t="e">
        <f t="shared" si="951"/>
        <v>#REF!</v>
      </c>
      <c r="EQ275" s="4" t="e">
        <f t="shared" si="1094"/>
        <v>#REF!</v>
      </c>
      <c r="ER275" s="4" t="e">
        <f t="shared" si="952"/>
        <v>#REF!</v>
      </c>
      <c r="FA275" s="23" t="e">
        <f t="shared" si="1042"/>
        <v>#REF!</v>
      </c>
      <c r="FB275" s="23" t="e">
        <f t="shared" si="1043"/>
        <v>#REF!</v>
      </c>
      <c r="FC275" s="23">
        <f t="shared" si="981"/>
        <v>1.2</v>
      </c>
      <c r="FD275" s="23" t="e">
        <f t="shared" si="1044"/>
        <v>#REF!</v>
      </c>
      <c r="FE275" s="23">
        <f t="shared" si="1045"/>
        <v>1.2</v>
      </c>
      <c r="FF275" s="23">
        <f t="shared" si="1046"/>
        <v>1.2</v>
      </c>
      <c r="FG275" s="23">
        <f t="shared" si="968"/>
        <v>0</v>
      </c>
      <c r="FH275" s="23"/>
      <c r="FR275" s="4">
        <f t="shared" si="842"/>
        <v>1</v>
      </c>
      <c r="FS275" s="4">
        <f t="shared" si="843"/>
        <v>0.66627906976744189</v>
      </c>
      <c r="FT275" s="4">
        <f t="shared" si="844"/>
        <v>0.3</v>
      </c>
      <c r="FU275" s="4">
        <f t="shared" si="845"/>
        <v>423.08241230552591</v>
      </c>
    </row>
    <row r="276" spans="2:177" ht="12" customHeight="1" x14ac:dyDescent="0.3">
      <c r="B276" s="24"/>
      <c r="C276" s="7" t="s">
        <v>410</v>
      </c>
      <c r="D276" s="38">
        <f t="shared" si="1101"/>
        <v>889.65517241379314</v>
      </c>
      <c r="E276" s="38">
        <f>10.83*25.4</f>
        <v>275.08199999999999</v>
      </c>
      <c r="F276" s="38">
        <f>8450/145</f>
        <v>58.275862068965516</v>
      </c>
      <c r="G276" s="38">
        <f t="shared" si="1016"/>
        <v>25.4</v>
      </c>
      <c r="H276" s="38">
        <f>13.9*25.4</f>
        <v>353.06</v>
      </c>
      <c r="I276" s="38">
        <f>2.5*25.4</f>
        <v>63.5</v>
      </c>
      <c r="J276" s="39">
        <f>(2.8+3+2.8)/3*25.4</f>
        <v>72.813333333333333</v>
      </c>
      <c r="K276" s="7">
        <f t="shared" si="986"/>
        <v>74.930000000000007</v>
      </c>
      <c r="L276" s="38">
        <v>3</v>
      </c>
      <c r="M276" s="4">
        <f t="shared" si="1028"/>
        <v>260.34999999999997</v>
      </c>
      <c r="N276" s="7">
        <f t="shared" si="905"/>
        <v>1.9750000000000003</v>
      </c>
      <c r="O276" s="7">
        <f t="shared" si="906"/>
        <v>3</v>
      </c>
      <c r="P276" s="38">
        <v>4.0999999999999996</v>
      </c>
      <c r="Q276" s="4">
        <f t="shared" si="1017"/>
        <v>4.0999999999999996</v>
      </c>
      <c r="R276" s="4">
        <f t="shared" si="907"/>
        <v>5.0999999999999996</v>
      </c>
      <c r="S276" s="7">
        <f t="shared" si="908"/>
        <v>57.361276136431961</v>
      </c>
      <c r="V276" s="38">
        <f t="shared" si="1054"/>
        <v>512.41379310344826</v>
      </c>
      <c r="W276" s="4">
        <v>74.3</v>
      </c>
      <c r="X276" s="4">
        <f t="shared" si="910"/>
        <v>0.98097068748379734</v>
      </c>
      <c r="Y276" s="38"/>
      <c r="Z276" s="38"/>
      <c r="AA276" s="39">
        <v>1</v>
      </c>
      <c r="AB276" s="39"/>
      <c r="AC276" s="39"/>
      <c r="AD276" s="7"/>
      <c r="AE276" s="4">
        <f t="shared" si="912"/>
        <v>275.08199999999999</v>
      </c>
      <c r="AF276" s="4">
        <f t="shared" si="913"/>
        <v>0.42782394582948602</v>
      </c>
      <c r="AG276" s="4">
        <f t="shared" si="914"/>
        <v>229.11791256513948</v>
      </c>
      <c r="AH276" s="4">
        <f t="shared" si="915"/>
        <v>0.75540166204986148</v>
      </c>
      <c r="AI276" s="4">
        <v>1.25</v>
      </c>
      <c r="AJ276" s="4">
        <f t="shared" si="857"/>
        <v>2.5</v>
      </c>
      <c r="AK276" s="38">
        <f t="shared" si="988"/>
        <v>231.39399836523808</v>
      </c>
      <c r="AL276" s="38">
        <f t="shared" si="953"/>
        <v>231.39399836523808</v>
      </c>
      <c r="AM276" s="38">
        <f t="shared" si="916"/>
        <v>4.3073554520828159</v>
      </c>
      <c r="AN276" s="38">
        <f t="shared" si="858"/>
        <v>231.39399836523816</v>
      </c>
      <c r="AO276" s="38">
        <f t="shared" ref="AO276:AO339" si="1115">AK276/AN276</f>
        <v>0.99999999999999967</v>
      </c>
      <c r="AP276" s="38">
        <f t="shared" si="859"/>
        <v>2.4324668121122044</v>
      </c>
      <c r="AQ276" s="4">
        <f t="shared" si="860"/>
        <v>0</v>
      </c>
      <c r="AR276" s="4" t="e">
        <f>#REF!/G276*F276^0.5/0.19</f>
        <v>#REF!</v>
      </c>
      <c r="AS276" s="4">
        <f t="shared" si="917"/>
        <v>1.2075949367088605</v>
      </c>
      <c r="AT276" s="38">
        <f t="shared" si="918"/>
        <v>562.85822154538755</v>
      </c>
      <c r="AU276" s="4">
        <f t="shared" si="919"/>
        <v>0.42600000000000005</v>
      </c>
      <c r="AV276" s="4" t="e">
        <f>AU276*D276*#REF!/(D276*G276/2.75/F276^0.5)</f>
        <v>#REF!</v>
      </c>
      <c r="AW276" s="4" t="e">
        <f t="shared" si="1068"/>
        <v>#REF!</v>
      </c>
      <c r="AY276" s="4">
        <f t="shared" si="920"/>
        <v>1.375</v>
      </c>
      <c r="AZ276" s="4" t="e">
        <f>(3*#REF!+30)*AY276*F276^0.5</f>
        <v>#REF!</v>
      </c>
      <c r="BB276" s="4">
        <f t="shared" si="921"/>
        <v>539.84986753720898</v>
      </c>
      <c r="BC276" s="4">
        <f t="shared" si="1103"/>
        <v>0</v>
      </c>
      <c r="BD276" s="4">
        <f t="shared" si="1069"/>
        <v>0</v>
      </c>
      <c r="BL276" s="4">
        <f t="shared" si="923"/>
        <v>37.465000000000003</v>
      </c>
      <c r="BP276" s="9"/>
      <c r="BR276" s="9"/>
      <c r="BS276" s="9"/>
      <c r="BT276" s="9">
        <f t="shared" si="924"/>
        <v>37.465000000000003</v>
      </c>
      <c r="BU276" s="9">
        <f t="shared" si="925"/>
        <v>63.5</v>
      </c>
      <c r="BV276" s="9">
        <f t="shared" si="926"/>
        <v>1.3145230578736085</v>
      </c>
      <c r="BW276" s="40">
        <f t="shared" si="1018"/>
        <v>0</v>
      </c>
      <c r="BX276" s="9">
        <f t="shared" si="927"/>
        <v>0</v>
      </c>
      <c r="BY276" s="9">
        <f t="shared" si="1070"/>
        <v>0</v>
      </c>
      <c r="BZ276" s="9">
        <f t="shared" si="928"/>
        <v>0.99524931562137331</v>
      </c>
      <c r="CA276" s="9">
        <f t="shared" si="929"/>
        <v>0.68</v>
      </c>
      <c r="CB276" s="9">
        <f t="shared" si="930"/>
        <v>1.8082280338026815</v>
      </c>
      <c r="CC276" s="9">
        <f t="shared" si="931"/>
        <v>2.3769574443270836</v>
      </c>
      <c r="CD276" s="40">
        <v>1</v>
      </c>
      <c r="CE276" s="9" t="e">
        <f>4*CC276*#REF!+60*CC276</f>
        <v>#REF!</v>
      </c>
      <c r="CG276" s="4" t="e">
        <f t="shared" si="1071"/>
        <v>#REF!</v>
      </c>
      <c r="CH276" s="4" t="e">
        <f t="shared" si="1072"/>
        <v>#REF!</v>
      </c>
      <c r="CI276" s="4" t="e">
        <f t="shared" si="1073"/>
        <v>#REF!</v>
      </c>
      <c r="CJ276" s="4" t="e">
        <f t="shared" si="1074"/>
        <v>#REF!</v>
      </c>
      <c r="CK276" s="4">
        <f t="shared" si="1075"/>
        <v>0.98097068748379734</v>
      </c>
      <c r="CL276" s="4">
        <f t="shared" si="1076"/>
        <v>1.0069882788145434</v>
      </c>
      <c r="CM276" s="4">
        <f t="shared" si="978"/>
        <v>1.4382760123279739</v>
      </c>
      <c r="CN276" s="4">
        <f t="shared" si="1019"/>
        <v>0</v>
      </c>
      <c r="CO276" s="4" t="e">
        <f t="shared" ref="CO276" si="1116">CG276</f>
        <v>#REF!</v>
      </c>
      <c r="CP276" s="4" t="e">
        <f t="shared" ref="CP276" si="1117">CH276</f>
        <v>#REF!</v>
      </c>
      <c r="CQ276" s="4" t="e">
        <f t="shared" ref="CQ276" si="1118">CJ276</f>
        <v>#REF!</v>
      </c>
      <c r="CR276" s="4">
        <f t="shared" ref="CR276" si="1119">CM276</f>
        <v>1.4382760123279739</v>
      </c>
      <c r="CS276" s="4">
        <f t="shared" ref="CS276" si="1120">CK276</f>
        <v>0.98097068748379734</v>
      </c>
      <c r="CT276" s="4">
        <f t="shared" ref="CT276" si="1121">CL276</f>
        <v>1.0069882788145434</v>
      </c>
      <c r="DC276" s="4" t="e">
        <f>#REF!</f>
        <v>#REF!</v>
      </c>
      <c r="DF276" s="4">
        <f t="shared" si="932"/>
        <v>2.3265261684519301E-5</v>
      </c>
      <c r="DG276" s="4">
        <f t="shared" si="1083"/>
        <v>8.6073570806801509</v>
      </c>
      <c r="DH276" s="4">
        <f t="shared" si="934"/>
        <v>0.21615496144591859</v>
      </c>
      <c r="DI276" s="4">
        <f t="shared" si="1084"/>
        <v>4.6641864575427334</v>
      </c>
      <c r="DJ276" s="4">
        <f t="shared" si="1085"/>
        <v>6.9248108117237273</v>
      </c>
      <c r="DK276" s="4">
        <f t="shared" si="937"/>
        <v>7.9772446899415055</v>
      </c>
      <c r="DL276" s="38">
        <f t="shared" si="938"/>
        <v>522.35382732770165</v>
      </c>
      <c r="DM276" s="4" t="e">
        <f t="shared" si="1086"/>
        <v>#REF!</v>
      </c>
      <c r="DN276" s="4">
        <f t="shared" si="940"/>
        <v>2.2583179581272428</v>
      </c>
      <c r="DO276" s="4">
        <f t="shared" si="976"/>
        <v>231.39399836523816</v>
      </c>
      <c r="DS276" s="4">
        <f t="shared" si="941"/>
        <v>0.85</v>
      </c>
      <c r="DT276" s="4">
        <f t="shared" si="942"/>
        <v>0.95250000000000001</v>
      </c>
      <c r="DU276" s="4">
        <f t="shared" si="943"/>
        <v>1</v>
      </c>
      <c r="DV276" s="4">
        <f t="shared" si="1087"/>
        <v>0.95250000000000001</v>
      </c>
      <c r="DX276" s="4">
        <f t="shared" si="945"/>
        <v>508.85775324681737</v>
      </c>
      <c r="DY276" s="25">
        <f t="shared" si="851"/>
        <v>229.20472169551925</v>
      </c>
      <c r="EA276" s="4">
        <f t="shared" si="852"/>
        <v>0.80962500000000004</v>
      </c>
      <c r="EB276" s="4">
        <f t="shared" si="946"/>
        <v>8.6073570806801509</v>
      </c>
      <c r="EE276" s="4">
        <f t="shared" si="947"/>
        <v>57.361276136431961</v>
      </c>
      <c r="EF276" s="4">
        <f t="shared" si="1088"/>
        <v>2.2583179581272428</v>
      </c>
      <c r="EG276" s="4">
        <f t="shared" si="949"/>
        <v>9.0228726387557703E-2</v>
      </c>
      <c r="EJ276" s="4">
        <f t="shared" si="1089"/>
        <v>9.0228726387557703E-2</v>
      </c>
      <c r="EK276" s="4">
        <f t="shared" si="950"/>
        <v>0.21579423910107379</v>
      </c>
      <c r="EL276" s="4">
        <f t="shared" si="1090"/>
        <v>4.6610714342523911</v>
      </c>
      <c r="EM276" s="4">
        <f t="shared" si="1091"/>
        <v>6.9237702436815676</v>
      </c>
      <c r="EN276" s="4" t="e">
        <f t="shared" si="1092"/>
        <v>#REF!</v>
      </c>
      <c r="EO276" s="4" t="e">
        <f t="shared" si="1093"/>
        <v>#REF!</v>
      </c>
      <c r="EP276" s="4" t="e">
        <f t="shared" si="951"/>
        <v>#REF!</v>
      </c>
      <c r="EQ276" s="4" t="e">
        <f t="shared" si="1094"/>
        <v>#REF!</v>
      </c>
      <c r="ER276" s="4" t="e">
        <f t="shared" si="952"/>
        <v>#REF!</v>
      </c>
      <c r="FA276" s="23" t="e">
        <f t="shared" si="1042"/>
        <v>#REF!</v>
      </c>
      <c r="FB276" s="23" t="e">
        <f t="shared" si="1043"/>
        <v>#REF!</v>
      </c>
      <c r="FC276" s="23">
        <f t="shared" si="981"/>
        <v>1.6</v>
      </c>
      <c r="FD276" s="23" t="e">
        <f t="shared" si="1044"/>
        <v>#REF!</v>
      </c>
      <c r="FE276" s="23">
        <f t="shared" si="1045"/>
        <v>1</v>
      </c>
      <c r="FF276" s="23">
        <f t="shared" si="1046"/>
        <v>1.2</v>
      </c>
      <c r="FG276" s="23">
        <f t="shared" si="968"/>
        <v>0</v>
      </c>
      <c r="FH276" s="23"/>
      <c r="FR276" s="4">
        <f t="shared" ref="FR276:FR339" si="1122">IF(I276&gt;=2.5*25.4,1,1.25)</f>
        <v>1</v>
      </c>
      <c r="FS276" s="4">
        <f t="shared" ref="FS276:FS339" si="1123">IF(AA276&gt;1, 0.05*(18-MIN(8,(K276+G276)/G276))*(1-48000/MAX(60000,(D276*145))*(G276/25.4)^0.75*FT276), 1/12*(14-MIN(8,(K276+G276)/G276)))</f>
        <v>0.83749999999999991</v>
      </c>
      <c r="FT276" s="4">
        <f t="shared" ref="FT276:FT339" si="1124">MIN(0.3, Y276^2*PI()/4*2*AB276/(G276^2*PI()/4*L276))</f>
        <v>0</v>
      </c>
      <c r="FU276" s="4">
        <f t="shared" ref="FU276:FU339" si="1125">(E276/25.4)/(G276/25.4)^1.5/0.0024*(F276*145)^0.25/FR276/FS276/145</f>
        <v>356.26944252102368</v>
      </c>
    </row>
    <row r="277" spans="2:177" ht="12" customHeight="1" x14ac:dyDescent="0.3">
      <c r="B277" s="24"/>
      <c r="C277" s="7" t="s">
        <v>411</v>
      </c>
      <c r="D277" s="38">
        <f t="shared" si="1101"/>
        <v>889.65517241379314</v>
      </c>
      <c r="E277" s="38">
        <f>9.88*25.4</f>
        <v>250.952</v>
      </c>
      <c r="F277" s="38">
        <f>8050/145</f>
        <v>55.517241379310342</v>
      </c>
      <c r="G277" s="38">
        <f t="shared" si="1016"/>
        <v>25.4</v>
      </c>
      <c r="H277" s="38">
        <f>13.8*25.4</f>
        <v>350.52</v>
      </c>
      <c r="I277" s="38">
        <f>2.4*25.4</f>
        <v>60.959999999999994</v>
      </c>
      <c r="J277" s="39">
        <f>(3.4+3.5+2.9)/3*25.4</f>
        <v>82.973333333333343</v>
      </c>
      <c r="K277" s="7">
        <f t="shared" si="986"/>
        <v>76.2</v>
      </c>
      <c r="L277" s="38">
        <v>3</v>
      </c>
      <c r="M277" s="4">
        <f t="shared" si="1028"/>
        <v>260.34999999999997</v>
      </c>
      <c r="N277" s="7">
        <f t="shared" si="905"/>
        <v>2</v>
      </c>
      <c r="O277" s="7">
        <f t="shared" si="906"/>
        <v>2.9</v>
      </c>
      <c r="P277" s="38">
        <v>4.0999999999999996</v>
      </c>
      <c r="Q277" s="4">
        <f t="shared" si="1017"/>
        <v>4.0999999999999996</v>
      </c>
      <c r="R277" s="4">
        <f t="shared" si="907"/>
        <v>5.0999999999999996</v>
      </c>
      <c r="S277" s="7">
        <f t="shared" si="908"/>
        <v>57.361276136431961</v>
      </c>
      <c r="V277" s="38">
        <f t="shared" si="1054"/>
        <v>484.82758620689657</v>
      </c>
      <c r="W277" s="4">
        <v>70.3</v>
      </c>
      <c r="X277" s="4">
        <f t="shared" si="910"/>
        <v>1.0184221931806774</v>
      </c>
      <c r="Y277" s="38">
        <f t="shared" ref="Y277:Y278" si="1126">0.375*25.4</f>
        <v>9.5249999999999986</v>
      </c>
      <c r="Z277" s="38">
        <v>4</v>
      </c>
      <c r="AA277" s="39">
        <f>5*25.4</f>
        <v>127</v>
      </c>
      <c r="AB277" s="39">
        <v>2</v>
      </c>
      <c r="AC277" s="39">
        <v>1</v>
      </c>
      <c r="AD277" s="7"/>
      <c r="AE277" s="4">
        <f t="shared" si="912"/>
        <v>250.952</v>
      </c>
      <c r="AF277" s="4">
        <f t="shared" si="913"/>
        <v>0.46558704453441296</v>
      </c>
      <c r="AG277" s="4">
        <f t="shared" si="914"/>
        <v>194.8594002652321</v>
      </c>
      <c r="AH277" s="4">
        <f t="shared" si="915"/>
        <v>0.75870445344129545</v>
      </c>
      <c r="AI277" s="4">
        <v>1.25</v>
      </c>
      <c r="AJ277" s="4">
        <f t="shared" si="857"/>
        <v>2.5</v>
      </c>
      <c r="AK277" s="38">
        <f t="shared" si="988"/>
        <v>215.10222544604159</v>
      </c>
      <c r="AL277" s="38">
        <f t="shared" si="953"/>
        <v>215.10222544604159</v>
      </c>
      <c r="AM277" s="38">
        <f t="shared" si="916"/>
        <v>4.2292619080870573</v>
      </c>
      <c r="AN277" s="38">
        <f t="shared" si="858"/>
        <v>215.10222544604153</v>
      </c>
      <c r="AO277" s="38">
        <f t="shared" si="1115"/>
        <v>1.0000000000000002</v>
      </c>
      <c r="AP277" s="38">
        <f t="shared" si="859"/>
        <v>2.4667032243750677</v>
      </c>
      <c r="AQ277" s="4">
        <f t="shared" si="860"/>
        <v>0</v>
      </c>
      <c r="AR277" s="4" t="e">
        <f>#REF!/G277*F277^0.5/0.19</f>
        <v>#REF!</v>
      </c>
      <c r="AS277" s="4">
        <f t="shared" si="917"/>
        <v>1.18</v>
      </c>
      <c r="AT277" s="38">
        <f t="shared" si="918"/>
        <v>530.59335307800336</v>
      </c>
      <c r="AU277" s="4">
        <f t="shared" si="919"/>
        <v>0.42600000000000005</v>
      </c>
      <c r="AV277" s="4" t="e">
        <f>AU277*D277*#REF!/(D277*G277/2.75/F277^0.5)</f>
        <v>#REF!</v>
      </c>
      <c r="AW277" s="4" t="e">
        <f t="shared" si="1068"/>
        <v>#REF!</v>
      </c>
      <c r="AY277" s="4">
        <f t="shared" si="920"/>
        <v>1.5</v>
      </c>
      <c r="AZ277" s="4" t="e">
        <f>(3*#REF!+30)*AY277*F277^0.5</f>
        <v>#REF!</v>
      </c>
      <c r="BB277" s="4">
        <f t="shared" si="921"/>
        <v>508.90391294068667</v>
      </c>
      <c r="BC277" s="4">
        <f t="shared" si="1103"/>
        <v>0</v>
      </c>
      <c r="BD277" s="4">
        <f t="shared" si="1069"/>
        <v>0</v>
      </c>
      <c r="BL277" s="4">
        <f t="shared" si="923"/>
        <v>38.1</v>
      </c>
      <c r="BP277" s="9"/>
      <c r="BR277" s="9"/>
      <c r="BS277" s="9"/>
      <c r="BT277" s="9">
        <f t="shared" si="924"/>
        <v>38.1</v>
      </c>
      <c r="BU277" s="9">
        <f t="shared" si="925"/>
        <v>60.959999999999994</v>
      </c>
      <c r="BV277" s="9">
        <f t="shared" si="926"/>
        <v>1.3142065486214438</v>
      </c>
      <c r="BW277" s="40">
        <f t="shared" si="1018"/>
        <v>20</v>
      </c>
      <c r="BX277" s="9">
        <f t="shared" si="927"/>
        <v>0.05</v>
      </c>
      <c r="BY277" s="9">
        <f t="shared" si="1070"/>
        <v>0.8</v>
      </c>
      <c r="BZ277" s="9">
        <f t="shared" si="928"/>
        <v>0.99524931562137331</v>
      </c>
      <c r="CA277" s="9">
        <f t="shared" si="929"/>
        <v>0.68</v>
      </c>
      <c r="CB277" s="9">
        <f t="shared" si="930"/>
        <v>1.7649108936707618</v>
      </c>
      <c r="CC277" s="9">
        <f t="shared" si="931"/>
        <v>3.7313861691320489</v>
      </c>
      <c r="CD277" s="40">
        <v>1</v>
      </c>
      <c r="CE277" s="9" t="e">
        <f>4*CC277*#REF!+60*CC277</f>
        <v>#REF!</v>
      </c>
      <c r="CG277" s="4" t="e">
        <f t="shared" si="1071"/>
        <v>#REF!</v>
      </c>
      <c r="CH277" s="4" t="e">
        <f t="shared" si="1072"/>
        <v>#REF!</v>
      </c>
      <c r="CI277" s="4" t="e">
        <f t="shared" si="1073"/>
        <v>#REF!</v>
      </c>
      <c r="CJ277" s="4" t="e">
        <f t="shared" si="1074"/>
        <v>#REF!</v>
      </c>
      <c r="CK277" s="4">
        <f t="shared" si="1075"/>
        <v>1.0184221931806774</v>
      </c>
      <c r="CL277" s="4">
        <f t="shared" si="1076"/>
        <v>1.0429659273597731</v>
      </c>
      <c r="CM277" s="4">
        <f t="shared" si="978"/>
        <v>1.4674396207834461</v>
      </c>
      <c r="CN277" s="4">
        <f t="shared" si="1019"/>
        <v>4</v>
      </c>
      <c r="CU277" s="4" t="e">
        <f t="shared" ref="CU277:CU278" si="1127">CG277</f>
        <v>#REF!</v>
      </c>
      <c r="CV277" s="4" t="e">
        <f t="shared" ref="CV277:CV278" si="1128">CH277</f>
        <v>#REF!</v>
      </c>
      <c r="CW277" s="4" t="e">
        <f t="shared" ref="CW277:CW278" si="1129">CJ277</f>
        <v>#REF!</v>
      </c>
      <c r="CX277" s="4">
        <f t="shared" ref="CX277:CX278" si="1130">CM277</f>
        <v>1.4674396207834461</v>
      </c>
      <c r="CY277" s="4">
        <f t="shared" ref="CY277:CY278" si="1131">CK277</f>
        <v>1.0184221931806774</v>
      </c>
      <c r="CZ277" s="4">
        <f t="shared" ref="CZ277:CZ278" si="1132">CL277</f>
        <v>1.0429659273597731</v>
      </c>
      <c r="DC277" s="4" t="e">
        <f>#REF!</f>
        <v>#REF!</v>
      </c>
      <c r="DF277" s="4">
        <f t="shared" si="932"/>
        <v>2.0865275046333813E-5</v>
      </c>
      <c r="DG277" s="4">
        <f t="shared" si="1083"/>
        <v>8.5029867268035648</v>
      </c>
      <c r="DH277" s="4">
        <f t="shared" si="934"/>
        <v>0.21092052812996231</v>
      </c>
      <c r="DI277" s="4">
        <f t="shared" si="1084"/>
        <v>4.562669811822742</v>
      </c>
      <c r="DJ277" s="4">
        <f t="shared" si="1085"/>
        <v>6.8258795481024821</v>
      </c>
      <c r="DK277" s="4">
        <f t="shared" si="937"/>
        <v>8.0040946708095877</v>
      </c>
      <c r="DL277" s="38">
        <f t="shared" si="938"/>
        <v>476.05756183760201</v>
      </c>
      <c r="DM277" s="4" t="e">
        <f t="shared" si="1086"/>
        <v>#REF!</v>
      </c>
      <c r="DN277" s="4">
        <f t="shared" si="940"/>
        <v>2.2583179581272428</v>
      </c>
      <c r="DO277" s="4">
        <f t="shared" si="976"/>
        <v>215.10222544604153</v>
      </c>
      <c r="DS277" s="4">
        <f t="shared" si="941"/>
        <v>0.85</v>
      </c>
      <c r="DT277" s="4">
        <f t="shared" si="942"/>
        <v>0.95</v>
      </c>
      <c r="DU277" s="4">
        <f t="shared" si="943"/>
        <v>0.99062499999999998</v>
      </c>
      <c r="DV277" s="4">
        <f t="shared" si="1087"/>
        <v>0.94109374999999995</v>
      </c>
      <c r="DX277" s="4">
        <f t="shared" si="945"/>
        <v>464.85467404886219</v>
      </c>
      <c r="DY277" s="25">
        <f t="shared" si="851"/>
        <v>212.82614746640451</v>
      </c>
      <c r="EA277" s="4">
        <f t="shared" si="852"/>
        <v>0.79992968749999993</v>
      </c>
      <c r="EB277" s="4">
        <f t="shared" si="946"/>
        <v>8.5029867268035648</v>
      </c>
      <c r="EE277" s="4">
        <f t="shared" si="947"/>
        <v>57.361276136431961</v>
      </c>
      <c r="EF277" s="4">
        <f t="shared" si="1088"/>
        <v>2.2583179581272428</v>
      </c>
      <c r="EG277" s="4">
        <f t="shared" si="949"/>
        <v>8.5934598964507822E-2</v>
      </c>
      <c r="EJ277" s="4">
        <f t="shared" si="1089"/>
        <v>8.5934598964507822E-2</v>
      </c>
      <c r="EK277" s="4">
        <f t="shared" si="950"/>
        <v>0.21056854107875611</v>
      </c>
      <c r="EL277" s="4">
        <f t="shared" si="1090"/>
        <v>4.5596225874333776</v>
      </c>
      <c r="EM277" s="4">
        <f t="shared" si="1091"/>
        <v>6.8248697622439156</v>
      </c>
      <c r="EN277" s="4" t="e">
        <f t="shared" si="1092"/>
        <v>#REF!</v>
      </c>
      <c r="EO277" s="4" t="e">
        <f t="shared" si="1093"/>
        <v>#REF!</v>
      </c>
      <c r="EP277" s="4" t="e">
        <f t="shared" si="951"/>
        <v>#REF!</v>
      </c>
      <c r="EQ277" s="4" t="e">
        <f t="shared" si="1094"/>
        <v>#REF!</v>
      </c>
      <c r="ER277" s="4" t="e">
        <f t="shared" si="952"/>
        <v>#REF!</v>
      </c>
      <c r="FA277" s="23" t="e">
        <f t="shared" si="1042"/>
        <v>#REF!</v>
      </c>
      <c r="FB277" s="23" t="e">
        <f t="shared" si="1043"/>
        <v>#REF!</v>
      </c>
      <c r="FC277" s="23">
        <f t="shared" si="981"/>
        <v>1.6</v>
      </c>
      <c r="FD277" s="23" t="e">
        <f t="shared" si="1044"/>
        <v>#REF!</v>
      </c>
      <c r="FE277" s="23">
        <f t="shared" si="1045"/>
        <v>1.2</v>
      </c>
      <c r="FF277" s="23">
        <f t="shared" si="1046"/>
        <v>1.2</v>
      </c>
      <c r="FG277" s="23">
        <f t="shared" si="968"/>
        <v>0</v>
      </c>
      <c r="FH277" s="23"/>
      <c r="FR277" s="4">
        <f t="shared" si="1122"/>
        <v>1.25</v>
      </c>
      <c r="FS277" s="4">
        <f t="shared" si="1123"/>
        <v>0.65116279069767447</v>
      </c>
      <c r="FT277" s="4">
        <f t="shared" si="1124"/>
        <v>0.18749999999999997</v>
      </c>
      <c r="FU277" s="4">
        <f t="shared" si="1125"/>
        <v>330.39014303570031</v>
      </c>
    </row>
    <row r="278" spans="2:177" ht="12" customHeight="1" x14ac:dyDescent="0.3">
      <c r="B278" s="24"/>
      <c r="C278" s="7" t="s">
        <v>412</v>
      </c>
      <c r="D278" s="38">
        <f t="shared" si="1101"/>
        <v>889.65517241379314</v>
      </c>
      <c r="E278" s="38">
        <f>10.33*25.4</f>
        <v>262.38200000000001</v>
      </c>
      <c r="F278" s="38">
        <f>8050/145</f>
        <v>55.517241379310342</v>
      </c>
      <c r="G278" s="38">
        <f t="shared" si="1016"/>
        <v>25.4</v>
      </c>
      <c r="H278" s="38">
        <f>14.3*25.4</f>
        <v>363.21999999999997</v>
      </c>
      <c r="I278" s="38">
        <f>2.5*25.4</f>
        <v>63.5</v>
      </c>
      <c r="J278" s="39">
        <f>(3.8+3+3.5)/3*25.4</f>
        <v>87.206666666666663</v>
      </c>
      <c r="K278" s="7">
        <f t="shared" si="986"/>
        <v>80.009999999999991</v>
      </c>
      <c r="L278" s="38">
        <v>3</v>
      </c>
      <c r="M278" s="4">
        <f t="shared" si="1028"/>
        <v>260.34999999999997</v>
      </c>
      <c r="N278" s="7">
        <f t="shared" si="905"/>
        <v>2.0750000000000002</v>
      </c>
      <c r="O278" s="7">
        <f t="shared" si="906"/>
        <v>3</v>
      </c>
      <c r="P278" s="38">
        <v>4.0999999999999996</v>
      </c>
      <c r="Q278" s="4">
        <f t="shared" si="1017"/>
        <v>4.0999999999999996</v>
      </c>
      <c r="R278" s="4">
        <f t="shared" si="907"/>
        <v>5.0999999999999996</v>
      </c>
      <c r="S278" s="7">
        <f t="shared" si="908"/>
        <v>57.361276136431961</v>
      </c>
      <c r="V278" s="38">
        <f t="shared" si="1054"/>
        <v>609.65517241379314</v>
      </c>
      <c r="W278" s="4">
        <v>88.4</v>
      </c>
      <c r="X278" s="4">
        <f t="shared" si="910"/>
        <v>1.2076437156812905</v>
      </c>
      <c r="Y278" s="38">
        <f t="shared" si="1126"/>
        <v>9.5249999999999986</v>
      </c>
      <c r="Z278" s="38">
        <v>4</v>
      </c>
      <c r="AA278" s="39">
        <f>5*25.4</f>
        <v>127</v>
      </c>
      <c r="AB278" s="39">
        <f>2+2</f>
        <v>4</v>
      </c>
      <c r="AC278" s="39">
        <v>1</v>
      </c>
      <c r="AD278" s="7"/>
      <c r="AE278" s="4">
        <f t="shared" si="912"/>
        <v>262.38200000000001</v>
      </c>
      <c r="AF278" s="4">
        <f t="shared" si="913"/>
        <v>0.46143917392707318</v>
      </c>
      <c r="AG278" s="4">
        <f t="shared" si="914"/>
        <v>208.32261906910756</v>
      </c>
      <c r="AH278" s="4">
        <f t="shared" si="915"/>
        <v>0.75808325266214904</v>
      </c>
      <c r="AI278" s="4">
        <v>1.25</v>
      </c>
      <c r="AJ278" s="4">
        <f t="shared" si="857"/>
        <v>2.5</v>
      </c>
      <c r="AK278" s="38">
        <f t="shared" si="988"/>
        <v>227.72872377563311</v>
      </c>
      <c r="AL278" s="38">
        <f t="shared" si="953"/>
        <v>227.72872377563311</v>
      </c>
      <c r="AM278" s="38">
        <f t="shared" si="916"/>
        <v>4.2292619080870573</v>
      </c>
      <c r="AN278" s="38">
        <f t="shared" si="858"/>
        <v>227.72872377563314</v>
      </c>
      <c r="AO278" s="38">
        <f t="shared" si="1115"/>
        <v>0.99999999999999989</v>
      </c>
      <c r="AP278" s="38">
        <f t="shared" si="859"/>
        <v>2.4138531924417204</v>
      </c>
      <c r="AQ278" s="4">
        <f t="shared" si="860"/>
        <v>0</v>
      </c>
      <c r="AR278" s="4" t="e">
        <f>#REF!/G278*F278^0.5/0.19</f>
        <v>#REF!</v>
      </c>
      <c r="AS278" s="4">
        <f t="shared" si="917"/>
        <v>1.1783132530120481</v>
      </c>
      <c r="AT278" s="38">
        <f t="shared" si="918"/>
        <v>549.70370689649076</v>
      </c>
      <c r="AU278" s="4">
        <f t="shared" si="919"/>
        <v>0.42600000000000005</v>
      </c>
      <c r="AV278" s="4" t="e">
        <f>AU278*D278*#REF!/(D278*G278/2.75/F278^0.5)</f>
        <v>#REF!</v>
      </c>
      <c r="AW278" s="4" t="e">
        <f t="shared" si="1068"/>
        <v>#REF!</v>
      </c>
      <c r="AY278" s="4">
        <f t="shared" si="920"/>
        <v>1.5</v>
      </c>
      <c r="AZ278" s="4" t="e">
        <f>(3*#REF!+30)*AY278*F278^0.5</f>
        <v>#REF!</v>
      </c>
      <c r="BB278" s="4">
        <f t="shared" si="921"/>
        <v>527.23307929660132</v>
      </c>
      <c r="BC278" s="4">
        <f t="shared" si="1103"/>
        <v>0</v>
      </c>
      <c r="BD278" s="4">
        <f t="shared" si="1069"/>
        <v>0</v>
      </c>
      <c r="BL278" s="4">
        <f t="shared" si="923"/>
        <v>40.004999999999995</v>
      </c>
      <c r="BP278" s="9"/>
      <c r="BR278" s="9"/>
      <c r="BS278" s="9"/>
      <c r="BT278" s="9">
        <f t="shared" si="924"/>
        <v>40.004999999999995</v>
      </c>
      <c r="BU278" s="9">
        <f t="shared" si="925"/>
        <v>63.5</v>
      </c>
      <c r="BV278" s="9">
        <f t="shared" si="926"/>
        <v>1.3450523780427719</v>
      </c>
      <c r="BW278" s="40">
        <f t="shared" si="1018"/>
        <v>20</v>
      </c>
      <c r="BX278" s="9">
        <f t="shared" si="927"/>
        <v>0.05</v>
      </c>
      <c r="BY278" s="9">
        <f t="shared" si="1070"/>
        <v>0.8</v>
      </c>
      <c r="BZ278" s="9">
        <f t="shared" si="928"/>
        <v>0.99524931562137331</v>
      </c>
      <c r="CA278" s="9">
        <f t="shared" si="929"/>
        <v>0.68</v>
      </c>
      <c r="CB278" s="9">
        <f t="shared" si="930"/>
        <v>1.7649108936707618</v>
      </c>
      <c r="CC278" s="9">
        <f t="shared" si="931"/>
        <v>3.7858263095020614</v>
      </c>
      <c r="CD278" s="40">
        <v>1</v>
      </c>
      <c r="CE278" s="9" t="e">
        <f>4*CC278*#REF!+60*CC278</f>
        <v>#REF!</v>
      </c>
      <c r="CG278" s="4" t="e">
        <f t="shared" si="1071"/>
        <v>#REF!</v>
      </c>
      <c r="CH278" s="4" t="e">
        <f t="shared" si="1072"/>
        <v>#REF!</v>
      </c>
      <c r="CI278" s="4" t="e">
        <f t="shared" si="1073"/>
        <v>#REF!</v>
      </c>
      <c r="CJ278" s="4" t="e">
        <f t="shared" si="1074"/>
        <v>#REF!</v>
      </c>
      <c r="CK278" s="4">
        <f t="shared" si="1075"/>
        <v>1.2076437156812905</v>
      </c>
      <c r="CL278" s="4">
        <f t="shared" si="1076"/>
        <v>1.2415241895472264</v>
      </c>
      <c r="CM278" s="4">
        <f t="shared" si="978"/>
        <v>1.3339172849165912</v>
      </c>
      <c r="CN278" s="4">
        <f t="shared" si="1019"/>
        <v>4</v>
      </c>
      <c r="CU278" s="4" t="e">
        <f t="shared" si="1127"/>
        <v>#REF!</v>
      </c>
      <c r="CV278" s="4" t="e">
        <f t="shared" si="1128"/>
        <v>#REF!</v>
      </c>
      <c r="CW278" s="4" t="e">
        <f t="shared" si="1129"/>
        <v>#REF!</v>
      </c>
      <c r="CX278" s="4">
        <f t="shared" si="1130"/>
        <v>1.3339172849165912</v>
      </c>
      <c r="CY278" s="4">
        <f t="shared" si="1131"/>
        <v>1.2076437156812905</v>
      </c>
      <c r="CZ278" s="4">
        <f t="shared" si="1132"/>
        <v>1.2415241895472264</v>
      </c>
      <c r="DC278" s="4" t="e">
        <f>#REF!</f>
        <v>#REF!</v>
      </c>
      <c r="DF278" s="4">
        <f t="shared" si="932"/>
        <v>2.1815616521116227E-5</v>
      </c>
      <c r="DG278" s="4">
        <f t="shared" si="1083"/>
        <v>8.5706497511547859</v>
      </c>
      <c r="DH278" s="4">
        <f t="shared" si="934"/>
        <v>0.22330156087189282</v>
      </c>
      <c r="DI278" s="4">
        <f t="shared" si="1084"/>
        <v>4.7051172574974487</v>
      </c>
      <c r="DJ278" s="4">
        <f t="shared" si="1085"/>
        <v>6.9157100883065903</v>
      </c>
      <c r="DK278" s="4">
        <f t="shared" si="937"/>
        <v>8.0109035794534709</v>
      </c>
      <c r="DL278" s="38">
        <f t="shared" si="938"/>
        <v>504.83032743631429</v>
      </c>
      <c r="DM278" s="4" t="e">
        <f t="shared" si="1086"/>
        <v>#REF!</v>
      </c>
      <c r="DN278" s="4">
        <f t="shared" si="940"/>
        <v>2.2583179581272428</v>
      </c>
      <c r="DO278" s="4">
        <f t="shared" si="976"/>
        <v>227.72872377563314</v>
      </c>
      <c r="DS278" s="4">
        <f t="shared" si="941"/>
        <v>0.85</v>
      </c>
      <c r="DT278" s="4">
        <f t="shared" si="942"/>
        <v>0.9425</v>
      </c>
      <c r="DU278" s="4">
        <f t="shared" si="943"/>
        <v>0.99062499999999998</v>
      </c>
      <c r="DV278" s="4">
        <f t="shared" si="1087"/>
        <v>0.9336640625</v>
      </c>
      <c r="DX278" s="4">
        <f t="shared" si="945"/>
        <v>491.05380108311005</v>
      </c>
      <c r="DY278" s="25">
        <f t="shared" si="851"/>
        <v>225.44936529482322</v>
      </c>
      <c r="EA278" s="4">
        <f t="shared" si="852"/>
        <v>0.79361445312500001</v>
      </c>
      <c r="EB278" s="4">
        <f t="shared" si="946"/>
        <v>8.5706497511547859</v>
      </c>
      <c r="EE278" s="4">
        <f t="shared" si="947"/>
        <v>57.361276136431961</v>
      </c>
      <c r="EF278" s="4">
        <f t="shared" si="1088"/>
        <v>2.2583179581272428</v>
      </c>
      <c r="EG278" s="4">
        <f t="shared" si="949"/>
        <v>9.097895900322657E-2</v>
      </c>
      <c r="EJ278" s="4">
        <f t="shared" si="1089"/>
        <v>9.097895900322657E-2</v>
      </c>
      <c r="EK278" s="4">
        <f t="shared" si="950"/>
        <v>0.22292891218455113</v>
      </c>
      <c r="EL278" s="4">
        <f t="shared" si="1090"/>
        <v>4.7019748981654814</v>
      </c>
      <c r="EM278" s="4">
        <f t="shared" si="1091"/>
        <v>6.9146492330903513</v>
      </c>
      <c r="EN278" s="4" t="e">
        <f t="shared" si="1092"/>
        <v>#REF!</v>
      </c>
      <c r="EO278" s="4" t="e">
        <f t="shared" si="1093"/>
        <v>#REF!</v>
      </c>
      <c r="EP278" s="4" t="e">
        <f t="shared" si="951"/>
        <v>#REF!</v>
      </c>
      <c r="EQ278" s="4" t="e">
        <f t="shared" si="1094"/>
        <v>#REF!</v>
      </c>
      <c r="ER278" s="4" t="e">
        <f t="shared" si="952"/>
        <v>#REF!</v>
      </c>
      <c r="FA278" s="23" t="e">
        <f t="shared" si="1042"/>
        <v>#REF!</v>
      </c>
      <c r="FB278" s="23" t="e">
        <f t="shared" si="1043"/>
        <v>#REF!</v>
      </c>
      <c r="FC278" s="23">
        <f t="shared" si="981"/>
        <v>1.4</v>
      </c>
      <c r="FD278" s="23" t="e">
        <f t="shared" si="1044"/>
        <v>#REF!</v>
      </c>
      <c r="FE278" s="23">
        <f t="shared" si="1045"/>
        <v>1.4</v>
      </c>
      <c r="FF278" s="23">
        <f t="shared" si="1046"/>
        <v>1.4</v>
      </c>
      <c r="FG278" s="23">
        <f t="shared" si="968"/>
        <v>0</v>
      </c>
      <c r="FH278" s="23"/>
      <c r="FR278" s="4">
        <f t="shared" si="1122"/>
        <v>1</v>
      </c>
      <c r="FS278" s="4">
        <f t="shared" si="1123"/>
        <v>0.61519767441860462</v>
      </c>
      <c r="FT278" s="4">
        <f t="shared" si="1124"/>
        <v>0.3</v>
      </c>
      <c r="FU278" s="4">
        <f t="shared" si="1125"/>
        <v>457.04121185588684</v>
      </c>
    </row>
    <row r="279" spans="2:177" ht="12" customHeight="1" x14ac:dyDescent="0.3">
      <c r="B279" s="24"/>
      <c r="C279" s="7" t="s">
        <v>413</v>
      </c>
      <c r="D279" s="38">
        <f t="shared" si="1101"/>
        <v>889.65517241379314</v>
      </c>
      <c r="E279" s="38">
        <f>10.35*25.4</f>
        <v>262.89</v>
      </c>
      <c r="F279" s="38">
        <f>8050/145</f>
        <v>55.517241379310342</v>
      </c>
      <c r="G279" s="38">
        <f t="shared" si="1016"/>
        <v>25.4</v>
      </c>
      <c r="H279" s="38">
        <f>15.9*25.4</f>
        <v>403.86</v>
      </c>
      <c r="I279" s="38">
        <f>2.45*25.4</f>
        <v>62.230000000000004</v>
      </c>
      <c r="J279" s="39">
        <f>(3.2+3.3+3.5)/3*25.4</f>
        <v>84.666666666666671</v>
      </c>
      <c r="K279" s="7">
        <f t="shared" si="986"/>
        <v>101.60000000000001</v>
      </c>
      <c r="L279" s="38">
        <v>3</v>
      </c>
      <c r="M279" s="4">
        <f t="shared" si="1028"/>
        <v>260.34999999999997</v>
      </c>
      <c r="N279" s="7">
        <f t="shared" si="905"/>
        <v>2.5000000000000004</v>
      </c>
      <c r="O279" s="7">
        <f t="shared" si="906"/>
        <v>2.95</v>
      </c>
      <c r="P279" s="38">
        <v>4.0999999999999996</v>
      </c>
      <c r="Q279" s="4">
        <f t="shared" si="1017"/>
        <v>4.0999999999999996</v>
      </c>
      <c r="R279" s="4">
        <f t="shared" si="907"/>
        <v>5.0999999999999996</v>
      </c>
      <c r="S279" s="7">
        <f t="shared" si="908"/>
        <v>57.361276136431961</v>
      </c>
      <c r="V279" s="38">
        <f t="shared" si="1054"/>
        <v>558.62068965517244</v>
      </c>
      <c r="W279" s="4">
        <v>81</v>
      </c>
      <c r="X279" s="4">
        <f t="shared" si="910"/>
        <v>1.026278911927931</v>
      </c>
      <c r="Y279" s="38"/>
      <c r="Z279" s="38"/>
      <c r="AA279" s="39">
        <v>1</v>
      </c>
      <c r="AB279" s="39"/>
      <c r="AC279" s="39"/>
      <c r="AD279" s="7"/>
      <c r="AE279" s="4">
        <f t="shared" si="912"/>
        <v>262.89</v>
      </c>
      <c r="AF279" s="4">
        <f t="shared" si="913"/>
        <v>0.5120772946859905</v>
      </c>
      <c r="AG279" s="4">
        <f t="shared" si="914"/>
        <v>208.92791457835131</v>
      </c>
      <c r="AH279" s="4">
        <f t="shared" si="915"/>
        <v>0.75700483091787441</v>
      </c>
      <c r="AI279" s="4">
        <v>1.25</v>
      </c>
      <c r="AJ279" s="4">
        <f t="shared" si="857"/>
        <v>2.5</v>
      </c>
      <c r="AK279" s="38">
        <f t="shared" si="988"/>
        <v>253.09330780249627</v>
      </c>
      <c r="AL279" s="38">
        <f t="shared" si="953"/>
        <v>253.09330780249627</v>
      </c>
      <c r="AM279" s="38">
        <f t="shared" si="916"/>
        <v>4.2292619080870573</v>
      </c>
      <c r="AN279" s="38">
        <f t="shared" si="858"/>
        <v>253.0933078024959</v>
      </c>
      <c r="AO279" s="38">
        <f t="shared" si="1115"/>
        <v>1.0000000000000016</v>
      </c>
      <c r="AP279" s="38">
        <f t="shared" si="859"/>
        <v>2.3806959565383146</v>
      </c>
      <c r="AQ279" s="4">
        <f t="shared" si="860"/>
        <v>0</v>
      </c>
      <c r="AR279" s="4" t="e">
        <f>#REF!/G279*F279^0.5/0.19</f>
        <v>#REF!</v>
      </c>
      <c r="AS279" s="4">
        <f t="shared" si="917"/>
        <v>1.0720000000000001</v>
      </c>
      <c r="AT279" s="38">
        <f t="shared" si="918"/>
        <v>602.53821451230908</v>
      </c>
      <c r="AU279" s="4">
        <f t="shared" si="919"/>
        <v>0.42600000000000005</v>
      </c>
      <c r="AV279" s="4" t="e">
        <f>AU279*D279*#REF!/(D279*G279/2.75/F279^0.5)</f>
        <v>#REF!</v>
      </c>
      <c r="AW279" s="4" t="e">
        <f t="shared" si="1068"/>
        <v>#REF!</v>
      </c>
      <c r="AY279" s="4">
        <f t="shared" si="920"/>
        <v>1.3625</v>
      </c>
      <c r="AZ279" s="4" t="e">
        <f>(3*#REF!+30)*AY279*F279^0.5</f>
        <v>#REF!</v>
      </c>
      <c r="BB279" s="4">
        <f t="shared" si="921"/>
        <v>577.90783333942409</v>
      </c>
      <c r="BC279" s="4">
        <f t="shared" si="1103"/>
        <v>0</v>
      </c>
      <c r="BD279" s="4">
        <f t="shared" si="1069"/>
        <v>0</v>
      </c>
      <c r="BL279" s="4">
        <f t="shared" si="923"/>
        <v>50.800000000000004</v>
      </c>
      <c r="BP279" s="9"/>
      <c r="BR279" s="9"/>
      <c r="BS279" s="9"/>
      <c r="BT279" s="9">
        <f t="shared" si="924"/>
        <v>50.800000000000004</v>
      </c>
      <c r="BU279" s="9">
        <f t="shared" si="925"/>
        <v>62.230000000000004</v>
      </c>
      <c r="BV279" s="9">
        <f t="shared" si="926"/>
        <v>1.4579257653311168</v>
      </c>
      <c r="BW279" s="40">
        <f t="shared" si="1018"/>
        <v>0</v>
      </c>
      <c r="BX279" s="9">
        <f t="shared" si="927"/>
        <v>0</v>
      </c>
      <c r="BY279" s="9">
        <f t="shared" si="1070"/>
        <v>0</v>
      </c>
      <c r="BZ279" s="9">
        <f t="shared" si="928"/>
        <v>0.99524931562137331</v>
      </c>
      <c r="CA279" s="9">
        <f t="shared" si="929"/>
        <v>0.68</v>
      </c>
      <c r="CB279" s="9">
        <f t="shared" si="930"/>
        <v>1.7649108936707618</v>
      </c>
      <c r="CC279" s="9">
        <f t="shared" si="931"/>
        <v>2.5731090653961708</v>
      </c>
      <c r="CD279" s="40">
        <v>1</v>
      </c>
      <c r="CE279" s="9" t="e">
        <f>4*CC279*#REF!+60*CC279</f>
        <v>#REF!</v>
      </c>
      <c r="CG279" s="4" t="e">
        <f t="shared" si="1071"/>
        <v>#REF!</v>
      </c>
      <c r="CH279" s="4" t="e">
        <f t="shared" si="1072"/>
        <v>#REF!</v>
      </c>
      <c r="CI279" s="4" t="e">
        <f t="shared" si="1073"/>
        <v>#REF!</v>
      </c>
      <c r="CJ279" s="4" t="e">
        <f t="shared" si="1074"/>
        <v>#REF!</v>
      </c>
      <c r="CK279" s="4">
        <f t="shared" si="1075"/>
        <v>1.026278911927931</v>
      </c>
      <c r="CL279" s="4">
        <f t="shared" si="1076"/>
        <v>1.0607370982090985</v>
      </c>
      <c r="CM279" s="4">
        <f t="shared" si="978"/>
        <v>1.8589949803999117</v>
      </c>
      <c r="CN279" s="4">
        <f t="shared" si="1019"/>
        <v>0</v>
      </c>
      <c r="CO279" s="4" t="e">
        <f t="shared" ref="CO279" si="1133">CG279</f>
        <v>#REF!</v>
      </c>
      <c r="CP279" s="4" t="e">
        <f t="shared" ref="CP279" si="1134">CH279</f>
        <v>#REF!</v>
      </c>
      <c r="CQ279" s="4" t="e">
        <f t="shared" ref="CQ279" si="1135">CJ279</f>
        <v>#REF!</v>
      </c>
      <c r="CR279" s="4">
        <f t="shared" ref="CR279" si="1136">CM279</f>
        <v>1.8589949803999117</v>
      </c>
      <c r="CS279" s="4">
        <f t="shared" ref="CS279" si="1137">CK279</f>
        <v>1.026278911927931</v>
      </c>
      <c r="CT279" s="4">
        <f t="shared" ref="CT279" si="1138">CL279</f>
        <v>1.0607370982090985</v>
      </c>
      <c r="DC279" s="4" t="e">
        <f>#REF!</f>
        <v>#REF!</v>
      </c>
      <c r="DF279" s="4">
        <f t="shared" si="932"/>
        <v>2.1857853919995441E-5</v>
      </c>
      <c r="DG279" s="4">
        <f t="shared" si="1083"/>
        <v>8.8912307388086589</v>
      </c>
      <c r="DH279" s="4">
        <f t="shared" si="934"/>
        <v>0.24817304440791377</v>
      </c>
      <c r="DI279" s="4">
        <f t="shared" si="1084"/>
        <v>5.0917107494561256</v>
      </c>
      <c r="DJ279" s="4">
        <f t="shared" si="1085"/>
        <v>7.2467334633868781</v>
      </c>
      <c r="DK279" s="4">
        <f t="shared" si="937"/>
        <v>8.2781801676860916</v>
      </c>
      <c r="DL279" s="38">
        <f t="shared" si="938"/>
        <v>544.31664059604179</v>
      </c>
      <c r="DM279" s="4" t="e">
        <f t="shared" si="1086"/>
        <v>#REF!</v>
      </c>
      <c r="DN279" s="4">
        <f t="shared" si="940"/>
        <v>2.2583179581272428</v>
      </c>
      <c r="DO279" s="4">
        <f t="shared" si="976"/>
        <v>253.0933078024959</v>
      </c>
      <c r="DS279" s="4">
        <f t="shared" si="941"/>
        <v>0.85</v>
      </c>
      <c r="DT279" s="4">
        <f t="shared" si="942"/>
        <v>0.89999999999999991</v>
      </c>
      <c r="DU279" s="4">
        <f t="shared" si="943"/>
        <v>1</v>
      </c>
      <c r="DV279" s="4">
        <f t="shared" si="1087"/>
        <v>0.89999999999999991</v>
      </c>
      <c r="DX279" s="4">
        <f t="shared" si="945"/>
        <v>526.63444184079435</v>
      </c>
      <c r="DY279" s="25">
        <f t="shared" si="851"/>
        <v>250.56172740078549</v>
      </c>
      <c r="EA279" s="4">
        <f t="shared" si="852"/>
        <v>0.7649999999999999</v>
      </c>
      <c r="EB279" s="4">
        <f t="shared" si="946"/>
        <v>8.8912307388086589</v>
      </c>
      <c r="EE279" s="4">
        <f t="shared" si="947"/>
        <v>57.361276136431961</v>
      </c>
      <c r="EF279" s="4">
        <f t="shared" si="1088"/>
        <v>2.2583179581272428</v>
      </c>
      <c r="EG279" s="4">
        <f t="shared" si="949"/>
        <v>0.10111225888764264</v>
      </c>
      <c r="EJ279" s="4">
        <f t="shared" si="1089"/>
        <v>0.10111225888764264</v>
      </c>
      <c r="EK279" s="4">
        <f t="shared" si="950"/>
        <v>0.24775888984996491</v>
      </c>
      <c r="EL279" s="4">
        <f t="shared" si="1090"/>
        <v>5.0883101998175952</v>
      </c>
      <c r="EM279" s="4">
        <f t="shared" si="1091"/>
        <v>7.2455460561495464</v>
      </c>
      <c r="EN279" s="4" t="e">
        <f t="shared" si="1092"/>
        <v>#REF!</v>
      </c>
      <c r="EO279" s="4" t="e">
        <f t="shared" si="1093"/>
        <v>#REF!</v>
      </c>
      <c r="EP279" s="4" t="e">
        <f t="shared" si="951"/>
        <v>#REF!</v>
      </c>
      <c r="EQ279" s="4" t="e">
        <f t="shared" si="1094"/>
        <v>#REF!</v>
      </c>
      <c r="ER279" s="4" t="e">
        <f t="shared" si="952"/>
        <v>#REF!</v>
      </c>
      <c r="FA279" s="23" t="e">
        <f t="shared" si="1042"/>
        <v>#REF!</v>
      </c>
      <c r="FB279" s="23" t="e">
        <f t="shared" si="1043"/>
        <v>#REF!</v>
      </c>
      <c r="FC279" s="23">
        <f t="shared" si="981"/>
        <v>2</v>
      </c>
      <c r="FD279" s="23" t="e">
        <f t="shared" si="1044"/>
        <v>#REF!</v>
      </c>
      <c r="FE279" s="23">
        <f t="shared" si="1045"/>
        <v>1.2</v>
      </c>
      <c r="FF279" s="23">
        <f t="shared" si="1046"/>
        <v>1.2</v>
      </c>
      <c r="FG279" s="23">
        <f t="shared" si="968"/>
        <v>0</v>
      </c>
      <c r="FH279" s="23"/>
      <c r="FR279" s="4">
        <f t="shared" si="1122"/>
        <v>1.25</v>
      </c>
      <c r="FS279" s="4">
        <f t="shared" si="1123"/>
        <v>0.75</v>
      </c>
      <c r="FT279" s="4">
        <f t="shared" si="1124"/>
        <v>0</v>
      </c>
      <c r="FU279" s="4">
        <f t="shared" si="1125"/>
        <v>300.49607209536441</v>
      </c>
    </row>
    <row r="280" spans="2:177" ht="12" customHeight="1" x14ac:dyDescent="0.3">
      <c r="B280" s="24"/>
      <c r="C280" s="7" t="s">
        <v>414</v>
      </c>
      <c r="D280" s="38">
        <f t="shared" si="1101"/>
        <v>889.65517241379314</v>
      </c>
      <c r="E280" s="38">
        <f>10.25*25.4</f>
        <v>260.34999999999997</v>
      </c>
      <c r="F280" s="38">
        <f>8260/145</f>
        <v>56.96551724137931</v>
      </c>
      <c r="G280" s="38">
        <f t="shared" si="1016"/>
        <v>25.4</v>
      </c>
      <c r="H280" s="38">
        <f>16*25.4</f>
        <v>406.4</v>
      </c>
      <c r="I280" s="38">
        <f>2.45*25.4</f>
        <v>62.230000000000004</v>
      </c>
      <c r="J280" s="39">
        <f>(4+3.3+3.3)/3*25.4</f>
        <v>89.746666666666655</v>
      </c>
      <c r="K280" s="7">
        <f t="shared" si="986"/>
        <v>102.86999999999999</v>
      </c>
      <c r="L280" s="38">
        <v>3</v>
      </c>
      <c r="M280" s="4">
        <f t="shared" si="1028"/>
        <v>260.34999999999997</v>
      </c>
      <c r="N280" s="7">
        <f t="shared" si="905"/>
        <v>2.5249999999999999</v>
      </c>
      <c r="O280" s="7">
        <f t="shared" si="906"/>
        <v>2.95</v>
      </c>
      <c r="P280" s="38">
        <v>4.0999999999999996</v>
      </c>
      <c r="Q280" s="4">
        <f t="shared" si="1017"/>
        <v>4.0999999999999996</v>
      </c>
      <c r="R280" s="4">
        <f t="shared" si="907"/>
        <v>5.0999999999999996</v>
      </c>
      <c r="S280" s="7">
        <f t="shared" si="908"/>
        <v>57.361276136431961</v>
      </c>
      <c r="V280" s="38">
        <f t="shared" si="1054"/>
        <v>522.75862068965523</v>
      </c>
      <c r="W280" s="4">
        <v>75.8</v>
      </c>
      <c r="X280" s="4">
        <f t="shared" si="910"/>
        <v>0.95166687424883689</v>
      </c>
      <c r="Y280" s="38">
        <f t="shared" ref="Y280" si="1139">0.375*25.4</f>
        <v>9.5249999999999986</v>
      </c>
      <c r="Z280" s="38">
        <v>2</v>
      </c>
      <c r="AA280" s="39">
        <f>3*25.4</f>
        <v>76.199999999999989</v>
      </c>
      <c r="AB280" s="39">
        <v>2</v>
      </c>
      <c r="AC280" s="39"/>
      <c r="AD280" s="7"/>
      <c r="AE280" s="4">
        <f t="shared" si="912"/>
        <v>260.34999999999997</v>
      </c>
      <c r="AF280" s="4">
        <f t="shared" si="913"/>
        <v>0.52032520325203269</v>
      </c>
      <c r="AG280" s="4">
        <f t="shared" si="914"/>
        <v>208.575755923034</v>
      </c>
      <c r="AH280" s="4">
        <f t="shared" si="915"/>
        <v>0.7575609756097561</v>
      </c>
      <c r="AI280" s="4">
        <v>1.25</v>
      </c>
      <c r="AJ280" s="4">
        <f t="shared" si="857"/>
        <v>2.5</v>
      </c>
      <c r="AK280" s="38">
        <f t="shared" si="988"/>
        <v>256.92496446438383</v>
      </c>
      <c r="AL280" s="38">
        <f t="shared" si="953"/>
        <v>256.92496446438383</v>
      </c>
      <c r="AM280" s="38">
        <f t="shared" si="916"/>
        <v>4.2706194667653463</v>
      </c>
      <c r="AN280" s="38">
        <f t="shared" si="858"/>
        <v>256.92496446438389</v>
      </c>
      <c r="AO280" s="38">
        <f t="shared" si="1115"/>
        <v>0.99999999999999978</v>
      </c>
      <c r="AP280" s="38">
        <f t="shared" si="859"/>
        <v>2.4198387861849078</v>
      </c>
      <c r="AQ280" s="4">
        <f t="shared" si="860"/>
        <v>0</v>
      </c>
      <c r="AR280" s="4" t="e">
        <f>#REF!/G280*F280^0.5/0.19</f>
        <v>#REF!</v>
      </c>
      <c r="AS280" s="4">
        <f t="shared" si="917"/>
        <v>1.0673267326732674</v>
      </c>
      <c r="AT280" s="38">
        <f t="shared" si="918"/>
        <v>621.71699415009527</v>
      </c>
      <c r="AU280" s="4">
        <f t="shared" si="919"/>
        <v>0.42600000000000005</v>
      </c>
      <c r="AV280" s="4" t="e">
        <f>AU280*D280*#REF!/(D280*G280/2.75/F280^0.5)</f>
        <v>#REF!</v>
      </c>
      <c r="AW280" s="4" t="e">
        <f t="shared" si="1068"/>
        <v>#REF!</v>
      </c>
      <c r="AY280" s="4">
        <f t="shared" si="920"/>
        <v>1.5</v>
      </c>
      <c r="AZ280" s="4" t="e">
        <f>(3*#REF!+30)*AY280*F280^0.5</f>
        <v>#REF!</v>
      </c>
      <c r="BB280" s="4">
        <f t="shared" si="921"/>
        <v>596.30262842397872</v>
      </c>
      <c r="BC280" s="4">
        <f t="shared" si="1103"/>
        <v>0</v>
      </c>
      <c r="BD280" s="4">
        <f t="shared" si="1069"/>
        <v>0</v>
      </c>
      <c r="BL280" s="4">
        <f t="shared" si="923"/>
        <v>51.434999999999995</v>
      </c>
      <c r="BP280" s="9"/>
      <c r="BR280" s="9"/>
      <c r="BS280" s="9"/>
      <c r="BT280" s="9">
        <f t="shared" si="924"/>
        <v>51.434999999999995</v>
      </c>
      <c r="BU280" s="9">
        <f t="shared" si="925"/>
        <v>62.230000000000004</v>
      </c>
      <c r="BV280" s="9">
        <f t="shared" si="926"/>
        <v>1.4642784548874435</v>
      </c>
      <c r="BW280" s="40">
        <f t="shared" si="1018"/>
        <v>20</v>
      </c>
      <c r="BX280" s="9">
        <f t="shared" si="927"/>
        <v>4.9087385212340517E-2</v>
      </c>
      <c r="BY280" s="9">
        <f t="shared" si="1070"/>
        <v>0.78174770424681028</v>
      </c>
      <c r="BZ280" s="9">
        <f t="shared" si="928"/>
        <v>0.99524931562137331</v>
      </c>
      <c r="CA280" s="9">
        <f t="shared" si="929"/>
        <v>0.68</v>
      </c>
      <c r="CB280" s="9">
        <f t="shared" si="930"/>
        <v>1.7877832632633699</v>
      </c>
      <c r="CC280" s="9">
        <f t="shared" si="931"/>
        <v>4.0154079761519297</v>
      </c>
      <c r="CD280" s="40">
        <v>1</v>
      </c>
      <c r="CE280" s="9" t="e">
        <f>4*CC280*#REF!+60*CC280</f>
        <v>#REF!</v>
      </c>
      <c r="CG280" s="4" t="e">
        <f t="shared" si="1071"/>
        <v>#REF!</v>
      </c>
      <c r="CH280" s="4" t="e">
        <f t="shared" si="1072"/>
        <v>#REF!</v>
      </c>
      <c r="CI280" s="4" t="e">
        <f t="shared" si="1073"/>
        <v>#REF!</v>
      </c>
      <c r="CJ280" s="4" t="e">
        <f t="shared" si="1074"/>
        <v>#REF!</v>
      </c>
      <c r="CK280" s="4">
        <f t="shared" si="1075"/>
        <v>0.95166687424883689</v>
      </c>
      <c r="CL280" s="4">
        <f t="shared" si="1076"/>
        <v>0.98254513569119484</v>
      </c>
      <c r="CM280" s="4">
        <f t="shared" si="978"/>
        <v>1.4016929584772584</v>
      </c>
      <c r="CN280" s="4">
        <f t="shared" si="1019"/>
        <v>2</v>
      </c>
      <c r="CU280" s="4" t="e">
        <f t="shared" ref="CU280" si="1140">CG280</f>
        <v>#REF!</v>
      </c>
      <c r="CV280" s="4" t="e">
        <f t="shared" ref="CV280" si="1141">CH280</f>
        <v>#REF!</v>
      </c>
      <c r="CW280" s="4" t="e">
        <f t="shared" ref="CW280" si="1142">CJ280</f>
        <v>#REF!</v>
      </c>
      <c r="CX280" s="4">
        <f t="shared" ref="CX280:CX282" si="1143">CM280</f>
        <v>1.4016929584772584</v>
      </c>
      <c r="CY280" s="4">
        <f t="shared" ref="CY280" si="1144">CK280</f>
        <v>0.95166687424883689</v>
      </c>
      <c r="CZ280" s="4">
        <f t="shared" ref="CZ280" si="1145">CL280</f>
        <v>0.98254513569119484</v>
      </c>
      <c r="DC280" s="4" t="e">
        <f>#REF!</f>
        <v>#REF!</v>
      </c>
      <c r="DF280" s="4">
        <f t="shared" si="932"/>
        <v>2.1841835201299478E-5</v>
      </c>
      <c r="DG280" s="4">
        <f t="shared" si="1083"/>
        <v>9.0315443012169894</v>
      </c>
      <c r="DH280" s="4">
        <f t="shared" si="934"/>
        <v>0.24552520632159011</v>
      </c>
      <c r="DI280" s="4">
        <f t="shared" si="1084"/>
        <v>5.1499196176140778</v>
      </c>
      <c r="DJ280" s="4">
        <f t="shared" si="1085"/>
        <v>7.3533737732352842</v>
      </c>
      <c r="DK280" s="4">
        <f t="shared" si="937"/>
        <v>8.4069859193153622</v>
      </c>
      <c r="DL280" s="38">
        <f t="shared" si="938"/>
        <v>549.3084133061534</v>
      </c>
      <c r="DM280" s="4" t="e">
        <f t="shared" si="1086"/>
        <v>#REF!</v>
      </c>
      <c r="DN280" s="4">
        <f t="shared" si="940"/>
        <v>2.2583179581272428</v>
      </c>
      <c r="DO280" s="4">
        <f t="shared" si="976"/>
        <v>256.92496446438389</v>
      </c>
      <c r="DS280" s="4">
        <f t="shared" si="941"/>
        <v>0.85</v>
      </c>
      <c r="DT280" s="4">
        <f t="shared" si="942"/>
        <v>0.89749999999999996</v>
      </c>
      <c r="DU280" s="4">
        <f t="shared" si="943"/>
        <v>1</v>
      </c>
      <c r="DV280" s="4">
        <f t="shared" si="1087"/>
        <v>0.89749999999999996</v>
      </c>
      <c r="DX280" s="4">
        <f t="shared" si="945"/>
        <v>532.04540096970527</v>
      </c>
      <c r="DY280" s="25">
        <f t="shared" ref="DY280:DY343" si="1146">13.3*H280*E280^0.5*F280^0.5/L280/G280^2*(0.7+I280/5/E280)</f>
        <v>254.32541370728282</v>
      </c>
      <c r="EA280" s="4">
        <f t="shared" ref="EA280:EA343" si="1147">DS280*DV280</f>
        <v>0.76287499999999997</v>
      </c>
      <c r="EB280" s="4">
        <f t="shared" si="946"/>
        <v>9.0315443012169894</v>
      </c>
      <c r="EE280" s="4">
        <f t="shared" si="947"/>
        <v>57.361276136431961</v>
      </c>
      <c r="EF280" s="4">
        <f t="shared" si="1088"/>
        <v>2.2583179581272428</v>
      </c>
      <c r="EG280" s="4">
        <f t="shared" si="949"/>
        <v>0.10132984366371672</v>
      </c>
      <c r="EJ280" s="4">
        <f t="shared" si="1089"/>
        <v>0.10132984366371672</v>
      </c>
      <c r="EK280" s="4">
        <f t="shared" si="950"/>
        <v>0.24511547051191737</v>
      </c>
      <c r="EL280" s="4">
        <f t="shared" si="1090"/>
        <v>5.1464801926043178</v>
      </c>
      <c r="EM280" s="4">
        <f t="shared" si="1091"/>
        <v>7.3521768503320528</v>
      </c>
      <c r="EN280" s="4" t="e">
        <f t="shared" si="1092"/>
        <v>#REF!</v>
      </c>
      <c r="EO280" s="4" t="e">
        <f t="shared" si="1093"/>
        <v>#REF!</v>
      </c>
      <c r="EP280" s="4" t="e">
        <f t="shared" si="951"/>
        <v>#REF!</v>
      </c>
      <c r="EQ280" s="4" t="e">
        <f t="shared" si="1094"/>
        <v>#REF!</v>
      </c>
      <c r="ER280" s="4" t="e">
        <f t="shared" si="952"/>
        <v>#REF!</v>
      </c>
      <c r="FA280" s="23" t="e">
        <f t="shared" si="1042"/>
        <v>#REF!</v>
      </c>
      <c r="FB280" s="23" t="e">
        <f t="shared" si="1043"/>
        <v>#REF!</v>
      </c>
      <c r="FC280" s="23">
        <f t="shared" si="981"/>
        <v>1.6</v>
      </c>
      <c r="FD280" s="23" t="e">
        <f t="shared" si="1044"/>
        <v>#REF!</v>
      </c>
      <c r="FE280" s="23">
        <f t="shared" si="1045"/>
        <v>1</v>
      </c>
      <c r="FF280" s="23">
        <f t="shared" si="1046"/>
        <v>1</v>
      </c>
      <c r="FG280" s="23">
        <f t="shared" si="968"/>
        <v>0</v>
      </c>
      <c r="FH280" s="23"/>
      <c r="FR280" s="4">
        <f t="shared" si="1122"/>
        <v>1.25</v>
      </c>
      <c r="FS280" s="4">
        <f t="shared" si="1123"/>
        <v>0.60232558139534875</v>
      </c>
      <c r="FT280" s="4">
        <f t="shared" si="1124"/>
        <v>0.18749999999999997</v>
      </c>
      <c r="FU280" s="4">
        <f t="shared" si="1125"/>
        <v>372.94802512067884</v>
      </c>
    </row>
    <row r="281" spans="2:177" ht="12" customHeight="1" x14ac:dyDescent="0.3">
      <c r="B281" s="24"/>
      <c r="C281" s="7" t="s">
        <v>415</v>
      </c>
      <c r="D281" s="38">
        <f t="shared" si="1101"/>
        <v>889.65517241379314</v>
      </c>
      <c r="E281" s="38">
        <f>9.79*25.4</f>
        <v>248.66599999999997</v>
      </c>
      <c r="F281" s="38">
        <f>8260/145</f>
        <v>56.96551724137931</v>
      </c>
      <c r="G281" s="38">
        <f t="shared" si="1016"/>
        <v>25.4</v>
      </c>
      <c r="H281" s="38">
        <f>15.3*25.4</f>
        <v>388.62</v>
      </c>
      <c r="I281" s="38">
        <f>2.4*25.4</f>
        <v>60.959999999999994</v>
      </c>
      <c r="J281" s="39">
        <f>(3.6+3.4+3.2)/3*25.4</f>
        <v>86.36</v>
      </c>
      <c r="K281" s="7">
        <f t="shared" si="986"/>
        <v>95.250000000000014</v>
      </c>
      <c r="L281" s="38">
        <v>3</v>
      </c>
      <c r="M281" s="4">
        <f t="shared" si="1028"/>
        <v>260.34999999999997</v>
      </c>
      <c r="N281" s="7">
        <f t="shared" si="905"/>
        <v>2.3750000000000004</v>
      </c>
      <c r="O281" s="7">
        <f t="shared" si="906"/>
        <v>2.9</v>
      </c>
      <c r="P281" s="38">
        <v>4.0999999999999996</v>
      </c>
      <c r="Q281" s="4">
        <f t="shared" si="1017"/>
        <v>4.0999999999999996</v>
      </c>
      <c r="R281" s="4">
        <f t="shared" si="907"/>
        <v>5.0999999999999996</v>
      </c>
      <c r="S281" s="7">
        <f t="shared" si="908"/>
        <v>57.361276136431961</v>
      </c>
      <c r="V281" s="38">
        <f t="shared" si="1054"/>
        <v>489.65517241379314</v>
      </c>
      <c r="W281" s="4">
        <v>71</v>
      </c>
      <c r="X281" s="4">
        <f t="shared" si="910"/>
        <v>0.94979047422646845</v>
      </c>
      <c r="Y281" s="38">
        <f t="shared" ref="Y281:Y290" si="1148">0.375*25.4</f>
        <v>9.5249999999999986</v>
      </c>
      <c r="Z281" s="38">
        <v>4</v>
      </c>
      <c r="AA281" s="39">
        <f>5*25.4</f>
        <v>127</v>
      </c>
      <c r="AB281" s="39">
        <v>2</v>
      </c>
      <c r="AC281" s="39">
        <v>1</v>
      </c>
      <c r="AD281" s="7"/>
      <c r="AE281" s="4">
        <f t="shared" si="912"/>
        <v>248.66599999999997</v>
      </c>
      <c r="AF281" s="4">
        <f t="shared" si="913"/>
        <v>0.52093973442288066</v>
      </c>
      <c r="AG281" s="4">
        <f t="shared" si="914"/>
        <v>194.69377496943841</v>
      </c>
      <c r="AH281" s="4">
        <f t="shared" si="915"/>
        <v>0.75924412665985697</v>
      </c>
      <c r="AI281" s="4">
        <v>1.25</v>
      </c>
      <c r="AJ281" s="4">
        <f t="shared" si="857"/>
        <v>2.5</v>
      </c>
      <c r="AK281" s="38">
        <f t="shared" si="988"/>
        <v>240.64176973575979</v>
      </c>
      <c r="AL281" s="38">
        <f t="shared" si="953"/>
        <v>240.64176973575979</v>
      </c>
      <c r="AM281" s="38">
        <f t="shared" si="916"/>
        <v>4.2706194667653463</v>
      </c>
      <c r="AN281" s="38">
        <f t="shared" si="858"/>
        <v>240.64176973575968</v>
      </c>
      <c r="AO281" s="38">
        <f t="shared" si="1115"/>
        <v>1.0000000000000004</v>
      </c>
      <c r="AP281" s="38">
        <f t="shared" si="859"/>
        <v>2.478126681673158</v>
      </c>
      <c r="AQ281" s="4">
        <f t="shared" si="860"/>
        <v>0</v>
      </c>
      <c r="AR281" s="4" t="e">
        <f>#REF!/G281*F281^0.5/0.19</f>
        <v>#REF!</v>
      </c>
      <c r="AS281" s="4">
        <f t="shared" si="917"/>
        <v>1.088421052631579</v>
      </c>
      <c r="AT281" s="38">
        <f t="shared" si="918"/>
        <v>596.34079030723433</v>
      </c>
      <c r="AU281" s="4">
        <f t="shared" si="919"/>
        <v>0.42600000000000005</v>
      </c>
      <c r="AV281" s="4" t="e">
        <f>AU281*D281*#REF!/(D281*G281/2.75/F281^0.5)</f>
        <v>#REF!</v>
      </c>
      <c r="AW281" s="4" t="e">
        <f t="shared" si="1068"/>
        <v>#REF!</v>
      </c>
      <c r="AY281" s="4">
        <f t="shared" si="920"/>
        <v>1.5</v>
      </c>
      <c r="AZ281" s="4" t="e">
        <f>(3*#REF!+30)*AY281*F281^0.5</f>
        <v>#REF!</v>
      </c>
      <c r="BB281" s="4">
        <f t="shared" si="921"/>
        <v>571.96374563116331</v>
      </c>
      <c r="BC281" s="4">
        <f t="shared" si="1103"/>
        <v>0</v>
      </c>
      <c r="BD281" s="4">
        <f t="shared" si="1069"/>
        <v>0</v>
      </c>
      <c r="BL281" s="4">
        <f t="shared" si="923"/>
        <v>47.625000000000007</v>
      </c>
      <c r="BP281" s="9"/>
      <c r="BR281" s="9"/>
      <c r="BS281" s="9"/>
      <c r="BT281" s="9">
        <f t="shared" si="924"/>
        <v>47.625000000000007</v>
      </c>
      <c r="BU281" s="9">
        <f t="shared" si="925"/>
        <v>60.959999999999994</v>
      </c>
      <c r="BV281" s="9">
        <f t="shared" si="926"/>
        <v>1.4209609120759505</v>
      </c>
      <c r="BW281" s="40">
        <f t="shared" si="1018"/>
        <v>20</v>
      </c>
      <c r="BX281" s="9">
        <f t="shared" si="927"/>
        <v>0.05</v>
      </c>
      <c r="BY281" s="9">
        <f t="shared" si="1070"/>
        <v>0.8</v>
      </c>
      <c r="BZ281" s="9">
        <f t="shared" si="928"/>
        <v>0.99524931562137331</v>
      </c>
      <c r="CA281" s="9">
        <f t="shared" si="929"/>
        <v>0.68</v>
      </c>
      <c r="CB281" s="9">
        <f t="shared" si="930"/>
        <v>1.7877832632633699</v>
      </c>
      <c r="CC281" s="9">
        <f t="shared" si="931"/>
        <v>3.9705967469715331</v>
      </c>
      <c r="CD281" s="40">
        <v>1</v>
      </c>
      <c r="CE281" s="9" t="e">
        <f>4*CC281*#REF!+60*CC281</f>
        <v>#REF!</v>
      </c>
      <c r="CG281" s="4" t="e">
        <f t="shared" si="1071"/>
        <v>#REF!</v>
      </c>
      <c r="CH281" s="4" t="e">
        <f t="shared" si="1072"/>
        <v>#REF!</v>
      </c>
      <c r="CI281" s="4" t="e">
        <f t="shared" si="1073"/>
        <v>#REF!</v>
      </c>
      <c r="CJ281" s="4" t="e">
        <f t="shared" si="1074"/>
        <v>#REF!</v>
      </c>
      <c r="CK281" s="4">
        <f t="shared" si="1075"/>
        <v>0.94979047422646845</v>
      </c>
      <c r="CL281" s="4">
        <f t="shared" si="1076"/>
        <v>0.97651110382324768</v>
      </c>
      <c r="CM281" s="4">
        <f t="shared" si="978"/>
        <v>1.4064662597202062</v>
      </c>
      <c r="CN281" s="4">
        <f t="shared" si="1019"/>
        <v>4</v>
      </c>
      <c r="CU281" s="4" t="e">
        <f t="shared" ref="CU281:CU282" si="1149">CG281</f>
        <v>#REF!</v>
      </c>
      <c r="CV281" s="4" t="e">
        <f t="shared" ref="CV281:CV282" si="1150">CH281</f>
        <v>#REF!</v>
      </c>
      <c r="CW281" s="4" t="e">
        <f t="shared" ref="CW281:CW282" si="1151">CJ281</f>
        <v>#REF!</v>
      </c>
      <c r="CX281" s="4">
        <f t="shared" si="1143"/>
        <v>1.4064662597202062</v>
      </c>
      <c r="CY281" s="4">
        <f t="shared" ref="CY281:CY282" si="1152">CK281</f>
        <v>0.94979047422646845</v>
      </c>
      <c r="CZ281" s="4">
        <f t="shared" ref="CZ281:CZ282" si="1153">CL281</f>
        <v>0.97651110382324768</v>
      </c>
      <c r="DC281" s="4" t="e">
        <f>#REF!</f>
        <v>#REF!</v>
      </c>
      <c r="DF281" s="4">
        <f t="shared" si="932"/>
        <v>2.0861616255680189E-5</v>
      </c>
      <c r="DG281" s="4">
        <f t="shared" si="1083"/>
        <v>8.9671475677266113</v>
      </c>
      <c r="DH281" s="4">
        <f t="shared" si="934"/>
        <v>0.22996449678269945</v>
      </c>
      <c r="DI281" s="4">
        <f t="shared" si="1084"/>
        <v>4.9810239934527845</v>
      </c>
      <c r="DJ281" s="4">
        <f t="shared" si="1085"/>
        <v>7.2554065540111337</v>
      </c>
      <c r="DK281" s="4">
        <f t="shared" si="937"/>
        <v>8.4118750908213116</v>
      </c>
      <c r="DL281" s="38">
        <f t="shared" si="938"/>
        <v>515.54020144556591</v>
      </c>
      <c r="DM281" s="4" t="e">
        <f t="shared" si="1086"/>
        <v>#REF!</v>
      </c>
      <c r="DN281" s="4">
        <f t="shared" si="940"/>
        <v>2.2583179581272428</v>
      </c>
      <c r="DO281" s="4">
        <f t="shared" si="976"/>
        <v>240.64176973575968</v>
      </c>
      <c r="DS281" s="4">
        <f t="shared" si="941"/>
        <v>0.85</v>
      </c>
      <c r="DT281" s="4">
        <f t="shared" si="942"/>
        <v>0.91249999999999998</v>
      </c>
      <c r="DU281" s="4">
        <f t="shared" si="943"/>
        <v>0.99062499999999998</v>
      </c>
      <c r="DV281" s="4">
        <f t="shared" si="1087"/>
        <v>0.90394531249999999</v>
      </c>
      <c r="DX281" s="4">
        <f t="shared" si="945"/>
        <v>501.43328682765559</v>
      </c>
      <c r="DY281" s="25">
        <f t="shared" si="1146"/>
        <v>238.06816276352504</v>
      </c>
      <c r="EA281" s="4">
        <f t="shared" si="1147"/>
        <v>0.76835351562499998</v>
      </c>
      <c r="EB281" s="4">
        <f t="shared" si="946"/>
        <v>8.9671475677266113</v>
      </c>
      <c r="EE281" s="4">
        <f t="shared" si="947"/>
        <v>57.361276136431961</v>
      </c>
      <c r="EF281" s="4">
        <f t="shared" si="1088"/>
        <v>2.2583179581272428</v>
      </c>
      <c r="EG281" s="4">
        <f t="shared" si="949"/>
        <v>9.4907838002892445E-2</v>
      </c>
      <c r="EJ281" s="4">
        <f t="shared" si="1089"/>
        <v>9.4907838002892445E-2</v>
      </c>
      <c r="EK281" s="4">
        <f t="shared" si="950"/>
        <v>0.22958072889712505</v>
      </c>
      <c r="EL281" s="4">
        <f t="shared" si="1090"/>
        <v>4.9776973670645397</v>
      </c>
      <c r="EM281" s="4">
        <f t="shared" si="1091"/>
        <v>7.2542727905675264</v>
      </c>
      <c r="EN281" s="4" t="e">
        <f t="shared" si="1092"/>
        <v>#REF!</v>
      </c>
      <c r="EO281" s="4" t="e">
        <f t="shared" si="1093"/>
        <v>#REF!</v>
      </c>
      <c r="EP281" s="4" t="e">
        <f t="shared" si="951"/>
        <v>#REF!</v>
      </c>
      <c r="EQ281" s="4" t="e">
        <f t="shared" si="1094"/>
        <v>#REF!</v>
      </c>
      <c r="ER281" s="4" t="e">
        <f t="shared" si="952"/>
        <v>#REF!</v>
      </c>
      <c r="FA281" s="23" t="e">
        <f t="shared" si="1042"/>
        <v>#REF!</v>
      </c>
      <c r="FB281" s="23" t="e">
        <f t="shared" si="1043"/>
        <v>#REF!</v>
      </c>
      <c r="FC281" s="23">
        <f t="shared" si="981"/>
        <v>1.6</v>
      </c>
      <c r="FD281" s="23" t="e">
        <f t="shared" si="1044"/>
        <v>#REF!</v>
      </c>
      <c r="FE281" s="23">
        <f t="shared" si="1045"/>
        <v>1</v>
      </c>
      <c r="FF281" s="23">
        <f t="shared" si="1046"/>
        <v>1</v>
      </c>
      <c r="FG281" s="23">
        <f t="shared" si="968"/>
        <v>0</v>
      </c>
      <c r="FH281" s="23"/>
      <c r="FR281" s="4">
        <f t="shared" si="1122"/>
        <v>1.25</v>
      </c>
      <c r="FS281" s="4">
        <f t="shared" si="1123"/>
        <v>0.61627906976744196</v>
      </c>
      <c r="FT281" s="4">
        <f t="shared" si="1124"/>
        <v>0.18749999999999997</v>
      </c>
      <c r="FU281" s="4">
        <f t="shared" si="1125"/>
        <v>348.14569423883808</v>
      </c>
    </row>
    <row r="282" spans="2:177" ht="12" customHeight="1" x14ac:dyDescent="0.3">
      <c r="B282" s="24"/>
      <c r="C282" s="7" t="s">
        <v>416</v>
      </c>
      <c r="D282" s="38">
        <f t="shared" si="1101"/>
        <v>889.65517241379314</v>
      </c>
      <c r="E282" s="38">
        <f>10*25.4</f>
        <v>254</v>
      </c>
      <c r="F282" s="38">
        <f>8260/145</f>
        <v>56.96551724137931</v>
      </c>
      <c r="G282" s="38">
        <f t="shared" si="1016"/>
        <v>25.4</v>
      </c>
      <c r="H282" s="38">
        <f>16*25.4</f>
        <v>406.4</v>
      </c>
      <c r="I282" s="38">
        <f>2.45*25.4</f>
        <v>62.230000000000004</v>
      </c>
      <c r="J282" s="39">
        <f>(3.2+3.1+2.9)/3*25.4</f>
        <v>77.893333333333331</v>
      </c>
      <c r="K282" s="7">
        <f t="shared" si="986"/>
        <v>102.86999999999999</v>
      </c>
      <c r="L282" s="38">
        <v>3</v>
      </c>
      <c r="M282" s="4">
        <f t="shared" si="1028"/>
        <v>260.34999999999997</v>
      </c>
      <c r="N282" s="7">
        <f t="shared" si="905"/>
        <v>2.5249999999999999</v>
      </c>
      <c r="O282" s="7">
        <f t="shared" si="906"/>
        <v>2.95</v>
      </c>
      <c r="P282" s="38">
        <v>4.0999999999999996</v>
      </c>
      <c r="Q282" s="4">
        <f t="shared" si="1017"/>
        <v>4.0999999999999996</v>
      </c>
      <c r="R282" s="4">
        <f t="shared" si="907"/>
        <v>5.0999999999999996</v>
      </c>
      <c r="S282" s="7">
        <f t="shared" si="908"/>
        <v>57.361276136431961</v>
      </c>
      <c r="V282" s="38">
        <f t="shared" si="1054"/>
        <v>571.72413793103453</v>
      </c>
      <c r="W282" s="4">
        <v>82.9</v>
      </c>
      <c r="X282" s="4">
        <f t="shared" si="910"/>
        <v>1.0555684263285166</v>
      </c>
      <c r="Y282" s="38">
        <f t="shared" si="1148"/>
        <v>9.5249999999999986</v>
      </c>
      <c r="Z282" s="38">
        <v>4</v>
      </c>
      <c r="AA282" s="39">
        <f>5*25.4</f>
        <v>127</v>
      </c>
      <c r="AB282" s="39">
        <f>2+2</f>
        <v>4</v>
      </c>
      <c r="AC282" s="39">
        <v>1</v>
      </c>
      <c r="AD282" s="7"/>
      <c r="AE282" s="4">
        <f t="shared" si="912"/>
        <v>254</v>
      </c>
      <c r="AF282" s="4">
        <f t="shared" si="913"/>
        <v>0.53333333333333333</v>
      </c>
      <c r="AG282" s="4">
        <f t="shared" si="914"/>
        <v>200.9916558719431</v>
      </c>
      <c r="AH282" s="4">
        <f t="shared" si="915"/>
        <v>0.75900000000000001</v>
      </c>
      <c r="AI282" s="4">
        <v>1.25</v>
      </c>
      <c r="AJ282" s="4">
        <f t="shared" ref="AJ282:AJ345" si="1154">AJ281</f>
        <v>2.5</v>
      </c>
      <c r="AK282" s="38">
        <f t="shared" si="988"/>
        <v>254.25444467800804</v>
      </c>
      <c r="AL282" s="38">
        <f t="shared" si="953"/>
        <v>254.25444467800804</v>
      </c>
      <c r="AM282" s="38">
        <f t="shared" si="916"/>
        <v>4.2706194667653463</v>
      </c>
      <c r="AN282" s="38">
        <f t="shared" si="858"/>
        <v>254.25444467800801</v>
      </c>
      <c r="AO282" s="38">
        <f t="shared" si="1115"/>
        <v>1.0000000000000002</v>
      </c>
      <c r="AP282" s="38">
        <f t="shared" si="859"/>
        <v>2.4452551653028047</v>
      </c>
      <c r="AQ282" s="4">
        <f t="shared" si="860"/>
        <v>0</v>
      </c>
      <c r="AR282" s="4" t="e">
        <f>#REF!/G282*F282^0.5/0.19</f>
        <v>#REF!</v>
      </c>
      <c r="AS282" s="4">
        <f t="shared" si="917"/>
        <v>1.0673267326732674</v>
      </c>
      <c r="AT282" s="38">
        <f t="shared" si="918"/>
        <v>621.71699415009527</v>
      </c>
      <c r="AU282" s="4">
        <f t="shared" si="919"/>
        <v>0.42600000000000005</v>
      </c>
      <c r="AV282" s="4" t="e">
        <f>AU282*D282*#REF!/(D282*G282/2.75/F282^0.5)</f>
        <v>#REF!</v>
      </c>
      <c r="AW282" s="4" t="e">
        <f t="shared" si="1068"/>
        <v>#REF!</v>
      </c>
      <c r="AY282" s="4">
        <f t="shared" si="920"/>
        <v>1.5</v>
      </c>
      <c r="AZ282" s="4" t="e">
        <f>(3*#REF!+30)*AY282*F282^0.5</f>
        <v>#REF!</v>
      </c>
      <c r="BB282" s="4">
        <f t="shared" si="921"/>
        <v>596.30262842397872</v>
      </c>
      <c r="BC282" s="4">
        <f t="shared" si="1103"/>
        <v>0</v>
      </c>
      <c r="BD282" s="4">
        <f t="shared" si="1069"/>
        <v>0</v>
      </c>
      <c r="BL282" s="4">
        <f t="shared" si="923"/>
        <v>51.434999999999995</v>
      </c>
      <c r="BP282" s="9"/>
      <c r="BR282" s="9"/>
      <c r="BS282" s="9"/>
      <c r="BT282" s="9">
        <f t="shared" si="924"/>
        <v>51.434999999999995</v>
      </c>
      <c r="BU282" s="9">
        <f t="shared" si="925"/>
        <v>62.230000000000004</v>
      </c>
      <c r="BV282" s="9">
        <f t="shared" si="926"/>
        <v>1.4642784548874435</v>
      </c>
      <c r="BW282" s="40">
        <f t="shared" si="1018"/>
        <v>20</v>
      </c>
      <c r="BX282" s="9">
        <f t="shared" si="927"/>
        <v>0.05</v>
      </c>
      <c r="BY282" s="9">
        <f t="shared" si="1070"/>
        <v>0.8</v>
      </c>
      <c r="BZ282" s="9">
        <f t="shared" si="928"/>
        <v>0.99524931562137331</v>
      </c>
      <c r="CA282" s="9">
        <f t="shared" si="929"/>
        <v>0.68</v>
      </c>
      <c r="CB282" s="9">
        <f t="shared" si="930"/>
        <v>1.7877832632633699</v>
      </c>
      <c r="CC282" s="9">
        <f t="shared" si="931"/>
        <v>4.048039125015614</v>
      </c>
      <c r="CD282" s="40">
        <v>1</v>
      </c>
      <c r="CE282" s="9" t="e">
        <f>4*CC282*#REF!+60*CC282</f>
        <v>#REF!</v>
      </c>
      <c r="CG282" s="4" t="e">
        <f t="shared" si="1071"/>
        <v>#REF!</v>
      </c>
      <c r="CH282" s="4" t="e">
        <f t="shared" si="1072"/>
        <v>#REF!</v>
      </c>
      <c r="CI282" s="4" t="e">
        <f t="shared" si="1073"/>
        <v>#REF!</v>
      </c>
      <c r="CJ282" s="4" t="e">
        <f t="shared" si="1074"/>
        <v>#REF!</v>
      </c>
      <c r="CK282" s="4">
        <f t="shared" si="1075"/>
        <v>1.0555684263285166</v>
      </c>
      <c r="CL282" s="4">
        <f t="shared" si="1076"/>
        <v>1.0887563493315389</v>
      </c>
      <c r="CM282" s="4">
        <f t="shared" si="978"/>
        <v>1.500601767058964</v>
      </c>
      <c r="CN282" s="4">
        <f t="shared" si="1019"/>
        <v>4</v>
      </c>
      <c r="CU282" s="4" t="e">
        <f t="shared" si="1149"/>
        <v>#REF!</v>
      </c>
      <c r="CV282" s="4" t="e">
        <f t="shared" si="1150"/>
        <v>#REF!</v>
      </c>
      <c r="CW282" s="4" t="e">
        <f t="shared" si="1151"/>
        <v>#REF!</v>
      </c>
      <c r="CX282" s="4">
        <f t="shared" si="1143"/>
        <v>1.500601767058964</v>
      </c>
      <c r="CY282" s="4">
        <f t="shared" si="1152"/>
        <v>1.0555684263285166</v>
      </c>
      <c r="CZ282" s="4">
        <f t="shared" si="1153"/>
        <v>1.0887563493315389</v>
      </c>
      <c r="DC282" s="4" t="e">
        <f>#REF!</f>
        <v>#REF!</v>
      </c>
      <c r="DF282" s="4">
        <f t="shared" si="932"/>
        <v>2.1309107513462914E-5</v>
      </c>
      <c r="DG282" s="4">
        <f t="shared" si="1083"/>
        <v>9.1170163293042155</v>
      </c>
      <c r="DH282" s="4">
        <f t="shared" si="934"/>
        <v>0.24297317747183342</v>
      </c>
      <c r="DI282" s="4">
        <f t="shared" si="1084"/>
        <v>5.1769749783827637</v>
      </c>
      <c r="DJ282" s="4">
        <f t="shared" si="1085"/>
        <v>7.4154291454372627</v>
      </c>
      <c r="DK282" s="4">
        <f t="shared" si="937"/>
        <v>8.5130035511370519</v>
      </c>
      <c r="DL282" s="38">
        <f t="shared" si="938"/>
        <v>541.6267895768807</v>
      </c>
      <c r="DM282" s="4" t="e">
        <f t="shared" si="1086"/>
        <v>#REF!</v>
      </c>
      <c r="DN282" s="4">
        <f t="shared" si="940"/>
        <v>2.2583179581272428</v>
      </c>
      <c r="DO282" s="4">
        <f t="shared" si="976"/>
        <v>254.25444467800801</v>
      </c>
      <c r="DS282" s="4">
        <f t="shared" si="941"/>
        <v>0.85</v>
      </c>
      <c r="DT282" s="4">
        <f t="shared" si="942"/>
        <v>0.89749999999999996</v>
      </c>
      <c r="DU282" s="4">
        <f t="shared" si="943"/>
        <v>0.99062499999999998</v>
      </c>
      <c r="DV282" s="4">
        <f t="shared" si="1087"/>
        <v>0.88908593749999998</v>
      </c>
      <c r="DX282" s="4">
        <f t="shared" si="945"/>
        <v>525.11669693779936</v>
      </c>
      <c r="DY282" s="25">
        <f t="shared" si="1146"/>
        <v>251.60620705867285</v>
      </c>
      <c r="EA282" s="4">
        <f t="shared" si="1147"/>
        <v>0.75572304687499992</v>
      </c>
      <c r="EB282" s="4">
        <f t="shared" si="946"/>
        <v>9.1170163293042155</v>
      </c>
      <c r="EE282" s="4">
        <f t="shared" si="947"/>
        <v>57.361276136431961</v>
      </c>
      <c r="EF282" s="4">
        <f t="shared" si="1088"/>
        <v>2.2583179581272428</v>
      </c>
      <c r="EG282" s="4">
        <f t="shared" si="949"/>
        <v>0.10027660482015607</v>
      </c>
      <c r="EJ282" s="4">
        <f t="shared" si="1089"/>
        <v>0.10027660482015607</v>
      </c>
      <c r="EK282" s="4">
        <f t="shared" si="950"/>
        <v>0.2425677005226774</v>
      </c>
      <c r="EL282" s="4">
        <f t="shared" si="1090"/>
        <v>5.1735174841813691</v>
      </c>
      <c r="EM282" s="4">
        <f t="shared" si="1091"/>
        <v>7.4142299063539356</v>
      </c>
      <c r="EN282" s="4" t="e">
        <f t="shared" si="1092"/>
        <v>#REF!</v>
      </c>
      <c r="EO282" s="4" t="e">
        <f t="shared" si="1093"/>
        <v>#REF!</v>
      </c>
      <c r="EP282" s="4" t="e">
        <f t="shared" si="951"/>
        <v>#REF!</v>
      </c>
      <c r="EQ282" s="4" t="e">
        <f t="shared" si="1094"/>
        <v>#REF!</v>
      </c>
      <c r="ER282" s="4" t="e">
        <f t="shared" si="952"/>
        <v>#REF!</v>
      </c>
      <c r="FA282" s="23" t="e">
        <f t="shared" si="1042"/>
        <v>#REF!</v>
      </c>
      <c r="FB282" s="23" t="e">
        <f t="shared" si="1043"/>
        <v>#REF!</v>
      </c>
      <c r="FC282" s="23">
        <f t="shared" si="981"/>
        <v>1.6</v>
      </c>
      <c r="FD282" s="23" t="e">
        <f t="shared" si="1044"/>
        <v>#REF!</v>
      </c>
      <c r="FE282" s="23">
        <f t="shared" si="1045"/>
        <v>1.2</v>
      </c>
      <c r="FF282" s="23">
        <f t="shared" si="1046"/>
        <v>1.2</v>
      </c>
      <c r="FG282" s="23">
        <f t="shared" si="968"/>
        <v>0</v>
      </c>
      <c r="FH282" s="23"/>
      <c r="FR282" s="4">
        <f t="shared" si="1122"/>
        <v>1.25</v>
      </c>
      <c r="FS282" s="4">
        <f t="shared" si="1123"/>
        <v>0.57522093023255816</v>
      </c>
      <c r="FT282" s="4">
        <f t="shared" si="1124"/>
        <v>0.3</v>
      </c>
      <c r="FU282" s="4">
        <f t="shared" si="1125"/>
        <v>380.99657782728002</v>
      </c>
    </row>
    <row r="283" spans="2:177" ht="12" customHeight="1" x14ac:dyDescent="0.3">
      <c r="B283" s="24" t="s">
        <v>417</v>
      </c>
      <c r="C283" s="7" t="s">
        <v>418</v>
      </c>
      <c r="D283" s="38">
        <f t="shared" si="1101"/>
        <v>889.65517241379314</v>
      </c>
      <c r="E283" s="38">
        <f>9.69*25.4</f>
        <v>246.12599999999998</v>
      </c>
      <c r="F283" s="38">
        <f>11760/145</f>
        <v>81.103448275862064</v>
      </c>
      <c r="G283" s="38">
        <f t="shared" si="1016"/>
        <v>25.4</v>
      </c>
      <c r="H283" s="38">
        <f>16.9*25.4</f>
        <v>429.25999999999993</v>
      </c>
      <c r="I283" s="38">
        <f>2.5*25.4</f>
        <v>63.5</v>
      </c>
      <c r="J283" s="39">
        <f>3.45*25.4</f>
        <v>87.63</v>
      </c>
      <c r="K283" s="7">
        <f t="shared" si="986"/>
        <v>251.45999999999992</v>
      </c>
      <c r="L283" s="38">
        <v>2</v>
      </c>
      <c r="M283" s="4">
        <f t="shared" si="1028"/>
        <v>260.34999999999997</v>
      </c>
      <c r="N283" s="7">
        <f t="shared" si="905"/>
        <v>3</v>
      </c>
      <c r="O283" s="7">
        <f t="shared" si="906"/>
        <v>3</v>
      </c>
      <c r="P283" s="38">
        <v>4.0999999999999996</v>
      </c>
      <c r="Q283" s="4">
        <f t="shared" si="1017"/>
        <v>4.0999999999999996</v>
      </c>
      <c r="R283" s="4">
        <f t="shared" si="907"/>
        <v>5.0999999999999996</v>
      </c>
      <c r="S283" s="7">
        <f t="shared" si="908"/>
        <v>57.361276136431961</v>
      </c>
      <c r="V283" s="38">
        <f t="shared" si="1054"/>
        <v>626.89655172413802</v>
      </c>
      <c r="W283" s="4">
        <v>90.9</v>
      </c>
      <c r="X283" s="4">
        <f t="shared" si="910"/>
        <v>0.75449639049580097</v>
      </c>
      <c r="Y283" s="38"/>
      <c r="Z283" s="38"/>
      <c r="AA283" s="39">
        <v>1</v>
      </c>
      <c r="AB283" s="39"/>
      <c r="AC283" s="39"/>
      <c r="AD283" s="7"/>
      <c r="AE283" s="4">
        <f t="shared" si="912"/>
        <v>246.12599999999998</v>
      </c>
      <c r="AF283" s="4">
        <f t="shared" si="913"/>
        <v>0.58135534915720666</v>
      </c>
      <c r="AG283" s="4">
        <f t="shared" si="914"/>
        <v>343.13782172231606</v>
      </c>
      <c r="AH283" s="4">
        <f t="shared" si="915"/>
        <v>0.76191950464396285</v>
      </c>
      <c r="AI283" s="4">
        <v>1.25</v>
      </c>
      <c r="AJ283" s="4">
        <f t="shared" si="1154"/>
        <v>2.5</v>
      </c>
      <c r="AK283" s="38">
        <f t="shared" si="988"/>
        <v>474.9734956201147</v>
      </c>
      <c r="AL283" s="38">
        <f t="shared" si="953"/>
        <v>474.9734956201147</v>
      </c>
      <c r="AM283" s="38">
        <f t="shared" si="916"/>
        <v>4.8623877845559145</v>
      </c>
      <c r="AN283" s="38">
        <f t="shared" si="858"/>
        <v>474.97349562011482</v>
      </c>
      <c r="AO283" s="38">
        <f t="shared" si="1115"/>
        <v>0.99999999999999978</v>
      </c>
      <c r="AP283" s="38">
        <f t="shared" si="859"/>
        <v>2.0744984867380696</v>
      </c>
      <c r="AQ283" s="4">
        <f t="shared" si="860"/>
        <v>0</v>
      </c>
      <c r="AR283" s="4" t="e">
        <f>#REF!/G283*F283^0.5/0.19</f>
        <v>#REF!</v>
      </c>
      <c r="AS283" s="4">
        <f t="shared" si="917"/>
        <v>1</v>
      </c>
      <c r="AT283" s="38">
        <f t="shared" si="918"/>
        <v>985.33179790461941</v>
      </c>
      <c r="AU283" s="4">
        <f t="shared" si="919"/>
        <v>0.42600000000000005</v>
      </c>
      <c r="AV283" s="4" t="e">
        <f>AU283*D283*#REF!/(D283*G283/2.75/F283^0.5)</f>
        <v>#REF!</v>
      </c>
      <c r="AW283" s="4" t="e">
        <f t="shared" si="1068"/>
        <v>#REF!</v>
      </c>
      <c r="AY283" s="4">
        <f t="shared" si="920"/>
        <v>1.375</v>
      </c>
      <c r="AZ283" s="4" t="e">
        <f>(3*#REF!+30)*AY283*F283^0.5</f>
        <v>#REF!</v>
      </c>
      <c r="BB283" s="4">
        <f t="shared" si="921"/>
        <v>945.05369241748747</v>
      </c>
      <c r="BC283" s="4">
        <f t="shared" si="1103"/>
        <v>0</v>
      </c>
      <c r="BD283" s="4">
        <f t="shared" si="1069"/>
        <v>0</v>
      </c>
      <c r="BL283" s="4">
        <f t="shared" si="923"/>
        <v>63.5</v>
      </c>
      <c r="BP283" s="9"/>
      <c r="BR283" s="9"/>
      <c r="BS283" s="9"/>
      <c r="BT283" s="9">
        <f t="shared" si="924"/>
        <v>63.5</v>
      </c>
      <c r="BU283" s="9">
        <f t="shared" si="925"/>
        <v>125.72999999999996</v>
      </c>
      <c r="BV283" s="9">
        <f t="shared" si="926"/>
        <v>1.7517405482385959</v>
      </c>
      <c r="BW283" s="40">
        <f t="shared" si="1018"/>
        <v>0</v>
      </c>
      <c r="BX283" s="9">
        <f t="shared" si="927"/>
        <v>0</v>
      </c>
      <c r="BY283" s="9">
        <f t="shared" si="1070"/>
        <v>0</v>
      </c>
      <c r="BZ283" s="9">
        <f t="shared" si="928"/>
        <v>0.99524931562137331</v>
      </c>
      <c r="CA283" s="9">
        <f t="shared" si="929"/>
        <v>0.68</v>
      </c>
      <c r="CB283" s="9">
        <f t="shared" si="930"/>
        <v>2.1331849177195688</v>
      </c>
      <c r="CC283" s="9">
        <f t="shared" si="931"/>
        <v>3.7367865172603816</v>
      </c>
      <c r="CD283" s="40">
        <v>1</v>
      </c>
      <c r="CE283" s="9" t="e">
        <f>4*CC283*#REF!+60*CC283</f>
        <v>#REF!</v>
      </c>
      <c r="CG283" s="4" t="e">
        <f t="shared" si="1071"/>
        <v>#REF!</v>
      </c>
      <c r="CH283" s="4" t="e">
        <f t="shared" si="1072"/>
        <v>#REF!</v>
      </c>
      <c r="CI283" s="4" t="e">
        <f t="shared" si="1073"/>
        <v>#REF!</v>
      </c>
      <c r="CJ283" s="4" t="e">
        <f t="shared" si="1074"/>
        <v>#REF!</v>
      </c>
      <c r="CK283" s="4">
        <f t="shared" si="1075"/>
        <v>0.75449639049580097</v>
      </c>
      <c r="CL283" s="4">
        <f t="shared" si="1076"/>
        <v>0.78300596637240216</v>
      </c>
      <c r="CM283" s="4">
        <f t="shared" si="978"/>
        <v>1.0809846369960703</v>
      </c>
      <c r="CN283" s="4">
        <f t="shared" si="1019"/>
        <v>0</v>
      </c>
      <c r="CO283" s="4" t="e">
        <f t="shared" ref="CO283" si="1155">CG283</f>
        <v>#REF!</v>
      </c>
      <c r="CP283" s="4" t="e">
        <f t="shared" ref="CP283" si="1156">CH283</f>
        <v>#REF!</v>
      </c>
      <c r="CQ283" s="4" t="e">
        <f t="shared" ref="CQ283" si="1157">CJ283</f>
        <v>#REF!</v>
      </c>
      <c r="CR283" s="4">
        <f t="shared" ref="CR283" si="1158">CM283</f>
        <v>1.0809846369960703</v>
      </c>
      <c r="CS283" s="4">
        <f t="shared" ref="CS283" si="1159">CK283</f>
        <v>0.75449639049580097</v>
      </c>
      <c r="CT283" s="4">
        <f t="shared" ref="CT283" si="1160">CL283</f>
        <v>0.78300596637240216</v>
      </c>
      <c r="DC283" s="4" t="e">
        <f>#REF!</f>
        <v>#REF!</v>
      </c>
      <c r="DF283" s="4">
        <f t="shared" si="932"/>
        <v>2.3903025500369944E-5</v>
      </c>
      <c r="DG283" s="4">
        <f t="shared" si="1083"/>
        <v>11.378661693018476</v>
      </c>
      <c r="DH283" s="4">
        <f t="shared" si="934"/>
        <v>0.31880996013755275</v>
      </c>
      <c r="DI283" s="4">
        <f t="shared" si="1084"/>
        <v>7.2028428194447898</v>
      </c>
      <c r="DJ283" s="4">
        <f t="shared" si="1085"/>
        <v>9.5235891070744145</v>
      </c>
      <c r="DK283" s="4">
        <f t="shared" si="937"/>
        <v>10.322031386165987</v>
      </c>
      <c r="DL283" s="38">
        <f t="shared" si="938"/>
        <v>830.88078302427198</v>
      </c>
      <c r="DM283" s="4" t="e">
        <f t="shared" si="1086"/>
        <v>#REF!</v>
      </c>
      <c r="DN283" s="4">
        <f t="shared" si="940"/>
        <v>2.2583179581272428</v>
      </c>
      <c r="DO283" s="4">
        <f t="shared" si="976"/>
        <v>474.97349562011482</v>
      </c>
      <c r="DS283" s="4">
        <f t="shared" si="941"/>
        <v>0.85</v>
      </c>
      <c r="DT283" s="4">
        <f t="shared" si="942"/>
        <v>0.85</v>
      </c>
      <c r="DU283" s="4">
        <f t="shared" si="943"/>
        <v>1</v>
      </c>
      <c r="DV283" s="4">
        <f t="shared" si="1087"/>
        <v>0.85</v>
      </c>
      <c r="DX283" s="4">
        <f t="shared" si="945"/>
        <v>800.62806497949771</v>
      </c>
      <c r="DY283" s="25">
        <f t="shared" si="1146"/>
        <v>469.85036956345061</v>
      </c>
      <c r="EA283" s="4">
        <f t="shared" si="1147"/>
        <v>0.72249999999999992</v>
      </c>
      <c r="EB283" s="4">
        <f t="shared" si="946"/>
        <v>11.378661693018476</v>
      </c>
      <c r="EE283" s="4">
        <f t="shared" si="947"/>
        <v>57.361276136431961</v>
      </c>
      <c r="EF283" s="4">
        <f t="shared" si="1088"/>
        <v>2.2583179581272428</v>
      </c>
      <c r="EG283" s="4">
        <f t="shared" si="949"/>
        <v>0.15699535606871484</v>
      </c>
      <c r="EJ283" s="4">
        <f t="shared" si="1089"/>
        <v>0.15699535606871484</v>
      </c>
      <c r="EK283" s="4">
        <f t="shared" si="950"/>
        <v>0.31827792573218255</v>
      </c>
      <c r="EL283" s="4">
        <f t="shared" si="1090"/>
        <v>7.1980323292674591</v>
      </c>
      <c r="EM283" s="4">
        <f t="shared" si="1091"/>
        <v>9.5217760568927989</v>
      </c>
      <c r="EN283" s="4" t="e">
        <f t="shared" si="1092"/>
        <v>#REF!</v>
      </c>
      <c r="EO283" s="4" t="e">
        <f t="shared" si="1093"/>
        <v>#REF!</v>
      </c>
      <c r="EP283" s="4" t="e">
        <f t="shared" si="951"/>
        <v>#REF!</v>
      </c>
      <c r="EQ283" s="4" t="e">
        <f t="shared" si="1094"/>
        <v>#REF!</v>
      </c>
      <c r="ER283" s="4" t="e">
        <f t="shared" si="952"/>
        <v>#REF!</v>
      </c>
      <c r="FA283" s="23" t="e">
        <f t="shared" si="1042"/>
        <v>#REF!</v>
      </c>
      <c r="FB283" s="23" t="e">
        <f t="shared" si="1043"/>
        <v>#REF!</v>
      </c>
      <c r="FC283" s="23">
        <f t="shared" si="981"/>
        <v>1.2</v>
      </c>
      <c r="FD283" s="23" t="e">
        <f t="shared" si="1044"/>
        <v>#REF!</v>
      </c>
      <c r="FE283" s="23">
        <f t="shared" si="1045"/>
        <v>0.8</v>
      </c>
      <c r="FF283" s="23">
        <f t="shared" si="1046"/>
        <v>0.8</v>
      </c>
      <c r="FG283" s="23">
        <f t="shared" si="968"/>
        <v>1</v>
      </c>
      <c r="FH283" s="23"/>
      <c r="FR283" s="4">
        <f t="shared" si="1122"/>
        <v>1</v>
      </c>
      <c r="FS283" s="4">
        <f t="shared" si="1123"/>
        <v>0.5</v>
      </c>
      <c r="FT283" s="4">
        <f t="shared" si="1124"/>
        <v>0</v>
      </c>
      <c r="FU283" s="4">
        <f t="shared" si="1125"/>
        <v>579.93104644503558</v>
      </c>
    </row>
    <row r="284" spans="2:177" ht="12" customHeight="1" x14ac:dyDescent="0.3">
      <c r="B284" s="24"/>
      <c r="C284" s="7" t="s">
        <v>419</v>
      </c>
      <c r="D284" s="38">
        <f t="shared" si="1101"/>
        <v>889.65517241379314</v>
      </c>
      <c r="E284" s="38">
        <f>10*25.4</f>
        <v>254</v>
      </c>
      <c r="F284" s="38">
        <f>11760/145</f>
        <v>81.103448275862064</v>
      </c>
      <c r="G284" s="38">
        <f t="shared" si="1016"/>
        <v>25.4</v>
      </c>
      <c r="H284" s="38">
        <f>17*25.4</f>
        <v>431.79999999999995</v>
      </c>
      <c r="I284" s="38">
        <f>2.5*25.4</f>
        <v>63.5</v>
      </c>
      <c r="J284" s="39">
        <f>3.2*25.4</f>
        <v>81.28</v>
      </c>
      <c r="K284" s="7">
        <f t="shared" si="986"/>
        <v>253.99999999999994</v>
      </c>
      <c r="L284" s="38">
        <v>2</v>
      </c>
      <c r="M284" s="4">
        <f t="shared" si="1028"/>
        <v>260.34999999999997</v>
      </c>
      <c r="N284" s="7">
        <f t="shared" si="905"/>
        <v>3</v>
      </c>
      <c r="O284" s="7">
        <f t="shared" si="906"/>
        <v>3</v>
      </c>
      <c r="P284" s="38">
        <v>4.0999999999999996</v>
      </c>
      <c r="Q284" s="4">
        <f t="shared" si="1017"/>
        <v>4.0999999999999996</v>
      </c>
      <c r="R284" s="4">
        <f t="shared" si="907"/>
        <v>5.0999999999999996</v>
      </c>
      <c r="S284" s="7">
        <f t="shared" si="908"/>
        <v>57.361276136431961</v>
      </c>
      <c r="V284" s="38">
        <f t="shared" si="1054"/>
        <v>761.37931034482767</v>
      </c>
      <c r="W284" s="4">
        <v>110.4</v>
      </c>
      <c r="X284" s="4">
        <f t="shared" si="910"/>
        <v>0.85631332847185648</v>
      </c>
      <c r="Y284" s="38">
        <f t="shared" si="1148"/>
        <v>9.5249999999999986</v>
      </c>
      <c r="Z284" s="38">
        <v>10</v>
      </c>
      <c r="AA284" s="39">
        <f>3*25.4</f>
        <v>76.199999999999989</v>
      </c>
      <c r="AB284" s="39">
        <v>3</v>
      </c>
      <c r="AC284" s="39">
        <v>2</v>
      </c>
      <c r="AD284" s="7"/>
      <c r="AE284" s="4">
        <f t="shared" si="912"/>
        <v>254</v>
      </c>
      <c r="AF284" s="4">
        <f t="shared" si="913"/>
        <v>0.56666666666666665</v>
      </c>
      <c r="AG284" s="4">
        <f t="shared" si="914"/>
        <v>359.73519081184224</v>
      </c>
      <c r="AH284" s="4">
        <f t="shared" si="915"/>
        <v>0.76</v>
      </c>
      <c r="AI284" s="4">
        <v>1.25</v>
      </c>
      <c r="AJ284" s="4">
        <f t="shared" si="1154"/>
        <v>2.5</v>
      </c>
      <c r="AK284" s="38">
        <f t="shared" si="988"/>
        <v>484.14361096760433</v>
      </c>
      <c r="AL284" s="38">
        <f t="shared" si="953"/>
        <v>484.14361096760433</v>
      </c>
      <c r="AM284" s="38">
        <f t="shared" si="916"/>
        <v>4.8623877845559145</v>
      </c>
      <c r="AN284" s="38">
        <f t="shared" ref="AN284:AN347" si="1161">AJ284* (F284^0.5/AE284^0.5)/(PI()/4*G284^2)/L284/0.72 *(0.7+(MIN(I284,M284)+0.5*G284)/5/E284) *(3*H284*E284)</f>
        <v>484.14361096760422</v>
      </c>
      <c r="AO284" s="38">
        <f t="shared" si="1115"/>
        <v>1.0000000000000002</v>
      </c>
      <c r="AP284" s="38">
        <f t="shared" ref="AP284:AP347" si="1162">AT284/AN284</f>
        <v>2.0352056199509603</v>
      </c>
      <c r="AQ284" s="4">
        <f t="shared" ref="AQ284:AQ347" si="1163">IF(AP284&lt;1,1,0)</f>
        <v>0</v>
      </c>
      <c r="AR284" s="4" t="e">
        <f>#REF!/G284*F284^0.5/0.19</f>
        <v>#REF!</v>
      </c>
      <c r="AS284" s="4">
        <f t="shared" si="917"/>
        <v>1</v>
      </c>
      <c r="AT284" s="38">
        <f t="shared" si="918"/>
        <v>985.33179790461941</v>
      </c>
      <c r="AU284" s="4">
        <f t="shared" si="919"/>
        <v>0.42600000000000005</v>
      </c>
      <c r="AV284" s="4" t="e">
        <f>AU284*D284*#REF!/(D284*G284/2.75/F284^0.5)</f>
        <v>#REF!</v>
      </c>
      <c r="AW284" s="4" t="e">
        <f t="shared" si="1068"/>
        <v>#REF!</v>
      </c>
      <c r="AY284" s="4">
        <f t="shared" si="920"/>
        <v>1.5</v>
      </c>
      <c r="AZ284" s="4" t="e">
        <f>(3*#REF!+30)*AY284*F284^0.5</f>
        <v>#REF!</v>
      </c>
      <c r="BB284" s="4">
        <f t="shared" si="921"/>
        <v>945.05369241748747</v>
      </c>
      <c r="BC284" s="4">
        <f t="shared" si="1103"/>
        <v>0</v>
      </c>
      <c r="BD284" s="4">
        <f t="shared" si="1069"/>
        <v>0</v>
      </c>
      <c r="BL284" s="4">
        <f t="shared" si="923"/>
        <v>63.5</v>
      </c>
      <c r="BP284" s="9"/>
      <c r="BR284" s="9"/>
      <c r="BS284" s="9"/>
      <c r="BT284" s="9">
        <f t="shared" si="924"/>
        <v>63.5</v>
      </c>
      <c r="BU284" s="9">
        <f t="shared" si="925"/>
        <v>126.99999999999997</v>
      </c>
      <c r="BV284" s="9">
        <f t="shared" si="926"/>
        <v>1.7543833769624846</v>
      </c>
      <c r="BW284" s="40">
        <f t="shared" si="1018"/>
        <v>20</v>
      </c>
      <c r="BX284" s="9">
        <f t="shared" si="927"/>
        <v>0.05</v>
      </c>
      <c r="BY284" s="9">
        <f t="shared" si="1070"/>
        <v>0.8</v>
      </c>
      <c r="BZ284" s="9">
        <f t="shared" si="928"/>
        <v>0.99524931562137331</v>
      </c>
      <c r="CA284" s="9">
        <f t="shared" si="929"/>
        <v>0.68</v>
      </c>
      <c r="CB284" s="9">
        <f t="shared" si="930"/>
        <v>2.1331849177195688</v>
      </c>
      <c r="CC284" s="9">
        <f t="shared" si="931"/>
        <v>5.3329622942989214</v>
      </c>
      <c r="CD284" s="40">
        <v>1</v>
      </c>
      <c r="CE284" s="9" t="e">
        <f>4*CC284*#REF!+60*CC284</f>
        <v>#REF!</v>
      </c>
      <c r="CG284" s="4" t="e">
        <f t="shared" si="1071"/>
        <v>#REF!</v>
      </c>
      <c r="CH284" s="4" t="e">
        <f t="shared" si="1072"/>
        <v>#REF!</v>
      </c>
      <c r="CI284" s="4" t="e">
        <f t="shared" si="1073"/>
        <v>#REF!</v>
      </c>
      <c r="CJ284" s="4" t="e">
        <f t="shared" si="1074"/>
        <v>#REF!</v>
      </c>
      <c r="CK284" s="4">
        <f t="shared" si="1075"/>
        <v>0.85631332847185648</v>
      </c>
      <c r="CL284" s="4">
        <f t="shared" si="1076"/>
        <v>0.88968810745173232</v>
      </c>
      <c r="CM284" s="4">
        <f t="shared" si="978"/>
        <v>1.130169014844719</v>
      </c>
      <c r="CN284" s="4">
        <f t="shared" si="1019"/>
        <v>10</v>
      </c>
      <c r="CU284" s="4" t="e">
        <f t="shared" ref="CU284" si="1164">CG284</f>
        <v>#REF!</v>
      </c>
      <c r="CV284" s="4" t="e">
        <f t="shared" ref="CV284" si="1165">CH284</f>
        <v>#REF!</v>
      </c>
      <c r="CW284" s="4" t="e">
        <f t="shared" ref="CW284" si="1166">CJ284</f>
        <v>#REF!</v>
      </c>
      <c r="CX284" s="4">
        <f t="shared" ref="CX284" si="1167">CM284</f>
        <v>1.130169014844719</v>
      </c>
      <c r="CY284" s="4">
        <f t="shared" ref="CY284" si="1168">CK284</f>
        <v>0.85631332847185648</v>
      </c>
      <c r="CZ284" s="4">
        <f t="shared" ref="CZ284" si="1169">CL284</f>
        <v>0.88968810745173232</v>
      </c>
      <c r="DC284" s="4" t="e">
        <f>#REF!</f>
        <v>#REF!</v>
      </c>
      <c r="DF284" s="4">
        <f t="shared" si="932"/>
        <v>2.4667724974581991E-5</v>
      </c>
      <c r="DG284" s="4">
        <f t="shared" si="1083"/>
        <v>12.555764626779007</v>
      </c>
      <c r="DH284" s="4">
        <f t="shared" si="934"/>
        <v>0.32496509118243971</v>
      </c>
      <c r="DI284" s="4">
        <f t="shared" si="1084"/>
        <v>8.0089918141589269</v>
      </c>
      <c r="DJ284" s="4">
        <f t="shared" si="1085"/>
        <v>10.531859423226024</v>
      </c>
      <c r="DK284" s="4">
        <f t="shared" si="937"/>
        <v>11.18267087619982</v>
      </c>
      <c r="DL284" s="38">
        <f t="shared" si="938"/>
        <v>889.13635351624816</v>
      </c>
      <c r="DM284" s="4" t="e">
        <f t="shared" si="1086"/>
        <v>#REF!</v>
      </c>
      <c r="DN284" s="4">
        <f t="shared" si="940"/>
        <v>2.2583179581272428</v>
      </c>
      <c r="DO284" s="4">
        <f t="shared" si="976"/>
        <v>484.14361096760422</v>
      </c>
      <c r="DS284" s="4">
        <f t="shared" si="941"/>
        <v>0.85</v>
      </c>
      <c r="DT284" s="4">
        <f t="shared" si="942"/>
        <v>0.85</v>
      </c>
      <c r="DU284" s="4">
        <f t="shared" si="943"/>
        <v>0.90625</v>
      </c>
      <c r="DV284" s="4">
        <f t="shared" si="1087"/>
        <v>0.77031249999999996</v>
      </c>
      <c r="DX284" s="4">
        <f t="shared" si="945"/>
        <v>855.78227242532216</v>
      </c>
      <c r="DY284" s="25">
        <f t="shared" si="1146"/>
        <v>479.10933362195192</v>
      </c>
      <c r="EA284" s="4">
        <f t="shared" si="1147"/>
        <v>0.65476562499999991</v>
      </c>
      <c r="EB284" s="4">
        <f t="shared" si="946"/>
        <v>12.555764626779007</v>
      </c>
      <c r="EE284" s="4">
        <f t="shared" si="947"/>
        <v>57.361276136431961</v>
      </c>
      <c r="EF284" s="4">
        <f t="shared" si="1088"/>
        <v>2.2583179581272428</v>
      </c>
      <c r="EG284" s="4">
        <f t="shared" si="949"/>
        <v>0.16002639998473522</v>
      </c>
      <c r="EJ284" s="4">
        <f t="shared" si="1089"/>
        <v>0.16002639998473522</v>
      </c>
      <c r="EK284" s="4">
        <f t="shared" si="950"/>
        <v>0.32442278501051608</v>
      </c>
      <c r="EL284" s="4">
        <f t="shared" si="1090"/>
        <v>8.0036429293618987</v>
      </c>
      <c r="EM284" s="4">
        <f t="shared" si="1091"/>
        <v>10.529832094936477</v>
      </c>
      <c r="EN284" s="4" t="e">
        <f t="shared" si="1092"/>
        <v>#REF!</v>
      </c>
      <c r="EO284" s="4" t="e">
        <f t="shared" si="1093"/>
        <v>#REF!</v>
      </c>
      <c r="EP284" s="4" t="e">
        <f t="shared" si="951"/>
        <v>#REF!</v>
      </c>
      <c r="EQ284" s="4" t="e">
        <f t="shared" si="1094"/>
        <v>#REF!</v>
      </c>
      <c r="ER284" s="4" t="e">
        <f t="shared" si="952"/>
        <v>#REF!</v>
      </c>
      <c r="FA284" s="23" t="e">
        <f t="shared" si="1042"/>
        <v>#REF!</v>
      </c>
      <c r="FB284" s="23" t="e">
        <f t="shared" si="1043"/>
        <v>#REF!</v>
      </c>
      <c r="FC284" s="23">
        <f t="shared" si="981"/>
        <v>1.2</v>
      </c>
      <c r="FD284" s="23" t="e">
        <f t="shared" si="1044"/>
        <v>#REF!</v>
      </c>
      <c r="FE284" s="23">
        <f t="shared" si="1045"/>
        <v>1</v>
      </c>
      <c r="FF284" s="23">
        <f t="shared" si="1046"/>
        <v>1</v>
      </c>
      <c r="FG284" s="23">
        <f t="shared" si="968"/>
        <v>0</v>
      </c>
      <c r="FH284" s="23"/>
      <c r="FR284" s="4">
        <f t="shared" si="1122"/>
        <v>1</v>
      </c>
      <c r="FS284" s="4">
        <f t="shared" si="1123"/>
        <v>0.44418604651162791</v>
      </c>
      <c r="FT284" s="4">
        <f t="shared" si="1124"/>
        <v>0.3</v>
      </c>
      <c r="FU284" s="4">
        <f t="shared" si="1125"/>
        <v>673.6862366107589</v>
      </c>
    </row>
    <row r="285" spans="2:177" ht="12" customHeight="1" x14ac:dyDescent="0.3">
      <c r="B285" s="24"/>
      <c r="C285" s="7" t="s">
        <v>420</v>
      </c>
      <c r="D285" s="38">
        <f t="shared" si="1101"/>
        <v>889.65517241379314</v>
      </c>
      <c r="E285" s="38">
        <f>9.9*25.4</f>
        <v>251.46</v>
      </c>
      <c r="F285" s="38">
        <f>11040/145</f>
        <v>76.137931034482762</v>
      </c>
      <c r="G285" s="38">
        <f t="shared" si="1016"/>
        <v>25.4</v>
      </c>
      <c r="H285" s="38">
        <f>12*25.4</f>
        <v>304.79999999999995</v>
      </c>
      <c r="I285" s="38">
        <f>2.45*25.4</f>
        <v>62.230000000000004</v>
      </c>
      <c r="J285" s="39">
        <f>(3.3+3.2+3.3)/3*25.4</f>
        <v>82.973333333333343</v>
      </c>
      <c r="K285" s="7">
        <f t="shared" si="986"/>
        <v>52.069999999999979</v>
      </c>
      <c r="L285" s="38">
        <v>3</v>
      </c>
      <c r="M285" s="4">
        <f t="shared" si="1028"/>
        <v>260.34999999999997</v>
      </c>
      <c r="N285" s="7">
        <f t="shared" si="905"/>
        <v>1.5249999999999997</v>
      </c>
      <c r="O285" s="7">
        <f t="shared" si="906"/>
        <v>2.95</v>
      </c>
      <c r="P285" s="38">
        <v>4.0999999999999996</v>
      </c>
      <c r="Q285" s="4">
        <f t="shared" si="1017"/>
        <v>4.0999999999999996</v>
      </c>
      <c r="R285" s="4">
        <f t="shared" si="907"/>
        <v>5.0999999999999996</v>
      </c>
      <c r="S285" s="7">
        <f t="shared" si="908"/>
        <v>57.361276136431961</v>
      </c>
      <c r="V285" s="38">
        <f t="shared" si="1054"/>
        <v>368.27586206896552</v>
      </c>
      <c r="W285" s="4">
        <v>53.4</v>
      </c>
      <c r="X285" s="4">
        <f t="shared" si="910"/>
        <v>0.73864862864762737</v>
      </c>
      <c r="Y285" s="38"/>
      <c r="Z285" s="38"/>
      <c r="AA285" s="39">
        <v>1</v>
      </c>
      <c r="AB285" s="39"/>
      <c r="AC285" s="39"/>
      <c r="AD285" s="7"/>
      <c r="AE285" s="4">
        <f t="shared" si="912"/>
        <v>251.46</v>
      </c>
      <c r="AF285" s="4">
        <f t="shared" si="913"/>
        <v>0.40404040404040398</v>
      </c>
      <c r="AG285" s="4">
        <f t="shared" si="914"/>
        <v>228.88921678455287</v>
      </c>
      <c r="AH285" s="4">
        <f t="shared" si="915"/>
        <v>0.7595959595959596</v>
      </c>
      <c r="AI285" s="4">
        <v>1.25</v>
      </c>
      <c r="AJ285" s="4">
        <f t="shared" si="1154"/>
        <v>2.5</v>
      </c>
      <c r="AK285" s="38">
        <f t="shared" si="988"/>
        <v>219.52439932402783</v>
      </c>
      <c r="AL285" s="38">
        <f t="shared" si="953"/>
        <v>219.52439932402783</v>
      </c>
      <c r="AM285" s="38">
        <f t="shared" si="916"/>
        <v>4.75341304622079</v>
      </c>
      <c r="AN285" s="38">
        <f t="shared" si="1161"/>
        <v>219.52439932402797</v>
      </c>
      <c r="AO285" s="38">
        <f t="shared" si="1115"/>
        <v>0.99999999999999933</v>
      </c>
      <c r="AP285" s="38">
        <f t="shared" si="1162"/>
        <v>2.9425525330927655</v>
      </c>
      <c r="AQ285" s="4">
        <f t="shared" si="1163"/>
        <v>0</v>
      </c>
      <c r="AR285" s="4" t="e">
        <f>#REF!/G285*F285^0.5/0.19</f>
        <v>#REF!</v>
      </c>
      <c r="AS285" s="4">
        <f t="shared" si="917"/>
        <v>1.3737704918032789</v>
      </c>
      <c r="AT285" s="38">
        <f t="shared" si="918"/>
        <v>645.96207730658625</v>
      </c>
      <c r="AU285" s="4">
        <f t="shared" si="919"/>
        <v>0.42600000000000005</v>
      </c>
      <c r="AV285" s="4" t="e">
        <f>AU285*D285*#REF!/(D285*G285/2.75/F285^0.5)</f>
        <v>#REF!</v>
      </c>
      <c r="AW285" s="4" t="e">
        <f t="shared" si="1068"/>
        <v>#REF!</v>
      </c>
      <c r="AY285" s="4">
        <f t="shared" si="920"/>
        <v>1.3625</v>
      </c>
      <c r="AZ285" s="4" t="e">
        <f>(3*#REF!+30)*AY285*F285^0.5</f>
        <v>#REF!</v>
      </c>
      <c r="BB285" s="4">
        <f t="shared" si="921"/>
        <v>619.55662815151902</v>
      </c>
      <c r="BC285" s="4">
        <f t="shared" si="1103"/>
        <v>0</v>
      </c>
      <c r="BD285" s="4">
        <f t="shared" si="1069"/>
        <v>0</v>
      </c>
      <c r="BL285" s="4">
        <f t="shared" si="923"/>
        <v>26.034999999999989</v>
      </c>
      <c r="BP285" s="9"/>
      <c r="BR285" s="9"/>
      <c r="BS285" s="9"/>
      <c r="BT285" s="9">
        <f t="shared" si="924"/>
        <v>26.034999999999989</v>
      </c>
      <c r="BU285" s="9">
        <f t="shared" si="925"/>
        <v>62.230000000000004</v>
      </c>
      <c r="BV285" s="9">
        <f t="shared" si="926"/>
        <v>1.1537939716985905</v>
      </c>
      <c r="BW285" s="40">
        <f t="shared" si="1018"/>
        <v>0</v>
      </c>
      <c r="BX285" s="9">
        <f t="shared" si="927"/>
        <v>0</v>
      </c>
      <c r="BY285" s="9">
        <f t="shared" si="1070"/>
        <v>0</v>
      </c>
      <c r="BZ285" s="9">
        <f t="shared" si="928"/>
        <v>0.99524931562137331</v>
      </c>
      <c r="CA285" s="9">
        <f t="shared" si="929"/>
        <v>0.68</v>
      </c>
      <c r="CB285" s="9">
        <f t="shared" si="930"/>
        <v>2.0668520038571487</v>
      </c>
      <c r="CC285" s="9">
        <f t="shared" si="931"/>
        <v>2.38472138244353</v>
      </c>
      <c r="CD285" s="40">
        <v>1</v>
      </c>
      <c r="CE285" s="9" t="e">
        <f>4*CC285*#REF!+60*CC285</f>
        <v>#REF!</v>
      </c>
      <c r="CG285" s="4" t="e">
        <f t="shared" si="1071"/>
        <v>#REF!</v>
      </c>
      <c r="CH285" s="4" t="e">
        <f t="shared" si="1072"/>
        <v>#REF!</v>
      </c>
      <c r="CI285" s="4" t="e">
        <f t="shared" si="1073"/>
        <v>#REF!</v>
      </c>
      <c r="CJ285" s="4" t="e">
        <f t="shared" si="1074"/>
        <v>#REF!</v>
      </c>
      <c r="CK285" s="4">
        <f t="shared" si="1075"/>
        <v>0.73864862864762737</v>
      </c>
      <c r="CL285" s="4">
        <f t="shared" si="1076"/>
        <v>0.74214693971252432</v>
      </c>
      <c r="CM285" s="4">
        <f t="shared" si="978"/>
        <v>1.4405154544410637</v>
      </c>
      <c r="CN285" s="4">
        <f t="shared" si="1019"/>
        <v>0</v>
      </c>
      <c r="CO285" s="4" t="e">
        <f t="shared" ref="CO285" si="1170">CG285</f>
        <v>#REF!</v>
      </c>
      <c r="CP285" s="4" t="e">
        <f t="shared" ref="CP285" si="1171">CH285</f>
        <v>#REF!</v>
      </c>
      <c r="CQ285" s="4" t="e">
        <f t="shared" ref="CQ285" si="1172">CJ285</f>
        <v>#REF!</v>
      </c>
      <c r="CR285" s="4">
        <f t="shared" ref="CR285" si="1173">CM285</f>
        <v>1.4405154544410637</v>
      </c>
      <c r="CS285" s="4">
        <f t="shared" ref="CS285" si="1174">CK285</f>
        <v>0.73864862864762737</v>
      </c>
      <c r="CT285" s="4">
        <f t="shared" ref="CT285" si="1175">CL285</f>
        <v>0.74214693971252432</v>
      </c>
      <c r="DC285" s="4" t="e">
        <f>#REF!</f>
        <v>#REF!</v>
      </c>
      <c r="DF285" s="4">
        <f t="shared" si="932"/>
        <v>2.3703561532428188E-5</v>
      </c>
      <c r="DG285" s="4">
        <f t="shared" si="1083"/>
        <v>9.3945954333173542</v>
      </c>
      <c r="DH285" s="4">
        <f t="shared" si="934"/>
        <v>0.15695803424964713</v>
      </c>
      <c r="DI285" s="4">
        <f t="shared" si="1084"/>
        <v>4.4791076762040252</v>
      </c>
      <c r="DJ285" s="4">
        <f t="shared" si="1085"/>
        <v>7.3641169634775325</v>
      </c>
      <c r="DK285" s="4">
        <f t="shared" si="937"/>
        <v>8.727573788747403</v>
      </c>
      <c r="DL285" s="38">
        <f t="shared" si="938"/>
        <v>498.58058051665546</v>
      </c>
      <c r="DM285" s="4" t="e">
        <f t="shared" si="1086"/>
        <v>#REF!</v>
      </c>
      <c r="DN285" s="4">
        <f t="shared" si="940"/>
        <v>2.2583179581272428</v>
      </c>
      <c r="DO285" s="4">
        <f t="shared" si="976"/>
        <v>219.52439932402797</v>
      </c>
      <c r="DS285" s="4">
        <f t="shared" si="941"/>
        <v>0.85</v>
      </c>
      <c r="DT285" s="4">
        <f t="shared" si="942"/>
        <v>0.99750000000000005</v>
      </c>
      <c r="DU285" s="4">
        <f t="shared" si="943"/>
        <v>1</v>
      </c>
      <c r="DV285" s="4">
        <f t="shared" si="1087"/>
        <v>0.99750000000000005</v>
      </c>
      <c r="DX285" s="4">
        <f t="shared" si="945"/>
        <v>496.23038560479642</v>
      </c>
      <c r="DY285" s="25">
        <f t="shared" si="1146"/>
        <v>217.210901235271</v>
      </c>
      <c r="EA285" s="4">
        <f t="shared" si="1147"/>
        <v>0.84787500000000005</v>
      </c>
      <c r="EB285" s="4">
        <f t="shared" si="946"/>
        <v>9.3945954333173542</v>
      </c>
      <c r="EE285" s="4">
        <f t="shared" si="947"/>
        <v>57.361276136431961</v>
      </c>
      <c r="EF285" s="4">
        <f t="shared" si="1088"/>
        <v>2.2583179581272428</v>
      </c>
      <c r="EG285" s="4">
        <f t="shared" si="949"/>
        <v>7.4889227699808214E-2</v>
      </c>
      <c r="EJ285" s="4">
        <f t="shared" si="1089"/>
        <v>7.4889227699808214E-2</v>
      </c>
      <c r="EK285" s="4">
        <f t="shared" si="950"/>
        <v>0.15669610054348546</v>
      </c>
      <c r="EL285" s="4">
        <f t="shared" si="1090"/>
        <v>4.476116259617589</v>
      </c>
      <c r="EM285" s="4">
        <f t="shared" si="1091"/>
        <v>7.3632204030722086</v>
      </c>
      <c r="EN285" s="4" t="e">
        <f t="shared" si="1092"/>
        <v>#REF!</v>
      </c>
      <c r="EO285" s="4" t="e">
        <f t="shared" si="1093"/>
        <v>#REF!</v>
      </c>
      <c r="EP285" s="4" t="e">
        <f t="shared" si="951"/>
        <v>#REF!</v>
      </c>
      <c r="EQ285" s="4" t="e">
        <f t="shared" si="1094"/>
        <v>#REF!</v>
      </c>
      <c r="ER285" s="4" t="e">
        <f t="shared" si="952"/>
        <v>#REF!</v>
      </c>
      <c r="FA285" s="23" t="e">
        <f t="shared" si="1042"/>
        <v>#REF!</v>
      </c>
      <c r="FB285" s="23" t="e">
        <f t="shared" si="1043"/>
        <v>#REF!</v>
      </c>
      <c r="FC285" s="23">
        <f t="shared" si="981"/>
        <v>1.6</v>
      </c>
      <c r="FD285" s="23" t="e">
        <f t="shared" si="1044"/>
        <v>#REF!</v>
      </c>
      <c r="FE285" s="23">
        <f t="shared" si="1045"/>
        <v>0.8</v>
      </c>
      <c r="FF285" s="23">
        <f t="shared" si="1046"/>
        <v>0.8</v>
      </c>
      <c r="FG285" s="23">
        <f t="shared" si="968"/>
        <v>1</v>
      </c>
      <c r="FH285" s="23"/>
      <c r="FR285" s="4">
        <f t="shared" si="1122"/>
        <v>1.25</v>
      </c>
      <c r="FS285" s="4">
        <f t="shared" si="1123"/>
        <v>0.91250000000000009</v>
      </c>
      <c r="FT285" s="4">
        <f t="shared" si="1124"/>
        <v>0</v>
      </c>
      <c r="FU285" s="4">
        <f t="shared" si="1125"/>
        <v>255.65561336643952</v>
      </c>
    </row>
    <row r="286" spans="2:177" ht="12" customHeight="1" x14ac:dyDescent="0.3">
      <c r="B286" s="24"/>
      <c r="C286" s="7" t="s">
        <v>421</v>
      </c>
      <c r="D286" s="38">
        <f t="shared" si="1101"/>
        <v>889.65517241379314</v>
      </c>
      <c r="E286" s="38">
        <f>10*25.4</f>
        <v>254</v>
      </c>
      <c r="F286" s="38">
        <f>11040/145</f>
        <v>76.137931034482762</v>
      </c>
      <c r="G286" s="38">
        <f t="shared" si="1016"/>
        <v>25.4</v>
      </c>
      <c r="H286" s="38">
        <f>12*25.4</f>
        <v>304.79999999999995</v>
      </c>
      <c r="I286" s="38">
        <f>2.4*25.4</f>
        <v>60.959999999999994</v>
      </c>
      <c r="J286" s="39">
        <f>(2.9+2.8+3.1)/3*25.4</f>
        <v>74.506666666666661</v>
      </c>
      <c r="K286" s="7">
        <f t="shared" si="986"/>
        <v>53.339999999999989</v>
      </c>
      <c r="L286" s="38">
        <v>3</v>
      </c>
      <c r="M286" s="4">
        <f t="shared" si="1028"/>
        <v>260.34999999999997</v>
      </c>
      <c r="N286" s="7">
        <f t="shared" si="905"/>
        <v>1.5499999999999998</v>
      </c>
      <c r="O286" s="7">
        <f t="shared" si="906"/>
        <v>2.9</v>
      </c>
      <c r="P286" s="38">
        <v>4.0999999999999996</v>
      </c>
      <c r="Q286" s="4">
        <f t="shared" si="1017"/>
        <v>4.0999999999999996</v>
      </c>
      <c r="R286" s="4">
        <f t="shared" si="907"/>
        <v>5.0999999999999996</v>
      </c>
      <c r="S286" s="7">
        <f t="shared" si="908"/>
        <v>57.361276136431961</v>
      </c>
      <c r="V286" s="38">
        <f t="shared" si="1054"/>
        <v>537.93103448275861</v>
      </c>
      <c r="W286" s="4">
        <v>78</v>
      </c>
      <c r="X286" s="4">
        <f t="shared" si="910"/>
        <v>1.0122595831277816</v>
      </c>
      <c r="Y286" s="38">
        <f t="shared" si="1148"/>
        <v>9.5249999999999986</v>
      </c>
      <c r="Z286" s="38">
        <v>10</v>
      </c>
      <c r="AA286" s="39">
        <f>3*25.4</f>
        <v>76.199999999999989</v>
      </c>
      <c r="AB286" s="39">
        <v>3</v>
      </c>
      <c r="AC286" s="39">
        <v>2</v>
      </c>
      <c r="AD286" s="7"/>
      <c r="AE286" s="4">
        <f t="shared" si="912"/>
        <v>254</v>
      </c>
      <c r="AF286" s="4">
        <f t="shared" si="913"/>
        <v>0.39999999999999997</v>
      </c>
      <c r="AG286" s="4">
        <f t="shared" si="914"/>
        <v>232.36597815509018</v>
      </c>
      <c r="AH286" s="4">
        <f t="shared" si="915"/>
        <v>0.75800000000000001</v>
      </c>
      <c r="AI286" s="4">
        <v>1.25</v>
      </c>
      <c r="AJ286" s="4">
        <f t="shared" si="1154"/>
        <v>2.5</v>
      </c>
      <c r="AK286" s="38">
        <f t="shared" si="988"/>
        <v>220.16676430194792</v>
      </c>
      <c r="AL286" s="38">
        <f t="shared" si="953"/>
        <v>220.16676430194792</v>
      </c>
      <c r="AM286" s="38">
        <f t="shared" si="916"/>
        <v>4.75341304622079</v>
      </c>
      <c r="AN286" s="38">
        <f t="shared" si="1161"/>
        <v>220.16676430194792</v>
      </c>
      <c r="AO286" s="38">
        <f t="shared" si="1115"/>
        <v>1</v>
      </c>
      <c r="AP286" s="38">
        <f t="shared" si="1162"/>
        <v>2.9269649474460713</v>
      </c>
      <c r="AQ286" s="4">
        <f t="shared" si="1163"/>
        <v>0</v>
      </c>
      <c r="AR286" s="4" t="e">
        <f>#REF!/G286*F286^0.5/0.19</f>
        <v>#REF!</v>
      </c>
      <c r="AS286" s="4">
        <f t="shared" si="917"/>
        <v>1.3483870967741938</v>
      </c>
      <c r="AT286" s="38">
        <f t="shared" si="918"/>
        <v>644.4204017044226</v>
      </c>
      <c r="AU286" s="4">
        <f t="shared" si="919"/>
        <v>0.42600000000000005</v>
      </c>
      <c r="AV286" s="4" t="e">
        <f>AU286*D286*#REF!/(D286*G286/2.75/F286^0.5)</f>
        <v>#REF!</v>
      </c>
      <c r="AW286" s="4" t="e">
        <f t="shared" si="1068"/>
        <v>#REF!</v>
      </c>
      <c r="AY286" s="4">
        <f t="shared" si="920"/>
        <v>1.5</v>
      </c>
      <c r="AZ286" s="4" t="e">
        <f>(3*#REF!+30)*AY286*F286^0.5</f>
        <v>#REF!</v>
      </c>
      <c r="BB286" s="4">
        <f t="shared" si="921"/>
        <v>618.07797271440324</v>
      </c>
      <c r="BC286" s="4">
        <f t="shared" si="1103"/>
        <v>0</v>
      </c>
      <c r="BD286" s="4">
        <f t="shared" si="1069"/>
        <v>0</v>
      </c>
      <c r="BL286" s="4">
        <f t="shared" si="923"/>
        <v>26.669999999999995</v>
      </c>
      <c r="BP286" s="9"/>
      <c r="BR286" s="9"/>
      <c r="BS286" s="9"/>
      <c r="BT286" s="9">
        <f t="shared" si="924"/>
        <v>26.669999999999995</v>
      </c>
      <c r="BU286" s="9">
        <f t="shared" si="925"/>
        <v>60.959999999999994</v>
      </c>
      <c r="BV286" s="9">
        <f t="shared" si="926"/>
        <v>1.1599731613256561</v>
      </c>
      <c r="BW286" s="40">
        <f t="shared" si="1018"/>
        <v>20</v>
      </c>
      <c r="BX286" s="9">
        <f t="shared" si="927"/>
        <v>0.05</v>
      </c>
      <c r="BY286" s="9">
        <f t="shared" si="1070"/>
        <v>0.8</v>
      </c>
      <c r="BZ286" s="9">
        <f t="shared" si="928"/>
        <v>0.99524931562137331</v>
      </c>
      <c r="CA286" s="9">
        <f t="shared" si="929"/>
        <v>0.68</v>
      </c>
      <c r="CB286" s="9">
        <f t="shared" si="930"/>
        <v>2.0668520038571487</v>
      </c>
      <c r="CC286" s="9">
        <f t="shared" si="931"/>
        <v>4.0509744559921632</v>
      </c>
      <c r="CD286" s="40">
        <v>1</v>
      </c>
      <c r="CE286" s="9" t="e">
        <f>4*CC286*#REF!+60*CC286</f>
        <v>#REF!</v>
      </c>
      <c r="CG286" s="4" t="e">
        <f t="shared" si="1071"/>
        <v>#REF!</v>
      </c>
      <c r="CH286" s="4" t="e">
        <f t="shared" si="1072"/>
        <v>#REF!</v>
      </c>
      <c r="CI286" s="4" t="e">
        <f t="shared" si="1073"/>
        <v>#REF!</v>
      </c>
      <c r="CJ286" s="4" t="e">
        <f t="shared" si="1074"/>
        <v>#REF!</v>
      </c>
      <c r="CK286" s="4">
        <f t="shared" si="1075"/>
        <v>1.0122595831277816</v>
      </c>
      <c r="CL286" s="4">
        <f t="shared" si="1076"/>
        <v>1.015645214075779</v>
      </c>
      <c r="CM286" s="4">
        <f t="shared" si="978"/>
        <v>1.5227273061218662</v>
      </c>
      <c r="CN286" s="4">
        <f t="shared" si="1019"/>
        <v>10</v>
      </c>
      <c r="CU286" s="4" t="e">
        <f t="shared" ref="CU286" si="1176">CG286</f>
        <v>#REF!</v>
      </c>
      <c r="CV286" s="4" t="e">
        <f t="shared" ref="CV286" si="1177">CH286</f>
        <v>#REF!</v>
      </c>
      <c r="CW286" s="4" t="e">
        <f t="shared" ref="CW286" si="1178">CJ286</f>
        <v>#REF!</v>
      </c>
      <c r="CX286" s="4">
        <f t="shared" ref="CX286" si="1179">CM286</f>
        <v>1.5227273061218662</v>
      </c>
      <c r="CY286" s="4">
        <f t="shared" ref="CY286" si="1180">CK286</f>
        <v>1.0122595831277816</v>
      </c>
      <c r="CZ286" s="4">
        <f t="shared" ref="CZ286" si="1181">CL286</f>
        <v>1.015645214075779</v>
      </c>
      <c r="DC286" s="4" t="e">
        <f>#REF!</f>
        <v>#REF!</v>
      </c>
      <c r="DF286" s="4">
        <f t="shared" si="932"/>
        <v>2.3942991446897161E-5</v>
      </c>
      <c r="DG286" s="4">
        <f t="shared" si="1083"/>
        <v>10.392496490434585</v>
      </c>
      <c r="DH286" s="4">
        <f t="shared" si="934"/>
        <v>0.15741731961617406</v>
      </c>
      <c r="DI286" s="4">
        <f t="shared" si="1084"/>
        <v>4.9606763339604125</v>
      </c>
      <c r="DJ286" s="4">
        <f t="shared" si="1085"/>
        <v>8.1480771156069896</v>
      </c>
      <c r="DK286" s="4">
        <f t="shared" si="937"/>
        <v>9.5599674624018807</v>
      </c>
      <c r="DL286" s="38">
        <f t="shared" si="938"/>
        <v>531.41609469441141</v>
      </c>
      <c r="DM286" s="4" t="e">
        <f t="shared" si="1086"/>
        <v>#REF!</v>
      </c>
      <c r="DN286" s="4">
        <f t="shared" si="940"/>
        <v>2.2583179581272428</v>
      </c>
      <c r="DO286" s="4">
        <f t="shared" si="976"/>
        <v>220.16676430194792</v>
      </c>
      <c r="DS286" s="4">
        <f t="shared" si="941"/>
        <v>0.85</v>
      </c>
      <c r="DT286" s="4">
        <f t="shared" si="942"/>
        <v>0.995</v>
      </c>
      <c r="DU286" s="4">
        <f t="shared" si="943"/>
        <v>0.90625</v>
      </c>
      <c r="DV286" s="4">
        <f t="shared" si="1087"/>
        <v>0.90171875000000001</v>
      </c>
      <c r="DX286" s="4">
        <f t="shared" si="945"/>
        <v>529.64463084903844</v>
      </c>
      <c r="DY286" s="25">
        <f t="shared" si="1146"/>
        <v>217.86973613600091</v>
      </c>
      <c r="EA286" s="4">
        <f t="shared" si="1147"/>
        <v>0.76646093749999999</v>
      </c>
      <c r="EB286" s="4">
        <f t="shared" si="946"/>
        <v>10.392496490434585</v>
      </c>
      <c r="EE286" s="4">
        <f t="shared" si="947"/>
        <v>57.361276136431961</v>
      </c>
      <c r="EF286" s="4">
        <f t="shared" si="1088"/>
        <v>2.2583179581272428</v>
      </c>
      <c r="EG286" s="4">
        <f t="shared" si="949"/>
        <v>7.5108366060946924E-2</v>
      </c>
      <c r="EJ286" s="4">
        <f t="shared" si="1089"/>
        <v>7.5108366060946924E-2</v>
      </c>
      <c r="EK286" s="4">
        <f t="shared" si="950"/>
        <v>0.15715461944833478</v>
      </c>
      <c r="EL286" s="4">
        <f t="shared" si="1090"/>
        <v>4.9573632969588264</v>
      </c>
      <c r="EM286" s="4">
        <f t="shared" si="1091"/>
        <v>8.1470831422939138</v>
      </c>
      <c r="EN286" s="4" t="e">
        <f t="shared" si="1092"/>
        <v>#REF!</v>
      </c>
      <c r="EO286" s="4" t="e">
        <f t="shared" si="1093"/>
        <v>#REF!</v>
      </c>
      <c r="EP286" s="4" t="e">
        <f t="shared" si="951"/>
        <v>#REF!</v>
      </c>
      <c r="EQ286" s="4" t="e">
        <f t="shared" si="1094"/>
        <v>#REF!</v>
      </c>
      <c r="ER286" s="4" t="e">
        <f t="shared" si="952"/>
        <v>#REF!</v>
      </c>
      <c r="FA286" s="23" t="e">
        <f t="shared" si="1042"/>
        <v>#REF!</v>
      </c>
      <c r="FB286" s="23" t="e">
        <f t="shared" si="1043"/>
        <v>#REF!</v>
      </c>
      <c r="FC286" s="23">
        <f t="shared" si="981"/>
        <v>1.6</v>
      </c>
      <c r="FD286" s="23" t="e">
        <f t="shared" si="1044"/>
        <v>#REF!</v>
      </c>
      <c r="FE286" s="23">
        <f t="shared" si="1045"/>
        <v>1.2</v>
      </c>
      <c r="FF286" s="23">
        <f t="shared" si="1046"/>
        <v>1.2</v>
      </c>
      <c r="FG286" s="23">
        <f t="shared" si="968"/>
        <v>0</v>
      </c>
      <c r="FH286" s="23"/>
      <c r="FR286" s="4">
        <f t="shared" si="1122"/>
        <v>1.25</v>
      </c>
      <c r="FS286" s="4">
        <f t="shared" si="1123"/>
        <v>0.66703488372093034</v>
      </c>
      <c r="FT286" s="4">
        <f t="shared" si="1124"/>
        <v>0.28124999999999994</v>
      </c>
      <c r="FU286" s="4">
        <f t="shared" si="1125"/>
        <v>353.26813430093381</v>
      </c>
    </row>
    <row r="287" spans="2:177" ht="12" customHeight="1" x14ac:dyDescent="0.3">
      <c r="B287" s="24"/>
      <c r="C287" s="7" t="s">
        <v>422</v>
      </c>
      <c r="D287" s="38">
        <f t="shared" si="1101"/>
        <v>889.65517241379314</v>
      </c>
      <c r="E287" s="38">
        <f>9.92*25.4</f>
        <v>251.96799999999999</v>
      </c>
      <c r="F287" s="38">
        <f>11440/145</f>
        <v>78.896551724137936</v>
      </c>
      <c r="G287" s="38">
        <f t="shared" si="1016"/>
        <v>25.4</v>
      </c>
      <c r="H287" s="38">
        <f>14*25.4</f>
        <v>355.59999999999997</v>
      </c>
      <c r="I287" s="38">
        <f>2.5*25.4</f>
        <v>63.5</v>
      </c>
      <c r="J287" s="39">
        <f>(3+3.3+3)/3*25.4</f>
        <v>78.739999999999995</v>
      </c>
      <c r="K287" s="7">
        <f t="shared" si="986"/>
        <v>76.199999999999989</v>
      </c>
      <c r="L287" s="38">
        <v>3</v>
      </c>
      <c r="M287" s="4">
        <f t="shared" si="1028"/>
        <v>260.34999999999997</v>
      </c>
      <c r="N287" s="7">
        <f t="shared" si="905"/>
        <v>1.9999999999999998</v>
      </c>
      <c r="O287" s="7">
        <f t="shared" si="906"/>
        <v>3</v>
      </c>
      <c r="P287" s="38">
        <v>4.0999999999999996</v>
      </c>
      <c r="Q287" s="4">
        <f t="shared" si="1017"/>
        <v>4.0999999999999996</v>
      </c>
      <c r="R287" s="4">
        <f t="shared" si="907"/>
        <v>5.0999999999999996</v>
      </c>
      <c r="S287" s="7">
        <f t="shared" si="908"/>
        <v>57.361276136431961</v>
      </c>
      <c r="V287" s="38">
        <f t="shared" si="1054"/>
        <v>426.89655172413796</v>
      </c>
      <c r="W287" s="4">
        <v>61.9</v>
      </c>
      <c r="X287" s="4">
        <f t="shared" si="910"/>
        <v>0.75738494469674067</v>
      </c>
      <c r="Y287" s="38"/>
      <c r="Z287" s="38"/>
      <c r="AA287" s="39">
        <v>1</v>
      </c>
      <c r="AB287" s="39"/>
      <c r="AC287" s="39"/>
      <c r="AD287" s="7"/>
      <c r="AE287" s="4">
        <f t="shared" si="912"/>
        <v>251.96799999999999</v>
      </c>
      <c r="AF287" s="4">
        <f t="shared" si="913"/>
        <v>0.47043010752688169</v>
      </c>
      <c r="AG287" s="4">
        <f t="shared" si="914"/>
        <v>233.70528033380882</v>
      </c>
      <c r="AH287" s="4">
        <f t="shared" si="915"/>
        <v>0.76048387096774195</v>
      </c>
      <c r="AI287" s="4">
        <v>1.25</v>
      </c>
      <c r="AJ287" s="4">
        <f t="shared" si="1154"/>
        <v>2.5</v>
      </c>
      <c r="AK287" s="38">
        <f t="shared" si="988"/>
        <v>261.27849331674088</v>
      </c>
      <c r="AL287" s="38">
        <f t="shared" si="953"/>
        <v>261.27849331674088</v>
      </c>
      <c r="AM287" s="38">
        <f t="shared" si="916"/>
        <v>4.8146447394162166</v>
      </c>
      <c r="AN287" s="38">
        <f t="shared" si="1161"/>
        <v>261.27849331674076</v>
      </c>
      <c r="AO287" s="38">
        <f t="shared" si="1115"/>
        <v>1.0000000000000004</v>
      </c>
      <c r="AP287" s="38">
        <f t="shared" si="1162"/>
        <v>2.9348609175873812</v>
      </c>
      <c r="AQ287" s="4">
        <f t="shared" si="1163"/>
        <v>0</v>
      </c>
      <c r="AR287" s="4" t="e">
        <f>#REF!/G287*F287^0.5/0.19</f>
        <v>#REF!</v>
      </c>
      <c r="AS287" s="4">
        <f t="shared" si="917"/>
        <v>1.2000000000000002</v>
      </c>
      <c r="AT287" s="38">
        <f t="shared" si="918"/>
        <v>766.81603864141823</v>
      </c>
      <c r="AU287" s="4">
        <f t="shared" si="919"/>
        <v>0.42600000000000005</v>
      </c>
      <c r="AV287" s="4" t="e">
        <f>AU287*D287*#REF!/(D287*G287/2.75/F287^0.5)</f>
        <v>#REF!</v>
      </c>
      <c r="AW287" s="4" t="e">
        <f t="shared" si="1068"/>
        <v>#REF!</v>
      </c>
      <c r="AY287" s="4">
        <f t="shared" si="920"/>
        <v>1.375</v>
      </c>
      <c r="AZ287" s="4" t="e">
        <f>(3*#REF!+30)*AY287*F287^0.5</f>
        <v>#REF!</v>
      </c>
      <c r="BB287" s="4">
        <f t="shared" si="921"/>
        <v>735.4703565480313</v>
      </c>
      <c r="BC287" s="4">
        <f t="shared" si="1103"/>
        <v>0</v>
      </c>
      <c r="BD287" s="4">
        <f t="shared" si="1069"/>
        <v>0</v>
      </c>
      <c r="BL287" s="4">
        <f t="shared" si="923"/>
        <v>38.099999999999994</v>
      </c>
      <c r="BP287" s="9"/>
      <c r="BR287" s="9"/>
      <c r="BS287" s="9"/>
      <c r="BT287" s="9">
        <f t="shared" si="924"/>
        <v>38.099999999999994</v>
      </c>
      <c r="BU287" s="9">
        <f t="shared" si="925"/>
        <v>63.5</v>
      </c>
      <c r="BV287" s="9">
        <f t="shared" si="926"/>
        <v>1.3222785168171165</v>
      </c>
      <c r="BW287" s="40">
        <f t="shared" si="1018"/>
        <v>0</v>
      </c>
      <c r="BX287" s="9">
        <f t="shared" si="927"/>
        <v>0</v>
      </c>
      <c r="BY287" s="9">
        <f t="shared" si="1070"/>
        <v>0</v>
      </c>
      <c r="BZ287" s="9">
        <f t="shared" si="928"/>
        <v>0.99524931562137331</v>
      </c>
      <c r="CA287" s="9">
        <f t="shared" si="929"/>
        <v>0.68</v>
      </c>
      <c r="CB287" s="9">
        <f t="shared" si="930"/>
        <v>2.1039618260511515</v>
      </c>
      <c r="CC287" s="9">
        <f t="shared" si="931"/>
        <v>2.7820235227907486</v>
      </c>
      <c r="CD287" s="40">
        <v>1</v>
      </c>
      <c r="CE287" s="9" t="e">
        <f>4*CC287*#REF!+60*CC287</f>
        <v>#REF!</v>
      </c>
      <c r="CG287" s="4" t="e">
        <f t="shared" si="1071"/>
        <v>#REF!</v>
      </c>
      <c r="CH287" s="4" t="e">
        <f t="shared" si="1072"/>
        <v>#REF!</v>
      </c>
      <c r="CI287" s="4" t="e">
        <f t="shared" si="1073"/>
        <v>#REF!</v>
      </c>
      <c r="CJ287" s="4" t="e">
        <f t="shared" si="1074"/>
        <v>#REF!</v>
      </c>
      <c r="CK287" s="4">
        <f t="shared" si="1075"/>
        <v>0.75738494469674067</v>
      </c>
      <c r="CL287" s="4">
        <f t="shared" si="1076"/>
        <v>0.76591341717817985</v>
      </c>
      <c r="CM287" s="4">
        <f t="shared" si="978"/>
        <v>1.2067087626321074</v>
      </c>
      <c r="CN287" s="4">
        <f t="shared" si="1019"/>
        <v>0</v>
      </c>
      <c r="CO287" s="4" t="e">
        <f t="shared" ref="CO287" si="1182">CG287</f>
        <v>#REF!</v>
      </c>
      <c r="CP287" s="4" t="e">
        <f t="shared" ref="CP287" si="1183">CH287</f>
        <v>#REF!</v>
      </c>
      <c r="CQ287" s="4" t="e">
        <f t="shared" ref="CQ287" si="1184">CJ287</f>
        <v>#REF!</v>
      </c>
      <c r="CR287" s="4">
        <f t="shared" ref="CR287" si="1185">CM287</f>
        <v>1.2067087626321074</v>
      </c>
      <c r="CS287" s="4">
        <f t="shared" ref="CS287" si="1186">CK287</f>
        <v>0.75738494469674067</v>
      </c>
      <c r="CT287" s="4">
        <f t="shared" ref="CT287" si="1187">CL287</f>
        <v>0.76591341717817985</v>
      </c>
      <c r="DC287" s="4" t="e">
        <f>#REF!</f>
        <v>#REF!</v>
      </c>
      <c r="DF287" s="4">
        <f t="shared" si="932"/>
        <v>2.4148361798518977E-5</v>
      </c>
      <c r="DG287" s="4">
        <f t="shared" si="1083"/>
        <v>10.04143675130468</v>
      </c>
      <c r="DH287" s="4">
        <f t="shared" si="934"/>
        <v>0.18027996513199299</v>
      </c>
      <c r="DI287" s="4">
        <f t="shared" si="1084"/>
        <v>5.0602834368430525</v>
      </c>
      <c r="DJ287" s="4">
        <f t="shared" si="1085"/>
        <v>7.9549538182287627</v>
      </c>
      <c r="DK287" s="4">
        <f t="shared" si="937"/>
        <v>9.2515968559547055</v>
      </c>
      <c r="DL287" s="38">
        <f t="shared" si="938"/>
        <v>563.6454153377299</v>
      </c>
      <c r="DM287" s="4" t="e">
        <f t="shared" si="1086"/>
        <v>#REF!</v>
      </c>
      <c r="DN287" s="4">
        <f t="shared" si="940"/>
        <v>2.2583179581272428</v>
      </c>
      <c r="DO287" s="4">
        <f t="shared" si="976"/>
        <v>261.27849331674076</v>
      </c>
      <c r="DS287" s="4">
        <f t="shared" si="941"/>
        <v>0.85</v>
      </c>
      <c r="DT287" s="4">
        <f t="shared" si="942"/>
        <v>0.95</v>
      </c>
      <c r="DU287" s="4">
        <f t="shared" si="943"/>
        <v>1</v>
      </c>
      <c r="DV287" s="4">
        <f t="shared" si="1087"/>
        <v>0.95</v>
      </c>
      <c r="DX287" s="4">
        <f t="shared" si="945"/>
        <v>557.36920407653076</v>
      </c>
      <c r="DY287" s="25">
        <f t="shared" si="1146"/>
        <v>258.53604635770347</v>
      </c>
      <c r="EA287" s="4">
        <f t="shared" si="1147"/>
        <v>0.8075</v>
      </c>
      <c r="EB287" s="4">
        <f t="shared" si="946"/>
        <v>10.04143675130468</v>
      </c>
      <c r="EE287" s="4">
        <f t="shared" si="947"/>
        <v>57.361276136431961</v>
      </c>
      <c r="EF287" s="4">
        <f t="shared" si="1088"/>
        <v>2.2583179581272428</v>
      </c>
      <c r="EG287" s="4">
        <f t="shared" si="949"/>
        <v>8.7561207479214337E-2</v>
      </c>
      <c r="EJ287" s="4">
        <f t="shared" si="1089"/>
        <v>8.7561207479214337E-2</v>
      </c>
      <c r="EK287" s="4">
        <f t="shared" si="950"/>
        <v>0.17997911146980572</v>
      </c>
      <c r="EL287" s="4">
        <f t="shared" si="1090"/>
        <v>5.056903876247655</v>
      </c>
      <c r="EM287" s="4">
        <f t="shared" si="1091"/>
        <v>7.9538911861800736</v>
      </c>
      <c r="EN287" s="4" t="e">
        <f t="shared" si="1092"/>
        <v>#REF!</v>
      </c>
      <c r="EO287" s="4" t="e">
        <f t="shared" si="1093"/>
        <v>#REF!</v>
      </c>
      <c r="EP287" s="4" t="e">
        <f t="shared" si="951"/>
        <v>#REF!</v>
      </c>
      <c r="EQ287" s="4" t="e">
        <f t="shared" si="1094"/>
        <v>#REF!</v>
      </c>
      <c r="ER287" s="4" t="e">
        <f t="shared" si="952"/>
        <v>#REF!</v>
      </c>
      <c r="FA287" s="23" t="e">
        <f t="shared" si="1042"/>
        <v>#REF!</v>
      </c>
      <c r="FB287" s="23" t="e">
        <f t="shared" si="1043"/>
        <v>#REF!</v>
      </c>
      <c r="FC287" s="23">
        <f t="shared" si="981"/>
        <v>1.4</v>
      </c>
      <c r="FD287" s="23" t="e">
        <f t="shared" si="1044"/>
        <v>#REF!</v>
      </c>
      <c r="FE287" s="23">
        <f t="shared" si="1045"/>
        <v>0.8</v>
      </c>
      <c r="FF287" s="23">
        <f t="shared" si="1046"/>
        <v>0.8</v>
      </c>
      <c r="FG287" s="23">
        <f t="shared" si="968"/>
        <v>1</v>
      </c>
      <c r="FH287" s="23"/>
      <c r="FR287" s="4">
        <f t="shared" si="1122"/>
        <v>1</v>
      </c>
      <c r="FS287" s="4">
        <f t="shared" si="1123"/>
        <v>0.83333333333333326</v>
      </c>
      <c r="FT287" s="4">
        <f t="shared" si="1124"/>
        <v>0</v>
      </c>
      <c r="FU287" s="4">
        <f t="shared" si="1125"/>
        <v>353.76933104635714</v>
      </c>
    </row>
    <row r="288" spans="2:177" ht="12" customHeight="1" x14ac:dyDescent="0.3">
      <c r="B288" s="24"/>
      <c r="C288" s="7" t="s">
        <v>423</v>
      </c>
      <c r="D288" s="38">
        <f t="shared" si="1101"/>
        <v>889.65517241379314</v>
      </c>
      <c r="E288" s="38">
        <f>9.77*25.4</f>
        <v>248.15799999999999</v>
      </c>
      <c r="F288" s="38">
        <f t="shared" ref="F288" si="1188">11440/145</f>
        <v>78.896551724137936</v>
      </c>
      <c r="G288" s="38">
        <f t="shared" si="1016"/>
        <v>25.4</v>
      </c>
      <c r="H288" s="38">
        <f>13.8*25.4</f>
        <v>350.52</v>
      </c>
      <c r="I288" s="38">
        <f>2.45*25.4</f>
        <v>62.230000000000004</v>
      </c>
      <c r="J288" s="39">
        <f>(3.2+3.1+3.3)/3*25.4</f>
        <v>81.280000000000015</v>
      </c>
      <c r="K288" s="7">
        <f t="shared" si="986"/>
        <v>74.929999999999993</v>
      </c>
      <c r="L288" s="38">
        <v>3</v>
      </c>
      <c r="M288" s="4">
        <f t="shared" si="1028"/>
        <v>260.34999999999997</v>
      </c>
      <c r="N288" s="7">
        <f t="shared" si="905"/>
        <v>1.9749999999999999</v>
      </c>
      <c r="O288" s="7">
        <f t="shared" si="906"/>
        <v>2.95</v>
      </c>
      <c r="P288" s="38">
        <v>4.0999999999999996</v>
      </c>
      <c r="Q288" s="4">
        <f t="shared" si="1017"/>
        <v>4.0999999999999996</v>
      </c>
      <c r="R288" s="4">
        <f t="shared" si="907"/>
        <v>5.0999999999999996</v>
      </c>
      <c r="S288" s="7">
        <f t="shared" si="908"/>
        <v>57.361276136431961</v>
      </c>
      <c r="V288" s="38">
        <f t="shared" si="1054"/>
        <v>573.79310344827593</v>
      </c>
      <c r="W288" s="4">
        <v>83.2</v>
      </c>
      <c r="X288" s="4">
        <f t="shared" si="910"/>
        <v>0.98660780016235983</v>
      </c>
      <c r="Y288" s="38">
        <f t="shared" si="1148"/>
        <v>9.5249999999999986</v>
      </c>
      <c r="Z288" s="38">
        <v>10</v>
      </c>
      <c r="AA288" s="39">
        <f>3*25.4</f>
        <v>76.199999999999989</v>
      </c>
      <c r="AB288" s="39">
        <v>3</v>
      </c>
      <c r="AC288" s="39">
        <v>2</v>
      </c>
      <c r="AD288" s="7"/>
      <c r="AE288" s="4">
        <f t="shared" si="912"/>
        <v>248.15799999999999</v>
      </c>
      <c r="AF288" s="4">
        <f t="shared" si="913"/>
        <v>0.47082906857727741</v>
      </c>
      <c r="AG288" s="4">
        <f t="shared" si="914"/>
        <v>228.42459432627268</v>
      </c>
      <c r="AH288" s="4">
        <f t="shared" si="915"/>
        <v>0.76038894575230298</v>
      </c>
      <c r="AI288" s="4">
        <v>1.25</v>
      </c>
      <c r="AJ288" s="4">
        <f t="shared" si="1154"/>
        <v>2.5</v>
      </c>
      <c r="AK288" s="38">
        <f t="shared" si="988"/>
        <v>255.55945104042959</v>
      </c>
      <c r="AL288" s="38">
        <f t="shared" si="953"/>
        <v>255.55945104042959</v>
      </c>
      <c r="AM288" s="38">
        <f t="shared" si="916"/>
        <v>4.8146447394162166</v>
      </c>
      <c r="AN288" s="38">
        <f t="shared" si="1161"/>
        <v>255.55945104042956</v>
      </c>
      <c r="AO288" s="38">
        <f t="shared" si="1115"/>
        <v>1.0000000000000002</v>
      </c>
      <c r="AP288" s="38">
        <f t="shared" si="1162"/>
        <v>2.9567809042797739</v>
      </c>
      <c r="AQ288" s="4">
        <f t="shared" si="1163"/>
        <v>0</v>
      </c>
      <c r="AR288" s="4" t="e">
        <f>#REF!/G288*F288^0.5/0.19</f>
        <v>#REF!</v>
      </c>
      <c r="AS288" s="4">
        <f t="shared" si="917"/>
        <v>1.1974683544303799</v>
      </c>
      <c r="AT288" s="38">
        <f t="shared" si="918"/>
        <v>755.63330474456393</v>
      </c>
      <c r="AU288" s="4">
        <f t="shared" si="919"/>
        <v>0.42600000000000005</v>
      </c>
      <c r="AV288" s="4" t="e">
        <f>AU288*D288*#REF!/(D288*G288/2.75/F288^0.5)</f>
        <v>#REF!</v>
      </c>
      <c r="AW288" s="4" t="e">
        <f t="shared" si="1068"/>
        <v>#REF!</v>
      </c>
      <c r="AY288" s="4">
        <f t="shared" si="920"/>
        <v>1.5</v>
      </c>
      <c r="AZ288" s="4" t="e">
        <f>(3*#REF!+30)*AY288*F288^0.5</f>
        <v>#REF!</v>
      </c>
      <c r="BB288" s="4">
        <f t="shared" si="921"/>
        <v>724.74474718170586</v>
      </c>
      <c r="BC288" s="4">
        <f t="shared" si="1103"/>
        <v>0</v>
      </c>
      <c r="BD288" s="4">
        <f t="shared" si="1069"/>
        <v>0</v>
      </c>
      <c r="BL288" s="4">
        <f t="shared" si="923"/>
        <v>37.464999999999996</v>
      </c>
      <c r="BP288" s="9"/>
      <c r="BR288" s="9"/>
      <c r="BS288" s="9"/>
      <c r="BT288" s="9">
        <f t="shared" si="924"/>
        <v>37.464999999999996</v>
      </c>
      <c r="BU288" s="9">
        <f t="shared" si="925"/>
        <v>62.230000000000004</v>
      </c>
      <c r="BV288" s="9">
        <f t="shared" si="926"/>
        <v>1.3105455489610944</v>
      </c>
      <c r="BW288" s="40">
        <f t="shared" si="1018"/>
        <v>20</v>
      </c>
      <c r="BX288" s="9">
        <f t="shared" si="927"/>
        <v>0.05</v>
      </c>
      <c r="BY288" s="9">
        <f t="shared" si="1070"/>
        <v>0.8</v>
      </c>
      <c r="BZ288" s="9">
        <f t="shared" si="928"/>
        <v>0.99524931562137331</v>
      </c>
      <c r="CA288" s="9">
        <f t="shared" si="929"/>
        <v>0.68</v>
      </c>
      <c r="CB288" s="9">
        <f t="shared" si="930"/>
        <v>2.1039618260511515</v>
      </c>
      <c r="CC288" s="9">
        <f t="shared" si="931"/>
        <v>4.4405072671563142</v>
      </c>
      <c r="CD288" s="40">
        <v>1</v>
      </c>
      <c r="CE288" s="9" t="e">
        <f>4*CC288*#REF!+60*CC288</f>
        <v>#REF!</v>
      </c>
      <c r="CG288" s="4" t="e">
        <f t="shared" si="1071"/>
        <v>#REF!</v>
      </c>
      <c r="CH288" s="4" t="e">
        <f t="shared" si="1072"/>
        <v>#REF!</v>
      </c>
      <c r="CI288" s="4" t="e">
        <f t="shared" si="1073"/>
        <v>#REF!</v>
      </c>
      <c r="CJ288" s="4" t="e">
        <f t="shared" si="1074"/>
        <v>#REF!</v>
      </c>
      <c r="CK288" s="4">
        <f t="shared" si="1075"/>
        <v>0.98660780016235983</v>
      </c>
      <c r="CL288" s="4">
        <f t="shared" si="1076"/>
        <v>0.99490267950518141</v>
      </c>
      <c r="CM288" s="4">
        <f t="shared" si="978"/>
        <v>1.5537534775920558</v>
      </c>
      <c r="CN288" s="4">
        <f t="shared" si="1019"/>
        <v>10</v>
      </c>
      <c r="CU288" s="4" t="e">
        <f t="shared" ref="CU288" si="1189">CG288</f>
        <v>#REF!</v>
      </c>
      <c r="CV288" s="4" t="e">
        <f t="shared" ref="CV288" si="1190">CH288</f>
        <v>#REF!</v>
      </c>
      <c r="CW288" s="4" t="e">
        <f t="shared" ref="CW288" si="1191">CJ288</f>
        <v>#REF!</v>
      </c>
      <c r="CX288" s="4">
        <f t="shared" ref="CX288" si="1192">CM288</f>
        <v>1.5537534775920558</v>
      </c>
      <c r="CY288" s="4">
        <f t="shared" ref="CY288" si="1193">CK288</f>
        <v>0.98660780016235983</v>
      </c>
      <c r="CZ288" s="4">
        <f t="shared" ref="CZ288" si="1194">CL288</f>
        <v>0.99490267950518141</v>
      </c>
      <c r="DC288" s="4" t="e">
        <f>#REF!</f>
        <v>#REF!</v>
      </c>
      <c r="DF288" s="4">
        <f t="shared" si="932"/>
        <v>2.3783215198742983E-5</v>
      </c>
      <c r="DG288" s="4">
        <f t="shared" si="1083"/>
        <v>11.051124164708563</v>
      </c>
      <c r="DH288" s="4">
        <f t="shared" si="934"/>
        <v>0.17633387401261452</v>
      </c>
      <c r="DI288" s="4">
        <f t="shared" si="1084"/>
        <v>5.5200213571306262</v>
      </c>
      <c r="DJ288" s="4">
        <f t="shared" si="1085"/>
        <v>8.739461203836381</v>
      </c>
      <c r="DK288" s="4">
        <f t="shared" si="937"/>
        <v>10.128022414968948</v>
      </c>
      <c r="DL288" s="38">
        <f t="shared" si="938"/>
        <v>581.58176263541645</v>
      </c>
      <c r="DM288" s="4" t="e">
        <f t="shared" si="1086"/>
        <v>#REF!</v>
      </c>
      <c r="DN288" s="4">
        <f t="shared" si="940"/>
        <v>2.2583179581272428</v>
      </c>
      <c r="DO288" s="4">
        <f t="shared" si="976"/>
        <v>255.55945104042956</v>
      </c>
      <c r="DS288" s="4">
        <f t="shared" si="941"/>
        <v>0.85</v>
      </c>
      <c r="DT288" s="4">
        <f t="shared" si="942"/>
        <v>0.95250000000000001</v>
      </c>
      <c r="DU288" s="4">
        <f t="shared" si="943"/>
        <v>0.90625</v>
      </c>
      <c r="DV288" s="4">
        <f t="shared" si="1087"/>
        <v>0.86320312499999996</v>
      </c>
      <c r="DX288" s="4">
        <f t="shared" si="945"/>
        <v>576.73289585837085</v>
      </c>
      <c r="DY288" s="25">
        <f t="shared" si="1146"/>
        <v>252.82444659076288</v>
      </c>
      <c r="EA288" s="4">
        <f t="shared" si="1147"/>
        <v>0.73372265624999999</v>
      </c>
      <c r="EB288" s="4">
        <f t="shared" si="946"/>
        <v>11.051124164708563</v>
      </c>
      <c r="EE288" s="4">
        <f t="shared" si="947"/>
        <v>57.361276136431961</v>
      </c>
      <c r="EF288" s="4">
        <f t="shared" si="1088"/>
        <v>2.2583179581272428</v>
      </c>
      <c r="EG288" s="4">
        <f t="shared" si="949"/>
        <v>8.5644607911520801E-2</v>
      </c>
      <c r="EJ288" s="4">
        <f t="shared" si="1089"/>
        <v>8.5644607911520801E-2</v>
      </c>
      <c r="EK288" s="4">
        <f t="shared" si="950"/>
        <v>0.17603960564105409</v>
      </c>
      <c r="EL288" s="4">
        <f t="shared" si="1090"/>
        <v>5.5163347559951079</v>
      </c>
      <c r="EM288" s="4">
        <f t="shared" si="1091"/>
        <v>8.7383107581814947</v>
      </c>
      <c r="EN288" s="4" t="e">
        <f t="shared" si="1092"/>
        <v>#REF!</v>
      </c>
      <c r="EO288" s="4" t="e">
        <f t="shared" si="1093"/>
        <v>#REF!</v>
      </c>
      <c r="EP288" s="4" t="e">
        <f t="shared" si="951"/>
        <v>#REF!</v>
      </c>
      <c r="EQ288" s="4" t="e">
        <f t="shared" si="1094"/>
        <v>#REF!</v>
      </c>
      <c r="ER288" s="4" t="e">
        <f t="shared" si="952"/>
        <v>#REF!</v>
      </c>
      <c r="FA288" s="23" t="e">
        <f t="shared" si="1042"/>
        <v>#REF!</v>
      </c>
      <c r="FB288" s="23" t="e">
        <f t="shared" si="1043"/>
        <v>#REF!</v>
      </c>
      <c r="FC288" s="23">
        <f t="shared" si="981"/>
        <v>1.6</v>
      </c>
      <c r="FD288" s="23" t="e">
        <f t="shared" si="1044"/>
        <v>#REF!</v>
      </c>
      <c r="FE288" s="23">
        <f t="shared" si="1045"/>
        <v>1</v>
      </c>
      <c r="FF288" s="23">
        <f t="shared" si="1046"/>
        <v>1</v>
      </c>
      <c r="FG288" s="23">
        <f t="shared" si="968"/>
        <v>0</v>
      </c>
      <c r="FH288" s="23"/>
      <c r="FR288" s="4">
        <f t="shared" si="1122"/>
        <v>1.25</v>
      </c>
      <c r="FS288" s="4">
        <f t="shared" si="1123"/>
        <v>0.62898255813953508</v>
      </c>
      <c r="FT288" s="4">
        <f t="shared" si="1124"/>
        <v>0.28124999999999994</v>
      </c>
      <c r="FU288" s="4">
        <f t="shared" si="1125"/>
        <v>369.29481524798723</v>
      </c>
    </row>
    <row r="289" spans="2:177" ht="12" customHeight="1" x14ac:dyDescent="0.3">
      <c r="B289" s="24"/>
      <c r="C289" s="7" t="s">
        <v>424</v>
      </c>
      <c r="D289" s="38">
        <f t="shared" si="1101"/>
        <v>889.65517241379314</v>
      </c>
      <c r="E289" s="38">
        <f>9.92*25.4</f>
        <v>251.96799999999999</v>
      </c>
      <c r="F289" s="38">
        <f>11460/145</f>
        <v>79.034482758620683</v>
      </c>
      <c r="G289" s="38">
        <f t="shared" si="1016"/>
        <v>25.4</v>
      </c>
      <c r="H289" s="38">
        <f>16.1*25.4</f>
        <v>408.94</v>
      </c>
      <c r="I289" s="38">
        <f>2.5*25.4</f>
        <v>63.5</v>
      </c>
      <c r="J289" s="39">
        <f>(3.2+3+3.3)/3*25.4</f>
        <v>80.433333333333323</v>
      </c>
      <c r="K289" s="7">
        <f t="shared" si="986"/>
        <v>102.87</v>
      </c>
      <c r="L289" s="38">
        <v>3</v>
      </c>
      <c r="M289" s="4">
        <f t="shared" si="1028"/>
        <v>260.34999999999997</v>
      </c>
      <c r="N289" s="7">
        <f t="shared" si="905"/>
        <v>2.5250000000000004</v>
      </c>
      <c r="O289" s="7">
        <f t="shared" si="906"/>
        <v>3</v>
      </c>
      <c r="P289" s="38">
        <v>4.0999999999999996</v>
      </c>
      <c r="Q289" s="4">
        <f t="shared" si="1017"/>
        <v>4.0999999999999996</v>
      </c>
      <c r="R289" s="4">
        <f t="shared" si="907"/>
        <v>5.0999999999999996</v>
      </c>
      <c r="S289" s="7">
        <f t="shared" si="908"/>
        <v>57.361276136431961</v>
      </c>
      <c r="V289" s="38">
        <f t="shared" si="1054"/>
        <v>480.68965517241384</v>
      </c>
      <c r="W289" s="4">
        <v>69.7</v>
      </c>
      <c r="X289" s="4">
        <f t="shared" si="910"/>
        <v>0.7688185795271586</v>
      </c>
      <c r="Y289" s="38"/>
      <c r="Z289" s="38"/>
      <c r="AA289" s="39">
        <v>1</v>
      </c>
      <c r="AB289" s="39"/>
      <c r="AC289" s="39"/>
      <c r="AD289" s="7"/>
      <c r="AE289" s="4">
        <f t="shared" si="912"/>
        <v>251.96799999999999</v>
      </c>
      <c r="AF289" s="4">
        <f t="shared" si="913"/>
        <v>0.540994623655914</v>
      </c>
      <c r="AG289" s="4">
        <f t="shared" si="914"/>
        <v>233.90947895759095</v>
      </c>
      <c r="AH289" s="4">
        <f t="shared" si="915"/>
        <v>0.76048387096774195</v>
      </c>
      <c r="AI289" s="4">
        <v>1.25</v>
      </c>
      <c r="AJ289" s="4">
        <f t="shared" si="1154"/>
        <v>2.5</v>
      </c>
      <c r="AK289" s="38">
        <f t="shared" si="988"/>
        <v>300.73280145548068</v>
      </c>
      <c r="AL289" s="38">
        <f t="shared" si="953"/>
        <v>300.73280145548068</v>
      </c>
      <c r="AM289" s="38">
        <f t="shared" si="916"/>
        <v>4.8176603871508874</v>
      </c>
      <c r="AN289" s="38">
        <f t="shared" si="1161"/>
        <v>300.73280145548046</v>
      </c>
      <c r="AO289" s="38">
        <f t="shared" si="1115"/>
        <v>1.0000000000000007</v>
      </c>
      <c r="AP289" s="38">
        <f t="shared" si="1162"/>
        <v>2.8895324324262508</v>
      </c>
      <c r="AQ289" s="4">
        <f t="shared" si="1163"/>
        <v>0</v>
      </c>
      <c r="AR289" s="4" t="e">
        <f>#REF!/G289*F289^0.5/0.19</f>
        <v>#REF!</v>
      </c>
      <c r="AS289" s="4">
        <f t="shared" si="917"/>
        <v>1.0752475247524751</v>
      </c>
      <c r="AT289" s="38">
        <f t="shared" si="918"/>
        <v>868.97718330001521</v>
      </c>
      <c r="AU289" s="4">
        <f t="shared" si="919"/>
        <v>0.42600000000000005</v>
      </c>
      <c r="AV289" s="4" t="e">
        <f>AU289*D289*#REF!/(D289*G289/2.75/F289^0.5)</f>
        <v>#REF!</v>
      </c>
      <c r="AW289" s="4" t="e">
        <f t="shared" si="1068"/>
        <v>#REF!</v>
      </c>
      <c r="AY289" s="4">
        <f t="shared" si="920"/>
        <v>1.375</v>
      </c>
      <c r="AZ289" s="4" t="e">
        <f>(3*#REF!+30)*AY289*F289^0.5</f>
        <v>#REF!</v>
      </c>
      <c r="BB289" s="4">
        <f t="shared" si="921"/>
        <v>833.45538776951423</v>
      </c>
      <c r="BC289" s="4">
        <f t="shared" si="1103"/>
        <v>0</v>
      </c>
      <c r="BD289" s="4">
        <f t="shared" si="1069"/>
        <v>0</v>
      </c>
      <c r="BL289" s="4">
        <f t="shared" si="923"/>
        <v>51.435000000000002</v>
      </c>
      <c r="BP289" s="9"/>
      <c r="BR289" s="9"/>
      <c r="BS289" s="9"/>
      <c r="BT289" s="9">
        <f t="shared" si="924"/>
        <v>51.435000000000002</v>
      </c>
      <c r="BU289" s="9">
        <f t="shared" si="925"/>
        <v>63.5</v>
      </c>
      <c r="BV289" s="9">
        <f t="shared" si="926"/>
        <v>1.4687225435414653</v>
      </c>
      <c r="BW289" s="40">
        <f t="shared" si="1018"/>
        <v>0</v>
      </c>
      <c r="BX289" s="9">
        <f t="shared" si="927"/>
        <v>0</v>
      </c>
      <c r="BY289" s="9">
        <f t="shared" si="1070"/>
        <v>0</v>
      </c>
      <c r="BZ289" s="9">
        <f t="shared" si="928"/>
        <v>0.99524931562137331</v>
      </c>
      <c r="CA289" s="9">
        <f t="shared" si="929"/>
        <v>0.68</v>
      </c>
      <c r="CB289" s="9">
        <f t="shared" si="930"/>
        <v>2.1058001504088901</v>
      </c>
      <c r="CC289" s="9">
        <f t="shared" si="931"/>
        <v>3.0928361530985451</v>
      </c>
      <c r="CD289" s="40">
        <v>1</v>
      </c>
      <c r="CE289" s="9" t="e">
        <f>4*CC289*#REF!+60*CC289</f>
        <v>#REF!</v>
      </c>
      <c r="CG289" s="4" t="e">
        <f t="shared" si="1071"/>
        <v>#REF!</v>
      </c>
      <c r="CH289" s="4" t="e">
        <f t="shared" si="1072"/>
        <v>#REF!</v>
      </c>
      <c r="CI289" s="4" t="e">
        <f t="shared" si="1073"/>
        <v>#REF!</v>
      </c>
      <c r="CJ289" s="4" t="e">
        <f t="shared" si="1074"/>
        <v>#REF!</v>
      </c>
      <c r="CK289" s="4">
        <f t="shared" si="1075"/>
        <v>0.7688185795271586</v>
      </c>
      <c r="CL289" s="4">
        <f t="shared" si="1076"/>
        <v>0.782670244439856</v>
      </c>
      <c r="CM289" s="4">
        <f t="shared" si="978"/>
        <v>1.2155644280465276</v>
      </c>
      <c r="CN289" s="4">
        <f t="shared" si="1019"/>
        <v>0</v>
      </c>
      <c r="CO289" s="4" t="e">
        <f t="shared" ref="CO289" si="1195">CG289</f>
        <v>#REF!</v>
      </c>
      <c r="CP289" s="4" t="e">
        <f t="shared" ref="CP289" si="1196">CH289</f>
        <v>#REF!</v>
      </c>
      <c r="CQ289" s="4" t="e">
        <f t="shared" ref="CQ289" si="1197">CJ289</f>
        <v>#REF!</v>
      </c>
      <c r="CR289" s="4">
        <f t="shared" ref="CR289" si="1198">CM289</f>
        <v>1.2155644280465276</v>
      </c>
      <c r="CS289" s="4">
        <f t="shared" ref="CS289" si="1199">CK289</f>
        <v>0.7688185795271586</v>
      </c>
      <c r="CT289" s="4">
        <f t="shared" ref="CT289" si="1200">CL289</f>
        <v>0.782670244439856</v>
      </c>
      <c r="DC289" s="4" t="e">
        <f>#REF!</f>
        <v>#REF!</v>
      </c>
      <c r="DF289" s="4">
        <f t="shared" si="932"/>
        <v>2.4168369041980222E-5</v>
      </c>
      <c r="DG289" s="4">
        <f t="shared" si="1083"/>
        <v>10.638105713782785</v>
      </c>
      <c r="DH289" s="4">
        <f t="shared" si="934"/>
        <v>0.20714097168754586</v>
      </c>
      <c r="DI289" s="4">
        <f t="shared" si="1084"/>
        <v>5.6672282629254962</v>
      </c>
      <c r="DJ289" s="4">
        <f t="shared" si="1085"/>
        <v>8.5262775120215917</v>
      </c>
      <c r="DK289" s="4">
        <f t="shared" si="937"/>
        <v>9.7362226598816992</v>
      </c>
      <c r="DL289" s="38">
        <f t="shared" si="938"/>
        <v>625.23157994965368</v>
      </c>
      <c r="DM289" s="4" t="e">
        <f t="shared" si="1086"/>
        <v>#REF!</v>
      </c>
      <c r="DN289" s="4">
        <f t="shared" si="940"/>
        <v>2.2583179581272428</v>
      </c>
      <c r="DO289" s="4">
        <f t="shared" si="976"/>
        <v>300.73280145548046</v>
      </c>
      <c r="DS289" s="4">
        <f t="shared" si="941"/>
        <v>0.85</v>
      </c>
      <c r="DT289" s="4">
        <f t="shared" si="942"/>
        <v>0.89749999999999996</v>
      </c>
      <c r="DU289" s="4">
        <f t="shared" si="943"/>
        <v>1</v>
      </c>
      <c r="DV289" s="4">
        <f t="shared" si="1087"/>
        <v>0.89749999999999996</v>
      </c>
      <c r="DX289" s="4">
        <f t="shared" si="945"/>
        <v>614.16625786819759</v>
      </c>
      <c r="DY289" s="25">
        <f t="shared" si="1146"/>
        <v>297.5762318260218</v>
      </c>
      <c r="EA289" s="4">
        <f t="shared" si="1147"/>
        <v>0.76287499999999997</v>
      </c>
      <c r="EB289" s="4">
        <f t="shared" si="946"/>
        <v>10.638105713782785</v>
      </c>
      <c r="EE289" s="4">
        <f t="shared" si="947"/>
        <v>57.361276136431961</v>
      </c>
      <c r="EF289" s="4">
        <f t="shared" si="1088"/>
        <v>2.2583179581272428</v>
      </c>
      <c r="EG289" s="4">
        <f t="shared" si="949"/>
        <v>0.10069538860109649</v>
      </c>
      <c r="EJ289" s="4">
        <f t="shared" si="1089"/>
        <v>0.10069538860109649</v>
      </c>
      <c r="EK289" s="4">
        <f t="shared" si="950"/>
        <v>0.2067952920116285</v>
      </c>
      <c r="EL289" s="4">
        <f t="shared" si="1090"/>
        <v>5.6634433481946225</v>
      </c>
      <c r="EM289" s="4">
        <f t="shared" si="1091"/>
        <v>8.5250307099253781</v>
      </c>
      <c r="EN289" s="4" t="e">
        <f t="shared" si="1092"/>
        <v>#REF!</v>
      </c>
      <c r="EO289" s="4" t="e">
        <f t="shared" si="1093"/>
        <v>#REF!</v>
      </c>
      <c r="EP289" s="4" t="e">
        <f t="shared" si="951"/>
        <v>#REF!</v>
      </c>
      <c r="EQ289" s="4" t="e">
        <f t="shared" si="1094"/>
        <v>#REF!</v>
      </c>
      <c r="ER289" s="4" t="e">
        <f t="shared" si="952"/>
        <v>#REF!</v>
      </c>
      <c r="FA289" s="23" t="e">
        <f t="shared" si="1042"/>
        <v>#REF!</v>
      </c>
      <c r="FB289" s="23" t="e">
        <f t="shared" si="1043"/>
        <v>#REF!</v>
      </c>
      <c r="FC289" s="23">
        <f t="shared" si="981"/>
        <v>1.4</v>
      </c>
      <c r="FD289" s="23" t="e">
        <f t="shared" si="1044"/>
        <v>#REF!</v>
      </c>
      <c r="FE289" s="23">
        <f t="shared" si="1045"/>
        <v>0.8</v>
      </c>
      <c r="FF289" s="23">
        <f t="shared" si="1046"/>
        <v>0.8</v>
      </c>
      <c r="FG289" s="23">
        <f t="shared" si="968"/>
        <v>1</v>
      </c>
      <c r="FH289" s="23"/>
      <c r="FR289" s="4">
        <f t="shared" si="1122"/>
        <v>1</v>
      </c>
      <c r="FS289" s="4">
        <f t="shared" si="1123"/>
        <v>0.74583333333333324</v>
      </c>
      <c r="FT289" s="4">
        <f t="shared" si="1124"/>
        <v>0</v>
      </c>
      <c r="FU289" s="4">
        <f t="shared" si="1125"/>
        <v>395.44564161432885</v>
      </c>
    </row>
    <row r="290" spans="2:177" ht="12" customHeight="1" x14ac:dyDescent="0.3">
      <c r="B290" s="24"/>
      <c r="C290" s="7" t="s">
        <v>425</v>
      </c>
      <c r="D290" s="38">
        <f t="shared" si="1101"/>
        <v>889.65517241379314</v>
      </c>
      <c r="E290" s="38">
        <f>9.6*25.4</f>
        <v>243.83999999999997</v>
      </c>
      <c r="F290" s="38">
        <f>11460/145</f>
        <v>79.034482758620683</v>
      </c>
      <c r="G290" s="38">
        <f t="shared" si="1016"/>
        <v>25.4</v>
      </c>
      <c r="H290" s="38">
        <f>16.3*25.4</f>
        <v>414.02</v>
      </c>
      <c r="I290" s="38">
        <f t="shared" ref="I290:I297" si="1201">2.5*25.4</f>
        <v>63.5</v>
      </c>
      <c r="J290" s="39">
        <f>(3.5+3.9+3.6)/3*25.4</f>
        <v>93.133333333333326</v>
      </c>
      <c r="K290" s="7">
        <f t="shared" si="986"/>
        <v>105.41</v>
      </c>
      <c r="L290" s="38">
        <v>3</v>
      </c>
      <c r="M290" s="4">
        <f t="shared" si="1028"/>
        <v>260.34999999999997</v>
      </c>
      <c r="N290" s="7">
        <f t="shared" si="905"/>
        <v>2.5750000000000002</v>
      </c>
      <c r="O290" s="7">
        <f t="shared" si="906"/>
        <v>3</v>
      </c>
      <c r="P290" s="38">
        <v>4.0999999999999996</v>
      </c>
      <c r="Q290" s="4">
        <f t="shared" si="1017"/>
        <v>4.0999999999999996</v>
      </c>
      <c r="R290" s="4">
        <f t="shared" si="907"/>
        <v>5.0999999999999996</v>
      </c>
      <c r="S290" s="7">
        <f t="shared" si="908"/>
        <v>57.361276136431961</v>
      </c>
      <c r="V290" s="38">
        <f t="shared" si="1054"/>
        <v>608.27586206896558</v>
      </c>
      <c r="W290" s="4">
        <v>88.2</v>
      </c>
      <c r="X290" s="4">
        <f t="shared" si="910"/>
        <v>0.93949066396852476</v>
      </c>
      <c r="Y290" s="38">
        <f t="shared" si="1148"/>
        <v>9.5249999999999986</v>
      </c>
      <c r="Z290" s="38">
        <v>10</v>
      </c>
      <c r="AA290" s="39">
        <f>3*25.4</f>
        <v>76.199999999999989</v>
      </c>
      <c r="AB290" s="39">
        <v>3</v>
      </c>
      <c r="AC290" s="39">
        <v>2</v>
      </c>
      <c r="AD290" s="7"/>
      <c r="AE290" s="4">
        <f t="shared" si="912"/>
        <v>243.83999999999997</v>
      </c>
      <c r="AF290" s="4">
        <f t="shared" si="913"/>
        <v>0.56597222222222232</v>
      </c>
      <c r="AG290" s="4">
        <f t="shared" si="914"/>
        <v>222.68305093812236</v>
      </c>
      <c r="AH290" s="4">
        <f t="shared" si="915"/>
        <v>0.76249999999999996</v>
      </c>
      <c r="AI290" s="4">
        <v>1.25</v>
      </c>
      <c r="AJ290" s="4">
        <f t="shared" si="1154"/>
        <v>2.5</v>
      </c>
      <c r="AK290" s="38">
        <f t="shared" si="988"/>
        <v>300.31162861840153</v>
      </c>
      <c r="AL290" s="38">
        <f t="shared" si="953"/>
        <v>300.31162861840153</v>
      </c>
      <c r="AM290" s="38">
        <f t="shared" si="916"/>
        <v>4.8176603871508874</v>
      </c>
      <c r="AN290" s="38">
        <f t="shared" si="1161"/>
        <v>300.31162861840153</v>
      </c>
      <c r="AO290" s="38">
        <f t="shared" si="1115"/>
        <v>1</v>
      </c>
      <c r="AP290" s="38">
        <f t="shared" si="1162"/>
        <v>2.9255581782446503</v>
      </c>
      <c r="AQ290" s="4">
        <f t="shared" si="1163"/>
        <v>0</v>
      </c>
      <c r="AR290" s="4" t="e">
        <f>#REF!/G290*F290^0.5/0.19</f>
        <v>#REF!</v>
      </c>
      <c r="AS290" s="4">
        <f t="shared" si="917"/>
        <v>1.066019417475728</v>
      </c>
      <c r="AT290" s="38">
        <f t="shared" si="918"/>
        <v>878.57914112653475</v>
      </c>
      <c r="AU290" s="4">
        <f t="shared" si="919"/>
        <v>0.42600000000000005</v>
      </c>
      <c r="AV290" s="4" t="e">
        <f>AU290*D290*#REF!/(D290*G290/2.75/F290^0.5)</f>
        <v>#REF!</v>
      </c>
      <c r="AW290" s="4" t="e">
        <f t="shared" si="1068"/>
        <v>#REF!</v>
      </c>
      <c r="AY290" s="4">
        <f t="shared" si="920"/>
        <v>1.5</v>
      </c>
      <c r="AZ290" s="4" t="e">
        <f>(3*#REF!+30)*AY290*F290^0.5</f>
        <v>#REF!</v>
      </c>
      <c r="BB290" s="4">
        <f t="shared" si="921"/>
        <v>842.66483956807247</v>
      </c>
      <c r="BC290" s="4">
        <f t="shared" si="1103"/>
        <v>0</v>
      </c>
      <c r="BD290" s="4">
        <f t="shared" si="1069"/>
        <v>0</v>
      </c>
      <c r="BL290" s="4">
        <f t="shared" si="923"/>
        <v>52.704999999999998</v>
      </c>
      <c r="BP290" s="9"/>
      <c r="BR290" s="9"/>
      <c r="BS290" s="9"/>
      <c r="BT290" s="9">
        <f t="shared" si="924"/>
        <v>52.704999999999998</v>
      </c>
      <c r="BU290" s="9">
        <f t="shared" si="925"/>
        <v>63.5</v>
      </c>
      <c r="BV290" s="9">
        <f t="shared" si="926"/>
        <v>1.4813147137729235</v>
      </c>
      <c r="BW290" s="40">
        <f t="shared" si="1018"/>
        <v>20</v>
      </c>
      <c r="BX290" s="9">
        <f t="shared" si="927"/>
        <v>0.05</v>
      </c>
      <c r="BY290" s="9">
        <f t="shared" si="1070"/>
        <v>0.8</v>
      </c>
      <c r="BZ290" s="9">
        <f t="shared" si="928"/>
        <v>0.99524931562137331</v>
      </c>
      <c r="CA290" s="9">
        <f t="shared" si="929"/>
        <v>0.68</v>
      </c>
      <c r="CB290" s="9">
        <f t="shared" si="930"/>
        <v>2.1058001504088901</v>
      </c>
      <c r="CC290" s="9">
        <f t="shared" si="931"/>
        <v>4.8039928673930365</v>
      </c>
      <c r="CD290" s="40">
        <v>1</v>
      </c>
      <c r="CE290" s="9" t="e">
        <f>4*CC290*#REF!+60*CC290</f>
        <v>#REF!</v>
      </c>
      <c r="CG290" s="4" t="e">
        <f t="shared" si="1071"/>
        <v>#REF!</v>
      </c>
      <c r="CH290" s="4" t="e">
        <f t="shared" si="1072"/>
        <v>#REF!</v>
      </c>
      <c r="CI290" s="4" t="e">
        <f t="shared" si="1073"/>
        <v>#REF!</v>
      </c>
      <c r="CJ290" s="4" t="e">
        <f t="shared" si="1074"/>
        <v>#REF!</v>
      </c>
      <c r="CK290" s="4">
        <f t="shared" si="1075"/>
        <v>0.93949066396852476</v>
      </c>
      <c r="CL290" s="4">
        <f t="shared" si="1076"/>
        <v>0.95490274844904621</v>
      </c>
      <c r="CM290" s="4">
        <f t="shared" si="978"/>
        <v>1.225964360942069</v>
      </c>
      <c r="CN290" s="4">
        <f t="shared" si="1019"/>
        <v>10</v>
      </c>
      <c r="CU290" s="4" t="e">
        <f t="shared" ref="CU290" si="1202">CG290</f>
        <v>#REF!</v>
      </c>
      <c r="CV290" s="4" t="e">
        <f t="shared" ref="CV290" si="1203">CH290</f>
        <v>#REF!</v>
      </c>
      <c r="CW290" s="4" t="e">
        <f t="shared" ref="CW290" si="1204">CJ290</f>
        <v>#REF!</v>
      </c>
      <c r="CX290" s="4">
        <f t="shared" ref="CX290" si="1205">CM290</f>
        <v>1.225964360942069</v>
      </c>
      <c r="CY290" s="4">
        <f t="shared" ref="CY290" si="1206">CK290</f>
        <v>0.93949066396852476</v>
      </c>
      <c r="CZ290" s="4">
        <f t="shared" ref="CZ290" si="1207">CL290</f>
        <v>0.95490274844904621</v>
      </c>
      <c r="DC290" s="4" t="e">
        <f>#REF!</f>
        <v>#REF!</v>
      </c>
      <c r="DF290" s="4">
        <f t="shared" si="932"/>
        <v>2.338874423417441E-5</v>
      </c>
      <c r="DG290" s="4">
        <f t="shared" si="1083"/>
        <v>11.804361869983254</v>
      </c>
      <c r="DH290" s="4">
        <f t="shared" si="934"/>
        <v>0.20685087313395045</v>
      </c>
      <c r="DI290" s="4">
        <f t="shared" si="1084"/>
        <v>6.2850025462405528</v>
      </c>
      <c r="DJ290" s="4">
        <f t="shared" si="1085"/>
        <v>9.459852819454456</v>
      </c>
      <c r="DK290" s="4">
        <f t="shared" si="937"/>
        <v>10.76840592779776</v>
      </c>
      <c r="DL290" s="38">
        <f t="shared" si="938"/>
        <v>647.45280118009168</v>
      </c>
      <c r="DM290" s="4" t="e">
        <f t="shared" si="1086"/>
        <v>#REF!</v>
      </c>
      <c r="DN290" s="4">
        <f t="shared" si="940"/>
        <v>2.2583179581272428</v>
      </c>
      <c r="DO290" s="4">
        <f t="shared" si="976"/>
        <v>300.31162861840153</v>
      </c>
      <c r="DS290" s="4">
        <f t="shared" si="941"/>
        <v>0.85</v>
      </c>
      <c r="DT290" s="4">
        <f t="shared" si="942"/>
        <v>0.89249999999999996</v>
      </c>
      <c r="DU290" s="4">
        <f t="shared" si="943"/>
        <v>0.90625</v>
      </c>
      <c r="DV290" s="4">
        <f t="shared" si="1087"/>
        <v>0.80882812500000001</v>
      </c>
      <c r="DX290" s="4">
        <f t="shared" si="945"/>
        <v>637.00294407669026</v>
      </c>
      <c r="DY290" s="25">
        <f t="shared" si="1146"/>
        <v>297.03732222117264</v>
      </c>
      <c r="EA290" s="4">
        <f t="shared" si="1147"/>
        <v>0.68750390625000002</v>
      </c>
      <c r="EB290" s="4">
        <f t="shared" si="946"/>
        <v>11.804361869983254</v>
      </c>
      <c r="EE290" s="4">
        <f t="shared" si="947"/>
        <v>57.361276136431961</v>
      </c>
      <c r="EF290" s="4">
        <f t="shared" si="1088"/>
        <v>2.2583179581272428</v>
      </c>
      <c r="EG290" s="4">
        <f t="shared" si="949"/>
        <v>0.1005543658649911</v>
      </c>
      <c r="EJ290" s="4">
        <f t="shared" si="1089"/>
        <v>0.1005543658649911</v>
      </c>
      <c r="EK290" s="4">
        <f t="shared" si="950"/>
        <v>0.20650567757845198</v>
      </c>
      <c r="EL290" s="4">
        <f t="shared" si="1090"/>
        <v>6.2808050448135386</v>
      </c>
      <c r="EM290" s="4">
        <f t="shared" si="1091"/>
        <v>9.4584707445849645</v>
      </c>
      <c r="EN290" s="4" t="e">
        <f t="shared" si="1092"/>
        <v>#REF!</v>
      </c>
      <c r="EO290" s="4" t="e">
        <f t="shared" si="1093"/>
        <v>#REF!</v>
      </c>
      <c r="EP290" s="4" t="e">
        <f t="shared" si="951"/>
        <v>#REF!</v>
      </c>
      <c r="EQ290" s="4" t="e">
        <f t="shared" si="1094"/>
        <v>#REF!</v>
      </c>
      <c r="ER290" s="4" t="e">
        <f t="shared" si="952"/>
        <v>#REF!</v>
      </c>
      <c r="FA290" s="23" t="e">
        <f t="shared" si="1042"/>
        <v>#REF!</v>
      </c>
      <c r="FB290" s="23" t="e">
        <f t="shared" si="1043"/>
        <v>#REF!</v>
      </c>
      <c r="FC290" s="23">
        <f t="shared" si="981"/>
        <v>1.4</v>
      </c>
      <c r="FD290" s="23" t="e">
        <f t="shared" si="1044"/>
        <v>#REF!</v>
      </c>
      <c r="FE290" s="23">
        <f t="shared" si="1045"/>
        <v>1</v>
      </c>
      <c r="FF290" s="23">
        <f t="shared" si="1046"/>
        <v>1</v>
      </c>
      <c r="FG290" s="23">
        <f t="shared" si="968"/>
        <v>0</v>
      </c>
      <c r="FH290" s="23"/>
      <c r="FR290" s="4">
        <f t="shared" si="1122"/>
        <v>1</v>
      </c>
      <c r="FS290" s="4">
        <f t="shared" si="1123"/>
        <v>0.57526162790697688</v>
      </c>
      <c r="FT290" s="4">
        <f t="shared" si="1124"/>
        <v>0.28124999999999994</v>
      </c>
      <c r="FU290" s="4">
        <f t="shared" si="1125"/>
        <v>496.16112951403221</v>
      </c>
    </row>
    <row r="291" spans="2:177" ht="12" customHeight="1" x14ac:dyDescent="0.3">
      <c r="B291" s="24" t="s">
        <v>426</v>
      </c>
      <c r="C291" s="7" t="s">
        <v>427</v>
      </c>
      <c r="D291" s="38">
        <f>115.9/0.145</f>
        <v>799.31034482758628</v>
      </c>
      <c r="E291" s="38">
        <f>11.06*25.4</f>
        <v>280.92399999999998</v>
      </c>
      <c r="F291" s="38">
        <f>5500/145</f>
        <v>37.931034482758619</v>
      </c>
      <c r="G291" s="38">
        <f t="shared" si="1016"/>
        <v>25.4</v>
      </c>
      <c r="H291" s="38">
        <f>16.8*25.4</f>
        <v>426.71999999999997</v>
      </c>
      <c r="I291" s="38">
        <f t="shared" si="1201"/>
        <v>63.5</v>
      </c>
      <c r="J291" s="39">
        <f>3.35*25.4</f>
        <v>85.09</v>
      </c>
      <c r="K291" s="7">
        <f t="shared" si="986"/>
        <v>248.91999999999996</v>
      </c>
      <c r="L291" s="38">
        <v>2</v>
      </c>
      <c r="M291" s="4">
        <f t="shared" si="1028"/>
        <v>260.34999999999997</v>
      </c>
      <c r="N291" s="7">
        <f t="shared" si="905"/>
        <v>3</v>
      </c>
      <c r="O291" s="7">
        <f t="shared" si="906"/>
        <v>3</v>
      </c>
      <c r="P291" s="38">
        <v>6.5</v>
      </c>
      <c r="Q291" s="4">
        <f t="shared" si="1017"/>
        <v>6.5</v>
      </c>
      <c r="R291" s="4">
        <f t="shared" si="907"/>
        <v>7.5</v>
      </c>
      <c r="S291" s="7">
        <f t="shared" si="908"/>
        <v>69.56076480315609</v>
      </c>
      <c r="V291" s="38">
        <f t="shared" si="1054"/>
        <v>659.31034482758616</v>
      </c>
      <c r="W291" s="4">
        <v>95.6</v>
      </c>
      <c r="X291" s="4">
        <f t="shared" si="910"/>
        <v>1.051317145691999</v>
      </c>
      <c r="Y291" s="38"/>
      <c r="Z291" s="38"/>
      <c r="AA291" s="39">
        <v>1</v>
      </c>
      <c r="AB291" s="39"/>
      <c r="AC291" s="39"/>
      <c r="AD291" s="7"/>
      <c r="AE291" s="4">
        <f t="shared" si="912"/>
        <v>280.92399999999998</v>
      </c>
      <c r="AF291" s="4">
        <f t="shared" si="913"/>
        <v>0.50632911392405056</v>
      </c>
      <c r="AG291" s="4">
        <f t="shared" si="914"/>
        <v>286.14970251246518</v>
      </c>
      <c r="AH291" s="4">
        <f t="shared" si="915"/>
        <v>0.75424954792043397</v>
      </c>
      <c r="AI291" s="4">
        <v>1.25</v>
      </c>
      <c r="AJ291" s="4">
        <f t="shared" si="1154"/>
        <v>2.5</v>
      </c>
      <c r="AK291" s="38">
        <f t="shared" si="988"/>
        <v>341.500448983534</v>
      </c>
      <c r="AL291" s="38">
        <f t="shared" si="953"/>
        <v>341.500448983534</v>
      </c>
      <c r="AM291" s="38">
        <f t="shared" si="916"/>
        <v>3.3867596705239982</v>
      </c>
      <c r="AN291" s="38">
        <f t="shared" si="1161"/>
        <v>341.50044898353462</v>
      </c>
      <c r="AO291" s="38">
        <f t="shared" si="1115"/>
        <v>0.99999999999999822</v>
      </c>
      <c r="AP291" s="38">
        <f t="shared" si="1162"/>
        <v>1.6990702551697576</v>
      </c>
      <c r="AQ291" s="4">
        <f t="shared" si="1163"/>
        <v>0</v>
      </c>
      <c r="AR291" s="4" t="e">
        <f>#REF!/G291*F291^0.5/0.19</f>
        <v>#REF!</v>
      </c>
      <c r="AS291" s="4">
        <f t="shared" si="917"/>
        <v>1</v>
      </c>
      <c r="AT291" s="38">
        <f t="shared" si="918"/>
        <v>580.23325499504097</v>
      </c>
      <c r="AU291" s="4">
        <f t="shared" si="919"/>
        <v>0.3</v>
      </c>
      <c r="AV291" s="4" t="e">
        <f>AU291*D291*#REF!/(D291*G291/2.75/F291^0.5)</f>
        <v>#REF!</v>
      </c>
      <c r="AW291" s="4" t="e">
        <f t="shared" si="1068"/>
        <v>#REF!</v>
      </c>
      <c r="AY291" s="4">
        <f t="shared" si="920"/>
        <v>1.375</v>
      </c>
      <c r="AZ291" s="4" t="e">
        <f>(3*#REF!+30)*AY291*F291^0.5</f>
        <v>#REF!</v>
      </c>
      <c r="BB291" s="4">
        <f t="shared" si="921"/>
        <v>556.51464944355905</v>
      </c>
      <c r="BC291" s="4">
        <f t="shared" si="1103"/>
        <v>0</v>
      </c>
      <c r="BD291" s="4">
        <f t="shared" si="1069"/>
        <v>0</v>
      </c>
      <c r="BL291" s="4">
        <f t="shared" si="923"/>
        <v>63.5</v>
      </c>
      <c r="BP291" s="9"/>
      <c r="BR291" s="9"/>
      <c r="BS291" s="9"/>
      <c r="BT291" s="9">
        <f t="shared" si="924"/>
        <v>63.5</v>
      </c>
      <c r="BU291" s="9">
        <f t="shared" si="925"/>
        <v>124.45999999999998</v>
      </c>
      <c r="BV291" s="9">
        <f t="shared" si="926"/>
        <v>1.7490749303163509</v>
      </c>
      <c r="BW291" s="40">
        <f t="shared" si="1018"/>
        <v>0</v>
      </c>
      <c r="BX291" s="9">
        <f t="shared" si="927"/>
        <v>0</v>
      </c>
      <c r="BY291" s="9">
        <f t="shared" si="1070"/>
        <v>0</v>
      </c>
      <c r="BZ291" s="9">
        <f t="shared" si="928"/>
        <v>0.99524931562137331</v>
      </c>
      <c r="CA291" s="9">
        <f t="shared" si="929"/>
        <v>0.68048275862068963</v>
      </c>
      <c r="CB291" s="9">
        <f t="shared" si="930"/>
        <v>1.4598707313117956</v>
      </c>
      <c r="CC291" s="9">
        <f t="shared" si="931"/>
        <v>2.5534232976400588</v>
      </c>
      <c r="CD291" s="40">
        <v>1</v>
      </c>
      <c r="CE291" s="9" t="e">
        <f>4*CC291*#REF!+60*CC291</f>
        <v>#REF!</v>
      </c>
      <c r="CG291" s="4" t="e">
        <f t="shared" si="1071"/>
        <v>#REF!</v>
      </c>
      <c r="CH291" s="4" t="e">
        <f t="shared" si="1072"/>
        <v>#REF!</v>
      </c>
      <c r="CI291" s="4" t="e">
        <f t="shared" si="1073"/>
        <v>#REF!</v>
      </c>
      <c r="CJ291" s="4" t="e">
        <f t="shared" si="1074"/>
        <v>#REF!</v>
      </c>
      <c r="CK291" s="4">
        <f t="shared" si="1075"/>
        <v>1.051317145691999</v>
      </c>
      <c r="CL291" s="4">
        <f t="shared" si="1076"/>
        <v>1.10521720654621</v>
      </c>
      <c r="CM291" s="4">
        <f t="shared" si="978"/>
        <v>1.2044626549109341</v>
      </c>
      <c r="CN291" s="4">
        <f t="shared" si="1019"/>
        <v>0</v>
      </c>
      <c r="CO291" s="4" t="e">
        <f t="shared" ref="CO291:CO294" si="1208">CG291</f>
        <v>#REF!</v>
      </c>
      <c r="CP291" s="4" t="e">
        <f t="shared" ref="CP291:CP294" si="1209">CH291</f>
        <v>#REF!</v>
      </c>
      <c r="CQ291" s="4" t="e">
        <f t="shared" ref="CQ291:CQ294" si="1210">CJ291</f>
        <v>#REF!</v>
      </c>
      <c r="CR291" s="4">
        <f t="shared" ref="CR291:CR294" si="1211">CM291</f>
        <v>1.2044626549109341</v>
      </c>
      <c r="CS291" s="4">
        <f t="shared" ref="CS291:CS294" si="1212">CK291</f>
        <v>1.051317145691999</v>
      </c>
      <c r="CT291" s="4">
        <f t="shared" ref="CT291:CT294" si="1213">CL291</f>
        <v>1.10521720654621</v>
      </c>
      <c r="DC291" s="4" t="e">
        <f>#REF!</f>
        <v>#REF!</v>
      </c>
      <c r="DF291" s="4">
        <f t="shared" si="932"/>
        <v>2.0862644589160908E-5</v>
      </c>
      <c r="DG291" s="4">
        <f t="shared" si="1083"/>
        <v>7.7815993963460848</v>
      </c>
      <c r="DH291" s="4">
        <f t="shared" si="934"/>
        <v>0.37489915373489696</v>
      </c>
      <c r="DI291" s="4">
        <f t="shared" si="1084"/>
        <v>5.2557494461216852</v>
      </c>
      <c r="DJ291" s="4">
        <f t="shared" si="1085"/>
        <v>6.6403267014248541</v>
      </c>
      <c r="DK291" s="4">
        <f t="shared" si="937"/>
        <v>7.2756532072125752</v>
      </c>
      <c r="DL291" s="38">
        <f t="shared" si="938"/>
        <v>627.12792950181961</v>
      </c>
      <c r="DM291" s="4" t="e">
        <f t="shared" si="1086"/>
        <v>#REF!</v>
      </c>
      <c r="DN291" s="4">
        <f t="shared" si="940"/>
        <v>2.7386127875258306</v>
      </c>
      <c r="DO291" s="4">
        <f t="shared" si="976"/>
        <v>341.50044898353462</v>
      </c>
      <c r="DS291" s="4">
        <f t="shared" si="941"/>
        <v>0.85</v>
      </c>
      <c r="DT291" s="4">
        <f t="shared" si="942"/>
        <v>0.85</v>
      </c>
      <c r="DU291" s="4">
        <f t="shared" si="943"/>
        <v>1</v>
      </c>
      <c r="DV291" s="4">
        <f t="shared" si="1087"/>
        <v>0.85</v>
      </c>
      <c r="DX291" s="4">
        <f t="shared" si="945"/>
        <v>596.54368473679733</v>
      </c>
      <c r="DY291" s="25">
        <f t="shared" si="1146"/>
        <v>338.35021676603429</v>
      </c>
      <c r="EA291" s="4">
        <f t="shared" si="1147"/>
        <v>0.72249999999999992</v>
      </c>
      <c r="EB291" s="4">
        <f t="shared" si="946"/>
        <v>7.7815993963460848</v>
      </c>
      <c r="EE291" s="4">
        <f t="shared" si="947"/>
        <v>69.56076480315609</v>
      </c>
      <c r="EF291" s="4">
        <f t="shared" si="1088"/>
        <v>2.7386127875258306</v>
      </c>
      <c r="EG291" s="4">
        <f t="shared" si="949"/>
        <v>0.12625455895365398</v>
      </c>
      <c r="EJ291" s="4">
        <f t="shared" si="1089"/>
        <v>0.12625455895365398</v>
      </c>
      <c r="EK291" s="4">
        <f t="shared" si="950"/>
        <v>0.37427351691901739</v>
      </c>
      <c r="EL291" s="4">
        <f t="shared" si="1090"/>
        <v>5.2522393416089468</v>
      </c>
      <c r="EM291" s="4">
        <f t="shared" si="1091"/>
        <v>6.6389405680731253</v>
      </c>
      <c r="EN291" s="4" t="e">
        <f t="shared" si="1092"/>
        <v>#REF!</v>
      </c>
      <c r="EO291" s="4" t="e">
        <f t="shared" si="1093"/>
        <v>#REF!</v>
      </c>
      <c r="EP291" s="4" t="e">
        <f t="shared" si="951"/>
        <v>#REF!</v>
      </c>
      <c r="EQ291" s="4" t="e">
        <f t="shared" si="1094"/>
        <v>#REF!</v>
      </c>
      <c r="ER291" s="4" t="e">
        <f t="shared" si="952"/>
        <v>#REF!</v>
      </c>
      <c r="FA291" s="23" t="e">
        <f t="shared" si="1042"/>
        <v>#REF!</v>
      </c>
      <c r="FB291" s="23" t="e">
        <f t="shared" si="1043"/>
        <v>#REF!</v>
      </c>
      <c r="FC291" s="23">
        <f t="shared" si="981"/>
        <v>1.4</v>
      </c>
      <c r="FD291" s="23" t="e">
        <f t="shared" si="1044"/>
        <v>#REF!</v>
      </c>
      <c r="FE291" s="23">
        <f t="shared" si="1045"/>
        <v>1.2</v>
      </c>
      <c r="FF291" s="23">
        <f t="shared" si="1046"/>
        <v>1.2</v>
      </c>
      <c r="FG291" s="23">
        <f t="shared" si="968"/>
        <v>0</v>
      </c>
      <c r="FH291" s="23"/>
      <c r="FR291" s="4">
        <f t="shared" si="1122"/>
        <v>1</v>
      </c>
      <c r="FS291" s="4">
        <f t="shared" si="1123"/>
        <v>0.5</v>
      </c>
      <c r="FT291" s="4">
        <f t="shared" si="1124"/>
        <v>0</v>
      </c>
      <c r="FU291" s="4">
        <f t="shared" si="1125"/>
        <v>547.38961157441611</v>
      </c>
    </row>
    <row r="292" spans="2:177" ht="12" customHeight="1" x14ac:dyDescent="0.3">
      <c r="B292" s="24"/>
      <c r="C292" s="7" t="s">
        <v>428</v>
      </c>
      <c r="D292" s="38">
        <f t="shared" ref="D292:D302" si="1214">115.9/0.145</f>
        <v>799.31034482758628</v>
      </c>
      <c r="E292" s="38">
        <f>14.25*25.4</f>
        <v>361.95</v>
      </c>
      <c r="F292" s="38">
        <f t="shared" ref="F292:F294" si="1215">5500/145</f>
        <v>37.931034482758619</v>
      </c>
      <c r="G292" s="38">
        <f t="shared" si="1016"/>
        <v>25.4</v>
      </c>
      <c r="H292" s="38">
        <f>16.3*25.4</f>
        <v>414.02</v>
      </c>
      <c r="I292" s="38">
        <f>2.35*25.4</f>
        <v>59.69</v>
      </c>
      <c r="J292" s="39">
        <f>3.15*25.4</f>
        <v>80.009999999999991</v>
      </c>
      <c r="K292" s="7">
        <f t="shared" si="986"/>
        <v>243.83999999999997</v>
      </c>
      <c r="L292" s="38">
        <v>2</v>
      </c>
      <c r="M292" s="4">
        <f t="shared" si="1028"/>
        <v>260.34999999999997</v>
      </c>
      <c r="N292" s="7">
        <f t="shared" si="905"/>
        <v>2.85</v>
      </c>
      <c r="O292" s="7">
        <f t="shared" si="906"/>
        <v>2.85</v>
      </c>
      <c r="P292" s="38">
        <v>6.5</v>
      </c>
      <c r="Q292" s="4">
        <f t="shared" si="1017"/>
        <v>6.5</v>
      </c>
      <c r="R292" s="4">
        <f t="shared" si="907"/>
        <v>7.5</v>
      </c>
      <c r="S292" s="7">
        <f t="shared" si="908"/>
        <v>69.56076480315609</v>
      </c>
      <c r="V292" s="38">
        <f t="shared" si="1054"/>
        <v>765.51724137931035</v>
      </c>
      <c r="W292" s="4">
        <v>111</v>
      </c>
      <c r="X292" s="4">
        <f t="shared" si="910"/>
        <v>1.0428358329621183</v>
      </c>
      <c r="Y292" s="38"/>
      <c r="Z292" s="38"/>
      <c r="AA292" s="39">
        <v>1</v>
      </c>
      <c r="AB292" s="39"/>
      <c r="AC292" s="39"/>
      <c r="AD292" s="7"/>
      <c r="AE292" s="4">
        <f t="shared" si="912"/>
        <v>361.95</v>
      </c>
      <c r="AF292" s="4">
        <f t="shared" si="913"/>
        <v>0.38128654970760234</v>
      </c>
      <c r="AG292" s="4">
        <f t="shared" si="914"/>
        <v>418.48789934570812</v>
      </c>
      <c r="AH292" s="4">
        <f t="shared" si="915"/>
        <v>0.74</v>
      </c>
      <c r="AI292" s="4">
        <v>1.25</v>
      </c>
      <c r="AJ292" s="4">
        <f t="shared" si="1154"/>
        <v>2.5</v>
      </c>
      <c r="AK292" s="38">
        <f t="shared" si="988"/>
        <v>368.99130423303592</v>
      </c>
      <c r="AL292" s="38">
        <f t="shared" si="953"/>
        <v>368.99130423303592</v>
      </c>
      <c r="AM292" s="38">
        <f t="shared" si="916"/>
        <v>3.3867596705239982</v>
      </c>
      <c r="AN292" s="38">
        <f t="shared" si="1161"/>
        <v>368.99130423303569</v>
      </c>
      <c r="AO292" s="38">
        <f t="shared" si="1115"/>
        <v>1.0000000000000007</v>
      </c>
      <c r="AP292" s="38">
        <f t="shared" si="1162"/>
        <v>1.4938606572071575</v>
      </c>
      <c r="AQ292" s="4">
        <f t="shared" si="1163"/>
        <v>0</v>
      </c>
      <c r="AR292" s="4" t="e">
        <f>#REF!/G292*F292^0.5/0.19</f>
        <v>#REF!</v>
      </c>
      <c r="AS292" s="4">
        <f t="shared" si="917"/>
        <v>1</v>
      </c>
      <c r="AT292" s="38">
        <f t="shared" si="918"/>
        <v>551.22159224528889</v>
      </c>
      <c r="AU292" s="4">
        <f t="shared" si="919"/>
        <v>0.3</v>
      </c>
      <c r="AV292" s="4" t="e">
        <f>AU292*D292*#REF!/(D292*G292/2.75/F292^0.5)</f>
        <v>#REF!</v>
      </c>
      <c r="AW292" s="4" t="e">
        <f t="shared" si="1068"/>
        <v>#REF!</v>
      </c>
      <c r="AY292" s="4">
        <f t="shared" si="920"/>
        <v>1.3374999999999999</v>
      </c>
      <c r="AZ292" s="4" t="e">
        <f>(3*#REF!+30)*AY292*F292^0.5</f>
        <v>#REF!</v>
      </c>
      <c r="BB292" s="4">
        <f t="shared" si="921"/>
        <v>528.68891697138122</v>
      </c>
      <c r="BC292" s="4">
        <f t="shared" si="1103"/>
        <v>0</v>
      </c>
      <c r="BD292" s="4">
        <f t="shared" si="1069"/>
        <v>0</v>
      </c>
      <c r="BL292" s="4">
        <f t="shared" si="923"/>
        <v>59.69</v>
      </c>
      <c r="BP292" s="9"/>
      <c r="BR292" s="9"/>
      <c r="BS292" s="9"/>
      <c r="BT292" s="9">
        <f t="shared" si="924"/>
        <v>59.69</v>
      </c>
      <c r="BU292" s="9">
        <f t="shared" si="925"/>
        <v>121.91999999999999</v>
      </c>
      <c r="BV292" s="9">
        <f t="shared" si="926"/>
        <v>1.7063178633321976</v>
      </c>
      <c r="BW292" s="40">
        <f t="shared" si="1018"/>
        <v>0</v>
      </c>
      <c r="BX292" s="9">
        <f t="shared" si="927"/>
        <v>0</v>
      </c>
      <c r="BY292" s="9">
        <f t="shared" si="1070"/>
        <v>0</v>
      </c>
      <c r="BZ292" s="9">
        <f t="shared" si="928"/>
        <v>0.99524931562137331</v>
      </c>
      <c r="CA292" s="9">
        <f t="shared" si="929"/>
        <v>0.68048275862068963</v>
      </c>
      <c r="CB292" s="9">
        <f t="shared" si="930"/>
        <v>1.4598707313117956</v>
      </c>
      <c r="CC292" s="9">
        <f t="shared" si="931"/>
        <v>2.4910035069931555</v>
      </c>
      <c r="CD292" s="40">
        <v>1</v>
      </c>
      <c r="CE292" s="9" t="e">
        <f>4*CC292*#REF!+60*CC292</f>
        <v>#REF!</v>
      </c>
      <c r="CG292" s="4" t="e">
        <f t="shared" si="1071"/>
        <v>#REF!</v>
      </c>
      <c r="CH292" s="4" t="e">
        <f t="shared" si="1072"/>
        <v>#REF!</v>
      </c>
      <c r="CI292" s="4" t="e">
        <f t="shared" si="1073"/>
        <v>#REF!</v>
      </c>
      <c r="CJ292" s="4" t="e">
        <f t="shared" si="1074"/>
        <v>#REF!</v>
      </c>
      <c r="CK292" s="4">
        <f t="shared" si="1075"/>
        <v>1.0428358329621183</v>
      </c>
      <c r="CL292" s="4">
        <f t="shared" si="1076"/>
        <v>1.1039912468916053</v>
      </c>
      <c r="CM292" s="4">
        <f t="shared" si="978"/>
        <v>1.3567777131762069</v>
      </c>
      <c r="CN292" s="4">
        <f t="shared" si="1019"/>
        <v>0</v>
      </c>
      <c r="CO292" s="4" t="e">
        <f t="shared" si="1208"/>
        <v>#REF!</v>
      </c>
      <c r="CP292" s="4" t="e">
        <f t="shared" si="1209"/>
        <v>#REF!</v>
      </c>
      <c r="CQ292" s="4" t="e">
        <f t="shared" si="1210"/>
        <v>#REF!</v>
      </c>
      <c r="CR292" s="4">
        <f t="shared" si="1211"/>
        <v>1.3567777131762069</v>
      </c>
      <c r="CS292" s="4">
        <f t="shared" si="1212"/>
        <v>1.0428358329621183</v>
      </c>
      <c r="CT292" s="4">
        <f t="shared" si="1213"/>
        <v>1.1039912468916053</v>
      </c>
      <c r="DC292" s="4" t="e">
        <f>#REF!</f>
        <v>#REF!</v>
      </c>
      <c r="DF292" s="4">
        <f t="shared" si="932"/>
        <v>2.6879989637933361E-5</v>
      </c>
      <c r="DG292" s="4">
        <f t="shared" si="1083"/>
        <v>7.6466583663516436</v>
      </c>
      <c r="DH292" s="4">
        <f t="shared" si="934"/>
        <v>0.40507861147547347</v>
      </c>
      <c r="DI292" s="4">
        <f t="shared" si="1084"/>
        <v>5.3270578424525894</v>
      </c>
      <c r="DJ292" s="4">
        <f t="shared" si="1085"/>
        <v>6.5900437533847063</v>
      </c>
      <c r="DK292" s="4">
        <f t="shared" si="937"/>
        <v>6.8205102906273032</v>
      </c>
      <c r="DL292" s="38">
        <f t="shared" si="938"/>
        <v>734.07262886709634</v>
      </c>
      <c r="DM292" s="4" t="e">
        <f t="shared" si="1086"/>
        <v>#REF!</v>
      </c>
      <c r="DN292" s="4">
        <f t="shared" si="940"/>
        <v>2.7386127875258306</v>
      </c>
      <c r="DO292" s="4">
        <f t="shared" si="976"/>
        <v>368.99130423303569</v>
      </c>
      <c r="DS292" s="4">
        <f t="shared" si="941"/>
        <v>0.85</v>
      </c>
      <c r="DT292" s="4">
        <f t="shared" si="942"/>
        <v>0.86499999999999999</v>
      </c>
      <c r="DU292" s="4">
        <f t="shared" si="943"/>
        <v>1</v>
      </c>
      <c r="DV292" s="4">
        <f t="shared" si="1087"/>
        <v>0.86499999999999999</v>
      </c>
      <c r="DX292" s="4">
        <f t="shared" si="945"/>
        <v>693.40879607034799</v>
      </c>
      <c r="DY292" s="25">
        <f t="shared" si="1146"/>
        <v>366.51415090881522</v>
      </c>
      <c r="EA292" s="4">
        <f t="shared" si="1147"/>
        <v>0.73524999999999996</v>
      </c>
      <c r="EB292" s="4">
        <f t="shared" si="946"/>
        <v>7.6466583663516436</v>
      </c>
      <c r="EE292" s="4">
        <f t="shared" si="947"/>
        <v>69.56076480315609</v>
      </c>
      <c r="EF292" s="4">
        <f t="shared" si="1088"/>
        <v>2.7386127875258306</v>
      </c>
      <c r="EG292" s="4">
        <f t="shared" si="949"/>
        <v>0.13641807649840498</v>
      </c>
      <c r="EJ292" s="4">
        <f t="shared" si="1089"/>
        <v>0.13641807649840498</v>
      </c>
      <c r="EK292" s="4">
        <f t="shared" si="950"/>
        <v>0.40440261076931122</v>
      </c>
      <c r="EL292" s="4">
        <f t="shared" si="1090"/>
        <v>5.3235001139185165</v>
      </c>
      <c r="EM292" s="4">
        <f t="shared" si="1091"/>
        <v>6.5886082506511858</v>
      </c>
      <c r="EN292" s="4" t="e">
        <f t="shared" si="1092"/>
        <v>#REF!</v>
      </c>
      <c r="EO292" s="4" t="e">
        <f t="shared" si="1093"/>
        <v>#REF!</v>
      </c>
      <c r="EP292" s="4" t="e">
        <f t="shared" si="951"/>
        <v>#REF!</v>
      </c>
      <c r="EQ292" s="4" t="e">
        <f t="shared" si="1094"/>
        <v>#REF!</v>
      </c>
      <c r="ER292" s="4" t="e">
        <f t="shared" si="952"/>
        <v>#REF!</v>
      </c>
      <c r="FA292" s="23" t="e">
        <f t="shared" si="1042"/>
        <v>#REF!</v>
      </c>
      <c r="FB292" s="23" t="e">
        <f t="shared" si="1043"/>
        <v>#REF!</v>
      </c>
      <c r="FC292" s="23">
        <f t="shared" si="981"/>
        <v>1.4</v>
      </c>
      <c r="FD292" s="23" t="e">
        <f t="shared" si="1044"/>
        <v>#REF!</v>
      </c>
      <c r="FE292" s="23">
        <f t="shared" si="1045"/>
        <v>1.2</v>
      </c>
      <c r="FF292" s="23">
        <f t="shared" si="1046"/>
        <v>1.2</v>
      </c>
      <c r="FG292" s="23">
        <f t="shared" si="968"/>
        <v>0</v>
      </c>
      <c r="FH292" s="23"/>
      <c r="FR292" s="4">
        <f t="shared" si="1122"/>
        <v>1.25</v>
      </c>
      <c r="FS292" s="4">
        <f t="shared" si="1123"/>
        <v>0.5</v>
      </c>
      <c r="FT292" s="4">
        <f t="shared" si="1124"/>
        <v>0</v>
      </c>
      <c r="FU292" s="4">
        <f t="shared" si="1125"/>
        <v>564.21714032082673</v>
      </c>
    </row>
    <row r="293" spans="2:177" ht="12" customHeight="1" x14ac:dyDescent="0.3">
      <c r="B293" s="24"/>
      <c r="C293" s="48" t="s">
        <v>429</v>
      </c>
      <c r="D293" s="38">
        <f t="shared" si="1214"/>
        <v>799.31034482758628</v>
      </c>
      <c r="E293" s="38">
        <f>11.25*25.4</f>
        <v>285.75</v>
      </c>
      <c r="F293" s="38">
        <f t="shared" si="1215"/>
        <v>37.931034482758619</v>
      </c>
      <c r="G293" s="38">
        <f t="shared" si="1016"/>
        <v>25.4</v>
      </c>
      <c r="H293" s="38">
        <f>16.9*25.4</f>
        <v>429.25999999999993</v>
      </c>
      <c r="I293" s="38">
        <f t="shared" si="1201"/>
        <v>63.5</v>
      </c>
      <c r="J293" s="39">
        <f>3.25*25.4</f>
        <v>82.55</v>
      </c>
      <c r="K293" s="7">
        <f t="shared" si="986"/>
        <v>251.45999999999992</v>
      </c>
      <c r="L293" s="38">
        <v>2</v>
      </c>
      <c r="M293" s="4">
        <f t="shared" si="1028"/>
        <v>260.34999999999997</v>
      </c>
      <c r="N293" s="7">
        <f t="shared" si="905"/>
        <v>3</v>
      </c>
      <c r="O293" s="7">
        <f t="shared" si="906"/>
        <v>3</v>
      </c>
      <c r="P293" s="38">
        <v>4.5</v>
      </c>
      <c r="Q293" s="4">
        <f t="shared" si="1017"/>
        <v>4.5</v>
      </c>
      <c r="R293" s="4">
        <f t="shared" si="907"/>
        <v>5.5</v>
      </c>
      <c r="S293" s="7">
        <f t="shared" si="908"/>
        <v>59.568280149757555</v>
      </c>
      <c r="V293" s="38">
        <f t="shared" si="1054"/>
        <v>588.27586206896558</v>
      </c>
      <c r="W293" s="4">
        <v>85.3</v>
      </c>
      <c r="X293" s="4">
        <f t="shared" si="910"/>
        <v>0.90762534595970545</v>
      </c>
      <c r="Y293" s="38"/>
      <c r="Z293" s="38"/>
      <c r="AA293" s="39">
        <v>1</v>
      </c>
      <c r="AB293" s="39"/>
      <c r="AC293" s="39"/>
      <c r="AD293" s="7"/>
      <c r="AE293" s="4">
        <f t="shared" si="912"/>
        <v>285.75</v>
      </c>
      <c r="AF293" s="4">
        <f t="shared" si="913"/>
        <v>0.50074074074074071</v>
      </c>
      <c r="AG293" s="4">
        <f t="shared" si="914"/>
        <v>293.55493918404102</v>
      </c>
      <c r="AH293" s="4">
        <f t="shared" si="915"/>
        <v>0.7533333333333333</v>
      </c>
      <c r="AI293" s="4">
        <v>1.25</v>
      </c>
      <c r="AJ293" s="4">
        <f t="shared" si="1154"/>
        <v>2.5</v>
      </c>
      <c r="AK293" s="38">
        <f t="shared" si="988"/>
        <v>346.05053540726112</v>
      </c>
      <c r="AL293" s="38">
        <f t="shared" si="953"/>
        <v>346.05053540726112</v>
      </c>
      <c r="AM293" s="38">
        <f t="shared" si="916"/>
        <v>3.3867596705239982</v>
      </c>
      <c r="AN293" s="38">
        <f t="shared" si="1161"/>
        <v>346.05053540726101</v>
      </c>
      <c r="AO293" s="38">
        <f t="shared" si="1115"/>
        <v>1.0000000000000002</v>
      </c>
      <c r="AP293" s="38">
        <f t="shared" si="1162"/>
        <v>1.3951235475912487</v>
      </c>
      <c r="AQ293" s="4">
        <f t="shared" si="1163"/>
        <v>0</v>
      </c>
      <c r="AR293" s="4" t="e">
        <f>#REF!/G293*F293^0.5/0.19</f>
        <v>#REF!</v>
      </c>
      <c r="AS293" s="4">
        <f t="shared" si="917"/>
        <v>1</v>
      </c>
      <c r="AT293" s="38">
        <f t="shared" si="918"/>
        <v>482.78325060322902</v>
      </c>
      <c r="AU293" s="4">
        <f t="shared" si="919"/>
        <v>0.37</v>
      </c>
      <c r="AV293" s="4" t="e">
        <f>AU293*D293*#REF!/(D293*G293/2.75/F293^0.5)</f>
        <v>#REF!</v>
      </c>
      <c r="AW293" s="4" t="e">
        <f t="shared" si="1068"/>
        <v>#REF!</v>
      </c>
      <c r="AY293" s="4">
        <f t="shared" si="920"/>
        <v>1.375</v>
      </c>
      <c r="AZ293" s="4" t="e">
        <f>(3*#REF!+30)*AY293*F293^0.5</f>
        <v>#REF!</v>
      </c>
      <c r="BB293" s="4">
        <f t="shared" si="921"/>
        <v>463.04817787283525</v>
      </c>
      <c r="BC293" s="4">
        <f t="shared" si="1103"/>
        <v>0</v>
      </c>
      <c r="BD293" s="4">
        <f t="shared" si="1069"/>
        <v>0</v>
      </c>
      <c r="BL293" s="4">
        <f t="shared" si="923"/>
        <v>63.5</v>
      </c>
      <c r="BP293" s="9"/>
      <c r="BR293" s="9"/>
      <c r="BS293" s="9"/>
      <c r="BT293" s="9">
        <f t="shared" si="924"/>
        <v>63.5</v>
      </c>
      <c r="BU293" s="9">
        <f t="shared" si="925"/>
        <v>125.72999999999996</v>
      </c>
      <c r="BV293" s="9">
        <f t="shared" si="926"/>
        <v>1.7517405482385959</v>
      </c>
      <c r="BW293" s="40">
        <f t="shared" si="1018"/>
        <v>0</v>
      </c>
      <c r="BX293" s="9">
        <f t="shared" si="927"/>
        <v>0</v>
      </c>
      <c r="BY293" s="9">
        <f t="shared" si="1070"/>
        <v>0</v>
      </c>
      <c r="BZ293" s="9">
        <f t="shared" si="928"/>
        <v>0.99524931562137331</v>
      </c>
      <c r="CA293" s="9">
        <f t="shared" si="929"/>
        <v>0.68048275862068963</v>
      </c>
      <c r="CB293" s="9">
        <f t="shared" si="930"/>
        <v>1.4598707313117956</v>
      </c>
      <c r="CC293" s="9">
        <f t="shared" si="931"/>
        <v>2.5573147552256046</v>
      </c>
      <c r="CD293" s="40">
        <v>1</v>
      </c>
      <c r="CE293" s="9" t="e">
        <f>4*CC293*#REF!+60*CC293</f>
        <v>#REF!</v>
      </c>
      <c r="CG293" s="4" t="e">
        <f t="shared" si="1071"/>
        <v>#REF!</v>
      </c>
      <c r="CH293" s="4" t="e">
        <f t="shared" si="1072"/>
        <v>#REF!</v>
      </c>
      <c r="CI293" s="4" t="e">
        <f t="shared" si="1073"/>
        <v>#REF!</v>
      </c>
      <c r="CJ293" s="4" t="e">
        <f t="shared" si="1074"/>
        <v>#REF!</v>
      </c>
      <c r="CK293" s="4">
        <f t="shared" si="1075"/>
        <v>0.90762534595970545</v>
      </c>
      <c r="CL293" s="4">
        <f t="shared" si="1076"/>
        <v>0.97146948096887209</v>
      </c>
      <c r="CM293" s="4">
        <f t="shared" si="978"/>
        <v>1.0565427698472931</v>
      </c>
      <c r="CN293" s="4">
        <f t="shared" si="1019"/>
        <v>0</v>
      </c>
      <c r="CO293" s="4" t="e">
        <f t="shared" si="1208"/>
        <v>#REF!</v>
      </c>
      <c r="CP293" s="4" t="e">
        <f t="shared" si="1209"/>
        <v>#REF!</v>
      </c>
      <c r="CQ293" s="4" t="e">
        <f t="shared" si="1210"/>
        <v>#REF!</v>
      </c>
      <c r="CR293" s="4">
        <f t="shared" si="1211"/>
        <v>1.0565427698472931</v>
      </c>
      <c r="CS293" s="4">
        <f t="shared" si="1212"/>
        <v>0.90762534595970545</v>
      </c>
      <c r="CT293" s="4">
        <f t="shared" si="1213"/>
        <v>0.97146948096887209</v>
      </c>
      <c r="DC293" s="4" t="e">
        <f>#REF!</f>
        <v>#REF!</v>
      </c>
      <c r="DF293" s="4">
        <f t="shared" si="932"/>
        <v>2.1221044451000022E-5</v>
      </c>
      <c r="DG293" s="4">
        <f t="shared" si="1083"/>
        <v>7.7815993963460848</v>
      </c>
      <c r="DH293" s="4">
        <f t="shared" si="934"/>
        <v>0.4699095404899471</v>
      </c>
      <c r="DI293" s="4">
        <f t="shared" si="1084"/>
        <v>5.7527377219882574</v>
      </c>
      <c r="DJ293" s="4">
        <f t="shared" si="1085"/>
        <v>6.8429466892191968</v>
      </c>
      <c r="DK293" s="4">
        <f t="shared" si="937"/>
        <v>7.2333707816262507</v>
      </c>
      <c r="DL293" s="38">
        <f t="shared" si="938"/>
        <v>648.14834081890262</v>
      </c>
      <c r="DM293" s="4" t="e">
        <f t="shared" si="1086"/>
        <v>#REF!</v>
      </c>
      <c r="DN293" s="4">
        <f t="shared" si="940"/>
        <v>2.3452078799117149</v>
      </c>
      <c r="DO293" s="4">
        <f t="shared" si="976"/>
        <v>346.05053540726101</v>
      </c>
      <c r="DS293" s="4">
        <f t="shared" si="941"/>
        <v>0.85</v>
      </c>
      <c r="DT293" s="4">
        <f t="shared" si="942"/>
        <v>0.85</v>
      </c>
      <c r="DU293" s="4">
        <f t="shared" si="943"/>
        <v>1</v>
      </c>
      <c r="DV293" s="4">
        <f t="shared" si="1087"/>
        <v>0.85</v>
      </c>
      <c r="DX293" s="4">
        <f t="shared" si="945"/>
        <v>605.55259181406564</v>
      </c>
      <c r="DY293" s="25">
        <f t="shared" si="1146"/>
        <v>342.92361218738517</v>
      </c>
      <c r="EA293" s="4">
        <f t="shared" si="1147"/>
        <v>0.72249999999999992</v>
      </c>
      <c r="EB293" s="4">
        <f t="shared" si="946"/>
        <v>7.7815993963460848</v>
      </c>
      <c r="EE293" s="4">
        <f t="shared" si="947"/>
        <v>59.568280149757555</v>
      </c>
      <c r="EF293" s="4">
        <f t="shared" si="1088"/>
        <v>2.3452078799117149</v>
      </c>
      <c r="EG293" s="4">
        <f t="shared" si="949"/>
        <v>0.15825114885328698</v>
      </c>
      <c r="EJ293" s="4">
        <f t="shared" si="1089"/>
        <v>0.15825114885328698</v>
      </c>
      <c r="EK293" s="4">
        <f t="shared" si="950"/>
        <v>0.46912534904610242</v>
      </c>
      <c r="EL293" s="4">
        <f t="shared" si="1090"/>
        <v>5.7488956989151347</v>
      </c>
      <c r="EM293" s="4">
        <f t="shared" si="1091"/>
        <v>6.8413334294190342</v>
      </c>
      <c r="EN293" s="4" t="e">
        <f t="shared" si="1092"/>
        <v>#REF!</v>
      </c>
      <c r="EO293" s="4" t="e">
        <f t="shared" si="1093"/>
        <v>#REF!</v>
      </c>
      <c r="EP293" s="4" t="e">
        <f t="shared" si="951"/>
        <v>#REF!</v>
      </c>
      <c r="EQ293" s="4" t="e">
        <f t="shared" si="1094"/>
        <v>#REF!</v>
      </c>
      <c r="ER293" s="4" t="e">
        <f t="shared" si="952"/>
        <v>#REF!</v>
      </c>
      <c r="EU293" s="4">
        <f>5.25*25.4</f>
        <v>133.35</v>
      </c>
      <c r="FA293" s="23" t="e">
        <f t="shared" si="1042"/>
        <v>#REF!</v>
      </c>
      <c r="FB293" s="23" t="e">
        <f t="shared" si="1043"/>
        <v>#REF!</v>
      </c>
      <c r="FC293" s="23">
        <f t="shared" si="981"/>
        <v>1.2</v>
      </c>
      <c r="FD293" s="23" t="e">
        <f t="shared" si="1044"/>
        <v>#REF!</v>
      </c>
      <c r="FE293" s="23">
        <f t="shared" si="1045"/>
        <v>1</v>
      </c>
      <c r="FF293" s="23">
        <f t="shared" si="1046"/>
        <v>1</v>
      </c>
      <c r="FG293" s="23">
        <f t="shared" si="968"/>
        <v>0</v>
      </c>
      <c r="FH293" s="23"/>
      <c r="FR293" s="4">
        <f t="shared" si="1122"/>
        <v>1</v>
      </c>
      <c r="FS293" s="4">
        <f t="shared" si="1123"/>
        <v>0.5</v>
      </c>
      <c r="FT293" s="4">
        <f t="shared" si="1124"/>
        <v>0</v>
      </c>
      <c r="FU293" s="4">
        <f t="shared" si="1125"/>
        <v>556.79323057976319</v>
      </c>
    </row>
    <row r="294" spans="2:177" ht="12" customHeight="1" x14ac:dyDescent="0.3">
      <c r="B294" s="24"/>
      <c r="C294" s="48" t="s">
        <v>430</v>
      </c>
      <c r="D294" s="38">
        <f t="shared" si="1214"/>
        <v>799.31034482758628</v>
      </c>
      <c r="E294" s="38">
        <f>14.13*25.4</f>
        <v>358.90199999999999</v>
      </c>
      <c r="F294" s="38">
        <f t="shared" si="1215"/>
        <v>37.931034482758619</v>
      </c>
      <c r="G294" s="38">
        <f t="shared" si="1016"/>
        <v>25.4</v>
      </c>
      <c r="H294" s="38">
        <f>17*25.4</f>
        <v>431.79999999999995</v>
      </c>
      <c r="I294" s="38">
        <f t="shared" si="1201"/>
        <v>63.5</v>
      </c>
      <c r="J294" s="39">
        <f>3.35*25.4</f>
        <v>85.09</v>
      </c>
      <c r="K294" s="7">
        <f t="shared" si="986"/>
        <v>253.99999999999994</v>
      </c>
      <c r="L294" s="38">
        <v>2</v>
      </c>
      <c r="M294" s="4">
        <f t="shared" si="1028"/>
        <v>260.34999999999997</v>
      </c>
      <c r="N294" s="7">
        <f t="shared" si="905"/>
        <v>3</v>
      </c>
      <c r="O294" s="7">
        <f t="shared" si="906"/>
        <v>3</v>
      </c>
      <c r="P294" s="38">
        <v>4.5</v>
      </c>
      <c r="Q294" s="4">
        <f t="shared" si="1017"/>
        <v>4.5</v>
      </c>
      <c r="R294" s="4">
        <f t="shared" si="907"/>
        <v>5.5</v>
      </c>
      <c r="S294" s="7">
        <f t="shared" si="908"/>
        <v>59.568280149757555</v>
      </c>
      <c r="V294" s="38">
        <f t="shared" si="1054"/>
        <v>742.06896551724139</v>
      </c>
      <c r="W294" s="4">
        <v>107.6</v>
      </c>
      <c r="X294" s="4">
        <f t="shared" si="910"/>
        <v>0.96668345094347008</v>
      </c>
      <c r="Y294" s="38"/>
      <c r="Z294" s="38"/>
      <c r="AA294" s="39">
        <v>1</v>
      </c>
      <c r="AB294" s="39"/>
      <c r="AC294" s="39"/>
      <c r="AD294" s="7"/>
      <c r="AE294" s="4">
        <f t="shared" si="912"/>
        <v>358.90199999999999</v>
      </c>
      <c r="AF294" s="4">
        <f t="shared" si="913"/>
        <v>0.40103798065581497</v>
      </c>
      <c r="AG294" s="4">
        <f t="shared" si="914"/>
        <v>413.21288083953738</v>
      </c>
      <c r="AH294" s="4">
        <f t="shared" si="915"/>
        <v>0.74246284501061566</v>
      </c>
      <c r="AI294" s="4">
        <v>1.25</v>
      </c>
      <c r="AJ294" s="4">
        <f t="shared" si="1154"/>
        <v>2.5</v>
      </c>
      <c r="AK294" s="38">
        <f t="shared" si="988"/>
        <v>384.48916229901221</v>
      </c>
      <c r="AL294" s="38">
        <f t="shared" si="953"/>
        <v>384.48916229901221</v>
      </c>
      <c r="AM294" s="38">
        <f t="shared" si="916"/>
        <v>3.3867596705239982</v>
      </c>
      <c r="AN294" s="38">
        <f t="shared" si="1161"/>
        <v>384.48916229901232</v>
      </c>
      <c r="AO294" s="38">
        <f t="shared" si="1115"/>
        <v>0.99999999999999967</v>
      </c>
      <c r="AP294" s="38">
        <f t="shared" si="1162"/>
        <v>1.2556485278192955</v>
      </c>
      <c r="AQ294" s="4">
        <f t="shared" si="1163"/>
        <v>0</v>
      </c>
      <c r="AR294" s="4" t="e">
        <f>#REF!/G294*F294^0.5/0.19</f>
        <v>#REF!</v>
      </c>
      <c r="AS294" s="4">
        <f t="shared" si="917"/>
        <v>1</v>
      </c>
      <c r="AT294" s="38">
        <f t="shared" si="918"/>
        <v>482.78325060322902</v>
      </c>
      <c r="AU294" s="4">
        <f t="shared" si="919"/>
        <v>0.37</v>
      </c>
      <c r="AV294" s="4" t="e">
        <f>AU294*D294*#REF!/(D294*G294/2.75/F294^0.5)</f>
        <v>#REF!</v>
      </c>
      <c r="AW294" s="4" t="e">
        <f t="shared" si="1068"/>
        <v>#REF!</v>
      </c>
      <c r="AY294" s="4">
        <f t="shared" si="920"/>
        <v>1.375</v>
      </c>
      <c r="AZ294" s="4" t="e">
        <f>(3*#REF!+30)*AY294*F294^0.5</f>
        <v>#REF!</v>
      </c>
      <c r="BB294" s="4">
        <f t="shared" si="921"/>
        <v>463.04817787283525</v>
      </c>
      <c r="BC294" s="4">
        <f t="shared" si="1103"/>
        <v>0</v>
      </c>
      <c r="BD294" s="4">
        <f t="shared" si="1069"/>
        <v>0</v>
      </c>
      <c r="BL294" s="4">
        <f t="shared" si="923"/>
        <v>63.5</v>
      </c>
      <c r="BP294" s="9"/>
      <c r="BR294" s="9"/>
      <c r="BS294" s="9"/>
      <c r="BT294" s="9">
        <f t="shared" si="924"/>
        <v>63.5</v>
      </c>
      <c r="BU294" s="9">
        <f t="shared" si="925"/>
        <v>126.99999999999997</v>
      </c>
      <c r="BV294" s="9">
        <f t="shared" si="926"/>
        <v>1.7543833769624846</v>
      </c>
      <c r="BW294" s="40">
        <f t="shared" si="1018"/>
        <v>0</v>
      </c>
      <c r="BX294" s="9">
        <f t="shared" si="927"/>
        <v>0</v>
      </c>
      <c r="BY294" s="9">
        <f t="shared" si="1070"/>
        <v>0</v>
      </c>
      <c r="BZ294" s="9">
        <f t="shared" si="928"/>
        <v>0.99524931562137331</v>
      </c>
      <c r="CA294" s="9">
        <f t="shared" si="929"/>
        <v>0.68048275862068963</v>
      </c>
      <c r="CB294" s="9">
        <f t="shared" si="930"/>
        <v>1.4598707313117956</v>
      </c>
      <c r="CC294" s="9">
        <f t="shared" si="931"/>
        <v>2.5611729435274797</v>
      </c>
      <c r="CD294" s="40">
        <v>1</v>
      </c>
      <c r="CE294" s="9" t="e">
        <f>4*CC294*#REF!+60*CC294</f>
        <v>#REF!</v>
      </c>
      <c r="CG294" s="4" t="e">
        <f t="shared" si="1071"/>
        <v>#REF!</v>
      </c>
      <c r="CH294" s="4" t="e">
        <f t="shared" si="1072"/>
        <v>#REF!</v>
      </c>
      <c r="CI294" s="4" t="e">
        <f t="shared" si="1073"/>
        <v>#REF!</v>
      </c>
      <c r="CJ294" s="4" t="e">
        <f t="shared" si="1074"/>
        <v>#REF!</v>
      </c>
      <c r="CK294" s="4">
        <f t="shared" si="1075"/>
        <v>0.96668345094347008</v>
      </c>
      <c r="CL294" s="4">
        <f t="shared" si="1076"/>
        <v>1.0425960964081298</v>
      </c>
      <c r="CM294" s="4">
        <f t="shared" si="978"/>
        <v>1.0611106737887328</v>
      </c>
      <c r="CN294" s="4">
        <f t="shared" si="1019"/>
        <v>0</v>
      </c>
      <c r="CO294" s="4" t="e">
        <f t="shared" si="1208"/>
        <v>#REF!</v>
      </c>
      <c r="CP294" s="4" t="e">
        <f t="shared" si="1209"/>
        <v>#REF!</v>
      </c>
      <c r="CQ294" s="4" t="e">
        <f t="shared" si="1210"/>
        <v>#REF!</v>
      </c>
      <c r="CR294" s="4">
        <f t="shared" si="1211"/>
        <v>1.0611106737887328</v>
      </c>
      <c r="CS294" s="4">
        <f t="shared" si="1212"/>
        <v>0.96668345094347008</v>
      </c>
      <c r="CT294" s="4">
        <f t="shared" si="1213"/>
        <v>1.0425960964081298</v>
      </c>
      <c r="DC294" s="4" t="e">
        <f>#REF!</f>
        <v>#REF!</v>
      </c>
      <c r="DF294" s="4">
        <f t="shared" si="932"/>
        <v>2.6653631830456028E-5</v>
      </c>
      <c r="DG294" s="4">
        <f t="shared" si="1083"/>
        <v>7.7815993963460848</v>
      </c>
      <c r="DH294" s="4">
        <f t="shared" si="934"/>
        <v>0.52210618708235812</v>
      </c>
      <c r="DI294" s="4">
        <f t="shared" si="1084"/>
        <v>6.0002922699225048</v>
      </c>
      <c r="DJ294" s="4">
        <f t="shared" si="1085"/>
        <v>6.948360182979834</v>
      </c>
      <c r="DK294" s="4">
        <f t="shared" si="937"/>
        <v>6.900759858455694</v>
      </c>
      <c r="DL294" s="38">
        <f t="shared" si="938"/>
        <v>767.64422189393235</v>
      </c>
      <c r="DM294" s="4" t="e">
        <f t="shared" si="1086"/>
        <v>#REF!</v>
      </c>
      <c r="DN294" s="4">
        <f t="shared" si="940"/>
        <v>2.3452078799117149</v>
      </c>
      <c r="DO294" s="4">
        <f t="shared" si="976"/>
        <v>384.48916229901232</v>
      </c>
      <c r="DS294" s="4">
        <f t="shared" si="941"/>
        <v>0.85</v>
      </c>
      <c r="DT294" s="4">
        <f t="shared" si="942"/>
        <v>0.85</v>
      </c>
      <c r="DU294" s="4">
        <f t="shared" si="943"/>
        <v>1</v>
      </c>
      <c r="DV294" s="4">
        <f t="shared" si="1087"/>
        <v>0.85</v>
      </c>
      <c r="DX294" s="4">
        <f t="shared" si="945"/>
        <v>711.75114512106757</v>
      </c>
      <c r="DY294" s="25">
        <f t="shared" si="1146"/>
        <v>381.889146709957</v>
      </c>
      <c r="EA294" s="4">
        <f t="shared" si="1147"/>
        <v>0.72249999999999992</v>
      </c>
      <c r="EB294" s="4">
        <f t="shared" si="946"/>
        <v>7.7815993963460848</v>
      </c>
      <c r="EE294" s="4">
        <f t="shared" si="947"/>
        <v>59.568280149757555</v>
      </c>
      <c r="EF294" s="4">
        <f t="shared" si="1088"/>
        <v>2.3452078799117149</v>
      </c>
      <c r="EG294" s="4">
        <f t="shared" si="949"/>
        <v>0.1758293816359745</v>
      </c>
      <c r="EJ294" s="4">
        <f t="shared" si="1089"/>
        <v>0.1758293816359745</v>
      </c>
      <c r="EK294" s="4">
        <f t="shared" si="950"/>
        <v>0.52123488916348304</v>
      </c>
      <c r="EL294" s="4">
        <f t="shared" si="1090"/>
        <v>5.9962849150837112</v>
      </c>
      <c r="EM294" s="4">
        <f t="shared" si="1091"/>
        <v>6.9466311616095533</v>
      </c>
      <c r="EN294" s="4" t="e">
        <f t="shared" si="1092"/>
        <v>#REF!</v>
      </c>
      <c r="EO294" s="4" t="e">
        <f t="shared" si="1093"/>
        <v>#REF!</v>
      </c>
      <c r="EP294" s="4" t="e">
        <f t="shared" si="951"/>
        <v>#REF!</v>
      </c>
      <c r="EQ294" s="4" t="e">
        <f t="shared" si="1094"/>
        <v>#REF!</v>
      </c>
      <c r="ER294" s="4" t="e">
        <f t="shared" si="952"/>
        <v>#REF!</v>
      </c>
      <c r="EU294" s="4">
        <f>5.25*25.4</f>
        <v>133.35</v>
      </c>
      <c r="FA294" s="23" t="e">
        <f t="shared" si="1042"/>
        <v>#REF!</v>
      </c>
      <c r="FB294" s="23" t="e">
        <f t="shared" si="1043"/>
        <v>#REF!</v>
      </c>
      <c r="FC294" s="23">
        <f t="shared" si="981"/>
        <v>1.2</v>
      </c>
      <c r="FD294" s="23" t="e">
        <f t="shared" si="1044"/>
        <v>#REF!</v>
      </c>
      <c r="FE294" s="23">
        <f t="shared" si="1045"/>
        <v>1</v>
      </c>
      <c r="FF294" s="23">
        <f t="shared" si="1046"/>
        <v>1.2</v>
      </c>
      <c r="FG294" s="23">
        <f t="shared" si="968"/>
        <v>0</v>
      </c>
      <c r="FH294" s="23"/>
      <c r="FR294" s="4">
        <f t="shared" si="1122"/>
        <v>1</v>
      </c>
      <c r="FS294" s="4">
        <f t="shared" si="1123"/>
        <v>0.5</v>
      </c>
      <c r="FT294" s="4">
        <f t="shared" si="1124"/>
        <v>0</v>
      </c>
      <c r="FU294" s="4">
        <f t="shared" si="1125"/>
        <v>699.33229760818267</v>
      </c>
    </row>
    <row r="295" spans="2:177" ht="12" customHeight="1" x14ac:dyDescent="0.3">
      <c r="B295" s="24"/>
      <c r="C295" s="7" t="s">
        <v>431</v>
      </c>
      <c r="D295" s="38">
        <f t="shared" si="1214"/>
        <v>799.31034482758628</v>
      </c>
      <c r="E295" s="38">
        <f>9.13*25.4</f>
        <v>231.90200000000002</v>
      </c>
      <c r="F295" s="38">
        <f>5750/145</f>
        <v>39.655172413793103</v>
      </c>
      <c r="G295" s="38">
        <f t="shared" si="1016"/>
        <v>25.4</v>
      </c>
      <c r="H295" s="38">
        <f>17.5*25.4</f>
        <v>444.5</v>
      </c>
      <c r="I295" s="38">
        <f>2.65*25.4</f>
        <v>67.309999999999988</v>
      </c>
      <c r="J295" s="39">
        <f>3.15*25.4</f>
        <v>80.009999999999991</v>
      </c>
      <c r="K295" s="7">
        <f t="shared" si="986"/>
        <v>259.08000000000004</v>
      </c>
      <c r="L295" s="38">
        <v>2</v>
      </c>
      <c r="M295" s="4">
        <f t="shared" si="1028"/>
        <v>260.34999999999997</v>
      </c>
      <c r="N295" s="7">
        <f t="shared" si="905"/>
        <v>3.1499999999999995</v>
      </c>
      <c r="O295" s="7">
        <f t="shared" si="906"/>
        <v>3.1499999999999995</v>
      </c>
      <c r="P295" s="38">
        <v>6.5</v>
      </c>
      <c r="Q295" s="4">
        <f t="shared" si="1017"/>
        <v>6.5</v>
      </c>
      <c r="R295" s="4">
        <f t="shared" si="907"/>
        <v>7.5</v>
      </c>
      <c r="S295" s="7">
        <f t="shared" si="908"/>
        <v>69.56076480315609</v>
      </c>
      <c r="V295" s="38">
        <f t="shared" si="1054"/>
        <v>553.10344827586209</v>
      </c>
      <c r="W295" s="4">
        <v>80.2</v>
      </c>
      <c r="X295" s="4">
        <f t="shared" si="910"/>
        <v>0.92467198904083814</v>
      </c>
      <c r="Y295" s="38">
        <f>0.5*25.4</f>
        <v>12.7</v>
      </c>
      <c r="Z295" s="38">
        <v>4</v>
      </c>
      <c r="AA295" s="39">
        <f>5.5*25.4</f>
        <v>139.69999999999999</v>
      </c>
      <c r="AB295" s="39">
        <v>1</v>
      </c>
      <c r="AC295" s="39">
        <v>1</v>
      </c>
      <c r="AD295" s="7"/>
      <c r="AE295" s="4">
        <f t="shared" si="912"/>
        <v>231.90200000000002</v>
      </c>
      <c r="AF295" s="4">
        <f t="shared" si="913"/>
        <v>0.63891931361810872</v>
      </c>
      <c r="AG295" s="4">
        <f t="shared" si="914"/>
        <v>219.44179758495289</v>
      </c>
      <c r="AH295" s="4">
        <f t="shared" si="915"/>
        <v>0.76900328587075573</v>
      </c>
      <c r="AI295" s="4">
        <v>1.25</v>
      </c>
      <c r="AJ295" s="4">
        <f t="shared" si="1154"/>
        <v>2.5</v>
      </c>
      <c r="AK295" s="38">
        <f t="shared" si="988"/>
        <v>336.933028649113</v>
      </c>
      <c r="AL295" s="38">
        <f t="shared" si="953"/>
        <v>336.933028649113</v>
      </c>
      <c r="AM295" s="38">
        <f t="shared" si="916"/>
        <v>3.4886265610899732</v>
      </c>
      <c r="AN295" s="38">
        <f t="shared" si="1161"/>
        <v>336.93302864911328</v>
      </c>
      <c r="AO295" s="38">
        <f t="shared" si="1115"/>
        <v>0.99999999999999911</v>
      </c>
      <c r="AP295" s="38">
        <f t="shared" si="1162"/>
        <v>1.8903990241179067</v>
      </c>
      <c r="AQ295" s="4">
        <f t="shared" si="1163"/>
        <v>0</v>
      </c>
      <c r="AR295" s="4" t="e">
        <f>#REF!/G295*F295^0.5/0.19</f>
        <v>#REF!</v>
      </c>
      <c r="AS295" s="4">
        <f t="shared" si="917"/>
        <v>1</v>
      </c>
      <c r="AT295" s="38">
        <f t="shared" si="918"/>
        <v>636.93786855137444</v>
      </c>
      <c r="AU295" s="4">
        <f t="shared" si="919"/>
        <v>0.3</v>
      </c>
      <c r="AV295" s="4" t="e">
        <f>AU295*D295*#REF!/(D295*G295/2.75/F295^0.5)</f>
        <v>#REF!</v>
      </c>
      <c r="AW295" s="4" t="e">
        <f t="shared" si="1068"/>
        <v>#REF!</v>
      </c>
      <c r="AY295" s="4">
        <f t="shared" si="920"/>
        <v>1.5</v>
      </c>
      <c r="AZ295" s="4" t="e">
        <f>(3*#REF!+30)*AY295*F295^0.5</f>
        <v>#REF!</v>
      </c>
      <c r="BB295" s="4">
        <f t="shared" si="921"/>
        <v>610.90130836645233</v>
      </c>
      <c r="BC295" s="4">
        <f t="shared" si="1103"/>
        <v>0</v>
      </c>
      <c r="BD295" s="4">
        <f t="shared" si="1069"/>
        <v>0</v>
      </c>
      <c r="BL295" s="4">
        <f t="shared" si="923"/>
        <v>67.309999999999988</v>
      </c>
      <c r="BP295" s="9"/>
      <c r="BR295" s="9"/>
      <c r="BS295" s="9"/>
      <c r="BT295" s="9">
        <f t="shared" si="924"/>
        <v>67.309999999999988</v>
      </c>
      <c r="BU295" s="9">
        <f t="shared" si="925"/>
        <v>129.54000000000002</v>
      </c>
      <c r="BV295" s="9">
        <f t="shared" si="926"/>
        <v>1.7958562989508591</v>
      </c>
      <c r="BW295" s="40">
        <f t="shared" si="1018"/>
        <v>20</v>
      </c>
      <c r="BX295" s="9">
        <f t="shared" si="927"/>
        <v>0.05</v>
      </c>
      <c r="BY295" s="9">
        <f t="shared" si="1070"/>
        <v>0.8</v>
      </c>
      <c r="BZ295" s="9">
        <f t="shared" si="928"/>
        <v>0.99524931562137331</v>
      </c>
      <c r="CA295" s="9">
        <f t="shared" si="929"/>
        <v>0.68048275862068963</v>
      </c>
      <c r="CB295" s="9">
        <f t="shared" si="930"/>
        <v>1.4926809118196944</v>
      </c>
      <c r="CC295" s="9">
        <f t="shared" si="931"/>
        <v>3.7317022795492361</v>
      </c>
      <c r="CD295" s="40">
        <v>1</v>
      </c>
      <c r="CE295" s="9" t="e">
        <f>4*CC295*#REF!+60*CC295</f>
        <v>#REF!</v>
      </c>
      <c r="CG295" s="4" t="e">
        <f t="shared" si="1071"/>
        <v>#REF!</v>
      </c>
      <c r="CH295" s="4" t="e">
        <f t="shared" si="1072"/>
        <v>#REF!</v>
      </c>
      <c r="CI295" s="4" t="e">
        <f t="shared" si="1073"/>
        <v>#REF!</v>
      </c>
      <c r="CJ295" s="4" t="e">
        <f t="shared" si="1074"/>
        <v>#REF!</v>
      </c>
      <c r="CK295" s="4">
        <f t="shared" si="1075"/>
        <v>0.92467198904083814</v>
      </c>
      <c r="CL295" s="4">
        <f t="shared" si="1076"/>
        <v>0.96545639129394512</v>
      </c>
      <c r="CM295" s="4">
        <f t="shared" si="978"/>
        <v>1.085175517695939</v>
      </c>
      <c r="CN295" s="4">
        <f t="shared" si="1019"/>
        <v>4</v>
      </c>
      <c r="CU295" s="4" t="e">
        <f t="shared" ref="CU295:CU302" si="1216">CG295</f>
        <v>#REF!</v>
      </c>
      <c r="CV295" s="4" t="e">
        <f t="shared" ref="CV295:CV302" si="1217">CH295</f>
        <v>#REF!</v>
      </c>
      <c r="CW295" s="4" t="e">
        <f t="shared" ref="CW295:CW302" si="1218">CJ295</f>
        <v>#REF!</v>
      </c>
      <c r="CX295" s="4">
        <f t="shared" ref="CX295:CX302" si="1219">CM295</f>
        <v>1.085175517695939</v>
      </c>
      <c r="CY295" s="4">
        <f t="shared" ref="CY295:CY302" si="1220">CK295</f>
        <v>0.92467198904083814</v>
      </c>
      <c r="CZ295" s="4">
        <f t="shared" ref="CZ295:CZ302" si="1221">CL295</f>
        <v>0.96545639129394512</v>
      </c>
      <c r="DC295" s="4" t="e">
        <f>#REF!</f>
        <v>#REF!</v>
      </c>
      <c r="DF295" s="4">
        <f t="shared" si="932"/>
        <v>1.7421370946555192E-5</v>
      </c>
      <c r="DG295" s="4">
        <f t="shared" si="1083"/>
        <v>8.7561292633881198</v>
      </c>
      <c r="DH295" s="4">
        <f t="shared" si="934"/>
        <v>0.35380308194526749</v>
      </c>
      <c r="DI295" s="4">
        <f t="shared" si="1084"/>
        <v>5.7785225040000663</v>
      </c>
      <c r="DJ295" s="4">
        <f t="shared" si="1085"/>
        <v>7.4188687743172457</v>
      </c>
      <c r="DK295" s="4">
        <f t="shared" si="937"/>
        <v>8.3236620530493592</v>
      </c>
      <c r="DL295" s="38">
        <f t="shared" si="938"/>
        <v>598.16178583455962</v>
      </c>
      <c r="DM295" s="4" t="e">
        <f t="shared" si="1086"/>
        <v>#REF!</v>
      </c>
      <c r="DN295" s="4">
        <f t="shared" si="940"/>
        <v>2.7386127875258306</v>
      </c>
      <c r="DO295" s="4">
        <f t="shared" si="976"/>
        <v>336.93302864911328</v>
      </c>
      <c r="DS295" s="4">
        <f t="shared" si="941"/>
        <v>0.85</v>
      </c>
      <c r="DT295" s="4">
        <f t="shared" si="942"/>
        <v>0.83499999999999996</v>
      </c>
      <c r="DU295" s="4">
        <f t="shared" si="943"/>
        <v>0.92500000000000004</v>
      </c>
      <c r="DV295" s="4">
        <f t="shared" si="1087"/>
        <v>0.77237500000000003</v>
      </c>
      <c r="DX295" s="4">
        <f t="shared" si="945"/>
        <v>572.89324848175659</v>
      </c>
      <c r="DY295" s="25">
        <f t="shared" si="1146"/>
        <v>333.06286795755597</v>
      </c>
      <c r="EA295" s="4">
        <f t="shared" si="1147"/>
        <v>0.65651875000000004</v>
      </c>
      <c r="EB295" s="4">
        <f t="shared" si="946"/>
        <v>8.7561292633881198</v>
      </c>
      <c r="EE295" s="4">
        <f t="shared" si="947"/>
        <v>69.56076480315609</v>
      </c>
      <c r="EF295" s="4">
        <f t="shared" si="1088"/>
        <v>2.7386127875258306</v>
      </c>
      <c r="EG295" s="4">
        <f t="shared" si="949"/>
        <v>0.12182791126514832</v>
      </c>
      <c r="EJ295" s="4">
        <f t="shared" si="1089"/>
        <v>0.12182791126514832</v>
      </c>
      <c r="EK295" s="4">
        <f t="shared" si="950"/>
        <v>0.35321265054143147</v>
      </c>
      <c r="EL295" s="4">
        <f t="shared" si="1090"/>
        <v>5.7746632603039609</v>
      </c>
      <c r="EM295" s="4">
        <f t="shared" si="1091"/>
        <v>7.4173695936807951</v>
      </c>
      <c r="EN295" s="4" t="e">
        <f t="shared" si="1092"/>
        <v>#REF!</v>
      </c>
      <c r="EO295" s="4" t="e">
        <f t="shared" si="1093"/>
        <v>#REF!</v>
      </c>
      <c r="EP295" s="4" t="e">
        <f t="shared" si="951"/>
        <v>#REF!</v>
      </c>
      <c r="EQ295" s="4" t="e">
        <f t="shared" si="1094"/>
        <v>#REF!</v>
      </c>
      <c r="ER295" s="4" t="e">
        <f t="shared" si="952"/>
        <v>#REF!</v>
      </c>
      <c r="FA295" s="23" t="e">
        <f t="shared" si="1042"/>
        <v>#REF!</v>
      </c>
      <c r="FB295" s="23" t="e">
        <f t="shared" si="1043"/>
        <v>#REF!</v>
      </c>
      <c r="FC295" s="23">
        <f t="shared" si="981"/>
        <v>1.2</v>
      </c>
      <c r="FD295" s="23" t="e">
        <f t="shared" si="1044"/>
        <v>#REF!</v>
      </c>
      <c r="FE295" s="23">
        <f t="shared" si="1045"/>
        <v>1</v>
      </c>
      <c r="FF295" s="23">
        <f t="shared" si="1046"/>
        <v>1</v>
      </c>
      <c r="FG295" s="23">
        <f t="shared" si="968"/>
        <v>0</v>
      </c>
      <c r="FH295" s="23"/>
      <c r="FR295" s="4">
        <f t="shared" si="1122"/>
        <v>1</v>
      </c>
      <c r="FS295" s="4">
        <f t="shared" si="1123"/>
        <v>0.4482312338222606</v>
      </c>
      <c r="FT295" s="4">
        <f t="shared" si="1124"/>
        <v>0.25</v>
      </c>
      <c r="FU295" s="4">
        <f t="shared" si="1125"/>
        <v>509.69031207985563</v>
      </c>
    </row>
    <row r="296" spans="2:177" ht="12" customHeight="1" x14ac:dyDescent="0.3">
      <c r="B296" s="24"/>
      <c r="C296" s="7" t="s">
        <v>432</v>
      </c>
      <c r="D296" s="38">
        <f t="shared" si="1214"/>
        <v>799.31034482758628</v>
      </c>
      <c r="E296" s="38">
        <f>12.31*25.4</f>
        <v>312.67399999999998</v>
      </c>
      <c r="F296" s="38">
        <f>5750/145</f>
        <v>39.655172413793103</v>
      </c>
      <c r="G296" s="38">
        <f t="shared" si="1016"/>
        <v>25.4</v>
      </c>
      <c r="H296" s="38">
        <f>16.9*25.4</f>
        <v>429.25999999999993</v>
      </c>
      <c r="I296" s="38">
        <f>2.45*25.4</f>
        <v>62.230000000000004</v>
      </c>
      <c r="J296" s="39">
        <f>3*25.4</f>
        <v>76.199999999999989</v>
      </c>
      <c r="K296" s="7">
        <f t="shared" si="986"/>
        <v>253.99999999999991</v>
      </c>
      <c r="L296" s="38">
        <v>2</v>
      </c>
      <c r="M296" s="4">
        <f t="shared" si="1028"/>
        <v>260.34999999999997</v>
      </c>
      <c r="N296" s="7">
        <f t="shared" si="905"/>
        <v>2.95</v>
      </c>
      <c r="O296" s="7">
        <f t="shared" si="906"/>
        <v>2.95</v>
      </c>
      <c r="P296" s="38">
        <v>6.5</v>
      </c>
      <c r="Q296" s="4">
        <f t="shared" si="1017"/>
        <v>6.5</v>
      </c>
      <c r="R296" s="4">
        <f t="shared" si="907"/>
        <v>7.5</v>
      </c>
      <c r="S296" s="7">
        <f t="shared" si="908"/>
        <v>69.56076480315609</v>
      </c>
      <c r="V296" s="38">
        <f t="shared" si="1054"/>
        <v>750.34482758620697</v>
      </c>
      <c r="W296" s="4">
        <v>108.8</v>
      </c>
      <c r="X296" s="4">
        <f t="shared" si="910"/>
        <v>1.0457977173215069</v>
      </c>
      <c r="Y296" s="38">
        <f t="shared" ref="Y296:Y302" si="1222">0.5*25.4</f>
        <v>12.7</v>
      </c>
      <c r="Z296" s="38">
        <v>4</v>
      </c>
      <c r="AA296" s="39">
        <f t="shared" ref="AA296:AA298" si="1223">5.5*25.4</f>
        <v>139.69999999999999</v>
      </c>
      <c r="AB296" s="39">
        <v>1</v>
      </c>
      <c r="AC296" s="39">
        <v>1</v>
      </c>
      <c r="AD296" s="7"/>
      <c r="AE296" s="4">
        <f t="shared" si="912"/>
        <v>312.67399999999998</v>
      </c>
      <c r="AF296" s="4">
        <f t="shared" si="913"/>
        <v>0.45762252910912532</v>
      </c>
      <c r="AG296" s="4">
        <f t="shared" si="914"/>
        <v>343.55815775866921</v>
      </c>
      <c r="AH296" s="4">
        <f t="shared" si="915"/>
        <v>0.74792851340373678</v>
      </c>
      <c r="AI296" s="4">
        <v>1.25</v>
      </c>
      <c r="AJ296" s="4">
        <f t="shared" si="1154"/>
        <v>2.5</v>
      </c>
      <c r="AK296" s="38">
        <f t="shared" si="988"/>
        <v>367.46651800558806</v>
      </c>
      <c r="AL296" s="38">
        <f t="shared" si="953"/>
        <v>367.46651800558806</v>
      </c>
      <c r="AM296" s="38">
        <f t="shared" si="916"/>
        <v>3.4886265610899732</v>
      </c>
      <c r="AN296" s="38">
        <f t="shared" si="1161"/>
        <v>367.46651800558817</v>
      </c>
      <c r="AO296" s="38">
        <f t="shared" si="1115"/>
        <v>0.99999999999999967</v>
      </c>
      <c r="AP296" s="38">
        <f t="shared" si="1162"/>
        <v>1.6232699844281868</v>
      </c>
      <c r="AQ296" s="4">
        <f t="shared" si="1163"/>
        <v>0</v>
      </c>
      <c r="AR296" s="4" t="e">
        <f>#REF!/G296*F296^0.5/0.19</f>
        <v>#REF!</v>
      </c>
      <c r="AS296" s="4">
        <f t="shared" si="917"/>
        <v>1</v>
      </c>
      <c r="AT296" s="38">
        <f t="shared" si="918"/>
        <v>596.49736896081117</v>
      </c>
      <c r="AU296" s="4">
        <f t="shared" si="919"/>
        <v>0.3</v>
      </c>
      <c r="AV296" s="4" t="e">
        <f>AU296*D296*#REF!/(D296*G296/2.75/F296^0.5)</f>
        <v>#REF!</v>
      </c>
      <c r="AW296" s="4" t="e">
        <f t="shared" si="1068"/>
        <v>#REF!</v>
      </c>
      <c r="AY296" s="4">
        <f t="shared" si="920"/>
        <v>1.5</v>
      </c>
      <c r="AZ296" s="4" t="e">
        <f>(3*#REF!+30)*AY296*F296^0.5</f>
        <v>#REF!</v>
      </c>
      <c r="BB296" s="4">
        <f t="shared" si="921"/>
        <v>572.11392370826502</v>
      </c>
      <c r="BC296" s="4">
        <f t="shared" si="1103"/>
        <v>0</v>
      </c>
      <c r="BD296" s="4">
        <f t="shared" si="1069"/>
        <v>0</v>
      </c>
      <c r="BL296" s="4">
        <f t="shared" si="923"/>
        <v>62.230000000000004</v>
      </c>
      <c r="BP296" s="9"/>
      <c r="BR296" s="9"/>
      <c r="BS296" s="9"/>
      <c r="BT296" s="9">
        <f t="shared" si="924"/>
        <v>62.230000000000004</v>
      </c>
      <c r="BU296" s="9">
        <f t="shared" si="925"/>
        <v>126.99999999999996</v>
      </c>
      <c r="BV296" s="9">
        <f t="shared" si="926"/>
        <v>1.7420219790042637</v>
      </c>
      <c r="BW296" s="40">
        <f t="shared" si="1018"/>
        <v>20</v>
      </c>
      <c r="BX296" s="9">
        <f t="shared" si="927"/>
        <v>0.05</v>
      </c>
      <c r="BY296" s="9">
        <f t="shared" si="1070"/>
        <v>0.8</v>
      </c>
      <c r="BZ296" s="9">
        <f t="shared" si="928"/>
        <v>0.99524931562137331</v>
      </c>
      <c r="CA296" s="9">
        <f t="shared" si="929"/>
        <v>0.68048275862068963</v>
      </c>
      <c r="CB296" s="9">
        <f t="shared" si="930"/>
        <v>1.4926809118196944</v>
      </c>
      <c r="CC296" s="9">
        <f t="shared" si="931"/>
        <v>3.7317022795492361</v>
      </c>
      <c r="CD296" s="40">
        <v>1</v>
      </c>
      <c r="CE296" s="9" t="e">
        <f>4*CC296*#REF!+60*CC296</f>
        <v>#REF!</v>
      </c>
      <c r="CG296" s="4" t="e">
        <f t="shared" si="1071"/>
        <v>#REF!</v>
      </c>
      <c r="CH296" s="4" t="e">
        <f t="shared" si="1072"/>
        <v>#REF!</v>
      </c>
      <c r="CI296" s="4" t="e">
        <f t="shared" si="1073"/>
        <v>#REF!</v>
      </c>
      <c r="CJ296" s="4" t="e">
        <f t="shared" si="1074"/>
        <v>#REF!</v>
      </c>
      <c r="CK296" s="4">
        <f t="shared" si="1075"/>
        <v>1.0457977173215069</v>
      </c>
      <c r="CL296" s="4">
        <f t="shared" si="1076"/>
        <v>1.1029753689711439</v>
      </c>
      <c r="CM296" s="4">
        <f t="shared" si="978"/>
        <v>1.3648258889866054</v>
      </c>
      <c r="CN296" s="4">
        <f t="shared" si="1019"/>
        <v>4</v>
      </c>
      <c r="CU296" s="4" t="e">
        <f t="shared" si="1216"/>
        <v>#REF!</v>
      </c>
      <c r="CV296" s="4" t="e">
        <f t="shared" si="1217"/>
        <v>#REF!</v>
      </c>
      <c r="CW296" s="4" t="e">
        <f t="shared" si="1218"/>
        <v>#REF!</v>
      </c>
      <c r="CX296" s="4">
        <f t="shared" si="1219"/>
        <v>1.3648258889866054</v>
      </c>
      <c r="CY296" s="4">
        <f t="shared" si="1220"/>
        <v>1.0457977173215069</v>
      </c>
      <c r="CZ296" s="4">
        <f t="shared" si="1221"/>
        <v>1.1029753689711439</v>
      </c>
      <c r="DC296" s="4" t="e">
        <f>#REF!</f>
        <v>#REF!</v>
      </c>
      <c r="DF296" s="4">
        <f t="shared" si="932"/>
        <v>2.3489274518301684E-5</v>
      </c>
      <c r="DG296" s="4">
        <f t="shared" si="1083"/>
        <v>8.5513075262328435</v>
      </c>
      <c r="DH296" s="4">
        <f t="shared" si="934"/>
        <v>0.38586536648939879</v>
      </c>
      <c r="DI296" s="4">
        <f t="shared" si="1084"/>
        <v>5.8426092916185413</v>
      </c>
      <c r="DJ296" s="4">
        <f t="shared" si="1085"/>
        <v>7.3237162936001994</v>
      </c>
      <c r="DK296" s="4">
        <f t="shared" si="937"/>
        <v>7.7805830526388018</v>
      </c>
      <c r="DL296" s="38">
        <f t="shared" si="938"/>
        <v>717.48562380494309</v>
      </c>
      <c r="DM296" s="4" t="e">
        <f t="shared" si="1086"/>
        <v>#REF!</v>
      </c>
      <c r="DN296" s="4">
        <f t="shared" si="940"/>
        <v>2.7386127875258306</v>
      </c>
      <c r="DO296" s="4">
        <f t="shared" si="976"/>
        <v>367.46651800558817</v>
      </c>
      <c r="DS296" s="4">
        <f t="shared" si="941"/>
        <v>0.85</v>
      </c>
      <c r="DT296" s="4">
        <f t="shared" si="942"/>
        <v>0.85499999999999998</v>
      </c>
      <c r="DU296" s="4">
        <f t="shared" si="943"/>
        <v>0.92500000000000004</v>
      </c>
      <c r="DV296" s="4">
        <f t="shared" si="1087"/>
        <v>0.79087499999999999</v>
      </c>
      <c r="DX296" s="4">
        <f t="shared" si="945"/>
        <v>680.29155382329986</v>
      </c>
      <c r="DY296" s="25">
        <f t="shared" si="1146"/>
        <v>364.49176687952098</v>
      </c>
      <c r="EA296" s="4">
        <f t="shared" si="1147"/>
        <v>0.67224375000000003</v>
      </c>
      <c r="EB296" s="4">
        <f t="shared" si="946"/>
        <v>8.5513075262328435</v>
      </c>
      <c r="EE296" s="4">
        <f t="shared" si="947"/>
        <v>69.56076480315609</v>
      </c>
      <c r="EF296" s="4">
        <f t="shared" si="1088"/>
        <v>2.7386127875258306</v>
      </c>
      <c r="EG296" s="4">
        <f t="shared" si="949"/>
        <v>0.13286818014840418</v>
      </c>
      <c r="EJ296" s="4">
        <f t="shared" si="1089"/>
        <v>0.13286818014840418</v>
      </c>
      <c r="EK296" s="4">
        <f t="shared" si="950"/>
        <v>0.38522142910825607</v>
      </c>
      <c r="EL296" s="4">
        <f t="shared" si="1090"/>
        <v>5.8387072469242662</v>
      </c>
      <c r="EM296" s="4">
        <f t="shared" si="1091"/>
        <v>7.3221628948064694</v>
      </c>
      <c r="EN296" s="4" t="e">
        <f t="shared" si="1092"/>
        <v>#REF!</v>
      </c>
      <c r="EO296" s="4" t="e">
        <f t="shared" si="1093"/>
        <v>#REF!</v>
      </c>
      <c r="EP296" s="4" t="e">
        <f t="shared" si="951"/>
        <v>#REF!</v>
      </c>
      <c r="EQ296" s="4" t="e">
        <f t="shared" si="1094"/>
        <v>#REF!</v>
      </c>
      <c r="ER296" s="4" t="e">
        <f t="shared" si="952"/>
        <v>#REF!</v>
      </c>
      <c r="FA296" s="23" t="e">
        <f t="shared" si="1042"/>
        <v>#REF!</v>
      </c>
      <c r="FB296" s="23" t="e">
        <f t="shared" si="1043"/>
        <v>#REF!</v>
      </c>
      <c r="FC296" s="23">
        <f t="shared" si="981"/>
        <v>1.4</v>
      </c>
      <c r="FD296" s="23" t="e">
        <f t="shared" si="1044"/>
        <v>#REF!</v>
      </c>
      <c r="FE296" s="23">
        <f t="shared" si="1045"/>
        <v>1.2</v>
      </c>
      <c r="FF296" s="23">
        <f t="shared" si="1046"/>
        <v>1.2</v>
      </c>
      <c r="FG296" s="23">
        <f t="shared" si="968"/>
        <v>0</v>
      </c>
      <c r="FH296" s="23"/>
      <c r="FR296" s="4">
        <f t="shared" si="1122"/>
        <v>1.25</v>
      </c>
      <c r="FS296" s="4">
        <f t="shared" si="1123"/>
        <v>0.4482312338222606</v>
      </c>
      <c r="FT296" s="4">
        <f t="shared" si="1124"/>
        <v>0.25</v>
      </c>
      <c r="FU296" s="4">
        <f t="shared" si="1125"/>
        <v>549.77329609665026</v>
      </c>
    </row>
    <row r="297" spans="2:177" ht="12" customHeight="1" x14ac:dyDescent="0.3">
      <c r="B297" s="24"/>
      <c r="C297" s="48" t="s">
        <v>433</v>
      </c>
      <c r="D297" s="38">
        <f t="shared" si="1214"/>
        <v>799.31034482758628</v>
      </c>
      <c r="E297" s="38">
        <f>9.38*25.4</f>
        <v>238.25200000000001</v>
      </c>
      <c r="F297" s="38">
        <f>5750/145</f>
        <v>39.655172413793103</v>
      </c>
      <c r="G297" s="38">
        <f t="shared" si="1016"/>
        <v>25.4</v>
      </c>
      <c r="H297" s="38">
        <f>17*25.4</f>
        <v>431.79999999999995</v>
      </c>
      <c r="I297" s="38">
        <f t="shared" si="1201"/>
        <v>63.5</v>
      </c>
      <c r="J297" s="39">
        <f>3.1*25.4</f>
        <v>78.739999999999995</v>
      </c>
      <c r="K297" s="7">
        <f t="shared" si="986"/>
        <v>253.99999999999994</v>
      </c>
      <c r="L297" s="38">
        <v>2</v>
      </c>
      <c r="M297" s="4">
        <f t="shared" si="1028"/>
        <v>260.34999999999997</v>
      </c>
      <c r="N297" s="7">
        <f t="shared" ref="N297:N360" si="1224">MIN(I297/G297+0.5, K297/2/G297+0.5)</f>
        <v>3</v>
      </c>
      <c r="O297" s="7">
        <f t="shared" ref="O297:O360" si="1225">I297/G297+0.5</f>
        <v>3</v>
      </c>
      <c r="P297" s="38">
        <v>4.5</v>
      </c>
      <c r="Q297" s="4">
        <f t="shared" si="1017"/>
        <v>4.5</v>
      </c>
      <c r="R297" s="4">
        <f t="shared" ref="R297:R360" si="1226">Q297+1</f>
        <v>5.5</v>
      </c>
      <c r="S297" s="7">
        <f t="shared" ref="S297:S360" si="1227">G297*R297^0.5</f>
        <v>59.568280149757555</v>
      </c>
      <c r="V297" s="38">
        <f t="shared" si="1054"/>
        <v>593.10344827586209</v>
      </c>
      <c r="W297" s="4">
        <v>86</v>
      </c>
      <c r="X297" s="4">
        <f t="shared" ref="X297:X360" si="1228">CK297</f>
        <v>0.98277763354811387</v>
      </c>
      <c r="Y297" s="38">
        <f t="shared" si="1222"/>
        <v>12.7</v>
      </c>
      <c r="Z297" s="38">
        <v>4</v>
      </c>
      <c r="AA297" s="39">
        <f t="shared" si="1223"/>
        <v>139.69999999999999</v>
      </c>
      <c r="AB297" s="39">
        <v>1</v>
      </c>
      <c r="AC297" s="39">
        <v>1</v>
      </c>
      <c r="AD297" s="7"/>
      <c r="AE297" s="4">
        <f t="shared" ref="AE297:AE360" si="1229">E297</f>
        <v>238.25200000000001</v>
      </c>
      <c r="AF297" s="4">
        <f t="shared" ref="AF297:AF360" si="1230">IF(E297*3&gt;K297+G297, H297, (I297+G297/2)*2+1.5*E297*(2*L297-2))*(3*E297)/(9*E297^2)</f>
        <v>0.60412224591329067</v>
      </c>
      <c r="AG297" s="4">
        <f t="shared" ref="AG297:AG360" si="1231">MIN(10*F297^0.5*E297^1.5,100*3.9*F297^0.5*E297^(5/3))/(PI()/4*G297^2)/L297</f>
        <v>228.51643672654887</v>
      </c>
      <c r="AH297" s="4">
        <f t="shared" ref="AH297:AH360" si="1232">MIN(0.7+0.3*(MIN(I297,M297)+0.5*G297)/1.5/E297,1)</f>
        <v>0.76396588486140726</v>
      </c>
      <c r="AI297" s="4">
        <v>1.25</v>
      </c>
      <c r="AJ297" s="4">
        <f t="shared" si="1154"/>
        <v>2.5</v>
      </c>
      <c r="AK297" s="38">
        <f t="shared" si="988"/>
        <v>329.58410519011557</v>
      </c>
      <c r="AL297" s="38">
        <f t="shared" si="953"/>
        <v>329.58410519011557</v>
      </c>
      <c r="AM297" s="38">
        <f t="shared" ref="AM297:AM360" si="1233">IF(F297&lt;50, 0.3*F297^(2/3), 2.12*LN(1+0.1*(F297+8)))</f>
        <v>3.4886265610899732</v>
      </c>
      <c r="AN297" s="38">
        <f t="shared" si="1161"/>
        <v>329.58410519011528</v>
      </c>
      <c r="AO297" s="38">
        <f t="shared" si="1115"/>
        <v>1.0000000000000009</v>
      </c>
      <c r="AP297" s="38">
        <f t="shared" si="1162"/>
        <v>1.531408632468251</v>
      </c>
      <c r="AQ297" s="4">
        <f t="shared" si="1163"/>
        <v>0</v>
      </c>
      <c r="AR297" s="4" t="e">
        <f>#REF!/G297*F297^0.5/0.19</f>
        <v>#REF!</v>
      </c>
      <c r="AS297" s="4">
        <f t="shared" ref="AS297:AS360" si="1234">MIN(0.6+0.4*(O297/N297),2)</f>
        <v>1</v>
      </c>
      <c r="AT297" s="38">
        <f t="shared" ref="AT297:AT360" si="1235">2*F297*N297*P297^0.5*AS297*0.7/0.7</f>
        <v>504.72794381246661</v>
      </c>
      <c r="AU297" s="4">
        <f t="shared" ref="AU297:AU360" si="1236">MAX(1-0.7*Q297/5,0.3)</f>
        <v>0.37</v>
      </c>
      <c r="AV297" s="4" t="e">
        <f>AU297*D297*#REF!/(D297*G297/2.75/F297^0.5)</f>
        <v>#REF!</v>
      </c>
      <c r="AW297" s="4" t="e">
        <f t="shared" si="1068"/>
        <v>#REF!</v>
      </c>
      <c r="AY297" s="4">
        <f t="shared" ref="AY297:AY360" si="1237">MIN(1.5, 0.75+0.25*MIN(3,MAX(1,I297/G297))+0.4*MIN(1,(40*2*PI()*Y297^2/4/AA297/L297)/G297))</f>
        <v>1.5</v>
      </c>
      <c r="AZ297" s="4" t="e">
        <f>(3*#REF!+30)*AY297*F297^0.5</f>
        <v>#REF!</v>
      </c>
      <c r="BB297" s="4">
        <f t="shared" ref="BB297:BB360" si="1238">3.4/PI()^0.5*F297*N297*Q297^0.5*AS297</f>
        <v>484.09582232160056</v>
      </c>
      <c r="BC297" s="4">
        <f t="shared" si="1103"/>
        <v>0</v>
      </c>
      <c r="BD297" s="4">
        <f t="shared" si="1069"/>
        <v>0</v>
      </c>
      <c r="BL297" s="4">
        <f t="shared" ref="BL297:BL360" si="1239">IF(K297=0,I297,MIN(K297/2,I297))</f>
        <v>63.5</v>
      </c>
      <c r="BP297" s="9"/>
      <c r="BR297" s="9"/>
      <c r="BS297" s="9"/>
      <c r="BT297" s="9">
        <f t="shared" ref="BT297:BT360" si="1240">IF(K297=0,MIN(I297,J297),MIN(K297/2,I297,J297))</f>
        <v>63.5</v>
      </c>
      <c r="BU297" s="9">
        <f t="shared" ref="BU297:BU360" si="1241">MAX(K297/2,I297)</f>
        <v>126.99999999999997</v>
      </c>
      <c r="BV297" s="9">
        <f t="shared" ref="BV297:BV360" si="1242">(BT297/G297)^0.5*(BU297/BT297)^0.15</f>
        <v>1.7543833769624846</v>
      </c>
      <c r="BW297" s="40">
        <f t="shared" si="1018"/>
        <v>20</v>
      </c>
      <c r="BX297" s="9">
        <f t="shared" ref="BX297:BX360" si="1243">MIN(PI()*Y297^2/4*Z297*2/L297/G297/MAX(0.01,AA297),0.05)</f>
        <v>0.05</v>
      </c>
      <c r="BY297" s="9">
        <f t="shared" si="1070"/>
        <v>0.8</v>
      </c>
      <c r="BZ297" s="9">
        <f t="shared" ref="BZ297:BZ360" si="1244">MIN(1,(25/G297)^0.3)</f>
        <v>0.99524931562137331</v>
      </c>
      <c r="CA297" s="9">
        <f t="shared" ref="CA297:CA360" si="1245">IF(D297&gt;=800,0.68,IF(D297&gt;=700,0.75-(D297-700)*0.07/100,IF(D297&gt;=600,0.85-(D297-600)*0.1/100,IF(D297&gt;=500,1-(D297-500)*0.15/100,1.2-(D297-400)*0.2/100))))</f>
        <v>0.68048275862068963</v>
      </c>
      <c r="CB297" s="9">
        <f t="shared" ref="CB297:CB360" si="1246">1.75*BZ297*CA297*(F297/25)^0.5</f>
        <v>1.4926809118196944</v>
      </c>
      <c r="CC297" s="9">
        <f t="shared" ref="CC297:CC360" si="1247">MIN((BV297+BY297)*CB297,2.5*CB297,F297^0.5)</f>
        <v>3.7317022795492361</v>
      </c>
      <c r="CD297" s="40">
        <v>1</v>
      </c>
      <c r="CE297" s="9" t="e">
        <f>4*CC297*#REF!+60*CC297</f>
        <v>#REF!</v>
      </c>
      <c r="CG297" s="4" t="e">
        <f t="shared" si="1071"/>
        <v>#REF!</v>
      </c>
      <c r="CH297" s="4" t="e">
        <f t="shared" si="1072"/>
        <v>#REF!</v>
      </c>
      <c r="CI297" s="4" t="e">
        <f t="shared" si="1073"/>
        <v>#REF!</v>
      </c>
      <c r="CJ297" s="4" t="e">
        <f t="shared" si="1074"/>
        <v>#REF!</v>
      </c>
      <c r="CK297" s="4">
        <f t="shared" si="1075"/>
        <v>0.98277763354811387</v>
      </c>
      <c r="CL297" s="4">
        <f t="shared" si="1076"/>
        <v>1.0443012016693149</v>
      </c>
      <c r="CM297" s="4">
        <f t="shared" si="978"/>
        <v>1.1326402982209955</v>
      </c>
      <c r="CN297" s="4">
        <f t="shared" si="1019"/>
        <v>4</v>
      </c>
      <c r="CU297" s="4" t="e">
        <f t="shared" si="1216"/>
        <v>#REF!</v>
      </c>
      <c r="CV297" s="4" t="e">
        <f t="shared" si="1217"/>
        <v>#REF!</v>
      </c>
      <c r="CW297" s="4" t="e">
        <f t="shared" si="1218"/>
        <v>#REF!</v>
      </c>
      <c r="CX297" s="4">
        <f t="shared" si="1219"/>
        <v>1.1326402982209955</v>
      </c>
      <c r="CY297" s="4">
        <f t="shared" si="1220"/>
        <v>0.98277763354811387</v>
      </c>
      <c r="CZ297" s="4">
        <f t="shared" si="1221"/>
        <v>1.0443012016693149</v>
      </c>
      <c r="DC297" s="4" t="e">
        <f>#REF!</f>
        <v>#REF!</v>
      </c>
      <c r="DF297" s="4">
        <f t="shared" ref="DF297:DF360" si="1248">E297/4/(1-0.3*(F297/30)^0.5)/200000/G297</f>
        <v>1.7898407390874884E-5</v>
      </c>
      <c r="DG297" s="4">
        <f t="shared" si="1083"/>
        <v>8.6016093352106822</v>
      </c>
      <c r="DH297" s="4">
        <f t="shared" ref="DH297:DH360" si="1249">DO297*S297/257/F297/P297</f>
        <v>0.42809074683004311</v>
      </c>
      <c r="DI297" s="4">
        <f t="shared" si="1084"/>
        <v>6.1262406163308114</v>
      </c>
      <c r="DJ297" s="4">
        <f t="shared" si="1085"/>
        <v>7.4674964120678524</v>
      </c>
      <c r="DK297" s="4">
        <f t="shared" ref="DK297:DK360" si="1250">MAX(DG297/2, (4-DF297*(8*S297*(DI297-DJ297)+6*E297*DJ297))/(4+DF297*E297*DG297)*DG297)</f>
        <v>8.1406968914674351</v>
      </c>
      <c r="DL297" s="38">
        <f t="shared" ref="DL297:DL360" si="1251">MIN(1/G297*(4*S297*(DI297-DJ297)+(3*DJ297+DK297)*E297)+DO297 -EV297,MAX(D297,V297))</f>
        <v>603.49709642311018</v>
      </c>
      <c r="DM297" s="4" t="e">
        <f t="shared" si="1086"/>
        <v>#REF!</v>
      </c>
      <c r="DN297" s="4">
        <f t="shared" ref="DN297:DN360" si="1252">S297/G297</f>
        <v>2.3452078799117149</v>
      </c>
      <c r="DO297" s="4">
        <f t="shared" si="976"/>
        <v>329.58410519011528</v>
      </c>
      <c r="DS297" s="4">
        <f t="shared" ref="DS297:DS360" si="1253">IF(J297&gt;1*G297,0.85,1)</f>
        <v>0.85</v>
      </c>
      <c r="DT297" s="4">
        <f t="shared" ref="DT297:DT360" si="1254">MIN(1,MAX(0.7,(1-0.1*(BL297-1*G297)/G297)))</f>
        <v>0.85</v>
      </c>
      <c r="DU297" s="4">
        <f t="shared" ref="DU297:DU360" si="1255">MIN(1,MAX(0.7,1-0.3*(PI()*Y297^2/4*AC297*2-0.25*PI()/4*G297^2)/(PI()/4*G297^2)))</f>
        <v>0.92500000000000004</v>
      </c>
      <c r="DV297" s="4">
        <f t="shared" si="1087"/>
        <v>0.78625</v>
      </c>
      <c r="DX297" s="4">
        <f t="shared" ref="DX297:DX360" si="1256">MIN(DG297/G297*3*E297+DY297-EV297,MAX(D297,V297))</f>
        <v>567.94289552457326</v>
      </c>
      <c r="DY297" s="25">
        <f t="shared" si="1146"/>
        <v>325.8936088317447</v>
      </c>
      <c r="EA297" s="4">
        <f t="shared" si="1147"/>
        <v>0.66831249999999998</v>
      </c>
      <c r="EB297" s="4">
        <f t="shared" ref="EB297:EB360" si="1257">IF(G297&lt;22.2,1.1*5*(F297/30)^0.5,IF(G297&gt;=31.8,0.9*5*(F297/30)^0.5,1*5*(F297/30)^0.5))/DS297/DV297</f>
        <v>8.6016093352106822</v>
      </c>
      <c r="EE297" s="4">
        <f t="shared" ref="EE297:EE360" si="1258">EF297*G297</f>
        <v>59.568280149757555</v>
      </c>
      <c r="EF297" s="4">
        <f t="shared" si="1088"/>
        <v>2.3452078799117149</v>
      </c>
      <c r="EG297" s="4">
        <f t="shared" ref="EG297:EG360" si="1259">MIN(DO297)/(4700*F297^0.5)/Q297*EE297</f>
        <v>0.1474079909974034</v>
      </c>
      <c r="EJ297" s="4">
        <f t="shared" si="1089"/>
        <v>0.1474079909974034</v>
      </c>
      <c r="EK297" s="4">
        <f t="shared" ref="EK297:EK360" si="1260">MIN(0.999, EJ297/(0.3*(F297/30)^0.5))</f>
        <v>0.42737634315885298</v>
      </c>
      <c r="EL297" s="4">
        <f t="shared" si="1090"/>
        <v>6.1221491456368717</v>
      </c>
      <c r="EM297" s="4">
        <f t="shared" si="1091"/>
        <v>7.4658205132645818</v>
      </c>
      <c r="EN297" s="4" t="e">
        <f t="shared" si="1092"/>
        <v>#REF!</v>
      </c>
      <c r="EO297" s="4" t="e">
        <f t="shared" si="1093"/>
        <v>#REF!</v>
      </c>
      <c r="EP297" s="4" t="e">
        <f t="shared" ref="EP297:EP360" si="1261">EO297/(1-0.3*(F297/30)^0.5)/200000/G297</f>
        <v>#REF!</v>
      </c>
      <c r="EQ297" s="4" t="e">
        <f t="shared" si="1094"/>
        <v>#REF!</v>
      </c>
      <c r="ER297" s="4" t="e">
        <f t="shared" ref="ER297:ER360" si="1262">MIN(4/G297*(1*EL297*EE297+EM297*EN297+EO297*EQ297)+DO297,MAX(D297,V297))</f>
        <v>#REF!</v>
      </c>
      <c r="EU297" s="4">
        <f t="shared" ref="EU297:EU298" si="1263">5.25*25.4</f>
        <v>133.35</v>
      </c>
      <c r="FA297" s="23" t="e">
        <f t="shared" si="1042"/>
        <v>#REF!</v>
      </c>
      <c r="FB297" s="23" t="e">
        <f t="shared" si="1043"/>
        <v>#REF!</v>
      </c>
      <c r="FC297" s="23">
        <f t="shared" si="981"/>
        <v>1.2</v>
      </c>
      <c r="FD297" s="23" t="e">
        <f t="shared" si="1044"/>
        <v>#REF!</v>
      </c>
      <c r="FE297" s="23">
        <f t="shared" si="1045"/>
        <v>1</v>
      </c>
      <c r="FF297" s="23">
        <f t="shared" si="1046"/>
        <v>1.2</v>
      </c>
      <c r="FG297" s="23">
        <f t="shared" si="968"/>
        <v>0</v>
      </c>
      <c r="FH297" s="23"/>
      <c r="FR297" s="4">
        <f t="shared" si="1122"/>
        <v>1</v>
      </c>
      <c r="FS297" s="4">
        <f t="shared" si="1123"/>
        <v>0.4482312338222606</v>
      </c>
      <c r="FT297" s="4">
        <f t="shared" si="1124"/>
        <v>0.25</v>
      </c>
      <c r="FU297" s="4">
        <f t="shared" si="1125"/>
        <v>523.64678283779244</v>
      </c>
    </row>
    <row r="298" spans="2:177" ht="12" customHeight="1" x14ac:dyDescent="0.3">
      <c r="B298" s="24"/>
      <c r="C298" s="48" t="s">
        <v>434</v>
      </c>
      <c r="D298" s="38">
        <f t="shared" si="1214"/>
        <v>799.31034482758628</v>
      </c>
      <c r="E298" s="38">
        <f>12*25.4</f>
        <v>304.79999999999995</v>
      </c>
      <c r="F298" s="38">
        <f>5750/145</f>
        <v>39.655172413793103</v>
      </c>
      <c r="G298" s="38">
        <f t="shared" si="1016"/>
        <v>25.4</v>
      </c>
      <c r="H298" s="38">
        <f>16.6*25.4</f>
        <v>421.64</v>
      </c>
      <c r="I298" s="38">
        <f>2.45*25.4</f>
        <v>62.230000000000004</v>
      </c>
      <c r="J298" s="39">
        <f>3.3*25.4</f>
        <v>83.82</v>
      </c>
      <c r="K298" s="7">
        <f t="shared" si="986"/>
        <v>246.37999999999997</v>
      </c>
      <c r="L298" s="38">
        <v>2</v>
      </c>
      <c r="M298" s="4">
        <f t="shared" si="1028"/>
        <v>260.34999999999997</v>
      </c>
      <c r="N298" s="7">
        <f t="shared" si="1224"/>
        <v>2.95</v>
      </c>
      <c r="O298" s="7">
        <f t="shared" si="1225"/>
        <v>2.95</v>
      </c>
      <c r="P298" s="38">
        <v>4.5</v>
      </c>
      <c r="Q298" s="4">
        <f t="shared" si="1017"/>
        <v>4.5</v>
      </c>
      <c r="R298" s="4">
        <f t="shared" si="1226"/>
        <v>5.5</v>
      </c>
      <c r="S298" s="7">
        <f t="shared" si="1227"/>
        <v>59.568280149757555</v>
      </c>
      <c r="V298" s="38">
        <f t="shared" si="1054"/>
        <v>685.51724137931046</v>
      </c>
      <c r="W298" s="4">
        <v>99.4</v>
      </c>
      <c r="X298" s="4">
        <f t="shared" si="1228"/>
        <v>0.96655501262970034</v>
      </c>
      <c r="Y298" s="38">
        <f t="shared" si="1222"/>
        <v>12.7</v>
      </c>
      <c r="Z298" s="38">
        <v>4</v>
      </c>
      <c r="AA298" s="39">
        <f t="shared" si="1223"/>
        <v>139.69999999999999</v>
      </c>
      <c r="AB298" s="39">
        <v>1</v>
      </c>
      <c r="AC298" s="39">
        <v>1</v>
      </c>
      <c r="AD298" s="7"/>
      <c r="AE298" s="4">
        <f t="shared" si="1229"/>
        <v>304.79999999999995</v>
      </c>
      <c r="AF298" s="4">
        <f t="shared" si="1230"/>
        <v>0.46111111111111108</v>
      </c>
      <c r="AG298" s="4">
        <f t="shared" si="1231"/>
        <v>330.66258376635705</v>
      </c>
      <c r="AH298" s="4">
        <f t="shared" si="1232"/>
        <v>0.74916666666666665</v>
      </c>
      <c r="AI298" s="4">
        <v>1.25</v>
      </c>
      <c r="AJ298" s="4">
        <f t="shared" si="1154"/>
        <v>2.5</v>
      </c>
      <c r="AK298" s="38">
        <f t="shared" si="988"/>
        <v>356.95963560321565</v>
      </c>
      <c r="AL298" s="38">
        <f t="shared" ref="AL298:AL361" si="1264">AK298</f>
        <v>356.95963560321565</v>
      </c>
      <c r="AM298" s="38">
        <f t="shared" si="1233"/>
        <v>3.4886265610899732</v>
      </c>
      <c r="AN298" s="38">
        <f t="shared" si="1161"/>
        <v>356.95963560321547</v>
      </c>
      <c r="AO298" s="38">
        <f t="shared" si="1115"/>
        <v>1.0000000000000004</v>
      </c>
      <c r="AP298" s="38">
        <f t="shared" si="1162"/>
        <v>1.3903975741595627</v>
      </c>
      <c r="AQ298" s="4">
        <f t="shared" si="1163"/>
        <v>0</v>
      </c>
      <c r="AR298" s="4" t="e">
        <f>#REF!/G298*F298^0.5/0.19</f>
        <v>#REF!</v>
      </c>
      <c r="AS298" s="4">
        <f t="shared" si="1234"/>
        <v>1</v>
      </c>
      <c r="AT298" s="38">
        <f t="shared" si="1235"/>
        <v>496.31581141559224</v>
      </c>
      <c r="AU298" s="4">
        <f t="shared" si="1236"/>
        <v>0.37</v>
      </c>
      <c r="AV298" s="4" t="e">
        <f>AU298*D298*#REF!/(D298*G298/2.75/F298^0.5)</f>
        <v>#REF!</v>
      </c>
      <c r="AW298" s="4" t="e">
        <f t="shared" si="1068"/>
        <v>#REF!</v>
      </c>
      <c r="AY298" s="4">
        <f t="shared" si="1237"/>
        <v>1.5</v>
      </c>
      <c r="AZ298" s="4" t="e">
        <f>(3*#REF!+30)*AY298*F298^0.5</f>
        <v>#REF!</v>
      </c>
      <c r="BB298" s="4">
        <f t="shared" si="1238"/>
        <v>476.02755861624058</v>
      </c>
      <c r="BC298" s="4">
        <f t="shared" si="1103"/>
        <v>0</v>
      </c>
      <c r="BD298" s="4">
        <f t="shared" si="1069"/>
        <v>0</v>
      </c>
      <c r="BL298" s="4">
        <f t="shared" si="1239"/>
        <v>62.230000000000004</v>
      </c>
      <c r="BP298" s="9"/>
      <c r="BR298" s="9"/>
      <c r="BS298" s="9"/>
      <c r="BT298" s="9">
        <f t="shared" si="1240"/>
        <v>62.230000000000004</v>
      </c>
      <c r="BU298" s="9">
        <f t="shared" si="1241"/>
        <v>123.18999999999998</v>
      </c>
      <c r="BV298" s="9">
        <f t="shared" si="1242"/>
        <v>1.7340810420811554</v>
      </c>
      <c r="BW298" s="40">
        <f t="shared" si="1018"/>
        <v>20</v>
      </c>
      <c r="BX298" s="9">
        <f t="shared" si="1243"/>
        <v>0.05</v>
      </c>
      <c r="BY298" s="9">
        <f t="shared" si="1070"/>
        <v>0.8</v>
      </c>
      <c r="BZ298" s="9">
        <f t="shared" si="1244"/>
        <v>0.99524931562137331</v>
      </c>
      <c r="CA298" s="9">
        <f t="shared" si="1245"/>
        <v>0.68048275862068963</v>
      </c>
      <c r="CB298" s="9">
        <f t="shared" si="1246"/>
        <v>1.4926809118196944</v>
      </c>
      <c r="CC298" s="9">
        <f t="shared" si="1247"/>
        <v>3.7317022795492361</v>
      </c>
      <c r="CD298" s="40">
        <v>1</v>
      </c>
      <c r="CE298" s="9" t="e">
        <f>4*CC298*#REF!+60*CC298</f>
        <v>#REF!</v>
      </c>
      <c r="CG298" s="4" t="e">
        <f t="shared" si="1071"/>
        <v>#REF!</v>
      </c>
      <c r="CH298" s="4" t="e">
        <f t="shared" si="1072"/>
        <v>#REF!</v>
      </c>
      <c r="CI298" s="4" t="e">
        <f t="shared" si="1073"/>
        <v>#REF!</v>
      </c>
      <c r="CJ298" s="4" t="e">
        <f t="shared" si="1074"/>
        <v>#REF!</v>
      </c>
      <c r="CK298" s="4">
        <f t="shared" si="1075"/>
        <v>0.96655501262970034</v>
      </c>
      <c r="CL298" s="4">
        <f t="shared" si="1076"/>
        <v>1.035801217585661</v>
      </c>
      <c r="CM298" s="4">
        <f t="shared" si="978"/>
        <v>1.279120760819896</v>
      </c>
      <c r="CN298" s="4">
        <f t="shared" si="1019"/>
        <v>4</v>
      </c>
      <c r="CU298" s="4" t="e">
        <f t="shared" si="1216"/>
        <v>#REF!</v>
      </c>
      <c r="CV298" s="4" t="e">
        <f t="shared" si="1217"/>
        <v>#REF!</v>
      </c>
      <c r="CW298" s="4" t="e">
        <f t="shared" si="1218"/>
        <v>#REF!</v>
      </c>
      <c r="CX298" s="4">
        <f t="shared" si="1219"/>
        <v>1.279120760819896</v>
      </c>
      <c r="CY298" s="4">
        <f t="shared" si="1220"/>
        <v>0.96655501262970034</v>
      </c>
      <c r="CZ298" s="4">
        <f t="shared" si="1221"/>
        <v>1.035801217585661</v>
      </c>
      <c r="DC298" s="4" t="e">
        <f>#REF!</f>
        <v>#REF!</v>
      </c>
      <c r="DF298" s="4">
        <f t="shared" si="1248"/>
        <v>2.2897749327345264E-5</v>
      </c>
      <c r="DG298" s="4">
        <f t="shared" si="1083"/>
        <v>8.5513075262328435</v>
      </c>
      <c r="DH298" s="4">
        <f t="shared" si="1249"/>
        <v>0.46364832098141967</v>
      </c>
      <c r="DI298" s="4">
        <f t="shared" si="1084"/>
        <v>6.2879343910670871</v>
      </c>
      <c r="DJ298" s="4">
        <f t="shared" si="1085"/>
        <v>7.5056262041751376</v>
      </c>
      <c r="DK298" s="4">
        <f t="shared" si="1250"/>
        <v>7.7915391372453886</v>
      </c>
      <c r="DL298" s="38">
        <f t="shared" si="1251"/>
        <v>709.23768685884511</v>
      </c>
      <c r="DM298" s="4" t="e">
        <f t="shared" si="1086"/>
        <v>#REF!</v>
      </c>
      <c r="DN298" s="4">
        <f t="shared" si="1252"/>
        <v>2.3452078799117149</v>
      </c>
      <c r="DO298" s="4">
        <f t="shared" si="976"/>
        <v>356.95963560321547</v>
      </c>
      <c r="DS298" s="4">
        <f t="shared" si="1253"/>
        <v>0.85</v>
      </c>
      <c r="DT298" s="4">
        <f t="shared" si="1254"/>
        <v>0.85499999999999998</v>
      </c>
      <c r="DU298" s="4">
        <f t="shared" si="1255"/>
        <v>0.92500000000000004</v>
      </c>
      <c r="DV298" s="4">
        <f t="shared" si="1087"/>
        <v>0.79087499999999999</v>
      </c>
      <c r="DX298" s="4">
        <f t="shared" si="1256"/>
        <v>661.8231662028511</v>
      </c>
      <c r="DY298" s="25">
        <f t="shared" si="1146"/>
        <v>353.97609525846872</v>
      </c>
      <c r="EA298" s="4">
        <f t="shared" si="1147"/>
        <v>0.67224375000000003</v>
      </c>
      <c r="EB298" s="4">
        <f t="shared" si="1257"/>
        <v>8.5513075262328435</v>
      </c>
      <c r="EE298" s="4">
        <f t="shared" si="1258"/>
        <v>59.568280149757555</v>
      </c>
      <c r="EF298" s="4">
        <f t="shared" si="1088"/>
        <v>2.3452078799117149</v>
      </c>
      <c r="EG298" s="4">
        <f t="shared" si="1259"/>
        <v>0.1596518215618527</v>
      </c>
      <c r="EJ298" s="4">
        <f t="shared" si="1089"/>
        <v>0.1596518215618527</v>
      </c>
      <c r="EK298" s="4">
        <f t="shared" si="1260"/>
        <v>0.46287457834600176</v>
      </c>
      <c r="EL298" s="4">
        <f t="shared" si="1090"/>
        <v>6.2837349315783593</v>
      </c>
      <c r="EM298" s="4">
        <f t="shared" si="1091"/>
        <v>7.5038690643831485</v>
      </c>
      <c r="EN298" s="4" t="e">
        <f t="shared" si="1092"/>
        <v>#REF!</v>
      </c>
      <c r="EO298" s="4" t="e">
        <f t="shared" si="1093"/>
        <v>#REF!</v>
      </c>
      <c r="EP298" s="4" t="e">
        <f t="shared" si="1261"/>
        <v>#REF!</v>
      </c>
      <c r="EQ298" s="4" t="e">
        <f t="shared" si="1094"/>
        <v>#REF!</v>
      </c>
      <c r="ER298" s="4" t="e">
        <f t="shared" si="1262"/>
        <v>#REF!</v>
      </c>
      <c r="EU298" s="4">
        <f t="shared" si="1263"/>
        <v>133.35</v>
      </c>
      <c r="FA298" s="23" t="e">
        <f t="shared" si="1042"/>
        <v>#REF!</v>
      </c>
      <c r="FB298" s="23" t="e">
        <f t="shared" si="1043"/>
        <v>#REF!</v>
      </c>
      <c r="FC298" s="23">
        <f t="shared" si="981"/>
        <v>1.4</v>
      </c>
      <c r="FD298" s="23" t="e">
        <f t="shared" si="1044"/>
        <v>#REF!</v>
      </c>
      <c r="FE298" s="23">
        <f t="shared" si="1045"/>
        <v>1</v>
      </c>
      <c r="FF298" s="23">
        <f t="shared" si="1046"/>
        <v>1.2</v>
      </c>
      <c r="FG298" s="23">
        <f t="shared" si="968"/>
        <v>0</v>
      </c>
      <c r="FH298" s="23"/>
      <c r="FR298" s="4">
        <f t="shared" si="1122"/>
        <v>1.25</v>
      </c>
      <c r="FS298" s="4">
        <f t="shared" si="1123"/>
        <v>0.4482312338222606</v>
      </c>
      <c r="FT298" s="4">
        <f t="shared" si="1124"/>
        <v>0.25</v>
      </c>
      <c r="FU298" s="4">
        <f t="shared" si="1125"/>
        <v>535.9284771047769</v>
      </c>
    </row>
    <row r="299" spans="2:177" ht="12" customHeight="1" x14ac:dyDescent="0.3">
      <c r="B299" s="24"/>
      <c r="C299" s="7" t="s">
        <v>435</v>
      </c>
      <c r="D299" s="38">
        <f t="shared" si="1214"/>
        <v>799.31034482758628</v>
      </c>
      <c r="E299" s="38">
        <f>8.31*25.4</f>
        <v>211.07400000000001</v>
      </c>
      <c r="F299" s="38">
        <f>5900/145</f>
        <v>40.689655172413794</v>
      </c>
      <c r="G299" s="38">
        <f t="shared" si="1016"/>
        <v>25.4</v>
      </c>
      <c r="H299" s="38">
        <f>16.9*25.4</f>
        <v>429.25999999999993</v>
      </c>
      <c r="I299" s="38">
        <f>2.45*25.4</f>
        <v>62.230000000000004</v>
      </c>
      <c r="J299" s="39">
        <f>3.05*25.4</f>
        <v>77.469999999999985</v>
      </c>
      <c r="K299" s="7">
        <f t="shared" si="986"/>
        <v>253.99999999999991</v>
      </c>
      <c r="L299" s="38">
        <v>2</v>
      </c>
      <c r="M299" s="4">
        <f t="shared" si="1028"/>
        <v>260.34999999999997</v>
      </c>
      <c r="N299" s="7">
        <f t="shared" si="1224"/>
        <v>2.95</v>
      </c>
      <c r="O299" s="7">
        <f t="shared" si="1225"/>
        <v>2.95</v>
      </c>
      <c r="P299" s="38">
        <v>6.5</v>
      </c>
      <c r="Q299" s="4">
        <f t="shared" si="1017"/>
        <v>6.5</v>
      </c>
      <c r="R299" s="4">
        <f t="shared" si="1226"/>
        <v>7.5</v>
      </c>
      <c r="S299" s="7">
        <f t="shared" si="1227"/>
        <v>69.56076480315609</v>
      </c>
      <c r="V299" s="38">
        <f t="shared" si="1054"/>
        <v>541.37931034482767</v>
      </c>
      <c r="W299" s="4">
        <v>78.5</v>
      </c>
      <c r="X299" s="4">
        <f t="shared" si="1228"/>
        <v>0.94029242605845686</v>
      </c>
      <c r="Y299" s="38">
        <f t="shared" si="1222"/>
        <v>12.7</v>
      </c>
      <c r="Z299" s="38">
        <v>10</v>
      </c>
      <c r="AA299" s="39">
        <f t="shared" ref="AA299:AA302" si="1265">3*25.4</f>
        <v>76.199999999999989</v>
      </c>
      <c r="AB299" s="39">
        <v>3</v>
      </c>
      <c r="AC299" s="39">
        <v>2</v>
      </c>
      <c r="AD299" s="7"/>
      <c r="AE299" s="4">
        <f t="shared" si="1229"/>
        <v>211.07400000000001</v>
      </c>
      <c r="AF299" s="4">
        <f t="shared" si="1230"/>
        <v>0.67789811472121919</v>
      </c>
      <c r="AG299" s="4">
        <f t="shared" si="1231"/>
        <v>193.02199723672265</v>
      </c>
      <c r="AH299" s="4">
        <f t="shared" si="1232"/>
        <v>0.77099879663056559</v>
      </c>
      <c r="AI299" s="4">
        <v>1.25</v>
      </c>
      <c r="AJ299" s="4">
        <f t="shared" si="1154"/>
        <v>2.5</v>
      </c>
      <c r="AK299" s="38">
        <f t="shared" si="988"/>
        <v>315.26441490139024</v>
      </c>
      <c r="AL299" s="38">
        <f t="shared" si="1264"/>
        <v>315.26441490139024</v>
      </c>
      <c r="AM299" s="38">
        <f t="shared" si="1233"/>
        <v>3.5490375497727622</v>
      </c>
      <c r="AN299" s="38">
        <f t="shared" si="1161"/>
        <v>315.26441490139041</v>
      </c>
      <c r="AO299" s="38">
        <f t="shared" si="1115"/>
        <v>0.99999999999999944</v>
      </c>
      <c r="AP299" s="38">
        <f t="shared" si="1162"/>
        <v>1.9414121637599517</v>
      </c>
      <c r="AQ299" s="4">
        <f t="shared" si="1163"/>
        <v>0</v>
      </c>
      <c r="AR299" s="4" t="e">
        <f>#REF!/G299*F299^0.5/0.19</f>
        <v>#REF!</v>
      </c>
      <c r="AS299" s="4">
        <f t="shared" si="1234"/>
        <v>1</v>
      </c>
      <c r="AT299" s="38">
        <f t="shared" si="1235"/>
        <v>612.05816989022355</v>
      </c>
      <c r="AU299" s="4">
        <f t="shared" si="1236"/>
        <v>0.3</v>
      </c>
      <c r="AV299" s="4" t="e">
        <f>AU299*D299*#REF!/(D299*G299/2.75/F299^0.5)</f>
        <v>#REF!</v>
      </c>
      <c r="AW299" s="4" t="e">
        <f t="shared" si="1068"/>
        <v>#REF!</v>
      </c>
      <c r="AY299" s="4">
        <f t="shared" si="1237"/>
        <v>1.5</v>
      </c>
      <c r="AZ299" s="4" t="e">
        <f>(3*#REF!+30)*AY299*F299^0.5</f>
        <v>#REF!</v>
      </c>
      <c r="BB299" s="4">
        <f t="shared" si="1238"/>
        <v>587.03863476152412</v>
      </c>
      <c r="BC299" s="4">
        <f t="shared" si="1103"/>
        <v>0</v>
      </c>
      <c r="BD299" s="4">
        <f t="shared" si="1069"/>
        <v>0</v>
      </c>
      <c r="BL299" s="4">
        <f t="shared" si="1239"/>
        <v>62.230000000000004</v>
      </c>
      <c r="BP299" s="9"/>
      <c r="BR299" s="9"/>
      <c r="BS299" s="9"/>
      <c r="BT299" s="9">
        <f t="shared" si="1240"/>
        <v>62.230000000000004</v>
      </c>
      <c r="BU299" s="9">
        <f t="shared" si="1241"/>
        <v>126.99999999999996</v>
      </c>
      <c r="BV299" s="9">
        <f t="shared" si="1242"/>
        <v>1.7420219790042637</v>
      </c>
      <c r="BW299" s="40">
        <f t="shared" si="1018"/>
        <v>20</v>
      </c>
      <c r="BX299" s="9">
        <f t="shared" si="1243"/>
        <v>0.05</v>
      </c>
      <c r="BY299" s="9">
        <f t="shared" si="1070"/>
        <v>0.8</v>
      </c>
      <c r="BZ299" s="9">
        <f t="shared" si="1244"/>
        <v>0.99524931562137331</v>
      </c>
      <c r="CA299" s="9">
        <f t="shared" si="1245"/>
        <v>0.68048275862068963</v>
      </c>
      <c r="CB299" s="9">
        <f t="shared" si="1246"/>
        <v>1.51202531590344</v>
      </c>
      <c r="CC299" s="9">
        <f t="shared" si="1247"/>
        <v>3.7800632897586</v>
      </c>
      <c r="CD299" s="40">
        <v>1</v>
      </c>
      <c r="CE299" s="9" t="e">
        <f>4*CC299*#REF!+60*CC299</f>
        <v>#REF!</v>
      </c>
      <c r="CG299" s="4" t="e">
        <f t="shared" si="1071"/>
        <v>#REF!</v>
      </c>
      <c r="CH299" s="4" t="e">
        <f t="shared" si="1072"/>
        <v>#REF!</v>
      </c>
      <c r="CI299" s="4" t="e">
        <f t="shared" si="1073"/>
        <v>#REF!</v>
      </c>
      <c r="CJ299" s="4" t="e">
        <f t="shared" si="1074"/>
        <v>#REF!</v>
      </c>
      <c r="CK299" s="4">
        <f t="shared" si="1075"/>
        <v>0.94029242605845686</v>
      </c>
      <c r="CL299" s="4">
        <f t="shared" si="1076"/>
        <v>0.97511909646297612</v>
      </c>
      <c r="CM299" s="4">
        <f t="shared" si="978"/>
        <v>1.4158899377768372</v>
      </c>
      <c r="CN299" s="4">
        <f t="shared" si="1019"/>
        <v>10</v>
      </c>
      <c r="CU299" s="4" t="e">
        <f t="shared" si="1216"/>
        <v>#REF!</v>
      </c>
      <c r="CV299" s="4" t="e">
        <f t="shared" si="1217"/>
        <v>#REF!</v>
      </c>
      <c r="CW299" s="4" t="e">
        <f t="shared" si="1218"/>
        <v>#REF!</v>
      </c>
      <c r="CX299" s="4">
        <f t="shared" si="1219"/>
        <v>1.4158899377768372</v>
      </c>
      <c r="CY299" s="4">
        <f t="shared" si="1220"/>
        <v>0.94029242605845686</v>
      </c>
      <c r="CZ299" s="4">
        <f t="shared" si="1221"/>
        <v>0.97511909646297612</v>
      </c>
      <c r="DC299" s="4" t="e">
        <f>#REF!</f>
        <v>#REF!</v>
      </c>
      <c r="DF299" s="4">
        <f t="shared" si="1248"/>
        <v>1.5965631204689113E-5</v>
      </c>
      <c r="DG299" s="4">
        <f t="shared" si="1083"/>
        <v>9.7866580905942957</v>
      </c>
      <c r="DH299" s="4">
        <f t="shared" si="1249"/>
        <v>0.32263301896673924</v>
      </c>
      <c r="DI299" s="4">
        <f t="shared" si="1084"/>
        <v>6.2246930532920937</v>
      </c>
      <c r="DJ299" s="4">
        <f t="shared" si="1085"/>
        <v>8.2023131968225798</v>
      </c>
      <c r="DK299" s="4">
        <f t="shared" si="1250"/>
        <v>9.3468091415899224</v>
      </c>
      <c r="DL299" s="38">
        <f t="shared" si="1251"/>
        <v>575.75632360902455</v>
      </c>
      <c r="DM299" s="4" t="e">
        <f t="shared" si="1086"/>
        <v>#REF!</v>
      </c>
      <c r="DN299" s="4">
        <f t="shared" si="1252"/>
        <v>2.7386127875258306</v>
      </c>
      <c r="DO299" s="4">
        <f t="shared" si="976"/>
        <v>315.26441490139041</v>
      </c>
      <c r="DS299" s="4">
        <f t="shared" si="1253"/>
        <v>0.85</v>
      </c>
      <c r="DT299" s="4">
        <f t="shared" si="1254"/>
        <v>0.85499999999999998</v>
      </c>
      <c r="DU299" s="4">
        <f t="shared" si="1255"/>
        <v>0.77500000000000002</v>
      </c>
      <c r="DV299" s="4">
        <f t="shared" si="1087"/>
        <v>0.7</v>
      </c>
      <c r="DX299" s="4">
        <f t="shared" si="1256"/>
        <v>555.19301417494398</v>
      </c>
      <c r="DY299" s="25">
        <f t="shared" si="1146"/>
        <v>311.21162797642813</v>
      </c>
      <c r="EA299" s="4">
        <f t="shared" si="1147"/>
        <v>0.59499999999999997</v>
      </c>
      <c r="EB299" s="4">
        <f t="shared" si="1257"/>
        <v>9.7866580905942957</v>
      </c>
      <c r="EE299" s="4">
        <f t="shared" si="1258"/>
        <v>69.56076480315609</v>
      </c>
      <c r="EF299" s="4">
        <f t="shared" si="1088"/>
        <v>2.7386127875258306</v>
      </c>
      <c r="EG299" s="4">
        <f t="shared" si="1259"/>
        <v>0.11253460271527289</v>
      </c>
      <c r="EJ299" s="4">
        <f t="shared" si="1089"/>
        <v>0.11253460271527289</v>
      </c>
      <c r="EK299" s="4">
        <f t="shared" si="1260"/>
        <v>0.32209460458870448</v>
      </c>
      <c r="EL299" s="4">
        <f t="shared" si="1090"/>
        <v>6.2205358301594567</v>
      </c>
      <c r="EM299" s="4">
        <f t="shared" si="1091"/>
        <v>8.2007408563541091</v>
      </c>
      <c r="EN299" s="4" t="e">
        <f t="shared" si="1092"/>
        <v>#REF!</v>
      </c>
      <c r="EO299" s="4" t="e">
        <f t="shared" si="1093"/>
        <v>#REF!</v>
      </c>
      <c r="EP299" s="4" t="e">
        <f t="shared" si="1261"/>
        <v>#REF!</v>
      </c>
      <c r="EQ299" s="4" t="e">
        <f t="shared" si="1094"/>
        <v>#REF!</v>
      </c>
      <c r="ER299" s="4" t="e">
        <f t="shared" si="1262"/>
        <v>#REF!</v>
      </c>
      <c r="FA299" s="23" t="e">
        <f t="shared" si="1042"/>
        <v>#REF!</v>
      </c>
      <c r="FB299" s="23" t="e">
        <f t="shared" si="1043"/>
        <v>#REF!</v>
      </c>
      <c r="FC299" s="23">
        <f t="shared" si="981"/>
        <v>1.6</v>
      </c>
      <c r="FD299" s="23" t="e">
        <f t="shared" si="1044"/>
        <v>#REF!</v>
      </c>
      <c r="FE299" s="23">
        <f t="shared" si="1045"/>
        <v>1</v>
      </c>
      <c r="FF299" s="23">
        <f t="shared" si="1046"/>
        <v>1</v>
      </c>
      <c r="FG299" s="23">
        <f t="shared" ref="FG299:FG362" si="1266">IF(FE299&lt;1,1,0)</f>
        <v>0</v>
      </c>
      <c r="FH299" s="23"/>
      <c r="FR299" s="4">
        <f t="shared" si="1122"/>
        <v>1.25</v>
      </c>
      <c r="FS299" s="4">
        <f t="shared" si="1123"/>
        <v>0.43787748058671272</v>
      </c>
      <c r="FT299" s="4">
        <f t="shared" si="1124"/>
        <v>0.3</v>
      </c>
      <c r="FU299" s="4">
        <f t="shared" si="1125"/>
        <v>382.35974131921273</v>
      </c>
    </row>
    <row r="300" spans="2:177" ht="12" customHeight="1" x14ac:dyDescent="0.3">
      <c r="B300" s="24"/>
      <c r="C300" s="7" t="s">
        <v>436</v>
      </c>
      <c r="D300" s="38">
        <f t="shared" si="1214"/>
        <v>799.31034482758628</v>
      </c>
      <c r="E300" s="38">
        <f>10.94*25.4</f>
        <v>277.87599999999998</v>
      </c>
      <c r="F300" s="38">
        <f>5900/145</f>
        <v>40.689655172413794</v>
      </c>
      <c r="G300" s="38">
        <f t="shared" si="1016"/>
        <v>25.4</v>
      </c>
      <c r="H300" s="38">
        <f>17.6*25.4</f>
        <v>447.04</v>
      </c>
      <c r="I300" s="38">
        <f>2.45*25.4</f>
        <v>62.230000000000004</v>
      </c>
      <c r="J300" s="39">
        <f>3.35*25.4</f>
        <v>85.09</v>
      </c>
      <c r="K300" s="7">
        <f t="shared" si="986"/>
        <v>271.77999999999997</v>
      </c>
      <c r="L300" s="38">
        <v>2</v>
      </c>
      <c r="M300" s="4">
        <f t="shared" si="1028"/>
        <v>260.34999999999997</v>
      </c>
      <c r="N300" s="7">
        <f t="shared" si="1224"/>
        <v>2.95</v>
      </c>
      <c r="O300" s="7">
        <f t="shared" si="1225"/>
        <v>2.95</v>
      </c>
      <c r="P300" s="38">
        <v>6.5</v>
      </c>
      <c r="Q300" s="4">
        <f t="shared" si="1017"/>
        <v>6.5</v>
      </c>
      <c r="R300" s="4">
        <f t="shared" si="1226"/>
        <v>7.5</v>
      </c>
      <c r="S300" s="7">
        <f t="shared" si="1227"/>
        <v>69.56076480315609</v>
      </c>
      <c r="V300" s="38">
        <f t="shared" si="1054"/>
        <v>737.24137931034488</v>
      </c>
      <c r="W300" s="4">
        <v>106.9</v>
      </c>
      <c r="X300" s="4">
        <f t="shared" si="1228"/>
        <v>1.0210557999824699</v>
      </c>
      <c r="Y300" s="38">
        <f t="shared" si="1222"/>
        <v>12.7</v>
      </c>
      <c r="Z300" s="38">
        <v>10</v>
      </c>
      <c r="AA300" s="39">
        <f t="shared" si="1265"/>
        <v>76.199999999999989</v>
      </c>
      <c r="AB300" s="39">
        <v>3</v>
      </c>
      <c r="AC300" s="39">
        <v>2</v>
      </c>
      <c r="AD300" s="7"/>
      <c r="AE300" s="4">
        <f t="shared" si="1229"/>
        <v>277.87599999999998</v>
      </c>
      <c r="AF300" s="4">
        <f t="shared" si="1230"/>
        <v>0.53625837903717255</v>
      </c>
      <c r="AG300" s="4">
        <f t="shared" si="1231"/>
        <v>291.56222268863934</v>
      </c>
      <c r="AH300" s="4">
        <f t="shared" si="1232"/>
        <v>0.75393053016453382</v>
      </c>
      <c r="AI300" s="4">
        <v>1.25</v>
      </c>
      <c r="AJ300" s="4">
        <f t="shared" si="1154"/>
        <v>2.5</v>
      </c>
      <c r="AK300" s="38">
        <f t="shared" si="988"/>
        <v>368.37207075008428</v>
      </c>
      <c r="AL300" s="38">
        <f t="shared" si="1264"/>
        <v>368.37207075008428</v>
      </c>
      <c r="AM300" s="38">
        <f t="shared" si="1233"/>
        <v>3.5490375497727622</v>
      </c>
      <c r="AN300" s="38">
        <f t="shared" si="1161"/>
        <v>368.37207075008428</v>
      </c>
      <c r="AO300" s="38">
        <f t="shared" si="1115"/>
        <v>1</v>
      </c>
      <c r="AP300" s="38">
        <f t="shared" si="1162"/>
        <v>1.6615216475123706</v>
      </c>
      <c r="AQ300" s="4">
        <f t="shared" si="1163"/>
        <v>0</v>
      </c>
      <c r="AR300" s="4" t="e">
        <f>#REF!/G300*F300^0.5/0.19</f>
        <v>#REF!</v>
      </c>
      <c r="AS300" s="4">
        <f t="shared" si="1234"/>
        <v>1</v>
      </c>
      <c r="AT300" s="38">
        <f t="shared" si="1235"/>
        <v>612.05816989022355</v>
      </c>
      <c r="AU300" s="4">
        <f t="shared" si="1236"/>
        <v>0.3</v>
      </c>
      <c r="AV300" s="4" t="e">
        <f>AU300*D300*#REF!/(D300*G300/2.75/F300^0.5)</f>
        <v>#REF!</v>
      </c>
      <c r="AW300" s="4" t="e">
        <f t="shared" si="1068"/>
        <v>#REF!</v>
      </c>
      <c r="AY300" s="4">
        <f t="shared" si="1237"/>
        <v>1.5</v>
      </c>
      <c r="AZ300" s="4" t="e">
        <f>(3*#REF!+30)*AY300*F300^0.5</f>
        <v>#REF!</v>
      </c>
      <c r="BB300" s="4">
        <f t="shared" si="1238"/>
        <v>587.03863476152412</v>
      </c>
      <c r="BC300" s="4">
        <f t="shared" si="1103"/>
        <v>0</v>
      </c>
      <c r="BD300" s="4">
        <f t="shared" si="1069"/>
        <v>0</v>
      </c>
      <c r="BL300" s="4">
        <f t="shared" si="1239"/>
        <v>62.230000000000004</v>
      </c>
      <c r="BP300" s="9"/>
      <c r="BR300" s="9"/>
      <c r="BS300" s="9"/>
      <c r="BT300" s="9">
        <f t="shared" si="1240"/>
        <v>62.230000000000004</v>
      </c>
      <c r="BU300" s="9">
        <f t="shared" si="1241"/>
        <v>135.88999999999999</v>
      </c>
      <c r="BV300" s="9">
        <f t="shared" si="1242"/>
        <v>1.7597914236385663</v>
      </c>
      <c r="BW300" s="40">
        <f t="shared" si="1018"/>
        <v>20</v>
      </c>
      <c r="BX300" s="9">
        <f t="shared" si="1243"/>
        <v>0.05</v>
      </c>
      <c r="BY300" s="9">
        <f t="shared" si="1070"/>
        <v>0.8</v>
      </c>
      <c r="BZ300" s="9">
        <f t="shared" si="1244"/>
        <v>0.99524931562137331</v>
      </c>
      <c r="CA300" s="9">
        <f t="shared" si="1245"/>
        <v>0.68048275862068963</v>
      </c>
      <c r="CB300" s="9">
        <f t="shared" si="1246"/>
        <v>1.51202531590344</v>
      </c>
      <c r="CC300" s="9">
        <f t="shared" si="1247"/>
        <v>3.7800632897586</v>
      </c>
      <c r="CD300" s="40">
        <v>1</v>
      </c>
      <c r="CE300" s="9" t="e">
        <f>4*CC300*#REF!+60*CC300</f>
        <v>#REF!</v>
      </c>
      <c r="CG300" s="4" t="e">
        <f t="shared" si="1071"/>
        <v>#REF!</v>
      </c>
      <c r="CH300" s="4" t="e">
        <f t="shared" si="1072"/>
        <v>#REF!</v>
      </c>
      <c r="CI300" s="4" t="e">
        <f t="shared" si="1073"/>
        <v>#REF!</v>
      </c>
      <c r="CJ300" s="4" t="e">
        <f t="shared" si="1074"/>
        <v>#REF!</v>
      </c>
      <c r="CK300" s="4">
        <f t="shared" si="1075"/>
        <v>1.0210557999824699</v>
      </c>
      <c r="CL300" s="4">
        <f t="shared" si="1076"/>
        <v>1.0745054096439952</v>
      </c>
      <c r="CM300" s="4">
        <f t="shared" si="978"/>
        <v>1.4646074726472567</v>
      </c>
      <c r="CN300" s="4">
        <f t="shared" si="1019"/>
        <v>10</v>
      </c>
      <c r="CU300" s="4" t="e">
        <f t="shared" si="1216"/>
        <v>#REF!</v>
      </c>
      <c r="CV300" s="4" t="e">
        <f t="shared" si="1217"/>
        <v>#REF!</v>
      </c>
      <c r="CW300" s="4" t="e">
        <f t="shared" si="1218"/>
        <v>#REF!</v>
      </c>
      <c r="CX300" s="4">
        <f t="shared" si="1219"/>
        <v>1.4646074726472567</v>
      </c>
      <c r="CY300" s="4">
        <f t="shared" si="1220"/>
        <v>1.0210557999824699</v>
      </c>
      <c r="CZ300" s="4">
        <f t="shared" si="1221"/>
        <v>1.0745054096439952</v>
      </c>
      <c r="DC300" s="4" t="e">
        <f>#REF!</f>
        <v>#REF!</v>
      </c>
      <c r="DF300" s="4">
        <f t="shared" si="1248"/>
        <v>2.1018532536618391E-5</v>
      </c>
      <c r="DG300" s="4">
        <f t="shared" si="1083"/>
        <v>9.7866580905942957</v>
      </c>
      <c r="DH300" s="4">
        <f t="shared" si="1249"/>
        <v>0.37698194807778418</v>
      </c>
      <c r="DI300" s="4">
        <f t="shared" si="1084"/>
        <v>6.6246454169545199</v>
      </c>
      <c r="DJ300" s="4">
        <f t="shared" si="1085"/>
        <v>8.3571143650726452</v>
      </c>
      <c r="DK300" s="4">
        <f t="shared" si="1250"/>
        <v>8.9912219231036268</v>
      </c>
      <c r="DL300" s="38">
        <f t="shared" si="1251"/>
        <v>722.03828558929126</v>
      </c>
      <c r="DM300" s="4" t="e">
        <f t="shared" si="1086"/>
        <v>#REF!</v>
      </c>
      <c r="DN300" s="4">
        <f t="shared" si="1252"/>
        <v>2.7386127875258306</v>
      </c>
      <c r="DO300" s="4">
        <f t="shared" si="976"/>
        <v>368.37207075008428</v>
      </c>
      <c r="DS300" s="4">
        <f t="shared" si="1253"/>
        <v>0.85</v>
      </c>
      <c r="DT300" s="4">
        <f t="shared" si="1254"/>
        <v>0.85499999999999998</v>
      </c>
      <c r="DU300" s="4">
        <f t="shared" si="1255"/>
        <v>0.77500000000000002</v>
      </c>
      <c r="DV300" s="4">
        <f t="shared" si="1087"/>
        <v>0.7</v>
      </c>
      <c r="DX300" s="4">
        <f t="shared" si="1256"/>
        <v>686.12160785175342</v>
      </c>
      <c r="DY300" s="25">
        <f t="shared" si="1146"/>
        <v>364.92348931844867</v>
      </c>
      <c r="EA300" s="4">
        <f t="shared" si="1147"/>
        <v>0.59499999999999997</v>
      </c>
      <c r="EB300" s="4">
        <f t="shared" si="1257"/>
        <v>9.7866580905942957</v>
      </c>
      <c r="EE300" s="4">
        <f t="shared" si="1258"/>
        <v>69.56076480315609</v>
      </c>
      <c r="EF300" s="4">
        <f t="shared" si="1088"/>
        <v>2.7386127875258306</v>
      </c>
      <c r="EG300" s="4">
        <f t="shared" si="1259"/>
        <v>0.13149154384020617</v>
      </c>
      <c r="EJ300" s="4">
        <f t="shared" si="1089"/>
        <v>0.13149154384020617</v>
      </c>
      <c r="EK300" s="4">
        <f t="shared" si="1260"/>
        <v>0.37635283546632642</v>
      </c>
      <c r="EL300" s="4">
        <f t="shared" si="1090"/>
        <v>6.6202210816600546</v>
      </c>
      <c r="EM300" s="4">
        <f t="shared" si="1091"/>
        <v>8.3553644821317707</v>
      </c>
      <c r="EN300" s="4" t="e">
        <f t="shared" si="1092"/>
        <v>#REF!</v>
      </c>
      <c r="EO300" s="4" t="e">
        <f t="shared" si="1093"/>
        <v>#REF!</v>
      </c>
      <c r="EP300" s="4" t="e">
        <f t="shared" si="1261"/>
        <v>#REF!</v>
      </c>
      <c r="EQ300" s="4" t="e">
        <f t="shared" si="1094"/>
        <v>#REF!</v>
      </c>
      <c r="ER300" s="4" t="e">
        <f t="shared" si="1262"/>
        <v>#REF!</v>
      </c>
      <c r="FA300" s="23" t="e">
        <f t="shared" si="1042"/>
        <v>#REF!</v>
      </c>
      <c r="FB300" s="23" t="e">
        <f t="shared" si="1043"/>
        <v>#REF!</v>
      </c>
      <c r="FC300" s="23">
        <f t="shared" si="981"/>
        <v>1.6</v>
      </c>
      <c r="FD300" s="23" t="e">
        <f t="shared" si="1044"/>
        <v>#REF!</v>
      </c>
      <c r="FE300" s="23">
        <f t="shared" si="1045"/>
        <v>1.2</v>
      </c>
      <c r="FF300" s="23">
        <f t="shared" si="1046"/>
        <v>1.2</v>
      </c>
      <c r="FG300" s="23">
        <f t="shared" si="1266"/>
        <v>0</v>
      </c>
      <c r="FH300" s="23"/>
      <c r="FR300" s="4">
        <f t="shared" si="1122"/>
        <v>1.25</v>
      </c>
      <c r="FS300" s="4">
        <f t="shared" si="1123"/>
        <v>0.43787748058671272</v>
      </c>
      <c r="FT300" s="4">
        <f t="shared" si="1124"/>
        <v>0.3</v>
      </c>
      <c r="FU300" s="4">
        <f t="shared" si="1125"/>
        <v>503.37130806644853</v>
      </c>
    </row>
    <row r="301" spans="2:177" ht="12" customHeight="1" x14ac:dyDescent="0.3">
      <c r="B301" s="24"/>
      <c r="C301" s="48" t="s">
        <v>437</v>
      </c>
      <c r="D301" s="38">
        <f t="shared" si="1214"/>
        <v>799.31034482758628</v>
      </c>
      <c r="E301" s="38">
        <f>8*25.4</f>
        <v>203.2</v>
      </c>
      <c r="F301" s="38">
        <f>5900/145</f>
        <v>40.689655172413794</v>
      </c>
      <c r="G301" s="38">
        <f t="shared" si="1016"/>
        <v>25.4</v>
      </c>
      <c r="H301" s="38">
        <f>17.3*25.4</f>
        <v>439.42</v>
      </c>
      <c r="I301" s="38">
        <f>2.65*25.4</f>
        <v>67.309999999999988</v>
      </c>
      <c r="J301" s="39">
        <f>3.4*25.4</f>
        <v>86.36</v>
      </c>
      <c r="K301" s="7">
        <f t="shared" si="986"/>
        <v>254.00000000000003</v>
      </c>
      <c r="L301" s="38">
        <v>2</v>
      </c>
      <c r="M301" s="4">
        <f t="shared" si="1028"/>
        <v>260.34999999999997</v>
      </c>
      <c r="N301" s="7">
        <f t="shared" si="1224"/>
        <v>3.1499999999999995</v>
      </c>
      <c r="O301" s="7">
        <f t="shared" si="1225"/>
        <v>3.1499999999999995</v>
      </c>
      <c r="P301" s="38">
        <v>4.5</v>
      </c>
      <c r="Q301" s="4">
        <f t="shared" si="1017"/>
        <v>4.5</v>
      </c>
      <c r="R301" s="4">
        <f t="shared" si="1226"/>
        <v>5.5</v>
      </c>
      <c r="S301" s="7">
        <f t="shared" si="1227"/>
        <v>59.568280149757555</v>
      </c>
      <c r="V301" s="38">
        <f t="shared" si="1054"/>
        <v>597.24137931034488</v>
      </c>
      <c r="W301" s="4">
        <v>86.6</v>
      </c>
      <c r="X301" s="4">
        <f t="shared" si="1228"/>
        <v>1.0263095681968797</v>
      </c>
      <c r="Y301" s="38">
        <f t="shared" si="1222"/>
        <v>12.7</v>
      </c>
      <c r="Z301" s="38">
        <v>10</v>
      </c>
      <c r="AA301" s="39">
        <f t="shared" si="1265"/>
        <v>76.199999999999989</v>
      </c>
      <c r="AB301" s="39">
        <v>3</v>
      </c>
      <c r="AC301" s="39">
        <v>2</v>
      </c>
      <c r="AD301" s="7"/>
      <c r="AE301" s="4">
        <f t="shared" si="1229"/>
        <v>203.2</v>
      </c>
      <c r="AF301" s="4">
        <f t="shared" si="1230"/>
        <v>0.72083333333333333</v>
      </c>
      <c r="AG301" s="4">
        <f t="shared" si="1231"/>
        <v>182.32249269813812</v>
      </c>
      <c r="AH301" s="4">
        <f t="shared" si="1232"/>
        <v>0.77874999999999994</v>
      </c>
      <c r="AI301" s="4">
        <v>1.25</v>
      </c>
      <c r="AJ301" s="4">
        <f t="shared" si="1154"/>
        <v>2.5</v>
      </c>
      <c r="AK301" s="38">
        <f t="shared" si="988"/>
        <v>319.83294174011439</v>
      </c>
      <c r="AL301" s="38">
        <f t="shared" si="1264"/>
        <v>319.83294174011439</v>
      </c>
      <c r="AM301" s="38">
        <f t="shared" si="1233"/>
        <v>3.5490375497727622</v>
      </c>
      <c r="AN301" s="38">
        <f t="shared" si="1161"/>
        <v>319.83294174011451</v>
      </c>
      <c r="AO301" s="38">
        <f t="shared" si="1115"/>
        <v>0.99999999999999967</v>
      </c>
      <c r="AP301" s="38">
        <f t="shared" si="1162"/>
        <v>1.7002297973633207</v>
      </c>
      <c r="AQ301" s="4">
        <f t="shared" si="1163"/>
        <v>0</v>
      </c>
      <c r="AR301" s="4" t="e">
        <f>#REF!/G301*F301^0.5/0.19</f>
        <v>#REF!</v>
      </c>
      <c r="AS301" s="4">
        <f t="shared" si="1234"/>
        <v>1</v>
      </c>
      <c r="AT301" s="38">
        <f t="shared" si="1235"/>
        <v>543.78949772490967</v>
      </c>
      <c r="AU301" s="4">
        <f t="shared" si="1236"/>
        <v>0.37</v>
      </c>
      <c r="AV301" s="4" t="e">
        <f>AU301*D301*#REF!/(D301*G301/2.75/F301^0.5)</f>
        <v>#REF!</v>
      </c>
      <c r="AW301" s="4" t="e">
        <f t="shared" si="1068"/>
        <v>#REF!</v>
      </c>
      <c r="AY301" s="4">
        <f t="shared" si="1237"/>
        <v>1.5</v>
      </c>
      <c r="AZ301" s="4" t="e">
        <f>(3*#REF!+30)*AY301*F301^0.5</f>
        <v>#REF!</v>
      </c>
      <c r="BB301" s="4">
        <f t="shared" si="1238"/>
        <v>521.56062944040264</v>
      </c>
      <c r="BC301" s="4">
        <f t="shared" si="1103"/>
        <v>0</v>
      </c>
      <c r="BD301" s="4">
        <f t="shared" si="1069"/>
        <v>0</v>
      </c>
      <c r="BL301" s="4">
        <f t="shared" si="1239"/>
        <v>67.309999999999988</v>
      </c>
      <c r="BP301" s="9"/>
      <c r="BR301" s="9"/>
      <c r="BS301" s="9"/>
      <c r="BT301" s="9">
        <f t="shared" si="1240"/>
        <v>67.309999999999988</v>
      </c>
      <c r="BU301" s="9">
        <f t="shared" si="1241"/>
        <v>127.00000000000001</v>
      </c>
      <c r="BV301" s="9">
        <f t="shared" si="1242"/>
        <v>1.7905298128039189</v>
      </c>
      <c r="BW301" s="40">
        <f t="shared" si="1018"/>
        <v>20</v>
      </c>
      <c r="BX301" s="9">
        <f t="shared" si="1243"/>
        <v>0.05</v>
      </c>
      <c r="BY301" s="9">
        <f t="shared" si="1070"/>
        <v>0.8</v>
      </c>
      <c r="BZ301" s="9">
        <f t="shared" si="1244"/>
        <v>0.99524931562137331</v>
      </c>
      <c r="CA301" s="9">
        <f t="shared" si="1245"/>
        <v>0.68048275862068963</v>
      </c>
      <c r="CB301" s="9">
        <f t="shared" si="1246"/>
        <v>1.51202531590344</v>
      </c>
      <c r="CC301" s="9">
        <f t="shared" si="1247"/>
        <v>3.7800632897586</v>
      </c>
      <c r="CD301" s="40">
        <v>1</v>
      </c>
      <c r="CE301" s="9" t="e">
        <f>4*CC301*#REF!+60*CC301</f>
        <v>#REF!</v>
      </c>
      <c r="CG301" s="4" t="e">
        <f t="shared" si="1071"/>
        <v>#REF!</v>
      </c>
      <c r="CH301" s="4" t="e">
        <f t="shared" si="1072"/>
        <v>#REF!</v>
      </c>
      <c r="CI301" s="4" t="e">
        <f t="shared" si="1073"/>
        <v>#REF!</v>
      </c>
      <c r="CJ301" s="4" t="e">
        <f t="shared" si="1074"/>
        <v>#REF!</v>
      </c>
      <c r="CK301" s="4">
        <f t="shared" si="1075"/>
        <v>1.0263095681968797</v>
      </c>
      <c r="CL301" s="4">
        <f t="shared" si="1076"/>
        <v>1.0849879495526928</v>
      </c>
      <c r="CM301" s="4">
        <f t="shared" si="978"/>
        <v>1.2980121403329294</v>
      </c>
      <c r="CN301" s="4">
        <f t="shared" si="1019"/>
        <v>10</v>
      </c>
      <c r="CU301" s="4" t="e">
        <f t="shared" si="1216"/>
        <v>#REF!</v>
      </c>
      <c r="CV301" s="4" t="e">
        <f t="shared" si="1217"/>
        <v>#REF!</v>
      </c>
      <c r="CW301" s="4" t="e">
        <f t="shared" si="1218"/>
        <v>#REF!</v>
      </c>
      <c r="CX301" s="4">
        <f t="shared" si="1219"/>
        <v>1.2980121403329294</v>
      </c>
      <c r="CY301" s="4">
        <f t="shared" si="1220"/>
        <v>1.0263095681968797</v>
      </c>
      <c r="CZ301" s="4">
        <f t="shared" si="1221"/>
        <v>1.0849879495526928</v>
      </c>
      <c r="DC301" s="4" t="e">
        <f>#REF!</f>
        <v>#REF!</v>
      </c>
      <c r="DF301" s="4">
        <f t="shared" si="1248"/>
        <v>1.5370042074309613E-5</v>
      </c>
      <c r="DG301" s="4">
        <f t="shared" si="1083"/>
        <v>9.7866580905942957</v>
      </c>
      <c r="DH301" s="4">
        <f t="shared" si="1249"/>
        <v>0.40486348345474776</v>
      </c>
      <c r="DI301" s="4">
        <f t="shared" si="1084"/>
        <v>6.8164438083910133</v>
      </c>
      <c r="DJ301" s="4">
        <f t="shared" si="1085"/>
        <v>8.4337539253618328</v>
      </c>
      <c r="DK301" s="4">
        <f t="shared" si="1250"/>
        <v>9.3574628859365134</v>
      </c>
      <c r="DL301" s="38">
        <f t="shared" si="1251"/>
        <v>581.93102531396698</v>
      </c>
      <c r="DM301" s="4" t="e">
        <f t="shared" si="1086"/>
        <v>#REF!</v>
      </c>
      <c r="DN301" s="4">
        <f t="shared" si="1252"/>
        <v>2.3452078799117149</v>
      </c>
      <c r="DO301" s="4">
        <f t="shared" si="976"/>
        <v>319.83294174011451</v>
      </c>
      <c r="DS301" s="4">
        <f t="shared" si="1253"/>
        <v>0.85</v>
      </c>
      <c r="DT301" s="4">
        <f t="shared" si="1254"/>
        <v>0.83499999999999996</v>
      </c>
      <c r="DU301" s="4">
        <f t="shared" si="1255"/>
        <v>0.77500000000000002</v>
      </c>
      <c r="DV301" s="4">
        <f t="shared" si="1087"/>
        <v>0.7</v>
      </c>
      <c r="DX301" s="4">
        <f t="shared" si="1256"/>
        <v>550.45899777649061</v>
      </c>
      <c r="DY301" s="25">
        <f t="shared" si="1146"/>
        <v>315.57920360222749</v>
      </c>
      <c r="EA301" s="4">
        <f t="shared" si="1147"/>
        <v>0.59499999999999997</v>
      </c>
      <c r="EB301" s="4">
        <f t="shared" si="1257"/>
        <v>9.7866580905942957</v>
      </c>
      <c r="EE301" s="4">
        <f t="shared" si="1258"/>
        <v>59.568280149757555</v>
      </c>
      <c r="EF301" s="4">
        <f t="shared" si="1088"/>
        <v>2.3452078799117149</v>
      </c>
      <c r="EG301" s="4">
        <f t="shared" si="1259"/>
        <v>0.14121664115599541</v>
      </c>
      <c r="EJ301" s="4">
        <f t="shared" si="1089"/>
        <v>0.14121664115599541</v>
      </c>
      <c r="EK301" s="4">
        <f t="shared" si="1260"/>
        <v>0.40418784175715761</v>
      </c>
      <c r="EL301" s="4">
        <f t="shared" si="1090"/>
        <v>6.8118913786342432</v>
      </c>
      <c r="EM301" s="4">
        <f t="shared" si="1091"/>
        <v>8.4319173401450929</v>
      </c>
      <c r="EN301" s="4" t="e">
        <f t="shared" si="1092"/>
        <v>#REF!</v>
      </c>
      <c r="EO301" s="4" t="e">
        <f t="shared" si="1093"/>
        <v>#REF!</v>
      </c>
      <c r="EP301" s="4" t="e">
        <f t="shared" si="1261"/>
        <v>#REF!</v>
      </c>
      <c r="EQ301" s="4" t="e">
        <f t="shared" si="1094"/>
        <v>#REF!</v>
      </c>
      <c r="ER301" s="4" t="e">
        <f t="shared" si="1262"/>
        <v>#REF!</v>
      </c>
      <c r="EU301" s="4">
        <f t="shared" ref="EU301:EU302" si="1267">5.25*25.4</f>
        <v>133.35</v>
      </c>
      <c r="FA301" s="23" t="e">
        <f t="shared" si="1042"/>
        <v>#REF!</v>
      </c>
      <c r="FB301" s="23" t="e">
        <f t="shared" si="1043"/>
        <v>#REF!</v>
      </c>
      <c r="FC301" s="23">
        <f t="shared" si="981"/>
        <v>1.4</v>
      </c>
      <c r="FD301" s="23" t="e">
        <f t="shared" si="1044"/>
        <v>#REF!</v>
      </c>
      <c r="FE301" s="23">
        <f t="shared" si="1045"/>
        <v>1.2</v>
      </c>
      <c r="FF301" s="23">
        <f t="shared" si="1046"/>
        <v>1.2</v>
      </c>
      <c r="FG301" s="23">
        <f t="shared" si="1266"/>
        <v>0</v>
      </c>
      <c r="FH301" s="23"/>
      <c r="FR301" s="4">
        <f t="shared" si="1122"/>
        <v>1</v>
      </c>
      <c r="FS301" s="4">
        <f t="shared" si="1123"/>
        <v>0.43787748058671272</v>
      </c>
      <c r="FT301" s="4">
        <f t="shared" si="1124"/>
        <v>0.3</v>
      </c>
      <c r="FU301" s="4">
        <f t="shared" si="1125"/>
        <v>460.12002565488899</v>
      </c>
    </row>
    <row r="302" spans="2:177" ht="12" customHeight="1" x14ac:dyDescent="0.3">
      <c r="B302" s="24"/>
      <c r="C302" s="48" t="s">
        <v>438</v>
      </c>
      <c r="D302" s="38">
        <f t="shared" si="1214"/>
        <v>799.31034482758628</v>
      </c>
      <c r="E302" s="38">
        <f>11.13*25.4</f>
        <v>282.702</v>
      </c>
      <c r="F302" s="38">
        <f>5900/145</f>
        <v>40.689655172413794</v>
      </c>
      <c r="G302" s="38">
        <f t="shared" si="1016"/>
        <v>25.4</v>
      </c>
      <c r="H302" s="38">
        <f>16.6*25.4</f>
        <v>421.64</v>
      </c>
      <c r="I302" s="38">
        <f>2.45*25.4</f>
        <v>62.230000000000004</v>
      </c>
      <c r="J302" s="39">
        <f>3.15*25.4</f>
        <v>80.009999999999991</v>
      </c>
      <c r="K302" s="7">
        <f t="shared" si="986"/>
        <v>246.37999999999997</v>
      </c>
      <c r="L302" s="38">
        <v>2</v>
      </c>
      <c r="M302" s="4">
        <f t="shared" si="1028"/>
        <v>260.34999999999997</v>
      </c>
      <c r="N302" s="7">
        <f t="shared" si="1224"/>
        <v>2.95</v>
      </c>
      <c r="O302" s="7">
        <f t="shared" si="1225"/>
        <v>2.95</v>
      </c>
      <c r="P302" s="38">
        <v>4.5</v>
      </c>
      <c r="Q302" s="4">
        <f t="shared" si="1017"/>
        <v>4.5</v>
      </c>
      <c r="R302" s="4">
        <f t="shared" si="1226"/>
        <v>5.5</v>
      </c>
      <c r="S302" s="7">
        <f t="shared" si="1227"/>
        <v>59.568280149757555</v>
      </c>
      <c r="V302" s="38">
        <f t="shared" si="1054"/>
        <v>717.93103448275861</v>
      </c>
      <c r="W302" s="4">
        <v>104.1</v>
      </c>
      <c r="X302" s="4">
        <f t="shared" si="1228"/>
        <v>0.99617785069192466</v>
      </c>
      <c r="Y302" s="38">
        <f t="shared" si="1222"/>
        <v>12.7</v>
      </c>
      <c r="Z302" s="38">
        <v>10</v>
      </c>
      <c r="AA302" s="39">
        <f t="shared" si="1265"/>
        <v>76.199999999999989</v>
      </c>
      <c r="AB302" s="39">
        <v>3</v>
      </c>
      <c r="AC302" s="39">
        <v>2</v>
      </c>
      <c r="AD302" s="7"/>
      <c r="AE302" s="4">
        <f t="shared" si="1229"/>
        <v>282.702</v>
      </c>
      <c r="AF302" s="4">
        <f t="shared" si="1230"/>
        <v>0.49715483677747829</v>
      </c>
      <c r="AG302" s="4">
        <f t="shared" si="1231"/>
        <v>299.19064902706572</v>
      </c>
      <c r="AH302" s="4">
        <f t="shared" si="1232"/>
        <v>0.75300988319856244</v>
      </c>
      <c r="AI302" s="4">
        <v>1.25</v>
      </c>
      <c r="AJ302" s="4">
        <f t="shared" si="1154"/>
        <v>2.5</v>
      </c>
      <c r="AK302" s="38">
        <f t="shared" si="988"/>
        <v>350.01800316845885</v>
      </c>
      <c r="AL302" s="38">
        <f t="shared" si="1264"/>
        <v>350.01800316845885</v>
      </c>
      <c r="AM302" s="38">
        <f t="shared" si="1233"/>
        <v>3.5490375497727622</v>
      </c>
      <c r="AN302" s="38">
        <f t="shared" si="1161"/>
        <v>350.01800316845902</v>
      </c>
      <c r="AO302" s="38">
        <f t="shared" si="1115"/>
        <v>0.99999999999999956</v>
      </c>
      <c r="AP302" s="38">
        <f t="shared" si="1162"/>
        <v>1.4549628184809134</v>
      </c>
      <c r="AQ302" s="4">
        <f t="shared" si="1163"/>
        <v>0</v>
      </c>
      <c r="AR302" s="4" t="e">
        <f>#REF!/G302*F302^0.5/0.19</f>
        <v>#REF!</v>
      </c>
      <c r="AS302" s="4">
        <f t="shared" si="1234"/>
        <v>1</v>
      </c>
      <c r="AT302" s="38">
        <f t="shared" si="1235"/>
        <v>509.26318040904238</v>
      </c>
      <c r="AU302" s="4">
        <f t="shared" si="1236"/>
        <v>0.37</v>
      </c>
      <c r="AV302" s="4" t="e">
        <f>AU302*D302*#REF!/(D302*G302/2.75/F302^0.5)</f>
        <v>#REF!</v>
      </c>
      <c r="AW302" s="4" t="e">
        <f t="shared" si="1068"/>
        <v>#REF!</v>
      </c>
      <c r="AY302" s="4">
        <f t="shared" si="1237"/>
        <v>1.5</v>
      </c>
      <c r="AZ302" s="4" t="e">
        <f>(3*#REF!+30)*AY302*F302^0.5</f>
        <v>#REF!</v>
      </c>
      <c r="BB302" s="4">
        <f t="shared" si="1238"/>
        <v>488.44566884101204</v>
      </c>
      <c r="BC302" s="4">
        <f t="shared" si="1103"/>
        <v>0</v>
      </c>
      <c r="BD302" s="4">
        <f t="shared" si="1069"/>
        <v>0</v>
      </c>
      <c r="BL302" s="4">
        <f t="shared" si="1239"/>
        <v>62.230000000000004</v>
      </c>
      <c r="BP302" s="9"/>
      <c r="BR302" s="9"/>
      <c r="BS302" s="9"/>
      <c r="BT302" s="9">
        <f t="shared" si="1240"/>
        <v>62.230000000000004</v>
      </c>
      <c r="BU302" s="9">
        <f t="shared" si="1241"/>
        <v>123.18999999999998</v>
      </c>
      <c r="BV302" s="9">
        <f t="shared" si="1242"/>
        <v>1.7340810420811554</v>
      </c>
      <c r="BW302" s="40">
        <f t="shared" si="1018"/>
        <v>20</v>
      </c>
      <c r="BX302" s="9">
        <f t="shared" si="1243"/>
        <v>0.05</v>
      </c>
      <c r="BY302" s="9">
        <f t="shared" si="1070"/>
        <v>0.8</v>
      </c>
      <c r="BZ302" s="9">
        <f t="shared" si="1244"/>
        <v>0.99524931562137331</v>
      </c>
      <c r="CA302" s="9">
        <f t="shared" si="1245"/>
        <v>0.68048275862068963</v>
      </c>
      <c r="CB302" s="9">
        <f t="shared" si="1246"/>
        <v>1.51202531590344</v>
      </c>
      <c r="CC302" s="9">
        <f t="shared" si="1247"/>
        <v>3.7800632897586</v>
      </c>
      <c r="CD302" s="40">
        <v>1</v>
      </c>
      <c r="CE302" s="9" t="e">
        <f>4*CC302*#REF!+60*CC302</f>
        <v>#REF!</v>
      </c>
      <c r="CG302" s="4" t="e">
        <f t="shared" si="1071"/>
        <v>#REF!</v>
      </c>
      <c r="CH302" s="4" t="e">
        <f t="shared" si="1072"/>
        <v>#REF!</v>
      </c>
      <c r="CI302" s="4" t="e">
        <f t="shared" si="1073"/>
        <v>#REF!</v>
      </c>
      <c r="CJ302" s="4" t="e">
        <f t="shared" si="1074"/>
        <v>#REF!</v>
      </c>
      <c r="CK302" s="4">
        <f t="shared" si="1075"/>
        <v>0.99617785069192466</v>
      </c>
      <c r="CL302" s="4">
        <f t="shared" si="1076"/>
        <v>1.0658353776281775</v>
      </c>
      <c r="CM302" s="4">
        <f t="shared" si="978"/>
        <v>1.4018980369375771</v>
      </c>
      <c r="CN302" s="4">
        <f t="shared" si="1019"/>
        <v>10</v>
      </c>
      <c r="CU302" s="4" t="e">
        <f t="shared" si="1216"/>
        <v>#REF!</v>
      </c>
      <c r="CV302" s="4" t="e">
        <f t="shared" si="1217"/>
        <v>#REF!</v>
      </c>
      <c r="CW302" s="4" t="e">
        <f t="shared" si="1218"/>
        <v>#REF!</v>
      </c>
      <c r="CX302" s="4">
        <f t="shared" si="1219"/>
        <v>1.4018980369375771</v>
      </c>
      <c r="CY302" s="4">
        <f t="shared" si="1220"/>
        <v>0.99617785069192466</v>
      </c>
      <c r="CZ302" s="4">
        <f t="shared" si="1221"/>
        <v>1.0658353776281775</v>
      </c>
      <c r="DC302" s="4" t="e">
        <f>#REF!</f>
        <v>#REF!</v>
      </c>
      <c r="DF302" s="4">
        <f t="shared" si="1248"/>
        <v>2.138357103588325E-5</v>
      </c>
      <c r="DG302" s="4">
        <f t="shared" si="1083"/>
        <v>9.7866580905942957</v>
      </c>
      <c r="DH302" s="4">
        <f t="shared" si="1249"/>
        <v>0.44307352226965302</v>
      </c>
      <c r="DI302" s="4">
        <f t="shared" si="1084"/>
        <v>7.0668314807790713</v>
      </c>
      <c r="DJ302" s="4">
        <f t="shared" si="1085"/>
        <v>8.5360487312986368</v>
      </c>
      <c r="DK302" s="4">
        <f t="shared" si="1250"/>
        <v>8.9336398603685065</v>
      </c>
      <c r="DL302" s="38">
        <f t="shared" si="1251"/>
        <v>720.68560245953915</v>
      </c>
      <c r="DM302" s="4" t="e">
        <f t="shared" si="1086"/>
        <v>#REF!</v>
      </c>
      <c r="DN302" s="4">
        <f t="shared" si="1252"/>
        <v>2.3452078799117149</v>
      </c>
      <c r="DO302" s="4">
        <f t="shared" si="976"/>
        <v>350.01800316845902</v>
      </c>
      <c r="DS302" s="4">
        <f t="shared" si="1253"/>
        <v>0.85</v>
      </c>
      <c r="DT302" s="4">
        <f t="shared" si="1254"/>
        <v>0.85499999999999998</v>
      </c>
      <c r="DU302" s="4">
        <f t="shared" si="1255"/>
        <v>0.77500000000000002</v>
      </c>
      <c r="DV302" s="4">
        <f t="shared" si="1087"/>
        <v>0.7</v>
      </c>
      <c r="DX302" s="4">
        <f t="shared" si="1256"/>
        <v>673.58529239326185</v>
      </c>
      <c r="DY302" s="25">
        <f t="shared" si="1146"/>
        <v>346.80877874831833</v>
      </c>
      <c r="EA302" s="4">
        <f t="shared" si="1147"/>
        <v>0.59499999999999997</v>
      </c>
      <c r="EB302" s="4">
        <f t="shared" si="1257"/>
        <v>9.7866580905942957</v>
      </c>
      <c r="EE302" s="4">
        <f t="shared" si="1258"/>
        <v>59.568280149757555</v>
      </c>
      <c r="EF302" s="4">
        <f t="shared" si="1088"/>
        <v>2.3452078799117149</v>
      </c>
      <c r="EG302" s="4">
        <f t="shared" si="1259"/>
        <v>0.15454432705603594</v>
      </c>
      <c r="EJ302" s="4">
        <f t="shared" si="1089"/>
        <v>0.15454432705603594</v>
      </c>
      <c r="EK302" s="4">
        <f t="shared" si="1260"/>
        <v>0.44233411513866389</v>
      </c>
      <c r="EL302" s="4">
        <f t="shared" si="1090"/>
        <v>7.0621118271262979</v>
      </c>
      <c r="EM302" s="4">
        <f t="shared" si="1091"/>
        <v>8.5340975732255</v>
      </c>
      <c r="EN302" s="4" t="e">
        <f t="shared" si="1092"/>
        <v>#REF!</v>
      </c>
      <c r="EO302" s="4" t="e">
        <f t="shared" si="1093"/>
        <v>#REF!</v>
      </c>
      <c r="EP302" s="4" t="e">
        <f t="shared" si="1261"/>
        <v>#REF!</v>
      </c>
      <c r="EQ302" s="4" t="e">
        <f t="shared" si="1094"/>
        <v>#REF!</v>
      </c>
      <c r="ER302" s="4" t="e">
        <f t="shared" si="1262"/>
        <v>#REF!</v>
      </c>
      <c r="EU302" s="4">
        <f t="shared" si="1267"/>
        <v>133.35</v>
      </c>
      <c r="FA302" s="23" t="e">
        <f t="shared" si="1042"/>
        <v>#REF!</v>
      </c>
      <c r="FB302" s="23" t="e">
        <f t="shared" si="1043"/>
        <v>#REF!</v>
      </c>
      <c r="FC302" s="23">
        <f t="shared" si="981"/>
        <v>1.6</v>
      </c>
      <c r="FD302" s="23" t="e">
        <f t="shared" si="1044"/>
        <v>#REF!</v>
      </c>
      <c r="FE302" s="23">
        <f t="shared" si="1045"/>
        <v>1</v>
      </c>
      <c r="FF302" s="23">
        <f t="shared" si="1046"/>
        <v>1.2</v>
      </c>
      <c r="FG302" s="23">
        <f t="shared" si="1266"/>
        <v>0</v>
      </c>
      <c r="FH302" s="23"/>
      <c r="FR302" s="4">
        <f t="shared" si="1122"/>
        <v>1.25</v>
      </c>
      <c r="FS302" s="4">
        <f t="shared" si="1123"/>
        <v>0.43787748058671272</v>
      </c>
      <c r="FT302" s="4">
        <f t="shared" si="1124"/>
        <v>0.3</v>
      </c>
      <c r="FU302" s="4">
        <f t="shared" si="1125"/>
        <v>512.11358855389153</v>
      </c>
    </row>
    <row r="303" spans="2:177" ht="12" customHeight="1" x14ac:dyDescent="0.3">
      <c r="B303" s="24" t="s">
        <v>439</v>
      </c>
      <c r="C303" s="7" t="s">
        <v>440</v>
      </c>
      <c r="D303" s="38">
        <f>120/0.145</f>
        <v>827.58620689655174</v>
      </c>
      <c r="E303" s="38">
        <f>14.38*25.4</f>
        <v>365.25200000000001</v>
      </c>
      <c r="F303" s="38">
        <f>4970/145</f>
        <v>34.275862068965516</v>
      </c>
      <c r="G303" s="38">
        <f t="shared" si="1016"/>
        <v>25.4</v>
      </c>
      <c r="H303" s="38">
        <f>17*25.4</f>
        <v>431.79999999999995</v>
      </c>
      <c r="I303" s="38">
        <f>2.55*25.4</f>
        <v>64.77</v>
      </c>
      <c r="J303" s="39">
        <f>3.25*25.4</f>
        <v>82.55</v>
      </c>
      <c r="K303" s="7">
        <f t="shared" si="986"/>
        <v>251.45999999999995</v>
      </c>
      <c r="L303" s="38">
        <v>2</v>
      </c>
      <c r="M303" s="4">
        <f t="shared" si="1028"/>
        <v>260.34999999999997</v>
      </c>
      <c r="N303" s="7">
        <f t="shared" si="1224"/>
        <v>3.05</v>
      </c>
      <c r="O303" s="7">
        <f t="shared" si="1225"/>
        <v>3.05</v>
      </c>
      <c r="P303" s="38">
        <v>9.5</v>
      </c>
      <c r="Q303" s="4">
        <f t="shared" si="1017"/>
        <v>9.5</v>
      </c>
      <c r="R303" s="4">
        <f t="shared" si="1226"/>
        <v>10.5</v>
      </c>
      <c r="S303" s="7">
        <f t="shared" si="1227"/>
        <v>82.305406869779816</v>
      </c>
      <c r="V303" s="38">
        <f t="shared" si="1054"/>
        <v>800</v>
      </c>
      <c r="W303" s="4">
        <v>116</v>
      </c>
      <c r="X303" s="4">
        <f t="shared" si="1228"/>
        <v>1.1112596892664182</v>
      </c>
      <c r="Y303" s="38"/>
      <c r="Z303" s="38"/>
      <c r="AA303" s="39">
        <v>1</v>
      </c>
      <c r="AB303" s="39"/>
      <c r="AC303" s="39"/>
      <c r="AD303" s="7"/>
      <c r="AE303" s="4">
        <f t="shared" si="1229"/>
        <v>365.25200000000001</v>
      </c>
      <c r="AF303" s="4">
        <f t="shared" si="1230"/>
        <v>0.39406583217431618</v>
      </c>
      <c r="AG303" s="4">
        <f t="shared" si="1231"/>
        <v>403.26988090113554</v>
      </c>
      <c r="AH303" s="4">
        <f t="shared" si="1232"/>
        <v>0.74242002781641159</v>
      </c>
      <c r="AI303" s="4">
        <v>1.25</v>
      </c>
      <c r="AJ303" s="4">
        <f t="shared" si="1154"/>
        <v>2.5</v>
      </c>
      <c r="AK303" s="38">
        <f t="shared" si="988"/>
        <v>368.69247039684859</v>
      </c>
      <c r="AL303" s="38">
        <f t="shared" si="1264"/>
        <v>368.69247039684859</v>
      </c>
      <c r="AM303" s="38">
        <f t="shared" si="1233"/>
        <v>3.1655330029957871</v>
      </c>
      <c r="AN303" s="38">
        <f t="shared" si="1161"/>
        <v>368.69247039684876</v>
      </c>
      <c r="AO303" s="38">
        <f t="shared" si="1115"/>
        <v>0.99999999999999956</v>
      </c>
      <c r="AP303" s="38">
        <f t="shared" si="1162"/>
        <v>1.7478966733894243</v>
      </c>
      <c r="AQ303" s="4">
        <f t="shared" si="1163"/>
        <v>0</v>
      </c>
      <c r="AR303" s="4" t="e">
        <f>#REF!/G303*F303^0.5/0.19</f>
        <v>#REF!</v>
      </c>
      <c r="AS303" s="4">
        <f t="shared" si="1234"/>
        <v>1</v>
      </c>
      <c r="AT303" s="38">
        <f t="shared" si="1235"/>
        <v>644.43634251038077</v>
      </c>
      <c r="AU303" s="4">
        <f t="shared" si="1236"/>
        <v>0.3</v>
      </c>
      <c r="AV303" s="4" t="e">
        <f>AU303*D303*#REF!/(D303*G303/2.75/F303^0.5)</f>
        <v>#REF!</v>
      </c>
      <c r="AW303" s="4" t="e">
        <f t="shared" si="1068"/>
        <v>#REF!</v>
      </c>
      <c r="AY303" s="4">
        <f t="shared" si="1237"/>
        <v>1.3875</v>
      </c>
      <c r="AZ303" s="4" t="e">
        <f>(3*#REF!+30)*AY303*F303^0.5</f>
        <v>#REF!</v>
      </c>
      <c r="BB303" s="4">
        <f t="shared" si="1238"/>
        <v>618.09326189675073</v>
      </c>
      <c r="BC303" s="4">
        <f t="shared" si="1103"/>
        <v>0</v>
      </c>
      <c r="BD303" s="4">
        <f t="shared" si="1069"/>
        <v>0</v>
      </c>
      <c r="BL303" s="4">
        <f t="shared" si="1239"/>
        <v>64.77</v>
      </c>
      <c r="BP303" s="9"/>
      <c r="BR303" s="9"/>
      <c r="BS303" s="9"/>
      <c r="BT303" s="9">
        <f t="shared" si="1240"/>
        <v>64.77</v>
      </c>
      <c r="BU303" s="9">
        <f t="shared" si="1241"/>
        <v>125.72999999999998</v>
      </c>
      <c r="BV303" s="9">
        <f t="shared" si="1242"/>
        <v>1.7639238931775985</v>
      </c>
      <c r="BW303" s="40">
        <f t="shared" si="1018"/>
        <v>0</v>
      </c>
      <c r="BX303" s="9">
        <f t="shared" si="1243"/>
        <v>0</v>
      </c>
      <c r="BY303" s="9">
        <f t="shared" si="1070"/>
        <v>0</v>
      </c>
      <c r="BZ303" s="9">
        <f t="shared" si="1244"/>
        <v>0.99524931562137331</v>
      </c>
      <c r="CA303" s="9">
        <f t="shared" si="1245"/>
        <v>0.68</v>
      </c>
      <c r="CB303" s="9">
        <f t="shared" si="1246"/>
        <v>1.3867655293631655</v>
      </c>
      <c r="CC303" s="9">
        <f t="shared" si="1247"/>
        <v>2.4461488514787684</v>
      </c>
      <c r="CD303" s="40">
        <v>1</v>
      </c>
      <c r="CE303" s="9" t="e">
        <f>4*CC303*#REF!+60*CC303</f>
        <v>#REF!</v>
      </c>
      <c r="CG303" s="4" t="e">
        <f t="shared" si="1071"/>
        <v>#REF!</v>
      </c>
      <c r="CH303" s="4" t="e">
        <f t="shared" si="1072"/>
        <v>#REF!</v>
      </c>
      <c r="CI303" s="4" t="e">
        <f t="shared" si="1073"/>
        <v>#REF!</v>
      </c>
      <c r="CJ303" s="4" t="e">
        <f t="shared" si="1074"/>
        <v>#REF!</v>
      </c>
      <c r="CK303" s="4">
        <f t="shared" si="1075"/>
        <v>1.1112596892664182</v>
      </c>
      <c r="CL303" s="4">
        <f t="shared" si="1076"/>
        <v>1.164038324517964</v>
      </c>
      <c r="CM303" s="4">
        <f t="shared" si="978"/>
        <v>1.15289897228001</v>
      </c>
      <c r="CN303" s="4">
        <f t="shared" si="1019"/>
        <v>0</v>
      </c>
      <c r="CO303" s="4" t="e">
        <f t="shared" ref="CO303:CO304" si="1268">CG303</f>
        <v>#REF!</v>
      </c>
      <c r="CP303" s="4" t="e">
        <f t="shared" ref="CP303:CP304" si="1269">CH303</f>
        <v>#REF!</v>
      </c>
      <c r="CQ303" s="4" t="e">
        <f t="shared" ref="CQ303:CQ304" si="1270">CJ303</f>
        <v>#REF!</v>
      </c>
      <c r="CR303" s="4">
        <f t="shared" ref="CR303:CR304" si="1271">CM303</f>
        <v>1.15289897228001</v>
      </c>
      <c r="CS303" s="4">
        <f t="shared" ref="CS303:CS304" si="1272">CK303</f>
        <v>1.1112596892664182</v>
      </c>
      <c r="CT303" s="4">
        <f t="shared" ref="CT303:CT304" si="1273">CL303</f>
        <v>1.164038324517964</v>
      </c>
      <c r="DC303" s="4" t="e">
        <f>#REF!</f>
        <v>#REF!</v>
      </c>
      <c r="DF303" s="4">
        <f t="shared" si="1248"/>
        <v>2.6459793328600653E-5</v>
      </c>
      <c r="DG303" s="4">
        <f t="shared" si="1083"/>
        <v>7.4409422777504419</v>
      </c>
      <c r="DH303" s="4">
        <f t="shared" si="1249"/>
        <v>0.36261646462402092</v>
      </c>
      <c r="DI303" s="4">
        <f t="shared" si="1084"/>
        <v>4.9591465591001365</v>
      </c>
      <c r="DJ303" s="4">
        <f t="shared" si="1085"/>
        <v>6.3234791386058333</v>
      </c>
      <c r="DK303" s="4">
        <f t="shared" si="1250"/>
        <v>6.6829030000056342</v>
      </c>
      <c r="DL303" s="38">
        <f t="shared" si="1251"/>
        <v>719.90373422805283</v>
      </c>
      <c r="DM303" s="4" t="e">
        <f t="shared" si="1086"/>
        <v>#REF!</v>
      </c>
      <c r="DN303" s="4">
        <f t="shared" si="1252"/>
        <v>3.2403703492039297</v>
      </c>
      <c r="DO303" s="4">
        <f t="shared" si="976"/>
        <v>368.69247039684876</v>
      </c>
      <c r="DS303" s="4">
        <f t="shared" si="1253"/>
        <v>0.85</v>
      </c>
      <c r="DT303" s="4">
        <f t="shared" si="1254"/>
        <v>0.84499999999999997</v>
      </c>
      <c r="DU303" s="4">
        <f t="shared" si="1255"/>
        <v>1</v>
      </c>
      <c r="DV303" s="4">
        <f t="shared" si="1087"/>
        <v>0.84499999999999997</v>
      </c>
      <c r="DX303" s="4">
        <f t="shared" si="1256"/>
        <v>687.26259535422537</v>
      </c>
      <c r="DY303" s="25">
        <f t="shared" si="1146"/>
        <v>366.26034549207128</v>
      </c>
      <c r="EA303" s="4">
        <f t="shared" si="1147"/>
        <v>0.71824999999999994</v>
      </c>
      <c r="EB303" s="4">
        <f t="shared" si="1257"/>
        <v>7.4409422777504419</v>
      </c>
      <c r="EE303" s="4">
        <f t="shared" si="1258"/>
        <v>82.305406869779816</v>
      </c>
      <c r="EF303" s="4">
        <f t="shared" si="1088"/>
        <v>3.2403703492039302</v>
      </c>
      <c r="EG303" s="4">
        <f t="shared" si="1259"/>
        <v>0.11608523316367027</v>
      </c>
      <c r="EJ303" s="4">
        <f t="shared" si="1089"/>
        <v>0.11608523316367027</v>
      </c>
      <c r="EK303" s="4">
        <f t="shared" si="1260"/>
        <v>0.3620113253270853</v>
      </c>
      <c r="EL303" s="4">
        <f t="shared" si="1090"/>
        <v>4.9558345437738964</v>
      </c>
      <c r="EM303" s="4">
        <f t="shared" si="1091"/>
        <v>6.3221834836221298</v>
      </c>
      <c r="EN303" s="4" t="e">
        <f t="shared" si="1092"/>
        <v>#REF!</v>
      </c>
      <c r="EO303" s="4" t="e">
        <f t="shared" si="1093"/>
        <v>#REF!</v>
      </c>
      <c r="EP303" s="4" t="e">
        <f t="shared" si="1261"/>
        <v>#REF!</v>
      </c>
      <c r="EQ303" s="4" t="e">
        <f t="shared" si="1094"/>
        <v>#REF!</v>
      </c>
      <c r="ER303" s="4" t="e">
        <f t="shared" si="1262"/>
        <v>#REF!</v>
      </c>
      <c r="FA303" s="23" t="e">
        <f t="shared" si="1042"/>
        <v>#REF!</v>
      </c>
      <c r="FB303" s="23" t="e">
        <f t="shared" si="1043"/>
        <v>#REF!</v>
      </c>
      <c r="FC303" s="23">
        <f t="shared" si="981"/>
        <v>1.2</v>
      </c>
      <c r="FD303" s="23" t="e">
        <f t="shared" si="1044"/>
        <v>#REF!</v>
      </c>
      <c r="FE303" s="23">
        <f t="shared" si="1045"/>
        <v>1.2</v>
      </c>
      <c r="FF303" s="23">
        <f t="shared" si="1046"/>
        <v>1.2</v>
      </c>
      <c r="FG303" s="23">
        <f t="shared" si="1266"/>
        <v>0</v>
      </c>
      <c r="FH303" s="23"/>
      <c r="FR303" s="4">
        <f t="shared" si="1122"/>
        <v>1</v>
      </c>
      <c r="FS303" s="4">
        <f t="shared" si="1123"/>
        <v>0.5</v>
      </c>
      <c r="FT303" s="4">
        <f t="shared" si="1124"/>
        <v>0</v>
      </c>
      <c r="FU303" s="4">
        <f t="shared" si="1125"/>
        <v>693.90295180669159</v>
      </c>
    </row>
    <row r="304" spans="2:177" ht="12" customHeight="1" x14ac:dyDescent="0.3">
      <c r="B304" s="24"/>
      <c r="C304" s="48" t="s">
        <v>441</v>
      </c>
      <c r="D304" s="38">
        <f>115.9/0.145</f>
        <v>799.31034482758628</v>
      </c>
      <c r="E304" s="38">
        <f>14.38*25.4</f>
        <v>365.25200000000001</v>
      </c>
      <c r="F304" s="38">
        <f>4970/145</f>
        <v>34.275862068965516</v>
      </c>
      <c r="G304" s="38">
        <f t="shared" si="1016"/>
        <v>25.4</v>
      </c>
      <c r="H304" s="38">
        <f>17.3*25.4</f>
        <v>439.42</v>
      </c>
      <c r="I304" s="38">
        <f>2.65*25.4</f>
        <v>67.309999999999988</v>
      </c>
      <c r="J304" s="39">
        <f>3.2*25.4</f>
        <v>81.28</v>
      </c>
      <c r="K304" s="7">
        <f t="shared" si="986"/>
        <v>254.00000000000003</v>
      </c>
      <c r="L304" s="38">
        <v>2</v>
      </c>
      <c r="M304" s="4">
        <f t="shared" si="1028"/>
        <v>260.34999999999997</v>
      </c>
      <c r="N304" s="7">
        <f t="shared" si="1224"/>
        <v>3.1499999999999995</v>
      </c>
      <c r="O304" s="7">
        <f t="shared" si="1225"/>
        <v>3.1499999999999995</v>
      </c>
      <c r="P304" s="38">
        <v>9.1</v>
      </c>
      <c r="Q304" s="4">
        <f t="shared" si="1017"/>
        <v>9.1</v>
      </c>
      <c r="R304" s="4">
        <f t="shared" si="1226"/>
        <v>10.1</v>
      </c>
      <c r="S304" s="7">
        <f t="shared" si="1227"/>
        <v>80.72246279691916</v>
      </c>
      <c r="V304" s="38">
        <f t="shared" si="1054"/>
        <v>827.58620689655174</v>
      </c>
      <c r="W304" s="4">
        <v>120</v>
      </c>
      <c r="X304" s="4">
        <f t="shared" si="1228"/>
        <v>1.1281282791225913</v>
      </c>
      <c r="Y304" s="38"/>
      <c r="Z304" s="38"/>
      <c r="AA304" s="39">
        <v>1</v>
      </c>
      <c r="AB304" s="39"/>
      <c r="AC304" s="39"/>
      <c r="AD304" s="7"/>
      <c r="AE304" s="4">
        <f t="shared" si="1229"/>
        <v>365.25200000000001</v>
      </c>
      <c r="AF304" s="4">
        <f t="shared" si="1230"/>
        <v>0.40101993509503947</v>
      </c>
      <c r="AG304" s="4">
        <f t="shared" si="1231"/>
        <v>403.26988090113554</v>
      </c>
      <c r="AH304" s="4">
        <f t="shared" si="1232"/>
        <v>0.74381084840055633</v>
      </c>
      <c r="AI304" s="4">
        <v>1.25</v>
      </c>
      <c r="AJ304" s="4">
        <f t="shared" si="1154"/>
        <v>2.5</v>
      </c>
      <c r="AK304" s="38">
        <f t="shared" si="988"/>
        <v>375.90169085254001</v>
      </c>
      <c r="AL304" s="38">
        <f t="shared" si="1264"/>
        <v>375.90169085254001</v>
      </c>
      <c r="AM304" s="38">
        <f t="shared" si="1233"/>
        <v>3.1655330029957871</v>
      </c>
      <c r="AN304" s="38">
        <f t="shared" si="1161"/>
        <v>375.90169085254018</v>
      </c>
      <c r="AO304" s="38">
        <f t="shared" si="1115"/>
        <v>0.99999999999999956</v>
      </c>
      <c r="AP304" s="38">
        <f t="shared" si="1162"/>
        <v>1.7329073864332836</v>
      </c>
      <c r="AQ304" s="4">
        <f t="shared" si="1163"/>
        <v>0</v>
      </c>
      <c r="AR304" s="4" t="e">
        <f>#REF!/G304*F304^0.5/0.19</f>
        <v>#REF!</v>
      </c>
      <c r="AS304" s="4">
        <f t="shared" si="1234"/>
        <v>1</v>
      </c>
      <c r="AT304" s="38">
        <f t="shared" si="1235"/>
        <v>651.40281665112752</v>
      </c>
      <c r="AU304" s="4">
        <f t="shared" si="1236"/>
        <v>0.3</v>
      </c>
      <c r="AV304" s="4" t="e">
        <f>AU304*D304*#REF!/(D304*G304/2.75/F304^0.5)</f>
        <v>#REF!</v>
      </c>
      <c r="AW304" s="4" t="e">
        <f t="shared" si="1068"/>
        <v>#REF!</v>
      </c>
      <c r="AY304" s="4">
        <f t="shared" si="1237"/>
        <v>1.4124999999999999</v>
      </c>
      <c r="AZ304" s="4" t="e">
        <f>(3*#REF!+30)*AY304*F304^0.5</f>
        <v>#REF!</v>
      </c>
      <c r="BB304" s="4">
        <f t="shared" si="1238"/>
        <v>624.77496254199968</v>
      </c>
      <c r="BC304" s="4">
        <f t="shared" si="1103"/>
        <v>0</v>
      </c>
      <c r="BD304" s="4">
        <f t="shared" si="1069"/>
        <v>0</v>
      </c>
      <c r="BL304" s="4">
        <f t="shared" si="1239"/>
        <v>67.309999999999988</v>
      </c>
      <c r="BP304" s="9"/>
      <c r="BR304" s="9"/>
      <c r="BS304" s="9"/>
      <c r="BT304" s="9">
        <f t="shared" si="1240"/>
        <v>67.309999999999988</v>
      </c>
      <c r="BU304" s="9">
        <f t="shared" si="1241"/>
        <v>127.00000000000001</v>
      </c>
      <c r="BV304" s="9">
        <f t="shared" si="1242"/>
        <v>1.7905298128039189</v>
      </c>
      <c r="BW304" s="40">
        <f t="shared" si="1018"/>
        <v>0</v>
      </c>
      <c r="BX304" s="9">
        <f t="shared" si="1243"/>
        <v>0</v>
      </c>
      <c r="BY304" s="9">
        <f t="shared" si="1070"/>
        <v>0</v>
      </c>
      <c r="BZ304" s="9">
        <f t="shared" si="1244"/>
        <v>0.99524931562137331</v>
      </c>
      <c r="CA304" s="9">
        <f t="shared" si="1245"/>
        <v>0.68048275862068963</v>
      </c>
      <c r="CB304" s="9">
        <f t="shared" si="1246"/>
        <v>1.3877500485016585</v>
      </c>
      <c r="CC304" s="9">
        <f t="shared" si="1247"/>
        <v>2.4848078345623041</v>
      </c>
      <c r="CD304" s="40">
        <v>1</v>
      </c>
      <c r="CE304" s="9" t="e">
        <f>4*CC304*#REF!+60*CC304</f>
        <v>#REF!</v>
      </c>
      <c r="CG304" s="4" t="e">
        <f t="shared" si="1071"/>
        <v>#REF!</v>
      </c>
      <c r="CH304" s="4" t="e">
        <f t="shared" si="1072"/>
        <v>#REF!</v>
      </c>
      <c r="CI304" s="4" t="e">
        <f t="shared" si="1073"/>
        <v>#REF!</v>
      </c>
      <c r="CJ304" s="4" t="e">
        <f t="shared" si="1074"/>
        <v>#REF!</v>
      </c>
      <c r="CK304" s="4">
        <f t="shared" si="1075"/>
        <v>1.1281282791225913</v>
      </c>
      <c r="CL304" s="4">
        <f t="shared" si="1076"/>
        <v>1.1851863092498804</v>
      </c>
      <c r="CM304" s="4">
        <f t="shared" si="978"/>
        <v>1.1926541092551828</v>
      </c>
      <c r="CN304" s="4">
        <f t="shared" si="1019"/>
        <v>0</v>
      </c>
      <c r="CO304" s="4" t="e">
        <f t="shared" si="1268"/>
        <v>#REF!</v>
      </c>
      <c r="CP304" s="4" t="e">
        <f t="shared" si="1269"/>
        <v>#REF!</v>
      </c>
      <c r="CQ304" s="4" t="e">
        <f t="shared" si="1270"/>
        <v>#REF!</v>
      </c>
      <c r="CR304" s="4">
        <f t="shared" si="1271"/>
        <v>1.1926541092551828</v>
      </c>
      <c r="CS304" s="4">
        <f t="shared" si="1272"/>
        <v>1.1281282791225913</v>
      </c>
      <c r="CT304" s="4">
        <f t="shared" si="1273"/>
        <v>1.1851863092498804</v>
      </c>
      <c r="DC304" s="4" t="e">
        <f>#REF!</f>
        <v>#REF!</v>
      </c>
      <c r="DF304" s="4">
        <f t="shared" si="1248"/>
        <v>2.6459793328600653E-5</v>
      </c>
      <c r="DG304" s="4">
        <f t="shared" si="1083"/>
        <v>7.5300553589211061</v>
      </c>
      <c r="DH304" s="4">
        <f t="shared" si="1249"/>
        <v>0.37853477275297237</v>
      </c>
      <c r="DI304" s="4">
        <f t="shared" si="1084"/>
        <v>5.1055258715715546</v>
      </c>
      <c r="DJ304" s="4">
        <f t="shared" si="1085"/>
        <v>6.4334553222331889</v>
      </c>
      <c r="DK304" s="4">
        <f t="shared" si="1250"/>
        <v>6.74772177292507</v>
      </c>
      <c r="DL304" s="38">
        <f t="shared" si="1251"/>
        <v>733.59228929196956</v>
      </c>
      <c r="DM304" s="4" t="e">
        <f t="shared" si="1086"/>
        <v>#REF!</v>
      </c>
      <c r="DN304" s="4">
        <f t="shared" si="1252"/>
        <v>3.1780497164141401</v>
      </c>
      <c r="DO304" s="4">
        <f t="shared" si="976"/>
        <v>375.90169085254018</v>
      </c>
      <c r="DS304" s="4">
        <f t="shared" si="1253"/>
        <v>0.85</v>
      </c>
      <c r="DT304" s="4">
        <f t="shared" si="1254"/>
        <v>0.83499999999999996</v>
      </c>
      <c r="DU304" s="4">
        <f t="shared" si="1255"/>
        <v>1</v>
      </c>
      <c r="DV304" s="4">
        <f t="shared" si="1087"/>
        <v>0.83499999999999996</v>
      </c>
      <c r="DX304" s="4">
        <f t="shared" si="1256"/>
        <v>698.27519980410648</v>
      </c>
      <c r="DY304" s="25">
        <f t="shared" si="1146"/>
        <v>373.42861162024997</v>
      </c>
      <c r="EA304" s="4">
        <f t="shared" si="1147"/>
        <v>0.70974999999999999</v>
      </c>
      <c r="EB304" s="4">
        <f t="shared" si="1257"/>
        <v>7.5300553589211061</v>
      </c>
      <c r="EE304" s="4">
        <f t="shared" si="1258"/>
        <v>80.72246279691916</v>
      </c>
      <c r="EF304" s="4">
        <f t="shared" si="1088"/>
        <v>3.1780497164141406</v>
      </c>
      <c r="EG304" s="4">
        <f t="shared" si="1259"/>
        <v>0.12118119733241386</v>
      </c>
      <c r="EJ304" s="4">
        <f t="shared" si="1089"/>
        <v>0.12118119733241386</v>
      </c>
      <c r="EK304" s="4">
        <f t="shared" si="1260"/>
        <v>0.37790306876653901</v>
      </c>
      <c r="EL304" s="4">
        <f t="shared" si="1090"/>
        <v>5.1021160953663882</v>
      </c>
      <c r="EM304" s="4">
        <f t="shared" si="1091"/>
        <v>6.4321051546142112</v>
      </c>
      <c r="EN304" s="4" t="e">
        <f t="shared" si="1092"/>
        <v>#REF!</v>
      </c>
      <c r="EO304" s="4" t="e">
        <f t="shared" si="1093"/>
        <v>#REF!</v>
      </c>
      <c r="EP304" s="4" t="e">
        <f t="shared" si="1261"/>
        <v>#REF!</v>
      </c>
      <c r="EQ304" s="4" t="e">
        <f t="shared" si="1094"/>
        <v>#REF!</v>
      </c>
      <c r="ER304" s="4" t="e">
        <f t="shared" si="1262"/>
        <v>#REF!</v>
      </c>
      <c r="EU304" s="4">
        <f>5.25*25.4</f>
        <v>133.35</v>
      </c>
      <c r="FA304" s="23" t="e">
        <f t="shared" si="1042"/>
        <v>#REF!</v>
      </c>
      <c r="FB304" s="23" t="e">
        <f t="shared" si="1043"/>
        <v>#REF!</v>
      </c>
      <c r="FC304" s="23">
        <f t="shared" si="981"/>
        <v>1.2</v>
      </c>
      <c r="FD304" s="23" t="e">
        <f t="shared" si="1044"/>
        <v>#REF!</v>
      </c>
      <c r="FE304" s="23">
        <f t="shared" si="1045"/>
        <v>1.2</v>
      </c>
      <c r="FF304" s="23">
        <f t="shared" si="1046"/>
        <v>1.2</v>
      </c>
      <c r="FG304" s="23">
        <f t="shared" si="1266"/>
        <v>0</v>
      </c>
      <c r="FH304" s="23"/>
      <c r="FR304" s="4">
        <f t="shared" si="1122"/>
        <v>1</v>
      </c>
      <c r="FS304" s="4">
        <f t="shared" si="1123"/>
        <v>0.5</v>
      </c>
      <c r="FT304" s="4">
        <f t="shared" si="1124"/>
        <v>0</v>
      </c>
      <c r="FU304" s="4">
        <f t="shared" si="1125"/>
        <v>693.90295180669159</v>
      </c>
    </row>
    <row r="305" spans="2:177" ht="12" customHeight="1" x14ac:dyDescent="0.3">
      <c r="B305" s="24"/>
      <c r="C305" s="7" t="s">
        <v>442</v>
      </c>
      <c r="D305" s="38">
        <f>120/0.145</f>
        <v>827.58620689655174</v>
      </c>
      <c r="E305" s="38">
        <f>14.38*25.4</f>
        <v>365.25200000000001</v>
      </c>
      <c r="F305" s="38">
        <f>5420/145</f>
        <v>37.379310344827587</v>
      </c>
      <c r="G305" s="38">
        <f t="shared" si="1016"/>
        <v>25.4</v>
      </c>
      <c r="H305" s="38">
        <f>17.1*25.4</f>
        <v>434.34000000000003</v>
      </c>
      <c r="I305" s="38">
        <f>2.55*25.4</f>
        <v>64.77</v>
      </c>
      <c r="J305" s="39">
        <f>3.35*25.4</f>
        <v>85.09</v>
      </c>
      <c r="K305" s="7">
        <f t="shared" si="986"/>
        <v>254.00000000000003</v>
      </c>
      <c r="L305" s="38">
        <v>2</v>
      </c>
      <c r="M305" s="4">
        <f t="shared" si="1028"/>
        <v>260.34999999999997</v>
      </c>
      <c r="N305" s="7">
        <f t="shared" si="1224"/>
        <v>3.05</v>
      </c>
      <c r="O305" s="7">
        <f t="shared" si="1225"/>
        <v>3.05</v>
      </c>
      <c r="P305" s="38">
        <v>9.5</v>
      </c>
      <c r="Q305" s="4">
        <f t="shared" si="1017"/>
        <v>9.5</v>
      </c>
      <c r="R305" s="4">
        <f t="shared" si="1226"/>
        <v>10.5</v>
      </c>
      <c r="S305" s="7">
        <f t="shared" si="1227"/>
        <v>82.305406869779816</v>
      </c>
      <c r="V305" s="38">
        <f t="shared" si="1054"/>
        <v>1056.5517241379309</v>
      </c>
      <c r="W305" s="4">
        <v>153.19999999999999</v>
      </c>
      <c r="X305" s="4">
        <f t="shared" si="1228"/>
        <v>1.3411331667214759</v>
      </c>
      <c r="Y305" s="38">
        <f>0.375*25.4</f>
        <v>9.5249999999999986</v>
      </c>
      <c r="Z305" s="38">
        <v>10</v>
      </c>
      <c r="AA305" s="39">
        <f t="shared" ref="AA305:AA306" si="1274">3*25.4</f>
        <v>76.199999999999989</v>
      </c>
      <c r="AB305" s="39">
        <v>3</v>
      </c>
      <c r="AC305" s="39">
        <v>2</v>
      </c>
      <c r="AD305" s="7"/>
      <c r="AE305" s="4">
        <f t="shared" si="1229"/>
        <v>365.25200000000001</v>
      </c>
      <c r="AF305" s="4">
        <f t="shared" si="1230"/>
        <v>0.39638386648122398</v>
      </c>
      <c r="AG305" s="4">
        <f t="shared" si="1231"/>
        <v>421.13102356726256</v>
      </c>
      <c r="AH305" s="4">
        <f t="shared" si="1232"/>
        <v>0.74242002781641159</v>
      </c>
      <c r="AI305" s="4">
        <v>1.25</v>
      </c>
      <c r="AJ305" s="4">
        <f t="shared" si="1154"/>
        <v>2.5</v>
      </c>
      <c r="AK305" s="38">
        <f t="shared" si="988"/>
        <v>387.28698833397465</v>
      </c>
      <c r="AL305" s="38">
        <f t="shared" si="1264"/>
        <v>387.28698833397465</v>
      </c>
      <c r="AM305" s="38">
        <f t="shared" si="1233"/>
        <v>3.3538382302464851</v>
      </c>
      <c r="AN305" s="38">
        <f t="shared" si="1161"/>
        <v>387.2869883339747</v>
      </c>
      <c r="AO305" s="38">
        <f t="shared" si="1115"/>
        <v>0.99999999999999989</v>
      </c>
      <c r="AP305" s="38">
        <f t="shared" si="1162"/>
        <v>1.8146380609421366</v>
      </c>
      <c r="AQ305" s="4">
        <f t="shared" si="1163"/>
        <v>0</v>
      </c>
      <c r="AR305" s="4" t="e">
        <f>#REF!/G305*F305^0.5/0.19</f>
        <v>#REF!</v>
      </c>
      <c r="AS305" s="4">
        <f t="shared" si="1234"/>
        <v>1</v>
      </c>
      <c r="AT305" s="38">
        <f t="shared" si="1235"/>
        <v>702.78570953848373</v>
      </c>
      <c r="AU305" s="4">
        <f t="shared" si="1236"/>
        <v>0.3</v>
      </c>
      <c r="AV305" s="4" t="e">
        <f>AU305*D305*#REF!/(D305*G305/2.75/F305^0.5)</f>
        <v>#REF!</v>
      </c>
      <c r="AW305" s="4" t="e">
        <f t="shared" si="1068"/>
        <v>#REF!</v>
      </c>
      <c r="AY305" s="4">
        <f t="shared" si="1237"/>
        <v>1.5</v>
      </c>
      <c r="AZ305" s="4" t="e">
        <f>(3*#REF!+30)*AY305*F305^0.5</f>
        <v>#REF!</v>
      </c>
      <c r="BB305" s="4">
        <f t="shared" si="1238"/>
        <v>674.05744053931357</v>
      </c>
      <c r="BC305" s="4">
        <f t="shared" ref="BC305:BC336" si="1275">8/3*T305*U305^2/(S305-G305-22)/G305*(S305^2-G305^2)/(S305^2-(G305+22)^2)</f>
        <v>0</v>
      </c>
      <c r="BD305" s="4">
        <f t="shared" si="1069"/>
        <v>0</v>
      </c>
      <c r="BL305" s="4">
        <f t="shared" si="1239"/>
        <v>64.77</v>
      </c>
      <c r="BP305" s="9"/>
      <c r="BR305" s="9"/>
      <c r="BS305" s="9"/>
      <c r="BT305" s="9">
        <f t="shared" si="1240"/>
        <v>64.77</v>
      </c>
      <c r="BU305" s="9">
        <f t="shared" si="1241"/>
        <v>127.00000000000001</v>
      </c>
      <c r="BV305" s="9">
        <f t="shared" si="1242"/>
        <v>1.7665851027593089</v>
      </c>
      <c r="BW305" s="40">
        <f t="shared" si="1018"/>
        <v>20</v>
      </c>
      <c r="BX305" s="9">
        <f t="shared" si="1243"/>
        <v>0.05</v>
      </c>
      <c r="BY305" s="9">
        <f t="shared" si="1070"/>
        <v>0.8</v>
      </c>
      <c r="BZ305" s="9">
        <f t="shared" si="1244"/>
        <v>0.99524931562137331</v>
      </c>
      <c r="CA305" s="9">
        <f t="shared" si="1245"/>
        <v>0.68</v>
      </c>
      <c r="CB305" s="9">
        <f t="shared" si="1246"/>
        <v>1.4481864738410275</v>
      </c>
      <c r="CC305" s="9">
        <f t="shared" si="1247"/>
        <v>3.6204661846025687</v>
      </c>
      <c r="CD305" s="40">
        <v>1</v>
      </c>
      <c r="CE305" s="9" t="e">
        <f>4*CC305*#REF!+60*CC305</f>
        <v>#REF!</v>
      </c>
      <c r="CG305" s="4" t="e">
        <f t="shared" si="1071"/>
        <v>#REF!</v>
      </c>
      <c r="CH305" s="4" t="e">
        <f t="shared" si="1072"/>
        <v>#REF!</v>
      </c>
      <c r="CI305" s="4" t="e">
        <f t="shared" si="1073"/>
        <v>#REF!</v>
      </c>
      <c r="CJ305" s="4" t="e">
        <f t="shared" si="1074"/>
        <v>#REF!</v>
      </c>
      <c r="CK305" s="4">
        <f t="shared" si="1075"/>
        <v>1.3411331667214759</v>
      </c>
      <c r="CL305" s="4">
        <f t="shared" si="1076"/>
        <v>1.4000927741086981</v>
      </c>
      <c r="CM305" s="4">
        <f t="shared" si="978"/>
        <v>1.3111850107642649</v>
      </c>
      <c r="CN305" s="4">
        <f t="shared" si="1019"/>
        <v>10</v>
      </c>
      <c r="CU305" s="4" t="e">
        <f t="shared" ref="CU305:CU306" si="1276">CG305</f>
        <v>#REF!</v>
      </c>
      <c r="CV305" s="4" t="e">
        <f t="shared" ref="CV305:CV306" si="1277">CH305</f>
        <v>#REF!</v>
      </c>
      <c r="CW305" s="4" t="e">
        <f t="shared" ref="CW305:CW306" si="1278">CJ305</f>
        <v>#REF!</v>
      </c>
      <c r="CX305" s="4">
        <f t="shared" ref="CX305:CX306" si="1279">CM305</f>
        <v>1.3111850107642649</v>
      </c>
      <c r="CY305" s="4">
        <f t="shared" ref="CY305:CY306" si="1280">CK305</f>
        <v>1.3411331667214759</v>
      </c>
      <c r="CZ305" s="4">
        <f t="shared" ref="CZ305:CZ306" si="1281">CL305</f>
        <v>1.4000927741086981</v>
      </c>
      <c r="DC305" s="4" t="e">
        <f>#REF!</f>
        <v>#REF!</v>
      </c>
      <c r="DF305" s="4">
        <f t="shared" si="1248"/>
        <v>2.702479300338717E-5</v>
      </c>
      <c r="DG305" s="4">
        <f t="shared" si="1083"/>
        <v>8.5743531134837028</v>
      </c>
      <c r="DH305" s="4">
        <f t="shared" si="1249"/>
        <v>0.34927963094937564</v>
      </c>
      <c r="DI305" s="4">
        <f t="shared" si="1084"/>
        <v>5.6295109559776204</v>
      </c>
      <c r="DJ305" s="4">
        <f t="shared" si="1085"/>
        <v>7.253587077871102</v>
      </c>
      <c r="DK305" s="4">
        <f t="shared" si="1250"/>
        <v>7.5555583110769451</v>
      </c>
      <c r="DL305" s="38">
        <f t="shared" si="1251"/>
        <v>787.80523094568559</v>
      </c>
      <c r="DM305" s="4" t="e">
        <f t="shared" si="1086"/>
        <v>#REF!</v>
      </c>
      <c r="DN305" s="4">
        <f t="shared" si="1252"/>
        <v>3.2403703492039297</v>
      </c>
      <c r="DO305" s="4">
        <f t="shared" si="976"/>
        <v>387.2869883339747</v>
      </c>
      <c r="DS305" s="4">
        <f t="shared" si="1253"/>
        <v>0.85</v>
      </c>
      <c r="DT305" s="4">
        <f t="shared" si="1254"/>
        <v>0.84499999999999997</v>
      </c>
      <c r="DU305" s="4">
        <f t="shared" si="1255"/>
        <v>0.90625</v>
      </c>
      <c r="DV305" s="4">
        <f t="shared" si="1087"/>
        <v>0.76578124999999997</v>
      </c>
      <c r="DX305" s="4">
        <f t="shared" si="1256"/>
        <v>754.62979573659595</v>
      </c>
      <c r="DY305" s="25">
        <f t="shared" si="1146"/>
        <v>384.732202420909</v>
      </c>
      <c r="EA305" s="4">
        <f t="shared" si="1147"/>
        <v>0.65091406249999995</v>
      </c>
      <c r="EB305" s="4">
        <f t="shared" si="1257"/>
        <v>8.5743531134837028</v>
      </c>
      <c r="EE305" s="4">
        <f t="shared" si="1258"/>
        <v>82.305406869779816</v>
      </c>
      <c r="EF305" s="4">
        <f t="shared" si="1088"/>
        <v>3.2403703492039302</v>
      </c>
      <c r="EG305" s="4">
        <f t="shared" si="1259"/>
        <v>0.11676808747639772</v>
      </c>
      <c r="EJ305" s="4">
        <f t="shared" si="1089"/>
        <v>0.11676808747639772</v>
      </c>
      <c r="EK305" s="4">
        <f t="shared" si="1260"/>
        <v>0.34869674834219516</v>
      </c>
      <c r="EL305" s="4">
        <f t="shared" si="1090"/>
        <v>5.6257512311251228</v>
      </c>
      <c r="EM305" s="4">
        <f t="shared" si="1091"/>
        <v>7.2521319319342803</v>
      </c>
      <c r="EN305" s="4" t="e">
        <f t="shared" si="1092"/>
        <v>#REF!</v>
      </c>
      <c r="EO305" s="4" t="e">
        <f t="shared" si="1093"/>
        <v>#REF!</v>
      </c>
      <c r="EP305" s="4" t="e">
        <f t="shared" si="1261"/>
        <v>#REF!</v>
      </c>
      <c r="EQ305" s="4" t="e">
        <f t="shared" si="1094"/>
        <v>#REF!</v>
      </c>
      <c r="ER305" s="4" t="e">
        <f t="shared" si="1262"/>
        <v>#REF!</v>
      </c>
      <c r="FA305" s="23" t="e">
        <f t="shared" si="1042"/>
        <v>#REF!</v>
      </c>
      <c r="FB305" s="23" t="e">
        <f t="shared" si="1043"/>
        <v>#REF!</v>
      </c>
      <c r="FC305" s="23">
        <f t="shared" si="981"/>
        <v>1.4</v>
      </c>
      <c r="FD305" s="23" t="e">
        <f t="shared" si="1044"/>
        <v>#REF!</v>
      </c>
      <c r="FE305" s="23">
        <f t="shared" si="1045"/>
        <v>1.4</v>
      </c>
      <c r="FF305" s="23">
        <f t="shared" si="1046"/>
        <v>1.6</v>
      </c>
      <c r="FG305" s="23">
        <f t="shared" si="1266"/>
        <v>0</v>
      </c>
      <c r="FH305" s="23"/>
      <c r="FR305" s="4">
        <f t="shared" si="1122"/>
        <v>1</v>
      </c>
      <c r="FS305" s="4">
        <f t="shared" si="1123"/>
        <v>0.44</v>
      </c>
      <c r="FT305" s="4">
        <f t="shared" si="1124"/>
        <v>0.3</v>
      </c>
      <c r="FU305" s="4">
        <f t="shared" si="1125"/>
        <v>805.7991171833844</v>
      </c>
    </row>
    <row r="306" spans="2:177" ht="12" customHeight="1" x14ac:dyDescent="0.3">
      <c r="B306" s="24"/>
      <c r="C306" s="48" t="s">
        <v>443</v>
      </c>
      <c r="D306" s="38">
        <f>115.9/0.145</f>
        <v>799.31034482758628</v>
      </c>
      <c r="E306" s="38">
        <f>14.09*25.4</f>
        <v>357.88599999999997</v>
      </c>
      <c r="F306" s="38">
        <f>4970/145</f>
        <v>34.275862068965516</v>
      </c>
      <c r="G306" s="38">
        <f t="shared" si="1016"/>
        <v>25.4</v>
      </c>
      <c r="H306" s="38">
        <f>17*25.4</f>
        <v>431.79999999999995</v>
      </c>
      <c r="I306" s="38">
        <f>2.5*25.4</f>
        <v>63.5</v>
      </c>
      <c r="J306" s="39">
        <f>3.45*25.4</f>
        <v>87.63</v>
      </c>
      <c r="K306" s="7">
        <f t="shared" si="986"/>
        <v>253.99999999999994</v>
      </c>
      <c r="L306" s="38">
        <v>2</v>
      </c>
      <c r="M306" s="4">
        <f t="shared" si="1028"/>
        <v>260.34999999999997</v>
      </c>
      <c r="N306" s="7">
        <f t="shared" si="1224"/>
        <v>3</v>
      </c>
      <c r="O306" s="7">
        <f t="shared" si="1225"/>
        <v>3</v>
      </c>
      <c r="P306" s="38">
        <v>9.1</v>
      </c>
      <c r="Q306" s="4">
        <f t="shared" si="1017"/>
        <v>9.1</v>
      </c>
      <c r="R306" s="4">
        <f t="shared" si="1226"/>
        <v>10.1</v>
      </c>
      <c r="S306" s="7">
        <f t="shared" si="1227"/>
        <v>80.72246279691916</v>
      </c>
      <c r="V306" s="38">
        <f t="shared" si="1054"/>
        <v>1040.6896551724139</v>
      </c>
      <c r="W306" s="4">
        <v>150.9</v>
      </c>
      <c r="X306" s="4">
        <f t="shared" si="1228"/>
        <v>1.4014181325909159</v>
      </c>
      <c r="Y306" s="38">
        <f>0.375*25.4</f>
        <v>9.5249999999999986</v>
      </c>
      <c r="Z306" s="38">
        <v>10</v>
      </c>
      <c r="AA306" s="39">
        <f t="shared" si="1274"/>
        <v>76.199999999999989</v>
      </c>
      <c r="AB306" s="39">
        <v>3</v>
      </c>
      <c r="AC306" s="39">
        <v>2</v>
      </c>
      <c r="AD306" s="7"/>
      <c r="AE306" s="4">
        <f t="shared" si="1229"/>
        <v>357.88599999999997</v>
      </c>
      <c r="AF306" s="4">
        <f t="shared" si="1230"/>
        <v>0.4021764845043766</v>
      </c>
      <c r="AG306" s="4">
        <f t="shared" si="1231"/>
        <v>391.13253936070686</v>
      </c>
      <c r="AH306" s="4">
        <f t="shared" si="1232"/>
        <v>0.74258339247693395</v>
      </c>
      <c r="AI306" s="4">
        <v>1.25</v>
      </c>
      <c r="AJ306" s="4">
        <f t="shared" si="1154"/>
        <v>2.5</v>
      </c>
      <c r="AK306" s="38">
        <f t="shared" si="988"/>
        <v>365.03614973474515</v>
      </c>
      <c r="AL306" s="38">
        <f t="shared" si="1264"/>
        <v>365.03614973474515</v>
      </c>
      <c r="AM306" s="38">
        <f t="shared" si="1233"/>
        <v>3.1655330029957871</v>
      </c>
      <c r="AN306" s="38">
        <f t="shared" si="1161"/>
        <v>365.03614973474498</v>
      </c>
      <c r="AO306" s="38">
        <f t="shared" si="1115"/>
        <v>1.0000000000000004</v>
      </c>
      <c r="AP306" s="38">
        <f t="shared" si="1162"/>
        <v>1.6995128711406806</v>
      </c>
      <c r="AQ306" s="4">
        <f t="shared" si="1163"/>
        <v>0</v>
      </c>
      <c r="AR306" s="4" t="e">
        <f>#REF!/G306*F306^0.5/0.19</f>
        <v>#REF!</v>
      </c>
      <c r="AS306" s="4">
        <f t="shared" si="1234"/>
        <v>1</v>
      </c>
      <c r="AT306" s="38">
        <f t="shared" si="1235"/>
        <v>620.38363490583583</v>
      </c>
      <c r="AU306" s="4">
        <f t="shared" si="1236"/>
        <v>0.3</v>
      </c>
      <c r="AV306" s="4" t="e">
        <f>AU306*D306*#REF!/(D306*G306/2.75/F306^0.5)</f>
        <v>#REF!</v>
      </c>
      <c r="AW306" s="4" t="e">
        <f t="shared" si="1068"/>
        <v>#REF!</v>
      </c>
      <c r="AY306" s="4">
        <f t="shared" si="1237"/>
        <v>1.5</v>
      </c>
      <c r="AZ306" s="4" t="e">
        <f>(3*#REF!+30)*AY306*F306^0.5</f>
        <v>#REF!</v>
      </c>
      <c r="BB306" s="4">
        <f t="shared" si="1238"/>
        <v>595.02377384952354</v>
      </c>
      <c r="BC306" s="4">
        <f t="shared" si="1275"/>
        <v>0</v>
      </c>
      <c r="BD306" s="4">
        <f t="shared" si="1069"/>
        <v>0</v>
      </c>
      <c r="BL306" s="4">
        <f t="shared" si="1239"/>
        <v>63.5</v>
      </c>
      <c r="BP306" s="9"/>
      <c r="BR306" s="9"/>
      <c r="BS306" s="9"/>
      <c r="BT306" s="9">
        <f t="shared" si="1240"/>
        <v>63.5</v>
      </c>
      <c r="BU306" s="9">
        <f t="shared" si="1241"/>
        <v>126.99999999999997</v>
      </c>
      <c r="BV306" s="9">
        <f t="shared" si="1242"/>
        <v>1.7543833769624846</v>
      </c>
      <c r="BW306" s="40">
        <f t="shared" si="1018"/>
        <v>20</v>
      </c>
      <c r="BX306" s="9">
        <f t="shared" si="1243"/>
        <v>0.05</v>
      </c>
      <c r="BY306" s="9">
        <f t="shared" si="1070"/>
        <v>0.8</v>
      </c>
      <c r="BZ306" s="9">
        <f t="shared" si="1244"/>
        <v>0.99524931562137331</v>
      </c>
      <c r="CA306" s="9">
        <f t="shared" si="1245"/>
        <v>0.68048275862068963</v>
      </c>
      <c r="CB306" s="9">
        <f t="shared" si="1246"/>
        <v>1.3877500485016585</v>
      </c>
      <c r="CC306" s="9">
        <f t="shared" si="1247"/>
        <v>3.4693751212541462</v>
      </c>
      <c r="CD306" s="40">
        <v>1</v>
      </c>
      <c r="CE306" s="9" t="e">
        <f>4*CC306*#REF!+60*CC306</f>
        <v>#REF!</v>
      </c>
      <c r="CG306" s="47" t="e">
        <f t="shared" ref="CG306" si="1282">V306/AR306</f>
        <v>#REF!</v>
      </c>
      <c r="CH306" s="47" t="e">
        <f t="shared" ref="CH306" si="1283">V306/AW306</f>
        <v>#REF!</v>
      </c>
      <c r="CI306" s="47" t="e">
        <f t="shared" ref="CI306" si="1284">V306/AZ306</f>
        <v>#REF!</v>
      </c>
      <c r="CJ306" s="47" t="e">
        <f t="shared" ref="CJ306" si="1285">V306/CE306</f>
        <v>#REF!</v>
      </c>
      <c r="CK306" s="47">
        <f t="shared" ref="CK306" si="1286">V306/DL306</f>
        <v>1.4014181325909159</v>
      </c>
      <c r="CL306" s="47">
        <f t="shared" ref="CL306" si="1287">V306/DX306</f>
        <v>1.4707672066107018</v>
      </c>
      <c r="CM306" s="47">
        <f t="shared" si="978"/>
        <v>1.3404573544493805</v>
      </c>
      <c r="CN306" s="4">
        <f t="shared" si="1019"/>
        <v>10</v>
      </c>
      <c r="CU306" s="4" t="e">
        <f t="shared" si="1276"/>
        <v>#REF!</v>
      </c>
      <c r="CV306" s="4" t="e">
        <f t="shared" si="1277"/>
        <v>#REF!</v>
      </c>
      <c r="CW306" s="4" t="e">
        <f t="shared" si="1278"/>
        <v>#REF!</v>
      </c>
      <c r="CX306" s="4">
        <f t="shared" si="1279"/>
        <v>1.3404573544493805</v>
      </c>
      <c r="CY306" s="4">
        <f t="shared" si="1280"/>
        <v>1.4014181325909159</v>
      </c>
      <c r="CZ306" s="4">
        <f t="shared" si="1281"/>
        <v>1.4707672066107018</v>
      </c>
      <c r="DC306" s="4" t="e">
        <f>#REF!</f>
        <v>#REF!</v>
      </c>
      <c r="DF306" s="4">
        <f t="shared" si="1248"/>
        <v>2.5926181363003004E-5</v>
      </c>
      <c r="DG306" s="4">
        <f t="shared" si="1083"/>
        <v>8.1623967217189435</v>
      </c>
      <c r="DH306" s="4">
        <f t="shared" si="1249"/>
        <v>0.3675931216831555</v>
      </c>
      <c r="DI306" s="4">
        <f t="shared" si="1084"/>
        <v>5.4697143929160559</v>
      </c>
      <c r="DJ306" s="4">
        <f t="shared" si="1085"/>
        <v>6.9482475198388309</v>
      </c>
      <c r="DK306" s="4">
        <f t="shared" si="1250"/>
        <v>7.2856190833639527</v>
      </c>
      <c r="DL306" s="38">
        <f t="shared" si="1251"/>
        <v>742.59753814402711</v>
      </c>
      <c r="DM306" s="4" t="e">
        <f t="shared" si="1086"/>
        <v>#REF!</v>
      </c>
      <c r="DN306" s="4">
        <f t="shared" si="1252"/>
        <v>3.1780497164141401</v>
      </c>
      <c r="DO306" s="4">
        <f t="shared" si="976"/>
        <v>365.03614973474498</v>
      </c>
      <c r="DS306" s="4">
        <f t="shared" si="1253"/>
        <v>0.85</v>
      </c>
      <c r="DT306" s="4">
        <f t="shared" si="1254"/>
        <v>0.85</v>
      </c>
      <c r="DU306" s="4">
        <f t="shared" si="1255"/>
        <v>0.90625</v>
      </c>
      <c r="DV306" s="4">
        <f t="shared" si="1087"/>
        <v>0.77031249999999996</v>
      </c>
      <c r="DX306" s="4">
        <f t="shared" si="1256"/>
        <v>707.5828523336628</v>
      </c>
      <c r="DY306" s="25">
        <f t="shared" si="1146"/>
        <v>362.55834290660306</v>
      </c>
      <c r="EA306" s="4">
        <f t="shared" si="1147"/>
        <v>0.65476562499999991</v>
      </c>
      <c r="EB306" s="4">
        <f t="shared" si="1257"/>
        <v>8.1623967217189435</v>
      </c>
      <c r="EE306" s="4">
        <f t="shared" si="1258"/>
        <v>80.72246279691916</v>
      </c>
      <c r="EF306" s="4">
        <f t="shared" si="1088"/>
        <v>3.1780497164141406</v>
      </c>
      <c r="EG306" s="4">
        <f t="shared" si="1259"/>
        <v>0.11767842170154946</v>
      </c>
      <c r="EJ306" s="4">
        <f t="shared" si="1089"/>
        <v>0.11767842170154946</v>
      </c>
      <c r="EK306" s="4">
        <f t="shared" si="1260"/>
        <v>0.36697967727311104</v>
      </c>
      <c r="EL306" s="4">
        <f t="shared" si="1090"/>
        <v>5.4660613897866686</v>
      </c>
      <c r="EM306" s="4">
        <f t="shared" si="1091"/>
        <v>6.9468129400643628</v>
      </c>
      <c r="EN306" s="4" t="e">
        <f t="shared" si="1092"/>
        <v>#REF!</v>
      </c>
      <c r="EO306" s="4" t="e">
        <f t="shared" si="1093"/>
        <v>#REF!</v>
      </c>
      <c r="EP306" s="4" t="e">
        <f t="shared" si="1261"/>
        <v>#REF!</v>
      </c>
      <c r="EQ306" s="4" t="e">
        <f t="shared" si="1094"/>
        <v>#REF!</v>
      </c>
      <c r="ER306" s="4" t="e">
        <f t="shared" si="1262"/>
        <v>#REF!</v>
      </c>
      <c r="EU306" s="4">
        <f>5.25*25.4</f>
        <v>133.35</v>
      </c>
      <c r="FA306" s="23" t="e">
        <f t="shared" si="1042"/>
        <v>#REF!</v>
      </c>
      <c r="FB306" s="23" t="e">
        <f t="shared" si="1043"/>
        <v>#REF!</v>
      </c>
      <c r="FC306" s="23">
        <f t="shared" si="981"/>
        <v>1.4</v>
      </c>
      <c r="FD306" s="23" t="e">
        <f t="shared" si="1044"/>
        <v>#REF!</v>
      </c>
      <c r="FE306" s="23">
        <f t="shared" si="1045"/>
        <v>1.6</v>
      </c>
      <c r="FF306" s="23">
        <f t="shared" si="1046"/>
        <v>1.6</v>
      </c>
      <c r="FG306" s="23">
        <f t="shared" si="1266"/>
        <v>0</v>
      </c>
      <c r="FH306" s="23"/>
      <c r="FR306" s="4">
        <f t="shared" si="1122"/>
        <v>1</v>
      </c>
      <c r="FS306" s="4">
        <f t="shared" si="1123"/>
        <v>0.43787748058671272</v>
      </c>
      <c r="FT306" s="4">
        <f t="shared" si="1124"/>
        <v>0.3</v>
      </c>
      <c r="FU306" s="4">
        <f t="shared" si="1125"/>
        <v>776.36908904117877</v>
      </c>
    </row>
    <row r="307" spans="2:177" ht="12" customHeight="1" x14ac:dyDescent="0.3">
      <c r="B307" s="24"/>
      <c r="C307" s="7" t="s">
        <v>444</v>
      </c>
      <c r="D307" s="38">
        <f>120/0.145</f>
        <v>827.58620689655174</v>
      </c>
      <c r="E307" s="38">
        <f>14.25*25.4</f>
        <v>361.95</v>
      </c>
      <c r="F307" s="38">
        <f>4960/145</f>
        <v>34.206896551724135</v>
      </c>
      <c r="G307" s="38">
        <f t="shared" si="1016"/>
        <v>25.4</v>
      </c>
      <c r="H307" s="38">
        <f>16.9*25.4</f>
        <v>429.25999999999993</v>
      </c>
      <c r="I307" s="38">
        <f>2.45*25.4</f>
        <v>62.230000000000004</v>
      </c>
      <c r="J307" s="39">
        <f>3.4*25.4</f>
        <v>86.36</v>
      </c>
      <c r="K307" s="7">
        <f t="shared" si="986"/>
        <v>114.29999999999997</v>
      </c>
      <c r="L307" s="38">
        <v>3</v>
      </c>
      <c r="M307" s="4">
        <f t="shared" si="1028"/>
        <v>260.34999999999997</v>
      </c>
      <c r="N307" s="7">
        <f t="shared" si="1224"/>
        <v>2.7499999999999996</v>
      </c>
      <c r="O307" s="7">
        <f t="shared" si="1225"/>
        <v>2.95</v>
      </c>
      <c r="P307" s="38">
        <v>9.5</v>
      </c>
      <c r="Q307" s="4">
        <f t="shared" si="1017"/>
        <v>9.5</v>
      </c>
      <c r="R307" s="4">
        <f t="shared" si="1226"/>
        <v>10.5</v>
      </c>
      <c r="S307" s="7">
        <f t="shared" si="1227"/>
        <v>82.305406869779816</v>
      </c>
      <c r="V307" s="38">
        <f t="shared" si="1054"/>
        <v>640.68965517241384</v>
      </c>
      <c r="W307" s="4">
        <v>92.9</v>
      </c>
      <c r="X307" s="4">
        <f t="shared" si="1228"/>
        <v>1.1403447227271795</v>
      </c>
      <c r="Y307" s="38"/>
      <c r="Z307" s="38"/>
      <c r="AA307" s="39">
        <v>1</v>
      </c>
      <c r="AB307" s="39"/>
      <c r="AC307" s="39"/>
      <c r="AD307" s="7"/>
      <c r="AE307" s="4">
        <f t="shared" si="1229"/>
        <v>361.95</v>
      </c>
      <c r="AF307" s="4">
        <f t="shared" si="1230"/>
        <v>0.39532163742690052</v>
      </c>
      <c r="AG307" s="4">
        <f t="shared" si="1231"/>
        <v>264.94220061382879</v>
      </c>
      <c r="AH307" s="4">
        <f t="shared" si="1232"/>
        <v>0.74140350877192973</v>
      </c>
      <c r="AI307" s="4">
        <v>1.25</v>
      </c>
      <c r="AJ307" s="4">
        <f t="shared" si="1154"/>
        <v>2.5</v>
      </c>
      <c r="AK307" s="38">
        <f t="shared" si="988"/>
        <v>242.66457631218935</v>
      </c>
      <c r="AL307" s="38">
        <f t="shared" si="1264"/>
        <v>242.66457631218935</v>
      </c>
      <c r="AM307" s="38">
        <f t="shared" si="1233"/>
        <v>3.1612853899839108</v>
      </c>
      <c r="AN307" s="38">
        <f t="shared" si="1161"/>
        <v>242.66457631218921</v>
      </c>
      <c r="AO307" s="38">
        <f t="shared" si="1115"/>
        <v>1.0000000000000007</v>
      </c>
      <c r="AP307" s="38">
        <f t="shared" si="1162"/>
        <v>2.4591528566563099</v>
      </c>
      <c r="AQ307" s="4">
        <f t="shared" si="1163"/>
        <v>0</v>
      </c>
      <c r="AR307" s="4" t="e">
        <f>#REF!/G307*F307^0.5/0.19</f>
        <v>#REF!</v>
      </c>
      <c r="AS307" s="4">
        <f t="shared" si="1234"/>
        <v>1.0290909090909093</v>
      </c>
      <c r="AT307" s="38">
        <f t="shared" si="1235"/>
        <v>596.74928604741319</v>
      </c>
      <c r="AU307" s="4">
        <f t="shared" si="1236"/>
        <v>0.3</v>
      </c>
      <c r="AV307" s="4" t="e">
        <f>AU307*D307*#REF!/(D307*G307/2.75/F307^0.5)</f>
        <v>#REF!</v>
      </c>
      <c r="AW307" s="4" t="e">
        <f t="shared" si="1068"/>
        <v>#REF!</v>
      </c>
      <c r="AY307" s="4">
        <f t="shared" si="1237"/>
        <v>1.3625</v>
      </c>
      <c r="AZ307" s="4" t="e">
        <f>(3*#REF!+30)*AY307*F307^0.5</f>
        <v>#REF!</v>
      </c>
      <c r="BB307" s="4">
        <f t="shared" si="1238"/>
        <v>572.35554300176852</v>
      </c>
      <c r="BC307" s="4">
        <f t="shared" si="1275"/>
        <v>0</v>
      </c>
      <c r="BD307" s="4">
        <f t="shared" si="1069"/>
        <v>0</v>
      </c>
      <c r="BL307" s="4">
        <f t="shared" si="1239"/>
        <v>57.149999999999984</v>
      </c>
      <c r="BP307" s="9"/>
      <c r="BR307" s="9"/>
      <c r="BS307" s="9"/>
      <c r="BT307" s="9">
        <f t="shared" si="1240"/>
        <v>57.149999999999984</v>
      </c>
      <c r="BU307" s="9">
        <f t="shared" si="1241"/>
        <v>62.230000000000004</v>
      </c>
      <c r="BV307" s="9">
        <f t="shared" si="1242"/>
        <v>1.5192834046120851</v>
      </c>
      <c r="BW307" s="40">
        <f t="shared" si="1018"/>
        <v>0</v>
      </c>
      <c r="BX307" s="9">
        <f t="shared" si="1243"/>
        <v>0</v>
      </c>
      <c r="BY307" s="9">
        <f t="shared" si="1070"/>
        <v>0</v>
      </c>
      <c r="BZ307" s="9">
        <f t="shared" si="1244"/>
        <v>0.99524931562137331</v>
      </c>
      <c r="CA307" s="9">
        <f t="shared" si="1245"/>
        <v>0.68</v>
      </c>
      <c r="CB307" s="9">
        <f t="shared" si="1246"/>
        <v>1.3853696905299668</v>
      </c>
      <c r="CC307" s="9">
        <f t="shared" si="1247"/>
        <v>2.1047691800747588</v>
      </c>
      <c r="CD307" s="40">
        <v>1</v>
      </c>
      <c r="CE307" s="9" t="e">
        <f>4*CC307*#REF!+60*CC307</f>
        <v>#REF!</v>
      </c>
      <c r="CG307" s="4" t="e">
        <f t="shared" si="1071"/>
        <v>#REF!</v>
      </c>
      <c r="CH307" s="4" t="e">
        <f t="shared" si="1072"/>
        <v>#REF!</v>
      </c>
      <c r="CI307" s="4" t="e">
        <f t="shared" si="1073"/>
        <v>#REF!</v>
      </c>
      <c r="CJ307" s="4" t="e">
        <f t="shared" si="1074"/>
        <v>#REF!</v>
      </c>
      <c r="CK307" s="4">
        <f t="shared" si="1075"/>
        <v>1.1403447227271795</v>
      </c>
      <c r="CL307" s="4">
        <f t="shared" si="1076"/>
        <v>1.1693024959062237</v>
      </c>
      <c r="CM307" s="4">
        <f t="shared" si="978"/>
        <v>1.6507806323592806</v>
      </c>
      <c r="CN307" s="4">
        <f t="shared" si="1019"/>
        <v>0</v>
      </c>
      <c r="CO307" s="4" t="e">
        <f t="shared" ref="CO307:CO308" si="1288">CG307</f>
        <v>#REF!</v>
      </c>
      <c r="CP307" s="4" t="e">
        <f t="shared" ref="CP307:CP308" si="1289">CH307</f>
        <v>#REF!</v>
      </c>
      <c r="CQ307" s="4" t="e">
        <f t="shared" ref="CQ307:CQ308" si="1290">CJ307</f>
        <v>#REF!</v>
      </c>
      <c r="CR307" s="4">
        <f t="shared" ref="CR307:CR308" si="1291">CM307</f>
        <v>1.6507806323592806</v>
      </c>
      <c r="CS307" s="4">
        <f t="shared" ref="CS307:CS308" si="1292">CK307</f>
        <v>1.1403447227271795</v>
      </c>
      <c r="CT307" s="4">
        <f t="shared" ref="CT307:CT308" si="1293">CL307</f>
        <v>1.1693024959062237</v>
      </c>
      <c r="DC307" s="4" t="e">
        <f>#REF!</f>
        <v>#REF!</v>
      </c>
      <c r="DF307" s="4">
        <f t="shared" si="1248"/>
        <v>2.6208135918027901E-5</v>
      </c>
      <c r="DG307" s="4">
        <f t="shared" si="1083"/>
        <v>7.1785914172642658</v>
      </c>
      <c r="DH307" s="4">
        <f t="shared" si="1249"/>
        <v>0.2391466748947412</v>
      </c>
      <c r="DI307" s="4">
        <f t="shared" si="1084"/>
        <v>4.0504658421393991</v>
      </c>
      <c r="DJ307" s="4">
        <f t="shared" si="1085"/>
        <v>5.8298602507377382</v>
      </c>
      <c r="DK307" s="4">
        <f t="shared" si="1250"/>
        <v>6.5270920350110737</v>
      </c>
      <c r="DL307" s="38">
        <f t="shared" si="1251"/>
        <v>561.83857600549004</v>
      </c>
      <c r="DM307" s="4" t="e">
        <f t="shared" si="1086"/>
        <v>#REF!</v>
      </c>
      <c r="DN307" s="4">
        <f t="shared" si="1252"/>
        <v>3.2403703492039297</v>
      </c>
      <c r="DO307" s="4">
        <f t="shared" si="976"/>
        <v>242.66457631218921</v>
      </c>
      <c r="DS307" s="4">
        <f t="shared" si="1253"/>
        <v>0.85</v>
      </c>
      <c r="DT307" s="4">
        <f t="shared" si="1254"/>
        <v>0.875</v>
      </c>
      <c r="DU307" s="4">
        <f t="shared" si="1255"/>
        <v>1</v>
      </c>
      <c r="DV307" s="4">
        <f t="shared" si="1087"/>
        <v>0.875</v>
      </c>
      <c r="DX307" s="4">
        <f t="shared" si="1256"/>
        <v>547.92464517564508</v>
      </c>
      <c r="DY307" s="25">
        <f t="shared" si="1146"/>
        <v>241.03986208759761</v>
      </c>
      <c r="EA307" s="4">
        <f t="shared" si="1147"/>
        <v>0.74375000000000002</v>
      </c>
      <c r="EB307" s="4">
        <f t="shared" si="1257"/>
        <v>7.1785914172642658</v>
      </c>
      <c r="EE307" s="4">
        <f t="shared" si="1258"/>
        <v>82.305406869779816</v>
      </c>
      <c r="EF307" s="4">
        <f t="shared" si="1088"/>
        <v>3.2403703492039302</v>
      </c>
      <c r="EG307" s="4">
        <f t="shared" si="1259"/>
        <v>7.6481509216506982E-2</v>
      </c>
      <c r="EJ307" s="4">
        <f t="shared" si="1089"/>
        <v>7.6481509216506982E-2</v>
      </c>
      <c r="EK307" s="4">
        <f t="shared" si="1260"/>
        <v>0.2387475836652232</v>
      </c>
      <c r="EL307" s="4">
        <f t="shared" si="1090"/>
        <v>4.0477606982627874</v>
      </c>
      <c r="EM307" s="4">
        <f t="shared" si="1091"/>
        <v>5.828926683373596</v>
      </c>
      <c r="EN307" s="4" t="e">
        <f t="shared" si="1092"/>
        <v>#REF!</v>
      </c>
      <c r="EO307" s="4" t="e">
        <f t="shared" si="1093"/>
        <v>#REF!</v>
      </c>
      <c r="EP307" s="4" t="e">
        <f t="shared" si="1261"/>
        <v>#REF!</v>
      </c>
      <c r="EQ307" s="4" t="e">
        <f t="shared" si="1094"/>
        <v>#REF!</v>
      </c>
      <c r="ER307" s="4" t="e">
        <f t="shared" si="1262"/>
        <v>#REF!</v>
      </c>
      <c r="FA307" s="23" t="e">
        <f t="shared" si="1042"/>
        <v>#REF!</v>
      </c>
      <c r="FB307" s="23" t="e">
        <f t="shared" si="1043"/>
        <v>#REF!</v>
      </c>
      <c r="FC307" s="23">
        <f t="shared" si="981"/>
        <v>1.8</v>
      </c>
      <c r="FD307" s="23" t="e">
        <f t="shared" si="1044"/>
        <v>#REF!</v>
      </c>
      <c r="FE307" s="23">
        <f t="shared" si="1045"/>
        <v>1.2</v>
      </c>
      <c r="FF307" s="23">
        <f t="shared" si="1046"/>
        <v>1.2</v>
      </c>
      <c r="FG307" s="23">
        <f t="shared" si="1266"/>
        <v>0</v>
      </c>
      <c r="FH307" s="23"/>
      <c r="FR307" s="4">
        <f t="shared" si="1122"/>
        <v>1.25</v>
      </c>
      <c r="FS307" s="4">
        <f t="shared" si="1123"/>
        <v>0.70833333333333326</v>
      </c>
      <c r="FT307" s="4">
        <f t="shared" si="1124"/>
        <v>0</v>
      </c>
      <c r="FU307" s="4">
        <f t="shared" si="1125"/>
        <v>388.11314030062613</v>
      </c>
    </row>
    <row r="308" spans="2:177" ht="12" customHeight="1" x14ac:dyDescent="0.3">
      <c r="B308" s="24"/>
      <c r="C308" s="48" t="s">
        <v>445</v>
      </c>
      <c r="D308" s="38">
        <f>115.9/0.145</f>
        <v>799.31034482758628</v>
      </c>
      <c r="E308" s="38">
        <f>14.35*25.4</f>
        <v>364.48999999999995</v>
      </c>
      <c r="F308" s="38">
        <f t="shared" ref="F308" si="1294">4960/145</f>
        <v>34.206896551724135</v>
      </c>
      <c r="G308" s="38">
        <f t="shared" si="1016"/>
        <v>25.4</v>
      </c>
      <c r="H308" s="38">
        <f t="shared" ref="H308" si="1295">16.9*25.4</f>
        <v>429.25999999999993</v>
      </c>
      <c r="I308" s="38">
        <f>2.45*25.4</f>
        <v>62.230000000000004</v>
      </c>
      <c r="J308" s="39">
        <f>3.2*25.4</f>
        <v>81.28</v>
      </c>
      <c r="K308" s="7">
        <f t="shared" si="986"/>
        <v>114.29999999999997</v>
      </c>
      <c r="L308" s="38">
        <v>3</v>
      </c>
      <c r="M308" s="4">
        <f t="shared" si="1028"/>
        <v>260.34999999999997</v>
      </c>
      <c r="N308" s="7">
        <f t="shared" si="1224"/>
        <v>2.7499999999999996</v>
      </c>
      <c r="O308" s="7">
        <f t="shared" si="1225"/>
        <v>2.95</v>
      </c>
      <c r="P308" s="38">
        <v>9.1</v>
      </c>
      <c r="Q308" s="4">
        <f t="shared" si="1017"/>
        <v>9.1</v>
      </c>
      <c r="R308" s="4">
        <f t="shared" si="1226"/>
        <v>10.1</v>
      </c>
      <c r="S308" s="7">
        <f t="shared" si="1227"/>
        <v>80.72246279691916</v>
      </c>
      <c r="V308" s="38">
        <f t="shared" si="1054"/>
        <v>660.68965517241384</v>
      </c>
      <c r="W308" s="4">
        <v>95.8</v>
      </c>
      <c r="X308" s="4">
        <f t="shared" si="1228"/>
        <v>1.1667495807153807</v>
      </c>
      <c r="Y308" s="38"/>
      <c r="Z308" s="38"/>
      <c r="AA308" s="39">
        <v>1</v>
      </c>
      <c r="AB308" s="39"/>
      <c r="AC308" s="39"/>
      <c r="AD308" s="7"/>
      <c r="AE308" s="4">
        <f t="shared" si="1229"/>
        <v>364.48999999999995</v>
      </c>
      <c r="AF308" s="4">
        <f t="shared" si="1230"/>
        <v>0.39256678281068519</v>
      </c>
      <c r="AG308" s="4">
        <f t="shared" si="1231"/>
        <v>267.73595292203152</v>
      </c>
      <c r="AH308" s="4">
        <f t="shared" si="1232"/>
        <v>0.74111498257839714</v>
      </c>
      <c r="AI308" s="4">
        <v>1.25</v>
      </c>
      <c r="AJ308" s="4">
        <f t="shared" si="1154"/>
        <v>2.5</v>
      </c>
      <c r="AK308" s="38">
        <f t="shared" si="988"/>
        <v>243.41977575810324</v>
      </c>
      <c r="AL308" s="38">
        <f t="shared" si="1264"/>
        <v>243.41977575810324</v>
      </c>
      <c r="AM308" s="38">
        <f t="shared" si="1233"/>
        <v>3.1612853899839108</v>
      </c>
      <c r="AN308" s="38">
        <f t="shared" si="1161"/>
        <v>243.41977575810327</v>
      </c>
      <c r="AO308" s="38">
        <f t="shared" si="1115"/>
        <v>0.99999999999999989</v>
      </c>
      <c r="AP308" s="38">
        <f t="shared" si="1162"/>
        <v>2.3993573988971941</v>
      </c>
      <c r="AQ308" s="4">
        <f t="shared" si="1163"/>
        <v>0</v>
      </c>
      <c r="AR308" s="4" t="e">
        <f>#REF!/G308*F308^0.5/0.19</f>
        <v>#REF!</v>
      </c>
      <c r="AS308" s="4">
        <f t="shared" si="1234"/>
        <v>1.0290909090909093</v>
      </c>
      <c r="AT308" s="38">
        <f t="shared" si="1235"/>
        <v>584.05104000310098</v>
      </c>
      <c r="AU308" s="4">
        <f t="shared" si="1236"/>
        <v>0.3</v>
      </c>
      <c r="AV308" s="4" t="e">
        <f>AU308*D308*#REF!/(D308*G308/2.75/F308^0.5)</f>
        <v>#REF!</v>
      </c>
      <c r="AW308" s="4" t="e">
        <f t="shared" si="1068"/>
        <v>#REF!</v>
      </c>
      <c r="AY308" s="4">
        <f t="shared" si="1237"/>
        <v>1.3625</v>
      </c>
      <c r="AZ308" s="4" t="e">
        <f>(3*#REF!+30)*AY308*F308^0.5</f>
        <v>#REF!</v>
      </c>
      <c r="BB308" s="4">
        <f t="shared" si="1238"/>
        <v>560.17637215097193</v>
      </c>
      <c r="BC308" s="4">
        <f t="shared" si="1275"/>
        <v>0</v>
      </c>
      <c r="BD308" s="4">
        <f t="shared" si="1069"/>
        <v>0</v>
      </c>
      <c r="BL308" s="4">
        <f t="shared" si="1239"/>
        <v>57.149999999999984</v>
      </c>
      <c r="BP308" s="9"/>
      <c r="BR308" s="9"/>
      <c r="BS308" s="9"/>
      <c r="BT308" s="9">
        <f t="shared" si="1240"/>
        <v>57.149999999999984</v>
      </c>
      <c r="BU308" s="9">
        <f t="shared" si="1241"/>
        <v>62.230000000000004</v>
      </c>
      <c r="BV308" s="9">
        <f t="shared" si="1242"/>
        <v>1.5192834046120851</v>
      </c>
      <c r="BW308" s="40">
        <f t="shared" si="1018"/>
        <v>0</v>
      </c>
      <c r="BX308" s="9">
        <f t="shared" si="1243"/>
        <v>0</v>
      </c>
      <c r="BY308" s="9">
        <f t="shared" si="1070"/>
        <v>0</v>
      </c>
      <c r="BZ308" s="9">
        <f t="shared" si="1244"/>
        <v>0.99524931562137331</v>
      </c>
      <c r="CA308" s="9">
        <f t="shared" si="1245"/>
        <v>0.68048275862068963</v>
      </c>
      <c r="CB308" s="9">
        <f t="shared" si="1246"/>
        <v>1.3863532187078278</v>
      </c>
      <c r="CC308" s="9">
        <f t="shared" si="1247"/>
        <v>2.1062634381133511</v>
      </c>
      <c r="CD308" s="40">
        <v>1</v>
      </c>
      <c r="CE308" s="9" t="e">
        <f>4*CC308*#REF!+60*CC308</f>
        <v>#REF!</v>
      </c>
      <c r="CG308" s="4" t="e">
        <f t="shared" si="1071"/>
        <v>#REF!</v>
      </c>
      <c r="CH308" s="4" t="e">
        <f t="shared" si="1072"/>
        <v>#REF!</v>
      </c>
      <c r="CI308" s="4" t="e">
        <f t="shared" si="1073"/>
        <v>#REF!</v>
      </c>
      <c r="CJ308" s="4" t="e">
        <f t="shared" si="1074"/>
        <v>#REF!</v>
      </c>
      <c r="CK308" s="4">
        <f t="shared" si="1075"/>
        <v>1.1667495807153807</v>
      </c>
      <c r="CL308" s="4">
        <f t="shared" si="1076"/>
        <v>1.1994142932326093</v>
      </c>
      <c r="CM308" s="4">
        <f t="shared" si="978"/>
        <v>1.6904491962548411</v>
      </c>
      <c r="CN308" s="4">
        <f t="shared" si="1019"/>
        <v>0</v>
      </c>
      <c r="CO308" s="4" t="e">
        <f t="shared" si="1288"/>
        <v>#REF!</v>
      </c>
      <c r="CP308" s="4" t="e">
        <f t="shared" si="1289"/>
        <v>#REF!</v>
      </c>
      <c r="CQ308" s="4" t="e">
        <f t="shared" si="1290"/>
        <v>#REF!</v>
      </c>
      <c r="CR308" s="4">
        <f t="shared" si="1291"/>
        <v>1.6904491962548411</v>
      </c>
      <c r="CS308" s="4">
        <f t="shared" si="1292"/>
        <v>1.1667495807153807</v>
      </c>
      <c r="CT308" s="4">
        <f t="shared" si="1293"/>
        <v>1.1994142932326093</v>
      </c>
      <c r="DC308" s="4" t="e">
        <f>#REF!</f>
        <v>#REF!</v>
      </c>
      <c r="DF308" s="4">
        <f t="shared" si="1248"/>
        <v>2.6392052661312303E-5</v>
      </c>
      <c r="DG308" s="4">
        <f t="shared" si="1083"/>
        <v>7.1785914172642658</v>
      </c>
      <c r="DH308" s="4">
        <f t="shared" si="1249"/>
        <v>0.24561906376309534</v>
      </c>
      <c r="DI308" s="4">
        <f t="shared" si="1084"/>
        <v>4.0939644205144168</v>
      </c>
      <c r="DJ308" s="4">
        <f t="shared" si="1085"/>
        <v>5.8449398825812473</v>
      </c>
      <c r="DK308" s="4">
        <f t="shared" si="1250"/>
        <v>6.5142498463012739</v>
      </c>
      <c r="DL308" s="38">
        <f t="shared" si="1251"/>
        <v>566.26517471497073</v>
      </c>
      <c r="DM308" s="4" t="e">
        <f t="shared" si="1086"/>
        <v>#REF!</v>
      </c>
      <c r="DN308" s="4">
        <f t="shared" si="1252"/>
        <v>3.1780497164141401</v>
      </c>
      <c r="DO308" s="4">
        <f t="shared" si="976"/>
        <v>243.41977575810327</v>
      </c>
      <c r="DS308" s="4">
        <f t="shared" si="1253"/>
        <v>0.85</v>
      </c>
      <c r="DT308" s="4">
        <f t="shared" si="1254"/>
        <v>0.875</v>
      </c>
      <c r="DU308" s="4">
        <f t="shared" si="1255"/>
        <v>1</v>
      </c>
      <c r="DV308" s="4">
        <f t="shared" si="1087"/>
        <v>0.875</v>
      </c>
      <c r="DX308" s="4">
        <f t="shared" si="1256"/>
        <v>550.84357331756632</v>
      </c>
      <c r="DY308" s="25">
        <f t="shared" si="1146"/>
        <v>241.80521280433967</v>
      </c>
      <c r="EA308" s="4">
        <f t="shared" si="1147"/>
        <v>0.74375000000000002</v>
      </c>
      <c r="EB308" s="4">
        <f t="shared" si="1257"/>
        <v>7.1785914172642658</v>
      </c>
      <c r="EE308" s="4">
        <f t="shared" si="1258"/>
        <v>80.72246279691916</v>
      </c>
      <c r="EF308" s="4">
        <f t="shared" si="1088"/>
        <v>3.1780497164141406</v>
      </c>
      <c r="EG308" s="4">
        <f t="shared" si="1259"/>
        <v>7.8551444201409956E-2</v>
      </c>
      <c r="EJ308" s="4">
        <f t="shared" si="1089"/>
        <v>7.8551444201409956E-2</v>
      </c>
      <c r="EK308" s="4">
        <f t="shared" si="1260"/>
        <v>0.24520917132284534</v>
      </c>
      <c r="EL308" s="4">
        <f t="shared" si="1090"/>
        <v>4.0912302256798361</v>
      </c>
      <c r="EM308" s="4">
        <f t="shared" si="1091"/>
        <v>5.8439882654616717</v>
      </c>
      <c r="EN308" s="4" t="e">
        <f t="shared" si="1092"/>
        <v>#REF!</v>
      </c>
      <c r="EO308" s="4" t="e">
        <f t="shared" si="1093"/>
        <v>#REF!</v>
      </c>
      <c r="EP308" s="4" t="e">
        <f t="shared" si="1261"/>
        <v>#REF!</v>
      </c>
      <c r="EQ308" s="4" t="e">
        <f t="shared" si="1094"/>
        <v>#REF!</v>
      </c>
      <c r="ER308" s="4" t="e">
        <f t="shared" si="1262"/>
        <v>#REF!</v>
      </c>
      <c r="EU308" s="4">
        <f>5.25*25.4</f>
        <v>133.35</v>
      </c>
      <c r="FA308" s="23" t="e">
        <f t="shared" si="1042"/>
        <v>#REF!</v>
      </c>
      <c r="FB308" s="23" t="e">
        <f t="shared" si="1043"/>
        <v>#REF!</v>
      </c>
      <c r="FC308" s="23">
        <f t="shared" si="981"/>
        <v>1.8</v>
      </c>
      <c r="FD308" s="23" t="e">
        <f t="shared" si="1044"/>
        <v>#REF!</v>
      </c>
      <c r="FE308" s="23">
        <f t="shared" si="1045"/>
        <v>1.2</v>
      </c>
      <c r="FF308" s="23">
        <f t="shared" si="1046"/>
        <v>1.2</v>
      </c>
      <c r="FG308" s="23">
        <f t="shared" si="1266"/>
        <v>0</v>
      </c>
      <c r="FH308" s="23"/>
      <c r="FR308" s="4">
        <f t="shared" si="1122"/>
        <v>1.25</v>
      </c>
      <c r="FS308" s="4">
        <f t="shared" si="1123"/>
        <v>0.70833333333333326</v>
      </c>
      <c r="FT308" s="4">
        <f t="shared" si="1124"/>
        <v>0</v>
      </c>
      <c r="FU308" s="4">
        <f t="shared" si="1125"/>
        <v>390.83674128519186</v>
      </c>
    </row>
    <row r="309" spans="2:177" ht="12" customHeight="1" x14ac:dyDescent="0.3">
      <c r="B309" s="24"/>
      <c r="C309" s="7" t="s">
        <v>446</v>
      </c>
      <c r="D309" s="38">
        <f>120/0.145</f>
        <v>827.58620689655174</v>
      </c>
      <c r="E309" s="38">
        <f>14.42*25.4</f>
        <v>366.26799999999997</v>
      </c>
      <c r="F309" s="38">
        <f>5370/145</f>
        <v>37.03448275862069</v>
      </c>
      <c r="G309" s="38">
        <f t="shared" si="1016"/>
        <v>25.4</v>
      </c>
      <c r="H309" s="38">
        <f>17.4*25.4</f>
        <v>441.95999999999992</v>
      </c>
      <c r="I309" s="38">
        <f>2.65*25.4</f>
        <v>67.309999999999988</v>
      </c>
      <c r="J309" s="39">
        <f>3.2*25.4</f>
        <v>81.28</v>
      </c>
      <c r="K309" s="7">
        <f t="shared" si="986"/>
        <v>115.56999999999998</v>
      </c>
      <c r="L309" s="38">
        <v>3</v>
      </c>
      <c r="M309" s="4">
        <f t="shared" si="1028"/>
        <v>260.34999999999997</v>
      </c>
      <c r="N309" s="7">
        <f t="shared" si="1224"/>
        <v>2.7749999999999999</v>
      </c>
      <c r="O309" s="7">
        <f t="shared" si="1225"/>
        <v>3.1499999999999995</v>
      </c>
      <c r="P309" s="38">
        <v>9.5</v>
      </c>
      <c r="Q309" s="4">
        <f t="shared" si="1017"/>
        <v>9.5</v>
      </c>
      <c r="R309" s="4">
        <f t="shared" si="1226"/>
        <v>10.5</v>
      </c>
      <c r="S309" s="7">
        <f t="shared" si="1227"/>
        <v>82.305406869779816</v>
      </c>
      <c r="V309" s="38">
        <f t="shared" si="1054"/>
        <v>825.51724137931046</v>
      </c>
      <c r="W309" s="4">
        <v>119.7</v>
      </c>
      <c r="X309" s="4">
        <f t="shared" si="1228"/>
        <v>1.3055599870590859</v>
      </c>
      <c r="Y309" s="38">
        <f>0.375*25.4</f>
        <v>9.5249999999999986</v>
      </c>
      <c r="Z309" s="38">
        <v>10</v>
      </c>
      <c r="AA309" s="39">
        <f t="shared" ref="AA309:AA310" si="1296">3*25.4</f>
        <v>76.199999999999989</v>
      </c>
      <c r="AB309" s="39">
        <v>3</v>
      </c>
      <c r="AC309" s="39">
        <v>2</v>
      </c>
      <c r="AD309" s="7"/>
      <c r="AE309" s="4">
        <f t="shared" si="1229"/>
        <v>366.26799999999997</v>
      </c>
      <c r="AF309" s="4">
        <f t="shared" si="1230"/>
        <v>0.40221914008321769</v>
      </c>
      <c r="AG309" s="4">
        <f t="shared" si="1231"/>
        <v>280.62285446564027</v>
      </c>
      <c r="AH309" s="4">
        <f t="shared" si="1232"/>
        <v>0.74368932038834945</v>
      </c>
      <c r="AI309" s="4">
        <v>1.25</v>
      </c>
      <c r="AJ309" s="4">
        <f t="shared" si="1154"/>
        <v>2.5</v>
      </c>
      <c r="AK309" s="38">
        <f t="shared" si="988"/>
        <v>262.31754411263563</v>
      </c>
      <c r="AL309" s="38">
        <f t="shared" si="1264"/>
        <v>262.31754411263563</v>
      </c>
      <c r="AM309" s="38">
        <f t="shared" si="1233"/>
        <v>3.3331800748667266</v>
      </c>
      <c r="AN309" s="38">
        <f t="shared" si="1161"/>
        <v>262.31754411263586</v>
      </c>
      <c r="AO309" s="38">
        <f t="shared" si="1115"/>
        <v>0.99999999999999911</v>
      </c>
      <c r="AP309" s="38">
        <f t="shared" si="1162"/>
        <v>2.5456378195386229</v>
      </c>
      <c r="AQ309" s="4">
        <f t="shared" si="1163"/>
        <v>0</v>
      </c>
      <c r="AR309" s="4" t="e">
        <f>#REF!/G309*F309^0.5/0.19</f>
        <v>#REF!</v>
      </c>
      <c r="AS309" s="4">
        <f t="shared" si="1234"/>
        <v>1.0540540540540539</v>
      </c>
      <c r="AT309" s="38">
        <f t="shared" si="1235"/>
        <v>667.76546102161683</v>
      </c>
      <c r="AU309" s="4">
        <f t="shared" si="1236"/>
        <v>0.3</v>
      </c>
      <c r="AV309" s="4" t="e">
        <f>AU309*D309*#REF!/(D309*G309/2.75/F309^0.5)</f>
        <v>#REF!</v>
      </c>
      <c r="AW309" s="4" t="e">
        <f t="shared" si="1068"/>
        <v>#REF!</v>
      </c>
      <c r="AY309" s="4">
        <f t="shared" si="1237"/>
        <v>1.5</v>
      </c>
      <c r="AZ309" s="4" t="e">
        <f>(3*#REF!+30)*AY309*F309^0.5</f>
        <v>#REF!</v>
      </c>
      <c r="BB309" s="4">
        <f t="shared" si="1238"/>
        <v>640.46873951431451</v>
      </c>
      <c r="BC309" s="4">
        <f t="shared" si="1275"/>
        <v>0</v>
      </c>
      <c r="BD309" s="4">
        <f t="shared" si="1069"/>
        <v>0</v>
      </c>
      <c r="BL309" s="4">
        <f t="shared" si="1239"/>
        <v>57.784999999999989</v>
      </c>
      <c r="BP309" s="9"/>
      <c r="BR309" s="9"/>
      <c r="BS309" s="9"/>
      <c r="BT309" s="9">
        <f t="shared" si="1240"/>
        <v>57.784999999999989</v>
      </c>
      <c r="BU309" s="9">
        <f t="shared" si="1241"/>
        <v>67.309999999999988</v>
      </c>
      <c r="BV309" s="9">
        <f t="shared" si="1242"/>
        <v>1.5432289842400166</v>
      </c>
      <c r="BW309" s="40">
        <f t="shared" si="1018"/>
        <v>20</v>
      </c>
      <c r="BX309" s="9">
        <f t="shared" si="1243"/>
        <v>0.05</v>
      </c>
      <c r="BY309" s="9">
        <f t="shared" si="1070"/>
        <v>0.8</v>
      </c>
      <c r="BZ309" s="9">
        <f t="shared" si="1244"/>
        <v>0.99524931562137331</v>
      </c>
      <c r="CA309" s="9">
        <f t="shared" si="1245"/>
        <v>0.68</v>
      </c>
      <c r="CB309" s="9">
        <f t="shared" si="1246"/>
        <v>1.441491169956336</v>
      </c>
      <c r="CC309" s="9">
        <f t="shared" si="1247"/>
        <v>3.3777438899677379</v>
      </c>
      <c r="CD309" s="40">
        <v>1</v>
      </c>
      <c r="CE309" s="9" t="e">
        <f>4*CC309*#REF!+60*CC309</f>
        <v>#REF!</v>
      </c>
      <c r="CG309" s="4" t="e">
        <f t="shared" si="1071"/>
        <v>#REF!</v>
      </c>
      <c r="CH309" s="4" t="e">
        <f t="shared" si="1072"/>
        <v>#REF!</v>
      </c>
      <c r="CI309" s="4" t="e">
        <f t="shared" si="1073"/>
        <v>#REF!</v>
      </c>
      <c r="CJ309" s="4" t="e">
        <f t="shared" si="1074"/>
        <v>#REF!</v>
      </c>
      <c r="CK309" s="4">
        <f t="shared" si="1075"/>
        <v>1.3055599870590859</v>
      </c>
      <c r="CL309" s="4">
        <f t="shared" si="1076"/>
        <v>1.3354151143487145</v>
      </c>
      <c r="CM309" s="4">
        <f t="shared" si="978"/>
        <v>1.2857433234217517</v>
      </c>
      <c r="CN309" s="4">
        <f t="shared" si="1019"/>
        <v>10</v>
      </c>
      <c r="CU309" s="4" t="e">
        <f t="shared" ref="CU309:CU310" si="1297">CG309</f>
        <v>#REF!</v>
      </c>
      <c r="CV309" s="4" t="e">
        <f t="shared" ref="CV309:CV310" si="1298">CH309</f>
        <v>#REF!</v>
      </c>
      <c r="CW309" s="4" t="e">
        <f t="shared" ref="CW309:CW310" si="1299">CJ309</f>
        <v>#REF!</v>
      </c>
      <c r="CX309" s="4">
        <f t="shared" ref="CX309:CX310" si="1300">CM309</f>
        <v>1.2857433234217517</v>
      </c>
      <c r="CY309" s="4">
        <f t="shared" ref="CY309:CY310" si="1301">CK309</f>
        <v>1.3055599870590859</v>
      </c>
      <c r="CZ309" s="4">
        <f t="shared" ref="CZ309:CZ310" si="1302">CL309</f>
        <v>1.3354151143487145</v>
      </c>
      <c r="DC309" s="4" t="e">
        <f>#REF!</f>
        <v>#REF!</v>
      </c>
      <c r="DF309" s="4">
        <f t="shared" si="1248"/>
        <v>2.7037033836206757E-5</v>
      </c>
      <c r="DG309" s="4">
        <f t="shared" si="1083"/>
        <v>8.2657094987768289</v>
      </c>
      <c r="DH309" s="4">
        <f t="shared" si="1249"/>
        <v>0.23877711015829453</v>
      </c>
      <c r="DI309" s="4">
        <f t="shared" si="1084"/>
        <v>4.6609797326345435</v>
      </c>
      <c r="DJ309" s="4">
        <f t="shared" si="1085"/>
        <v>6.7117325510641495</v>
      </c>
      <c r="DK309" s="4">
        <f t="shared" si="1250"/>
        <v>7.3663406701590528</v>
      </c>
      <c r="DL309" s="38">
        <f t="shared" si="1251"/>
        <v>632.30893222982172</v>
      </c>
      <c r="DM309" s="4" t="e">
        <f t="shared" si="1086"/>
        <v>#REF!</v>
      </c>
      <c r="DN309" s="4">
        <f t="shared" si="1252"/>
        <v>3.2403703492039297</v>
      </c>
      <c r="DO309" s="4">
        <f t="shared" si="976"/>
        <v>262.31754411263586</v>
      </c>
      <c r="DS309" s="4">
        <f t="shared" si="1253"/>
        <v>0.85</v>
      </c>
      <c r="DT309" s="4">
        <f t="shared" si="1254"/>
        <v>0.87250000000000005</v>
      </c>
      <c r="DU309" s="4">
        <f t="shared" si="1255"/>
        <v>0.90625</v>
      </c>
      <c r="DV309" s="4">
        <f t="shared" si="1087"/>
        <v>0.79070312500000006</v>
      </c>
      <c r="DX309" s="4">
        <f t="shared" si="1256"/>
        <v>618.17275580403884</v>
      </c>
      <c r="DY309" s="25">
        <f t="shared" si="1146"/>
        <v>260.59816288695316</v>
      </c>
      <c r="EA309" s="4">
        <f t="shared" si="1147"/>
        <v>0.67209765625000006</v>
      </c>
      <c r="EB309" s="4">
        <f t="shared" si="1257"/>
        <v>8.2657094987768289</v>
      </c>
      <c r="EE309" s="4">
        <f t="shared" si="1258"/>
        <v>82.305406869779816</v>
      </c>
      <c r="EF309" s="4">
        <f t="shared" si="1088"/>
        <v>3.2403703492039302</v>
      </c>
      <c r="EG309" s="4">
        <f t="shared" si="1259"/>
        <v>7.9456805189587323E-2</v>
      </c>
      <c r="EJ309" s="4">
        <f t="shared" si="1089"/>
        <v>7.9456805189587323E-2</v>
      </c>
      <c r="EK309" s="4">
        <f t="shared" si="1260"/>
        <v>0.23837863566344408</v>
      </c>
      <c r="EL309" s="4">
        <f t="shared" si="1090"/>
        <v>4.6578668509873076</v>
      </c>
      <c r="EM309" s="4">
        <f t="shared" si="1091"/>
        <v>6.7106587986327391</v>
      </c>
      <c r="EN309" s="4" t="e">
        <f t="shared" si="1092"/>
        <v>#REF!</v>
      </c>
      <c r="EO309" s="4" t="e">
        <f t="shared" si="1093"/>
        <v>#REF!</v>
      </c>
      <c r="EP309" s="4" t="e">
        <f t="shared" si="1261"/>
        <v>#REF!</v>
      </c>
      <c r="EQ309" s="4" t="e">
        <f t="shared" si="1094"/>
        <v>#REF!</v>
      </c>
      <c r="ER309" s="4" t="e">
        <f t="shared" si="1262"/>
        <v>#REF!</v>
      </c>
      <c r="FA309" s="23" t="e">
        <f t="shared" si="1042"/>
        <v>#REF!</v>
      </c>
      <c r="FB309" s="23" t="e">
        <f t="shared" si="1043"/>
        <v>#REF!</v>
      </c>
      <c r="FC309" s="23">
        <f t="shared" si="981"/>
        <v>1.4</v>
      </c>
      <c r="FD309" s="23" t="e">
        <f t="shared" si="1044"/>
        <v>#REF!</v>
      </c>
      <c r="FE309" s="23">
        <f t="shared" si="1045"/>
        <v>1.4</v>
      </c>
      <c r="FF309" s="23">
        <f t="shared" si="1046"/>
        <v>1.4</v>
      </c>
      <c r="FG309" s="23">
        <f t="shared" si="1266"/>
        <v>0</v>
      </c>
      <c r="FH309" s="23"/>
      <c r="FR309" s="4">
        <f t="shared" si="1122"/>
        <v>1</v>
      </c>
      <c r="FS309" s="4">
        <f t="shared" si="1123"/>
        <v>0.55246875000000006</v>
      </c>
      <c r="FT309" s="4">
        <f t="shared" si="1124"/>
        <v>0.28124999999999994</v>
      </c>
      <c r="FU309" s="4">
        <f t="shared" si="1125"/>
        <v>642.05446479189914</v>
      </c>
    </row>
    <row r="310" spans="2:177" ht="12" customHeight="1" x14ac:dyDescent="0.3">
      <c r="B310" s="24"/>
      <c r="C310" s="48" t="s">
        <v>447</v>
      </c>
      <c r="D310" s="38">
        <f>115.9/0.145</f>
        <v>799.31034482758628</v>
      </c>
      <c r="E310" s="38">
        <f>14.27*25.4</f>
        <v>362.45799999999997</v>
      </c>
      <c r="F310" s="38">
        <f>5420/145</f>
        <v>37.379310344827587</v>
      </c>
      <c r="G310" s="38">
        <f t="shared" si="1016"/>
        <v>25.4</v>
      </c>
      <c r="H310" s="38">
        <f>17.3*25.4</f>
        <v>439.42</v>
      </c>
      <c r="I310" s="38">
        <f>2.5*25.4</f>
        <v>63.5</v>
      </c>
      <c r="J310" s="39">
        <f>3.3*25.4</f>
        <v>83.82</v>
      </c>
      <c r="K310" s="7">
        <f t="shared" si="986"/>
        <v>118.11000000000001</v>
      </c>
      <c r="L310" s="38">
        <v>3</v>
      </c>
      <c r="M310" s="4">
        <f t="shared" si="1028"/>
        <v>260.34999999999997</v>
      </c>
      <c r="N310" s="7">
        <f t="shared" si="1224"/>
        <v>2.8250000000000002</v>
      </c>
      <c r="O310" s="7">
        <f t="shared" si="1225"/>
        <v>3</v>
      </c>
      <c r="P310" s="38">
        <v>9.1</v>
      </c>
      <c r="Q310" s="4">
        <f t="shared" si="1017"/>
        <v>9.1</v>
      </c>
      <c r="R310" s="4">
        <f t="shared" si="1226"/>
        <v>10.1</v>
      </c>
      <c r="S310" s="7">
        <f t="shared" si="1227"/>
        <v>80.72246279691916</v>
      </c>
      <c r="V310" s="38">
        <f t="shared" si="1054"/>
        <v>892.41379310344837</v>
      </c>
      <c r="W310" s="4">
        <v>129.4</v>
      </c>
      <c r="X310" s="4">
        <f t="shared" si="1228"/>
        <v>1.4151480032461179</v>
      </c>
      <c r="Y310" s="38">
        <f>0.375*25.4</f>
        <v>9.5249999999999986</v>
      </c>
      <c r="Z310" s="38">
        <v>10</v>
      </c>
      <c r="AA310" s="39">
        <f t="shared" si="1296"/>
        <v>76.199999999999989</v>
      </c>
      <c r="AB310" s="39">
        <v>3</v>
      </c>
      <c r="AC310" s="39">
        <v>2</v>
      </c>
      <c r="AD310" s="7"/>
      <c r="AE310" s="4">
        <f t="shared" si="1229"/>
        <v>362.45799999999997</v>
      </c>
      <c r="AF310" s="4">
        <f t="shared" si="1230"/>
        <v>0.40411118897453868</v>
      </c>
      <c r="AG310" s="4">
        <f t="shared" si="1231"/>
        <v>277.53873688530547</v>
      </c>
      <c r="AH310" s="4">
        <f t="shared" si="1232"/>
        <v>0.74204625087596354</v>
      </c>
      <c r="AI310" s="4">
        <v>1.25</v>
      </c>
      <c r="AJ310" s="4">
        <f t="shared" si="1154"/>
        <v>2.5</v>
      </c>
      <c r="AK310" s="38">
        <f t="shared" si="988"/>
        <v>260.07911555343611</v>
      </c>
      <c r="AL310" s="38">
        <f t="shared" si="1264"/>
        <v>260.07911555343611</v>
      </c>
      <c r="AM310" s="38">
        <f t="shared" si="1233"/>
        <v>3.3538382302464851</v>
      </c>
      <c r="AN310" s="38">
        <f t="shared" si="1161"/>
        <v>260.07911555343571</v>
      </c>
      <c r="AO310" s="38">
        <f t="shared" si="1115"/>
        <v>1.0000000000000016</v>
      </c>
      <c r="AP310" s="38">
        <f t="shared" si="1162"/>
        <v>2.5102967545027099</v>
      </c>
      <c r="AQ310" s="4">
        <f t="shared" si="1163"/>
        <v>0</v>
      </c>
      <c r="AR310" s="4" t="e">
        <f>#REF!/G310*F310^0.5/0.19</f>
        <v>#REF!</v>
      </c>
      <c r="AS310" s="4">
        <f t="shared" si="1234"/>
        <v>1.0247787610619468</v>
      </c>
      <c r="AT310" s="38">
        <f t="shared" si="1235"/>
        <v>652.87575968772489</v>
      </c>
      <c r="AU310" s="4">
        <f t="shared" si="1236"/>
        <v>0.3</v>
      </c>
      <c r="AV310" s="4" t="e">
        <f>AU310*D310*#REF!/(D310*G310/2.75/F310^0.5)</f>
        <v>#REF!</v>
      </c>
      <c r="AW310" s="4" t="e">
        <f t="shared" si="1068"/>
        <v>#REF!</v>
      </c>
      <c r="AY310" s="4">
        <f t="shared" si="1237"/>
        <v>1.5</v>
      </c>
      <c r="AZ310" s="4" t="e">
        <f>(3*#REF!+30)*AY310*F310^0.5</f>
        <v>#REF!</v>
      </c>
      <c r="BB310" s="4">
        <f t="shared" si="1238"/>
        <v>626.18769504329236</v>
      </c>
      <c r="BC310" s="4">
        <f t="shared" si="1275"/>
        <v>0</v>
      </c>
      <c r="BD310" s="4">
        <f t="shared" si="1069"/>
        <v>0</v>
      </c>
      <c r="BL310" s="4">
        <f t="shared" si="1239"/>
        <v>59.055000000000007</v>
      </c>
      <c r="BP310" s="9"/>
      <c r="BR310" s="9"/>
      <c r="BS310" s="9"/>
      <c r="BT310" s="9">
        <f t="shared" si="1240"/>
        <v>59.055000000000007</v>
      </c>
      <c r="BU310" s="9">
        <f t="shared" si="1241"/>
        <v>63.5</v>
      </c>
      <c r="BV310" s="9">
        <f t="shared" si="1242"/>
        <v>1.5414840534203929</v>
      </c>
      <c r="BW310" s="40">
        <f t="shared" si="1018"/>
        <v>20</v>
      </c>
      <c r="BX310" s="9">
        <f t="shared" si="1243"/>
        <v>0.05</v>
      </c>
      <c r="BY310" s="9">
        <f t="shared" si="1070"/>
        <v>0.8</v>
      </c>
      <c r="BZ310" s="9">
        <f t="shared" si="1244"/>
        <v>0.99524931562137331</v>
      </c>
      <c r="CA310" s="9">
        <f t="shared" si="1245"/>
        <v>0.68048275862068963</v>
      </c>
      <c r="CB310" s="9">
        <f t="shared" si="1246"/>
        <v>1.4492145981125171</v>
      </c>
      <c r="CC310" s="9">
        <f t="shared" si="1247"/>
        <v>3.3933128714645022</v>
      </c>
      <c r="CD310" s="40">
        <v>1</v>
      </c>
      <c r="CE310" s="9" t="e">
        <f>4*CC310*#REF!+60*CC310</f>
        <v>#REF!</v>
      </c>
      <c r="CG310" s="47" t="e">
        <f t="shared" ref="CG310" si="1303">V310/AR310</f>
        <v>#REF!</v>
      </c>
      <c r="CH310" s="47" t="e">
        <f t="shared" ref="CH310" si="1304">V310/AW310</f>
        <v>#REF!</v>
      </c>
      <c r="CI310" s="47" t="e">
        <f t="shared" ref="CI310" si="1305">V310/AZ310</f>
        <v>#REF!</v>
      </c>
      <c r="CJ310" s="47" t="e">
        <f t="shared" ref="CJ310" si="1306">V310/CE310</f>
        <v>#REF!</v>
      </c>
      <c r="CK310" s="47">
        <f t="shared" ref="CK310" si="1307">V310/DL310</f>
        <v>1.4151480032461179</v>
      </c>
      <c r="CL310" s="47">
        <f t="shared" ref="CL310" si="1308">V310/DX310</f>
        <v>1.4489801776685771</v>
      </c>
      <c r="CM310" s="47">
        <f t="shared" si="978"/>
        <v>1.3838059891279431</v>
      </c>
      <c r="CN310" s="4">
        <f t="shared" si="1019"/>
        <v>10</v>
      </c>
      <c r="CU310" s="4" t="e">
        <f t="shared" si="1297"/>
        <v>#REF!</v>
      </c>
      <c r="CV310" s="4" t="e">
        <f t="shared" si="1298"/>
        <v>#REF!</v>
      </c>
      <c r="CW310" s="4" t="e">
        <f t="shared" si="1299"/>
        <v>#REF!</v>
      </c>
      <c r="CX310" s="4">
        <f t="shared" si="1300"/>
        <v>1.3838059891279431</v>
      </c>
      <c r="CY310" s="4">
        <f t="shared" si="1301"/>
        <v>1.4151480032461179</v>
      </c>
      <c r="CZ310" s="4">
        <f t="shared" si="1302"/>
        <v>1.4489801776685771</v>
      </c>
      <c r="DC310" s="4" t="e">
        <f>#REF!</f>
        <v>#REF!</v>
      </c>
      <c r="DF310" s="4">
        <f t="shared" si="1248"/>
        <v>2.6818066492234688E-5</v>
      </c>
      <c r="DG310" s="4">
        <f t="shared" si="1083"/>
        <v>8.3519635514625126</v>
      </c>
      <c r="DH310" s="4">
        <f t="shared" si="1249"/>
        <v>0.2401563548629998</v>
      </c>
      <c r="DI310" s="4">
        <f t="shared" si="1084"/>
        <v>4.7204806706567792</v>
      </c>
      <c r="DJ310" s="4">
        <f t="shared" si="1085"/>
        <v>6.785522039015639</v>
      </c>
      <c r="DK310" s="4">
        <f t="shared" si="1250"/>
        <v>7.4491288425213469</v>
      </c>
      <c r="DL310" s="38">
        <f t="shared" si="1251"/>
        <v>630.6151660860894</v>
      </c>
      <c r="DM310" s="4" t="e">
        <f t="shared" si="1086"/>
        <v>#REF!</v>
      </c>
      <c r="DN310" s="4">
        <f t="shared" si="1252"/>
        <v>3.1780497164141401</v>
      </c>
      <c r="DO310" s="4">
        <f t="shared" ref="DO310:DO373" si="1309">MIN(DN$10*AN310)</f>
        <v>260.07911555343571</v>
      </c>
      <c r="DS310" s="4">
        <f t="shared" si="1253"/>
        <v>0.85</v>
      </c>
      <c r="DT310" s="4">
        <f t="shared" si="1254"/>
        <v>0.86749999999999994</v>
      </c>
      <c r="DU310" s="4">
        <f t="shared" si="1255"/>
        <v>0.90625</v>
      </c>
      <c r="DV310" s="4">
        <f t="shared" si="1087"/>
        <v>0.78617187499999996</v>
      </c>
      <c r="DX310" s="4">
        <f t="shared" si="1256"/>
        <v>615.89096031620716</v>
      </c>
      <c r="DY310" s="25">
        <f t="shared" si="1146"/>
        <v>258.34340067809694</v>
      </c>
      <c r="EA310" s="4">
        <f t="shared" si="1147"/>
        <v>0.66824609374999999</v>
      </c>
      <c r="EB310" s="4">
        <f t="shared" si="1257"/>
        <v>8.3519635514625126</v>
      </c>
      <c r="EE310" s="4">
        <f t="shared" si="1258"/>
        <v>80.72246279691916</v>
      </c>
      <c r="EF310" s="4">
        <f t="shared" si="1088"/>
        <v>3.1780497164141406</v>
      </c>
      <c r="EG310" s="4">
        <f t="shared" si="1259"/>
        <v>8.0286955687719583E-2</v>
      </c>
      <c r="EJ310" s="4">
        <f t="shared" si="1089"/>
        <v>8.0286955687719583E-2</v>
      </c>
      <c r="EK310" s="4">
        <f t="shared" si="1260"/>
        <v>0.2397555786657935</v>
      </c>
      <c r="EL310" s="4">
        <f t="shared" si="1090"/>
        <v>4.7173280507166124</v>
      </c>
      <c r="EM310" s="4">
        <f t="shared" si="1091"/>
        <v>6.7844325853538408</v>
      </c>
      <c r="EN310" s="4" t="e">
        <f t="shared" si="1092"/>
        <v>#REF!</v>
      </c>
      <c r="EO310" s="4" t="e">
        <f t="shared" si="1093"/>
        <v>#REF!</v>
      </c>
      <c r="EP310" s="4" t="e">
        <f t="shared" si="1261"/>
        <v>#REF!</v>
      </c>
      <c r="EQ310" s="4" t="e">
        <f t="shared" si="1094"/>
        <v>#REF!</v>
      </c>
      <c r="ER310" s="4" t="e">
        <f t="shared" si="1262"/>
        <v>#REF!</v>
      </c>
      <c r="EU310" s="4">
        <f>5.25*25.4</f>
        <v>133.35</v>
      </c>
      <c r="FA310" s="23" t="e">
        <f t="shared" si="1042"/>
        <v>#REF!</v>
      </c>
      <c r="FB310" s="23" t="e">
        <f t="shared" si="1043"/>
        <v>#REF!</v>
      </c>
      <c r="FC310" s="23">
        <f t="shared" si="981"/>
        <v>1.4</v>
      </c>
      <c r="FD310" s="23" t="e">
        <f t="shared" si="1044"/>
        <v>#REF!</v>
      </c>
      <c r="FE310" s="23">
        <f t="shared" si="1045"/>
        <v>1.6</v>
      </c>
      <c r="FF310" s="23">
        <f t="shared" si="1046"/>
        <v>1.6</v>
      </c>
      <c r="FG310" s="23">
        <f t="shared" si="1266"/>
        <v>0</v>
      </c>
      <c r="FH310" s="23"/>
      <c r="FR310" s="4">
        <f t="shared" si="1122"/>
        <v>1</v>
      </c>
      <c r="FS310" s="4">
        <f t="shared" si="1123"/>
        <v>0.54557377049180322</v>
      </c>
      <c r="FT310" s="4">
        <f t="shared" si="1124"/>
        <v>0.28124999999999994</v>
      </c>
      <c r="FU310" s="4">
        <f t="shared" si="1125"/>
        <v>644.89805660245497</v>
      </c>
    </row>
    <row r="311" spans="2:177" ht="12" customHeight="1" x14ac:dyDescent="0.3">
      <c r="B311" s="24"/>
      <c r="C311" s="7" t="s">
        <v>448</v>
      </c>
      <c r="D311" s="38">
        <f>120/0.145</f>
        <v>827.58620689655174</v>
      </c>
      <c r="E311" s="38">
        <f>14.3*25.4</f>
        <v>363.21999999999997</v>
      </c>
      <c r="F311" s="38">
        <f>5570/145</f>
        <v>38.413793103448278</v>
      </c>
      <c r="G311" s="38">
        <f t="shared" si="1016"/>
        <v>25.4</v>
      </c>
      <c r="H311" s="38">
        <f>17.3*25.4</f>
        <v>439.42</v>
      </c>
      <c r="I311" s="38">
        <f>2.5*25.4</f>
        <v>63.5</v>
      </c>
      <c r="J311" s="39">
        <f>3.4*25.4</f>
        <v>86.36</v>
      </c>
      <c r="K311" s="7">
        <f t="shared" si="986"/>
        <v>70.273333333333355</v>
      </c>
      <c r="L311" s="38">
        <v>4</v>
      </c>
      <c r="M311" s="4">
        <f t="shared" si="1028"/>
        <v>260.34999999999997</v>
      </c>
      <c r="N311" s="7">
        <f t="shared" si="1224"/>
        <v>1.8833333333333337</v>
      </c>
      <c r="O311" s="7">
        <f t="shared" si="1225"/>
        <v>3</v>
      </c>
      <c r="P311" s="38">
        <v>9.5</v>
      </c>
      <c r="Q311" s="4">
        <f t="shared" si="1017"/>
        <v>9.5</v>
      </c>
      <c r="R311" s="4">
        <f t="shared" si="1226"/>
        <v>10.5</v>
      </c>
      <c r="S311" s="7">
        <f t="shared" si="1227"/>
        <v>82.305406869779816</v>
      </c>
      <c r="V311" s="38">
        <f t="shared" si="1054"/>
        <v>531.0344827586207</v>
      </c>
      <c r="W311" s="4">
        <v>77</v>
      </c>
      <c r="X311" s="4">
        <f t="shared" si="1228"/>
        <v>1.0695354015578697</v>
      </c>
      <c r="Y311" s="38"/>
      <c r="Z311" s="38"/>
      <c r="AA311" s="39">
        <v>1</v>
      </c>
      <c r="AB311" s="39"/>
      <c r="AC311" s="39"/>
      <c r="AD311" s="7"/>
      <c r="AE311" s="4">
        <f t="shared" si="1229"/>
        <v>363.21999999999997</v>
      </c>
      <c r="AF311" s="4">
        <f t="shared" si="1230"/>
        <v>0.40326340326340332</v>
      </c>
      <c r="AG311" s="4">
        <f t="shared" si="1231"/>
        <v>211.68053362794402</v>
      </c>
      <c r="AH311" s="4">
        <f t="shared" si="1232"/>
        <v>0.74195804195804194</v>
      </c>
      <c r="AI311" s="4">
        <v>1.25</v>
      </c>
      <c r="AJ311" s="4">
        <f t="shared" si="1154"/>
        <v>2.5</v>
      </c>
      <c r="AK311" s="38">
        <f t="shared" si="988"/>
        <v>197.92429228920125</v>
      </c>
      <c r="AL311" s="38">
        <f t="shared" si="1264"/>
        <v>197.92429228920125</v>
      </c>
      <c r="AM311" s="38">
        <f t="shared" si="1233"/>
        <v>3.4154351999890475</v>
      </c>
      <c r="AN311" s="38">
        <f t="shared" si="1161"/>
        <v>197.92429228920113</v>
      </c>
      <c r="AO311" s="38">
        <f t="shared" si="1115"/>
        <v>1.0000000000000007</v>
      </c>
      <c r="AP311" s="38">
        <f t="shared" si="1162"/>
        <v>2.7876343767825564</v>
      </c>
      <c r="AQ311" s="4">
        <f t="shared" si="1163"/>
        <v>0</v>
      </c>
      <c r="AR311" s="4" t="e">
        <f>#REF!/G311*F311^0.5/0.19</f>
        <v>#REF!</v>
      </c>
      <c r="AS311" s="4">
        <f t="shared" si="1234"/>
        <v>1.2371681415929201</v>
      </c>
      <c r="AT311" s="38">
        <f t="shared" si="1235"/>
        <v>551.74056118573571</v>
      </c>
      <c r="AU311" s="4">
        <f t="shared" si="1236"/>
        <v>0.3</v>
      </c>
      <c r="AV311" s="4" t="e">
        <f>AU311*D311*#REF!/(D311*G311/2.75/F311^0.5)</f>
        <v>#REF!</v>
      </c>
      <c r="AW311" s="4" t="e">
        <f t="shared" si="1068"/>
        <v>#REF!</v>
      </c>
      <c r="AY311" s="4">
        <f t="shared" si="1237"/>
        <v>1.375</v>
      </c>
      <c r="AZ311" s="4" t="e">
        <f>(3*#REF!+30)*AY311*F311^0.5</f>
        <v>#REF!</v>
      </c>
      <c r="BB311" s="4">
        <f t="shared" si="1238"/>
        <v>529.18667165103545</v>
      </c>
      <c r="BC311" s="4">
        <f t="shared" si="1275"/>
        <v>0</v>
      </c>
      <c r="BD311" s="4">
        <f t="shared" si="1069"/>
        <v>0</v>
      </c>
      <c r="BL311" s="4">
        <f t="shared" si="1239"/>
        <v>35.136666666666677</v>
      </c>
      <c r="BP311" s="9"/>
      <c r="BR311" s="9"/>
      <c r="BS311" s="9"/>
      <c r="BT311" s="9">
        <f t="shared" si="1240"/>
        <v>35.136666666666677</v>
      </c>
      <c r="BU311" s="9">
        <f t="shared" si="1241"/>
        <v>63.5</v>
      </c>
      <c r="BV311" s="9">
        <f t="shared" si="1242"/>
        <v>1.2853322249291921</v>
      </c>
      <c r="BW311" s="40">
        <f t="shared" si="1018"/>
        <v>0</v>
      </c>
      <c r="BX311" s="9">
        <f t="shared" si="1243"/>
        <v>0</v>
      </c>
      <c r="BY311" s="9">
        <f t="shared" si="1070"/>
        <v>0</v>
      </c>
      <c r="BZ311" s="9">
        <f t="shared" si="1244"/>
        <v>0.99524931562137331</v>
      </c>
      <c r="CA311" s="9">
        <f t="shared" si="1245"/>
        <v>0.68</v>
      </c>
      <c r="CB311" s="9">
        <f t="shared" si="1246"/>
        <v>1.4680891910501142</v>
      </c>
      <c r="CC311" s="9">
        <f t="shared" si="1247"/>
        <v>1.8869823463269411</v>
      </c>
      <c r="CD311" s="40">
        <v>1</v>
      </c>
      <c r="CE311" s="9" t="e">
        <f>4*CC311*#REF!+60*CC311</f>
        <v>#REF!</v>
      </c>
      <c r="CG311" s="4" t="e">
        <f t="shared" si="1071"/>
        <v>#REF!</v>
      </c>
      <c r="CH311" s="4" t="e">
        <f t="shared" si="1072"/>
        <v>#REF!</v>
      </c>
      <c r="CI311" s="4" t="e">
        <f t="shared" si="1073"/>
        <v>#REF!</v>
      </c>
      <c r="CJ311" s="4" t="e">
        <f t="shared" si="1074"/>
        <v>#REF!</v>
      </c>
      <c r="CK311" s="4">
        <f t="shared" si="1075"/>
        <v>1.0695354015578697</v>
      </c>
      <c r="CL311" s="4">
        <f t="shared" si="1076"/>
        <v>1.0759579072343315</v>
      </c>
      <c r="CM311" s="4">
        <f t="shared" ref="CM311:CM374" si="1310">V311/FU311</f>
        <v>1.2756690101615786</v>
      </c>
      <c r="CN311" s="4">
        <f t="shared" si="1019"/>
        <v>0</v>
      </c>
      <c r="CO311" s="4" t="e">
        <f t="shared" ref="CO311:CO312" si="1311">CG311</f>
        <v>#REF!</v>
      </c>
      <c r="CP311" s="4" t="e">
        <f t="shared" ref="CP311:CP312" si="1312">CH311</f>
        <v>#REF!</v>
      </c>
      <c r="CQ311" s="4" t="e">
        <f t="shared" ref="CQ311:CQ312" si="1313">CJ311</f>
        <v>#REF!</v>
      </c>
      <c r="CR311" s="4">
        <f t="shared" ref="CR311:CR312" si="1314">CM311</f>
        <v>1.2756690101615786</v>
      </c>
      <c r="CS311" s="4">
        <f t="shared" ref="CS311:CS312" si="1315">CK311</f>
        <v>1.0695354015578697</v>
      </c>
      <c r="CT311" s="4">
        <f t="shared" ref="CT311:CT312" si="1316">CL311</f>
        <v>1.0759579072343315</v>
      </c>
      <c r="DC311" s="4" t="e">
        <f>#REF!</f>
        <v>#REF!</v>
      </c>
      <c r="DF311" s="4">
        <f t="shared" si="1248"/>
        <v>2.7061692465979089E-5</v>
      </c>
      <c r="DG311" s="4">
        <f t="shared" si="1083"/>
        <v>6.9216476088847125</v>
      </c>
      <c r="DH311" s="4">
        <f t="shared" si="1249"/>
        <v>0.17369349153752631</v>
      </c>
      <c r="DI311" s="4">
        <f t="shared" si="1084"/>
        <v>3.4365518677646003</v>
      </c>
      <c r="DJ311" s="4">
        <f t="shared" si="1085"/>
        <v>5.4673078774981922</v>
      </c>
      <c r="DK311" s="4">
        <f t="shared" si="1250"/>
        <v>6.3188322805754371</v>
      </c>
      <c r="DL311" s="38">
        <f t="shared" si="1251"/>
        <v>496.50949560446861</v>
      </c>
      <c r="DM311" s="4" t="e">
        <f t="shared" si="1086"/>
        <v>#REF!</v>
      </c>
      <c r="DN311" s="4">
        <f t="shared" si="1252"/>
        <v>3.2403703492039297</v>
      </c>
      <c r="DO311" s="4">
        <f t="shared" si="1309"/>
        <v>197.92429228920113</v>
      </c>
      <c r="DS311" s="4">
        <f t="shared" si="1253"/>
        <v>0.85</v>
      </c>
      <c r="DT311" s="4">
        <f t="shared" si="1254"/>
        <v>0.96166666666666667</v>
      </c>
      <c r="DU311" s="4">
        <f t="shared" si="1255"/>
        <v>1</v>
      </c>
      <c r="DV311" s="4">
        <f t="shared" si="1087"/>
        <v>0.96166666666666667</v>
      </c>
      <c r="DX311" s="4">
        <f t="shared" si="1256"/>
        <v>493.54577831358176</v>
      </c>
      <c r="DY311" s="25">
        <f t="shared" si="1146"/>
        <v>196.60709589242757</v>
      </c>
      <c r="EA311" s="4">
        <f t="shared" si="1147"/>
        <v>0.81741666666666668</v>
      </c>
      <c r="EB311" s="4">
        <f t="shared" si="1257"/>
        <v>6.9216476088847125</v>
      </c>
      <c r="EE311" s="4">
        <f t="shared" si="1258"/>
        <v>82.305406869779816</v>
      </c>
      <c r="EF311" s="4">
        <f t="shared" si="1088"/>
        <v>3.2403703492039302</v>
      </c>
      <c r="EG311" s="4">
        <f t="shared" si="1259"/>
        <v>5.886571279488545E-2</v>
      </c>
      <c r="EJ311" s="4">
        <f t="shared" si="1089"/>
        <v>5.886571279488545E-2</v>
      </c>
      <c r="EK311" s="4">
        <f t="shared" si="1260"/>
        <v>0.17340362947221644</v>
      </c>
      <c r="EL311" s="4">
        <f t="shared" si="1090"/>
        <v>3.4342567324384294</v>
      </c>
      <c r="EM311" s="4">
        <f t="shared" si="1091"/>
        <v>5.466595351127526</v>
      </c>
      <c r="EN311" s="4" t="e">
        <f t="shared" si="1092"/>
        <v>#REF!</v>
      </c>
      <c r="EO311" s="4" t="e">
        <f t="shared" si="1093"/>
        <v>#REF!</v>
      </c>
      <c r="EP311" s="4" t="e">
        <f t="shared" si="1261"/>
        <v>#REF!</v>
      </c>
      <c r="EQ311" s="4" t="e">
        <f t="shared" si="1094"/>
        <v>#REF!</v>
      </c>
      <c r="ER311" s="4" t="e">
        <f t="shared" si="1262"/>
        <v>#REF!</v>
      </c>
      <c r="FA311" s="23" t="e">
        <f t="shared" si="1042"/>
        <v>#REF!</v>
      </c>
      <c r="FB311" s="23" t="e">
        <f t="shared" si="1043"/>
        <v>#REF!</v>
      </c>
      <c r="FC311" s="23">
        <f t="shared" ref="FC311:FC374" si="1317">IF(CM311&lt;0.6,0.6,IF(CM311&lt;0.8,0.8,IF(CM311&lt;1,1,IF(CM311&lt;1.2,1.2,IF(CM311&lt;1.4,1.4,IF(CM311&lt;1.6,1.6,IF(CM311&lt;1.8,1.8,IF(CM311&lt;2,2,2.2))))))))</f>
        <v>1.4</v>
      </c>
      <c r="FD311" s="23" t="e">
        <f t="shared" si="1044"/>
        <v>#REF!</v>
      </c>
      <c r="FE311" s="23">
        <f t="shared" si="1045"/>
        <v>1.2</v>
      </c>
      <c r="FF311" s="23">
        <f t="shared" si="1046"/>
        <v>1.2</v>
      </c>
      <c r="FG311" s="23">
        <f t="shared" si="1266"/>
        <v>0</v>
      </c>
      <c r="FH311" s="23"/>
      <c r="FR311" s="4">
        <f t="shared" si="1122"/>
        <v>1</v>
      </c>
      <c r="FS311" s="4">
        <f t="shared" si="1123"/>
        <v>0.85277777777777763</v>
      </c>
      <c r="FT311" s="4">
        <f t="shared" si="1124"/>
        <v>0</v>
      </c>
      <c r="FU311" s="4">
        <f t="shared" si="1125"/>
        <v>416.27920607035742</v>
      </c>
    </row>
    <row r="312" spans="2:177" ht="12" customHeight="1" x14ac:dyDescent="0.3">
      <c r="B312" s="24"/>
      <c r="C312" s="48" t="s">
        <v>449</v>
      </c>
      <c r="D312" s="38">
        <f>115.9/0.145</f>
        <v>799.31034482758628</v>
      </c>
      <c r="E312" s="38">
        <f>14.06*25.4</f>
        <v>357.12399999999997</v>
      </c>
      <c r="F312" s="38">
        <f>5570/145</f>
        <v>38.413793103448278</v>
      </c>
      <c r="G312" s="38">
        <f t="shared" si="1016"/>
        <v>25.4</v>
      </c>
      <c r="H312" s="38">
        <f>16.8*25.4</f>
        <v>426.71999999999997</v>
      </c>
      <c r="I312" s="38">
        <f>2.45*25.4</f>
        <v>62.230000000000004</v>
      </c>
      <c r="J312" s="39">
        <f t="shared" ref="J312" si="1318">3.4*25.4</f>
        <v>86.36</v>
      </c>
      <c r="K312" s="7">
        <f t="shared" si="986"/>
        <v>66.88666666666667</v>
      </c>
      <c r="L312" s="38">
        <v>4</v>
      </c>
      <c r="M312" s="4">
        <f t="shared" si="1028"/>
        <v>260.34999999999997</v>
      </c>
      <c r="N312" s="7">
        <f t="shared" si="1224"/>
        <v>1.8166666666666669</v>
      </c>
      <c r="O312" s="7">
        <f t="shared" si="1225"/>
        <v>2.95</v>
      </c>
      <c r="P312" s="38">
        <v>9.1</v>
      </c>
      <c r="Q312" s="4">
        <f t="shared" si="1017"/>
        <v>9.1</v>
      </c>
      <c r="R312" s="4">
        <f t="shared" si="1226"/>
        <v>10.1</v>
      </c>
      <c r="S312" s="7">
        <f t="shared" si="1227"/>
        <v>80.72246279691916</v>
      </c>
      <c r="V312" s="38">
        <f t="shared" si="1054"/>
        <v>534.48275862068965</v>
      </c>
      <c r="W312" s="4">
        <v>77.5</v>
      </c>
      <c r="X312" s="4">
        <f t="shared" si="1228"/>
        <v>1.1086028706787405</v>
      </c>
      <c r="Y312" s="38"/>
      <c r="Z312" s="38"/>
      <c r="AA312" s="39">
        <v>1</v>
      </c>
      <c r="AB312" s="39"/>
      <c r="AC312" s="39"/>
      <c r="AD312" s="7"/>
      <c r="AE312" s="4">
        <f t="shared" si="1229"/>
        <v>357.12399999999997</v>
      </c>
      <c r="AF312" s="4">
        <f t="shared" si="1230"/>
        <v>0.39829302987197723</v>
      </c>
      <c r="AG312" s="4">
        <f t="shared" si="1231"/>
        <v>206.37393566831358</v>
      </c>
      <c r="AH312" s="4">
        <f t="shared" si="1232"/>
        <v>0.74196301564722611</v>
      </c>
      <c r="AI312" s="4">
        <v>1.25</v>
      </c>
      <c r="AJ312" s="4">
        <f t="shared" si="1154"/>
        <v>2.5</v>
      </c>
      <c r="AK312" s="38">
        <f t="shared" si="988"/>
        <v>190.58548961880157</v>
      </c>
      <c r="AL312" s="38">
        <f t="shared" si="1264"/>
        <v>190.58548961880157</v>
      </c>
      <c r="AM312" s="38">
        <f t="shared" si="1233"/>
        <v>3.4154351999890475</v>
      </c>
      <c r="AN312" s="38">
        <f t="shared" si="1161"/>
        <v>190.58548961880146</v>
      </c>
      <c r="AO312" s="38">
        <f t="shared" si="1115"/>
        <v>1.0000000000000007</v>
      </c>
      <c r="AP312" s="38">
        <f t="shared" si="1162"/>
        <v>2.7604120194863326</v>
      </c>
      <c r="AQ312" s="4">
        <f t="shared" si="1163"/>
        <v>0</v>
      </c>
      <c r="AR312" s="4" t="e">
        <f>#REF!/G312*F312^0.5/0.19</f>
        <v>#REF!</v>
      </c>
      <c r="AS312" s="4">
        <f t="shared" si="1234"/>
        <v>1.2495412844036697</v>
      </c>
      <c r="AT312" s="38">
        <f t="shared" si="1235"/>
        <v>526.09447628342718</v>
      </c>
      <c r="AU312" s="4">
        <f t="shared" si="1236"/>
        <v>0.3</v>
      </c>
      <c r="AV312" s="4" t="e">
        <f>AU312*D312*#REF!/(D312*G312/2.75/F312^0.5)</f>
        <v>#REF!</v>
      </c>
      <c r="AW312" s="4" t="e">
        <f t="shared" si="1068"/>
        <v>#REF!</v>
      </c>
      <c r="AY312" s="4">
        <f t="shared" si="1237"/>
        <v>1.3625</v>
      </c>
      <c r="AZ312" s="4" t="e">
        <f>(3*#REF!+30)*AY312*F312^0.5</f>
        <v>#REF!</v>
      </c>
      <c r="BB312" s="4">
        <f t="shared" si="1238"/>
        <v>504.58893991790706</v>
      </c>
      <c r="BC312" s="4">
        <f t="shared" si="1275"/>
        <v>0</v>
      </c>
      <c r="BD312" s="4">
        <f t="shared" si="1069"/>
        <v>0</v>
      </c>
      <c r="BL312" s="4">
        <f t="shared" si="1239"/>
        <v>33.443333333333335</v>
      </c>
      <c r="BP312" s="9"/>
      <c r="BR312" s="9"/>
      <c r="BS312" s="9"/>
      <c r="BT312" s="9">
        <f t="shared" si="1240"/>
        <v>33.443333333333335</v>
      </c>
      <c r="BU312" s="9">
        <f t="shared" si="1241"/>
        <v>62.230000000000004</v>
      </c>
      <c r="BV312" s="9">
        <f t="shared" si="1242"/>
        <v>1.2594805263392668</v>
      </c>
      <c r="BW312" s="40">
        <f t="shared" si="1018"/>
        <v>0</v>
      </c>
      <c r="BX312" s="9">
        <f t="shared" si="1243"/>
        <v>0</v>
      </c>
      <c r="BY312" s="9">
        <f t="shared" si="1070"/>
        <v>0</v>
      </c>
      <c r="BZ312" s="9">
        <f t="shared" si="1244"/>
        <v>0.99524931562137331</v>
      </c>
      <c r="CA312" s="9">
        <f t="shared" si="1245"/>
        <v>0.68048275862068963</v>
      </c>
      <c r="CB312" s="9">
        <f t="shared" si="1246"/>
        <v>1.4691314450397035</v>
      </c>
      <c r="CC312" s="9">
        <f t="shared" si="1247"/>
        <v>1.8503424456601734</v>
      </c>
      <c r="CD312" s="40">
        <v>1</v>
      </c>
      <c r="CE312" s="9" t="e">
        <f>4*CC312*#REF!+60*CC312</f>
        <v>#REF!</v>
      </c>
      <c r="CG312" s="4" t="e">
        <f t="shared" si="1071"/>
        <v>#REF!</v>
      </c>
      <c r="CH312" s="4" t="e">
        <f t="shared" si="1072"/>
        <v>#REF!</v>
      </c>
      <c r="CI312" s="4" t="e">
        <f t="shared" si="1073"/>
        <v>#REF!</v>
      </c>
      <c r="CJ312" s="4" t="e">
        <f t="shared" si="1074"/>
        <v>#REF!</v>
      </c>
      <c r="CK312" s="4">
        <f t="shared" si="1075"/>
        <v>1.1086028706787405</v>
      </c>
      <c r="CL312" s="4">
        <f t="shared" si="1076"/>
        <v>1.1152914305964363</v>
      </c>
      <c r="CM312" s="4">
        <f t="shared" si="1310"/>
        <v>1.6536048066223732</v>
      </c>
      <c r="CN312" s="4">
        <f t="shared" si="1019"/>
        <v>0</v>
      </c>
      <c r="CO312" s="4" t="e">
        <f t="shared" si="1311"/>
        <v>#REF!</v>
      </c>
      <c r="CP312" s="4" t="e">
        <f t="shared" si="1312"/>
        <v>#REF!</v>
      </c>
      <c r="CQ312" s="4" t="e">
        <f t="shared" si="1313"/>
        <v>#REF!</v>
      </c>
      <c r="CR312" s="4">
        <f t="shared" si="1314"/>
        <v>1.6536048066223732</v>
      </c>
      <c r="CS312" s="4">
        <f t="shared" si="1315"/>
        <v>1.1086028706787405</v>
      </c>
      <c r="CT312" s="4">
        <f t="shared" si="1316"/>
        <v>1.1152914305964363</v>
      </c>
      <c r="DC312" s="4" t="e">
        <f>#REF!</f>
        <v>#REF!</v>
      </c>
      <c r="DF312" s="4">
        <f t="shared" si="1248"/>
        <v>2.6607510214801819E-5</v>
      </c>
      <c r="DG312" s="4">
        <f t="shared" si="1083"/>
        <v>6.8739942690645091</v>
      </c>
      <c r="DH312" s="4">
        <f t="shared" si="1249"/>
        <v>0.17124682457055751</v>
      </c>
      <c r="DI312" s="4">
        <f t="shared" si="1084"/>
        <v>3.3935806633934544</v>
      </c>
      <c r="DJ312" s="4">
        <f t="shared" si="1085"/>
        <v>5.4236847619002306</v>
      </c>
      <c r="DK312" s="4">
        <f t="shared" si="1250"/>
        <v>6.299673463001727</v>
      </c>
      <c r="DL312" s="38">
        <f t="shared" si="1251"/>
        <v>482.12283474735489</v>
      </c>
      <c r="DM312" s="4" t="e">
        <f t="shared" si="1086"/>
        <v>#REF!</v>
      </c>
      <c r="DN312" s="4">
        <f t="shared" si="1252"/>
        <v>3.1780497164141401</v>
      </c>
      <c r="DO312" s="4">
        <f t="shared" si="1309"/>
        <v>190.58548961880146</v>
      </c>
      <c r="DS312" s="4">
        <f t="shared" si="1253"/>
        <v>0.85</v>
      </c>
      <c r="DT312" s="4">
        <f t="shared" si="1254"/>
        <v>0.96833333333333327</v>
      </c>
      <c r="DU312" s="4">
        <f t="shared" si="1255"/>
        <v>1</v>
      </c>
      <c r="DV312" s="4">
        <f t="shared" si="1087"/>
        <v>0.96833333333333327</v>
      </c>
      <c r="DX312" s="4">
        <f t="shared" si="1256"/>
        <v>479.23147614866775</v>
      </c>
      <c r="DY312" s="25">
        <f t="shared" si="1146"/>
        <v>189.28639787952685</v>
      </c>
      <c r="EA312" s="4">
        <f t="shared" si="1147"/>
        <v>0.82308333333333328</v>
      </c>
      <c r="EB312" s="4">
        <f t="shared" si="1257"/>
        <v>6.8739942690645091</v>
      </c>
      <c r="EE312" s="4">
        <f t="shared" si="1258"/>
        <v>80.72246279691916</v>
      </c>
      <c r="EF312" s="4">
        <f t="shared" si="1088"/>
        <v>3.1780497164141406</v>
      </c>
      <c r="EG312" s="4">
        <f t="shared" si="1259"/>
        <v>5.8036523435471804E-2</v>
      </c>
      <c r="EJ312" s="4">
        <f t="shared" si="1089"/>
        <v>5.8036523435471804E-2</v>
      </c>
      <c r="EK312" s="4">
        <f t="shared" si="1260"/>
        <v>0.17096104553641872</v>
      </c>
      <c r="EL312" s="4">
        <f t="shared" si="1090"/>
        <v>3.391314226813281</v>
      </c>
      <c r="EM312" s="4">
        <f t="shared" si="1091"/>
        <v>5.4229845716603329</v>
      </c>
      <c r="EN312" s="4" t="e">
        <f t="shared" si="1092"/>
        <v>#REF!</v>
      </c>
      <c r="EO312" s="4" t="e">
        <f t="shared" si="1093"/>
        <v>#REF!</v>
      </c>
      <c r="EP312" s="4" t="e">
        <f t="shared" si="1261"/>
        <v>#REF!</v>
      </c>
      <c r="EQ312" s="4" t="e">
        <f t="shared" si="1094"/>
        <v>#REF!</v>
      </c>
      <c r="ER312" s="4" t="e">
        <f t="shared" si="1262"/>
        <v>#REF!</v>
      </c>
      <c r="EU312" s="4">
        <f>5.25*25.4</f>
        <v>133.35</v>
      </c>
      <c r="FA312" s="23" t="e">
        <f t="shared" si="1042"/>
        <v>#REF!</v>
      </c>
      <c r="FB312" s="23" t="e">
        <f t="shared" si="1043"/>
        <v>#REF!</v>
      </c>
      <c r="FC312" s="23">
        <f t="shared" si="1317"/>
        <v>1.8</v>
      </c>
      <c r="FD312" s="23" t="e">
        <f t="shared" si="1044"/>
        <v>#REF!</v>
      </c>
      <c r="FE312" s="23">
        <f t="shared" si="1045"/>
        <v>1.2</v>
      </c>
      <c r="FF312" s="23">
        <f t="shared" si="1046"/>
        <v>1.2</v>
      </c>
      <c r="FG312" s="23">
        <f t="shared" si="1266"/>
        <v>0</v>
      </c>
      <c r="FH312" s="23"/>
      <c r="FR312" s="4">
        <f t="shared" si="1122"/>
        <v>1.25</v>
      </c>
      <c r="FS312" s="4">
        <f t="shared" si="1123"/>
        <v>0.86388888888888893</v>
      </c>
      <c r="FT312" s="4">
        <f t="shared" si="1124"/>
        <v>0</v>
      </c>
      <c r="FU312" s="4">
        <f t="shared" si="1125"/>
        <v>323.22278967755034</v>
      </c>
    </row>
    <row r="313" spans="2:177" ht="12" customHeight="1" x14ac:dyDescent="0.3">
      <c r="B313" s="24"/>
      <c r="C313" s="7" t="s">
        <v>450</v>
      </c>
      <c r="D313" s="38">
        <f>120/0.145</f>
        <v>827.58620689655174</v>
      </c>
      <c r="E313" s="38">
        <f>14.5*25.4</f>
        <v>368.29999999999995</v>
      </c>
      <c r="F313" s="38">
        <f>5570/145</f>
        <v>38.413793103448278</v>
      </c>
      <c r="G313" s="38">
        <f t="shared" si="1016"/>
        <v>25.4</v>
      </c>
      <c r="H313" s="38">
        <f>17.1*25.4</f>
        <v>434.34000000000003</v>
      </c>
      <c r="I313" s="38">
        <f>2.45*25.4</f>
        <v>62.230000000000004</v>
      </c>
      <c r="J313" s="39">
        <f>3.1*25.4</f>
        <v>78.739999999999995</v>
      </c>
      <c r="K313" s="7">
        <f t="shared" si="986"/>
        <v>69.426666666666662</v>
      </c>
      <c r="L313" s="38">
        <v>4</v>
      </c>
      <c r="M313" s="4">
        <f t="shared" si="1028"/>
        <v>260.34999999999997</v>
      </c>
      <c r="N313" s="7">
        <f t="shared" si="1224"/>
        <v>1.8666666666666667</v>
      </c>
      <c r="O313" s="7">
        <f t="shared" si="1225"/>
        <v>2.95</v>
      </c>
      <c r="P313" s="38">
        <v>9.5</v>
      </c>
      <c r="Q313" s="4">
        <f t="shared" si="1017"/>
        <v>9.5</v>
      </c>
      <c r="R313" s="4">
        <f t="shared" si="1226"/>
        <v>10.5</v>
      </c>
      <c r="S313" s="7">
        <f t="shared" si="1227"/>
        <v>82.305406869779816</v>
      </c>
      <c r="V313" s="38">
        <f t="shared" si="1054"/>
        <v>671.0344827586207</v>
      </c>
      <c r="W313" s="4">
        <v>97.3</v>
      </c>
      <c r="X313" s="4">
        <f t="shared" si="1228"/>
        <v>1.2682678827222702</v>
      </c>
      <c r="Y313" s="38">
        <f>0.375*25.4</f>
        <v>9.5249999999999986</v>
      </c>
      <c r="Z313" s="38">
        <v>10</v>
      </c>
      <c r="AA313" s="39">
        <f t="shared" ref="AA313:AA314" si="1319">3*25.4</f>
        <v>76.199999999999989</v>
      </c>
      <c r="AB313" s="39">
        <v>3</v>
      </c>
      <c r="AC313" s="39">
        <f>AB313-1</f>
        <v>2</v>
      </c>
      <c r="AD313" s="7"/>
      <c r="AE313" s="4">
        <f t="shared" si="1229"/>
        <v>368.29999999999995</v>
      </c>
      <c r="AF313" s="4">
        <f t="shared" si="1230"/>
        <v>0.39310344827586224</v>
      </c>
      <c r="AG313" s="4">
        <f t="shared" si="1231"/>
        <v>216.13687542656675</v>
      </c>
      <c r="AH313" s="4">
        <f t="shared" si="1232"/>
        <v>0.74068965517241381</v>
      </c>
      <c r="AI313" s="4">
        <v>1.25</v>
      </c>
      <c r="AJ313" s="4">
        <f t="shared" si="1154"/>
        <v>2.5</v>
      </c>
      <c r="AK313" s="38">
        <f t="shared" si="988"/>
        <v>196.66271165076645</v>
      </c>
      <c r="AL313" s="38">
        <f t="shared" si="1264"/>
        <v>196.66271165076645</v>
      </c>
      <c r="AM313" s="38">
        <f t="shared" si="1233"/>
        <v>3.4154351999890475</v>
      </c>
      <c r="AN313" s="38">
        <f t="shared" si="1161"/>
        <v>196.66271165076645</v>
      </c>
      <c r="AO313" s="38">
        <f t="shared" si="1115"/>
        <v>1</v>
      </c>
      <c r="AP313" s="38">
        <f t="shared" si="1162"/>
        <v>2.7693943650562476</v>
      </c>
      <c r="AQ313" s="4">
        <f t="shared" si="1163"/>
        <v>0</v>
      </c>
      <c r="AR313" s="4" t="e">
        <f>#REF!/G313*F313^0.5/0.19</f>
        <v>#REF!</v>
      </c>
      <c r="AS313" s="4">
        <f t="shared" si="1234"/>
        <v>1.2321428571428572</v>
      </c>
      <c r="AT313" s="38">
        <f t="shared" si="1235"/>
        <v>544.63660546231426</v>
      </c>
      <c r="AU313" s="4">
        <f t="shared" si="1236"/>
        <v>0.3</v>
      </c>
      <c r="AV313" s="4" t="e">
        <f>AU313*D313*#REF!/(D313*G313/2.75/F313^0.5)</f>
        <v>#REF!</v>
      </c>
      <c r="AW313" s="4" t="e">
        <f t="shared" si="1068"/>
        <v>#REF!</v>
      </c>
      <c r="AY313" s="4">
        <f t="shared" si="1237"/>
        <v>1.5</v>
      </c>
      <c r="AZ313" s="4" t="e">
        <f>(3*#REF!+30)*AY313*F313^0.5</f>
        <v>#REF!</v>
      </c>
      <c r="BB313" s="4">
        <f t="shared" si="1238"/>
        <v>522.37310935509947</v>
      </c>
      <c r="BC313" s="4">
        <f t="shared" si="1275"/>
        <v>0</v>
      </c>
      <c r="BD313" s="4">
        <f t="shared" si="1069"/>
        <v>0</v>
      </c>
      <c r="BL313" s="4">
        <f t="shared" si="1239"/>
        <v>34.713333333333331</v>
      </c>
      <c r="BP313" s="9"/>
      <c r="BR313" s="9"/>
      <c r="BS313" s="9"/>
      <c r="BT313" s="9">
        <f t="shared" si="1240"/>
        <v>34.713333333333331</v>
      </c>
      <c r="BU313" s="9">
        <f t="shared" si="1241"/>
        <v>62.230000000000004</v>
      </c>
      <c r="BV313" s="9">
        <f t="shared" si="1242"/>
        <v>1.2760180664066267</v>
      </c>
      <c r="BW313" s="40">
        <f t="shared" si="1018"/>
        <v>20</v>
      </c>
      <c r="BX313" s="9">
        <f t="shared" si="1243"/>
        <v>0.05</v>
      </c>
      <c r="BY313" s="9">
        <f t="shared" si="1070"/>
        <v>0.8</v>
      </c>
      <c r="BZ313" s="9">
        <f t="shared" si="1244"/>
        <v>0.99524931562137331</v>
      </c>
      <c r="CA313" s="9">
        <f t="shared" si="1245"/>
        <v>0.68</v>
      </c>
      <c r="CB313" s="9">
        <f t="shared" si="1246"/>
        <v>1.4680891910501142</v>
      </c>
      <c r="CC313" s="9">
        <f t="shared" si="1247"/>
        <v>3.0477796837163269</v>
      </c>
      <c r="CD313" s="40">
        <v>1</v>
      </c>
      <c r="CE313" s="9" t="e">
        <f>4*CC313*#REF!+60*CC313</f>
        <v>#REF!</v>
      </c>
      <c r="CG313" s="4" t="e">
        <f t="shared" si="1071"/>
        <v>#REF!</v>
      </c>
      <c r="CH313" s="4" t="e">
        <f t="shared" si="1072"/>
        <v>#REF!</v>
      </c>
      <c r="CI313" s="4" t="e">
        <f t="shared" si="1073"/>
        <v>#REF!</v>
      </c>
      <c r="CJ313" s="4" t="e">
        <f t="shared" si="1074"/>
        <v>#REF!</v>
      </c>
      <c r="CK313" s="4">
        <f t="shared" si="1075"/>
        <v>1.2682678827222702</v>
      </c>
      <c r="CL313" s="4">
        <f t="shared" si="1076"/>
        <v>1.2732119156908908</v>
      </c>
      <c r="CM313" s="4">
        <f t="shared" si="1310"/>
        <v>1.5219922977142373</v>
      </c>
      <c r="CN313" s="4">
        <f t="shared" si="1019"/>
        <v>10</v>
      </c>
      <c r="CU313" s="4" t="e">
        <f t="shared" ref="CU313:CU314" si="1320">CG313</f>
        <v>#REF!</v>
      </c>
      <c r="CV313" s="4" t="e">
        <f t="shared" ref="CV313:CV314" si="1321">CH313</f>
        <v>#REF!</v>
      </c>
      <c r="CW313" s="4" t="e">
        <f t="shared" ref="CW313:CW314" si="1322">CJ313</f>
        <v>#REF!</v>
      </c>
      <c r="CX313" s="4">
        <f t="shared" ref="CX313:CX314" si="1323">CM313</f>
        <v>1.5219922977142373</v>
      </c>
      <c r="CY313" s="4">
        <f t="shared" ref="CY313:CY314" si="1324">CK313</f>
        <v>1.2682678827222702</v>
      </c>
      <c r="CZ313" s="4">
        <f t="shared" ref="CZ313:CZ314" si="1325">CL313</f>
        <v>1.2732119156908908</v>
      </c>
      <c r="DC313" s="4" t="e">
        <f>#REF!</f>
        <v>#REF!</v>
      </c>
      <c r="DF313" s="4">
        <f t="shared" si="1248"/>
        <v>2.7440177675293479E-5</v>
      </c>
      <c r="DG313" s="4">
        <f t="shared" si="1083"/>
        <v>7.6244661407020242</v>
      </c>
      <c r="DH313" s="4">
        <f t="shared" si="1249"/>
        <v>0.17258635939416275</v>
      </c>
      <c r="DI313" s="4">
        <f t="shared" si="1084"/>
        <v>3.7758264740485674</v>
      </c>
      <c r="DJ313" s="4">
        <f t="shared" si="1085"/>
        <v>6.0194542657185099</v>
      </c>
      <c r="DK313" s="4">
        <f t="shared" si="1250"/>
        <v>6.8735858098061433</v>
      </c>
      <c r="DL313" s="38">
        <f t="shared" si="1251"/>
        <v>529.09522656860202</v>
      </c>
      <c r="DM313" s="4" t="e">
        <f t="shared" si="1086"/>
        <v>#REF!</v>
      </c>
      <c r="DN313" s="4">
        <f t="shared" si="1252"/>
        <v>3.2403703492039297</v>
      </c>
      <c r="DO313" s="4">
        <f t="shared" si="1309"/>
        <v>196.66271165076645</v>
      </c>
      <c r="DS313" s="4">
        <f t="shared" si="1253"/>
        <v>0.85</v>
      </c>
      <c r="DT313" s="4">
        <f t="shared" si="1254"/>
        <v>0.96333333333333337</v>
      </c>
      <c r="DU313" s="4">
        <f t="shared" si="1255"/>
        <v>0.90625</v>
      </c>
      <c r="DV313" s="4">
        <f t="shared" si="1087"/>
        <v>0.87302083333333336</v>
      </c>
      <c r="DX313" s="4">
        <f t="shared" si="1256"/>
        <v>527.04068701280823</v>
      </c>
      <c r="DY313" s="25">
        <f t="shared" si="1146"/>
        <v>195.37640989227023</v>
      </c>
      <c r="EA313" s="4">
        <f t="shared" si="1147"/>
        <v>0.74206770833333335</v>
      </c>
      <c r="EB313" s="4">
        <f t="shared" si="1257"/>
        <v>7.6244661407020242</v>
      </c>
      <c r="EE313" s="4">
        <f t="shared" si="1258"/>
        <v>82.305406869779816</v>
      </c>
      <c r="EF313" s="4">
        <f t="shared" si="1088"/>
        <v>3.2403703492039302</v>
      </c>
      <c r="EG313" s="4">
        <f t="shared" si="1259"/>
        <v>5.8490499410662894E-2</v>
      </c>
      <c r="EJ313" s="4">
        <f t="shared" si="1089"/>
        <v>5.8490499410662894E-2</v>
      </c>
      <c r="EK313" s="4">
        <f t="shared" si="1260"/>
        <v>0.17229834492605872</v>
      </c>
      <c r="EL313" s="4">
        <f t="shared" si="1090"/>
        <v>3.7733047508040065</v>
      </c>
      <c r="EM313" s="4">
        <f t="shared" si="1091"/>
        <v>6.0186731142651881</v>
      </c>
      <c r="EN313" s="4" t="e">
        <f t="shared" si="1092"/>
        <v>#REF!</v>
      </c>
      <c r="EO313" s="4" t="e">
        <f t="shared" si="1093"/>
        <v>#REF!</v>
      </c>
      <c r="EP313" s="4" t="e">
        <f t="shared" si="1261"/>
        <v>#REF!</v>
      </c>
      <c r="EQ313" s="4" t="e">
        <f t="shared" si="1094"/>
        <v>#REF!</v>
      </c>
      <c r="ER313" s="4" t="e">
        <f t="shared" si="1262"/>
        <v>#REF!</v>
      </c>
      <c r="FA313" s="23" t="e">
        <f t="shared" si="1042"/>
        <v>#REF!</v>
      </c>
      <c r="FB313" s="23" t="e">
        <f t="shared" si="1043"/>
        <v>#REF!</v>
      </c>
      <c r="FC313" s="23">
        <f t="shared" si="1317"/>
        <v>1.6</v>
      </c>
      <c r="FD313" s="23" t="e">
        <f t="shared" si="1044"/>
        <v>#REF!</v>
      </c>
      <c r="FE313" s="23">
        <f t="shared" si="1045"/>
        <v>1.4</v>
      </c>
      <c r="FF313" s="23">
        <f t="shared" si="1046"/>
        <v>1.4</v>
      </c>
      <c r="FG313" s="23">
        <f t="shared" si="1266"/>
        <v>0</v>
      </c>
      <c r="FH313" s="23"/>
      <c r="FR313" s="4">
        <f t="shared" si="1122"/>
        <v>1.25</v>
      </c>
      <c r="FS313" s="4">
        <f t="shared" si="1123"/>
        <v>0.65314583333333343</v>
      </c>
      <c r="FT313" s="4">
        <f t="shared" si="1124"/>
        <v>0.21093749999999997</v>
      </c>
      <c r="FU313" s="4">
        <f t="shared" si="1125"/>
        <v>440.892167303603</v>
      </c>
    </row>
    <row r="314" spans="2:177" ht="12" customHeight="1" x14ac:dyDescent="0.3">
      <c r="B314" s="24"/>
      <c r="C314" s="48" t="s">
        <v>451</v>
      </c>
      <c r="D314" s="38">
        <f>115.9/0.145</f>
        <v>799.31034482758628</v>
      </c>
      <c r="E314" s="38">
        <f>14.5*25.4</f>
        <v>368.29999999999995</v>
      </c>
      <c r="F314" s="38">
        <f>5570/145</f>
        <v>38.413793103448278</v>
      </c>
      <c r="G314" s="38">
        <f t="shared" si="1016"/>
        <v>25.4</v>
      </c>
      <c r="H314" s="38">
        <f>16.9*25.4</f>
        <v>429.25999999999993</v>
      </c>
      <c r="I314" s="38">
        <f>2.5*25.4</f>
        <v>63.5</v>
      </c>
      <c r="J314" s="39">
        <f>3*25.4</f>
        <v>76.199999999999989</v>
      </c>
      <c r="K314" s="7">
        <f t="shared" si="986"/>
        <v>66.886666666666656</v>
      </c>
      <c r="L314" s="38">
        <v>4</v>
      </c>
      <c r="M314" s="4">
        <f t="shared" si="1028"/>
        <v>260.34999999999997</v>
      </c>
      <c r="N314" s="7">
        <f t="shared" si="1224"/>
        <v>1.8166666666666664</v>
      </c>
      <c r="O314" s="7">
        <f t="shared" si="1225"/>
        <v>3</v>
      </c>
      <c r="P314" s="38">
        <v>9.1</v>
      </c>
      <c r="Q314" s="4">
        <f t="shared" si="1017"/>
        <v>9.1</v>
      </c>
      <c r="R314" s="4">
        <f t="shared" si="1226"/>
        <v>10.1</v>
      </c>
      <c r="S314" s="7">
        <f t="shared" si="1227"/>
        <v>80.72246279691916</v>
      </c>
      <c r="V314" s="38">
        <f t="shared" si="1054"/>
        <v>777.93103448275861</v>
      </c>
      <c r="W314" s="4">
        <v>112.8</v>
      </c>
      <c r="X314" s="4">
        <f t="shared" si="1228"/>
        <v>1.4782200012625968</v>
      </c>
      <c r="Y314" s="38">
        <f>0.375*25.4</f>
        <v>9.5249999999999986</v>
      </c>
      <c r="Z314" s="38">
        <v>10</v>
      </c>
      <c r="AA314" s="39">
        <f t="shared" si="1319"/>
        <v>76.199999999999989</v>
      </c>
      <c r="AB314" s="39">
        <v>3</v>
      </c>
      <c r="AC314" s="39">
        <f>AB314-1</f>
        <v>2</v>
      </c>
      <c r="AD314" s="7"/>
      <c r="AE314" s="4">
        <f t="shared" si="1229"/>
        <v>368.29999999999995</v>
      </c>
      <c r="AF314" s="4">
        <f t="shared" si="1230"/>
        <v>0.38850574712643682</v>
      </c>
      <c r="AG314" s="4">
        <f t="shared" si="1231"/>
        <v>216.13687542656675</v>
      </c>
      <c r="AH314" s="4">
        <f t="shared" si="1232"/>
        <v>0.74137931034482751</v>
      </c>
      <c r="AI314" s="4">
        <v>1.25</v>
      </c>
      <c r="AJ314" s="4">
        <f t="shared" si="1154"/>
        <v>2.5</v>
      </c>
      <c r="AK314" s="38">
        <f t="shared" si="988"/>
        <v>194.54353370551681</v>
      </c>
      <c r="AL314" s="38">
        <f t="shared" si="1264"/>
        <v>194.54353370551681</v>
      </c>
      <c r="AM314" s="38">
        <f t="shared" si="1233"/>
        <v>3.4154351999890475</v>
      </c>
      <c r="AN314" s="38">
        <f t="shared" si="1161"/>
        <v>194.54353370551681</v>
      </c>
      <c r="AO314" s="38">
        <f t="shared" si="1115"/>
        <v>1</v>
      </c>
      <c r="AP314" s="38">
        <f t="shared" si="1162"/>
        <v>2.7280766407298964</v>
      </c>
      <c r="AQ314" s="4">
        <f t="shared" si="1163"/>
        <v>0</v>
      </c>
      <c r="AR314" s="4" t="e">
        <f>#REF!/G314*F314^0.5/0.19</f>
        <v>#REF!</v>
      </c>
      <c r="AS314" s="4">
        <f t="shared" si="1234"/>
        <v>1.2605504587155965</v>
      </c>
      <c r="AT314" s="38">
        <f t="shared" si="1235"/>
        <v>530.72966990706971</v>
      </c>
      <c r="AU314" s="4">
        <f t="shared" si="1236"/>
        <v>0.3</v>
      </c>
      <c r="AV314" s="4" t="e">
        <f>AU314*D314*#REF!/(D314*G314/2.75/F314^0.5)</f>
        <v>#REF!</v>
      </c>
      <c r="AW314" s="4" t="e">
        <f t="shared" si="1068"/>
        <v>#REF!</v>
      </c>
      <c r="AY314" s="4">
        <f t="shared" si="1237"/>
        <v>1.5</v>
      </c>
      <c r="AZ314" s="4" t="e">
        <f>(3*#REF!+30)*AY314*F314^0.5</f>
        <v>#REF!</v>
      </c>
      <c r="BB314" s="4">
        <f t="shared" si="1238"/>
        <v>509.03465745022322</v>
      </c>
      <c r="BC314" s="4">
        <f t="shared" si="1275"/>
        <v>0</v>
      </c>
      <c r="BD314" s="4">
        <f t="shared" si="1069"/>
        <v>0</v>
      </c>
      <c r="BL314" s="4">
        <f t="shared" si="1239"/>
        <v>33.443333333333328</v>
      </c>
      <c r="BP314" s="9"/>
      <c r="BR314" s="9"/>
      <c r="BS314" s="9"/>
      <c r="BT314" s="9">
        <f t="shared" si="1240"/>
        <v>33.443333333333328</v>
      </c>
      <c r="BU314" s="9">
        <f t="shared" si="1241"/>
        <v>63.5</v>
      </c>
      <c r="BV314" s="9">
        <f t="shared" si="1242"/>
        <v>1.2633030527845497</v>
      </c>
      <c r="BW314" s="40">
        <f t="shared" si="1018"/>
        <v>20</v>
      </c>
      <c r="BX314" s="9">
        <f t="shared" si="1243"/>
        <v>0.05</v>
      </c>
      <c r="BY314" s="9">
        <f t="shared" si="1070"/>
        <v>0.8</v>
      </c>
      <c r="BZ314" s="9">
        <f t="shared" si="1244"/>
        <v>0.99524931562137331</v>
      </c>
      <c r="CA314" s="9">
        <f t="shared" si="1245"/>
        <v>0.68048275862068963</v>
      </c>
      <c r="CB314" s="9">
        <f t="shared" si="1246"/>
        <v>1.4691314450397035</v>
      </c>
      <c r="CC314" s="9">
        <f t="shared" si="1247"/>
        <v>3.0312633954921968</v>
      </c>
      <c r="CD314" s="40">
        <v>1</v>
      </c>
      <c r="CE314" s="9" t="e">
        <f>4*CC314*#REF!+60*CC314</f>
        <v>#REF!</v>
      </c>
      <c r="CG314" s="47" t="e">
        <f t="shared" ref="CG314" si="1326">V314/AR314</f>
        <v>#REF!</v>
      </c>
      <c r="CH314" s="47" t="e">
        <f t="shared" ref="CH314" si="1327">V314/AW314</f>
        <v>#REF!</v>
      </c>
      <c r="CI314" s="47" t="e">
        <f t="shared" ref="CI314" si="1328">V314/AZ314</f>
        <v>#REF!</v>
      </c>
      <c r="CJ314" s="47" t="e">
        <f t="shared" ref="CJ314" si="1329">V314/CE314</f>
        <v>#REF!</v>
      </c>
      <c r="CK314" s="47">
        <f t="shared" ref="CK314" si="1330">V314/DL314</f>
        <v>1.4782200012625968</v>
      </c>
      <c r="CL314" s="47">
        <f t="shared" ref="CL314" si="1331">V314/DX314</f>
        <v>1.486801599498017</v>
      </c>
      <c r="CM314" s="47">
        <f t="shared" si="1310"/>
        <v>1.4168183015224551</v>
      </c>
      <c r="CN314" s="4">
        <f t="shared" si="1019"/>
        <v>10</v>
      </c>
      <c r="CU314" s="4" t="e">
        <f t="shared" si="1320"/>
        <v>#REF!</v>
      </c>
      <c r="CV314" s="4" t="e">
        <f t="shared" si="1321"/>
        <v>#REF!</v>
      </c>
      <c r="CW314" s="4" t="e">
        <f t="shared" si="1322"/>
        <v>#REF!</v>
      </c>
      <c r="CX314" s="4">
        <f t="shared" si="1323"/>
        <v>1.4168183015224551</v>
      </c>
      <c r="CY314" s="4">
        <f t="shared" si="1324"/>
        <v>1.4782200012625968</v>
      </c>
      <c r="CZ314" s="4">
        <f t="shared" si="1325"/>
        <v>1.486801599498017</v>
      </c>
      <c r="DC314" s="4" t="e">
        <f>#REF!</f>
        <v>#REF!</v>
      </c>
      <c r="DF314" s="4">
        <f t="shared" si="1248"/>
        <v>2.7440177675293479E-5</v>
      </c>
      <c r="DG314" s="4">
        <f t="shared" si="1083"/>
        <v>7.5850971244849745</v>
      </c>
      <c r="DH314" s="4">
        <f t="shared" si="1249"/>
        <v>0.17480324684969312</v>
      </c>
      <c r="DI314" s="4">
        <f t="shared" si="1084"/>
        <v>3.7755562431213261</v>
      </c>
      <c r="DJ314" s="4">
        <f t="shared" si="1085"/>
        <v>5.9943432608094538</v>
      </c>
      <c r="DK314" s="4">
        <f t="shared" si="1250"/>
        <v>6.8393248213148761</v>
      </c>
      <c r="DL314" s="38">
        <f t="shared" si="1251"/>
        <v>526.26201365040515</v>
      </c>
      <c r="DM314" s="4" t="e">
        <f t="shared" si="1086"/>
        <v>#REF!</v>
      </c>
      <c r="DN314" s="4">
        <f t="shared" si="1252"/>
        <v>3.1780497164141401</v>
      </c>
      <c r="DO314" s="4">
        <f t="shared" si="1309"/>
        <v>194.54353370551681</v>
      </c>
      <c r="DS314" s="4">
        <f t="shared" si="1253"/>
        <v>0.85</v>
      </c>
      <c r="DT314" s="4">
        <f t="shared" si="1254"/>
        <v>0.96833333333333338</v>
      </c>
      <c r="DU314" s="4">
        <f t="shared" si="1255"/>
        <v>0.90625</v>
      </c>
      <c r="DV314" s="4">
        <f t="shared" si="1087"/>
        <v>0.87755208333333334</v>
      </c>
      <c r="DX314" s="4">
        <f t="shared" si="1256"/>
        <v>523.22450738915563</v>
      </c>
      <c r="DY314" s="25">
        <f t="shared" si="1146"/>
        <v>193.27278247405926</v>
      </c>
      <c r="EA314" s="4">
        <f t="shared" si="1147"/>
        <v>0.74591927083333331</v>
      </c>
      <c r="EB314" s="4">
        <f t="shared" si="1257"/>
        <v>7.5850971244849745</v>
      </c>
      <c r="EE314" s="4">
        <f t="shared" si="1258"/>
        <v>80.72246279691916</v>
      </c>
      <c r="EF314" s="4">
        <f t="shared" si="1088"/>
        <v>3.1780497164141406</v>
      </c>
      <c r="EG314" s="4">
        <f t="shared" si="1259"/>
        <v>5.9241815185944208E-2</v>
      </c>
      <c r="EJ314" s="4">
        <f t="shared" si="1089"/>
        <v>5.9241815185944208E-2</v>
      </c>
      <c r="EK314" s="4">
        <f t="shared" si="1260"/>
        <v>0.17451153280959747</v>
      </c>
      <c r="EL314" s="4">
        <f t="shared" si="1090"/>
        <v>3.7730347003531768</v>
      </c>
      <c r="EM314" s="4">
        <f t="shared" si="1091"/>
        <v>5.9935587325282373</v>
      </c>
      <c r="EN314" s="4" t="e">
        <f t="shared" si="1092"/>
        <v>#REF!</v>
      </c>
      <c r="EO314" s="4" t="e">
        <f t="shared" si="1093"/>
        <v>#REF!</v>
      </c>
      <c r="EP314" s="4" t="e">
        <f t="shared" si="1261"/>
        <v>#REF!</v>
      </c>
      <c r="EQ314" s="4" t="e">
        <f t="shared" si="1094"/>
        <v>#REF!</v>
      </c>
      <c r="ER314" s="4" t="e">
        <f t="shared" si="1262"/>
        <v>#REF!</v>
      </c>
      <c r="EU314" s="4">
        <f>5.25*25.4</f>
        <v>133.35</v>
      </c>
      <c r="FA314" s="23" t="e">
        <f t="shared" si="1042"/>
        <v>#REF!</v>
      </c>
      <c r="FB314" s="23" t="e">
        <f t="shared" si="1043"/>
        <v>#REF!</v>
      </c>
      <c r="FC314" s="23">
        <f t="shared" si="1317"/>
        <v>1.6</v>
      </c>
      <c r="FD314" s="23" t="e">
        <f t="shared" si="1044"/>
        <v>#REF!</v>
      </c>
      <c r="FE314" s="23">
        <f t="shared" si="1045"/>
        <v>1.6</v>
      </c>
      <c r="FF314" s="23">
        <f t="shared" si="1046"/>
        <v>1.6</v>
      </c>
      <c r="FG314" s="23">
        <f t="shared" si="1266"/>
        <v>0</v>
      </c>
      <c r="FH314" s="23"/>
      <c r="FR314" s="4">
        <f t="shared" si="1122"/>
        <v>1</v>
      </c>
      <c r="FS314" s="4">
        <f t="shared" si="1123"/>
        <v>0.65557988208225493</v>
      </c>
      <c r="FT314" s="4">
        <f t="shared" si="1124"/>
        <v>0.21093749999999997</v>
      </c>
      <c r="FU314" s="4">
        <f t="shared" si="1125"/>
        <v>549.0690186926762</v>
      </c>
    </row>
    <row r="315" spans="2:177" ht="12" customHeight="1" x14ac:dyDescent="0.3">
      <c r="B315" s="24" t="s">
        <v>452</v>
      </c>
      <c r="C315" s="7" t="s">
        <v>453</v>
      </c>
      <c r="D315" s="38">
        <f>120/0.145</f>
        <v>827.58620689655174</v>
      </c>
      <c r="E315" s="38">
        <f>9.5*25.4</f>
        <v>241.29999999999998</v>
      </c>
      <c r="F315" s="38">
        <f>16030/145</f>
        <v>110.55172413793103</v>
      </c>
      <c r="G315" s="38">
        <f t="shared" si="1016"/>
        <v>25.4</v>
      </c>
      <c r="H315" s="38">
        <f>17*25.4</f>
        <v>431.79999999999995</v>
      </c>
      <c r="I315" s="38">
        <f>2.5*25.4</f>
        <v>63.5</v>
      </c>
      <c r="J315" s="39">
        <f>4.5*25.4</f>
        <v>114.3</v>
      </c>
      <c r="K315" s="7">
        <f t="shared" si="986"/>
        <v>253.99999999999994</v>
      </c>
      <c r="L315" s="38">
        <v>2</v>
      </c>
      <c r="M315" s="4">
        <f t="shared" si="1028"/>
        <v>260.34999999999997</v>
      </c>
      <c r="N315" s="7">
        <f t="shared" si="1224"/>
        <v>3</v>
      </c>
      <c r="O315" s="7">
        <f t="shared" si="1225"/>
        <v>3</v>
      </c>
      <c r="P315" s="38">
        <v>4</v>
      </c>
      <c r="Q315" s="4">
        <f t="shared" si="1017"/>
        <v>4</v>
      </c>
      <c r="R315" s="4">
        <f t="shared" si="1226"/>
        <v>5</v>
      </c>
      <c r="S315" s="7">
        <f t="shared" si="1227"/>
        <v>56.796126628494655</v>
      </c>
      <c r="V315" s="38">
        <f t="shared" si="1054"/>
        <v>726.89655172413802</v>
      </c>
      <c r="W315" s="4">
        <v>105.4</v>
      </c>
      <c r="X315" s="4">
        <f t="shared" si="1228"/>
        <v>0.87833333333333341</v>
      </c>
      <c r="Y315" s="38"/>
      <c r="Z315" s="38"/>
      <c r="AA315" s="39">
        <v>1</v>
      </c>
      <c r="AB315" s="39"/>
      <c r="AC315" s="39"/>
      <c r="AD315" s="7"/>
      <c r="AE315" s="4">
        <f t="shared" si="1229"/>
        <v>241.29999999999998</v>
      </c>
      <c r="AF315" s="4">
        <f t="shared" si="1230"/>
        <v>0.59649122807017541</v>
      </c>
      <c r="AG315" s="4">
        <f t="shared" si="1231"/>
        <v>388.89417005620368</v>
      </c>
      <c r="AH315" s="4">
        <f t="shared" si="1232"/>
        <v>0.76315789473684204</v>
      </c>
      <c r="AI315" s="4">
        <v>1.25</v>
      </c>
      <c r="AJ315" s="4">
        <f t="shared" si="1154"/>
        <v>2.5</v>
      </c>
      <c r="AK315" s="38">
        <f t="shared" si="988"/>
        <v>553.22260456402466</v>
      </c>
      <c r="AL315" s="38">
        <f t="shared" si="1264"/>
        <v>553.22260456402466</v>
      </c>
      <c r="AM315" s="38">
        <f t="shared" si="1233"/>
        <v>5.4139420559889198</v>
      </c>
      <c r="AN315" s="38">
        <f t="shared" si="1161"/>
        <v>553.22260456402478</v>
      </c>
      <c r="AO315" s="38">
        <f t="shared" si="1115"/>
        <v>0.99999999999999978</v>
      </c>
      <c r="AP315" s="38">
        <f t="shared" si="1162"/>
        <v>2.3979871370235051</v>
      </c>
      <c r="AQ315" s="4">
        <f t="shared" si="1163"/>
        <v>0</v>
      </c>
      <c r="AR315" s="4" t="e">
        <f>#REF!/G315*F315^0.5/0.19</f>
        <v>#REF!</v>
      </c>
      <c r="AS315" s="4">
        <f t="shared" si="1234"/>
        <v>1</v>
      </c>
      <c r="AT315" s="38">
        <f t="shared" si="1235"/>
        <v>1326.6206896551723</v>
      </c>
      <c r="AU315" s="4">
        <f t="shared" si="1236"/>
        <v>0.44000000000000006</v>
      </c>
      <c r="AV315" s="4" t="e">
        <f>AU315*D315*#REF!/(D315*G315/2.75/F315^0.5)</f>
        <v>#REF!</v>
      </c>
      <c r="AW315" s="4" t="e">
        <f t="shared" si="1068"/>
        <v>#REF!</v>
      </c>
      <c r="AY315" s="4">
        <f t="shared" si="1237"/>
        <v>1.375</v>
      </c>
      <c r="AZ315" s="4" t="e">
        <f>(3*#REF!+30)*AY315*F315^0.5</f>
        <v>#REF!</v>
      </c>
      <c r="BB315" s="4">
        <f t="shared" si="1238"/>
        <v>1272.3914765180612</v>
      </c>
      <c r="BC315" s="4">
        <f t="shared" si="1275"/>
        <v>0</v>
      </c>
      <c r="BD315" s="4">
        <f t="shared" si="1069"/>
        <v>0</v>
      </c>
      <c r="BL315" s="4">
        <f t="shared" si="1239"/>
        <v>63.5</v>
      </c>
      <c r="BP315" s="9"/>
      <c r="BR315" s="9"/>
      <c r="BS315" s="9"/>
      <c r="BT315" s="9">
        <f t="shared" si="1240"/>
        <v>63.5</v>
      </c>
      <c r="BU315" s="9">
        <f t="shared" si="1241"/>
        <v>126.99999999999997</v>
      </c>
      <c r="BV315" s="9">
        <f t="shared" si="1242"/>
        <v>1.7543833769624846</v>
      </c>
      <c r="BW315" s="40">
        <f t="shared" si="1018"/>
        <v>0</v>
      </c>
      <c r="BX315" s="9">
        <f t="shared" si="1243"/>
        <v>0</v>
      </c>
      <c r="BY315" s="9">
        <f t="shared" si="1070"/>
        <v>0</v>
      </c>
      <c r="BZ315" s="9">
        <f t="shared" si="1244"/>
        <v>0.99524931562137331</v>
      </c>
      <c r="CA315" s="9">
        <f t="shared" si="1245"/>
        <v>0.68</v>
      </c>
      <c r="CB315" s="9">
        <f t="shared" si="1246"/>
        <v>2.4905290095198289</v>
      </c>
      <c r="CC315" s="9">
        <f t="shared" si="1247"/>
        <v>4.3693426941444296</v>
      </c>
      <c r="CD315" s="40">
        <v>1</v>
      </c>
      <c r="CE315" s="9" t="e">
        <f>4*CC315*#REF!+60*CC315</f>
        <v>#REF!</v>
      </c>
      <c r="CG315" s="4" t="e">
        <f t="shared" si="1071"/>
        <v>#REF!</v>
      </c>
      <c r="CH315" s="4" t="e">
        <f t="shared" si="1072"/>
        <v>#REF!</v>
      </c>
      <c r="CI315" s="4" t="e">
        <f t="shared" si="1073"/>
        <v>#REF!</v>
      </c>
      <c r="CJ315" s="4" t="e">
        <f t="shared" si="1074"/>
        <v>#REF!</v>
      </c>
      <c r="CK315" s="4">
        <f t="shared" si="1075"/>
        <v>0.87833333333333341</v>
      </c>
      <c r="CL315" s="4">
        <f t="shared" si="1076"/>
        <v>0.87833333333333341</v>
      </c>
      <c r="CM315" s="4">
        <f t="shared" si="1310"/>
        <v>1.1832182811484149</v>
      </c>
      <c r="CN315" s="4">
        <f t="shared" si="1019"/>
        <v>0</v>
      </c>
      <c r="CO315" s="4" t="e">
        <f t="shared" ref="CO315:CO317" si="1332">CG315</f>
        <v>#REF!</v>
      </c>
      <c r="CP315" s="4" t="e">
        <f t="shared" ref="CP315:CP317" si="1333">CH315</f>
        <v>#REF!</v>
      </c>
      <c r="CQ315" s="4" t="e">
        <f t="shared" ref="CQ315:CQ317" si="1334">CJ315</f>
        <v>#REF!</v>
      </c>
      <c r="CR315" s="4">
        <f t="shared" ref="CR315:CR317" si="1335">CM315</f>
        <v>1.1832182811484149</v>
      </c>
      <c r="CS315" s="4">
        <f t="shared" ref="CS315:CS317" si="1336">CK315</f>
        <v>0.87833333333333341</v>
      </c>
      <c r="CT315" s="4">
        <f t="shared" ref="CT315:CT317" si="1337">CL315</f>
        <v>0.87833333333333341</v>
      </c>
      <c r="DC315" s="4" t="e">
        <f>#REF!</f>
        <v>#REF!</v>
      </c>
      <c r="DF315" s="4">
        <f t="shared" si="1248"/>
        <v>2.8000148432523461E-5</v>
      </c>
      <c r="DG315" s="4">
        <f t="shared" si="1083"/>
        <v>13.284777517679784</v>
      </c>
      <c r="DH315" s="4">
        <f t="shared" si="1249"/>
        <v>0.27647763191291236</v>
      </c>
      <c r="DI315" s="4">
        <f t="shared" si="1084"/>
        <v>7.9436168068407298</v>
      </c>
      <c r="DJ315" s="4">
        <f t="shared" si="1085"/>
        <v>10.946986223421044</v>
      </c>
      <c r="DK315" s="4">
        <f t="shared" si="1250"/>
        <v>11.675816604746906</v>
      </c>
      <c r="DL315" s="38">
        <f t="shared" si="1251"/>
        <v>827.58620689655174</v>
      </c>
      <c r="DM315" s="4" t="e">
        <f t="shared" si="1086"/>
        <v>#REF!</v>
      </c>
      <c r="DN315" s="4">
        <f t="shared" si="1252"/>
        <v>2.2360679774997898</v>
      </c>
      <c r="DO315" s="4">
        <f t="shared" si="1309"/>
        <v>553.22260456402478</v>
      </c>
      <c r="DS315" s="4">
        <f t="shared" si="1253"/>
        <v>0.85</v>
      </c>
      <c r="DT315" s="4">
        <f t="shared" si="1254"/>
        <v>0.85</v>
      </c>
      <c r="DU315" s="4">
        <f t="shared" si="1255"/>
        <v>1</v>
      </c>
      <c r="DV315" s="4">
        <f t="shared" si="1087"/>
        <v>0.85</v>
      </c>
      <c r="DX315" s="4">
        <f t="shared" si="1256"/>
        <v>827.58620689655174</v>
      </c>
      <c r="DY315" s="25">
        <f t="shared" si="1146"/>
        <v>547.11762764690559</v>
      </c>
      <c r="EA315" s="4">
        <f t="shared" si="1147"/>
        <v>0.72249999999999992</v>
      </c>
      <c r="EB315" s="4">
        <f t="shared" si="1257"/>
        <v>13.284777517679784</v>
      </c>
      <c r="EE315" s="4">
        <f t="shared" si="1258"/>
        <v>56.796126628494655</v>
      </c>
      <c r="EF315" s="4">
        <f t="shared" si="1088"/>
        <v>2.2360679774997898</v>
      </c>
      <c r="EG315" s="4">
        <f t="shared" si="1259"/>
        <v>0.15895640293394173</v>
      </c>
      <c r="EJ315" s="4">
        <f t="shared" si="1089"/>
        <v>0.15895640293394173</v>
      </c>
      <c r="EK315" s="4">
        <f t="shared" si="1260"/>
        <v>0.2760162422736756</v>
      </c>
      <c r="EL315" s="4">
        <f t="shared" si="1090"/>
        <v>7.9383115833922018</v>
      </c>
      <c r="EM315" s="4">
        <f t="shared" si="1091"/>
        <v>10.945070507495156</v>
      </c>
      <c r="EN315" s="4" t="e">
        <f t="shared" si="1092"/>
        <v>#REF!</v>
      </c>
      <c r="EO315" s="4" t="e">
        <f t="shared" si="1093"/>
        <v>#REF!</v>
      </c>
      <c r="EP315" s="4" t="e">
        <f t="shared" si="1261"/>
        <v>#REF!</v>
      </c>
      <c r="EQ315" s="4" t="e">
        <f t="shared" si="1094"/>
        <v>#REF!</v>
      </c>
      <c r="ER315" s="4" t="e">
        <f t="shared" si="1262"/>
        <v>#REF!</v>
      </c>
      <c r="FA315" s="23" t="e">
        <f t="shared" si="1042"/>
        <v>#REF!</v>
      </c>
      <c r="FB315" s="23" t="e">
        <f t="shared" si="1043"/>
        <v>#REF!</v>
      </c>
      <c r="FC315" s="23">
        <f t="shared" si="1317"/>
        <v>1.2</v>
      </c>
      <c r="FD315" s="23" t="e">
        <f t="shared" si="1044"/>
        <v>#REF!</v>
      </c>
      <c r="FE315" s="23">
        <f t="shared" si="1045"/>
        <v>1</v>
      </c>
      <c r="FF315" s="23">
        <f t="shared" si="1046"/>
        <v>1</v>
      </c>
      <c r="FG315" s="23">
        <f t="shared" si="1266"/>
        <v>0</v>
      </c>
      <c r="FH315" s="23"/>
      <c r="FR315" s="4">
        <f t="shared" si="1122"/>
        <v>1</v>
      </c>
      <c r="FS315" s="4">
        <f t="shared" si="1123"/>
        <v>0.5</v>
      </c>
      <c r="FT315" s="4">
        <f t="shared" si="1124"/>
        <v>0</v>
      </c>
      <c r="FU315" s="4">
        <f t="shared" si="1125"/>
        <v>614.33850651683861</v>
      </c>
    </row>
    <row r="316" spans="2:177" ht="12" customHeight="1" x14ac:dyDescent="0.3">
      <c r="B316" s="24"/>
      <c r="C316" s="7" t="s">
        <v>454</v>
      </c>
      <c r="D316" s="38">
        <f>115.9/0.145</f>
        <v>799.31034482758628</v>
      </c>
      <c r="E316" s="38">
        <f>9.5*25.4</f>
        <v>241.29999999999998</v>
      </c>
      <c r="F316" s="38">
        <f t="shared" ref="F316:F323" si="1338">16030/145</f>
        <v>110.55172413793103</v>
      </c>
      <c r="G316" s="38">
        <f t="shared" si="1016"/>
        <v>25.4</v>
      </c>
      <c r="H316" s="38">
        <f>17.3*25.4</f>
        <v>439.42</v>
      </c>
      <c r="I316" s="38">
        <f>2.65*25.4</f>
        <v>67.309999999999988</v>
      </c>
      <c r="J316" s="39">
        <f>2.9*25.4</f>
        <v>73.66</v>
      </c>
      <c r="K316" s="7">
        <f t="shared" ref="K316:K379" si="1339">(H316-L316*G316-2*I316)/(L316-1)</f>
        <v>254.00000000000003</v>
      </c>
      <c r="L316" s="38">
        <v>2</v>
      </c>
      <c r="M316" s="4">
        <f t="shared" si="1028"/>
        <v>260.34999999999997</v>
      </c>
      <c r="N316" s="7">
        <f t="shared" si="1224"/>
        <v>3.1499999999999995</v>
      </c>
      <c r="O316" s="7">
        <f t="shared" si="1225"/>
        <v>3.1499999999999995</v>
      </c>
      <c r="P316" s="38">
        <v>9.5</v>
      </c>
      <c r="Q316" s="4">
        <f t="shared" si="1017"/>
        <v>9.5</v>
      </c>
      <c r="R316" s="4">
        <f t="shared" si="1226"/>
        <v>10.5</v>
      </c>
      <c r="S316" s="7">
        <f t="shared" si="1227"/>
        <v>82.305406869779816</v>
      </c>
      <c r="V316" s="38">
        <f t="shared" si="1054"/>
        <v>713.10344827586221</v>
      </c>
      <c r="W316" s="4">
        <v>103.4</v>
      </c>
      <c r="X316" s="4">
        <f t="shared" si="1228"/>
        <v>0.89214840379637628</v>
      </c>
      <c r="Y316" s="38"/>
      <c r="Z316" s="38"/>
      <c r="AA316" s="39">
        <v>1</v>
      </c>
      <c r="AB316" s="39"/>
      <c r="AC316" s="39"/>
      <c r="AD316" s="7"/>
      <c r="AE316" s="4">
        <f t="shared" si="1229"/>
        <v>241.29999999999998</v>
      </c>
      <c r="AF316" s="4">
        <f t="shared" si="1230"/>
        <v>0.60701754385964912</v>
      </c>
      <c r="AG316" s="4">
        <f t="shared" si="1231"/>
        <v>388.89417005620368</v>
      </c>
      <c r="AH316" s="4">
        <f t="shared" si="1232"/>
        <v>0.76631578947368417</v>
      </c>
      <c r="AI316" s="4">
        <v>1.25</v>
      </c>
      <c r="AJ316" s="4">
        <f t="shared" si="1154"/>
        <v>2.5</v>
      </c>
      <c r="AK316" s="38">
        <f t="shared" ref="AK316:AK379" si="1340">AF316*AH316*AI316*AJ316*AG316</f>
        <v>565.31495098751748</v>
      </c>
      <c r="AL316" s="38">
        <f t="shared" si="1264"/>
        <v>565.31495098751748</v>
      </c>
      <c r="AM316" s="38">
        <f t="shared" si="1233"/>
        <v>5.4139420559889198</v>
      </c>
      <c r="AN316" s="38">
        <f t="shared" si="1161"/>
        <v>565.31495098751748</v>
      </c>
      <c r="AO316" s="38">
        <f t="shared" si="1115"/>
        <v>1</v>
      </c>
      <c r="AP316" s="38">
        <f t="shared" si="1162"/>
        <v>3.7973217844035227</v>
      </c>
      <c r="AQ316" s="4">
        <f t="shared" si="1163"/>
        <v>0</v>
      </c>
      <c r="AR316" s="4" t="e">
        <f>#REF!/G316*F316^0.5/0.19</f>
        <v>#REF!</v>
      </c>
      <c r="AS316" s="4">
        <f t="shared" si="1234"/>
        <v>1</v>
      </c>
      <c r="AT316" s="38">
        <f t="shared" si="1235"/>
        <v>2146.6827784339098</v>
      </c>
      <c r="AU316" s="4">
        <f t="shared" si="1236"/>
        <v>0.3</v>
      </c>
      <c r="AV316" s="4" t="e">
        <f>AU316*D316*#REF!/(D316*G316/2.75/F316^0.5)</f>
        <v>#REF!</v>
      </c>
      <c r="AW316" s="4" t="e">
        <f t="shared" si="1068"/>
        <v>#REF!</v>
      </c>
      <c r="AY316" s="4">
        <f t="shared" si="1237"/>
        <v>1.4124999999999999</v>
      </c>
      <c r="AZ316" s="4" t="e">
        <f>(3*#REF!+30)*AY316*F316^0.5</f>
        <v>#REF!</v>
      </c>
      <c r="BB316" s="4">
        <f t="shared" si="1238"/>
        <v>2058.9313067154058</v>
      </c>
      <c r="BC316" s="4">
        <f t="shared" si="1275"/>
        <v>0</v>
      </c>
      <c r="BD316" s="4">
        <f t="shared" si="1069"/>
        <v>0</v>
      </c>
      <c r="BL316" s="4">
        <f t="shared" si="1239"/>
        <v>67.309999999999988</v>
      </c>
      <c r="BP316" s="9"/>
      <c r="BR316" s="9"/>
      <c r="BS316" s="9"/>
      <c r="BT316" s="9">
        <f t="shared" si="1240"/>
        <v>67.309999999999988</v>
      </c>
      <c r="BU316" s="9">
        <f t="shared" si="1241"/>
        <v>127.00000000000001</v>
      </c>
      <c r="BV316" s="9">
        <f t="shared" si="1242"/>
        <v>1.7905298128039189</v>
      </c>
      <c r="BW316" s="40">
        <f t="shared" si="1018"/>
        <v>0</v>
      </c>
      <c r="BX316" s="9">
        <f t="shared" si="1243"/>
        <v>0</v>
      </c>
      <c r="BY316" s="9">
        <f t="shared" si="1070"/>
        <v>0</v>
      </c>
      <c r="BZ316" s="9">
        <f t="shared" si="1244"/>
        <v>0.99524931562137331</v>
      </c>
      <c r="CA316" s="9">
        <f t="shared" si="1245"/>
        <v>0.68048275862068963</v>
      </c>
      <c r="CB316" s="9">
        <f t="shared" si="1246"/>
        <v>2.4922971335630986</v>
      </c>
      <c r="CC316" s="9">
        <f t="shared" si="1247"/>
        <v>4.4625323200104781</v>
      </c>
      <c r="CD316" s="40">
        <v>1</v>
      </c>
      <c r="CE316" s="9" t="e">
        <f>4*CC316*#REF!+60*CC316</f>
        <v>#REF!</v>
      </c>
      <c r="CG316" s="4" t="e">
        <f t="shared" si="1071"/>
        <v>#REF!</v>
      </c>
      <c r="CH316" s="4" t="e">
        <f t="shared" si="1072"/>
        <v>#REF!</v>
      </c>
      <c r="CI316" s="4" t="e">
        <f t="shared" si="1073"/>
        <v>#REF!</v>
      </c>
      <c r="CJ316" s="4" t="e">
        <f t="shared" si="1074"/>
        <v>#REF!</v>
      </c>
      <c r="CK316" s="4">
        <f t="shared" si="1075"/>
        <v>0.89214840379637628</v>
      </c>
      <c r="CL316" s="4">
        <f t="shared" si="1076"/>
        <v>0.89214840379637628</v>
      </c>
      <c r="CM316" s="4">
        <f t="shared" si="1310"/>
        <v>1.1607663213543273</v>
      </c>
      <c r="CN316" s="4">
        <f t="shared" si="1019"/>
        <v>0</v>
      </c>
      <c r="CO316" s="4" t="e">
        <f t="shared" si="1332"/>
        <v>#REF!</v>
      </c>
      <c r="CP316" s="4" t="e">
        <f t="shared" si="1333"/>
        <v>#REF!</v>
      </c>
      <c r="CQ316" s="4" t="e">
        <f t="shared" si="1334"/>
        <v>#REF!</v>
      </c>
      <c r="CR316" s="4">
        <f t="shared" si="1335"/>
        <v>1.1607663213543273</v>
      </c>
      <c r="CS316" s="4">
        <f t="shared" si="1336"/>
        <v>0.89214840379637628</v>
      </c>
      <c r="CT316" s="4">
        <f t="shared" si="1337"/>
        <v>0.89214840379637628</v>
      </c>
      <c r="DC316" s="4" t="e">
        <f>#REF!</f>
        <v>#REF!</v>
      </c>
      <c r="DF316" s="4">
        <f t="shared" si="1248"/>
        <v>2.8000148432523461E-5</v>
      </c>
      <c r="DG316" s="4">
        <f t="shared" si="1083"/>
        <v>13.523426215602175</v>
      </c>
      <c r="DH316" s="4">
        <f t="shared" si="1249"/>
        <v>0.17238385513177032</v>
      </c>
      <c r="DI316" s="4">
        <f t="shared" si="1084"/>
        <v>6.6939948114044903</v>
      </c>
      <c r="DJ316" s="4">
        <f t="shared" si="1085"/>
        <v>10.675661364855177</v>
      </c>
      <c r="DK316" s="4">
        <f t="shared" si="1250"/>
        <v>12.03357545451744</v>
      </c>
      <c r="DL316" s="38">
        <f t="shared" si="1251"/>
        <v>799.31034482758628</v>
      </c>
      <c r="DM316" s="4" t="e">
        <f t="shared" si="1086"/>
        <v>#REF!</v>
      </c>
      <c r="DN316" s="4">
        <f t="shared" si="1252"/>
        <v>3.2403703492039297</v>
      </c>
      <c r="DO316" s="4">
        <f t="shared" si="1309"/>
        <v>565.31495098751748</v>
      </c>
      <c r="DS316" s="4">
        <f t="shared" si="1253"/>
        <v>0.85</v>
      </c>
      <c r="DT316" s="4">
        <f t="shared" si="1254"/>
        <v>0.83499999999999996</v>
      </c>
      <c r="DU316" s="4">
        <f t="shared" si="1255"/>
        <v>1</v>
      </c>
      <c r="DV316" s="4">
        <f t="shared" si="1087"/>
        <v>0.83499999999999996</v>
      </c>
      <c r="DX316" s="4">
        <f t="shared" si="1256"/>
        <v>799.31034482758628</v>
      </c>
      <c r="DY316" s="25">
        <f t="shared" si="1146"/>
        <v>559.10875360372461</v>
      </c>
      <c r="EA316" s="4">
        <f t="shared" si="1147"/>
        <v>0.70974999999999999</v>
      </c>
      <c r="EB316" s="4">
        <f t="shared" si="1257"/>
        <v>13.523426215602175</v>
      </c>
      <c r="EE316" s="4">
        <f t="shared" si="1258"/>
        <v>82.305406869779816</v>
      </c>
      <c r="EF316" s="4">
        <f t="shared" si="1088"/>
        <v>3.2403703492039302</v>
      </c>
      <c r="EG316" s="4">
        <f t="shared" si="1259"/>
        <v>9.9109346915497026E-2</v>
      </c>
      <c r="EJ316" s="4">
        <f t="shared" si="1089"/>
        <v>9.9109346915497026E-2</v>
      </c>
      <c r="EK316" s="4">
        <f t="shared" si="1260"/>
        <v>0.17209617860553858</v>
      </c>
      <c r="EL316" s="4">
        <f t="shared" si="1090"/>
        <v>6.6895241604275695</v>
      </c>
      <c r="EM316" s="4">
        <f t="shared" si="1091"/>
        <v>10.674277055571464</v>
      </c>
      <c r="EN316" s="4" t="e">
        <f t="shared" si="1092"/>
        <v>#REF!</v>
      </c>
      <c r="EO316" s="4" t="e">
        <f t="shared" si="1093"/>
        <v>#REF!</v>
      </c>
      <c r="EP316" s="4" t="e">
        <f t="shared" si="1261"/>
        <v>#REF!</v>
      </c>
      <c r="EQ316" s="4" t="e">
        <f t="shared" si="1094"/>
        <v>#REF!</v>
      </c>
      <c r="ER316" s="4" t="e">
        <f t="shared" si="1262"/>
        <v>#REF!</v>
      </c>
      <c r="FA316" s="23" t="e">
        <f t="shared" si="1042"/>
        <v>#REF!</v>
      </c>
      <c r="FB316" s="23" t="e">
        <f t="shared" si="1043"/>
        <v>#REF!</v>
      </c>
      <c r="FC316" s="23">
        <f t="shared" si="1317"/>
        <v>1.2</v>
      </c>
      <c r="FD316" s="23" t="e">
        <f t="shared" si="1044"/>
        <v>#REF!</v>
      </c>
      <c r="FE316" s="23">
        <f t="shared" si="1045"/>
        <v>1</v>
      </c>
      <c r="FF316" s="23">
        <f t="shared" si="1046"/>
        <v>1</v>
      </c>
      <c r="FG316" s="23">
        <f t="shared" si="1266"/>
        <v>0</v>
      </c>
      <c r="FH316" s="23"/>
      <c r="FR316" s="4">
        <f t="shared" si="1122"/>
        <v>1</v>
      </c>
      <c r="FS316" s="4">
        <f t="shared" si="1123"/>
        <v>0.5</v>
      </c>
      <c r="FT316" s="4">
        <f t="shared" si="1124"/>
        <v>0</v>
      </c>
      <c r="FU316" s="4">
        <f t="shared" si="1125"/>
        <v>614.33850651683861</v>
      </c>
    </row>
    <row r="317" spans="2:177" ht="12" customHeight="1" x14ac:dyDescent="0.3">
      <c r="B317" s="24"/>
      <c r="C317" s="7" t="s">
        <v>455</v>
      </c>
      <c r="D317" s="38">
        <f>115.9/0.145</f>
        <v>799.31034482758628</v>
      </c>
      <c r="E317" s="38">
        <f>9.69*25.4</f>
        <v>246.12599999999998</v>
      </c>
      <c r="F317" s="38">
        <f t="shared" si="1338"/>
        <v>110.55172413793103</v>
      </c>
      <c r="G317" s="38">
        <f t="shared" ref="G317:G377" si="1341">1*25.4</f>
        <v>25.4</v>
      </c>
      <c r="H317" s="38">
        <f>16.8*25.4</f>
        <v>426.71999999999997</v>
      </c>
      <c r="I317" s="38">
        <f>2.5*25.4</f>
        <v>63.5</v>
      </c>
      <c r="J317" s="39">
        <f>2.85*25.4</f>
        <v>72.39</v>
      </c>
      <c r="K317" s="7">
        <f t="shared" si="1339"/>
        <v>248.91999999999996</v>
      </c>
      <c r="L317" s="38">
        <v>2</v>
      </c>
      <c r="M317" s="4">
        <f t="shared" si="1028"/>
        <v>260.34999999999997</v>
      </c>
      <c r="N317" s="7">
        <f t="shared" si="1224"/>
        <v>3</v>
      </c>
      <c r="O317" s="7">
        <f t="shared" si="1225"/>
        <v>3</v>
      </c>
      <c r="P317" s="38">
        <v>14.9</v>
      </c>
      <c r="Q317" s="4">
        <f t="shared" ref="Q317:Q380" si="1342">P317</f>
        <v>14.9</v>
      </c>
      <c r="R317" s="4">
        <f t="shared" si="1226"/>
        <v>15.9</v>
      </c>
      <c r="S317" s="7">
        <f t="shared" si="1227"/>
        <v>101.28200234987457</v>
      </c>
      <c r="V317" s="38">
        <f t="shared" si="1054"/>
        <v>760.68965517241384</v>
      </c>
      <c r="W317" s="4">
        <v>110.3</v>
      </c>
      <c r="X317" s="4">
        <f t="shared" si="1228"/>
        <v>0.95168248490077645</v>
      </c>
      <c r="Y317" s="38"/>
      <c r="Z317" s="38"/>
      <c r="AA317" s="39">
        <v>1</v>
      </c>
      <c r="AB317" s="39"/>
      <c r="AC317" s="39"/>
      <c r="AD317" s="7"/>
      <c r="AE317" s="4">
        <f t="shared" si="1229"/>
        <v>246.12599999999998</v>
      </c>
      <c r="AF317" s="4">
        <f t="shared" si="1230"/>
        <v>0.57791537667698656</v>
      </c>
      <c r="AG317" s="4">
        <f t="shared" si="1231"/>
        <v>400.61913628025081</v>
      </c>
      <c r="AH317" s="4">
        <f t="shared" si="1232"/>
        <v>0.76191950464396285</v>
      </c>
      <c r="AI317" s="4">
        <v>1.25</v>
      </c>
      <c r="AJ317" s="4">
        <f t="shared" si="1154"/>
        <v>2.5</v>
      </c>
      <c r="AK317" s="38">
        <f t="shared" si="1340"/>
        <v>551.25818809566204</v>
      </c>
      <c r="AL317" s="38">
        <f t="shared" si="1264"/>
        <v>551.25818809566204</v>
      </c>
      <c r="AM317" s="38">
        <f t="shared" si="1233"/>
        <v>5.4139420559889198</v>
      </c>
      <c r="AN317" s="38">
        <f t="shared" si="1161"/>
        <v>551.25818809566215</v>
      </c>
      <c r="AO317" s="38">
        <f t="shared" si="1115"/>
        <v>0.99999999999999978</v>
      </c>
      <c r="AP317" s="38">
        <f t="shared" si="1162"/>
        <v>4.6446698743115062</v>
      </c>
      <c r="AQ317" s="4">
        <f t="shared" si="1163"/>
        <v>0</v>
      </c>
      <c r="AR317" s="4" t="e">
        <f>#REF!/G317*F317^0.5/0.19</f>
        <v>#REF!</v>
      </c>
      <c r="AS317" s="4">
        <f t="shared" si="1234"/>
        <v>1</v>
      </c>
      <c r="AT317" s="38">
        <f t="shared" si="1235"/>
        <v>2560.412299215468</v>
      </c>
      <c r="AU317" s="4">
        <f t="shared" si="1236"/>
        <v>0.3</v>
      </c>
      <c r="AV317" s="4" t="e">
        <f>AU317*D317*#REF!/(D317*G317/2.75/F317^0.5)</f>
        <v>#REF!</v>
      </c>
      <c r="AW317" s="4" t="e">
        <f t="shared" si="1068"/>
        <v>#REF!</v>
      </c>
      <c r="AY317" s="4">
        <f t="shared" si="1237"/>
        <v>1.375</v>
      </c>
      <c r="AZ317" s="4" t="e">
        <f>(3*#REF!+30)*AY317*F317^0.5</f>
        <v>#REF!</v>
      </c>
      <c r="BB317" s="4">
        <f t="shared" si="1238"/>
        <v>2455.7485129683778</v>
      </c>
      <c r="BC317" s="4">
        <f t="shared" si="1275"/>
        <v>0</v>
      </c>
      <c r="BD317" s="4">
        <f t="shared" si="1069"/>
        <v>0</v>
      </c>
      <c r="BL317" s="4">
        <f t="shared" si="1239"/>
        <v>63.5</v>
      </c>
      <c r="BP317" s="9"/>
      <c r="BR317" s="9"/>
      <c r="BS317" s="9"/>
      <c r="BT317" s="9">
        <f t="shared" si="1240"/>
        <v>63.5</v>
      </c>
      <c r="BU317" s="9">
        <f t="shared" si="1241"/>
        <v>124.45999999999998</v>
      </c>
      <c r="BV317" s="9">
        <f t="shared" si="1242"/>
        <v>1.7490749303163509</v>
      </c>
      <c r="BW317" s="40">
        <f t="shared" ref="BW317:BW380" si="1343">IF(AA317&gt;1,20,0)</f>
        <v>0</v>
      </c>
      <c r="BX317" s="9">
        <f t="shared" si="1243"/>
        <v>0</v>
      </c>
      <c r="BY317" s="9">
        <f t="shared" si="1070"/>
        <v>0</v>
      </c>
      <c r="BZ317" s="9">
        <f t="shared" si="1244"/>
        <v>0.99524931562137331</v>
      </c>
      <c r="CA317" s="9">
        <f t="shared" si="1245"/>
        <v>0.68048275862068963</v>
      </c>
      <c r="CB317" s="9">
        <f t="shared" si="1246"/>
        <v>2.4922971335630986</v>
      </c>
      <c r="CC317" s="9">
        <f t="shared" si="1247"/>
        <v>4.3592144352145175</v>
      </c>
      <c r="CD317" s="40">
        <v>1</v>
      </c>
      <c r="CE317" s="9" t="e">
        <f>4*CC317*#REF!+60*CC317</f>
        <v>#REF!</v>
      </c>
      <c r="CG317" s="4" t="e">
        <f t="shared" si="1071"/>
        <v>#REF!</v>
      </c>
      <c r="CH317" s="4" t="e">
        <f t="shared" si="1072"/>
        <v>#REF!</v>
      </c>
      <c r="CI317" s="4" t="e">
        <f t="shared" si="1073"/>
        <v>#REF!</v>
      </c>
      <c r="CJ317" s="4" t="e">
        <f t="shared" si="1074"/>
        <v>#REF!</v>
      </c>
      <c r="CK317" s="4">
        <f t="shared" si="1075"/>
        <v>0.95168248490077645</v>
      </c>
      <c r="CL317" s="4">
        <f t="shared" si="1076"/>
        <v>0.95168248490077645</v>
      </c>
      <c r="CM317" s="4">
        <f t="shared" si="1310"/>
        <v>1.213946649650911</v>
      </c>
      <c r="CN317" s="4">
        <f t="shared" ref="CN317:CN380" si="1344">Z317</f>
        <v>0</v>
      </c>
      <c r="CO317" s="4" t="e">
        <f t="shared" si="1332"/>
        <v>#REF!</v>
      </c>
      <c r="CP317" s="4" t="e">
        <f t="shared" si="1333"/>
        <v>#REF!</v>
      </c>
      <c r="CQ317" s="4" t="e">
        <f t="shared" si="1334"/>
        <v>#REF!</v>
      </c>
      <c r="CR317" s="4">
        <f t="shared" si="1335"/>
        <v>1.213946649650911</v>
      </c>
      <c r="CS317" s="4">
        <f t="shared" si="1336"/>
        <v>0.95168248490077645</v>
      </c>
      <c r="CT317" s="4">
        <f t="shared" si="1337"/>
        <v>0.95168248490077645</v>
      </c>
      <c r="DC317" s="4" t="e">
        <f>#REF!</f>
        <v>#REF!</v>
      </c>
      <c r="DF317" s="4">
        <f t="shared" si="1248"/>
        <v>2.8560151401173934E-5</v>
      </c>
      <c r="DG317" s="4">
        <f t="shared" si="1083"/>
        <v>13.284777517679784</v>
      </c>
      <c r="DH317" s="4">
        <f t="shared" si="1249"/>
        <v>0.13188713077629979</v>
      </c>
      <c r="DI317" s="4">
        <f t="shared" si="1084"/>
        <v>5.907928813162874</v>
      </c>
      <c r="DJ317" s="4">
        <f t="shared" si="1085"/>
        <v>10.289641047041734</v>
      </c>
      <c r="DK317" s="4">
        <f t="shared" si="1250"/>
        <v>11.902334914317441</v>
      </c>
      <c r="DL317" s="38">
        <f t="shared" si="1251"/>
        <v>799.31034482758628</v>
      </c>
      <c r="DM317" s="4" t="e">
        <f t="shared" si="1086"/>
        <v>#REF!</v>
      </c>
      <c r="DN317" s="4">
        <f t="shared" si="1252"/>
        <v>3.9874804074753771</v>
      </c>
      <c r="DO317" s="4">
        <f t="shared" si="1309"/>
        <v>551.25818809566215</v>
      </c>
      <c r="DS317" s="4">
        <f t="shared" si="1253"/>
        <v>0.85</v>
      </c>
      <c r="DT317" s="4">
        <f t="shared" si="1254"/>
        <v>0.85</v>
      </c>
      <c r="DU317" s="4">
        <f t="shared" si="1255"/>
        <v>1</v>
      </c>
      <c r="DV317" s="4">
        <f t="shared" si="1087"/>
        <v>0.85</v>
      </c>
      <c r="DX317" s="4">
        <f t="shared" si="1256"/>
        <v>799.31034482758628</v>
      </c>
      <c r="DY317" s="25">
        <f t="shared" si="1146"/>
        <v>545.31224539901723</v>
      </c>
      <c r="EA317" s="4">
        <f t="shared" si="1147"/>
        <v>0.72249999999999992</v>
      </c>
      <c r="EB317" s="4">
        <f t="shared" si="1257"/>
        <v>13.284777517679784</v>
      </c>
      <c r="EE317" s="4">
        <f t="shared" si="1258"/>
        <v>101.28200234987457</v>
      </c>
      <c r="EF317" s="4">
        <f t="shared" si="1088"/>
        <v>3.9874804074753771</v>
      </c>
      <c r="EG317" s="4">
        <f t="shared" si="1259"/>
        <v>7.5826401421444881E-2</v>
      </c>
      <c r="EJ317" s="4">
        <f t="shared" si="1089"/>
        <v>7.5826401421444881E-2</v>
      </c>
      <c r="EK317" s="4">
        <f t="shared" si="1260"/>
        <v>0.13166703573545388</v>
      </c>
      <c r="EL317" s="4">
        <f t="shared" si="1090"/>
        <v>5.9039831441768227</v>
      </c>
      <c r="EM317" s="4">
        <f t="shared" si="1091"/>
        <v>10.288529921112668</v>
      </c>
      <c r="EN317" s="4" t="e">
        <f t="shared" si="1092"/>
        <v>#REF!</v>
      </c>
      <c r="EO317" s="4" t="e">
        <f t="shared" si="1093"/>
        <v>#REF!</v>
      </c>
      <c r="EP317" s="4" t="e">
        <f t="shared" si="1261"/>
        <v>#REF!</v>
      </c>
      <c r="EQ317" s="4" t="e">
        <f t="shared" si="1094"/>
        <v>#REF!</v>
      </c>
      <c r="ER317" s="4" t="e">
        <f t="shared" si="1262"/>
        <v>#REF!</v>
      </c>
      <c r="FA317" s="23" t="e">
        <f t="shared" si="1042"/>
        <v>#REF!</v>
      </c>
      <c r="FB317" s="23" t="e">
        <f t="shared" si="1043"/>
        <v>#REF!</v>
      </c>
      <c r="FC317" s="23">
        <f t="shared" si="1317"/>
        <v>1.4</v>
      </c>
      <c r="FD317" s="23" t="e">
        <f t="shared" si="1044"/>
        <v>#REF!</v>
      </c>
      <c r="FE317" s="23">
        <f t="shared" si="1045"/>
        <v>1</v>
      </c>
      <c r="FF317" s="23">
        <f t="shared" si="1046"/>
        <v>1</v>
      </c>
      <c r="FG317" s="23">
        <f t="shared" si="1266"/>
        <v>0</v>
      </c>
      <c r="FH317" s="23"/>
      <c r="FR317" s="4">
        <f t="shared" si="1122"/>
        <v>1</v>
      </c>
      <c r="FS317" s="4">
        <f t="shared" si="1123"/>
        <v>0.5</v>
      </c>
      <c r="FT317" s="4">
        <f t="shared" si="1124"/>
        <v>0</v>
      </c>
      <c r="FU317" s="4">
        <f t="shared" si="1125"/>
        <v>626.62527664717538</v>
      </c>
    </row>
    <row r="318" spans="2:177" ht="12" customHeight="1" x14ac:dyDescent="0.3">
      <c r="B318" s="24"/>
      <c r="C318" s="7" t="s">
        <v>456</v>
      </c>
      <c r="D318" s="38">
        <f>120/0.145</f>
        <v>827.58620689655174</v>
      </c>
      <c r="E318" s="38">
        <f>7.06*25.4</f>
        <v>179.32399999999998</v>
      </c>
      <c r="F318" s="38">
        <f t="shared" si="1338"/>
        <v>110.55172413793103</v>
      </c>
      <c r="G318" s="38">
        <f t="shared" si="1341"/>
        <v>25.4</v>
      </c>
      <c r="H318" s="38">
        <f>17*25.4</f>
        <v>431.79999999999995</v>
      </c>
      <c r="I318" s="38">
        <f t="shared" ref="I318:I363" si="1345">2.5*25.4</f>
        <v>63.5</v>
      </c>
      <c r="J318" s="39">
        <f>4.55*25.4</f>
        <v>115.57</v>
      </c>
      <c r="K318" s="7">
        <f t="shared" si="1339"/>
        <v>253.99999999999994</v>
      </c>
      <c r="L318" s="38">
        <v>2</v>
      </c>
      <c r="M318" s="4">
        <f t="shared" si="1028"/>
        <v>260.34999999999997</v>
      </c>
      <c r="N318" s="7">
        <f t="shared" si="1224"/>
        <v>3</v>
      </c>
      <c r="O318" s="7">
        <f t="shared" si="1225"/>
        <v>3</v>
      </c>
      <c r="P318" s="38">
        <v>4</v>
      </c>
      <c r="Q318" s="4">
        <f t="shared" si="1342"/>
        <v>4</v>
      </c>
      <c r="R318" s="4">
        <f t="shared" si="1226"/>
        <v>5</v>
      </c>
      <c r="S318" s="7">
        <f t="shared" si="1227"/>
        <v>56.796126628494655</v>
      </c>
      <c r="V318" s="38">
        <f t="shared" si="1054"/>
        <v>515.17241379310349</v>
      </c>
      <c r="W318" s="4">
        <v>74.7</v>
      </c>
      <c r="X318" s="4">
        <f t="shared" si="1228"/>
        <v>0.64304013454181963</v>
      </c>
      <c r="Y318" s="38">
        <f>0.5*25.4</f>
        <v>12.7</v>
      </c>
      <c r="Z318" s="38">
        <v>4</v>
      </c>
      <c r="AA318" s="39">
        <f>5.5*25.4</f>
        <v>139.69999999999999</v>
      </c>
      <c r="AB318" s="39">
        <v>1</v>
      </c>
      <c r="AC318" s="39">
        <v>1</v>
      </c>
      <c r="AD318" s="7"/>
      <c r="AE318" s="4">
        <f t="shared" si="1229"/>
        <v>179.32399999999998</v>
      </c>
      <c r="AF318" s="4">
        <f t="shared" si="1230"/>
        <v>0.80264400377714828</v>
      </c>
      <c r="AG318" s="4">
        <f t="shared" si="1231"/>
        <v>249.14551653979098</v>
      </c>
      <c r="AH318" s="4">
        <f t="shared" si="1232"/>
        <v>0.784985835694051</v>
      </c>
      <c r="AI318" s="4">
        <v>1.25</v>
      </c>
      <c r="AJ318" s="4">
        <f t="shared" si="1154"/>
        <v>2.5</v>
      </c>
      <c r="AK318" s="38">
        <f t="shared" si="1340"/>
        <v>490.55520031825944</v>
      </c>
      <c r="AL318" s="38">
        <f t="shared" si="1264"/>
        <v>490.55520031825944</v>
      </c>
      <c r="AM318" s="38">
        <f t="shared" si="1233"/>
        <v>5.4139420559889198</v>
      </c>
      <c r="AN318" s="38">
        <f t="shared" si="1161"/>
        <v>490.55520031825927</v>
      </c>
      <c r="AO318" s="38">
        <f t="shared" si="1115"/>
        <v>1.0000000000000004</v>
      </c>
      <c r="AP318" s="38">
        <f t="shared" si="1162"/>
        <v>2.7043249950148236</v>
      </c>
      <c r="AQ318" s="4">
        <f t="shared" si="1163"/>
        <v>0</v>
      </c>
      <c r="AR318" s="4" t="e">
        <f>#REF!/G318*F318^0.5/0.19</f>
        <v>#REF!</v>
      </c>
      <c r="AS318" s="4">
        <f t="shared" si="1234"/>
        <v>1</v>
      </c>
      <c r="AT318" s="38">
        <f t="shared" si="1235"/>
        <v>1326.6206896551723</v>
      </c>
      <c r="AU318" s="4">
        <f t="shared" si="1236"/>
        <v>0.44000000000000006</v>
      </c>
      <c r="AV318" s="4" t="e">
        <f>AU318*D318*#REF!/(D318*G318/2.75/F318^0.5)</f>
        <v>#REF!</v>
      </c>
      <c r="AW318" s="4" t="e">
        <f t="shared" si="1068"/>
        <v>#REF!</v>
      </c>
      <c r="AY318" s="4">
        <f t="shared" si="1237"/>
        <v>1.5</v>
      </c>
      <c r="AZ318" s="4" t="e">
        <f>(3*#REF!+30)*AY318*F318^0.5</f>
        <v>#REF!</v>
      </c>
      <c r="BB318" s="4">
        <f t="shared" si="1238"/>
        <v>1272.3914765180612</v>
      </c>
      <c r="BC318" s="4">
        <f t="shared" si="1275"/>
        <v>0</v>
      </c>
      <c r="BD318" s="4">
        <f t="shared" si="1069"/>
        <v>0</v>
      </c>
      <c r="BL318" s="4">
        <f t="shared" si="1239"/>
        <v>63.5</v>
      </c>
      <c r="BP318" s="9"/>
      <c r="BR318" s="9"/>
      <c r="BS318" s="9"/>
      <c r="BT318" s="9">
        <f t="shared" si="1240"/>
        <v>63.5</v>
      </c>
      <c r="BU318" s="9">
        <f t="shared" si="1241"/>
        <v>126.99999999999997</v>
      </c>
      <c r="BV318" s="9">
        <f t="shared" si="1242"/>
        <v>1.7543833769624846</v>
      </c>
      <c r="BW318" s="40">
        <f t="shared" si="1343"/>
        <v>20</v>
      </c>
      <c r="BX318" s="9">
        <f t="shared" si="1243"/>
        <v>0.05</v>
      </c>
      <c r="BY318" s="9">
        <f t="shared" si="1070"/>
        <v>0.8</v>
      </c>
      <c r="BZ318" s="9">
        <f t="shared" si="1244"/>
        <v>0.99524931562137331</v>
      </c>
      <c r="CA318" s="9">
        <f t="shared" si="1245"/>
        <v>0.68</v>
      </c>
      <c r="CB318" s="9">
        <f t="shared" si="1246"/>
        <v>2.4905290095198289</v>
      </c>
      <c r="CC318" s="9">
        <f t="shared" si="1247"/>
        <v>6.2263225237995723</v>
      </c>
      <c r="CD318" s="40">
        <v>1</v>
      </c>
      <c r="CE318" s="9" t="e">
        <f>4*CC318*#REF!+60*CC318</f>
        <v>#REF!</v>
      </c>
      <c r="CG318" s="4" t="e">
        <f t="shared" si="1071"/>
        <v>#REF!</v>
      </c>
      <c r="CH318" s="4" t="e">
        <f t="shared" si="1072"/>
        <v>#REF!</v>
      </c>
      <c r="CI318" s="4" t="e">
        <f t="shared" si="1073"/>
        <v>#REF!</v>
      </c>
      <c r="CJ318" s="4" t="e">
        <f t="shared" si="1074"/>
        <v>#REF!</v>
      </c>
      <c r="CK318" s="4">
        <f t="shared" si="1075"/>
        <v>0.64304013454181963</v>
      </c>
      <c r="CL318" s="4">
        <f t="shared" si="1076"/>
        <v>0.65440646347147291</v>
      </c>
      <c r="CM318" s="4">
        <f t="shared" si="1310"/>
        <v>1.0155616105585565</v>
      </c>
      <c r="CN318" s="4">
        <f t="shared" si="1344"/>
        <v>4</v>
      </c>
      <c r="CU318" s="4" t="e">
        <f t="shared" ref="CU318:CU323" si="1346">CG318</f>
        <v>#REF!</v>
      </c>
      <c r="CV318" s="4" t="e">
        <f t="shared" ref="CV318:CV323" si="1347">CH318</f>
        <v>#REF!</v>
      </c>
      <c r="CW318" s="4" t="e">
        <f t="shared" ref="CW318:CW323" si="1348">CJ318</f>
        <v>#REF!</v>
      </c>
      <c r="CX318" s="4">
        <f t="shared" ref="CX318:CX323" si="1349">CM318</f>
        <v>1.0155616105585565</v>
      </c>
      <c r="CY318" s="4">
        <f t="shared" ref="CY318:CY323" si="1350">CK318</f>
        <v>0.64304013454181963</v>
      </c>
      <c r="CZ318" s="4">
        <f t="shared" ref="CZ318:CZ323" si="1351">CL318</f>
        <v>0.65440646347147291</v>
      </c>
      <c r="DC318" s="4" t="e">
        <f>#REF!</f>
        <v>#REF!</v>
      </c>
      <c r="DF318" s="4">
        <f t="shared" si="1248"/>
        <v>2.0808531361433225E-5</v>
      </c>
      <c r="DG318" s="4">
        <f t="shared" si="1083"/>
        <v>14.3619216407349</v>
      </c>
      <c r="DH318" s="4">
        <f t="shared" si="1249"/>
        <v>0.2451590715701864</v>
      </c>
      <c r="DI318" s="4">
        <f t="shared" si="1084"/>
        <v>8.1844922173160235</v>
      </c>
      <c r="DJ318" s="4">
        <f t="shared" si="1085"/>
        <v>11.69160156050123</v>
      </c>
      <c r="DK318" s="4">
        <f t="shared" si="1250"/>
        <v>13.362107346029541</v>
      </c>
      <c r="DL318" s="38">
        <f t="shared" si="1251"/>
        <v>801.1512596490968</v>
      </c>
      <c r="DM318" s="4" t="e">
        <f t="shared" si="1086"/>
        <v>#REF!</v>
      </c>
      <c r="DN318" s="4">
        <f t="shared" si="1252"/>
        <v>2.2360679774997898</v>
      </c>
      <c r="DO318" s="4">
        <f t="shared" si="1309"/>
        <v>490.55520031825927</v>
      </c>
      <c r="DS318" s="4">
        <f t="shared" si="1253"/>
        <v>0.85</v>
      </c>
      <c r="DT318" s="4">
        <f t="shared" si="1254"/>
        <v>0.85</v>
      </c>
      <c r="DU318" s="4">
        <f t="shared" si="1255"/>
        <v>0.92500000000000004</v>
      </c>
      <c r="DV318" s="4">
        <f t="shared" si="1087"/>
        <v>0.78625</v>
      </c>
      <c r="DX318" s="4">
        <f t="shared" si="1256"/>
        <v>787.23613312166049</v>
      </c>
      <c r="DY318" s="25">
        <f t="shared" si="1146"/>
        <v>483.05063277089533</v>
      </c>
      <c r="EA318" s="4">
        <f t="shared" si="1147"/>
        <v>0.66831249999999998</v>
      </c>
      <c r="EB318" s="4">
        <f t="shared" si="1257"/>
        <v>14.3619216407349</v>
      </c>
      <c r="EE318" s="4">
        <f t="shared" si="1258"/>
        <v>56.796126628494655</v>
      </c>
      <c r="EF318" s="4">
        <f t="shared" si="1088"/>
        <v>2.2360679774997898</v>
      </c>
      <c r="EG318" s="4">
        <f t="shared" si="1259"/>
        <v>0.14095029639033016</v>
      </c>
      <c r="EJ318" s="4">
        <f t="shared" si="1089"/>
        <v>0.14095029639033016</v>
      </c>
      <c r="EK318" s="4">
        <f t="shared" si="1260"/>
        <v>0.24474994677117545</v>
      </c>
      <c r="EL318" s="4">
        <f t="shared" si="1090"/>
        <v>8.1790261228301695</v>
      </c>
      <c r="EM318" s="4">
        <f t="shared" si="1091"/>
        <v>11.689700251961565</v>
      </c>
      <c r="EN318" s="4" t="e">
        <f t="shared" si="1092"/>
        <v>#REF!</v>
      </c>
      <c r="EO318" s="4" t="e">
        <f t="shared" si="1093"/>
        <v>#REF!</v>
      </c>
      <c r="EP318" s="4" t="e">
        <f t="shared" si="1261"/>
        <v>#REF!</v>
      </c>
      <c r="EQ318" s="4" t="e">
        <f t="shared" si="1094"/>
        <v>#REF!</v>
      </c>
      <c r="ER318" s="4" t="e">
        <f t="shared" si="1262"/>
        <v>#REF!</v>
      </c>
      <c r="FA318" s="23" t="e">
        <f t="shared" si="1042"/>
        <v>#REF!</v>
      </c>
      <c r="FB318" s="23" t="e">
        <f t="shared" si="1043"/>
        <v>#REF!</v>
      </c>
      <c r="FC318" s="23">
        <f t="shared" si="1317"/>
        <v>1.2</v>
      </c>
      <c r="FD318" s="23" t="e">
        <f t="shared" si="1044"/>
        <v>#REF!</v>
      </c>
      <c r="FE318" s="23">
        <f t="shared" si="1045"/>
        <v>0.8</v>
      </c>
      <c r="FF318" s="23">
        <f t="shared" si="1046"/>
        <v>0.8</v>
      </c>
      <c r="FG318" s="23">
        <f t="shared" si="1266"/>
        <v>1</v>
      </c>
      <c r="FH318" s="23"/>
      <c r="FR318" s="4">
        <f t="shared" si="1122"/>
        <v>1</v>
      </c>
      <c r="FS318" s="4">
        <f t="shared" si="1123"/>
        <v>0.45</v>
      </c>
      <c r="FT318" s="4">
        <f t="shared" si="1124"/>
        <v>0.25</v>
      </c>
      <c r="FU318" s="4">
        <f t="shared" si="1125"/>
        <v>507.27834573203279</v>
      </c>
    </row>
    <row r="319" spans="2:177" ht="12" customHeight="1" x14ac:dyDescent="0.3">
      <c r="B319" s="24"/>
      <c r="C319" s="7" t="s">
        <v>457</v>
      </c>
      <c r="D319" s="38">
        <f t="shared" ref="D319:D320" si="1352">115.9/0.145</f>
        <v>799.31034482758628</v>
      </c>
      <c r="E319" s="38">
        <f>7.06*25.4</f>
        <v>179.32399999999998</v>
      </c>
      <c r="F319" s="38">
        <f t="shared" si="1338"/>
        <v>110.55172413793103</v>
      </c>
      <c r="G319" s="38">
        <f t="shared" si="1341"/>
        <v>25.4</v>
      </c>
      <c r="H319" s="38">
        <f>16.9*25.4</f>
        <v>429.25999999999993</v>
      </c>
      <c r="I319" s="38">
        <f t="shared" si="1345"/>
        <v>63.5</v>
      </c>
      <c r="J319" s="39">
        <f>3.25*25.4</f>
        <v>82.55</v>
      </c>
      <c r="K319" s="7">
        <f t="shared" si="1339"/>
        <v>251.45999999999992</v>
      </c>
      <c r="L319" s="38">
        <v>2</v>
      </c>
      <c r="M319" s="4">
        <f t="shared" si="1028"/>
        <v>260.34999999999997</v>
      </c>
      <c r="N319" s="7">
        <f t="shared" si="1224"/>
        <v>3</v>
      </c>
      <c r="O319" s="7">
        <f t="shared" si="1225"/>
        <v>3</v>
      </c>
      <c r="P319" s="38">
        <v>9.5</v>
      </c>
      <c r="Q319" s="4">
        <f t="shared" si="1342"/>
        <v>9.5</v>
      </c>
      <c r="R319" s="4">
        <f t="shared" si="1226"/>
        <v>10.5</v>
      </c>
      <c r="S319" s="7">
        <f t="shared" si="1227"/>
        <v>82.305406869779816</v>
      </c>
      <c r="V319" s="38">
        <f t="shared" si="1054"/>
        <v>585.51724137931046</v>
      </c>
      <c r="W319" s="4">
        <v>84.9</v>
      </c>
      <c r="X319" s="4">
        <f t="shared" si="1228"/>
        <v>0.76838286120630295</v>
      </c>
      <c r="Y319" s="38">
        <f t="shared" ref="Y319:Y323" si="1353">0.5*25.4</f>
        <v>12.7</v>
      </c>
      <c r="Z319" s="38">
        <v>4</v>
      </c>
      <c r="AA319" s="39">
        <f>5.5*25.4</f>
        <v>139.69999999999999</v>
      </c>
      <c r="AB319" s="39">
        <v>1</v>
      </c>
      <c r="AC319" s="39">
        <v>1</v>
      </c>
      <c r="AD319" s="7"/>
      <c r="AE319" s="4">
        <f t="shared" si="1229"/>
        <v>179.32399999999998</v>
      </c>
      <c r="AF319" s="4">
        <f t="shared" si="1230"/>
        <v>0.79792256846081211</v>
      </c>
      <c r="AG319" s="4">
        <f t="shared" si="1231"/>
        <v>249.14551653979098</v>
      </c>
      <c r="AH319" s="4">
        <f t="shared" si="1232"/>
        <v>0.784985835694051</v>
      </c>
      <c r="AI319" s="4">
        <v>1.25</v>
      </c>
      <c r="AJ319" s="4">
        <f t="shared" si="1154"/>
        <v>2.5</v>
      </c>
      <c r="AK319" s="38">
        <f t="shared" si="1340"/>
        <v>487.6695814928579</v>
      </c>
      <c r="AL319" s="38">
        <f t="shared" si="1264"/>
        <v>487.6695814928579</v>
      </c>
      <c r="AM319" s="38">
        <f t="shared" si="1233"/>
        <v>5.4139420559889198</v>
      </c>
      <c r="AN319" s="38">
        <f t="shared" si="1161"/>
        <v>487.66958149285767</v>
      </c>
      <c r="AO319" s="38">
        <f t="shared" si="1115"/>
        <v>1.0000000000000004</v>
      </c>
      <c r="AP319" s="38">
        <f t="shared" si="1162"/>
        <v>4.1923053365890919</v>
      </c>
      <c r="AQ319" s="4">
        <f t="shared" si="1163"/>
        <v>0</v>
      </c>
      <c r="AR319" s="4" t="e">
        <f>#REF!/G319*F319^0.5/0.19</f>
        <v>#REF!</v>
      </c>
      <c r="AS319" s="4">
        <f t="shared" si="1234"/>
        <v>1</v>
      </c>
      <c r="AT319" s="38">
        <f t="shared" si="1235"/>
        <v>2044.4597889846762</v>
      </c>
      <c r="AU319" s="4">
        <f t="shared" si="1236"/>
        <v>0.3</v>
      </c>
      <c r="AV319" s="4" t="e">
        <f>AU319*D319*#REF!/(D319*G319/2.75/F319^0.5)</f>
        <v>#REF!</v>
      </c>
      <c r="AW319" s="4" t="e">
        <f t="shared" si="1068"/>
        <v>#REF!</v>
      </c>
      <c r="AY319" s="4">
        <f t="shared" si="1237"/>
        <v>1.5</v>
      </c>
      <c r="AZ319" s="4" t="e">
        <f>(3*#REF!+30)*AY319*F319^0.5</f>
        <v>#REF!</v>
      </c>
      <c r="BB319" s="4">
        <f t="shared" si="1238"/>
        <v>1960.8869587765769</v>
      </c>
      <c r="BC319" s="4">
        <f t="shared" si="1275"/>
        <v>0</v>
      </c>
      <c r="BD319" s="4">
        <f t="shared" si="1069"/>
        <v>0</v>
      </c>
      <c r="BL319" s="4">
        <f t="shared" si="1239"/>
        <v>63.5</v>
      </c>
      <c r="BP319" s="9"/>
      <c r="BR319" s="9"/>
      <c r="BS319" s="9"/>
      <c r="BT319" s="9">
        <f t="shared" si="1240"/>
        <v>63.5</v>
      </c>
      <c r="BU319" s="9">
        <f t="shared" si="1241"/>
        <v>125.72999999999996</v>
      </c>
      <c r="BV319" s="9">
        <f t="shared" si="1242"/>
        <v>1.7517405482385959</v>
      </c>
      <c r="BW319" s="40">
        <f t="shared" si="1343"/>
        <v>20</v>
      </c>
      <c r="BX319" s="9">
        <f t="shared" si="1243"/>
        <v>0.05</v>
      </c>
      <c r="BY319" s="9">
        <f t="shared" si="1070"/>
        <v>0.8</v>
      </c>
      <c r="BZ319" s="9">
        <f t="shared" si="1244"/>
        <v>0.99524931562137331</v>
      </c>
      <c r="CA319" s="9">
        <f t="shared" si="1245"/>
        <v>0.68048275862068963</v>
      </c>
      <c r="CB319" s="9">
        <f t="shared" si="1246"/>
        <v>2.4922971335630986</v>
      </c>
      <c r="CC319" s="9">
        <f t="shared" si="1247"/>
        <v>6.2307428339077466</v>
      </c>
      <c r="CD319" s="40">
        <v>1</v>
      </c>
      <c r="CE319" s="9" t="e">
        <f>4*CC319*#REF!+60*CC319</f>
        <v>#REF!</v>
      </c>
      <c r="CG319" s="4" t="e">
        <f t="shared" si="1071"/>
        <v>#REF!</v>
      </c>
      <c r="CH319" s="4" t="e">
        <f t="shared" si="1072"/>
        <v>#REF!</v>
      </c>
      <c r="CI319" s="4" t="e">
        <f t="shared" si="1073"/>
        <v>#REF!</v>
      </c>
      <c r="CJ319" s="4" t="e">
        <f t="shared" si="1074"/>
        <v>#REF!</v>
      </c>
      <c r="CK319" s="4">
        <f t="shared" si="1075"/>
        <v>0.76838286120630295</v>
      </c>
      <c r="CL319" s="4">
        <f t="shared" si="1076"/>
        <v>0.74645745582544709</v>
      </c>
      <c r="CM319" s="4">
        <f t="shared" si="1310"/>
        <v>1.1496958567038023</v>
      </c>
      <c r="CN319" s="4">
        <f t="shared" si="1344"/>
        <v>4</v>
      </c>
      <c r="CU319" s="4" t="e">
        <f t="shared" si="1346"/>
        <v>#REF!</v>
      </c>
      <c r="CV319" s="4" t="e">
        <f t="shared" si="1347"/>
        <v>#REF!</v>
      </c>
      <c r="CW319" s="4" t="e">
        <f t="shared" si="1348"/>
        <v>#REF!</v>
      </c>
      <c r="CX319" s="4">
        <f t="shared" si="1349"/>
        <v>1.1496958567038023</v>
      </c>
      <c r="CY319" s="4">
        <f t="shared" si="1350"/>
        <v>0.76838286120630295</v>
      </c>
      <c r="CZ319" s="4">
        <f t="shared" si="1351"/>
        <v>0.74645745582544709</v>
      </c>
      <c r="DC319" s="4" t="e">
        <f>#REF!</f>
        <v>#REF!</v>
      </c>
      <c r="DF319" s="4">
        <f t="shared" si="1248"/>
        <v>2.0808531361433225E-5</v>
      </c>
      <c r="DG319" s="4">
        <f t="shared" si="1083"/>
        <v>14.3619216407349</v>
      </c>
      <c r="DH319" s="4">
        <f t="shared" si="1249"/>
        <v>0.14870712748952589</v>
      </c>
      <c r="DI319" s="4">
        <f t="shared" si="1084"/>
        <v>6.7010871591731629</v>
      </c>
      <c r="DJ319" s="4">
        <f t="shared" si="1085"/>
        <v>11.214389858252142</v>
      </c>
      <c r="DK319" s="4">
        <f t="shared" si="1250"/>
        <v>13.501571585500448</v>
      </c>
      <c r="DL319" s="38">
        <f t="shared" si="1251"/>
        <v>762.01236511196089</v>
      </c>
      <c r="DM319" s="4" t="e">
        <f t="shared" si="1086"/>
        <v>#REF!</v>
      </c>
      <c r="DN319" s="4">
        <f t="shared" si="1252"/>
        <v>3.2403703492039297</v>
      </c>
      <c r="DO319" s="4">
        <f t="shared" si="1309"/>
        <v>487.66958149285767</v>
      </c>
      <c r="DS319" s="4">
        <f t="shared" si="1253"/>
        <v>0.85</v>
      </c>
      <c r="DT319" s="4">
        <f t="shared" si="1254"/>
        <v>0.85</v>
      </c>
      <c r="DU319" s="4">
        <f t="shared" si="1255"/>
        <v>0.92500000000000004</v>
      </c>
      <c r="DV319" s="4">
        <f t="shared" si="1087"/>
        <v>0.78625</v>
      </c>
      <c r="DX319" s="4">
        <f t="shared" si="1256"/>
        <v>784.39465881124352</v>
      </c>
      <c r="DY319" s="25">
        <f t="shared" si="1146"/>
        <v>480.20915846047836</v>
      </c>
      <c r="EA319" s="4">
        <f t="shared" si="1147"/>
        <v>0.66831249999999998</v>
      </c>
      <c r="EB319" s="4">
        <f t="shared" si="1257"/>
        <v>14.3619216407349</v>
      </c>
      <c r="EE319" s="4">
        <f t="shared" si="1258"/>
        <v>82.305406869779816</v>
      </c>
      <c r="EF319" s="4">
        <f t="shared" si="1088"/>
        <v>3.2403703492039302</v>
      </c>
      <c r="EG319" s="4">
        <f t="shared" si="1259"/>
        <v>8.5496790148361215E-2</v>
      </c>
      <c r="EJ319" s="4">
        <f t="shared" si="1089"/>
        <v>8.5496790148361215E-2</v>
      </c>
      <c r="EK319" s="4">
        <f t="shared" si="1260"/>
        <v>0.14845896300898689</v>
      </c>
      <c r="EL319" s="4">
        <f t="shared" si="1090"/>
        <v>6.6966117715012832</v>
      </c>
      <c r="EM319" s="4">
        <f t="shared" si="1091"/>
        <v>11.213073895081219</v>
      </c>
      <c r="EN319" s="4" t="e">
        <f t="shared" si="1092"/>
        <v>#REF!</v>
      </c>
      <c r="EO319" s="4" t="e">
        <f t="shared" si="1093"/>
        <v>#REF!</v>
      </c>
      <c r="EP319" s="4" t="e">
        <f t="shared" si="1261"/>
        <v>#REF!</v>
      </c>
      <c r="EQ319" s="4" t="e">
        <f t="shared" si="1094"/>
        <v>#REF!</v>
      </c>
      <c r="ER319" s="4" t="e">
        <f t="shared" si="1262"/>
        <v>#REF!</v>
      </c>
      <c r="FA319" s="23" t="e">
        <f t="shared" si="1042"/>
        <v>#REF!</v>
      </c>
      <c r="FB319" s="23" t="e">
        <f t="shared" si="1043"/>
        <v>#REF!</v>
      </c>
      <c r="FC319" s="23">
        <f t="shared" si="1317"/>
        <v>1.2</v>
      </c>
      <c r="FD319" s="23" t="e">
        <f t="shared" si="1044"/>
        <v>#REF!</v>
      </c>
      <c r="FE319" s="23">
        <f t="shared" si="1045"/>
        <v>0.8</v>
      </c>
      <c r="FF319" s="23">
        <f t="shared" si="1046"/>
        <v>0.8</v>
      </c>
      <c r="FG319" s="23">
        <f t="shared" si="1266"/>
        <v>1</v>
      </c>
      <c r="FH319" s="23"/>
      <c r="FR319" s="4">
        <f t="shared" si="1122"/>
        <v>1</v>
      </c>
      <c r="FS319" s="4">
        <f t="shared" si="1123"/>
        <v>0.4482312338222606</v>
      </c>
      <c r="FT319" s="4">
        <f t="shared" si="1124"/>
        <v>0.25</v>
      </c>
      <c r="FU319" s="4">
        <f t="shared" si="1125"/>
        <v>509.28011783742392</v>
      </c>
    </row>
    <row r="320" spans="2:177" ht="12" customHeight="1" x14ac:dyDescent="0.3">
      <c r="B320" s="24"/>
      <c r="C320" s="7" t="s">
        <v>458</v>
      </c>
      <c r="D320" s="38">
        <f t="shared" si="1352"/>
        <v>799.31034482758628</v>
      </c>
      <c r="E320" s="38">
        <f>7*25.4</f>
        <v>177.79999999999998</v>
      </c>
      <c r="F320" s="38">
        <f t="shared" si="1338"/>
        <v>110.55172413793103</v>
      </c>
      <c r="G320" s="38">
        <f t="shared" si="1341"/>
        <v>25.4</v>
      </c>
      <c r="H320" s="38">
        <f>17.6*25.4</f>
        <v>447.04</v>
      </c>
      <c r="I320" s="38">
        <f>2.85*25.4</f>
        <v>72.39</v>
      </c>
      <c r="J320" s="39">
        <f>3.3*25.4</f>
        <v>83.82</v>
      </c>
      <c r="K320" s="7">
        <f t="shared" si="1339"/>
        <v>251.46</v>
      </c>
      <c r="L320" s="38">
        <v>2</v>
      </c>
      <c r="M320" s="4">
        <f t="shared" si="1028"/>
        <v>260.34999999999997</v>
      </c>
      <c r="N320" s="7">
        <f t="shared" si="1224"/>
        <v>3.35</v>
      </c>
      <c r="O320" s="7">
        <f t="shared" si="1225"/>
        <v>3.35</v>
      </c>
      <c r="P320" s="38">
        <v>14.9</v>
      </c>
      <c r="Q320" s="4">
        <f t="shared" si="1342"/>
        <v>14.9</v>
      </c>
      <c r="R320" s="4">
        <f t="shared" si="1226"/>
        <v>15.9</v>
      </c>
      <c r="S320" s="7">
        <f t="shared" si="1227"/>
        <v>101.28200234987457</v>
      </c>
      <c r="V320" s="38">
        <f t="shared" si="1054"/>
        <v>692.41379310344837</v>
      </c>
      <c r="W320" s="4">
        <v>100.4</v>
      </c>
      <c r="X320" s="4">
        <f t="shared" si="1228"/>
        <v>0.89552419733717004</v>
      </c>
      <c r="Y320" s="38">
        <f t="shared" si="1353"/>
        <v>12.7</v>
      </c>
      <c r="Z320" s="38">
        <v>4</v>
      </c>
      <c r="AA320" s="39">
        <f>5.5*25.4</f>
        <v>139.69999999999999</v>
      </c>
      <c r="AB320" s="39">
        <v>1</v>
      </c>
      <c r="AC320" s="39">
        <v>1</v>
      </c>
      <c r="AD320" s="7"/>
      <c r="AE320" s="4">
        <f t="shared" si="1229"/>
        <v>177.79999999999998</v>
      </c>
      <c r="AF320" s="4">
        <f t="shared" si="1230"/>
        <v>0.83809523809523823</v>
      </c>
      <c r="AG320" s="4">
        <f t="shared" si="1231"/>
        <v>245.97619817542986</v>
      </c>
      <c r="AH320" s="4">
        <f t="shared" si="1232"/>
        <v>0.79571428571428571</v>
      </c>
      <c r="AI320" s="4">
        <v>1.25</v>
      </c>
      <c r="AJ320" s="4">
        <f t="shared" si="1154"/>
        <v>2.5</v>
      </c>
      <c r="AK320" s="38">
        <f t="shared" si="1340"/>
        <v>512.61774361253697</v>
      </c>
      <c r="AL320" s="38">
        <f t="shared" si="1264"/>
        <v>512.61774361253697</v>
      </c>
      <c r="AM320" s="38">
        <f t="shared" si="1233"/>
        <v>5.4139420559889198</v>
      </c>
      <c r="AN320" s="38">
        <f t="shared" si="1161"/>
        <v>512.6177436125372</v>
      </c>
      <c r="AO320" s="38">
        <f t="shared" si="1115"/>
        <v>0.99999999999999956</v>
      </c>
      <c r="AP320" s="38">
        <f t="shared" si="1162"/>
        <v>5.5775031260298089</v>
      </c>
      <c r="AQ320" s="4">
        <f t="shared" si="1163"/>
        <v>0</v>
      </c>
      <c r="AR320" s="4" t="e">
        <f>#REF!/G320*F320^0.5/0.19</f>
        <v>#REF!</v>
      </c>
      <c r="AS320" s="4">
        <f t="shared" si="1234"/>
        <v>1</v>
      </c>
      <c r="AT320" s="38">
        <f t="shared" si="1235"/>
        <v>2859.1270674572734</v>
      </c>
      <c r="AU320" s="4">
        <f t="shared" si="1236"/>
        <v>0.3</v>
      </c>
      <c r="AV320" s="4" t="e">
        <f>AU320*D320*#REF!/(D320*G320/2.75/F320^0.5)</f>
        <v>#REF!</v>
      </c>
      <c r="AW320" s="4" t="e">
        <f t="shared" si="1068"/>
        <v>#REF!</v>
      </c>
      <c r="AY320" s="4">
        <f t="shared" si="1237"/>
        <v>1.5</v>
      </c>
      <c r="AZ320" s="4" t="e">
        <f>(3*#REF!+30)*AY320*F320^0.5</f>
        <v>#REF!</v>
      </c>
      <c r="BB320" s="4">
        <f t="shared" si="1238"/>
        <v>2742.2525061480219</v>
      </c>
      <c r="BC320" s="4">
        <f t="shared" si="1275"/>
        <v>0</v>
      </c>
      <c r="BD320" s="4">
        <f t="shared" si="1069"/>
        <v>0</v>
      </c>
      <c r="BL320" s="4">
        <f t="shared" si="1239"/>
        <v>72.39</v>
      </c>
      <c r="BP320" s="9"/>
      <c r="BR320" s="9"/>
      <c r="BS320" s="9"/>
      <c r="BT320" s="9">
        <f t="shared" si="1240"/>
        <v>72.39</v>
      </c>
      <c r="BU320" s="9">
        <f t="shared" si="1241"/>
        <v>125.73</v>
      </c>
      <c r="BV320" s="9">
        <f t="shared" si="1242"/>
        <v>1.8339457339368097</v>
      </c>
      <c r="BW320" s="40">
        <f t="shared" si="1343"/>
        <v>20</v>
      </c>
      <c r="BX320" s="9">
        <f t="shared" si="1243"/>
        <v>0.05</v>
      </c>
      <c r="BY320" s="9">
        <f t="shared" si="1070"/>
        <v>0.8</v>
      </c>
      <c r="BZ320" s="9">
        <f t="shared" si="1244"/>
        <v>0.99524931562137331</v>
      </c>
      <c r="CA320" s="9">
        <f t="shared" si="1245"/>
        <v>0.68048275862068963</v>
      </c>
      <c r="CB320" s="9">
        <f t="shared" si="1246"/>
        <v>2.4922971335630986</v>
      </c>
      <c r="CC320" s="9">
        <f t="shared" si="1247"/>
        <v>6.2307428339077466</v>
      </c>
      <c r="CD320" s="40">
        <v>1</v>
      </c>
      <c r="CE320" s="9" t="e">
        <f>4*CC320*#REF!+60*CC320</f>
        <v>#REF!</v>
      </c>
      <c r="CG320" s="4" t="e">
        <f t="shared" si="1071"/>
        <v>#REF!</v>
      </c>
      <c r="CH320" s="4" t="e">
        <f t="shared" si="1072"/>
        <v>#REF!</v>
      </c>
      <c r="CI320" s="4" t="e">
        <f t="shared" si="1073"/>
        <v>#REF!</v>
      </c>
      <c r="CJ320" s="4" t="e">
        <f t="shared" si="1074"/>
        <v>#REF!</v>
      </c>
      <c r="CK320" s="4">
        <f t="shared" si="1075"/>
        <v>0.89552419733717004</v>
      </c>
      <c r="CL320" s="4">
        <f t="shared" si="1076"/>
        <v>0.86626402070750652</v>
      </c>
      <c r="CM320" s="4">
        <f t="shared" si="1310"/>
        <v>1.3712468718361366</v>
      </c>
      <c r="CN320" s="4">
        <f t="shared" si="1344"/>
        <v>4</v>
      </c>
      <c r="CU320" s="4" t="e">
        <f t="shared" si="1346"/>
        <v>#REF!</v>
      </c>
      <c r="CV320" s="4" t="e">
        <f t="shared" si="1347"/>
        <v>#REF!</v>
      </c>
      <c r="CW320" s="4" t="e">
        <f t="shared" si="1348"/>
        <v>#REF!</v>
      </c>
      <c r="CX320" s="4">
        <f t="shared" si="1349"/>
        <v>1.3712468718361366</v>
      </c>
      <c r="CY320" s="4">
        <f t="shared" si="1350"/>
        <v>0.89552419733717004</v>
      </c>
      <c r="CZ320" s="4">
        <f t="shared" si="1351"/>
        <v>0.86626402070750652</v>
      </c>
      <c r="DC320" s="4" t="e">
        <f>#REF!</f>
        <v>#REF!</v>
      </c>
      <c r="DF320" s="4">
        <f t="shared" si="1248"/>
        <v>2.0631688318701494E-5</v>
      </c>
      <c r="DG320" s="4">
        <f t="shared" si="1083"/>
        <v>14.978691281748057</v>
      </c>
      <c r="DH320" s="4">
        <f t="shared" si="1249"/>
        <v>0.12264250191662669</v>
      </c>
      <c r="DI320" s="4">
        <f t="shared" si="1084"/>
        <v>6.4703872005676581</v>
      </c>
      <c r="DJ320" s="4">
        <f t="shared" si="1085"/>
        <v>11.548596486030259</v>
      </c>
      <c r="DK320" s="4">
        <f t="shared" si="1250"/>
        <v>14.150372924751665</v>
      </c>
      <c r="DL320" s="38">
        <f t="shared" si="1251"/>
        <v>773.19384016906758</v>
      </c>
      <c r="DM320" s="4" t="e">
        <f t="shared" si="1086"/>
        <v>#REF!</v>
      </c>
      <c r="DN320" s="4">
        <f t="shared" si="1252"/>
        <v>3.9874804074753771</v>
      </c>
      <c r="DO320" s="4">
        <f t="shared" si="1309"/>
        <v>512.6177436125372</v>
      </c>
      <c r="DS320" s="4">
        <f t="shared" si="1253"/>
        <v>0.85</v>
      </c>
      <c r="DT320" s="4">
        <f t="shared" si="1254"/>
        <v>0.81499999999999995</v>
      </c>
      <c r="DU320" s="4">
        <f t="shared" si="1255"/>
        <v>0.92500000000000004</v>
      </c>
      <c r="DV320" s="4">
        <f t="shared" si="1087"/>
        <v>0.75387499999999996</v>
      </c>
      <c r="DX320" s="4">
        <f t="shared" si="1256"/>
        <v>799.31034482758628</v>
      </c>
      <c r="DY320" s="25">
        <f t="shared" si="1146"/>
        <v>504.82228840667528</v>
      </c>
      <c r="EA320" s="4">
        <f t="shared" si="1147"/>
        <v>0.64079374999999994</v>
      </c>
      <c r="EB320" s="4">
        <f t="shared" si="1257"/>
        <v>14.978691281748057</v>
      </c>
      <c r="EE320" s="4">
        <f t="shared" si="1258"/>
        <v>101.28200234987457</v>
      </c>
      <c r="EF320" s="4">
        <f t="shared" si="1088"/>
        <v>3.9874804074753771</v>
      </c>
      <c r="EG320" s="4">
        <f t="shared" si="1259"/>
        <v>7.0511349567789622E-2</v>
      </c>
      <c r="EJ320" s="4">
        <f t="shared" si="1089"/>
        <v>7.0511349567789622E-2</v>
      </c>
      <c r="EK320" s="4">
        <f t="shared" si="1260"/>
        <v>0.12243783443838298</v>
      </c>
      <c r="EL320" s="4">
        <f t="shared" si="1090"/>
        <v>6.4660658881564208</v>
      </c>
      <c r="EM320" s="4">
        <f t="shared" si="1091"/>
        <v>11.547411628168957</v>
      </c>
      <c r="EN320" s="4" t="e">
        <f t="shared" si="1092"/>
        <v>#REF!</v>
      </c>
      <c r="EO320" s="4" t="e">
        <f t="shared" si="1093"/>
        <v>#REF!</v>
      </c>
      <c r="EP320" s="4" t="e">
        <f t="shared" si="1261"/>
        <v>#REF!</v>
      </c>
      <c r="EQ320" s="4" t="e">
        <f t="shared" si="1094"/>
        <v>#REF!</v>
      </c>
      <c r="ER320" s="4" t="e">
        <f t="shared" si="1262"/>
        <v>#REF!</v>
      </c>
      <c r="FA320" s="23" t="e">
        <f t="shared" si="1042"/>
        <v>#REF!</v>
      </c>
      <c r="FB320" s="23" t="e">
        <f t="shared" si="1043"/>
        <v>#REF!</v>
      </c>
      <c r="FC320" s="23">
        <f t="shared" si="1317"/>
        <v>1.4</v>
      </c>
      <c r="FD320" s="23" t="e">
        <f t="shared" si="1044"/>
        <v>#REF!</v>
      </c>
      <c r="FE320" s="23">
        <f t="shared" si="1045"/>
        <v>1</v>
      </c>
      <c r="FF320" s="23">
        <f t="shared" si="1046"/>
        <v>1</v>
      </c>
      <c r="FG320" s="23">
        <f t="shared" si="1266"/>
        <v>0</v>
      </c>
      <c r="FH320" s="23"/>
      <c r="FR320" s="4">
        <f t="shared" si="1122"/>
        <v>1</v>
      </c>
      <c r="FS320" s="4">
        <f t="shared" si="1123"/>
        <v>0.4482312338222606</v>
      </c>
      <c r="FT320" s="4">
        <f t="shared" si="1124"/>
        <v>0.25</v>
      </c>
      <c r="FU320" s="4">
        <f t="shared" si="1125"/>
        <v>504.95195819574604</v>
      </c>
    </row>
    <row r="321" spans="2:177" ht="12" customHeight="1" x14ac:dyDescent="0.3">
      <c r="B321" s="24"/>
      <c r="C321" s="7" t="s">
        <v>459</v>
      </c>
      <c r="D321" s="38">
        <f>120/0.145</f>
        <v>827.58620689655174</v>
      </c>
      <c r="E321" s="38">
        <f>5.5*25.4</f>
        <v>139.69999999999999</v>
      </c>
      <c r="F321" s="38">
        <f t="shared" si="1338"/>
        <v>110.55172413793103</v>
      </c>
      <c r="G321" s="38">
        <f t="shared" si="1341"/>
        <v>25.4</v>
      </c>
      <c r="H321" s="38">
        <f>16.9*25.4</f>
        <v>429.25999999999993</v>
      </c>
      <c r="I321" s="38">
        <f>2.45*25.4</f>
        <v>62.230000000000004</v>
      </c>
      <c r="J321" s="39">
        <f>4.7*25.4</f>
        <v>119.38</v>
      </c>
      <c r="K321" s="7">
        <f t="shared" si="1339"/>
        <v>253.99999999999991</v>
      </c>
      <c r="L321" s="38">
        <v>2</v>
      </c>
      <c r="M321" s="4">
        <f t="shared" si="1028"/>
        <v>260.34999999999997</v>
      </c>
      <c r="N321" s="7">
        <f t="shared" si="1224"/>
        <v>2.95</v>
      </c>
      <c r="O321" s="7">
        <f t="shared" si="1225"/>
        <v>2.95</v>
      </c>
      <c r="P321" s="38">
        <v>4</v>
      </c>
      <c r="Q321" s="4">
        <f t="shared" si="1342"/>
        <v>4</v>
      </c>
      <c r="R321" s="4">
        <f t="shared" si="1226"/>
        <v>5</v>
      </c>
      <c r="S321" s="7">
        <f t="shared" si="1227"/>
        <v>56.796126628494655</v>
      </c>
      <c r="V321" s="38">
        <f t="shared" si="1054"/>
        <v>552.41379310344826</v>
      </c>
      <c r="W321" s="4">
        <v>80.099999999999994</v>
      </c>
      <c r="X321" s="4">
        <f t="shared" si="1228"/>
        <v>0.7840718743477787</v>
      </c>
      <c r="Y321" s="38">
        <f t="shared" si="1353"/>
        <v>12.7</v>
      </c>
      <c r="Z321" s="38">
        <v>10</v>
      </c>
      <c r="AA321" s="39">
        <f t="shared" ref="AA321:AA323" si="1354">3*25.4</f>
        <v>76.199999999999989</v>
      </c>
      <c r="AB321" s="39">
        <v>3</v>
      </c>
      <c r="AC321" s="39">
        <f t="shared" ref="AC321:AC323" si="1355">AB321-1</f>
        <v>2</v>
      </c>
      <c r="AD321" s="7"/>
      <c r="AE321" s="4">
        <f t="shared" si="1229"/>
        <v>139.69999999999999</v>
      </c>
      <c r="AF321" s="4">
        <f t="shared" si="1230"/>
        <v>1.0242424242424242</v>
      </c>
      <c r="AG321" s="4">
        <f t="shared" si="1231"/>
        <v>171.31289685931245</v>
      </c>
      <c r="AH321" s="4">
        <f t="shared" si="1232"/>
        <v>0.80727272727272725</v>
      </c>
      <c r="AI321" s="4">
        <v>1.25</v>
      </c>
      <c r="AJ321" s="4">
        <f t="shared" si="1154"/>
        <v>2.5</v>
      </c>
      <c r="AK321" s="38">
        <f t="shared" si="1340"/>
        <v>442.65270415755396</v>
      </c>
      <c r="AL321" s="38">
        <f t="shared" si="1264"/>
        <v>442.65270415755396</v>
      </c>
      <c r="AM321" s="38">
        <f t="shared" si="1233"/>
        <v>5.4139420559889198</v>
      </c>
      <c r="AN321" s="38">
        <f t="shared" si="1161"/>
        <v>442.65270415755384</v>
      </c>
      <c r="AO321" s="38">
        <f t="shared" si="1115"/>
        <v>1.0000000000000002</v>
      </c>
      <c r="AP321" s="38">
        <f t="shared" si="1162"/>
        <v>2.9470289745779361</v>
      </c>
      <c r="AQ321" s="4">
        <f t="shared" si="1163"/>
        <v>0</v>
      </c>
      <c r="AR321" s="4" t="e">
        <f>#REF!/G321*F321^0.5/0.19</f>
        <v>#REF!</v>
      </c>
      <c r="AS321" s="4">
        <f t="shared" si="1234"/>
        <v>1</v>
      </c>
      <c r="AT321" s="38">
        <f t="shared" si="1235"/>
        <v>1304.5103448275863</v>
      </c>
      <c r="AU321" s="4">
        <f t="shared" si="1236"/>
        <v>0.44000000000000006</v>
      </c>
      <c r="AV321" s="4" t="e">
        <f>AU321*D321*#REF!/(D321*G321/2.75/F321^0.5)</f>
        <v>#REF!</v>
      </c>
      <c r="AW321" s="4" t="e">
        <f t="shared" si="1068"/>
        <v>#REF!</v>
      </c>
      <c r="AY321" s="4">
        <f t="shared" si="1237"/>
        <v>1.5</v>
      </c>
      <c r="AZ321" s="4" t="e">
        <f>(3*#REF!+30)*AY321*F321^0.5</f>
        <v>#REF!</v>
      </c>
      <c r="BB321" s="4">
        <f t="shared" si="1238"/>
        <v>1251.1849519094269</v>
      </c>
      <c r="BC321" s="4">
        <f t="shared" si="1275"/>
        <v>0</v>
      </c>
      <c r="BD321" s="4">
        <f t="shared" si="1069"/>
        <v>0</v>
      </c>
      <c r="BL321" s="4">
        <f t="shared" si="1239"/>
        <v>62.230000000000004</v>
      </c>
      <c r="BP321" s="9"/>
      <c r="BR321" s="9"/>
      <c r="BS321" s="9"/>
      <c r="BT321" s="9">
        <f t="shared" si="1240"/>
        <v>62.230000000000004</v>
      </c>
      <c r="BU321" s="9">
        <f t="shared" si="1241"/>
        <v>126.99999999999996</v>
      </c>
      <c r="BV321" s="9">
        <f t="shared" si="1242"/>
        <v>1.7420219790042637</v>
      </c>
      <c r="BW321" s="40">
        <f t="shared" si="1343"/>
        <v>20</v>
      </c>
      <c r="BX321" s="9">
        <f t="shared" si="1243"/>
        <v>0.05</v>
      </c>
      <c r="BY321" s="9">
        <f t="shared" si="1070"/>
        <v>0.8</v>
      </c>
      <c r="BZ321" s="9">
        <f t="shared" si="1244"/>
        <v>0.99524931562137331</v>
      </c>
      <c r="CA321" s="9">
        <f t="shared" si="1245"/>
        <v>0.68</v>
      </c>
      <c r="CB321" s="9">
        <f t="shared" si="1246"/>
        <v>2.4905290095198289</v>
      </c>
      <c r="CC321" s="9">
        <f t="shared" si="1247"/>
        <v>6.2263225237995723</v>
      </c>
      <c r="CD321" s="40">
        <v>1</v>
      </c>
      <c r="CE321" s="9" t="e">
        <f>4*CC321*#REF!+60*CC321</f>
        <v>#REF!</v>
      </c>
      <c r="CG321" s="4" t="e">
        <f t="shared" si="1071"/>
        <v>#REF!</v>
      </c>
      <c r="CH321" s="4" t="e">
        <f t="shared" si="1072"/>
        <v>#REF!</v>
      </c>
      <c r="CI321" s="4" t="e">
        <f t="shared" si="1073"/>
        <v>#REF!</v>
      </c>
      <c r="CJ321" s="4" t="e">
        <f t="shared" si="1074"/>
        <v>#REF!</v>
      </c>
      <c r="CK321" s="4">
        <f t="shared" si="1075"/>
        <v>0.7840718743477787</v>
      </c>
      <c r="CL321" s="4">
        <f t="shared" si="1076"/>
        <v>0.78909154398737613</v>
      </c>
      <c r="CM321" s="4">
        <f t="shared" si="1310"/>
        <v>1.7084818805310933</v>
      </c>
      <c r="CN321" s="4">
        <f t="shared" si="1344"/>
        <v>10</v>
      </c>
      <c r="CU321" s="4" t="e">
        <f t="shared" si="1346"/>
        <v>#REF!</v>
      </c>
      <c r="CV321" s="4" t="e">
        <f t="shared" si="1347"/>
        <v>#REF!</v>
      </c>
      <c r="CW321" s="4" t="e">
        <f t="shared" si="1348"/>
        <v>#REF!</v>
      </c>
      <c r="CX321" s="4">
        <f t="shared" si="1349"/>
        <v>1.7084818805310933</v>
      </c>
      <c r="CY321" s="4">
        <f t="shared" si="1350"/>
        <v>0.7840718743477787</v>
      </c>
      <c r="CZ321" s="4">
        <f t="shared" si="1351"/>
        <v>0.78909154398737613</v>
      </c>
      <c r="DC321" s="4" t="e">
        <f>#REF!</f>
        <v>#REF!</v>
      </c>
      <c r="DF321" s="4">
        <f t="shared" si="1248"/>
        <v>1.6210612250408316E-5</v>
      </c>
      <c r="DG321" s="4">
        <f t="shared" si="1083"/>
        <v>16.131515557182595</v>
      </c>
      <c r="DH321" s="4">
        <f t="shared" si="1249"/>
        <v>0.22121939775359259</v>
      </c>
      <c r="DI321" s="4">
        <f t="shared" si="1084"/>
        <v>8.8227597567894236</v>
      </c>
      <c r="DJ321" s="4">
        <f t="shared" si="1085"/>
        <v>13.005450825815979</v>
      </c>
      <c r="DK321" s="4">
        <f t="shared" si="1250"/>
        <v>15.402422409568091</v>
      </c>
      <c r="DL321" s="38">
        <f t="shared" si="1251"/>
        <v>704.54483979924339</v>
      </c>
      <c r="DM321" s="4" t="e">
        <f t="shared" si="1086"/>
        <v>#REF!</v>
      </c>
      <c r="DN321" s="4">
        <f t="shared" si="1252"/>
        <v>2.2360679774997898</v>
      </c>
      <c r="DO321" s="4">
        <f t="shared" si="1309"/>
        <v>442.65270415755384</v>
      </c>
      <c r="DS321" s="4">
        <f t="shared" si="1253"/>
        <v>0.85</v>
      </c>
      <c r="DT321" s="4">
        <f t="shared" si="1254"/>
        <v>0.85499999999999998</v>
      </c>
      <c r="DU321" s="4">
        <f t="shared" si="1255"/>
        <v>0.77500000000000002</v>
      </c>
      <c r="DV321" s="4">
        <f t="shared" si="1087"/>
        <v>0.7</v>
      </c>
      <c r="DX321" s="4">
        <f t="shared" si="1256"/>
        <v>700.06299942340502</v>
      </c>
      <c r="DY321" s="25">
        <f t="shared" si="1146"/>
        <v>433.89299272989223</v>
      </c>
      <c r="EA321" s="4">
        <f t="shared" si="1147"/>
        <v>0.59499999999999997</v>
      </c>
      <c r="EB321" s="4">
        <f t="shared" si="1257"/>
        <v>16.131515557182595</v>
      </c>
      <c r="EE321" s="4">
        <f t="shared" si="1258"/>
        <v>56.796126628494655</v>
      </c>
      <c r="EF321" s="4">
        <f t="shared" si="1088"/>
        <v>2.2360679774997898</v>
      </c>
      <c r="EG321" s="4">
        <f t="shared" si="1259"/>
        <v>0.12718656291587582</v>
      </c>
      <c r="EJ321" s="4">
        <f t="shared" si="1089"/>
        <v>0.12718656291587582</v>
      </c>
      <c r="EK321" s="4">
        <f t="shared" si="1260"/>
        <v>0.22085022380843289</v>
      </c>
      <c r="EL321" s="4">
        <f t="shared" si="1090"/>
        <v>8.8168673889825904</v>
      </c>
      <c r="EM321" s="4">
        <f t="shared" si="1091"/>
        <v>13.003467602457354</v>
      </c>
      <c r="EN321" s="4" t="e">
        <f t="shared" si="1092"/>
        <v>#REF!</v>
      </c>
      <c r="EO321" s="4" t="e">
        <f t="shared" si="1093"/>
        <v>#REF!</v>
      </c>
      <c r="EP321" s="4" t="e">
        <f t="shared" si="1261"/>
        <v>#REF!</v>
      </c>
      <c r="EQ321" s="4" t="e">
        <f t="shared" si="1094"/>
        <v>#REF!</v>
      </c>
      <c r="ER321" s="4" t="e">
        <f t="shared" si="1262"/>
        <v>#REF!</v>
      </c>
      <c r="FA321" s="23" t="e">
        <f t="shared" si="1042"/>
        <v>#REF!</v>
      </c>
      <c r="FB321" s="23" t="e">
        <f t="shared" si="1043"/>
        <v>#REF!</v>
      </c>
      <c r="FC321" s="23">
        <f t="shared" si="1317"/>
        <v>1.8</v>
      </c>
      <c r="FD321" s="23" t="e">
        <f t="shared" si="1044"/>
        <v>#REF!</v>
      </c>
      <c r="FE321" s="23">
        <f t="shared" si="1045"/>
        <v>0.8</v>
      </c>
      <c r="FF321" s="23">
        <f t="shared" si="1046"/>
        <v>0.8</v>
      </c>
      <c r="FG321" s="23">
        <f t="shared" si="1266"/>
        <v>1</v>
      </c>
      <c r="FH321" s="23"/>
      <c r="FR321" s="4">
        <f t="shared" si="1122"/>
        <v>1.25</v>
      </c>
      <c r="FS321" s="4">
        <f t="shared" si="1123"/>
        <v>0.44</v>
      </c>
      <c r="FT321" s="4">
        <f t="shared" si="1124"/>
        <v>0.3</v>
      </c>
      <c r="FU321" s="4">
        <f t="shared" si="1125"/>
        <v>323.33605606149399</v>
      </c>
    </row>
    <row r="322" spans="2:177" ht="12" customHeight="1" x14ac:dyDescent="0.3">
      <c r="B322" s="24"/>
      <c r="C322" s="7" t="s">
        <v>460</v>
      </c>
      <c r="D322" s="38">
        <f t="shared" ref="D322:D323" si="1356">115.9/0.145</f>
        <v>799.31034482758628</v>
      </c>
      <c r="E322" s="38">
        <f>5.63*25.4</f>
        <v>143.00199999999998</v>
      </c>
      <c r="F322" s="38">
        <f t="shared" si="1338"/>
        <v>110.55172413793103</v>
      </c>
      <c r="G322" s="38">
        <f t="shared" si="1341"/>
        <v>25.4</v>
      </c>
      <c r="H322" s="38">
        <f>16.8*25.4</f>
        <v>426.71999999999997</v>
      </c>
      <c r="I322" s="38">
        <f>2.35*25.4</f>
        <v>59.69</v>
      </c>
      <c r="J322" s="39">
        <f>3.15*25.4</f>
        <v>80.009999999999991</v>
      </c>
      <c r="K322" s="7">
        <f t="shared" si="1339"/>
        <v>256.53999999999996</v>
      </c>
      <c r="L322" s="38">
        <v>2</v>
      </c>
      <c r="M322" s="4">
        <f t="shared" ref="M322:M377" si="1357">10.25*25.4</f>
        <v>260.34999999999997</v>
      </c>
      <c r="N322" s="7">
        <f t="shared" si="1224"/>
        <v>2.85</v>
      </c>
      <c r="O322" s="7">
        <f t="shared" si="1225"/>
        <v>2.85</v>
      </c>
      <c r="P322" s="38">
        <v>9.5</v>
      </c>
      <c r="Q322" s="4">
        <f t="shared" si="1342"/>
        <v>9.5</v>
      </c>
      <c r="R322" s="4">
        <f t="shared" si="1226"/>
        <v>10.5</v>
      </c>
      <c r="S322" s="7">
        <f t="shared" si="1227"/>
        <v>82.305406869779816</v>
      </c>
      <c r="V322" s="38">
        <f t="shared" si="1054"/>
        <v>661.37931034482767</v>
      </c>
      <c r="W322" s="4">
        <v>95.9</v>
      </c>
      <c r="X322" s="4">
        <f t="shared" si="1228"/>
        <v>0.98409766607899973</v>
      </c>
      <c r="Y322" s="38">
        <f t="shared" si="1353"/>
        <v>12.7</v>
      </c>
      <c r="Z322" s="38">
        <v>10</v>
      </c>
      <c r="AA322" s="39">
        <f t="shared" si="1354"/>
        <v>76.199999999999989</v>
      </c>
      <c r="AB322" s="39">
        <v>3</v>
      </c>
      <c r="AC322" s="39">
        <f t="shared" si="1355"/>
        <v>2</v>
      </c>
      <c r="AD322" s="7"/>
      <c r="AE322" s="4">
        <f t="shared" si="1229"/>
        <v>143.00199999999998</v>
      </c>
      <c r="AF322" s="4">
        <f t="shared" si="1230"/>
        <v>0.99467140319715819</v>
      </c>
      <c r="AG322" s="4">
        <f t="shared" si="1231"/>
        <v>177.42246835851654</v>
      </c>
      <c r="AH322" s="4">
        <f t="shared" si="1232"/>
        <v>0.80124333925399638</v>
      </c>
      <c r="AI322" s="4">
        <v>1.25</v>
      </c>
      <c r="AJ322" s="4">
        <f t="shared" si="1154"/>
        <v>2.5</v>
      </c>
      <c r="AK322" s="38">
        <f t="shared" si="1340"/>
        <v>441.87832906032429</v>
      </c>
      <c r="AL322" s="38">
        <f t="shared" si="1264"/>
        <v>441.87832906032429</v>
      </c>
      <c r="AM322" s="38">
        <f t="shared" si="1233"/>
        <v>5.4139420559889198</v>
      </c>
      <c r="AN322" s="38">
        <f t="shared" si="1161"/>
        <v>441.87832906032429</v>
      </c>
      <c r="AO322" s="38">
        <f t="shared" si="1115"/>
        <v>1</v>
      </c>
      <c r="AP322" s="38">
        <f t="shared" si="1162"/>
        <v>4.3954108445772917</v>
      </c>
      <c r="AQ322" s="4">
        <f t="shared" si="1163"/>
        <v>0</v>
      </c>
      <c r="AR322" s="4" t="e">
        <f>#REF!/G322*F322^0.5/0.19</f>
        <v>#REF!</v>
      </c>
      <c r="AS322" s="4">
        <f t="shared" si="1234"/>
        <v>1</v>
      </c>
      <c r="AT322" s="38">
        <f t="shared" si="1235"/>
        <v>1942.2367995354425</v>
      </c>
      <c r="AU322" s="4">
        <f t="shared" si="1236"/>
        <v>0.3</v>
      </c>
      <c r="AV322" s="4" t="e">
        <f>AU322*D322*#REF!/(D322*G322/2.75/F322^0.5)</f>
        <v>#REF!</v>
      </c>
      <c r="AW322" s="4" t="e">
        <f t="shared" si="1068"/>
        <v>#REF!</v>
      </c>
      <c r="AY322" s="4">
        <f t="shared" si="1237"/>
        <v>1.5</v>
      </c>
      <c r="AZ322" s="4" t="e">
        <f>(3*#REF!+30)*AY322*F322^0.5</f>
        <v>#REF!</v>
      </c>
      <c r="BB322" s="4">
        <f t="shared" si="1238"/>
        <v>1862.842610837748</v>
      </c>
      <c r="BC322" s="4">
        <f t="shared" si="1275"/>
        <v>0</v>
      </c>
      <c r="BD322" s="4">
        <f t="shared" si="1069"/>
        <v>0</v>
      </c>
      <c r="BL322" s="4">
        <f t="shared" si="1239"/>
        <v>59.69</v>
      </c>
      <c r="BP322" s="9"/>
      <c r="BR322" s="9"/>
      <c r="BS322" s="9"/>
      <c r="BT322" s="9">
        <f t="shared" si="1240"/>
        <v>59.69</v>
      </c>
      <c r="BU322" s="9">
        <f t="shared" si="1241"/>
        <v>128.26999999999998</v>
      </c>
      <c r="BV322" s="9">
        <f t="shared" si="1242"/>
        <v>1.7193625322570376</v>
      </c>
      <c r="BW322" s="40">
        <f t="shared" si="1343"/>
        <v>20</v>
      </c>
      <c r="BX322" s="9">
        <f t="shared" si="1243"/>
        <v>0.05</v>
      </c>
      <c r="BY322" s="9">
        <f t="shared" si="1070"/>
        <v>0.8</v>
      </c>
      <c r="BZ322" s="9">
        <f t="shared" si="1244"/>
        <v>0.99524931562137331</v>
      </c>
      <c r="CA322" s="9">
        <f t="shared" si="1245"/>
        <v>0.68048275862068963</v>
      </c>
      <c r="CB322" s="9">
        <f t="shared" si="1246"/>
        <v>2.4922971335630986</v>
      </c>
      <c r="CC322" s="9">
        <f t="shared" si="1247"/>
        <v>6.2307428339077466</v>
      </c>
      <c r="CD322" s="40">
        <v>1</v>
      </c>
      <c r="CE322" s="9" t="e">
        <f>4*CC322*#REF!+60*CC322</f>
        <v>#REF!</v>
      </c>
      <c r="CG322" s="4" t="e">
        <f t="shared" si="1071"/>
        <v>#REF!</v>
      </c>
      <c r="CH322" s="4" t="e">
        <f t="shared" si="1072"/>
        <v>#REF!</v>
      </c>
      <c r="CI322" s="4" t="e">
        <f t="shared" si="1073"/>
        <v>#REF!</v>
      </c>
      <c r="CJ322" s="4" t="e">
        <f t="shared" si="1074"/>
        <v>#REF!</v>
      </c>
      <c r="CK322" s="4">
        <f t="shared" si="1075"/>
        <v>0.98409766607899973</v>
      </c>
      <c r="CL322" s="4">
        <f t="shared" si="1076"/>
        <v>0.93712665612600687</v>
      </c>
      <c r="CM322" s="4">
        <f t="shared" si="1310"/>
        <v>1.9886149364652124</v>
      </c>
      <c r="CN322" s="4">
        <f t="shared" si="1344"/>
        <v>10</v>
      </c>
      <c r="CU322" s="4" t="e">
        <f t="shared" si="1346"/>
        <v>#REF!</v>
      </c>
      <c r="CV322" s="4" t="e">
        <f t="shared" si="1347"/>
        <v>#REF!</v>
      </c>
      <c r="CW322" s="4" t="e">
        <f t="shared" si="1348"/>
        <v>#REF!</v>
      </c>
      <c r="CX322" s="4">
        <f t="shared" si="1349"/>
        <v>1.9886149364652124</v>
      </c>
      <c r="CY322" s="4">
        <f t="shared" si="1350"/>
        <v>0.98409766607899973</v>
      </c>
      <c r="CZ322" s="4">
        <f t="shared" si="1351"/>
        <v>0.93712665612600687</v>
      </c>
      <c r="DC322" s="4" t="e">
        <f>#REF!</f>
        <v>#REF!</v>
      </c>
      <c r="DF322" s="4">
        <f t="shared" si="1248"/>
        <v>1.6593772176327059E-5</v>
      </c>
      <c r="DG322" s="4">
        <f t="shared" si="1083"/>
        <v>16.131515557182595</v>
      </c>
      <c r="DH322" s="4">
        <f t="shared" si="1249"/>
        <v>0.13474380914487016</v>
      </c>
      <c r="DI322" s="4">
        <f t="shared" si="1084"/>
        <v>7.2356691320008064</v>
      </c>
      <c r="DJ322" s="4">
        <f t="shared" si="1085"/>
        <v>12.512028309248651</v>
      </c>
      <c r="DK322" s="4">
        <f t="shared" si="1250"/>
        <v>15.497279605289791</v>
      </c>
      <c r="DL322" s="38">
        <f t="shared" si="1251"/>
        <v>672.06674006249966</v>
      </c>
      <c r="DM322" s="4" t="e">
        <f t="shared" si="1086"/>
        <v>#REF!</v>
      </c>
      <c r="DN322" s="4">
        <f t="shared" si="1252"/>
        <v>3.2403703492039297</v>
      </c>
      <c r="DO322" s="4">
        <f t="shared" si="1309"/>
        <v>441.87832906032429</v>
      </c>
      <c r="DS322" s="4">
        <f t="shared" si="1253"/>
        <v>0.85</v>
      </c>
      <c r="DT322" s="4">
        <f t="shared" si="1254"/>
        <v>0.86499999999999999</v>
      </c>
      <c r="DU322" s="4">
        <f t="shared" si="1255"/>
        <v>0.77500000000000002</v>
      </c>
      <c r="DV322" s="4">
        <f t="shared" si="1087"/>
        <v>0.7</v>
      </c>
      <c r="DX322" s="4">
        <f t="shared" si="1256"/>
        <v>705.75231855948618</v>
      </c>
      <c r="DY322" s="25">
        <f t="shared" si="1146"/>
        <v>433.29102079867221</v>
      </c>
      <c r="EA322" s="4">
        <f t="shared" si="1147"/>
        <v>0.59499999999999997</v>
      </c>
      <c r="EB322" s="4">
        <f t="shared" si="1257"/>
        <v>16.131515557182595</v>
      </c>
      <c r="EE322" s="4">
        <f t="shared" si="1258"/>
        <v>82.305406869779816</v>
      </c>
      <c r="EF322" s="4">
        <f t="shared" si="1088"/>
        <v>3.2403703492039302</v>
      </c>
      <c r="EG322" s="4">
        <f t="shared" si="1259"/>
        <v>7.7468803067702416E-2</v>
      </c>
      <c r="EJ322" s="4">
        <f t="shared" si="1089"/>
        <v>7.7468803067702416E-2</v>
      </c>
      <c r="EK322" s="4">
        <f t="shared" si="1260"/>
        <v>0.1345189468402396</v>
      </c>
      <c r="EL322" s="4">
        <f t="shared" si="1090"/>
        <v>7.2308367184443254</v>
      </c>
      <c r="EM322" s="4">
        <f t="shared" si="1091"/>
        <v>12.510656820521772</v>
      </c>
      <c r="EN322" s="4" t="e">
        <f t="shared" si="1092"/>
        <v>#REF!</v>
      </c>
      <c r="EO322" s="4" t="e">
        <f t="shared" si="1093"/>
        <v>#REF!</v>
      </c>
      <c r="EP322" s="4" t="e">
        <f t="shared" si="1261"/>
        <v>#REF!</v>
      </c>
      <c r="EQ322" s="4" t="e">
        <f t="shared" si="1094"/>
        <v>#REF!</v>
      </c>
      <c r="ER322" s="4" t="e">
        <f t="shared" si="1262"/>
        <v>#REF!</v>
      </c>
      <c r="FA322" s="23" t="e">
        <f t="shared" si="1042"/>
        <v>#REF!</v>
      </c>
      <c r="FB322" s="23" t="e">
        <f t="shared" si="1043"/>
        <v>#REF!</v>
      </c>
      <c r="FC322" s="23">
        <f t="shared" si="1317"/>
        <v>2</v>
      </c>
      <c r="FD322" s="23" t="e">
        <f t="shared" si="1044"/>
        <v>#REF!</v>
      </c>
      <c r="FE322" s="23">
        <f t="shared" si="1045"/>
        <v>1</v>
      </c>
      <c r="FF322" s="23">
        <f t="shared" si="1046"/>
        <v>1</v>
      </c>
      <c r="FG322" s="23">
        <f t="shared" si="1266"/>
        <v>0</v>
      </c>
      <c r="FH322" s="23"/>
      <c r="FR322" s="4">
        <f t="shared" si="1122"/>
        <v>1.25</v>
      </c>
      <c r="FS322" s="4">
        <f t="shared" si="1123"/>
        <v>0.43787748058671272</v>
      </c>
      <c r="FT322" s="4">
        <f t="shared" si="1124"/>
        <v>0.3</v>
      </c>
      <c r="FU322" s="4">
        <f t="shared" si="1125"/>
        <v>332.58289386100938</v>
      </c>
    </row>
    <row r="323" spans="2:177" ht="12" customHeight="1" x14ac:dyDescent="0.3">
      <c r="B323" s="24"/>
      <c r="C323" s="7" t="s">
        <v>461</v>
      </c>
      <c r="D323" s="38">
        <f t="shared" si="1356"/>
        <v>799.31034482758628</v>
      </c>
      <c r="E323" s="38">
        <f>5.5*25.4</f>
        <v>139.69999999999999</v>
      </c>
      <c r="F323" s="38">
        <f t="shared" si="1338"/>
        <v>110.55172413793103</v>
      </c>
      <c r="G323" s="38">
        <f t="shared" si="1341"/>
        <v>25.4</v>
      </c>
      <c r="H323" s="38">
        <f>17*25.4</f>
        <v>431.79999999999995</v>
      </c>
      <c r="I323" s="38">
        <f t="shared" si="1345"/>
        <v>63.5</v>
      </c>
      <c r="J323" s="39">
        <f>3.8*25.4</f>
        <v>96.52</v>
      </c>
      <c r="K323" s="7">
        <f t="shared" si="1339"/>
        <v>253.99999999999994</v>
      </c>
      <c r="L323" s="38">
        <v>2</v>
      </c>
      <c r="M323" s="4">
        <f t="shared" si="1357"/>
        <v>260.34999999999997</v>
      </c>
      <c r="N323" s="7">
        <f t="shared" si="1224"/>
        <v>3</v>
      </c>
      <c r="O323" s="7">
        <f t="shared" si="1225"/>
        <v>3</v>
      </c>
      <c r="P323" s="38">
        <v>14.9</v>
      </c>
      <c r="Q323" s="4">
        <f t="shared" si="1342"/>
        <v>14.9</v>
      </c>
      <c r="R323" s="4">
        <f t="shared" si="1226"/>
        <v>15.9</v>
      </c>
      <c r="S323" s="7">
        <f t="shared" si="1227"/>
        <v>101.28200234987457</v>
      </c>
      <c r="V323" s="38">
        <f t="shared" si="1054"/>
        <v>710.34482758620697</v>
      </c>
      <c r="W323" s="4">
        <v>103</v>
      </c>
      <c r="X323" s="4">
        <f t="shared" si="1228"/>
        <v>1.1028377286200142</v>
      </c>
      <c r="Y323" s="38">
        <f t="shared" si="1353"/>
        <v>12.7</v>
      </c>
      <c r="Z323" s="38">
        <v>10</v>
      </c>
      <c r="AA323" s="39">
        <f t="shared" si="1354"/>
        <v>76.199999999999989</v>
      </c>
      <c r="AB323" s="39">
        <v>3</v>
      </c>
      <c r="AC323" s="39">
        <f t="shared" si="1355"/>
        <v>2</v>
      </c>
      <c r="AD323" s="7"/>
      <c r="AE323" s="4">
        <f t="shared" si="1229"/>
        <v>139.69999999999999</v>
      </c>
      <c r="AF323" s="4">
        <f t="shared" si="1230"/>
        <v>1.0303030303030303</v>
      </c>
      <c r="AG323" s="4">
        <f t="shared" si="1231"/>
        <v>171.31289685931245</v>
      </c>
      <c r="AH323" s="4">
        <f t="shared" si="1232"/>
        <v>0.80909090909090908</v>
      </c>
      <c r="AI323" s="4">
        <v>1.25</v>
      </c>
      <c r="AJ323" s="4">
        <f t="shared" si="1154"/>
        <v>2.5</v>
      </c>
      <c r="AK323" s="38">
        <f t="shared" si="1340"/>
        <v>446.27481568205872</v>
      </c>
      <c r="AL323" s="38">
        <f t="shared" si="1264"/>
        <v>446.27481568205872</v>
      </c>
      <c r="AM323" s="38">
        <f t="shared" si="1233"/>
        <v>5.4139420559889198</v>
      </c>
      <c r="AN323" s="38">
        <f t="shared" si="1161"/>
        <v>446.2748156820586</v>
      </c>
      <c r="AO323" s="38">
        <f t="shared" si="1115"/>
        <v>1.0000000000000002</v>
      </c>
      <c r="AP323" s="38">
        <f t="shared" si="1162"/>
        <v>5.7372995500592916</v>
      </c>
      <c r="AQ323" s="4">
        <f t="shared" si="1163"/>
        <v>0</v>
      </c>
      <c r="AR323" s="4" t="e">
        <f>#REF!/G323*F323^0.5/0.19</f>
        <v>#REF!</v>
      </c>
      <c r="AS323" s="4">
        <f t="shared" si="1234"/>
        <v>1</v>
      </c>
      <c r="AT323" s="38">
        <f t="shared" si="1235"/>
        <v>2560.412299215468</v>
      </c>
      <c r="AU323" s="4">
        <f t="shared" si="1236"/>
        <v>0.3</v>
      </c>
      <c r="AV323" s="4" t="e">
        <f>AU323*D323*#REF!/(D323*G323/2.75/F323^0.5)</f>
        <v>#REF!</v>
      </c>
      <c r="AW323" s="4" t="e">
        <f t="shared" si="1068"/>
        <v>#REF!</v>
      </c>
      <c r="AY323" s="4">
        <f t="shared" si="1237"/>
        <v>1.5</v>
      </c>
      <c r="AZ323" s="4" t="e">
        <f>(3*#REF!+30)*AY323*F323^0.5</f>
        <v>#REF!</v>
      </c>
      <c r="BB323" s="4">
        <f t="shared" si="1238"/>
        <v>2455.7485129683778</v>
      </c>
      <c r="BC323" s="4">
        <f t="shared" si="1275"/>
        <v>0</v>
      </c>
      <c r="BD323" s="4">
        <f t="shared" si="1069"/>
        <v>0</v>
      </c>
      <c r="BL323" s="4">
        <f t="shared" si="1239"/>
        <v>63.5</v>
      </c>
      <c r="BP323" s="9"/>
      <c r="BR323" s="9"/>
      <c r="BS323" s="9"/>
      <c r="BT323" s="9">
        <f t="shared" si="1240"/>
        <v>63.5</v>
      </c>
      <c r="BU323" s="9">
        <f t="shared" si="1241"/>
        <v>126.99999999999997</v>
      </c>
      <c r="BV323" s="9">
        <f t="shared" si="1242"/>
        <v>1.7543833769624846</v>
      </c>
      <c r="BW323" s="40">
        <f t="shared" si="1343"/>
        <v>20</v>
      </c>
      <c r="BX323" s="9">
        <f t="shared" si="1243"/>
        <v>0.05</v>
      </c>
      <c r="BY323" s="9">
        <f t="shared" si="1070"/>
        <v>0.8</v>
      </c>
      <c r="BZ323" s="9">
        <f t="shared" si="1244"/>
        <v>0.99524931562137331</v>
      </c>
      <c r="CA323" s="9">
        <f t="shared" si="1245"/>
        <v>0.68048275862068963</v>
      </c>
      <c r="CB323" s="9">
        <f t="shared" si="1246"/>
        <v>2.4922971335630986</v>
      </c>
      <c r="CC323" s="9">
        <f t="shared" si="1247"/>
        <v>6.2307428339077466</v>
      </c>
      <c r="CD323" s="40">
        <v>1</v>
      </c>
      <c r="CE323" s="9" t="e">
        <f>4*CC323*#REF!+60*CC323</f>
        <v>#REF!</v>
      </c>
      <c r="CG323" s="4" t="e">
        <f t="shared" si="1071"/>
        <v>#REF!</v>
      </c>
      <c r="CH323" s="4" t="e">
        <f t="shared" si="1072"/>
        <v>#REF!</v>
      </c>
      <c r="CI323" s="4" t="e">
        <f t="shared" si="1073"/>
        <v>#REF!</v>
      </c>
      <c r="CJ323" s="4" t="e">
        <f t="shared" si="1074"/>
        <v>#REF!</v>
      </c>
      <c r="CK323" s="4">
        <f t="shared" si="1075"/>
        <v>1.1028377286200142</v>
      </c>
      <c r="CL323" s="4">
        <f t="shared" si="1076"/>
        <v>1.0095343957325076</v>
      </c>
      <c r="CM323" s="4">
        <f t="shared" si="1310"/>
        <v>1.7490612046742806</v>
      </c>
      <c r="CN323" s="4">
        <f t="shared" si="1344"/>
        <v>10</v>
      </c>
      <c r="CU323" s="4" t="e">
        <f t="shared" si="1346"/>
        <v>#REF!</v>
      </c>
      <c r="CV323" s="4" t="e">
        <f t="shared" si="1347"/>
        <v>#REF!</v>
      </c>
      <c r="CW323" s="4" t="e">
        <f t="shared" si="1348"/>
        <v>#REF!</v>
      </c>
      <c r="CX323" s="4">
        <f t="shared" si="1349"/>
        <v>1.7490612046742806</v>
      </c>
      <c r="CY323" s="4">
        <f t="shared" si="1350"/>
        <v>1.1028377286200142</v>
      </c>
      <c r="CZ323" s="4">
        <f t="shared" si="1351"/>
        <v>1.0095343957325076</v>
      </c>
      <c r="DC323" s="4" t="e">
        <f>#REF!</f>
        <v>#REF!</v>
      </c>
      <c r="DF323" s="4">
        <f t="shared" si="1248"/>
        <v>1.6210612250408316E-5</v>
      </c>
      <c r="DG323" s="4">
        <f t="shared" si="1083"/>
        <v>16.131515557182595</v>
      </c>
      <c r="DH323" s="4">
        <f t="shared" si="1249"/>
        <v>0.10677012378057389</v>
      </c>
      <c r="DI323" s="4">
        <f t="shared" si="1084"/>
        <v>6.5925748569216696</v>
      </c>
      <c r="DJ323" s="4">
        <f t="shared" si="1085"/>
        <v>12.336950218853458</v>
      </c>
      <c r="DK323" s="4">
        <f t="shared" si="1250"/>
        <v>15.617133098683848</v>
      </c>
      <c r="DL323" s="38">
        <f t="shared" si="1251"/>
        <v>644.10638950035263</v>
      </c>
      <c r="DM323" s="4" t="e">
        <f t="shared" si="1086"/>
        <v>#REF!</v>
      </c>
      <c r="DN323" s="4">
        <f t="shared" si="1252"/>
        <v>3.9874804074753771</v>
      </c>
      <c r="DO323" s="4">
        <f t="shared" si="1309"/>
        <v>446.2748156820586</v>
      </c>
      <c r="DS323" s="4">
        <f t="shared" si="1253"/>
        <v>0.85</v>
      </c>
      <c r="DT323" s="4">
        <f t="shared" si="1254"/>
        <v>0.85</v>
      </c>
      <c r="DU323" s="4">
        <f t="shared" si="1255"/>
        <v>0.77500000000000002</v>
      </c>
      <c r="DV323" s="4">
        <f t="shared" si="1087"/>
        <v>0.7</v>
      </c>
      <c r="DX323" s="4">
        <f t="shared" si="1256"/>
        <v>703.63608272186525</v>
      </c>
      <c r="DY323" s="25">
        <f t="shared" si="1146"/>
        <v>437.46607602835246</v>
      </c>
      <c r="EA323" s="4">
        <f t="shared" si="1147"/>
        <v>0.59499999999999997</v>
      </c>
      <c r="EB323" s="4">
        <f t="shared" si="1257"/>
        <v>16.131515557182595</v>
      </c>
      <c r="EE323" s="4">
        <f t="shared" si="1258"/>
        <v>101.28200234987457</v>
      </c>
      <c r="EF323" s="4">
        <f t="shared" si="1088"/>
        <v>3.9874804074753771</v>
      </c>
      <c r="EG323" s="4">
        <f t="shared" si="1259"/>
        <v>6.1385779021420728E-2</v>
      </c>
      <c r="EJ323" s="4">
        <f t="shared" si="1089"/>
        <v>6.1385779021420728E-2</v>
      </c>
      <c r="EK323" s="4">
        <f t="shared" si="1260"/>
        <v>0.10659194434323012</v>
      </c>
      <c r="EL323" s="4">
        <f t="shared" si="1090"/>
        <v>6.5881719402695227</v>
      </c>
      <c r="EM323" s="4">
        <f t="shared" si="1091"/>
        <v>12.335804133643581</v>
      </c>
      <c r="EN323" s="4" t="e">
        <f t="shared" si="1092"/>
        <v>#REF!</v>
      </c>
      <c r="EO323" s="4" t="e">
        <f t="shared" si="1093"/>
        <v>#REF!</v>
      </c>
      <c r="EP323" s="4" t="e">
        <f t="shared" si="1261"/>
        <v>#REF!</v>
      </c>
      <c r="EQ323" s="4" t="e">
        <f t="shared" si="1094"/>
        <v>#REF!</v>
      </c>
      <c r="ER323" s="4" t="e">
        <f t="shared" si="1262"/>
        <v>#REF!</v>
      </c>
      <c r="FA323" s="23" t="e">
        <f t="shared" si="1042"/>
        <v>#REF!</v>
      </c>
      <c r="FB323" s="23" t="e">
        <f t="shared" si="1043"/>
        <v>#REF!</v>
      </c>
      <c r="FC323" s="23">
        <f t="shared" si="1317"/>
        <v>1.8</v>
      </c>
      <c r="FD323" s="23" t="e">
        <f t="shared" si="1044"/>
        <v>#REF!</v>
      </c>
      <c r="FE323" s="23">
        <f t="shared" si="1045"/>
        <v>1.2</v>
      </c>
      <c r="FF323" s="23">
        <f t="shared" si="1046"/>
        <v>1.2</v>
      </c>
      <c r="FG323" s="23">
        <f t="shared" si="1266"/>
        <v>0</v>
      </c>
      <c r="FH323" s="23"/>
      <c r="FR323" s="4">
        <f t="shared" si="1122"/>
        <v>1</v>
      </c>
      <c r="FS323" s="4">
        <f t="shared" si="1123"/>
        <v>0.43787748058671272</v>
      </c>
      <c r="FT323" s="4">
        <f t="shared" si="1124"/>
        <v>0.3</v>
      </c>
      <c r="FU323" s="4">
        <f t="shared" si="1125"/>
        <v>406.12919987467853</v>
      </c>
    </row>
    <row r="324" spans="2:177" ht="12" customHeight="1" x14ac:dyDescent="0.3">
      <c r="B324" s="24" t="s">
        <v>462</v>
      </c>
      <c r="C324" s="7" t="s">
        <v>463</v>
      </c>
      <c r="D324" s="38">
        <f>120/0.145</f>
        <v>827.58620689655174</v>
      </c>
      <c r="E324" s="38">
        <f>9.38*25.4</f>
        <v>238.25200000000001</v>
      </c>
      <c r="F324" s="38">
        <f>9040/145</f>
        <v>62.344827586206897</v>
      </c>
      <c r="G324" s="38">
        <f t="shared" si="1341"/>
        <v>25.4</v>
      </c>
      <c r="H324" s="38">
        <f t="shared" ref="H324:H325" si="1358">17*25.4</f>
        <v>431.79999999999995</v>
      </c>
      <c r="I324" s="38">
        <f>2.5*25.4</f>
        <v>63.5</v>
      </c>
      <c r="J324" s="39">
        <f>3.4*25.4</f>
        <v>86.36</v>
      </c>
      <c r="K324" s="7">
        <f t="shared" si="1339"/>
        <v>253.99999999999994</v>
      </c>
      <c r="L324" s="38">
        <v>2</v>
      </c>
      <c r="M324" s="4">
        <f t="shared" si="1357"/>
        <v>260.34999999999997</v>
      </c>
      <c r="N324" s="7">
        <f t="shared" si="1224"/>
        <v>3</v>
      </c>
      <c r="O324" s="7">
        <f t="shared" si="1225"/>
        <v>3</v>
      </c>
      <c r="P324" s="38">
        <v>9.5</v>
      </c>
      <c r="Q324" s="4">
        <f t="shared" si="1342"/>
        <v>9.5</v>
      </c>
      <c r="R324" s="4">
        <f t="shared" si="1226"/>
        <v>10.5</v>
      </c>
      <c r="S324" s="7">
        <f t="shared" si="1227"/>
        <v>82.305406869779816</v>
      </c>
      <c r="V324" s="38">
        <f t="shared" si="1054"/>
        <v>568.9655172413793</v>
      </c>
      <c r="W324" s="4">
        <v>82.5</v>
      </c>
      <c r="X324" s="4">
        <f t="shared" si="1228"/>
        <v>0.81958454427477145</v>
      </c>
      <c r="Y324" s="38"/>
      <c r="Z324" s="38"/>
      <c r="AA324" s="39">
        <v>1</v>
      </c>
      <c r="AB324" s="39"/>
      <c r="AC324" s="39"/>
      <c r="AD324" s="7"/>
      <c r="AE324" s="4">
        <f t="shared" si="1229"/>
        <v>238.25200000000001</v>
      </c>
      <c r="AF324" s="4">
        <f t="shared" si="1230"/>
        <v>0.60412224591329067</v>
      </c>
      <c r="AG324" s="4">
        <f t="shared" si="1231"/>
        <v>286.52844070443393</v>
      </c>
      <c r="AH324" s="4">
        <f t="shared" si="1232"/>
        <v>0.76396588486140726</v>
      </c>
      <c r="AI324" s="4">
        <v>1.25</v>
      </c>
      <c r="AJ324" s="4">
        <f t="shared" si="1154"/>
        <v>2.5</v>
      </c>
      <c r="AK324" s="38">
        <f t="shared" si="1340"/>
        <v>413.25351074896452</v>
      </c>
      <c r="AL324" s="38">
        <f t="shared" si="1264"/>
        <v>413.25351074896452</v>
      </c>
      <c r="AM324" s="38">
        <f t="shared" si="1233"/>
        <v>4.4175343619879603</v>
      </c>
      <c r="AN324" s="38">
        <f t="shared" si="1161"/>
        <v>413.25351074896435</v>
      </c>
      <c r="AO324" s="38">
        <f t="shared" si="1115"/>
        <v>1.0000000000000004</v>
      </c>
      <c r="AP324" s="38">
        <f t="shared" si="1162"/>
        <v>2.7899532721832792</v>
      </c>
      <c r="AQ324" s="4">
        <f t="shared" si="1163"/>
        <v>0</v>
      </c>
      <c r="AR324" s="4" t="e">
        <f>#REF!/G324*F324^0.5/0.19</f>
        <v>#REF!</v>
      </c>
      <c r="AS324" s="4">
        <f t="shared" si="1234"/>
        <v>1</v>
      </c>
      <c r="AT324" s="38">
        <f t="shared" si="1235"/>
        <v>1152.957984555301</v>
      </c>
      <c r="AU324" s="4">
        <f t="shared" si="1236"/>
        <v>0.3</v>
      </c>
      <c r="AV324" s="4" t="e">
        <f>AU324*D324*#REF!/(D324*G324/2.75/F324^0.5)</f>
        <v>#REF!</v>
      </c>
      <c r="AW324" s="4" t="e">
        <f t="shared" si="1068"/>
        <v>#REF!</v>
      </c>
      <c r="AY324" s="4">
        <f t="shared" si="1237"/>
        <v>1.375</v>
      </c>
      <c r="AZ324" s="4" t="e">
        <f>(3*#REF!+30)*AY324*F324^0.5</f>
        <v>#REF!</v>
      </c>
      <c r="BB324" s="4">
        <f t="shared" si="1238"/>
        <v>1105.8277047623367</v>
      </c>
      <c r="BC324" s="4">
        <f t="shared" si="1275"/>
        <v>0</v>
      </c>
      <c r="BD324" s="4">
        <f t="shared" si="1069"/>
        <v>0</v>
      </c>
      <c r="BL324" s="4">
        <f t="shared" si="1239"/>
        <v>63.5</v>
      </c>
      <c r="BP324" s="9"/>
      <c r="BR324" s="9"/>
      <c r="BS324" s="9"/>
      <c r="BT324" s="9">
        <f t="shared" si="1240"/>
        <v>63.5</v>
      </c>
      <c r="BU324" s="9">
        <f t="shared" si="1241"/>
        <v>126.99999999999997</v>
      </c>
      <c r="BV324" s="9">
        <f t="shared" si="1242"/>
        <v>1.7543833769624846</v>
      </c>
      <c r="BW324" s="40">
        <f t="shared" si="1343"/>
        <v>0</v>
      </c>
      <c r="BX324" s="9">
        <f t="shared" si="1243"/>
        <v>0</v>
      </c>
      <c r="BY324" s="9">
        <f t="shared" si="1070"/>
        <v>0</v>
      </c>
      <c r="BZ324" s="9">
        <f t="shared" si="1244"/>
        <v>0.99524931562137331</v>
      </c>
      <c r="CA324" s="9">
        <f t="shared" si="1245"/>
        <v>0.68</v>
      </c>
      <c r="CB324" s="9">
        <f t="shared" si="1246"/>
        <v>1.8702904607807274</v>
      </c>
      <c r="CC324" s="9">
        <f t="shared" si="1247"/>
        <v>3.2812064944852137</v>
      </c>
      <c r="CD324" s="40">
        <v>1</v>
      </c>
      <c r="CE324" s="9" t="e">
        <f>4*CC324*#REF!+60*CC324</f>
        <v>#REF!</v>
      </c>
      <c r="CG324" s="4" t="e">
        <f t="shared" si="1071"/>
        <v>#REF!</v>
      </c>
      <c r="CH324" s="4" t="e">
        <f t="shared" si="1072"/>
        <v>#REF!</v>
      </c>
      <c r="CI324" s="4" t="e">
        <f t="shared" si="1073"/>
        <v>#REF!</v>
      </c>
      <c r="CJ324" s="4" t="e">
        <f t="shared" si="1074"/>
        <v>#REF!</v>
      </c>
      <c r="CK324" s="4">
        <f t="shared" si="1075"/>
        <v>0.81958454427477145</v>
      </c>
      <c r="CL324" s="4">
        <f t="shared" si="1076"/>
        <v>0.82535245957938552</v>
      </c>
      <c r="CM324" s="4">
        <f t="shared" si="1310"/>
        <v>1.0824061436066807</v>
      </c>
      <c r="CN324" s="4">
        <f t="shared" si="1344"/>
        <v>0</v>
      </c>
      <c r="CO324" s="4" t="e">
        <f t="shared" ref="CO324" si="1359">CG324</f>
        <v>#REF!</v>
      </c>
      <c r="CP324" s="4" t="e">
        <f t="shared" ref="CP324" si="1360">CH324</f>
        <v>#REF!</v>
      </c>
      <c r="CQ324" s="4" t="e">
        <f t="shared" ref="CQ324" si="1361">CJ324</f>
        <v>#REF!</v>
      </c>
      <c r="CR324" s="4">
        <f t="shared" ref="CR324" si="1362">CM324</f>
        <v>1.0824061436066807</v>
      </c>
      <c r="CS324" s="4">
        <f t="shared" ref="CS324" si="1363">CK324</f>
        <v>0.81958454427477145</v>
      </c>
      <c r="CT324" s="4">
        <f t="shared" ref="CT324" si="1364">CL324</f>
        <v>0.82535245957938552</v>
      </c>
      <c r="DC324" s="4" t="e">
        <f>#REF!</f>
        <v>#REF!</v>
      </c>
      <c r="DF324" s="4">
        <f t="shared" si="1248"/>
        <v>2.0659876811674702E-5</v>
      </c>
      <c r="DG324" s="4">
        <f t="shared" si="1083"/>
        <v>9.9763514377618598</v>
      </c>
      <c r="DH324" s="4">
        <f t="shared" si="1249"/>
        <v>0.22345380848450982</v>
      </c>
      <c r="DI324" s="4">
        <f t="shared" si="1084"/>
        <v>5.4783130292378068</v>
      </c>
      <c r="DJ324" s="4">
        <f t="shared" si="1085"/>
        <v>8.0504837803731188</v>
      </c>
      <c r="DK324" s="4">
        <f t="shared" si="1250"/>
        <v>9.355770870462635</v>
      </c>
      <c r="DL324" s="38">
        <f t="shared" si="1251"/>
        <v>694.21211175332951</v>
      </c>
      <c r="DM324" s="4" t="e">
        <f t="shared" si="1086"/>
        <v>#REF!</v>
      </c>
      <c r="DN324" s="4">
        <f t="shared" si="1252"/>
        <v>3.2403703492039297</v>
      </c>
      <c r="DO324" s="4">
        <f t="shared" si="1309"/>
        <v>413.25351074896435</v>
      </c>
      <c r="DS324" s="4">
        <f t="shared" si="1253"/>
        <v>0.85</v>
      </c>
      <c r="DT324" s="4">
        <f t="shared" si="1254"/>
        <v>0.85</v>
      </c>
      <c r="DU324" s="4">
        <f t="shared" si="1255"/>
        <v>1</v>
      </c>
      <c r="DV324" s="4">
        <f t="shared" si="1087"/>
        <v>0.85</v>
      </c>
      <c r="DX324" s="4">
        <f t="shared" si="1256"/>
        <v>689.36066117902453</v>
      </c>
      <c r="DY324" s="25">
        <f t="shared" si="1146"/>
        <v>408.62613172040579</v>
      </c>
      <c r="EA324" s="4">
        <f t="shared" si="1147"/>
        <v>0.72249999999999992</v>
      </c>
      <c r="EB324" s="4">
        <f t="shared" si="1257"/>
        <v>9.9763514377618598</v>
      </c>
      <c r="EE324" s="4">
        <f t="shared" si="1258"/>
        <v>82.305406869779816</v>
      </c>
      <c r="EF324" s="4">
        <f t="shared" si="1088"/>
        <v>3.2403703492039302</v>
      </c>
      <c r="EG324" s="4">
        <f t="shared" si="1259"/>
        <v>9.6476877856159354E-2</v>
      </c>
      <c r="EJ324" s="4">
        <f t="shared" si="1089"/>
        <v>9.6476877856159354E-2</v>
      </c>
      <c r="EK324" s="4">
        <f t="shared" si="1260"/>
        <v>0.22308090572427774</v>
      </c>
      <c r="EL324" s="4">
        <f t="shared" si="1090"/>
        <v>5.4746542834236758</v>
      </c>
      <c r="EM324" s="4">
        <f t="shared" si="1091"/>
        <v>8.0492483214376556</v>
      </c>
      <c r="EN324" s="4" t="e">
        <f t="shared" si="1092"/>
        <v>#REF!</v>
      </c>
      <c r="EO324" s="4" t="e">
        <f t="shared" si="1093"/>
        <v>#REF!</v>
      </c>
      <c r="EP324" s="4" t="e">
        <f t="shared" si="1261"/>
        <v>#REF!</v>
      </c>
      <c r="EQ324" s="4" t="e">
        <f t="shared" si="1094"/>
        <v>#REF!</v>
      </c>
      <c r="ER324" s="4" t="e">
        <f t="shared" si="1262"/>
        <v>#REF!</v>
      </c>
      <c r="FA324" s="23" t="e">
        <f t="shared" si="1042"/>
        <v>#REF!</v>
      </c>
      <c r="FB324" s="23" t="e">
        <f t="shared" si="1043"/>
        <v>#REF!</v>
      </c>
      <c r="FC324" s="23">
        <f t="shared" si="1317"/>
        <v>1.2</v>
      </c>
      <c r="FD324" s="23" t="e">
        <f t="shared" si="1044"/>
        <v>#REF!</v>
      </c>
      <c r="FE324" s="23">
        <f t="shared" si="1045"/>
        <v>1</v>
      </c>
      <c r="FF324" s="23">
        <f t="shared" si="1046"/>
        <v>1</v>
      </c>
      <c r="FG324" s="23">
        <f t="shared" si="1266"/>
        <v>0</v>
      </c>
      <c r="FH324" s="23"/>
      <c r="FR324" s="4">
        <f t="shared" si="1122"/>
        <v>1</v>
      </c>
      <c r="FS324" s="4">
        <f t="shared" si="1123"/>
        <v>0.5</v>
      </c>
      <c r="FT324" s="4">
        <f t="shared" si="1124"/>
        <v>0</v>
      </c>
      <c r="FU324" s="4">
        <f t="shared" si="1125"/>
        <v>525.6488247059757</v>
      </c>
    </row>
    <row r="325" spans="2:177" ht="12" customHeight="1" x14ac:dyDescent="0.3">
      <c r="B325" s="24"/>
      <c r="C325" s="7" t="s">
        <v>464</v>
      </c>
      <c r="D325" s="38">
        <f>120/0.145</f>
        <v>827.58620689655174</v>
      </c>
      <c r="E325" s="38">
        <f>9.19*25.4</f>
        <v>233.42599999999999</v>
      </c>
      <c r="F325" s="38">
        <f>9040/145</f>
        <v>62.344827586206897</v>
      </c>
      <c r="G325" s="38">
        <f t="shared" si="1341"/>
        <v>25.4</v>
      </c>
      <c r="H325" s="38">
        <f t="shared" si="1358"/>
        <v>431.79999999999995</v>
      </c>
      <c r="I325" s="38">
        <f>2.65*25.4</f>
        <v>67.309999999999988</v>
      </c>
      <c r="J325" s="39">
        <f>3.3*25.4</f>
        <v>83.82</v>
      </c>
      <c r="K325" s="7">
        <f t="shared" si="1339"/>
        <v>246.37999999999997</v>
      </c>
      <c r="L325" s="38">
        <v>2</v>
      </c>
      <c r="M325" s="4">
        <f t="shared" si="1357"/>
        <v>260.34999999999997</v>
      </c>
      <c r="N325" s="7">
        <f t="shared" si="1224"/>
        <v>3.1499999999999995</v>
      </c>
      <c r="O325" s="7">
        <f t="shared" si="1225"/>
        <v>3.1499999999999995</v>
      </c>
      <c r="P325" s="38">
        <v>9.5</v>
      </c>
      <c r="Q325" s="4">
        <f t="shared" si="1342"/>
        <v>9.5</v>
      </c>
      <c r="R325" s="4">
        <f t="shared" si="1226"/>
        <v>10.5</v>
      </c>
      <c r="S325" s="7">
        <f t="shared" si="1227"/>
        <v>82.305406869779816</v>
      </c>
      <c r="V325" s="38">
        <f t="shared" si="1054"/>
        <v>600</v>
      </c>
      <c r="W325" s="4">
        <v>87</v>
      </c>
      <c r="X325" s="4">
        <f t="shared" si="1228"/>
        <v>0.86504992090891586</v>
      </c>
      <c r="Y325" s="38">
        <f>0.375*25.4</f>
        <v>9.5249999999999986</v>
      </c>
      <c r="Z325" s="38">
        <v>4</v>
      </c>
      <c r="AA325" s="39">
        <f>6*25.4</f>
        <v>152.39999999999998</v>
      </c>
      <c r="AB325" s="39">
        <v>1</v>
      </c>
      <c r="AC325" s="39">
        <v>1</v>
      </c>
      <c r="AD325" s="7"/>
      <c r="AE325" s="4">
        <f t="shared" si="1229"/>
        <v>233.42599999999999</v>
      </c>
      <c r="AF325" s="4">
        <f t="shared" si="1230"/>
        <v>0.61661225970257527</v>
      </c>
      <c r="AG325" s="4">
        <f t="shared" si="1231"/>
        <v>277.86685517024648</v>
      </c>
      <c r="AH325" s="4">
        <f t="shared" si="1232"/>
        <v>0.76855277475516859</v>
      </c>
      <c r="AI325" s="4">
        <v>1.25</v>
      </c>
      <c r="AJ325" s="4">
        <f t="shared" si="1154"/>
        <v>2.5</v>
      </c>
      <c r="AK325" s="38">
        <f t="shared" si="1340"/>
        <v>411.5026323235121</v>
      </c>
      <c r="AL325" s="38">
        <f t="shared" si="1264"/>
        <v>411.5026323235121</v>
      </c>
      <c r="AM325" s="38">
        <f t="shared" si="1233"/>
        <v>4.4175343619879603</v>
      </c>
      <c r="AN325" s="38">
        <f t="shared" si="1161"/>
        <v>411.50263232351193</v>
      </c>
      <c r="AO325" s="38">
        <f t="shared" si="1115"/>
        <v>1.0000000000000004</v>
      </c>
      <c r="AP325" s="38">
        <f t="shared" si="1162"/>
        <v>2.9419152848366741</v>
      </c>
      <c r="AQ325" s="4">
        <f t="shared" si="1163"/>
        <v>0</v>
      </c>
      <c r="AR325" s="4" t="e">
        <f>#REF!/G325*F325^0.5/0.19</f>
        <v>#REF!</v>
      </c>
      <c r="AS325" s="4">
        <f t="shared" si="1234"/>
        <v>1</v>
      </c>
      <c r="AT325" s="38">
        <f t="shared" si="1235"/>
        <v>1210.6058837830658</v>
      </c>
      <c r="AU325" s="4">
        <f t="shared" si="1236"/>
        <v>0.3</v>
      </c>
      <c r="AV325" s="4" t="e">
        <f>AU325*D325*#REF!/(D325*G325/2.75/F325^0.5)</f>
        <v>#REF!</v>
      </c>
      <c r="AW325" s="4" t="e">
        <f t="shared" si="1068"/>
        <v>#REF!</v>
      </c>
      <c r="AY325" s="4">
        <f t="shared" si="1237"/>
        <v>1.5</v>
      </c>
      <c r="AZ325" s="4" t="e">
        <f>(3*#REF!+30)*AY325*F325^0.5</f>
        <v>#REF!</v>
      </c>
      <c r="BB325" s="4">
        <f t="shared" si="1238"/>
        <v>1161.1190900004531</v>
      </c>
      <c r="BC325" s="4">
        <f t="shared" si="1275"/>
        <v>0</v>
      </c>
      <c r="BD325" s="4">
        <f t="shared" si="1069"/>
        <v>0</v>
      </c>
      <c r="BL325" s="4">
        <f t="shared" si="1239"/>
        <v>67.309999999999988</v>
      </c>
      <c r="BP325" s="9"/>
      <c r="BR325" s="9"/>
      <c r="BS325" s="9"/>
      <c r="BT325" s="9">
        <f t="shared" si="1240"/>
        <v>67.309999999999988</v>
      </c>
      <c r="BU325" s="9">
        <f t="shared" si="1241"/>
        <v>123.18999999999998</v>
      </c>
      <c r="BV325" s="9">
        <f t="shared" si="1242"/>
        <v>1.7823677548771022</v>
      </c>
      <c r="BW325" s="40">
        <f t="shared" si="1343"/>
        <v>20</v>
      </c>
      <c r="BX325" s="9">
        <f t="shared" si="1243"/>
        <v>0.05</v>
      </c>
      <c r="BY325" s="9">
        <f t="shared" si="1070"/>
        <v>0.8</v>
      </c>
      <c r="BZ325" s="9">
        <f t="shared" si="1244"/>
        <v>0.99524931562137331</v>
      </c>
      <c r="CA325" s="9">
        <f t="shared" si="1245"/>
        <v>0.68</v>
      </c>
      <c r="CB325" s="9">
        <f t="shared" si="1246"/>
        <v>1.8702904607807274</v>
      </c>
      <c r="CC325" s="9">
        <f t="shared" si="1247"/>
        <v>4.6757261519518183</v>
      </c>
      <c r="CD325" s="40">
        <v>1</v>
      </c>
      <c r="CE325" s="9" t="e">
        <f>4*CC325*#REF!+60*CC325</f>
        <v>#REF!</v>
      </c>
      <c r="CG325" s="4" t="e">
        <f t="shared" si="1071"/>
        <v>#REF!</v>
      </c>
      <c r="CH325" s="4" t="e">
        <f t="shared" si="1072"/>
        <v>#REF!</v>
      </c>
      <c r="CI325" s="4" t="e">
        <f t="shared" si="1073"/>
        <v>#REF!</v>
      </c>
      <c r="CJ325" s="4" t="e">
        <f t="shared" si="1074"/>
        <v>#REF!</v>
      </c>
      <c r="CK325" s="4">
        <f t="shared" si="1075"/>
        <v>0.86504992090891586</v>
      </c>
      <c r="CL325" s="4">
        <f t="shared" si="1076"/>
        <v>0.87025939203289582</v>
      </c>
      <c r="CM325" s="4">
        <f t="shared" si="1310"/>
        <v>1.099511672686895</v>
      </c>
      <c r="CN325" s="4">
        <f t="shared" si="1344"/>
        <v>4</v>
      </c>
      <c r="CU325" s="4" t="e">
        <f t="shared" ref="CU325" si="1365">CG325</f>
        <v>#REF!</v>
      </c>
      <c r="CV325" s="4" t="e">
        <f t="shared" ref="CV325" si="1366">CH325</f>
        <v>#REF!</v>
      </c>
      <c r="CW325" s="4" t="e">
        <f t="shared" ref="CW325" si="1367">CJ325</f>
        <v>#REF!</v>
      </c>
      <c r="CX325" s="4">
        <f t="shared" ref="CX325" si="1368">CM325</f>
        <v>1.099511672686895</v>
      </c>
      <c r="CY325" s="4">
        <f t="shared" ref="CY325" si="1369">CK325</f>
        <v>0.86504992090891586</v>
      </c>
      <c r="CZ325" s="4">
        <f t="shared" ref="CZ325" si="1370">CL325</f>
        <v>0.87025939203289582</v>
      </c>
      <c r="DC325" s="4" t="e">
        <f>#REF!</f>
        <v>#REF!</v>
      </c>
      <c r="DF325" s="4">
        <f t="shared" si="1248"/>
        <v>2.0241393166235661E-5</v>
      </c>
      <c r="DG325" s="4">
        <f t="shared" si="1083"/>
        <v>10.25167680187093</v>
      </c>
      <c r="DH325" s="4">
        <f t="shared" si="1249"/>
        <v>0.22250707617084689</v>
      </c>
      <c r="DI325" s="4">
        <f t="shared" si="1084"/>
        <v>5.6199498067632083</v>
      </c>
      <c r="DJ325" s="4">
        <f t="shared" si="1085"/>
        <v>8.2694351166294009</v>
      </c>
      <c r="DK325" s="4">
        <f t="shared" si="1250"/>
        <v>9.6247971060916608</v>
      </c>
      <c r="DL325" s="38">
        <f t="shared" si="1251"/>
        <v>693.6015893389997</v>
      </c>
      <c r="DM325" s="4" t="e">
        <f t="shared" si="1086"/>
        <v>#REF!</v>
      </c>
      <c r="DN325" s="4">
        <f t="shared" si="1252"/>
        <v>3.2403703492039297</v>
      </c>
      <c r="DO325" s="4">
        <f t="shared" si="1309"/>
        <v>411.50263232351193</v>
      </c>
      <c r="DS325" s="4">
        <f t="shared" si="1253"/>
        <v>0.85</v>
      </c>
      <c r="DT325" s="4">
        <f t="shared" si="1254"/>
        <v>0.83499999999999996</v>
      </c>
      <c r="DU325" s="4">
        <f t="shared" si="1255"/>
        <v>0.99062499999999998</v>
      </c>
      <c r="DV325" s="4">
        <f t="shared" si="1087"/>
        <v>0.827171875</v>
      </c>
      <c r="DX325" s="4">
        <f t="shared" si="1256"/>
        <v>689.44961179726056</v>
      </c>
      <c r="DY325" s="25">
        <f t="shared" si="1146"/>
        <v>406.81088236967901</v>
      </c>
      <c r="EA325" s="4">
        <f t="shared" si="1147"/>
        <v>0.70309609374999993</v>
      </c>
      <c r="EB325" s="4">
        <f t="shared" si="1257"/>
        <v>10.25167680187093</v>
      </c>
      <c r="EE325" s="4">
        <f t="shared" si="1258"/>
        <v>82.305406869779816</v>
      </c>
      <c r="EF325" s="4">
        <f t="shared" si="1088"/>
        <v>3.2403703492039302</v>
      </c>
      <c r="EG325" s="4">
        <f t="shared" si="1259"/>
        <v>9.6068123230730482E-2</v>
      </c>
      <c r="EJ325" s="4">
        <f t="shared" si="1089"/>
        <v>9.6068123230730482E-2</v>
      </c>
      <c r="EK325" s="4">
        <f t="shared" si="1260"/>
        <v>0.22213575333039937</v>
      </c>
      <c r="EL325" s="4">
        <f t="shared" si="1090"/>
        <v>5.6161964674192566</v>
      </c>
      <c r="EM325" s="4">
        <f t="shared" si="1091"/>
        <v>8.2681694572947251</v>
      </c>
      <c r="EN325" s="4" t="e">
        <f t="shared" si="1092"/>
        <v>#REF!</v>
      </c>
      <c r="EO325" s="4" t="e">
        <f t="shared" si="1093"/>
        <v>#REF!</v>
      </c>
      <c r="EP325" s="4" t="e">
        <f t="shared" si="1261"/>
        <v>#REF!</v>
      </c>
      <c r="EQ325" s="4" t="e">
        <f t="shared" si="1094"/>
        <v>#REF!</v>
      </c>
      <c r="ER325" s="4" t="e">
        <f t="shared" si="1262"/>
        <v>#REF!</v>
      </c>
      <c r="FA325" s="23" t="e">
        <f t="shared" si="1042"/>
        <v>#REF!</v>
      </c>
      <c r="FB325" s="23" t="e">
        <f t="shared" si="1043"/>
        <v>#REF!</v>
      </c>
      <c r="FC325" s="23">
        <f t="shared" si="1317"/>
        <v>1.2</v>
      </c>
      <c r="FD325" s="23" t="e">
        <f t="shared" si="1044"/>
        <v>#REF!</v>
      </c>
      <c r="FE325" s="23">
        <f t="shared" si="1045"/>
        <v>1</v>
      </c>
      <c r="FF325" s="23">
        <f t="shared" si="1046"/>
        <v>1</v>
      </c>
      <c r="FG325" s="23">
        <f t="shared" si="1266"/>
        <v>0</v>
      </c>
      <c r="FH325" s="23"/>
      <c r="FR325" s="4">
        <f t="shared" si="1122"/>
        <v>1</v>
      </c>
      <c r="FS325" s="4">
        <f t="shared" si="1123"/>
        <v>0.47187499999999999</v>
      </c>
      <c r="FT325" s="4">
        <f t="shared" si="1124"/>
        <v>0.14062499999999997</v>
      </c>
      <c r="FU325" s="4">
        <f t="shared" si="1125"/>
        <v>545.69679877410488</v>
      </c>
    </row>
    <row r="326" spans="2:177" ht="12" customHeight="1" x14ac:dyDescent="0.3">
      <c r="B326" s="24"/>
      <c r="C326" s="7" t="s">
        <v>465</v>
      </c>
      <c r="D326" s="38">
        <f>120/0.145</f>
        <v>827.58620689655174</v>
      </c>
      <c r="E326" s="38">
        <f>9.25*25.4</f>
        <v>234.95</v>
      </c>
      <c r="F326" s="38">
        <f>9040/145</f>
        <v>62.344827586206897</v>
      </c>
      <c r="G326" s="38">
        <f t="shared" si="1341"/>
        <v>25.4</v>
      </c>
      <c r="H326" s="38">
        <f>14*25.4</f>
        <v>355.59999999999997</v>
      </c>
      <c r="I326" s="38">
        <f>2.5*25.4</f>
        <v>63.5</v>
      </c>
      <c r="J326" s="39">
        <f>3.3*25.4</f>
        <v>83.82</v>
      </c>
      <c r="K326" s="7">
        <f t="shared" si="1339"/>
        <v>76.199999999999989</v>
      </c>
      <c r="L326" s="38">
        <v>3</v>
      </c>
      <c r="M326" s="4">
        <f t="shared" si="1357"/>
        <v>260.34999999999997</v>
      </c>
      <c r="N326" s="7">
        <f t="shared" si="1224"/>
        <v>1.9999999999999998</v>
      </c>
      <c r="O326" s="7">
        <f t="shared" si="1225"/>
        <v>3</v>
      </c>
      <c r="P326" s="38">
        <v>9.5</v>
      </c>
      <c r="Q326" s="4">
        <f t="shared" si="1342"/>
        <v>9.5</v>
      </c>
      <c r="R326" s="4">
        <f t="shared" si="1226"/>
        <v>10.5</v>
      </c>
      <c r="S326" s="7">
        <f t="shared" si="1227"/>
        <v>82.305406869779816</v>
      </c>
      <c r="V326" s="38">
        <f t="shared" si="1054"/>
        <v>351.72413793103453</v>
      </c>
      <c r="W326" s="4">
        <v>51</v>
      </c>
      <c r="X326" s="4">
        <f t="shared" si="1228"/>
        <v>0.77187994815402661</v>
      </c>
      <c r="Y326" s="38"/>
      <c r="Z326" s="38"/>
      <c r="AA326" s="39">
        <v>1</v>
      </c>
      <c r="AB326" s="39"/>
      <c r="AC326" s="39"/>
      <c r="AD326" s="7"/>
      <c r="AE326" s="4">
        <f t="shared" si="1229"/>
        <v>234.95</v>
      </c>
      <c r="AF326" s="4">
        <f t="shared" si="1230"/>
        <v>0.50450450450450446</v>
      </c>
      <c r="AG326" s="4">
        <f t="shared" si="1231"/>
        <v>187.06167500766796</v>
      </c>
      <c r="AH326" s="4">
        <f t="shared" si="1232"/>
        <v>0.76486486486486482</v>
      </c>
      <c r="AI326" s="4">
        <v>1.25</v>
      </c>
      <c r="AJ326" s="4">
        <f t="shared" si="1154"/>
        <v>2.5</v>
      </c>
      <c r="AK326" s="38">
        <f t="shared" si="1340"/>
        <v>225.57169356597893</v>
      </c>
      <c r="AL326" s="38">
        <f t="shared" si="1264"/>
        <v>225.57169356597893</v>
      </c>
      <c r="AM326" s="38">
        <f t="shared" si="1233"/>
        <v>4.4175343619879603</v>
      </c>
      <c r="AN326" s="38">
        <f t="shared" si="1161"/>
        <v>225.57169356597893</v>
      </c>
      <c r="AO326" s="38">
        <f t="shared" si="1115"/>
        <v>1</v>
      </c>
      <c r="AP326" s="38">
        <f t="shared" si="1162"/>
        <v>4.089016547523733</v>
      </c>
      <c r="AQ326" s="4">
        <f t="shared" si="1163"/>
        <v>0</v>
      </c>
      <c r="AR326" s="4" t="e">
        <f>#REF!/G326*F326^0.5/0.19</f>
        <v>#REF!</v>
      </c>
      <c r="AS326" s="4">
        <f t="shared" si="1234"/>
        <v>1.2000000000000002</v>
      </c>
      <c r="AT326" s="38">
        <f t="shared" si="1235"/>
        <v>922.36638764424072</v>
      </c>
      <c r="AU326" s="4">
        <f t="shared" si="1236"/>
        <v>0.3</v>
      </c>
      <c r="AV326" s="4" t="e">
        <f>AU326*D326*#REF!/(D326*G326/2.75/F326^0.5)</f>
        <v>#REF!</v>
      </c>
      <c r="AW326" s="4" t="e">
        <f t="shared" si="1068"/>
        <v>#REF!</v>
      </c>
      <c r="AY326" s="4">
        <f t="shared" si="1237"/>
        <v>1.375</v>
      </c>
      <c r="AZ326" s="4" t="e">
        <f>(3*#REF!+30)*AY326*F326^0.5</f>
        <v>#REF!</v>
      </c>
      <c r="BB326" s="4">
        <f t="shared" si="1238"/>
        <v>884.6621638098693</v>
      </c>
      <c r="BC326" s="4">
        <f t="shared" si="1275"/>
        <v>0</v>
      </c>
      <c r="BD326" s="4">
        <f t="shared" si="1069"/>
        <v>0</v>
      </c>
      <c r="BL326" s="4">
        <f t="shared" si="1239"/>
        <v>38.099999999999994</v>
      </c>
      <c r="BP326" s="9"/>
      <c r="BR326" s="9"/>
      <c r="BS326" s="9"/>
      <c r="BT326" s="9">
        <f t="shared" si="1240"/>
        <v>38.099999999999994</v>
      </c>
      <c r="BU326" s="9">
        <f t="shared" si="1241"/>
        <v>63.5</v>
      </c>
      <c r="BV326" s="9">
        <f t="shared" si="1242"/>
        <v>1.3222785168171165</v>
      </c>
      <c r="BW326" s="40">
        <f t="shared" si="1343"/>
        <v>0</v>
      </c>
      <c r="BX326" s="9">
        <f t="shared" si="1243"/>
        <v>0</v>
      </c>
      <c r="BY326" s="9">
        <f t="shared" si="1070"/>
        <v>0</v>
      </c>
      <c r="BZ326" s="9">
        <f t="shared" si="1244"/>
        <v>0.99524931562137331</v>
      </c>
      <c r="CA326" s="9">
        <f t="shared" si="1245"/>
        <v>0.68</v>
      </c>
      <c r="CB326" s="9">
        <f t="shared" si="1246"/>
        <v>1.8702904607807274</v>
      </c>
      <c r="CC326" s="9">
        <f t="shared" si="1247"/>
        <v>2.4730448964983416</v>
      </c>
      <c r="CD326" s="40">
        <v>1</v>
      </c>
      <c r="CE326" s="9" t="e">
        <f>4*CC326*#REF!+60*CC326</f>
        <v>#REF!</v>
      </c>
      <c r="CG326" s="4" t="e">
        <f t="shared" si="1071"/>
        <v>#REF!</v>
      </c>
      <c r="CH326" s="4" t="e">
        <f t="shared" si="1072"/>
        <v>#REF!</v>
      </c>
      <c r="CI326" s="4" t="e">
        <f t="shared" si="1073"/>
        <v>#REF!</v>
      </c>
      <c r="CJ326" s="4" t="e">
        <f t="shared" si="1074"/>
        <v>#REF!</v>
      </c>
      <c r="CK326" s="4">
        <f t="shared" si="1075"/>
        <v>0.77187994815402661</v>
      </c>
      <c r="CL326" s="4">
        <f t="shared" si="1076"/>
        <v>0.74722430214469848</v>
      </c>
      <c r="CM326" s="4">
        <f t="shared" si="1310"/>
        <v>1.1308794998166836</v>
      </c>
      <c r="CN326" s="4">
        <f t="shared" si="1344"/>
        <v>0</v>
      </c>
      <c r="CO326" s="4" t="e">
        <f t="shared" ref="CO326" si="1371">CG326</f>
        <v>#REF!</v>
      </c>
      <c r="CP326" s="4" t="e">
        <f t="shared" ref="CP326" si="1372">CH326</f>
        <v>#REF!</v>
      </c>
      <c r="CQ326" s="4" t="e">
        <f t="shared" ref="CQ326" si="1373">CJ326</f>
        <v>#REF!</v>
      </c>
      <c r="CR326" s="4">
        <f t="shared" ref="CR326" si="1374">CM326</f>
        <v>1.1308794998166836</v>
      </c>
      <c r="CS326" s="4">
        <f t="shared" ref="CS326" si="1375">CK326</f>
        <v>0.77187994815402661</v>
      </c>
      <c r="CT326" s="4">
        <f t="shared" ref="CT326" si="1376">CL326</f>
        <v>0.74722430214469848</v>
      </c>
      <c r="DC326" s="4" t="e">
        <f>#REF!</f>
        <v>#REF!</v>
      </c>
      <c r="DF326" s="4">
        <f t="shared" si="1248"/>
        <v>2.0373545896374304E-5</v>
      </c>
      <c r="DG326" s="4">
        <f t="shared" si="1083"/>
        <v>8.9262091811553486</v>
      </c>
      <c r="DH326" s="4">
        <f t="shared" si="1249"/>
        <v>0.12197078234681423</v>
      </c>
      <c r="DI326" s="4">
        <f t="shared" si="1084"/>
        <v>3.8474181010001449</v>
      </c>
      <c r="DJ326" s="4">
        <f t="shared" si="1085"/>
        <v>6.8798040749591918</v>
      </c>
      <c r="DK326" s="4">
        <f t="shared" si="1250"/>
        <v>8.4854089879150845</v>
      </c>
      <c r="DL326" s="38">
        <f t="shared" si="1251"/>
        <v>455.67207539487595</v>
      </c>
      <c r="DM326" s="4" t="e">
        <f t="shared" si="1086"/>
        <v>#REF!</v>
      </c>
      <c r="DN326" s="4">
        <f t="shared" si="1252"/>
        <v>3.2403703492039297</v>
      </c>
      <c r="DO326" s="4">
        <f t="shared" si="1309"/>
        <v>225.57169356597893</v>
      </c>
      <c r="DS326" s="4">
        <f t="shared" si="1253"/>
        <v>0.85</v>
      </c>
      <c r="DT326" s="4">
        <f t="shared" si="1254"/>
        <v>0.95</v>
      </c>
      <c r="DU326" s="4">
        <f t="shared" si="1255"/>
        <v>1</v>
      </c>
      <c r="DV326" s="4">
        <f t="shared" si="1087"/>
        <v>0.95</v>
      </c>
      <c r="DX326" s="4">
        <f t="shared" si="1256"/>
        <v>470.70757324341395</v>
      </c>
      <c r="DY326" s="25">
        <f t="shared" si="1146"/>
        <v>223.00526846635302</v>
      </c>
      <c r="EA326" s="4">
        <f t="shared" si="1147"/>
        <v>0.8075</v>
      </c>
      <c r="EB326" s="4">
        <f t="shared" si="1257"/>
        <v>8.9262091811553486</v>
      </c>
      <c r="EE326" s="4">
        <f t="shared" si="1258"/>
        <v>82.305406869779816</v>
      </c>
      <c r="EF326" s="4">
        <f t="shared" si="1088"/>
        <v>3.2403703492039302</v>
      </c>
      <c r="EG326" s="4">
        <f t="shared" si="1259"/>
        <v>5.2661265208686421E-2</v>
      </c>
      <c r="EJ326" s="4">
        <f t="shared" si="1089"/>
        <v>5.2661265208686421E-2</v>
      </c>
      <c r="EK326" s="4">
        <f t="shared" si="1260"/>
        <v>0.12176723584334105</v>
      </c>
      <c r="EL326" s="4">
        <f t="shared" si="1090"/>
        <v>3.8448485645758632</v>
      </c>
      <c r="EM326" s="4">
        <f t="shared" si="1091"/>
        <v>6.8791009663372167</v>
      </c>
      <c r="EN326" s="4" t="e">
        <f t="shared" si="1092"/>
        <v>#REF!</v>
      </c>
      <c r="EO326" s="4" t="e">
        <f t="shared" si="1093"/>
        <v>#REF!</v>
      </c>
      <c r="EP326" s="4" t="e">
        <f t="shared" si="1261"/>
        <v>#REF!</v>
      </c>
      <c r="EQ326" s="4" t="e">
        <f t="shared" si="1094"/>
        <v>#REF!</v>
      </c>
      <c r="ER326" s="4" t="e">
        <f t="shared" si="1262"/>
        <v>#REF!</v>
      </c>
      <c r="FA326" s="23" t="e">
        <f t="shared" si="1042"/>
        <v>#REF!</v>
      </c>
      <c r="FB326" s="23" t="e">
        <f t="shared" si="1043"/>
        <v>#REF!</v>
      </c>
      <c r="FC326" s="23">
        <f t="shared" si="1317"/>
        <v>1.2</v>
      </c>
      <c r="FD326" s="23" t="e">
        <f t="shared" si="1044"/>
        <v>#REF!</v>
      </c>
      <c r="FE326" s="23">
        <f t="shared" si="1045"/>
        <v>0.8</v>
      </c>
      <c r="FF326" s="23">
        <f t="shared" si="1046"/>
        <v>0.8</v>
      </c>
      <c r="FG326" s="23">
        <f t="shared" si="1266"/>
        <v>1</v>
      </c>
      <c r="FH326" s="23"/>
      <c r="FR326" s="4">
        <f t="shared" si="1122"/>
        <v>1</v>
      </c>
      <c r="FS326" s="4">
        <f t="shared" si="1123"/>
        <v>0.83333333333333326</v>
      </c>
      <c r="FT326" s="4">
        <f t="shared" si="1124"/>
        <v>0</v>
      </c>
      <c r="FU326" s="4">
        <f t="shared" si="1125"/>
        <v>311.01822783775748</v>
      </c>
    </row>
    <row r="327" spans="2:177" ht="12" customHeight="1" x14ac:dyDescent="0.3">
      <c r="B327" s="24"/>
      <c r="C327" s="7" t="s">
        <v>466</v>
      </c>
      <c r="D327" s="38">
        <f>120/0.145</f>
        <v>827.58620689655174</v>
      </c>
      <c r="E327" s="38">
        <f>9.58*25.4</f>
        <v>243.33199999999999</v>
      </c>
      <c r="F327" s="38">
        <f>9040/145</f>
        <v>62.344827586206897</v>
      </c>
      <c r="G327" s="38">
        <f t="shared" si="1341"/>
        <v>25.4</v>
      </c>
      <c r="H327" s="38">
        <f>14*25.4</f>
        <v>355.59999999999997</v>
      </c>
      <c r="I327" s="38">
        <f t="shared" si="1345"/>
        <v>63.5</v>
      </c>
      <c r="J327" s="39">
        <f>3.2*25.4</f>
        <v>81.28</v>
      </c>
      <c r="K327" s="7">
        <f t="shared" si="1339"/>
        <v>76.199999999999989</v>
      </c>
      <c r="L327" s="38">
        <v>3</v>
      </c>
      <c r="M327" s="4">
        <f t="shared" si="1357"/>
        <v>260.34999999999997</v>
      </c>
      <c r="N327" s="7">
        <f t="shared" si="1224"/>
        <v>1.9999999999999998</v>
      </c>
      <c r="O327" s="7">
        <f t="shared" si="1225"/>
        <v>3</v>
      </c>
      <c r="P327" s="38">
        <v>9.5</v>
      </c>
      <c r="Q327" s="4">
        <f t="shared" si="1342"/>
        <v>9.5</v>
      </c>
      <c r="R327" s="4">
        <f t="shared" si="1226"/>
        <v>10.5</v>
      </c>
      <c r="S327" s="7">
        <f t="shared" si="1227"/>
        <v>82.305406869779816</v>
      </c>
      <c r="V327" s="38">
        <f t="shared" si="1054"/>
        <v>452.41379310344826</v>
      </c>
      <c r="W327" s="4">
        <v>65.599999999999994</v>
      </c>
      <c r="X327" s="4">
        <f t="shared" si="1228"/>
        <v>0.96079814882500592</v>
      </c>
      <c r="Y327" s="38">
        <f>0.375*25.4</f>
        <v>9.5249999999999986</v>
      </c>
      <c r="Z327" s="38">
        <v>4</v>
      </c>
      <c r="AA327" s="39">
        <f>6*25.4</f>
        <v>152.39999999999998</v>
      </c>
      <c r="AB327" s="39">
        <v>1</v>
      </c>
      <c r="AC327" s="39">
        <v>1</v>
      </c>
      <c r="AD327" s="7"/>
      <c r="AE327" s="4">
        <f t="shared" si="1229"/>
        <v>243.33199999999999</v>
      </c>
      <c r="AF327" s="4">
        <f t="shared" si="1230"/>
        <v>0.48712595685455812</v>
      </c>
      <c r="AG327" s="4">
        <f t="shared" si="1231"/>
        <v>197.16075989632159</v>
      </c>
      <c r="AH327" s="4">
        <f t="shared" si="1232"/>
        <v>0.76263048016701451</v>
      </c>
      <c r="AI327" s="4">
        <v>1.25</v>
      </c>
      <c r="AJ327" s="4">
        <f t="shared" si="1154"/>
        <v>2.5</v>
      </c>
      <c r="AK327" s="38">
        <f t="shared" si="1340"/>
        <v>228.88953438778191</v>
      </c>
      <c r="AL327" s="38">
        <f t="shared" si="1264"/>
        <v>228.88953438778191</v>
      </c>
      <c r="AM327" s="38">
        <f t="shared" si="1233"/>
        <v>4.4175343619879603</v>
      </c>
      <c r="AN327" s="38">
        <f t="shared" si="1161"/>
        <v>228.88953438778174</v>
      </c>
      <c r="AO327" s="38">
        <f t="shared" si="1115"/>
        <v>1.0000000000000007</v>
      </c>
      <c r="AP327" s="38">
        <f t="shared" si="1162"/>
        <v>4.0297446980759695</v>
      </c>
      <c r="AQ327" s="4">
        <f t="shared" si="1163"/>
        <v>0</v>
      </c>
      <c r="AR327" s="4" t="e">
        <f>#REF!/G327*F327^0.5/0.19</f>
        <v>#REF!</v>
      </c>
      <c r="AS327" s="4">
        <f t="shared" si="1234"/>
        <v>1.2000000000000002</v>
      </c>
      <c r="AT327" s="38">
        <f t="shared" si="1235"/>
        <v>922.36638764424072</v>
      </c>
      <c r="AU327" s="4">
        <f t="shared" si="1236"/>
        <v>0.3</v>
      </c>
      <c r="AV327" s="4" t="e">
        <f>AU327*D327*#REF!/(D327*G327/2.75/F327^0.5)</f>
        <v>#REF!</v>
      </c>
      <c r="AW327" s="4" t="e">
        <f t="shared" si="1068"/>
        <v>#REF!</v>
      </c>
      <c r="AY327" s="4">
        <f t="shared" si="1237"/>
        <v>1.5</v>
      </c>
      <c r="AZ327" s="4" t="e">
        <f>(3*#REF!+30)*AY327*F327^0.5</f>
        <v>#REF!</v>
      </c>
      <c r="BB327" s="4">
        <f t="shared" si="1238"/>
        <v>884.6621638098693</v>
      </c>
      <c r="BC327" s="4">
        <f t="shared" si="1275"/>
        <v>0</v>
      </c>
      <c r="BD327" s="4">
        <f t="shared" si="1069"/>
        <v>0</v>
      </c>
      <c r="BL327" s="4">
        <f t="shared" si="1239"/>
        <v>38.099999999999994</v>
      </c>
      <c r="BP327" s="9"/>
      <c r="BR327" s="9"/>
      <c r="BS327" s="9"/>
      <c r="BT327" s="9">
        <f t="shared" si="1240"/>
        <v>38.099999999999994</v>
      </c>
      <c r="BU327" s="9">
        <f t="shared" si="1241"/>
        <v>63.5</v>
      </c>
      <c r="BV327" s="9">
        <f t="shared" si="1242"/>
        <v>1.3222785168171165</v>
      </c>
      <c r="BW327" s="40">
        <f t="shared" si="1343"/>
        <v>20</v>
      </c>
      <c r="BX327" s="9">
        <f t="shared" si="1243"/>
        <v>4.9087385212340517E-2</v>
      </c>
      <c r="BY327" s="9">
        <f t="shared" si="1070"/>
        <v>0.78174770424681028</v>
      </c>
      <c r="BZ327" s="9">
        <f t="shared" si="1244"/>
        <v>0.99524931562137331</v>
      </c>
      <c r="CA327" s="9">
        <f t="shared" si="1245"/>
        <v>0.68</v>
      </c>
      <c r="CB327" s="9">
        <f t="shared" si="1246"/>
        <v>1.8702904607807274</v>
      </c>
      <c r="CC327" s="9">
        <f t="shared" si="1247"/>
        <v>3.9351401704883844</v>
      </c>
      <c r="CD327" s="40">
        <v>1</v>
      </c>
      <c r="CE327" s="9" t="e">
        <f>4*CC327*#REF!+60*CC327</f>
        <v>#REF!</v>
      </c>
      <c r="CG327" s="4" t="e">
        <f t="shared" si="1071"/>
        <v>#REF!</v>
      </c>
      <c r="CH327" s="4" t="e">
        <f t="shared" si="1072"/>
        <v>#REF!</v>
      </c>
      <c r="CI327" s="4" t="e">
        <f t="shared" si="1073"/>
        <v>#REF!</v>
      </c>
      <c r="CJ327" s="4" t="e">
        <f t="shared" si="1074"/>
        <v>#REF!</v>
      </c>
      <c r="CK327" s="4">
        <f t="shared" si="1075"/>
        <v>0.96079814882500592</v>
      </c>
      <c r="CL327" s="4">
        <f t="shared" si="1076"/>
        <v>0.93212965513993562</v>
      </c>
      <c r="CM327" s="4">
        <f t="shared" si="1310"/>
        <v>1.1355499502132003</v>
      </c>
      <c r="CN327" s="4">
        <f t="shared" si="1344"/>
        <v>4</v>
      </c>
      <c r="CU327" s="4" t="e">
        <f t="shared" ref="CU327" si="1377">CG327</f>
        <v>#REF!</v>
      </c>
      <c r="CV327" s="4" t="e">
        <f t="shared" ref="CV327" si="1378">CH327</f>
        <v>#REF!</v>
      </c>
      <c r="CW327" s="4" t="e">
        <f t="shared" ref="CW327" si="1379">CJ327</f>
        <v>#REF!</v>
      </c>
      <c r="CX327" s="4">
        <f t="shared" ref="CX327" si="1380">CM327</f>
        <v>1.1355499502132003</v>
      </c>
      <c r="CY327" s="4">
        <f t="shared" ref="CY327" si="1381">CK327</f>
        <v>0.96079814882500592</v>
      </c>
      <c r="CZ327" s="4">
        <f t="shared" ref="CZ327" si="1382">CL327</f>
        <v>0.93212965513993562</v>
      </c>
      <c r="DC327" s="4" t="e">
        <f>#REF!</f>
        <v>#REF!</v>
      </c>
      <c r="DF327" s="4">
        <f t="shared" si="1248"/>
        <v>2.1100385912136846E-5</v>
      </c>
      <c r="DG327" s="4">
        <f t="shared" si="1083"/>
        <v>9.0106843469076061</v>
      </c>
      <c r="DH327" s="4">
        <f t="shared" si="1249"/>
        <v>0.12376480017919407</v>
      </c>
      <c r="DI327" s="4">
        <f t="shared" si="1084"/>
        <v>3.906579207130604</v>
      </c>
      <c r="DJ327" s="4">
        <f t="shared" si="1085"/>
        <v>6.951156618432341</v>
      </c>
      <c r="DK327" s="4">
        <f t="shared" si="1250"/>
        <v>8.5249832580180538</v>
      </c>
      <c r="DL327" s="38">
        <f t="shared" si="1251"/>
        <v>470.87288173558733</v>
      </c>
      <c r="DM327" s="4" t="e">
        <f t="shared" si="1086"/>
        <v>#REF!</v>
      </c>
      <c r="DN327" s="4">
        <f t="shared" si="1252"/>
        <v>3.2403703492039297</v>
      </c>
      <c r="DO327" s="4">
        <f t="shared" si="1309"/>
        <v>228.88953438778174</v>
      </c>
      <c r="DS327" s="4">
        <f t="shared" si="1253"/>
        <v>0.85</v>
      </c>
      <c r="DT327" s="4">
        <f t="shared" si="1254"/>
        <v>0.95</v>
      </c>
      <c r="DU327" s="4">
        <f t="shared" si="1255"/>
        <v>0.99062499999999998</v>
      </c>
      <c r="DV327" s="4">
        <f t="shared" si="1087"/>
        <v>0.94109374999999995</v>
      </c>
      <c r="DX327" s="4">
        <f t="shared" si="1256"/>
        <v>485.35500464850008</v>
      </c>
      <c r="DY327" s="25">
        <f t="shared" si="1146"/>
        <v>226.38793651837554</v>
      </c>
      <c r="EA327" s="4">
        <f t="shared" si="1147"/>
        <v>0.79992968749999993</v>
      </c>
      <c r="EB327" s="4">
        <f t="shared" si="1257"/>
        <v>9.0106843469076061</v>
      </c>
      <c r="EE327" s="4">
        <f t="shared" si="1258"/>
        <v>82.305406869779816</v>
      </c>
      <c r="EF327" s="4">
        <f t="shared" si="1088"/>
        <v>3.2403703492039302</v>
      </c>
      <c r="EG327" s="4">
        <f t="shared" si="1259"/>
        <v>5.3435837996056383E-2</v>
      </c>
      <c r="EJ327" s="4">
        <f t="shared" si="1089"/>
        <v>5.3435837996056383E-2</v>
      </c>
      <c r="EK327" s="4">
        <f t="shared" si="1260"/>
        <v>0.1235582597943181</v>
      </c>
      <c r="EL327" s="4">
        <f t="shared" si="1090"/>
        <v>3.9039701593734981</v>
      </c>
      <c r="EM327" s="4">
        <f t="shared" si="1091"/>
        <v>6.9504388324651538</v>
      </c>
      <c r="EN327" s="4" t="e">
        <f t="shared" si="1092"/>
        <v>#REF!</v>
      </c>
      <c r="EO327" s="4" t="e">
        <f t="shared" si="1093"/>
        <v>#REF!</v>
      </c>
      <c r="EP327" s="4" t="e">
        <f t="shared" si="1261"/>
        <v>#REF!</v>
      </c>
      <c r="EQ327" s="4" t="e">
        <f t="shared" si="1094"/>
        <v>#REF!</v>
      </c>
      <c r="ER327" s="4" t="e">
        <f t="shared" si="1262"/>
        <v>#REF!</v>
      </c>
      <c r="FA327" s="23" t="e">
        <f t="shared" ref="FA327:FA390" si="1383">IF(CG327&lt;0.6,0.6,IF(CG327&lt;0.8,0.8,IF(CG327&lt;1,1,IF(CG327&lt;1.2,1.2,IF(CG327&lt;1.4,1.4,IF(CG327&lt;1.6,1.6,IF(CG327&lt;1.8,1.8,IF(CG327&lt;2,2,2.2))))))))</f>
        <v>#REF!</v>
      </c>
      <c r="FB327" s="23" t="e">
        <f t="shared" ref="FB327:FB390" si="1384">IF(CH327&lt;0.6,0.6,IF(CH327&lt;0.8,0.8,IF(CH327&lt;1,1,IF(CH327&lt;1.2,1.2,IF(CH327&lt;1.4,1.4,IF(CH327&lt;1.6,1.6,IF(CH327&lt;1.8,1.8,IF(CH327&lt;2,2,2.2))))))))</f>
        <v>#REF!</v>
      </c>
      <c r="FC327" s="23">
        <f t="shared" si="1317"/>
        <v>1.2</v>
      </c>
      <c r="FD327" s="23" t="e">
        <f t="shared" ref="FD327:FD390" si="1385">IF(CJ327&lt;0.6,0.6,IF(CJ327&lt;0.8,0.8,IF(CJ327&lt;1,1,IF(CJ327&lt;1.2,1.2,IF(CJ327&lt;1.4,1.4,IF(CJ327&lt;1.6,1.6,IF(CJ327&lt;1.8,1.8,IF(CJ327&lt;2,2,2.2))))))))</f>
        <v>#REF!</v>
      </c>
      <c r="FE327" s="23">
        <f t="shared" ref="FE327:FE390" si="1386">IF(CK327&lt;0.6,0.6,IF(CK327&lt;0.8,0.8,IF(CK327&lt;1,1,IF(CK327&lt;1.2,1.2,IF(CK327&lt;1.4,1.4,IF(CK327&lt;1.6,1.6,IF(CK327&lt;1.8,1.8,IF(CK327&lt;2,2,2.2))))))))</f>
        <v>1</v>
      </c>
      <c r="FF327" s="23">
        <f t="shared" ref="FF327:FF390" si="1387">IF(CL327&lt;0.6,0.6,IF(CL327&lt;0.8,0.8,IF(CL327&lt;1,1,IF(CL327&lt;1.2,1.2,IF(CL327&lt;1.4,1.4,IF(CL327&lt;1.6,1.6,IF(CL327&lt;1.8,1.8,IF(CL327&lt;2,2,2.2))))))))</f>
        <v>1</v>
      </c>
      <c r="FG327" s="23">
        <f t="shared" si="1266"/>
        <v>0</v>
      </c>
      <c r="FH327" s="23"/>
      <c r="FR327" s="4">
        <f t="shared" si="1122"/>
        <v>1</v>
      </c>
      <c r="FS327" s="4">
        <f t="shared" si="1123"/>
        <v>0.67375000000000007</v>
      </c>
      <c r="FT327" s="4">
        <f t="shared" si="1124"/>
        <v>9.3749999999999986E-2</v>
      </c>
      <c r="FU327" s="4">
        <f t="shared" si="1125"/>
        <v>398.40941652853513</v>
      </c>
    </row>
    <row r="328" spans="2:177" ht="12" customHeight="1" x14ac:dyDescent="0.3">
      <c r="B328" s="24"/>
      <c r="C328" s="7" t="s">
        <v>467</v>
      </c>
      <c r="D328" s="38">
        <f t="shared" ref="D328:D338" si="1388">120/0.145</f>
        <v>827.58620689655174</v>
      </c>
      <c r="E328" s="38">
        <f>9.5*25.4</f>
        <v>241.29999999999998</v>
      </c>
      <c r="F328" s="38">
        <f>9940/145</f>
        <v>68.551724137931032</v>
      </c>
      <c r="G328" s="38">
        <f t="shared" si="1341"/>
        <v>25.4</v>
      </c>
      <c r="H328" s="38">
        <f>16*25.4</f>
        <v>406.4</v>
      </c>
      <c r="I328" s="38">
        <f t="shared" si="1345"/>
        <v>63.5</v>
      </c>
      <c r="J328" s="39">
        <f>3.3*25.4</f>
        <v>83.82</v>
      </c>
      <c r="K328" s="7">
        <f t="shared" si="1339"/>
        <v>101.6</v>
      </c>
      <c r="L328" s="38">
        <v>3</v>
      </c>
      <c r="M328" s="4">
        <f t="shared" si="1357"/>
        <v>260.34999999999997</v>
      </c>
      <c r="N328" s="7">
        <f t="shared" si="1224"/>
        <v>2.5</v>
      </c>
      <c r="O328" s="7">
        <f t="shared" si="1225"/>
        <v>3</v>
      </c>
      <c r="P328" s="38">
        <v>9.5</v>
      </c>
      <c r="Q328" s="4">
        <f t="shared" si="1342"/>
        <v>9.5</v>
      </c>
      <c r="R328" s="4">
        <f t="shared" si="1226"/>
        <v>10.5</v>
      </c>
      <c r="S328" s="7">
        <f t="shared" si="1227"/>
        <v>82.305406869779816</v>
      </c>
      <c r="V328" s="38">
        <f t="shared" si="1054"/>
        <v>388.27586206896552</v>
      </c>
      <c r="W328" s="4">
        <v>56.3</v>
      </c>
      <c r="X328" s="4">
        <f t="shared" si="1228"/>
        <v>0.72179535196685451</v>
      </c>
      <c r="Y328" s="38"/>
      <c r="Z328" s="38"/>
      <c r="AA328" s="39">
        <v>1</v>
      </c>
      <c r="AB328" s="39"/>
      <c r="AC328" s="39"/>
      <c r="AD328" s="7"/>
      <c r="AE328" s="4">
        <f t="shared" si="1229"/>
        <v>241.29999999999998</v>
      </c>
      <c r="AF328" s="4">
        <f t="shared" si="1230"/>
        <v>0.56140350877192979</v>
      </c>
      <c r="AG328" s="4">
        <f t="shared" si="1231"/>
        <v>204.15809498223462</v>
      </c>
      <c r="AH328" s="4">
        <f t="shared" si="1232"/>
        <v>0.76315789473684204</v>
      </c>
      <c r="AI328" s="4">
        <v>1.25</v>
      </c>
      <c r="AJ328" s="4">
        <f t="shared" si="1154"/>
        <v>2.5</v>
      </c>
      <c r="AK328" s="38">
        <f t="shared" si="1340"/>
        <v>273.34186308794108</v>
      </c>
      <c r="AL328" s="38">
        <f t="shared" si="1264"/>
        <v>273.34186308794108</v>
      </c>
      <c r="AM328" s="38">
        <f t="shared" si="1233"/>
        <v>4.5752930713880566</v>
      </c>
      <c r="AN328" s="38">
        <f t="shared" si="1161"/>
        <v>273.34186308794119</v>
      </c>
      <c r="AO328" s="38">
        <f t="shared" si="1115"/>
        <v>0.99999999999999956</v>
      </c>
      <c r="AP328" s="38">
        <f t="shared" si="1162"/>
        <v>4.1741475281539566</v>
      </c>
      <c r="AQ328" s="4">
        <f t="shared" si="1163"/>
        <v>0</v>
      </c>
      <c r="AR328" s="4" t="e">
        <f>#REF!/G328*F328^0.5/0.19</f>
        <v>#REF!</v>
      </c>
      <c r="AS328" s="4">
        <f t="shared" si="1234"/>
        <v>1.08</v>
      </c>
      <c r="AT328" s="38">
        <f t="shared" si="1235"/>
        <v>1140.9692621495269</v>
      </c>
      <c r="AU328" s="4">
        <f t="shared" si="1236"/>
        <v>0.3</v>
      </c>
      <c r="AV328" s="4" t="e">
        <f>AU328*D328*#REF!/(D328*G328/2.75/F328^0.5)</f>
        <v>#REF!</v>
      </c>
      <c r="AW328" s="4" t="e">
        <f t="shared" si="1068"/>
        <v>#REF!</v>
      </c>
      <c r="AY328" s="4">
        <f t="shared" si="1237"/>
        <v>1.375</v>
      </c>
      <c r="AZ328" s="4" t="e">
        <f>(3*#REF!+30)*AY328*F328^0.5</f>
        <v>#REF!</v>
      </c>
      <c r="BB328" s="4">
        <f t="shared" si="1238"/>
        <v>1094.329053849985</v>
      </c>
      <c r="BC328" s="4">
        <f t="shared" si="1275"/>
        <v>0</v>
      </c>
      <c r="BD328" s="4">
        <f t="shared" si="1069"/>
        <v>0</v>
      </c>
      <c r="BL328" s="4">
        <f t="shared" si="1239"/>
        <v>50.8</v>
      </c>
      <c r="BP328" s="9"/>
      <c r="BR328" s="9"/>
      <c r="BS328" s="9"/>
      <c r="BT328" s="9">
        <f t="shared" si="1240"/>
        <v>50.8</v>
      </c>
      <c r="BU328" s="9">
        <f t="shared" si="1241"/>
        <v>63.5</v>
      </c>
      <c r="BV328" s="9">
        <f t="shared" si="1242"/>
        <v>1.4623505735569622</v>
      </c>
      <c r="BW328" s="40">
        <f t="shared" si="1343"/>
        <v>0</v>
      </c>
      <c r="BX328" s="9">
        <f t="shared" si="1243"/>
        <v>0</v>
      </c>
      <c r="BY328" s="9">
        <f t="shared" si="1070"/>
        <v>0</v>
      </c>
      <c r="BZ328" s="9">
        <f t="shared" si="1244"/>
        <v>0.99524931562137331</v>
      </c>
      <c r="CA328" s="9">
        <f t="shared" si="1245"/>
        <v>0.68</v>
      </c>
      <c r="CB328" s="9">
        <f t="shared" si="1246"/>
        <v>1.9611826194568933</v>
      </c>
      <c r="CC328" s="9">
        <f t="shared" si="1247"/>
        <v>2.8679365284127334</v>
      </c>
      <c r="CD328" s="40">
        <v>1</v>
      </c>
      <c r="CE328" s="9" t="e">
        <f>4*CC328*#REF!+60*CC328</f>
        <v>#REF!</v>
      </c>
      <c r="CG328" s="4" t="e">
        <f t="shared" si="1071"/>
        <v>#REF!</v>
      </c>
      <c r="CH328" s="4" t="e">
        <f t="shared" si="1072"/>
        <v>#REF!</v>
      </c>
      <c r="CI328" s="4" t="e">
        <f t="shared" si="1073"/>
        <v>#REF!</v>
      </c>
      <c r="CJ328" s="4" t="e">
        <f t="shared" si="1074"/>
        <v>#REF!</v>
      </c>
      <c r="CK328" s="4">
        <f t="shared" si="1075"/>
        <v>0.72179535196685451</v>
      </c>
      <c r="CL328" s="4">
        <f t="shared" si="1076"/>
        <v>0.70351864336481917</v>
      </c>
      <c r="CM328" s="4">
        <f t="shared" si="1310"/>
        <v>1.0683429748972426</v>
      </c>
      <c r="CN328" s="4">
        <f t="shared" si="1344"/>
        <v>0</v>
      </c>
      <c r="CO328" s="4" t="e">
        <f t="shared" ref="CO328" si="1389">CG328</f>
        <v>#REF!</v>
      </c>
      <c r="CP328" s="4" t="e">
        <f t="shared" ref="CP328" si="1390">CH328</f>
        <v>#REF!</v>
      </c>
      <c r="CQ328" s="4" t="e">
        <f t="shared" ref="CQ328" si="1391">CJ328</f>
        <v>#REF!</v>
      </c>
      <c r="CR328" s="4">
        <f t="shared" ref="CR328" si="1392">CM328</f>
        <v>1.0683429748972426</v>
      </c>
      <c r="CS328" s="4">
        <f t="shared" ref="CS328" si="1393">CK328</f>
        <v>0.72179535196685451</v>
      </c>
      <c r="CT328" s="4">
        <f t="shared" ref="CT328" si="1394">CL328</f>
        <v>0.70351864336481917</v>
      </c>
      <c r="DC328" s="4" t="e">
        <f>#REF!</f>
        <v>#REF!</v>
      </c>
      <c r="DF328" s="4">
        <f t="shared" si="1248"/>
        <v>2.172887546527434E-5</v>
      </c>
      <c r="DG328" s="4">
        <f t="shared" si="1083"/>
        <v>9.8800042841059668</v>
      </c>
      <c r="DH328" s="4">
        <f t="shared" si="1249"/>
        <v>0.13441861169554761</v>
      </c>
      <c r="DI328" s="4">
        <f t="shared" si="1084"/>
        <v>4.4273198152976452</v>
      </c>
      <c r="DJ328" s="4">
        <f t="shared" si="1085"/>
        <v>7.6619766176459025</v>
      </c>
      <c r="DK328" s="4">
        <f t="shared" si="1250"/>
        <v>9.2787814635556796</v>
      </c>
      <c r="DL328" s="38">
        <f t="shared" si="1251"/>
        <v>537.93067662590806</v>
      </c>
      <c r="DM328" s="4" t="e">
        <f t="shared" si="1086"/>
        <v>#REF!</v>
      </c>
      <c r="DN328" s="4">
        <f t="shared" si="1252"/>
        <v>3.2403703492039297</v>
      </c>
      <c r="DO328" s="4">
        <f t="shared" si="1309"/>
        <v>273.34186308794119</v>
      </c>
      <c r="DS328" s="4">
        <f t="shared" si="1253"/>
        <v>0.85</v>
      </c>
      <c r="DT328" s="4">
        <f t="shared" si="1254"/>
        <v>0.9</v>
      </c>
      <c r="DU328" s="4">
        <f t="shared" si="1255"/>
        <v>1</v>
      </c>
      <c r="DV328" s="4">
        <f t="shared" si="1087"/>
        <v>0.9</v>
      </c>
      <c r="DX328" s="4">
        <f t="shared" si="1256"/>
        <v>551.90557596583801</v>
      </c>
      <c r="DY328" s="25">
        <f t="shared" si="1146"/>
        <v>270.32545386881799</v>
      </c>
      <c r="EA328" s="4">
        <f t="shared" si="1147"/>
        <v>0.76500000000000001</v>
      </c>
      <c r="EB328" s="4">
        <f t="shared" si="1257"/>
        <v>9.8800042841059668</v>
      </c>
      <c r="EE328" s="4">
        <f t="shared" si="1258"/>
        <v>82.305406869779816</v>
      </c>
      <c r="EF328" s="4">
        <f t="shared" si="1088"/>
        <v>3.2403703492039302</v>
      </c>
      <c r="EG328" s="4">
        <f t="shared" si="1259"/>
        <v>6.0856064294171258E-2</v>
      </c>
      <c r="EJ328" s="4">
        <f t="shared" si="1089"/>
        <v>6.0856064294171258E-2</v>
      </c>
      <c r="EK328" s="4">
        <f t="shared" si="1260"/>
        <v>0.13419429208485137</v>
      </c>
      <c r="EL328" s="4">
        <f t="shared" si="1090"/>
        <v>4.4243629857489157</v>
      </c>
      <c r="EM328" s="4">
        <f t="shared" si="1091"/>
        <v>7.6611381748751528</v>
      </c>
      <c r="EN328" s="4" t="e">
        <f t="shared" si="1092"/>
        <v>#REF!</v>
      </c>
      <c r="EO328" s="4" t="e">
        <f t="shared" si="1093"/>
        <v>#REF!</v>
      </c>
      <c r="EP328" s="4" t="e">
        <f t="shared" si="1261"/>
        <v>#REF!</v>
      </c>
      <c r="EQ328" s="4" t="e">
        <f t="shared" si="1094"/>
        <v>#REF!</v>
      </c>
      <c r="ER328" s="4" t="e">
        <f t="shared" si="1262"/>
        <v>#REF!</v>
      </c>
      <c r="FA328" s="23" t="e">
        <f t="shared" si="1383"/>
        <v>#REF!</v>
      </c>
      <c r="FB328" s="23" t="e">
        <f t="shared" si="1384"/>
        <v>#REF!</v>
      </c>
      <c r="FC328" s="23">
        <f t="shared" si="1317"/>
        <v>1.2</v>
      </c>
      <c r="FD328" s="23" t="e">
        <f t="shared" si="1385"/>
        <v>#REF!</v>
      </c>
      <c r="FE328" s="23">
        <f t="shared" si="1386"/>
        <v>0.8</v>
      </c>
      <c r="FF328" s="23">
        <f t="shared" si="1387"/>
        <v>0.8</v>
      </c>
      <c r="FG328" s="23">
        <f t="shared" si="1266"/>
        <v>1</v>
      </c>
      <c r="FH328" s="23"/>
      <c r="FR328" s="4">
        <f t="shared" si="1122"/>
        <v>1</v>
      </c>
      <c r="FS328" s="4">
        <f t="shared" si="1123"/>
        <v>0.75</v>
      </c>
      <c r="FT328" s="4">
        <f t="shared" si="1124"/>
        <v>0</v>
      </c>
      <c r="FU328" s="4">
        <f t="shared" si="1125"/>
        <v>363.43746455234697</v>
      </c>
    </row>
    <row r="329" spans="2:177" ht="12" customHeight="1" x14ac:dyDescent="0.3">
      <c r="B329" s="24"/>
      <c r="C329" s="7" t="s">
        <v>468</v>
      </c>
      <c r="D329" s="38">
        <f t="shared" si="1388"/>
        <v>827.58620689655174</v>
      </c>
      <c r="E329" s="38">
        <f>9.42*25.4</f>
        <v>239.26799999999997</v>
      </c>
      <c r="F329" s="38">
        <f>9940/145</f>
        <v>68.551724137931032</v>
      </c>
      <c r="G329" s="38">
        <f t="shared" si="1341"/>
        <v>25.4</v>
      </c>
      <c r="H329" s="38">
        <f>16*25.4</f>
        <v>406.4</v>
      </c>
      <c r="I329" s="38">
        <f t="shared" si="1345"/>
        <v>63.5</v>
      </c>
      <c r="J329" s="39">
        <f>3.4*25.4</f>
        <v>86.36</v>
      </c>
      <c r="K329" s="7">
        <f t="shared" si="1339"/>
        <v>101.6</v>
      </c>
      <c r="L329" s="38">
        <v>3</v>
      </c>
      <c r="M329" s="4">
        <f t="shared" si="1357"/>
        <v>260.34999999999997</v>
      </c>
      <c r="N329" s="7">
        <f t="shared" si="1224"/>
        <v>2.5</v>
      </c>
      <c r="O329" s="7">
        <f t="shared" si="1225"/>
        <v>3</v>
      </c>
      <c r="P329" s="38">
        <v>9.5</v>
      </c>
      <c r="Q329" s="4">
        <f t="shared" si="1342"/>
        <v>9.5</v>
      </c>
      <c r="R329" s="4">
        <f t="shared" si="1226"/>
        <v>10.5</v>
      </c>
      <c r="S329" s="7">
        <f t="shared" si="1227"/>
        <v>82.305406869779816</v>
      </c>
      <c r="V329" s="38">
        <f t="shared" ref="V329:V392" si="1395">W329/0.145</f>
        <v>488.27586206896552</v>
      </c>
      <c r="W329" s="4">
        <v>70.8</v>
      </c>
      <c r="X329" s="4">
        <f t="shared" si="1228"/>
        <v>0.90958443196571492</v>
      </c>
      <c r="Y329" s="38">
        <f>0.375*25.4</f>
        <v>9.5249999999999986</v>
      </c>
      <c r="Z329" s="38">
        <v>4</v>
      </c>
      <c r="AA329" s="39">
        <f>6*25.4</f>
        <v>152.39999999999998</v>
      </c>
      <c r="AB329" s="39">
        <v>1</v>
      </c>
      <c r="AC329" s="39">
        <v>1</v>
      </c>
      <c r="AD329" s="7"/>
      <c r="AE329" s="4">
        <f t="shared" si="1229"/>
        <v>239.26799999999997</v>
      </c>
      <c r="AF329" s="4">
        <f t="shared" si="1230"/>
        <v>0.56617126680820962</v>
      </c>
      <c r="AG329" s="4">
        <f t="shared" si="1231"/>
        <v>201.58469266666123</v>
      </c>
      <c r="AH329" s="4">
        <f t="shared" si="1232"/>
        <v>0.76369426751592351</v>
      </c>
      <c r="AI329" s="4">
        <v>1.25</v>
      </c>
      <c r="AJ329" s="4">
        <f t="shared" si="1154"/>
        <v>2.5</v>
      </c>
      <c r="AK329" s="38">
        <f t="shared" si="1340"/>
        <v>272.37981990178423</v>
      </c>
      <c r="AL329" s="38">
        <f t="shared" si="1264"/>
        <v>272.37981990178423</v>
      </c>
      <c r="AM329" s="38">
        <f t="shared" si="1233"/>
        <v>4.5752930713880566</v>
      </c>
      <c r="AN329" s="38">
        <f t="shared" si="1161"/>
        <v>272.37981990178383</v>
      </c>
      <c r="AO329" s="38">
        <f t="shared" si="1115"/>
        <v>1.0000000000000016</v>
      </c>
      <c r="AP329" s="38">
        <f t="shared" si="1162"/>
        <v>4.1888905813982245</v>
      </c>
      <c r="AQ329" s="4">
        <f t="shared" si="1163"/>
        <v>0</v>
      </c>
      <c r="AR329" s="4" t="e">
        <f>#REF!/G329*F329^0.5/0.19</f>
        <v>#REF!</v>
      </c>
      <c r="AS329" s="4">
        <f t="shared" si="1234"/>
        <v>1.08</v>
      </c>
      <c r="AT329" s="38">
        <f t="shared" si="1235"/>
        <v>1140.9692621495269</v>
      </c>
      <c r="AU329" s="4">
        <f t="shared" si="1236"/>
        <v>0.3</v>
      </c>
      <c r="AV329" s="4" t="e">
        <f>AU329*D329*#REF!/(D329*G329/2.75/F329^0.5)</f>
        <v>#REF!</v>
      </c>
      <c r="AW329" s="4" t="e">
        <f t="shared" si="1068"/>
        <v>#REF!</v>
      </c>
      <c r="AY329" s="4">
        <f t="shared" si="1237"/>
        <v>1.5</v>
      </c>
      <c r="AZ329" s="4" t="e">
        <f>(3*#REF!+30)*AY329*F329^0.5</f>
        <v>#REF!</v>
      </c>
      <c r="BB329" s="4">
        <f t="shared" si="1238"/>
        <v>1094.329053849985</v>
      </c>
      <c r="BC329" s="4">
        <f t="shared" si="1275"/>
        <v>0</v>
      </c>
      <c r="BD329" s="4">
        <f t="shared" si="1069"/>
        <v>0</v>
      </c>
      <c r="BL329" s="4">
        <f t="shared" si="1239"/>
        <v>50.8</v>
      </c>
      <c r="BP329" s="9"/>
      <c r="BR329" s="9"/>
      <c r="BS329" s="9"/>
      <c r="BT329" s="9">
        <f t="shared" si="1240"/>
        <v>50.8</v>
      </c>
      <c r="BU329" s="9">
        <f t="shared" si="1241"/>
        <v>63.5</v>
      </c>
      <c r="BV329" s="9">
        <f t="shared" si="1242"/>
        <v>1.4623505735569622</v>
      </c>
      <c r="BW329" s="40">
        <f t="shared" si="1343"/>
        <v>20</v>
      </c>
      <c r="BX329" s="9">
        <f t="shared" si="1243"/>
        <v>4.9087385212340517E-2</v>
      </c>
      <c r="BY329" s="9">
        <f t="shared" si="1070"/>
        <v>0.78174770424681028</v>
      </c>
      <c r="BZ329" s="9">
        <f t="shared" si="1244"/>
        <v>0.99524931562137331</v>
      </c>
      <c r="CA329" s="9">
        <f t="shared" si="1245"/>
        <v>0.68</v>
      </c>
      <c r="CB329" s="9">
        <f t="shared" si="1246"/>
        <v>1.9611826194568933</v>
      </c>
      <c r="CC329" s="9">
        <f t="shared" si="1247"/>
        <v>4.4010865387819056</v>
      </c>
      <c r="CD329" s="40">
        <v>1</v>
      </c>
      <c r="CE329" s="9" t="e">
        <f>4*CC329*#REF!+60*CC329</f>
        <v>#REF!</v>
      </c>
      <c r="CG329" s="4" t="e">
        <f t="shared" si="1071"/>
        <v>#REF!</v>
      </c>
      <c r="CH329" s="4" t="e">
        <f t="shared" si="1072"/>
        <v>#REF!</v>
      </c>
      <c r="CI329" s="4" t="e">
        <f t="shared" si="1073"/>
        <v>#REF!</v>
      </c>
      <c r="CJ329" s="4" t="e">
        <f t="shared" si="1074"/>
        <v>#REF!</v>
      </c>
      <c r="CK329" s="4">
        <f t="shared" si="1075"/>
        <v>0.90958443196571492</v>
      </c>
      <c r="CL329" s="4">
        <f t="shared" si="1076"/>
        <v>0.88584801505264343</v>
      </c>
      <c r="CM329" s="4">
        <f t="shared" si="1310"/>
        <v>1.1302150740598296</v>
      </c>
      <c r="CN329" s="4">
        <f t="shared" si="1344"/>
        <v>4</v>
      </c>
      <c r="CU329" s="4" t="e">
        <f t="shared" ref="CU329" si="1396">CG329</f>
        <v>#REF!</v>
      </c>
      <c r="CV329" s="4" t="e">
        <f t="shared" ref="CV329" si="1397">CH329</f>
        <v>#REF!</v>
      </c>
      <c r="CW329" s="4" t="e">
        <f t="shared" ref="CW329" si="1398">CJ329</f>
        <v>#REF!</v>
      </c>
      <c r="CX329" s="4">
        <f t="shared" ref="CX329" si="1399">CM329</f>
        <v>1.1302150740598296</v>
      </c>
      <c r="CY329" s="4">
        <f t="shared" ref="CY329" si="1400">CK329</f>
        <v>0.90958443196571492</v>
      </c>
      <c r="CZ329" s="4">
        <f t="shared" ref="CZ329" si="1401">CL329</f>
        <v>0.88584801505264343</v>
      </c>
      <c r="DC329" s="4" t="e">
        <f>#REF!</f>
        <v>#REF!</v>
      </c>
      <c r="DF329" s="4">
        <f t="shared" si="1248"/>
        <v>2.154589546135624E-5</v>
      </c>
      <c r="DG329" s="4">
        <f t="shared" si="1083"/>
        <v>9.9735059019366208</v>
      </c>
      <c r="DH329" s="4">
        <f t="shared" si="1249"/>
        <v>0.13394551727812634</v>
      </c>
      <c r="DI329" s="4">
        <f t="shared" si="1084"/>
        <v>4.4629202110573463</v>
      </c>
      <c r="DJ329" s="4">
        <f t="shared" si="1085"/>
        <v>7.732702018789797</v>
      </c>
      <c r="DK329" s="4">
        <f t="shared" si="1250"/>
        <v>9.372320963877053</v>
      </c>
      <c r="DL329" s="38">
        <f t="shared" si="1251"/>
        <v>536.81202635993463</v>
      </c>
      <c r="DM329" s="4" t="e">
        <f t="shared" si="1086"/>
        <v>#REF!</v>
      </c>
      <c r="DN329" s="4">
        <f t="shared" si="1252"/>
        <v>3.2403703492039297</v>
      </c>
      <c r="DO329" s="4">
        <f t="shared" si="1309"/>
        <v>272.37981990178383</v>
      </c>
      <c r="DS329" s="4">
        <f t="shared" si="1253"/>
        <v>0.85</v>
      </c>
      <c r="DT329" s="4">
        <f t="shared" si="1254"/>
        <v>0.9</v>
      </c>
      <c r="DU329" s="4">
        <f t="shared" si="1255"/>
        <v>0.99062499999999998</v>
      </c>
      <c r="DV329" s="4">
        <f t="shared" si="1087"/>
        <v>0.89156250000000004</v>
      </c>
      <c r="DX329" s="4">
        <f t="shared" si="1256"/>
        <v>551.19597693058972</v>
      </c>
      <c r="DY329" s="25">
        <f t="shared" si="1146"/>
        <v>269.34470014186081</v>
      </c>
      <c r="EA329" s="4">
        <f t="shared" si="1147"/>
        <v>0.75782812499999996</v>
      </c>
      <c r="EB329" s="4">
        <f t="shared" si="1257"/>
        <v>9.9735059019366208</v>
      </c>
      <c r="EE329" s="4">
        <f t="shared" si="1258"/>
        <v>82.305406869779816</v>
      </c>
      <c r="EF329" s="4">
        <f t="shared" si="1088"/>
        <v>3.2403703492039302</v>
      </c>
      <c r="EG329" s="4">
        <f t="shared" si="1259"/>
        <v>6.064187770259262E-2</v>
      </c>
      <c r="EJ329" s="4">
        <f t="shared" si="1089"/>
        <v>6.064187770259262E-2</v>
      </c>
      <c r="EK329" s="4">
        <f t="shared" si="1260"/>
        <v>0.13372198717383998</v>
      </c>
      <c r="EL329" s="4">
        <f t="shared" si="1090"/>
        <v>4.4599396054304208</v>
      </c>
      <c r="EM329" s="4">
        <f t="shared" si="1091"/>
        <v>7.7318579159388037</v>
      </c>
      <c r="EN329" s="4" t="e">
        <f t="shared" si="1092"/>
        <v>#REF!</v>
      </c>
      <c r="EO329" s="4" t="e">
        <f t="shared" si="1093"/>
        <v>#REF!</v>
      </c>
      <c r="EP329" s="4" t="e">
        <f t="shared" si="1261"/>
        <v>#REF!</v>
      </c>
      <c r="EQ329" s="4" t="e">
        <f t="shared" si="1094"/>
        <v>#REF!</v>
      </c>
      <c r="ER329" s="4" t="e">
        <f t="shared" si="1262"/>
        <v>#REF!</v>
      </c>
      <c r="FA329" s="23" t="e">
        <f t="shared" si="1383"/>
        <v>#REF!</v>
      </c>
      <c r="FB329" s="23" t="e">
        <f t="shared" si="1384"/>
        <v>#REF!</v>
      </c>
      <c r="FC329" s="23">
        <f t="shared" si="1317"/>
        <v>1.2</v>
      </c>
      <c r="FD329" s="23" t="e">
        <f t="shared" si="1385"/>
        <v>#REF!</v>
      </c>
      <c r="FE329" s="23">
        <f t="shared" si="1386"/>
        <v>1</v>
      </c>
      <c r="FF329" s="23">
        <f t="shared" si="1387"/>
        <v>1</v>
      </c>
      <c r="FG329" s="23">
        <f t="shared" si="1266"/>
        <v>0</v>
      </c>
      <c r="FH329" s="23"/>
      <c r="FR329" s="4">
        <f t="shared" si="1122"/>
        <v>1</v>
      </c>
      <c r="FS329" s="4">
        <f t="shared" si="1123"/>
        <v>0.62562499999999999</v>
      </c>
      <c r="FT329" s="4">
        <f t="shared" si="1124"/>
        <v>9.3749999999999986E-2</v>
      </c>
      <c r="FU329" s="4">
        <f t="shared" si="1125"/>
        <v>432.02030593614074</v>
      </c>
    </row>
    <row r="330" spans="2:177" ht="12" customHeight="1" x14ac:dyDescent="0.3">
      <c r="B330" s="24"/>
      <c r="C330" s="7" t="s">
        <v>469</v>
      </c>
      <c r="D330" s="38">
        <f t="shared" si="1388"/>
        <v>827.58620689655174</v>
      </c>
      <c r="E330" s="38">
        <f>9.5*25.4</f>
        <v>241.29999999999998</v>
      </c>
      <c r="F330" s="38">
        <f>10180/145</f>
        <v>70.206896551724142</v>
      </c>
      <c r="G330" s="38">
        <f t="shared" si="1341"/>
        <v>25.4</v>
      </c>
      <c r="H330" s="38">
        <f>19.9*25.4</f>
        <v>505.45999999999992</v>
      </c>
      <c r="I330" s="38">
        <f t="shared" si="1345"/>
        <v>63.5</v>
      </c>
      <c r="J330" s="39">
        <f>3.1*25.4</f>
        <v>78.739999999999995</v>
      </c>
      <c r="K330" s="7">
        <f t="shared" si="1339"/>
        <v>151.12999999999997</v>
      </c>
      <c r="L330" s="38">
        <v>3</v>
      </c>
      <c r="M330" s="4">
        <f t="shared" si="1357"/>
        <v>260.34999999999997</v>
      </c>
      <c r="N330" s="7">
        <f t="shared" si="1224"/>
        <v>3</v>
      </c>
      <c r="O330" s="7">
        <f t="shared" si="1225"/>
        <v>3</v>
      </c>
      <c r="P330" s="38">
        <v>9.5</v>
      </c>
      <c r="Q330" s="4">
        <f t="shared" si="1342"/>
        <v>9.5</v>
      </c>
      <c r="R330" s="4">
        <f t="shared" si="1226"/>
        <v>10.5</v>
      </c>
      <c r="S330" s="7">
        <f t="shared" si="1227"/>
        <v>82.305406869779816</v>
      </c>
      <c r="V330" s="38">
        <f t="shared" si="1395"/>
        <v>600</v>
      </c>
      <c r="W330" s="4">
        <v>87</v>
      </c>
      <c r="X330" s="4">
        <f t="shared" si="1228"/>
        <v>0.94633885858091515</v>
      </c>
      <c r="Y330" s="38"/>
      <c r="Z330" s="38"/>
      <c r="AA330" s="39">
        <v>1</v>
      </c>
      <c r="AB330" s="39"/>
      <c r="AC330" s="39"/>
      <c r="AD330" s="7"/>
      <c r="AE330" s="4">
        <f t="shared" si="1229"/>
        <v>241.29999999999998</v>
      </c>
      <c r="AF330" s="4">
        <f t="shared" si="1230"/>
        <v>0.69824561403508767</v>
      </c>
      <c r="AG330" s="4">
        <f t="shared" si="1231"/>
        <v>206.60807979855329</v>
      </c>
      <c r="AH330" s="4">
        <f t="shared" si="1232"/>
        <v>0.76315789473684204</v>
      </c>
      <c r="AI330" s="4">
        <v>1.25</v>
      </c>
      <c r="AJ330" s="4">
        <f t="shared" si="1154"/>
        <v>2.5</v>
      </c>
      <c r="AK330" s="38">
        <f t="shared" si="1340"/>
        <v>344.04871552327177</v>
      </c>
      <c r="AL330" s="38">
        <f t="shared" si="1264"/>
        <v>344.04871552327177</v>
      </c>
      <c r="AM330" s="38">
        <f t="shared" si="1233"/>
        <v>4.615452125415529</v>
      </c>
      <c r="AN330" s="38">
        <f t="shared" si="1161"/>
        <v>344.04871552327194</v>
      </c>
      <c r="AO330" s="38">
        <f t="shared" si="1115"/>
        <v>0.99999999999999956</v>
      </c>
      <c r="AP330" s="38">
        <f t="shared" si="1162"/>
        <v>3.7737479317445835</v>
      </c>
      <c r="AQ330" s="4">
        <f t="shared" si="1163"/>
        <v>0</v>
      </c>
      <c r="AR330" s="4" t="e">
        <f>#REF!/G330*F330^0.5/0.19</f>
        <v>#REF!</v>
      </c>
      <c r="AS330" s="4">
        <f t="shared" si="1234"/>
        <v>1</v>
      </c>
      <c r="AT330" s="38">
        <f t="shared" si="1235"/>
        <v>1298.3531286253281</v>
      </c>
      <c r="AU330" s="4">
        <f t="shared" si="1236"/>
        <v>0.3</v>
      </c>
      <c r="AV330" s="4" t="e">
        <f>AU330*D330*#REF!/(D330*G330/2.75/F330^0.5)</f>
        <v>#REF!</v>
      </c>
      <c r="AW330" s="4" t="e">
        <f t="shared" si="1068"/>
        <v>#REF!</v>
      </c>
      <c r="AY330" s="4">
        <f t="shared" si="1237"/>
        <v>1.375</v>
      </c>
      <c r="AZ330" s="4" t="e">
        <f>(3*#REF!+30)*AY330*F330^0.5</f>
        <v>#REF!</v>
      </c>
      <c r="BB330" s="4">
        <f t="shared" si="1238"/>
        <v>1245.2794285929851</v>
      </c>
      <c r="BC330" s="4">
        <f t="shared" si="1275"/>
        <v>0</v>
      </c>
      <c r="BD330" s="4">
        <f t="shared" si="1069"/>
        <v>0</v>
      </c>
      <c r="BL330" s="4">
        <f t="shared" si="1239"/>
        <v>63.5</v>
      </c>
      <c r="BP330" s="9"/>
      <c r="BR330" s="9"/>
      <c r="BS330" s="9"/>
      <c r="BT330" s="9">
        <f t="shared" si="1240"/>
        <v>63.5</v>
      </c>
      <c r="BU330" s="9">
        <f t="shared" si="1241"/>
        <v>75.564999999999984</v>
      </c>
      <c r="BV330" s="9">
        <f t="shared" si="1242"/>
        <v>1.6229384464141692</v>
      </c>
      <c r="BW330" s="40">
        <f t="shared" si="1343"/>
        <v>0</v>
      </c>
      <c r="BX330" s="9">
        <f t="shared" si="1243"/>
        <v>0</v>
      </c>
      <c r="BY330" s="9">
        <f t="shared" si="1070"/>
        <v>0</v>
      </c>
      <c r="BZ330" s="9">
        <f t="shared" si="1244"/>
        <v>0.99524931562137331</v>
      </c>
      <c r="CA330" s="9">
        <f t="shared" si="1245"/>
        <v>0.68</v>
      </c>
      <c r="CB330" s="9">
        <f t="shared" si="1246"/>
        <v>1.9847176531283015</v>
      </c>
      <c r="CC330" s="9">
        <f t="shared" si="1247"/>
        <v>3.2210745845388216</v>
      </c>
      <c r="CD330" s="40">
        <v>1</v>
      </c>
      <c r="CE330" s="9" t="e">
        <f>4*CC330*#REF!+60*CC330</f>
        <v>#REF!</v>
      </c>
      <c r="CG330" s="4" t="e">
        <f t="shared" si="1071"/>
        <v>#REF!</v>
      </c>
      <c r="CH330" s="4" t="e">
        <f t="shared" si="1072"/>
        <v>#REF!</v>
      </c>
      <c r="CI330" s="4" t="e">
        <f t="shared" si="1073"/>
        <v>#REF!</v>
      </c>
      <c r="CJ330" s="4" t="e">
        <f t="shared" si="1074"/>
        <v>#REF!</v>
      </c>
      <c r="CK330" s="4">
        <f t="shared" si="1075"/>
        <v>0.94633885858091515</v>
      </c>
      <c r="CL330" s="4">
        <f t="shared" si="1076"/>
        <v>0.93461795122954905</v>
      </c>
      <c r="CM330" s="4">
        <f t="shared" si="1310"/>
        <v>1.2855169740960342</v>
      </c>
      <c r="CN330" s="4">
        <f t="shared" si="1344"/>
        <v>0</v>
      </c>
      <c r="CO330" s="4" t="e">
        <f t="shared" ref="CO330" si="1402">CG330</f>
        <v>#REF!</v>
      </c>
      <c r="CP330" s="4" t="e">
        <f t="shared" ref="CP330" si="1403">CH330</f>
        <v>#REF!</v>
      </c>
      <c r="CQ330" s="4" t="e">
        <f t="shared" ref="CQ330" si="1404">CJ330</f>
        <v>#REF!</v>
      </c>
      <c r="CR330" s="4">
        <f t="shared" ref="CR330" si="1405">CM330</f>
        <v>1.2855169740960342</v>
      </c>
      <c r="CS330" s="4">
        <f t="shared" ref="CS330" si="1406">CK330</f>
        <v>0.94633885858091515</v>
      </c>
      <c r="CT330" s="4">
        <f t="shared" ref="CT330" si="1407">CL330</f>
        <v>0.93461795122954905</v>
      </c>
      <c r="DC330" s="4" t="e">
        <f>#REF!</f>
        <v>#REF!</v>
      </c>
      <c r="DF330" s="4">
        <f t="shared" si="1248"/>
        <v>2.1947426995855081E-5</v>
      </c>
      <c r="DG330" s="4">
        <f t="shared" si="1083"/>
        <v>10.58671967137796</v>
      </c>
      <c r="DH330" s="4">
        <f t="shared" si="1249"/>
        <v>0.16520066931841088</v>
      </c>
      <c r="DI330" s="4">
        <f t="shared" si="1084"/>
        <v>5.1518846949079204</v>
      </c>
      <c r="DJ330" s="4">
        <f t="shared" si="1085"/>
        <v>8.3301669153224136</v>
      </c>
      <c r="DK330" s="4">
        <f t="shared" si="1250"/>
        <v>9.8693828406686102</v>
      </c>
      <c r="DL330" s="38">
        <f t="shared" si="1251"/>
        <v>634.02236372257983</v>
      </c>
      <c r="DM330" s="4" t="e">
        <f t="shared" si="1086"/>
        <v>#REF!</v>
      </c>
      <c r="DN330" s="4">
        <f t="shared" si="1252"/>
        <v>3.2403703492039297</v>
      </c>
      <c r="DO330" s="4">
        <f t="shared" si="1309"/>
        <v>344.04871552327194</v>
      </c>
      <c r="DS330" s="4">
        <f t="shared" si="1253"/>
        <v>0.85</v>
      </c>
      <c r="DT330" s="4">
        <f t="shared" si="1254"/>
        <v>0.85</v>
      </c>
      <c r="DU330" s="4">
        <f t="shared" si="1255"/>
        <v>1</v>
      </c>
      <c r="DV330" s="4">
        <f t="shared" si="1087"/>
        <v>0.85</v>
      </c>
      <c r="DX330" s="4">
        <f t="shared" si="1256"/>
        <v>641.97354567249863</v>
      </c>
      <c r="DY330" s="25">
        <f t="shared" si="1146"/>
        <v>340.25203503822672</v>
      </c>
      <c r="EA330" s="4">
        <f t="shared" si="1147"/>
        <v>0.72249999999999992</v>
      </c>
      <c r="EB330" s="4">
        <f t="shared" si="1257"/>
        <v>10.58671967137796</v>
      </c>
      <c r="EE330" s="4">
        <f t="shared" si="1258"/>
        <v>82.305406869779816</v>
      </c>
      <c r="EF330" s="4">
        <f t="shared" si="1088"/>
        <v>3.2403703492039302</v>
      </c>
      <c r="EG330" s="4">
        <f t="shared" si="1259"/>
        <v>7.5689729965875502E-2</v>
      </c>
      <c r="EJ330" s="4">
        <f t="shared" si="1089"/>
        <v>7.5689729965875502E-2</v>
      </c>
      <c r="EK330" s="4">
        <f t="shared" si="1260"/>
        <v>0.16492498019053781</v>
      </c>
      <c r="EL330" s="4">
        <f t="shared" si="1090"/>
        <v>5.1484439575017564</v>
      </c>
      <c r="EM330" s="4">
        <f t="shared" si="1091"/>
        <v>8.3291170790317608</v>
      </c>
      <c r="EN330" s="4" t="e">
        <f t="shared" si="1092"/>
        <v>#REF!</v>
      </c>
      <c r="EO330" s="4" t="e">
        <f t="shared" si="1093"/>
        <v>#REF!</v>
      </c>
      <c r="EP330" s="4" t="e">
        <f t="shared" si="1261"/>
        <v>#REF!</v>
      </c>
      <c r="EQ330" s="4" t="e">
        <f t="shared" si="1094"/>
        <v>#REF!</v>
      </c>
      <c r="ER330" s="4" t="e">
        <f t="shared" si="1262"/>
        <v>#REF!</v>
      </c>
      <c r="FA330" s="23" t="e">
        <f t="shared" si="1383"/>
        <v>#REF!</v>
      </c>
      <c r="FB330" s="23" t="e">
        <f t="shared" si="1384"/>
        <v>#REF!</v>
      </c>
      <c r="FC330" s="23">
        <f t="shared" si="1317"/>
        <v>1.4</v>
      </c>
      <c r="FD330" s="23" t="e">
        <f t="shared" si="1385"/>
        <v>#REF!</v>
      </c>
      <c r="FE330" s="23">
        <f t="shared" si="1386"/>
        <v>1</v>
      </c>
      <c r="FF330" s="23">
        <f t="shared" si="1387"/>
        <v>1</v>
      </c>
      <c r="FG330" s="23">
        <f t="shared" si="1266"/>
        <v>0</v>
      </c>
      <c r="FH330" s="23"/>
      <c r="FR330" s="4">
        <f t="shared" si="1122"/>
        <v>1</v>
      </c>
      <c r="FS330" s="4">
        <f t="shared" si="1123"/>
        <v>0.58750000000000002</v>
      </c>
      <c r="FT330" s="4">
        <f t="shared" si="1124"/>
        <v>0</v>
      </c>
      <c r="FU330" s="4">
        <f t="shared" si="1125"/>
        <v>466.73829446858565</v>
      </c>
    </row>
    <row r="331" spans="2:177" ht="12" customHeight="1" x14ac:dyDescent="0.3">
      <c r="B331" s="24"/>
      <c r="C331" s="7" t="s">
        <v>470</v>
      </c>
      <c r="D331" s="38">
        <f t="shared" si="1388"/>
        <v>827.58620689655174</v>
      </c>
      <c r="E331" s="38">
        <f>9.58*25.4</f>
        <v>243.33199999999999</v>
      </c>
      <c r="F331" s="38">
        <f>10180/145</f>
        <v>70.206896551724142</v>
      </c>
      <c r="G331" s="38">
        <f t="shared" si="1341"/>
        <v>25.4</v>
      </c>
      <c r="H331" s="38">
        <f>20.1*25.4</f>
        <v>510.54</v>
      </c>
      <c r="I331" s="38">
        <f t="shared" si="1345"/>
        <v>63.5</v>
      </c>
      <c r="J331" s="39">
        <f>3.2*25.4</f>
        <v>81.28</v>
      </c>
      <c r="K331" s="7">
        <f t="shared" si="1339"/>
        <v>153.67000000000002</v>
      </c>
      <c r="L331" s="38">
        <v>3</v>
      </c>
      <c r="M331" s="4">
        <f t="shared" si="1357"/>
        <v>260.34999999999997</v>
      </c>
      <c r="N331" s="7">
        <f t="shared" si="1224"/>
        <v>3</v>
      </c>
      <c r="O331" s="7">
        <f t="shared" si="1225"/>
        <v>3</v>
      </c>
      <c r="P331" s="38">
        <v>9.5</v>
      </c>
      <c r="Q331" s="4">
        <f t="shared" si="1342"/>
        <v>9.5</v>
      </c>
      <c r="R331" s="4">
        <f t="shared" si="1226"/>
        <v>10.5</v>
      </c>
      <c r="S331" s="7">
        <f t="shared" si="1227"/>
        <v>82.305406869779816</v>
      </c>
      <c r="V331" s="38">
        <f t="shared" si="1395"/>
        <v>590.34482758620686</v>
      </c>
      <c r="W331" s="4">
        <v>85.6</v>
      </c>
      <c r="X331" s="4">
        <f t="shared" si="1228"/>
        <v>0.88772695202762453</v>
      </c>
      <c r="Y331" s="38">
        <f>0.5*25.4</f>
        <v>12.7</v>
      </c>
      <c r="Z331" s="38">
        <v>4</v>
      </c>
      <c r="AA331" s="39">
        <f>6*25.4</f>
        <v>152.39999999999998</v>
      </c>
      <c r="AB331" s="39">
        <v>1</v>
      </c>
      <c r="AC331" s="39">
        <v>1</v>
      </c>
      <c r="AD331" s="7"/>
      <c r="AE331" s="4">
        <f t="shared" si="1229"/>
        <v>243.33199999999999</v>
      </c>
      <c r="AF331" s="4">
        <f t="shared" si="1230"/>
        <v>0.69937369519832993</v>
      </c>
      <c r="AG331" s="4">
        <f t="shared" si="1231"/>
        <v>209.22335266954931</v>
      </c>
      <c r="AH331" s="4">
        <f t="shared" si="1232"/>
        <v>0.76263048016701451</v>
      </c>
      <c r="AI331" s="4">
        <v>1.25</v>
      </c>
      <c r="AJ331" s="4">
        <f t="shared" si="1154"/>
        <v>2.5</v>
      </c>
      <c r="AK331" s="38">
        <f t="shared" si="1340"/>
        <v>348.72544023589438</v>
      </c>
      <c r="AL331" s="38">
        <f t="shared" si="1264"/>
        <v>348.72544023589438</v>
      </c>
      <c r="AM331" s="38">
        <f t="shared" si="1233"/>
        <v>4.615452125415529</v>
      </c>
      <c r="AN331" s="38">
        <f t="shared" si="1161"/>
        <v>348.7254402358941</v>
      </c>
      <c r="AO331" s="38">
        <f t="shared" si="1115"/>
        <v>1.0000000000000009</v>
      </c>
      <c r="AP331" s="38">
        <f t="shared" si="1162"/>
        <v>3.7231385463218905</v>
      </c>
      <c r="AQ331" s="4">
        <f t="shared" si="1163"/>
        <v>0</v>
      </c>
      <c r="AR331" s="4" t="e">
        <f>#REF!/G331*F331^0.5/0.19</f>
        <v>#REF!</v>
      </c>
      <c r="AS331" s="4">
        <f t="shared" si="1234"/>
        <v>1</v>
      </c>
      <c r="AT331" s="38">
        <f t="shared" si="1235"/>
        <v>1298.3531286253281</v>
      </c>
      <c r="AU331" s="4">
        <f t="shared" si="1236"/>
        <v>0.3</v>
      </c>
      <c r="AV331" s="4" t="e">
        <f>AU331*D331*#REF!/(D331*G331/2.75/F331^0.5)</f>
        <v>#REF!</v>
      </c>
      <c r="AW331" s="4" t="e">
        <f t="shared" si="1068"/>
        <v>#REF!</v>
      </c>
      <c r="AY331" s="4">
        <f t="shared" si="1237"/>
        <v>1.5</v>
      </c>
      <c r="AZ331" s="4" t="e">
        <f>(3*#REF!+30)*AY331*F331^0.5</f>
        <v>#REF!</v>
      </c>
      <c r="BB331" s="4">
        <f t="shared" si="1238"/>
        <v>1245.2794285929851</v>
      </c>
      <c r="BC331" s="4">
        <f t="shared" si="1275"/>
        <v>0</v>
      </c>
      <c r="BD331" s="4">
        <f t="shared" si="1069"/>
        <v>0</v>
      </c>
      <c r="BL331" s="4">
        <f t="shared" si="1239"/>
        <v>63.5</v>
      </c>
      <c r="BP331" s="9"/>
      <c r="BR331" s="9"/>
      <c r="BS331" s="9"/>
      <c r="BT331" s="9">
        <f t="shared" si="1240"/>
        <v>63.5</v>
      </c>
      <c r="BU331" s="9">
        <f t="shared" si="1241"/>
        <v>76.835000000000008</v>
      </c>
      <c r="BV331" s="9">
        <f t="shared" si="1242"/>
        <v>1.6270009626009634</v>
      </c>
      <c r="BW331" s="40">
        <f t="shared" si="1343"/>
        <v>20</v>
      </c>
      <c r="BX331" s="9">
        <f t="shared" si="1243"/>
        <v>0.05</v>
      </c>
      <c r="BY331" s="9">
        <f t="shared" si="1070"/>
        <v>0.8</v>
      </c>
      <c r="BZ331" s="9">
        <f t="shared" si="1244"/>
        <v>0.99524931562137331</v>
      </c>
      <c r="CA331" s="9">
        <f t="shared" si="1245"/>
        <v>0.68</v>
      </c>
      <c r="CB331" s="9">
        <f t="shared" si="1246"/>
        <v>1.9847176531283015</v>
      </c>
      <c r="CC331" s="9">
        <f t="shared" si="1247"/>
        <v>4.8169116546335129</v>
      </c>
      <c r="CD331" s="40">
        <v>1</v>
      </c>
      <c r="CE331" s="9" t="e">
        <f>4*CC331*#REF!+60*CC331</f>
        <v>#REF!</v>
      </c>
      <c r="CG331" s="4" t="e">
        <f t="shared" si="1071"/>
        <v>#REF!</v>
      </c>
      <c r="CH331" s="4" t="e">
        <f t="shared" si="1072"/>
        <v>#REF!</v>
      </c>
      <c r="CI331" s="4" t="e">
        <f t="shared" si="1073"/>
        <v>#REF!</v>
      </c>
      <c r="CJ331" s="4" t="e">
        <f t="shared" si="1074"/>
        <v>#REF!</v>
      </c>
      <c r="CK331" s="4">
        <f t="shared" si="1075"/>
        <v>0.88772695202762453</v>
      </c>
      <c r="CL331" s="4">
        <f t="shared" si="1076"/>
        <v>0.8760822339448866</v>
      </c>
      <c r="CM331" s="4">
        <f t="shared" si="1310"/>
        <v>1.0909464990682394</v>
      </c>
      <c r="CN331" s="4">
        <f t="shared" si="1344"/>
        <v>4</v>
      </c>
      <c r="CU331" s="4" t="e">
        <f t="shared" ref="CU331" si="1408">CG331</f>
        <v>#REF!</v>
      </c>
      <c r="CV331" s="4" t="e">
        <f t="shared" ref="CV331" si="1409">CH331</f>
        <v>#REF!</v>
      </c>
      <c r="CW331" s="4" t="e">
        <f t="shared" ref="CW331" si="1410">CJ331</f>
        <v>#REF!</v>
      </c>
      <c r="CX331" s="4">
        <f t="shared" ref="CX331" si="1411">CM331</f>
        <v>1.0909464990682394</v>
      </c>
      <c r="CY331" s="4">
        <f t="shared" ref="CY331" si="1412">CK331</f>
        <v>0.88772695202762453</v>
      </c>
      <c r="CZ331" s="4">
        <f t="shared" ref="CZ331" si="1413">CL331</f>
        <v>0.8760822339448866</v>
      </c>
      <c r="DC331" s="4" t="e">
        <f>#REF!</f>
        <v>#REF!</v>
      </c>
      <c r="DF331" s="4">
        <f t="shared" si="1248"/>
        <v>2.2132247433714916E-5</v>
      </c>
      <c r="DG331" s="4">
        <f t="shared" si="1083"/>
        <v>11.445102347435631</v>
      </c>
      <c r="DH331" s="4">
        <f t="shared" si="1249"/>
        <v>0.16744627587900529</v>
      </c>
      <c r="DI331" s="4">
        <f>DG331*DH331^0.4</f>
        <v>5.5997659814198109</v>
      </c>
      <c r="DJ331" s="4">
        <f t="shared" si="1085"/>
        <v>9.0148128271126939</v>
      </c>
      <c r="DK331" s="4">
        <f t="shared" si="1250"/>
        <v>10.590826696453178</v>
      </c>
      <c r="DL331" s="38">
        <f t="shared" si="1251"/>
        <v>665.00721447943192</v>
      </c>
      <c r="DM331" s="4" t="e">
        <f t="shared" si="1086"/>
        <v>#REF!</v>
      </c>
      <c r="DN331" s="4">
        <f t="shared" si="1252"/>
        <v>3.2403703492039297</v>
      </c>
      <c r="DO331" s="4">
        <f t="shared" si="1309"/>
        <v>348.7254402358941</v>
      </c>
      <c r="DS331" s="4">
        <f t="shared" si="1253"/>
        <v>0.85</v>
      </c>
      <c r="DT331" s="4">
        <f t="shared" si="1254"/>
        <v>0.85</v>
      </c>
      <c r="DU331" s="4">
        <f t="shared" si="1255"/>
        <v>0.92500000000000004</v>
      </c>
      <c r="DV331" s="4">
        <f t="shared" si="1087"/>
        <v>0.78625</v>
      </c>
      <c r="DX331" s="4">
        <f t="shared" si="1256"/>
        <v>673.84636363182415</v>
      </c>
      <c r="DY331" s="25">
        <f t="shared" si="1146"/>
        <v>344.91412216652412</v>
      </c>
      <c r="EA331" s="4">
        <f t="shared" si="1147"/>
        <v>0.66831249999999998</v>
      </c>
      <c r="EB331" s="4">
        <f t="shared" si="1257"/>
        <v>11.445102347435631</v>
      </c>
      <c r="EE331" s="4">
        <f t="shared" si="1258"/>
        <v>82.305406869779816</v>
      </c>
      <c r="EF331" s="4">
        <f t="shared" si="1088"/>
        <v>3.2403703492039302</v>
      </c>
      <c r="EG331" s="4">
        <f t="shared" si="1259"/>
        <v>7.6718595980052401E-2</v>
      </c>
      <c r="EJ331" s="4">
        <f t="shared" si="1089"/>
        <v>7.6718595980052401E-2</v>
      </c>
      <c r="EK331" s="4">
        <f t="shared" si="1260"/>
        <v>0.16716683925230674</v>
      </c>
      <c r="EL331" s="4">
        <f t="shared" si="1090"/>
        <v>5.5960261220442531</v>
      </c>
      <c r="EM331" s="4">
        <f t="shared" si="1091"/>
        <v>9.0136663650658502</v>
      </c>
      <c r="EN331" s="4" t="e">
        <f t="shared" si="1092"/>
        <v>#REF!</v>
      </c>
      <c r="EO331" s="4" t="e">
        <f t="shared" si="1093"/>
        <v>#REF!</v>
      </c>
      <c r="EP331" s="4" t="e">
        <f t="shared" si="1261"/>
        <v>#REF!</v>
      </c>
      <c r="EQ331" s="4" t="e">
        <f t="shared" si="1094"/>
        <v>#REF!</v>
      </c>
      <c r="ER331" s="4" t="e">
        <f t="shared" si="1262"/>
        <v>#REF!</v>
      </c>
      <c r="FA331" s="23" t="e">
        <f t="shared" si="1383"/>
        <v>#REF!</v>
      </c>
      <c r="FB331" s="23" t="e">
        <f t="shared" si="1384"/>
        <v>#REF!</v>
      </c>
      <c r="FC331" s="23">
        <f t="shared" si="1317"/>
        <v>1.2</v>
      </c>
      <c r="FD331" s="23" t="e">
        <f t="shared" si="1385"/>
        <v>#REF!</v>
      </c>
      <c r="FE331" s="23">
        <f t="shared" si="1386"/>
        <v>1</v>
      </c>
      <c r="FF331" s="23">
        <f t="shared" si="1387"/>
        <v>1</v>
      </c>
      <c r="FG331" s="23">
        <f t="shared" si="1266"/>
        <v>0</v>
      </c>
      <c r="FH331" s="23"/>
      <c r="FR331" s="4">
        <f t="shared" si="1122"/>
        <v>1</v>
      </c>
      <c r="FS331" s="4">
        <f t="shared" si="1123"/>
        <v>0.51100000000000001</v>
      </c>
      <c r="FT331" s="4">
        <f t="shared" si="1124"/>
        <v>0.16666666666666669</v>
      </c>
      <c r="FU331" s="4">
        <f t="shared" si="1125"/>
        <v>541.13086947014483</v>
      </c>
    </row>
    <row r="332" spans="2:177" ht="12" customHeight="1" x14ac:dyDescent="0.3">
      <c r="B332" s="24"/>
      <c r="C332" s="7" t="s">
        <v>471</v>
      </c>
      <c r="D332" s="38">
        <f t="shared" si="1388"/>
        <v>827.58620689655174</v>
      </c>
      <c r="E332" s="38">
        <f>14.38*25.4</f>
        <v>365.25200000000001</v>
      </c>
      <c r="F332" s="38">
        <f>10180/145</f>
        <v>70.206896551724142</v>
      </c>
      <c r="G332" s="38">
        <f t="shared" si="1341"/>
        <v>25.4</v>
      </c>
      <c r="H332" s="38">
        <f>17.1*25.4</f>
        <v>434.34000000000003</v>
      </c>
      <c r="I332" s="38">
        <f t="shared" si="1345"/>
        <v>63.5</v>
      </c>
      <c r="J332" s="39">
        <f>3.45*25.4</f>
        <v>87.63</v>
      </c>
      <c r="K332" s="7">
        <f t="shared" si="1339"/>
        <v>256.54000000000002</v>
      </c>
      <c r="L332" s="38">
        <v>2</v>
      </c>
      <c r="M332" s="4">
        <f t="shared" si="1357"/>
        <v>260.34999999999997</v>
      </c>
      <c r="N332" s="7">
        <f t="shared" si="1224"/>
        <v>3</v>
      </c>
      <c r="O332" s="7">
        <f t="shared" si="1225"/>
        <v>3</v>
      </c>
      <c r="P332" s="38">
        <v>9.5</v>
      </c>
      <c r="Q332" s="4">
        <f t="shared" si="1342"/>
        <v>9.5</v>
      </c>
      <c r="R332" s="4">
        <f t="shared" si="1226"/>
        <v>10.5</v>
      </c>
      <c r="S332" s="7">
        <f t="shared" si="1227"/>
        <v>82.305406869779816</v>
      </c>
      <c r="V332" s="38">
        <f t="shared" si="1395"/>
        <v>1037.2413793103449</v>
      </c>
      <c r="W332" s="4">
        <v>150.4</v>
      </c>
      <c r="X332" s="4">
        <f t="shared" si="1228"/>
        <v>1.040321922403797</v>
      </c>
      <c r="Y332" s="38"/>
      <c r="Z332" s="38"/>
      <c r="AA332" s="39">
        <v>1</v>
      </c>
      <c r="AB332" s="39"/>
      <c r="AC332" s="39"/>
      <c r="AD332" s="7"/>
      <c r="AE332" s="4">
        <f t="shared" si="1229"/>
        <v>365.25200000000001</v>
      </c>
      <c r="AF332" s="4">
        <f t="shared" si="1230"/>
        <v>0.39638386648122398</v>
      </c>
      <c r="AG332" s="4">
        <f t="shared" si="1231"/>
        <v>577.15369660722865</v>
      </c>
      <c r="AH332" s="4">
        <f t="shared" si="1232"/>
        <v>0.74172461752433927</v>
      </c>
      <c r="AI332" s="4">
        <v>1.25</v>
      </c>
      <c r="AJ332" s="4">
        <f t="shared" si="1154"/>
        <v>2.5</v>
      </c>
      <c r="AK332" s="38">
        <f t="shared" si="1340"/>
        <v>530.27379558238545</v>
      </c>
      <c r="AL332" s="38">
        <f t="shared" si="1264"/>
        <v>530.27379558238545</v>
      </c>
      <c r="AM332" s="38">
        <f t="shared" si="1233"/>
        <v>4.615452125415529</v>
      </c>
      <c r="AN332" s="38">
        <f t="shared" si="1161"/>
        <v>530.27379558238556</v>
      </c>
      <c r="AO332" s="38">
        <f t="shared" si="1115"/>
        <v>0.99999999999999978</v>
      </c>
      <c r="AP332" s="38">
        <f t="shared" si="1162"/>
        <v>2.4484580219533223</v>
      </c>
      <c r="AQ332" s="4">
        <f t="shared" si="1163"/>
        <v>0</v>
      </c>
      <c r="AR332" s="4" t="e">
        <f>#REF!/G332*F332^0.5/0.19</f>
        <v>#REF!</v>
      </c>
      <c r="AS332" s="4">
        <f t="shared" si="1234"/>
        <v>1</v>
      </c>
      <c r="AT332" s="38">
        <f t="shared" si="1235"/>
        <v>1298.3531286253281</v>
      </c>
      <c r="AU332" s="4">
        <f t="shared" si="1236"/>
        <v>0.3</v>
      </c>
      <c r="AV332" s="4" t="e">
        <f>AU332*D332*#REF!/(D332*G332/2.75/F332^0.5)</f>
        <v>#REF!</v>
      </c>
      <c r="AW332" s="4" t="e">
        <f t="shared" si="1068"/>
        <v>#REF!</v>
      </c>
      <c r="AY332" s="4">
        <f t="shared" si="1237"/>
        <v>1.375</v>
      </c>
      <c r="AZ332" s="4" t="e">
        <f>(3*#REF!+30)*AY332*F332^0.5</f>
        <v>#REF!</v>
      </c>
      <c r="BB332" s="4">
        <f t="shared" si="1238"/>
        <v>1245.2794285929851</v>
      </c>
      <c r="BC332" s="4">
        <f t="shared" si="1275"/>
        <v>0</v>
      </c>
      <c r="BD332" s="4">
        <f t="shared" si="1069"/>
        <v>0</v>
      </c>
      <c r="BL332" s="4">
        <f t="shared" si="1239"/>
        <v>63.5</v>
      </c>
      <c r="BP332" s="9"/>
      <c r="BR332" s="9"/>
      <c r="BS332" s="9"/>
      <c r="BT332" s="9">
        <f t="shared" si="1240"/>
        <v>63.5</v>
      </c>
      <c r="BU332" s="9">
        <f t="shared" si="1241"/>
        <v>128.27000000000001</v>
      </c>
      <c r="BV332" s="9">
        <f t="shared" si="1242"/>
        <v>1.7570038363154448</v>
      </c>
      <c r="BW332" s="40">
        <f t="shared" si="1343"/>
        <v>0</v>
      </c>
      <c r="BX332" s="9">
        <f t="shared" si="1243"/>
        <v>0</v>
      </c>
      <c r="BY332" s="9">
        <f t="shared" si="1070"/>
        <v>0</v>
      </c>
      <c r="BZ332" s="9">
        <f t="shared" si="1244"/>
        <v>0.99524931562137331</v>
      </c>
      <c r="CA332" s="9">
        <f t="shared" si="1245"/>
        <v>0.68</v>
      </c>
      <c r="CB332" s="9">
        <f t="shared" si="1246"/>
        <v>1.9847176531283015</v>
      </c>
      <c r="CC332" s="9">
        <f t="shared" si="1247"/>
        <v>3.4871565305494121</v>
      </c>
      <c r="CD332" s="40">
        <v>1</v>
      </c>
      <c r="CE332" s="9" t="e">
        <f>4*CC332*#REF!+60*CC332</f>
        <v>#REF!</v>
      </c>
      <c r="CG332" s="47" t="e">
        <f t="shared" si="1071"/>
        <v>#REF!</v>
      </c>
      <c r="CH332" s="47" t="e">
        <f t="shared" si="1072"/>
        <v>#REF!</v>
      </c>
      <c r="CI332" s="47" t="e">
        <f t="shared" si="1073"/>
        <v>#REF!</v>
      </c>
      <c r="CJ332" s="47" t="e">
        <f t="shared" si="1074"/>
        <v>#REF!</v>
      </c>
      <c r="CK332" s="47">
        <f t="shared" si="1075"/>
        <v>1.040321922403797</v>
      </c>
      <c r="CL332" s="47">
        <f t="shared" si="1076"/>
        <v>1.0546620803021731</v>
      </c>
      <c r="CM332" s="47">
        <f t="shared" si="1310"/>
        <v>1.2494913437411292</v>
      </c>
      <c r="CN332" s="4">
        <f t="shared" si="1344"/>
        <v>0</v>
      </c>
      <c r="CO332" s="4" t="e">
        <f t="shared" ref="CO332" si="1414">CG332</f>
        <v>#REF!</v>
      </c>
      <c r="CP332" s="4" t="e">
        <f t="shared" ref="CP332" si="1415">CH332</f>
        <v>#REF!</v>
      </c>
      <c r="CQ332" s="4" t="e">
        <f t="shared" ref="CQ332" si="1416">CJ332</f>
        <v>#REF!</v>
      </c>
      <c r="CR332" s="4">
        <f t="shared" ref="CR332:CR333" si="1417">CM332</f>
        <v>1.2494913437411292</v>
      </c>
      <c r="CS332" s="4">
        <f t="shared" ref="CS332" si="1418">CK332</f>
        <v>1.040321922403797</v>
      </c>
      <c r="CT332" s="4">
        <f t="shared" ref="CT332" si="1419">CL332</f>
        <v>1.0546620803021731</v>
      </c>
      <c r="DC332" s="4" t="e">
        <f>#REF!</f>
        <v>#REF!</v>
      </c>
      <c r="DF332" s="4">
        <f t="shared" si="1248"/>
        <v>3.3221473705304853E-5</v>
      </c>
      <c r="DG332" s="4">
        <f>EB332</f>
        <v>10.58671967137796</v>
      </c>
      <c r="DH332" s="4">
        <f t="shared" si="1249"/>
        <v>0.25461971517315196</v>
      </c>
      <c r="DI332" s="4">
        <f t="shared" si="1084"/>
        <v>6.1251710982379599</v>
      </c>
      <c r="DJ332" s="4">
        <f t="shared" si="1085"/>
        <v>8.6505511105408353</v>
      </c>
      <c r="DK332" s="4">
        <f t="shared" si="1250"/>
        <v>8.7839326485591478</v>
      </c>
      <c r="DL332" s="38">
        <f t="shared" si="1251"/>
        <v>997.03885592804386</v>
      </c>
      <c r="DM332" s="4" t="e">
        <f t="shared" si="1086"/>
        <v>#REF!</v>
      </c>
      <c r="DN332" s="4">
        <f t="shared" si="1252"/>
        <v>3.2403703492039297</v>
      </c>
      <c r="DO332" s="4">
        <f t="shared" si="1309"/>
        <v>530.27379558238556</v>
      </c>
      <c r="DS332" s="4">
        <f t="shared" si="1253"/>
        <v>0.85</v>
      </c>
      <c r="DT332" s="4">
        <f t="shared" si="1254"/>
        <v>0.85</v>
      </c>
      <c r="DU332" s="4">
        <f t="shared" si="1255"/>
        <v>1</v>
      </c>
      <c r="DV332" s="4">
        <f t="shared" si="1087"/>
        <v>0.85</v>
      </c>
      <c r="DX332" s="4">
        <f t="shared" si="1256"/>
        <v>983.4821965090116</v>
      </c>
      <c r="DY332" s="25">
        <f t="shared" si="1146"/>
        <v>526.77110988576635</v>
      </c>
      <c r="EA332" s="4">
        <f t="shared" si="1147"/>
        <v>0.72249999999999992</v>
      </c>
      <c r="EB332" s="4">
        <f t="shared" si="1257"/>
        <v>10.58671967137796</v>
      </c>
      <c r="EE332" s="4">
        <f t="shared" si="1258"/>
        <v>82.305406869779816</v>
      </c>
      <c r="EF332" s="4">
        <f t="shared" si="1088"/>
        <v>3.2403703492039302</v>
      </c>
      <c r="EG332" s="4">
        <f t="shared" si="1259"/>
        <v>0.11665871309697058</v>
      </c>
      <c r="EJ332" s="4">
        <f t="shared" si="1089"/>
        <v>0.11665871309697058</v>
      </c>
      <c r="EK332" s="4">
        <f t="shared" si="1260"/>
        <v>0.25419480232319203</v>
      </c>
      <c r="EL332" s="4">
        <f t="shared" si="1090"/>
        <v>6.121080341832311</v>
      </c>
      <c r="EM332" s="4">
        <f t="shared" si="1091"/>
        <v>8.6491111428603649</v>
      </c>
      <c r="EN332" s="4" t="e">
        <f t="shared" si="1092"/>
        <v>#REF!</v>
      </c>
      <c r="EO332" s="4" t="e">
        <f t="shared" si="1093"/>
        <v>#REF!</v>
      </c>
      <c r="EP332" s="4" t="e">
        <f t="shared" si="1261"/>
        <v>#REF!</v>
      </c>
      <c r="EQ332" s="4" t="e">
        <f t="shared" si="1094"/>
        <v>#REF!</v>
      </c>
      <c r="ER332" s="4" t="e">
        <f t="shared" si="1262"/>
        <v>#REF!</v>
      </c>
      <c r="FA332" s="23" t="e">
        <f t="shared" si="1383"/>
        <v>#REF!</v>
      </c>
      <c r="FB332" s="23" t="e">
        <f t="shared" si="1384"/>
        <v>#REF!</v>
      </c>
      <c r="FC332" s="23">
        <f t="shared" si="1317"/>
        <v>1.4</v>
      </c>
      <c r="FD332" s="23" t="e">
        <f t="shared" si="1385"/>
        <v>#REF!</v>
      </c>
      <c r="FE332" s="23">
        <f t="shared" si="1386"/>
        <v>1.2</v>
      </c>
      <c r="FF332" s="23">
        <f t="shared" si="1387"/>
        <v>1.2</v>
      </c>
      <c r="FG332" s="23">
        <f t="shared" si="1266"/>
        <v>0</v>
      </c>
      <c r="FH332" s="23"/>
      <c r="FR332" s="4">
        <f t="shared" si="1122"/>
        <v>1</v>
      </c>
      <c r="FS332" s="4">
        <f t="shared" si="1123"/>
        <v>0.5</v>
      </c>
      <c r="FT332" s="4">
        <f t="shared" si="1124"/>
        <v>0</v>
      </c>
      <c r="FU332" s="4">
        <f t="shared" si="1125"/>
        <v>830.13090447246941</v>
      </c>
    </row>
    <row r="333" spans="2:177" ht="12" customHeight="1" x14ac:dyDescent="0.3">
      <c r="B333" s="24"/>
      <c r="C333" s="7" t="s">
        <v>472</v>
      </c>
      <c r="D333" s="38">
        <f t="shared" si="1388"/>
        <v>827.58620689655174</v>
      </c>
      <c r="E333" s="38">
        <f>14.58*25.4</f>
        <v>370.33199999999999</v>
      </c>
      <c r="F333" s="38">
        <f>9040/145</f>
        <v>62.344827586206897</v>
      </c>
      <c r="G333" s="38">
        <f t="shared" si="1341"/>
        <v>25.4</v>
      </c>
      <c r="H333" s="38">
        <f>14*25.4</f>
        <v>355.59999999999997</v>
      </c>
      <c r="I333" s="38">
        <f t="shared" si="1345"/>
        <v>63.5</v>
      </c>
      <c r="J333" s="39">
        <f>3*25.4</f>
        <v>76.199999999999989</v>
      </c>
      <c r="K333" s="7">
        <f t="shared" si="1339"/>
        <v>76.199999999999989</v>
      </c>
      <c r="L333" s="38">
        <v>3</v>
      </c>
      <c r="M333" s="4">
        <f t="shared" si="1357"/>
        <v>260.34999999999997</v>
      </c>
      <c r="N333" s="7">
        <f t="shared" si="1224"/>
        <v>1.9999999999999998</v>
      </c>
      <c r="O333" s="7">
        <f t="shared" si="1225"/>
        <v>3</v>
      </c>
      <c r="P333" s="38">
        <v>9.5</v>
      </c>
      <c r="Q333" s="4">
        <f t="shared" si="1342"/>
        <v>9.5</v>
      </c>
      <c r="R333" s="4">
        <f t="shared" si="1226"/>
        <v>10.5</v>
      </c>
      <c r="S333" s="7">
        <f t="shared" si="1227"/>
        <v>82.305406869779816</v>
      </c>
      <c r="V333" s="38">
        <f t="shared" si="1395"/>
        <v>668.9655172413793</v>
      </c>
      <c r="W333" s="4">
        <v>97</v>
      </c>
      <c r="X333" s="4">
        <f t="shared" si="1228"/>
        <v>1.0201564955106805</v>
      </c>
      <c r="Y333" s="38"/>
      <c r="Z333" s="38"/>
      <c r="AA333" s="39">
        <v>1</v>
      </c>
      <c r="AB333" s="39"/>
      <c r="AC333" s="39"/>
      <c r="AD333" s="7"/>
      <c r="AE333" s="4">
        <f t="shared" si="1229"/>
        <v>370.33199999999999</v>
      </c>
      <c r="AF333" s="4">
        <f t="shared" si="1230"/>
        <v>0.32007315957933247</v>
      </c>
      <c r="AG333" s="4">
        <f t="shared" si="1231"/>
        <v>370.17621089733694</v>
      </c>
      <c r="AH333" s="4">
        <f t="shared" si="1232"/>
        <v>0.74115226337448559</v>
      </c>
      <c r="AI333" s="4">
        <v>1.25</v>
      </c>
      <c r="AJ333" s="4">
        <f t="shared" si="1154"/>
        <v>2.5</v>
      </c>
      <c r="AK333" s="38">
        <f t="shared" si="1340"/>
        <v>274.419661047906</v>
      </c>
      <c r="AL333" s="38">
        <f t="shared" si="1264"/>
        <v>274.419661047906</v>
      </c>
      <c r="AM333" s="38">
        <f t="shared" si="1233"/>
        <v>4.4175343619879603</v>
      </c>
      <c r="AN333" s="38">
        <f t="shared" si="1161"/>
        <v>274.41966104790606</v>
      </c>
      <c r="AO333" s="38">
        <f t="shared" si="1115"/>
        <v>0.99999999999999978</v>
      </c>
      <c r="AP333" s="38">
        <f t="shared" si="1162"/>
        <v>3.3611527108592307</v>
      </c>
      <c r="AQ333" s="4">
        <f t="shared" si="1163"/>
        <v>0</v>
      </c>
      <c r="AR333" s="4" t="e">
        <f>#REF!/G333*F333^0.5/0.19</f>
        <v>#REF!</v>
      </c>
      <c r="AS333" s="4">
        <f t="shared" si="1234"/>
        <v>1.2000000000000002</v>
      </c>
      <c r="AT333" s="38">
        <f t="shared" si="1235"/>
        <v>922.36638764424072</v>
      </c>
      <c r="AU333" s="4">
        <f t="shared" si="1236"/>
        <v>0.3</v>
      </c>
      <c r="AV333" s="4" t="e">
        <f>AU333*D333*#REF!/(D333*G333/2.75/F333^0.5)</f>
        <v>#REF!</v>
      </c>
      <c r="AW333" s="4" t="e">
        <f t="shared" si="1068"/>
        <v>#REF!</v>
      </c>
      <c r="AY333" s="4">
        <f t="shared" si="1237"/>
        <v>1.375</v>
      </c>
      <c r="AZ333" s="4" t="e">
        <f>(3*#REF!+30)*AY333*F333^0.5</f>
        <v>#REF!</v>
      </c>
      <c r="BB333" s="4">
        <f t="shared" si="1238"/>
        <v>884.6621638098693</v>
      </c>
      <c r="BC333" s="4">
        <f t="shared" si="1275"/>
        <v>0</v>
      </c>
      <c r="BD333" s="4">
        <f t="shared" si="1069"/>
        <v>0</v>
      </c>
      <c r="BL333" s="4">
        <f t="shared" si="1239"/>
        <v>38.099999999999994</v>
      </c>
      <c r="BP333" s="9"/>
      <c r="BR333" s="9"/>
      <c r="BS333" s="9"/>
      <c r="BT333" s="9">
        <f t="shared" si="1240"/>
        <v>38.099999999999994</v>
      </c>
      <c r="BU333" s="9">
        <f t="shared" si="1241"/>
        <v>63.5</v>
      </c>
      <c r="BV333" s="9">
        <f t="shared" si="1242"/>
        <v>1.3222785168171165</v>
      </c>
      <c r="BW333" s="40">
        <f t="shared" si="1343"/>
        <v>0</v>
      </c>
      <c r="BX333" s="9">
        <f t="shared" si="1243"/>
        <v>0</v>
      </c>
      <c r="BY333" s="9">
        <f t="shared" si="1070"/>
        <v>0</v>
      </c>
      <c r="BZ333" s="9">
        <f t="shared" si="1244"/>
        <v>0.99524931562137331</v>
      </c>
      <c r="CA333" s="9">
        <f t="shared" si="1245"/>
        <v>0.68</v>
      </c>
      <c r="CB333" s="9">
        <f t="shared" si="1246"/>
        <v>1.8702904607807274</v>
      </c>
      <c r="CC333" s="9">
        <f t="shared" si="1247"/>
        <v>2.4730448964983416</v>
      </c>
      <c r="CD333" s="40">
        <v>1</v>
      </c>
      <c r="CE333" s="9" t="e">
        <f>4*CC333*#REF!+60*CC333</f>
        <v>#REF!</v>
      </c>
      <c r="CG333" s="4" t="e">
        <f t="shared" si="1071"/>
        <v>#REF!</v>
      </c>
      <c r="CH333" s="4" t="e">
        <f t="shared" si="1072"/>
        <v>#REF!</v>
      </c>
      <c r="CI333" s="4" t="e">
        <f t="shared" si="1073"/>
        <v>#REF!</v>
      </c>
      <c r="CJ333" s="4" t="e">
        <f t="shared" si="1074"/>
        <v>#REF!</v>
      </c>
      <c r="CK333" s="4">
        <f t="shared" si="1075"/>
        <v>1.0201564955106805</v>
      </c>
      <c r="CL333" s="4">
        <f t="shared" si="1076"/>
        <v>1.0088869571220103</v>
      </c>
      <c r="CM333" s="4">
        <f t="shared" si="1310"/>
        <v>1.3645897297002598</v>
      </c>
      <c r="CN333" s="4">
        <f t="shared" si="1344"/>
        <v>0</v>
      </c>
      <c r="CO333" s="4" t="e">
        <f t="shared" ref="CO333" si="1420">CG333</f>
        <v>#REF!</v>
      </c>
      <c r="CP333" s="4" t="e">
        <f t="shared" ref="CP333" si="1421">CH333</f>
        <v>#REF!</v>
      </c>
      <c r="CQ333" s="4" t="e">
        <f t="shared" ref="CQ333" si="1422">CJ333</f>
        <v>#REF!</v>
      </c>
      <c r="CR333" s="4">
        <f t="shared" si="1417"/>
        <v>1.3645897297002598</v>
      </c>
      <c r="CS333" s="4">
        <f t="shared" ref="CS333" si="1423">CK333</f>
        <v>1.0201564955106805</v>
      </c>
      <c r="CT333" s="4">
        <f t="shared" ref="CT333" si="1424">CL333</f>
        <v>1.0088869571220103</v>
      </c>
      <c r="DC333" s="4" t="e">
        <f>#REF!</f>
        <v>#REF!</v>
      </c>
      <c r="DF333" s="4">
        <f t="shared" si="1248"/>
        <v>3.2113113423690527E-5</v>
      </c>
      <c r="DG333" s="4">
        <f t="shared" si="1083"/>
        <v>8.9262091811553486</v>
      </c>
      <c r="DH333" s="4">
        <f t="shared" si="1249"/>
        <v>0.14838378087350965</v>
      </c>
      <c r="DI333" s="4">
        <f t="shared" si="1084"/>
        <v>4.1612291607338747</v>
      </c>
      <c r="DJ333" s="4">
        <f t="shared" si="1085"/>
        <v>6.9688921895952713</v>
      </c>
      <c r="DK333" s="4">
        <f t="shared" si="1250"/>
        <v>7.7435119061401894</v>
      </c>
      <c r="DL333" s="38">
        <f t="shared" si="1251"/>
        <v>655.74793689521289</v>
      </c>
      <c r="DM333" s="4" t="e">
        <f t="shared" si="1086"/>
        <v>#REF!</v>
      </c>
      <c r="DN333" s="4">
        <f t="shared" si="1252"/>
        <v>3.2403703492039297</v>
      </c>
      <c r="DO333" s="4">
        <f t="shared" si="1309"/>
        <v>274.41966104790606</v>
      </c>
      <c r="DS333" s="4">
        <f t="shared" si="1253"/>
        <v>0.85</v>
      </c>
      <c r="DT333" s="4">
        <f t="shared" si="1254"/>
        <v>0.95</v>
      </c>
      <c r="DU333" s="4">
        <f t="shared" si="1255"/>
        <v>1</v>
      </c>
      <c r="DV333" s="4">
        <f t="shared" si="1087"/>
        <v>0.95</v>
      </c>
      <c r="DX333" s="4">
        <f t="shared" si="1256"/>
        <v>663.07281754310316</v>
      </c>
      <c r="DY333" s="25">
        <f t="shared" si="1146"/>
        <v>272.6404279593682</v>
      </c>
      <c r="EA333" s="4">
        <f t="shared" si="1147"/>
        <v>0.8075</v>
      </c>
      <c r="EB333" s="4">
        <f t="shared" si="1257"/>
        <v>8.9262091811553486</v>
      </c>
      <c r="EE333" s="4">
        <f t="shared" si="1258"/>
        <v>82.305406869779816</v>
      </c>
      <c r="EF333" s="4">
        <f t="shared" si="1088"/>
        <v>3.2403703492039302</v>
      </c>
      <c r="EG333" s="4">
        <f t="shared" si="1259"/>
        <v>6.4065159597228735E-2</v>
      </c>
      <c r="EJ333" s="4">
        <f t="shared" si="1089"/>
        <v>6.4065159597228735E-2</v>
      </c>
      <c r="EK333" s="4">
        <f t="shared" si="1260"/>
        <v>0.14813615599820915</v>
      </c>
      <c r="EL333" s="4">
        <f t="shared" si="1090"/>
        <v>4.1584500424738895</v>
      </c>
      <c r="EM333" s="4">
        <f t="shared" si="1091"/>
        <v>6.9680756374616859</v>
      </c>
      <c r="EN333" s="4" t="e">
        <f t="shared" si="1092"/>
        <v>#REF!</v>
      </c>
      <c r="EO333" s="4" t="e">
        <f t="shared" si="1093"/>
        <v>#REF!</v>
      </c>
      <c r="EP333" s="4" t="e">
        <f t="shared" si="1261"/>
        <v>#REF!</v>
      </c>
      <c r="EQ333" s="4" t="e">
        <f t="shared" si="1094"/>
        <v>#REF!</v>
      </c>
      <c r="ER333" s="4" t="e">
        <f t="shared" si="1262"/>
        <v>#REF!</v>
      </c>
      <c r="FA333" s="23" t="e">
        <f t="shared" si="1383"/>
        <v>#REF!</v>
      </c>
      <c r="FB333" s="23" t="e">
        <f t="shared" si="1384"/>
        <v>#REF!</v>
      </c>
      <c r="FC333" s="23">
        <f t="shared" si="1317"/>
        <v>1.4</v>
      </c>
      <c r="FD333" s="23" t="e">
        <f t="shared" si="1385"/>
        <v>#REF!</v>
      </c>
      <c r="FE333" s="23">
        <f t="shared" si="1386"/>
        <v>1.2</v>
      </c>
      <c r="FF333" s="23">
        <f t="shared" si="1387"/>
        <v>1.2</v>
      </c>
      <c r="FG333" s="23">
        <f t="shared" si="1266"/>
        <v>0</v>
      </c>
      <c r="FH333" s="23"/>
      <c r="FR333" s="4">
        <f t="shared" si="1122"/>
        <v>1</v>
      </c>
      <c r="FS333" s="4">
        <f t="shared" si="1123"/>
        <v>0.83333333333333326</v>
      </c>
      <c r="FT333" s="4">
        <f t="shared" si="1124"/>
        <v>0</v>
      </c>
      <c r="FU333" s="4">
        <f t="shared" si="1125"/>
        <v>490.23197425670315</v>
      </c>
    </row>
    <row r="334" spans="2:177" ht="12" customHeight="1" x14ac:dyDescent="0.3">
      <c r="B334" s="24"/>
      <c r="C334" s="7" t="s">
        <v>473</v>
      </c>
      <c r="D334" s="38">
        <f t="shared" si="1388"/>
        <v>827.58620689655174</v>
      </c>
      <c r="E334" s="38">
        <f>14.42*25.4</f>
        <v>366.26799999999997</v>
      </c>
      <c r="F334" s="38">
        <f>9040/145</f>
        <v>62.344827586206897</v>
      </c>
      <c r="G334" s="38">
        <f t="shared" si="1341"/>
        <v>25.4</v>
      </c>
      <c r="H334" s="38">
        <f>14*25.4</f>
        <v>355.59999999999997</v>
      </c>
      <c r="I334" s="38">
        <f t="shared" si="1345"/>
        <v>63.5</v>
      </c>
      <c r="J334" s="39">
        <f>3.1*25.4</f>
        <v>78.739999999999995</v>
      </c>
      <c r="K334" s="7">
        <f t="shared" si="1339"/>
        <v>76.199999999999989</v>
      </c>
      <c r="L334" s="38">
        <v>3</v>
      </c>
      <c r="M334" s="4">
        <f t="shared" si="1357"/>
        <v>260.34999999999997</v>
      </c>
      <c r="N334" s="7">
        <f t="shared" si="1224"/>
        <v>1.9999999999999998</v>
      </c>
      <c r="O334" s="7">
        <f t="shared" si="1225"/>
        <v>3</v>
      </c>
      <c r="P334" s="38">
        <v>9.5</v>
      </c>
      <c r="Q334" s="4">
        <f t="shared" si="1342"/>
        <v>9.5</v>
      </c>
      <c r="R334" s="4">
        <f t="shared" si="1226"/>
        <v>10.5</v>
      </c>
      <c r="S334" s="7">
        <f t="shared" si="1227"/>
        <v>82.305406869779816</v>
      </c>
      <c r="V334" s="38">
        <f t="shared" si="1395"/>
        <v>745.51724137931035</v>
      </c>
      <c r="W334" s="4">
        <v>108.1</v>
      </c>
      <c r="X334" s="4">
        <f t="shared" si="1228"/>
        <v>1.1408969245623375</v>
      </c>
      <c r="Y334" s="38">
        <f>0.375*25.4</f>
        <v>9.5249999999999986</v>
      </c>
      <c r="Z334" s="38">
        <v>4</v>
      </c>
      <c r="AA334" s="39">
        <f>6*25.4</f>
        <v>152.39999999999998</v>
      </c>
      <c r="AB334" s="39">
        <v>1</v>
      </c>
      <c r="AC334" s="39">
        <v>1</v>
      </c>
      <c r="AD334" s="7"/>
      <c r="AE334" s="4">
        <f t="shared" si="1229"/>
        <v>366.26799999999997</v>
      </c>
      <c r="AF334" s="4">
        <f t="shared" si="1230"/>
        <v>0.32362459546925559</v>
      </c>
      <c r="AG334" s="4">
        <f t="shared" si="1231"/>
        <v>364.09952327355796</v>
      </c>
      <c r="AH334" s="4">
        <f t="shared" si="1232"/>
        <v>0.74160887656033281</v>
      </c>
      <c r="AI334" s="4">
        <v>1.25</v>
      </c>
      <c r="AJ334" s="4">
        <f t="shared" si="1154"/>
        <v>2.5</v>
      </c>
      <c r="AK334" s="38">
        <f t="shared" si="1340"/>
        <v>273.07791101441751</v>
      </c>
      <c r="AL334" s="38">
        <f t="shared" si="1264"/>
        <v>273.07791101441751</v>
      </c>
      <c r="AM334" s="38">
        <f t="shared" si="1233"/>
        <v>4.4175343619879603</v>
      </c>
      <c r="AN334" s="38">
        <f t="shared" si="1161"/>
        <v>273.07791101441779</v>
      </c>
      <c r="AO334" s="38">
        <f t="shared" si="1115"/>
        <v>0.999999999999999</v>
      </c>
      <c r="AP334" s="38">
        <f t="shared" si="1162"/>
        <v>3.3776675096783721</v>
      </c>
      <c r="AQ334" s="4">
        <f t="shared" si="1163"/>
        <v>0</v>
      </c>
      <c r="AR334" s="4" t="e">
        <f>#REF!/G334*F334^0.5/0.19</f>
        <v>#REF!</v>
      </c>
      <c r="AS334" s="4">
        <f t="shared" si="1234"/>
        <v>1.2000000000000002</v>
      </c>
      <c r="AT334" s="38">
        <f t="shared" si="1235"/>
        <v>922.36638764424072</v>
      </c>
      <c r="AU334" s="4">
        <f t="shared" si="1236"/>
        <v>0.3</v>
      </c>
      <c r="AV334" s="4" t="e">
        <f>AU334*D334*#REF!/(D334*G334/2.75/F334^0.5)</f>
        <v>#REF!</v>
      </c>
      <c r="AW334" s="4" t="e">
        <f t="shared" si="1068"/>
        <v>#REF!</v>
      </c>
      <c r="AY334" s="4">
        <f t="shared" si="1237"/>
        <v>1.5</v>
      </c>
      <c r="AZ334" s="4" t="e">
        <f>(3*#REF!+30)*AY334*F334^0.5</f>
        <v>#REF!</v>
      </c>
      <c r="BB334" s="4">
        <f t="shared" si="1238"/>
        <v>884.6621638098693</v>
      </c>
      <c r="BC334" s="4">
        <f t="shared" si="1275"/>
        <v>0</v>
      </c>
      <c r="BD334" s="4">
        <f t="shared" si="1069"/>
        <v>0</v>
      </c>
      <c r="BL334" s="4">
        <f t="shared" si="1239"/>
        <v>38.099999999999994</v>
      </c>
      <c r="BP334" s="9"/>
      <c r="BR334" s="9"/>
      <c r="BS334" s="9"/>
      <c r="BT334" s="9">
        <f t="shared" si="1240"/>
        <v>38.099999999999994</v>
      </c>
      <c r="BU334" s="9">
        <f t="shared" si="1241"/>
        <v>63.5</v>
      </c>
      <c r="BV334" s="9">
        <f t="shared" si="1242"/>
        <v>1.3222785168171165</v>
      </c>
      <c r="BW334" s="40">
        <f t="shared" si="1343"/>
        <v>20</v>
      </c>
      <c r="BX334" s="9">
        <f t="shared" si="1243"/>
        <v>4.9087385212340517E-2</v>
      </c>
      <c r="BY334" s="9">
        <f t="shared" si="1070"/>
        <v>0.78174770424681028</v>
      </c>
      <c r="BZ334" s="9">
        <f t="shared" si="1244"/>
        <v>0.99524931562137331</v>
      </c>
      <c r="CA334" s="9">
        <f t="shared" si="1245"/>
        <v>0.68</v>
      </c>
      <c r="CB334" s="9">
        <f t="shared" si="1246"/>
        <v>1.8702904607807274</v>
      </c>
      <c r="CC334" s="9">
        <f t="shared" si="1247"/>
        <v>3.9351401704883844</v>
      </c>
      <c r="CD334" s="40">
        <v>1</v>
      </c>
      <c r="CE334" s="9" t="e">
        <f>4*CC334*#REF!+60*CC334</f>
        <v>#REF!</v>
      </c>
      <c r="CG334" s="4" t="e">
        <f t="shared" si="1071"/>
        <v>#REF!</v>
      </c>
      <c r="CH334" s="4" t="e">
        <f t="shared" si="1072"/>
        <v>#REF!</v>
      </c>
      <c r="CI334" s="4" t="e">
        <f t="shared" si="1073"/>
        <v>#REF!</v>
      </c>
      <c r="CJ334" s="4" t="e">
        <f t="shared" si="1074"/>
        <v>#REF!</v>
      </c>
      <c r="CK334" s="4">
        <f t="shared" si="1075"/>
        <v>1.1408969245623375</v>
      </c>
      <c r="CL334" s="4">
        <f t="shared" si="1076"/>
        <v>1.127721019295898</v>
      </c>
      <c r="CM334" s="4">
        <f t="shared" si="1310"/>
        <v>1.2431637729407938</v>
      </c>
      <c r="CN334" s="4">
        <f t="shared" si="1344"/>
        <v>4</v>
      </c>
      <c r="CU334" s="4" t="e">
        <f t="shared" ref="CU334" si="1425">CG334</f>
        <v>#REF!</v>
      </c>
      <c r="CV334" s="4" t="e">
        <f t="shared" ref="CV334" si="1426">CH334</f>
        <v>#REF!</v>
      </c>
      <c r="CW334" s="4" t="e">
        <f t="shared" ref="CW334" si="1427">CJ334</f>
        <v>#REF!</v>
      </c>
      <c r="CX334" s="4">
        <f t="shared" ref="CX334" si="1428">CM334</f>
        <v>1.2431637729407938</v>
      </c>
      <c r="CY334" s="4">
        <f t="shared" ref="CY334" si="1429">CK334</f>
        <v>1.1408969245623375</v>
      </c>
      <c r="CZ334" s="4">
        <f t="shared" ref="CZ334" si="1430">CL334</f>
        <v>1.127721019295898</v>
      </c>
      <c r="DC334" s="4" t="e">
        <f>#REF!</f>
        <v>#REF!</v>
      </c>
      <c r="DF334" s="4">
        <f t="shared" si="1248"/>
        <v>3.1760706143320806E-5</v>
      </c>
      <c r="DG334" s="4">
        <f t="shared" si="1083"/>
        <v>9.0106843469076061</v>
      </c>
      <c r="DH334" s="4">
        <f t="shared" si="1249"/>
        <v>0.14765827184038907</v>
      </c>
      <c r="DI334" s="4">
        <f t="shared" si="1084"/>
        <v>4.1923823959380124</v>
      </c>
      <c r="DJ334" s="4">
        <f t="shared" si="1085"/>
        <v>7.0324278649770928</v>
      </c>
      <c r="DK334" s="4">
        <f t="shared" si="1250"/>
        <v>7.8334834288186856</v>
      </c>
      <c r="DL334" s="38">
        <f t="shared" si="1251"/>
        <v>653.4483749838314</v>
      </c>
      <c r="DM334" s="4" t="e">
        <f t="shared" si="1086"/>
        <v>#REF!</v>
      </c>
      <c r="DN334" s="4">
        <f t="shared" si="1252"/>
        <v>3.2403703492039297</v>
      </c>
      <c r="DO334" s="4">
        <f t="shared" si="1309"/>
        <v>273.07791101441779</v>
      </c>
      <c r="DS334" s="4">
        <f t="shared" si="1253"/>
        <v>0.85</v>
      </c>
      <c r="DT334" s="4">
        <f t="shared" si="1254"/>
        <v>0.95</v>
      </c>
      <c r="DU334" s="4">
        <f t="shared" si="1255"/>
        <v>0.99062499999999998</v>
      </c>
      <c r="DV334" s="4">
        <f t="shared" si="1087"/>
        <v>0.94109374999999995</v>
      </c>
      <c r="DX334" s="4">
        <f t="shared" si="1256"/>
        <v>661.08304148199727</v>
      </c>
      <c r="DY334" s="25">
        <f t="shared" si="1146"/>
        <v>271.28083663477435</v>
      </c>
      <c r="EA334" s="4">
        <f t="shared" si="1147"/>
        <v>0.79992968749999993</v>
      </c>
      <c r="EB334" s="4">
        <f t="shared" si="1257"/>
        <v>9.0106843469076061</v>
      </c>
      <c r="EE334" s="4">
        <f t="shared" si="1258"/>
        <v>82.305406869779816</v>
      </c>
      <c r="EF334" s="4">
        <f t="shared" si="1088"/>
        <v>3.2403703492039302</v>
      </c>
      <c r="EG334" s="4">
        <f t="shared" si="1259"/>
        <v>6.3751918812269076E-2</v>
      </c>
      <c r="EJ334" s="4">
        <f t="shared" si="1089"/>
        <v>6.3751918812269076E-2</v>
      </c>
      <c r="EK334" s="4">
        <f t="shared" si="1260"/>
        <v>0.14741185770444837</v>
      </c>
      <c r="EL334" s="4">
        <f t="shared" si="1090"/>
        <v>4.1895824716802146</v>
      </c>
      <c r="EM334" s="4">
        <f t="shared" si="1091"/>
        <v>7.0316066334487699</v>
      </c>
      <c r="EN334" s="4" t="e">
        <f t="shared" si="1092"/>
        <v>#REF!</v>
      </c>
      <c r="EO334" s="4" t="e">
        <f t="shared" si="1093"/>
        <v>#REF!</v>
      </c>
      <c r="EP334" s="4" t="e">
        <f t="shared" si="1261"/>
        <v>#REF!</v>
      </c>
      <c r="EQ334" s="4" t="e">
        <f t="shared" si="1094"/>
        <v>#REF!</v>
      </c>
      <c r="ER334" s="4" t="e">
        <f t="shared" si="1262"/>
        <v>#REF!</v>
      </c>
      <c r="FA334" s="23" t="e">
        <f t="shared" si="1383"/>
        <v>#REF!</v>
      </c>
      <c r="FB334" s="23" t="e">
        <f t="shared" si="1384"/>
        <v>#REF!</v>
      </c>
      <c r="FC334" s="23">
        <f t="shared" si="1317"/>
        <v>1.4</v>
      </c>
      <c r="FD334" s="23" t="e">
        <f t="shared" si="1385"/>
        <v>#REF!</v>
      </c>
      <c r="FE334" s="23">
        <f t="shared" si="1386"/>
        <v>1.2</v>
      </c>
      <c r="FF334" s="23">
        <f t="shared" si="1387"/>
        <v>1.2</v>
      </c>
      <c r="FG334" s="23">
        <f t="shared" si="1266"/>
        <v>0</v>
      </c>
      <c r="FH334" s="23"/>
      <c r="FR334" s="4">
        <f t="shared" si="1122"/>
        <v>1</v>
      </c>
      <c r="FS334" s="4">
        <f t="shared" si="1123"/>
        <v>0.67375000000000007</v>
      </c>
      <c r="FT334" s="4">
        <f t="shared" si="1124"/>
        <v>9.3749999999999986E-2</v>
      </c>
      <c r="FU334" s="4">
        <f t="shared" si="1125"/>
        <v>599.69350588115628</v>
      </c>
    </row>
    <row r="335" spans="2:177" ht="12" customHeight="1" x14ac:dyDescent="0.3">
      <c r="B335" s="24"/>
      <c r="C335" s="7" t="s">
        <v>474</v>
      </c>
      <c r="D335" s="38">
        <f t="shared" si="1388"/>
        <v>827.58620689655174</v>
      </c>
      <c r="E335" s="38">
        <f>14.58*25.4</f>
        <v>370.33199999999999</v>
      </c>
      <c r="F335" s="38">
        <f>9940/145</f>
        <v>68.551724137931032</v>
      </c>
      <c r="G335" s="38">
        <f t="shared" si="1341"/>
        <v>25.4</v>
      </c>
      <c r="H335" s="38">
        <f>15.8*25.4</f>
        <v>401.32</v>
      </c>
      <c r="I335" s="38">
        <f t="shared" si="1345"/>
        <v>63.5</v>
      </c>
      <c r="J335" s="39">
        <f>3*25.4</f>
        <v>76.199999999999989</v>
      </c>
      <c r="K335" s="7">
        <f t="shared" si="1339"/>
        <v>99.06</v>
      </c>
      <c r="L335" s="38">
        <v>3</v>
      </c>
      <c r="M335" s="4">
        <f t="shared" si="1357"/>
        <v>260.34999999999997</v>
      </c>
      <c r="N335" s="7">
        <f t="shared" si="1224"/>
        <v>2.4500000000000002</v>
      </c>
      <c r="O335" s="7">
        <f t="shared" si="1225"/>
        <v>3</v>
      </c>
      <c r="P335" s="38">
        <v>9.5</v>
      </c>
      <c r="Q335" s="4">
        <f t="shared" si="1342"/>
        <v>9.5</v>
      </c>
      <c r="R335" s="4">
        <f t="shared" si="1226"/>
        <v>10.5</v>
      </c>
      <c r="S335" s="7">
        <f t="shared" si="1227"/>
        <v>82.305406869779816</v>
      </c>
      <c r="V335" s="38">
        <f t="shared" si="1395"/>
        <v>813.79310344827593</v>
      </c>
      <c r="W335" s="4">
        <v>118</v>
      </c>
      <c r="X335" s="4">
        <f t="shared" si="1228"/>
        <v>1.0927712921092712</v>
      </c>
      <c r="Y335" s="38"/>
      <c r="Z335" s="38"/>
      <c r="AA335" s="39">
        <v>1</v>
      </c>
      <c r="AB335" s="39"/>
      <c r="AC335" s="39"/>
      <c r="AD335" s="7"/>
      <c r="AE335" s="4">
        <f t="shared" si="1229"/>
        <v>370.33199999999999</v>
      </c>
      <c r="AF335" s="4">
        <f t="shared" si="1230"/>
        <v>0.3612254229538181</v>
      </c>
      <c r="AG335" s="4">
        <f t="shared" si="1231"/>
        <v>388.16599141783303</v>
      </c>
      <c r="AH335" s="4">
        <f t="shared" si="1232"/>
        <v>0.74115226337448559</v>
      </c>
      <c r="AI335" s="4">
        <v>1.25</v>
      </c>
      <c r="AJ335" s="4">
        <f t="shared" si="1154"/>
        <v>2.5</v>
      </c>
      <c r="AK335" s="38">
        <f t="shared" si="1340"/>
        <v>324.7530599171514</v>
      </c>
      <c r="AL335" s="38">
        <f t="shared" si="1264"/>
        <v>324.7530599171514</v>
      </c>
      <c r="AM335" s="38">
        <f t="shared" si="1233"/>
        <v>4.5752930713880566</v>
      </c>
      <c r="AN335" s="38">
        <f t="shared" si="1161"/>
        <v>324.75305991715135</v>
      </c>
      <c r="AO335" s="38">
        <f t="shared" si="1115"/>
        <v>1.0000000000000002</v>
      </c>
      <c r="AP335" s="38">
        <f t="shared" si="1162"/>
        <v>3.4743069894130096</v>
      </c>
      <c r="AQ335" s="4">
        <f t="shared" si="1163"/>
        <v>0</v>
      </c>
      <c r="AR335" s="4" t="e">
        <f>#REF!/G335*F335^0.5/0.19</f>
        <v>#REF!</v>
      </c>
      <c r="AS335" s="4">
        <f t="shared" si="1234"/>
        <v>1.0897959183673469</v>
      </c>
      <c r="AT335" s="38">
        <f t="shared" si="1235"/>
        <v>1128.2918259034209</v>
      </c>
      <c r="AU335" s="4">
        <f t="shared" si="1236"/>
        <v>0.3</v>
      </c>
      <c r="AV335" s="4" t="e">
        <f>AU335*D335*#REF!/(D335*G335/2.75/F335^0.5)</f>
        <v>#REF!</v>
      </c>
      <c r="AW335" s="4" t="e">
        <f t="shared" ref="AW335:AW398" si="1431">AT335+AV335</f>
        <v>#REF!</v>
      </c>
      <c r="AY335" s="4">
        <f t="shared" si="1237"/>
        <v>1.375</v>
      </c>
      <c r="AZ335" s="4" t="e">
        <f>(3*#REF!+30)*AY335*F335^0.5</f>
        <v>#REF!</v>
      </c>
      <c r="BB335" s="4">
        <f t="shared" si="1238"/>
        <v>1082.1698421405406</v>
      </c>
      <c r="BC335" s="4">
        <f t="shared" si="1275"/>
        <v>0</v>
      </c>
      <c r="BD335" s="4">
        <f t="shared" ref="BD335:BD398" si="1432">BC335/BB335</f>
        <v>0</v>
      </c>
      <c r="BL335" s="4">
        <f t="shared" si="1239"/>
        <v>49.53</v>
      </c>
      <c r="BP335" s="9"/>
      <c r="BR335" s="9"/>
      <c r="BS335" s="9"/>
      <c r="BT335" s="9">
        <f t="shared" si="1240"/>
        <v>49.53</v>
      </c>
      <c r="BU335" s="9">
        <f t="shared" si="1241"/>
        <v>63.5</v>
      </c>
      <c r="BV335" s="9">
        <f t="shared" si="1242"/>
        <v>1.4494495884306333</v>
      </c>
      <c r="BW335" s="40">
        <f t="shared" si="1343"/>
        <v>0</v>
      </c>
      <c r="BX335" s="9">
        <f t="shared" si="1243"/>
        <v>0</v>
      </c>
      <c r="BY335" s="9">
        <f t="shared" ref="BY335:BY398" si="1433">MAX(0,BW335*(BX335-0.5/50))</f>
        <v>0</v>
      </c>
      <c r="BZ335" s="9">
        <f t="shared" si="1244"/>
        <v>0.99524931562137331</v>
      </c>
      <c r="CA335" s="9">
        <f t="shared" si="1245"/>
        <v>0.68</v>
      </c>
      <c r="CB335" s="9">
        <f t="shared" si="1246"/>
        <v>1.9611826194568933</v>
      </c>
      <c r="CC335" s="9">
        <f t="shared" si="1247"/>
        <v>2.8426353406091054</v>
      </c>
      <c r="CD335" s="40">
        <v>1</v>
      </c>
      <c r="CE335" s="9" t="e">
        <f>4*CC335*#REF!+60*CC335</f>
        <v>#REF!</v>
      </c>
      <c r="CG335" s="4" t="e">
        <f t="shared" ref="CG335:CG398" si="1434">V335/AR335</f>
        <v>#REF!</v>
      </c>
      <c r="CH335" s="4" t="e">
        <f t="shared" ref="CH335:CH398" si="1435">V335/AW335</f>
        <v>#REF!</v>
      </c>
      <c r="CI335" s="4" t="e">
        <f t="shared" ref="CI335:CI398" si="1436">V335/AZ335</f>
        <v>#REF!</v>
      </c>
      <c r="CJ335" s="4" t="e">
        <f t="shared" ref="CJ335:CJ398" si="1437">V335/CE335</f>
        <v>#REF!</v>
      </c>
      <c r="CK335" s="4">
        <f t="shared" ref="CK335:CK398" si="1438">V335/DL335</f>
        <v>1.0927712921092712</v>
      </c>
      <c r="CL335" s="4">
        <f t="shared" ref="CL335:CL398" si="1439">V335/DX335</f>
        <v>1.0815801265431821</v>
      </c>
      <c r="CM335" s="4">
        <f t="shared" si="1310"/>
        <v>1.4751944683659082</v>
      </c>
      <c r="CN335" s="4">
        <f t="shared" si="1344"/>
        <v>0</v>
      </c>
      <c r="CO335" s="4" t="e">
        <f t="shared" ref="CO335" si="1440">CG335</f>
        <v>#REF!</v>
      </c>
      <c r="CP335" s="4" t="e">
        <f t="shared" ref="CP335" si="1441">CH335</f>
        <v>#REF!</v>
      </c>
      <c r="CQ335" s="4" t="e">
        <f t="shared" ref="CQ335" si="1442">CJ335</f>
        <v>#REF!</v>
      </c>
      <c r="CR335" s="4">
        <f t="shared" ref="CR335" si="1443">CM335</f>
        <v>1.4751944683659082</v>
      </c>
      <c r="CS335" s="4">
        <f t="shared" ref="CS335" si="1444">CK335</f>
        <v>1.0927712921092712</v>
      </c>
      <c r="CT335" s="4">
        <f t="shared" ref="CT335" si="1445">CL335</f>
        <v>1.0815801265431821</v>
      </c>
      <c r="DC335" s="4" t="e">
        <f>#REF!</f>
        <v>#REF!</v>
      </c>
      <c r="DF335" s="4">
        <f t="shared" si="1248"/>
        <v>3.3348105714073671E-5</v>
      </c>
      <c r="DG335" s="4">
        <f t="shared" ref="DG335:DG398" si="1446">EB335</f>
        <v>9.8254186250777558</v>
      </c>
      <c r="DH335" s="4">
        <f t="shared" si="1249"/>
        <v>0.1597005850651578</v>
      </c>
      <c r="DI335" s="4">
        <f t="shared" ref="DI335:DI398" si="1447">DG335*DH335^0.4</f>
        <v>4.717084607697652</v>
      </c>
      <c r="DJ335" s="4">
        <f t="shared" ref="DJ335:DJ398" si="1448">MIN(DG335, DG335/1.4*(1-DH335^1.4)/(1-DH335))</f>
        <v>7.7116198041062471</v>
      </c>
      <c r="DK335" s="4">
        <f t="shared" si="1250"/>
        <v>8.3305958558960782</v>
      </c>
      <c r="DL335" s="38">
        <f t="shared" si="1251"/>
        <v>744.70578548736353</v>
      </c>
      <c r="DM335" s="4" t="e">
        <f t="shared" ref="DM335:DM398" si="1449">DL335/ER335</f>
        <v>#REF!</v>
      </c>
      <c r="DN335" s="4">
        <f t="shared" si="1252"/>
        <v>3.2403703492039297</v>
      </c>
      <c r="DO335" s="4">
        <f t="shared" si="1309"/>
        <v>324.75305991715135</v>
      </c>
      <c r="DS335" s="4">
        <f t="shared" si="1253"/>
        <v>0.85</v>
      </c>
      <c r="DT335" s="4">
        <f t="shared" si="1254"/>
        <v>0.90500000000000003</v>
      </c>
      <c r="DU335" s="4">
        <f t="shared" si="1255"/>
        <v>1</v>
      </c>
      <c r="DV335" s="4">
        <f t="shared" ref="DV335:DV398" si="1450">IF(DT335*DU335&lt;0.7,0.7,DT335*DU335)</f>
        <v>0.90500000000000003</v>
      </c>
      <c r="DX335" s="4">
        <f t="shared" si="1256"/>
        <v>752.41129480552195</v>
      </c>
      <c r="DY335" s="25">
        <f t="shared" si="1146"/>
        <v>322.64748414462093</v>
      </c>
      <c r="EA335" s="4">
        <f t="shared" si="1147"/>
        <v>0.76924999999999999</v>
      </c>
      <c r="EB335" s="4">
        <f t="shared" si="1257"/>
        <v>9.8254186250777558</v>
      </c>
      <c r="EE335" s="4">
        <f t="shared" si="1258"/>
        <v>82.305406869779816</v>
      </c>
      <c r="EF335" s="4">
        <f t="shared" ref="EF335:EF398" si="1451">R335^0.5</f>
        <v>3.2403703492039302</v>
      </c>
      <c r="EG335" s="4">
        <f t="shared" si="1259"/>
        <v>7.2302108688300989E-2</v>
      </c>
      <c r="EJ335" s="4">
        <f t="shared" ref="EJ335:EJ398" si="1452">EG335</f>
        <v>7.2302108688300989E-2</v>
      </c>
      <c r="EK335" s="4">
        <f t="shared" si="1260"/>
        <v>0.15943407455282702</v>
      </c>
      <c r="EL335" s="4">
        <f t="shared" ref="EL335:EL398" si="1453">EB335/1*EK335^0.4</f>
        <v>4.7139342558518917</v>
      </c>
      <c r="EM335" s="4">
        <f t="shared" ref="EM335:EM398" si="1454">EB335/1.4*(1-EK335^1.4)/(1-EK335)</f>
        <v>7.710669855011191</v>
      </c>
      <c r="EN335" s="4" t="e">
        <f t="shared" ref="EN335:EN398" si="1455">MAX(0,DC335*EN$9-EE335)</f>
        <v>#REF!</v>
      </c>
      <c r="EO335" s="4" t="e">
        <f t="shared" ref="EO335:EO398" si="1456">MAX(0,DC335-EE335-EN335)</f>
        <v>#REF!</v>
      </c>
      <c r="EP335" s="4" t="e">
        <f t="shared" si="1261"/>
        <v>#REF!</v>
      </c>
      <c r="EQ335" s="4" t="e">
        <f t="shared" ref="EQ335:EQ398" si="1457">MAX(0.5*EB335, (1-2*EP335*(EE335*EL335+EN335*EM335))/(1/EB335+EP335*EO335))</f>
        <v>#REF!</v>
      </c>
      <c r="ER335" s="4" t="e">
        <f t="shared" si="1262"/>
        <v>#REF!</v>
      </c>
      <c r="FA335" s="23" t="e">
        <f t="shared" si="1383"/>
        <v>#REF!</v>
      </c>
      <c r="FB335" s="23" t="e">
        <f t="shared" si="1384"/>
        <v>#REF!</v>
      </c>
      <c r="FC335" s="23">
        <f t="shared" si="1317"/>
        <v>1.6</v>
      </c>
      <c r="FD335" s="23" t="e">
        <f t="shared" si="1385"/>
        <v>#REF!</v>
      </c>
      <c r="FE335" s="23">
        <f t="shared" si="1386"/>
        <v>1.2</v>
      </c>
      <c r="FF335" s="23">
        <f t="shared" si="1387"/>
        <v>1.2</v>
      </c>
      <c r="FG335" s="23">
        <f t="shared" si="1266"/>
        <v>0</v>
      </c>
      <c r="FH335" s="23"/>
      <c r="FR335" s="4">
        <f t="shared" si="1122"/>
        <v>1</v>
      </c>
      <c r="FS335" s="4">
        <f t="shared" si="1123"/>
        <v>0.7583333333333333</v>
      </c>
      <c r="FT335" s="4">
        <f t="shared" si="1124"/>
        <v>0</v>
      </c>
      <c r="FU335" s="4">
        <f t="shared" si="1125"/>
        <v>551.6514065767376</v>
      </c>
    </row>
    <row r="336" spans="2:177" ht="12" customHeight="1" x14ac:dyDescent="0.3">
      <c r="B336" s="24"/>
      <c r="C336" s="7" t="s">
        <v>475</v>
      </c>
      <c r="D336" s="38">
        <f t="shared" si="1388"/>
        <v>827.58620689655174</v>
      </c>
      <c r="E336" s="38">
        <f>14.08*25.4</f>
        <v>357.63200000000001</v>
      </c>
      <c r="F336" s="38">
        <f>9940/145</f>
        <v>68.551724137931032</v>
      </c>
      <c r="G336" s="38">
        <f t="shared" si="1341"/>
        <v>25.4</v>
      </c>
      <c r="H336" s="38">
        <f>15.5*25.4</f>
        <v>393.7</v>
      </c>
      <c r="I336" s="38">
        <f>2.3*25.4</f>
        <v>58.419999999999995</v>
      </c>
      <c r="J336" s="39">
        <f>3.7*25.4</f>
        <v>93.98</v>
      </c>
      <c r="K336" s="7">
        <f t="shared" si="1339"/>
        <v>100.33000000000001</v>
      </c>
      <c r="L336" s="38">
        <v>3</v>
      </c>
      <c r="M336" s="4">
        <f t="shared" si="1357"/>
        <v>260.34999999999997</v>
      </c>
      <c r="N336" s="7">
        <f t="shared" si="1224"/>
        <v>2.4750000000000005</v>
      </c>
      <c r="O336" s="7">
        <f t="shared" si="1225"/>
        <v>2.8</v>
      </c>
      <c r="P336" s="38">
        <v>9.5</v>
      </c>
      <c r="Q336" s="4">
        <f t="shared" si="1342"/>
        <v>9.5</v>
      </c>
      <c r="R336" s="4">
        <f t="shared" si="1226"/>
        <v>10.5</v>
      </c>
      <c r="S336" s="7">
        <f t="shared" si="1227"/>
        <v>82.305406869779816</v>
      </c>
      <c r="V336" s="38">
        <f t="shared" si="1395"/>
        <v>918.62068965517244</v>
      </c>
      <c r="W336" s="4">
        <v>133.19999999999999</v>
      </c>
      <c r="X336" s="4">
        <f t="shared" si="1228"/>
        <v>1.2733735889849789</v>
      </c>
      <c r="Y336" s="38">
        <f>0.375*25.4</f>
        <v>9.5249999999999986</v>
      </c>
      <c r="Z336" s="38">
        <v>4</v>
      </c>
      <c r="AA336" s="39">
        <f>6*25.4</f>
        <v>152.39999999999998</v>
      </c>
      <c r="AB336" s="39">
        <v>1</v>
      </c>
      <c r="AC336" s="39">
        <v>1</v>
      </c>
      <c r="AD336" s="7"/>
      <c r="AE336" s="4">
        <f t="shared" si="1229"/>
        <v>357.63200000000001</v>
      </c>
      <c r="AF336" s="4">
        <f t="shared" si="1230"/>
        <v>0.36695075757575757</v>
      </c>
      <c r="AG336" s="4">
        <f t="shared" si="1231"/>
        <v>368.37078442762726</v>
      </c>
      <c r="AH336" s="4">
        <f t="shared" si="1232"/>
        <v>0.73977272727272725</v>
      </c>
      <c r="AI336" s="4">
        <v>1.25</v>
      </c>
      <c r="AJ336" s="4">
        <f t="shared" si="1154"/>
        <v>2.5</v>
      </c>
      <c r="AK336" s="38">
        <f t="shared" si="1340"/>
        <v>312.49372836589322</v>
      </c>
      <c r="AL336" s="38">
        <f t="shared" si="1264"/>
        <v>312.49372836589322</v>
      </c>
      <c r="AM336" s="38">
        <f t="shared" si="1233"/>
        <v>4.5752930713880566</v>
      </c>
      <c r="AN336" s="38">
        <f t="shared" si="1161"/>
        <v>312.49372836589333</v>
      </c>
      <c r="AO336" s="38">
        <f t="shared" si="1115"/>
        <v>0.99999999999999967</v>
      </c>
      <c r="AP336" s="38">
        <f t="shared" si="1162"/>
        <v>3.5227076496116316</v>
      </c>
      <c r="AQ336" s="4">
        <f t="shared" si="1163"/>
        <v>0</v>
      </c>
      <c r="AR336" s="4" t="e">
        <f>#REF!/G336*F336^0.5/0.19</f>
        <v>#REF!</v>
      </c>
      <c r="AS336" s="4">
        <f t="shared" si="1234"/>
        <v>1.0525252525252524</v>
      </c>
      <c r="AT336" s="38">
        <f t="shared" si="1235"/>
        <v>1100.8240473701917</v>
      </c>
      <c r="AU336" s="4">
        <f t="shared" si="1236"/>
        <v>0.3</v>
      </c>
      <c r="AV336" s="4" t="e">
        <f>AU336*D336*#REF!/(D336*G336/2.75/F336^0.5)</f>
        <v>#REF!</v>
      </c>
      <c r="AW336" s="4" t="e">
        <f t="shared" si="1431"/>
        <v>#REF!</v>
      </c>
      <c r="AY336" s="4">
        <f t="shared" si="1237"/>
        <v>1.5</v>
      </c>
      <c r="AZ336" s="4" t="e">
        <f>(3*#REF!+30)*AY336*F336^0.5</f>
        <v>#REF!</v>
      </c>
      <c r="BB336" s="4">
        <f t="shared" si="1238"/>
        <v>1055.8248834367448</v>
      </c>
      <c r="BC336" s="4">
        <f t="shared" si="1275"/>
        <v>0</v>
      </c>
      <c r="BD336" s="4">
        <f t="shared" si="1432"/>
        <v>0</v>
      </c>
      <c r="BL336" s="4">
        <f t="shared" si="1239"/>
        <v>50.165000000000006</v>
      </c>
      <c r="BP336" s="9"/>
      <c r="BR336" s="9"/>
      <c r="BS336" s="9"/>
      <c r="BT336" s="9">
        <f t="shared" si="1240"/>
        <v>50.165000000000006</v>
      </c>
      <c r="BU336" s="9">
        <f t="shared" si="1241"/>
        <v>58.419999999999995</v>
      </c>
      <c r="BV336" s="9">
        <f t="shared" si="1242"/>
        <v>1.43783039583918</v>
      </c>
      <c r="BW336" s="40">
        <f t="shared" si="1343"/>
        <v>20</v>
      </c>
      <c r="BX336" s="9">
        <f t="shared" si="1243"/>
        <v>4.9087385212340517E-2</v>
      </c>
      <c r="BY336" s="9">
        <f t="shared" si="1433"/>
        <v>0.78174770424681028</v>
      </c>
      <c r="BZ336" s="9">
        <f t="shared" si="1244"/>
        <v>0.99524931562137331</v>
      </c>
      <c r="CA336" s="9">
        <f t="shared" si="1245"/>
        <v>0.68</v>
      </c>
      <c r="CB336" s="9">
        <f t="shared" si="1246"/>
        <v>1.9611826194568933</v>
      </c>
      <c r="CC336" s="9">
        <f t="shared" si="1247"/>
        <v>4.3529979924157969</v>
      </c>
      <c r="CD336" s="40">
        <v>1</v>
      </c>
      <c r="CE336" s="9" t="e">
        <f>4*CC336*#REF!+60*CC336</f>
        <v>#REF!</v>
      </c>
      <c r="CG336" s="4" t="e">
        <f t="shared" si="1434"/>
        <v>#REF!</v>
      </c>
      <c r="CH336" s="4" t="e">
        <f t="shared" si="1435"/>
        <v>#REF!</v>
      </c>
      <c r="CI336" s="4" t="e">
        <f t="shared" si="1436"/>
        <v>#REF!</v>
      </c>
      <c r="CJ336" s="4" t="e">
        <f t="shared" si="1437"/>
        <v>#REF!</v>
      </c>
      <c r="CK336" s="4">
        <f t="shared" si="1438"/>
        <v>1.2733735889849789</v>
      </c>
      <c r="CL336" s="4">
        <f t="shared" si="1439"/>
        <v>1.2575697339160365</v>
      </c>
      <c r="CM336" s="4">
        <f t="shared" si="1310"/>
        <v>1.7850791723869082</v>
      </c>
      <c r="CN336" s="4">
        <f t="shared" si="1344"/>
        <v>4</v>
      </c>
      <c r="CU336" s="4" t="e">
        <f t="shared" ref="CU336" si="1458">CG336</f>
        <v>#REF!</v>
      </c>
      <c r="CV336" s="4" t="e">
        <f t="shared" ref="CV336" si="1459">CH336</f>
        <v>#REF!</v>
      </c>
      <c r="CW336" s="4" t="e">
        <f t="shared" ref="CW336" si="1460">CJ336</f>
        <v>#REF!</v>
      </c>
      <c r="CX336" s="4">
        <f t="shared" ref="CX336" si="1461">CM336</f>
        <v>1.7850791723869082</v>
      </c>
      <c r="CY336" s="4">
        <f t="shared" ref="CY336" si="1462">CK336</f>
        <v>1.2733735889849789</v>
      </c>
      <c r="CZ336" s="4">
        <f t="shared" ref="CZ336" si="1463">CL336</f>
        <v>1.2575697339160365</v>
      </c>
      <c r="DC336" s="4" t="e">
        <f>#REF!</f>
        <v>#REF!</v>
      </c>
      <c r="DF336" s="4">
        <f t="shared" si="1248"/>
        <v>3.2204480689585553E-5</v>
      </c>
      <c r="DG336" s="4">
        <f t="shared" si="1446"/>
        <v>9.9458784617650533</v>
      </c>
      <c r="DH336" s="4">
        <f t="shared" si="1249"/>
        <v>0.15367193541442592</v>
      </c>
      <c r="DI336" s="4">
        <f t="shared" si="1447"/>
        <v>4.7019821086310722</v>
      </c>
      <c r="DJ336" s="4">
        <f t="shared" si="1448"/>
        <v>7.7843131631097142</v>
      </c>
      <c r="DK336" s="4">
        <f t="shared" si="1250"/>
        <v>8.5266700561357052</v>
      </c>
      <c r="DL336" s="38">
        <f t="shared" si="1251"/>
        <v>721.40705414458603</v>
      </c>
      <c r="DM336" s="4" t="e">
        <f t="shared" si="1449"/>
        <v>#REF!</v>
      </c>
      <c r="DN336" s="4">
        <f t="shared" si="1252"/>
        <v>3.2403703492039297</v>
      </c>
      <c r="DO336" s="4">
        <f t="shared" si="1309"/>
        <v>312.49372836589333</v>
      </c>
      <c r="DS336" s="4">
        <f t="shared" si="1253"/>
        <v>0.85</v>
      </c>
      <c r="DT336" s="4">
        <f t="shared" si="1254"/>
        <v>0.90249999999999997</v>
      </c>
      <c r="DU336" s="4">
        <f t="shared" si="1255"/>
        <v>0.99062499999999998</v>
      </c>
      <c r="DV336" s="4">
        <f t="shared" si="1450"/>
        <v>0.89403906249999998</v>
      </c>
      <c r="DX336" s="4">
        <f t="shared" si="1256"/>
        <v>730.47296295420028</v>
      </c>
      <c r="DY336" s="25">
        <f t="shared" si="1146"/>
        <v>310.35905672924446</v>
      </c>
      <c r="EA336" s="4">
        <f t="shared" si="1147"/>
        <v>0.75993320312500001</v>
      </c>
      <c r="EB336" s="4">
        <f t="shared" si="1257"/>
        <v>9.9458784617650533</v>
      </c>
      <c r="EE336" s="4">
        <f t="shared" si="1258"/>
        <v>82.305406869779816</v>
      </c>
      <c r="EF336" s="4">
        <f t="shared" si="1451"/>
        <v>3.2403703492039302</v>
      </c>
      <c r="EG336" s="4">
        <f t="shared" si="1259"/>
        <v>6.9572725561037788E-2</v>
      </c>
      <c r="EJ336" s="4">
        <f t="shared" si="1452"/>
        <v>6.9572725561037788E-2</v>
      </c>
      <c r="EK336" s="4">
        <f t="shared" si="1260"/>
        <v>0.15341548559477464</v>
      </c>
      <c r="EL336" s="4">
        <f t="shared" si="1453"/>
        <v>4.6988418431394399</v>
      </c>
      <c r="EM336" s="4">
        <f t="shared" si="1454"/>
        <v>7.7833789789584849</v>
      </c>
      <c r="EN336" s="4" t="e">
        <f t="shared" si="1455"/>
        <v>#REF!</v>
      </c>
      <c r="EO336" s="4" t="e">
        <f t="shared" si="1456"/>
        <v>#REF!</v>
      </c>
      <c r="EP336" s="4" t="e">
        <f t="shared" si="1261"/>
        <v>#REF!</v>
      </c>
      <c r="EQ336" s="4" t="e">
        <f t="shared" si="1457"/>
        <v>#REF!</v>
      </c>
      <c r="ER336" s="4" t="e">
        <f t="shared" si="1262"/>
        <v>#REF!</v>
      </c>
      <c r="FA336" s="23" t="e">
        <f t="shared" si="1383"/>
        <v>#REF!</v>
      </c>
      <c r="FB336" s="23" t="e">
        <f t="shared" si="1384"/>
        <v>#REF!</v>
      </c>
      <c r="FC336" s="23">
        <f t="shared" si="1317"/>
        <v>1.8</v>
      </c>
      <c r="FD336" s="23" t="e">
        <f t="shared" si="1385"/>
        <v>#REF!</v>
      </c>
      <c r="FE336" s="23">
        <f t="shared" si="1386"/>
        <v>1.4</v>
      </c>
      <c r="FF336" s="23">
        <f t="shared" si="1387"/>
        <v>1.4</v>
      </c>
      <c r="FG336" s="23">
        <f t="shared" si="1266"/>
        <v>0</v>
      </c>
      <c r="FH336" s="23"/>
      <c r="FR336" s="4">
        <f t="shared" si="1122"/>
        <v>1.25</v>
      </c>
      <c r="FS336" s="4">
        <f t="shared" si="1123"/>
        <v>0.62803124999999993</v>
      </c>
      <c r="FT336" s="4">
        <f t="shared" si="1124"/>
        <v>9.3749999999999986E-2</v>
      </c>
      <c r="FU336" s="4">
        <f t="shared" si="1125"/>
        <v>514.61061440028129</v>
      </c>
    </row>
    <row r="337" spans="2:177" ht="12" customHeight="1" x14ac:dyDescent="0.3">
      <c r="B337" s="24"/>
      <c r="C337" s="7" t="s">
        <v>476</v>
      </c>
      <c r="D337" s="38">
        <f t="shared" si="1388"/>
        <v>827.58620689655174</v>
      </c>
      <c r="E337" s="38">
        <f>14.54*25.4</f>
        <v>369.31599999999997</v>
      </c>
      <c r="F337" s="38">
        <f>10180/145</f>
        <v>70.206896551724142</v>
      </c>
      <c r="G337" s="38">
        <f t="shared" si="1341"/>
        <v>25.4</v>
      </c>
      <c r="H337" s="38">
        <f>20*25.4</f>
        <v>508</v>
      </c>
      <c r="I337" s="38">
        <f t="shared" si="1345"/>
        <v>63.5</v>
      </c>
      <c r="J337" s="39">
        <f>3*25.4</f>
        <v>76.199999999999989</v>
      </c>
      <c r="K337" s="7">
        <f t="shared" si="1339"/>
        <v>152.4</v>
      </c>
      <c r="L337" s="38">
        <v>3</v>
      </c>
      <c r="M337" s="4">
        <f t="shared" si="1357"/>
        <v>260.34999999999997</v>
      </c>
      <c r="N337" s="7">
        <f t="shared" si="1224"/>
        <v>3</v>
      </c>
      <c r="O337" s="7">
        <f t="shared" si="1225"/>
        <v>3</v>
      </c>
      <c r="P337" s="38">
        <v>9.5</v>
      </c>
      <c r="Q337" s="4">
        <f t="shared" si="1342"/>
        <v>9.5</v>
      </c>
      <c r="R337" s="4">
        <f t="shared" si="1226"/>
        <v>10.5</v>
      </c>
      <c r="S337" s="7">
        <f t="shared" si="1227"/>
        <v>82.305406869779816</v>
      </c>
      <c r="V337" s="38">
        <f t="shared" si="1395"/>
        <v>907.58620689655174</v>
      </c>
      <c r="W337" s="4">
        <v>131.6</v>
      </c>
      <c r="X337" s="4">
        <f t="shared" si="1228"/>
        <v>1.0374944577148659</v>
      </c>
      <c r="Y337" s="38"/>
      <c r="Z337" s="38"/>
      <c r="AA337" s="39">
        <v>1</v>
      </c>
      <c r="AB337" s="39"/>
      <c r="AC337" s="39"/>
      <c r="AD337" s="7"/>
      <c r="AE337" s="4">
        <f t="shared" si="1229"/>
        <v>369.31599999999997</v>
      </c>
      <c r="AF337" s="4">
        <f t="shared" si="1230"/>
        <v>0.45850527281063735</v>
      </c>
      <c r="AG337" s="4">
        <f t="shared" si="1231"/>
        <v>391.20869898560869</v>
      </c>
      <c r="AH337" s="4">
        <f t="shared" si="1232"/>
        <v>0.74126547455295733</v>
      </c>
      <c r="AI337" s="4">
        <v>1.25</v>
      </c>
      <c r="AJ337" s="4">
        <f t="shared" si="1154"/>
        <v>2.5</v>
      </c>
      <c r="AK337" s="38">
        <f t="shared" si="1340"/>
        <v>415.50536150678056</v>
      </c>
      <c r="AL337" s="38">
        <f t="shared" si="1264"/>
        <v>415.50536150678056</v>
      </c>
      <c r="AM337" s="38">
        <f t="shared" si="1233"/>
        <v>4.615452125415529</v>
      </c>
      <c r="AN337" s="38">
        <f t="shared" si="1161"/>
        <v>415.50536150678073</v>
      </c>
      <c r="AO337" s="38">
        <f t="shared" si="1115"/>
        <v>0.99999999999999956</v>
      </c>
      <c r="AP337" s="38">
        <f t="shared" si="1162"/>
        <v>3.1247566190650464</v>
      </c>
      <c r="AQ337" s="4">
        <f t="shared" si="1163"/>
        <v>0</v>
      </c>
      <c r="AR337" s="4" t="e">
        <f>#REF!/G337*F337^0.5/0.19</f>
        <v>#REF!</v>
      </c>
      <c r="AS337" s="4">
        <f t="shared" si="1234"/>
        <v>1</v>
      </c>
      <c r="AT337" s="38">
        <f t="shared" si="1235"/>
        <v>1298.3531286253281</v>
      </c>
      <c r="AU337" s="4">
        <f t="shared" si="1236"/>
        <v>0.3</v>
      </c>
      <c r="AV337" s="4" t="e">
        <f>AU337*D337*#REF!/(D337*G337/2.75/F337^0.5)</f>
        <v>#REF!</v>
      </c>
      <c r="AW337" s="4" t="e">
        <f t="shared" si="1431"/>
        <v>#REF!</v>
      </c>
      <c r="AY337" s="4">
        <f t="shared" si="1237"/>
        <v>1.375</v>
      </c>
      <c r="AZ337" s="4" t="e">
        <f>(3*#REF!+30)*AY337*F337^0.5</f>
        <v>#REF!</v>
      </c>
      <c r="BB337" s="4">
        <f t="shared" si="1238"/>
        <v>1245.2794285929851</v>
      </c>
      <c r="BC337" s="4">
        <f t="shared" ref="BC337:BC368" si="1464">8/3*T337*U337^2/(S337-G337-22)/G337*(S337^2-G337^2)/(S337^2-(G337+22)^2)</f>
        <v>0</v>
      </c>
      <c r="BD337" s="4">
        <f t="shared" si="1432"/>
        <v>0</v>
      </c>
      <c r="BL337" s="4">
        <f t="shared" si="1239"/>
        <v>63.5</v>
      </c>
      <c r="BP337" s="9"/>
      <c r="BR337" s="9"/>
      <c r="BS337" s="9"/>
      <c r="BT337" s="9">
        <f t="shared" si="1240"/>
        <v>63.5</v>
      </c>
      <c r="BU337" s="9">
        <f t="shared" si="1241"/>
        <v>76.2</v>
      </c>
      <c r="BV337" s="9">
        <f t="shared" si="1242"/>
        <v>1.6249768986352224</v>
      </c>
      <c r="BW337" s="40">
        <f t="shared" si="1343"/>
        <v>0</v>
      </c>
      <c r="BX337" s="9">
        <f t="shared" si="1243"/>
        <v>0</v>
      </c>
      <c r="BY337" s="9">
        <f t="shared" si="1433"/>
        <v>0</v>
      </c>
      <c r="BZ337" s="9">
        <f t="shared" si="1244"/>
        <v>0.99524931562137331</v>
      </c>
      <c r="CA337" s="9">
        <f t="shared" si="1245"/>
        <v>0.68</v>
      </c>
      <c r="CB337" s="9">
        <f t="shared" si="1246"/>
        <v>1.9847176531283015</v>
      </c>
      <c r="CC337" s="9">
        <f t="shared" si="1247"/>
        <v>3.2251203366470045</v>
      </c>
      <c r="CD337" s="40">
        <v>1</v>
      </c>
      <c r="CE337" s="9" t="e">
        <f>4*CC337*#REF!+60*CC337</f>
        <v>#REF!</v>
      </c>
      <c r="CG337" s="4" t="e">
        <f t="shared" si="1434"/>
        <v>#REF!</v>
      </c>
      <c r="CH337" s="4" t="e">
        <f t="shared" si="1435"/>
        <v>#REF!</v>
      </c>
      <c r="CI337" s="4" t="e">
        <f t="shared" si="1436"/>
        <v>#REF!</v>
      </c>
      <c r="CJ337" s="4" t="e">
        <f t="shared" si="1437"/>
        <v>#REF!</v>
      </c>
      <c r="CK337" s="4">
        <f t="shared" si="1438"/>
        <v>1.0374944577148659</v>
      </c>
      <c r="CL337" s="4">
        <f t="shared" si="1439"/>
        <v>1.0377227912290949</v>
      </c>
      <c r="CM337" s="4">
        <f t="shared" si="1310"/>
        <v>1.261486403351207</v>
      </c>
      <c r="CN337" s="4">
        <f t="shared" si="1344"/>
        <v>0</v>
      </c>
      <c r="CO337" s="4" t="e">
        <f t="shared" ref="CO337" si="1465">CG337</f>
        <v>#REF!</v>
      </c>
      <c r="CP337" s="4" t="e">
        <f t="shared" ref="CP337" si="1466">CH337</f>
        <v>#REF!</v>
      </c>
      <c r="CQ337" s="4" t="e">
        <f t="shared" ref="CQ337" si="1467">CJ337</f>
        <v>#REF!</v>
      </c>
      <c r="CR337" s="4">
        <f t="shared" ref="CR337" si="1468">CM337</f>
        <v>1.261486403351207</v>
      </c>
      <c r="CS337" s="4">
        <f t="shared" ref="CS337" si="1469">CK337</f>
        <v>1.0374944577148659</v>
      </c>
      <c r="CT337" s="4">
        <f t="shared" ref="CT337" si="1470">CL337</f>
        <v>1.0377227912290949</v>
      </c>
      <c r="DC337" s="4" t="e">
        <f>#REF!</f>
        <v>#REF!</v>
      </c>
      <c r="DF337" s="4">
        <f t="shared" si="1248"/>
        <v>3.3591114581024516E-5</v>
      </c>
      <c r="DG337" s="4">
        <f t="shared" si="1446"/>
        <v>10.58671967137796</v>
      </c>
      <c r="DH337" s="4">
        <f t="shared" si="1249"/>
        <v>0.19951175728678291</v>
      </c>
      <c r="DI337" s="4">
        <f t="shared" si="1447"/>
        <v>5.5558282405833204</v>
      </c>
      <c r="DJ337" s="4">
        <f t="shared" si="1448"/>
        <v>8.4575763623866695</v>
      </c>
      <c r="DK337" s="4">
        <f t="shared" si="1250"/>
        <v>8.8014216716952376</v>
      </c>
      <c r="DL337" s="38">
        <f t="shared" si="1251"/>
        <v>874.78655924153691</v>
      </c>
      <c r="DM337" s="4" t="e">
        <f t="shared" si="1449"/>
        <v>#REF!</v>
      </c>
      <c r="DN337" s="4">
        <f t="shared" si="1252"/>
        <v>3.2403703492039297</v>
      </c>
      <c r="DO337" s="4">
        <f t="shared" si="1309"/>
        <v>415.50536150678073</v>
      </c>
      <c r="DS337" s="4">
        <f t="shared" si="1253"/>
        <v>0.85</v>
      </c>
      <c r="DT337" s="4">
        <f t="shared" si="1254"/>
        <v>0.85</v>
      </c>
      <c r="DU337" s="4">
        <f t="shared" si="1255"/>
        <v>1</v>
      </c>
      <c r="DV337" s="4">
        <f t="shared" si="1450"/>
        <v>0.85</v>
      </c>
      <c r="DX337" s="4">
        <f t="shared" si="1256"/>
        <v>874.59407711532731</v>
      </c>
      <c r="DY337" s="25">
        <f t="shared" si="1146"/>
        <v>412.80136504982062</v>
      </c>
      <c r="EA337" s="4">
        <f t="shared" si="1147"/>
        <v>0.72249999999999992</v>
      </c>
      <c r="EB337" s="4">
        <f t="shared" si="1257"/>
        <v>10.58671967137796</v>
      </c>
      <c r="EE337" s="4">
        <f t="shared" si="1258"/>
        <v>82.305406869779816</v>
      </c>
      <c r="EF337" s="4">
        <f t="shared" si="1451"/>
        <v>3.2403703492039302</v>
      </c>
      <c r="EG337" s="4">
        <f t="shared" si="1259"/>
        <v>9.1409986995560882E-2</v>
      </c>
      <c r="EJ337" s="4">
        <f t="shared" si="1452"/>
        <v>9.1409986995560882E-2</v>
      </c>
      <c r="EK337" s="4">
        <f t="shared" si="1260"/>
        <v>0.19917880934780813</v>
      </c>
      <c r="EL337" s="4">
        <f t="shared" si="1453"/>
        <v>5.5521177254647478</v>
      </c>
      <c r="EM337" s="4">
        <f t="shared" si="1454"/>
        <v>8.4563691657379376</v>
      </c>
      <c r="EN337" s="4" t="e">
        <f t="shared" si="1455"/>
        <v>#REF!</v>
      </c>
      <c r="EO337" s="4" t="e">
        <f t="shared" si="1456"/>
        <v>#REF!</v>
      </c>
      <c r="EP337" s="4" t="e">
        <f t="shared" si="1261"/>
        <v>#REF!</v>
      </c>
      <c r="EQ337" s="4" t="e">
        <f t="shared" si="1457"/>
        <v>#REF!</v>
      </c>
      <c r="ER337" s="4" t="e">
        <f t="shared" si="1262"/>
        <v>#REF!</v>
      </c>
      <c r="FA337" s="23" t="e">
        <f t="shared" si="1383"/>
        <v>#REF!</v>
      </c>
      <c r="FB337" s="23" t="e">
        <f t="shared" si="1384"/>
        <v>#REF!</v>
      </c>
      <c r="FC337" s="23">
        <f t="shared" si="1317"/>
        <v>1.4</v>
      </c>
      <c r="FD337" s="23" t="e">
        <f t="shared" si="1385"/>
        <v>#REF!</v>
      </c>
      <c r="FE337" s="23">
        <f t="shared" si="1386"/>
        <v>1.2</v>
      </c>
      <c r="FF337" s="23">
        <f t="shared" si="1387"/>
        <v>1.2</v>
      </c>
      <c r="FG337" s="23">
        <f t="shared" si="1266"/>
        <v>0</v>
      </c>
      <c r="FH337" s="23"/>
      <c r="FR337" s="4">
        <f t="shared" si="1122"/>
        <v>1</v>
      </c>
      <c r="FS337" s="4">
        <f t="shared" si="1123"/>
        <v>0.58333333333333326</v>
      </c>
      <c r="FT337" s="4">
        <f t="shared" si="1124"/>
        <v>0</v>
      </c>
      <c r="FU337" s="4">
        <f t="shared" si="1125"/>
        <v>719.45777971565906</v>
      </c>
    </row>
    <row r="338" spans="2:177" ht="12" customHeight="1" x14ac:dyDescent="0.3">
      <c r="B338" s="24"/>
      <c r="C338" s="7" t="s">
        <v>477</v>
      </c>
      <c r="D338" s="38">
        <f t="shared" si="1388"/>
        <v>827.58620689655174</v>
      </c>
      <c r="E338" s="38">
        <f>14.54*25.4</f>
        <v>369.31599999999997</v>
      </c>
      <c r="F338" s="38">
        <f>10180/145</f>
        <v>70.206896551724142</v>
      </c>
      <c r="G338" s="38">
        <f t="shared" si="1341"/>
        <v>25.4</v>
      </c>
      <c r="H338" s="38">
        <f>20*25.4</f>
        <v>508</v>
      </c>
      <c r="I338" s="38">
        <f t="shared" si="1345"/>
        <v>63.5</v>
      </c>
      <c r="J338" s="39">
        <f>3*25.4</f>
        <v>76.199999999999989</v>
      </c>
      <c r="K338" s="7">
        <f t="shared" si="1339"/>
        <v>152.4</v>
      </c>
      <c r="L338" s="38">
        <v>3</v>
      </c>
      <c r="M338" s="4">
        <f t="shared" si="1357"/>
        <v>260.34999999999997</v>
      </c>
      <c r="N338" s="7">
        <f t="shared" si="1224"/>
        <v>3</v>
      </c>
      <c r="O338" s="7">
        <f t="shared" si="1225"/>
        <v>3</v>
      </c>
      <c r="P338" s="38">
        <v>9.5</v>
      </c>
      <c r="Q338" s="4">
        <f t="shared" si="1342"/>
        <v>9.5</v>
      </c>
      <c r="R338" s="4">
        <f t="shared" si="1226"/>
        <v>10.5</v>
      </c>
      <c r="S338" s="7">
        <f t="shared" si="1227"/>
        <v>82.305406869779816</v>
      </c>
      <c r="V338" s="38">
        <f t="shared" si="1395"/>
        <v>989.65517241379314</v>
      </c>
      <c r="W338" s="4">
        <v>143.5</v>
      </c>
      <c r="X338" s="4">
        <f t="shared" si="1228"/>
        <v>1.0877385129806194</v>
      </c>
      <c r="Y338" s="38">
        <f>0.5*25.4</f>
        <v>12.7</v>
      </c>
      <c r="Z338" s="38">
        <v>4</v>
      </c>
      <c r="AA338" s="39">
        <f>6*25.4</f>
        <v>152.39999999999998</v>
      </c>
      <c r="AB338" s="39">
        <v>1</v>
      </c>
      <c r="AC338" s="39">
        <v>1</v>
      </c>
      <c r="AD338" s="7"/>
      <c r="AE338" s="4">
        <f t="shared" si="1229"/>
        <v>369.31599999999997</v>
      </c>
      <c r="AF338" s="4">
        <f t="shared" si="1230"/>
        <v>0.45850527281063735</v>
      </c>
      <c r="AG338" s="4">
        <f t="shared" si="1231"/>
        <v>391.20869898560869</v>
      </c>
      <c r="AH338" s="4">
        <f t="shared" si="1232"/>
        <v>0.74126547455295733</v>
      </c>
      <c r="AI338" s="4">
        <v>1.25</v>
      </c>
      <c r="AJ338" s="4">
        <f t="shared" si="1154"/>
        <v>2.5</v>
      </c>
      <c r="AK338" s="38">
        <f t="shared" si="1340"/>
        <v>415.50536150678056</v>
      </c>
      <c r="AL338" s="38">
        <f t="shared" si="1264"/>
        <v>415.50536150678056</v>
      </c>
      <c r="AM338" s="38">
        <f t="shared" si="1233"/>
        <v>4.615452125415529</v>
      </c>
      <c r="AN338" s="38">
        <f t="shared" si="1161"/>
        <v>415.50536150678073</v>
      </c>
      <c r="AO338" s="38">
        <f t="shared" si="1115"/>
        <v>0.99999999999999956</v>
      </c>
      <c r="AP338" s="38">
        <f t="shared" si="1162"/>
        <v>3.1247566190650464</v>
      </c>
      <c r="AQ338" s="4">
        <f t="shared" si="1163"/>
        <v>0</v>
      </c>
      <c r="AR338" s="4" t="e">
        <f>#REF!/G338*F338^0.5/0.19</f>
        <v>#REF!</v>
      </c>
      <c r="AS338" s="4">
        <f t="shared" si="1234"/>
        <v>1</v>
      </c>
      <c r="AT338" s="38">
        <f t="shared" si="1235"/>
        <v>1298.3531286253281</v>
      </c>
      <c r="AU338" s="4">
        <f t="shared" si="1236"/>
        <v>0.3</v>
      </c>
      <c r="AV338" s="4" t="e">
        <f>AU338*D338*#REF!/(D338*G338/2.75/F338^0.5)</f>
        <v>#REF!</v>
      </c>
      <c r="AW338" s="4" t="e">
        <f t="shared" si="1431"/>
        <v>#REF!</v>
      </c>
      <c r="AY338" s="4">
        <f t="shared" si="1237"/>
        <v>1.5</v>
      </c>
      <c r="AZ338" s="4" t="e">
        <f>(3*#REF!+30)*AY338*F338^0.5</f>
        <v>#REF!</v>
      </c>
      <c r="BB338" s="4">
        <f t="shared" si="1238"/>
        <v>1245.2794285929851</v>
      </c>
      <c r="BC338" s="4">
        <f t="shared" si="1464"/>
        <v>0</v>
      </c>
      <c r="BD338" s="4">
        <f t="shared" si="1432"/>
        <v>0</v>
      </c>
      <c r="BL338" s="4">
        <f t="shared" si="1239"/>
        <v>63.5</v>
      </c>
      <c r="BP338" s="9"/>
      <c r="BR338" s="9"/>
      <c r="BS338" s="9"/>
      <c r="BT338" s="9">
        <f t="shared" si="1240"/>
        <v>63.5</v>
      </c>
      <c r="BU338" s="9">
        <f t="shared" si="1241"/>
        <v>76.2</v>
      </c>
      <c r="BV338" s="9">
        <f t="shared" si="1242"/>
        <v>1.6249768986352224</v>
      </c>
      <c r="BW338" s="40">
        <f t="shared" si="1343"/>
        <v>20</v>
      </c>
      <c r="BX338" s="9">
        <f t="shared" si="1243"/>
        <v>0.05</v>
      </c>
      <c r="BY338" s="9">
        <f t="shared" si="1433"/>
        <v>0.8</v>
      </c>
      <c r="BZ338" s="9">
        <f t="shared" si="1244"/>
        <v>0.99524931562137331</v>
      </c>
      <c r="CA338" s="9">
        <f t="shared" si="1245"/>
        <v>0.68</v>
      </c>
      <c r="CB338" s="9">
        <f t="shared" si="1246"/>
        <v>1.9847176531283015</v>
      </c>
      <c r="CC338" s="9">
        <f t="shared" si="1247"/>
        <v>4.8128944591496454</v>
      </c>
      <c r="CD338" s="40">
        <v>1</v>
      </c>
      <c r="CE338" s="9" t="e">
        <f>4*CC338*#REF!+60*CC338</f>
        <v>#REF!</v>
      </c>
      <c r="CG338" s="4" t="e">
        <f t="shared" si="1434"/>
        <v>#REF!</v>
      </c>
      <c r="CH338" s="4" t="e">
        <f t="shared" si="1435"/>
        <v>#REF!</v>
      </c>
      <c r="CI338" s="4" t="e">
        <f t="shared" si="1436"/>
        <v>#REF!</v>
      </c>
      <c r="CJ338" s="4" t="e">
        <f t="shared" si="1437"/>
        <v>#REF!</v>
      </c>
      <c r="CK338" s="4">
        <f t="shared" si="1438"/>
        <v>1.0877385129806194</v>
      </c>
      <c r="CL338" s="4">
        <f t="shared" si="1439"/>
        <v>1.0851045143939175</v>
      </c>
      <c r="CM338" s="4">
        <f t="shared" si="1310"/>
        <v>1.2104901444923288</v>
      </c>
      <c r="CN338" s="4">
        <f t="shared" si="1344"/>
        <v>4</v>
      </c>
      <c r="CU338" s="4" t="e">
        <f t="shared" ref="CU338" si="1471">CG338</f>
        <v>#REF!</v>
      </c>
      <c r="CV338" s="4" t="e">
        <f t="shared" ref="CV338" si="1472">CH338</f>
        <v>#REF!</v>
      </c>
      <c r="CW338" s="4" t="e">
        <f t="shared" ref="CW338" si="1473">CJ338</f>
        <v>#REF!</v>
      </c>
      <c r="CX338" s="4">
        <f t="shared" ref="CX338" si="1474">CM338</f>
        <v>1.2104901444923288</v>
      </c>
      <c r="CY338" s="4">
        <f t="shared" ref="CY338" si="1475">CK338</f>
        <v>1.0877385129806194</v>
      </c>
      <c r="CZ338" s="4">
        <f t="shared" ref="CZ338" si="1476">CL338</f>
        <v>1.0851045143939175</v>
      </c>
      <c r="DC338" s="4" t="e">
        <f>#REF!</f>
        <v>#REF!</v>
      </c>
      <c r="DF338" s="4">
        <f t="shared" si="1248"/>
        <v>3.3591114581024516E-5</v>
      </c>
      <c r="DG338" s="4">
        <f t="shared" si="1446"/>
        <v>11.445102347435631</v>
      </c>
      <c r="DH338" s="4">
        <f t="shared" si="1249"/>
        <v>0.19951175728678291</v>
      </c>
      <c r="DI338" s="4">
        <f t="shared" si="1447"/>
        <v>6.0063008006306164</v>
      </c>
      <c r="DJ338" s="4">
        <f t="shared" si="1448"/>
        <v>9.1433257971747768</v>
      </c>
      <c r="DK338" s="4">
        <f t="shared" si="1250"/>
        <v>9.3639241751610225</v>
      </c>
      <c r="DL338" s="38">
        <f t="shared" si="1251"/>
        <v>909.82819915233267</v>
      </c>
      <c r="DM338" s="4" t="e">
        <f t="shared" si="1449"/>
        <v>#REF!</v>
      </c>
      <c r="DN338" s="4">
        <f t="shared" si="1252"/>
        <v>3.2403703492039297</v>
      </c>
      <c r="DO338" s="4">
        <f t="shared" si="1309"/>
        <v>415.50536150678073</v>
      </c>
      <c r="DS338" s="4">
        <f t="shared" si="1253"/>
        <v>0.85</v>
      </c>
      <c r="DT338" s="4">
        <f t="shared" si="1254"/>
        <v>0.85</v>
      </c>
      <c r="DU338" s="4">
        <f t="shared" si="1255"/>
        <v>0.92500000000000004</v>
      </c>
      <c r="DV338" s="4">
        <f t="shared" si="1450"/>
        <v>0.78625</v>
      </c>
      <c r="DX338" s="4">
        <f t="shared" si="1256"/>
        <v>912.03672944496282</v>
      </c>
      <c r="DY338" s="25">
        <f t="shared" si="1146"/>
        <v>412.80136504982062</v>
      </c>
      <c r="EA338" s="4">
        <f t="shared" si="1147"/>
        <v>0.66831249999999998</v>
      </c>
      <c r="EB338" s="4">
        <f t="shared" si="1257"/>
        <v>11.445102347435631</v>
      </c>
      <c r="EE338" s="4">
        <f t="shared" si="1258"/>
        <v>82.305406869779816</v>
      </c>
      <c r="EF338" s="4">
        <f t="shared" si="1451"/>
        <v>3.2403703492039302</v>
      </c>
      <c r="EG338" s="4">
        <f t="shared" si="1259"/>
        <v>9.1409986995560882E-2</v>
      </c>
      <c r="EJ338" s="4">
        <f t="shared" si="1452"/>
        <v>9.1409986995560882E-2</v>
      </c>
      <c r="EK338" s="4">
        <f t="shared" si="1260"/>
        <v>0.19917880934780813</v>
      </c>
      <c r="EL338" s="4">
        <f t="shared" si="1453"/>
        <v>6.0022894329348615</v>
      </c>
      <c r="EM338" s="4">
        <f t="shared" si="1454"/>
        <v>9.1420207197166885</v>
      </c>
      <c r="EN338" s="4" t="e">
        <f t="shared" si="1455"/>
        <v>#REF!</v>
      </c>
      <c r="EO338" s="4" t="e">
        <f t="shared" si="1456"/>
        <v>#REF!</v>
      </c>
      <c r="EP338" s="4" t="e">
        <f t="shared" si="1261"/>
        <v>#REF!</v>
      </c>
      <c r="EQ338" s="4" t="e">
        <f t="shared" si="1457"/>
        <v>#REF!</v>
      </c>
      <c r="ER338" s="4" t="e">
        <f t="shared" si="1262"/>
        <v>#REF!</v>
      </c>
      <c r="FA338" s="23" t="e">
        <f t="shared" si="1383"/>
        <v>#REF!</v>
      </c>
      <c r="FB338" s="23" t="e">
        <f t="shared" si="1384"/>
        <v>#REF!</v>
      </c>
      <c r="FC338" s="23">
        <f t="shared" si="1317"/>
        <v>1.4</v>
      </c>
      <c r="FD338" s="23" t="e">
        <f t="shared" si="1385"/>
        <v>#REF!</v>
      </c>
      <c r="FE338" s="23">
        <f t="shared" si="1386"/>
        <v>1.2</v>
      </c>
      <c r="FF338" s="23">
        <f t="shared" si="1387"/>
        <v>1.2</v>
      </c>
      <c r="FG338" s="23">
        <f t="shared" si="1266"/>
        <v>0</v>
      </c>
      <c r="FH338" s="23"/>
      <c r="FR338" s="4">
        <f t="shared" si="1122"/>
        <v>1</v>
      </c>
      <c r="FS338" s="4">
        <f t="shared" si="1123"/>
        <v>0.51333333333333342</v>
      </c>
      <c r="FT338" s="4">
        <f t="shared" si="1124"/>
        <v>0.16666666666666669</v>
      </c>
      <c r="FU338" s="4">
        <f t="shared" si="1125"/>
        <v>817.56565876779416</v>
      </c>
    </row>
    <row r="339" spans="2:177" ht="12" customHeight="1" x14ac:dyDescent="0.3">
      <c r="B339" s="24" t="s">
        <v>478</v>
      </c>
      <c r="C339" s="7" t="s">
        <v>479</v>
      </c>
      <c r="D339" s="38">
        <f>129/0.145</f>
        <v>889.65517241379314</v>
      </c>
      <c r="E339" s="38">
        <f>12.06*25.4</f>
        <v>306.32400000000001</v>
      </c>
      <c r="F339" s="38">
        <f>12080/145</f>
        <v>83.310344827586206</v>
      </c>
      <c r="G339" s="38">
        <f t="shared" si="1341"/>
        <v>25.4</v>
      </c>
      <c r="H339" s="38">
        <f>15*25.4</f>
        <v>381</v>
      </c>
      <c r="I339" s="38">
        <f>2.5*25.4</f>
        <v>63.5</v>
      </c>
      <c r="J339" s="39">
        <f>3*25.4</f>
        <v>76.199999999999989</v>
      </c>
      <c r="K339" s="7">
        <f t="shared" si="1339"/>
        <v>203.2</v>
      </c>
      <c r="L339" s="38">
        <v>2</v>
      </c>
      <c r="M339" s="4">
        <f t="shared" si="1357"/>
        <v>260.34999999999997</v>
      </c>
      <c r="N339" s="7">
        <f t="shared" si="1224"/>
        <v>3</v>
      </c>
      <c r="O339" s="7">
        <f t="shared" si="1225"/>
        <v>3</v>
      </c>
      <c r="P339" s="38">
        <v>4.0999999999999996</v>
      </c>
      <c r="Q339" s="4">
        <f t="shared" si="1342"/>
        <v>4.0999999999999996</v>
      </c>
      <c r="R339" s="4">
        <f t="shared" si="1226"/>
        <v>5.0999999999999996</v>
      </c>
      <c r="S339" s="7">
        <f t="shared" si="1227"/>
        <v>57.361276136431961</v>
      </c>
      <c r="V339" s="38">
        <f t="shared" si="1395"/>
        <v>690.34482758620686</v>
      </c>
      <c r="W339" s="4">
        <v>100.1</v>
      </c>
      <c r="X339" s="4">
        <f t="shared" si="1228"/>
        <v>0.77596899224806193</v>
      </c>
      <c r="Y339" s="38"/>
      <c r="Z339" s="38"/>
      <c r="AA339" s="39">
        <v>1</v>
      </c>
      <c r="AB339" s="39"/>
      <c r="AC339" s="39"/>
      <c r="AD339" s="7"/>
      <c r="AE339" s="4">
        <f t="shared" si="1229"/>
        <v>306.32400000000001</v>
      </c>
      <c r="AF339" s="4">
        <f t="shared" si="1230"/>
        <v>0.41459369817578773</v>
      </c>
      <c r="AG339" s="4">
        <f t="shared" si="1231"/>
        <v>482.87385616153779</v>
      </c>
      <c r="AH339" s="4">
        <f t="shared" si="1232"/>
        <v>0.74975124378109448</v>
      </c>
      <c r="AI339" s="4">
        <v>1.25</v>
      </c>
      <c r="AJ339" s="4">
        <f t="shared" si="1154"/>
        <v>2.5</v>
      </c>
      <c r="AK339" s="38">
        <f t="shared" si="1340"/>
        <v>469.05482256230084</v>
      </c>
      <c r="AL339" s="38">
        <f t="shared" si="1264"/>
        <v>469.05482256230084</v>
      </c>
      <c r="AM339" s="38">
        <f t="shared" si="1233"/>
        <v>4.9090792795570026</v>
      </c>
      <c r="AN339" s="38">
        <f t="shared" si="1161"/>
        <v>469.05482256230096</v>
      </c>
      <c r="AO339" s="38">
        <f t="shared" si="1115"/>
        <v>0.99999999999999978</v>
      </c>
      <c r="AP339" s="38">
        <f t="shared" si="1162"/>
        <v>2.1578363526430446</v>
      </c>
      <c r="AQ339" s="4">
        <f t="shared" si="1163"/>
        <v>0</v>
      </c>
      <c r="AR339" s="4" t="e">
        <f>#REF!/G339*F339^0.5/0.19</f>
        <v>#REF!</v>
      </c>
      <c r="AS339" s="4">
        <f t="shared" si="1234"/>
        <v>1</v>
      </c>
      <c r="AT339" s="38">
        <f t="shared" si="1235"/>
        <v>1012.143547507466</v>
      </c>
      <c r="AU339" s="4">
        <f t="shared" si="1236"/>
        <v>0.42600000000000005</v>
      </c>
      <c r="AV339" s="4" t="e">
        <f>AU339*D339*#REF!/(D339*G339/2.75/F339^0.5)</f>
        <v>#REF!</v>
      </c>
      <c r="AW339" s="4" t="e">
        <f t="shared" si="1431"/>
        <v>#REF!</v>
      </c>
      <c r="AY339" s="4">
        <f t="shared" si="1237"/>
        <v>1.375</v>
      </c>
      <c r="AZ339" s="4" t="e">
        <f>(3*#REF!+30)*AY339*F339^0.5</f>
        <v>#REF!</v>
      </c>
      <c r="BB339" s="4">
        <f t="shared" si="1238"/>
        <v>970.76943914993626</v>
      </c>
      <c r="BC339" s="4">
        <f t="shared" si="1464"/>
        <v>0</v>
      </c>
      <c r="BD339" s="4">
        <f t="shared" si="1432"/>
        <v>0</v>
      </c>
      <c r="BL339" s="4">
        <f t="shared" si="1239"/>
        <v>63.5</v>
      </c>
      <c r="BP339" s="9"/>
      <c r="BR339" s="9"/>
      <c r="BS339" s="9"/>
      <c r="BT339" s="9">
        <f t="shared" si="1240"/>
        <v>63.5</v>
      </c>
      <c r="BU339" s="9">
        <f t="shared" si="1241"/>
        <v>101.6</v>
      </c>
      <c r="BV339" s="9">
        <f t="shared" si="1242"/>
        <v>1.6966333587625264</v>
      </c>
      <c r="BW339" s="40">
        <f t="shared" si="1343"/>
        <v>0</v>
      </c>
      <c r="BX339" s="9">
        <f t="shared" si="1243"/>
        <v>0</v>
      </c>
      <c r="BY339" s="9">
        <f t="shared" si="1433"/>
        <v>0</v>
      </c>
      <c r="BZ339" s="9">
        <f t="shared" si="1244"/>
        <v>0.99524931562137331</v>
      </c>
      <c r="CA339" s="9">
        <f t="shared" si="1245"/>
        <v>0.68</v>
      </c>
      <c r="CB339" s="9">
        <f t="shared" si="1246"/>
        <v>2.1620130482705213</v>
      </c>
      <c r="CC339" s="9">
        <f t="shared" si="1247"/>
        <v>3.6681434597756226</v>
      </c>
      <c r="CD339" s="40">
        <v>1</v>
      </c>
      <c r="CE339" s="9" t="e">
        <f>4*CC339*#REF!+60*CC339</f>
        <v>#REF!</v>
      </c>
      <c r="CG339" s="4" t="e">
        <f t="shared" si="1434"/>
        <v>#REF!</v>
      </c>
      <c r="CH339" s="4" t="e">
        <f t="shared" si="1435"/>
        <v>#REF!</v>
      </c>
      <c r="CI339" s="4" t="e">
        <f t="shared" si="1436"/>
        <v>#REF!</v>
      </c>
      <c r="CJ339" s="4" t="e">
        <f t="shared" si="1437"/>
        <v>#REF!</v>
      </c>
      <c r="CK339" s="4">
        <f t="shared" si="1438"/>
        <v>0.77596899224806193</v>
      </c>
      <c r="CL339" s="4">
        <f t="shared" si="1439"/>
        <v>0.78234204586737066</v>
      </c>
      <c r="CM339" s="4">
        <f t="shared" si="1310"/>
        <v>0.9500605438440255</v>
      </c>
      <c r="CN339" s="4">
        <f t="shared" si="1344"/>
        <v>0</v>
      </c>
      <c r="CO339" s="4" t="e">
        <f t="shared" ref="CO339:CO340" si="1477">CG339</f>
        <v>#REF!</v>
      </c>
      <c r="CP339" s="4" t="e">
        <f t="shared" ref="CP339:CP340" si="1478">CH339</f>
        <v>#REF!</v>
      </c>
      <c r="CQ339" s="4" t="e">
        <f t="shared" ref="CQ339:CQ340" si="1479">CJ339</f>
        <v>#REF!</v>
      </c>
      <c r="CR339" s="4">
        <f t="shared" ref="CR339:CR340" si="1480">CM339</f>
        <v>0.9500605438440255</v>
      </c>
      <c r="CS339" s="4">
        <f t="shared" ref="CS339:CS340" si="1481">CK339</f>
        <v>0.77596899224806193</v>
      </c>
      <c r="CT339" s="4">
        <f t="shared" ref="CT339:CT340" si="1482">CL339</f>
        <v>0.78234204586737066</v>
      </c>
      <c r="DC339" s="4" t="e">
        <f>#REF!</f>
        <v>#REF!</v>
      </c>
      <c r="DF339" s="4">
        <f t="shared" si="1248"/>
        <v>3.0145841666072216E-5</v>
      </c>
      <c r="DG339" s="4">
        <f t="shared" si="1446"/>
        <v>11.53243436507174</v>
      </c>
      <c r="DH339" s="4">
        <f t="shared" si="1249"/>
        <v>0.30649719060126668</v>
      </c>
      <c r="DI339" s="4">
        <f t="shared" si="1447"/>
        <v>7.1860724392438087</v>
      </c>
      <c r="DJ339" s="4">
        <f t="shared" si="1448"/>
        <v>9.6095226647576446</v>
      </c>
      <c r="DK339" s="4">
        <f t="shared" si="1250"/>
        <v>9.8322689969158361</v>
      </c>
      <c r="DL339" s="38">
        <f t="shared" si="1251"/>
        <v>889.65517241379314</v>
      </c>
      <c r="DM339" s="4" t="e">
        <f t="shared" si="1449"/>
        <v>#REF!</v>
      </c>
      <c r="DN339" s="4">
        <f t="shared" si="1252"/>
        <v>2.2583179581272428</v>
      </c>
      <c r="DO339" s="4">
        <f t="shared" si="1309"/>
        <v>469.05482256230096</v>
      </c>
      <c r="DS339" s="4">
        <f t="shared" si="1253"/>
        <v>0.85</v>
      </c>
      <c r="DT339" s="4">
        <f t="shared" si="1254"/>
        <v>0.85</v>
      </c>
      <c r="DU339" s="4">
        <f t="shared" si="1255"/>
        <v>1</v>
      </c>
      <c r="DV339" s="4">
        <f t="shared" si="1450"/>
        <v>0.85</v>
      </c>
      <c r="DX339" s="4">
        <f t="shared" si="1256"/>
        <v>882.40793299154984</v>
      </c>
      <c r="DY339" s="25">
        <f t="shared" si="1146"/>
        <v>465.16445766325421</v>
      </c>
      <c r="EA339" s="4">
        <f t="shared" si="1147"/>
        <v>0.72249999999999992</v>
      </c>
      <c r="EB339" s="4">
        <f t="shared" si="1257"/>
        <v>11.53243436507174</v>
      </c>
      <c r="EE339" s="4">
        <f t="shared" si="1258"/>
        <v>57.361276136431961</v>
      </c>
      <c r="EF339" s="4">
        <f t="shared" si="1451"/>
        <v>2.2583179581272428</v>
      </c>
      <c r="EG339" s="4">
        <f t="shared" si="1259"/>
        <v>0.15297174803885022</v>
      </c>
      <c r="EJ339" s="4">
        <f t="shared" si="1452"/>
        <v>0.15297174803885022</v>
      </c>
      <c r="EK339" s="4">
        <f t="shared" si="1260"/>
        <v>0.30598570391346419</v>
      </c>
      <c r="EL339" s="4">
        <f t="shared" si="1453"/>
        <v>7.181273149331604</v>
      </c>
      <c r="EM339" s="4">
        <f t="shared" si="1454"/>
        <v>9.607734820159413</v>
      </c>
      <c r="EN339" s="4" t="e">
        <f t="shared" si="1455"/>
        <v>#REF!</v>
      </c>
      <c r="EO339" s="4" t="e">
        <f t="shared" si="1456"/>
        <v>#REF!</v>
      </c>
      <c r="EP339" s="4" t="e">
        <f t="shared" si="1261"/>
        <v>#REF!</v>
      </c>
      <c r="EQ339" s="4" t="e">
        <f t="shared" si="1457"/>
        <v>#REF!</v>
      </c>
      <c r="ER339" s="4" t="e">
        <f t="shared" si="1262"/>
        <v>#REF!</v>
      </c>
      <c r="FA339" s="23" t="e">
        <f t="shared" si="1383"/>
        <v>#REF!</v>
      </c>
      <c r="FB339" s="23" t="e">
        <f t="shared" si="1384"/>
        <v>#REF!</v>
      </c>
      <c r="FC339" s="23">
        <f t="shared" si="1317"/>
        <v>1</v>
      </c>
      <c r="FD339" s="23" t="e">
        <f t="shared" si="1385"/>
        <v>#REF!</v>
      </c>
      <c r="FE339" s="23">
        <f t="shared" si="1386"/>
        <v>0.8</v>
      </c>
      <c r="FF339" s="23">
        <f t="shared" si="1387"/>
        <v>0.8</v>
      </c>
      <c r="FG339" s="23">
        <f t="shared" si="1266"/>
        <v>1</v>
      </c>
      <c r="FH339" s="23"/>
      <c r="FR339" s="4">
        <f t="shared" si="1122"/>
        <v>1</v>
      </c>
      <c r="FS339" s="4">
        <f t="shared" si="1123"/>
        <v>0.5</v>
      </c>
      <c r="FT339" s="4">
        <f t="shared" si="1124"/>
        <v>0</v>
      </c>
      <c r="FU339" s="4">
        <f t="shared" si="1125"/>
        <v>726.63245733057511</v>
      </c>
    </row>
    <row r="340" spans="2:177" ht="12" customHeight="1" x14ac:dyDescent="0.3">
      <c r="B340" s="24"/>
      <c r="C340" s="7" t="s">
        <v>480</v>
      </c>
      <c r="D340" s="38">
        <f t="shared" ref="D340:D350" si="1483">129/0.145</f>
        <v>889.65517241379314</v>
      </c>
      <c r="E340" s="38">
        <f>11.88*25.4</f>
        <v>301.75200000000001</v>
      </c>
      <c r="F340" s="38">
        <f>12080/145</f>
        <v>83.310344827586206</v>
      </c>
      <c r="G340" s="38">
        <f t="shared" si="1341"/>
        <v>25.4</v>
      </c>
      <c r="H340" s="38">
        <f>14.9*25.4</f>
        <v>378.46</v>
      </c>
      <c r="I340" s="38">
        <f>2.5*25.4</f>
        <v>63.5</v>
      </c>
      <c r="J340" s="39">
        <f>3.15*25.4</f>
        <v>80.009999999999991</v>
      </c>
      <c r="K340" s="7">
        <f t="shared" si="1339"/>
        <v>200.65999999999997</v>
      </c>
      <c r="L340" s="38">
        <v>2</v>
      </c>
      <c r="M340" s="4">
        <f t="shared" si="1357"/>
        <v>260.34999999999997</v>
      </c>
      <c r="N340" s="7">
        <f t="shared" si="1224"/>
        <v>3</v>
      </c>
      <c r="O340" s="7">
        <f t="shared" si="1225"/>
        <v>3</v>
      </c>
      <c r="P340" s="38">
        <v>9.1</v>
      </c>
      <c r="Q340" s="4">
        <f t="shared" si="1342"/>
        <v>9.1</v>
      </c>
      <c r="R340" s="4">
        <f t="shared" si="1226"/>
        <v>10.1</v>
      </c>
      <c r="S340" s="7">
        <f t="shared" si="1227"/>
        <v>80.72246279691916</v>
      </c>
      <c r="V340" s="38">
        <f t="shared" si="1395"/>
        <v>667.58620689655174</v>
      </c>
      <c r="W340" s="4">
        <v>96.8</v>
      </c>
      <c r="X340" s="4">
        <f t="shared" si="1228"/>
        <v>0.76884181445606981</v>
      </c>
      <c r="Y340" s="38"/>
      <c r="Z340" s="38"/>
      <c r="AA340" s="39">
        <v>1</v>
      </c>
      <c r="AB340" s="39"/>
      <c r="AC340" s="39"/>
      <c r="AD340" s="7"/>
      <c r="AE340" s="4">
        <f t="shared" si="1229"/>
        <v>301.75200000000001</v>
      </c>
      <c r="AF340" s="4">
        <f t="shared" si="1230"/>
        <v>0.41806958473625139</v>
      </c>
      <c r="AG340" s="4">
        <f t="shared" si="1231"/>
        <v>472.10368644310773</v>
      </c>
      <c r="AH340" s="4">
        <f t="shared" si="1232"/>
        <v>0.75050505050505045</v>
      </c>
      <c r="AI340" s="4">
        <v>1.25</v>
      </c>
      <c r="AJ340" s="4">
        <f t="shared" si="1154"/>
        <v>2.5</v>
      </c>
      <c r="AK340" s="38">
        <f t="shared" si="1340"/>
        <v>462.90258447849288</v>
      </c>
      <c r="AL340" s="38">
        <f t="shared" si="1264"/>
        <v>462.90258447849288</v>
      </c>
      <c r="AM340" s="38">
        <f t="shared" si="1233"/>
        <v>4.9090792795570026</v>
      </c>
      <c r="AN340" s="38">
        <f t="shared" si="1161"/>
        <v>462.90258447849283</v>
      </c>
      <c r="AO340" s="38">
        <f t="shared" ref="AO340:AO403" si="1484">AK340/AN340</f>
        <v>1.0000000000000002</v>
      </c>
      <c r="AP340" s="38">
        <f t="shared" si="1162"/>
        <v>3.2574763629697041</v>
      </c>
      <c r="AQ340" s="4">
        <f t="shared" si="1163"/>
        <v>0</v>
      </c>
      <c r="AR340" s="4" t="e">
        <f>#REF!/G340*F340^0.5/0.19</f>
        <v>#REF!</v>
      </c>
      <c r="AS340" s="4">
        <f t="shared" si="1234"/>
        <v>1</v>
      </c>
      <c r="AT340" s="38">
        <f t="shared" si="1235"/>
        <v>1507.894227296277</v>
      </c>
      <c r="AU340" s="4">
        <f t="shared" si="1236"/>
        <v>0.3</v>
      </c>
      <c r="AV340" s="4" t="e">
        <f>AU340*D340*#REF!/(D340*G340/2.75/F340^0.5)</f>
        <v>#REF!</v>
      </c>
      <c r="AW340" s="4" t="e">
        <f t="shared" si="1431"/>
        <v>#REF!</v>
      </c>
      <c r="AY340" s="4">
        <f t="shared" si="1237"/>
        <v>1.375</v>
      </c>
      <c r="AZ340" s="4" t="e">
        <f>(3*#REF!+30)*AY340*F340^0.5</f>
        <v>#REF!</v>
      </c>
      <c r="BB340" s="4">
        <f t="shared" si="1238"/>
        <v>1446.254967424999</v>
      </c>
      <c r="BC340" s="4">
        <f t="shared" si="1464"/>
        <v>0</v>
      </c>
      <c r="BD340" s="4">
        <f t="shared" si="1432"/>
        <v>0</v>
      </c>
      <c r="BL340" s="4">
        <f t="shared" si="1239"/>
        <v>63.5</v>
      </c>
      <c r="BP340" s="9"/>
      <c r="BR340" s="9"/>
      <c r="BS340" s="9"/>
      <c r="BT340" s="9">
        <f t="shared" si="1240"/>
        <v>63.5</v>
      </c>
      <c r="BU340" s="9">
        <f t="shared" si="1241"/>
        <v>100.32999999999998</v>
      </c>
      <c r="BV340" s="9">
        <f t="shared" si="1242"/>
        <v>1.6934351397132028</v>
      </c>
      <c r="BW340" s="40">
        <f t="shared" si="1343"/>
        <v>0</v>
      </c>
      <c r="BX340" s="9">
        <f t="shared" si="1243"/>
        <v>0</v>
      </c>
      <c r="BY340" s="9">
        <f t="shared" si="1433"/>
        <v>0</v>
      </c>
      <c r="BZ340" s="9">
        <f t="shared" si="1244"/>
        <v>0.99524931562137331</v>
      </c>
      <c r="CA340" s="9">
        <f t="shared" si="1245"/>
        <v>0.68</v>
      </c>
      <c r="CB340" s="9">
        <f t="shared" si="1246"/>
        <v>2.1620130482705213</v>
      </c>
      <c r="CC340" s="9">
        <f t="shared" si="1247"/>
        <v>3.6612288684597578</v>
      </c>
      <c r="CD340" s="40">
        <v>1</v>
      </c>
      <c r="CE340" s="9" t="e">
        <f>4*CC340*#REF!+60*CC340</f>
        <v>#REF!</v>
      </c>
      <c r="CG340" s="4" t="e">
        <f t="shared" si="1434"/>
        <v>#REF!</v>
      </c>
      <c r="CH340" s="4" t="e">
        <f t="shared" si="1435"/>
        <v>#REF!</v>
      </c>
      <c r="CI340" s="4" t="e">
        <f t="shared" si="1436"/>
        <v>#REF!</v>
      </c>
      <c r="CJ340" s="4" t="e">
        <f t="shared" si="1437"/>
        <v>#REF!</v>
      </c>
      <c r="CK340" s="4">
        <f t="shared" si="1438"/>
        <v>0.76884181445606981</v>
      </c>
      <c r="CL340" s="4">
        <f t="shared" si="1439"/>
        <v>0.76733459610941368</v>
      </c>
      <c r="CM340" s="4">
        <f t="shared" si="1310"/>
        <v>0.93266016758314585</v>
      </c>
      <c r="CN340" s="4">
        <f t="shared" si="1344"/>
        <v>0</v>
      </c>
      <c r="CO340" s="4" t="e">
        <f t="shared" si="1477"/>
        <v>#REF!</v>
      </c>
      <c r="CP340" s="4" t="e">
        <f t="shared" si="1478"/>
        <v>#REF!</v>
      </c>
      <c r="CQ340" s="4" t="e">
        <f t="shared" si="1479"/>
        <v>#REF!</v>
      </c>
      <c r="CR340" s="4">
        <f t="shared" si="1480"/>
        <v>0.93266016758314585</v>
      </c>
      <c r="CS340" s="4">
        <f t="shared" si="1481"/>
        <v>0.76884181445606981</v>
      </c>
      <c r="CT340" s="4">
        <f t="shared" si="1482"/>
        <v>0.76733459610941368</v>
      </c>
      <c r="DC340" s="4" t="e">
        <f>#REF!</f>
        <v>#REF!</v>
      </c>
      <c r="DF340" s="4">
        <f t="shared" si="1248"/>
        <v>2.9695903730757705E-5</v>
      </c>
      <c r="DG340" s="4">
        <f t="shared" si="1446"/>
        <v>11.53243436507174</v>
      </c>
      <c r="DH340" s="4">
        <f t="shared" si="1249"/>
        <v>0.19178320025437295</v>
      </c>
      <c r="DI340" s="4">
        <f t="shared" si="1447"/>
        <v>5.9572416349546407</v>
      </c>
      <c r="DJ340" s="4">
        <f t="shared" si="1448"/>
        <v>9.1824155376039904</v>
      </c>
      <c r="DK340" s="4">
        <f t="shared" si="1250"/>
        <v>10.028307708666377</v>
      </c>
      <c r="DL340" s="38">
        <f t="shared" si="1251"/>
        <v>868.30111779085132</v>
      </c>
      <c r="DM340" s="4" t="e">
        <f t="shared" si="1449"/>
        <v>#REF!</v>
      </c>
      <c r="DN340" s="4">
        <f t="shared" si="1252"/>
        <v>3.1780497164141401</v>
      </c>
      <c r="DO340" s="4">
        <f t="shared" si="1309"/>
        <v>462.90258447849283</v>
      </c>
      <c r="DS340" s="4">
        <f t="shared" si="1253"/>
        <v>0.85</v>
      </c>
      <c r="DT340" s="4">
        <f t="shared" si="1254"/>
        <v>0.85</v>
      </c>
      <c r="DU340" s="4">
        <f t="shared" si="1255"/>
        <v>1</v>
      </c>
      <c r="DV340" s="4">
        <f t="shared" si="1450"/>
        <v>0.85</v>
      </c>
      <c r="DX340" s="4">
        <f t="shared" si="1256"/>
        <v>870.00665717587572</v>
      </c>
      <c r="DY340" s="25">
        <f t="shared" si="1146"/>
        <v>458.99069640471879</v>
      </c>
      <c r="EA340" s="4">
        <f t="shared" si="1147"/>
        <v>0.72249999999999992</v>
      </c>
      <c r="EB340" s="4">
        <f t="shared" si="1257"/>
        <v>11.53243436507174</v>
      </c>
      <c r="EE340" s="4">
        <f t="shared" si="1258"/>
        <v>80.72246279691916</v>
      </c>
      <c r="EF340" s="4">
        <f t="shared" si="1451"/>
        <v>3.1780497164141406</v>
      </c>
      <c r="EG340" s="4">
        <f t="shared" si="1259"/>
        <v>9.5718369652407015E-2</v>
      </c>
      <c r="EJ340" s="4">
        <f t="shared" si="1452"/>
        <v>9.5718369652407015E-2</v>
      </c>
      <c r="EK340" s="4">
        <f t="shared" si="1260"/>
        <v>0.19146314983667795</v>
      </c>
      <c r="EL340" s="4">
        <f t="shared" si="1453"/>
        <v>5.9532630319103585</v>
      </c>
      <c r="EM340" s="4">
        <f t="shared" si="1454"/>
        <v>9.1811381006820749</v>
      </c>
      <c r="EN340" s="4" t="e">
        <f t="shared" si="1455"/>
        <v>#REF!</v>
      </c>
      <c r="EO340" s="4" t="e">
        <f t="shared" si="1456"/>
        <v>#REF!</v>
      </c>
      <c r="EP340" s="4" t="e">
        <f t="shared" si="1261"/>
        <v>#REF!</v>
      </c>
      <c r="EQ340" s="4" t="e">
        <f t="shared" si="1457"/>
        <v>#REF!</v>
      </c>
      <c r="ER340" s="4" t="e">
        <f t="shared" si="1262"/>
        <v>#REF!</v>
      </c>
      <c r="FA340" s="23" t="e">
        <f t="shared" si="1383"/>
        <v>#REF!</v>
      </c>
      <c r="FB340" s="23" t="e">
        <f t="shared" si="1384"/>
        <v>#REF!</v>
      </c>
      <c r="FC340" s="23">
        <f t="shared" si="1317"/>
        <v>1</v>
      </c>
      <c r="FD340" s="23" t="e">
        <f t="shared" si="1385"/>
        <v>#REF!</v>
      </c>
      <c r="FE340" s="23">
        <f t="shared" si="1386"/>
        <v>0.8</v>
      </c>
      <c r="FF340" s="23">
        <f t="shared" si="1387"/>
        <v>0.8</v>
      </c>
      <c r="FG340" s="23">
        <f t="shared" si="1266"/>
        <v>1</v>
      </c>
      <c r="FH340" s="23"/>
      <c r="FR340" s="4">
        <f t="shared" ref="FR340:FR403" si="1485">IF(I340&gt;=2.5*25.4,1,1.25)</f>
        <v>1</v>
      </c>
      <c r="FS340" s="4">
        <f t="shared" ref="FS340:FS403" si="1486">IF(AA340&gt;1, 0.05*(18-MIN(8,(K340+G340)/G340))*(1-48000/MAX(60000,(D340*145))*(G340/25.4)^0.75*FT340), 1/12*(14-MIN(8,(K340+G340)/G340)))</f>
        <v>0.5</v>
      </c>
      <c r="FT340" s="4">
        <f t="shared" ref="FT340:FT403" si="1487">MIN(0.3, Y340^2*PI()/4*2*AB340/(G340^2*PI()/4*L340))</f>
        <v>0</v>
      </c>
      <c r="FU340" s="4">
        <f t="shared" ref="FU340:FU403" si="1488">(E340/25.4)/(G340/25.4)^1.5/0.0024*(F340*145)^0.25/FR340/FS340/145</f>
        <v>715.78719677340246</v>
      </c>
    </row>
    <row r="341" spans="2:177" ht="12" customHeight="1" x14ac:dyDescent="0.3">
      <c r="B341" s="24"/>
      <c r="C341" s="7" t="s">
        <v>481</v>
      </c>
      <c r="D341" s="38">
        <f t="shared" si="1483"/>
        <v>889.65517241379314</v>
      </c>
      <c r="E341" s="38">
        <f>11.97*25.4</f>
        <v>304.03800000000001</v>
      </c>
      <c r="F341" s="38">
        <f>12080/145</f>
        <v>83.310344827586206</v>
      </c>
      <c r="G341" s="38">
        <f t="shared" si="1341"/>
        <v>25.4</v>
      </c>
      <c r="H341" s="38">
        <f>14.9*25.4</f>
        <v>378.46</v>
      </c>
      <c r="I341" s="38">
        <f>2.5*25.4</f>
        <v>63.5</v>
      </c>
      <c r="J341" s="39">
        <f>3.15*25.4</f>
        <v>80.009999999999991</v>
      </c>
      <c r="K341" s="7">
        <f t="shared" si="1339"/>
        <v>200.65999999999997</v>
      </c>
      <c r="L341" s="38">
        <v>2</v>
      </c>
      <c r="M341" s="4">
        <f t="shared" si="1357"/>
        <v>260.34999999999997</v>
      </c>
      <c r="N341" s="7">
        <f t="shared" si="1224"/>
        <v>3</v>
      </c>
      <c r="O341" s="7">
        <f t="shared" si="1225"/>
        <v>3</v>
      </c>
      <c r="P341" s="38">
        <v>4.0999999999999996</v>
      </c>
      <c r="Q341" s="4">
        <f t="shared" si="1342"/>
        <v>4.0999999999999996</v>
      </c>
      <c r="R341" s="4">
        <f t="shared" si="1226"/>
        <v>5.0999999999999996</v>
      </c>
      <c r="S341" s="7">
        <f t="shared" si="1227"/>
        <v>57.361276136431961</v>
      </c>
      <c r="V341" s="38">
        <f t="shared" si="1395"/>
        <v>976.55172413793105</v>
      </c>
      <c r="W341" s="4">
        <v>141.6</v>
      </c>
      <c r="X341" s="4">
        <f t="shared" si="1228"/>
        <v>1</v>
      </c>
      <c r="Y341" s="38">
        <f>0.5*25.4</f>
        <v>12.7</v>
      </c>
      <c r="Z341" s="38">
        <v>10</v>
      </c>
      <c r="AA341" s="39">
        <f>3*25.4</f>
        <v>76.199999999999989</v>
      </c>
      <c r="AB341" s="39">
        <v>3</v>
      </c>
      <c r="AC341" s="39">
        <f t="shared" ref="AC341:AC342" si="1489">AB341-1</f>
        <v>2</v>
      </c>
      <c r="AD341" s="7"/>
      <c r="AE341" s="4">
        <f t="shared" si="1229"/>
        <v>304.03800000000001</v>
      </c>
      <c r="AF341" s="4">
        <f t="shared" si="1230"/>
        <v>0.41492620439988864</v>
      </c>
      <c r="AG341" s="4">
        <f t="shared" si="1231"/>
        <v>477.47864890275287</v>
      </c>
      <c r="AH341" s="4">
        <f t="shared" si="1232"/>
        <v>0.75012531328320797</v>
      </c>
      <c r="AI341" s="4">
        <v>1.25</v>
      </c>
      <c r="AJ341" s="4">
        <f t="shared" si="1154"/>
        <v>2.5</v>
      </c>
      <c r="AK341" s="38">
        <f t="shared" si="1340"/>
        <v>464.41759209689883</v>
      </c>
      <c r="AL341" s="38">
        <f t="shared" si="1264"/>
        <v>464.41759209689883</v>
      </c>
      <c r="AM341" s="38">
        <f t="shared" si="1233"/>
        <v>4.9090792795570026</v>
      </c>
      <c r="AN341" s="38">
        <f t="shared" si="1161"/>
        <v>464.41759209689849</v>
      </c>
      <c r="AO341" s="38">
        <f t="shared" si="1484"/>
        <v>1.0000000000000007</v>
      </c>
      <c r="AP341" s="38">
        <f t="shared" si="1162"/>
        <v>2.179382445306437</v>
      </c>
      <c r="AQ341" s="4">
        <f t="shared" si="1163"/>
        <v>0</v>
      </c>
      <c r="AR341" s="4" t="e">
        <f>#REF!/G341*F341^0.5/0.19</f>
        <v>#REF!</v>
      </c>
      <c r="AS341" s="4">
        <f t="shared" si="1234"/>
        <v>1</v>
      </c>
      <c r="AT341" s="38">
        <f t="shared" si="1235"/>
        <v>1012.143547507466</v>
      </c>
      <c r="AU341" s="4">
        <f t="shared" si="1236"/>
        <v>0.42600000000000005</v>
      </c>
      <c r="AV341" s="4" t="e">
        <f>AU341*D341*#REF!/(D341*G341/2.75/F341^0.5)</f>
        <v>#REF!</v>
      </c>
      <c r="AW341" s="4" t="e">
        <f t="shared" si="1431"/>
        <v>#REF!</v>
      </c>
      <c r="AY341" s="4">
        <f t="shared" si="1237"/>
        <v>1.5</v>
      </c>
      <c r="AZ341" s="4" t="e">
        <f>(3*#REF!+30)*AY341*F341^0.5</f>
        <v>#REF!</v>
      </c>
      <c r="BB341" s="4">
        <f t="shared" si="1238"/>
        <v>970.76943914993626</v>
      </c>
      <c r="BC341" s="4">
        <f t="shared" si="1464"/>
        <v>0</v>
      </c>
      <c r="BD341" s="4">
        <f t="shared" si="1432"/>
        <v>0</v>
      </c>
      <c r="BL341" s="4">
        <f t="shared" si="1239"/>
        <v>63.5</v>
      </c>
      <c r="BP341" s="9"/>
      <c r="BR341" s="9"/>
      <c r="BS341" s="9"/>
      <c r="BT341" s="9">
        <f t="shared" si="1240"/>
        <v>63.5</v>
      </c>
      <c r="BU341" s="9">
        <f t="shared" si="1241"/>
        <v>100.32999999999998</v>
      </c>
      <c r="BV341" s="9">
        <f t="shared" si="1242"/>
        <v>1.6934351397132028</v>
      </c>
      <c r="BW341" s="40">
        <f t="shared" si="1343"/>
        <v>20</v>
      </c>
      <c r="BX341" s="9">
        <f t="shared" si="1243"/>
        <v>0.05</v>
      </c>
      <c r="BY341" s="9">
        <f t="shared" si="1433"/>
        <v>0.8</v>
      </c>
      <c r="BZ341" s="9">
        <f t="shared" si="1244"/>
        <v>0.99524931562137331</v>
      </c>
      <c r="CA341" s="9">
        <f t="shared" si="1245"/>
        <v>0.68</v>
      </c>
      <c r="CB341" s="9">
        <f t="shared" si="1246"/>
        <v>2.1620130482705213</v>
      </c>
      <c r="CC341" s="9">
        <f t="shared" si="1247"/>
        <v>5.3908393070761749</v>
      </c>
      <c r="CD341" s="40">
        <v>1</v>
      </c>
      <c r="CE341" s="9" t="e">
        <f>4*CC341*#REF!+60*CC341</f>
        <v>#REF!</v>
      </c>
      <c r="CG341" s="4" t="e">
        <f t="shared" si="1434"/>
        <v>#REF!</v>
      </c>
      <c r="CH341" s="4" t="e">
        <f t="shared" si="1435"/>
        <v>#REF!</v>
      </c>
      <c r="CI341" s="4" t="e">
        <f t="shared" si="1436"/>
        <v>#REF!</v>
      </c>
      <c r="CJ341" s="4" t="e">
        <f t="shared" si="1437"/>
        <v>#REF!</v>
      </c>
      <c r="CK341" s="4">
        <f t="shared" si="1438"/>
        <v>1</v>
      </c>
      <c r="CL341" s="4">
        <f t="shared" si="1439"/>
        <v>1.0136499429452763</v>
      </c>
      <c r="CM341" s="4">
        <f t="shared" si="1310"/>
        <v>1.2028972243265701</v>
      </c>
      <c r="CN341" s="4">
        <f t="shared" si="1344"/>
        <v>10</v>
      </c>
      <c r="CU341" s="4" t="e">
        <f t="shared" ref="CU341:CU342" si="1490">CG341</f>
        <v>#REF!</v>
      </c>
      <c r="CV341" s="4" t="e">
        <f t="shared" ref="CV341:CV342" si="1491">CH341</f>
        <v>#REF!</v>
      </c>
      <c r="CW341" s="4" t="e">
        <f t="shared" ref="CW341:CW342" si="1492">CJ341</f>
        <v>#REF!</v>
      </c>
      <c r="CX341" s="4">
        <f t="shared" ref="CX341:CX342" si="1493">CM341</f>
        <v>1.2028972243265701</v>
      </c>
      <c r="CY341" s="4">
        <f t="shared" ref="CY341:CY342" si="1494">CK341</f>
        <v>1</v>
      </c>
      <c r="CZ341" s="4">
        <f t="shared" ref="CZ341:CZ342" si="1495">CL341</f>
        <v>1.0136499429452763</v>
      </c>
      <c r="DC341" s="4" t="e">
        <f>#REF!</f>
        <v>#REF!</v>
      </c>
      <c r="DF341" s="4">
        <f t="shared" si="1248"/>
        <v>2.9920872698414962E-5</v>
      </c>
      <c r="DG341" s="4">
        <f t="shared" si="1446"/>
        <v>14.003670300444258</v>
      </c>
      <c r="DH341" s="4">
        <f t="shared" si="1249"/>
        <v>0.30346705842598626</v>
      </c>
      <c r="DI341" s="4">
        <f t="shared" si="1447"/>
        <v>8.6913351903957725</v>
      </c>
      <c r="DJ341" s="4">
        <f t="shared" si="1448"/>
        <v>11.655828971927715</v>
      </c>
      <c r="DK341" s="4">
        <f t="shared" si="1250"/>
        <v>11.550994362927899</v>
      </c>
      <c r="DL341" s="38">
        <f t="shared" si="1251"/>
        <v>976.55172413793105</v>
      </c>
      <c r="DM341" s="4" t="e">
        <f t="shared" si="1449"/>
        <v>#REF!</v>
      </c>
      <c r="DN341" s="4">
        <f t="shared" si="1252"/>
        <v>2.2583179581272428</v>
      </c>
      <c r="DO341" s="4">
        <f t="shared" si="1309"/>
        <v>464.41759209689849</v>
      </c>
      <c r="DS341" s="4">
        <f t="shared" si="1253"/>
        <v>0.85</v>
      </c>
      <c r="DT341" s="4">
        <f t="shared" si="1254"/>
        <v>0.85</v>
      </c>
      <c r="DU341" s="4">
        <f t="shared" si="1255"/>
        <v>0.77500000000000002</v>
      </c>
      <c r="DV341" s="4">
        <f t="shared" si="1450"/>
        <v>0.7</v>
      </c>
      <c r="DX341" s="4">
        <f t="shared" si="1256"/>
        <v>963.40135066791186</v>
      </c>
      <c r="DY341" s="25">
        <f t="shared" si="1146"/>
        <v>460.52955017895857</v>
      </c>
      <c r="EA341" s="4">
        <f t="shared" si="1147"/>
        <v>0.59499999999999997</v>
      </c>
      <c r="EB341" s="4">
        <f t="shared" si="1257"/>
        <v>14.003670300444258</v>
      </c>
      <c r="EE341" s="4">
        <f t="shared" si="1258"/>
        <v>57.361276136431961</v>
      </c>
      <c r="EF341" s="4">
        <f t="shared" si="1451"/>
        <v>2.2583179581272428</v>
      </c>
      <c r="EG341" s="4">
        <f t="shared" si="1259"/>
        <v>0.15145941895442339</v>
      </c>
      <c r="EJ341" s="4">
        <f t="shared" si="1452"/>
        <v>0.15145941895442339</v>
      </c>
      <c r="EK341" s="4">
        <f t="shared" si="1260"/>
        <v>0.30296062846404442</v>
      </c>
      <c r="EL341" s="4">
        <f t="shared" si="1453"/>
        <v>8.6855305957920397</v>
      </c>
      <c r="EM341" s="4">
        <f t="shared" si="1454"/>
        <v>11.653673027659503</v>
      </c>
      <c r="EN341" s="4" t="e">
        <f t="shared" si="1455"/>
        <v>#REF!</v>
      </c>
      <c r="EO341" s="4" t="e">
        <f t="shared" si="1456"/>
        <v>#REF!</v>
      </c>
      <c r="EP341" s="4" t="e">
        <f t="shared" si="1261"/>
        <v>#REF!</v>
      </c>
      <c r="EQ341" s="4" t="e">
        <f t="shared" si="1457"/>
        <v>#REF!</v>
      </c>
      <c r="ER341" s="4" t="e">
        <f t="shared" si="1262"/>
        <v>#REF!</v>
      </c>
      <c r="FA341" s="23" t="e">
        <f t="shared" si="1383"/>
        <v>#REF!</v>
      </c>
      <c r="FB341" s="23" t="e">
        <f t="shared" si="1384"/>
        <v>#REF!</v>
      </c>
      <c r="FC341" s="23">
        <f t="shared" si="1317"/>
        <v>1.4</v>
      </c>
      <c r="FD341" s="23" t="e">
        <f t="shared" si="1385"/>
        <v>#REF!</v>
      </c>
      <c r="FE341" s="23">
        <f t="shared" si="1386"/>
        <v>1.2</v>
      </c>
      <c r="FF341" s="23">
        <f t="shared" si="1387"/>
        <v>1.2</v>
      </c>
      <c r="FG341" s="23">
        <f t="shared" si="1266"/>
        <v>0</v>
      </c>
      <c r="FH341" s="23"/>
      <c r="FR341" s="4">
        <f t="shared" si="1485"/>
        <v>1</v>
      </c>
      <c r="FS341" s="4">
        <f t="shared" si="1486"/>
        <v>0.44418604651162791</v>
      </c>
      <c r="FT341" s="4">
        <f t="shared" si="1487"/>
        <v>0.3</v>
      </c>
      <c r="FU341" s="4">
        <f t="shared" si="1488"/>
        <v>811.83305139359993</v>
      </c>
    </row>
    <row r="342" spans="2:177" ht="12" customHeight="1" x14ac:dyDescent="0.3">
      <c r="B342" s="24"/>
      <c r="C342" s="7" t="s">
        <v>482</v>
      </c>
      <c r="D342" s="38">
        <f t="shared" si="1483"/>
        <v>889.65517241379314</v>
      </c>
      <c r="E342" s="38">
        <f>12.13*25.4</f>
        <v>308.10199999999998</v>
      </c>
      <c r="F342" s="38">
        <f>12080/145</f>
        <v>83.310344827586206</v>
      </c>
      <c r="G342" s="38">
        <f t="shared" si="1341"/>
        <v>25.4</v>
      </c>
      <c r="H342" s="38">
        <f>14.9*25.4</f>
        <v>378.46</v>
      </c>
      <c r="I342" s="38">
        <f>2.4*25.4</f>
        <v>60.959999999999994</v>
      </c>
      <c r="J342" s="39">
        <f>4.5*25.4</f>
        <v>114.3</v>
      </c>
      <c r="K342" s="7">
        <f t="shared" si="1339"/>
        <v>205.73999999999998</v>
      </c>
      <c r="L342" s="38">
        <v>2</v>
      </c>
      <c r="M342" s="4">
        <f t="shared" si="1357"/>
        <v>260.34999999999997</v>
      </c>
      <c r="N342" s="7">
        <f t="shared" si="1224"/>
        <v>2.9</v>
      </c>
      <c r="O342" s="7">
        <f t="shared" si="1225"/>
        <v>2.9</v>
      </c>
      <c r="P342" s="38">
        <v>9.1</v>
      </c>
      <c r="Q342" s="4">
        <f t="shared" si="1342"/>
        <v>9.1</v>
      </c>
      <c r="R342" s="4">
        <f t="shared" si="1226"/>
        <v>10.1</v>
      </c>
      <c r="S342" s="7">
        <f t="shared" si="1227"/>
        <v>80.72246279691916</v>
      </c>
      <c r="V342" s="38">
        <f t="shared" si="1395"/>
        <v>1057.9310344827588</v>
      </c>
      <c r="W342" s="4">
        <v>153.4</v>
      </c>
      <c r="X342" s="4">
        <f t="shared" si="1228"/>
        <v>1.0970371571867716</v>
      </c>
      <c r="Y342" s="38">
        <f>0.5*25.4</f>
        <v>12.7</v>
      </c>
      <c r="Z342" s="38">
        <v>10</v>
      </c>
      <c r="AA342" s="39">
        <f>3*25.4</f>
        <v>76.199999999999989</v>
      </c>
      <c r="AB342" s="39">
        <v>3</v>
      </c>
      <c r="AC342" s="39">
        <f t="shared" si="1489"/>
        <v>2</v>
      </c>
      <c r="AD342" s="7"/>
      <c r="AE342" s="4">
        <f t="shared" si="1229"/>
        <v>308.10199999999998</v>
      </c>
      <c r="AF342" s="4">
        <f t="shared" si="1230"/>
        <v>0.40945314646881015</v>
      </c>
      <c r="AG342" s="4">
        <f t="shared" si="1231"/>
        <v>487.08407640009438</v>
      </c>
      <c r="AH342" s="4">
        <f t="shared" si="1232"/>
        <v>0.74781533388293486</v>
      </c>
      <c r="AI342" s="4">
        <v>1.25</v>
      </c>
      <c r="AJ342" s="4">
        <f t="shared" si="1154"/>
        <v>2.5</v>
      </c>
      <c r="AK342" s="38">
        <f t="shared" si="1340"/>
        <v>466.07148462925454</v>
      </c>
      <c r="AL342" s="38">
        <f t="shared" si="1264"/>
        <v>466.07148462925454</v>
      </c>
      <c r="AM342" s="38">
        <f t="shared" si="1233"/>
        <v>4.9090792795570026</v>
      </c>
      <c r="AN342" s="38">
        <f t="shared" si="1161"/>
        <v>466.07148462925528</v>
      </c>
      <c r="AO342" s="38">
        <f t="shared" si="1484"/>
        <v>0.99999999999999845</v>
      </c>
      <c r="AP342" s="38">
        <f t="shared" si="1162"/>
        <v>3.1274839471157505</v>
      </c>
      <c r="AQ342" s="4">
        <f t="shared" si="1163"/>
        <v>0</v>
      </c>
      <c r="AR342" s="4" t="e">
        <f>#REF!/G342*F342^0.5/0.19</f>
        <v>#REF!</v>
      </c>
      <c r="AS342" s="4">
        <f t="shared" si="1234"/>
        <v>1</v>
      </c>
      <c r="AT342" s="38">
        <f t="shared" si="1235"/>
        <v>1457.6310863864012</v>
      </c>
      <c r="AU342" s="4">
        <f t="shared" si="1236"/>
        <v>0.3</v>
      </c>
      <c r="AV342" s="4" t="e">
        <f>AU342*D342*#REF!/(D342*G342/2.75/F342^0.5)</f>
        <v>#REF!</v>
      </c>
      <c r="AW342" s="4" t="e">
        <f t="shared" si="1431"/>
        <v>#REF!</v>
      </c>
      <c r="AY342" s="4">
        <f t="shared" si="1237"/>
        <v>1.5</v>
      </c>
      <c r="AZ342" s="4" t="e">
        <f>(3*#REF!+30)*AY342*F342^0.5</f>
        <v>#REF!</v>
      </c>
      <c r="BB342" s="4">
        <f t="shared" si="1238"/>
        <v>1398.0464685108325</v>
      </c>
      <c r="BC342" s="4">
        <f t="shared" si="1464"/>
        <v>0</v>
      </c>
      <c r="BD342" s="4">
        <f t="shared" si="1432"/>
        <v>0</v>
      </c>
      <c r="BL342" s="4">
        <f t="shared" si="1239"/>
        <v>60.959999999999994</v>
      </c>
      <c r="BP342" s="9"/>
      <c r="BR342" s="9"/>
      <c r="BS342" s="9"/>
      <c r="BT342" s="9">
        <f t="shared" si="1240"/>
        <v>60.959999999999994</v>
      </c>
      <c r="BU342" s="9">
        <f t="shared" si="1241"/>
        <v>102.86999999999999</v>
      </c>
      <c r="BV342" s="9">
        <f t="shared" si="1242"/>
        <v>1.6756842515389025</v>
      </c>
      <c r="BW342" s="40">
        <f t="shared" si="1343"/>
        <v>20</v>
      </c>
      <c r="BX342" s="9">
        <f t="shared" si="1243"/>
        <v>0.05</v>
      </c>
      <c r="BY342" s="9">
        <f t="shared" si="1433"/>
        <v>0.8</v>
      </c>
      <c r="BZ342" s="9">
        <f t="shared" si="1244"/>
        <v>0.99524931562137331</v>
      </c>
      <c r="CA342" s="9">
        <f t="shared" si="1245"/>
        <v>0.68</v>
      </c>
      <c r="CB342" s="9">
        <f t="shared" si="1246"/>
        <v>2.1620130482705213</v>
      </c>
      <c r="CC342" s="9">
        <f t="shared" si="1247"/>
        <v>5.3524616552249471</v>
      </c>
      <c r="CD342" s="40">
        <v>1</v>
      </c>
      <c r="CE342" s="9" t="e">
        <f>4*CC342*#REF!+60*CC342</f>
        <v>#REF!</v>
      </c>
      <c r="CG342" s="47" t="e">
        <f t="shared" si="1434"/>
        <v>#REF!</v>
      </c>
      <c r="CH342" s="47" t="e">
        <f t="shared" si="1435"/>
        <v>#REF!</v>
      </c>
      <c r="CI342" s="47" t="e">
        <f t="shared" si="1436"/>
        <v>#REF!</v>
      </c>
      <c r="CJ342" s="47" t="e">
        <f t="shared" si="1437"/>
        <v>#REF!</v>
      </c>
      <c r="CK342" s="47">
        <f t="shared" si="1438"/>
        <v>1.0970371571867716</v>
      </c>
      <c r="CL342" s="47">
        <f t="shared" si="1439"/>
        <v>1.0886125437537382</v>
      </c>
      <c r="CM342" s="47">
        <f t="shared" si="1310"/>
        <v>1.6074371142265871</v>
      </c>
      <c r="CN342" s="4">
        <f t="shared" si="1344"/>
        <v>10</v>
      </c>
      <c r="CU342" s="4" t="e">
        <f t="shared" si="1490"/>
        <v>#REF!</v>
      </c>
      <c r="CV342" s="4" t="e">
        <f t="shared" si="1491"/>
        <v>#REF!</v>
      </c>
      <c r="CW342" s="4" t="e">
        <f t="shared" si="1492"/>
        <v>#REF!</v>
      </c>
      <c r="CX342" s="4">
        <f t="shared" si="1493"/>
        <v>1.6074371142265871</v>
      </c>
      <c r="CY342" s="4">
        <f t="shared" si="1494"/>
        <v>1.0970371571867716</v>
      </c>
      <c r="CZ342" s="4">
        <f t="shared" si="1495"/>
        <v>1.0886125437537382</v>
      </c>
      <c r="DC342" s="4" t="e">
        <f>#REF!</f>
        <v>#REF!</v>
      </c>
      <c r="DF342" s="4">
        <f t="shared" si="1248"/>
        <v>3.0320817529805633E-5</v>
      </c>
      <c r="DG342" s="4">
        <f t="shared" si="1446"/>
        <v>14.003670300444258</v>
      </c>
      <c r="DH342" s="4">
        <f t="shared" si="1249"/>
        <v>0.19309609379305231</v>
      </c>
      <c r="DI342" s="4">
        <f t="shared" si="1447"/>
        <v>7.2535610827259598</v>
      </c>
      <c r="DJ342" s="4">
        <f t="shared" si="1448"/>
        <v>11.156432004510634</v>
      </c>
      <c r="DK342" s="4">
        <f t="shared" si="1250"/>
        <v>11.699339681249116</v>
      </c>
      <c r="DL342" s="38">
        <f t="shared" si="1251"/>
        <v>964.35296430223389</v>
      </c>
      <c r="DM342" s="4" t="e">
        <f t="shared" si="1449"/>
        <v>#REF!</v>
      </c>
      <c r="DN342" s="4">
        <f t="shared" si="1252"/>
        <v>3.1780497164141401</v>
      </c>
      <c r="DO342" s="4">
        <f t="shared" si="1309"/>
        <v>466.07148462925528</v>
      </c>
      <c r="DS342" s="4">
        <f t="shared" si="1253"/>
        <v>0.85</v>
      </c>
      <c r="DT342" s="4">
        <f t="shared" si="1254"/>
        <v>0.86</v>
      </c>
      <c r="DU342" s="4">
        <f t="shared" si="1255"/>
        <v>0.77500000000000002</v>
      </c>
      <c r="DV342" s="4">
        <f t="shared" si="1450"/>
        <v>0.7</v>
      </c>
      <c r="DX342" s="4">
        <f t="shared" si="1256"/>
        <v>971.81595100384948</v>
      </c>
      <c r="DY342" s="25">
        <f t="shared" si="1146"/>
        <v>462.22238877068293</v>
      </c>
      <c r="EA342" s="4">
        <f t="shared" si="1147"/>
        <v>0.59499999999999997</v>
      </c>
      <c r="EB342" s="4">
        <f t="shared" si="1257"/>
        <v>14.003670300444258</v>
      </c>
      <c r="EE342" s="4">
        <f t="shared" si="1258"/>
        <v>80.72246279691916</v>
      </c>
      <c r="EF342" s="4">
        <f t="shared" si="1451"/>
        <v>3.1780497164141406</v>
      </c>
      <c r="EG342" s="4">
        <f t="shared" si="1259"/>
        <v>9.6373630534918542E-2</v>
      </c>
      <c r="EJ342" s="4">
        <f t="shared" si="1452"/>
        <v>9.6373630534918542E-2</v>
      </c>
      <c r="EK342" s="4">
        <f t="shared" si="1260"/>
        <v>0.19277385240073133</v>
      </c>
      <c r="EL342" s="4">
        <f t="shared" si="1453"/>
        <v>7.2487167198523279</v>
      </c>
      <c r="EM342" s="4">
        <f t="shared" si="1454"/>
        <v>11.154873027561752</v>
      </c>
      <c r="EN342" s="4" t="e">
        <f t="shared" si="1455"/>
        <v>#REF!</v>
      </c>
      <c r="EO342" s="4" t="e">
        <f t="shared" si="1456"/>
        <v>#REF!</v>
      </c>
      <c r="EP342" s="4" t="e">
        <f t="shared" si="1261"/>
        <v>#REF!</v>
      </c>
      <c r="EQ342" s="4" t="e">
        <f t="shared" si="1457"/>
        <v>#REF!</v>
      </c>
      <c r="ER342" s="4" t="e">
        <f t="shared" si="1262"/>
        <v>#REF!</v>
      </c>
      <c r="FA342" s="23" t="e">
        <f t="shared" si="1383"/>
        <v>#REF!</v>
      </c>
      <c r="FB342" s="23" t="e">
        <f t="shared" si="1384"/>
        <v>#REF!</v>
      </c>
      <c r="FC342" s="23">
        <f t="shared" si="1317"/>
        <v>1.8</v>
      </c>
      <c r="FD342" s="23" t="e">
        <f t="shared" si="1385"/>
        <v>#REF!</v>
      </c>
      <c r="FE342" s="23">
        <f t="shared" si="1386"/>
        <v>1.2</v>
      </c>
      <c r="FF342" s="23">
        <f t="shared" si="1387"/>
        <v>1.2</v>
      </c>
      <c r="FG342" s="23">
        <f t="shared" si="1266"/>
        <v>0</v>
      </c>
      <c r="FH342" s="23"/>
      <c r="FR342" s="4">
        <f t="shared" si="1485"/>
        <v>1.25</v>
      </c>
      <c r="FS342" s="4">
        <f t="shared" si="1486"/>
        <v>0.44418604651162791</v>
      </c>
      <c r="FT342" s="4">
        <f t="shared" si="1487"/>
        <v>0.3</v>
      </c>
      <c r="FU342" s="4">
        <f t="shared" si="1488"/>
        <v>658.14769680229688</v>
      </c>
    </row>
    <row r="343" spans="2:177" ht="12" customHeight="1" x14ac:dyDescent="0.3">
      <c r="B343" s="24"/>
      <c r="C343" s="7" t="s">
        <v>483</v>
      </c>
      <c r="D343" s="38">
        <f t="shared" si="1483"/>
        <v>889.65517241379314</v>
      </c>
      <c r="E343" s="38">
        <f>12.21*25.4</f>
        <v>310.13400000000001</v>
      </c>
      <c r="F343" s="38">
        <f>12040/145</f>
        <v>83.034482758620683</v>
      </c>
      <c r="G343" s="38">
        <f t="shared" si="1341"/>
        <v>25.4</v>
      </c>
      <c r="H343" s="38">
        <f>14.8*25.4</f>
        <v>375.92</v>
      </c>
      <c r="I343" s="38">
        <f>2.5*25.4</f>
        <v>63.5</v>
      </c>
      <c r="J343" s="39">
        <f>2.83*25.4</f>
        <v>71.881999999999991</v>
      </c>
      <c r="K343" s="7">
        <f t="shared" si="1339"/>
        <v>86.360000000000014</v>
      </c>
      <c r="L343" s="38">
        <v>3</v>
      </c>
      <c r="M343" s="4">
        <f t="shared" si="1357"/>
        <v>260.34999999999997</v>
      </c>
      <c r="N343" s="7">
        <f t="shared" si="1224"/>
        <v>2.2000000000000002</v>
      </c>
      <c r="O343" s="7">
        <f t="shared" si="1225"/>
        <v>3</v>
      </c>
      <c r="P343" s="38">
        <v>4.0999999999999996</v>
      </c>
      <c r="Q343" s="4">
        <f t="shared" si="1342"/>
        <v>4.0999999999999996</v>
      </c>
      <c r="R343" s="4">
        <f t="shared" si="1226"/>
        <v>5.0999999999999996</v>
      </c>
      <c r="S343" s="7">
        <f t="shared" si="1227"/>
        <v>57.361276136431961</v>
      </c>
      <c r="V343" s="38">
        <f t="shared" si="1395"/>
        <v>656.55172413793105</v>
      </c>
      <c r="W343" s="4">
        <v>95.2</v>
      </c>
      <c r="X343" s="4">
        <f t="shared" si="1228"/>
        <v>0.93271114834467483</v>
      </c>
      <c r="Y343" s="38"/>
      <c r="Z343" s="38"/>
      <c r="AA343" s="39">
        <v>1</v>
      </c>
      <c r="AB343" s="39"/>
      <c r="AC343" s="39"/>
      <c r="AD343" s="7"/>
      <c r="AE343" s="4">
        <f t="shared" si="1229"/>
        <v>310.13400000000001</v>
      </c>
      <c r="AF343" s="4">
        <f t="shared" si="1230"/>
        <v>0.40404040404040403</v>
      </c>
      <c r="AG343" s="4">
        <f t="shared" si="1231"/>
        <v>327.39703640569854</v>
      </c>
      <c r="AH343" s="4">
        <f t="shared" si="1232"/>
        <v>0.74914004914004906</v>
      </c>
      <c r="AI343" s="4">
        <v>1.25</v>
      </c>
      <c r="AJ343" s="4">
        <f t="shared" si="1154"/>
        <v>2.5</v>
      </c>
      <c r="AK343" s="38">
        <f t="shared" si="1340"/>
        <v>309.67958578443364</v>
      </c>
      <c r="AL343" s="38">
        <f t="shared" si="1264"/>
        <v>309.67958578443364</v>
      </c>
      <c r="AM343" s="38">
        <f t="shared" si="1233"/>
        <v>4.9032987715448586</v>
      </c>
      <c r="AN343" s="38">
        <f t="shared" si="1161"/>
        <v>309.6795857844337</v>
      </c>
      <c r="AO343" s="38">
        <f t="shared" si="1484"/>
        <v>0.99999999999999978</v>
      </c>
      <c r="AP343" s="38">
        <f t="shared" si="1162"/>
        <v>2.7363293710546137</v>
      </c>
      <c r="AQ343" s="4">
        <f t="shared" si="1163"/>
        <v>0</v>
      </c>
      <c r="AR343" s="4" t="e">
        <f>#REF!/G343*F343^0.5/0.19</f>
        <v>#REF!</v>
      </c>
      <c r="AS343" s="4">
        <f t="shared" si="1234"/>
        <v>1.1454545454545455</v>
      </c>
      <c r="AT343" s="38">
        <f t="shared" si="1235"/>
        <v>847.38534619797281</v>
      </c>
      <c r="AU343" s="4">
        <f t="shared" si="1236"/>
        <v>0.42600000000000005</v>
      </c>
      <c r="AV343" s="4" t="e">
        <f>AU343*D343*#REF!/(D343*G343/2.75/F343^0.5)</f>
        <v>#REF!</v>
      </c>
      <c r="AW343" s="4" t="e">
        <f t="shared" si="1431"/>
        <v>#REF!</v>
      </c>
      <c r="AY343" s="4">
        <f t="shared" si="1237"/>
        <v>1.375</v>
      </c>
      <c r="AZ343" s="4" t="e">
        <f>(3*#REF!+30)*AY343*F343^0.5</f>
        <v>#REF!</v>
      </c>
      <c r="BB343" s="4">
        <f t="shared" si="1238"/>
        <v>812.74617547903938</v>
      </c>
      <c r="BC343" s="4">
        <f t="shared" si="1464"/>
        <v>0</v>
      </c>
      <c r="BD343" s="4">
        <f t="shared" si="1432"/>
        <v>0</v>
      </c>
      <c r="BL343" s="4">
        <f t="shared" si="1239"/>
        <v>43.180000000000007</v>
      </c>
      <c r="BP343" s="9"/>
      <c r="BR343" s="9"/>
      <c r="BS343" s="9"/>
      <c r="BT343" s="9">
        <f t="shared" si="1240"/>
        <v>43.180000000000007</v>
      </c>
      <c r="BU343" s="9">
        <f t="shared" si="1241"/>
        <v>63.5</v>
      </c>
      <c r="BV343" s="9">
        <f t="shared" si="1242"/>
        <v>1.3814912030111532</v>
      </c>
      <c r="BW343" s="40">
        <f t="shared" si="1343"/>
        <v>0</v>
      </c>
      <c r="BX343" s="9">
        <f t="shared" si="1243"/>
        <v>0</v>
      </c>
      <c r="BY343" s="9">
        <f t="shared" si="1433"/>
        <v>0</v>
      </c>
      <c r="BZ343" s="9">
        <f t="shared" si="1244"/>
        <v>0.99524931562137331</v>
      </c>
      <c r="CA343" s="9">
        <f t="shared" si="1245"/>
        <v>0.68</v>
      </c>
      <c r="CB343" s="9">
        <f t="shared" si="1246"/>
        <v>2.1584305883972208</v>
      </c>
      <c r="CC343" s="9">
        <f t="shared" si="1247"/>
        <v>2.9818528701809477</v>
      </c>
      <c r="CD343" s="40">
        <v>1</v>
      </c>
      <c r="CE343" s="9" t="e">
        <f>4*CC343*#REF!+60*CC343</f>
        <v>#REF!</v>
      </c>
      <c r="CG343" s="4" t="e">
        <f t="shared" si="1434"/>
        <v>#REF!</v>
      </c>
      <c r="CH343" s="4" t="e">
        <f t="shared" si="1435"/>
        <v>#REF!</v>
      </c>
      <c r="CI343" s="4" t="e">
        <f t="shared" si="1436"/>
        <v>#REF!</v>
      </c>
      <c r="CJ343" s="4" t="e">
        <f t="shared" si="1437"/>
        <v>#REF!</v>
      </c>
      <c r="CK343" s="4">
        <f t="shared" si="1438"/>
        <v>0.93271114834467483</v>
      </c>
      <c r="CL343" s="4">
        <f t="shared" si="1439"/>
        <v>0.94794472349162318</v>
      </c>
      <c r="CM343" s="4">
        <f t="shared" si="1310"/>
        <v>1.4291107675846266</v>
      </c>
      <c r="CN343" s="4">
        <f t="shared" si="1344"/>
        <v>0</v>
      </c>
      <c r="CO343" s="4" t="e">
        <f t="shared" ref="CO343:CO344" si="1496">CG343</f>
        <v>#REF!</v>
      </c>
      <c r="CP343" s="4" t="e">
        <f t="shared" ref="CP343:CP344" si="1497">CH343</f>
        <v>#REF!</v>
      </c>
      <c r="CQ343" s="4" t="e">
        <f t="shared" ref="CQ343:CQ344" si="1498">CJ343</f>
        <v>#REF!</v>
      </c>
      <c r="CR343" s="4">
        <f t="shared" ref="CR343:CR344" si="1499">CM343</f>
        <v>1.4291107675846266</v>
      </c>
      <c r="CS343" s="4">
        <f t="shared" ref="CS343:CS344" si="1500">CK343</f>
        <v>0.93271114834467483</v>
      </c>
      <c r="CT343" s="4">
        <f t="shared" ref="CT343:CT344" si="1501">CL343</f>
        <v>0.94794472349162318</v>
      </c>
      <c r="DC343" s="4" t="e">
        <f>#REF!</f>
        <v>#REF!</v>
      </c>
      <c r="DF343" s="4">
        <f t="shared" si="1248"/>
        <v>3.0470314501583804E-5</v>
      </c>
      <c r="DG343" s="4">
        <f t="shared" si="1446"/>
        <v>10.522931541773643</v>
      </c>
      <c r="DH343" s="4">
        <f t="shared" si="1249"/>
        <v>0.20302799106025782</v>
      </c>
      <c r="DI343" s="4">
        <f t="shared" si="1447"/>
        <v>5.5610796061263308</v>
      </c>
      <c r="DJ343" s="4">
        <f t="shared" si="1448"/>
        <v>8.4192567222681305</v>
      </c>
      <c r="DK343" s="4">
        <f t="shared" si="1250"/>
        <v>9.1449023297148457</v>
      </c>
      <c r="DL343" s="38">
        <f t="shared" si="1251"/>
        <v>703.91752613136816</v>
      </c>
      <c r="DM343" s="4" t="e">
        <f t="shared" si="1449"/>
        <v>#REF!</v>
      </c>
      <c r="DN343" s="4">
        <f t="shared" si="1252"/>
        <v>2.2583179581272428</v>
      </c>
      <c r="DO343" s="4">
        <f t="shared" si="1309"/>
        <v>309.6795857844337</v>
      </c>
      <c r="DS343" s="4">
        <f t="shared" si="1253"/>
        <v>0.85</v>
      </c>
      <c r="DT343" s="4">
        <f t="shared" si="1254"/>
        <v>0.92999999999999994</v>
      </c>
      <c r="DU343" s="4">
        <f t="shared" si="1255"/>
        <v>1</v>
      </c>
      <c r="DV343" s="4">
        <f t="shared" si="1450"/>
        <v>0.92999999999999994</v>
      </c>
      <c r="DX343" s="4">
        <f t="shared" si="1256"/>
        <v>692.60549467442956</v>
      </c>
      <c r="DY343" s="25">
        <f t="shared" si="1146"/>
        <v>307.15051229926104</v>
      </c>
      <c r="EA343" s="4">
        <f t="shared" si="1147"/>
        <v>0.79049999999999998</v>
      </c>
      <c r="EB343" s="4">
        <f t="shared" si="1257"/>
        <v>10.522931541773643</v>
      </c>
      <c r="EE343" s="4">
        <f t="shared" si="1258"/>
        <v>57.361276136431961</v>
      </c>
      <c r="EF343" s="4">
        <f t="shared" si="1451"/>
        <v>2.2583179581272428</v>
      </c>
      <c r="EG343" s="4">
        <f t="shared" si="1259"/>
        <v>0.10116270304638737</v>
      </c>
      <c r="EJ343" s="4">
        <f t="shared" si="1452"/>
        <v>0.10116270304638737</v>
      </c>
      <c r="EK343" s="4">
        <f t="shared" si="1260"/>
        <v>0.20268917518245202</v>
      </c>
      <c r="EL343" s="4">
        <f t="shared" si="1453"/>
        <v>5.5573655838310794</v>
      </c>
      <c r="EM343" s="4">
        <f t="shared" si="1454"/>
        <v>8.4180413557659541</v>
      </c>
      <c r="EN343" s="4" t="e">
        <f t="shared" si="1455"/>
        <v>#REF!</v>
      </c>
      <c r="EO343" s="4" t="e">
        <f t="shared" si="1456"/>
        <v>#REF!</v>
      </c>
      <c r="EP343" s="4" t="e">
        <f t="shared" si="1261"/>
        <v>#REF!</v>
      </c>
      <c r="EQ343" s="4" t="e">
        <f t="shared" si="1457"/>
        <v>#REF!</v>
      </c>
      <c r="ER343" s="4" t="e">
        <f t="shared" si="1262"/>
        <v>#REF!</v>
      </c>
      <c r="FA343" s="23" t="e">
        <f t="shared" si="1383"/>
        <v>#REF!</v>
      </c>
      <c r="FB343" s="23" t="e">
        <f t="shared" si="1384"/>
        <v>#REF!</v>
      </c>
      <c r="FC343" s="23">
        <f t="shared" si="1317"/>
        <v>1.6</v>
      </c>
      <c r="FD343" s="23" t="e">
        <f t="shared" si="1385"/>
        <v>#REF!</v>
      </c>
      <c r="FE343" s="23">
        <f t="shared" si="1386"/>
        <v>1</v>
      </c>
      <c r="FF343" s="23">
        <f t="shared" si="1387"/>
        <v>1</v>
      </c>
      <c r="FG343" s="23">
        <f t="shared" si="1266"/>
        <v>0</v>
      </c>
      <c r="FH343" s="23"/>
      <c r="FR343" s="4">
        <f t="shared" si="1485"/>
        <v>1</v>
      </c>
      <c r="FS343" s="4">
        <f t="shared" si="1486"/>
        <v>0.79999999999999982</v>
      </c>
      <c r="FT343" s="4">
        <f t="shared" si="1487"/>
        <v>0</v>
      </c>
      <c r="FU343" s="4">
        <f t="shared" si="1488"/>
        <v>459.41276143876826</v>
      </c>
    </row>
    <row r="344" spans="2:177" ht="12" customHeight="1" x14ac:dyDescent="0.3">
      <c r="B344" s="24"/>
      <c r="C344" s="7" t="s">
        <v>484</v>
      </c>
      <c r="D344" s="38">
        <f t="shared" si="1483"/>
        <v>889.65517241379314</v>
      </c>
      <c r="E344" s="38">
        <f>12.04*25.4</f>
        <v>305.81599999999997</v>
      </c>
      <c r="F344" s="38">
        <f>12040/145</f>
        <v>83.034482758620683</v>
      </c>
      <c r="G344" s="38">
        <f t="shared" si="1341"/>
        <v>25.4</v>
      </c>
      <c r="H344" s="38">
        <f>14.8*25.4</f>
        <v>375.92</v>
      </c>
      <c r="I344" s="38">
        <f>2.4*25.4</f>
        <v>60.959999999999994</v>
      </c>
      <c r="J344" s="39">
        <f>3*25.4</f>
        <v>76.199999999999989</v>
      </c>
      <c r="K344" s="7">
        <f t="shared" si="1339"/>
        <v>88.90000000000002</v>
      </c>
      <c r="L344" s="38">
        <v>3</v>
      </c>
      <c r="M344" s="4">
        <f t="shared" si="1357"/>
        <v>260.34999999999997</v>
      </c>
      <c r="N344" s="7">
        <f t="shared" si="1224"/>
        <v>2.2500000000000004</v>
      </c>
      <c r="O344" s="7">
        <f t="shared" si="1225"/>
        <v>2.9</v>
      </c>
      <c r="P344" s="38">
        <v>9.1</v>
      </c>
      <c r="Q344" s="4">
        <f t="shared" si="1342"/>
        <v>9.1</v>
      </c>
      <c r="R344" s="4">
        <f t="shared" si="1226"/>
        <v>10.1</v>
      </c>
      <c r="S344" s="7">
        <f t="shared" si="1227"/>
        <v>80.72246279691916</v>
      </c>
      <c r="V344" s="38">
        <f t="shared" si="1395"/>
        <v>657.93103448275872</v>
      </c>
      <c r="W344" s="4">
        <v>95.4</v>
      </c>
      <c r="X344" s="4">
        <f t="shared" si="1228"/>
        <v>0.98191767642597505</v>
      </c>
      <c r="Y344" s="38"/>
      <c r="Z344" s="38"/>
      <c r="AA344" s="39">
        <v>1</v>
      </c>
      <c r="AB344" s="39"/>
      <c r="AC344" s="39"/>
      <c r="AD344" s="7"/>
      <c r="AE344" s="4">
        <f t="shared" si="1229"/>
        <v>305.81599999999997</v>
      </c>
      <c r="AF344" s="4">
        <f t="shared" si="1230"/>
        <v>0.40974529346622368</v>
      </c>
      <c r="AG344" s="4">
        <f t="shared" si="1231"/>
        <v>320.58336143631669</v>
      </c>
      <c r="AH344" s="4">
        <f t="shared" si="1232"/>
        <v>0.74817275747508305</v>
      </c>
      <c r="AI344" s="4">
        <v>1.25</v>
      </c>
      <c r="AJ344" s="4">
        <f t="shared" si="1154"/>
        <v>2.5</v>
      </c>
      <c r="AK344" s="38">
        <f t="shared" si="1340"/>
        <v>307.11912681610914</v>
      </c>
      <c r="AL344" s="38">
        <f t="shared" si="1264"/>
        <v>307.11912681610914</v>
      </c>
      <c r="AM344" s="38">
        <f t="shared" si="1233"/>
        <v>4.9032987715448586</v>
      </c>
      <c r="AN344" s="38">
        <f t="shared" si="1161"/>
        <v>307.11912681610875</v>
      </c>
      <c r="AO344" s="38">
        <f t="shared" si="1484"/>
        <v>1.0000000000000013</v>
      </c>
      <c r="AP344" s="38">
        <f t="shared" si="1162"/>
        <v>4.0942657997691452</v>
      </c>
      <c r="AQ344" s="4">
        <f t="shared" si="1163"/>
        <v>0</v>
      </c>
      <c r="AR344" s="4" t="e">
        <f>#REF!/G344*F344^0.5/0.19</f>
        <v>#REF!</v>
      </c>
      <c r="AS344" s="4">
        <f t="shared" si="1234"/>
        <v>1.1155555555555554</v>
      </c>
      <c r="AT344" s="38">
        <f t="shared" si="1235"/>
        <v>1257.4273373781571</v>
      </c>
      <c r="AU344" s="4">
        <f t="shared" si="1236"/>
        <v>0.3</v>
      </c>
      <c r="AV344" s="4" t="e">
        <f>AU344*D344*#REF!/(D344*G344/2.75/F344^0.5)</f>
        <v>#REF!</v>
      </c>
      <c r="AW344" s="4" t="e">
        <f t="shared" si="1431"/>
        <v>#REF!</v>
      </c>
      <c r="AY344" s="4">
        <f t="shared" si="1237"/>
        <v>1.35</v>
      </c>
      <c r="AZ344" s="4" t="e">
        <f>(3*#REF!+30)*AY344*F344^0.5</f>
        <v>#REF!</v>
      </c>
      <c r="BB344" s="4">
        <f t="shared" si="1238"/>
        <v>1206.0265898888088</v>
      </c>
      <c r="BC344" s="4">
        <f t="shared" si="1464"/>
        <v>0</v>
      </c>
      <c r="BD344" s="4">
        <f t="shared" si="1432"/>
        <v>0</v>
      </c>
      <c r="BL344" s="4">
        <f t="shared" si="1239"/>
        <v>44.45000000000001</v>
      </c>
      <c r="BP344" s="9"/>
      <c r="BR344" s="9"/>
      <c r="BS344" s="9"/>
      <c r="BT344" s="9">
        <f t="shared" si="1240"/>
        <v>44.45000000000001</v>
      </c>
      <c r="BU344" s="9">
        <f t="shared" si="1241"/>
        <v>60.959999999999994</v>
      </c>
      <c r="BV344" s="9">
        <f t="shared" si="1242"/>
        <v>1.3870592192954589</v>
      </c>
      <c r="BW344" s="40">
        <f t="shared" si="1343"/>
        <v>0</v>
      </c>
      <c r="BX344" s="9">
        <f t="shared" si="1243"/>
        <v>0</v>
      </c>
      <c r="BY344" s="9">
        <f t="shared" si="1433"/>
        <v>0</v>
      </c>
      <c r="BZ344" s="9">
        <f t="shared" si="1244"/>
        <v>0.99524931562137331</v>
      </c>
      <c r="CA344" s="9">
        <f t="shared" si="1245"/>
        <v>0.68</v>
      </c>
      <c r="CB344" s="9">
        <f t="shared" si="1246"/>
        <v>2.1584305883972208</v>
      </c>
      <c r="CC344" s="9">
        <f t="shared" si="1247"/>
        <v>2.9938710468456873</v>
      </c>
      <c r="CD344" s="40">
        <v>1</v>
      </c>
      <c r="CE344" s="9" t="e">
        <f>4*CC344*#REF!+60*CC344</f>
        <v>#REF!</v>
      </c>
      <c r="CG344" s="4" t="e">
        <f t="shared" si="1434"/>
        <v>#REF!</v>
      </c>
      <c r="CH344" s="4" t="e">
        <f t="shared" si="1435"/>
        <v>#REF!</v>
      </c>
      <c r="CI344" s="4" t="e">
        <f t="shared" si="1436"/>
        <v>#REF!</v>
      </c>
      <c r="CJ344" s="4" t="e">
        <f t="shared" si="1437"/>
        <v>#REF!</v>
      </c>
      <c r="CK344" s="4">
        <f t="shared" si="1438"/>
        <v>0.98191767642597505</v>
      </c>
      <c r="CL344" s="4">
        <f t="shared" si="1439"/>
        <v>0.95810293219723919</v>
      </c>
      <c r="CM344" s="4">
        <f t="shared" si="1310"/>
        <v>1.7965068604388503</v>
      </c>
      <c r="CN344" s="4">
        <f t="shared" si="1344"/>
        <v>0</v>
      </c>
      <c r="CO344" s="4" t="e">
        <f t="shared" si="1496"/>
        <v>#REF!</v>
      </c>
      <c r="CP344" s="4" t="e">
        <f t="shared" si="1497"/>
        <v>#REF!</v>
      </c>
      <c r="CQ344" s="4" t="e">
        <f t="shared" si="1498"/>
        <v>#REF!</v>
      </c>
      <c r="CR344" s="4">
        <f t="shared" si="1499"/>
        <v>1.7965068604388503</v>
      </c>
      <c r="CS344" s="4">
        <f t="shared" si="1500"/>
        <v>0.98191767642597505</v>
      </c>
      <c r="CT344" s="4">
        <f t="shared" si="1501"/>
        <v>0.95810293219723919</v>
      </c>
      <c r="DC344" s="4" t="e">
        <f>#REF!</f>
        <v>#REF!</v>
      </c>
      <c r="DF344" s="4">
        <f t="shared" si="1248"/>
        <v>3.0046075888539634E-5</v>
      </c>
      <c r="DG344" s="4">
        <f t="shared" si="1446"/>
        <v>10.579812252810257</v>
      </c>
      <c r="DH344" s="4">
        <f t="shared" si="1249"/>
        <v>0.12766394702668557</v>
      </c>
      <c r="DI344" s="4">
        <f t="shared" si="1447"/>
        <v>4.644139621228903</v>
      </c>
      <c r="DJ344" s="4">
        <f t="shared" si="1448"/>
        <v>8.1774866988974395</v>
      </c>
      <c r="DK344" s="4">
        <f t="shared" si="1250"/>
        <v>9.3416699532155363</v>
      </c>
      <c r="DL344" s="38">
        <f t="shared" si="1251"/>
        <v>670.04704190429038</v>
      </c>
      <c r="DM344" s="4" t="e">
        <f t="shared" si="1449"/>
        <v>#REF!</v>
      </c>
      <c r="DN344" s="4">
        <f t="shared" si="1252"/>
        <v>3.1780497164141401</v>
      </c>
      <c r="DO344" s="4">
        <f t="shared" si="1309"/>
        <v>307.11912681610875</v>
      </c>
      <c r="DS344" s="4">
        <f t="shared" si="1253"/>
        <v>0.85</v>
      </c>
      <c r="DT344" s="4">
        <f t="shared" si="1254"/>
        <v>0.92499999999999993</v>
      </c>
      <c r="DU344" s="4">
        <f t="shared" si="1255"/>
        <v>1</v>
      </c>
      <c r="DV344" s="4">
        <f t="shared" si="1450"/>
        <v>0.92499999999999993</v>
      </c>
      <c r="DX344" s="4">
        <f t="shared" si="1256"/>
        <v>686.70182751023481</v>
      </c>
      <c r="DY344" s="25">
        <f t="shared" ref="DY344:DY407" si="1502">13.3*H344*E344^0.5*F344^0.5/L344/G344^2*(0.7+I344/5/E344)</f>
        <v>304.55900893872837</v>
      </c>
      <c r="EA344" s="4">
        <f t="shared" ref="EA344:EA407" si="1503">DS344*DV344</f>
        <v>0.78624999999999989</v>
      </c>
      <c r="EB344" s="4">
        <f t="shared" si="1257"/>
        <v>10.579812252810257</v>
      </c>
      <c r="EE344" s="4">
        <f t="shared" si="1258"/>
        <v>80.72246279691916</v>
      </c>
      <c r="EF344" s="4">
        <f t="shared" si="1451"/>
        <v>3.1780497164141406</v>
      </c>
      <c r="EG344" s="4">
        <f t="shared" si="1259"/>
        <v>6.3611080892571392E-2</v>
      </c>
      <c r="EJ344" s="4">
        <f t="shared" si="1452"/>
        <v>6.3611080892571392E-2</v>
      </c>
      <c r="EK344" s="4">
        <f t="shared" si="1260"/>
        <v>0.12745089969242338</v>
      </c>
      <c r="EL344" s="4">
        <f t="shared" si="1453"/>
        <v>4.6410379864174711</v>
      </c>
      <c r="EM344" s="4">
        <f t="shared" si="1454"/>
        <v>8.1766235950125274</v>
      </c>
      <c r="EN344" s="4" t="e">
        <f t="shared" si="1455"/>
        <v>#REF!</v>
      </c>
      <c r="EO344" s="4" t="e">
        <f t="shared" si="1456"/>
        <v>#REF!</v>
      </c>
      <c r="EP344" s="4" t="e">
        <f t="shared" si="1261"/>
        <v>#REF!</v>
      </c>
      <c r="EQ344" s="4" t="e">
        <f t="shared" si="1457"/>
        <v>#REF!</v>
      </c>
      <c r="ER344" s="4" t="e">
        <f t="shared" si="1262"/>
        <v>#REF!</v>
      </c>
      <c r="FA344" s="23" t="e">
        <f t="shared" si="1383"/>
        <v>#REF!</v>
      </c>
      <c r="FB344" s="23" t="e">
        <f t="shared" si="1384"/>
        <v>#REF!</v>
      </c>
      <c r="FC344" s="23">
        <f t="shared" si="1317"/>
        <v>1.8</v>
      </c>
      <c r="FD344" s="23" t="e">
        <f t="shared" si="1385"/>
        <v>#REF!</v>
      </c>
      <c r="FE344" s="23">
        <f t="shared" si="1386"/>
        <v>1</v>
      </c>
      <c r="FF344" s="23">
        <f t="shared" si="1387"/>
        <v>1</v>
      </c>
      <c r="FG344" s="23">
        <f t="shared" si="1266"/>
        <v>0</v>
      </c>
      <c r="FH344" s="23"/>
      <c r="FR344" s="4">
        <f t="shared" si="1485"/>
        <v>1.25</v>
      </c>
      <c r="FS344" s="4">
        <f t="shared" si="1486"/>
        <v>0.79166666666666663</v>
      </c>
      <c r="FT344" s="4">
        <f t="shared" si="1487"/>
        <v>0</v>
      </c>
      <c r="FU344" s="4">
        <f t="shared" si="1488"/>
        <v>366.22795546800165</v>
      </c>
    </row>
    <row r="345" spans="2:177" ht="12" customHeight="1" x14ac:dyDescent="0.3">
      <c r="B345" s="24"/>
      <c r="C345" s="7" t="s">
        <v>485</v>
      </c>
      <c r="D345" s="38">
        <f t="shared" si="1483"/>
        <v>889.65517241379314</v>
      </c>
      <c r="E345" s="38">
        <f>12.17*25.4</f>
        <v>309.11799999999999</v>
      </c>
      <c r="F345" s="38">
        <f>12040/145</f>
        <v>83.034482758620683</v>
      </c>
      <c r="G345" s="38">
        <f t="shared" si="1341"/>
        <v>25.4</v>
      </c>
      <c r="H345" s="38">
        <f>15.2*25.4</f>
        <v>386.08</v>
      </c>
      <c r="I345" s="38">
        <f>2.6*25.4</f>
        <v>66.039999999999992</v>
      </c>
      <c r="J345" s="39">
        <f>2.9*25.4</f>
        <v>73.66</v>
      </c>
      <c r="K345" s="7">
        <f t="shared" si="1339"/>
        <v>88.9</v>
      </c>
      <c r="L345" s="38">
        <v>3</v>
      </c>
      <c r="M345" s="4">
        <f t="shared" si="1357"/>
        <v>260.34999999999997</v>
      </c>
      <c r="N345" s="7">
        <f t="shared" si="1224"/>
        <v>2.25</v>
      </c>
      <c r="O345" s="7">
        <f t="shared" si="1225"/>
        <v>3.0999999999999996</v>
      </c>
      <c r="P345" s="38">
        <v>4.0999999999999996</v>
      </c>
      <c r="Q345" s="4">
        <f t="shared" si="1342"/>
        <v>4.0999999999999996</v>
      </c>
      <c r="R345" s="4">
        <f t="shared" si="1226"/>
        <v>5.0999999999999996</v>
      </c>
      <c r="S345" s="7">
        <f t="shared" si="1227"/>
        <v>57.361276136431961</v>
      </c>
      <c r="V345" s="38">
        <f t="shared" si="1395"/>
        <v>765.51724137931035</v>
      </c>
      <c r="W345" s="4">
        <v>111</v>
      </c>
      <c r="X345" s="4">
        <f t="shared" si="1228"/>
        <v>0.92990729725452292</v>
      </c>
      <c r="Y345" s="38">
        <f t="shared" ref="Y345:Y346" si="1504">0.5*25.4</f>
        <v>12.7</v>
      </c>
      <c r="Z345" s="38">
        <v>10</v>
      </c>
      <c r="AA345" s="39">
        <f t="shared" ref="AA345:AA346" si="1505">3*25.4</f>
        <v>76.199999999999989</v>
      </c>
      <c r="AB345" s="39">
        <v>3</v>
      </c>
      <c r="AC345" s="39">
        <f t="shared" ref="AC345:AC346" si="1506">AB345-1</f>
        <v>2</v>
      </c>
      <c r="AD345" s="7"/>
      <c r="AE345" s="4">
        <f t="shared" si="1229"/>
        <v>309.11799999999999</v>
      </c>
      <c r="AF345" s="4">
        <f t="shared" si="1230"/>
        <v>0.41632429471377708</v>
      </c>
      <c r="AG345" s="4">
        <f t="shared" si="1231"/>
        <v>325.78952411390105</v>
      </c>
      <c r="AH345" s="4">
        <f t="shared" si="1232"/>
        <v>0.75094494658997535</v>
      </c>
      <c r="AI345" s="4">
        <v>1.25</v>
      </c>
      <c r="AJ345" s="4">
        <f t="shared" si="1154"/>
        <v>2.5</v>
      </c>
      <c r="AK345" s="38">
        <f t="shared" si="1340"/>
        <v>318.29292926050755</v>
      </c>
      <c r="AL345" s="38">
        <f t="shared" si="1264"/>
        <v>318.29292926050755</v>
      </c>
      <c r="AM345" s="38">
        <f t="shared" si="1233"/>
        <v>4.9032987715448586</v>
      </c>
      <c r="AN345" s="38">
        <f t="shared" si="1161"/>
        <v>318.29292926050721</v>
      </c>
      <c r="AO345" s="38">
        <f t="shared" si="1484"/>
        <v>1.0000000000000011</v>
      </c>
      <c r="AP345" s="38">
        <f t="shared" si="1162"/>
        <v>2.736233663940415</v>
      </c>
      <c r="AQ345" s="4">
        <f t="shared" si="1163"/>
        <v>0</v>
      </c>
      <c r="AR345" s="4" t="e">
        <f>#REF!/G345*F345^0.5/0.19</f>
        <v>#REF!</v>
      </c>
      <c r="AS345" s="4">
        <f t="shared" si="1234"/>
        <v>1.151111111111111</v>
      </c>
      <c r="AT345" s="38">
        <f t="shared" si="1235"/>
        <v>870.92382803680493</v>
      </c>
      <c r="AU345" s="4">
        <f t="shared" si="1236"/>
        <v>0.42600000000000005</v>
      </c>
      <c r="AV345" s="4" t="e">
        <f>AU345*D345*#REF!/(D345*G345/2.75/F345^0.5)</f>
        <v>#REF!</v>
      </c>
      <c r="AW345" s="4" t="e">
        <f t="shared" si="1431"/>
        <v>#REF!</v>
      </c>
      <c r="AY345" s="4">
        <f t="shared" si="1237"/>
        <v>1.5</v>
      </c>
      <c r="AZ345" s="4" t="e">
        <f>(3*#REF!+30)*AY345*F345^0.5</f>
        <v>#REF!</v>
      </c>
      <c r="BB345" s="4">
        <f t="shared" si="1238"/>
        <v>835.32245813123473</v>
      </c>
      <c r="BC345" s="4">
        <f t="shared" si="1464"/>
        <v>0</v>
      </c>
      <c r="BD345" s="4">
        <f t="shared" si="1432"/>
        <v>0</v>
      </c>
      <c r="BL345" s="4">
        <f t="shared" si="1239"/>
        <v>44.45</v>
      </c>
      <c r="BP345" s="9"/>
      <c r="BR345" s="9"/>
      <c r="BS345" s="9"/>
      <c r="BT345" s="9">
        <f t="shared" si="1240"/>
        <v>44.45</v>
      </c>
      <c r="BU345" s="9">
        <f t="shared" si="1241"/>
        <v>66.039999999999992</v>
      </c>
      <c r="BV345" s="9">
        <f t="shared" si="1242"/>
        <v>1.4038131918756702</v>
      </c>
      <c r="BW345" s="40">
        <f t="shared" si="1343"/>
        <v>20</v>
      </c>
      <c r="BX345" s="9">
        <f t="shared" si="1243"/>
        <v>0.05</v>
      </c>
      <c r="BY345" s="9">
        <f t="shared" si="1433"/>
        <v>0.8</v>
      </c>
      <c r="BZ345" s="9">
        <f t="shared" si="1244"/>
        <v>0.99524931562137331</v>
      </c>
      <c r="CA345" s="9">
        <f t="shared" si="1245"/>
        <v>0.68</v>
      </c>
      <c r="CB345" s="9">
        <f t="shared" si="1246"/>
        <v>2.1584305883972208</v>
      </c>
      <c r="CC345" s="9">
        <f t="shared" si="1247"/>
        <v>4.7567778044577604</v>
      </c>
      <c r="CD345" s="40">
        <v>1</v>
      </c>
      <c r="CE345" s="9" t="e">
        <f>4*CC345*#REF!+60*CC345</f>
        <v>#REF!</v>
      </c>
      <c r="CG345" s="4" t="e">
        <f t="shared" si="1434"/>
        <v>#REF!</v>
      </c>
      <c r="CH345" s="4" t="e">
        <f t="shared" si="1435"/>
        <v>#REF!</v>
      </c>
      <c r="CI345" s="4" t="e">
        <f t="shared" si="1436"/>
        <v>#REF!</v>
      </c>
      <c r="CJ345" s="4" t="e">
        <f t="shared" si="1437"/>
        <v>#REF!</v>
      </c>
      <c r="CK345" s="4">
        <f t="shared" si="1438"/>
        <v>0.92990729725452292</v>
      </c>
      <c r="CL345" s="4">
        <f t="shared" si="1439"/>
        <v>0.94032104183423759</v>
      </c>
      <c r="CM345" s="4">
        <f t="shared" si="1310"/>
        <v>1.2530999155051654</v>
      </c>
      <c r="CN345" s="4">
        <f t="shared" si="1344"/>
        <v>10</v>
      </c>
      <c r="CU345" s="4" t="e">
        <f t="shared" ref="CU345:CU346" si="1507">CG345</f>
        <v>#REF!</v>
      </c>
      <c r="CV345" s="4" t="e">
        <f t="shared" ref="CV345:CV346" si="1508">CH345</f>
        <v>#REF!</v>
      </c>
      <c r="CW345" s="4" t="e">
        <f t="shared" ref="CW345:CW346" si="1509">CJ345</f>
        <v>#REF!</v>
      </c>
      <c r="CX345" s="4">
        <f t="shared" ref="CX345:CX346" si="1510">CM345</f>
        <v>1.2530999155051654</v>
      </c>
      <c r="CY345" s="4">
        <f t="shared" ref="CY345:CY346" si="1511">CK345</f>
        <v>0.92990729725452292</v>
      </c>
      <c r="CZ345" s="4">
        <f t="shared" ref="CZ345:CZ346" si="1512">CL345</f>
        <v>0.94032104183423759</v>
      </c>
      <c r="DC345" s="4" t="e">
        <f>#REF!</f>
        <v>#REF!</v>
      </c>
      <c r="DF345" s="4">
        <f t="shared" si="1248"/>
        <v>3.0370493651455761E-5</v>
      </c>
      <c r="DG345" s="4">
        <f t="shared" si="1446"/>
        <v>13.651370648787429</v>
      </c>
      <c r="DH345" s="4">
        <f t="shared" si="1249"/>
        <v>0.20867495618981108</v>
      </c>
      <c r="DI345" s="4">
        <f t="shared" si="1447"/>
        <v>7.2939770207118659</v>
      </c>
      <c r="DJ345" s="4">
        <f t="shared" si="1448"/>
        <v>10.948454122629325</v>
      </c>
      <c r="DK345" s="4">
        <f t="shared" si="1250"/>
        <v>11.356595993470908</v>
      </c>
      <c r="DL345" s="38">
        <f t="shared" si="1251"/>
        <v>823.21887745094477</v>
      </c>
      <c r="DM345" s="4" t="e">
        <f t="shared" si="1449"/>
        <v>#REF!</v>
      </c>
      <c r="DN345" s="4">
        <f t="shared" si="1252"/>
        <v>2.2583179581272428</v>
      </c>
      <c r="DO345" s="4">
        <f t="shared" si="1309"/>
        <v>318.29292926050721</v>
      </c>
      <c r="DS345" s="4">
        <f t="shared" si="1253"/>
        <v>0.85</v>
      </c>
      <c r="DT345" s="4">
        <f t="shared" si="1254"/>
        <v>0.92499999999999993</v>
      </c>
      <c r="DU345" s="4">
        <f t="shared" si="1255"/>
        <v>0.77500000000000002</v>
      </c>
      <c r="DV345" s="4">
        <f t="shared" si="1450"/>
        <v>0.71687499999999993</v>
      </c>
      <c r="DX345" s="4">
        <f t="shared" si="1256"/>
        <v>814.10200061678279</v>
      </c>
      <c r="DY345" s="25">
        <f t="shared" si="1502"/>
        <v>315.69045822955366</v>
      </c>
      <c r="EA345" s="4">
        <f t="shared" si="1503"/>
        <v>0.60934374999999996</v>
      </c>
      <c r="EB345" s="4">
        <f t="shared" si="1257"/>
        <v>13.651370648787429</v>
      </c>
      <c r="EE345" s="4">
        <f t="shared" si="1258"/>
        <v>57.361276136431961</v>
      </c>
      <c r="EF345" s="4">
        <f t="shared" si="1451"/>
        <v>2.2583179581272428</v>
      </c>
      <c r="EG345" s="4">
        <f t="shared" si="1259"/>
        <v>0.10397641485790181</v>
      </c>
      <c r="EJ345" s="4">
        <f t="shared" si="1452"/>
        <v>0.10397641485790181</v>
      </c>
      <c r="EK345" s="4">
        <f t="shared" si="1260"/>
        <v>0.20832671657965524</v>
      </c>
      <c r="EL345" s="4">
        <f t="shared" si="1453"/>
        <v>7.2891056656522935</v>
      </c>
      <c r="EM345" s="4">
        <f t="shared" si="1454"/>
        <v>10.946845527561521</v>
      </c>
      <c r="EN345" s="4" t="e">
        <f t="shared" si="1455"/>
        <v>#REF!</v>
      </c>
      <c r="EO345" s="4" t="e">
        <f t="shared" si="1456"/>
        <v>#REF!</v>
      </c>
      <c r="EP345" s="4" t="e">
        <f t="shared" si="1261"/>
        <v>#REF!</v>
      </c>
      <c r="EQ345" s="4" t="e">
        <f t="shared" si="1457"/>
        <v>#REF!</v>
      </c>
      <c r="ER345" s="4" t="e">
        <f t="shared" si="1262"/>
        <v>#REF!</v>
      </c>
      <c r="FA345" s="23" t="e">
        <f t="shared" si="1383"/>
        <v>#REF!</v>
      </c>
      <c r="FB345" s="23" t="e">
        <f t="shared" si="1384"/>
        <v>#REF!</v>
      </c>
      <c r="FC345" s="23">
        <f t="shared" si="1317"/>
        <v>1.4</v>
      </c>
      <c r="FD345" s="23" t="e">
        <f t="shared" si="1385"/>
        <v>#REF!</v>
      </c>
      <c r="FE345" s="23">
        <f t="shared" si="1386"/>
        <v>1</v>
      </c>
      <c r="FF345" s="23">
        <f t="shared" si="1387"/>
        <v>1</v>
      </c>
      <c r="FG345" s="23">
        <f t="shared" si="1266"/>
        <v>0</v>
      </c>
      <c r="FH345" s="23"/>
      <c r="FR345" s="4">
        <f t="shared" si="1485"/>
        <v>1</v>
      </c>
      <c r="FS345" s="4">
        <f t="shared" si="1486"/>
        <v>0.59965116279069774</v>
      </c>
      <c r="FT345" s="4">
        <f t="shared" si="1487"/>
        <v>0.3</v>
      </c>
      <c r="FU345" s="4">
        <f t="shared" si="1488"/>
        <v>610.89880536038936</v>
      </c>
    </row>
    <row r="346" spans="2:177" ht="12" customHeight="1" x14ac:dyDescent="0.3">
      <c r="B346" s="24"/>
      <c r="C346" s="7" t="s">
        <v>486</v>
      </c>
      <c r="D346" s="38">
        <f t="shared" si="1483"/>
        <v>889.65517241379314</v>
      </c>
      <c r="E346" s="38">
        <f>11.9*25.4</f>
        <v>302.26</v>
      </c>
      <c r="F346" s="38">
        <f>12040/145</f>
        <v>83.034482758620683</v>
      </c>
      <c r="G346" s="38">
        <f t="shared" si="1341"/>
        <v>25.4</v>
      </c>
      <c r="H346" s="38">
        <f>15*25.4</f>
        <v>381</v>
      </c>
      <c r="I346" s="38">
        <f t="shared" si="1345"/>
        <v>63.5</v>
      </c>
      <c r="J346" s="39">
        <f>3.1*25.4</f>
        <v>78.739999999999995</v>
      </c>
      <c r="K346" s="7">
        <f t="shared" si="1339"/>
        <v>88.9</v>
      </c>
      <c r="L346" s="38">
        <v>3</v>
      </c>
      <c r="M346" s="4">
        <f t="shared" si="1357"/>
        <v>260.34999999999997</v>
      </c>
      <c r="N346" s="7">
        <f t="shared" si="1224"/>
        <v>2.25</v>
      </c>
      <c r="O346" s="7">
        <f t="shared" si="1225"/>
        <v>3</v>
      </c>
      <c r="P346" s="38">
        <v>9.1</v>
      </c>
      <c r="Q346" s="4">
        <f t="shared" si="1342"/>
        <v>9.1</v>
      </c>
      <c r="R346" s="4">
        <f t="shared" si="1226"/>
        <v>10.1</v>
      </c>
      <c r="S346" s="7">
        <f t="shared" si="1227"/>
        <v>80.72246279691916</v>
      </c>
      <c r="V346" s="38">
        <f t="shared" si="1395"/>
        <v>947.58620689655186</v>
      </c>
      <c r="W346" s="4">
        <v>137.4</v>
      </c>
      <c r="X346" s="4">
        <f t="shared" si="1228"/>
        <v>1.2334336233137346</v>
      </c>
      <c r="Y346" s="38">
        <f t="shared" si="1504"/>
        <v>12.7</v>
      </c>
      <c r="Z346" s="38">
        <v>10</v>
      </c>
      <c r="AA346" s="39">
        <f t="shared" si="1505"/>
        <v>76.199999999999989</v>
      </c>
      <c r="AB346" s="39">
        <v>3</v>
      </c>
      <c r="AC346" s="39">
        <f t="shared" si="1506"/>
        <v>2</v>
      </c>
      <c r="AD346" s="7"/>
      <c r="AE346" s="4">
        <f t="shared" si="1229"/>
        <v>302.26</v>
      </c>
      <c r="AF346" s="4">
        <f t="shared" si="1230"/>
        <v>0.42016806722689082</v>
      </c>
      <c r="AG346" s="4">
        <f t="shared" si="1231"/>
        <v>315.00807738266639</v>
      </c>
      <c r="AH346" s="4">
        <f t="shared" si="1232"/>
        <v>0.75042016806722689</v>
      </c>
      <c r="AI346" s="4">
        <v>1.25</v>
      </c>
      <c r="AJ346" s="4">
        <f t="shared" ref="AJ346:AJ409" si="1513">AJ345</f>
        <v>2.5</v>
      </c>
      <c r="AK346" s="38">
        <f t="shared" si="1340"/>
        <v>310.38394744227224</v>
      </c>
      <c r="AL346" s="38">
        <f t="shared" si="1264"/>
        <v>310.38394744227224</v>
      </c>
      <c r="AM346" s="38">
        <f t="shared" si="1233"/>
        <v>4.9032987715448586</v>
      </c>
      <c r="AN346" s="38">
        <f t="shared" si="1161"/>
        <v>310.38394744227224</v>
      </c>
      <c r="AO346" s="38">
        <f t="shared" si="1484"/>
        <v>1</v>
      </c>
      <c r="AP346" s="38">
        <f t="shared" si="1162"/>
        <v>4.1157605944912197</v>
      </c>
      <c r="AQ346" s="4">
        <f t="shared" si="1163"/>
        <v>0</v>
      </c>
      <c r="AR346" s="4" t="e">
        <f>#REF!/G346*F346^0.5/0.19</f>
        <v>#REF!</v>
      </c>
      <c r="AS346" s="4">
        <f t="shared" si="1234"/>
        <v>1.1333333333333333</v>
      </c>
      <c r="AT346" s="38">
        <f t="shared" si="1235"/>
        <v>1277.4660200455378</v>
      </c>
      <c r="AU346" s="4">
        <f t="shared" si="1236"/>
        <v>0.3</v>
      </c>
      <c r="AV346" s="4" t="e">
        <f>AU346*D346*#REF!/(D346*G346/2.75/F346^0.5)</f>
        <v>#REF!</v>
      </c>
      <c r="AW346" s="4" t="e">
        <f t="shared" si="1431"/>
        <v>#REF!</v>
      </c>
      <c r="AY346" s="4">
        <f t="shared" si="1237"/>
        <v>1.5</v>
      </c>
      <c r="AZ346" s="4" t="e">
        <f>(3*#REF!+30)*AY346*F346^0.5</f>
        <v>#REF!</v>
      </c>
      <c r="BB346" s="4">
        <f t="shared" si="1238"/>
        <v>1225.246137138033</v>
      </c>
      <c r="BC346" s="4">
        <f t="shared" si="1464"/>
        <v>0</v>
      </c>
      <c r="BD346" s="4">
        <f t="shared" si="1432"/>
        <v>0</v>
      </c>
      <c r="BL346" s="4">
        <f t="shared" si="1239"/>
        <v>44.45</v>
      </c>
      <c r="BP346" s="9"/>
      <c r="BR346" s="9"/>
      <c r="BS346" s="9"/>
      <c r="BT346" s="9">
        <f t="shared" si="1240"/>
        <v>44.45</v>
      </c>
      <c r="BU346" s="9">
        <f t="shared" si="1241"/>
        <v>63.5</v>
      </c>
      <c r="BV346" s="9">
        <f t="shared" si="1242"/>
        <v>1.3955786547794871</v>
      </c>
      <c r="BW346" s="40">
        <f t="shared" si="1343"/>
        <v>20</v>
      </c>
      <c r="BX346" s="9">
        <f t="shared" si="1243"/>
        <v>0.05</v>
      </c>
      <c r="BY346" s="9">
        <f t="shared" si="1433"/>
        <v>0.8</v>
      </c>
      <c r="BZ346" s="9">
        <f t="shared" si="1244"/>
        <v>0.99524931562137331</v>
      </c>
      <c r="CA346" s="9">
        <f t="shared" si="1245"/>
        <v>0.68</v>
      </c>
      <c r="CB346" s="9">
        <f t="shared" si="1246"/>
        <v>2.1584305883972208</v>
      </c>
      <c r="CC346" s="9">
        <f t="shared" si="1247"/>
        <v>4.7390041277080668</v>
      </c>
      <c r="CD346" s="40">
        <v>1</v>
      </c>
      <c r="CE346" s="9" t="e">
        <f>4*CC346*#REF!+60*CC346</f>
        <v>#REF!</v>
      </c>
      <c r="CG346" s="4" t="e">
        <f t="shared" si="1434"/>
        <v>#REF!</v>
      </c>
      <c r="CH346" s="4" t="e">
        <f t="shared" si="1435"/>
        <v>#REF!</v>
      </c>
      <c r="CI346" s="4" t="e">
        <f t="shared" si="1436"/>
        <v>#REF!</v>
      </c>
      <c r="CJ346" s="4" t="e">
        <f t="shared" si="1437"/>
        <v>#REF!</v>
      </c>
      <c r="CK346" s="4">
        <f t="shared" si="1438"/>
        <v>1.2334336233137346</v>
      </c>
      <c r="CL346" s="4">
        <f t="shared" si="1439"/>
        <v>1.1917519000638892</v>
      </c>
      <c r="CM346" s="4">
        <f t="shared" si="1310"/>
        <v>1.5863282977600779</v>
      </c>
      <c r="CN346" s="4">
        <f t="shared" si="1344"/>
        <v>10</v>
      </c>
      <c r="CU346" s="4" t="e">
        <f t="shared" si="1507"/>
        <v>#REF!</v>
      </c>
      <c r="CV346" s="4" t="e">
        <f t="shared" si="1508"/>
        <v>#REF!</v>
      </c>
      <c r="CW346" s="4" t="e">
        <f t="shared" si="1509"/>
        <v>#REF!</v>
      </c>
      <c r="CX346" s="4">
        <f t="shared" si="1510"/>
        <v>1.5863282977600779</v>
      </c>
      <c r="CY346" s="4">
        <f t="shared" si="1511"/>
        <v>1.2334336233137346</v>
      </c>
      <c r="CZ346" s="4">
        <f t="shared" si="1512"/>
        <v>1.1917519000638892</v>
      </c>
      <c r="DC346" s="4" t="e">
        <f>#REF!</f>
        <v>#REF!</v>
      </c>
      <c r="DF346" s="4">
        <f t="shared" si="1248"/>
        <v>2.96967029130915E-5</v>
      </c>
      <c r="DG346" s="4">
        <f t="shared" si="1446"/>
        <v>13.651370648787429</v>
      </c>
      <c r="DH346" s="4">
        <f t="shared" si="1249"/>
        <v>0.12902107476988778</v>
      </c>
      <c r="DI346" s="4">
        <f t="shared" si="1447"/>
        <v>6.0178383896867622</v>
      </c>
      <c r="DJ346" s="4">
        <f t="shared" si="1448"/>
        <v>10.55867984451846</v>
      </c>
      <c r="DK346" s="4">
        <f t="shared" si="1250"/>
        <v>11.650918588340279</v>
      </c>
      <c r="DL346" s="38">
        <f t="shared" si="1251"/>
        <v>768.25066950159271</v>
      </c>
      <c r="DM346" s="4" t="e">
        <f t="shared" si="1449"/>
        <v>#REF!</v>
      </c>
      <c r="DN346" s="4">
        <f t="shared" si="1252"/>
        <v>3.1780497164141401</v>
      </c>
      <c r="DO346" s="4">
        <f t="shared" si="1309"/>
        <v>310.38394744227224</v>
      </c>
      <c r="DS346" s="4">
        <f t="shared" si="1253"/>
        <v>0.85</v>
      </c>
      <c r="DT346" s="4">
        <f t="shared" si="1254"/>
        <v>0.92499999999999993</v>
      </c>
      <c r="DU346" s="4">
        <f t="shared" si="1255"/>
        <v>0.77500000000000002</v>
      </c>
      <c r="DV346" s="4">
        <f t="shared" si="1450"/>
        <v>0.71687499999999993</v>
      </c>
      <c r="DX346" s="4">
        <f t="shared" si="1256"/>
        <v>795.12036594676476</v>
      </c>
      <c r="DY346" s="25">
        <f t="shared" si="1502"/>
        <v>307.76643378505355</v>
      </c>
      <c r="EA346" s="4">
        <f t="shared" si="1503"/>
        <v>0.60934374999999996</v>
      </c>
      <c r="EB346" s="4">
        <f t="shared" si="1257"/>
        <v>13.651370648787429</v>
      </c>
      <c r="EE346" s="4">
        <f t="shared" si="1258"/>
        <v>80.72246279691916</v>
      </c>
      <c r="EF346" s="4">
        <f t="shared" si="1451"/>
        <v>3.1780497164141406</v>
      </c>
      <c r="EG346" s="4">
        <f t="shared" si="1259"/>
        <v>6.428729657182139E-2</v>
      </c>
      <c r="EJ346" s="4">
        <f t="shared" si="1452"/>
        <v>6.428729657182139E-2</v>
      </c>
      <c r="EK346" s="4">
        <f t="shared" si="1260"/>
        <v>0.12880576264235638</v>
      </c>
      <c r="EL346" s="4">
        <f t="shared" si="1453"/>
        <v>6.0138193164974663</v>
      </c>
      <c r="EM346" s="4">
        <f t="shared" si="1454"/>
        <v>10.557557097376879</v>
      </c>
      <c r="EN346" s="4" t="e">
        <f t="shared" si="1455"/>
        <v>#REF!</v>
      </c>
      <c r="EO346" s="4" t="e">
        <f t="shared" si="1456"/>
        <v>#REF!</v>
      </c>
      <c r="EP346" s="4" t="e">
        <f t="shared" si="1261"/>
        <v>#REF!</v>
      </c>
      <c r="EQ346" s="4" t="e">
        <f t="shared" si="1457"/>
        <v>#REF!</v>
      </c>
      <c r="ER346" s="4" t="e">
        <f t="shared" si="1262"/>
        <v>#REF!</v>
      </c>
      <c r="FA346" s="23" t="e">
        <f t="shared" si="1383"/>
        <v>#REF!</v>
      </c>
      <c r="FB346" s="23" t="e">
        <f t="shared" si="1384"/>
        <v>#REF!</v>
      </c>
      <c r="FC346" s="23">
        <f t="shared" si="1317"/>
        <v>1.6</v>
      </c>
      <c r="FD346" s="23" t="e">
        <f t="shared" si="1385"/>
        <v>#REF!</v>
      </c>
      <c r="FE346" s="23">
        <f t="shared" si="1386"/>
        <v>1.4</v>
      </c>
      <c r="FF346" s="23">
        <f t="shared" si="1387"/>
        <v>1.2</v>
      </c>
      <c r="FG346" s="23">
        <f t="shared" si="1266"/>
        <v>0</v>
      </c>
      <c r="FH346" s="23"/>
      <c r="FR346" s="4">
        <f t="shared" si="1485"/>
        <v>1</v>
      </c>
      <c r="FS346" s="4">
        <f t="shared" si="1486"/>
        <v>0.59965116279069774</v>
      </c>
      <c r="FT346" s="4">
        <f t="shared" si="1487"/>
        <v>0.3</v>
      </c>
      <c r="FU346" s="4">
        <f t="shared" si="1488"/>
        <v>597.34558617819494</v>
      </c>
    </row>
    <row r="347" spans="2:177" ht="12" customHeight="1" x14ac:dyDescent="0.3">
      <c r="B347" s="24"/>
      <c r="C347" s="7" t="s">
        <v>487</v>
      </c>
      <c r="D347" s="38">
        <f t="shared" si="1483"/>
        <v>889.65517241379314</v>
      </c>
      <c r="E347" s="38">
        <f>12*25.4</f>
        <v>304.79999999999995</v>
      </c>
      <c r="F347" s="38">
        <f>12040/145</f>
        <v>83.034482758620683</v>
      </c>
      <c r="G347" s="38">
        <f t="shared" si="1341"/>
        <v>25.4</v>
      </c>
      <c r="H347" s="38">
        <f>14.9*25.4</f>
        <v>378.46</v>
      </c>
      <c r="I347" s="38">
        <f>2.45*25.4</f>
        <v>62.230000000000004</v>
      </c>
      <c r="J347" s="39">
        <f t="shared" ref="J347" si="1514">3*25.4</f>
        <v>76.199999999999989</v>
      </c>
      <c r="K347" s="7">
        <f t="shared" si="1339"/>
        <v>50.800000000000004</v>
      </c>
      <c r="L347" s="38">
        <v>4</v>
      </c>
      <c r="M347" s="4">
        <f t="shared" si="1357"/>
        <v>260.34999999999997</v>
      </c>
      <c r="N347" s="7">
        <f t="shared" si="1224"/>
        <v>1.5000000000000002</v>
      </c>
      <c r="O347" s="7">
        <f t="shared" si="1225"/>
        <v>2.95</v>
      </c>
      <c r="P347" s="38">
        <v>4.0999999999999996</v>
      </c>
      <c r="Q347" s="4">
        <f t="shared" si="1342"/>
        <v>4.0999999999999996</v>
      </c>
      <c r="R347" s="4">
        <f t="shared" si="1226"/>
        <v>5.0999999999999996</v>
      </c>
      <c r="S347" s="7">
        <f t="shared" si="1227"/>
        <v>57.361276136431961</v>
      </c>
      <c r="V347" s="38">
        <f t="shared" si="1395"/>
        <v>430.34482758620692</v>
      </c>
      <c r="W347" s="4">
        <v>62.4</v>
      </c>
      <c r="X347" s="4">
        <f t="shared" si="1228"/>
        <v>0.73708254508719195</v>
      </c>
      <c r="Y347" s="38"/>
      <c r="Z347" s="38"/>
      <c r="AA347" s="39">
        <v>1</v>
      </c>
      <c r="AB347" s="39"/>
      <c r="AC347" s="39"/>
      <c r="AD347" s="7"/>
      <c r="AE347" s="4">
        <f t="shared" si="1229"/>
        <v>304.79999999999995</v>
      </c>
      <c r="AF347" s="4">
        <f t="shared" si="1230"/>
        <v>0.41388888888888886</v>
      </c>
      <c r="AG347" s="4">
        <f t="shared" si="1231"/>
        <v>239.24032317976457</v>
      </c>
      <c r="AH347" s="4">
        <f t="shared" si="1232"/>
        <v>0.74916666666666665</v>
      </c>
      <c r="AI347" s="4">
        <v>1.25</v>
      </c>
      <c r="AJ347" s="4">
        <f t="shared" si="1513"/>
        <v>2.5</v>
      </c>
      <c r="AK347" s="38">
        <f t="shared" si="1340"/>
        <v>231.81771216907291</v>
      </c>
      <c r="AL347" s="38">
        <f t="shared" si="1264"/>
        <v>231.81771216907291</v>
      </c>
      <c r="AM347" s="38">
        <f t="shared" si="1233"/>
        <v>4.9032987715448586</v>
      </c>
      <c r="AN347" s="38">
        <f t="shared" si="1161"/>
        <v>231.81771216907282</v>
      </c>
      <c r="AO347" s="38">
        <f t="shared" si="1484"/>
        <v>1.0000000000000004</v>
      </c>
      <c r="AP347" s="38">
        <f t="shared" si="1162"/>
        <v>3.0171515717896407</v>
      </c>
      <c r="AQ347" s="4">
        <f t="shared" si="1163"/>
        <v>0</v>
      </c>
      <c r="AR347" s="4" t="e">
        <f>#REF!/G347*F347^0.5/0.19</f>
        <v>#REF!</v>
      </c>
      <c r="AS347" s="4">
        <f t="shared" si="1234"/>
        <v>1.3866666666666667</v>
      </c>
      <c r="AT347" s="38">
        <f t="shared" si="1235"/>
        <v>699.42917463959657</v>
      </c>
      <c r="AU347" s="4">
        <f t="shared" si="1236"/>
        <v>0.42600000000000005</v>
      </c>
      <c r="AV347" s="4" t="e">
        <f>AU347*D347*#REF!/(D347*G347/2.75/F347^0.5)</f>
        <v>#REF!</v>
      </c>
      <c r="AW347" s="4" t="e">
        <f t="shared" si="1431"/>
        <v>#REF!</v>
      </c>
      <c r="AY347" s="4">
        <f t="shared" si="1237"/>
        <v>1.3625</v>
      </c>
      <c r="AZ347" s="4" t="e">
        <f>(3*#REF!+30)*AY347*F347^0.5</f>
        <v>#REF!</v>
      </c>
      <c r="BB347" s="4">
        <f t="shared" si="1238"/>
        <v>670.83811309381031</v>
      </c>
      <c r="BC347" s="4">
        <f t="shared" si="1464"/>
        <v>0</v>
      </c>
      <c r="BD347" s="4">
        <f t="shared" si="1432"/>
        <v>0</v>
      </c>
      <c r="BL347" s="4">
        <f t="shared" si="1239"/>
        <v>25.400000000000002</v>
      </c>
      <c r="BP347" s="9"/>
      <c r="BR347" s="9"/>
      <c r="BS347" s="9"/>
      <c r="BT347" s="9">
        <f t="shared" si="1240"/>
        <v>25.400000000000002</v>
      </c>
      <c r="BU347" s="9">
        <f t="shared" si="1241"/>
        <v>62.230000000000004</v>
      </c>
      <c r="BV347" s="9">
        <f t="shared" si="1242"/>
        <v>1.143865371392744</v>
      </c>
      <c r="BW347" s="40">
        <f t="shared" si="1343"/>
        <v>0</v>
      </c>
      <c r="BX347" s="9">
        <f t="shared" si="1243"/>
        <v>0</v>
      </c>
      <c r="BY347" s="9">
        <f t="shared" si="1433"/>
        <v>0</v>
      </c>
      <c r="BZ347" s="9">
        <f t="shared" si="1244"/>
        <v>0.99524931562137331</v>
      </c>
      <c r="CA347" s="9">
        <f t="shared" si="1245"/>
        <v>0.68</v>
      </c>
      <c r="CB347" s="9">
        <f t="shared" si="1246"/>
        <v>2.1584305883972208</v>
      </c>
      <c r="CC347" s="9">
        <f t="shared" si="1247"/>
        <v>2.4689540066224458</v>
      </c>
      <c r="CD347" s="40">
        <v>1</v>
      </c>
      <c r="CE347" s="9" t="e">
        <f>4*CC347*#REF!+60*CC347</f>
        <v>#REF!</v>
      </c>
      <c r="CG347" s="4" t="e">
        <f t="shared" si="1434"/>
        <v>#REF!</v>
      </c>
      <c r="CH347" s="4" t="e">
        <f t="shared" si="1435"/>
        <v>#REF!</v>
      </c>
      <c r="CI347" s="4" t="e">
        <f t="shared" si="1436"/>
        <v>#REF!</v>
      </c>
      <c r="CJ347" s="4" t="e">
        <f t="shared" si="1437"/>
        <v>#REF!</v>
      </c>
      <c r="CK347" s="4">
        <f t="shared" si="1438"/>
        <v>0.73708254508719195</v>
      </c>
      <c r="CL347" s="4">
        <f t="shared" si="1439"/>
        <v>0.73918547860307671</v>
      </c>
      <c r="CM347" s="4">
        <f t="shared" si="1310"/>
        <v>1.3651469896302668</v>
      </c>
      <c r="CN347" s="4">
        <f t="shared" si="1344"/>
        <v>0</v>
      </c>
      <c r="CO347" s="4" t="e">
        <f t="shared" ref="CO347:CO348" si="1515">CG347</f>
        <v>#REF!</v>
      </c>
      <c r="CP347" s="4" t="e">
        <f t="shared" ref="CP347:CP348" si="1516">CH347</f>
        <v>#REF!</v>
      </c>
      <c r="CQ347" s="4" t="e">
        <f t="shared" ref="CQ347:CQ348" si="1517">CJ347</f>
        <v>#REF!</v>
      </c>
      <c r="CR347" s="4">
        <f t="shared" ref="CR347:CR348" si="1518">CM347</f>
        <v>1.3651469896302668</v>
      </c>
      <c r="CS347" s="4">
        <f t="shared" ref="CS347:CS348" si="1519">CK347</f>
        <v>0.73708254508719195</v>
      </c>
      <c r="CT347" s="4">
        <f t="shared" ref="CT347:CT348" si="1520">CL347</f>
        <v>0.73918547860307671</v>
      </c>
      <c r="DC347" s="4" t="e">
        <f>#REF!</f>
        <v>#REF!</v>
      </c>
      <c r="DF347" s="4">
        <f t="shared" si="1248"/>
        <v>2.9946255038411594E-5</v>
      </c>
      <c r="DG347" s="4">
        <f t="shared" si="1446"/>
        <v>9.7863263338494875</v>
      </c>
      <c r="DH347" s="4">
        <f t="shared" si="1249"/>
        <v>0.15198123013066148</v>
      </c>
      <c r="DI347" s="4">
        <f t="shared" si="1447"/>
        <v>4.6061245351468303</v>
      </c>
      <c r="DJ347" s="4">
        <f t="shared" si="1448"/>
        <v>7.6533699014560153</v>
      </c>
      <c r="DK347" s="4">
        <f t="shared" si="1250"/>
        <v>8.6697049627497993</v>
      </c>
      <c r="DL347" s="38">
        <f t="shared" si="1251"/>
        <v>583.8488924402626</v>
      </c>
      <c r="DM347" s="4" t="e">
        <f t="shared" si="1449"/>
        <v>#REF!</v>
      </c>
      <c r="DN347" s="4">
        <f t="shared" si="1252"/>
        <v>2.2583179581272428</v>
      </c>
      <c r="DO347" s="4">
        <f t="shared" si="1309"/>
        <v>231.81771216907282</v>
      </c>
      <c r="DS347" s="4">
        <f t="shared" si="1253"/>
        <v>0.85</v>
      </c>
      <c r="DT347" s="4">
        <f t="shared" si="1254"/>
        <v>1</v>
      </c>
      <c r="DU347" s="4">
        <f t="shared" si="1255"/>
        <v>1</v>
      </c>
      <c r="DV347" s="4">
        <f t="shared" si="1450"/>
        <v>1</v>
      </c>
      <c r="DX347" s="4">
        <f t="shared" si="1256"/>
        <v>582.18788117899544</v>
      </c>
      <c r="DY347" s="25">
        <f t="shared" si="1502"/>
        <v>229.88013316041389</v>
      </c>
      <c r="EA347" s="4">
        <f t="shared" si="1503"/>
        <v>0.85</v>
      </c>
      <c r="EB347" s="4">
        <f t="shared" si="1257"/>
        <v>9.7863263338494875</v>
      </c>
      <c r="EE347" s="4">
        <f t="shared" si="1258"/>
        <v>57.361276136431961</v>
      </c>
      <c r="EF347" s="4">
        <f t="shared" si="1451"/>
        <v>2.2583179581272428</v>
      </c>
      <c r="EG347" s="4">
        <f t="shared" si="1259"/>
        <v>7.5727647069952941E-2</v>
      </c>
      <c r="EJ347" s="4">
        <f t="shared" si="1452"/>
        <v>7.5727647069952941E-2</v>
      </c>
      <c r="EK347" s="4">
        <f t="shared" si="1260"/>
        <v>0.15172760178302419</v>
      </c>
      <c r="EL347" s="4">
        <f t="shared" si="1453"/>
        <v>4.6030482890885303</v>
      </c>
      <c r="EM347" s="4">
        <f t="shared" si="1454"/>
        <v>7.652458333597421</v>
      </c>
      <c r="EN347" s="4" t="e">
        <f t="shared" si="1455"/>
        <v>#REF!</v>
      </c>
      <c r="EO347" s="4" t="e">
        <f t="shared" si="1456"/>
        <v>#REF!</v>
      </c>
      <c r="EP347" s="4" t="e">
        <f t="shared" si="1261"/>
        <v>#REF!</v>
      </c>
      <c r="EQ347" s="4" t="e">
        <f t="shared" si="1457"/>
        <v>#REF!</v>
      </c>
      <c r="ER347" s="4" t="e">
        <f t="shared" si="1262"/>
        <v>#REF!</v>
      </c>
      <c r="FA347" s="23" t="e">
        <f t="shared" si="1383"/>
        <v>#REF!</v>
      </c>
      <c r="FB347" s="23" t="e">
        <f t="shared" si="1384"/>
        <v>#REF!</v>
      </c>
      <c r="FC347" s="23">
        <f t="shared" si="1317"/>
        <v>1.4</v>
      </c>
      <c r="FD347" s="23" t="e">
        <f t="shared" si="1385"/>
        <v>#REF!</v>
      </c>
      <c r="FE347" s="23">
        <f t="shared" si="1386"/>
        <v>0.8</v>
      </c>
      <c r="FF347" s="23">
        <f t="shared" si="1387"/>
        <v>0.8</v>
      </c>
      <c r="FG347" s="23">
        <f t="shared" si="1266"/>
        <v>1</v>
      </c>
      <c r="FH347" s="23"/>
      <c r="FR347" s="4">
        <f t="shared" si="1485"/>
        <v>1.25</v>
      </c>
      <c r="FS347" s="4">
        <f t="shared" si="1486"/>
        <v>0.91666666666666663</v>
      </c>
      <c r="FT347" s="4">
        <f t="shared" si="1487"/>
        <v>0</v>
      </c>
      <c r="FU347" s="4">
        <f t="shared" si="1488"/>
        <v>315.23698975651001</v>
      </c>
    </row>
    <row r="348" spans="2:177" ht="12" customHeight="1" x14ac:dyDescent="0.3">
      <c r="B348" s="24"/>
      <c r="C348" s="7" t="s">
        <v>488</v>
      </c>
      <c r="D348" s="38">
        <f t="shared" si="1483"/>
        <v>889.65517241379314</v>
      </c>
      <c r="E348" s="38">
        <f>12.17*25.4</f>
        <v>309.11799999999999</v>
      </c>
      <c r="F348" s="38">
        <f>12360/145</f>
        <v>85.241379310344826</v>
      </c>
      <c r="G348" s="38">
        <f t="shared" si="1341"/>
        <v>25.4</v>
      </c>
      <c r="H348" s="38">
        <f>15*25.4</f>
        <v>381</v>
      </c>
      <c r="I348" s="38">
        <f t="shared" si="1345"/>
        <v>63.5</v>
      </c>
      <c r="J348" s="39">
        <f>3*25.4</f>
        <v>76.199999999999989</v>
      </c>
      <c r="K348" s="7">
        <f t="shared" si="1339"/>
        <v>50.79999999999999</v>
      </c>
      <c r="L348" s="38">
        <v>4</v>
      </c>
      <c r="M348" s="4">
        <f t="shared" si="1357"/>
        <v>260.34999999999997</v>
      </c>
      <c r="N348" s="7">
        <f t="shared" si="1224"/>
        <v>1.5</v>
      </c>
      <c r="O348" s="7">
        <f t="shared" si="1225"/>
        <v>3</v>
      </c>
      <c r="P348" s="38">
        <v>9.1</v>
      </c>
      <c r="Q348" s="4">
        <f t="shared" si="1342"/>
        <v>9.1</v>
      </c>
      <c r="R348" s="4">
        <f t="shared" si="1226"/>
        <v>10.1</v>
      </c>
      <c r="S348" s="7">
        <f t="shared" si="1227"/>
        <v>80.72246279691916</v>
      </c>
      <c r="V348" s="38">
        <f t="shared" si="1395"/>
        <v>439.31034482758628</v>
      </c>
      <c r="W348" s="4">
        <v>63.7</v>
      </c>
      <c r="X348" s="4">
        <f t="shared" si="1228"/>
        <v>0.76475423221277683</v>
      </c>
      <c r="Y348" s="38"/>
      <c r="Z348" s="38"/>
      <c r="AA348" s="39">
        <v>1</v>
      </c>
      <c r="AB348" s="39"/>
      <c r="AC348" s="39"/>
      <c r="AD348" s="7"/>
      <c r="AE348" s="4">
        <f t="shared" si="1229"/>
        <v>309.11799999999999</v>
      </c>
      <c r="AF348" s="4">
        <f t="shared" si="1230"/>
        <v>0.41084634346754317</v>
      </c>
      <c r="AG348" s="4">
        <f t="shared" si="1231"/>
        <v>247.56792156546703</v>
      </c>
      <c r="AH348" s="4">
        <f t="shared" si="1232"/>
        <v>0.74930156121610514</v>
      </c>
      <c r="AI348" s="4">
        <v>1.25</v>
      </c>
      <c r="AJ348" s="4">
        <f t="shared" si="1513"/>
        <v>2.5</v>
      </c>
      <c r="AK348" s="38">
        <f t="shared" si="1340"/>
        <v>238.16638010480526</v>
      </c>
      <c r="AL348" s="38">
        <f t="shared" si="1264"/>
        <v>238.16638010480526</v>
      </c>
      <c r="AM348" s="38">
        <f t="shared" si="1233"/>
        <v>4.9491074410379952</v>
      </c>
      <c r="AN348" s="38">
        <f t="shared" ref="AN348:AN411" si="1521">AJ348* (F348^0.5/AE348^0.5)/(PI()/4*G348^2)/L348/0.72 *(0.7+(MIN(I348,M348)+0.5*G348)/5/E348) *(3*H348*E348)</f>
        <v>238.16638010480509</v>
      </c>
      <c r="AO348" s="38">
        <f t="shared" si="1484"/>
        <v>1.0000000000000007</v>
      </c>
      <c r="AP348" s="38">
        <f t="shared" ref="AP348:AP411" si="1522">AT348/AN348</f>
        <v>4.5346106033999751</v>
      </c>
      <c r="AQ348" s="4">
        <f t="shared" ref="AQ348:AQ411" si="1523">IF(AP348&lt;1,1,0)</f>
        <v>0</v>
      </c>
      <c r="AR348" s="4" t="e">
        <f>#REF!/G348*F348^0.5/0.19</f>
        <v>#REF!</v>
      </c>
      <c r="AS348" s="4">
        <f t="shared" si="1234"/>
        <v>1.4</v>
      </c>
      <c r="AT348" s="38">
        <f t="shared" si="1235"/>
        <v>1079.9917925966381</v>
      </c>
      <c r="AU348" s="4">
        <f t="shared" si="1236"/>
        <v>0.3</v>
      </c>
      <c r="AV348" s="4" t="e">
        <f>AU348*D348*#REF!/(D348*G348/2.75/F348^0.5)</f>
        <v>#REF!</v>
      </c>
      <c r="AW348" s="4" t="e">
        <f t="shared" si="1431"/>
        <v>#REF!</v>
      </c>
      <c r="AY348" s="4">
        <f t="shared" si="1237"/>
        <v>1.375</v>
      </c>
      <c r="AZ348" s="4" t="e">
        <f>(3*#REF!+30)*AY348*F348^0.5</f>
        <v>#REF!</v>
      </c>
      <c r="BB348" s="4">
        <f t="shared" si="1238"/>
        <v>1035.8442034901566</v>
      </c>
      <c r="BC348" s="4">
        <f t="shared" si="1464"/>
        <v>0</v>
      </c>
      <c r="BD348" s="4">
        <f t="shared" si="1432"/>
        <v>0</v>
      </c>
      <c r="BL348" s="4">
        <f t="shared" si="1239"/>
        <v>25.399999999999995</v>
      </c>
      <c r="BP348" s="9"/>
      <c r="BR348" s="9"/>
      <c r="BS348" s="9"/>
      <c r="BT348" s="9">
        <f t="shared" si="1240"/>
        <v>25.399999999999995</v>
      </c>
      <c r="BU348" s="9">
        <f t="shared" si="1241"/>
        <v>63.5</v>
      </c>
      <c r="BV348" s="9">
        <f t="shared" si="1242"/>
        <v>1.1473370055629852</v>
      </c>
      <c r="BW348" s="40">
        <f t="shared" si="1343"/>
        <v>0</v>
      </c>
      <c r="BX348" s="9">
        <f t="shared" si="1243"/>
        <v>0</v>
      </c>
      <c r="BY348" s="9">
        <f t="shared" si="1433"/>
        <v>0</v>
      </c>
      <c r="BZ348" s="9">
        <f t="shared" si="1244"/>
        <v>0.99524931562137331</v>
      </c>
      <c r="CA348" s="9">
        <f t="shared" si="1245"/>
        <v>0.68</v>
      </c>
      <c r="CB348" s="9">
        <f t="shared" si="1246"/>
        <v>2.1869259549958526</v>
      </c>
      <c r="CC348" s="9">
        <f t="shared" si="1247"/>
        <v>2.5091410765929134</v>
      </c>
      <c r="CD348" s="40">
        <v>1</v>
      </c>
      <c r="CE348" s="9" t="e">
        <f>4*CC348*#REF!+60*CC348</f>
        <v>#REF!</v>
      </c>
      <c r="CG348" s="4" t="e">
        <f t="shared" si="1434"/>
        <v>#REF!</v>
      </c>
      <c r="CH348" s="4" t="e">
        <f t="shared" si="1435"/>
        <v>#REF!</v>
      </c>
      <c r="CI348" s="4" t="e">
        <f t="shared" si="1436"/>
        <v>#REF!</v>
      </c>
      <c r="CJ348" s="4" t="e">
        <f t="shared" si="1437"/>
        <v>#REF!</v>
      </c>
      <c r="CK348" s="4">
        <f t="shared" si="1438"/>
        <v>0.76475423221277683</v>
      </c>
      <c r="CL348" s="4">
        <f t="shared" si="1439"/>
        <v>0.73435132953628823</v>
      </c>
      <c r="CM348" s="4">
        <f t="shared" si="1310"/>
        <v>1.0921113414829737</v>
      </c>
      <c r="CN348" s="4">
        <f t="shared" si="1344"/>
        <v>0</v>
      </c>
      <c r="CO348" s="4" t="e">
        <f t="shared" si="1515"/>
        <v>#REF!</v>
      </c>
      <c r="CP348" s="4" t="e">
        <f t="shared" si="1516"/>
        <v>#REF!</v>
      </c>
      <c r="CQ348" s="4" t="e">
        <f t="shared" si="1517"/>
        <v>#REF!</v>
      </c>
      <c r="CR348" s="4">
        <f t="shared" si="1518"/>
        <v>1.0921113414829737</v>
      </c>
      <c r="CS348" s="4">
        <f t="shared" si="1519"/>
        <v>0.76475423221277683</v>
      </c>
      <c r="CT348" s="4">
        <f t="shared" si="1520"/>
        <v>0.73435132953628823</v>
      </c>
      <c r="DC348" s="4" t="e">
        <f>#REF!</f>
        <v>#REF!</v>
      </c>
      <c r="DF348" s="4">
        <f t="shared" si="1248"/>
        <v>3.0775330482386827E-5</v>
      </c>
      <c r="DG348" s="4">
        <f t="shared" si="1446"/>
        <v>9.9155243530194994</v>
      </c>
      <c r="DH348" s="4">
        <f t="shared" si="1249"/>
        <v>9.6438373081566373E-2</v>
      </c>
      <c r="DI348" s="4">
        <f t="shared" si="1447"/>
        <v>3.8905915176890846</v>
      </c>
      <c r="DJ348" s="4">
        <f t="shared" si="1448"/>
        <v>7.5418383622167751</v>
      </c>
      <c r="DK348" s="4">
        <f t="shared" si="1250"/>
        <v>8.8202888686208603</v>
      </c>
      <c r="DL348" s="38">
        <f t="shared" si="1251"/>
        <v>574.44643824521836</v>
      </c>
      <c r="DM348" s="4" t="e">
        <f t="shared" si="1449"/>
        <v>#REF!</v>
      </c>
      <c r="DN348" s="4">
        <f t="shared" si="1252"/>
        <v>3.1780497164141401</v>
      </c>
      <c r="DO348" s="4">
        <f t="shared" si="1309"/>
        <v>238.16638010480509</v>
      </c>
      <c r="DS348" s="4">
        <f t="shared" si="1253"/>
        <v>0.85</v>
      </c>
      <c r="DT348" s="4">
        <f t="shared" si="1254"/>
        <v>1</v>
      </c>
      <c r="DU348" s="4">
        <f t="shared" si="1255"/>
        <v>1</v>
      </c>
      <c r="DV348" s="4">
        <f t="shared" si="1450"/>
        <v>1</v>
      </c>
      <c r="DX348" s="4">
        <f t="shared" si="1256"/>
        <v>598.22911344763565</v>
      </c>
      <c r="DY348" s="25">
        <f t="shared" si="1502"/>
        <v>236.21331931889364</v>
      </c>
      <c r="EA348" s="4">
        <f t="shared" si="1503"/>
        <v>0.85</v>
      </c>
      <c r="EB348" s="4">
        <f t="shared" si="1257"/>
        <v>9.9155243530194994</v>
      </c>
      <c r="EE348" s="4">
        <f t="shared" si="1258"/>
        <v>80.72246279691916</v>
      </c>
      <c r="EF348" s="4">
        <f t="shared" si="1451"/>
        <v>3.1780497164141406</v>
      </c>
      <c r="EG348" s="4">
        <f t="shared" si="1259"/>
        <v>4.868670402844448E-2</v>
      </c>
      <c r="EJ348" s="4">
        <f t="shared" si="1452"/>
        <v>4.868670402844448E-2</v>
      </c>
      <c r="EK348" s="4">
        <f t="shared" si="1260"/>
        <v>9.6277435410562634E-2</v>
      </c>
      <c r="EL348" s="4">
        <f t="shared" si="1453"/>
        <v>3.887993147469297</v>
      </c>
      <c r="EM348" s="4">
        <f t="shared" si="1454"/>
        <v>7.5411879057167894</v>
      </c>
      <c r="EN348" s="4" t="e">
        <f t="shared" si="1455"/>
        <v>#REF!</v>
      </c>
      <c r="EO348" s="4" t="e">
        <f t="shared" si="1456"/>
        <v>#REF!</v>
      </c>
      <c r="EP348" s="4" t="e">
        <f t="shared" si="1261"/>
        <v>#REF!</v>
      </c>
      <c r="EQ348" s="4" t="e">
        <f t="shared" si="1457"/>
        <v>#REF!</v>
      </c>
      <c r="ER348" s="4" t="e">
        <f t="shared" si="1262"/>
        <v>#REF!</v>
      </c>
      <c r="FA348" s="23" t="e">
        <f t="shared" si="1383"/>
        <v>#REF!</v>
      </c>
      <c r="FB348" s="23" t="e">
        <f t="shared" si="1384"/>
        <v>#REF!</v>
      </c>
      <c r="FC348" s="23">
        <f t="shared" si="1317"/>
        <v>1.2</v>
      </c>
      <c r="FD348" s="23" t="e">
        <f t="shared" si="1385"/>
        <v>#REF!</v>
      </c>
      <c r="FE348" s="23">
        <f t="shared" si="1386"/>
        <v>0.8</v>
      </c>
      <c r="FF348" s="23">
        <f t="shared" si="1387"/>
        <v>0.8</v>
      </c>
      <c r="FG348" s="23">
        <f t="shared" si="1266"/>
        <v>1</v>
      </c>
      <c r="FH348" s="23"/>
      <c r="FR348" s="4">
        <f t="shared" si="1485"/>
        <v>1</v>
      </c>
      <c r="FS348" s="4">
        <f t="shared" si="1486"/>
        <v>0.91666666666666663</v>
      </c>
      <c r="FT348" s="4">
        <f t="shared" si="1487"/>
        <v>0</v>
      </c>
      <c r="FU348" s="4">
        <f t="shared" si="1488"/>
        <v>402.25783593735827</v>
      </c>
    </row>
    <row r="349" spans="2:177" ht="12" customHeight="1" x14ac:dyDescent="0.3">
      <c r="B349" s="24"/>
      <c r="C349" s="7" t="s">
        <v>489</v>
      </c>
      <c r="D349" s="38">
        <f t="shared" si="1483"/>
        <v>889.65517241379314</v>
      </c>
      <c r="E349" s="38">
        <f>12.03*25.4</f>
        <v>305.56199999999995</v>
      </c>
      <c r="F349" s="38">
        <f>12360/145</f>
        <v>85.241379310344826</v>
      </c>
      <c r="G349" s="38">
        <f t="shared" si="1341"/>
        <v>25.4</v>
      </c>
      <c r="H349" s="38">
        <f>15.1*25.4</f>
        <v>383.53999999999996</v>
      </c>
      <c r="I349" s="38">
        <f>2.45*25.4</f>
        <v>62.230000000000004</v>
      </c>
      <c r="J349" s="39">
        <f>3.1*25.4</f>
        <v>78.739999999999995</v>
      </c>
      <c r="K349" s="7">
        <f t="shared" si="1339"/>
        <v>52.493333333333311</v>
      </c>
      <c r="L349" s="38">
        <v>4</v>
      </c>
      <c r="M349" s="4">
        <f t="shared" si="1357"/>
        <v>260.34999999999997</v>
      </c>
      <c r="N349" s="7">
        <f t="shared" si="1224"/>
        <v>1.533333333333333</v>
      </c>
      <c r="O349" s="7">
        <f t="shared" si="1225"/>
        <v>2.95</v>
      </c>
      <c r="P349" s="38">
        <v>4.0999999999999996</v>
      </c>
      <c r="Q349" s="4">
        <f t="shared" si="1342"/>
        <v>4.0999999999999996</v>
      </c>
      <c r="R349" s="4">
        <f t="shared" si="1226"/>
        <v>5.0999999999999996</v>
      </c>
      <c r="S349" s="7">
        <f t="shared" si="1227"/>
        <v>57.361276136431961</v>
      </c>
      <c r="V349" s="38">
        <f t="shared" si="1395"/>
        <v>560.00000000000011</v>
      </c>
      <c r="W349" s="4">
        <v>81.2</v>
      </c>
      <c r="X349" s="4">
        <f t="shared" si="1228"/>
        <v>0.80505769112623204</v>
      </c>
      <c r="Y349" s="38">
        <f t="shared" ref="Y349:Y350" si="1524">0.5*25.4</f>
        <v>12.7</v>
      </c>
      <c r="Z349" s="38">
        <v>10</v>
      </c>
      <c r="AA349" s="39">
        <f t="shared" ref="AA349:AA350" si="1525">3*25.4</f>
        <v>76.199999999999989</v>
      </c>
      <c r="AB349" s="39">
        <v>3</v>
      </c>
      <c r="AC349" s="39">
        <f t="shared" ref="AC349:AC350" si="1526">AB349-1</f>
        <v>2</v>
      </c>
      <c r="AD349" s="7"/>
      <c r="AE349" s="4">
        <f t="shared" si="1229"/>
        <v>305.56199999999995</v>
      </c>
      <c r="AF349" s="4">
        <f t="shared" si="1230"/>
        <v>0.41839844832363543</v>
      </c>
      <c r="AG349" s="4">
        <f t="shared" si="1231"/>
        <v>243.30831117709874</v>
      </c>
      <c r="AH349" s="4">
        <f t="shared" si="1232"/>
        <v>0.74904405652535322</v>
      </c>
      <c r="AI349" s="4">
        <v>1.25</v>
      </c>
      <c r="AJ349" s="4">
        <f t="shared" si="1513"/>
        <v>2.5</v>
      </c>
      <c r="AK349" s="38">
        <f t="shared" si="1340"/>
        <v>238.28921881887709</v>
      </c>
      <c r="AL349" s="38">
        <f t="shared" si="1264"/>
        <v>238.28921881887709</v>
      </c>
      <c r="AM349" s="38">
        <f t="shared" si="1233"/>
        <v>4.9491074410379952</v>
      </c>
      <c r="AN349" s="38">
        <f t="shared" si="1521"/>
        <v>238.28921881887737</v>
      </c>
      <c r="AO349" s="38">
        <f t="shared" si="1484"/>
        <v>0.99999999999999878</v>
      </c>
      <c r="AP349" s="38">
        <f t="shared" si="1522"/>
        <v>3.042196719936292</v>
      </c>
      <c r="AQ349" s="4">
        <f t="shared" si="1523"/>
        <v>0</v>
      </c>
      <c r="AR349" s="4" t="e">
        <f>#REF!/G349*F349^0.5/0.19</f>
        <v>#REF!</v>
      </c>
      <c r="AS349" s="4">
        <f t="shared" si="1234"/>
        <v>1.3695652173913047</v>
      </c>
      <c r="AT349" s="38">
        <f t="shared" si="1235"/>
        <v>724.92267988697006</v>
      </c>
      <c r="AU349" s="4">
        <f t="shared" si="1236"/>
        <v>0.42600000000000005</v>
      </c>
      <c r="AV349" s="4" t="e">
        <f>AU349*D349*#REF!/(D349*G349/2.75/F349^0.5)</f>
        <v>#REF!</v>
      </c>
      <c r="AW349" s="4" t="e">
        <f t="shared" si="1431"/>
        <v>#REF!</v>
      </c>
      <c r="AY349" s="4">
        <f t="shared" si="1237"/>
        <v>1.5</v>
      </c>
      <c r="AZ349" s="4" t="e">
        <f>(3*#REF!+30)*AY349*F349^0.5</f>
        <v>#REF!</v>
      </c>
      <c r="BB349" s="4">
        <f t="shared" si="1238"/>
        <v>695.28950227858024</v>
      </c>
      <c r="BC349" s="4">
        <f t="shared" si="1464"/>
        <v>0</v>
      </c>
      <c r="BD349" s="4">
        <f t="shared" si="1432"/>
        <v>0</v>
      </c>
      <c r="BL349" s="4">
        <f t="shared" si="1239"/>
        <v>26.246666666666655</v>
      </c>
      <c r="BP349" s="9"/>
      <c r="BR349" s="9"/>
      <c r="BS349" s="9"/>
      <c r="BT349" s="9">
        <f t="shared" si="1240"/>
        <v>26.246666666666655</v>
      </c>
      <c r="BU349" s="9">
        <f t="shared" si="1241"/>
        <v>62.230000000000004</v>
      </c>
      <c r="BV349" s="9">
        <f t="shared" si="1242"/>
        <v>1.1570684888602492</v>
      </c>
      <c r="BW349" s="40">
        <f t="shared" si="1343"/>
        <v>20</v>
      </c>
      <c r="BX349" s="9">
        <f t="shared" si="1243"/>
        <v>0.05</v>
      </c>
      <c r="BY349" s="9">
        <f t="shared" si="1433"/>
        <v>0.8</v>
      </c>
      <c r="BZ349" s="9">
        <f t="shared" si="1244"/>
        <v>0.99524931562137331</v>
      </c>
      <c r="CA349" s="9">
        <f t="shared" si="1245"/>
        <v>0.68</v>
      </c>
      <c r="CB349" s="9">
        <f t="shared" si="1246"/>
        <v>2.1869259549958526</v>
      </c>
      <c r="CC349" s="9">
        <f t="shared" si="1247"/>
        <v>4.2799638739929904</v>
      </c>
      <c r="CD349" s="40">
        <v>1</v>
      </c>
      <c r="CE349" s="9" t="e">
        <f>4*CC349*#REF!+60*CC349</f>
        <v>#REF!</v>
      </c>
      <c r="CG349" s="4" t="e">
        <f t="shared" si="1434"/>
        <v>#REF!</v>
      </c>
      <c r="CH349" s="4" t="e">
        <f t="shared" si="1435"/>
        <v>#REF!</v>
      </c>
      <c r="CI349" s="4" t="e">
        <f t="shared" si="1436"/>
        <v>#REF!</v>
      </c>
      <c r="CJ349" s="4" t="e">
        <f t="shared" si="1437"/>
        <v>#REF!</v>
      </c>
      <c r="CK349" s="4">
        <f t="shared" si="1438"/>
        <v>0.80505769112623204</v>
      </c>
      <c r="CL349" s="4">
        <f t="shared" si="1439"/>
        <v>0.80046699672781108</v>
      </c>
      <c r="CM349" s="4">
        <f t="shared" si="1310"/>
        <v>1.2738805592629094</v>
      </c>
      <c r="CN349" s="4">
        <f t="shared" si="1344"/>
        <v>10</v>
      </c>
      <c r="CU349" s="4" t="e">
        <f t="shared" ref="CU349:CU350" si="1527">CG349</f>
        <v>#REF!</v>
      </c>
      <c r="CV349" s="4" t="e">
        <f t="shared" ref="CV349:CV350" si="1528">CH349</f>
        <v>#REF!</v>
      </c>
      <c r="CW349" s="4" t="e">
        <f t="shared" ref="CW349:CW350" si="1529">CJ349</f>
        <v>#REF!</v>
      </c>
      <c r="CX349" s="4">
        <f t="shared" ref="CX349:CX350" si="1530">CM349</f>
        <v>1.2738805592629094</v>
      </c>
      <c r="CY349" s="4">
        <f t="shared" ref="CY349:CY350" si="1531">CK349</f>
        <v>0.80505769112623204</v>
      </c>
      <c r="CZ349" s="4">
        <f t="shared" ref="CZ349:CZ350" si="1532">CL349</f>
        <v>0.80046699672781108</v>
      </c>
      <c r="DC349" s="4" t="e">
        <f>#REF!</f>
        <v>#REF!</v>
      </c>
      <c r="DF349" s="4">
        <f t="shared" si="1248"/>
        <v>3.0421300386451396E-5</v>
      </c>
      <c r="DG349" s="4">
        <f t="shared" si="1446"/>
        <v>12.83701502171043</v>
      </c>
      <c r="DH349" s="4">
        <f t="shared" si="1249"/>
        <v>0.1521793587080586</v>
      </c>
      <c r="DI349" s="4">
        <f t="shared" si="1447"/>
        <v>6.0451398062212967</v>
      </c>
      <c r="DJ349" s="4">
        <f t="shared" si="1448"/>
        <v>10.040086430595098</v>
      </c>
      <c r="DK349" s="4">
        <f t="shared" si="1250"/>
        <v>10.893917173358787</v>
      </c>
      <c r="DL349" s="38">
        <f t="shared" si="1251"/>
        <v>695.60232288022803</v>
      </c>
      <c r="DM349" s="4" t="e">
        <f t="shared" si="1449"/>
        <v>#REF!</v>
      </c>
      <c r="DN349" s="4">
        <f t="shared" si="1252"/>
        <v>2.2583179581272428</v>
      </c>
      <c r="DO349" s="4">
        <f t="shared" si="1309"/>
        <v>238.28921881887737</v>
      </c>
      <c r="DS349" s="4">
        <f t="shared" si="1253"/>
        <v>0.85</v>
      </c>
      <c r="DT349" s="4">
        <f t="shared" si="1254"/>
        <v>0.9966666666666667</v>
      </c>
      <c r="DU349" s="4">
        <f t="shared" si="1255"/>
        <v>0.77500000000000002</v>
      </c>
      <c r="DV349" s="4">
        <f t="shared" si="1450"/>
        <v>0.77241666666666675</v>
      </c>
      <c r="DX349" s="4">
        <f t="shared" si="1256"/>
        <v>699.59161625550587</v>
      </c>
      <c r="DY349" s="25">
        <f t="shared" si="1502"/>
        <v>236.30374412197665</v>
      </c>
      <c r="EA349" s="4">
        <f t="shared" si="1503"/>
        <v>0.65655416666666677</v>
      </c>
      <c r="EB349" s="4">
        <f t="shared" si="1257"/>
        <v>12.83701502171043</v>
      </c>
      <c r="EE349" s="4">
        <f t="shared" si="1258"/>
        <v>57.361276136431961</v>
      </c>
      <c r="EF349" s="4">
        <f t="shared" si="1451"/>
        <v>2.2583179581272428</v>
      </c>
      <c r="EG349" s="4">
        <f t="shared" si="1259"/>
        <v>7.6827420039440139E-2</v>
      </c>
      <c r="EJ349" s="4">
        <f t="shared" si="1452"/>
        <v>7.6827420039440139E-2</v>
      </c>
      <c r="EK349" s="4">
        <f t="shared" si="1260"/>
        <v>0.15192539972075178</v>
      </c>
      <c r="EL349" s="4">
        <f t="shared" si="1453"/>
        <v>6.0411024995095755</v>
      </c>
      <c r="EM349" s="4">
        <f t="shared" si="1454"/>
        <v>10.038889525077265</v>
      </c>
      <c r="EN349" s="4" t="e">
        <f t="shared" si="1455"/>
        <v>#REF!</v>
      </c>
      <c r="EO349" s="4" t="e">
        <f t="shared" si="1456"/>
        <v>#REF!</v>
      </c>
      <c r="EP349" s="4" t="e">
        <f t="shared" si="1261"/>
        <v>#REF!</v>
      </c>
      <c r="EQ349" s="4" t="e">
        <f t="shared" si="1457"/>
        <v>#REF!</v>
      </c>
      <c r="ER349" s="4" t="e">
        <f t="shared" si="1262"/>
        <v>#REF!</v>
      </c>
      <c r="FA349" s="23" t="e">
        <f t="shared" si="1383"/>
        <v>#REF!</v>
      </c>
      <c r="FB349" s="23" t="e">
        <f t="shared" si="1384"/>
        <v>#REF!</v>
      </c>
      <c r="FC349" s="23">
        <f t="shared" si="1317"/>
        <v>1.4</v>
      </c>
      <c r="FD349" s="23" t="e">
        <f t="shared" si="1385"/>
        <v>#REF!</v>
      </c>
      <c r="FE349" s="23">
        <f t="shared" si="1386"/>
        <v>1</v>
      </c>
      <c r="FF349" s="23">
        <f t="shared" si="1387"/>
        <v>1</v>
      </c>
      <c r="FG349" s="23">
        <f t="shared" si="1266"/>
        <v>0</v>
      </c>
      <c r="FH349" s="23"/>
      <c r="FR349" s="4">
        <f t="shared" si="1485"/>
        <v>1.25</v>
      </c>
      <c r="FS349" s="4">
        <f t="shared" si="1486"/>
        <v>0.66331782945736439</v>
      </c>
      <c r="FT349" s="4">
        <f t="shared" si="1487"/>
        <v>0.3</v>
      </c>
      <c r="FU349" s="4">
        <f t="shared" si="1488"/>
        <v>439.60165333241787</v>
      </c>
    </row>
    <row r="350" spans="2:177" ht="12" customHeight="1" x14ac:dyDescent="0.3">
      <c r="B350" s="24"/>
      <c r="C350" s="7" t="s">
        <v>490</v>
      </c>
      <c r="D350" s="38">
        <f t="shared" si="1483"/>
        <v>889.65517241379314</v>
      </c>
      <c r="E350" s="38">
        <f>11.95*25.4</f>
        <v>303.52999999999997</v>
      </c>
      <c r="F350" s="38">
        <f>12360/145</f>
        <v>85.241379310344826</v>
      </c>
      <c r="G350" s="38">
        <f t="shared" si="1341"/>
        <v>25.4</v>
      </c>
      <c r="H350" s="38">
        <f>14.9*25.4</f>
        <v>378.46</v>
      </c>
      <c r="I350" s="38">
        <f>2.45*25.4</f>
        <v>62.230000000000004</v>
      </c>
      <c r="J350" s="39">
        <f>3.1*25.4</f>
        <v>78.739999999999995</v>
      </c>
      <c r="K350" s="7">
        <f t="shared" si="1339"/>
        <v>50.800000000000004</v>
      </c>
      <c r="L350" s="38">
        <v>4</v>
      </c>
      <c r="M350" s="4">
        <f t="shared" si="1357"/>
        <v>260.34999999999997</v>
      </c>
      <c r="N350" s="7">
        <f t="shared" si="1224"/>
        <v>1.5000000000000002</v>
      </c>
      <c r="O350" s="7">
        <f t="shared" si="1225"/>
        <v>2.95</v>
      </c>
      <c r="P350" s="38">
        <v>9.1</v>
      </c>
      <c r="Q350" s="4">
        <f t="shared" si="1342"/>
        <v>9.1</v>
      </c>
      <c r="R350" s="4">
        <f t="shared" si="1226"/>
        <v>10.1</v>
      </c>
      <c r="S350" s="7">
        <f t="shared" si="1227"/>
        <v>80.72246279691916</v>
      </c>
      <c r="V350" s="38">
        <f t="shared" si="1395"/>
        <v>766.20689655172418</v>
      </c>
      <c r="W350" s="4">
        <v>111.1</v>
      </c>
      <c r="X350" s="4">
        <f t="shared" si="1228"/>
        <v>1.1698808414795534</v>
      </c>
      <c r="Y350" s="38">
        <f t="shared" si="1524"/>
        <v>12.7</v>
      </c>
      <c r="Z350" s="38">
        <v>10</v>
      </c>
      <c r="AA350" s="39">
        <f t="shared" si="1525"/>
        <v>76.199999999999989</v>
      </c>
      <c r="AB350" s="39">
        <v>3</v>
      </c>
      <c r="AC350" s="39">
        <f t="shared" si="1526"/>
        <v>2</v>
      </c>
      <c r="AD350" s="7"/>
      <c r="AE350" s="4">
        <f t="shared" si="1229"/>
        <v>303.52999999999997</v>
      </c>
      <c r="AF350" s="4">
        <f t="shared" si="1230"/>
        <v>0.41562064156206424</v>
      </c>
      <c r="AG350" s="4">
        <f t="shared" si="1231"/>
        <v>240.88533502614254</v>
      </c>
      <c r="AH350" s="4">
        <f t="shared" si="1232"/>
        <v>0.74937238493723846</v>
      </c>
      <c r="AI350" s="4">
        <v>1.25</v>
      </c>
      <c r="AJ350" s="4">
        <f t="shared" si="1513"/>
        <v>2.5</v>
      </c>
      <c r="AK350" s="38">
        <f t="shared" si="1340"/>
        <v>234.45266634184955</v>
      </c>
      <c r="AL350" s="38">
        <f t="shared" si="1264"/>
        <v>234.45266634184955</v>
      </c>
      <c r="AM350" s="38">
        <f t="shared" si="1233"/>
        <v>4.9491074410379952</v>
      </c>
      <c r="AN350" s="38">
        <f t="shared" si="1521"/>
        <v>234.45266634184975</v>
      </c>
      <c r="AO350" s="38">
        <f t="shared" si="1484"/>
        <v>0.99999999999999911</v>
      </c>
      <c r="AP350" s="38">
        <f t="shared" si="1522"/>
        <v>4.5625676737536338</v>
      </c>
      <c r="AQ350" s="4">
        <f t="shared" si="1523"/>
        <v>0</v>
      </c>
      <c r="AR350" s="4" t="e">
        <f>#REF!/G350*F350^0.5/0.19</f>
        <v>#REF!</v>
      </c>
      <c r="AS350" s="4">
        <f t="shared" si="1234"/>
        <v>1.3866666666666667</v>
      </c>
      <c r="AT350" s="38">
        <f t="shared" si="1235"/>
        <v>1069.7061564766702</v>
      </c>
      <c r="AU350" s="4">
        <f t="shared" si="1236"/>
        <v>0.3</v>
      </c>
      <c r="AV350" s="4" t="e">
        <f>AU350*D350*#REF!/(D350*G350/2.75/F350^0.5)</f>
        <v>#REF!</v>
      </c>
      <c r="AW350" s="4" t="e">
        <f t="shared" si="1431"/>
        <v>#REF!</v>
      </c>
      <c r="AY350" s="4">
        <f t="shared" si="1237"/>
        <v>1.5</v>
      </c>
      <c r="AZ350" s="4" t="e">
        <f>(3*#REF!+30)*AY350*F350^0.5</f>
        <v>#REF!</v>
      </c>
      <c r="BB350" s="4">
        <f t="shared" si="1238"/>
        <v>1025.9790205997742</v>
      </c>
      <c r="BC350" s="4">
        <f t="shared" si="1464"/>
        <v>0</v>
      </c>
      <c r="BD350" s="4">
        <f t="shared" si="1432"/>
        <v>0</v>
      </c>
      <c r="BL350" s="4">
        <f t="shared" si="1239"/>
        <v>25.400000000000002</v>
      </c>
      <c r="BP350" s="9"/>
      <c r="BR350" s="9"/>
      <c r="BS350" s="9"/>
      <c r="BT350" s="9">
        <f t="shared" si="1240"/>
        <v>25.400000000000002</v>
      </c>
      <c r="BU350" s="9">
        <f t="shared" si="1241"/>
        <v>62.230000000000004</v>
      </c>
      <c r="BV350" s="9">
        <f t="shared" si="1242"/>
        <v>1.143865371392744</v>
      </c>
      <c r="BW350" s="40">
        <f t="shared" si="1343"/>
        <v>20</v>
      </c>
      <c r="BX350" s="9">
        <f t="shared" si="1243"/>
        <v>0.05</v>
      </c>
      <c r="BY350" s="9">
        <f t="shared" si="1433"/>
        <v>0.8</v>
      </c>
      <c r="BZ350" s="9">
        <f t="shared" si="1244"/>
        <v>0.99524931562137331</v>
      </c>
      <c r="CA350" s="9">
        <f t="shared" si="1245"/>
        <v>0.68</v>
      </c>
      <c r="CB350" s="9">
        <f t="shared" si="1246"/>
        <v>2.1869259549958526</v>
      </c>
      <c r="CC350" s="9">
        <f t="shared" si="1247"/>
        <v>4.251089633716445</v>
      </c>
      <c r="CD350" s="40">
        <v>1</v>
      </c>
      <c r="CE350" s="9" t="e">
        <f>4*CC350*#REF!+60*CC350</f>
        <v>#REF!</v>
      </c>
      <c r="CG350" s="4" t="e">
        <f t="shared" si="1434"/>
        <v>#REF!</v>
      </c>
      <c r="CH350" s="4" t="e">
        <f t="shared" si="1435"/>
        <v>#REF!</v>
      </c>
      <c r="CI350" s="4" t="e">
        <f t="shared" si="1436"/>
        <v>#REF!</v>
      </c>
      <c r="CJ350" s="4" t="e">
        <f t="shared" si="1437"/>
        <v>#REF!</v>
      </c>
      <c r="CK350" s="4">
        <f t="shared" si="1438"/>
        <v>1.1698808414795534</v>
      </c>
      <c r="CL350" s="4">
        <f t="shared" si="1439"/>
        <v>1.1085878003695551</v>
      </c>
      <c r="CM350" s="4">
        <f t="shared" si="1310"/>
        <v>1.7624587508377958</v>
      </c>
      <c r="CN350" s="4">
        <f t="shared" si="1344"/>
        <v>10</v>
      </c>
      <c r="CU350" s="4" t="e">
        <f t="shared" si="1527"/>
        <v>#REF!</v>
      </c>
      <c r="CV350" s="4" t="e">
        <f t="shared" si="1528"/>
        <v>#REF!</v>
      </c>
      <c r="CW350" s="4" t="e">
        <f t="shared" si="1529"/>
        <v>#REF!</v>
      </c>
      <c r="CX350" s="4">
        <f t="shared" si="1530"/>
        <v>1.7624587508377958</v>
      </c>
      <c r="CY350" s="4">
        <f t="shared" si="1531"/>
        <v>1.1698808414795534</v>
      </c>
      <c r="CZ350" s="4">
        <f t="shared" si="1532"/>
        <v>1.1085878003695551</v>
      </c>
      <c r="DC350" s="4" t="e">
        <f>#REF!</f>
        <v>#REF!</v>
      </c>
      <c r="DF350" s="4">
        <f t="shared" si="1248"/>
        <v>3.0218997474488296E-5</v>
      </c>
      <c r="DG350" s="4">
        <f t="shared" si="1446"/>
        <v>12.794224971638064</v>
      </c>
      <c r="DH350" s="4">
        <f t="shared" si="1249"/>
        <v>9.4934615442757594E-2</v>
      </c>
      <c r="DI350" s="4">
        <f t="shared" si="1447"/>
        <v>4.988659028525408</v>
      </c>
      <c r="DJ350" s="4">
        <f t="shared" si="1448"/>
        <v>9.7235504870790646</v>
      </c>
      <c r="DK350" s="4">
        <f t="shared" si="1250"/>
        <v>11.053834529233329</v>
      </c>
      <c r="DL350" s="38">
        <f t="shared" si="1251"/>
        <v>654.94439209953975</v>
      </c>
      <c r="DM350" s="4" t="e">
        <f t="shared" si="1449"/>
        <v>#REF!</v>
      </c>
      <c r="DN350" s="4">
        <f t="shared" si="1252"/>
        <v>3.1780497164141401</v>
      </c>
      <c r="DO350" s="4">
        <f t="shared" si="1309"/>
        <v>234.45266634184975</v>
      </c>
      <c r="DS350" s="4">
        <f t="shared" si="1253"/>
        <v>0.85</v>
      </c>
      <c r="DT350" s="4">
        <f t="shared" si="1254"/>
        <v>1</v>
      </c>
      <c r="DU350" s="4">
        <f t="shared" si="1255"/>
        <v>0.77500000000000002</v>
      </c>
      <c r="DV350" s="4">
        <f t="shared" si="1450"/>
        <v>0.77500000000000002</v>
      </c>
      <c r="DX350" s="4">
        <f t="shared" si="1256"/>
        <v>691.15580768280518</v>
      </c>
      <c r="DY350" s="25">
        <f t="shared" si="1502"/>
        <v>232.4828424495806</v>
      </c>
      <c r="EA350" s="4">
        <f t="shared" si="1503"/>
        <v>0.65874999999999995</v>
      </c>
      <c r="EB350" s="4">
        <f t="shared" si="1257"/>
        <v>12.794224971638064</v>
      </c>
      <c r="EE350" s="4">
        <f t="shared" si="1258"/>
        <v>80.72246279691916</v>
      </c>
      <c r="EF350" s="4">
        <f t="shared" si="1451"/>
        <v>3.1780497164141406</v>
      </c>
      <c r="EG350" s="4">
        <f t="shared" si="1259"/>
        <v>4.7927535237518568E-2</v>
      </c>
      <c r="EJ350" s="4">
        <f t="shared" si="1452"/>
        <v>4.7927535237518568E-2</v>
      </c>
      <c r="EK350" s="4">
        <f t="shared" si="1260"/>
        <v>9.477618726299071E-2</v>
      </c>
      <c r="EL350" s="4">
        <f t="shared" si="1453"/>
        <v>4.9853273030030936</v>
      </c>
      <c r="EM350" s="4">
        <f t="shared" si="1454"/>
        <v>9.7227215162763319</v>
      </c>
      <c r="EN350" s="4" t="e">
        <f t="shared" si="1455"/>
        <v>#REF!</v>
      </c>
      <c r="EO350" s="4" t="e">
        <f t="shared" si="1456"/>
        <v>#REF!</v>
      </c>
      <c r="EP350" s="4" t="e">
        <f t="shared" si="1261"/>
        <v>#REF!</v>
      </c>
      <c r="EQ350" s="4" t="e">
        <f t="shared" si="1457"/>
        <v>#REF!</v>
      </c>
      <c r="ER350" s="4" t="e">
        <f t="shared" si="1262"/>
        <v>#REF!</v>
      </c>
      <c r="FA350" s="23" t="e">
        <f t="shared" si="1383"/>
        <v>#REF!</v>
      </c>
      <c r="FB350" s="23" t="e">
        <f t="shared" si="1384"/>
        <v>#REF!</v>
      </c>
      <c r="FC350" s="23">
        <f t="shared" si="1317"/>
        <v>1.8</v>
      </c>
      <c r="FD350" s="23" t="e">
        <f t="shared" si="1385"/>
        <v>#REF!</v>
      </c>
      <c r="FE350" s="23">
        <f t="shared" si="1386"/>
        <v>1.2</v>
      </c>
      <c r="FF350" s="23">
        <f t="shared" si="1387"/>
        <v>1.2</v>
      </c>
      <c r="FG350" s="23">
        <f t="shared" si="1266"/>
        <v>0</v>
      </c>
      <c r="FH350" s="23"/>
      <c r="FR350" s="4">
        <f t="shared" si="1485"/>
        <v>1.25</v>
      </c>
      <c r="FS350" s="4">
        <f t="shared" si="1486"/>
        <v>0.66627906976744189</v>
      </c>
      <c r="FT350" s="4">
        <f t="shared" si="1487"/>
        <v>0.3</v>
      </c>
      <c r="FU350" s="4">
        <f t="shared" si="1488"/>
        <v>434.73749169306967</v>
      </c>
    </row>
    <row r="351" spans="2:177" ht="12" customHeight="1" x14ac:dyDescent="0.3">
      <c r="B351" s="24" t="s">
        <v>491</v>
      </c>
      <c r="C351" s="48" t="s">
        <v>492</v>
      </c>
      <c r="D351" s="38">
        <f>115.9/0.145</f>
        <v>799.31034482758628</v>
      </c>
      <c r="E351" s="38">
        <f>9.19*25.4</f>
        <v>233.42599999999999</v>
      </c>
      <c r="F351" s="38">
        <f>6710/145</f>
        <v>46.275862068965516</v>
      </c>
      <c r="G351" s="38">
        <f t="shared" si="1341"/>
        <v>25.4</v>
      </c>
      <c r="H351" s="38">
        <f>17.3*25.4</f>
        <v>439.42</v>
      </c>
      <c r="I351" s="38">
        <f>2.6*25.4</f>
        <v>66.039999999999992</v>
      </c>
      <c r="J351" s="39">
        <f>3.25*25.4</f>
        <v>82.55</v>
      </c>
      <c r="K351" s="7">
        <f t="shared" si="1339"/>
        <v>256.54000000000002</v>
      </c>
      <c r="L351" s="38">
        <v>2</v>
      </c>
      <c r="M351" s="4">
        <f t="shared" si="1357"/>
        <v>260.34999999999997</v>
      </c>
      <c r="N351" s="7">
        <f t="shared" si="1224"/>
        <v>3.0999999999999996</v>
      </c>
      <c r="O351" s="7">
        <f t="shared" si="1225"/>
        <v>3.0999999999999996</v>
      </c>
      <c r="P351" s="38">
        <v>4.5</v>
      </c>
      <c r="Q351" s="4">
        <f t="shared" si="1342"/>
        <v>4.5</v>
      </c>
      <c r="R351" s="4">
        <f t="shared" si="1226"/>
        <v>5.5</v>
      </c>
      <c r="S351" s="7">
        <f t="shared" si="1227"/>
        <v>59.568280149757555</v>
      </c>
      <c r="V351" s="38">
        <f t="shared" si="1395"/>
        <v>509.6551724137932</v>
      </c>
      <c r="W351" s="4">
        <v>73.900000000000006</v>
      </c>
      <c r="X351" s="4">
        <f t="shared" si="1228"/>
        <v>0.81066942187607538</v>
      </c>
      <c r="Y351" s="38"/>
      <c r="Z351" s="38"/>
      <c r="AA351" s="39">
        <v>1</v>
      </c>
      <c r="AB351" s="39"/>
      <c r="AC351" s="39"/>
      <c r="AD351" s="7"/>
      <c r="AE351" s="4">
        <f t="shared" si="1229"/>
        <v>233.42599999999999</v>
      </c>
      <c r="AF351" s="4">
        <f t="shared" si="1230"/>
        <v>0.62749365252085609</v>
      </c>
      <c r="AG351" s="4">
        <f t="shared" si="1231"/>
        <v>239.39429178870478</v>
      </c>
      <c r="AH351" s="4">
        <f t="shared" si="1232"/>
        <v>0.76746463547334054</v>
      </c>
      <c r="AI351" s="4">
        <v>1.25</v>
      </c>
      <c r="AJ351" s="4">
        <f t="shared" si="1513"/>
        <v>2.5</v>
      </c>
      <c r="AK351" s="38">
        <f t="shared" si="1340"/>
        <v>360.27283900740065</v>
      </c>
      <c r="AL351" s="38">
        <f t="shared" si="1264"/>
        <v>360.27283900740065</v>
      </c>
      <c r="AM351" s="38">
        <f t="shared" si="1233"/>
        <v>3.8668524435568052</v>
      </c>
      <c r="AN351" s="38">
        <f t="shared" si="1521"/>
        <v>360.27283900740036</v>
      </c>
      <c r="AO351" s="38">
        <f t="shared" si="1484"/>
        <v>1.0000000000000009</v>
      </c>
      <c r="AP351" s="38">
        <f t="shared" si="1522"/>
        <v>1.6893550813803335</v>
      </c>
      <c r="AQ351" s="4">
        <f t="shared" si="1523"/>
        <v>0</v>
      </c>
      <c r="AR351" s="4" t="e">
        <f>#REF!/G351*F351^0.5/0.19</f>
        <v>#REF!</v>
      </c>
      <c r="AS351" s="4">
        <f t="shared" si="1234"/>
        <v>1</v>
      </c>
      <c r="AT351" s="38">
        <f t="shared" si="1235"/>
        <v>608.62875126047061</v>
      </c>
      <c r="AU351" s="4">
        <f t="shared" si="1236"/>
        <v>0.37</v>
      </c>
      <c r="AV351" s="4" t="e">
        <f>AU351*D351*#REF!/(D351*G351/2.75/F351^0.5)</f>
        <v>#REF!</v>
      </c>
      <c r="AW351" s="4" t="e">
        <f t="shared" si="1431"/>
        <v>#REF!</v>
      </c>
      <c r="AY351" s="4">
        <f t="shared" si="1237"/>
        <v>1.4</v>
      </c>
      <c r="AZ351" s="4" t="e">
        <f>(3*#REF!+30)*AY351*F351^0.5</f>
        <v>#REF!</v>
      </c>
      <c r="BB351" s="4">
        <f t="shared" si="1238"/>
        <v>583.74940290502093</v>
      </c>
      <c r="BC351" s="4">
        <f t="shared" si="1464"/>
        <v>0</v>
      </c>
      <c r="BD351" s="4">
        <f t="shared" si="1432"/>
        <v>0</v>
      </c>
      <c r="BL351" s="4">
        <f t="shared" si="1239"/>
        <v>66.039999999999992</v>
      </c>
      <c r="BP351" s="9"/>
      <c r="BR351" s="9"/>
      <c r="BS351" s="9"/>
      <c r="BT351" s="9">
        <f t="shared" si="1240"/>
        <v>66.039999999999992</v>
      </c>
      <c r="BU351" s="9">
        <f t="shared" si="1241"/>
        <v>128.27000000000001</v>
      </c>
      <c r="BV351" s="9">
        <f t="shared" si="1242"/>
        <v>1.7812889692205971</v>
      </c>
      <c r="BW351" s="40">
        <f t="shared" si="1343"/>
        <v>0</v>
      </c>
      <c r="BX351" s="9">
        <f t="shared" si="1243"/>
        <v>0</v>
      </c>
      <c r="BY351" s="9">
        <f t="shared" si="1433"/>
        <v>0</v>
      </c>
      <c r="BZ351" s="9">
        <f t="shared" si="1244"/>
        <v>0.99524931562137331</v>
      </c>
      <c r="CA351" s="9">
        <f t="shared" si="1245"/>
        <v>0.68048275862068963</v>
      </c>
      <c r="CB351" s="9">
        <f t="shared" si="1246"/>
        <v>1.6124799265763963</v>
      </c>
      <c r="CC351" s="9">
        <f t="shared" si="1247"/>
        <v>2.8722927063001729</v>
      </c>
      <c r="CD351" s="40">
        <v>1</v>
      </c>
      <c r="CE351" s="9" t="e">
        <f>4*CC351*#REF!+60*CC351</f>
        <v>#REF!</v>
      </c>
      <c r="CG351" s="4" t="e">
        <f t="shared" si="1434"/>
        <v>#REF!</v>
      </c>
      <c r="CH351" s="4" t="e">
        <f t="shared" si="1435"/>
        <v>#REF!</v>
      </c>
      <c r="CI351" s="4" t="e">
        <f t="shared" si="1436"/>
        <v>#REF!</v>
      </c>
      <c r="CJ351" s="4" t="e">
        <f t="shared" si="1437"/>
        <v>#REF!</v>
      </c>
      <c r="CK351" s="4">
        <f t="shared" si="1438"/>
        <v>0.81066942187607538</v>
      </c>
      <c r="CL351" s="4">
        <f t="shared" si="1439"/>
        <v>0.85520549534192214</v>
      </c>
      <c r="CM351" s="4">
        <f t="shared" si="1310"/>
        <v>1.066177573233374</v>
      </c>
      <c r="CN351" s="4">
        <f t="shared" si="1344"/>
        <v>0</v>
      </c>
      <c r="CO351" s="4" t="e">
        <f t="shared" ref="CO351:CO356" si="1533">CG351</f>
        <v>#REF!</v>
      </c>
      <c r="CP351" s="4" t="e">
        <f t="shared" ref="CP351:CP356" si="1534">CH351</f>
        <v>#REF!</v>
      </c>
      <c r="CQ351" s="4" t="e">
        <f t="shared" ref="CQ351:CQ356" si="1535">CJ351</f>
        <v>#REF!</v>
      </c>
      <c r="CR351" s="4">
        <f t="shared" ref="CR351:CR379" si="1536">CM351</f>
        <v>1.066177573233374</v>
      </c>
      <c r="CS351" s="4">
        <f t="shared" ref="CS351:CS356" si="1537">CK351</f>
        <v>0.81066942187607538</v>
      </c>
      <c r="CT351" s="4">
        <f t="shared" ref="CT351:CT356" si="1538">CL351</f>
        <v>0.85520549534192214</v>
      </c>
      <c r="DC351" s="4" t="e">
        <f>#REF!</f>
        <v>#REF!</v>
      </c>
      <c r="DF351" s="4">
        <f t="shared" si="1248"/>
        <v>1.8309566495771662E-5</v>
      </c>
      <c r="DG351" s="4">
        <f t="shared" si="1446"/>
        <v>8.6973795750242395</v>
      </c>
      <c r="DH351" s="4">
        <f t="shared" si="1249"/>
        <v>0.40100189799113706</v>
      </c>
      <c r="DI351" s="4">
        <f t="shared" si="1447"/>
        <v>6.0345792547808044</v>
      </c>
      <c r="DJ351" s="4">
        <f t="shared" si="1448"/>
        <v>7.4857163501452408</v>
      </c>
      <c r="DK351" s="4">
        <f t="shared" si="1250"/>
        <v>8.2310311474027262</v>
      </c>
      <c r="DL351" s="38">
        <f t="shared" si="1251"/>
        <v>628.68434242201215</v>
      </c>
      <c r="DM351" s="4" t="e">
        <f t="shared" si="1449"/>
        <v>#REF!</v>
      </c>
      <c r="DN351" s="4">
        <f t="shared" si="1252"/>
        <v>2.3452078799117149</v>
      </c>
      <c r="DO351" s="4">
        <f t="shared" si="1309"/>
        <v>360.27283900740036</v>
      </c>
      <c r="DS351" s="4">
        <f t="shared" si="1253"/>
        <v>0.85</v>
      </c>
      <c r="DT351" s="4">
        <f t="shared" si="1254"/>
        <v>0.84000000000000008</v>
      </c>
      <c r="DU351" s="4">
        <f t="shared" si="1255"/>
        <v>1</v>
      </c>
      <c r="DV351" s="4">
        <f t="shared" si="1450"/>
        <v>0.84000000000000008</v>
      </c>
      <c r="DX351" s="4">
        <f t="shared" si="1256"/>
        <v>595.94468836992974</v>
      </c>
      <c r="DY351" s="25">
        <f t="shared" si="1502"/>
        <v>356.15793348651147</v>
      </c>
      <c r="EA351" s="4">
        <f t="shared" si="1503"/>
        <v>0.71400000000000008</v>
      </c>
      <c r="EB351" s="4">
        <f t="shared" si="1257"/>
        <v>8.6973795750242395</v>
      </c>
      <c r="EE351" s="4">
        <f t="shared" si="1258"/>
        <v>59.568280149757555</v>
      </c>
      <c r="EF351" s="4">
        <f t="shared" si="1451"/>
        <v>2.3452078799117149</v>
      </c>
      <c r="EG351" s="4">
        <f t="shared" si="1259"/>
        <v>0.14916225920929174</v>
      </c>
      <c r="EJ351" s="4">
        <f t="shared" si="1452"/>
        <v>0.14916225920929174</v>
      </c>
      <c r="EK351" s="4">
        <f t="shared" si="1260"/>
        <v>0.40033270055998399</v>
      </c>
      <c r="EL351" s="4">
        <f t="shared" si="1453"/>
        <v>6.0305490010383416</v>
      </c>
      <c r="EM351" s="4">
        <f t="shared" si="1454"/>
        <v>7.4840947084284517</v>
      </c>
      <c r="EN351" s="4" t="e">
        <f t="shared" si="1455"/>
        <v>#REF!</v>
      </c>
      <c r="EO351" s="4" t="e">
        <f t="shared" si="1456"/>
        <v>#REF!</v>
      </c>
      <c r="EP351" s="4" t="e">
        <f t="shared" si="1261"/>
        <v>#REF!</v>
      </c>
      <c r="EQ351" s="4" t="e">
        <f t="shared" si="1457"/>
        <v>#REF!</v>
      </c>
      <c r="ER351" s="4" t="e">
        <f t="shared" si="1262"/>
        <v>#REF!</v>
      </c>
      <c r="EU351" s="4">
        <f t="shared" ref="EU351:EU355" si="1539">5.25*25.4</f>
        <v>133.35</v>
      </c>
      <c r="FA351" s="23" t="e">
        <f t="shared" si="1383"/>
        <v>#REF!</v>
      </c>
      <c r="FB351" s="23" t="e">
        <f t="shared" si="1384"/>
        <v>#REF!</v>
      </c>
      <c r="FC351" s="23">
        <f t="shared" si="1317"/>
        <v>1.2</v>
      </c>
      <c r="FD351" s="23" t="e">
        <f t="shared" si="1385"/>
        <v>#REF!</v>
      </c>
      <c r="FE351" s="23">
        <f t="shared" si="1386"/>
        <v>1</v>
      </c>
      <c r="FF351" s="23">
        <f t="shared" si="1387"/>
        <v>1</v>
      </c>
      <c r="FG351" s="23">
        <f t="shared" si="1266"/>
        <v>0</v>
      </c>
      <c r="FH351" s="23"/>
      <c r="FR351" s="4">
        <f t="shared" si="1485"/>
        <v>1</v>
      </c>
      <c r="FS351" s="4">
        <f t="shared" si="1486"/>
        <v>0.5</v>
      </c>
      <c r="FT351" s="4">
        <f t="shared" si="1487"/>
        <v>0</v>
      </c>
      <c r="FU351" s="4">
        <f t="shared" si="1488"/>
        <v>478.02090871989816</v>
      </c>
    </row>
    <row r="352" spans="2:177" ht="12" customHeight="1" x14ac:dyDescent="0.3">
      <c r="B352" s="24"/>
      <c r="C352" s="48" t="s">
        <v>493</v>
      </c>
      <c r="D352" s="38">
        <f t="shared" ref="D352:D355" si="1540">115.9/0.145</f>
        <v>799.31034482758628</v>
      </c>
      <c r="E352" s="38">
        <f>9*25.4</f>
        <v>228.6</v>
      </c>
      <c r="F352" s="38">
        <f>6710/145</f>
        <v>46.275862068965516</v>
      </c>
      <c r="G352" s="38">
        <f t="shared" si="1341"/>
        <v>25.4</v>
      </c>
      <c r="H352" s="38">
        <f>15.3*25.4</f>
        <v>388.62</v>
      </c>
      <c r="I352" s="38">
        <f>2.55*25.4</f>
        <v>64.77</v>
      </c>
      <c r="J352" s="39">
        <f>3.45*25.4</f>
        <v>87.63</v>
      </c>
      <c r="K352" s="7">
        <f t="shared" si="1339"/>
        <v>208.28</v>
      </c>
      <c r="L352" s="38">
        <v>2</v>
      </c>
      <c r="M352" s="4">
        <f t="shared" si="1357"/>
        <v>260.34999999999997</v>
      </c>
      <c r="N352" s="7">
        <f t="shared" si="1224"/>
        <v>3.05</v>
      </c>
      <c r="O352" s="7">
        <f t="shared" si="1225"/>
        <v>3.05</v>
      </c>
      <c r="P352" s="38">
        <v>4.5</v>
      </c>
      <c r="Q352" s="4">
        <f t="shared" si="1342"/>
        <v>4.5</v>
      </c>
      <c r="R352" s="4">
        <f t="shared" si="1226"/>
        <v>5.5</v>
      </c>
      <c r="S352" s="7">
        <f t="shared" si="1227"/>
        <v>59.568280149757555</v>
      </c>
      <c r="V352" s="38">
        <f t="shared" si="1395"/>
        <v>513.10344827586209</v>
      </c>
      <c r="W352" s="4">
        <v>74.400000000000006</v>
      </c>
      <c r="X352" s="4">
        <f t="shared" si="1228"/>
        <v>0.89753775945612424</v>
      </c>
      <c r="Y352" s="38"/>
      <c r="Z352" s="38"/>
      <c r="AA352" s="39">
        <v>1</v>
      </c>
      <c r="AB352" s="39"/>
      <c r="AC352" s="39"/>
      <c r="AD352" s="7"/>
      <c r="AE352" s="4">
        <f t="shared" si="1229"/>
        <v>228.6</v>
      </c>
      <c r="AF352" s="4">
        <f t="shared" si="1230"/>
        <v>0.56666666666666654</v>
      </c>
      <c r="AG352" s="4">
        <f t="shared" si="1231"/>
        <v>232.00870916574723</v>
      </c>
      <c r="AH352" s="4">
        <f t="shared" si="1232"/>
        <v>0.76777777777777778</v>
      </c>
      <c r="AI352" s="4">
        <v>1.25</v>
      </c>
      <c r="AJ352" s="4">
        <f t="shared" si="1513"/>
        <v>2.5</v>
      </c>
      <c r="AK352" s="38">
        <f t="shared" si="1340"/>
        <v>315.44054474190187</v>
      </c>
      <c r="AL352" s="38">
        <f t="shared" si="1264"/>
        <v>315.44054474190187</v>
      </c>
      <c r="AM352" s="38">
        <f t="shared" si="1233"/>
        <v>3.8668524435568052</v>
      </c>
      <c r="AN352" s="38">
        <f t="shared" si="1521"/>
        <v>315.44054474190187</v>
      </c>
      <c r="AO352" s="38">
        <f t="shared" si="1484"/>
        <v>1</v>
      </c>
      <c r="AP352" s="38">
        <f t="shared" si="1522"/>
        <v>1.898336052482289</v>
      </c>
      <c r="AQ352" s="4">
        <f t="shared" si="1523"/>
        <v>0</v>
      </c>
      <c r="AR352" s="4" t="e">
        <f>#REF!/G352*F352^0.5/0.19</f>
        <v>#REF!</v>
      </c>
      <c r="AS352" s="4">
        <f t="shared" si="1234"/>
        <v>1</v>
      </c>
      <c r="AT352" s="38">
        <f t="shared" si="1235"/>
        <v>598.81215849820489</v>
      </c>
      <c r="AU352" s="4">
        <f t="shared" si="1236"/>
        <v>0.37</v>
      </c>
      <c r="AV352" s="4" t="e">
        <f>AU352*D352*#REF!/(D352*G352/2.75/F352^0.5)</f>
        <v>#REF!</v>
      </c>
      <c r="AW352" s="4" t="e">
        <f t="shared" si="1431"/>
        <v>#REF!</v>
      </c>
      <c r="AY352" s="4">
        <f t="shared" si="1237"/>
        <v>1.3875</v>
      </c>
      <c r="AZ352" s="4" t="e">
        <f>(3*#REF!+30)*AY352*F352^0.5</f>
        <v>#REF!</v>
      </c>
      <c r="BB352" s="4">
        <f t="shared" si="1238"/>
        <v>574.33408995494005</v>
      </c>
      <c r="BC352" s="4">
        <f t="shared" si="1464"/>
        <v>0</v>
      </c>
      <c r="BD352" s="4">
        <f t="shared" si="1432"/>
        <v>0</v>
      </c>
      <c r="BL352" s="4">
        <f t="shared" si="1239"/>
        <v>64.77</v>
      </c>
      <c r="BP352" s="9"/>
      <c r="BR352" s="9"/>
      <c r="BS352" s="9"/>
      <c r="BT352" s="9">
        <f t="shared" si="1240"/>
        <v>64.77</v>
      </c>
      <c r="BU352" s="9">
        <f t="shared" si="1241"/>
        <v>104.14</v>
      </c>
      <c r="BV352" s="9">
        <f t="shared" si="1242"/>
        <v>1.7147730195910189</v>
      </c>
      <c r="BW352" s="40">
        <f t="shared" si="1343"/>
        <v>0</v>
      </c>
      <c r="BX352" s="9">
        <f t="shared" si="1243"/>
        <v>0</v>
      </c>
      <c r="BY352" s="9">
        <f t="shared" si="1433"/>
        <v>0</v>
      </c>
      <c r="BZ352" s="9">
        <f t="shared" si="1244"/>
        <v>0.99524931562137331</v>
      </c>
      <c r="CA352" s="9">
        <f t="shared" si="1245"/>
        <v>0.68048275862068963</v>
      </c>
      <c r="CB352" s="9">
        <f t="shared" si="1246"/>
        <v>1.6124799265763963</v>
      </c>
      <c r="CC352" s="9">
        <f t="shared" si="1247"/>
        <v>2.7650370727253115</v>
      </c>
      <c r="CD352" s="40">
        <v>1</v>
      </c>
      <c r="CE352" s="9" t="e">
        <f>4*CC352*#REF!+60*CC352</f>
        <v>#REF!</v>
      </c>
      <c r="CG352" s="4" t="e">
        <f t="shared" si="1434"/>
        <v>#REF!</v>
      </c>
      <c r="CH352" s="4" t="e">
        <f t="shared" si="1435"/>
        <v>#REF!</v>
      </c>
      <c r="CI352" s="4" t="e">
        <f t="shared" si="1436"/>
        <v>#REF!</v>
      </c>
      <c r="CJ352" s="4" t="e">
        <f t="shared" si="1437"/>
        <v>#REF!</v>
      </c>
      <c r="CK352" s="4">
        <f t="shared" si="1438"/>
        <v>0.89753775945612424</v>
      </c>
      <c r="CL352" s="4">
        <f t="shared" si="1439"/>
        <v>0.94115541649385537</v>
      </c>
      <c r="CM352" s="4">
        <f t="shared" si="1310"/>
        <v>1.0960517053259571</v>
      </c>
      <c r="CN352" s="4">
        <f t="shared" si="1344"/>
        <v>0</v>
      </c>
      <c r="CO352" s="4" t="e">
        <f t="shared" si="1533"/>
        <v>#REF!</v>
      </c>
      <c r="CP352" s="4" t="e">
        <f t="shared" si="1534"/>
        <v>#REF!</v>
      </c>
      <c r="CQ352" s="4" t="e">
        <f t="shared" si="1535"/>
        <v>#REF!</v>
      </c>
      <c r="CR352" s="4">
        <f t="shared" si="1536"/>
        <v>1.0960517053259571</v>
      </c>
      <c r="CS352" s="4">
        <f t="shared" si="1537"/>
        <v>0.89753775945612424</v>
      </c>
      <c r="CT352" s="4">
        <f t="shared" si="1538"/>
        <v>0.94115541649385537</v>
      </c>
      <c r="DC352" s="4" t="e">
        <f>#REF!</f>
        <v>#REF!</v>
      </c>
      <c r="DF352" s="4">
        <f t="shared" si="1248"/>
        <v>1.7931022683563105E-5</v>
      </c>
      <c r="DG352" s="4">
        <f t="shared" si="1446"/>
        <v>8.6459157905566411</v>
      </c>
      <c r="DH352" s="4">
        <f t="shared" si="1249"/>
        <v>0.35110128616235364</v>
      </c>
      <c r="DI352" s="4">
        <f t="shared" si="1447"/>
        <v>5.6883193387798539</v>
      </c>
      <c r="DJ352" s="4">
        <f t="shared" si="1448"/>
        <v>7.3187071889491833</v>
      </c>
      <c r="DK352" s="4">
        <f t="shared" si="1250"/>
        <v>8.2141899726092866</v>
      </c>
      <c r="DL352" s="38">
        <f t="shared" si="1251"/>
        <v>571.67895486289558</v>
      </c>
      <c r="DM352" s="4" t="e">
        <f t="shared" si="1449"/>
        <v>#REF!</v>
      </c>
      <c r="DN352" s="4">
        <f t="shared" si="1252"/>
        <v>2.3452078799117149</v>
      </c>
      <c r="DO352" s="4">
        <f t="shared" si="1309"/>
        <v>315.44054474190187</v>
      </c>
      <c r="DS352" s="4">
        <f t="shared" si="1253"/>
        <v>0.85</v>
      </c>
      <c r="DT352" s="4">
        <f t="shared" si="1254"/>
        <v>0.84499999999999997</v>
      </c>
      <c r="DU352" s="4">
        <f t="shared" si="1255"/>
        <v>1</v>
      </c>
      <c r="DV352" s="4">
        <f t="shared" si="1450"/>
        <v>0.84499999999999997</v>
      </c>
      <c r="DX352" s="4">
        <f t="shared" si="1256"/>
        <v>545.18460955934165</v>
      </c>
      <c r="DY352" s="25">
        <f t="shared" si="1502"/>
        <v>311.74488321431227</v>
      </c>
      <c r="EA352" s="4">
        <f t="shared" si="1503"/>
        <v>0.71824999999999994</v>
      </c>
      <c r="EB352" s="4">
        <f t="shared" si="1257"/>
        <v>8.6459157905566411</v>
      </c>
      <c r="EE352" s="4">
        <f t="shared" si="1258"/>
        <v>59.568280149757555</v>
      </c>
      <c r="EF352" s="4">
        <f t="shared" si="1451"/>
        <v>2.3452078799117149</v>
      </c>
      <c r="EG352" s="4">
        <f t="shared" si="1259"/>
        <v>0.13060053161250176</v>
      </c>
      <c r="EJ352" s="4">
        <f t="shared" si="1452"/>
        <v>0.13060053161250176</v>
      </c>
      <c r="EK352" s="4">
        <f t="shared" si="1260"/>
        <v>0.35051536355213303</v>
      </c>
      <c r="EL352" s="4">
        <f t="shared" si="1453"/>
        <v>5.6845203381643117</v>
      </c>
      <c r="EM352" s="4">
        <f t="shared" si="1454"/>
        <v>7.3172346462199735</v>
      </c>
      <c r="EN352" s="4" t="e">
        <f t="shared" si="1455"/>
        <v>#REF!</v>
      </c>
      <c r="EO352" s="4" t="e">
        <f t="shared" si="1456"/>
        <v>#REF!</v>
      </c>
      <c r="EP352" s="4" t="e">
        <f t="shared" si="1261"/>
        <v>#REF!</v>
      </c>
      <c r="EQ352" s="4" t="e">
        <f t="shared" si="1457"/>
        <v>#REF!</v>
      </c>
      <c r="ER352" s="4" t="e">
        <f t="shared" si="1262"/>
        <v>#REF!</v>
      </c>
      <c r="EU352" s="4">
        <f t="shared" si="1539"/>
        <v>133.35</v>
      </c>
      <c r="FA352" s="23" t="e">
        <f t="shared" si="1383"/>
        <v>#REF!</v>
      </c>
      <c r="FB352" s="23" t="e">
        <f t="shared" si="1384"/>
        <v>#REF!</v>
      </c>
      <c r="FC352" s="23">
        <f t="shared" si="1317"/>
        <v>1.2</v>
      </c>
      <c r="FD352" s="23" t="e">
        <f t="shared" si="1385"/>
        <v>#REF!</v>
      </c>
      <c r="FE352" s="23">
        <f t="shared" si="1386"/>
        <v>1</v>
      </c>
      <c r="FF352" s="23">
        <f t="shared" si="1387"/>
        <v>1</v>
      </c>
      <c r="FG352" s="23">
        <f t="shared" si="1266"/>
        <v>0</v>
      </c>
      <c r="FH352" s="23"/>
      <c r="FR352" s="4">
        <f t="shared" si="1485"/>
        <v>1</v>
      </c>
      <c r="FS352" s="4">
        <f t="shared" si="1486"/>
        <v>0.5</v>
      </c>
      <c r="FT352" s="4">
        <f t="shared" si="1487"/>
        <v>0</v>
      </c>
      <c r="FU352" s="4">
        <f t="shared" si="1488"/>
        <v>468.13799548194601</v>
      </c>
    </row>
    <row r="353" spans="2:177" ht="12" customHeight="1" x14ac:dyDescent="0.3">
      <c r="B353" s="24"/>
      <c r="C353" s="48" t="s">
        <v>494</v>
      </c>
      <c r="D353" s="38">
        <f t="shared" si="1540"/>
        <v>799.31034482758628</v>
      </c>
      <c r="E353" s="38">
        <f>9.25*25.4</f>
        <v>234.95</v>
      </c>
      <c r="F353" s="38">
        <f>6710/145</f>
        <v>46.275862068965516</v>
      </c>
      <c r="G353" s="38">
        <f t="shared" si="1341"/>
        <v>25.4</v>
      </c>
      <c r="H353" s="38">
        <f>13.1*25.4</f>
        <v>332.73999999999995</v>
      </c>
      <c r="I353" s="38">
        <f>2.55*25.4</f>
        <v>64.77</v>
      </c>
      <c r="J353" s="39">
        <f>3.2*25.4</f>
        <v>81.28</v>
      </c>
      <c r="K353" s="7">
        <f t="shared" si="1339"/>
        <v>152.39999999999995</v>
      </c>
      <c r="L353" s="38">
        <v>2</v>
      </c>
      <c r="M353" s="4">
        <f t="shared" si="1357"/>
        <v>260.34999999999997</v>
      </c>
      <c r="N353" s="7">
        <f t="shared" si="1224"/>
        <v>3.05</v>
      </c>
      <c r="O353" s="7">
        <f t="shared" si="1225"/>
        <v>3.05</v>
      </c>
      <c r="P353" s="38">
        <v>4.5</v>
      </c>
      <c r="Q353" s="4">
        <f t="shared" si="1342"/>
        <v>4.5</v>
      </c>
      <c r="R353" s="4">
        <f t="shared" si="1226"/>
        <v>5.5</v>
      </c>
      <c r="S353" s="7">
        <f t="shared" si="1227"/>
        <v>59.568280149757555</v>
      </c>
      <c r="V353" s="38">
        <f t="shared" si="1395"/>
        <v>475.86206896551727</v>
      </c>
      <c r="W353" s="4">
        <v>69</v>
      </c>
      <c r="X353" s="4">
        <f t="shared" si="1228"/>
        <v>0.89515643202731698</v>
      </c>
      <c r="Y353" s="38"/>
      <c r="Z353" s="38"/>
      <c r="AA353" s="39">
        <v>1</v>
      </c>
      <c r="AB353" s="39"/>
      <c r="AC353" s="39"/>
      <c r="AD353" s="7"/>
      <c r="AE353" s="4">
        <f t="shared" si="1229"/>
        <v>234.95</v>
      </c>
      <c r="AF353" s="4">
        <f t="shared" si="1230"/>
        <v>0.47207207207207197</v>
      </c>
      <c r="AG353" s="4">
        <f t="shared" si="1231"/>
        <v>241.74256326019332</v>
      </c>
      <c r="AH353" s="4">
        <f t="shared" si="1232"/>
        <v>0.76594594594594589</v>
      </c>
      <c r="AI353" s="4">
        <v>1.25</v>
      </c>
      <c r="AJ353" s="4">
        <f t="shared" si="1513"/>
        <v>2.5</v>
      </c>
      <c r="AK353" s="38">
        <f t="shared" si="1340"/>
        <v>273.1552641240558</v>
      </c>
      <c r="AL353" s="38">
        <f t="shared" si="1264"/>
        <v>273.1552641240558</v>
      </c>
      <c r="AM353" s="38">
        <f t="shared" si="1233"/>
        <v>3.8668524435568052</v>
      </c>
      <c r="AN353" s="38">
        <f t="shared" si="1521"/>
        <v>273.15526412405586</v>
      </c>
      <c r="AO353" s="38">
        <f t="shared" si="1484"/>
        <v>0.99999999999999978</v>
      </c>
      <c r="AP353" s="38">
        <f t="shared" si="1522"/>
        <v>2.192204350952025</v>
      </c>
      <c r="AQ353" s="4">
        <f t="shared" si="1523"/>
        <v>0</v>
      </c>
      <c r="AR353" s="4" t="e">
        <f>#REF!/G353*F353^0.5/0.19</f>
        <v>#REF!</v>
      </c>
      <c r="AS353" s="4">
        <f t="shared" si="1234"/>
        <v>1</v>
      </c>
      <c r="AT353" s="38">
        <f t="shared" si="1235"/>
        <v>598.81215849820489</v>
      </c>
      <c r="AU353" s="4">
        <f t="shared" si="1236"/>
        <v>0.37</v>
      </c>
      <c r="AV353" s="4" t="e">
        <f>AU353*D353*#REF!/(D353*G353/2.75/F353^0.5)</f>
        <v>#REF!</v>
      </c>
      <c r="AW353" s="4" t="e">
        <f t="shared" si="1431"/>
        <v>#REF!</v>
      </c>
      <c r="AY353" s="4">
        <f t="shared" si="1237"/>
        <v>1.3875</v>
      </c>
      <c r="AZ353" s="4" t="e">
        <f>(3*#REF!+30)*AY353*F353^0.5</f>
        <v>#REF!</v>
      </c>
      <c r="BB353" s="4">
        <f t="shared" si="1238"/>
        <v>574.33408995494005</v>
      </c>
      <c r="BC353" s="4">
        <f t="shared" si="1464"/>
        <v>0</v>
      </c>
      <c r="BD353" s="4">
        <f t="shared" si="1432"/>
        <v>0</v>
      </c>
      <c r="BL353" s="4">
        <f t="shared" si="1239"/>
        <v>64.77</v>
      </c>
      <c r="BP353" s="9"/>
      <c r="BR353" s="9"/>
      <c r="BS353" s="9"/>
      <c r="BT353" s="9">
        <f t="shared" si="1240"/>
        <v>64.77</v>
      </c>
      <c r="BU353" s="9">
        <f t="shared" si="1241"/>
        <v>76.199999999999974</v>
      </c>
      <c r="BV353" s="9">
        <f t="shared" si="1242"/>
        <v>1.636278603156414</v>
      </c>
      <c r="BW353" s="40">
        <f t="shared" si="1343"/>
        <v>0</v>
      </c>
      <c r="BX353" s="9">
        <f t="shared" si="1243"/>
        <v>0</v>
      </c>
      <c r="BY353" s="9">
        <f t="shared" si="1433"/>
        <v>0</v>
      </c>
      <c r="BZ353" s="9">
        <f t="shared" si="1244"/>
        <v>0.99524931562137331</v>
      </c>
      <c r="CA353" s="9">
        <f t="shared" si="1245"/>
        <v>0.68048275862068963</v>
      </c>
      <c r="CB353" s="9">
        <f t="shared" si="1246"/>
        <v>1.6124799265763963</v>
      </c>
      <c r="CC353" s="9">
        <f t="shared" si="1247"/>
        <v>2.6384664018761828</v>
      </c>
      <c r="CD353" s="40">
        <v>1</v>
      </c>
      <c r="CE353" s="9" t="e">
        <f>4*CC353*#REF!+60*CC353</f>
        <v>#REF!</v>
      </c>
      <c r="CG353" s="4" t="e">
        <f t="shared" si="1434"/>
        <v>#REF!</v>
      </c>
      <c r="CH353" s="4" t="e">
        <f t="shared" si="1435"/>
        <v>#REF!</v>
      </c>
      <c r="CI353" s="4" t="e">
        <f t="shared" si="1436"/>
        <v>#REF!</v>
      </c>
      <c r="CJ353" s="4" t="e">
        <f t="shared" si="1437"/>
        <v>#REF!</v>
      </c>
      <c r="CK353" s="4">
        <f t="shared" si="1438"/>
        <v>0.89515643202731698</v>
      </c>
      <c r="CL353" s="4">
        <f t="shared" si="1439"/>
        <v>0.93310480003574625</v>
      </c>
      <c r="CM353" s="4">
        <f t="shared" si="1310"/>
        <v>1.1538643715615464</v>
      </c>
      <c r="CN353" s="4">
        <f t="shared" si="1344"/>
        <v>0</v>
      </c>
      <c r="CO353" s="4" t="e">
        <f t="shared" si="1533"/>
        <v>#REF!</v>
      </c>
      <c r="CP353" s="4" t="e">
        <f t="shared" si="1534"/>
        <v>#REF!</v>
      </c>
      <c r="CQ353" s="4" t="e">
        <f t="shared" si="1535"/>
        <v>#REF!</v>
      </c>
      <c r="CR353" s="4">
        <f t="shared" si="1536"/>
        <v>1.1538643715615464</v>
      </c>
      <c r="CS353" s="4">
        <f t="shared" si="1537"/>
        <v>0.89515643202731698</v>
      </c>
      <c r="CT353" s="4">
        <f t="shared" si="1538"/>
        <v>0.93310480003574625</v>
      </c>
      <c r="DC353" s="4" t="e">
        <f>#REF!</f>
        <v>#REF!</v>
      </c>
      <c r="DF353" s="4">
        <f t="shared" si="1248"/>
        <v>1.8429106646995416E-5</v>
      </c>
      <c r="DG353" s="4">
        <f t="shared" si="1446"/>
        <v>8.6459157905566411</v>
      </c>
      <c r="DH353" s="4">
        <f t="shared" si="1249"/>
        <v>0.30403562939077616</v>
      </c>
      <c r="DI353" s="4">
        <f t="shared" si="1447"/>
        <v>5.3700804699320424</v>
      </c>
      <c r="DJ353" s="4">
        <f t="shared" si="1448"/>
        <v>7.1978438338554191</v>
      </c>
      <c r="DK353" s="4">
        <f t="shared" si="1250"/>
        <v>8.1996818827256952</v>
      </c>
      <c r="DL353" s="38">
        <f t="shared" si="1251"/>
        <v>531.59654775400827</v>
      </c>
      <c r="DM353" s="4" t="e">
        <f t="shared" si="1449"/>
        <v>#REF!</v>
      </c>
      <c r="DN353" s="4">
        <f t="shared" si="1252"/>
        <v>2.3452078799117149</v>
      </c>
      <c r="DO353" s="4">
        <f t="shared" si="1309"/>
        <v>273.15526412405586</v>
      </c>
      <c r="DS353" s="4">
        <f t="shared" si="1253"/>
        <v>0.85</v>
      </c>
      <c r="DT353" s="4">
        <f t="shared" si="1254"/>
        <v>0.84499999999999997</v>
      </c>
      <c r="DU353" s="4">
        <f t="shared" si="1255"/>
        <v>1</v>
      </c>
      <c r="DV353" s="4">
        <f t="shared" si="1450"/>
        <v>0.84499999999999997</v>
      </c>
      <c r="DX353" s="4">
        <f t="shared" si="1256"/>
        <v>509.97708826199107</v>
      </c>
      <c r="DY353" s="25">
        <f t="shared" si="1502"/>
        <v>270.05292507404425</v>
      </c>
      <c r="EA353" s="4">
        <f t="shared" si="1503"/>
        <v>0.71824999999999994</v>
      </c>
      <c r="EB353" s="4">
        <f t="shared" si="1257"/>
        <v>8.6459157905566411</v>
      </c>
      <c r="EE353" s="4">
        <f t="shared" si="1258"/>
        <v>59.568280149757555</v>
      </c>
      <c r="EF353" s="4">
        <f t="shared" si="1451"/>
        <v>2.3452078799117149</v>
      </c>
      <c r="EG353" s="4">
        <f t="shared" si="1259"/>
        <v>0.11309333344115358</v>
      </c>
      <c r="EJ353" s="4">
        <f t="shared" si="1452"/>
        <v>0.11309333344115358</v>
      </c>
      <c r="EK353" s="4">
        <f t="shared" si="1260"/>
        <v>0.30352825058986138</v>
      </c>
      <c r="EL353" s="4">
        <f t="shared" si="1453"/>
        <v>5.3664940083085373</v>
      </c>
      <c r="EM353" s="4">
        <f t="shared" si="1454"/>
        <v>7.1965110043758811</v>
      </c>
      <c r="EN353" s="4" t="e">
        <f t="shared" si="1455"/>
        <v>#REF!</v>
      </c>
      <c r="EO353" s="4" t="e">
        <f t="shared" si="1456"/>
        <v>#REF!</v>
      </c>
      <c r="EP353" s="4" t="e">
        <f t="shared" si="1261"/>
        <v>#REF!</v>
      </c>
      <c r="EQ353" s="4" t="e">
        <f t="shared" si="1457"/>
        <v>#REF!</v>
      </c>
      <c r="ER353" s="4" t="e">
        <f t="shared" si="1262"/>
        <v>#REF!</v>
      </c>
      <c r="EU353" s="4">
        <f t="shared" si="1539"/>
        <v>133.35</v>
      </c>
      <c r="FA353" s="23" t="e">
        <f t="shared" si="1383"/>
        <v>#REF!</v>
      </c>
      <c r="FB353" s="23" t="e">
        <f t="shared" si="1384"/>
        <v>#REF!</v>
      </c>
      <c r="FC353" s="23">
        <f t="shared" si="1317"/>
        <v>1.2</v>
      </c>
      <c r="FD353" s="23" t="e">
        <f t="shared" si="1385"/>
        <v>#REF!</v>
      </c>
      <c r="FE353" s="23">
        <f t="shared" si="1386"/>
        <v>1</v>
      </c>
      <c r="FF353" s="23">
        <f t="shared" si="1387"/>
        <v>1</v>
      </c>
      <c r="FG353" s="23">
        <f t="shared" si="1266"/>
        <v>0</v>
      </c>
      <c r="FH353" s="23"/>
      <c r="FR353" s="4">
        <f t="shared" si="1485"/>
        <v>1</v>
      </c>
      <c r="FS353" s="4">
        <f t="shared" si="1486"/>
        <v>0.58333333333333348</v>
      </c>
      <c r="FT353" s="4">
        <f t="shared" si="1487"/>
        <v>0</v>
      </c>
      <c r="FU353" s="4">
        <f t="shared" si="1488"/>
        <v>412.40728173409514</v>
      </c>
    </row>
    <row r="354" spans="2:177" ht="12" customHeight="1" x14ac:dyDescent="0.3">
      <c r="B354" s="24"/>
      <c r="C354" s="48" t="s">
        <v>495</v>
      </c>
      <c r="D354" s="38">
        <f t="shared" si="1540"/>
        <v>799.31034482758628</v>
      </c>
      <c r="E354" s="38">
        <f>9*25.4</f>
        <v>228.6</v>
      </c>
      <c r="F354" s="38">
        <f>6710/145</f>
        <v>46.275862068965516</v>
      </c>
      <c r="G354" s="38">
        <f t="shared" si="1341"/>
        <v>25.4</v>
      </c>
      <c r="H354" s="38">
        <f>11.3*25.4</f>
        <v>287.02</v>
      </c>
      <c r="I354" s="38">
        <f t="shared" si="1345"/>
        <v>63.5</v>
      </c>
      <c r="J354" s="39">
        <f>3.55*25.4</f>
        <v>90.169999999999987</v>
      </c>
      <c r="K354" s="7">
        <f t="shared" si="1339"/>
        <v>109.21999999999997</v>
      </c>
      <c r="L354" s="38">
        <v>2</v>
      </c>
      <c r="M354" s="4">
        <f t="shared" si="1357"/>
        <v>260.34999999999997</v>
      </c>
      <c r="N354" s="7">
        <f t="shared" si="1224"/>
        <v>2.6499999999999995</v>
      </c>
      <c r="O354" s="7">
        <f t="shared" si="1225"/>
        <v>3</v>
      </c>
      <c r="P354" s="38">
        <v>4.5</v>
      </c>
      <c r="Q354" s="4">
        <f t="shared" si="1342"/>
        <v>4.5</v>
      </c>
      <c r="R354" s="4">
        <f t="shared" si="1226"/>
        <v>5.5</v>
      </c>
      <c r="S354" s="7">
        <f t="shared" si="1227"/>
        <v>59.568280149757555</v>
      </c>
      <c r="V354" s="38">
        <f t="shared" si="1395"/>
        <v>446.89655172413796</v>
      </c>
      <c r="W354" s="4">
        <v>64.8</v>
      </c>
      <c r="X354" s="4">
        <f t="shared" si="1228"/>
        <v>0.95550025830198404</v>
      </c>
      <c r="Y354" s="38"/>
      <c r="Z354" s="38"/>
      <c r="AA354" s="39">
        <v>1</v>
      </c>
      <c r="AB354" s="39"/>
      <c r="AC354" s="39"/>
      <c r="AD354" s="7"/>
      <c r="AE354" s="4">
        <f t="shared" si="1229"/>
        <v>228.6</v>
      </c>
      <c r="AF354" s="4">
        <f t="shared" si="1230"/>
        <v>0.4185185185185184</v>
      </c>
      <c r="AG354" s="4">
        <f t="shared" si="1231"/>
        <v>232.00870916574723</v>
      </c>
      <c r="AH354" s="4">
        <f t="shared" si="1232"/>
        <v>0.76666666666666661</v>
      </c>
      <c r="AI354" s="4">
        <v>1.25</v>
      </c>
      <c r="AJ354" s="4">
        <f t="shared" si="1513"/>
        <v>2.5</v>
      </c>
      <c r="AK354" s="38">
        <f t="shared" si="1340"/>
        <v>232.63527589574724</v>
      </c>
      <c r="AL354" s="38">
        <f t="shared" si="1264"/>
        <v>232.63527589574724</v>
      </c>
      <c r="AM354" s="38">
        <f t="shared" si="1233"/>
        <v>3.8668524435568052</v>
      </c>
      <c r="AN354" s="38">
        <f t="shared" si="1521"/>
        <v>232.63527589574718</v>
      </c>
      <c r="AO354" s="38">
        <f t="shared" si="1484"/>
        <v>1.0000000000000002</v>
      </c>
      <c r="AP354" s="38">
        <f t="shared" si="1522"/>
        <v>2.3546122746229528</v>
      </c>
      <c r="AQ354" s="4">
        <f t="shared" si="1523"/>
        <v>0</v>
      </c>
      <c r="AR354" s="4" t="e">
        <f>#REF!/G354*F354^0.5/0.19</f>
        <v>#REF!</v>
      </c>
      <c r="AS354" s="4">
        <f t="shared" si="1234"/>
        <v>1.0528301886792453</v>
      </c>
      <c r="AT354" s="38">
        <f t="shared" si="1235"/>
        <v>547.76587613442348</v>
      </c>
      <c r="AU354" s="4">
        <f t="shared" si="1236"/>
        <v>0.37</v>
      </c>
      <c r="AV354" s="4" t="e">
        <f>AU354*D354*#REF!/(D354*G354/2.75/F354^0.5)</f>
        <v>#REF!</v>
      </c>
      <c r="AW354" s="4" t="e">
        <f t="shared" si="1431"/>
        <v>#REF!</v>
      </c>
      <c r="AY354" s="4">
        <f t="shared" si="1237"/>
        <v>1.375</v>
      </c>
      <c r="AZ354" s="4" t="e">
        <f>(3*#REF!+30)*AY354*F354^0.5</f>
        <v>#REF!</v>
      </c>
      <c r="BB354" s="4">
        <f t="shared" si="1238"/>
        <v>525.37446261451885</v>
      </c>
      <c r="BC354" s="4">
        <f t="shared" si="1464"/>
        <v>0</v>
      </c>
      <c r="BD354" s="4">
        <f t="shared" si="1432"/>
        <v>0</v>
      </c>
      <c r="BL354" s="4">
        <f t="shared" si="1239"/>
        <v>54.609999999999985</v>
      </c>
      <c r="BP354" s="9"/>
      <c r="BR354" s="9"/>
      <c r="BS354" s="9"/>
      <c r="BT354" s="9">
        <f t="shared" si="1240"/>
        <v>54.609999999999985</v>
      </c>
      <c r="BU354" s="9">
        <f t="shared" si="1241"/>
        <v>63.5</v>
      </c>
      <c r="BV354" s="9">
        <f t="shared" si="1242"/>
        <v>1.4998383783405258</v>
      </c>
      <c r="BW354" s="40">
        <f t="shared" si="1343"/>
        <v>0</v>
      </c>
      <c r="BX354" s="9">
        <f t="shared" si="1243"/>
        <v>0</v>
      </c>
      <c r="BY354" s="9">
        <f t="shared" si="1433"/>
        <v>0</v>
      </c>
      <c r="BZ354" s="9">
        <f t="shared" si="1244"/>
        <v>0.99524931562137331</v>
      </c>
      <c r="CA354" s="9">
        <f t="shared" si="1245"/>
        <v>0.68048275862068963</v>
      </c>
      <c r="CB354" s="9">
        <f t="shared" si="1246"/>
        <v>1.6124799265763963</v>
      </c>
      <c r="CC354" s="9">
        <f t="shared" si="1247"/>
        <v>2.4184592781829921</v>
      </c>
      <c r="CD354" s="40">
        <v>1</v>
      </c>
      <c r="CE354" s="9" t="e">
        <f>4*CC354*#REF!+60*CC354</f>
        <v>#REF!</v>
      </c>
      <c r="CG354" s="4" t="e">
        <f t="shared" si="1434"/>
        <v>#REF!</v>
      </c>
      <c r="CH354" s="4" t="e">
        <f t="shared" si="1435"/>
        <v>#REF!</v>
      </c>
      <c r="CI354" s="4" t="e">
        <f t="shared" si="1436"/>
        <v>#REF!</v>
      </c>
      <c r="CJ354" s="4" t="e">
        <f t="shared" si="1437"/>
        <v>#REF!</v>
      </c>
      <c r="CK354" s="4">
        <f t="shared" si="1438"/>
        <v>0.95550025830198404</v>
      </c>
      <c r="CL354" s="4">
        <f t="shared" si="1439"/>
        <v>0.98697622127594653</v>
      </c>
      <c r="CM354" s="4">
        <f t="shared" si="1310"/>
        <v>1.3842072343068135</v>
      </c>
      <c r="CN354" s="4">
        <f t="shared" si="1344"/>
        <v>0</v>
      </c>
      <c r="CO354" s="4" t="e">
        <f t="shared" si="1533"/>
        <v>#REF!</v>
      </c>
      <c r="CP354" s="4" t="e">
        <f t="shared" si="1534"/>
        <v>#REF!</v>
      </c>
      <c r="CQ354" s="4" t="e">
        <f t="shared" si="1535"/>
        <v>#REF!</v>
      </c>
      <c r="CR354" s="4">
        <f t="shared" si="1536"/>
        <v>1.3842072343068135</v>
      </c>
      <c r="CS354" s="4">
        <f t="shared" si="1537"/>
        <v>0.95550025830198404</v>
      </c>
      <c r="CT354" s="4">
        <f t="shared" si="1538"/>
        <v>0.98697622127594653</v>
      </c>
      <c r="DC354" s="4" t="e">
        <f>#REF!</f>
        <v>#REF!</v>
      </c>
      <c r="DF354" s="4">
        <f t="shared" si="1248"/>
        <v>1.7931022683563105E-5</v>
      </c>
      <c r="DG354" s="4">
        <f t="shared" si="1446"/>
        <v>8.2551399356162278</v>
      </c>
      <c r="DH354" s="4">
        <f t="shared" si="1249"/>
        <v>0.25893483236456305</v>
      </c>
      <c r="DI354" s="4">
        <f t="shared" si="1447"/>
        <v>4.808400460769148</v>
      </c>
      <c r="DJ354" s="4">
        <f t="shared" si="1448"/>
        <v>6.7567583551320318</v>
      </c>
      <c r="DK354" s="4">
        <f t="shared" si="1250"/>
        <v>7.8798854996843941</v>
      </c>
      <c r="DL354" s="38">
        <f t="shared" si="1251"/>
        <v>467.70950383447951</v>
      </c>
      <c r="DM354" s="4" t="e">
        <f t="shared" si="1449"/>
        <v>#REF!</v>
      </c>
      <c r="DN354" s="4">
        <f t="shared" si="1252"/>
        <v>2.3452078799117149</v>
      </c>
      <c r="DO354" s="4">
        <f t="shared" si="1309"/>
        <v>232.63527589574718</v>
      </c>
      <c r="DS354" s="4">
        <f t="shared" si="1253"/>
        <v>0.85</v>
      </c>
      <c r="DT354" s="4">
        <f t="shared" si="1254"/>
        <v>0.88500000000000001</v>
      </c>
      <c r="DU354" s="4">
        <f t="shared" si="1255"/>
        <v>1</v>
      </c>
      <c r="DV354" s="4">
        <f t="shared" si="1450"/>
        <v>0.88500000000000001</v>
      </c>
      <c r="DX354" s="4">
        <f t="shared" si="1256"/>
        <v>452.79363584504347</v>
      </c>
      <c r="DY354" s="25">
        <f t="shared" si="1502"/>
        <v>229.90485758340532</v>
      </c>
      <c r="EA354" s="4">
        <f t="shared" si="1503"/>
        <v>0.75224999999999997</v>
      </c>
      <c r="EB354" s="4">
        <f t="shared" si="1257"/>
        <v>8.2551399356162278</v>
      </c>
      <c r="EE354" s="4">
        <f t="shared" si="1258"/>
        <v>59.568280149757555</v>
      </c>
      <c r="EF354" s="4">
        <f t="shared" si="1451"/>
        <v>2.3452078799117149</v>
      </c>
      <c r="EG354" s="4">
        <f t="shared" si="1259"/>
        <v>9.6317011906839181E-2</v>
      </c>
      <c r="EJ354" s="4">
        <f t="shared" si="1452"/>
        <v>9.6317011906839181E-2</v>
      </c>
      <c r="EK354" s="4">
        <f t="shared" si="1260"/>
        <v>0.25850271838823907</v>
      </c>
      <c r="EL354" s="4">
        <f t="shared" si="1453"/>
        <v>4.8051891227231813</v>
      </c>
      <c r="EM354" s="4">
        <f t="shared" si="1454"/>
        <v>6.755621997097994</v>
      </c>
      <c r="EN354" s="4" t="e">
        <f t="shared" si="1455"/>
        <v>#REF!</v>
      </c>
      <c r="EO354" s="4" t="e">
        <f t="shared" si="1456"/>
        <v>#REF!</v>
      </c>
      <c r="EP354" s="4" t="e">
        <f t="shared" si="1261"/>
        <v>#REF!</v>
      </c>
      <c r="EQ354" s="4" t="e">
        <f t="shared" si="1457"/>
        <v>#REF!</v>
      </c>
      <c r="ER354" s="4" t="e">
        <f t="shared" si="1262"/>
        <v>#REF!</v>
      </c>
      <c r="EU354" s="4">
        <f t="shared" si="1539"/>
        <v>133.35</v>
      </c>
      <c r="FA354" s="23" t="e">
        <f t="shared" si="1383"/>
        <v>#REF!</v>
      </c>
      <c r="FB354" s="23" t="e">
        <f t="shared" si="1384"/>
        <v>#REF!</v>
      </c>
      <c r="FC354" s="23">
        <f t="shared" si="1317"/>
        <v>1.4</v>
      </c>
      <c r="FD354" s="23" t="e">
        <f t="shared" si="1385"/>
        <v>#REF!</v>
      </c>
      <c r="FE354" s="23">
        <f t="shared" si="1386"/>
        <v>1</v>
      </c>
      <c r="FF354" s="23">
        <f t="shared" si="1387"/>
        <v>1</v>
      </c>
      <c r="FG354" s="23">
        <f t="shared" si="1266"/>
        <v>0</v>
      </c>
      <c r="FH354" s="23"/>
      <c r="FR354" s="4">
        <f t="shared" si="1485"/>
        <v>1</v>
      </c>
      <c r="FS354" s="4">
        <f t="shared" si="1486"/>
        <v>0.72500000000000009</v>
      </c>
      <c r="FT354" s="4">
        <f t="shared" si="1487"/>
        <v>0</v>
      </c>
      <c r="FU354" s="4">
        <f t="shared" si="1488"/>
        <v>322.85378998754896</v>
      </c>
    </row>
    <row r="355" spans="2:177" ht="12" customHeight="1" x14ac:dyDescent="0.3">
      <c r="B355" s="24"/>
      <c r="C355" s="48" t="s">
        <v>496</v>
      </c>
      <c r="D355" s="38">
        <f t="shared" si="1540"/>
        <v>799.31034482758628</v>
      </c>
      <c r="E355" s="38">
        <f>9*25.4</f>
        <v>228.6</v>
      </c>
      <c r="F355" s="38">
        <f t="shared" ref="F355" si="1541">6710/145</f>
        <v>46.275862068965516</v>
      </c>
      <c r="G355" s="38">
        <f t="shared" si="1341"/>
        <v>25.4</v>
      </c>
      <c r="H355" s="38">
        <f>9.1*25.4</f>
        <v>231.14</v>
      </c>
      <c r="I355" s="38">
        <f>2.5*25.4</f>
        <v>63.5</v>
      </c>
      <c r="J355" s="39">
        <f>3.5*25.4</f>
        <v>88.899999999999991</v>
      </c>
      <c r="K355" s="7">
        <f t="shared" si="1339"/>
        <v>53.339999999999975</v>
      </c>
      <c r="L355" s="38">
        <v>2</v>
      </c>
      <c r="M355" s="4">
        <f t="shared" si="1357"/>
        <v>260.34999999999997</v>
      </c>
      <c r="N355" s="7">
        <f t="shared" si="1224"/>
        <v>1.5499999999999996</v>
      </c>
      <c r="O355" s="7">
        <f t="shared" si="1225"/>
        <v>3</v>
      </c>
      <c r="P355" s="38">
        <v>4.5</v>
      </c>
      <c r="Q355" s="4">
        <f t="shared" si="1342"/>
        <v>4.5</v>
      </c>
      <c r="R355" s="4">
        <f t="shared" si="1226"/>
        <v>5.5</v>
      </c>
      <c r="S355" s="7">
        <f t="shared" si="1227"/>
        <v>59.568280149757555</v>
      </c>
      <c r="V355" s="38">
        <f t="shared" si="1395"/>
        <v>416.55172413793105</v>
      </c>
      <c r="W355" s="4">
        <v>60.4</v>
      </c>
      <c r="X355" s="4">
        <f t="shared" si="1228"/>
        <v>1.0643352713979048</v>
      </c>
      <c r="Y355" s="38"/>
      <c r="Z355" s="38"/>
      <c r="AA355" s="39">
        <v>1</v>
      </c>
      <c r="AB355" s="39"/>
      <c r="AC355" s="39"/>
      <c r="AD355" s="7"/>
      <c r="AE355" s="4">
        <f t="shared" si="1229"/>
        <v>228.6</v>
      </c>
      <c r="AF355" s="4">
        <f t="shared" si="1230"/>
        <v>0.33703703703703697</v>
      </c>
      <c r="AG355" s="4">
        <f t="shared" si="1231"/>
        <v>232.00870916574723</v>
      </c>
      <c r="AH355" s="4">
        <f t="shared" si="1232"/>
        <v>0.76666666666666661</v>
      </c>
      <c r="AI355" s="4">
        <v>1.25</v>
      </c>
      <c r="AJ355" s="4">
        <f t="shared" si="1513"/>
        <v>2.5</v>
      </c>
      <c r="AK355" s="38">
        <f t="shared" si="1340"/>
        <v>187.34345227002655</v>
      </c>
      <c r="AL355" s="38">
        <f t="shared" si="1264"/>
        <v>187.34345227002655</v>
      </c>
      <c r="AM355" s="38">
        <f t="shared" si="1233"/>
        <v>3.8668524435568052</v>
      </c>
      <c r="AN355" s="38">
        <f t="shared" si="1521"/>
        <v>187.34345227002649</v>
      </c>
      <c r="AO355" s="38">
        <f t="shared" si="1484"/>
        <v>1.0000000000000002</v>
      </c>
      <c r="AP355" s="38">
        <f t="shared" si="1522"/>
        <v>2.232193581389573</v>
      </c>
      <c r="AQ355" s="4">
        <f t="shared" si="1523"/>
        <v>0</v>
      </c>
      <c r="AR355" s="4" t="e">
        <f>#REF!/G355*F355^0.5/0.19</f>
        <v>#REF!</v>
      </c>
      <c r="AS355" s="4">
        <f t="shared" si="1234"/>
        <v>1.3741935483870971</v>
      </c>
      <c r="AT355" s="38">
        <f t="shared" si="1235"/>
        <v>418.18685167251692</v>
      </c>
      <c r="AU355" s="4">
        <f t="shared" si="1236"/>
        <v>0.37</v>
      </c>
      <c r="AV355" s="4" t="e">
        <f>AU355*D355*#REF!/(D355*G355/2.75/F355^0.5)</f>
        <v>#REF!</v>
      </c>
      <c r="AW355" s="4" t="e">
        <f t="shared" si="1431"/>
        <v>#REF!</v>
      </c>
      <c r="AY355" s="4">
        <f t="shared" si="1237"/>
        <v>1.375</v>
      </c>
      <c r="AZ355" s="4" t="e">
        <f>(3*#REF!+30)*AY355*F355^0.5</f>
        <v>#REF!</v>
      </c>
      <c r="BB355" s="4">
        <f t="shared" si="1238"/>
        <v>401.09233167344996</v>
      </c>
      <c r="BC355" s="4">
        <f t="shared" si="1464"/>
        <v>0</v>
      </c>
      <c r="BD355" s="4">
        <f t="shared" si="1432"/>
        <v>0</v>
      </c>
      <c r="BL355" s="4">
        <f t="shared" si="1239"/>
        <v>26.669999999999987</v>
      </c>
      <c r="BP355" s="9"/>
      <c r="BR355" s="9"/>
      <c r="BS355" s="9"/>
      <c r="BT355" s="9">
        <f t="shared" si="1240"/>
        <v>26.669999999999987</v>
      </c>
      <c r="BU355" s="9">
        <f t="shared" si="1241"/>
        <v>63.5</v>
      </c>
      <c r="BV355" s="9">
        <f t="shared" si="1242"/>
        <v>1.1670978149623896</v>
      </c>
      <c r="BW355" s="40">
        <f t="shared" si="1343"/>
        <v>0</v>
      </c>
      <c r="BX355" s="9">
        <f t="shared" si="1243"/>
        <v>0</v>
      </c>
      <c r="BY355" s="9">
        <f t="shared" si="1433"/>
        <v>0</v>
      </c>
      <c r="BZ355" s="9">
        <f t="shared" si="1244"/>
        <v>0.99524931562137331</v>
      </c>
      <c r="CA355" s="9">
        <f t="shared" si="1245"/>
        <v>0.68048275862068963</v>
      </c>
      <c r="CB355" s="9">
        <f t="shared" si="1246"/>
        <v>1.6124799265763963</v>
      </c>
      <c r="CC355" s="9">
        <f t="shared" si="1247"/>
        <v>1.8819217989780266</v>
      </c>
      <c r="CD355" s="40">
        <v>1</v>
      </c>
      <c r="CE355" s="9" t="e">
        <f>4*CC355*#REF!+60*CC355</f>
        <v>#REF!</v>
      </c>
      <c r="CG355" s="4" t="e">
        <f t="shared" si="1434"/>
        <v>#REF!</v>
      </c>
      <c r="CH355" s="4" t="e">
        <f t="shared" si="1435"/>
        <v>#REF!</v>
      </c>
      <c r="CI355" s="4" t="e">
        <f t="shared" si="1436"/>
        <v>#REF!</v>
      </c>
      <c r="CJ355" s="4" t="e">
        <f t="shared" si="1437"/>
        <v>#REF!</v>
      </c>
      <c r="CK355" s="4">
        <f t="shared" si="1438"/>
        <v>1.0643352713979048</v>
      </c>
      <c r="CL355" s="4">
        <f t="shared" si="1439"/>
        <v>1.0864891795569402</v>
      </c>
      <c r="CM355" s="4">
        <f t="shared" si="1310"/>
        <v>1.6164798403189902</v>
      </c>
      <c r="CN355" s="4">
        <f t="shared" si="1344"/>
        <v>0</v>
      </c>
      <c r="CO355" s="4" t="e">
        <f t="shared" si="1533"/>
        <v>#REF!</v>
      </c>
      <c r="CP355" s="4" t="e">
        <f t="shared" si="1534"/>
        <v>#REF!</v>
      </c>
      <c r="CQ355" s="4" t="e">
        <f t="shared" si="1535"/>
        <v>#REF!</v>
      </c>
      <c r="CR355" s="4">
        <f t="shared" si="1536"/>
        <v>1.6164798403189902</v>
      </c>
      <c r="CS355" s="4">
        <f t="shared" si="1537"/>
        <v>1.0643352713979048</v>
      </c>
      <c r="CT355" s="4">
        <f t="shared" si="1538"/>
        <v>1.0864891795569402</v>
      </c>
      <c r="DC355" s="4" t="e">
        <f>#REF!</f>
        <v>#REF!</v>
      </c>
      <c r="DF355" s="4">
        <f t="shared" si="1248"/>
        <v>1.7931022683563105E-5</v>
      </c>
      <c r="DG355" s="4">
        <f t="shared" si="1446"/>
        <v>7.3425114000204648</v>
      </c>
      <c r="DH355" s="4">
        <f t="shared" si="1249"/>
        <v>0.20852274110774549</v>
      </c>
      <c r="DI355" s="4">
        <f t="shared" si="1447"/>
        <v>3.9219856434308356</v>
      </c>
      <c r="DJ355" s="4">
        <f t="shared" si="1448"/>
        <v>5.8883455225764845</v>
      </c>
      <c r="DK355" s="4">
        <f t="shared" si="1250"/>
        <v>7.0544408137106744</v>
      </c>
      <c r="DL355" s="38">
        <f t="shared" si="1251"/>
        <v>391.37265796972918</v>
      </c>
      <c r="DM355" s="4" t="e">
        <f t="shared" si="1449"/>
        <v>#REF!</v>
      </c>
      <c r="DN355" s="4">
        <f t="shared" si="1252"/>
        <v>2.3452078799117149</v>
      </c>
      <c r="DO355" s="4">
        <f t="shared" si="1309"/>
        <v>187.34345227002649</v>
      </c>
      <c r="DS355" s="4">
        <f t="shared" si="1253"/>
        <v>0.85</v>
      </c>
      <c r="DT355" s="4">
        <f t="shared" si="1254"/>
        <v>0.995</v>
      </c>
      <c r="DU355" s="4">
        <f t="shared" si="1255"/>
        <v>1</v>
      </c>
      <c r="DV355" s="4">
        <f t="shared" si="1450"/>
        <v>0.995</v>
      </c>
      <c r="DX355" s="4">
        <f t="shared" si="1256"/>
        <v>383.39242762435686</v>
      </c>
      <c r="DY355" s="25">
        <f t="shared" si="1502"/>
        <v>185.14461982380428</v>
      </c>
      <c r="EA355" s="4">
        <f t="shared" si="1503"/>
        <v>0.84575</v>
      </c>
      <c r="EB355" s="4">
        <f t="shared" si="1257"/>
        <v>7.3425114000204648</v>
      </c>
      <c r="EE355" s="4">
        <f t="shared" si="1258"/>
        <v>59.568280149757555</v>
      </c>
      <c r="EF355" s="4">
        <f t="shared" si="1451"/>
        <v>2.3452078799117149</v>
      </c>
      <c r="EG355" s="4">
        <f t="shared" si="1259"/>
        <v>7.7565027287808549E-2</v>
      </c>
      <c r="EJ355" s="4">
        <f t="shared" si="1452"/>
        <v>7.7565027287808549E-2</v>
      </c>
      <c r="EK355" s="4">
        <f t="shared" si="1260"/>
        <v>0.20817475551619255</v>
      </c>
      <c r="EL355" s="4">
        <f t="shared" si="1453"/>
        <v>3.9193663063320971</v>
      </c>
      <c r="EM355" s="4">
        <f t="shared" si="1454"/>
        <v>5.8874807855904052</v>
      </c>
      <c r="EN355" s="4" t="e">
        <f t="shared" si="1455"/>
        <v>#REF!</v>
      </c>
      <c r="EO355" s="4" t="e">
        <f t="shared" si="1456"/>
        <v>#REF!</v>
      </c>
      <c r="EP355" s="4" t="e">
        <f t="shared" si="1261"/>
        <v>#REF!</v>
      </c>
      <c r="EQ355" s="4" t="e">
        <f t="shared" si="1457"/>
        <v>#REF!</v>
      </c>
      <c r="ER355" s="4" t="e">
        <f t="shared" si="1262"/>
        <v>#REF!</v>
      </c>
      <c r="EU355" s="4">
        <f t="shared" si="1539"/>
        <v>133.35</v>
      </c>
      <c r="FA355" s="23" t="e">
        <f t="shared" si="1383"/>
        <v>#REF!</v>
      </c>
      <c r="FB355" s="23" t="e">
        <f t="shared" si="1384"/>
        <v>#REF!</v>
      </c>
      <c r="FC355" s="23">
        <f t="shared" si="1317"/>
        <v>1.8</v>
      </c>
      <c r="FD355" s="23" t="e">
        <f t="shared" si="1385"/>
        <v>#REF!</v>
      </c>
      <c r="FE355" s="23">
        <f t="shared" si="1386"/>
        <v>1.2</v>
      </c>
      <c r="FF355" s="23">
        <f t="shared" si="1387"/>
        <v>1.2</v>
      </c>
      <c r="FG355" s="23">
        <f t="shared" si="1266"/>
        <v>0</v>
      </c>
      <c r="FH355" s="23"/>
      <c r="FR355" s="4">
        <f t="shared" si="1485"/>
        <v>1</v>
      </c>
      <c r="FS355" s="4">
        <f t="shared" si="1486"/>
        <v>0.90833333333333333</v>
      </c>
      <c r="FT355" s="4">
        <f t="shared" si="1487"/>
        <v>0</v>
      </c>
      <c r="FU355" s="4">
        <f t="shared" si="1488"/>
        <v>257.69063971483263</v>
      </c>
    </row>
    <row r="356" spans="2:177" ht="12" customHeight="1" x14ac:dyDescent="0.3">
      <c r="B356" s="24"/>
      <c r="C356" s="7" t="s">
        <v>497</v>
      </c>
      <c r="D356" s="38">
        <f>120/0.145</f>
        <v>827.58620689655174</v>
      </c>
      <c r="E356" s="38">
        <f>9.38*25.4</f>
        <v>238.25200000000001</v>
      </c>
      <c r="F356" s="38">
        <f>6790/145</f>
        <v>46.827586206896555</v>
      </c>
      <c r="G356" s="38">
        <f t="shared" si="1341"/>
        <v>25.4</v>
      </c>
      <c r="H356" s="38">
        <f>15.1*25.4</f>
        <v>383.53999999999996</v>
      </c>
      <c r="I356" s="38">
        <f>2.5*25.4</f>
        <v>63.5</v>
      </c>
      <c r="J356" s="39">
        <f>3.25*25.4</f>
        <v>82.55</v>
      </c>
      <c r="K356" s="7">
        <f t="shared" si="1339"/>
        <v>205.73999999999995</v>
      </c>
      <c r="L356" s="38">
        <v>2</v>
      </c>
      <c r="M356" s="4">
        <f t="shared" si="1357"/>
        <v>260.34999999999997</v>
      </c>
      <c r="N356" s="7">
        <f t="shared" si="1224"/>
        <v>3</v>
      </c>
      <c r="O356" s="7">
        <f t="shared" si="1225"/>
        <v>3</v>
      </c>
      <c r="P356" s="38">
        <v>4</v>
      </c>
      <c r="Q356" s="4">
        <f t="shared" si="1342"/>
        <v>4</v>
      </c>
      <c r="R356" s="4">
        <f t="shared" si="1226"/>
        <v>5</v>
      </c>
      <c r="S356" s="7">
        <f t="shared" si="1227"/>
        <v>56.796126628494655</v>
      </c>
      <c r="V356" s="38">
        <f t="shared" si="1395"/>
        <v>539.31034482758628</v>
      </c>
      <c r="W356" s="4">
        <v>78.2</v>
      </c>
      <c r="X356" s="4">
        <f t="shared" si="1228"/>
        <v>0.9161935541106252</v>
      </c>
      <c r="Y356" s="38"/>
      <c r="Z356" s="38"/>
      <c r="AA356" s="39">
        <v>1</v>
      </c>
      <c r="AB356" s="39"/>
      <c r="AC356" s="39"/>
      <c r="AD356" s="7"/>
      <c r="AE356" s="4">
        <f t="shared" si="1229"/>
        <v>238.25200000000001</v>
      </c>
      <c r="AF356" s="4">
        <f t="shared" si="1230"/>
        <v>0.53660270078180528</v>
      </c>
      <c r="AG356" s="4">
        <f t="shared" si="1231"/>
        <v>248.32383590087252</v>
      </c>
      <c r="AH356" s="4">
        <f t="shared" si="1232"/>
        <v>0.76396588486140726</v>
      </c>
      <c r="AI356" s="4">
        <v>1.25</v>
      </c>
      <c r="AJ356" s="4">
        <f t="shared" si="1513"/>
        <v>2.5</v>
      </c>
      <c r="AK356" s="38">
        <f t="shared" si="1340"/>
        <v>318.12313202907933</v>
      </c>
      <c r="AL356" s="38">
        <f t="shared" si="1264"/>
        <v>318.12313202907933</v>
      </c>
      <c r="AM356" s="38">
        <f t="shared" si="1233"/>
        <v>3.8975267336121062</v>
      </c>
      <c r="AN356" s="38">
        <f t="shared" si="1521"/>
        <v>318.12313202907904</v>
      </c>
      <c r="AO356" s="38">
        <f t="shared" si="1484"/>
        <v>1.0000000000000009</v>
      </c>
      <c r="AP356" s="38">
        <f t="shared" si="1522"/>
        <v>1.7663947632434147</v>
      </c>
      <c r="AQ356" s="4">
        <f t="shared" si="1523"/>
        <v>0</v>
      </c>
      <c r="AR356" s="4" t="e">
        <f>#REF!/G356*F356^0.5/0.19</f>
        <v>#REF!</v>
      </c>
      <c r="AS356" s="4">
        <f t="shared" si="1234"/>
        <v>1</v>
      </c>
      <c r="AT356" s="38">
        <f t="shared" si="1235"/>
        <v>561.93103448275861</v>
      </c>
      <c r="AU356" s="4">
        <f t="shared" si="1236"/>
        <v>0.44000000000000006</v>
      </c>
      <c r="AV356" s="4" t="e">
        <f>AU356*D356*#REF!/(D356*G356/2.75/F356^0.5)</f>
        <v>#REF!</v>
      </c>
      <c r="AW356" s="4" t="e">
        <f t="shared" si="1431"/>
        <v>#REF!</v>
      </c>
      <c r="AY356" s="4">
        <f t="shared" si="1237"/>
        <v>1.375</v>
      </c>
      <c r="AZ356" s="4" t="e">
        <f>(3*#REF!+30)*AY356*F356^0.5</f>
        <v>#REF!</v>
      </c>
      <c r="BB356" s="4">
        <f t="shared" si="1238"/>
        <v>538.96058175655878</v>
      </c>
      <c r="BC356" s="4">
        <f t="shared" si="1464"/>
        <v>0</v>
      </c>
      <c r="BD356" s="4">
        <f t="shared" si="1432"/>
        <v>0</v>
      </c>
      <c r="BL356" s="4">
        <f t="shared" si="1239"/>
        <v>63.5</v>
      </c>
      <c r="BP356" s="9"/>
      <c r="BR356" s="9"/>
      <c r="BS356" s="9"/>
      <c r="BT356" s="9">
        <f t="shared" si="1240"/>
        <v>63.5</v>
      </c>
      <c r="BU356" s="9">
        <f t="shared" si="1241"/>
        <v>102.86999999999998</v>
      </c>
      <c r="BV356" s="9">
        <f t="shared" si="1242"/>
        <v>1.699797775373473</v>
      </c>
      <c r="BW356" s="40">
        <f t="shared" si="1343"/>
        <v>0</v>
      </c>
      <c r="BX356" s="9">
        <f t="shared" si="1243"/>
        <v>0</v>
      </c>
      <c r="BY356" s="9">
        <f t="shared" si="1433"/>
        <v>0</v>
      </c>
      <c r="BZ356" s="9">
        <f t="shared" si="1244"/>
        <v>0.99524931562137331</v>
      </c>
      <c r="CA356" s="9">
        <f t="shared" si="1245"/>
        <v>0.68</v>
      </c>
      <c r="CB356" s="9">
        <f t="shared" si="1246"/>
        <v>1.6209130944490342</v>
      </c>
      <c r="CC356" s="9">
        <f t="shared" si="1247"/>
        <v>2.7552244720182006</v>
      </c>
      <c r="CD356" s="40">
        <v>1</v>
      </c>
      <c r="CE356" s="9" t="e">
        <f>4*CC356*#REF!+60*CC356</f>
        <v>#REF!</v>
      </c>
      <c r="CG356" s="4" t="e">
        <f t="shared" si="1434"/>
        <v>#REF!</v>
      </c>
      <c r="CH356" s="4" t="e">
        <f t="shared" si="1435"/>
        <v>#REF!</v>
      </c>
      <c r="CI356" s="4" t="e">
        <f t="shared" si="1436"/>
        <v>#REF!</v>
      </c>
      <c r="CJ356" s="4" t="e">
        <f t="shared" si="1437"/>
        <v>#REF!</v>
      </c>
      <c r="CK356" s="4">
        <f t="shared" si="1438"/>
        <v>0.9161935541106252</v>
      </c>
      <c r="CL356" s="4">
        <f t="shared" si="1439"/>
        <v>0.96674260066309403</v>
      </c>
      <c r="CM356" s="4">
        <f t="shared" si="1310"/>
        <v>1.1020916631669231</v>
      </c>
      <c r="CN356" s="4">
        <f t="shared" si="1344"/>
        <v>0</v>
      </c>
      <c r="CO356" s="4" t="e">
        <f t="shared" si="1533"/>
        <v>#REF!</v>
      </c>
      <c r="CP356" s="4" t="e">
        <f t="shared" si="1534"/>
        <v>#REF!</v>
      </c>
      <c r="CQ356" s="4" t="e">
        <f t="shared" si="1535"/>
        <v>#REF!</v>
      </c>
      <c r="CR356" s="4">
        <f t="shared" si="1536"/>
        <v>1.1020916631669231</v>
      </c>
      <c r="CS356" s="4">
        <f t="shared" si="1537"/>
        <v>0.9161935541106252</v>
      </c>
      <c r="CT356" s="4">
        <f t="shared" si="1538"/>
        <v>0.96674260066309403</v>
      </c>
      <c r="DC356" s="4" t="e">
        <f>#REF!</f>
        <v>#REF!</v>
      </c>
      <c r="DF356" s="4">
        <f t="shared" si="1248"/>
        <v>1.8754307597872246E-5</v>
      </c>
      <c r="DG356" s="4">
        <f t="shared" si="1446"/>
        <v>8.6461429491242612</v>
      </c>
      <c r="DH356" s="4">
        <f t="shared" si="1249"/>
        <v>0.37533501502490646</v>
      </c>
      <c r="DI356" s="4">
        <f t="shared" si="1447"/>
        <v>5.8423832730452157</v>
      </c>
      <c r="DJ356" s="4">
        <f t="shared" si="1448"/>
        <v>7.3791461832387251</v>
      </c>
      <c r="DK356" s="4">
        <f t="shared" si="1250"/>
        <v>8.1679413048538798</v>
      </c>
      <c r="DL356" s="38">
        <f t="shared" si="1251"/>
        <v>588.64236973497373</v>
      </c>
      <c r="DM356" s="4" t="e">
        <f t="shared" si="1449"/>
        <v>#REF!</v>
      </c>
      <c r="DN356" s="4">
        <f t="shared" si="1252"/>
        <v>2.2360679774997898</v>
      </c>
      <c r="DO356" s="4">
        <f t="shared" si="1309"/>
        <v>318.12313202907904</v>
      </c>
      <c r="DS356" s="4">
        <f t="shared" si="1253"/>
        <v>0.85</v>
      </c>
      <c r="DT356" s="4">
        <f t="shared" si="1254"/>
        <v>0.85</v>
      </c>
      <c r="DU356" s="4">
        <f t="shared" si="1255"/>
        <v>1</v>
      </c>
      <c r="DV356" s="4">
        <f t="shared" si="1450"/>
        <v>0.85</v>
      </c>
      <c r="DX356" s="4">
        <f t="shared" si="1256"/>
        <v>557.86343175284753</v>
      </c>
      <c r="DY356" s="25">
        <f t="shared" si="1502"/>
        <v>314.56096916449081</v>
      </c>
      <c r="EA356" s="4">
        <f t="shared" si="1503"/>
        <v>0.72249999999999992</v>
      </c>
      <c r="EB356" s="4">
        <f t="shared" si="1257"/>
        <v>8.6461429491242612</v>
      </c>
      <c r="EE356" s="4">
        <f t="shared" si="1258"/>
        <v>56.796126628494655</v>
      </c>
      <c r="EF356" s="4">
        <f t="shared" si="1451"/>
        <v>2.2360679774997898</v>
      </c>
      <c r="EG356" s="4">
        <f t="shared" si="1259"/>
        <v>0.14044466065071942</v>
      </c>
      <c r="EJ356" s="4">
        <f t="shared" si="1452"/>
        <v>0.14044466065071942</v>
      </c>
      <c r="EK356" s="4">
        <f t="shared" si="1260"/>
        <v>0.37470865083776739</v>
      </c>
      <c r="EL356" s="4">
        <f t="shared" si="1453"/>
        <v>5.8384813792996928</v>
      </c>
      <c r="EM356" s="4">
        <f t="shared" si="1454"/>
        <v>7.3776048296736834</v>
      </c>
      <c r="EN356" s="4" t="e">
        <f t="shared" si="1455"/>
        <v>#REF!</v>
      </c>
      <c r="EO356" s="4" t="e">
        <f t="shared" si="1456"/>
        <v>#REF!</v>
      </c>
      <c r="EP356" s="4" t="e">
        <f t="shared" si="1261"/>
        <v>#REF!</v>
      </c>
      <c r="EQ356" s="4" t="e">
        <f t="shared" si="1457"/>
        <v>#REF!</v>
      </c>
      <c r="ER356" s="4" t="e">
        <f t="shared" si="1262"/>
        <v>#REF!</v>
      </c>
      <c r="FA356" s="23" t="e">
        <f t="shared" si="1383"/>
        <v>#REF!</v>
      </c>
      <c r="FB356" s="23" t="e">
        <f t="shared" si="1384"/>
        <v>#REF!</v>
      </c>
      <c r="FC356" s="23">
        <f t="shared" si="1317"/>
        <v>1.2</v>
      </c>
      <c r="FD356" s="23" t="e">
        <f t="shared" si="1385"/>
        <v>#REF!</v>
      </c>
      <c r="FE356" s="23">
        <f t="shared" si="1386"/>
        <v>1</v>
      </c>
      <c r="FF356" s="23">
        <f t="shared" si="1387"/>
        <v>1</v>
      </c>
      <c r="FG356" s="23">
        <f t="shared" si="1266"/>
        <v>0</v>
      </c>
      <c r="FH356" s="23"/>
      <c r="FR356" s="4">
        <f t="shared" si="1485"/>
        <v>1</v>
      </c>
      <c r="FS356" s="4">
        <f t="shared" si="1486"/>
        <v>0.5</v>
      </c>
      <c r="FT356" s="4">
        <f t="shared" si="1487"/>
        <v>0</v>
      </c>
      <c r="FU356" s="4">
        <f t="shared" si="1488"/>
        <v>489.35162369148799</v>
      </c>
    </row>
    <row r="357" spans="2:177" ht="12" customHeight="1" x14ac:dyDescent="0.3">
      <c r="B357" s="24"/>
      <c r="C357" s="7" t="s">
        <v>498</v>
      </c>
      <c r="D357" s="38">
        <f t="shared" ref="D357:D363" si="1542">120/0.145</f>
        <v>827.58620689655174</v>
      </c>
      <c r="E357" s="38">
        <f>9.5*25.4</f>
        <v>241.29999999999998</v>
      </c>
      <c r="F357" s="38">
        <f>6790/145</f>
        <v>46.827586206896555</v>
      </c>
      <c r="G357" s="38">
        <f t="shared" si="1341"/>
        <v>25.4</v>
      </c>
      <c r="H357" s="38">
        <f>15.1*25.4</f>
        <v>383.53999999999996</v>
      </c>
      <c r="I357" s="38">
        <f>2.5*25.4</f>
        <v>63.5</v>
      </c>
      <c r="J357" s="39">
        <f>3*25.4</f>
        <v>76.199999999999989</v>
      </c>
      <c r="K357" s="7">
        <f t="shared" si="1339"/>
        <v>205.73999999999995</v>
      </c>
      <c r="L357" s="38">
        <v>2</v>
      </c>
      <c r="M357" s="4">
        <f t="shared" si="1357"/>
        <v>260.34999999999997</v>
      </c>
      <c r="N357" s="7">
        <f t="shared" si="1224"/>
        <v>3</v>
      </c>
      <c r="O357" s="7">
        <f t="shared" si="1225"/>
        <v>3</v>
      </c>
      <c r="P357" s="38">
        <v>4</v>
      </c>
      <c r="Q357" s="4">
        <f t="shared" si="1342"/>
        <v>4</v>
      </c>
      <c r="R357" s="4">
        <f t="shared" si="1226"/>
        <v>5</v>
      </c>
      <c r="S357" s="7">
        <f t="shared" si="1227"/>
        <v>56.796126628494655</v>
      </c>
      <c r="V357" s="38">
        <f t="shared" si="1395"/>
        <v>669.65517241379314</v>
      </c>
      <c r="W357" s="4">
        <v>97.1</v>
      </c>
      <c r="X357" s="4">
        <f t="shared" si="1228"/>
        <v>1.0276805768179793</v>
      </c>
      <c r="Y357" s="38">
        <f t="shared" ref="Y357" si="1543">0.5*25.4</f>
        <v>12.7</v>
      </c>
      <c r="Z357" s="38">
        <v>10</v>
      </c>
      <c r="AA357" s="39">
        <f t="shared" ref="AA357" si="1544">3*25.4</f>
        <v>76.199999999999989</v>
      </c>
      <c r="AB357" s="39">
        <v>3</v>
      </c>
      <c r="AC357" s="39">
        <f>AB357-1</f>
        <v>2</v>
      </c>
      <c r="AD357" s="7"/>
      <c r="AE357" s="4">
        <f t="shared" si="1229"/>
        <v>241.29999999999998</v>
      </c>
      <c r="AF357" s="4">
        <f t="shared" si="1230"/>
        <v>0.52982456140350875</v>
      </c>
      <c r="AG357" s="4">
        <f t="shared" si="1231"/>
        <v>253.10432048351177</v>
      </c>
      <c r="AH357" s="4">
        <f t="shared" si="1232"/>
        <v>0.76315789473684204</v>
      </c>
      <c r="AI357" s="4">
        <v>1.25</v>
      </c>
      <c r="AJ357" s="4">
        <f t="shared" si="1513"/>
        <v>2.5</v>
      </c>
      <c r="AK357" s="38">
        <f>AF357*AH357*AI357*AJ357*AG357</f>
        <v>319.81296727761367</v>
      </c>
      <c r="AL357" s="38">
        <f t="shared" si="1264"/>
        <v>319.81296727761367</v>
      </c>
      <c r="AM357" s="38">
        <f t="shared" si="1233"/>
        <v>3.8975267336121062</v>
      </c>
      <c r="AN357" s="38">
        <f t="shared" si="1521"/>
        <v>319.81296727761384</v>
      </c>
      <c r="AO357" s="38">
        <f t="shared" si="1484"/>
        <v>0.99999999999999944</v>
      </c>
      <c r="AP357" s="38">
        <f t="shared" si="1522"/>
        <v>1.757061445213302</v>
      </c>
      <c r="AQ357" s="4">
        <f t="shared" si="1523"/>
        <v>0</v>
      </c>
      <c r="AR357" s="4" t="e">
        <f>#REF!/G357*F357^0.5/0.19</f>
        <v>#REF!</v>
      </c>
      <c r="AS357" s="4">
        <f t="shared" si="1234"/>
        <v>1</v>
      </c>
      <c r="AT357" s="38">
        <f t="shared" si="1235"/>
        <v>561.93103448275861</v>
      </c>
      <c r="AU357" s="4">
        <f t="shared" si="1236"/>
        <v>0.44000000000000006</v>
      </c>
      <c r="AV357" s="4" t="e">
        <f>AU357*D357*#REF!/(D357*G357/2.75/F357^0.5)</f>
        <v>#REF!</v>
      </c>
      <c r="AW357" s="4" t="e">
        <f t="shared" si="1431"/>
        <v>#REF!</v>
      </c>
      <c r="AY357" s="4">
        <f t="shared" si="1237"/>
        <v>1.5</v>
      </c>
      <c r="AZ357" s="4" t="e">
        <f>(3*#REF!+30)*AY357*F357^0.5</f>
        <v>#REF!</v>
      </c>
      <c r="BB357" s="4">
        <f t="shared" si="1238"/>
        <v>538.96058175655878</v>
      </c>
      <c r="BC357" s="4">
        <f t="shared" si="1464"/>
        <v>0</v>
      </c>
      <c r="BD357" s="4">
        <f t="shared" si="1432"/>
        <v>0</v>
      </c>
      <c r="BL357" s="4">
        <f t="shared" si="1239"/>
        <v>63.5</v>
      </c>
      <c r="BP357" s="9"/>
      <c r="BR357" s="9"/>
      <c r="BS357" s="9"/>
      <c r="BT357" s="9">
        <f t="shared" si="1240"/>
        <v>63.5</v>
      </c>
      <c r="BU357" s="9">
        <f t="shared" si="1241"/>
        <v>102.86999999999998</v>
      </c>
      <c r="BV357" s="9">
        <f t="shared" si="1242"/>
        <v>1.699797775373473</v>
      </c>
      <c r="BW357" s="40">
        <f t="shared" si="1343"/>
        <v>20</v>
      </c>
      <c r="BX357" s="9">
        <f t="shared" si="1243"/>
        <v>0.05</v>
      </c>
      <c r="BY357" s="9">
        <f t="shared" si="1433"/>
        <v>0.8</v>
      </c>
      <c r="BZ357" s="9">
        <f t="shared" si="1244"/>
        <v>0.99524931562137331</v>
      </c>
      <c r="CA357" s="9">
        <f t="shared" si="1245"/>
        <v>0.68</v>
      </c>
      <c r="CB357" s="9">
        <f t="shared" si="1246"/>
        <v>1.6209130944490342</v>
      </c>
      <c r="CC357" s="9">
        <f t="shared" si="1247"/>
        <v>4.0519549475774275</v>
      </c>
      <c r="CD357" s="40">
        <v>1</v>
      </c>
      <c r="CE357" s="9" t="e">
        <f>4*CC357*#REF!+60*CC357</f>
        <v>#REF!</v>
      </c>
      <c r="CG357" s="4" t="e">
        <f t="shared" si="1434"/>
        <v>#REF!</v>
      </c>
      <c r="CH357" s="4" t="e">
        <f t="shared" si="1435"/>
        <v>#REF!</v>
      </c>
      <c r="CI357" s="4" t="e">
        <f t="shared" si="1436"/>
        <v>#REF!</v>
      </c>
      <c r="CJ357" s="4" t="e">
        <f t="shared" si="1437"/>
        <v>#REF!</v>
      </c>
      <c r="CK357" s="4">
        <f t="shared" si="1438"/>
        <v>1.0276805768179793</v>
      </c>
      <c r="CL357" s="4">
        <f t="shared" si="1439"/>
        <v>1.0879820523592281</v>
      </c>
      <c r="CM357" s="4">
        <f t="shared" si="1310"/>
        <v>1.1890280478040305</v>
      </c>
      <c r="CN357" s="4">
        <f t="shared" si="1344"/>
        <v>10</v>
      </c>
      <c r="CU357" s="4" t="e">
        <f t="shared" ref="CU357" si="1545">CG357</f>
        <v>#REF!</v>
      </c>
      <c r="CV357" s="4" t="e">
        <f t="shared" ref="CV357" si="1546">CH357</f>
        <v>#REF!</v>
      </c>
      <c r="CW357" s="4" t="e">
        <f t="shared" ref="CW357" si="1547">CJ357</f>
        <v>#REF!</v>
      </c>
      <c r="CX357" s="4">
        <f t="shared" ref="CX357" si="1548">CM357</f>
        <v>1.1890280478040305</v>
      </c>
      <c r="CY357" s="4">
        <f t="shared" ref="CY357" si="1549">CK357</f>
        <v>1.0276805768179793</v>
      </c>
      <c r="CZ357" s="4">
        <f t="shared" ref="CZ357" si="1550">CL357</f>
        <v>1.0879820523592281</v>
      </c>
      <c r="DC357" s="4" t="e">
        <f>#REF!</f>
        <v>#REF!</v>
      </c>
      <c r="DF357" s="4">
        <f t="shared" si="1248"/>
        <v>1.8994234773964424E-5</v>
      </c>
      <c r="DG357" s="4">
        <f t="shared" si="1446"/>
        <v>10.498887866793746</v>
      </c>
      <c r="DH357" s="4">
        <f t="shared" si="1249"/>
        <v>0.37732875353223522</v>
      </c>
      <c r="DI357" s="4">
        <f t="shared" si="1447"/>
        <v>7.1093722985602961</v>
      </c>
      <c r="DJ357" s="4">
        <f t="shared" si="1448"/>
        <v>8.9663426766085994</v>
      </c>
      <c r="DK357" s="4">
        <f t="shared" si="1250"/>
        <v>9.776160469501713</v>
      </c>
      <c r="DL357" s="38">
        <f t="shared" si="1251"/>
        <v>651.61801003114715</v>
      </c>
      <c r="DM357" s="4" t="e">
        <f t="shared" si="1449"/>
        <v>#REF!</v>
      </c>
      <c r="DN357" s="4">
        <f t="shared" si="1252"/>
        <v>2.2360679774997898</v>
      </c>
      <c r="DO357" s="4">
        <f t="shared" si="1309"/>
        <v>319.81296727761384</v>
      </c>
      <c r="DS357" s="4">
        <f t="shared" si="1253"/>
        <v>0.85</v>
      </c>
      <c r="DT357" s="4">
        <f t="shared" si="1254"/>
        <v>0.85</v>
      </c>
      <c r="DU357" s="4">
        <f t="shared" si="1255"/>
        <v>0.77500000000000002</v>
      </c>
      <c r="DV357" s="4">
        <f t="shared" si="1450"/>
        <v>0.7</v>
      </c>
      <c r="DX357" s="4">
        <f t="shared" si="1256"/>
        <v>615.50203972729469</v>
      </c>
      <c r="DY357" s="25">
        <f t="shared" si="1502"/>
        <v>316.28373552367282</v>
      </c>
      <c r="EA357" s="4">
        <f t="shared" si="1503"/>
        <v>0.59499999999999997</v>
      </c>
      <c r="EB357" s="4">
        <f t="shared" si="1257"/>
        <v>10.498887866793746</v>
      </c>
      <c r="EE357" s="4">
        <f t="shared" si="1258"/>
        <v>56.796126628494655</v>
      </c>
      <c r="EF357" s="4">
        <f t="shared" si="1451"/>
        <v>2.2360679774997898</v>
      </c>
      <c r="EG357" s="4">
        <f t="shared" si="1259"/>
        <v>0.14119068731191298</v>
      </c>
      <c r="EJ357" s="4">
        <f t="shared" si="1452"/>
        <v>0.14119068731191298</v>
      </c>
      <c r="EK357" s="4">
        <f t="shared" si="1260"/>
        <v>0.37669906216710974</v>
      </c>
      <c r="EL357" s="4">
        <f t="shared" si="1453"/>
        <v>7.1046242335994894</v>
      </c>
      <c r="EM357" s="4">
        <f t="shared" si="1454"/>
        <v>8.9644642695673813</v>
      </c>
      <c r="EN357" s="4" t="e">
        <f t="shared" si="1455"/>
        <v>#REF!</v>
      </c>
      <c r="EO357" s="4" t="e">
        <f t="shared" si="1456"/>
        <v>#REF!</v>
      </c>
      <c r="EP357" s="4" t="e">
        <f t="shared" si="1261"/>
        <v>#REF!</v>
      </c>
      <c r="EQ357" s="4" t="e">
        <f t="shared" si="1457"/>
        <v>#REF!</v>
      </c>
      <c r="ER357" s="4" t="e">
        <f t="shared" si="1262"/>
        <v>#REF!</v>
      </c>
      <c r="FA357" s="23" t="e">
        <f t="shared" si="1383"/>
        <v>#REF!</v>
      </c>
      <c r="FB357" s="23" t="e">
        <f t="shared" si="1384"/>
        <v>#REF!</v>
      </c>
      <c r="FC357" s="23">
        <f t="shared" si="1317"/>
        <v>1.2</v>
      </c>
      <c r="FD357" s="23" t="e">
        <f t="shared" si="1385"/>
        <v>#REF!</v>
      </c>
      <c r="FE357" s="23">
        <f t="shared" si="1386"/>
        <v>1.2</v>
      </c>
      <c r="FF357" s="23">
        <f t="shared" si="1387"/>
        <v>1.2</v>
      </c>
      <c r="FG357" s="23">
        <f t="shared" si="1266"/>
        <v>0</v>
      </c>
      <c r="FH357" s="23"/>
      <c r="FR357" s="4">
        <f t="shared" si="1485"/>
        <v>1</v>
      </c>
      <c r="FS357" s="4">
        <f t="shared" si="1486"/>
        <v>0.44</v>
      </c>
      <c r="FT357" s="4">
        <f t="shared" si="1487"/>
        <v>0.3</v>
      </c>
      <c r="FU357" s="4">
        <f t="shared" si="1488"/>
        <v>563.19543819891646</v>
      </c>
    </row>
    <row r="358" spans="2:177" ht="12" customHeight="1" x14ac:dyDescent="0.3">
      <c r="B358" s="24"/>
      <c r="C358" s="7" t="s">
        <v>499</v>
      </c>
      <c r="D358" s="38">
        <f t="shared" si="1542"/>
        <v>827.58620689655174</v>
      </c>
      <c r="E358" s="38">
        <f>9.33*25.4</f>
        <v>236.982</v>
      </c>
      <c r="F358" s="38">
        <f>6790/145</f>
        <v>46.827586206896555</v>
      </c>
      <c r="G358" s="38">
        <f t="shared" si="1341"/>
        <v>25.4</v>
      </c>
      <c r="H358" s="38">
        <f>15.1*25.4</f>
        <v>383.53999999999996</v>
      </c>
      <c r="I358" s="38">
        <f>2.55*25.4</f>
        <v>64.77</v>
      </c>
      <c r="J358" s="39">
        <f>3.3*25.4</f>
        <v>83.82</v>
      </c>
      <c r="K358" s="7">
        <f t="shared" si="1339"/>
        <v>88.899999999999991</v>
      </c>
      <c r="L358" s="38">
        <v>3</v>
      </c>
      <c r="M358" s="4">
        <f t="shared" si="1357"/>
        <v>260.34999999999997</v>
      </c>
      <c r="N358" s="7">
        <f t="shared" si="1224"/>
        <v>2.25</v>
      </c>
      <c r="O358" s="7">
        <f t="shared" si="1225"/>
        <v>3.05</v>
      </c>
      <c r="P358" s="38">
        <v>4</v>
      </c>
      <c r="Q358" s="4">
        <f t="shared" si="1342"/>
        <v>4</v>
      </c>
      <c r="R358" s="4">
        <f t="shared" si="1226"/>
        <v>5</v>
      </c>
      <c r="S358" s="7">
        <f t="shared" si="1227"/>
        <v>56.796126628494655</v>
      </c>
      <c r="V358" s="38">
        <f t="shared" si="1395"/>
        <v>355.17241379310349</v>
      </c>
      <c r="W358" s="4">
        <v>51.5</v>
      </c>
      <c r="X358" s="4">
        <f t="shared" si="1228"/>
        <v>0.79497862339968595</v>
      </c>
      <c r="Y358" s="38"/>
      <c r="Z358" s="38"/>
      <c r="AA358" s="39">
        <v>1</v>
      </c>
      <c r="AB358" s="39"/>
      <c r="AC358" s="39"/>
      <c r="AD358" s="7"/>
      <c r="AE358" s="4">
        <f t="shared" si="1229"/>
        <v>236.982</v>
      </c>
      <c r="AF358" s="4">
        <f t="shared" si="1230"/>
        <v>0.53947838513754909</v>
      </c>
      <c r="AG358" s="4">
        <f t="shared" si="1231"/>
        <v>164.22730165587976</v>
      </c>
      <c r="AH358" s="4">
        <f t="shared" si="1232"/>
        <v>0.76538049303322608</v>
      </c>
      <c r="AI358" s="4">
        <v>1.25</v>
      </c>
      <c r="AJ358" s="4">
        <f t="shared" si="1513"/>
        <v>2.5</v>
      </c>
      <c r="AK358" s="38">
        <f t="shared" si="1340"/>
        <v>211.90773869847416</v>
      </c>
      <c r="AL358" s="38">
        <f t="shared" si="1264"/>
        <v>211.90773869847416</v>
      </c>
      <c r="AM358" s="38">
        <f t="shared" si="1233"/>
        <v>3.8975267336121062</v>
      </c>
      <c r="AN358" s="38">
        <f t="shared" si="1521"/>
        <v>211.90773869847405</v>
      </c>
      <c r="AO358" s="38">
        <f t="shared" si="1484"/>
        <v>1.0000000000000004</v>
      </c>
      <c r="AP358" s="38">
        <f t="shared" si="1522"/>
        <v>2.27168478680181</v>
      </c>
      <c r="AQ358" s="4">
        <f t="shared" si="1523"/>
        <v>0</v>
      </c>
      <c r="AR358" s="4" t="e">
        <f>#REF!/G358*F358^0.5/0.19</f>
        <v>#REF!</v>
      </c>
      <c r="AS358" s="4">
        <f t="shared" si="1234"/>
        <v>1.1422222222222222</v>
      </c>
      <c r="AT358" s="38">
        <f t="shared" si="1235"/>
        <v>481.38758620689663</v>
      </c>
      <c r="AU358" s="4">
        <f t="shared" si="1236"/>
        <v>0.44000000000000006</v>
      </c>
      <c r="AV358" s="4" t="e">
        <f>AU358*D358*#REF!/(D358*G358/2.75/F358^0.5)</f>
        <v>#REF!</v>
      </c>
      <c r="AW358" s="4" t="e">
        <f t="shared" si="1431"/>
        <v>#REF!</v>
      </c>
      <c r="AY358" s="4">
        <f t="shared" si="1237"/>
        <v>1.3875</v>
      </c>
      <c r="AZ358" s="4" t="e">
        <f>(3*#REF!+30)*AY358*F358^0.5</f>
        <v>#REF!</v>
      </c>
      <c r="BB358" s="4">
        <f t="shared" si="1238"/>
        <v>461.70956503811868</v>
      </c>
      <c r="BC358" s="4">
        <f t="shared" si="1464"/>
        <v>0</v>
      </c>
      <c r="BD358" s="4">
        <f t="shared" si="1432"/>
        <v>0</v>
      </c>
      <c r="BL358" s="4">
        <f t="shared" si="1239"/>
        <v>44.449999999999996</v>
      </c>
      <c r="BP358" s="9"/>
      <c r="BR358" s="9"/>
      <c r="BS358" s="9"/>
      <c r="BT358" s="9">
        <f t="shared" si="1240"/>
        <v>44.449999999999996</v>
      </c>
      <c r="BU358" s="9">
        <f t="shared" si="1241"/>
        <v>64.77</v>
      </c>
      <c r="BV358" s="9">
        <f t="shared" si="1242"/>
        <v>1.3997302362379427</v>
      </c>
      <c r="BW358" s="40">
        <f t="shared" si="1343"/>
        <v>0</v>
      </c>
      <c r="BX358" s="9">
        <f t="shared" si="1243"/>
        <v>0</v>
      </c>
      <c r="BY358" s="9">
        <f t="shared" si="1433"/>
        <v>0</v>
      </c>
      <c r="BZ358" s="9">
        <f t="shared" si="1244"/>
        <v>0.99524931562137331</v>
      </c>
      <c r="CA358" s="9">
        <f t="shared" si="1245"/>
        <v>0.68</v>
      </c>
      <c r="CB358" s="9">
        <f t="shared" si="1246"/>
        <v>1.6209130944490342</v>
      </c>
      <c r="CC358" s="9">
        <f t="shared" si="1247"/>
        <v>2.2688410686143214</v>
      </c>
      <c r="CD358" s="40">
        <v>1</v>
      </c>
      <c r="CE358" s="9" t="e">
        <f>4*CC358*#REF!+60*CC358</f>
        <v>#REF!</v>
      </c>
      <c r="CG358" s="4" t="e">
        <f t="shared" si="1434"/>
        <v>#REF!</v>
      </c>
      <c r="CH358" s="4" t="e">
        <f t="shared" si="1435"/>
        <v>#REF!</v>
      </c>
      <c r="CI358" s="4" t="e">
        <f t="shared" si="1436"/>
        <v>#REF!</v>
      </c>
      <c r="CJ358" s="4" t="e">
        <f t="shared" si="1437"/>
        <v>#REF!</v>
      </c>
      <c r="CK358" s="4">
        <f t="shared" si="1438"/>
        <v>0.79497862339968595</v>
      </c>
      <c r="CL358" s="4">
        <f t="shared" si="1439"/>
        <v>0.82233348350740842</v>
      </c>
      <c r="CM358" s="4">
        <f t="shared" si="1310"/>
        <v>1.1553451423090986</v>
      </c>
      <c r="CN358" s="4">
        <f t="shared" si="1344"/>
        <v>0</v>
      </c>
      <c r="CO358" s="4" t="e">
        <f t="shared" ref="CO358" si="1551">CG358</f>
        <v>#REF!</v>
      </c>
      <c r="CP358" s="4" t="e">
        <f t="shared" ref="CP358" si="1552">CH358</f>
        <v>#REF!</v>
      </c>
      <c r="CQ358" s="4" t="e">
        <f t="shared" ref="CQ358" si="1553">CJ358</f>
        <v>#REF!</v>
      </c>
      <c r="CR358" s="4">
        <f t="shared" si="1536"/>
        <v>1.1553451423090986</v>
      </c>
      <c r="CS358" s="4">
        <f t="shared" ref="CS358" si="1554">CK358</f>
        <v>0.79497862339968595</v>
      </c>
      <c r="CT358" s="4">
        <f t="shared" ref="CT358" si="1555">CL358</f>
        <v>0.82233348350740842</v>
      </c>
      <c r="DC358" s="4" t="e">
        <f>#REF!</f>
        <v>#REF!</v>
      </c>
      <c r="DF358" s="4">
        <f t="shared" si="1248"/>
        <v>1.8654337941167171E-5</v>
      </c>
      <c r="DG358" s="4">
        <f t="shared" si="1446"/>
        <v>7.9451043316276984</v>
      </c>
      <c r="DH358" s="4">
        <f t="shared" si="1249"/>
        <v>0.25001763870794352</v>
      </c>
      <c r="DI358" s="4">
        <f t="shared" si="1447"/>
        <v>4.5633929194179164</v>
      </c>
      <c r="DJ358" s="4">
        <f t="shared" si="1448"/>
        <v>6.4803196530193512</v>
      </c>
      <c r="DK358" s="4">
        <f t="shared" si="1250"/>
        <v>7.5694956542959266</v>
      </c>
      <c r="DL358" s="38">
        <f t="shared" si="1251"/>
        <v>446.76976630418892</v>
      </c>
      <c r="DM358" s="4" t="e">
        <f t="shared" si="1449"/>
        <v>#REF!</v>
      </c>
      <c r="DN358" s="4">
        <f t="shared" si="1252"/>
        <v>2.2360679774997898</v>
      </c>
      <c r="DO358" s="4">
        <f t="shared" si="1309"/>
        <v>211.90773869847405</v>
      </c>
      <c r="DS358" s="4">
        <f t="shared" si="1253"/>
        <v>0.85</v>
      </c>
      <c r="DT358" s="4">
        <f t="shared" si="1254"/>
        <v>0.92500000000000004</v>
      </c>
      <c r="DU358" s="4">
        <f t="shared" si="1255"/>
        <v>1</v>
      </c>
      <c r="DV358" s="4">
        <f t="shared" si="1450"/>
        <v>0.92500000000000004</v>
      </c>
      <c r="DX358" s="4">
        <f t="shared" si="1256"/>
        <v>431.90800437582294</v>
      </c>
      <c r="DY358" s="25">
        <f t="shared" si="1502"/>
        <v>209.52453413356363</v>
      </c>
      <c r="EA358" s="4">
        <f t="shared" si="1503"/>
        <v>0.78625</v>
      </c>
      <c r="EB358" s="4">
        <f t="shared" si="1257"/>
        <v>7.9451043316276984</v>
      </c>
      <c r="EE358" s="4">
        <f t="shared" si="1258"/>
        <v>56.796126628494655</v>
      </c>
      <c r="EF358" s="4">
        <f t="shared" si="1451"/>
        <v>2.2360679774997898</v>
      </c>
      <c r="EG358" s="4">
        <f t="shared" si="1259"/>
        <v>9.3552802215112377E-2</v>
      </c>
      <c r="EJ358" s="4">
        <f t="shared" si="1452"/>
        <v>9.3552802215112377E-2</v>
      </c>
      <c r="EK358" s="4">
        <f t="shared" si="1260"/>
        <v>0.24960040586589352</v>
      </c>
      <c r="EL358" s="4">
        <f t="shared" si="1453"/>
        <v>4.5603452120939565</v>
      </c>
      <c r="EM358" s="4">
        <f t="shared" si="1454"/>
        <v>6.4792529673615737</v>
      </c>
      <c r="EN358" s="4" t="e">
        <f t="shared" si="1455"/>
        <v>#REF!</v>
      </c>
      <c r="EO358" s="4" t="e">
        <f t="shared" si="1456"/>
        <v>#REF!</v>
      </c>
      <c r="EP358" s="4" t="e">
        <f t="shared" si="1261"/>
        <v>#REF!</v>
      </c>
      <c r="EQ358" s="4" t="e">
        <f t="shared" si="1457"/>
        <v>#REF!</v>
      </c>
      <c r="ER358" s="4" t="e">
        <f t="shared" si="1262"/>
        <v>#REF!</v>
      </c>
      <c r="FA358" s="23" t="e">
        <f t="shared" si="1383"/>
        <v>#REF!</v>
      </c>
      <c r="FB358" s="23" t="e">
        <f t="shared" si="1384"/>
        <v>#REF!</v>
      </c>
      <c r="FC358" s="23">
        <f t="shared" si="1317"/>
        <v>1.2</v>
      </c>
      <c r="FD358" s="23" t="e">
        <f t="shared" si="1385"/>
        <v>#REF!</v>
      </c>
      <c r="FE358" s="23">
        <f t="shared" si="1386"/>
        <v>0.8</v>
      </c>
      <c r="FF358" s="23">
        <f t="shared" si="1387"/>
        <v>1</v>
      </c>
      <c r="FG358" s="23">
        <f t="shared" si="1266"/>
        <v>1</v>
      </c>
      <c r="FH358" s="23"/>
      <c r="FR358" s="4">
        <f t="shared" si="1485"/>
        <v>1</v>
      </c>
      <c r="FS358" s="4">
        <f t="shared" si="1486"/>
        <v>0.79166666666666663</v>
      </c>
      <c r="FT358" s="4">
        <f t="shared" si="1487"/>
        <v>0</v>
      </c>
      <c r="FU358" s="4">
        <f t="shared" si="1488"/>
        <v>307.4167197200033</v>
      </c>
    </row>
    <row r="359" spans="2:177" ht="12" customHeight="1" x14ac:dyDescent="0.3">
      <c r="B359" s="24"/>
      <c r="C359" s="7" t="s">
        <v>500</v>
      </c>
      <c r="D359" s="38">
        <f t="shared" si="1542"/>
        <v>827.58620689655174</v>
      </c>
      <c r="E359" s="38">
        <f>9.17*25.4</f>
        <v>232.91799999999998</v>
      </c>
      <c r="F359" s="38">
        <f>6650/145</f>
        <v>45.862068965517238</v>
      </c>
      <c r="G359" s="38">
        <f t="shared" si="1341"/>
        <v>25.4</v>
      </c>
      <c r="H359" s="38">
        <f>15.3*25.4</f>
        <v>388.62</v>
      </c>
      <c r="I359" s="38">
        <f>2.45*25.4</f>
        <v>62.230000000000004</v>
      </c>
      <c r="J359" s="39">
        <f>3.5*25.4</f>
        <v>88.899999999999991</v>
      </c>
      <c r="K359" s="7">
        <f t="shared" si="1339"/>
        <v>93.98</v>
      </c>
      <c r="L359" s="38">
        <v>3</v>
      </c>
      <c r="M359" s="4">
        <f t="shared" si="1357"/>
        <v>260.34999999999997</v>
      </c>
      <c r="N359" s="7">
        <f t="shared" si="1224"/>
        <v>2.35</v>
      </c>
      <c r="O359" s="7">
        <f t="shared" si="1225"/>
        <v>2.95</v>
      </c>
      <c r="P359" s="38">
        <v>4</v>
      </c>
      <c r="Q359" s="4">
        <f t="shared" si="1342"/>
        <v>4</v>
      </c>
      <c r="R359" s="4">
        <f t="shared" si="1226"/>
        <v>5</v>
      </c>
      <c r="S359" s="7">
        <f t="shared" si="1227"/>
        <v>56.796126628494655</v>
      </c>
      <c r="V359" s="38">
        <f t="shared" si="1395"/>
        <v>545.51724137931035</v>
      </c>
      <c r="W359" s="4">
        <v>79.099999999999994</v>
      </c>
      <c r="X359" s="4">
        <f t="shared" si="1228"/>
        <v>1.0750809484919404</v>
      </c>
      <c r="Y359" s="38">
        <f t="shared" ref="Y359" si="1556">0.5*25.4</f>
        <v>12.7</v>
      </c>
      <c r="Z359" s="38">
        <v>10</v>
      </c>
      <c r="AA359" s="39">
        <f t="shared" ref="AA359" si="1557">3*25.4</f>
        <v>76.199999999999989</v>
      </c>
      <c r="AB359" s="39">
        <v>3</v>
      </c>
      <c r="AC359" s="39">
        <f>AB359-1</f>
        <v>2</v>
      </c>
      <c r="AD359" s="7"/>
      <c r="AE359" s="4">
        <f t="shared" si="1229"/>
        <v>232.91799999999998</v>
      </c>
      <c r="AF359" s="4">
        <f t="shared" si="1230"/>
        <v>0.5561613958560524</v>
      </c>
      <c r="AG359" s="4">
        <f t="shared" si="1231"/>
        <v>158.36267557236209</v>
      </c>
      <c r="AH359" s="4">
        <f t="shared" si="1232"/>
        <v>0.76434023991275901</v>
      </c>
      <c r="AI359" s="4">
        <v>1.25</v>
      </c>
      <c r="AJ359" s="4">
        <f t="shared" si="1513"/>
        <v>2.5</v>
      </c>
      <c r="AK359" s="38">
        <f t="shared" si="1340"/>
        <v>210.37320193056468</v>
      </c>
      <c r="AL359" s="38">
        <f t="shared" si="1264"/>
        <v>210.37320193056468</v>
      </c>
      <c r="AM359" s="38">
        <f t="shared" si="1233"/>
        <v>3.8437666713572023</v>
      </c>
      <c r="AN359" s="38">
        <f t="shared" si="1521"/>
        <v>210.37320193056462</v>
      </c>
      <c r="AO359" s="38">
        <f t="shared" si="1484"/>
        <v>1.0000000000000002</v>
      </c>
      <c r="AP359" s="38">
        <f t="shared" si="1522"/>
        <v>2.2585150110496457</v>
      </c>
      <c r="AQ359" s="4">
        <f t="shared" si="1523"/>
        <v>0</v>
      </c>
      <c r="AR359" s="4" t="e">
        <f>#REF!/G359*F359^0.5/0.19</f>
        <v>#REF!</v>
      </c>
      <c r="AS359" s="4">
        <f t="shared" si="1234"/>
        <v>1.102127659574468</v>
      </c>
      <c r="AT359" s="38">
        <f t="shared" si="1235"/>
        <v>475.13103448275854</v>
      </c>
      <c r="AU359" s="4">
        <f t="shared" si="1236"/>
        <v>0.44000000000000006</v>
      </c>
      <c r="AV359" s="4" t="e">
        <f>AU359*D359*#REF!/(D359*G359/2.75/F359^0.5)</f>
        <v>#REF!</v>
      </c>
      <c r="AW359" s="4" t="e">
        <f t="shared" si="1431"/>
        <v>#REF!</v>
      </c>
      <c r="AY359" s="4">
        <f t="shared" si="1237"/>
        <v>1.5</v>
      </c>
      <c r="AZ359" s="4" t="e">
        <f>(3*#REF!+30)*AY359*F359^0.5</f>
        <v>#REF!</v>
      </c>
      <c r="BB359" s="4">
        <f t="shared" si="1238"/>
        <v>455.70876680825171</v>
      </c>
      <c r="BC359" s="4">
        <f t="shared" si="1464"/>
        <v>0</v>
      </c>
      <c r="BD359" s="4">
        <f t="shared" si="1432"/>
        <v>0</v>
      </c>
      <c r="BL359" s="4">
        <f t="shared" si="1239"/>
        <v>46.99</v>
      </c>
      <c r="BP359" s="9"/>
      <c r="BR359" s="9"/>
      <c r="BS359" s="9"/>
      <c r="BT359" s="9">
        <f t="shared" si="1240"/>
        <v>46.99</v>
      </c>
      <c r="BU359" s="9">
        <f t="shared" si="1241"/>
        <v>62.230000000000004</v>
      </c>
      <c r="BV359" s="9">
        <f t="shared" si="1242"/>
        <v>1.4186818663340235</v>
      </c>
      <c r="BW359" s="40">
        <f t="shared" si="1343"/>
        <v>20</v>
      </c>
      <c r="BX359" s="9">
        <f t="shared" si="1243"/>
        <v>0.05</v>
      </c>
      <c r="BY359" s="9">
        <f t="shared" si="1433"/>
        <v>0.8</v>
      </c>
      <c r="BZ359" s="9">
        <f t="shared" si="1244"/>
        <v>0.99524931562137331</v>
      </c>
      <c r="CA359" s="9">
        <f t="shared" si="1245"/>
        <v>0.68</v>
      </c>
      <c r="CB359" s="9">
        <f t="shared" si="1246"/>
        <v>1.6041156142513788</v>
      </c>
      <c r="CC359" s="9">
        <f t="shared" si="1247"/>
        <v>3.5590222248427974</v>
      </c>
      <c r="CD359" s="40">
        <v>1</v>
      </c>
      <c r="CE359" s="9" t="e">
        <f>4*CC359*#REF!+60*CC359</f>
        <v>#REF!</v>
      </c>
      <c r="CG359" s="4" t="e">
        <f t="shared" si="1434"/>
        <v>#REF!</v>
      </c>
      <c r="CH359" s="4" t="e">
        <f t="shared" si="1435"/>
        <v>#REF!</v>
      </c>
      <c r="CI359" s="4" t="e">
        <f t="shared" si="1436"/>
        <v>#REF!</v>
      </c>
      <c r="CJ359" s="4" t="e">
        <f t="shared" si="1437"/>
        <v>#REF!</v>
      </c>
      <c r="CK359" s="4">
        <f t="shared" si="1438"/>
        <v>1.0750809484919404</v>
      </c>
      <c r="CL359" s="4">
        <f t="shared" si="1439"/>
        <v>1.1130622636058647</v>
      </c>
      <c r="CM359" s="4">
        <f t="shared" si="1310"/>
        <v>1.676977781714432</v>
      </c>
      <c r="CN359" s="4">
        <f t="shared" si="1344"/>
        <v>10</v>
      </c>
      <c r="CU359" s="4" t="e">
        <f t="shared" ref="CU359" si="1558">CG359</f>
        <v>#REF!</v>
      </c>
      <c r="CV359" s="4" t="e">
        <f t="shared" ref="CV359" si="1559">CH359</f>
        <v>#REF!</v>
      </c>
      <c r="CW359" s="4" t="e">
        <f t="shared" ref="CW359" si="1560">CJ359</f>
        <v>#REF!</v>
      </c>
      <c r="CX359" s="4">
        <f t="shared" ref="CX359" si="1561">CM359</f>
        <v>1.676977781714432</v>
      </c>
      <c r="CY359" s="4">
        <f t="shared" ref="CY359" si="1562">CK359</f>
        <v>1.0750809484919404</v>
      </c>
      <c r="CZ359" s="4">
        <f t="shared" ref="CZ359" si="1563">CL359</f>
        <v>1.1130622636058647</v>
      </c>
      <c r="DC359" s="4" t="e">
        <f>#REF!</f>
        <v>#REF!</v>
      </c>
      <c r="DF359" s="4">
        <f t="shared" si="1248"/>
        <v>1.8221231027775321E-5</v>
      </c>
      <c r="DG359" s="4">
        <f t="shared" si="1446"/>
        <v>10.256388811022733</v>
      </c>
      <c r="DH359" s="4">
        <f t="shared" si="1249"/>
        <v>0.25343254108029062</v>
      </c>
      <c r="DI359" s="4">
        <f t="shared" si="1447"/>
        <v>5.9229685617203174</v>
      </c>
      <c r="DJ359" s="4">
        <f t="shared" si="1448"/>
        <v>8.3767340140551969</v>
      </c>
      <c r="DK359" s="4">
        <f t="shared" si="1250"/>
        <v>9.6564537119373188</v>
      </c>
      <c r="DL359" s="38">
        <f t="shared" si="1251"/>
        <v>507.419689786643</v>
      </c>
      <c r="DM359" s="4" t="e">
        <f t="shared" si="1449"/>
        <v>#REF!</v>
      </c>
      <c r="DN359" s="4">
        <f t="shared" si="1252"/>
        <v>2.2360679774997898</v>
      </c>
      <c r="DO359" s="4">
        <f t="shared" si="1309"/>
        <v>210.37320193056462</v>
      </c>
      <c r="DS359" s="4">
        <f t="shared" si="1253"/>
        <v>0.85</v>
      </c>
      <c r="DT359" s="4">
        <f t="shared" si="1254"/>
        <v>0.91500000000000004</v>
      </c>
      <c r="DU359" s="4">
        <f t="shared" si="1255"/>
        <v>0.77500000000000002</v>
      </c>
      <c r="DV359" s="4">
        <f t="shared" si="1450"/>
        <v>0.70912500000000001</v>
      </c>
      <c r="DX359" s="4">
        <f t="shared" si="1256"/>
        <v>490.1048748270905</v>
      </c>
      <c r="DY359" s="25">
        <f t="shared" si="1502"/>
        <v>207.95161863585514</v>
      </c>
      <c r="EA359" s="4">
        <f t="shared" si="1503"/>
        <v>0.60275624999999999</v>
      </c>
      <c r="EB359" s="4">
        <f t="shared" si="1257"/>
        <v>10.256388811022733</v>
      </c>
      <c r="EE359" s="4">
        <f t="shared" si="1258"/>
        <v>56.796126628494655</v>
      </c>
      <c r="EF359" s="4">
        <f t="shared" si="1451"/>
        <v>2.2360679774997898</v>
      </c>
      <c r="EG359" s="4">
        <f t="shared" si="1259"/>
        <v>9.3847879695297828E-2</v>
      </c>
      <c r="EJ359" s="4">
        <f t="shared" si="1452"/>
        <v>9.3847879695297828E-2</v>
      </c>
      <c r="EK359" s="4">
        <f t="shared" si="1260"/>
        <v>0.25300960940263245</v>
      </c>
      <c r="EL359" s="4">
        <f t="shared" si="1453"/>
        <v>5.9190128482886895</v>
      </c>
      <c r="EM359" s="4">
        <f t="shared" si="1454"/>
        <v>8.3753436193313071</v>
      </c>
      <c r="EN359" s="4" t="e">
        <f t="shared" si="1455"/>
        <v>#REF!</v>
      </c>
      <c r="EO359" s="4" t="e">
        <f t="shared" si="1456"/>
        <v>#REF!</v>
      </c>
      <c r="EP359" s="4" t="e">
        <f t="shared" si="1261"/>
        <v>#REF!</v>
      </c>
      <c r="EQ359" s="4" t="e">
        <f t="shared" si="1457"/>
        <v>#REF!</v>
      </c>
      <c r="ER359" s="4" t="e">
        <f t="shared" si="1262"/>
        <v>#REF!</v>
      </c>
      <c r="FA359" s="23" t="e">
        <f t="shared" si="1383"/>
        <v>#REF!</v>
      </c>
      <c r="FB359" s="23" t="e">
        <f t="shared" si="1384"/>
        <v>#REF!</v>
      </c>
      <c r="FC359" s="23">
        <f t="shared" si="1317"/>
        <v>1.8</v>
      </c>
      <c r="FD359" s="23" t="e">
        <f t="shared" si="1385"/>
        <v>#REF!</v>
      </c>
      <c r="FE359" s="23">
        <f t="shared" si="1386"/>
        <v>1.2</v>
      </c>
      <c r="FF359" s="23">
        <f t="shared" si="1387"/>
        <v>1.2</v>
      </c>
      <c r="FG359" s="23">
        <f t="shared" si="1266"/>
        <v>0</v>
      </c>
      <c r="FH359" s="23"/>
      <c r="FR359" s="4">
        <f t="shared" si="1485"/>
        <v>1.25</v>
      </c>
      <c r="FS359" s="4">
        <f t="shared" si="1486"/>
        <v>0.58520000000000005</v>
      </c>
      <c r="FT359" s="4">
        <f t="shared" si="1487"/>
        <v>0.3</v>
      </c>
      <c r="FU359" s="4">
        <f t="shared" si="1488"/>
        <v>325.29783478801329</v>
      </c>
    </row>
    <row r="360" spans="2:177" ht="12" customHeight="1" x14ac:dyDescent="0.3">
      <c r="B360" s="24"/>
      <c r="C360" s="7" t="s">
        <v>501</v>
      </c>
      <c r="D360" s="38">
        <f t="shared" si="1542"/>
        <v>827.58620689655174</v>
      </c>
      <c r="E360" s="38">
        <f>9.47*25.4</f>
        <v>240.53800000000001</v>
      </c>
      <c r="F360" s="38">
        <f>6650/145</f>
        <v>45.862068965517238</v>
      </c>
      <c r="G360" s="38">
        <f t="shared" si="1341"/>
        <v>25.4</v>
      </c>
      <c r="H360" s="38">
        <f>14.8*25.4</f>
        <v>375.92</v>
      </c>
      <c r="I360" s="38">
        <f>2.45*25.4</f>
        <v>62.230000000000004</v>
      </c>
      <c r="J360" s="39">
        <f>3.3*25.4</f>
        <v>83.82</v>
      </c>
      <c r="K360" s="7">
        <f t="shared" si="1339"/>
        <v>49.953333333333347</v>
      </c>
      <c r="L360" s="38">
        <v>4</v>
      </c>
      <c r="M360" s="4">
        <f t="shared" si="1357"/>
        <v>260.34999999999997</v>
      </c>
      <c r="N360" s="7">
        <f t="shared" si="1224"/>
        <v>1.4833333333333336</v>
      </c>
      <c r="O360" s="7">
        <f t="shared" si="1225"/>
        <v>2.95</v>
      </c>
      <c r="P360" s="38">
        <v>4</v>
      </c>
      <c r="Q360" s="4">
        <f t="shared" si="1342"/>
        <v>4</v>
      </c>
      <c r="R360" s="4">
        <f t="shared" si="1226"/>
        <v>5</v>
      </c>
      <c r="S360" s="7">
        <f t="shared" si="1227"/>
        <v>56.796126628494655</v>
      </c>
      <c r="V360" s="38">
        <f t="shared" si="1395"/>
        <v>228.27586206896555</v>
      </c>
      <c r="W360" s="4">
        <v>33.1</v>
      </c>
      <c r="X360" s="4">
        <f t="shared" si="1228"/>
        <v>0.62319362436667958</v>
      </c>
      <c r="Y360" s="38"/>
      <c r="Z360" s="38"/>
      <c r="AA360" s="39">
        <v>1</v>
      </c>
      <c r="AB360" s="39"/>
      <c r="AC360" s="39"/>
      <c r="AD360" s="7"/>
      <c r="AE360" s="4">
        <f t="shared" si="1229"/>
        <v>240.53800000000001</v>
      </c>
      <c r="AF360" s="4">
        <f t="shared" si="1230"/>
        <v>0.52094332981344593</v>
      </c>
      <c r="AG360" s="4">
        <f t="shared" si="1231"/>
        <v>124.64792666075199</v>
      </c>
      <c r="AH360" s="4">
        <f t="shared" si="1232"/>
        <v>0.76230200633579726</v>
      </c>
      <c r="AI360" s="4">
        <v>1.25</v>
      </c>
      <c r="AJ360" s="4">
        <f t="shared" si="1513"/>
        <v>2.5</v>
      </c>
      <c r="AK360" s="38">
        <f t="shared" si="1340"/>
        <v>154.68657556433811</v>
      </c>
      <c r="AL360" s="38">
        <f t="shared" si="1264"/>
        <v>154.68657556433811</v>
      </c>
      <c r="AM360" s="38">
        <f t="shared" si="1233"/>
        <v>3.8437666713572023</v>
      </c>
      <c r="AN360" s="38">
        <f t="shared" si="1521"/>
        <v>154.68657556433794</v>
      </c>
      <c r="AO360" s="38">
        <f t="shared" si="1484"/>
        <v>1.0000000000000011</v>
      </c>
      <c r="AP360" s="38">
        <f t="shared" si="1522"/>
        <v>2.4548861441214105</v>
      </c>
      <c r="AQ360" s="4">
        <f t="shared" si="1523"/>
        <v>0</v>
      </c>
      <c r="AR360" s="4" t="e">
        <f>#REF!/G360*F360^0.5/0.19</f>
        <v>#REF!</v>
      </c>
      <c r="AS360" s="4">
        <f t="shared" si="1234"/>
        <v>1.395505617977528</v>
      </c>
      <c r="AT360" s="38">
        <f t="shared" si="1235"/>
        <v>379.73793103448276</v>
      </c>
      <c r="AU360" s="4">
        <f t="shared" si="1236"/>
        <v>0.44000000000000006</v>
      </c>
      <c r="AV360" s="4" t="e">
        <f>AU360*D360*#REF!/(D360*G360/2.75/F360^0.5)</f>
        <v>#REF!</v>
      </c>
      <c r="AW360" s="4" t="e">
        <f t="shared" si="1431"/>
        <v>#REF!</v>
      </c>
      <c r="AY360" s="4">
        <f t="shared" si="1237"/>
        <v>1.3625</v>
      </c>
      <c r="AZ360" s="4" t="e">
        <f>(3*#REF!+30)*AY360*F360^0.5</f>
        <v>#REF!</v>
      </c>
      <c r="BB360" s="4">
        <f t="shared" si="1238"/>
        <v>364.21511478497354</v>
      </c>
      <c r="BC360" s="4">
        <f t="shared" si="1464"/>
        <v>0</v>
      </c>
      <c r="BD360" s="4">
        <f t="shared" si="1432"/>
        <v>0</v>
      </c>
      <c r="BL360" s="4">
        <f t="shared" si="1239"/>
        <v>24.976666666666674</v>
      </c>
      <c r="BP360" s="9"/>
      <c r="BR360" s="9"/>
      <c r="BS360" s="9"/>
      <c r="BT360" s="9">
        <f t="shared" si="1240"/>
        <v>24.976666666666674</v>
      </c>
      <c r="BU360" s="9">
        <f t="shared" si="1241"/>
        <v>62.230000000000004</v>
      </c>
      <c r="BV360" s="9">
        <f t="shared" si="1242"/>
        <v>1.1371563454107663</v>
      </c>
      <c r="BW360" s="40">
        <f t="shared" si="1343"/>
        <v>0</v>
      </c>
      <c r="BX360" s="9">
        <f t="shared" si="1243"/>
        <v>0</v>
      </c>
      <c r="BY360" s="9">
        <f t="shared" si="1433"/>
        <v>0</v>
      </c>
      <c r="BZ360" s="9">
        <f t="shared" si="1244"/>
        <v>0.99524931562137331</v>
      </c>
      <c r="CA360" s="9">
        <f t="shared" si="1245"/>
        <v>0.68</v>
      </c>
      <c r="CB360" s="9">
        <f t="shared" si="1246"/>
        <v>1.6041156142513788</v>
      </c>
      <c r="CC360" s="9">
        <f t="shared" si="1247"/>
        <v>1.8241302495184444</v>
      </c>
      <c r="CD360" s="40">
        <v>1</v>
      </c>
      <c r="CE360" s="9" t="e">
        <f>4*CC360*#REF!+60*CC360</f>
        <v>#REF!</v>
      </c>
      <c r="CG360" s="4" t="e">
        <f t="shared" si="1434"/>
        <v>#REF!</v>
      </c>
      <c r="CH360" s="4" t="e">
        <f t="shared" si="1435"/>
        <v>#REF!</v>
      </c>
      <c r="CI360" s="4" t="e">
        <f t="shared" si="1436"/>
        <v>#REF!</v>
      </c>
      <c r="CJ360" s="4" t="e">
        <f t="shared" si="1437"/>
        <v>#REF!</v>
      </c>
      <c r="CK360" s="4">
        <f t="shared" si="1438"/>
        <v>0.62319362436667958</v>
      </c>
      <c r="CL360" s="4">
        <f t="shared" si="1439"/>
        <v>0.63480838312555887</v>
      </c>
      <c r="CM360" s="4">
        <f t="shared" si="1310"/>
        <v>1.0676265150499875</v>
      </c>
      <c r="CN360" s="4">
        <f t="shared" si="1344"/>
        <v>0</v>
      </c>
      <c r="CO360" s="4" t="e">
        <f t="shared" ref="CO360" si="1564">CG360</f>
        <v>#REF!</v>
      </c>
      <c r="CP360" s="4" t="e">
        <f t="shared" ref="CP360" si="1565">CH360</f>
        <v>#REF!</v>
      </c>
      <c r="CQ360" s="4" t="e">
        <f t="shared" ref="CQ360" si="1566">CJ360</f>
        <v>#REF!</v>
      </c>
      <c r="CR360" s="4">
        <f t="shared" si="1536"/>
        <v>1.0676265150499875</v>
      </c>
      <c r="CS360" s="4">
        <f t="shared" ref="CS360" si="1567">CK360</f>
        <v>0.62319362436667958</v>
      </c>
      <c r="CT360" s="4">
        <f t="shared" ref="CT360" si="1568">CL360</f>
        <v>0.63480838312555887</v>
      </c>
      <c r="DC360" s="4" t="e">
        <f>#REF!</f>
        <v>#REF!</v>
      </c>
      <c r="DF360" s="4">
        <f t="shared" si="1248"/>
        <v>1.8817345456164922E-5</v>
      </c>
      <c r="DG360" s="4">
        <f t="shared" si="1446"/>
        <v>7.2730617156164961</v>
      </c>
      <c r="DH360" s="4">
        <f t="shared" si="1249"/>
        <v>0.18634793574714756</v>
      </c>
      <c r="DI360" s="4">
        <f t="shared" si="1447"/>
        <v>3.7140445371509778</v>
      </c>
      <c r="DJ360" s="4">
        <f t="shared" si="1448"/>
        <v>5.7772651340212935</v>
      </c>
      <c r="DK360" s="4">
        <f t="shared" si="1250"/>
        <v>6.9625541839601279</v>
      </c>
      <c r="DL360" s="38">
        <f t="shared" si="1251"/>
        <v>366.30006011526649</v>
      </c>
      <c r="DM360" s="4" t="e">
        <f t="shared" si="1449"/>
        <v>#REF!</v>
      </c>
      <c r="DN360" s="4">
        <f t="shared" si="1252"/>
        <v>2.2360679774997898</v>
      </c>
      <c r="DO360" s="4">
        <f t="shared" si="1309"/>
        <v>154.68657556433794</v>
      </c>
      <c r="DS360" s="4">
        <f t="shared" si="1253"/>
        <v>0.85</v>
      </c>
      <c r="DT360" s="4">
        <f t="shared" si="1254"/>
        <v>1</v>
      </c>
      <c r="DU360" s="4">
        <f t="shared" si="1255"/>
        <v>1</v>
      </c>
      <c r="DV360" s="4">
        <f t="shared" si="1450"/>
        <v>1</v>
      </c>
      <c r="DX360" s="4">
        <f t="shared" si="1256"/>
        <v>359.59805846454111</v>
      </c>
      <c r="DY360" s="25">
        <f t="shared" si="1502"/>
        <v>152.97037512387644</v>
      </c>
      <c r="EA360" s="4">
        <f t="shared" si="1503"/>
        <v>0.85</v>
      </c>
      <c r="EB360" s="4">
        <f t="shared" si="1257"/>
        <v>7.2730617156164961</v>
      </c>
      <c r="EE360" s="4">
        <f t="shared" si="1258"/>
        <v>56.796126628494655</v>
      </c>
      <c r="EF360" s="4">
        <f t="shared" si="1451"/>
        <v>2.2360679774997898</v>
      </c>
      <c r="EG360" s="4">
        <f t="shared" si="1259"/>
        <v>6.9005971296814891E-2</v>
      </c>
      <c r="EJ360" s="4">
        <f t="shared" si="1452"/>
        <v>6.9005971296814891E-2</v>
      </c>
      <c r="EK360" s="4">
        <f t="shared" si="1260"/>
        <v>0.18603695577291959</v>
      </c>
      <c r="EL360" s="4">
        <f t="shared" si="1453"/>
        <v>3.711564075587122</v>
      </c>
      <c r="EM360" s="4">
        <f t="shared" si="1454"/>
        <v>5.7764763931624632</v>
      </c>
      <c r="EN360" s="4" t="e">
        <f t="shared" si="1455"/>
        <v>#REF!</v>
      </c>
      <c r="EO360" s="4" t="e">
        <f t="shared" si="1456"/>
        <v>#REF!</v>
      </c>
      <c r="EP360" s="4" t="e">
        <f t="shared" si="1261"/>
        <v>#REF!</v>
      </c>
      <c r="EQ360" s="4" t="e">
        <f t="shared" si="1457"/>
        <v>#REF!</v>
      </c>
      <c r="ER360" s="4" t="e">
        <f t="shared" si="1262"/>
        <v>#REF!</v>
      </c>
      <c r="FA360" s="23" t="e">
        <f t="shared" si="1383"/>
        <v>#REF!</v>
      </c>
      <c r="FB360" s="23" t="e">
        <f t="shared" si="1384"/>
        <v>#REF!</v>
      </c>
      <c r="FC360" s="23">
        <f t="shared" si="1317"/>
        <v>1.2</v>
      </c>
      <c r="FD360" s="23" t="e">
        <f t="shared" si="1385"/>
        <v>#REF!</v>
      </c>
      <c r="FE360" s="23">
        <f t="shared" si="1386"/>
        <v>0.8</v>
      </c>
      <c r="FF360" s="23">
        <f t="shared" si="1387"/>
        <v>0.8</v>
      </c>
      <c r="FG360" s="23">
        <f t="shared" si="1266"/>
        <v>1</v>
      </c>
      <c r="FH360" s="23"/>
      <c r="FR360" s="4">
        <f t="shared" si="1485"/>
        <v>1.25</v>
      </c>
      <c r="FS360" s="4">
        <f t="shared" si="1486"/>
        <v>0.91944444444444429</v>
      </c>
      <c r="FT360" s="4">
        <f t="shared" si="1487"/>
        <v>0</v>
      </c>
      <c r="FU360" s="4">
        <f t="shared" si="1488"/>
        <v>213.81621648679024</v>
      </c>
    </row>
    <row r="361" spans="2:177" ht="12" customHeight="1" x14ac:dyDescent="0.3">
      <c r="B361" s="24"/>
      <c r="C361" s="7" t="s">
        <v>502</v>
      </c>
      <c r="D361" s="38">
        <f t="shared" si="1542"/>
        <v>827.58620689655174</v>
      </c>
      <c r="E361" s="38">
        <f>9.66*25.4</f>
        <v>245.36399999999998</v>
      </c>
      <c r="F361" s="38">
        <f>6650/145</f>
        <v>45.862068965517238</v>
      </c>
      <c r="G361" s="38">
        <f t="shared" si="1341"/>
        <v>25.4</v>
      </c>
      <c r="H361" s="38">
        <f>15.3*25.4</f>
        <v>388.62</v>
      </c>
      <c r="I361" s="38">
        <f>2.55*25.4</f>
        <v>64.77</v>
      </c>
      <c r="J361" s="39">
        <f>3*25.4</f>
        <v>76.199999999999989</v>
      </c>
      <c r="K361" s="7">
        <f t="shared" si="1339"/>
        <v>52.493333333333332</v>
      </c>
      <c r="L361" s="38">
        <v>4</v>
      </c>
      <c r="M361" s="4">
        <f t="shared" si="1357"/>
        <v>260.34999999999997</v>
      </c>
      <c r="N361" s="7">
        <f t="shared" ref="N361:N424" si="1569">MIN(I361/G361+0.5, K361/2/G361+0.5)</f>
        <v>1.5333333333333334</v>
      </c>
      <c r="O361" s="7">
        <f t="shared" ref="O361:O424" si="1570">I361/G361+0.5</f>
        <v>3.05</v>
      </c>
      <c r="P361" s="38">
        <v>4</v>
      </c>
      <c r="Q361" s="4">
        <f t="shared" si="1342"/>
        <v>4</v>
      </c>
      <c r="R361" s="4">
        <f t="shared" ref="R361:R424" si="1571">Q361+1</f>
        <v>5</v>
      </c>
      <c r="S361" s="7">
        <f t="shared" ref="S361:S424" si="1572">G361*R361^0.5</f>
        <v>56.796126628494655</v>
      </c>
      <c r="V361" s="38">
        <f t="shared" si="1395"/>
        <v>424.13793103448279</v>
      </c>
      <c r="W361" s="4">
        <v>61.5</v>
      </c>
      <c r="X361" s="4">
        <f t="shared" ref="X361:X424" si="1573">CK361</f>
        <v>0.96051437093285852</v>
      </c>
      <c r="Y361" s="38">
        <f t="shared" ref="Y361" si="1574">0.5*25.4</f>
        <v>12.7</v>
      </c>
      <c r="Z361" s="38">
        <v>10</v>
      </c>
      <c r="AA361" s="39">
        <f t="shared" ref="AA361" si="1575">3*25.4</f>
        <v>76.199999999999989</v>
      </c>
      <c r="AB361" s="39">
        <v>3</v>
      </c>
      <c r="AC361" s="39">
        <f>AB361-1</f>
        <v>2</v>
      </c>
      <c r="AD361" s="7"/>
      <c r="AE361" s="4">
        <f t="shared" ref="AE361:AE424" si="1576">E361</f>
        <v>245.36399999999998</v>
      </c>
      <c r="AF361" s="4">
        <f t="shared" ref="AF361:AF424" si="1577">IF(E361*3&gt;K361+G361, H361, (I361+G361/2)*2+1.5*E361*(2*L361-2))*(3*E361)/(9*E361^2)</f>
        <v>0.5279503105590061</v>
      </c>
      <c r="AG361" s="4">
        <f t="shared" ref="AG361:AG424" si="1578">MIN(10*F361^0.5*E361^1.5,100*3.9*F361^0.5*E361^(5/3))/(PI()/4*G361^2)/L361</f>
        <v>128.41796400921942</v>
      </c>
      <c r="AH361" s="4">
        <f t="shared" ref="AH361:AH424" si="1579">MIN(0.7+0.3*(MIN(I361,M361)+0.5*G361)/1.5/E361,1)</f>
        <v>0.76314699792960661</v>
      </c>
      <c r="AI361" s="4">
        <v>1.25</v>
      </c>
      <c r="AJ361" s="4">
        <f t="shared" si="1513"/>
        <v>2.5</v>
      </c>
      <c r="AK361" s="38">
        <f t="shared" si="1340"/>
        <v>161.68772545960374</v>
      </c>
      <c r="AL361" s="38">
        <f t="shared" si="1264"/>
        <v>161.68772545960374</v>
      </c>
      <c r="AM361" s="38">
        <f t="shared" ref="AM361:AM424" si="1580">IF(F361&lt;50, 0.3*F361^(2/3), 2.12*LN(1+0.1*(F361+8)))</f>
        <v>3.8437666713572023</v>
      </c>
      <c r="AN361" s="38">
        <f t="shared" si="1521"/>
        <v>161.68772545960394</v>
      </c>
      <c r="AO361" s="38">
        <f t="shared" si="1484"/>
        <v>0.99999999999999878</v>
      </c>
      <c r="AP361" s="38">
        <f t="shared" si="1522"/>
        <v>2.4280093571042878</v>
      </c>
      <c r="AQ361" s="4">
        <f t="shared" si="1523"/>
        <v>0</v>
      </c>
      <c r="AR361" s="4" t="e">
        <f>#REF!/G361*F361^0.5/0.19</f>
        <v>#REF!</v>
      </c>
      <c r="AS361" s="4">
        <f t="shared" ref="AS361:AS424" si="1581">MIN(0.6+0.4*(O361/N361),2)</f>
        <v>1.3956521739130434</v>
      </c>
      <c r="AT361" s="38">
        <f t="shared" ref="AT361:AT424" si="1582">2*F361*N361*P361^0.5*AS361*0.7/0.7</f>
        <v>392.57931034482755</v>
      </c>
      <c r="AU361" s="4">
        <f t="shared" ref="AU361:AU424" si="1583">MAX(1-0.7*Q361/5,0.3)</f>
        <v>0.44000000000000006</v>
      </c>
      <c r="AV361" s="4" t="e">
        <f>AU361*D361*#REF!/(D361*G361/2.75/F361^0.5)</f>
        <v>#REF!</v>
      </c>
      <c r="AW361" s="4" t="e">
        <f t="shared" si="1431"/>
        <v>#REF!</v>
      </c>
      <c r="AY361" s="4">
        <f t="shared" ref="AY361:AY424" si="1584">MIN(1.5, 0.75+0.25*MIN(3,MAX(1,I361/G361))+0.4*MIN(1,(40*2*PI()*Y361^2/4/AA361/L361)/G361))</f>
        <v>1.5</v>
      </c>
      <c r="AZ361" s="4" t="e">
        <f>(3*#REF!+30)*AY361*F361^0.5</f>
        <v>#REF!</v>
      </c>
      <c r="BB361" s="4">
        <f t="shared" ref="BB361:BB424" si="1585">3.4/PI()^0.5*F361*N361*Q361^0.5*AS361</f>
        <v>376.5315679419532</v>
      </c>
      <c r="BC361" s="4">
        <f t="shared" si="1464"/>
        <v>0</v>
      </c>
      <c r="BD361" s="4">
        <f t="shared" si="1432"/>
        <v>0</v>
      </c>
      <c r="BL361" s="4">
        <f t="shared" ref="BL361:BL424" si="1586">IF(K361=0,I361,MIN(K361/2,I361))</f>
        <v>26.246666666666666</v>
      </c>
      <c r="BP361" s="9"/>
      <c r="BR361" s="9"/>
      <c r="BS361" s="9"/>
      <c r="BT361" s="9">
        <f t="shared" ref="BT361:BT424" si="1587">IF(K361=0,MIN(I361,J361),MIN(K361/2,I361,J361))</f>
        <v>26.246666666666666</v>
      </c>
      <c r="BU361" s="9">
        <f t="shared" ref="BU361:BU424" si="1588">MAX(K361/2,I361)</f>
        <v>64.77</v>
      </c>
      <c r="BV361" s="9">
        <f t="shared" ref="BV361:BV424" si="1589">(BT361/G361)^0.5*(BU361/BT361)^0.15</f>
        <v>1.1640327001925783</v>
      </c>
      <c r="BW361" s="40">
        <f t="shared" si="1343"/>
        <v>20</v>
      </c>
      <c r="BX361" s="9">
        <f t="shared" ref="BX361:BX424" si="1590">MIN(PI()*Y361^2/4*Z361*2/L361/G361/MAX(0.01,AA361),0.05)</f>
        <v>0.05</v>
      </c>
      <c r="BY361" s="9">
        <f t="shared" si="1433"/>
        <v>0.8</v>
      </c>
      <c r="BZ361" s="9">
        <f t="shared" ref="BZ361:BZ424" si="1591">MIN(1,(25/G361)^0.3)</f>
        <v>0.99524931562137331</v>
      </c>
      <c r="CA361" s="9">
        <f t="shared" ref="CA361:CA424" si="1592">IF(D361&gt;=800,0.68,IF(D361&gt;=700,0.75-(D361-700)*0.07/100,IF(D361&gt;=600,0.85-(D361-600)*0.1/100,IF(D361&gt;=500,1-(D361-500)*0.15/100,1.2-(D361-400)*0.2/100))))</f>
        <v>0.68</v>
      </c>
      <c r="CB361" s="9">
        <f t="shared" ref="CB361:CB424" si="1593">1.75*BZ361*CA361*(F361/25)^0.5</f>
        <v>1.6041156142513788</v>
      </c>
      <c r="CC361" s="9">
        <f t="shared" ref="CC361:CC424" si="1594">MIN((BV361+BY361)*CB361,2.5*CB361,F361^0.5)</f>
        <v>3.1505355212792119</v>
      </c>
      <c r="CD361" s="40">
        <v>1</v>
      </c>
      <c r="CE361" s="9" t="e">
        <f>4*CC361*#REF!+60*CC361</f>
        <v>#REF!</v>
      </c>
      <c r="CG361" s="4" t="e">
        <f t="shared" si="1434"/>
        <v>#REF!</v>
      </c>
      <c r="CH361" s="4" t="e">
        <f t="shared" si="1435"/>
        <v>#REF!</v>
      </c>
      <c r="CI361" s="4" t="e">
        <f t="shared" si="1436"/>
        <v>#REF!</v>
      </c>
      <c r="CJ361" s="4" t="e">
        <f t="shared" si="1437"/>
        <v>#REF!</v>
      </c>
      <c r="CK361" s="4">
        <f t="shared" si="1438"/>
        <v>0.96051437093285852</v>
      </c>
      <c r="CL361" s="4">
        <f t="shared" si="1439"/>
        <v>0.97995058160380566</v>
      </c>
      <c r="CM361" s="4">
        <f t="shared" si="1310"/>
        <v>1.1117656600092876</v>
      </c>
      <c r="CN361" s="4">
        <f t="shared" si="1344"/>
        <v>10</v>
      </c>
      <c r="CU361" s="4" t="e">
        <f t="shared" ref="CU361" si="1595">CG361</f>
        <v>#REF!</v>
      </c>
      <c r="CV361" s="4" t="e">
        <f t="shared" ref="CV361" si="1596">CH361</f>
        <v>#REF!</v>
      </c>
      <c r="CW361" s="4" t="e">
        <f t="shared" ref="CW361" si="1597">CJ361</f>
        <v>#REF!</v>
      </c>
      <c r="CX361" s="4">
        <f t="shared" ref="CX361" si="1598">CM361</f>
        <v>1.1117656600092876</v>
      </c>
      <c r="CY361" s="4">
        <f t="shared" ref="CY361" si="1599">CK361</f>
        <v>0.96051437093285852</v>
      </c>
      <c r="CZ361" s="4">
        <f t="shared" ref="CZ361" si="1600">CL361</f>
        <v>0.97995058160380566</v>
      </c>
      <c r="DC361" s="4" t="e">
        <f>#REF!</f>
        <v>#REF!</v>
      </c>
      <c r="DF361" s="4">
        <f t="shared" ref="DF361:DF424" si="1601">E361/4/(1-0.3*(F361/30)^0.5)/200000/G361</f>
        <v>1.9194884594144994E-5</v>
      </c>
      <c r="DG361" s="4">
        <f t="shared" si="1446"/>
        <v>9.4159823699857537</v>
      </c>
      <c r="DH361" s="4">
        <f t="shared" ref="DH361:DH424" si="1602">DO361*S361/257/F361/P361</f>
        <v>0.19478208606742883</v>
      </c>
      <c r="DI361" s="4">
        <f t="shared" si="1447"/>
        <v>4.8942397704336393</v>
      </c>
      <c r="DJ361" s="4">
        <f t="shared" si="1448"/>
        <v>7.5069937070610697</v>
      </c>
      <c r="DK361" s="4">
        <f t="shared" ref="DK361:DK424" si="1603">MAX(DG361/2, (4-DF361*(8*S361*(DI361-DJ361)+6*E361*DJ361))/(4+DF361*E361*DG361)*DG361)</f>
        <v>8.8718971860366747</v>
      </c>
      <c r="DL361" s="38">
        <f t="shared" ref="DL361:DL424" si="1604">MIN(1/G361*(4*S361*(DI361-DJ361)+(3*DJ361+DK361)*E361)+DO361 -EV361,MAX(D361,V361))</f>
        <v>441.57374826423154</v>
      </c>
      <c r="DM361" s="4" t="e">
        <f t="shared" si="1449"/>
        <v>#REF!</v>
      </c>
      <c r="DN361" s="4">
        <f t="shared" ref="DN361:DN424" si="1605">S361/G361</f>
        <v>2.2360679774997898</v>
      </c>
      <c r="DO361" s="4">
        <f t="shared" si="1309"/>
        <v>161.68772545960394</v>
      </c>
      <c r="DS361" s="4">
        <f t="shared" ref="DS361:DS424" si="1606">IF(J361&gt;1*G361,0.85,1)</f>
        <v>0.85</v>
      </c>
      <c r="DT361" s="4">
        <f t="shared" ref="DT361:DT424" si="1607">MIN(1,MAX(0.7,(1-0.1*(BL361-1*G361)/G361)))</f>
        <v>0.9966666666666667</v>
      </c>
      <c r="DU361" s="4">
        <f t="shared" ref="DU361:DU424" si="1608">MIN(1,MAX(0.7,1-0.3*(PI()*Y361^2/4*AC361*2-0.25*PI()/4*G361^2)/(PI()/4*G361^2)))</f>
        <v>0.77500000000000002</v>
      </c>
      <c r="DV361" s="4">
        <f t="shared" si="1450"/>
        <v>0.77241666666666675</v>
      </c>
      <c r="DX361" s="4">
        <f t="shared" ref="DX361:DX424" si="1609">MIN(DG361/G361*3*E361+DY361-EV361,MAX(D361,V361))</f>
        <v>432.81563274377635</v>
      </c>
      <c r="DY361" s="25">
        <f t="shared" si="1502"/>
        <v>159.94046366158921</v>
      </c>
      <c r="EA361" s="4">
        <f t="shared" si="1503"/>
        <v>0.65655416666666677</v>
      </c>
      <c r="EB361" s="4">
        <f t="shared" ref="EB361:EB424" si="1610">IF(G361&lt;22.2,1.1*5*(F361/30)^0.5,IF(G361&gt;=31.8,0.9*5*(F361/30)^0.5,1*5*(F361/30)^0.5))/DS361/DV361</f>
        <v>9.4159823699857537</v>
      </c>
      <c r="EE361" s="4">
        <f t="shared" ref="EE361:EE424" si="1611">EF361*G361</f>
        <v>56.796126628494655</v>
      </c>
      <c r="EF361" s="4">
        <f t="shared" si="1451"/>
        <v>2.2360679774997898</v>
      </c>
      <c r="EG361" s="4">
        <f t="shared" ref="EG361:EG424" si="1612">MIN(DO361)/(4700*F361^0.5)/Q361*EE361</f>
        <v>7.2129197387733698E-2</v>
      </c>
      <c r="EJ361" s="4">
        <f t="shared" si="1452"/>
        <v>7.2129197387733698E-2</v>
      </c>
      <c r="EK361" s="4">
        <f t="shared" ref="EK361:EK424" si="1613">MIN(0.999, EJ361/(0.3*(F361/30)^0.5))</f>
        <v>0.19445703106822826</v>
      </c>
      <c r="EL361" s="4">
        <f t="shared" si="1453"/>
        <v>4.8909711037514221</v>
      </c>
      <c r="EM361" s="4">
        <f t="shared" si="1454"/>
        <v>7.5059387417506507</v>
      </c>
      <c r="EN361" s="4" t="e">
        <f t="shared" si="1455"/>
        <v>#REF!</v>
      </c>
      <c r="EO361" s="4" t="e">
        <f t="shared" si="1456"/>
        <v>#REF!</v>
      </c>
      <c r="EP361" s="4" t="e">
        <f t="shared" ref="EP361:EP424" si="1614">EO361/(1-0.3*(F361/30)^0.5)/200000/G361</f>
        <v>#REF!</v>
      </c>
      <c r="EQ361" s="4" t="e">
        <f t="shared" si="1457"/>
        <v>#REF!</v>
      </c>
      <c r="ER361" s="4" t="e">
        <f t="shared" ref="ER361:ER424" si="1615">MIN(4/G361*(1*EL361*EE361+EM361*EN361+EO361*EQ361)+DO361,MAX(D361,V361))</f>
        <v>#REF!</v>
      </c>
      <c r="FA361" s="23" t="e">
        <f t="shared" si="1383"/>
        <v>#REF!</v>
      </c>
      <c r="FB361" s="23" t="e">
        <f t="shared" si="1384"/>
        <v>#REF!</v>
      </c>
      <c r="FC361" s="23">
        <f t="shared" si="1317"/>
        <v>1.2</v>
      </c>
      <c r="FD361" s="23" t="e">
        <f t="shared" si="1385"/>
        <v>#REF!</v>
      </c>
      <c r="FE361" s="23">
        <f t="shared" si="1386"/>
        <v>1</v>
      </c>
      <c r="FF361" s="23">
        <f t="shared" si="1387"/>
        <v>1</v>
      </c>
      <c r="FG361" s="23">
        <f t="shared" si="1266"/>
        <v>0</v>
      </c>
      <c r="FH361" s="23"/>
      <c r="FR361" s="4">
        <f t="shared" si="1485"/>
        <v>1</v>
      </c>
      <c r="FS361" s="4">
        <f t="shared" si="1486"/>
        <v>0.65706666666666669</v>
      </c>
      <c r="FT361" s="4">
        <f t="shared" si="1487"/>
        <v>0.3</v>
      </c>
      <c r="FU361" s="4">
        <f t="shared" si="1488"/>
        <v>381.49939892093772</v>
      </c>
    </row>
    <row r="362" spans="2:177" ht="12" customHeight="1" x14ac:dyDescent="0.3">
      <c r="B362" s="24"/>
      <c r="C362" s="7" t="s">
        <v>503</v>
      </c>
      <c r="D362" s="38">
        <f t="shared" si="1542"/>
        <v>827.58620689655174</v>
      </c>
      <c r="E362" s="38">
        <f>9.46*25.4</f>
        <v>240.28400000000002</v>
      </c>
      <c r="F362" s="38">
        <f>6790/145</f>
        <v>46.827586206896555</v>
      </c>
      <c r="G362" s="38">
        <f t="shared" si="1341"/>
        <v>25.4</v>
      </c>
      <c r="H362" s="38">
        <f>12.3*25.4</f>
        <v>312.42</v>
      </c>
      <c r="I362" s="38">
        <f>2.5*25.4</f>
        <v>63.5</v>
      </c>
      <c r="J362" s="39">
        <f>3.1*25.4</f>
        <v>78.739999999999995</v>
      </c>
      <c r="K362" s="7">
        <f t="shared" si="1339"/>
        <v>54.610000000000014</v>
      </c>
      <c r="L362" s="38">
        <v>3</v>
      </c>
      <c r="M362" s="4">
        <f t="shared" si="1357"/>
        <v>260.34999999999997</v>
      </c>
      <c r="N362" s="7">
        <f t="shared" si="1569"/>
        <v>1.5750000000000004</v>
      </c>
      <c r="O362" s="7">
        <f t="shared" si="1570"/>
        <v>3</v>
      </c>
      <c r="P362" s="38">
        <v>4</v>
      </c>
      <c r="Q362" s="4">
        <f t="shared" si="1342"/>
        <v>4</v>
      </c>
      <c r="R362" s="4">
        <f t="shared" si="1571"/>
        <v>5</v>
      </c>
      <c r="S362" s="7">
        <f t="shared" si="1572"/>
        <v>56.796126628494655</v>
      </c>
      <c r="V362" s="38">
        <f t="shared" si="1395"/>
        <v>343.44827586206895</v>
      </c>
      <c r="W362" s="4">
        <v>49.8</v>
      </c>
      <c r="X362" s="4">
        <f t="shared" si="1573"/>
        <v>0.87917179348650509</v>
      </c>
      <c r="Y362" s="38"/>
      <c r="Z362" s="38"/>
      <c r="AA362" s="39">
        <v>1</v>
      </c>
      <c r="AB362" s="39"/>
      <c r="AC362" s="39"/>
      <c r="AD362" s="7"/>
      <c r="AE362" s="4">
        <f t="shared" si="1576"/>
        <v>240.28400000000002</v>
      </c>
      <c r="AF362" s="4">
        <f t="shared" si="1577"/>
        <v>0.43340380549682872</v>
      </c>
      <c r="AG362" s="4">
        <f t="shared" si="1578"/>
        <v>167.67163383410892</v>
      </c>
      <c r="AH362" s="4">
        <f t="shared" si="1579"/>
        <v>0.76342494714587739</v>
      </c>
      <c r="AI362" s="4">
        <v>1.25</v>
      </c>
      <c r="AJ362" s="4">
        <f t="shared" si="1513"/>
        <v>2.5</v>
      </c>
      <c r="AK362" s="38">
        <f t="shared" si="1340"/>
        <v>173.36789891993814</v>
      </c>
      <c r="AL362" s="38">
        <f t="shared" ref="AL362:AL425" si="1616">AK362</f>
        <v>173.36789891993814</v>
      </c>
      <c r="AM362" s="38">
        <f t="shared" si="1580"/>
        <v>3.8975267336121062</v>
      </c>
      <c r="AN362" s="38">
        <f t="shared" si="1521"/>
        <v>173.3678989199382</v>
      </c>
      <c r="AO362" s="38">
        <f t="shared" si="1484"/>
        <v>0.99999999999999967</v>
      </c>
      <c r="AP362" s="38">
        <f t="shared" si="1522"/>
        <v>2.3175033680296027</v>
      </c>
      <c r="AQ362" s="4">
        <f t="shared" si="1523"/>
        <v>0</v>
      </c>
      <c r="AR362" s="4" t="e">
        <f>#REF!/G362*F362^0.5/0.19</f>
        <v>#REF!</v>
      </c>
      <c r="AS362" s="4">
        <f t="shared" si="1581"/>
        <v>1.3619047619047617</v>
      </c>
      <c r="AT362" s="38">
        <f t="shared" si="1582"/>
        <v>401.78068965517252</v>
      </c>
      <c r="AU362" s="4">
        <f t="shared" si="1583"/>
        <v>0.44000000000000006</v>
      </c>
      <c r="AV362" s="4" t="e">
        <f>AU362*D362*#REF!/(D362*G362/2.75/F362^0.5)</f>
        <v>#REF!</v>
      </c>
      <c r="AW362" s="4" t="e">
        <f t="shared" si="1431"/>
        <v>#REF!</v>
      </c>
      <c r="AY362" s="4">
        <f t="shared" si="1584"/>
        <v>1.375</v>
      </c>
      <c r="AZ362" s="4" t="e">
        <f>(3*#REF!+30)*AY362*F362^0.5</f>
        <v>#REF!</v>
      </c>
      <c r="BB362" s="4">
        <f t="shared" si="1585"/>
        <v>385.35681595593957</v>
      </c>
      <c r="BC362" s="4">
        <f t="shared" si="1464"/>
        <v>0</v>
      </c>
      <c r="BD362" s="4">
        <f t="shared" si="1432"/>
        <v>0</v>
      </c>
      <c r="BL362" s="4">
        <f t="shared" si="1586"/>
        <v>27.305000000000007</v>
      </c>
      <c r="BP362" s="9"/>
      <c r="BR362" s="9"/>
      <c r="BS362" s="9"/>
      <c r="BT362" s="9">
        <f t="shared" si="1587"/>
        <v>27.305000000000007</v>
      </c>
      <c r="BU362" s="9">
        <f t="shared" si="1588"/>
        <v>63.5</v>
      </c>
      <c r="BV362" s="9">
        <f t="shared" si="1589"/>
        <v>1.1767493410612269</v>
      </c>
      <c r="BW362" s="40">
        <f t="shared" si="1343"/>
        <v>0</v>
      </c>
      <c r="BX362" s="9">
        <f t="shared" si="1590"/>
        <v>0</v>
      </c>
      <c r="BY362" s="9">
        <f t="shared" si="1433"/>
        <v>0</v>
      </c>
      <c r="BZ362" s="9">
        <f t="shared" si="1591"/>
        <v>0.99524931562137331</v>
      </c>
      <c r="CA362" s="9">
        <f t="shared" si="1592"/>
        <v>0.68</v>
      </c>
      <c r="CB362" s="9">
        <f t="shared" si="1593"/>
        <v>1.6209130944490342</v>
      </c>
      <c r="CC362" s="9">
        <f t="shared" si="1594"/>
        <v>1.9074084158104152</v>
      </c>
      <c r="CD362" s="40">
        <v>1</v>
      </c>
      <c r="CE362" s="9" t="e">
        <f>4*CC362*#REF!+60*CC362</f>
        <v>#REF!</v>
      </c>
      <c r="CG362" s="4" t="e">
        <f t="shared" si="1434"/>
        <v>#REF!</v>
      </c>
      <c r="CH362" s="4" t="e">
        <f t="shared" si="1435"/>
        <v>#REF!</v>
      </c>
      <c r="CI362" s="4" t="e">
        <f t="shared" si="1436"/>
        <v>#REF!</v>
      </c>
      <c r="CJ362" s="4" t="e">
        <f t="shared" si="1437"/>
        <v>#REF!</v>
      </c>
      <c r="CK362" s="4">
        <f t="shared" si="1438"/>
        <v>0.87917179348650509</v>
      </c>
      <c r="CL362" s="4">
        <f t="shared" si="1439"/>
        <v>0.90003950832799662</v>
      </c>
      <c r="CM362" s="4">
        <f t="shared" si="1310"/>
        <v>1.2584341542185216</v>
      </c>
      <c r="CN362" s="4">
        <f t="shared" si="1344"/>
        <v>0</v>
      </c>
      <c r="CO362" s="4" t="e">
        <f t="shared" ref="CO362" si="1617">CG362</f>
        <v>#REF!</v>
      </c>
      <c r="CP362" s="4" t="e">
        <f t="shared" ref="CP362" si="1618">CH362</f>
        <v>#REF!</v>
      </c>
      <c r="CQ362" s="4" t="e">
        <f t="shared" ref="CQ362" si="1619">CJ362</f>
        <v>#REF!</v>
      </c>
      <c r="CR362" s="4">
        <f t="shared" si="1536"/>
        <v>1.2584341542185216</v>
      </c>
      <c r="CS362" s="4">
        <f t="shared" ref="CS362" si="1620">CK362</f>
        <v>0.87917179348650509</v>
      </c>
      <c r="CT362" s="4">
        <f t="shared" ref="CT362" si="1621">CL362</f>
        <v>0.90003950832799662</v>
      </c>
      <c r="DC362" s="4" t="e">
        <f>#REF!</f>
        <v>#REF!</v>
      </c>
      <c r="DF362" s="4">
        <f t="shared" si="1601"/>
        <v>1.8914259048600366E-5</v>
      </c>
      <c r="DG362" s="4">
        <f t="shared" si="1446"/>
        <v>7.4047571856479815</v>
      </c>
      <c r="DH362" s="4">
        <f t="shared" si="1602"/>
        <v>0.20454671916157116</v>
      </c>
      <c r="DI362" s="4">
        <f t="shared" si="1447"/>
        <v>3.9248930677358072</v>
      </c>
      <c r="DJ362" s="4">
        <f t="shared" si="1448"/>
        <v>5.9282759587841678</v>
      </c>
      <c r="DK362" s="4">
        <f t="shared" si="1603"/>
        <v>7.077824520316236</v>
      </c>
      <c r="DL362" s="38">
        <f t="shared" si="1604"/>
        <v>390.64978927504768</v>
      </c>
      <c r="DM362" s="4" t="e">
        <f t="shared" si="1449"/>
        <v>#REF!</v>
      </c>
      <c r="DN362" s="4">
        <f t="shared" si="1605"/>
        <v>2.2360679774997898</v>
      </c>
      <c r="DO362" s="4">
        <f t="shared" si="1309"/>
        <v>173.3678989199382</v>
      </c>
      <c r="DS362" s="4">
        <f t="shared" si="1606"/>
        <v>0.85</v>
      </c>
      <c r="DT362" s="4">
        <f t="shared" si="1607"/>
        <v>0.99249999999999994</v>
      </c>
      <c r="DU362" s="4">
        <f t="shared" si="1608"/>
        <v>1</v>
      </c>
      <c r="DV362" s="4">
        <f t="shared" si="1450"/>
        <v>0.99249999999999994</v>
      </c>
      <c r="DX362" s="4">
        <f t="shared" si="1609"/>
        <v>381.59244420291373</v>
      </c>
      <c r="DY362" s="25">
        <f t="shared" si="1502"/>
        <v>171.44543527422402</v>
      </c>
      <c r="EA362" s="4">
        <f t="shared" si="1503"/>
        <v>0.84362499999999996</v>
      </c>
      <c r="EB362" s="4">
        <f t="shared" si="1610"/>
        <v>7.4047571856479815</v>
      </c>
      <c r="EE362" s="4">
        <f t="shared" si="1611"/>
        <v>56.796126628494655</v>
      </c>
      <c r="EF362" s="4">
        <f t="shared" si="1451"/>
        <v>2.2360679774997898</v>
      </c>
      <c r="EG362" s="4">
        <f t="shared" si="1612"/>
        <v>7.6538274900780523E-2</v>
      </c>
      <c r="EJ362" s="4">
        <f t="shared" si="1452"/>
        <v>7.6538274900780523E-2</v>
      </c>
      <c r="EK362" s="4">
        <f t="shared" si="1613"/>
        <v>0.20420536880961671</v>
      </c>
      <c r="EL362" s="4">
        <f t="shared" si="1453"/>
        <v>3.9222717888848462</v>
      </c>
      <c r="EM362" s="4">
        <f t="shared" si="1454"/>
        <v>5.9274160600858794</v>
      </c>
      <c r="EN362" s="4" t="e">
        <f t="shared" si="1455"/>
        <v>#REF!</v>
      </c>
      <c r="EO362" s="4" t="e">
        <f t="shared" si="1456"/>
        <v>#REF!</v>
      </c>
      <c r="EP362" s="4" t="e">
        <f t="shared" si="1614"/>
        <v>#REF!</v>
      </c>
      <c r="EQ362" s="4" t="e">
        <f t="shared" si="1457"/>
        <v>#REF!</v>
      </c>
      <c r="ER362" s="4" t="e">
        <f t="shared" si="1615"/>
        <v>#REF!</v>
      </c>
      <c r="FA362" s="23" t="e">
        <f t="shared" si="1383"/>
        <v>#REF!</v>
      </c>
      <c r="FB362" s="23" t="e">
        <f t="shared" si="1384"/>
        <v>#REF!</v>
      </c>
      <c r="FC362" s="23">
        <f t="shared" si="1317"/>
        <v>1.4</v>
      </c>
      <c r="FD362" s="23" t="e">
        <f t="shared" si="1385"/>
        <v>#REF!</v>
      </c>
      <c r="FE362" s="23">
        <f t="shared" si="1386"/>
        <v>1</v>
      </c>
      <c r="FF362" s="23">
        <f t="shared" si="1387"/>
        <v>1</v>
      </c>
      <c r="FG362" s="23">
        <f t="shared" si="1266"/>
        <v>0</v>
      </c>
      <c r="FH362" s="23"/>
      <c r="FR362" s="4">
        <f t="shared" si="1485"/>
        <v>1</v>
      </c>
      <c r="FS362" s="4">
        <f t="shared" si="1486"/>
        <v>0.90416666666666656</v>
      </c>
      <c r="FT362" s="4">
        <f t="shared" si="1487"/>
        <v>0</v>
      </c>
      <c r="FU362" s="4">
        <f t="shared" si="1488"/>
        <v>272.91716035420848</v>
      </c>
    </row>
    <row r="363" spans="2:177" ht="12" customHeight="1" x14ac:dyDescent="0.3">
      <c r="B363" s="24"/>
      <c r="C363" s="7" t="s">
        <v>504</v>
      </c>
      <c r="D363" s="38">
        <f t="shared" si="1542"/>
        <v>827.58620689655174</v>
      </c>
      <c r="E363" s="38">
        <f>9.33*25.4</f>
        <v>236.982</v>
      </c>
      <c r="F363" s="38">
        <f>6650/145</f>
        <v>45.862068965517238</v>
      </c>
      <c r="G363" s="38">
        <f t="shared" si="1341"/>
        <v>25.4</v>
      </c>
      <c r="H363" s="38">
        <f>12.1*25.4</f>
        <v>307.33999999999997</v>
      </c>
      <c r="I363" s="38">
        <f t="shared" si="1345"/>
        <v>63.5</v>
      </c>
      <c r="J363" s="39">
        <f>3.23*25.4</f>
        <v>82.042000000000002</v>
      </c>
      <c r="K363" s="7">
        <f t="shared" si="1339"/>
        <v>52.069999999999993</v>
      </c>
      <c r="L363" s="38">
        <v>3</v>
      </c>
      <c r="M363" s="4">
        <f t="shared" si="1357"/>
        <v>260.34999999999997</v>
      </c>
      <c r="N363" s="7">
        <f t="shared" si="1569"/>
        <v>1.5249999999999999</v>
      </c>
      <c r="O363" s="7">
        <f t="shared" si="1570"/>
        <v>3</v>
      </c>
      <c r="P363" s="38">
        <v>4</v>
      </c>
      <c r="Q363" s="4">
        <f t="shared" si="1342"/>
        <v>4</v>
      </c>
      <c r="R363" s="4">
        <f t="shared" si="1571"/>
        <v>5</v>
      </c>
      <c r="S363" s="7">
        <f t="shared" si="1572"/>
        <v>56.796126628494655</v>
      </c>
      <c r="V363" s="38">
        <f t="shared" si="1395"/>
        <v>493.79310344827587</v>
      </c>
      <c r="W363" s="4">
        <v>71.599999999999994</v>
      </c>
      <c r="X363" s="4">
        <f t="shared" si="1573"/>
        <v>1.2347092535127056</v>
      </c>
      <c r="Y363" s="38">
        <f>0.375*25.4</f>
        <v>9.5249999999999986</v>
      </c>
      <c r="Z363" s="38">
        <v>10</v>
      </c>
      <c r="AA363" s="39">
        <f t="shared" ref="AA363" si="1622">3*25.4</f>
        <v>76.199999999999989</v>
      </c>
      <c r="AB363" s="39">
        <v>3</v>
      </c>
      <c r="AC363" s="39">
        <f>AB363-1</f>
        <v>2</v>
      </c>
      <c r="AD363" s="7"/>
      <c r="AE363" s="4">
        <f t="shared" si="1576"/>
        <v>236.982</v>
      </c>
      <c r="AF363" s="4">
        <f t="shared" si="1577"/>
        <v>0.43229724901750621</v>
      </c>
      <c r="AG363" s="4">
        <f t="shared" si="1578"/>
        <v>162.52541840444198</v>
      </c>
      <c r="AH363" s="4">
        <f t="shared" si="1579"/>
        <v>0.7643086816720257</v>
      </c>
      <c r="AI363" s="4">
        <v>1.25</v>
      </c>
      <c r="AJ363" s="4">
        <f t="shared" si="1513"/>
        <v>2.5</v>
      </c>
      <c r="AK363" s="38">
        <f t="shared" si="1340"/>
        <v>167.81183214704026</v>
      </c>
      <c r="AL363" s="38">
        <f t="shared" si="1616"/>
        <v>167.81183214704026</v>
      </c>
      <c r="AM363" s="38">
        <f t="shared" si="1580"/>
        <v>3.8437666713572023</v>
      </c>
      <c r="AN363" s="38">
        <f t="shared" si="1521"/>
        <v>167.81183214704018</v>
      </c>
      <c r="AO363" s="38">
        <f t="shared" si="1484"/>
        <v>1.0000000000000004</v>
      </c>
      <c r="AP363" s="38">
        <f t="shared" si="1522"/>
        <v>2.3120723877700602</v>
      </c>
      <c r="AQ363" s="4">
        <f t="shared" si="1523"/>
        <v>0</v>
      </c>
      <c r="AR363" s="4" t="e">
        <f>#REF!/G363*F363^0.5/0.19</f>
        <v>#REF!</v>
      </c>
      <c r="AS363" s="4">
        <f t="shared" si="1581"/>
        <v>1.3868852459016394</v>
      </c>
      <c r="AT363" s="38">
        <f t="shared" si="1582"/>
        <v>387.99310344827575</v>
      </c>
      <c r="AU363" s="4">
        <f t="shared" si="1583"/>
        <v>0.44000000000000006</v>
      </c>
      <c r="AV363" s="4" t="e">
        <f>AU363*D363*#REF!/(D363*G363/2.75/F363^0.5)</f>
        <v>#REF!</v>
      </c>
      <c r="AW363" s="4" t="e">
        <f t="shared" si="1431"/>
        <v>#REF!</v>
      </c>
      <c r="AY363" s="4">
        <f t="shared" si="1584"/>
        <v>1.5</v>
      </c>
      <c r="AZ363" s="4" t="e">
        <f>(3*#REF!+30)*AY363*F363^0.5</f>
        <v>#REF!</v>
      </c>
      <c r="BB363" s="4">
        <f t="shared" si="1585"/>
        <v>372.13283467160323</v>
      </c>
      <c r="BC363" s="4">
        <f t="shared" si="1464"/>
        <v>0</v>
      </c>
      <c r="BD363" s="4">
        <f t="shared" si="1432"/>
        <v>0</v>
      </c>
      <c r="BL363" s="4">
        <f t="shared" si="1586"/>
        <v>26.034999999999997</v>
      </c>
      <c r="BP363" s="9"/>
      <c r="BR363" s="9"/>
      <c r="BS363" s="9"/>
      <c r="BT363" s="9">
        <f t="shared" si="1587"/>
        <v>26.034999999999997</v>
      </c>
      <c r="BU363" s="9">
        <f t="shared" si="1588"/>
        <v>63.5</v>
      </c>
      <c r="BV363" s="9">
        <f t="shared" si="1589"/>
        <v>1.1572957391947862</v>
      </c>
      <c r="BW363" s="40">
        <f t="shared" si="1343"/>
        <v>20</v>
      </c>
      <c r="BX363" s="9">
        <f t="shared" si="1590"/>
        <v>0.05</v>
      </c>
      <c r="BY363" s="9">
        <f t="shared" si="1433"/>
        <v>0.8</v>
      </c>
      <c r="BZ363" s="9">
        <f t="shared" si="1591"/>
        <v>0.99524931562137331</v>
      </c>
      <c r="CA363" s="9">
        <f t="shared" si="1592"/>
        <v>0.68</v>
      </c>
      <c r="CB363" s="9">
        <f t="shared" si="1593"/>
        <v>1.6041156142513788</v>
      </c>
      <c r="CC363" s="9">
        <f t="shared" si="1594"/>
        <v>3.1397286569500511</v>
      </c>
      <c r="CD363" s="40">
        <v>1</v>
      </c>
      <c r="CE363" s="9" t="e">
        <f>4*CC363*#REF!+60*CC363</f>
        <v>#REF!</v>
      </c>
      <c r="CG363" s="4" t="e">
        <f t="shared" si="1434"/>
        <v>#REF!</v>
      </c>
      <c r="CH363" s="4" t="e">
        <f t="shared" si="1435"/>
        <v>#REF!</v>
      </c>
      <c r="CI363" s="4" t="e">
        <f t="shared" si="1436"/>
        <v>#REF!</v>
      </c>
      <c r="CJ363" s="4" t="e">
        <f t="shared" si="1437"/>
        <v>#REF!</v>
      </c>
      <c r="CK363" s="4">
        <f t="shared" si="1438"/>
        <v>1.2347092535127056</v>
      </c>
      <c r="CL363" s="4">
        <f t="shared" si="1439"/>
        <v>1.2625217719196895</v>
      </c>
      <c r="CM363" s="4">
        <f t="shared" si="1310"/>
        <v>1.3530591037272715</v>
      </c>
      <c r="CN363" s="4">
        <f t="shared" si="1344"/>
        <v>10</v>
      </c>
      <c r="CU363" s="4" t="e">
        <f t="shared" ref="CU363" si="1623">CG363</f>
        <v>#REF!</v>
      </c>
      <c r="CV363" s="4" t="e">
        <f t="shared" ref="CV363" si="1624">CH363</f>
        <v>#REF!</v>
      </c>
      <c r="CW363" s="4" t="e">
        <f t="shared" ref="CW363" si="1625">CJ363</f>
        <v>#REF!</v>
      </c>
      <c r="CX363" s="4">
        <f t="shared" ref="CX363" si="1626">CM363</f>
        <v>1.3530591037272715</v>
      </c>
      <c r="CY363" s="4">
        <f t="shared" ref="CY363" si="1627">CK363</f>
        <v>1.2347092535127056</v>
      </c>
      <c r="CZ363" s="4">
        <f t="shared" ref="CZ363" si="1628">CL363</f>
        <v>1.2625217719196895</v>
      </c>
      <c r="DC363" s="4" t="e">
        <f>#REF!</f>
        <v>#REF!</v>
      </c>
      <c r="DF363" s="4">
        <f t="shared" si="1601"/>
        <v>1.8539158722916439E-5</v>
      </c>
      <c r="DG363" s="4">
        <f t="shared" si="1446"/>
        <v>8.0455613136194923</v>
      </c>
      <c r="DH363" s="4">
        <f t="shared" si="1602"/>
        <v>0.20215967934167123</v>
      </c>
      <c r="DI363" s="4">
        <f t="shared" si="1447"/>
        <v>4.2445745413968154</v>
      </c>
      <c r="DJ363" s="4">
        <f t="shared" si="1448"/>
        <v>6.4347636804050365</v>
      </c>
      <c r="DK363" s="4">
        <f t="shared" si="1603"/>
        <v>7.6736767082776174</v>
      </c>
      <c r="DL363" s="38">
        <f t="shared" si="1604"/>
        <v>399.92662405619086</v>
      </c>
      <c r="DM363" s="4" t="e">
        <f t="shared" si="1449"/>
        <v>#REF!</v>
      </c>
      <c r="DN363" s="4">
        <f t="shared" si="1605"/>
        <v>2.2360679774997898</v>
      </c>
      <c r="DO363" s="4">
        <f t="shared" si="1309"/>
        <v>167.81183214704018</v>
      </c>
      <c r="DS363" s="4">
        <f t="shared" si="1606"/>
        <v>0.85</v>
      </c>
      <c r="DT363" s="4">
        <f t="shared" si="1607"/>
        <v>0.99750000000000005</v>
      </c>
      <c r="DU363" s="4">
        <f t="shared" si="1608"/>
        <v>0.90625</v>
      </c>
      <c r="DV363" s="4">
        <f t="shared" si="1450"/>
        <v>0.90398437500000006</v>
      </c>
      <c r="DX363" s="4">
        <f t="shared" si="1609"/>
        <v>391.11650541871734</v>
      </c>
      <c r="DY363" s="25">
        <f t="shared" si="1502"/>
        <v>165.92124425050773</v>
      </c>
      <c r="EA363" s="4">
        <f t="shared" si="1503"/>
        <v>0.76838671875000009</v>
      </c>
      <c r="EB363" s="4">
        <f t="shared" si="1610"/>
        <v>8.0455613136194923</v>
      </c>
      <c r="EE363" s="4">
        <f t="shared" si="1611"/>
        <v>56.796126628494655</v>
      </c>
      <c r="EF363" s="4">
        <f t="shared" si="1451"/>
        <v>2.2360679774997898</v>
      </c>
      <c r="EG363" s="4">
        <f t="shared" si="1612"/>
        <v>7.4861172859749275E-2</v>
      </c>
      <c r="EJ363" s="4">
        <f t="shared" si="1452"/>
        <v>7.4861172859749275E-2</v>
      </c>
      <c r="EK363" s="4">
        <f t="shared" si="1613"/>
        <v>0.20182231251429236</v>
      </c>
      <c r="EL363" s="4">
        <f t="shared" si="1453"/>
        <v>4.2417397600958529</v>
      </c>
      <c r="EM363" s="4">
        <f t="shared" si="1454"/>
        <v>6.4338373512511406</v>
      </c>
      <c r="EN363" s="4" t="e">
        <f t="shared" si="1455"/>
        <v>#REF!</v>
      </c>
      <c r="EO363" s="4" t="e">
        <f t="shared" si="1456"/>
        <v>#REF!</v>
      </c>
      <c r="EP363" s="4" t="e">
        <f t="shared" si="1614"/>
        <v>#REF!</v>
      </c>
      <c r="EQ363" s="4" t="e">
        <f t="shared" si="1457"/>
        <v>#REF!</v>
      </c>
      <c r="ER363" s="4" t="e">
        <f t="shared" si="1615"/>
        <v>#REF!</v>
      </c>
      <c r="FA363" s="23" t="e">
        <f t="shared" si="1383"/>
        <v>#REF!</v>
      </c>
      <c r="FB363" s="23" t="e">
        <f t="shared" si="1384"/>
        <v>#REF!</v>
      </c>
      <c r="FC363" s="23">
        <f t="shared" si="1317"/>
        <v>1.4</v>
      </c>
      <c r="FD363" s="23" t="e">
        <f t="shared" si="1385"/>
        <v>#REF!</v>
      </c>
      <c r="FE363" s="23">
        <f t="shared" si="1386"/>
        <v>1.4</v>
      </c>
      <c r="FF363" s="23">
        <f t="shared" si="1387"/>
        <v>1.4</v>
      </c>
      <c r="FG363" s="23">
        <f t="shared" ref="FG363:FG426" si="1629">IF(FE363&lt;1,1,0)</f>
        <v>0</v>
      </c>
      <c r="FH363" s="23"/>
      <c r="FR363" s="4">
        <f t="shared" si="1485"/>
        <v>1</v>
      </c>
      <c r="FS363" s="4">
        <f t="shared" si="1486"/>
        <v>0.66340624999999998</v>
      </c>
      <c r="FT363" s="4">
        <f t="shared" si="1487"/>
        <v>0.28124999999999994</v>
      </c>
      <c r="FU363" s="4">
        <f t="shared" si="1488"/>
        <v>364.94570125430897</v>
      </c>
    </row>
    <row r="364" spans="2:177" ht="12" customHeight="1" x14ac:dyDescent="0.3">
      <c r="B364" s="24" t="s">
        <v>505</v>
      </c>
      <c r="C364" s="7" t="s">
        <v>506</v>
      </c>
      <c r="D364" s="38">
        <f>129/0.145</f>
        <v>889.65517241379314</v>
      </c>
      <c r="E364" s="38">
        <f>6.09*25.4</f>
        <v>154.68599999999998</v>
      </c>
      <c r="F364" s="38">
        <f>4930/145</f>
        <v>34</v>
      </c>
      <c r="G364" s="38">
        <f t="shared" si="1341"/>
        <v>25.4</v>
      </c>
      <c r="H364" s="38">
        <f>17.3*25.4</f>
        <v>439.42</v>
      </c>
      <c r="I364" s="38">
        <f>2.65*25.4</f>
        <v>67.309999999999988</v>
      </c>
      <c r="J364" s="39">
        <f>7.15*25.4</f>
        <v>181.60999999999999</v>
      </c>
      <c r="K364" s="7">
        <f t="shared" si="1339"/>
        <v>254.00000000000003</v>
      </c>
      <c r="L364" s="38">
        <v>2</v>
      </c>
      <c r="M364" s="4">
        <f t="shared" si="1357"/>
        <v>260.34999999999997</v>
      </c>
      <c r="N364" s="7">
        <f t="shared" si="1569"/>
        <v>3.1499999999999995</v>
      </c>
      <c r="O364" s="7">
        <f t="shared" si="1570"/>
        <v>3.1499999999999995</v>
      </c>
      <c r="P364" s="38">
        <v>4.0999999999999996</v>
      </c>
      <c r="Q364" s="4">
        <f t="shared" si="1342"/>
        <v>4.0999999999999996</v>
      </c>
      <c r="R364" s="4">
        <f t="shared" si="1571"/>
        <v>5.0999999999999996</v>
      </c>
      <c r="S364" s="7">
        <f t="shared" si="1572"/>
        <v>57.361276136431961</v>
      </c>
      <c r="V364" s="38">
        <f t="shared" si="1395"/>
        <v>250.34482758620689</v>
      </c>
      <c r="W364" s="4">
        <v>36.299999999999997</v>
      </c>
      <c r="X364" s="4">
        <f t="shared" si="1573"/>
        <v>0.60184794055467938</v>
      </c>
      <c r="Y364" s="38"/>
      <c r="Z364" s="38"/>
      <c r="AA364" s="39">
        <v>1</v>
      </c>
      <c r="AB364" s="39"/>
      <c r="AC364" s="39"/>
      <c r="AD364" s="7"/>
      <c r="AE364" s="4">
        <f t="shared" si="1576"/>
        <v>154.68599999999998</v>
      </c>
      <c r="AF364" s="4">
        <f t="shared" si="1577"/>
        <v>0.94690749863163681</v>
      </c>
      <c r="AG364" s="4">
        <f t="shared" si="1578"/>
        <v>110.69516759312566</v>
      </c>
      <c r="AH364" s="4">
        <f t="shared" si="1579"/>
        <v>0.80344827586206891</v>
      </c>
      <c r="AI364" s="4">
        <v>1.25</v>
      </c>
      <c r="AJ364" s="4">
        <f t="shared" si="1513"/>
        <v>2.5</v>
      </c>
      <c r="AK364" s="38">
        <f t="shared" si="1340"/>
        <v>263.1747158588193</v>
      </c>
      <c r="AL364" s="38">
        <f t="shared" si="1616"/>
        <v>263.1747158588193</v>
      </c>
      <c r="AM364" s="38">
        <f t="shared" si="1580"/>
        <v>3.1485253868929024</v>
      </c>
      <c r="AN364" s="38">
        <f t="shared" si="1521"/>
        <v>263.17471585881947</v>
      </c>
      <c r="AO364" s="38">
        <f t="shared" si="1484"/>
        <v>0.99999999999999933</v>
      </c>
      <c r="AP364" s="38">
        <f t="shared" si="1522"/>
        <v>1.6480380410763777</v>
      </c>
      <c r="AQ364" s="4">
        <f t="shared" si="1523"/>
        <v>0</v>
      </c>
      <c r="AR364" s="4" t="e">
        <f>#REF!/G364*F364^0.5/0.19</f>
        <v>#REF!</v>
      </c>
      <c r="AS364" s="4">
        <f t="shared" si="1581"/>
        <v>1</v>
      </c>
      <c r="AT364" s="38">
        <f t="shared" si="1582"/>
        <v>433.72194318480115</v>
      </c>
      <c r="AU364" s="4">
        <f t="shared" si="1583"/>
        <v>0.42600000000000005</v>
      </c>
      <c r="AV364" s="4" t="e">
        <f>AU364*D364*#REF!/(D364*G364/2.75/F364^0.5)</f>
        <v>#REF!</v>
      </c>
      <c r="AW364" s="4" t="e">
        <f t="shared" si="1431"/>
        <v>#REF!</v>
      </c>
      <c r="AY364" s="4">
        <f t="shared" si="1584"/>
        <v>1.4124999999999999</v>
      </c>
      <c r="AZ364" s="4" t="e">
        <f>(3*#REF!+30)*AY364*F364^0.5</f>
        <v>#REF!</v>
      </c>
      <c r="BB364" s="4">
        <f t="shared" si="1585"/>
        <v>415.99238425162616</v>
      </c>
      <c r="BC364" s="4">
        <f t="shared" si="1464"/>
        <v>0</v>
      </c>
      <c r="BD364" s="4">
        <f t="shared" si="1432"/>
        <v>0</v>
      </c>
      <c r="BL364" s="4">
        <f t="shared" si="1586"/>
        <v>67.309999999999988</v>
      </c>
      <c r="BP364" s="9"/>
      <c r="BR364" s="9"/>
      <c r="BS364" s="9"/>
      <c r="BT364" s="9">
        <f t="shared" si="1587"/>
        <v>67.309999999999988</v>
      </c>
      <c r="BU364" s="9">
        <f t="shared" si="1588"/>
        <v>127.00000000000001</v>
      </c>
      <c r="BV364" s="9">
        <f t="shared" si="1589"/>
        <v>1.7905298128039189</v>
      </c>
      <c r="BW364" s="40">
        <f t="shared" si="1343"/>
        <v>0</v>
      </c>
      <c r="BX364" s="9">
        <f t="shared" si="1590"/>
        <v>0</v>
      </c>
      <c r="BY364" s="9">
        <f t="shared" si="1433"/>
        <v>0</v>
      </c>
      <c r="BZ364" s="9">
        <f t="shared" si="1591"/>
        <v>0.99524931562137331</v>
      </c>
      <c r="CA364" s="9">
        <f t="shared" si="1592"/>
        <v>0.68</v>
      </c>
      <c r="CB364" s="9">
        <f t="shared" si="1593"/>
        <v>1.3811737100982926</v>
      </c>
      <c r="CC364" s="9">
        <f t="shared" si="1594"/>
        <v>2.47303270459199</v>
      </c>
      <c r="CD364" s="40">
        <v>1</v>
      </c>
      <c r="CE364" s="9" t="e">
        <f>4*CC364*#REF!+60*CC364</f>
        <v>#REF!</v>
      </c>
      <c r="CG364" s="4" t="e">
        <f t="shared" si="1434"/>
        <v>#REF!</v>
      </c>
      <c r="CH364" s="4" t="e">
        <f t="shared" si="1435"/>
        <v>#REF!</v>
      </c>
      <c r="CI364" s="4" t="e">
        <f t="shared" si="1436"/>
        <v>#REF!</v>
      </c>
      <c r="CJ364" s="4" t="e">
        <f t="shared" si="1437"/>
        <v>#REF!</v>
      </c>
      <c r="CK364" s="4">
        <f t="shared" si="1438"/>
        <v>0.60184794055467938</v>
      </c>
      <c r="CL364" s="4">
        <f t="shared" si="1439"/>
        <v>0.63292489521379602</v>
      </c>
      <c r="CM364" s="4">
        <f t="shared" si="1310"/>
        <v>0.8536087311591446</v>
      </c>
      <c r="CN364" s="4">
        <f t="shared" si="1344"/>
        <v>0</v>
      </c>
      <c r="CO364" s="4" t="e">
        <f t="shared" ref="CO364" si="1630">CG364</f>
        <v>#REF!</v>
      </c>
      <c r="CP364" s="4" t="e">
        <f t="shared" ref="CP364" si="1631">CH364</f>
        <v>#REF!</v>
      </c>
      <c r="CQ364" s="4" t="e">
        <f t="shared" ref="CQ364" si="1632">CJ364</f>
        <v>#REF!</v>
      </c>
      <c r="CR364" s="4">
        <f t="shared" si="1536"/>
        <v>0.8536087311591446</v>
      </c>
      <c r="CS364" s="4">
        <f t="shared" ref="CS364" si="1633">CK364</f>
        <v>0.60184794055467938</v>
      </c>
      <c r="CT364" s="4">
        <f t="shared" ref="CT364" si="1634">CL364</f>
        <v>0.63292489521379602</v>
      </c>
      <c r="DC364" s="4" t="e">
        <f>#REF!</f>
        <v>#REF!</v>
      </c>
      <c r="DF364" s="4">
        <f t="shared" si="1601"/>
        <v>1.1184562953342657E-5</v>
      </c>
      <c r="DG364" s="4">
        <f t="shared" si="1446"/>
        <v>7.4996921088041866</v>
      </c>
      <c r="DH364" s="4">
        <f t="shared" si="1602"/>
        <v>0.42137335519387598</v>
      </c>
      <c r="DI364" s="4">
        <f t="shared" si="1447"/>
        <v>5.3077475974670776</v>
      </c>
      <c r="DJ364" s="4">
        <f t="shared" si="1448"/>
        <v>6.4970943852018177</v>
      </c>
      <c r="DK364" s="4">
        <f t="shared" si="1603"/>
        <v>7.3608087803503537</v>
      </c>
      <c r="DL364" s="38">
        <f t="shared" si="1604"/>
        <v>415.96026291206101</v>
      </c>
      <c r="DM364" s="4" t="e">
        <f t="shared" si="1449"/>
        <v>#REF!</v>
      </c>
      <c r="DN364" s="4">
        <f t="shared" si="1605"/>
        <v>2.2583179581272428</v>
      </c>
      <c r="DO364" s="4">
        <f t="shared" si="1309"/>
        <v>263.17471585881947</v>
      </c>
      <c r="DS364" s="4">
        <f t="shared" si="1606"/>
        <v>0.85</v>
      </c>
      <c r="DT364" s="4">
        <f t="shared" si="1607"/>
        <v>0.83499999999999996</v>
      </c>
      <c r="DU364" s="4">
        <f t="shared" si="1608"/>
        <v>1</v>
      </c>
      <c r="DV364" s="4">
        <f t="shared" si="1450"/>
        <v>0.83499999999999996</v>
      </c>
      <c r="DX364" s="4">
        <f t="shared" si="1609"/>
        <v>395.53638903971819</v>
      </c>
      <c r="DY364" s="25">
        <f t="shared" si="1502"/>
        <v>258.51701421186567</v>
      </c>
      <c r="EA364" s="4">
        <f t="shared" si="1503"/>
        <v>0.70974999999999999</v>
      </c>
      <c r="EB364" s="4">
        <f t="shared" si="1610"/>
        <v>7.4996921088041866</v>
      </c>
      <c r="EE364" s="4">
        <f t="shared" si="1611"/>
        <v>57.361276136431961</v>
      </c>
      <c r="EF364" s="4">
        <f t="shared" si="1451"/>
        <v>2.2583179581272428</v>
      </c>
      <c r="EG364" s="4">
        <f t="shared" si="1612"/>
        <v>0.13435127560076568</v>
      </c>
      <c r="EJ364" s="4">
        <f t="shared" si="1452"/>
        <v>0.13435127560076568</v>
      </c>
      <c r="EK364" s="4">
        <f t="shared" si="1613"/>
        <v>0.42067016159737514</v>
      </c>
      <c r="EL364" s="4">
        <f t="shared" si="1453"/>
        <v>5.3042027654720734</v>
      </c>
      <c r="EM364" s="4">
        <f t="shared" si="1454"/>
        <v>6.4956485988241024</v>
      </c>
      <c r="EN364" s="4" t="e">
        <f t="shared" si="1455"/>
        <v>#REF!</v>
      </c>
      <c r="EO364" s="4" t="e">
        <f t="shared" si="1456"/>
        <v>#REF!</v>
      </c>
      <c r="EP364" s="4" t="e">
        <f t="shared" si="1614"/>
        <v>#REF!</v>
      </c>
      <c r="EQ364" s="4" t="e">
        <f t="shared" si="1457"/>
        <v>#REF!</v>
      </c>
      <c r="ER364" s="4" t="e">
        <f t="shared" si="1615"/>
        <v>#REF!</v>
      </c>
      <c r="FA364" s="23" t="e">
        <f t="shared" si="1383"/>
        <v>#REF!</v>
      </c>
      <c r="FB364" s="23" t="e">
        <f t="shared" si="1384"/>
        <v>#REF!</v>
      </c>
      <c r="FC364" s="23">
        <f t="shared" si="1317"/>
        <v>1</v>
      </c>
      <c r="FD364" s="23" t="e">
        <f t="shared" si="1385"/>
        <v>#REF!</v>
      </c>
      <c r="FE364" s="23">
        <f t="shared" si="1386"/>
        <v>0.8</v>
      </c>
      <c r="FF364" s="23">
        <f t="shared" si="1387"/>
        <v>0.8</v>
      </c>
      <c r="FG364" s="23">
        <f t="shared" si="1629"/>
        <v>1</v>
      </c>
      <c r="FH364" s="23"/>
      <c r="FR364" s="4">
        <f t="shared" si="1485"/>
        <v>1</v>
      </c>
      <c r="FS364" s="4">
        <f t="shared" si="1486"/>
        <v>0.5</v>
      </c>
      <c r="FT364" s="4">
        <f t="shared" si="1487"/>
        <v>0</v>
      </c>
      <c r="FU364" s="4">
        <f t="shared" si="1488"/>
        <v>293.27819461998126</v>
      </c>
    </row>
    <row r="365" spans="2:177" ht="12" customHeight="1" x14ac:dyDescent="0.3">
      <c r="B365" s="24"/>
      <c r="C365" s="7" t="s">
        <v>507</v>
      </c>
      <c r="D365" s="38">
        <f t="shared" ref="D365:D377" si="1635">129/0.145</f>
        <v>889.65517241379314</v>
      </c>
      <c r="E365" s="38">
        <f>6.25*25.4</f>
        <v>158.75</v>
      </c>
      <c r="F365" s="38">
        <f t="shared" ref="F365:F369" si="1636">4930/145</f>
        <v>34</v>
      </c>
      <c r="G365" s="38">
        <f t="shared" si="1341"/>
        <v>25.4</v>
      </c>
      <c r="H365" s="38">
        <f>17.1*25.4</f>
        <v>434.34000000000003</v>
      </c>
      <c r="I365" s="38">
        <f>2.55*25.4</f>
        <v>64.77</v>
      </c>
      <c r="J365" s="39">
        <f>6.8*25.4</f>
        <v>172.72</v>
      </c>
      <c r="K365" s="7">
        <f t="shared" si="1339"/>
        <v>254.00000000000003</v>
      </c>
      <c r="L365" s="38">
        <v>2</v>
      </c>
      <c r="M365" s="4">
        <f t="shared" si="1357"/>
        <v>260.34999999999997</v>
      </c>
      <c r="N365" s="7">
        <f t="shared" si="1569"/>
        <v>3.05</v>
      </c>
      <c r="O365" s="7">
        <f t="shared" si="1570"/>
        <v>3.05</v>
      </c>
      <c r="P365" s="38">
        <v>4.0999999999999996</v>
      </c>
      <c r="Q365" s="4">
        <f t="shared" si="1342"/>
        <v>4.0999999999999996</v>
      </c>
      <c r="R365" s="4">
        <f t="shared" si="1571"/>
        <v>5.0999999999999996</v>
      </c>
      <c r="S365" s="7">
        <f t="shared" si="1572"/>
        <v>57.361276136431961</v>
      </c>
      <c r="V365" s="38">
        <f t="shared" si="1395"/>
        <v>442.06896551724139</v>
      </c>
      <c r="W365" s="4">
        <v>64.099999999999994</v>
      </c>
      <c r="X365" s="4">
        <f t="shared" si="1573"/>
        <v>1.0219610040497915</v>
      </c>
      <c r="Y365" s="38">
        <f>0.375*25.4</f>
        <v>9.5249999999999986</v>
      </c>
      <c r="Z365" s="38">
        <v>10</v>
      </c>
      <c r="AA365" s="39">
        <f t="shared" ref="AA365" si="1637">3*25.4</f>
        <v>76.199999999999989</v>
      </c>
      <c r="AB365" s="39">
        <v>3</v>
      </c>
      <c r="AC365" s="39">
        <f>AB365-1</f>
        <v>2</v>
      </c>
      <c r="AD365" s="7"/>
      <c r="AE365" s="4">
        <f t="shared" si="1576"/>
        <v>158.75</v>
      </c>
      <c r="AF365" s="4">
        <f t="shared" si="1577"/>
        <v>0.91200000000000003</v>
      </c>
      <c r="AG365" s="4">
        <f t="shared" si="1578"/>
        <v>115.08606717057168</v>
      </c>
      <c r="AH365" s="4">
        <f t="shared" si="1579"/>
        <v>0.79759999999999998</v>
      </c>
      <c r="AI365" s="4">
        <v>1.25</v>
      </c>
      <c r="AJ365" s="4">
        <f t="shared" si="1513"/>
        <v>2.5</v>
      </c>
      <c r="AK365" s="38">
        <f t="shared" si="1340"/>
        <v>261.60904444945675</v>
      </c>
      <c r="AL365" s="38">
        <f t="shared" si="1616"/>
        <v>261.60904444945675</v>
      </c>
      <c r="AM365" s="38">
        <f t="shared" si="1580"/>
        <v>3.1485253868929024</v>
      </c>
      <c r="AN365" s="38">
        <f t="shared" si="1521"/>
        <v>261.60904444945697</v>
      </c>
      <c r="AO365" s="38">
        <f t="shared" si="1484"/>
        <v>0.99999999999999911</v>
      </c>
      <c r="AP365" s="38">
        <f t="shared" si="1522"/>
        <v>1.6052693953730679</v>
      </c>
      <c r="AQ365" s="4">
        <f t="shared" si="1523"/>
        <v>0</v>
      </c>
      <c r="AR365" s="4" t="e">
        <f>#REF!/G365*F365^0.5/0.19</f>
        <v>#REF!</v>
      </c>
      <c r="AS365" s="4">
        <f t="shared" si="1581"/>
        <v>1</v>
      </c>
      <c r="AT365" s="38">
        <f t="shared" si="1582"/>
        <v>419.95299260750585</v>
      </c>
      <c r="AU365" s="4">
        <f t="shared" si="1583"/>
        <v>0.42600000000000005</v>
      </c>
      <c r="AV365" s="4" t="e">
        <f>AU365*D365*#REF!/(D365*G365/2.75/F365^0.5)</f>
        <v>#REF!</v>
      </c>
      <c r="AW365" s="4" t="e">
        <f t="shared" si="1431"/>
        <v>#REF!</v>
      </c>
      <c r="AY365" s="4">
        <f t="shared" si="1584"/>
        <v>1.5</v>
      </c>
      <c r="AZ365" s="4" t="e">
        <f>(3*#REF!+30)*AY365*F365^0.5</f>
        <v>#REF!</v>
      </c>
      <c r="BB365" s="4">
        <f t="shared" si="1585"/>
        <v>402.78627681506663</v>
      </c>
      <c r="BC365" s="4">
        <f t="shared" si="1464"/>
        <v>0</v>
      </c>
      <c r="BD365" s="4">
        <f t="shared" si="1432"/>
        <v>0</v>
      </c>
      <c r="BL365" s="4">
        <f t="shared" si="1586"/>
        <v>64.77</v>
      </c>
      <c r="BP365" s="9"/>
      <c r="BR365" s="9"/>
      <c r="BS365" s="9"/>
      <c r="BT365" s="9">
        <f t="shared" si="1587"/>
        <v>64.77</v>
      </c>
      <c r="BU365" s="9">
        <f t="shared" si="1588"/>
        <v>127.00000000000001</v>
      </c>
      <c r="BV365" s="9">
        <f t="shared" si="1589"/>
        <v>1.7665851027593089</v>
      </c>
      <c r="BW365" s="40">
        <f t="shared" si="1343"/>
        <v>20</v>
      </c>
      <c r="BX365" s="9">
        <f t="shared" si="1590"/>
        <v>0.05</v>
      </c>
      <c r="BY365" s="9">
        <f t="shared" si="1433"/>
        <v>0.8</v>
      </c>
      <c r="BZ365" s="9">
        <f t="shared" si="1591"/>
        <v>0.99524931562137331</v>
      </c>
      <c r="CA365" s="9">
        <f t="shared" si="1592"/>
        <v>0.68</v>
      </c>
      <c r="CB365" s="9">
        <f t="shared" si="1593"/>
        <v>1.3811737100982926</v>
      </c>
      <c r="CC365" s="9">
        <f t="shared" si="1594"/>
        <v>3.4529342752457315</v>
      </c>
      <c r="CD365" s="40">
        <v>1</v>
      </c>
      <c r="CE365" s="9" t="e">
        <f>4*CC365*#REF!+60*CC365</f>
        <v>#REF!</v>
      </c>
      <c r="CG365" s="4" t="e">
        <f t="shared" si="1434"/>
        <v>#REF!</v>
      </c>
      <c r="CH365" s="4" t="e">
        <f t="shared" si="1435"/>
        <v>#REF!</v>
      </c>
      <c r="CI365" s="4" t="e">
        <f t="shared" si="1436"/>
        <v>#REF!</v>
      </c>
      <c r="CJ365" s="4" t="e">
        <f t="shared" si="1437"/>
        <v>#REF!</v>
      </c>
      <c r="CK365" s="4">
        <f t="shared" si="1438"/>
        <v>1.0219610040497915</v>
      </c>
      <c r="CL365" s="4">
        <f t="shared" si="1439"/>
        <v>1.0771457263688171</v>
      </c>
      <c r="CM365" s="4">
        <f t="shared" si="1310"/>
        <v>1.3047954564429862</v>
      </c>
      <c r="CN365" s="4">
        <f t="shared" si="1344"/>
        <v>10</v>
      </c>
      <c r="CU365" s="4" t="e">
        <f t="shared" ref="CU365" si="1638">CG365</f>
        <v>#REF!</v>
      </c>
      <c r="CV365" s="4" t="e">
        <f t="shared" ref="CV365" si="1639">CH365</f>
        <v>#REF!</v>
      </c>
      <c r="CW365" s="4" t="e">
        <f t="shared" ref="CW365" si="1640">CJ365</f>
        <v>#REF!</v>
      </c>
      <c r="CX365" s="4">
        <f t="shared" ref="CX365" si="1641">CM365</f>
        <v>1.3047954564429862</v>
      </c>
      <c r="CY365" s="4">
        <f t="shared" ref="CY365" si="1642">CK365</f>
        <v>1.0219610040497915</v>
      </c>
      <c r="CZ365" s="4">
        <f t="shared" ref="CZ365" si="1643">CL365</f>
        <v>1.0771457263688171</v>
      </c>
      <c r="DC365" s="4" t="e">
        <f>#REF!</f>
        <v>#REF!</v>
      </c>
      <c r="DF365" s="4">
        <f t="shared" si="1601"/>
        <v>1.1478410255893533E-5</v>
      </c>
      <c r="DG365" s="4">
        <f t="shared" si="1446"/>
        <v>8.177587151489405</v>
      </c>
      <c r="DH365" s="4">
        <f t="shared" si="1602"/>
        <v>0.41886653301401239</v>
      </c>
      <c r="DI365" s="4">
        <f t="shared" si="1447"/>
        <v>5.7737163759672434</v>
      </c>
      <c r="DJ365" s="4">
        <f t="shared" si="1448"/>
        <v>7.0787409650505388</v>
      </c>
      <c r="DK365" s="4">
        <f t="shared" si="1603"/>
        <v>8.0036021574330611</v>
      </c>
      <c r="DL365" s="38">
        <f t="shared" si="1604"/>
        <v>432.56930916681347</v>
      </c>
      <c r="DM365" s="4" t="e">
        <f t="shared" si="1449"/>
        <v>#REF!</v>
      </c>
      <c r="DN365" s="4">
        <f t="shared" si="1605"/>
        <v>2.2583179581272428</v>
      </c>
      <c r="DO365" s="4">
        <f t="shared" si="1309"/>
        <v>261.60904444945697</v>
      </c>
      <c r="DS365" s="4">
        <f t="shared" si="1606"/>
        <v>0.85</v>
      </c>
      <c r="DT365" s="4">
        <f t="shared" si="1607"/>
        <v>0.84499999999999997</v>
      </c>
      <c r="DU365" s="4">
        <f t="shared" si="1608"/>
        <v>0.90625</v>
      </c>
      <c r="DV365" s="4">
        <f t="shared" si="1450"/>
        <v>0.76578124999999997</v>
      </c>
      <c r="DX365" s="4">
        <f t="shared" si="1609"/>
        <v>410.40776070987818</v>
      </c>
      <c r="DY365" s="25">
        <f t="shared" si="1502"/>
        <v>257.07800161945181</v>
      </c>
      <c r="EA365" s="4">
        <f t="shared" si="1503"/>
        <v>0.65091406249999995</v>
      </c>
      <c r="EB365" s="4">
        <f t="shared" si="1610"/>
        <v>8.177587151489405</v>
      </c>
      <c r="EE365" s="4">
        <f t="shared" si="1611"/>
        <v>57.361276136431961</v>
      </c>
      <c r="EF365" s="4">
        <f t="shared" si="1451"/>
        <v>2.2583179581272428</v>
      </c>
      <c r="EG365" s="4">
        <f t="shared" si="1612"/>
        <v>0.13355199687699823</v>
      </c>
      <c r="EJ365" s="4">
        <f t="shared" si="1452"/>
        <v>0.13355199687699823</v>
      </c>
      <c r="EK365" s="4">
        <f t="shared" si="1613"/>
        <v>0.41816752283652159</v>
      </c>
      <c r="EL365" s="4">
        <f t="shared" si="1453"/>
        <v>5.7698603420915218</v>
      </c>
      <c r="EM365" s="4">
        <f t="shared" si="1454"/>
        <v>7.0771708001252911</v>
      </c>
      <c r="EN365" s="4" t="e">
        <f t="shared" si="1455"/>
        <v>#REF!</v>
      </c>
      <c r="EO365" s="4" t="e">
        <f t="shared" si="1456"/>
        <v>#REF!</v>
      </c>
      <c r="EP365" s="4" t="e">
        <f t="shared" si="1614"/>
        <v>#REF!</v>
      </c>
      <c r="EQ365" s="4" t="e">
        <f t="shared" si="1457"/>
        <v>#REF!</v>
      </c>
      <c r="ER365" s="4" t="e">
        <f t="shared" si="1615"/>
        <v>#REF!</v>
      </c>
      <c r="FA365" s="23" t="e">
        <f t="shared" si="1383"/>
        <v>#REF!</v>
      </c>
      <c r="FB365" s="23" t="e">
        <f t="shared" si="1384"/>
        <v>#REF!</v>
      </c>
      <c r="FC365" s="23">
        <f t="shared" si="1317"/>
        <v>1.4</v>
      </c>
      <c r="FD365" s="23" t="e">
        <f t="shared" si="1385"/>
        <v>#REF!</v>
      </c>
      <c r="FE365" s="23">
        <f t="shared" si="1386"/>
        <v>1.2</v>
      </c>
      <c r="FF365" s="23">
        <f t="shared" si="1387"/>
        <v>1.2</v>
      </c>
      <c r="FG365" s="23">
        <f t="shared" si="1629"/>
        <v>0</v>
      </c>
      <c r="FH365" s="23"/>
      <c r="FR365" s="4">
        <f t="shared" si="1485"/>
        <v>1</v>
      </c>
      <c r="FS365" s="4">
        <f t="shared" si="1486"/>
        <v>0.44418604651162791</v>
      </c>
      <c r="FT365" s="4">
        <f t="shared" si="1487"/>
        <v>0.3</v>
      </c>
      <c r="FU365" s="4">
        <f t="shared" si="1488"/>
        <v>338.80326861527345</v>
      </c>
    </row>
    <row r="366" spans="2:177" ht="12" customHeight="1" x14ac:dyDescent="0.3">
      <c r="B366" s="24"/>
      <c r="C366" s="7" t="s">
        <v>508</v>
      </c>
      <c r="D366" s="38">
        <f t="shared" si="1635"/>
        <v>889.65517241379314</v>
      </c>
      <c r="E366" s="38">
        <f>6.19*25.4</f>
        <v>157.226</v>
      </c>
      <c r="F366" s="38">
        <f t="shared" si="1636"/>
        <v>34</v>
      </c>
      <c r="G366" s="38">
        <f t="shared" si="1341"/>
        <v>25.4</v>
      </c>
      <c r="H366" s="38">
        <f>12.6*25.4</f>
        <v>320.03999999999996</v>
      </c>
      <c r="I366" s="38">
        <f>2.65*25.4</f>
        <v>67.309999999999988</v>
      </c>
      <c r="J366" s="39">
        <f>6.5*25.4</f>
        <v>165.1</v>
      </c>
      <c r="K366" s="7">
        <f t="shared" si="1339"/>
        <v>54.61</v>
      </c>
      <c r="L366" s="38">
        <v>3</v>
      </c>
      <c r="M366" s="4">
        <f t="shared" si="1357"/>
        <v>260.34999999999997</v>
      </c>
      <c r="N366" s="7">
        <f t="shared" si="1569"/>
        <v>1.575</v>
      </c>
      <c r="O366" s="7">
        <f t="shared" si="1570"/>
        <v>3.1499999999999995</v>
      </c>
      <c r="P366" s="38">
        <v>4.0999999999999996</v>
      </c>
      <c r="Q366" s="4">
        <f t="shared" si="1342"/>
        <v>4.0999999999999996</v>
      </c>
      <c r="R366" s="4">
        <f t="shared" si="1571"/>
        <v>5.0999999999999996</v>
      </c>
      <c r="S366" s="7">
        <f t="shared" si="1572"/>
        <v>57.361276136431961</v>
      </c>
      <c r="V366" s="38">
        <f t="shared" si="1395"/>
        <v>180.00000000000003</v>
      </c>
      <c r="W366" s="4">
        <v>26.1</v>
      </c>
      <c r="X366" s="4">
        <f t="shared" si="1573"/>
        <v>0.7330357782373077</v>
      </c>
      <c r="Y366" s="38"/>
      <c r="Z366" s="38"/>
      <c r="AA366" s="39">
        <v>1</v>
      </c>
      <c r="AB366" s="39"/>
      <c r="AC366" s="39"/>
      <c r="AD366" s="7"/>
      <c r="AE366" s="4">
        <f t="shared" si="1576"/>
        <v>157.226</v>
      </c>
      <c r="AF366" s="4">
        <f t="shared" si="1577"/>
        <v>0.67851373182552488</v>
      </c>
      <c r="AG366" s="4">
        <f t="shared" si="1578"/>
        <v>75.621874376410929</v>
      </c>
      <c r="AH366" s="4">
        <f t="shared" si="1579"/>
        <v>0.80177705977382874</v>
      </c>
      <c r="AI366" s="4">
        <v>1.25</v>
      </c>
      <c r="AJ366" s="4">
        <f t="shared" si="1513"/>
        <v>2.5</v>
      </c>
      <c r="AK366" s="38">
        <f t="shared" si="1340"/>
        <v>128.56114357170802</v>
      </c>
      <c r="AL366" s="38">
        <f t="shared" si="1616"/>
        <v>128.56114357170802</v>
      </c>
      <c r="AM366" s="38">
        <f t="shared" si="1580"/>
        <v>3.1485253868929024</v>
      </c>
      <c r="AN366" s="38">
        <f t="shared" si="1521"/>
        <v>128.56114357170804</v>
      </c>
      <c r="AO366" s="38">
        <f t="shared" si="1484"/>
        <v>0.99999999999999978</v>
      </c>
      <c r="AP366" s="38">
        <f t="shared" si="1522"/>
        <v>2.3615639359960867</v>
      </c>
      <c r="AQ366" s="4">
        <f t="shared" si="1523"/>
        <v>0</v>
      </c>
      <c r="AR366" s="4" t="e">
        <f>#REF!/G366*F366^0.5/0.19</f>
        <v>#REF!</v>
      </c>
      <c r="AS366" s="4">
        <f t="shared" si="1581"/>
        <v>1.4</v>
      </c>
      <c r="AT366" s="38">
        <f t="shared" si="1582"/>
        <v>303.60536022936083</v>
      </c>
      <c r="AU366" s="4">
        <f t="shared" si="1583"/>
        <v>0.42600000000000005</v>
      </c>
      <c r="AV366" s="4" t="e">
        <f>AU366*D366*#REF!/(D366*G366/2.75/F366^0.5)</f>
        <v>#REF!</v>
      </c>
      <c r="AW366" s="4" t="e">
        <f t="shared" si="1431"/>
        <v>#REF!</v>
      </c>
      <c r="AY366" s="4">
        <f t="shared" si="1584"/>
        <v>1.4124999999999999</v>
      </c>
      <c r="AZ366" s="4" t="e">
        <f>(3*#REF!+30)*AY366*F366^0.5</f>
        <v>#REF!</v>
      </c>
      <c r="BB366" s="4">
        <f t="shared" si="1585"/>
        <v>291.19466897613836</v>
      </c>
      <c r="BC366" s="4">
        <f t="shared" si="1464"/>
        <v>0</v>
      </c>
      <c r="BD366" s="4">
        <f t="shared" si="1432"/>
        <v>0</v>
      </c>
      <c r="BL366" s="4">
        <f t="shared" si="1586"/>
        <v>27.305</v>
      </c>
      <c r="BP366" s="9"/>
      <c r="BR366" s="9"/>
      <c r="BS366" s="9"/>
      <c r="BT366" s="9">
        <f t="shared" si="1587"/>
        <v>27.305</v>
      </c>
      <c r="BU366" s="9">
        <f t="shared" si="1588"/>
        <v>67.309999999999988</v>
      </c>
      <c r="BV366" s="9">
        <f t="shared" si="1589"/>
        <v>1.1870796051742518</v>
      </c>
      <c r="BW366" s="40">
        <f t="shared" si="1343"/>
        <v>0</v>
      </c>
      <c r="BX366" s="9">
        <f t="shared" si="1590"/>
        <v>0</v>
      </c>
      <c r="BY366" s="9">
        <f t="shared" si="1433"/>
        <v>0</v>
      </c>
      <c r="BZ366" s="9">
        <f t="shared" si="1591"/>
        <v>0.99524931562137331</v>
      </c>
      <c r="CA366" s="9">
        <f t="shared" si="1592"/>
        <v>0.68</v>
      </c>
      <c r="CB366" s="9">
        <f t="shared" si="1593"/>
        <v>1.3811737100982926</v>
      </c>
      <c r="CC366" s="9">
        <f t="shared" si="1594"/>
        <v>1.6395631424605377</v>
      </c>
      <c r="CD366" s="40">
        <v>1</v>
      </c>
      <c r="CE366" s="9" t="e">
        <f>4*CC366*#REF!+60*CC366</f>
        <v>#REF!</v>
      </c>
      <c r="CG366" s="4" t="e">
        <f t="shared" si="1434"/>
        <v>#REF!</v>
      </c>
      <c r="CH366" s="4" t="e">
        <f t="shared" si="1435"/>
        <v>#REF!</v>
      </c>
      <c r="CI366" s="4" t="e">
        <f t="shared" si="1436"/>
        <v>#REF!</v>
      </c>
      <c r="CJ366" s="4" t="e">
        <f t="shared" si="1437"/>
        <v>#REF!</v>
      </c>
      <c r="CK366" s="4">
        <f t="shared" si="1438"/>
        <v>0.7330357782373077</v>
      </c>
      <c r="CL366" s="4">
        <f t="shared" si="1439"/>
        <v>0.73924512696546085</v>
      </c>
      <c r="CM366" s="4">
        <f t="shared" si="1310"/>
        <v>1.0919377043810194</v>
      </c>
      <c r="CN366" s="4">
        <f t="shared" si="1344"/>
        <v>0</v>
      </c>
      <c r="CO366" s="4" t="e">
        <f t="shared" ref="CO366" si="1644">CG366</f>
        <v>#REF!</v>
      </c>
      <c r="CP366" s="4" t="e">
        <f t="shared" ref="CP366" si="1645">CH366</f>
        <v>#REF!</v>
      </c>
      <c r="CQ366" s="4" t="e">
        <f t="shared" ref="CQ366" si="1646">CJ366</f>
        <v>#REF!</v>
      </c>
      <c r="CR366" s="4">
        <f t="shared" si="1536"/>
        <v>1.0919377043810194</v>
      </c>
      <c r="CS366" s="4">
        <f t="shared" ref="CS366" si="1647">CK366</f>
        <v>0.7330357782373077</v>
      </c>
      <c r="CT366" s="4">
        <f t="shared" ref="CT366" si="1648">CL366</f>
        <v>0.73924512696546085</v>
      </c>
      <c r="DC366" s="4" t="e">
        <f>#REF!</f>
        <v>#REF!</v>
      </c>
      <c r="DF366" s="4">
        <f t="shared" si="1601"/>
        <v>1.1368217517436956E-5</v>
      </c>
      <c r="DG366" s="4">
        <f t="shared" si="1446"/>
        <v>6.3095646456942012</v>
      </c>
      <c r="DH366" s="4">
        <f t="shared" si="1602"/>
        <v>0.20584135614088789</v>
      </c>
      <c r="DI366" s="4">
        <f t="shared" si="1447"/>
        <v>3.3528370591019918</v>
      </c>
      <c r="DJ366" s="4">
        <f t="shared" si="1448"/>
        <v>5.0542367447448244</v>
      </c>
      <c r="DK366" s="4">
        <f t="shared" si="1603"/>
        <v>6.2205277389850355</v>
      </c>
      <c r="DL366" s="38">
        <f t="shared" si="1604"/>
        <v>245.55418076977975</v>
      </c>
      <c r="DM366" s="4" t="e">
        <f t="shared" si="1449"/>
        <v>#REF!</v>
      </c>
      <c r="DN366" s="4">
        <f t="shared" si="1605"/>
        <v>2.2583179581272428</v>
      </c>
      <c r="DO366" s="4">
        <f t="shared" si="1309"/>
        <v>128.56114357170804</v>
      </c>
      <c r="DS366" s="4">
        <f t="shared" si="1606"/>
        <v>0.85</v>
      </c>
      <c r="DT366" s="4">
        <f t="shared" si="1607"/>
        <v>0.99250000000000005</v>
      </c>
      <c r="DU366" s="4">
        <f t="shared" si="1608"/>
        <v>1</v>
      </c>
      <c r="DV366" s="4">
        <f t="shared" si="1450"/>
        <v>0.99250000000000005</v>
      </c>
      <c r="DX366" s="4">
        <f t="shared" si="1609"/>
        <v>243.49162873603905</v>
      </c>
      <c r="DY366" s="25">
        <f t="shared" si="1502"/>
        <v>126.32301326549774</v>
      </c>
      <c r="EA366" s="4">
        <f t="shared" si="1503"/>
        <v>0.84362500000000007</v>
      </c>
      <c r="EB366" s="4">
        <f t="shared" si="1610"/>
        <v>6.3095646456942012</v>
      </c>
      <c r="EE366" s="4">
        <f t="shared" si="1611"/>
        <v>57.361276136431961</v>
      </c>
      <c r="EF366" s="4">
        <f t="shared" si="1451"/>
        <v>2.2583179581272428</v>
      </c>
      <c r="EG366" s="4">
        <f t="shared" si="1612"/>
        <v>6.5630748665148883E-2</v>
      </c>
      <c r="EJ366" s="4">
        <f t="shared" si="1452"/>
        <v>6.5630748665148883E-2</v>
      </c>
      <c r="EK366" s="4">
        <f t="shared" si="1613"/>
        <v>0.2054978452811024</v>
      </c>
      <c r="EL366" s="4">
        <f t="shared" si="1453"/>
        <v>3.3505978335429596</v>
      </c>
      <c r="EM366" s="4">
        <f t="shared" si="1454"/>
        <v>5.0535006437785883</v>
      </c>
      <c r="EN366" s="4" t="e">
        <f t="shared" si="1455"/>
        <v>#REF!</v>
      </c>
      <c r="EO366" s="4" t="e">
        <f t="shared" si="1456"/>
        <v>#REF!</v>
      </c>
      <c r="EP366" s="4" t="e">
        <f t="shared" si="1614"/>
        <v>#REF!</v>
      </c>
      <c r="EQ366" s="4" t="e">
        <f t="shared" si="1457"/>
        <v>#REF!</v>
      </c>
      <c r="ER366" s="4" t="e">
        <f t="shared" si="1615"/>
        <v>#REF!</v>
      </c>
      <c r="FA366" s="23" t="e">
        <f t="shared" si="1383"/>
        <v>#REF!</v>
      </c>
      <c r="FB366" s="23" t="e">
        <f t="shared" si="1384"/>
        <v>#REF!</v>
      </c>
      <c r="FC366" s="23">
        <f t="shared" si="1317"/>
        <v>1.2</v>
      </c>
      <c r="FD366" s="23" t="e">
        <f t="shared" si="1385"/>
        <v>#REF!</v>
      </c>
      <c r="FE366" s="23">
        <f t="shared" si="1386"/>
        <v>0.8</v>
      </c>
      <c r="FF366" s="23">
        <f t="shared" si="1387"/>
        <v>0.8</v>
      </c>
      <c r="FG366" s="23">
        <f t="shared" si="1629"/>
        <v>1</v>
      </c>
      <c r="FH366" s="23"/>
      <c r="FR366" s="4">
        <f t="shared" si="1485"/>
        <v>1</v>
      </c>
      <c r="FS366" s="4">
        <f t="shared" si="1486"/>
        <v>0.90416666666666656</v>
      </c>
      <c r="FT366" s="4">
        <f t="shared" si="1487"/>
        <v>0</v>
      </c>
      <c r="FU366" s="4">
        <f t="shared" si="1488"/>
        <v>164.84456876780862</v>
      </c>
    </row>
    <row r="367" spans="2:177" ht="12" customHeight="1" x14ac:dyDescent="0.3">
      <c r="B367" s="24"/>
      <c r="C367" s="7" t="s">
        <v>509</v>
      </c>
      <c r="D367" s="38">
        <f t="shared" si="1635"/>
        <v>889.65517241379314</v>
      </c>
      <c r="E367" s="38">
        <f>6*25.4</f>
        <v>152.39999999999998</v>
      </c>
      <c r="F367" s="38">
        <f t="shared" si="1636"/>
        <v>34</v>
      </c>
      <c r="G367" s="38">
        <f t="shared" si="1341"/>
        <v>25.4</v>
      </c>
      <c r="H367" s="38">
        <f>12.5*25.4</f>
        <v>317.5</v>
      </c>
      <c r="I367" s="38">
        <f>2.55*25.4</f>
        <v>64.77</v>
      </c>
      <c r="J367" s="39">
        <f>7*25.4</f>
        <v>177.79999999999998</v>
      </c>
      <c r="K367" s="7">
        <f t="shared" si="1339"/>
        <v>55.88000000000001</v>
      </c>
      <c r="L367" s="38">
        <v>3</v>
      </c>
      <c r="M367" s="4">
        <f t="shared" si="1357"/>
        <v>260.34999999999997</v>
      </c>
      <c r="N367" s="7">
        <f t="shared" si="1569"/>
        <v>1.6000000000000003</v>
      </c>
      <c r="O367" s="7">
        <f t="shared" si="1570"/>
        <v>3.05</v>
      </c>
      <c r="P367" s="38">
        <v>4.0999999999999996</v>
      </c>
      <c r="Q367" s="4">
        <f t="shared" si="1342"/>
        <v>4.0999999999999996</v>
      </c>
      <c r="R367" s="4">
        <f t="shared" si="1571"/>
        <v>5.0999999999999996</v>
      </c>
      <c r="S367" s="7">
        <f t="shared" si="1572"/>
        <v>57.361276136431961</v>
      </c>
      <c r="V367" s="38">
        <f t="shared" si="1395"/>
        <v>280.00000000000006</v>
      </c>
      <c r="W367" s="4">
        <v>40.6</v>
      </c>
      <c r="X367" s="4">
        <f t="shared" si="1573"/>
        <v>1.1198131819366681</v>
      </c>
      <c r="Y367" s="38">
        <f>0.375*25.4</f>
        <v>9.5249999999999986</v>
      </c>
      <c r="Z367" s="38">
        <v>10</v>
      </c>
      <c r="AA367" s="39">
        <f t="shared" ref="AA367" si="1649">3*25.4</f>
        <v>76.199999999999989</v>
      </c>
      <c r="AB367" s="39">
        <v>3</v>
      </c>
      <c r="AC367" s="39">
        <f>AB367-1</f>
        <v>2</v>
      </c>
      <c r="AD367" s="7"/>
      <c r="AE367" s="4">
        <f t="shared" si="1576"/>
        <v>152.39999999999998</v>
      </c>
      <c r="AF367" s="4">
        <f t="shared" si="1577"/>
        <v>0.69444444444444442</v>
      </c>
      <c r="AG367" s="4">
        <f t="shared" si="1578"/>
        <v>72.166948114322295</v>
      </c>
      <c r="AH367" s="4">
        <f t="shared" si="1579"/>
        <v>0.80166666666666664</v>
      </c>
      <c r="AI367" s="4">
        <v>1.25</v>
      </c>
      <c r="AJ367" s="4">
        <f t="shared" si="1513"/>
        <v>2.5</v>
      </c>
      <c r="AK367" s="38">
        <f t="shared" si="1340"/>
        <v>125.55086097724617</v>
      </c>
      <c r="AL367" s="38">
        <f t="shared" si="1616"/>
        <v>125.55086097724617</v>
      </c>
      <c r="AM367" s="38">
        <f t="shared" si="1580"/>
        <v>3.1485253868929024</v>
      </c>
      <c r="AN367" s="38">
        <f t="shared" si="1521"/>
        <v>125.55086097724615</v>
      </c>
      <c r="AO367" s="38">
        <f t="shared" si="1484"/>
        <v>1.0000000000000002</v>
      </c>
      <c r="AP367" s="38">
        <f t="shared" si="1522"/>
        <v>2.3907691293286812</v>
      </c>
      <c r="AQ367" s="4">
        <f t="shared" si="1523"/>
        <v>0</v>
      </c>
      <c r="AR367" s="4" t="e">
        <f>#REF!/G367*F367^0.5/0.19</f>
        <v>#REF!</v>
      </c>
      <c r="AS367" s="4">
        <f t="shared" si="1581"/>
        <v>1.3624999999999998</v>
      </c>
      <c r="AT367" s="38">
        <f t="shared" si="1582"/>
        <v>300.16312258503706</v>
      </c>
      <c r="AU367" s="4">
        <f t="shared" si="1583"/>
        <v>0.42600000000000005</v>
      </c>
      <c r="AV367" s="4" t="e">
        <f>AU367*D367*#REF!/(D367*G367/2.75/F367^0.5)</f>
        <v>#REF!</v>
      </c>
      <c r="AW367" s="4" t="e">
        <f t="shared" si="1431"/>
        <v>#REF!</v>
      </c>
      <c r="AY367" s="4">
        <f t="shared" si="1584"/>
        <v>1.5</v>
      </c>
      <c r="AZ367" s="4" t="e">
        <f>(3*#REF!+30)*AY367*F367^0.5</f>
        <v>#REF!</v>
      </c>
      <c r="BB367" s="4">
        <f t="shared" si="1585"/>
        <v>287.89314211699849</v>
      </c>
      <c r="BC367" s="4">
        <f t="shared" si="1464"/>
        <v>0</v>
      </c>
      <c r="BD367" s="4">
        <f t="shared" si="1432"/>
        <v>0</v>
      </c>
      <c r="BL367" s="4">
        <f t="shared" si="1586"/>
        <v>27.940000000000005</v>
      </c>
      <c r="BP367" s="9"/>
      <c r="BR367" s="9"/>
      <c r="BS367" s="9"/>
      <c r="BT367" s="9">
        <f t="shared" si="1587"/>
        <v>27.940000000000005</v>
      </c>
      <c r="BU367" s="9">
        <f t="shared" si="1588"/>
        <v>64.77</v>
      </c>
      <c r="BV367" s="9">
        <f t="shared" si="1589"/>
        <v>1.1897849384592458</v>
      </c>
      <c r="BW367" s="40">
        <f t="shared" si="1343"/>
        <v>20</v>
      </c>
      <c r="BX367" s="9">
        <f t="shared" si="1590"/>
        <v>0.05</v>
      </c>
      <c r="BY367" s="9">
        <f t="shared" si="1433"/>
        <v>0.8</v>
      </c>
      <c r="BZ367" s="9">
        <f t="shared" si="1591"/>
        <v>0.99524931562137331</v>
      </c>
      <c r="CA367" s="9">
        <f t="shared" si="1592"/>
        <v>0.68</v>
      </c>
      <c r="CB367" s="9">
        <f t="shared" si="1593"/>
        <v>1.3811737100982926</v>
      </c>
      <c r="CC367" s="9">
        <f t="shared" si="1594"/>
        <v>2.7482386457494594</v>
      </c>
      <c r="CD367" s="40">
        <v>1</v>
      </c>
      <c r="CE367" s="9" t="e">
        <f>4*CC367*#REF!+60*CC367</f>
        <v>#REF!</v>
      </c>
      <c r="CG367" s="4" t="e">
        <f t="shared" si="1434"/>
        <v>#REF!</v>
      </c>
      <c r="CH367" s="4" t="e">
        <f t="shared" si="1435"/>
        <v>#REF!</v>
      </c>
      <c r="CI367" s="4" t="e">
        <f t="shared" si="1436"/>
        <v>#REF!</v>
      </c>
      <c r="CJ367" s="4" t="e">
        <f t="shared" si="1437"/>
        <v>#REF!</v>
      </c>
      <c r="CK367" s="4">
        <f t="shared" si="1438"/>
        <v>1.1198131819366681</v>
      </c>
      <c r="CL367" s="4">
        <f t="shared" si="1439"/>
        <v>1.1248507186141501</v>
      </c>
      <c r="CM367" s="4">
        <f t="shared" si="1310"/>
        <v>1.2840983524179472</v>
      </c>
      <c r="CN367" s="4">
        <f t="shared" si="1344"/>
        <v>10</v>
      </c>
      <c r="CU367" s="4" t="e">
        <f t="shared" ref="CU367" si="1650">CG367</f>
        <v>#REF!</v>
      </c>
      <c r="CV367" s="4" t="e">
        <f t="shared" ref="CV367" si="1651">CH367</f>
        <v>#REF!</v>
      </c>
      <c r="CW367" s="4" t="e">
        <f t="shared" ref="CW367" si="1652">CJ367</f>
        <v>#REF!</v>
      </c>
      <c r="CX367" s="4">
        <f t="shared" ref="CX367" si="1653">CM367</f>
        <v>1.2840983524179472</v>
      </c>
      <c r="CY367" s="4">
        <f t="shared" ref="CY367" si="1654">CK367</f>
        <v>1.1198131819366681</v>
      </c>
      <c r="CZ367" s="4">
        <f t="shared" ref="CZ367" si="1655">CL367</f>
        <v>1.1248507186141501</v>
      </c>
      <c r="DC367" s="4" t="e">
        <f>#REF!</f>
        <v>#REF!</v>
      </c>
      <c r="DF367" s="4">
        <f t="shared" si="1601"/>
        <v>1.1019273845657792E-5</v>
      </c>
      <c r="DG367" s="4">
        <f t="shared" si="1446"/>
        <v>6.9798597404126728</v>
      </c>
      <c r="DH367" s="4">
        <f t="shared" si="1602"/>
        <v>0.20102154329233674</v>
      </c>
      <c r="DI367" s="4">
        <f t="shared" si="1447"/>
        <v>3.6740387860336368</v>
      </c>
      <c r="DJ367" s="4">
        <f t="shared" si="1448"/>
        <v>5.57971310662895</v>
      </c>
      <c r="DK367" s="4">
        <f t="shared" si="1603"/>
        <v>6.8784141138402219</v>
      </c>
      <c r="DL367" s="38">
        <f t="shared" si="1604"/>
        <v>250.04170741743926</v>
      </c>
      <c r="DM367" s="4" t="e">
        <f t="shared" si="1449"/>
        <v>#REF!</v>
      </c>
      <c r="DN367" s="4">
        <f t="shared" si="1605"/>
        <v>2.2583179581272428</v>
      </c>
      <c r="DO367" s="4">
        <f t="shared" si="1309"/>
        <v>125.55086097724615</v>
      </c>
      <c r="DS367" s="4">
        <f t="shared" si="1606"/>
        <v>0.85</v>
      </c>
      <c r="DT367" s="4">
        <f t="shared" si="1607"/>
        <v>0.99</v>
      </c>
      <c r="DU367" s="4">
        <f t="shared" si="1608"/>
        <v>0.90625</v>
      </c>
      <c r="DV367" s="4">
        <f t="shared" si="1450"/>
        <v>0.89718750000000003</v>
      </c>
      <c r="DX367" s="4">
        <f t="shared" si="1609"/>
        <v>248.92191947476238</v>
      </c>
      <c r="DY367" s="25">
        <f t="shared" si="1502"/>
        <v>123.28444414733428</v>
      </c>
      <c r="EA367" s="4">
        <f t="shared" si="1503"/>
        <v>0.76260937500000003</v>
      </c>
      <c r="EB367" s="4">
        <f t="shared" si="1610"/>
        <v>6.9798597404126728</v>
      </c>
      <c r="EE367" s="4">
        <f t="shared" si="1611"/>
        <v>57.361276136431961</v>
      </c>
      <c r="EF367" s="4">
        <f t="shared" si="1451"/>
        <v>2.2583179581272428</v>
      </c>
      <c r="EG367" s="4">
        <f t="shared" si="1612"/>
        <v>6.4093992730351185E-2</v>
      </c>
      <c r="EJ367" s="4">
        <f t="shared" si="1452"/>
        <v>6.4093992730351185E-2</v>
      </c>
      <c r="EK367" s="4">
        <f t="shared" si="1613"/>
        <v>0.20068607580190448</v>
      </c>
      <c r="EL367" s="4">
        <f t="shared" si="1453"/>
        <v>3.6715850427083443</v>
      </c>
      <c r="EM367" s="4">
        <f t="shared" si="1454"/>
        <v>5.578912791171704</v>
      </c>
      <c r="EN367" s="4" t="e">
        <f t="shared" si="1455"/>
        <v>#REF!</v>
      </c>
      <c r="EO367" s="4" t="e">
        <f t="shared" si="1456"/>
        <v>#REF!</v>
      </c>
      <c r="EP367" s="4" t="e">
        <f t="shared" si="1614"/>
        <v>#REF!</v>
      </c>
      <c r="EQ367" s="4" t="e">
        <f t="shared" si="1457"/>
        <v>#REF!</v>
      </c>
      <c r="ER367" s="4" t="e">
        <f t="shared" si="1615"/>
        <v>#REF!</v>
      </c>
      <c r="FA367" s="23" t="e">
        <f t="shared" si="1383"/>
        <v>#REF!</v>
      </c>
      <c r="FB367" s="23" t="e">
        <f t="shared" si="1384"/>
        <v>#REF!</v>
      </c>
      <c r="FC367" s="23">
        <f t="shared" si="1317"/>
        <v>1.4</v>
      </c>
      <c r="FD367" s="23" t="e">
        <f t="shared" si="1385"/>
        <v>#REF!</v>
      </c>
      <c r="FE367" s="23">
        <f t="shared" si="1386"/>
        <v>1.2</v>
      </c>
      <c r="FF367" s="23">
        <f t="shared" si="1387"/>
        <v>1.2</v>
      </c>
      <c r="FG367" s="23">
        <f t="shared" si="1629"/>
        <v>0</v>
      </c>
      <c r="FH367" s="23"/>
      <c r="FR367" s="4">
        <f t="shared" si="1485"/>
        <v>1</v>
      </c>
      <c r="FS367" s="4">
        <f t="shared" si="1486"/>
        <v>0.66255813953488385</v>
      </c>
      <c r="FT367" s="4">
        <f t="shared" si="1487"/>
        <v>0.28124999999999994</v>
      </c>
      <c r="FU367" s="4">
        <f t="shared" si="1488"/>
        <v>218.05183339170418</v>
      </c>
    </row>
    <row r="368" spans="2:177" ht="12" customHeight="1" x14ac:dyDescent="0.3">
      <c r="B368" s="24"/>
      <c r="C368" s="7" t="s">
        <v>510</v>
      </c>
      <c r="D368" s="38">
        <f t="shared" si="1635"/>
        <v>889.65517241379314</v>
      </c>
      <c r="E368" s="38">
        <f>6.33*25.4</f>
        <v>160.78199999999998</v>
      </c>
      <c r="F368" s="38">
        <f t="shared" si="1636"/>
        <v>34</v>
      </c>
      <c r="G368" s="38">
        <f t="shared" si="1341"/>
        <v>25.4</v>
      </c>
      <c r="H368" s="38">
        <f>16.9*25.4</f>
        <v>429.25999999999993</v>
      </c>
      <c r="I368" s="38">
        <f>2.8*25.4</f>
        <v>71.11999999999999</v>
      </c>
      <c r="J368" s="39">
        <f>6.8*25.4</f>
        <v>172.72</v>
      </c>
      <c r="K368" s="7">
        <f t="shared" si="1339"/>
        <v>105.40999999999998</v>
      </c>
      <c r="L368" s="38">
        <v>3</v>
      </c>
      <c r="M368" s="4">
        <f t="shared" si="1357"/>
        <v>260.34999999999997</v>
      </c>
      <c r="N368" s="7">
        <f t="shared" si="1569"/>
        <v>2.5749999999999997</v>
      </c>
      <c r="O368" s="7">
        <f t="shared" si="1570"/>
        <v>3.3</v>
      </c>
      <c r="P368" s="38">
        <v>4.0999999999999996</v>
      </c>
      <c r="Q368" s="4">
        <f t="shared" si="1342"/>
        <v>4.0999999999999996</v>
      </c>
      <c r="R368" s="4">
        <f t="shared" si="1571"/>
        <v>5.0999999999999996</v>
      </c>
      <c r="S368" s="7">
        <f t="shared" si="1572"/>
        <v>57.361276136431961</v>
      </c>
      <c r="V368" s="38">
        <f t="shared" si="1395"/>
        <v>208.96551724137933</v>
      </c>
      <c r="W368" s="4">
        <v>30.3</v>
      </c>
      <c r="X368" s="4">
        <f t="shared" si="1573"/>
        <v>0.66486057633594775</v>
      </c>
      <c r="Y368" s="38"/>
      <c r="Z368" s="38"/>
      <c r="AA368" s="39">
        <v>1</v>
      </c>
      <c r="AB368" s="39"/>
      <c r="AC368" s="39"/>
      <c r="AD368" s="7"/>
      <c r="AE368" s="4">
        <f t="shared" si="1576"/>
        <v>160.78199999999998</v>
      </c>
      <c r="AF368" s="4">
        <f t="shared" si="1577"/>
        <v>0.88994207477619791</v>
      </c>
      <c r="AG368" s="4">
        <f t="shared" si="1578"/>
        <v>78.20185035706578</v>
      </c>
      <c r="AH368" s="4">
        <f t="shared" si="1579"/>
        <v>0.80426540284360182</v>
      </c>
      <c r="AI368" s="4">
        <v>1.25</v>
      </c>
      <c r="AJ368" s="4">
        <f t="shared" si="1513"/>
        <v>2.5</v>
      </c>
      <c r="AK368" s="38">
        <f t="shared" si="1340"/>
        <v>174.91545242580563</v>
      </c>
      <c r="AL368" s="38">
        <f t="shared" si="1616"/>
        <v>174.91545242580563</v>
      </c>
      <c r="AM368" s="38">
        <f t="shared" si="1580"/>
        <v>3.1485253868929024</v>
      </c>
      <c r="AN368" s="38">
        <f t="shared" si="1521"/>
        <v>174.91545242580557</v>
      </c>
      <c r="AO368" s="38">
        <f t="shared" si="1484"/>
        <v>1.0000000000000002</v>
      </c>
      <c r="AP368" s="38">
        <f t="shared" si="1522"/>
        <v>2.2552634919824346</v>
      </c>
      <c r="AQ368" s="4">
        <f t="shared" si="1523"/>
        <v>0</v>
      </c>
      <c r="AR368" s="4" t="e">
        <f>#REF!/G368*F368^0.5/0.19</f>
        <v>#REF!</v>
      </c>
      <c r="AS368" s="4">
        <f t="shared" si="1581"/>
        <v>1.112621359223301</v>
      </c>
      <c r="AT368" s="38">
        <f t="shared" si="1582"/>
        <v>394.4804340395097</v>
      </c>
      <c r="AU368" s="4">
        <f t="shared" si="1583"/>
        <v>0.42600000000000005</v>
      </c>
      <c r="AV368" s="4" t="e">
        <f>AU368*D368*#REF!/(D368*G368/2.75/F368^0.5)</f>
        <v>#REF!</v>
      </c>
      <c r="AW368" s="4" t="e">
        <f t="shared" si="1431"/>
        <v>#REF!</v>
      </c>
      <c r="AY368" s="4">
        <f t="shared" si="1584"/>
        <v>1.45</v>
      </c>
      <c r="AZ368" s="4" t="e">
        <f>(3*#REF!+30)*AY368*F368^0.5</f>
        <v>#REF!</v>
      </c>
      <c r="BB368" s="4">
        <f t="shared" si="1585"/>
        <v>378.35497805743148</v>
      </c>
      <c r="BC368" s="4">
        <f t="shared" si="1464"/>
        <v>0</v>
      </c>
      <c r="BD368" s="4">
        <f t="shared" si="1432"/>
        <v>0</v>
      </c>
      <c r="BL368" s="4">
        <f t="shared" si="1586"/>
        <v>52.704999999999991</v>
      </c>
      <c r="BP368" s="9"/>
      <c r="BR368" s="9"/>
      <c r="BS368" s="9"/>
      <c r="BT368" s="9">
        <f t="shared" si="1587"/>
        <v>52.704999999999991</v>
      </c>
      <c r="BU368" s="9">
        <f t="shared" si="1588"/>
        <v>71.11999999999999</v>
      </c>
      <c r="BV368" s="9">
        <f t="shared" si="1589"/>
        <v>1.5067112815202597</v>
      </c>
      <c r="BW368" s="40">
        <f t="shared" si="1343"/>
        <v>0</v>
      </c>
      <c r="BX368" s="9">
        <f t="shared" si="1590"/>
        <v>0</v>
      </c>
      <c r="BY368" s="9">
        <f t="shared" si="1433"/>
        <v>0</v>
      </c>
      <c r="BZ368" s="9">
        <f t="shared" si="1591"/>
        <v>0.99524931562137331</v>
      </c>
      <c r="CA368" s="9">
        <f t="shared" si="1592"/>
        <v>0.68</v>
      </c>
      <c r="CB368" s="9">
        <f t="shared" si="1593"/>
        <v>1.3811737100982926</v>
      </c>
      <c r="CC368" s="9">
        <f t="shared" si="1594"/>
        <v>2.0810300107442901</v>
      </c>
      <c r="CD368" s="40">
        <v>1</v>
      </c>
      <c r="CE368" s="9" t="e">
        <f>4*CC368*#REF!+60*CC368</f>
        <v>#REF!</v>
      </c>
      <c r="CG368" s="4" t="e">
        <f t="shared" si="1434"/>
        <v>#REF!</v>
      </c>
      <c r="CH368" s="4" t="e">
        <f t="shared" si="1435"/>
        <v>#REF!</v>
      </c>
      <c r="CI368" s="4" t="e">
        <f t="shared" si="1436"/>
        <v>#REF!</v>
      </c>
      <c r="CJ368" s="4" t="e">
        <f t="shared" si="1437"/>
        <v>#REF!</v>
      </c>
      <c r="CK368" s="4">
        <f t="shared" si="1438"/>
        <v>0.66486057633594775</v>
      </c>
      <c r="CL368" s="4">
        <f t="shared" si="1439"/>
        <v>0.68467739710453912</v>
      </c>
      <c r="CM368" s="4">
        <f t="shared" si="1310"/>
        <v>1.0111147713391568</v>
      </c>
      <c r="CN368" s="4">
        <f t="shared" si="1344"/>
        <v>0</v>
      </c>
      <c r="CO368" s="4" t="e">
        <f t="shared" ref="CO368" si="1656">CG368</f>
        <v>#REF!</v>
      </c>
      <c r="CP368" s="4" t="e">
        <f t="shared" ref="CP368" si="1657">CH368</f>
        <v>#REF!</v>
      </c>
      <c r="CQ368" s="4" t="e">
        <f t="shared" ref="CQ368" si="1658">CJ368</f>
        <v>#REF!</v>
      </c>
      <c r="CR368" s="4">
        <f t="shared" si="1536"/>
        <v>1.0111147713391568</v>
      </c>
      <c r="CS368" s="4">
        <f t="shared" ref="CS368" si="1659">CK368</f>
        <v>0.66486057633594775</v>
      </c>
      <c r="CT368" s="4">
        <f t="shared" ref="CT368" si="1660">CL368</f>
        <v>0.68467739710453912</v>
      </c>
      <c r="DC368" s="4" t="e">
        <f>#REF!</f>
        <v>#REF!</v>
      </c>
      <c r="DF368" s="4">
        <f t="shared" si="1601"/>
        <v>1.162533390716897E-5</v>
      </c>
      <c r="DG368" s="4">
        <f t="shared" si="1446"/>
        <v>7.0165186676207227</v>
      </c>
      <c r="DH368" s="4">
        <f t="shared" si="1602"/>
        <v>0.28006000053384883</v>
      </c>
      <c r="DI368" s="4">
        <f t="shared" si="1447"/>
        <v>4.2171798146618968</v>
      </c>
      <c r="DJ368" s="4">
        <f t="shared" si="1448"/>
        <v>5.7896246222922088</v>
      </c>
      <c r="DK368" s="4">
        <f t="shared" si="1603"/>
        <v>6.8947320496980744</v>
      </c>
      <c r="DL368" s="38">
        <f t="shared" si="1604"/>
        <v>314.29975648878155</v>
      </c>
      <c r="DM368" s="4" t="e">
        <f t="shared" si="1449"/>
        <v>#REF!</v>
      </c>
      <c r="DN368" s="4">
        <f t="shared" si="1605"/>
        <v>2.2583179581272428</v>
      </c>
      <c r="DO368" s="4">
        <f t="shared" si="1309"/>
        <v>174.91545242580557</v>
      </c>
      <c r="DS368" s="4">
        <f t="shared" si="1606"/>
        <v>0.85</v>
      </c>
      <c r="DT368" s="4">
        <f t="shared" si="1607"/>
        <v>0.89250000000000007</v>
      </c>
      <c r="DU368" s="4">
        <f t="shared" si="1608"/>
        <v>1</v>
      </c>
      <c r="DV368" s="4">
        <f t="shared" si="1450"/>
        <v>0.89250000000000007</v>
      </c>
      <c r="DX368" s="4">
        <f t="shared" si="1609"/>
        <v>305.20288551233375</v>
      </c>
      <c r="DY368" s="25">
        <f t="shared" si="1502"/>
        <v>171.95919601421622</v>
      </c>
      <c r="EA368" s="4">
        <f t="shared" si="1503"/>
        <v>0.75862499999999999</v>
      </c>
      <c r="EB368" s="4">
        <f t="shared" si="1610"/>
        <v>7.0165186676207227</v>
      </c>
      <c r="EE368" s="4">
        <f t="shared" si="1611"/>
        <v>57.361276136431961</v>
      </c>
      <c r="EF368" s="4">
        <f t="shared" si="1451"/>
        <v>2.2583179581272428</v>
      </c>
      <c r="EG368" s="4">
        <f t="shared" si="1612"/>
        <v>8.929472604921021E-2</v>
      </c>
      <c r="EJ368" s="4">
        <f t="shared" si="1452"/>
        <v>8.929472604921021E-2</v>
      </c>
      <c r="EK368" s="4">
        <f t="shared" si="1613"/>
        <v>0.27959263258904649</v>
      </c>
      <c r="EL368" s="4">
        <f t="shared" si="1453"/>
        <v>4.2143633292015039</v>
      </c>
      <c r="EM368" s="4">
        <f t="shared" si="1454"/>
        <v>5.7886035772711342</v>
      </c>
      <c r="EN368" s="4" t="e">
        <f t="shared" si="1455"/>
        <v>#REF!</v>
      </c>
      <c r="EO368" s="4" t="e">
        <f t="shared" si="1456"/>
        <v>#REF!</v>
      </c>
      <c r="EP368" s="4" t="e">
        <f t="shared" si="1614"/>
        <v>#REF!</v>
      </c>
      <c r="EQ368" s="4" t="e">
        <f t="shared" si="1457"/>
        <v>#REF!</v>
      </c>
      <c r="ER368" s="4" t="e">
        <f t="shared" si="1615"/>
        <v>#REF!</v>
      </c>
      <c r="FA368" s="23" t="e">
        <f t="shared" si="1383"/>
        <v>#REF!</v>
      </c>
      <c r="FB368" s="23" t="e">
        <f t="shared" si="1384"/>
        <v>#REF!</v>
      </c>
      <c r="FC368" s="23">
        <f t="shared" si="1317"/>
        <v>1.2</v>
      </c>
      <c r="FD368" s="23" t="e">
        <f t="shared" si="1385"/>
        <v>#REF!</v>
      </c>
      <c r="FE368" s="23">
        <f t="shared" si="1386"/>
        <v>0.8</v>
      </c>
      <c r="FF368" s="23">
        <f t="shared" si="1387"/>
        <v>0.8</v>
      </c>
      <c r="FG368" s="23">
        <f t="shared" si="1629"/>
        <v>1</v>
      </c>
      <c r="FH368" s="23"/>
      <c r="FR368" s="4">
        <f t="shared" si="1485"/>
        <v>1</v>
      </c>
      <c r="FS368" s="4">
        <f t="shared" si="1486"/>
        <v>0.73750000000000004</v>
      </c>
      <c r="FT368" s="4">
        <f t="shared" si="1487"/>
        <v>0</v>
      </c>
      <c r="FU368" s="4">
        <f t="shared" si="1488"/>
        <v>206.66844473512919</v>
      </c>
    </row>
    <row r="369" spans="2:177" ht="12" customHeight="1" x14ac:dyDescent="0.3">
      <c r="B369" s="24"/>
      <c r="C369" s="7" t="s">
        <v>511</v>
      </c>
      <c r="D369" s="38">
        <f t="shared" si="1635"/>
        <v>889.65517241379314</v>
      </c>
      <c r="E369" s="38">
        <f>6.29*25.4</f>
        <v>159.76599999999999</v>
      </c>
      <c r="F369" s="38">
        <f t="shared" si="1636"/>
        <v>34</v>
      </c>
      <c r="G369" s="38">
        <f t="shared" si="1341"/>
        <v>25.4</v>
      </c>
      <c r="H369" s="38">
        <f>16.8*25.4</f>
        <v>426.71999999999997</v>
      </c>
      <c r="I369" s="38">
        <f>2.8*25.4</f>
        <v>71.11999999999999</v>
      </c>
      <c r="J369" s="39">
        <f>7*25.4</f>
        <v>177.79999999999998</v>
      </c>
      <c r="K369" s="7">
        <f t="shared" si="1339"/>
        <v>104.14</v>
      </c>
      <c r="L369" s="38">
        <v>3</v>
      </c>
      <c r="M369" s="4">
        <f t="shared" si="1357"/>
        <v>260.34999999999997</v>
      </c>
      <c r="N369" s="7">
        <f t="shared" si="1569"/>
        <v>2.5500000000000003</v>
      </c>
      <c r="O369" s="7">
        <f t="shared" si="1570"/>
        <v>3.3</v>
      </c>
      <c r="P369" s="38">
        <v>4.0999999999999996</v>
      </c>
      <c r="Q369" s="4">
        <f t="shared" si="1342"/>
        <v>4.0999999999999996</v>
      </c>
      <c r="R369" s="4">
        <f t="shared" si="1571"/>
        <v>5.0999999999999996</v>
      </c>
      <c r="S369" s="7">
        <f t="shared" si="1572"/>
        <v>57.361276136431961</v>
      </c>
      <c r="V369" s="38">
        <f t="shared" si="1395"/>
        <v>327.58620689655174</v>
      </c>
      <c r="W369" s="4">
        <v>47.5</v>
      </c>
      <c r="X369" s="4">
        <f t="shared" si="1573"/>
        <v>1.0063627542062954</v>
      </c>
      <c r="Y369" s="38">
        <f>0.375*25.4</f>
        <v>9.5249999999999986</v>
      </c>
      <c r="Z369" s="38">
        <v>10</v>
      </c>
      <c r="AA369" s="39">
        <f t="shared" ref="AA369:AA377" si="1661">3*25.4</f>
        <v>76.199999999999989</v>
      </c>
      <c r="AB369" s="39">
        <v>3</v>
      </c>
      <c r="AC369" s="39">
        <f>AB369-1</f>
        <v>2</v>
      </c>
      <c r="AD369" s="7"/>
      <c r="AE369" s="4">
        <f t="shared" si="1576"/>
        <v>159.76599999999999</v>
      </c>
      <c r="AF369" s="4">
        <f t="shared" si="1577"/>
        <v>0.890302066772655</v>
      </c>
      <c r="AG369" s="4">
        <f t="shared" si="1578"/>
        <v>77.461772837561156</v>
      </c>
      <c r="AH369" s="4">
        <f t="shared" si="1579"/>
        <v>0.8049284578696343</v>
      </c>
      <c r="AI369" s="4">
        <v>1.25</v>
      </c>
      <c r="AJ369" s="4">
        <f t="shared" si="1513"/>
        <v>2.5</v>
      </c>
      <c r="AK369" s="38">
        <f t="shared" si="1340"/>
        <v>173.4730912074333</v>
      </c>
      <c r="AL369" s="38">
        <f t="shared" si="1616"/>
        <v>173.4730912074333</v>
      </c>
      <c r="AM369" s="38">
        <f t="shared" si="1580"/>
        <v>3.1485253868929024</v>
      </c>
      <c r="AN369" s="38">
        <f t="shared" si="1521"/>
        <v>173.47309120743344</v>
      </c>
      <c r="AO369" s="38">
        <f t="shared" si="1484"/>
        <v>0.99999999999999922</v>
      </c>
      <c r="AP369" s="38">
        <f t="shared" si="1522"/>
        <v>2.262109291542389</v>
      </c>
      <c r="AQ369" s="4">
        <f t="shared" si="1523"/>
        <v>0</v>
      </c>
      <c r="AR369" s="4" t="e">
        <f>#REF!/G369*F369^0.5/0.19</f>
        <v>#REF!</v>
      </c>
      <c r="AS369" s="4">
        <f t="shared" si="1581"/>
        <v>1.1176470588235294</v>
      </c>
      <c r="AT369" s="38">
        <f t="shared" si="1582"/>
        <v>392.41509145291548</v>
      </c>
      <c r="AU369" s="4">
        <f t="shared" si="1583"/>
        <v>0.42600000000000005</v>
      </c>
      <c r="AV369" s="4" t="e">
        <f>AU369*D369*#REF!/(D369*G369/2.75/F369^0.5)</f>
        <v>#REF!</v>
      </c>
      <c r="AW369" s="4" t="e">
        <f t="shared" si="1431"/>
        <v>#REF!</v>
      </c>
      <c r="AY369" s="4">
        <f t="shared" si="1584"/>
        <v>1.5</v>
      </c>
      <c r="AZ369" s="4" t="e">
        <f>(3*#REF!+30)*AY369*F369^0.5</f>
        <v>#REF!</v>
      </c>
      <c r="BB369" s="4">
        <f t="shared" si="1585"/>
        <v>376.37406194194762</v>
      </c>
      <c r="BC369" s="4">
        <f t="shared" ref="BC369:BC400" si="1662">8/3*T369*U369^2/(S369-G369-22)/G369*(S369^2-G369^2)/(S369^2-(G369+22)^2)</f>
        <v>0</v>
      </c>
      <c r="BD369" s="4">
        <f t="shared" si="1432"/>
        <v>0</v>
      </c>
      <c r="BL369" s="4">
        <f t="shared" si="1586"/>
        <v>52.07</v>
      </c>
      <c r="BP369" s="9"/>
      <c r="BR369" s="9"/>
      <c r="BS369" s="9"/>
      <c r="BT369" s="9">
        <f t="shared" si="1587"/>
        <v>52.07</v>
      </c>
      <c r="BU369" s="9">
        <f t="shared" si="1588"/>
        <v>71.11999999999999</v>
      </c>
      <c r="BV369" s="9">
        <f t="shared" si="1589"/>
        <v>1.5003326349839896</v>
      </c>
      <c r="BW369" s="40">
        <f t="shared" si="1343"/>
        <v>20</v>
      </c>
      <c r="BX369" s="9">
        <f t="shared" si="1590"/>
        <v>0.05</v>
      </c>
      <c r="BY369" s="9">
        <f t="shared" si="1433"/>
        <v>0.8</v>
      </c>
      <c r="BZ369" s="9">
        <f t="shared" si="1591"/>
        <v>0.99524931562137331</v>
      </c>
      <c r="CA369" s="9">
        <f t="shared" si="1592"/>
        <v>0.68</v>
      </c>
      <c r="CB369" s="9">
        <f t="shared" si="1593"/>
        <v>1.3811737100982926</v>
      </c>
      <c r="CC369" s="9">
        <f t="shared" si="1594"/>
        <v>3.1771589599210186</v>
      </c>
      <c r="CD369" s="40">
        <v>1</v>
      </c>
      <c r="CE369" s="9" t="e">
        <f>4*CC369*#REF!+60*CC369</f>
        <v>#REF!</v>
      </c>
      <c r="CG369" s="4" t="e">
        <f t="shared" si="1434"/>
        <v>#REF!</v>
      </c>
      <c r="CH369" s="4" t="e">
        <f t="shared" si="1435"/>
        <v>#REF!</v>
      </c>
      <c r="CI369" s="4" t="e">
        <f t="shared" si="1436"/>
        <v>#REF!</v>
      </c>
      <c r="CJ369" s="4" t="e">
        <f t="shared" si="1437"/>
        <v>#REF!</v>
      </c>
      <c r="CK369" s="4">
        <f t="shared" si="1438"/>
        <v>1.0063627542062954</v>
      </c>
      <c r="CL369" s="4">
        <f t="shared" si="1439"/>
        <v>1.0359680488784047</v>
      </c>
      <c r="CM369" s="4">
        <f t="shared" si="1310"/>
        <v>1.2490921086446241</v>
      </c>
      <c r="CN369" s="4">
        <f t="shared" si="1344"/>
        <v>10</v>
      </c>
      <c r="CU369" s="4" t="e">
        <f t="shared" ref="CU369" si="1663">CG369</f>
        <v>#REF!</v>
      </c>
      <c r="CV369" s="4" t="e">
        <f t="shared" ref="CV369" si="1664">CH369</f>
        <v>#REF!</v>
      </c>
      <c r="CW369" s="4" t="e">
        <f t="shared" ref="CW369" si="1665">CJ369</f>
        <v>#REF!</v>
      </c>
      <c r="CX369" s="4">
        <f t="shared" ref="CX369" si="1666">CM369</f>
        <v>1.2490921086446241</v>
      </c>
      <c r="CY369" s="4">
        <f t="shared" ref="CY369" si="1667">CK369</f>
        <v>1.0063627542062954</v>
      </c>
      <c r="CZ369" s="4">
        <f t="shared" ref="CZ369" si="1668">CL369</f>
        <v>1.0359680488784047</v>
      </c>
      <c r="DC369" s="4" t="e">
        <f>#REF!</f>
        <v>#REF!</v>
      </c>
      <c r="DF369" s="4">
        <f t="shared" si="1601"/>
        <v>1.1551872081531252E-5</v>
      </c>
      <c r="DG369" s="4">
        <f t="shared" si="1446"/>
        <v>7.7207387072721181</v>
      </c>
      <c r="DH369" s="4">
        <f t="shared" si="1602"/>
        <v>0.27775061232380122</v>
      </c>
      <c r="DI369" s="4">
        <f t="shared" si="1447"/>
        <v>4.6250972074841998</v>
      </c>
      <c r="DJ369" s="4">
        <f t="shared" si="1448"/>
        <v>6.3651491691455737</v>
      </c>
      <c r="DK369" s="4">
        <f t="shared" si="1603"/>
        <v>7.5755073264251864</v>
      </c>
      <c r="DL369" s="38">
        <f t="shared" si="1604"/>
        <v>325.5150347400471</v>
      </c>
      <c r="DM369" s="4" t="e">
        <f t="shared" si="1449"/>
        <v>#REF!</v>
      </c>
      <c r="DN369" s="4">
        <f t="shared" si="1605"/>
        <v>2.2583179581272428</v>
      </c>
      <c r="DO369" s="4">
        <f t="shared" si="1309"/>
        <v>173.47309120743344</v>
      </c>
      <c r="DS369" s="4">
        <f t="shared" si="1606"/>
        <v>0.85</v>
      </c>
      <c r="DT369" s="4">
        <f t="shared" si="1607"/>
        <v>0.89500000000000002</v>
      </c>
      <c r="DU369" s="4">
        <f t="shared" si="1608"/>
        <v>0.90625</v>
      </c>
      <c r="DV369" s="4">
        <f t="shared" si="1450"/>
        <v>0.81109375000000006</v>
      </c>
      <c r="DX369" s="4">
        <f t="shared" si="1609"/>
        <v>316.21265467715375</v>
      </c>
      <c r="DY369" s="25">
        <f t="shared" si="1502"/>
        <v>170.52231527092891</v>
      </c>
      <c r="EA369" s="4">
        <f t="shared" si="1503"/>
        <v>0.6894296875</v>
      </c>
      <c r="EB369" s="4">
        <f t="shared" si="1610"/>
        <v>7.7207387072721181</v>
      </c>
      <c r="EE369" s="4">
        <f t="shared" si="1611"/>
        <v>57.361276136431961</v>
      </c>
      <c r="EF369" s="4">
        <f t="shared" si="1451"/>
        <v>2.2583179581272428</v>
      </c>
      <c r="EG369" s="4">
        <f t="shared" si="1612"/>
        <v>8.8558397451179827E-2</v>
      </c>
      <c r="EJ369" s="4">
        <f t="shared" si="1452"/>
        <v>8.8558397451179827E-2</v>
      </c>
      <c r="EK369" s="4">
        <f t="shared" si="1613"/>
        <v>0.27728709831750997</v>
      </c>
      <c r="EL369" s="4">
        <f t="shared" si="1453"/>
        <v>4.622008290338079</v>
      </c>
      <c r="EM369" s="4">
        <f t="shared" si="1454"/>
        <v>6.3640321914181257</v>
      </c>
      <c r="EN369" s="4" t="e">
        <f t="shared" si="1455"/>
        <v>#REF!</v>
      </c>
      <c r="EO369" s="4" t="e">
        <f t="shared" si="1456"/>
        <v>#REF!</v>
      </c>
      <c r="EP369" s="4" t="e">
        <f t="shared" si="1614"/>
        <v>#REF!</v>
      </c>
      <c r="EQ369" s="4" t="e">
        <f t="shared" si="1457"/>
        <v>#REF!</v>
      </c>
      <c r="ER369" s="4" t="e">
        <f t="shared" si="1615"/>
        <v>#REF!</v>
      </c>
      <c r="FA369" s="23" t="e">
        <f t="shared" si="1383"/>
        <v>#REF!</v>
      </c>
      <c r="FB369" s="23" t="e">
        <f t="shared" si="1384"/>
        <v>#REF!</v>
      </c>
      <c r="FC369" s="23">
        <f t="shared" si="1317"/>
        <v>1.4</v>
      </c>
      <c r="FD369" s="23" t="e">
        <f t="shared" si="1385"/>
        <v>#REF!</v>
      </c>
      <c r="FE369" s="23">
        <f t="shared" si="1386"/>
        <v>1.2</v>
      </c>
      <c r="FF369" s="23">
        <f t="shared" si="1387"/>
        <v>1.2</v>
      </c>
      <c r="FG369" s="23">
        <f t="shared" si="1629"/>
        <v>0</v>
      </c>
      <c r="FH369" s="23"/>
      <c r="FR369" s="4">
        <f t="shared" si="1485"/>
        <v>1</v>
      </c>
      <c r="FS369" s="4">
        <f t="shared" si="1486"/>
        <v>0.57750000000000001</v>
      </c>
      <c r="FT369" s="4">
        <f t="shared" si="1487"/>
        <v>0.28124999999999994</v>
      </c>
      <c r="FU369" s="4">
        <f t="shared" si="1488"/>
        <v>262.25944798579496</v>
      </c>
    </row>
    <row r="370" spans="2:177" ht="12" customHeight="1" x14ac:dyDescent="0.3">
      <c r="B370" s="24"/>
      <c r="C370" s="7" t="s">
        <v>512</v>
      </c>
      <c r="D370" s="38">
        <f t="shared" si="1635"/>
        <v>889.65517241379314</v>
      </c>
      <c r="E370" s="38">
        <f>6.25*25.4</f>
        <v>158.75</v>
      </c>
      <c r="F370" s="38">
        <f>4940/145</f>
        <v>34.068965517241381</v>
      </c>
      <c r="G370" s="38">
        <f t="shared" si="1341"/>
        <v>25.4</v>
      </c>
      <c r="H370" s="38">
        <f>20.5*25.4</f>
        <v>520.69999999999993</v>
      </c>
      <c r="I370" s="38">
        <f>2.7*25.4</f>
        <v>68.58</v>
      </c>
      <c r="J370" s="39">
        <f>7*25.4</f>
        <v>177.79999999999998</v>
      </c>
      <c r="K370" s="7">
        <f t="shared" si="1339"/>
        <v>153.66999999999996</v>
      </c>
      <c r="L370" s="38">
        <v>3</v>
      </c>
      <c r="M370" s="4">
        <f t="shared" si="1357"/>
        <v>260.34999999999997</v>
      </c>
      <c r="N370" s="7">
        <f t="shared" si="1569"/>
        <v>3.2</v>
      </c>
      <c r="O370" s="7">
        <f t="shared" si="1570"/>
        <v>3.2</v>
      </c>
      <c r="P370" s="38">
        <v>4.0999999999999996</v>
      </c>
      <c r="Q370" s="4">
        <f t="shared" si="1342"/>
        <v>4.0999999999999996</v>
      </c>
      <c r="R370" s="4">
        <f t="shared" si="1571"/>
        <v>5.0999999999999996</v>
      </c>
      <c r="S370" s="7">
        <f t="shared" si="1572"/>
        <v>57.361276136431961</v>
      </c>
      <c r="V370" s="38">
        <f t="shared" si="1395"/>
        <v>236.55172413793102</v>
      </c>
      <c r="W370" s="4">
        <v>34.299999999999997</v>
      </c>
      <c r="X370" s="4">
        <f t="shared" si="1573"/>
        <v>0.65201390875330911</v>
      </c>
      <c r="Y370" s="38"/>
      <c r="Z370" s="38"/>
      <c r="AA370" s="39">
        <v>1</v>
      </c>
      <c r="AB370" s="39"/>
      <c r="AC370" s="39"/>
      <c r="AD370" s="7"/>
      <c r="AE370" s="4">
        <f t="shared" si="1576"/>
        <v>158.75</v>
      </c>
      <c r="AF370" s="4">
        <f t="shared" si="1577"/>
        <v>1.0933333333333333</v>
      </c>
      <c r="AG370" s="4">
        <f t="shared" si="1578"/>
        <v>76.801818794045587</v>
      </c>
      <c r="AH370" s="4">
        <f t="shared" si="1579"/>
        <v>0.8024</v>
      </c>
      <c r="AI370" s="4">
        <v>1.25</v>
      </c>
      <c r="AJ370" s="4">
        <f t="shared" si="1513"/>
        <v>2.5</v>
      </c>
      <c r="AK370" s="38">
        <f t="shared" si="1340"/>
        <v>210.55474628450247</v>
      </c>
      <c r="AL370" s="38">
        <f t="shared" si="1616"/>
        <v>210.55474628450247</v>
      </c>
      <c r="AM370" s="38">
        <f t="shared" si="1580"/>
        <v>3.152781589644936</v>
      </c>
      <c r="AN370" s="38">
        <f t="shared" si="1521"/>
        <v>210.55474628450261</v>
      </c>
      <c r="AO370" s="38">
        <f t="shared" si="1484"/>
        <v>0.99999999999999933</v>
      </c>
      <c r="AP370" s="38">
        <f t="shared" si="1522"/>
        <v>2.096842513650361</v>
      </c>
      <c r="AQ370" s="4">
        <f t="shared" si="1523"/>
        <v>0</v>
      </c>
      <c r="AR370" s="4" t="e">
        <f>#REF!/G370*F370^0.5/0.19</f>
        <v>#REF!</v>
      </c>
      <c r="AS370" s="4">
        <f t="shared" si="1581"/>
        <v>1</v>
      </c>
      <c r="AT370" s="38">
        <f t="shared" si="1582"/>
        <v>441.50014346021044</v>
      </c>
      <c r="AU370" s="4">
        <f t="shared" si="1583"/>
        <v>0.42600000000000005</v>
      </c>
      <c r="AV370" s="4" t="e">
        <f>AU370*D370*#REF!/(D370*G370/2.75/F370^0.5)</f>
        <v>#REF!</v>
      </c>
      <c r="AW370" s="4" t="e">
        <f t="shared" si="1431"/>
        <v>#REF!</v>
      </c>
      <c r="AY370" s="4">
        <f t="shared" si="1584"/>
        <v>1.425</v>
      </c>
      <c r="AZ370" s="4" t="e">
        <f>(3*#REF!+30)*AY370*F370^0.5</f>
        <v>#REF!</v>
      </c>
      <c r="BB370" s="4">
        <f t="shared" si="1585"/>
        <v>423.45262952765438</v>
      </c>
      <c r="BC370" s="4">
        <f t="shared" si="1662"/>
        <v>0</v>
      </c>
      <c r="BD370" s="4">
        <f t="shared" si="1432"/>
        <v>0</v>
      </c>
      <c r="BL370" s="4">
        <f t="shared" si="1586"/>
        <v>68.58</v>
      </c>
      <c r="BP370" s="9"/>
      <c r="BR370" s="9"/>
      <c r="BS370" s="9"/>
      <c r="BT370" s="9">
        <f t="shared" si="1587"/>
        <v>68.58</v>
      </c>
      <c r="BU370" s="9">
        <f t="shared" si="1588"/>
        <v>76.83499999999998</v>
      </c>
      <c r="BV370" s="9">
        <f t="shared" si="1589"/>
        <v>1.671422038708936</v>
      </c>
      <c r="BW370" s="40">
        <f t="shared" si="1343"/>
        <v>0</v>
      </c>
      <c r="BX370" s="9">
        <f t="shared" si="1590"/>
        <v>0</v>
      </c>
      <c r="BY370" s="9">
        <f t="shared" si="1433"/>
        <v>0</v>
      </c>
      <c r="BZ370" s="9">
        <f t="shared" si="1591"/>
        <v>0.99524931562137331</v>
      </c>
      <c r="CA370" s="9">
        <f t="shared" si="1592"/>
        <v>0.68</v>
      </c>
      <c r="CB370" s="9">
        <f t="shared" si="1593"/>
        <v>1.3825737851765767</v>
      </c>
      <c r="CC370" s="9">
        <f t="shared" si="1594"/>
        <v>2.3108642946853646</v>
      </c>
      <c r="CD370" s="40">
        <v>1</v>
      </c>
      <c r="CE370" s="9" t="e">
        <f>4*CC370*#REF!+60*CC370</f>
        <v>#REF!</v>
      </c>
      <c r="CG370" s="4" t="e">
        <f t="shared" si="1434"/>
        <v>#REF!</v>
      </c>
      <c r="CH370" s="4" t="e">
        <f t="shared" si="1435"/>
        <v>#REF!</v>
      </c>
      <c r="CI370" s="4" t="e">
        <f t="shared" si="1436"/>
        <v>#REF!</v>
      </c>
      <c r="CJ370" s="4" t="e">
        <f t="shared" si="1437"/>
        <v>#REF!</v>
      </c>
      <c r="CK370" s="4">
        <f t="shared" si="1438"/>
        <v>0.65201390875330911</v>
      </c>
      <c r="CL370" s="4">
        <f t="shared" si="1439"/>
        <v>0.67868729013532503</v>
      </c>
      <c r="CM370" s="4">
        <f t="shared" si="1310"/>
        <v>0.90990733440606342</v>
      </c>
      <c r="CN370" s="4">
        <f t="shared" si="1344"/>
        <v>0</v>
      </c>
      <c r="CO370" s="4" t="e">
        <f t="shared" ref="CO370" si="1669">CG370</f>
        <v>#REF!</v>
      </c>
      <c r="CP370" s="4" t="e">
        <f t="shared" ref="CP370" si="1670">CH370</f>
        <v>#REF!</v>
      </c>
      <c r="CQ370" s="4" t="e">
        <f t="shared" ref="CQ370" si="1671">CJ370</f>
        <v>#REF!</v>
      </c>
      <c r="CR370" s="4">
        <f t="shared" si="1536"/>
        <v>0.90990733440606342</v>
      </c>
      <c r="CS370" s="4">
        <f t="shared" ref="CS370" si="1672">CK370</f>
        <v>0.65201390875330911</v>
      </c>
      <c r="CT370" s="4">
        <f t="shared" ref="CT370" si="1673">CL370</f>
        <v>0.67868729013532503</v>
      </c>
      <c r="DC370" s="4" t="e">
        <f>#REF!</f>
        <v>#REF!</v>
      </c>
      <c r="DF370" s="4">
        <f t="shared" si="1601"/>
        <v>1.1483872651980423E-5</v>
      </c>
      <c r="DG370" s="4">
        <f t="shared" si="1446"/>
        <v>7.5525190994983378</v>
      </c>
      <c r="DH370" s="4">
        <f t="shared" si="1602"/>
        <v>0.33644022409599456</v>
      </c>
      <c r="DI370" s="4">
        <f t="shared" si="1447"/>
        <v>4.8848923521754735</v>
      </c>
      <c r="DJ370" s="4">
        <f t="shared" si="1448"/>
        <v>6.3607627445011392</v>
      </c>
      <c r="DK370" s="4">
        <f t="shared" si="1603"/>
        <v>7.4103270565220862</v>
      </c>
      <c r="DL370" s="38">
        <f t="shared" si="1604"/>
        <v>362.80165340373264</v>
      </c>
      <c r="DM370" s="4" t="e">
        <f t="shared" si="1449"/>
        <v>#REF!</v>
      </c>
      <c r="DN370" s="4">
        <f t="shared" si="1605"/>
        <v>2.2583179581272428</v>
      </c>
      <c r="DO370" s="4">
        <f t="shared" si="1309"/>
        <v>210.55474628450261</v>
      </c>
      <c r="DS370" s="4">
        <f t="shared" si="1606"/>
        <v>0.85</v>
      </c>
      <c r="DT370" s="4">
        <f t="shared" si="1607"/>
        <v>0.83</v>
      </c>
      <c r="DU370" s="4">
        <f t="shared" si="1608"/>
        <v>1</v>
      </c>
      <c r="DV370" s="4">
        <f t="shared" si="1450"/>
        <v>0.83</v>
      </c>
      <c r="DX370" s="4">
        <f t="shared" si="1609"/>
        <v>348.54302942783033</v>
      </c>
      <c r="DY370" s="25">
        <f t="shared" si="1502"/>
        <v>206.93329631223651</v>
      </c>
      <c r="EA370" s="4">
        <f t="shared" si="1503"/>
        <v>0.7054999999999999</v>
      </c>
      <c r="EB370" s="4">
        <f t="shared" si="1610"/>
        <v>7.5525190994983378</v>
      </c>
      <c r="EE370" s="4">
        <f t="shared" si="1611"/>
        <v>57.361276136431961</v>
      </c>
      <c r="EF370" s="4">
        <f t="shared" si="1451"/>
        <v>2.2583179581272428</v>
      </c>
      <c r="EG370" s="4">
        <f t="shared" si="1612"/>
        <v>0.10737981522682664</v>
      </c>
      <c r="EJ370" s="4">
        <f t="shared" si="1452"/>
        <v>0.10737981522682664</v>
      </c>
      <c r="EK370" s="4">
        <f t="shared" si="1613"/>
        <v>0.33587876806591221</v>
      </c>
      <c r="EL370" s="4">
        <f t="shared" si="1453"/>
        <v>4.8816299282594589</v>
      </c>
      <c r="EM370" s="4">
        <f t="shared" si="1454"/>
        <v>6.3595136472093712</v>
      </c>
      <c r="EN370" s="4" t="e">
        <f t="shared" si="1455"/>
        <v>#REF!</v>
      </c>
      <c r="EO370" s="4" t="e">
        <f t="shared" si="1456"/>
        <v>#REF!</v>
      </c>
      <c r="EP370" s="4" t="e">
        <f t="shared" si="1614"/>
        <v>#REF!</v>
      </c>
      <c r="EQ370" s="4" t="e">
        <f t="shared" si="1457"/>
        <v>#REF!</v>
      </c>
      <c r="ER370" s="4" t="e">
        <f t="shared" si="1615"/>
        <v>#REF!</v>
      </c>
      <c r="FA370" s="23" t="e">
        <f t="shared" si="1383"/>
        <v>#REF!</v>
      </c>
      <c r="FB370" s="23" t="e">
        <f t="shared" si="1384"/>
        <v>#REF!</v>
      </c>
      <c r="FC370" s="23">
        <f t="shared" si="1317"/>
        <v>1</v>
      </c>
      <c r="FD370" s="23" t="e">
        <f t="shared" si="1385"/>
        <v>#REF!</v>
      </c>
      <c r="FE370" s="23">
        <f t="shared" si="1386"/>
        <v>0.8</v>
      </c>
      <c r="FF370" s="23">
        <f t="shared" si="1387"/>
        <v>0.8</v>
      </c>
      <c r="FG370" s="23">
        <f t="shared" si="1629"/>
        <v>1</v>
      </c>
      <c r="FH370" s="23"/>
      <c r="FR370" s="4">
        <f t="shared" si="1485"/>
        <v>1</v>
      </c>
      <c r="FS370" s="4">
        <f t="shared" si="1486"/>
        <v>0.57916666666666672</v>
      </c>
      <c r="FT370" s="4">
        <f t="shared" si="1487"/>
        <v>0</v>
      </c>
      <c r="FU370" s="4">
        <f t="shared" si="1488"/>
        <v>259.97342277973695</v>
      </c>
    </row>
    <row r="371" spans="2:177" ht="12" customHeight="1" x14ac:dyDescent="0.3">
      <c r="B371" s="24"/>
      <c r="C371" s="7" t="s">
        <v>513</v>
      </c>
      <c r="D371" s="38">
        <f t="shared" si="1635"/>
        <v>889.65517241379314</v>
      </c>
      <c r="E371" s="38">
        <f>6.1*25.4</f>
        <v>154.93999999999997</v>
      </c>
      <c r="F371" s="38">
        <f t="shared" ref="F371:F373" si="1674">4940/145</f>
        <v>34.068965517241381</v>
      </c>
      <c r="G371" s="38">
        <f t="shared" si="1341"/>
        <v>25.4</v>
      </c>
      <c r="H371" s="38">
        <f>20.5*25.4</f>
        <v>520.69999999999993</v>
      </c>
      <c r="I371" s="38">
        <f>2.7*25.4</f>
        <v>68.58</v>
      </c>
      <c r="J371" s="39">
        <f>7*25.4</f>
        <v>177.79999999999998</v>
      </c>
      <c r="K371" s="7">
        <f t="shared" si="1339"/>
        <v>153.66999999999996</v>
      </c>
      <c r="L371" s="38">
        <v>3</v>
      </c>
      <c r="M371" s="4">
        <f t="shared" si="1357"/>
        <v>260.34999999999997</v>
      </c>
      <c r="N371" s="7">
        <f t="shared" si="1569"/>
        <v>3.2</v>
      </c>
      <c r="O371" s="7">
        <f t="shared" si="1570"/>
        <v>3.2</v>
      </c>
      <c r="P371" s="38">
        <v>4.0999999999999996</v>
      </c>
      <c r="Q371" s="4">
        <f t="shared" si="1342"/>
        <v>4.0999999999999996</v>
      </c>
      <c r="R371" s="4">
        <f t="shared" si="1571"/>
        <v>5.0999999999999996</v>
      </c>
      <c r="S371" s="7">
        <f t="shared" si="1572"/>
        <v>57.361276136431961</v>
      </c>
      <c r="V371" s="38">
        <f t="shared" si="1395"/>
        <v>368.96551724137936</v>
      </c>
      <c r="W371" s="4">
        <v>53.5</v>
      </c>
      <c r="X371" s="4">
        <f t="shared" si="1573"/>
        <v>0.96063482258325084</v>
      </c>
      <c r="Y371" s="38">
        <f>0.5*25.4</f>
        <v>12.7</v>
      </c>
      <c r="Z371" s="38">
        <v>10</v>
      </c>
      <c r="AA371" s="39">
        <f t="shared" si="1661"/>
        <v>76.199999999999989</v>
      </c>
      <c r="AB371" s="39">
        <v>3</v>
      </c>
      <c r="AC371" s="39">
        <f>AB371-1</f>
        <v>2</v>
      </c>
      <c r="AD371" s="7"/>
      <c r="AE371" s="4">
        <f t="shared" si="1576"/>
        <v>154.93999999999997</v>
      </c>
      <c r="AF371" s="4">
        <f t="shared" si="1577"/>
        <v>1.1202185792349728</v>
      </c>
      <c r="AG371" s="4">
        <f t="shared" si="1578"/>
        <v>74.053609471570255</v>
      </c>
      <c r="AH371" s="4">
        <f t="shared" si="1579"/>
        <v>0.80491803278688523</v>
      </c>
      <c r="AI371" s="4">
        <v>1.25</v>
      </c>
      <c r="AJ371" s="4">
        <f t="shared" si="1513"/>
        <v>2.5</v>
      </c>
      <c r="AK371" s="38">
        <f t="shared" si="1340"/>
        <v>208.66551502062913</v>
      </c>
      <c r="AL371" s="38">
        <f t="shared" si="1616"/>
        <v>208.66551502062913</v>
      </c>
      <c r="AM371" s="38">
        <f t="shared" si="1580"/>
        <v>3.152781589644936</v>
      </c>
      <c r="AN371" s="38">
        <f t="shared" si="1521"/>
        <v>208.6655150206293</v>
      </c>
      <c r="AO371" s="38">
        <f t="shared" si="1484"/>
        <v>0.99999999999999922</v>
      </c>
      <c r="AP371" s="38">
        <f t="shared" si="1522"/>
        <v>2.1158270613932659</v>
      </c>
      <c r="AQ371" s="4">
        <f t="shared" si="1523"/>
        <v>0</v>
      </c>
      <c r="AR371" s="4" t="e">
        <f>#REF!/G371*F371^0.5/0.19</f>
        <v>#REF!</v>
      </c>
      <c r="AS371" s="4">
        <f t="shared" si="1581"/>
        <v>1</v>
      </c>
      <c r="AT371" s="38">
        <f t="shared" si="1582"/>
        <v>441.50014346021044</v>
      </c>
      <c r="AU371" s="4">
        <f t="shared" si="1583"/>
        <v>0.42600000000000005</v>
      </c>
      <c r="AV371" s="4" t="e">
        <f>AU371*D371*#REF!/(D371*G371/2.75/F371^0.5)</f>
        <v>#REF!</v>
      </c>
      <c r="AW371" s="4" t="e">
        <f t="shared" si="1431"/>
        <v>#REF!</v>
      </c>
      <c r="AY371" s="4">
        <f t="shared" si="1584"/>
        <v>1.5</v>
      </c>
      <c r="AZ371" s="4" t="e">
        <f>(3*#REF!+30)*AY371*F371^0.5</f>
        <v>#REF!</v>
      </c>
      <c r="BB371" s="4">
        <f t="shared" si="1585"/>
        <v>423.45262952765438</v>
      </c>
      <c r="BC371" s="4">
        <f t="shared" si="1662"/>
        <v>0</v>
      </c>
      <c r="BD371" s="4">
        <f t="shared" si="1432"/>
        <v>0</v>
      </c>
      <c r="BL371" s="4">
        <f t="shared" si="1586"/>
        <v>68.58</v>
      </c>
      <c r="BP371" s="9"/>
      <c r="BR371" s="9"/>
      <c r="BS371" s="9"/>
      <c r="BT371" s="9">
        <f t="shared" si="1587"/>
        <v>68.58</v>
      </c>
      <c r="BU371" s="9">
        <f t="shared" si="1588"/>
        <v>76.83499999999998</v>
      </c>
      <c r="BV371" s="9">
        <f t="shared" si="1589"/>
        <v>1.671422038708936</v>
      </c>
      <c r="BW371" s="40">
        <f t="shared" si="1343"/>
        <v>20</v>
      </c>
      <c r="BX371" s="9">
        <f t="shared" si="1590"/>
        <v>0.05</v>
      </c>
      <c r="BY371" s="9">
        <f t="shared" si="1433"/>
        <v>0.8</v>
      </c>
      <c r="BZ371" s="9">
        <f t="shared" si="1591"/>
        <v>0.99524931562137331</v>
      </c>
      <c r="CA371" s="9">
        <f t="shared" si="1592"/>
        <v>0.68</v>
      </c>
      <c r="CB371" s="9">
        <f t="shared" si="1593"/>
        <v>1.3825737851765767</v>
      </c>
      <c r="CC371" s="9">
        <f t="shared" si="1594"/>
        <v>3.4169233228266256</v>
      </c>
      <c r="CD371" s="40">
        <v>1</v>
      </c>
      <c r="CE371" s="9" t="e">
        <f>4*CC371*#REF!+60*CC371</f>
        <v>#REF!</v>
      </c>
      <c r="CG371" s="4" t="e">
        <f t="shared" si="1434"/>
        <v>#REF!</v>
      </c>
      <c r="CH371" s="4" t="e">
        <f t="shared" si="1435"/>
        <v>#REF!</v>
      </c>
      <c r="CI371" s="4" t="e">
        <f t="shared" si="1436"/>
        <v>#REF!</v>
      </c>
      <c r="CJ371" s="4" t="e">
        <f t="shared" si="1437"/>
        <v>#REF!</v>
      </c>
      <c r="CK371" s="4">
        <f t="shared" si="1438"/>
        <v>0.96063482258325084</v>
      </c>
      <c r="CL371" s="4">
        <f t="shared" si="1439"/>
        <v>1.0002692328949259</v>
      </c>
      <c r="CM371" s="4">
        <f t="shared" si="1310"/>
        <v>1.2211878714437694</v>
      </c>
      <c r="CN371" s="4">
        <f t="shared" si="1344"/>
        <v>10</v>
      </c>
      <c r="CU371" s="4" t="e">
        <f t="shared" ref="CU371" si="1675">CG371</f>
        <v>#REF!</v>
      </c>
      <c r="CV371" s="4" t="e">
        <f t="shared" ref="CV371" si="1676">CH371</f>
        <v>#REF!</v>
      </c>
      <c r="CW371" s="4" t="e">
        <f t="shared" ref="CW371" si="1677">CJ371</f>
        <v>#REF!</v>
      </c>
      <c r="CX371" s="4">
        <f t="shared" ref="CX371" si="1678">CM371</f>
        <v>1.2211878714437694</v>
      </c>
      <c r="CY371" s="4">
        <f t="shared" ref="CY371" si="1679">CK371</f>
        <v>0.96063482258325084</v>
      </c>
      <c r="CZ371" s="4">
        <f t="shared" ref="CZ371" si="1680">CL371</f>
        <v>1.0002692328949259</v>
      </c>
      <c r="DC371" s="4" t="e">
        <f>#REF!</f>
        <v>#REF!</v>
      </c>
      <c r="DF371" s="4">
        <f t="shared" si="1601"/>
        <v>1.120825970833289E-5</v>
      </c>
      <c r="DG371" s="4">
        <f t="shared" si="1446"/>
        <v>8.9551297894051718</v>
      </c>
      <c r="DH371" s="4">
        <f t="shared" si="1602"/>
        <v>0.33342146816195423</v>
      </c>
      <c r="DI371" s="4">
        <f t="shared" si="1447"/>
        <v>5.7712423036322535</v>
      </c>
      <c r="DJ371" s="4">
        <f t="shared" si="1448"/>
        <v>7.5340749938373071</v>
      </c>
      <c r="DK371" s="4">
        <f t="shared" si="1603"/>
        <v>8.7655991202131087</v>
      </c>
      <c r="DL371" s="38">
        <f t="shared" si="1604"/>
        <v>384.08509515529659</v>
      </c>
      <c r="DM371" s="4" t="e">
        <f t="shared" si="1449"/>
        <v>#REF!</v>
      </c>
      <c r="DN371" s="4">
        <f t="shared" si="1605"/>
        <v>2.2583179581272428</v>
      </c>
      <c r="DO371" s="4">
        <f t="shared" si="1309"/>
        <v>208.6655150206293</v>
      </c>
      <c r="DS371" s="4">
        <f t="shared" si="1606"/>
        <v>0.85</v>
      </c>
      <c r="DT371" s="4">
        <f t="shared" si="1607"/>
        <v>0.83</v>
      </c>
      <c r="DU371" s="4">
        <f t="shared" si="1608"/>
        <v>0.77500000000000002</v>
      </c>
      <c r="DV371" s="4">
        <f t="shared" si="1450"/>
        <v>0.7</v>
      </c>
      <c r="DX371" s="4">
        <f t="shared" si="1609"/>
        <v>368.86620632481021</v>
      </c>
      <c r="DY371" s="25">
        <f t="shared" si="1502"/>
        <v>204.9873311786956</v>
      </c>
      <c r="EA371" s="4">
        <f t="shared" si="1503"/>
        <v>0.59499999999999997</v>
      </c>
      <c r="EB371" s="4">
        <f t="shared" si="1610"/>
        <v>8.9551297894051718</v>
      </c>
      <c r="EE371" s="4">
        <f t="shared" si="1611"/>
        <v>57.361276136431961</v>
      </c>
      <c r="EF371" s="4">
        <f t="shared" si="1451"/>
        <v>2.2583179581272428</v>
      </c>
      <c r="EG371" s="4">
        <f t="shared" si="1612"/>
        <v>0.10641633514568259</v>
      </c>
      <c r="EJ371" s="4">
        <f t="shared" si="1452"/>
        <v>0.10641633514568259</v>
      </c>
      <c r="EK371" s="4">
        <f t="shared" si="1613"/>
        <v>0.33286504987290622</v>
      </c>
      <c r="EL371" s="4">
        <f t="shared" si="1453"/>
        <v>5.7673879220903359</v>
      </c>
      <c r="EM371" s="4">
        <f t="shared" si="1454"/>
        <v>7.5326031109832208</v>
      </c>
      <c r="EN371" s="4" t="e">
        <f t="shared" si="1455"/>
        <v>#REF!</v>
      </c>
      <c r="EO371" s="4" t="e">
        <f t="shared" si="1456"/>
        <v>#REF!</v>
      </c>
      <c r="EP371" s="4" t="e">
        <f t="shared" si="1614"/>
        <v>#REF!</v>
      </c>
      <c r="EQ371" s="4" t="e">
        <f t="shared" si="1457"/>
        <v>#REF!</v>
      </c>
      <c r="ER371" s="4" t="e">
        <f t="shared" si="1615"/>
        <v>#REF!</v>
      </c>
      <c r="FA371" s="23" t="e">
        <f t="shared" si="1383"/>
        <v>#REF!</v>
      </c>
      <c r="FB371" s="23" t="e">
        <f t="shared" si="1384"/>
        <v>#REF!</v>
      </c>
      <c r="FC371" s="23">
        <f t="shared" si="1317"/>
        <v>1.4</v>
      </c>
      <c r="FD371" s="23" t="e">
        <f t="shared" si="1385"/>
        <v>#REF!</v>
      </c>
      <c r="FE371" s="23">
        <f t="shared" si="1386"/>
        <v>1</v>
      </c>
      <c r="FF371" s="23">
        <f t="shared" si="1387"/>
        <v>1.2</v>
      </c>
      <c r="FG371" s="23">
        <f t="shared" si="1629"/>
        <v>0</v>
      </c>
      <c r="FH371" s="23"/>
      <c r="FR371" s="4">
        <f t="shared" si="1485"/>
        <v>1</v>
      </c>
      <c r="FS371" s="4">
        <f t="shared" si="1486"/>
        <v>0.48638372093023263</v>
      </c>
      <c r="FT371" s="4">
        <f t="shared" si="1487"/>
        <v>0.3</v>
      </c>
      <c r="FU371" s="4">
        <f t="shared" si="1488"/>
        <v>302.13657199621861</v>
      </c>
    </row>
    <row r="372" spans="2:177" ht="12" customHeight="1" x14ac:dyDescent="0.3">
      <c r="B372" s="24"/>
      <c r="C372" s="7" t="s">
        <v>514</v>
      </c>
      <c r="D372" s="38">
        <f t="shared" si="1635"/>
        <v>889.65517241379314</v>
      </c>
      <c r="E372" s="38">
        <f>6.13*25.4</f>
        <v>155.702</v>
      </c>
      <c r="F372" s="38">
        <f t="shared" si="1674"/>
        <v>34.068965517241381</v>
      </c>
      <c r="G372" s="38">
        <f t="shared" si="1341"/>
        <v>25.4</v>
      </c>
      <c r="H372" s="38">
        <f>17.3*25.4</f>
        <v>439.42</v>
      </c>
      <c r="I372" s="38">
        <f>2.8*25.4</f>
        <v>71.11999999999999</v>
      </c>
      <c r="J372" s="39">
        <f>7*25.4</f>
        <v>177.79999999999998</v>
      </c>
      <c r="K372" s="7">
        <f t="shared" si="1339"/>
        <v>246.38000000000002</v>
      </c>
      <c r="L372" s="38">
        <v>2</v>
      </c>
      <c r="M372" s="4">
        <f t="shared" si="1357"/>
        <v>260.34999999999997</v>
      </c>
      <c r="N372" s="7">
        <f t="shared" si="1569"/>
        <v>3.3</v>
      </c>
      <c r="O372" s="7">
        <f t="shared" si="1570"/>
        <v>3.3</v>
      </c>
      <c r="P372" s="38">
        <v>9.1</v>
      </c>
      <c r="Q372" s="4">
        <f t="shared" si="1342"/>
        <v>9.1</v>
      </c>
      <c r="R372" s="4">
        <f t="shared" si="1571"/>
        <v>10.1</v>
      </c>
      <c r="S372" s="7">
        <f t="shared" si="1572"/>
        <v>80.72246279691916</v>
      </c>
      <c r="V372" s="38">
        <f t="shared" si="1395"/>
        <v>291.72413793103448</v>
      </c>
      <c r="W372" s="4">
        <v>42.3</v>
      </c>
      <c r="X372" s="4">
        <f t="shared" si="1573"/>
        <v>0.72042570438964904</v>
      </c>
      <c r="Y372" s="38"/>
      <c r="Z372" s="38"/>
      <c r="AA372" s="39">
        <v>1</v>
      </c>
      <c r="AB372" s="39"/>
      <c r="AC372" s="39"/>
      <c r="AD372" s="7"/>
      <c r="AE372" s="4">
        <f t="shared" si="1576"/>
        <v>155.702</v>
      </c>
      <c r="AF372" s="4">
        <f t="shared" si="1577"/>
        <v>0.94072865687873841</v>
      </c>
      <c r="AG372" s="4">
        <f t="shared" si="1578"/>
        <v>111.90086657680006</v>
      </c>
      <c r="AH372" s="4">
        <f t="shared" si="1579"/>
        <v>0.80766721044045675</v>
      </c>
      <c r="AI372" s="4">
        <v>1.25</v>
      </c>
      <c r="AJ372" s="4">
        <f t="shared" si="1513"/>
        <v>2.5</v>
      </c>
      <c r="AK372" s="38">
        <f t="shared" si="1340"/>
        <v>265.69311294239424</v>
      </c>
      <c r="AL372" s="38">
        <f t="shared" si="1616"/>
        <v>265.69311294239424</v>
      </c>
      <c r="AM372" s="38">
        <f t="shared" si="1580"/>
        <v>3.152781589644936</v>
      </c>
      <c r="AN372" s="38">
        <f t="shared" si="1521"/>
        <v>265.69311294239441</v>
      </c>
      <c r="AO372" s="38">
        <f t="shared" si="1484"/>
        <v>0.99999999999999933</v>
      </c>
      <c r="AP372" s="38">
        <f t="shared" si="1522"/>
        <v>2.5529557142425969</v>
      </c>
      <c r="AQ372" s="4">
        <f t="shared" si="1523"/>
        <v>0</v>
      </c>
      <c r="AR372" s="4" t="e">
        <f>#REF!/G372*F372^0.5/0.19</f>
        <v>#REF!</v>
      </c>
      <c r="AS372" s="4">
        <f t="shared" si="1581"/>
        <v>1</v>
      </c>
      <c r="AT372" s="38">
        <f t="shared" si="1582"/>
        <v>678.3027509211895</v>
      </c>
      <c r="AU372" s="4">
        <f t="shared" si="1583"/>
        <v>0.3</v>
      </c>
      <c r="AV372" s="4" t="e">
        <f>AU372*D372*#REF!/(D372*G372/2.75/F372^0.5)</f>
        <v>#REF!</v>
      </c>
      <c r="AW372" s="4" t="e">
        <f t="shared" si="1431"/>
        <v>#REF!</v>
      </c>
      <c r="AY372" s="4">
        <f t="shared" si="1584"/>
        <v>1.45</v>
      </c>
      <c r="AZ372" s="4" t="e">
        <f>(3*#REF!+30)*AY372*F372^0.5</f>
        <v>#REF!</v>
      </c>
      <c r="BB372" s="4">
        <f t="shared" si="1585"/>
        <v>650.57528915458977</v>
      </c>
      <c r="BC372" s="4">
        <f t="shared" si="1662"/>
        <v>0</v>
      </c>
      <c r="BD372" s="4">
        <f t="shared" si="1432"/>
        <v>0</v>
      </c>
      <c r="BL372" s="4">
        <f t="shared" si="1586"/>
        <v>71.11999999999999</v>
      </c>
      <c r="BP372" s="9"/>
      <c r="BR372" s="9"/>
      <c r="BS372" s="9"/>
      <c r="BT372" s="9">
        <f t="shared" si="1587"/>
        <v>71.11999999999999</v>
      </c>
      <c r="BU372" s="9">
        <f t="shared" si="1588"/>
        <v>123.19000000000001</v>
      </c>
      <c r="BV372" s="9">
        <f t="shared" si="1589"/>
        <v>1.8170487186781425</v>
      </c>
      <c r="BW372" s="40">
        <f t="shared" si="1343"/>
        <v>0</v>
      </c>
      <c r="BX372" s="9">
        <f t="shared" si="1590"/>
        <v>0</v>
      </c>
      <c r="BY372" s="9">
        <f t="shared" si="1433"/>
        <v>0</v>
      </c>
      <c r="BZ372" s="9">
        <f t="shared" si="1591"/>
        <v>0.99524931562137331</v>
      </c>
      <c r="CA372" s="9">
        <f t="shared" si="1592"/>
        <v>0.68</v>
      </c>
      <c r="CB372" s="9">
        <f t="shared" si="1593"/>
        <v>1.3825737851765767</v>
      </c>
      <c r="CC372" s="9">
        <f t="shared" si="1594"/>
        <v>2.5122039248330883</v>
      </c>
      <c r="CD372" s="40">
        <v>1</v>
      </c>
      <c r="CE372" s="9" t="e">
        <f>4*CC372*#REF!+60*CC372</f>
        <v>#REF!</v>
      </c>
      <c r="CG372" s="4" t="e">
        <f t="shared" si="1434"/>
        <v>#REF!</v>
      </c>
      <c r="CH372" s="4" t="e">
        <f t="shared" si="1435"/>
        <v>#REF!</v>
      </c>
      <c r="CI372" s="4" t="e">
        <f t="shared" si="1436"/>
        <v>#REF!</v>
      </c>
      <c r="CJ372" s="4" t="e">
        <f t="shared" si="1437"/>
        <v>#REF!</v>
      </c>
      <c r="CK372" s="4">
        <f t="shared" si="1438"/>
        <v>0.72042570438964904</v>
      </c>
      <c r="CL372" s="4">
        <f t="shared" si="1439"/>
        <v>0.72633374341804824</v>
      </c>
      <c r="CM372" s="4">
        <f t="shared" si="1310"/>
        <v>0.98770988832965423</v>
      </c>
      <c r="CN372" s="4">
        <f t="shared" si="1344"/>
        <v>0</v>
      </c>
      <c r="CO372" s="4" t="e">
        <f t="shared" ref="CO372" si="1681">CG372</f>
        <v>#REF!</v>
      </c>
      <c r="CP372" s="4" t="e">
        <f t="shared" ref="CP372" si="1682">CH372</f>
        <v>#REF!</v>
      </c>
      <c r="CQ372" s="4" t="e">
        <f t="shared" ref="CQ372" si="1683">CJ372</f>
        <v>#REF!</v>
      </c>
      <c r="CR372" s="4">
        <f t="shared" si="1536"/>
        <v>0.98770988832965423</v>
      </c>
      <c r="CS372" s="4">
        <f t="shared" ref="CS372" si="1684">CK372</f>
        <v>0.72042570438964904</v>
      </c>
      <c r="CT372" s="4">
        <f t="shared" ref="CT372" si="1685">CL372</f>
        <v>0.72633374341804824</v>
      </c>
      <c r="DC372" s="4" t="e">
        <f>#REF!</f>
        <v>#REF!</v>
      </c>
      <c r="DF372" s="4">
        <f t="shared" si="1601"/>
        <v>1.12633822970624E-5</v>
      </c>
      <c r="DG372" s="4">
        <f t="shared" si="1446"/>
        <v>7.644622990955634</v>
      </c>
      <c r="DH372" s="4">
        <f t="shared" si="1602"/>
        <v>0.26917903901498447</v>
      </c>
      <c r="DI372" s="4">
        <f t="shared" si="1447"/>
        <v>4.5224374367393656</v>
      </c>
      <c r="DJ372" s="4">
        <f t="shared" si="1448"/>
        <v>6.2818567560611411</v>
      </c>
      <c r="DK372" s="4">
        <f t="shared" si="1603"/>
        <v>7.517556978819071</v>
      </c>
      <c r="DL372" s="38">
        <f t="shared" si="1604"/>
        <v>404.9329946912232</v>
      </c>
      <c r="DM372" s="4" t="e">
        <f t="shared" si="1449"/>
        <v>#REF!</v>
      </c>
      <c r="DN372" s="4">
        <f t="shared" si="1605"/>
        <v>3.1780497164141401</v>
      </c>
      <c r="DO372" s="4">
        <f t="shared" si="1309"/>
        <v>265.69311294239441</v>
      </c>
      <c r="DS372" s="4">
        <f t="shared" si="1606"/>
        <v>0.85</v>
      </c>
      <c r="DT372" s="4">
        <f t="shared" si="1607"/>
        <v>0.82000000000000006</v>
      </c>
      <c r="DU372" s="4">
        <f t="shared" si="1608"/>
        <v>1</v>
      </c>
      <c r="DV372" s="4">
        <f t="shared" si="1450"/>
        <v>0.82000000000000006</v>
      </c>
      <c r="DX372" s="4">
        <f t="shared" si="1609"/>
        <v>401.63924721191137</v>
      </c>
      <c r="DY372" s="25">
        <f t="shared" si="1502"/>
        <v>261.05463040823724</v>
      </c>
      <c r="EA372" s="4">
        <f t="shared" si="1503"/>
        <v>0.69700000000000006</v>
      </c>
      <c r="EB372" s="4">
        <f t="shared" si="1610"/>
        <v>7.644622990955634</v>
      </c>
      <c r="EE372" s="4">
        <f t="shared" si="1611"/>
        <v>80.72246279691916</v>
      </c>
      <c r="EF372" s="4">
        <f t="shared" si="1451"/>
        <v>3.1780497164141406</v>
      </c>
      <c r="EG372" s="4">
        <f t="shared" si="1612"/>
        <v>8.5912424859509881E-2</v>
      </c>
      <c r="EJ372" s="4">
        <f t="shared" si="1452"/>
        <v>8.5912424859509881E-2</v>
      </c>
      <c r="EK372" s="4">
        <f t="shared" si="1613"/>
        <v>0.26872982936702156</v>
      </c>
      <c r="EL372" s="4">
        <f t="shared" si="1453"/>
        <v>4.5194170819416337</v>
      </c>
      <c r="EM372" s="4">
        <f t="shared" si="1454"/>
        <v>6.2807750403864535</v>
      </c>
      <c r="EN372" s="4" t="e">
        <f t="shared" si="1455"/>
        <v>#REF!</v>
      </c>
      <c r="EO372" s="4" t="e">
        <f t="shared" si="1456"/>
        <v>#REF!</v>
      </c>
      <c r="EP372" s="4" t="e">
        <f t="shared" si="1614"/>
        <v>#REF!</v>
      </c>
      <c r="EQ372" s="4" t="e">
        <f t="shared" si="1457"/>
        <v>#REF!</v>
      </c>
      <c r="ER372" s="4" t="e">
        <f t="shared" si="1615"/>
        <v>#REF!</v>
      </c>
      <c r="FA372" s="23" t="e">
        <f t="shared" si="1383"/>
        <v>#REF!</v>
      </c>
      <c r="FB372" s="23" t="e">
        <f t="shared" si="1384"/>
        <v>#REF!</v>
      </c>
      <c r="FC372" s="23">
        <f t="shared" si="1317"/>
        <v>1</v>
      </c>
      <c r="FD372" s="23" t="e">
        <f t="shared" si="1385"/>
        <v>#REF!</v>
      </c>
      <c r="FE372" s="23">
        <f t="shared" si="1386"/>
        <v>0.8</v>
      </c>
      <c r="FF372" s="23">
        <f t="shared" si="1387"/>
        <v>0.8</v>
      </c>
      <c r="FG372" s="23">
        <f t="shared" si="1629"/>
        <v>1</v>
      </c>
      <c r="FH372" s="23"/>
      <c r="FR372" s="4">
        <f t="shared" si="1485"/>
        <v>1</v>
      </c>
      <c r="FS372" s="4">
        <f t="shared" si="1486"/>
        <v>0.5</v>
      </c>
      <c r="FT372" s="4">
        <f t="shared" si="1487"/>
        <v>0</v>
      </c>
      <c r="FU372" s="4">
        <f t="shared" si="1488"/>
        <v>295.3540724639073</v>
      </c>
    </row>
    <row r="373" spans="2:177" ht="12" customHeight="1" x14ac:dyDescent="0.3">
      <c r="B373" s="24"/>
      <c r="C373" s="7" t="s">
        <v>515</v>
      </c>
      <c r="D373" s="38">
        <f t="shared" si="1635"/>
        <v>889.65517241379314</v>
      </c>
      <c r="E373" s="38">
        <f>6.16*25.4</f>
        <v>156.464</v>
      </c>
      <c r="F373" s="38">
        <f t="shared" si="1674"/>
        <v>34.068965517241381</v>
      </c>
      <c r="G373" s="38">
        <f t="shared" si="1341"/>
        <v>25.4</v>
      </c>
      <c r="H373" s="38">
        <f>17*25.4</f>
        <v>431.79999999999995</v>
      </c>
      <c r="I373" s="38">
        <f>2.5*25.4</f>
        <v>63.5</v>
      </c>
      <c r="J373" s="39">
        <f>6.95*25.4</f>
        <v>176.53</v>
      </c>
      <c r="K373" s="7">
        <f t="shared" si="1339"/>
        <v>253.99999999999994</v>
      </c>
      <c r="L373" s="38">
        <v>2</v>
      </c>
      <c r="M373" s="4">
        <f t="shared" si="1357"/>
        <v>260.34999999999997</v>
      </c>
      <c r="N373" s="7">
        <f t="shared" si="1569"/>
        <v>3</v>
      </c>
      <c r="O373" s="7">
        <f t="shared" si="1570"/>
        <v>3</v>
      </c>
      <c r="P373" s="38">
        <v>9.1</v>
      </c>
      <c r="Q373" s="4">
        <f t="shared" si="1342"/>
        <v>9.1</v>
      </c>
      <c r="R373" s="4">
        <f t="shared" si="1571"/>
        <v>10.1</v>
      </c>
      <c r="S373" s="7">
        <f t="shared" si="1572"/>
        <v>80.72246279691916</v>
      </c>
      <c r="V373" s="38">
        <f t="shared" si="1395"/>
        <v>469.65517241379308</v>
      </c>
      <c r="W373" s="4">
        <v>68.099999999999994</v>
      </c>
      <c r="X373" s="4">
        <f t="shared" si="1573"/>
        <v>1.1550340401026544</v>
      </c>
      <c r="Y373" s="38">
        <f>0.375*25.4</f>
        <v>9.5249999999999986</v>
      </c>
      <c r="Z373" s="38">
        <v>10</v>
      </c>
      <c r="AA373" s="39">
        <f t="shared" si="1661"/>
        <v>76.199999999999989</v>
      </c>
      <c r="AB373" s="39">
        <v>3</v>
      </c>
      <c r="AC373" s="39">
        <f>AB373-1</f>
        <v>2</v>
      </c>
      <c r="AD373" s="7"/>
      <c r="AE373" s="4">
        <f t="shared" si="1576"/>
        <v>156.464</v>
      </c>
      <c r="AF373" s="4">
        <f t="shared" si="1577"/>
        <v>0.91991341991341979</v>
      </c>
      <c r="AG373" s="4">
        <f t="shared" si="1578"/>
        <v>112.7233290428203</v>
      </c>
      <c r="AH373" s="4">
        <f t="shared" si="1579"/>
        <v>0.79740259740259734</v>
      </c>
      <c r="AI373" s="4">
        <v>1.25</v>
      </c>
      <c r="AJ373" s="4">
        <f t="shared" si="1513"/>
        <v>2.5</v>
      </c>
      <c r="AK373" s="38">
        <f t="shared" si="1340"/>
        <v>258.39757190753738</v>
      </c>
      <c r="AL373" s="38">
        <f t="shared" si="1616"/>
        <v>258.39757190753738</v>
      </c>
      <c r="AM373" s="38">
        <f t="shared" si="1580"/>
        <v>3.152781589644936</v>
      </c>
      <c r="AN373" s="38">
        <f t="shared" si="1521"/>
        <v>258.39757190753727</v>
      </c>
      <c r="AO373" s="38">
        <f t="shared" si="1484"/>
        <v>1.0000000000000004</v>
      </c>
      <c r="AP373" s="38">
        <f t="shared" si="1522"/>
        <v>2.3863957386351191</v>
      </c>
      <c r="AQ373" s="4">
        <f t="shared" si="1523"/>
        <v>0</v>
      </c>
      <c r="AR373" s="4" t="e">
        <f>#REF!/G373*F373^0.5/0.19</f>
        <v>#REF!</v>
      </c>
      <c r="AS373" s="4">
        <f t="shared" si="1581"/>
        <v>1</v>
      </c>
      <c r="AT373" s="38">
        <f t="shared" si="1582"/>
        <v>616.63886447380867</v>
      </c>
      <c r="AU373" s="4">
        <f t="shared" si="1583"/>
        <v>0.3</v>
      </c>
      <c r="AV373" s="4" t="e">
        <f>AU373*D373*#REF!/(D373*G373/2.75/F373^0.5)</f>
        <v>#REF!</v>
      </c>
      <c r="AW373" s="4" t="e">
        <f t="shared" si="1431"/>
        <v>#REF!</v>
      </c>
      <c r="AY373" s="4">
        <f t="shared" si="1584"/>
        <v>1.5</v>
      </c>
      <c r="AZ373" s="4" t="e">
        <f>(3*#REF!+30)*AY373*F373^0.5</f>
        <v>#REF!</v>
      </c>
      <c r="BB373" s="4">
        <f t="shared" si="1585"/>
        <v>591.43208104962719</v>
      </c>
      <c r="BC373" s="4">
        <f t="shared" si="1662"/>
        <v>0</v>
      </c>
      <c r="BD373" s="4">
        <f t="shared" si="1432"/>
        <v>0</v>
      </c>
      <c r="BL373" s="4">
        <f t="shared" si="1586"/>
        <v>63.5</v>
      </c>
      <c r="BP373" s="9"/>
      <c r="BR373" s="9"/>
      <c r="BS373" s="9"/>
      <c r="BT373" s="9">
        <f t="shared" si="1587"/>
        <v>63.5</v>
      </c>
      <c r="BU373" s="9">
        <f t="shared" si="1588"/>
        <v>126.99999999999997</v>
      </c>
      <c r="BV373" s="9">
        <f t="shared" si="1589"/>
        <v>1.7543833769624846</v>
      </c>
      <c r="BW373" s="40">
        <f t="shared" si="1343"/>
        <v>20</v>
      </c>
      <c r="BX373" s="9">
        <f t="shared" si="1590"/>
        <v>0.05</v>
      </c>
      <c r="BY373" s="9">
        <f t="shared" si="1433"/>
        <v>0.8</v>
      </c>
      <c r="BZ373" s="9">
        <f t="shared" si="1591"/>
        <v>0.99524931562137331</v>
      </c>
      <c r="CA373" s="9">
        <f t="shared" si="1592"/>
        <v>0.68</v>
      </c>
      <c r="CB373" s="9">
        <f t="shared" si="1593"/>
        <v>1.3825737851765767</v>
      </c>
      <c r="CC373" s="9">
        <f t="shared" si="1594"/>
        <v>3.4564344629414419</v>
      </c>
      <c r="CD373" s="40">
        <v>1</v>
      </c>
      <c r="CE373" s="9" t="e">
        <f>4*CC373*#REF!+60*CC373</f>
        <v>#REF!</v>
      </c>
      <c r="CG373" s="4" t="e">
        <f t="shared" si="1434"/>
        <v>#REF!</v>
      </c>
      <c r="CH373" s="4" t="e">
        <f t="shared" si="1435"/>
        <v>#REF!</v>
      </c>
      <c r="CI373" s="4" t="e">
        <f t="shared" si="1436"/>
        <v>#REF!</v>
      </c>
      <c r="CJ373" s="4" t="e">
        <f t="shared" si="1437"/>
        <v>#REF!</v>
      </c>
      <c r="CK373" s="4">
        <f t="shared" si="1438"/>
        <v>1.1550340401026544</v>
      </c>
      <c r="CL373" s="4">
        <f t="shared" si="1439"/>
        <v>1.1618512131976952</v>
      </c>
      <c r="CM373" s="4">
        <f t="shared" si="1310"/>
        <v>1.405758816311484</v>
      </c>
      <c r="CN373" s="4">
        <f t="shared" si="1344"/>
        <v>10</v>
      </c>
      <c r="CU373" s="4" t="e">
        <f t="shared" ref="CU373" si="1686">CG373</f>
        <v>#REF!</v>
      </c>
      <c r="CV373" s="4" t="e">
        <f t="shared" ref="CV373" si="1687">CH373</f>
        <v>#REF!</v>
      </c>
      <c r="CW373" s="4" t="e">
        <f t="shared" ref="CW373" si="1688">CJ373</f>
        <v>#REF!</v>
      </c>
      <c r="CX373" s="4">
        <f t="shared" ref="CX373" si="1689">CM373</f>
        <v>1.405758816311484</v>
      </c>
      <c r="CY373" s="4">
        <f t="shared" ref="CY373" si="1690">CK373</f>
        <v>1.1550340401026544</v>
      </c>
      <c r="CZ373" s="4">
        <f t="shared" ref="CZ373" si="1691">CL373</f>
        <v>1.1618512131976952</v>
      </c>
      <c r="DC373" s="4" t="e">
        <f>#REF!</f>
        <v>#REF!</v>
      </c>
      <c r="DF373" s="4">
        <f t="shared" si="1601"/>
        <v>1.1318504885791904E-5</v>
      </c>
      <c r="DG373" s="4">
        <f t="shared" si="1446"/>
        <v>8.1377244333742738</v>
      </c>
      <c r="DH373" s="4">
        <f t="shared" si="1602"/>
        <v>0.26178777959124849</v>
      </c>
      <c r="DI373" s="4">
        <f t="shared" si="1447"/>
        <v>4.7608305831924742</v>
      </c>
      <c r="DJ373" s="4">
        <f t="shared" si="1448"/>
        <v>6.6680371999399997</v>
      </c>
      <c r="DK373" s="4">
        <f t="shared" si="1603"/>
        <v>7.9931431117716185</v>
      </c>
      <c r="DL373" s="38">
        <f t="shared" si="1604"/>
        <v>406.61587114095107</v>
      </c>
      <c r="DM373" s="4" t="e">
        <f t="shared" si="1449"/>
        <v>#REF!</v>
      </c>
      <c r="DN373" s="4">
        <f t="shared" si="1605"/>
        <v>3.1780497164141401</v>
      </c>
      <c r="DO373" s="4">
        <f t="shared" si="1309"/>
        <v>258.39757190753727</v>
      </c>
      <c r="DS373" s="4">
        <f t="shared" si="1606"/>
        <v>0.85</v>
      </c>
      <c r="DT373" s="4">
        <f t="shared" si="1607"/>
        <v>0.85</v>
      </c>
      <c r="DU373" s="4">
        <f t="shared" si="1608"/>
        <v>0.90625</v>
      </c>
      <c r="DV373" s="4">
        <f t="shared" si="1450"/>
        <v>0.77031249999999996</v>
      </c>
      <c r="DX373" s="4">
        <f t="shared" si="1609"/>
        <v>404.2300486317767</v>
      </c>
      <c r="DY373" s="25">
        <f t="shared" si="1502"/>
        <v>253.84490110302011</v>
      </c>
      <c r="EA373" s="4">
        <f t="shared" si="1503"/>
        <v>0.65476562499999991</v>
      </c>
      <c r="EB373" s="4">
        <f t="shared" si="1610"/>
        <v>8.1377244333742738</v>
      </c>
      <c r="EE373" s="4">
        <f t="shared" si="1611"/>
        <v>80.72246279691916</v>
      </c>
      <c r="EF373" s="4">
        <f t="shared" si="1451"/>
        <v>3.1780497164141406</v>
      </c>
      <c r="EG373" s="4">
        <f t="shared" si="1612"/>
        <v>8.3553396377267913E-2</v>
      </c>
      <c r="EJ373" s="4">
        <f t="shared" si="1452"/>
        <v>8.3553396377267913E-2</v>
      </c>
      <c r="EK373" s="4">
        <f t="shared" si="1613"/>
        <v>0.2613509045777202</v>
      </c>
      <c r="EL373" s="4">
        <f t="shared" si="1453"/>
        <v>4.7576510151621187</v>
      </c>
      <c r="EM373" s="4">
        <f t="shared" si="1454"/>
        <v>6.6669082398660349</v>
      </c>
      <c r="EN373" s="4" t="e">
        <f t="shared" si="1455"/>
        <v>#REF!</v>
      </c>
      <c r="EO373" s="4" t="e">
        <f t="shared" si="1456"/>
        <v>#REF!</v>
      </c>
      <c r="EP373" s="4" t="e">
        <f t="shared" si="1614"/>
        <v>#REF!</v>
      </c>
      <c r="EQ373" s="4" t="e">
        <f t="shared" si="1457"/>
        <v>#REF!</v>
      </c>
      <c r="ER373" s="4" t="e">
        <f t="shared" si="1615"/>
        <v>#REF!</v>
      </c>
      <c r="FA373" s="23" t="e">
        <f t="shared" si="1383"/>
        <v>#REF!</v>
      </c>
      <c r="FB373" s="23" t="e">
        <f t="shared" si="1384"/>
        <v>#REF!</v>
      </c>
      <c r="FC373" s="23">
        <f t="shared" si="1317"/>
        <v>1.6</v>
      </c>
      <c r="FD373" s="23" t="e">
        <f t="shared" si="1385"/>
        <v>#REF!</v>
      </c>
      <c r="FE373" s="23">
        <f t="shared" si="1386"/>
        <v>1.2</v>
      </c>
      <c r="FF373" s="23">
        <f t="shared" si="1387"/>
        <v>1.2</v>
      </c>
      <c r="FG373" s="23">
        <f t="shared" si="1629"/>
        <v>0</v>
      </c>
      <c r="FH373" s="23"/>
      <c r="FR373" s="4">
        <f t="shared" si="1485"/>
        <v>1</v>
      </c>
      <c r="FS373" s="4">
        <f t="shared" si="1486"/>
        <v>0.44418604651162791</v>
      </c>
      <c r="FT373" s="4">
        <f t="shared" si="1487"/>
        <v>0.3</v>
      </c>
      <c r="FU373" s="4">
        <f t="shared" si="1488"/>
        <v>334.0937058080155</v>
      </c>
    </row>
    <row r="374" spans="2:177" ht="12" customHeight="1" x14ac:dyDescent="0.3">
      <c r="B374" s="24"/>
      <c r="C374" s="7" t="s">
        <v>516</v>
      </c>
      <c r="D374" s="38">
        <f t="shared" si="1635"/>
        <v>889.65517241379314</v>
      </c>
      <c r="E374" s="38">
        <f>6.21*25.4</f>
        <v>157.73399999999998</v>
      </c>
      <c r="F374" s="38">
        <f>5160/145</f>
        <v>35.586206896551722</v>
      </c>
      <c r="G374" s="38">
        <f t="shared" si="1341"/>
        <v>25.4</v>
      </c>
      <c r="H374" s="38">
        <f>17.3*25.4</f>
        <v>439.42</v>
      </c>
      <c r="I374" s="38">
        <f>2.65*25.4</f>
        <v>67.309999999999988</v>
      </c>
      <c r="J374" s="39">
        <f>7.15*25.4</f>
        <v>181.60999999999999</v>
      </c>
      <c r="K374" s="7">
        <f t="shared" si="1339"/>
        <v>114.30000000000003</v>
      </c>
      <c r="L374" s="38">
        <v>3</v>
      </c>
      <c r="M374" s="4">
        <f t="shared" si="1357"/>
        <v>260.34999999999997</v>
      </c>
      <c r="N374" s="7">
        <f t="shared" si="1569"/>
        <v>2.7500000000000004</v>
      </c>
      <c r="O374" s="7">
        <f t="shared" si="1570"/>
        <v>3.1499999999999995</v>
      </c>
      <c r="P374" s="38">
        <v>9.1</v>
      </c>
      <c r="Q374" s="4">
        <f t="shared" si="1342"/>
        <v>9.1</v>
      </c>
      <c r="R374" s="4">
        <f t="shared" si="1571"/>
        <v>10.1</v>
      </c>
      <c r="S374" s="7">
        <f t="shared" si="1572"/>
        <v>80.72246279691916</v>
      </c>
      <c r="V374" s="38">
        <f t="shared" si="1395"/>
        <v>200.68965517241381</v>
      </c>
      <c r="W374" s="4">
        <v>29.1</v>
      </c>
      <c r="X374" s="4">
        <f t="shared" si="1573"/>
        <v>0.65535916327208799</v>
      </c>
      <c r="Y374" s="38"/>
      <c r="Z374" s="38"/>
      <c r="AA374" s="39">
        <v>1</v>
      </c>
      <c r="AB374" s="39"/>
      <c r="AC374" s="39"/>
      <c r="AD374" s="7"/>
      <c r="AE374" s="4">
        <f t="shared" si="1576"/>
        <v>157.73399999999998</v>
      </c>
      <c r="AF374" s="4">
        <f t="shared" si="1577"/>
        <v>0.92860976918947957</v>
      </c>
      <c r="AG374" s="4">
        <f t="shared" si="1578"/>
        <v>77.74102377301837</v>
      </c>
      <c r="AH374" s="4">
        <f t="shared" si="1579"/>
        <v>0.8014492753623188</v>
      </c>
      <c r="AI374" s="4">
        <v>1.25</v>
      </c>
      <c r="AJ374" s="4">
        <f t="shared" si="1513"/>
        <v>2.5</v>
      </c>
      <c r="AK374" s="38">
        <f t="shared" si="1340"/>
        <v>180.80463768458466</v>
      </c>
      <c r="AL374" s="38">
        <f t="shared" si="1616"/>
        <v>180.80463768458466</v>
      </c>
      <c r="AM374" s="38">
        <f t="shared" si="1580"/>
        <v>3.2457050730263122</v>
      </c>
      <c r="AN374" s="38">
        <f t="shared" si="1521"/>
        <v>180.80463768458458</v>
      </c>
      <c r="AO374" s="38">
        <f t="shared" si="1484"/>
        <v>1.0000000000000004</v>
      </c>
      <c r="AP374" s="38">
        <f t="shared" si="1522"/>
        <v>3.4555391215647067</v>
      </c>
      <c r="AQ374" s="4">
        <f t="shared" si="1523"/>
        <v>0</v>
      </c>
      <c r="AR374" s="4" t="e">
        <f>#REF!/G374*F374^0.5/0.19</f>
        <v>#REF!</v>
      </c>
      <c r="AS374" s="4">
        <f t="shared" si="1581"/>
        <v>1.0581818181818181</v>
      </c>
      <c r="AT374" s="38">
        <f t="shared" si="1582"/>
        <v>624.77749887941445</v>
      </c>
      <c r="AU374" s="4">
        <f t="shared" si="1583"/>
        <v>0.3</v>
      </c>
      <c r="AV374" s="4" t="e">
        <f>AU374*D374*#REF!/(D374*G374/2.75/F374^0.5)</f>
        <v>#REF!</v>
      </c>
      <c r="AW374" s="4" t="e">
        <f t="shared" si="1431"/>
        <v>#REF!</v>
      </c>
      <c r="AY374" s="4">
        <f t="shared" si="1584"/>
        <v>1.4124999999999999</v>
      </c>
      <c r="AZ374" s="4" t="e">
        <f>(3*#REF!+30)*AY374*F374^0.5</f>
        <v>#REF!</v>
      </c>
      <c r="BB374" s="4">
        <f t="shared" si="1585"/>
        <v>599.23802673473551</v>
      </c>
      <c r="BC374" s="4">
        <f t="shared" si="1662"/>
        <v>0</v>
      </c>
      <c r="BD374" s="4">
        <f t="shared" si="1432"/>
        <v>0</v>
      </c>
      <c r="BL374" s="4">
        <f t="shared" si="1586"/>
        <v>57.150000000000013</v>
      </c>
      <c r="BP374" s="9"/>
      <c r="BR374" s="9"/>
      <c r="BS374" s="9"/>
      <c r="BT374" s="9">
        <f t="shared" si="1587"/>
        <v>57.150000000000013</v>
      </c>
      <c r="BU374" s="9">
        <f t="shared" si="1588"/>
        <v>67.309999999999988</v>
      </c>
      <c r="BV374" s="9">
        <f t="shared" si="1589"/>
        <v>1.5372721608851661</v>
      </c>
      <c r="BW374" s="40">
        <f t="shared" si="1343"/>
        <v>0</v>
      </c>
      <c r="BX374" s="9">
        <f t="shared" si="1590"/>
        <v>0</v>
      </c>
      <c r="BY374" s="9">
        <f t="shared" si="1433"/>
        <v>0</v>
      </c>
      <c r="BZ374" s="9">
        <f t="shared" si="1591"/>
        <v>0.99524931562137331</v>
      </c>
      <c r="CA374" s="9">
        <f t="shared" si="1592"/>
        <v>0.68</v>
      </c>
      <c r="CB374" s="9">
        <f t="shared" si="1593"/>
        <v>1.4130245076626196</v>
      </c>
      <c r="CC374" s="9">
        <f t="shared" si="1594"/>
        <v>2.1722032382782128</v>
      </c>
      <c r="CD374" s="40">
        <v>1</v>
      </c>
      <c r="CE374" s="9" t="e">
        <f>4*CC374*#REF!+60*CC374</f>
        <v>#REF!</v>
      </c>
      <c r="CG374" s="4" t="e">
        <f t="shared" si="1434"/>
        <v>#REF!</v>
      </c>
      <c r="CH374" s="4" t="e">
        <f t="shared" si="1435"/>
        <v>#REF!</v>
      </c>
      <c r="CI374" s="4" t="e">
        <f t="shared" si="1436"/>
        <v>#REF!</v>
      </c>
      <c r="CJ374" s="4" t="e">
        <f t="shared" si="1437"/>
        <v>#REF!</v>
      </c>
      <c r="CK374" s="4">
        <f t="shared" si="1438"/>
        <v>0.65535916327208799</v>
      </c>
      <c r="CL374" s="4">
        <f t="shared" si="1439"/>
        <v>0.63898823880641586</v>
      </c>
      <c r="CM374" s="4">
        <f t="shared" si="1310"/>
        <v>0.93991349427050186</v>
      </c>
      <c r="CN374" s="4">
        <f t="shared" si="1344"/>
        <v>0</v>
      </c>
      <c r="CO374" s="4" t="e">
        <f t="shared" ref="CO374" si="1692">CG374</f>
        <v>#REF!</v>
      </c>
      <c r="CP374" s="4" t="e">
        <f t="shared" ref="CP374" si="1693">CH374</f>
        <v>#REF!</v>
      </c>
      <c r="CQ374" s="4" t="e">
        <f t="shared" ref="CQ374" si="1694">CJ374</f>
        <v>#REF!</v>
      </c>
      <c r="CR374" s="4">
        <f t="shared" si="1536"/>
        <v>0.93991349427050186</v>
      </c>
      <c r="CS374" s="4">
        <f t="shared" ref="CS374" si="1695">CK374</f>
        <v>0.65535916327208799</v>
      </c>
      <c r="CT374" s="4">
        <f t="shared" ref="CT374" si="1696">CL374</f>
        <v>0.63898823880641586</v>
      </c>
      <c r="DC374" s="4" t="e">
        <f>#REF!</f>
        <v>#REF!</v>
      </c>
      <c r="DF374" s="4">
        <f t="shared" si="1601"/>
        <v>1.1529710395163923E-5</v>
      </c>
      <c r="DG374" s="4">
        <f t="shared" si="1446"/>
        <v>7.3218908082293819</v>
      </c>
      <c r="DH374" s="4">
        <f t="shared" si="1602"/>
        <v>0.17536695232656146</v>
      </c>
      <c r="DI374" s="4">
        <f t="shared" si="1447"/>
        <v>3.6492393541682246</v>
      </c>
      <c r="DJ374" s="4">
        <f t="shared" si="1448"/>
        <v>5.7877993154744845</v>
      </c>
      <c r="DK374" s="4">
        <f t="shared" si="1603"/>
        <v>7.2114272284070706</v>
      </c>
      <c r="DL374" s="38">
        <f t="shared" si="1604"/>
        <v>306.22850250602619</v>
      </c>
      <c r="DM374" s="4" t="e">
        <f t="shared" si="1449"/>
        <v>#REF!</v>
      </c>
      <c r="DN374" s="4">
        <f t="shared" si="1605"/>
        <v>3.1780497164141401</v>
      </c>
      <c r="DO374" s="4">
        <f t="shared" ref="DO374:DO437" si="1697">MIN(DN$10*AN374)</f>
        <v>180.80463768458458</v>
      </c>
      <c r="DS374" s="4">
        <f t="shared" si="1606"/>
        <v>0.85</v>
      </c>
      <c r="DT374" s="4">
        <f t="shared" si="1607"/>
        <v>0.87499999999999989</v>
      </c>
      <c r="DU374" s="4">
        <f t="shared" si="1608"/>
        <v>1</v>
      </c>
      <c r="DV374" s="4">
        <f t="shared" si="1450"/>
        <v>0.87499999999999989</v>
      </c>
      <c r="DX374" s="4">
        <f t="shared" si="1609"/>
        <v>314.07409868339312</v>
      </c>
      <c r="DY374" s="25">
        <f t="shared" si="1502"/>
        <v>177.66727292607976</v>
      </c>
      <c r="EA374" s="4">
        <f t="shared" si="1503"/>
        <v>0.74374999999999991</v>
      </c>
      <c r="EB374" s="4">
        <f t="shared" si="1610"/>
        <v>7.3218908082293819</v>
      </c>
      <c r="EE374" s="4">
        <f t="shared" si="1611"/>
        <v>80.72246279691916</v>
      </c>
      <c r="EF374" s="4">
        <f t="shared" si="1451"/>
        <v>3.1780497164141406</v>
      </c>
      <c r="EG374" s="4">
        <f t="shared" si="1612"/>
        <v>5.7203666971321981E-2</v>
      </c>
      <c r="EJ374" s="4">
        <f t="shared" si="1452"/>
        <v>5.7203666971321981E-2</v>
      </c>
      <c r="EK374" s="4">
        <f t="shared" si="1613"/>
        <v>0.1750742975670854</v>
      </c>
      <c r="EL374" s="4">
        <f t="shared" si="1453"/>
        <v>3.6468021733900247</v>
      </c>
      <c r="EM374" s="4">
        <f t="shared" si="1454"/>
        <v>5.7870401970278555</v>
      </c>
      <c r="EN374" s="4" t="e">
        <f t="shared" si="1455"/>
        <v>#REF!</v>
      </c>
      <c r="EO374" s="4" t="e">
        <f t="shared" si="1456"/>
        <v>#REF!</v>
      </c>
      <c r="EP374" s="4" t="e">
        <f t="shared" si="1614"/>
        <v>#REF!</v>
      </c>
      <c r="EQ374" s="4" t="e">
        <f t="shared" si="1457"/>
        <v>#REF!</v>
      </c>
      <c r="ER374" s="4" t="e">
        <f t="shared" si="1615"/>
        <v>#REF!</v>
      </c>
      <c r="FA374" s="23" t="e">
        <f t="shared" si="1383"/>
        <v>#REF!</v>
      </c>
      <c r="FB374" s="23" t="e">
        <f t="shared" si="1384"/>
        <v>#REF!</v>
      </c>
      <c r="FC374" s="23">
        <f t="shared" si="1317"/>
        <v>1</v>
      </c>
      <c r="FD374" s="23" t="e">
        <f t="shared" si="1385"/>
        <v>#REF!</v>
      </c>
      <c r="FE374" s="23">
        <f t="shared" si="1386"/>
        <v>0.8</v>
      </c>
      <c r="FF374" s="23">
        <f t="shared" si="1387"/>
        <v>0.8</v>
      </c>
      <c r="FG374" s="23">
        <f t="shared" si="1629"/>
        <v>1</v>
      </c>
      <c r="FH374" s="23"/>
      <c r="FR374" s="4">
        <f t="shared" si="1485"/>
        <v>1</v>
      </c>
      <c r="FS374" s="4">
        <f t="shared" si="1486"/>
        <v>0.70833333333333326</v>
      </c>
      <c r="FT374" s="4">
        <f t="shared" si="1487"/>
        <v>0</v>
      </c>
      <c r="FU374" s="4">
        <f t="shared" si="1488"/>
        <v>213.51928278056667</v>
      </c>
    </row>
    <row r="375" spans="2:177" ht="12" customHeight="1" x14ac:dyDescent="0.3">
      <c r="B375" s="24"/>
      <c r="C375" s="7" t="s">
        <v>517</v>
      </c>
      <c r="D375" s="38">
        <f t="shared" si="1635"/>
        <v>889.65517241379314</v>
      </c>
      <c r="E375" s="38">
        <f>6.25*25.4</f>
        <v>158.75</v>
      </c>
      <c r="F375" s="38">
        <f t="shared" ref="F375:F377" si="1698">5160/145</f>
        <v>35.586206896551722</v>
      </c>
      <c r="G375" s="38">
        <f t="shared" si="1341"/>
        <v>25.4</v>
      </c>
      <c r="H375" s="38">
        <f>17.3*25.4</f>
        <v>439.42</v>
      </c>
      <c r="I375" s="38">
        <f>2.65*25.4</f>
        <v>67.309999999999988</v>
      </c>
      <c r="J375" s="39">
        <f>7.1*25.4</f>
        <v>180.33999999999997</v>
      </c>
      <c r="K375" s="7">
        <f t="shared" si="1339"/>
        <v>114.30000000000003</v>
      </c>
      <c r="L375" s="38">
        <v>3</v>
      </c>
      <c r="M375" s="4">
        <f t="shared" si="1357"/>
        <v>260.34999999999997</v>
      </c>
      <c r="N375" s="7">
        <f t="shared" si="1569"/>
        <v>2.7500000000000004</v>
      </c>
      <c r="O375" s="7">
        <f t="shared" si="1570"/>
        <v>3.1499999999999995</v>
      </c>
      <c r="P375" s="38">
        <v>9.1</v>
      </c>
      <c r="Q375" s="4">
        <f t="shared" si="1342"/>
        <v>9.1</v>
      </c>
      <c r="R375" s="4">
        <f t="shared" si="1571"/>
        <v>10.1</v>
      </c>
      <c r="S375" s="7">
        <f t="shared" si="1572"/>
        <v>80.72246279691916</v>
      </c>
      <c r="V375" s="38">
        <f t="shared" si="1395"/>
        <v>376.55172413793105</v>
      </c>
      <c r="W375" s="4">
        <v>54.6</v>
      </c>
      <c r="X375" s="4">
        <f t="shared" si="1573"/>
        <v>1.1105084560718819</v>
      </c>
      <c r="Y375" s="38">
        <f>0.5*25.4</f>
        <v>12.7</v>
      </c>
      <c r="Z375" s="38">
        <v>10</v>
      </c>
      <c r="AA375" s="39">
        <f t="shared" si="1661"/>
        <v>76.199999999999989</v>
      </c>
      <c r="AB375" s="39">
        <v>3</v>
      </c>
      <c r="AC375" s="39">
        <f>AB375-1</f>
        <v>2</v>
      </c>
      <c r="AD375" s="7"/>
      <c r="AE375" s="4">
        <f t="shared" si="1576"/>
        <v>158.75</v>
      </c>
      <c r="AF375" s="4">
        <f t="shared" si="1577"/>
        <v>0.92266666666666663</v>
      </c>
      <c r="AG375" s="4">
        <f t="shared" si="1578"/>
        <v>78.493353014927791</v>
      </c>
      <c r="AH375" s="4">
        <f t="shared" si="1579"/>
        <v>0.80079999999999996</v>
      </c>
      <c r="AI375" s="4">
        <v>1.25</v>
      </c>
      <c r="AJ375" s="4">
        <f t="shared" si="1513"/>
        <v>2.5</v>
      </c>
      <c r="AK375" s="38">
        <f t="shared" si="1340"/>
        <v>181.23905895538786</v>
      </c>
      <c r="AL375" s="38">
        <f t="shared" si="1616"/>
        <v>181.23905895538786</v>
      </c>
      <c r="AM375" s="38">
        <f t="shared" si="1580"/>
        <v>3.2457050730263122</v>
      </c>
      <c r="AN375" s="38">
        <f t="shared" si="1521"/>
        <v>181.23905895538806</v>
      </c>
      <c r="AO375" s="38">
        <f t="shared" si="1484"/>
        <v>0.99999999999999889</v>
      </c>
      <c r="AP375" s="38">
        <f t="shared" si="1522"/>
        <v>3.4472563611864881</v>
      </c>
      <c r="AQ375" s="4">
        <f t="shared" si="1523"/>
        <v>0</v>
      </c>
      <c r="AR375" s="4" t="e">
        <f>#REF!/G375*F375^0.5/0.19</f>
        <v>#REF!</v>
      </c>
      <c r="AS375" s="4">
        <f t="shared" si="1581"/>
        <v>1.0581818181818181</v>
      </c>
      <c r="AT375" s="38">
        <f t="shared" si="1582"/>
        <v>624.77749887941445</v>
      </c>
      <c r="AU375" s="4">
        <f t="shared" si="1583"/>
        <v>0.3</v>
      </c>
      <c r="AV375" s="4" t="e">
        <f>AU375*D375*#REF!/(D375*G375/2.75/F375^0.5)</f>
        <v>#REF!</v>
      </c>
      <c r="AW375" s="4" t="e">
        <f t="shared" si="1431"/>
        <v>#REF!</v>
      </c>
      <c r="AY375" s="4">
        <f t="shared" si="1584"/>
        <v>1.5</v>
      </c>
      <c r="AZ375" s="4" t="e">
        <f>(3*#REF!+30)*AY375*F375^0.5</f>
        <v>#REF!</v>
      </c>
      <c r="BB375" s="4">
        <f t="shared" si="1585"/>
        <v>599.23802673473551</v>
      </c>
      <c r="BC375" s="4">
        <f t="shared" si="1662"/>
        <v>0</v>
      </c>
      <c r="BD375" s="4">
        <f t="shared" si="1432"/>
        <v>0</v>
      </c>
      <c r="BL375" s="4">
        <f t="shared" si="1586"/>
        <v>57.150000000000013</v>
      </c>
      <c r="BP375" s="9"/>
      <c r="BR375" s="9"/>
      <c r="BS375" s="9"/>
      <c r="BT375" s="9">
        <f t="shared" si="1587"/>
        <v>57.150000000000013</v>
      </c>
      <c r="BU375" s="9">
        <f t="shared" si="1588"/>
        <v>67.309999999999988</v>
      </c>
      <c r="BV375" s="9">
        <f t="shared" si="1589"/>
        <v>1.5372721608851661</v>
      </c>
      <c r="BW375" s="40">
        <f t="shared" si="1343"/>
        <v>20</v>
      </c>
      <c r="BX375" s="9">
        <f t="shared" si="1590"/>
        <v>0.05</v>
      </c>
      <c r="BY375" s="9">
        <f t="shared" si="1433"/>
        <v>0.8</v>
      </c>
      <c r="BZ375" s="9">
        <f t="shared" si="1591"/>
        <v>0.99524931562137331</v>
      </c>
      <c r="CA375" s="9">
        <f t="shared" si="1592"/>
        <v>0.68</v>
      </c>
      <c r="CB375" s="9">
        <f t="shared" si="1593"/>
        <v>1.4130245076626196</v>
      </c>
      <c r="CC375" s="9">
        <f t="shared" si="1594"/>
        <v>3.3026228444083086</v>
      </c>
      <c r="CD375" s="40">
        <v>1</v>
      </c>
      <c r="CE375" s="9" t="e">
        <f>4*CC375*#REF!+60*CC375</f>
        <v>#REF!</v>
      </c>
      <c r="CG375" s="4" t="e">
        <f t="shared" si="1434"/>
        <v>#REF!</v>
      </c>
      <c r="CH375" s="4" t="e">
        <f t="shared" si="1435"/>
        <v>#REF!</v>
      </c>
      <c r="CI375" s="4" t="e">
        <f t="shared" si="1436"/>
        <v>#REF!</v>
      </c>
      <c r="CJ375" s="4" t="e">
        <f t="shared" si="1437"/>
        <v>#REF!</v>
      </c>
      <c r="CK375" s="4">
        <f t="shared" si="1438"/>
        <v>1.1105084560718819</v>
      </c>
      <c r="CL375" s="4">
        <f t="shared" si="1439"/>
        <v>1.0767191342865152</v>
      </c>
      <c r="CM375" s="4">
        <f t="shared" ref="CM375:CM438" si="1699">V375/FU375</f>
        <v>1.3735243604164213</v>
      </c>
      <c r="CN375" s="4">
        <f t="shared" si="1344"/>
        <v>10</v>
      </c>
      <c r="CU375" s="4" t="e">
        <f t="shared" ref="CU375" si="1700">CG375</f>
        <v>#REF!</v>
      </c>
      <c r="CV375" s="4" t="e">
        <f t="shared" ref="CV375" si="1701">CH375</f>
        <v>#REF!</v>
      </c>
      <c r="CW375" s="4" t="e">
        <f t="shared" ref="CW375" si="1702">CJ375</f>
        <v>#REF!</v>
      </c>
      <c r="CX375" s="4">
        <f t="shared" ref="CX375" si="1703">CM375</f>
        <v>1.3735243604164213</v>
      </c>
      <c r="CY375" s="4">
        <f t="shared" ref="CY375" si="1704">CK375</f>
        <v>1.1105084560718819</v>
      </c>
      <c r="CZ375" s="4">
        <f t="shared" ref="CZ375" si="1705">CL375</f>
        <v>1.0767191342865152</v>
      </c>
      <c r="DC375" s="4" t="e">
        <f>#REF!</f>
        <v>#REF!</v>
      </c>
      <c r="DF375" s="4">
        <f t="shared" si="1601"/>
        <v>1.1603975840543402E-5</v>
      </c>
      <c r="DG375" s="4">
        <f t="shared" si="1446"/>
        <v>9.152363510286726</v>
      </c>
      <c r="DH375" s="4">
        <f t="shared" si="1602"/>
        <v>0.17578830841157264</v>
      </c>
      <c r="DI375" s="4">
        <f t="shared" si="1447"/>
        <v>4.5659300702407801</v>
      </c>
      <c r="DJ375" s="4">
        <f t="shared" si="1448"/>
        <v>7.2361146259315881</v>
      </c>
      <c r="DK375" s="4">
        <f t="shared" si="1603"/>
        <v>8.9773078893679497</v>
      </c>
      <c r="DL375" s="38">
        <f t="shared" si="1604"/>
        <v>339.08046542020867</v>
      </c>
      <c r="DM375" s="4" t="e">
        <f t="shared" si="1449"/>
        <v>#REF!</v>
      </c>
      <c r="DN375" s="4">
        <f t="shared" si="1605"/>
        <v>3.1780497164141401</v>
      </c>
      <c r="DO375" s="4">
        <f t="shared" si="1697"/>
        <v>181.23905895538806</v>
      </c>
      <c r="DS375" s="4">
        <f t="shared" si="1606"/>
        <v>0.85</v>
      </c>
      <c r="DT375" s="4">
        <f t="shared" si="1607"/>
        <v>0.87499999999999989</v>
      </c>
      <c r="DU375" s="4">
        <f t="shared" si="1608"/>
        <v>0.77500000000000002</v>
      </c>
      <c r="DV375" s="4">
        <f t="shared" si="1450"/>
        <v>0.7</v>
      </c>
      <c r="DX375" s="4">
        <f t="shared" si="1609"/>
        <v>349.72140101090702</v>
      </c>
      <c r="DY375" s="25">
        <f t="shared" si="1502"/>
        <v>178.1145851930309</v>
      </c>
      <c r="EA375" s="4">
        <f t="shared" si="1503"/>
        <v>0.59499999999999997</v>
      </c>
      <c r="EB375" s="4">
        <f t="shared" si="1610"/>
        <v>9.152363510286726</v>
      </c>
      <c r="EE375" s="4">
        <f t="shared" si="1611"/>
        <v>80.72246279691916</v>
      </c>
      <c r="EF375" s="4">
        <f t="shared" si="1451"/>
        <v>3.1780497164141406</v>
      </c>
      <c r="EG375" s="4">
        <f t="shared" si="1612"/>
        <v>5.734111084454635E-2</v>
      </c>
      <c r="EJ375" s="4">
        <f t="shared" si="1452"/>
        <v>5.734111084454635E-2</v>
      </c>
      <c r="EK375" s="4">
        <f t="shared" si="1613"/>
        <v>0.17549495048732072</v>
      </c>
      <c r="EL375" s="4">
        <f t="shared" si="1453"/>
        <v>4.5628806684554224</v>
      </c>
      <c r="EM375" s="4">
        <f t="shared" si="1454"/>
        <v>7.2351640350195305</v>
      </c>
      <c r="EN375" s="4" t="e">
        <f t="shared" si="1455"/>
        <v>#REF!</v>
      </c>
      <c r="EO375" s="4" t="e">
        <f t="shared" si="1456"/>
        <v>#REF!</v>
      </c>
      <c r="EP375" s="4" t="e">
        <f t="shared" si="1614"/>
        <v>#REF!</v>
      </c>
      <c r="EQ375" s="4" t="e">
        <f t="shared" si="1457"/>
        <v>#REF!</v>
      </c>
      <c r="ER375" s="4" t="e">
        <f t="shared" si="1615"/>
        <v>#REF!</v>
      </c>
      <c r="FA375" s="23" t="e">
        <f t="shared" si="1383"/>
        <v>#REF!</v>
      </c>
      <c r="FB375" s="23" t="e">
        <f t="shared" si="1384"/>
        <v>#REF!</v>
      </c>
      <c r="FC375" s="23">
        <f t="shared" ref="FC375:FC438" si="1706">IF(CM375&lt;0.6,0.6,IF(CM375&lt;0.8,0.8,IF(CM375&lt;1,1,IF(CM375&lt;1.2,1.2,IF(CM375&lt;1.4,1.4,IF(CM375&lt;1.6,1.6,IF(CM375&lt;1.8,1.8,IF(CM375&lt;2,2,2.2))))))))</f>
        <v>1.4</v>
      </c>
      <c r="FD375" s="23" t="e">
        <f t="shared" si="1385"/>
        <v>#REF!</v>
      </c>
      <c r="FE375" s="23">
        <f t="shared" si="1386"/>
        <v>1.2</v>
      </c>
      <c r="FF375" s="23">
        <f t="shared" si="1387"/>
        <v>1.2</v>
      </c>
      <c r="FG375" s="23">
        <f t="shared" si="1629"/>
        <v>0</v>
      </c>
      <c r="FH375" s="23"/>
      <c r="FR375" s="4">
        <f t="shared" si="1485"/>
        <v>1</v>
      </c>
      <c r="FS375" s="4">
        <f t="shared" si="1486"/>
        <v>0.55523255813953487</v>
      </c>
      <c r="FT375" s="4">
        <f t="shared" si="1487"/>
        <v>0.3</v>
      </c>
      <c r="FU375" s="4">
        <f t="shared" si="1488"/>
        <v>274.15001509239278</v>
      </c>
    </row>
    <row r="376" spans="2:177" ht="12" customHeight="1" x14ac:dyDescent="0.3">
      <c r="B376" s="24"/>
      <c r="C376" s="7" t="s">
        <v>518</v>
      </c>
      <c r="D376" s="38">
        <f>120/0.145</f>
        <v>827.58620689655174</v>
      </c>
      <c r="E376" s="38">
        <f>6.13*25.4</f>
        <v>155.702</v>
      </c>
      <c r="F376" s="38">
        <f t="shared" si="1698"/>
        <v>35.586206896551722</v>
      </c>
      <c r="G376" s="38">
        <f t="shared" si="1341"/>
        <v>25.4</v>
      </c>
      <c r="H376" s="38">
        <f>17*25.4</f>
        <v>431.79999999999995</v>
      </c>
      <c r="I376" s="38">
        <f>2.65*25.4</f>
        <v>67.309999999999988</v>
      </c>
      <c r="J376" s="39">
        <f>6.6*25.4</f>
        <v>167.64</v>
      </c>
      <c r="K376" s="7">
        <f t="shared" si="1339"/>
        <v>65.193333333333314</v>
      </c>
      <c r="L376" s="38">
        <v>4</v>
      </c>
      <c r="M376" s="4">
        <f t="shared" si="1357"/>
        <v>260.34999999999997</v>
      </c>
      <c r="N376" s="7">
        <f t="shared" si="1569"/>
        <v>1.783333333333333</v>
      </c>
      <c r="O376" s="7">
        <f t="shared" si="1570"/>
        <v>3.1499999999999995</v>
      </c>
      <c r="P376" s="38">
        <v>9.5</v>
      </c>
      <c r="Q376" s="4">
        <f t="shared" si="1342"/>
        <v>9.5</v>
      </c>
      <c r="R376" s="4">
        <f t="shared" si="1571"/>
        <v>10.5</v>
      </c>
      <c r="S376" s="7">
        <f t="shared" si="1572"/>
        <v>82.305406869779816</v>
      </c>
      <c r="V376" s="38">
        <f t="shared" si="1395"/>
        <v>189.65517241379311</v>
      </c>
      <c r="W376" s="4">
        <v>27.5</v>
      </c>
      <c r="X376" s="4">
        <f t="shared" si="1573"/>
        <v>0.79874270242833545</v>
      </c>
      <c r="Y376" s="38"/>
      <c r="Z376" s="38"/>
      <c r="AA376" s="39">
        <v>1</v>
      </c>
      <c r="AB376" s="39"/>
      <c r="AC376" s="39"/>
      <c r="AD376" s="7"/>
      <c r="AE376" s="4">
        <f t="shared" si="1576"/>
        <v>155.702</v>
      </c>
      <c r="AF376" s="4">
        <f t="shared" si="1577"/>
        <v>0.92441544317563884</v>
      </c>
      <c r="AG376" s="4">
        <f t="shared" si="1578"/>
        <v>57.182722758449053</v>
      </c>
      <c r="AH376" s="4">
        <f t="shared" si="1579"/>
        <v>0.80277324632952685</v>
      </c>
      <c r="AI376" s="4">
        <v>1.25</v>
      </c>
      <c r="AJ376" s="4">
        <f t="shared" si="1513"/>
        <v>2.5</v>
      </c>
      <c r="AK376" s="38">
        <f t="shared" si="1340"/>
        <v>132.60959076042428</v>
      </c>
      <c r="AL376" s="38">
        <f t="shared" si="1616"/>
        <v>132.60959076042428</v>
      </c>
      <c r="AM376" s="38">
        <f t="shared" si="1580"/>
        <v>3.2457050730263122</v>
      </c>
      <c r="AN376" s="38">
        <f t="shared" si="1521"/>
        <v>132.60959076042434</v>
      </c>
      <c r="AO376" s="38">
        <f t="shared" si="1484"/>
        <v>0.99999999999999956</v>
      </c>
      <c r="AP376" s="38">
        <f t="shared" si="1522"/>
        <v>3.8543795986037743</v>
      </c>
      <c r="AQ376" s="4">
        <f t="shared" si="1523"/>
        <v>0</v>
      </c>
      <c r="AR376" s="4" t="e">
        <f>#REF!/G376*F376^0.5/0.19</f>
        <v>#REF!</v>
      </c>
      <c r="AS376" s="4">
        <f t="shared" si="1581"/>
        <v>1.3065420560747665</v>
      </c>
      <c r="AT376" s="38">
        <f t="shared" si="1582"/>
        <v>511.12770120617512</v>
      </c>
      <c r="AU376" s="4">
        <f t="shared" si="1583"/>
        <v>0.3</v>
      </c>
      <c r="AV376" s="4" t="e">
        <f>AU376*D376*#REF!/(D376*G376/2.75/F376^0.5)</f>
        <v>#REF!</v>
      </c>
      <c r="AW376" s="4" t="e">
        <f t="shared" si="1431"/>
        <v>#REF!</v>
      </c>
      <c r="AY376" s="4">
        <f t="shared" si="1584"/>
        <v>1.4124999999999999</v>
      </c>
      <c r="AZ376" s="4" t="e">
        <f>(3*#REF!+30)*AY376*F376^0.5</f>
        <v>#REF!</v>
      </c>
      <c r="BB376" s="4">
        <f t="shared" si="1585"/>
        <v>490.23397230149772</v>
      </c>
      <c r="BC376" s="4">
        <f t="shared" si="1662"/>
        <v>0</v>
      </c>
      <c r="BD376" s="4">
        <f t="shared" si="1432"/>
        <v>0</v>
      </c>
      <c r="BL376" s="4">
        <f t="shared" si="1586"/>
        <v>32.596666666666657</v>
      </c>
      <c r="BP376" s="9"/>
      <c r="BR376" s="9"/>
      <c r="BS376" s="9"/>
      <c r="BT376" s="9">
        <f t="shared" si="1587"/>
        <v>32.596666666666657</v>
      </c>
      <c r="BU376" s="9">
        <f t="shared" si="1588"/>
        <v>67.309999999999988</v>
      </c>
      <c r="BV376" s="9">
        <f t="shared" si="1589"/>
        <v>1.2630068246419943</v>
      </c>
      <c r="BW376" s="40">
        <f t="shared" si="1343"/>
        <v>0</v>
      </c>
      <c r="BX376" s="9">
        <f t="shared" si="1590"/>
        <v>0</v>
      </c>
      <c r="BY376" s="9">
        <f t="shared" si="1433"/>
        <v>0</v>
      </c>
      <c r="BZ376" s="9">
        <f t="shared" si="1591"/>
        <v>0.99524931562137331</v>
      </c>
      <c r="CA376" s="9">
        <f t="shared" si="1592"/>
        <v>0.68</v>
      </c>
      <c r="CB376" s="9">
        <f t="shared" si="1593"/>
        <v>1.4130245076626196</v>
      </c>
      <c r="CC376" s="9">
        <f t="shared" si="1594"/>
        <v>1.7846595965642824</v>
      </c>
      <c r="CD376" s="40">
        <v>1</v>
      </c>
      <c r="CE376" s="9" t="e">
        <f>4*CC376*#REF!+60*CC376</f>
        <v>#REF!</v>
      </c>
      <c r="CG376" s="4" t="e">
        <f t="shared" si="1434"/>
        <v>#REF!</v>
      </c>
      <c r="CH376" s="4" t="e">
        <f t="shared" si="1435"/>
        <v>#REF!</v>
      </c>
      <c r="CI376" s="4" t="e">
        <f t="shared" si="1436"/>
        <v>#REF!</v>
      </c>
      <c r="CJ376" s="4" t="e">
        <f t="shared" si="1437"/>
        <v>#REF!</v>
      </c>
      <c r="CK376" s="4">
        <f t="shared" si="1438"/>
        <v>0.79874270242833545</v>
      </c>
      <c r="CL376" s="4">
        <f t="shared" si="1439"/>
        <v>0.75400013200926497</v>
      </c>
      <c r="CM376" s="4">
        <f t="shared" si="1699"/>
        <v>1.1044927574542696</v>
      </c>
      <c r="CN376" s="4">
        <f t="shared" si="1344"/>
        <v>0</v>
      </c>
      <c r="CO376" s="4" t="e">
        <f t="shared" ref="CO376" si="1707">CG376</f>
        <v>#REF!</v>
      </c>
      <c r="CP376" s="4" t="e">
        <f t="shared" ref="CP376" si="1708">CH376</f>
        <v>#REF!</v>
      </c>
      <c r="CQ376" s="4" t="e">
        <f t="shared" ref="CQ376" si="1709">CJ376</f>
        <v>#REF!</v>
      </c>
      <c r="CR376" s="4">
        <f t="shared" si="1536"/>
        <v>1.1044927574542696</v>
      </c>
      <c r="CS376" s="4">
        <f t="shared" ref="CS376" si="1710">CK376</f>
        <v>0.79874270242833545</v>
      </c>
      <c r="CT376" s="4">
        <f t="shared" ref="CT376" si="1711">CL376</f>
        <v>0.75400013200926497</v>
      </c>
      <c r="DC376" s="4" t="e">
        <f>#REF!</f>
        <v>#REF!</v>
      </c>
      <c r="DF376" s="4">
        <f t="shared" si="1601"/>
        <v>1.1381179504404969E-5</v>
      </c>
      <c r="DG376" s="4">
        <f t="shared" si="1446"/>
        <v>6.5934694242202827</v>
      </c>
      <c r="DH376" s="4">
        <f t="shared" si="1602"/>
        <v>0.12562175977913401</v>
      </c>
      <c r="DI376" s="4">
        <f t="shared" si="1447"/>
        <v>2.8756759529164433</v>
      </c>
      <c r="DJ376" s="4">
        <f t="shared" si="1448"/>
        <v>5.0911458024701526</v>
      </c>
      <c r="DK376" s="4">
        <f t="shared" si="1603"/>
        <v>6.5125846596970431</v>
      </c>
      <c r="DL376" s="38">
        <f t="shared" si="1604"/>
        <v>237.4421347915968</v>
      </c>
      <c r="DM376" s="4" t="e">
        <f t="shared" si="1449"/>
        <v>#REF!</v>
      </c>
      <c r="DN376" s="4">
        <f t="shared" si="1605"/>
        <v>3.2403703492039297</v>
      </c>
      <c r="DO376" s="4">
        <f t="shared" si="1697"/>
        <v>132.60959076042434</v>
      </c>
      <c r="DS376" s="4">
        <f t="shared" si="1606"/>
        <v>0.85</v>
      </c>
      <c r="DT376" s="4">
        <f t="shared" si="1607"/>
        <v>0.97166666666666668</v>
      </c>
      <c r="DU376" s="4">
        <f t="shared" si="1608"/>
        <v>1</v>
      </c>
      <c r="DV376" s="4">
        <f t="shared" si="1450"/>
        <v>0.97166666666666668</v>
      </c>
      <c r="DX376" s="4">
        <f t="shared" si="1609"/>
        <v>251.53201486636169</v>
      </c>
      <c r="DY376" s="25">
        <f t="shared" si="1502"/>
        <v>130.27811215495069</v>
      </c>
      <c r="EA376" s="4">
        <f t="shared" si="1503"/>
        <v>0.82591666666666663</v>
      </c>
      <c r="EB376" s="4">
        <f t="shared" si="1610"/>
        <v>6.5934694242202827</v>
      </c>
      <c r="EE376" s="4">
        <f t="shared" si="1611"/>
        <v>82.305406869779816</v>
      </c>
      <c r="EF376" s="4">
        <f t="shared" si="1451"/>
        <v>3.2403703492039302</v>
      </c>
      <c r="EG376" s="4">
        <f t="shared" si="1612"/>
        <v>4.0977078151962498E-2</v>
      </c>
      <c r="EJ376" s="4">
        <f t="shared" si="1452"/>
        <v>4.0977078151962498E-2</v>
      </c>
      <c r="EK376" s="4">
        <f t="shared" si="1613"/>
        <v>0.12541212047477598</v>
      </c>
      <c r="EL376" s="4">
        <f t="shared" si="1453"/>
        <v>2.8737554041454305</v>
      </c>
      <c r="EM376" s="4">
        <f t="shared" si="1454"/>
        <v>5.0906145227136008</v>
      </c>
      <c r="EN376" s="4" t="e">
        <f t="shared" si="1455"/>
        <v>#REF!</v>
      </c>
      <c r="EO376" s="4" t="e">
        <f t="shared" si="1456"/>
        <v>#REF!</v>
      </c>
      <c r="EP376" s="4" t="e">
        <f t="shared" si="1614"/>
        <v>#REF!</v>
      </c>
      <c r="EQ376" s="4" t="e">
        <f t="shared" si="1457"/>
        <v>#REF!</v>
      </c>
      <c r="ER376" s="4" t="e">
        <f t="shared" si="1615"/>
        <v>#REF!</v>
      </c>
      <c r="FA376" s="23" t="e">
        <f t="shared" si="1383"/>
        <v>#REF!</v>
      </c>
      <c r="FB376" s="23" t="e">
        <f t="shared" si="1384"/>
        <v>#REF!</v>
      </c>
      <c r="FC376" s="23">
        <f t="shared" si="1706"/>
        <v>1.2</v>
      </c>
      <c r="FD376" s="23" t="e">
        <f t="shared" si="1385"/>
        <v>#REF!</v>
      </c>
      <c r="FE376" s="23">
        <f t="shared" si="1386"/>
        <v>0.8</v>
      </c>
      <c r="FF376" s="23">
        <f t="shared" si="1387"/>
        <v>0.8</v>
      </c>
      <c r="FG376" s="23">
        <f t="shared" si="1629"/>
        <v>1</v>
      </c>
      <c r="FH376" s="23"/>
      <c r="FR376" s="4">
        <f t="shared" si="1485"/>
        <v>1</v>
      </c>
      <c r="FS376" s="4">
        <f t="shared" si="1486"/>
        <v>0.86944444444444446</v>
      </c>
      <c r="FT376" s="4">
        <f t="shared" si="1487"/>
        <v>0</v>
      </c>
      <c r="FU376" s="4">
        <f t="shared" si="1488"/>
        <v>171.71246360268287</v>
      </c>
    </row>
    <row r="377" spans="2:177" ht="12" customHeight="1" x14ac:dyDescent="0.3">
      <c r="B377" s="24"/>
      <c r="C377" s="7" t="s">
        <v>519</v>
      </c>
      <c r="D377" s="38">
        <f t="shared" si="1635"/>
        <v>889.65517241379314</v>
      </c>
      <c r="E377" s="38">
        <f>6.03*25.4</f>
        <v>153.16200000000001</v>
      </c>
      <c r="F377" s="38">
        <f t="shared" si="1698"/>
        <v>35.586206896551722</v>
      </c>
      <c r="G377" s="38">
        <f t="shared" si="1341"/>
        <v>25.4</v>
      </c>
      <c r="H377" s="38">
        <f>17.4*25.4</f>
        <v>441.95999999999992</v>
      </c>
      <c r="I377" s="38">
        <f>2.55*25.4</f>
        <v>64.77</v>
      </c>
      <c r="J377" s="39">
        <f>7.25*25.4</f>
        <v>184.14999999999998</v>
      </c>
      <c r="K377" s="7">
        <f t="shared" si="1339"/>
        <v>70.273333333333298</v>
      </c>
      <c r="L377" s="38">
        <v>4</v>
      </c>
      <c r="M377" s="4">
        <f t="shared" si="1357"/>
        <v>260.34999999999997</v>
      </c>
      <c r="N377" s="7">
        <f t="shared" si="1569"/>
        <v>1.8833333333333326</v>
      </c>
      <c r="O377" s="7">
        <f t="shared" si="1570"/>
        <v>3.05</v>
      </c>
      <c r="P377" s="38">
        <v>9.1</v>
      </c>
      <c r="Q377" s="4">
        <f t="shared" si="1342"/>
        <v>9.1</v>
      </c>
      <c r="R377" s="4">
        <f t="shared" si="1571"/>
        <v>10.1</v>
      </c>
      <c r="S377" s="7">
        <f t="shared" si="1572"/>
        <v>80.72246279691916</v>
      </c>
      <c r="V377" s="38">
        <f t="shared" si="1395"/>
        <v>275.86206896551727</v>
      </c>
      <c r="W377" s="4">
        <v>40</v>
      </c>
      <c r="X377" s="4">
        <f t="shared" si="1573"/>
        <v>1.023547164422965</v>
      </c>
      <c r="Y377" s="38">
        <f>0.5*25.4</f>
        <v>12.7</v>
      </c>
      <c r="Z377" s="38">
        <v>10</v>
      </c>
      <c r="AA377" s="39">
        <f t="shared" si="1661"/>
        <v>76.199999999999989</v>
      </c>
      <c r="AB377" s="39">
        <v>3</v>
      </c>
      <c r="AC377" s="39">
        <f>AB377-1</f>
        <v>2</v>
      </c>
      <c r="AD377" s="7"/>
      <c r="AE377" s="4">
        <f t="shared" si="1576"/>
        <v>153.16200000000001</v>
      </c>
      <c r="AF377" s="4">
        <f t="shared" si="1577"/>
        <v>0.96185737976782737</v>
      </c>
      <c r="AG377" s="4">
        <f t="shared" si="1578"/>
        <v>55.789193974838994</v>
      </c>
      <c r="AH377" s="4">
        <f t="shared" si="1579"/>
        <v>0.80116086235489214</v>
      </c>
      <c r="AI377" s="4">
        <v>1.25</v>
      </c>
      <c r="AJ377" s="4">
        <f t="shared" si="1513"/>
        <v>2.5</v>
      </c>
      <c r="AK377" s="38">
        <f t="shared" si="1340"/>
        <v>134.34778647326121</v>
      </c>
      <c r="AL377" s="38">
        <f t="shared" si="1616"/>
        <v>134.34778647326121</v>
      </c>
      <c r="AM377" s="38">
        <f t="shared" si="1580"/>
        <v>3.2457050730263122</v>
      </c>
      <c r="AN377" s="38">
        <f t="shared" si="1521"/>
        <v>134.34778647326129</v>
      </c>
      <c r="AO377" s="38">
        <f t="shared" si="1484"/>
        <v>0.99999999999999933</v>
      </c>
      <c r="AP377" s="38">
        <f t="shared" si="1522"/>
        <v>3.7555170510795586</v>
      </c>
      <c r="AQ377" s="4">
        <f t="shared" si="1523"/>
        <v>0</v>
      </c>
      <c r="AR377" s="4" t="e">
        <f>#REF!/G377*F377^0.5/0.19</f>
        <v>#REF!</v>
      </c>
      <c r="AS377" s="4">
        <f t="shared" si="1581"/>
        <v>1.2477876106194694</v>
      </c>
      <c r="AT377" s="38">
        <f t="shared" si="1582"/>
        <v>504.54540287512845</v>
      </c>
      <c r="AU377" s="4">
        <f t="shared" si="1583"/>
        <v>0.3</v>
      </c>
      <c r="AV377" s="4" t="e">
        <f>AU377*D377*#REF!/(D377*G377/2.75/F377^0.5)</f>
        <v>#REF!</v>
      </c>
      <c r="AW377" s="4" t="e">
        <f t="shared" si="1431"/>
        <v>#REF!</v>
      </c>
      <c r="AY377" s="4">
        <f t="shared" si="1584"/>
        <v>1.5</v>
      </c>
      <c r="AZ377" s="4" t="e">
        <f>(3*#REF!+30)*AY377*F377^0.5</f>
        <v>#REF!</v>
      </c>
      <c r="BB377" s="4">
        <f t="shared" si="1585"/>
        <v>483.92074323939113</v>
      </c>
      <c r="BC377" s="4">
        <f t="shared" si="1662"/>
        <v>0</v>
      </c>
      <c r="BD377" s="4">
        <f t="shared" si="1432"/>
        <v>0</v>
      </c>
      <c r="BL377" s="4">
        <f t="shared" si="1586"/>
        <v>35.136666666666649</v>
      </c>
      <c r="BP377" s="9"/>
      <c r="BR377" s="9"/>
      <c r="BS377" s="9"/>
      <c r="BT377" s="9">
        <f t="shared" si="1587"/>
        <v>35.136666666666649</v>
      </c>
      <c r="BU377" s="9">
        <f t="shared" si="1588"/>
        <v>64.77</v>
      </c>
      <c r="BV377" s="9">
        <f t="shared" si="1589"/>
        <v>1.2891558441961506</v>
      </c>
      <c r="BW377" s="40">
        <f t="shared" si="1343"/>
        <v>20</v>
      </c>
      <c r="BX377" s="9">
        <f t="shared" si="1590"/>
        <v>0.05</v>
      </c>
      <c r="BY377" s="9">
        <f t="shared" si="1433"/>
        <v>0.8</v>
      </c>
      <c r="BZ377" s="9">
        <f t="shared" si="1591"/>
        <v>0.99524931562137331</v>
      </c>
      <c r="CA377" s="9">
        <f t="shared" si="1592"/>
        <v>0.68</v>
      </c>
      <c r="CB377" s="9">
        <f t="shared" si="1593"/>
        <v>1.4130245076626196</v>
      </c>
      <c r="CC377" s="9">
        <f t="shared" si="1594"/>
        <v>2.95202840817575</v>
      </c>
      <c r="CD377" s="40">
        <v>1</v>
      </c>
      <c r="CE377" s="9" t="e">
        <f>4*CC377*#REF!+60*CC377</f>
        <v>#REF!</v>
      </c>
      <c r="CG377" s="4" t="e">
        <f t="shared" si="1434"/>
        <v>#REF!</v>
      </c>
      <c r="CH377" s="4" t="e">
        <f t="shared" si="1435"/>
        <v>#REF!</v>
      </c>
      <c r="CI377" s="4" t="e">
        <f t="shared" si="1436"/>
        <v>#REF!</v>
      </c>
      <c r="CJ377" s="4" t="e">
        <f t="shared" si="1437"/>
        <v>#REF!</v>
      </c>
      <c r="CK377" s="4">
        <f t="shared" si="1438"/>
        <v>1.023547164422965</v>
      </c>
      <c r="CL377" s="4">
        <f t="shared" si="1439"/>
        <v>0.95972228420837502</v>
      </c>
      <c r="CM377" s="4">
        <f t="shared" si="1699"/>
        <v>1.1875804167963844</v>
      </c>
      <c r="CN377" s="4">
        <f t="shared" si="1344"/>
        <v>10</v>
      </c>
      <c r="CU377" s="4" t="e">
        <f t="shared" ref="CU377" si="1712">CG377</f>
        <v>#REF!</v>
      </c>
      <c r="CV377" s="4" t="e">
        <f t="shared" ref="CV377" si="1713">CH377</f>
        <v>#REF!</v>
      </c>
      <c r="CW377" s="4" t="e">
        <f t="shared" ref="CW377" si="1714">CJ377</f>
        <v>#REF!</v>
      </c>
      <c r="CX377" s="4">
        <f t="shared" ref="CX377" si="1715">CM377</f>
        <v>1.1875804167963844</v>
      </c>
      <c r="CY377" s="4">
        <f t="shared" ref="CY377" si="1716">CK377</f>
        <v>1.023547164422965</v>
      </c>
      <c r="CZ377" s="4">
        <f t="shared" ref="CZ377" si="1717">CL377</f>
        <v>0.95972228420837502</v>
      </c>
      <c r="DC377" s="4" t="e">
        <f>#REF!</f>
        <v>#REF!</v>
      </c>
      <c r="DF377" s="4">
        <f t="shared" si="1601"/>
        <v>1.1195515890956275E-5</v>
      </c>
      <c r="DG377" s="4">
        <f t="shared" si="1446"/>
        <v>8.5961707929120017</v>
      </c>
      <c r="DH377" s="4">
        <f t="shared" si="1602"/>
        <v>0.13030728728726751</v>
      </c>
      <c r="DI377" s="4">
        <f t="shared" si="1447"/>
        <v>3.8044555753490479</v>
      </c>
      <c r="DJ377" s="4">
        <f t="shared" si="1448"/>
        <v>6.6529430361481445</v>
      </c>
      <c r="DK377" s="4">
        <f t="shared" si="1603"/>
        <v>8.4621477029872203</v>
      </c>
      <c r="DL377" s="38">
        <f t="shared" si="1604"/>
        <v>269.51573757818699</v>
      </c>
      <c r="DM377" s="4" t="e">
        <f t="shared" si="1449"/>
        <v>#REF!</v>
      </c>
      <c r="DN377" s="4">
        <f t="shared" si="1605"/>
        <v>3.1780497164141401</v>
      </c>
      <c r="DO377" s="4">
        <f t="shared" si="1697"/>
        <v>134.34778647326129</v>
      </c>
      <c r="DS377" s="4">
        <f t="shared" si="1606"/>
        <v>0.85</v>
      </c>
      <c r="DT377" s="4">
        <f t="shared" si="1607"/>
        <v>0.96166666666666667</v>
      </c>
      <c r="DU377" s="4">
        <f t="shared" si="1608"/>
        <v>0.77500000000000002</v>
      </c>
      <c r="DV377" s="4">
        <f t="shared" si="1450"/>
        <v>0.74529166666666669</v>
      </c>
      <c r="DX377" s="4">
        <f t="shared" si="1609"/>
        <v>287.43947442364697</v>
      </c>
      <c r="DY377" s="25">
        <f t="shared" si="1502"/>
        <v>131.93474477986888</v>
      </c>
      <c r="EA377" s="4">
        <f t="shared" si="1503"/>
        <v>0.63349791666666666</v>
      </c>
      <c r="EB377" s="4">
        <f t="shared" si="1610"/>
        <v>8.5961707929120017</v>
      </c>
      <c r="EE377" s="4">
        <f t="shared" si="1611"/>
        <v>80.72246279691916</v>
      </c>
      <c r="EF377" s="4">
        <f t="shared" si="1451"/>
        <v>3.1780497164141406</v>
      </c>
      <c r="EG377" s="4">
        <f t="shared" si="1612"/>
        <v>4.2505469628260288E-2</v>
      </c>
      <c r="EJ377" s="4">
        <f t="shared" si="1452"/>
        <v>4.2505469628260288E-2</v>
      </c>
      <c r="EK377" s="4">
        <f t="shared" si="1613"/>
        <v>0.13008982871076205</v>
      </c>
      <c r="EL377" s="4">
        <f t="shared" si="1453"/>
        <v>3.8019147318745952</v>
      </c>
      <c r="EM377" s="4">
        <f t="shared" si="1454"/>
        <v>6.6522306588627282</v>
      </c>
      <c r="EN377" s="4" t="e">
        <f t="shared" si="1455"/>
        <v>#REF!</v>
      </c>
      <c r="EO377" s="4" t="e">
        <f t="shared" si="1456"/>
        <v>#REF!</v>
      </c>
      <c r="EP377" s="4" t="e">
        <f t="shared" si="1614"/>
        <v>#REF!</v>
      </c>
      <c r="EQ377" s="4" t="e">
        <f t="shared" si="1457"/>
        <v>#REF!</v>
      </c>
      <c r="ER377" s="4" t="e">
        <f t="shared" si="1615"/>
        <v>#REF!</v>
      </c>
      <c r="FA377" s="23" t="e">
        <f t="shared" si="1383"/>
        <v>#REF!</v>
      </c>
      <c r="FB377" s="23" t="e">
        <f t="shared" si="1384"/>
        <v>#REF!</v>
      </c>
      <c r="FC377" s="23">
        <f t="shared" si="1706"/>
        <v>1.2</v>
      </c>
      <c r="FD377" s="23" t="e">
        <f t="shared" si="1385"/>
        <v>#REF!</v>
      </c>
      <c r="FE377" s="23">
        <f t="shared" si="1386"/>
        <v>1.2</v>
      </c>
      <c r="FF377" s="23">
        <f t="shared" si="1387"/>
        <v>1</v>
      </c>
      <c r="FG377" s="23">
        <f t="shared" si="1629"/>
        <v>0</v>
      </c>
      <c r="FH377" s="23"/>
      <c r="FR377" s="4">
        <f t="shared" si="1485"/>
        <v>1</v>
      </c>
      <c r="FS377" s="4">
        <f t="shared" si="1486"/>
        <v>0.63222480620155053</v>
      </c>
      <c r="FT377" s="4">
        <f t="shared" si="1487"/>
        <v>0.3</v>
      </c>
      <c r="FU377" s="4">
        <f t="shared" si="1488"/>
        <v>232.28916969655197</v>
      </c>
    </row>
    <row r="378" spans="2:177" ht="12" customHeight="1" x14ac:dyDescent="0.3">
      <c r="B378" s="24" t="s">
        <v>520</v>
      </c>
      <c r="C378" s="7" t="s">
        <v>521</v>
      </c>
      <c r="D378" s="38">
        <f>139/0.145</f>
        <v>958.62068965517244</v>
      </c>
      <c r="E378" s="38">
        <f>4.06*25.4</f>
        <v>103.12399999999998</v>
      </c>
      <c r="F378" s="38">
        <f>4810/145</f>
        <v>33.172413793103445</v>
      </c>
      <c r="G378" s="38">
        <f>0.625*25.4</f>
        <v>15.875</v>
      </c>
      <c r="H378" s="38">
        <f>12.9*25.4</f>
        <v>327.65999999999997</v>
      </c>
      <c r="I378" s="38">
        <f>2.5*25.4</f>
        <v>63.5</v>
      </c>
      <c r="J378" s="39">
        <f>5.25*25.4</f>
        <v>133.35</v>
      </c>
      <c r="K378" s="7">
        <f t="shared" si="1339"/>
        <v>168.90999999999997</v>
      </c>
      <c r="L378" s="38">
        <v>2</v>
      </c>
      <c r="M378" s="4">
        <f t="shared" ref="M378:M385" si="1718">5.25*25.4</f>
        <v>133.35</v>
      </c>
      <c r="N378" s="7">
        <f t="shared" si="1569"/>
        <v>4.5</v>
      </c>
      <c r="O378" s="7">
        <f t="shared" si="1570"/>
        <v>4.5</v>
      </c>
      <c r="P378" s="38">
        <v>4</v>
      </c>
      <c r="Q378" s="4">
        <f t="shared" si="1342"/>
        <v>4</v>
      </c>
      <c r="R378" s="4">
        <f t="shared" si="1571"/>
        <v>5</v>
      </c>
      <c r="S378" s="7">
        <f t="shared" si="1572"/>
        <v>35.497579142809165</v>
      </c>
      <c r="V378" s="38">
        <f t="shared" si="1395"/>
        <v>544.82758620689663</v>
      </c>
      <c r="W378" s="4">
        <v>79</v>
      </c>
      <c r="X378" s="4">
        <f t="shared" si="1573"/>
        <v>0.85551395808440578</v>
      </c>
      <c r="Y378" s="38"/>
      <c r="Z378" s="38"/>
      <c r="AA378" s="39">
        <v>1</v>
      </c>
      <c r="AB378" s="39"/>
      <c r="AC378" s="39"/>
      <c r="AD378" s="7"/>
      <c r="AE378" s="4">
        <f t="shared" si="1576"/>
        <v>103.12399999999998</v>
      </c>
      <c r="AF378" s="4">
        <f t="shared" si="1577"/>
        <v>1.059113300492611</v>
      </c>
      <c r="AG378" s="4">
        <f t="shared" si="1578"/>
        <v>152.36345683370544</v>
      </c>
      <c r="AH378" s="4">
        <f t="shared" si="1579"/>
        <v>0.83854679802955667</v>
      </c>
      <c r="AI378" s="4">
        <v>1.25</v>
      </c>
      <c r="AJ378" s="4">
        <f t="shared" si="1513"/>
        <v>2.5</v>
      </c>
      <c r="AK378" s="38">
        <f t="shared" si="1340"/>
        <v>422.86385630992817</v>
      </c>
      <c r="AL378" s="38">
        <f t="shared" si="1616"/>
        <v>422.86385630992817</v>
      </c>
      <c r="AM378" s="38">
        <f t="shared" si="1580"/>
        <v>3.0972241539071201</v>
      </c>
      <c r="AN378" s="38">
        <f t="shared" si="1521"/>
        <v>422.86385630992817</v>
      </c>
      <c r="AO378" s="38">
        <f t="shared" si="1484"/>
        <v>1</v>
      </c>
      <c r="AP378" s="38">
        <f t="shared" si="1522"/>
        <v>1.4120465472892745</v>
      </c>
      <c r="AQ378" s="4">
        <f t="shared" si="1523"/>
        <v>0</v>
      </c>
      <c r="AR378" s="4" t="e">
        <f>#REF!/G378*F378^0.5/0.19</f>
        <v>#REF!</v>
      </c>
      <c r="AS378" s="4">
        <f t="shared" si="1581"/>
        <v>1</v>
      </c>
      <c r="AT378" s="38">
        <f t="shared" si="1582"/>
        <v>597.10344827586198</v>
      </c>
      <c r="AU378" s="4">
        <f t="shared" si="1583"/>
        <v>0.44000000000000006</v>
      </c>
      <c r="AV378" s="4" t="e">
        <f>AU378*D378*#REF!/(D378*G378/2.75/F378^0.5)</f>
        <v>#REF!</v>
      </c>
      <c r="AW378" s="4" t="e">
        <f t="shared" si="1431"/>
        <v>#REF!</v>
      </c>
      <c r="AY378" s="4">
        <f t="shared" si="1584"/>
        <v>1.5</v>
      </c>
      <c r="AZ378" s="4" t="e">
        <f>(3*#REF!+30)*AY378*F378^0.5</f>
        <v>#REF!</v>
      </c>
      <c r="BB378" s="4">
        <f t="shared" si="1585"/>
        <v>572.6952278900693</v>
      </c>
      <c r="BC378" s="4">
        <f t="shared" si="1662"/>
        <v>0</v>
      </c>
      <c r="BD378" s="4">
        <f t="shared" si="1432"/>
        <v>0</v>
      </c>
      <c r="BL378" s="4">
        <f t="shared" si="1586"/>
        <v>63.5</v>
      </c>
      <c r="BP378" s="9"/>
      <c r="BR378" s="9"/>
      <c r="BS378" s="9"/>
      <c r="BT378" s="9">
        <f t="shared" si="1587"/>
        <v>63.5</v>
      </c>
      <c r="BU378" s="9">
        <f t="shared" si="1588"/>
        <v>84.454999999999984</v>
      </c>
      <c r="BV378" s="9">
        <f t="shared" si="1589"/>
        <v>2.0874099141114333</v>
      </c>
      <c r="BW378" s="40">
        <f t="shared" si="1343"/>
        <v>0</v>
      </c>
      <c r="BX378" s="9">
        <f t="shared" si="1590"/>
        <v>0</v>
      </c>
      <c r="BY378" s="9">
        <f t="shared" si="1433"/>
        <v>0</v>
      </c>
      <c r="BZ378" s="9">
        <f t="shared" si="1591"/>
        <v>1</v>
      </c>
      <c r="CA378" s="9">
        <f t="shared" si="1592"/>
        <v>0.68</v>
      </c>
      <c r="CB378" s="9">
        <f t="shared" si="1593"/>
        <v>1.3707728502186465</v>
      </c>
      <c r="CC378" s="9">
        <f t="shared" si="1594"/>
        <v>2.8613648375411893</v>
      </c>
      <c r="CD378" s="40">
        <v>1</v>
      </c>
      <c r="CE378" s="9" t="e">
        <f>4*CC378*#REF!+60*CC378</f>
        <v>#REF!</v>
      </c>
      <c r="CG378" s="4" t="e">
        <f t="shared" si="1434"/>
        <v>#REF!</v>
      </c>
      <c r="CH378" s="4" t="e">
        <f t="shared" si="1435"/>
        <v>#REF!</v>
      </c>
      <c r="CI378" s="4" t="e">
        <f t="shared" si="1436"/>
        <v>#REF!</v>
      </c>
      <c r="CJ378" s="4" t="e">
        <f t="shared" si="1437"/>
        <v>#REF!</v>
      </c>
      <c r="CK378" s="4">
        <f t="shared" si="1438"/>
        <v>0.85551395808440578</v>
      </c>
      <c r="CL378" s="4">
        <f t="shared" si="1439"/>
        <v>0.89951817016281221</v>
      </c>
      <c r="CM378" s="4">
        <f t="shared" si="1699"/>
        <v>1.3853708991438167</v>
      </c>
      <c r="CN378" s="4">
        <f t="shared" si="1344"/>
        <v>0</v>
      </c>
      <c r="CO378" s="4" t="e">
        <f t="shared" ref="CO378:CO379" si="1719">CG378</f>
        <v>#REF!</v>
      </c>
      <c r="CP378" s="4" t="e">
        <f t="shared" ref="CP378:CP379" si="1720">CH378</f>
        <v>#REF!</v>
      </c>
      <c r="CQ378" s="4" t="e">
        <f t="shared" ref="CQ378:CQ379" si="1721">CJ378</f>
        <v>#REF!</v>
      </c>
      <c r="CR378" s="4">
        <f t="shared" si="1536"/>
        <v>1.3853708991438167</v>
      </c>
      <c r="CS378" s="4">
        <f t="shared" ref="CS378:CS379" si="1722">CK378</f>
        <v>0.85551395808440578</v>
      </c>
      <c r="CT378" s="4">
        <f t="shared" ref="CT378:CT379" si="1723">CL378</f>
        <v>0.89951817016281221</v>
      </c>
      <c r="DC378" s="4" t="e">
        <f>#REF!</f>
        <v>#REF!</v>
      </c>
      <c r="DF378" s="4">
        <f t="shared" si="1601"/>
        <v>1.1862041549436264E-5</v>
      </c>
      <c r="DG378" s="4">
        <f t="shared" si="1446"/>
        <v>9.7201649178311715</v>
      </c>
      <c r="DH378" s="4">
        <f t="shared" si="1602"/>
        <v>0.44017879111879804</v>
      </c>
      <c r="DI378" s="4">
        <f t="shared" si="1447"/>
        <v>7.0004390514366941</v>
      </c>
      <c r="DJ378" s="4">
        <f t="shared" si="1448"/>
        <v>8.470459616072743</v>
      </c>
      <c r="DK378" s="4">
        <f t="shared" si="1603"/>
        <v>9.5527275677276045</v>
      </c>
      <c r="DL378" s="38">
        <f t="shared" si="1604"/>
        <v>636.84242794451688</v>
      </c>
      <c r="DM378" s="4" t="e">
        <f t="shared" si="1449"/>
        <v>#REF!</v>
      </c>
      <c r="DN378" s="4">
        <f t="shared" si="1605"/>
        <v>2.2360679774997898</v>
      </c>
      <c r="DO378" s="4">
        <f t="shared" si="1697"/>
        <v>422.86385630992817</v>
      </c>
      <c r="DS378" s="4">
        <f t="shared" si="1606"/>
        <v>0.85</v>
      </c>
      <c r="DT378" s="4">
        <f t="shared" si="1607"/>
        <v>0.7</v>
      </c>
      <c r="DU378" s="4">
        <f t="shared" si="1608"/>
        <v>1</v>
      </c>
      <c r="DV378" s="4">
        <f t="shared" si="1450"/>
        <v>0.7</v>
      </c>
      <c r="DX378" s="4">
        <f t="shared" si="1609"/>
        <v>605.68824986412801</v>
      </c>
      <c r="DY378" s="25">
        <f t="shared" si="1502"/>
        <v>416.26167594543415</v>
      </c>
      <c r="EA378" s="4">
        <f t="shared" si="1503"/>
        <v>0.59499999999999997</v>
      </c>
      <c r="EB378" s="4">
        <f t="shared" si="1610"/>
        <v>9.7201649178311715</v>
      </c>
      <c r="EE378" s="4">
        <f t="shared" si="1611"/>
        <v>35.497579142809165</v>
      </c>
      <c r="EF378" s="4">
        <f t="shared" si="1451"/>
        <v>2.2360679774997898</v>
      </c>
      <c r="EG378" s="4">
        <f t="shared" si="1612"/>
        <v>0.13862862504888454</v>
      </c>
      <c r="EJ378" s="4">
        <f t="shared" si="1452"/>
        <v>0.13862862504888454</v>
      </c>
      <c r="EK378" s="4">
        <f t="shared" si="1613"/>
        <v>0.43944421475459533</v>
      </c>
      <c r="EL378" s="4">
        <f t="shared" si="1453"/>
        <v>6.9957637386278373</v>
      </c>
      <c r="EM378" s="4">
        <f t="shared" si="1454"/>
        <v>8.4685301751669879</v>
      </c>
      <c r="EN378" s="4" t="e">
        <f t="shared" si="1455"/>
        <v>#REF!</v>
      </c>
      <c r="EO378" s="4" t="e">
        <f t="shared" si="1456"/>
        <v>#REF!</v>
      </c>
      <c r="EP378" s="4" t="e">
        <f t="shared" si="1614"/>
        <v>#REF!</v>
      </c>
      <c r="EQ378" s="4" t="e">
        <f t="shared" si="1457"/>
        <v>#REF!</v>
      </c>
      <c r="ER378" s="4" t="e">
        <f t="shared" si="1615"/>
        <v>#REF!</v>
      </c>
      <c r="FA378" s="23" t="e">
        <f t="shared" si="1383"/>
        <v>#REF!</v>
      </c>
      <c r="FB378" s="23" t="e">
        <f t="shared" si="1384"/>
        <v>#REF!</v>
      </c>
      <c r="FC378" s="23">
        <f t="shared" si="1706"/>
        <v>1.4</v>
      </c>
      <c r="FD378" s="23" t="e">
        <f t="shared" si="1385"/>
        <v>#REF!</v>
      </c>
      <c r="FE378" s="23">
        <f t="shared" si="1386"/>
        <v>1</v>
      </c>
      <c r="FF378" s="23">
        <f t="shared" si="1387"/>
        <v>1</v>
      </c>
      <c r="FG378" s="23">
        <f t="shared" si="1629"/>
        <v>0</v>
      </c>
      <c r="FH378" s="23"/>
      <c r="FR378" s="4">
        <f t="shared" si="1485"/>
        <v>1</v>
      </c>
      <c r="FS378" s="4">
        <f t="shared" si="1486"/>
        <v>0.5</v>
      </c>
      <c r="FT378" s="4">
        <f t="shared" si="1487"/>
        <v>0</v>
      </c>
      <c r="FU378" s="4">
        <f t="shared" si="1488"/>
        <v>393.27200141392427</v>
      </c>
    </row>
    <row r="379" spans="2:177" ht="12" customHeight="1" x14ac:dyDescent="0.3">
      <c r="B379" s="24"/>
      <c r="C379" s="7" t="s">
        <v>522</v>
      </c>
      <c r="D379" s="38">
        <f t="shared" ref="D379:D402" si="1724">139/0.145</f>
        <v>958.62068965517244</v>
      </c>
      <c r="E379" s="38">
        <f>4.41*25.4</f>
        <v>112.014</v>
      </c>
      <c r="F379" s="38">
        <f t="shared" ref="F379:F382" si="1725">4810/145</f>
        <v>33.172413793103445</v>
      </c>
      <c r="G379" s="38">
        <f t="shared" ref="G379:G402" si="1726">0.625*25.4</f>
        <v>15.875</v>
      </c>
      <c r="H379" s="38">
        <f>13.1*25.4</f>
        <v>332.73999999999995</v>
      </c>
      <c r="I379" s="38">
        <f>2.5*25.4</f>
        <v>63.5</v>
      </c>
      <c r="J379" s="39">
        <f>4.65*25.4</f>
        <v>118.11</v>
      </c>
      <c r="K379" s="7">
        <f t="shared" si="1339"/>
        <v>173.98999999999995</v>
      </c>
      <c r="L379" s="38">
        <v>2</v>
      </c>
      <c r="M379" s="4">
        <f t="shared" si="1718"/>
        <v>133.35</v>
      </c>
      <c r="N379" s="7">
        <f t="shared" si="1569"/>
        <v>4.5</v>
      </c>
      <c r="O379" s="7">
        <f t="shared" si="1570"/>
        <v>4.5</v>
      </c>
      <c r="P379" s="38">
        <v>13.1</v>
      </c>
      <c r="Q379" s="4">
        <f t="shared" si="1342"/>
        <v>13.1</v>
      </c>
      <c r="R379" s="4">
        <f t="shared" si="1571"/>
        <v>14.1</v>
      </c>
      <c r="S379" s="7">
        <f t="shared" si="1572"/>
        <v>59.610572153771514</v>
      </c>
      <c r="V379" s="38">
        <f t="shared" si="1395"/>
        <v>627.58620689655174</v>
      </c>
      <c r="W379" s="4">
        <v>91</v>
      </c>
      <c r="X379" s="4">
        <f t="shared" si="1573"/>
        <v>0.98139244277365356</v>
      </c>
      <c r="Y379" s="38"/>
      <c r="Z379" s="38"/>
      <c r="AA379" s="39">
        <v>1</v>
      </c>
      <c r="AB379" s="39"/>
      <c r="AC379" s="39"/>
      <c r="AD379" s="7"/>
      <c r="AE379" s="4">
        <f t="shared" si="1576"/>
        <v>112.014</v>
      </c>
      <c r="AF379" s="4">
        <f t="shared" si="1577"/>
        <v>0.99017384731670421</v>
      </c>
      <c r="AG379" s="4">
        <f t="shared" si="1578"/>
        <v>172.48433206051794</v>
      </c>
      <c r="AH379" s="4">
        <f t="shared" si="1579"/>
        <v>0.8275510204081632</v>
      </c>
      <c r="AI379" s="4">
        <v>1.25</v>
      </c>
      <c r="AJ379" s="4">
        <f t="shared" si="1513"/>
        <v>2.5</v>
      </c>
      <c r="AK379" s="38">
        <f t="shared" si="1340"/>
        <v>441.67813764040932</v>
      </c>
      <c r="AL379" s="38">
        <f t="shared" si="1616"/>
        <v>441.67813764040932</v>
      </c>
      <c r="AM379" s="38">
        <f t="shared" si="1580"/>
        <v>3.0972241539071201</v>
      </c>
      <c r="AN379" s="38">
        <f t="shared" si="1521"/>
        <v>441.67813764040881</v>
      </c>
      <c r="AO379" s="38">
        <f t="shared" si="1484"/>
        <v>1.0000000000000011</v>
      </c>
      <c r="AP379" s="38">
        <f t="shared" si="1522"/>
        <v>2.4465231438551203</v>
      </c>
      <c r="AQ379" s="4">
        <f t="shared" si="1523"/>
        <v>0</v>
      </c>
      <c r="AR379" s="4" t="e">
        <f>#REF!/G379*F379^0.5/0.19</f>
        <v>#REF!</v>
      </c>
      <c r="AS379" s="4">
        <f t="shared" si="1581"/>
        <v>1</v>
      </c>
      <c r="AT379" s="38">
        <f t="shared" si="1582"/>
        <v>1080.5757858720874</v>
      </c>
      <c r="AU379" s="4">
        <f t="shared" si="1583"/>
        <v>0.3</v>
      </c>
      <c r="AV379" s="4" t="e">
        <f>AU379*D379*#REF!/(D379*G379/2.75/F379^0.5)</f>
        <v>#REF!</v>
      </c>
      <c r="AW379" s="4" t="e">
        <f t="shared" si="1431"/>
        <v>#REF!</v>
      </c>
      <c r="AY379" s="4">
        <f t="shared" si="1584"/>
        <v>1.5</v>
      </c>
      <c r="AZ379" s="4" t="e">
        <f>(3*#REF!+30)*AY379*F379^0.5</f>
        <v>#REF!</v>
      </c>
      <c r="BB379" s="4">
        <f t="shared" si="1585"/>
        <v>1036.4043244590362</v>
      </c>
      <c r="BC379" s="4">
        <f t="shared" si="1662"/>
        <v>0</v>
      </c>
      <c r="BD379" s="4">
        <f t="shared" si="1432"/>
        <v>0</v>
      </c>
      <c r="BL379" s="4">
        <f t="shared" si="1586"/>
        <v>63.5</v>
      </c>
      <c r="BP379" s="9"/>
      <c r="BR379" s="9"/>
      <c r="BS379" s="9"/>
      <c r="BT379" s="9">
        <f t="shared" si="1587"/>
        <v>63.5</v>
      </c>
      <c r="BU379" s="9">
        <f t="shared" si="1588"/>
        <v>86.994999999999976</v>
      </c>
      <c r="BV379" s="9">
        <f t="shared" si="1589"/>
        <v>2.0967086203206882</v>
      </c>
      <c r="BW379" s="40">
        <f t="shared" si="1343"/>
        <v>0</v>
      </c>
      <c r="BX379" s="9">
        <f t="shared" si="1590"/>
        <v>0</v>
      </c>
      <c r="BY379" s="9">
        <f t="shared" si="1433"/>
        <v>0</v>
      </c>
      <c r="BZ379" s="9">
        <f t="shared" si="1591"/>
        <v>1</v>
      </c>
      <c r="CA379" s="9">
        <f t="shared" si="1592"/>
        <v>0.68</v>
      </c>
      <c r="CB379" s="9">
        <f t="shared" si="1593"/>
        <v>1.3707728502186465</v>
      </c>
      <c r="CC379" s="9">
        <f t="shared" si="1594"/>
        <v>2.8741112515549956</v>
      </c>
      <c r="CD379" s="40">
        <v>1</v>
      </c>
      <c r="CE379" s="9" t="e">
        <f>4*CC379*#REF!+60*CC379</f>
        <v>#REF!</v>
      </c>
      <c r="CG379" s="4" t="e">
        <f t="shared" si="1434"/>
        <v>#REF!</v>
      </c>
      <c r="CH379" s="4" t="e">
        <f t="shared" si="1435"/>
        <v>#REF!</v>
      </c>
      <c r="CI379" s="4" t="e">
        <f t="shared" si="1436"/>
        <v>#REF!</v>
      </c>
      <c r="CJ379" s="4" t="e">
        <f t="shared" si="1437"/>
        <v>#REF!</v>
      </c>
      <c r="CK379" s="4">
        <f t="shared" si="1438"/>
        <v>0.98139244277365356</v>
      </c>
      <c r="CL379" s="4">
        <f t="shared" si="1439"/>
        <v>0.97894457082747688</v>
      </c>
      <c r="CM379" s="4">
        <f t="shared" si="1699"/>
        <v>1.4691556370667194</v>
      </c>
      <c r="CN379" s="4">
        <f t="shared" si="1344"/>
        <v>0</v>
      </c>
      <c r="CO379" s="4" t="e">
        <f t="shared" si="1719"/>
        <v>#REF!</v>
      </c>
      <c r="CP379" s="4" t="e">
        <f t="shared" si="1720"/>
        <v>#REF!</v>
      </c>
      <c r="CQ379" s="4" t="e">
        <f t="shared" si="1721"/>
        <v>#REF!</v>
      </c>
      <c r="CR379" s="4">
        <f t="shared" si="1536"/>
        <v>1.4691556370667194</v>
      </c>
      <c r="CS379" s="4">
        <f t="shared" si="1722"/>
        <v>0.98139244277365356</v>
      </c>
      <c r="CT379" s="4">
        <f t="shared" si="1723"/>
        <v>0.97894457082747688</v>
      </c>
      <c r="DC379" s="4" t="e">
        <f>#REF!</f>
        <v>#REF!</v>
      </c>
      <c r="DF379" s="4">
        <f t="shared" si="1601"/>
        <v>1.2884631338180772E-5</v>
      </c>
      <c r="DG379" s="4">
        <f t="shared" si="1446"/>
        <v>9.7201649178311715</v>
      </c>
      <c r="DH379" s="4">
        <f t="shared" si="1602"/>
        <v>0.23574782794831436</v>
      </c>
      <c r="DI379" s="4">
        <f t="shared" si="1447"/>
        <v>5.4532161660447596</v>
      </c>
      <c r="DJ379" s="4">
        <f t="shared" si="1448"/>
        <v>7.8831319965935673</v>
      </c>
      <c r="DK379" s="4">
        <f t="shared" si="1603"/>
        <v>9.5570432309997315</v>
      </c>
      <c r="DL379" s="38">
        <f t="shared" si="1604"/>
        <v>639.48546936314347</v>
      </c>
      <c r="DM379" s="4" t="e">
        <f t="shared" si="1449"/>
        <v>#REF!</v>
      </c>
      <c r="DN379" s="4">
        <f t="shared" si="1605"/>
        <v>3.7549966711037173</v>
      </c>
      <c r="DO379" s="4">
        <f t="shared" si="1697"/>
        <v>441.67813764040881</v>
      </c>
      <c r="DS379" s="4">
        <f t="shared" si="1606"/>
        <v>0.85</v>
      </c>
      <c r="DT379" s="4">
        <f t="shared" si="1607"/>
        <v>0.7</v>
      </c>
      <c r="DU379" s="4">
        <f t="shared" si="1608"/>
        <v>1</v>
      </c>
      <c r="DV379" s="4">
        <f t="shared" si="1450"/>
        <v>0.7</v>
      </c>
      <c r="DX379" s="4">
        <f t="shared" si="1609"/>
        <v>641.08451652790632</v>
      </c>
      <c r="DY379" s="25">
        <f t="shared" si="1502"/>
        <v>435.32806554725613</v>
      </c>
      <c r="EA379" s="4">
        <f t="shared" si="1503"/>
        <v>0.59499999999999997</v>
      </c>
      <c r="EB379" s="4">
        <f t="shared" si="1610"/>
        <v>9.7201649178311715</v>
      </c>
      <c r="EE379" s="4">
        <f t="shared" si="1611"/>
        <v>59.610572153771514</v>
      </c>
      <c r="EF379" s="4">
        <f t="shared" si="1451"/>
        <v>3.7549966711037173</v>
      </c>
      <c r="EG379" s="4">
        <f t="shared" si="1612"/>
        <v>7.4245733565830904E-2</v>
      </c>
      <c r="EJ379" s="4">
        <f t="shared" si="1452"/>
        <v>7.4245733565830904E-2</v>
      </c>
      <c r="EK379" s="4">
        <f t="shared" si="1613"/>
        <v>0.23535440876089098</v>
      </c>
      <c r="EL379" s="4">
        <f t="shared" si="1453"/>
        <v>5.4495741814201901</v>
      </c>
      <c r="EM379" s="4">
        <f t="shared" si="1454"/>
        <v>7.8818808394350324</v>
      </c>
      <c r="EN379" s="4" t="e">
        <f t="shared" si="1455"/>
        <v>#REF!</v>
      </c>
      <c r="EO379" s="4" t="e">
        <f t="shared" si="1456"/>
        <v>#REF!</v>
      </c>
      <c r="EP379" s="4" t="e">
        <f t="shared" si="1614"/>
        <v>#REF!</v>
      </c>
      <c r="EQ379" s="4" t="e">
        <f t="shared" si="1457"/>
        <v>#REF!</v>
      </c>
      <c r="ER379" s="4" t="e">
        <f t="shared" si="1615"/>
        <v>#REF!</v>
      </c>
      <c r="FA379" s="23" t="e">
        <f t="shared" si="1383"/>
        <v>#REF!</v>
      </c>
      <c r="FB379" s="23" t="e">
        <f t="shared" si="1384"/>
        <v>#REF!</v>
      </c>
      <c r="FC379" s="23">
        <f t="shared" si="1706"/>
        <v>1.6</v>
      </c>
      <c r="FD379" s="23" t="e">
        <f t="shared" si="1385"/>
        <v>#REF!</v>
      </c>
      <c r="FE379" s="23">
        <f t="shared" si="1386"/>
        <v>1</v>
      </c>
      <c r="FF379" s="23">
        <f t="shared" si="1387"/>
        <v>1</v>
      </c>
      <c r="FG379" s="23">
        <f t="shared" si="1629"/>
        <v>0</v>
      </c>
      <c r="FH379" s="23"/>
      <c r="FR379" s="4">
        <f t="shared" si="1485"/>
        <v>1</v>
      </c>
      <c r="FS379" s="4">
        <f t="shared" si="1486"/>
        <v>0.5</v>
      </c>
      <c r="FT379" s="4">
        <f t="shared" si="1487"/>
        <v>0</v>
      </c>
      <c r="FU379" s="4">
        <f t="shared" si="1488"/>
        <v>427.17476015650402</v>
      </c>
    </row>
    <row r="380" spans="2:177" ht="12" customHeight="1" x14ac:dyDescent="0.3">
      <c r="B380" s="24"/>
      <c r="C380" s="7" t="s">
        <v>523</v>
      </c>
      <c r="D380" s="38">
        <f t="shared" si="1724"/>
        <v>958.62068965517244</v>
      </c>
      <c r="E380" s="38">
        <f>3.81*25.4</f>
        <v>96.774000000000001</v>
      </c>
      <c r="F380" s="38">
        <f t="shared" si="1725"/>
        <v>33.172413793103445</v>
      </c>
      <c r="G380" s="38">
        <f t="shared" si="1726"/>
        <v>15.875</v>
      </c>
      <c r="H380" s="38">
        <f>13*25.4</f>
        <v>330.2</v>
      </c>
      <c r="I380" s="38">
        <f>2.5*25.4</f>
        <v>63.5</v>
      </c>
      <c r="J380" s="39">
        <f>5.35*25.4</f>
        <v>135.88999999999999</v>
      </c>
      <c r="K380" s="7">
        <f t="shared" ref="K380:K443" si="1727">(H380-L380*G380-2*I380)/(L380-1)</f>
        <v>171.45</v>
      </c>
      <c r="L380" s="38">
        <v>2</v>
      </c>
      <c r="M380" s="4">
        <f t="shared" si="1718"/>
        <v>133.35</v>
      </c>
      <c r="N380" s="7">
        <f t="shared" si="1569"/>
        <v>4.5</v>
      </c>
      <c r="O380" s="7">
        <f t="shared" si="1570"/>
        <v>4.5</v>
      </c>
      <c r="P380" s="38">
        <v>4</v>
      </c>
      <c r="Q380" s="4">
        <f t="shared" si="1342"/>
        <v>4</v>
      </c>
      <c r="R380" s="4">
        <f t="shared" si="1571"/>
        <v>5</v>
      </c>
      <c r="S380" s="7">
        <f t="shared" si="1572"/>
        <v>35.497579142809165</v>
      </c>
      <c r="V380" s="38">
        <f t="shared" si="1395"/>
        <v>437.93103448275866</v>
      </c>
      <c r="W380" s="4">
        <v>63.5</v>
      </c>
      <c r="X380" s="4">
        <f t="shared" si="1573"/>
        <v>0.70984876435598188</v>
      </c>
      <c r="Y380" s="38">
        <f>0.375*25.4</f>
        <v>9.5249999999999986</v>
      </c>
      <c r="Z380" s="38">
        <v>4</v>
      </c>
      <c r="AA380" s="39">
        <f>3.5*25.4</f>
        <v>88.899999999999991</v>
      </c>
      <c r="AB380" s="39">
        <v>2</v>
      </c>
      <c r="AC380" s="39">
        <f t="shared" ref="AC380:AC383" si="1728">AB380-1</f>
        <v>1</v>
      </c>
      <c r="AD380" s="7"/>
      <c r="AE380" s="4">
        <f t="shared" si="1576"/>
        <v>96.774000000000001</v>
      </c>
      <c r="AF380" s="4">
        <f t="shared" si="1577"/>
        <v>1.137357830271216</v>
      </c>
      <c r="AG380" s="4">
        <f t="shared" si="1578"/>
        <v>138.50939444174517</v>
      </c>
      <c r="AH380" s="4">
        <f t="shared" si="1579"/>
        <v>0.84763779527559047</v>
      </c>
      <c r="AI380" s="4">
        <v>1.25</v>
      </c>
      <c r="AJ380" s="4">
        <f t="shared" si="1513"/>
        <v>2.5</v>
      </c>
      <c r="AK380" s="38">
        <f t="shared" ref="AK380:AK443" si="1729">AF380*AH380*AI380*AJ380*AG380</f>
        <v>417.28876052172291</v>
      </c>
      <c r="AL380" s="38">
        <f t="shared" si="1616"/>
        <v>417.28876052172291</v>
      </c>
      <c r="AM380" s="38">
        <f t="shared" si="1580"/>
        <v>3.0972241539071201</v>
      </c>
      <c r="AN380" s="38">
        <f t="shared" si="1521"/>
        <v>417.28876052172325</v>
      </c>
      <c r="AO380" s="38">
        <f t="shared" si="1484"/>
        <v>0.99999999999999922</v>
      </c>
      <c r="AP380" s="38">
        <f t="shared" si="1522"/>
        <v>1.4309118882792864</v>
      </c>
      <c r="AQ380" s="4">
        <f t="shared" si="1523"/>
        <v>0</v>
      </c>
      <c r="AR380" s="4" t="e">
        <f>#REF!/G380*F380^0.5/0.19</f>
        <v>#REF!</v>
      </c>
      <c r="AS380" s="4">
        <f t="shared" si="1581"/>
        <v>1</v>
      </c>
      <c r="AT380" s="38">
        <f t="shared" si="1582"/>
        <v>597.10344827586198</v>
      </c>
      <c r="AU380" s="4">
        <f t="shared" si="1583"/>
        <v>0.44000000000000006</v>
      </c>
      <c r="AV380" s="4" t="e">
        <f>AU380*D380*#REF!/(D380*G380/2.75/F380^0.5)</f>
        <v>#REF!</v>
      </c>
      <c r="AW380" s="4" t="e">
        <f t="shared" si="1431"/>
        <v>#REF!</v>
      </c>
      <c r="AY380" s="4">
        <f t="shared" si="1584"/>
        <v>1.5</v>
      </c>
      <c r="AZ380" s="4" t="e">
        <f>(3*#REF!+30)*AY380*F380^0.5</f>
        <v>#REF!</v>
      </c>
      <c r="BB380" s="4">
        <f t="shared" si="1585"/>
        <v>572.6952278900693</v>
      </c>
      <c r="BC380" s="4">
        <f t="shared" si="1662"/>
        <v>0</v>
      </c>
      <c r="BD380" s="4">
        <f t="shared" si="1432"/>
        <v>0</v>
      </c>
      <c r="BL380" s="4">
        <f t="shared" si="1586"/>
        <v>63.5</v>
      </c>
      <c r="BP380" s="9"/>
      <c r="BR380" s="9"/>
      <c r="BS380" s="9"/>
      <c r="BT380" s="9">
        <f t="shared" si="1587"/>
        <v>63.5</v>
      </c>
      <c r="BU380" s="9">
        <f t="shared" si="1588"/>
        <v>85.724999999999994</v>
      </c>
      <c r="BV380" s="9">
        <f t="shared" si="1589"/>
        <v>2.0920885420600022</v>
      </c>
      <c r="BW380" s="40">
        <f t="shared" si="1343"/>
        <v>20</v>
      </c>
      <c r="BX380" s="9">
        <f t="shared" si="1590"/>
        <v>0.05</v>
      </c>
      <c r="BY380" s="9">
        <f t="shared" si="1433"/>
        <v>0.8</v>
      </c>
      <c r="BZ380" s="9">
        <f t="shared" si="1591"/>
        <v>1</v>
      </c>
      <c r="CA380" s="9">
        <f t="shared" si="1592"/>
        <v>0.68</v>
      </c>
      <c r="CB380" s="9">
        <f t="shared" si="1593"/>
        <v>1.3707728502186465</v>
      </c>
      <c r="CC380" s="9">
        <f t="shared" si="1594"/>
        <v>3.4269321255466161</v>
      </c>
      <c r="CD380" s="40">
        <v>1</v>
      </c>
      <c r="CE380" s="9" t="e">
        <f>4*CC380*#REF!+60*CC380</f>
        <v>#REF!</v>
      </c>
      <c r="CG380" s="4" t="e">
        <f t="shared" si="1434"/>
        <v>#REF!</v>
      </c>
      <c r="CH380" s="4" t="e">
        <f t="shared" si="1435"/>
        <v>#REF!</v>
      </c>
      <c r="CI380" s="4" t="e">
        <f t="shared" si="1436"/>
        <v>#REF!</v>
      </c>
      <c r="CJ380" s="4" t="e">
        <f t="shared" si="1437"/>
        <v>#REF!</v>
      </c>
      <c r="CK380" s="4">
        <f t="shared" si="1438"/>
        <v>0.70984876435598188</v>
      </c>
      <c r="CL380" s="4">
        <f t="shared" si="1439"/>
        <v>0.74462905197182427</v>
      </c>
      <c r="CM380" s="4">
        <f t="shared" si="1699"/>
        <v>1.1002142240916057</v>
      </c>
      <c r="CN380" s="4">
        <f t="shared" si="1344"/>
        <v>4</v>
      </c>
      <c r="CU380" s="4" t="e">
        <f t="shared" ref="CU380:CU383" si="1730">CG380</f>
        <v>#REF!</v>
      </c>
      <c r="CV380" s="4" t="e">
        <f t="shared" ref="CV380:CV383" si="1731">CH380</f>
        <v>#REF!</v>
      </c>
      <c r="CW380" s="4" t="e">
        <f t="shared" ref="CW380:CW383" si="1732">CJ380</f>
        <v>#REF!</v>
      </c>
      <c r="CX380" s="4">
        <f t="shared" ref="CX380:CX383" si="1733">CM380</f>
        <v>1.1002142240916057</v>
      </c>
      <c r="CY380" s="4">
        <f t="shared" ref="CY380:CY383" si="1734">CK380</f>
        <v>0.70984876435598188</v>
      </c>
      <c r="CZ380" s="4">
        <f t="shared" ref="CZ380:CZ383" si="1735">CL380</f>
        <v>0.74462905197182427</v>
      </c>
      <c r="DC380" s="4" t="e">
        <f>#REF!</f>
        <v>#REF!</v>
      </c>
      <c r="DF380" s="4">
        <f t="shared" si="1601"/>
        <v>1.113162027176162E-5</v>
      </c>
      <c r="DG380" s="4">
        <f t="shared" si="1446"/>
        <v>9.7201649178311715</v>
      </c>
      <c r="DH380" s="4">
        <f t="shared" si="1602"/>
        <v>0.43437541282622311</v>
      </c>
      <c r="DI380" s="4">
        <f t="shared" si="1447"/>
        <v>6.9633740924484089</v>
      </c>
      <c r="DJ380" s="4">
        <f t="shared" si="1448"/>
        <v>8.4551871299038659</v>
      </c>
      <c r="DK380" s="4">
        <f t="shared" si="1603"/>
        <v>9.5737606327462448</v>
      </c>
      <c r="DL380" s="38">
        <f t="shared" si="1604"/>
        <v>616.93568612474292</v>
      </c>
      <c r="DM380" s="4" t="e">
        <f t="shared" si="1449"/>
        <v>#REF!</v>
      </c>
      <c r="DN380" s="4">
        <f t="shared" si="1605"/>
        <v>2.2360679774997898</v>
      </c>
      <c r="DO380" s="4">
        <f t="shared" si="1697"/>
        <v>417.28876052172325</v>
      </c>
      <c r="DS380" s="4">
        <f t="shared" si="1606"/>
        <v>0.85</v>
      </c>
      <c r="DT380" s="4">
        <f t="shared" si="1607"/>
        <v>0.7</v>
      </c>
      <c r="DU380" s="4">
        <f t="shared" si="1608"/>
        <v>0.85899999999999999</v>
      </c>
      <c r="DV380" s="4">
        <f t="shared" si="1450"/>
        <v>0.7</v>
      </c>
      <c r="DX380" s="4">
        <f t="shared" si="1609"/>
        <v>588.11972662507583</v>
      </c>
      <c r="DY380" s="25">
        <f t="shared" si="1502"/>
        <v>410.35735060777938</v>
      </c>
      <c r="EA380" s="4">
        <f t="shared" si="1503"/>
        <v>0.59499999999999997</v>
      </c>
      <c r="EB380" s="4">
        <f t="shared" si="1610"/>
        <v>9.7201649178311715</v>
      </c>
      <c r="EE380" s="4">
        <f t="shared" si="1611"/>
        <v>35.497579142809165</v>
      </c>
      <c r="EF380" s="4">
        <f t="shared" si="1451"/>
        <v>2.2360679774997898</v>
      </c>
      <c r="EG380" s="4">
        <f t="shared" si="1612"/>
        <v>0.13680092601028848</v>
      </c>
      <c r="EJ380" s="4">
        <f t="shared" si="1452"/>
        <v>0.13680092601028848</v>
      </c>
      <c r="EK380" s="4">
        <f t="shared" si="1613"/>
        <v>0.43365052121878805</v>
      </c>
      <c r="EL380" s="4">
        <f t="shared" si="1453"/>
        <v>6.9587235338408613</v>
      </c>
      <c r="EM380" s="4">
        <f t="shared" si="1454"/>
        <v>8.4532747276059581</v>
      </c>
      <c r="EN380" s="4" t="e">
        <f t="shared" si="1455"/>
        <v>#REF!</v>
      </c>
      <c r="EO380" s="4" t="e">
        <f t="shared" si="1456"/>
        <v>#REF!</v>
      </c>
      <c r="EP380" s="4" t="e">
        <f t="shared" si="1614"/>
        <v>#REF!</v>
      </c>
      <c r="EQ380" s="4" t="e">
        <f t="shared" si="1457"/>
        <v>#REF!</v>
      </c>
      <c r="ER380" s="4" t="e">
        <f t="shared" si="1615"/>
        <v>#REF!</v>
      </c>
      <c r="FA380" s="23" t="e">
        <f t="shared" si="1383"/>
        <v>#REF!</v>
      </c>
      <c r="FB380" s="23" t="e">
        <f t="shared" si="1384"/>
        <v>#REF!</v>
      </c>
      <c r="FC380" s="23">
        <f t="shared" si="1706"/>
        <v>1.2</v>
      </c>
      <c r="FD380" s="23" t="e">
        <f t="shared" si="1385"/>
        <v>#REF!</v>
      </c>
      <c r="FE380" s="23">
        <f t="shared" si="1386"/>
        <v>0.8</v>
      </c>
      <c r="FF380" s="23">
        <f t="shared" si="1387"/>
        <v>0.8</v>
      </c>
      <c r="FG380" s="23">
        <f t="shared" si="1629"/>
        <v>1</v>
      </c>
      <c r="FH380" s="23"/>
      <c r="FR380" s="4">
        <f t="shared" si="1485"/>
        <v>1</v>
      </c>
      <c r="FS380" s="4">
        <f t="shared" si="1486"/>
        <v>0.46358941059918601</v>
      </c>
      <c r="FT380" s="4">
        <f t="shared" si="1487"/>
        <v>0.3</v>
      </c>
      <c r="FU380" s="4">
        <f t="shared" si="1488"/>
        <v>398.04160398338547</v>
      </c>
    </row>
    <row r="381" spans="2:177" ht="12" customHeight="1" x14ac:dyDescent="0.3">
      <c r="B381" s="24"/>
      <c r="C381" s="7" t="s">
        <v>524</v>
      </c>
      <c r="D381" s="38">
        <f t="shared" si="1724"/>
        <v>958.62068965517244</v>
      </c>
      <c r="E381" s="38">
        <f>4.09*25.4</f>
        <v>103.886</v>
      </c>
      <c r="F381" s="38">
        <f t="shared" si="1725"/>
        <v>33.172413793103445</v>
      </c>
      <c r="G381" s="38">
        <f t="shared" si="1726"/>
        <v>15.875</v>
      </c>
      <c r="H381" s="38">
        <f>13.1*25.4</f>
        <v>332.73999999999995</v>
      </c>
      <c r="I381" s="38">
        <f>2.6*25.4</f>
        <v>66.039999999999992</v>
      </c>
      <c r="J381" s="39">
        <f>5.25*25.4</f>
        <v>133.35</v>
      </c>
      <c r="K381" s="7">
        <f t="shared" si="1727"/>
        <v>168.90999999999997</v>
      </c>
      <c r="L381" s="38">
        <v>2</v>
      </c>
      <c r="M381" s="4">
        <f t="shared" si="1718"/>
        <v>133.35</v>
      </c>
      <c r="N381" s="7">
        <f t="shared" si="1569"/>
        <v>4.6599999999999993</v>
      </c>
      <c r="O381" s="7">
        <f t="shared" si="1570"/>
        <v>4.6599999999999993</v>
      </c>
      <c r="P381" s="38">
        <v>13.1</v>
      </c>
      <c r="Q381" s="4">
        <f t="shared" ref="Q381:Q444" si="1736">P381</f>
        <v>13.1</v>
      </c>
      <c r="R381" s="4">
        <f t="shared" si="1571"/>
        <v>14.1</v>
      </c>
      <c r="S381" s="7">
        <f t="shared" si="1572"/>
        <v>59.610572153771514</v>
      </c>
      <c r="V381" s="38">
        <f t="shared" si="1395"/>
        <v>642.75862068965523</v>
      </c>
      <c r="W381" s="4">
        <v>93.2</v>
      </c>
      <c r="X381" s="4">
        <f t="shared" si="1573"/>
        <v>1.0481130483497585</v>
      </c>
      <c r="Y381" s="38">
        <f t="shared" ref="Y381:Y383" si="1737">0.375*25.4</f>
        <v>9.5249999999999986</v>
      </c>
      <c r="Z381" s="38">
        <v>4</v>
      </c>
      <c r="AA381" s="39">
        <f>3.5*25.4</f>
        <v>88.899999999999991</v>
      </c>
      <c r="AB381" s="39">
        <v>2</v>
      </c>
      <c r="AC381" s="39">
        <f t="shared" si="1728"/>
        <v>1</v>
      </c>
      <c r="AD381" s="7"/>
      <c r="AE381" s="4">
        <f t="shared" si="1576"/>
        <v>103.886</v>
      </c>
      <c r="AF381" s="4">
        <f t="shared" si="1577"/>
        <v>1.0676446617766908</v>
      </c>
      <c r="AG381" s="4">
        <f t="shared" si="1578"/>
        <v>154.05533015486256</v>
      </c>
      <c r="AH381" s="4">
        <f t="shared" si="1579"/>
        <v>0.84242053789731042</v>
      </c>
      <c r="AI381" s="4">
        <v>1.25</v>
      </c>
      <c r="AJ381" s="4">
        <f t="shared" si="1513"/>
        <v>2.5</v>
      </c>
      <c r="AK381" s="38">
        <f t="shared" si="1729"/>
        <v>432.99454987892017</v>
      </c>
      <c r="AL381" s="38">
        <f t="shared" si="1616"/>
        <v>432.99454987892017</v>
      </c>
      <c r="AM381" s="38">
        <f t="shared" si="1580"/>
        <v>3.0972241539071201</v>
      </c>
      <c r="AN381" s="38">
        <f t="shared" si="1521"/>
        <v>432.99454987892028</v>
      </c>
      <c r="AO381" s="38">
        <f t="shared" si="1484"/>
        <v>0.99999999999999978</v>
      </c>
      <c r="AP381" s="38">
        <f t="shared" si="1522"/>
        <v>2.5843194991058414</v>
      </c>
      <c r="AQ381" s="4">
        <f t="shared" si="1523"/>
        <v>0</v>
      </c>
      <c r="AR381" s="4" t="e">
        <f>#REF!/G381*F381^0.5/0.19</f>
        <v>#REF!</v>
      </c>
      <c r="AS381" s="4">
        <f t="shared" si="1581"/>
        <v>1</v>
      </c>
      <c r="AT381" s="38">
        <f t="shared" si="1582"/>
        <v>1118.9962582586504</v>
      </c>
      <c r="AU381" s="4">
        <f t="shared" si="1583"/>
        <v>0.3</v>
      </c>
      <c r="AV381" s="4" t="e">
        <f>AU381*D381*#REF!/(D381*G381/2.75/F381^0.5)</f>
        <v>#REF!</v>
      </c>
      <c r="AW381" s="4" t="e">
        <f t="shared" si="1431"/>
        <v>#REF!</v>
      </c>
      <c r="AY381" s="4">
        <f t="shared" si="1584"/>
        <v>1.5</v>
      </c>
      <c r="AZ381" s="4" t="e">
        <f>(3*#REF!+30)*AY381*F381^0.5</f>
        <v>#REF!</v>
      </c>
      <c r="BB381" s="4">
        <f t="shared" si="1585"/>
        <v>1073.2542559953574</v>
      </c>
      <c r="BC381" s="4">
        <f t="shared" si="1662"/>
        <v>0</v>
      </c>
      <c r="BD381" s="4">
        <f t="shared" si="1432"/>
        <v>0</v>
      </c>
      <c r="BL381" s="4">
        <f t="shared" si="1586"/>
        <v>66.039999999999992</v>
      </c>
      <c r="BP381" s="9"/>
      <c r="BR381" s="9"/>
      <c r="BS381" s="9"/>
      <c r="BT381" s="9">
        <f t="shared" si="1587"/>
        <v>66.039999999999992</v>
      </c>
      <c r="BU381" s="9">
        <f t="shared" si="1588"/>
        <v>84.454999999999984</v>
      </c>
      <c r="BV381" s="9">
        <f t="shared" si="1589"/>
        <v>2.116261887080392</v>
      </c>
      <c r="BW381" s="40">
        <f t="shared" ref="BW381:BW444" si="1738">IF(AA381&gt;1,20,0)</f>
        <v>20</v>
      </c>
      <c r="BX381" s="9">
        <f t="shared" si="1590"/>
        <v>0.05</v>
      </c>
      <c r="BY381" s="9">
        <f t="shared" si="1433"/>
        <v>0.8</v>
      </c>
      <c r="BZ381" s="9">
        <f t="shared" si="1591"/>
        <v>1</v>
      </c>
      <c r="CA381" s="9">
        <f t="shared" si="1592"/>
        <v>0.68</v>
      </c>
      <c r="CB381" s="9">
        <f t="shared" si="1593"/>
        <v>1.3707728502186465</v>
      </c>
      <c r="CC381" s="9">
        <f t="shared" si="1594"/>
        <v>3.4269321255466161</v>
      </c>
      <c r="CD381" s="40">
        <v>1</v>
      </c>
      <c r="CE381" s="9" t="e">
        <f>4*CC381*#REF!+60*CC381</f>
        <v>#REF!</v>
      </c>
      <c r="CG381" s="4" t="e">
        <f t="shared" si="1434"/>
        <v>#REF!</v>
      </c>
      <c r="CH381" s="4" t="e">
        <f t="shared" si="1435"/>
        <v>#REF!</v>
      </c>
      <c r="CI381" s="4" t="e">
        <f t="shared" si="1436"/>
        <v>#REF!</v>
      </c>
      <c r="CJ381" s="4" t="e">
        <f t="shared" si="1437"/>
        <v>#REF!</v>
      </c>
      <c r="CK381" s="4">
        <f t="shared" si="1438"/>
        <v>1.0481130483497585</v>
      </c>
      <c r="CL381" s="4">
        <f t="shared" si="1439"/>
        <v>1.0414859751276166</v>
      </c>
      <c r="CM381" s="4">
        <f t="shared" si="1699"/>
        <v>1.5042537753350267</v>
      </c>
      <c r="CN381" s="4">
        <f t="shared" ref="CN381:CN444" si="1739">Z381</f>
        <v>4</v>
      </c>
      <c r="CU381" s="4" t="e">
        <f t="shared" si="1730"/>
        <v>#REF!</v>
      </c>
      <c r="CV381" s="4" t="e">
        <f t="shared" si="1731"/>
        <v>#REF!</v>
      </c>
      <c r="CW381" s="4" t="e">
        <f t="shared" si="1732"/>
        <v>#REF!</v>
      </c>
      <c r="CX381" s="4">
        <f t="shared" si="1733"/>
        <v>1.5042537753350267</v>
      </c>
      <c r="CY381" s="4">
        <f t="shared" si="1734"/>
        <v>1.0481130483497585</v>
      </c>
      <c r="CZ381" s="4">
        <f t="shared" si="1735"/>
        <v>1.0414859751276166</v>
      </c>
      <c r="DC381" s="4" t="e">
        <f>#REF!</f>
        <v>#REF!</v>
      </c>
      <c r="DF381" s="4">
        <f t="shared" si="1601"/>
        <v>1.1949692102757226E-5</v>
      </c>
      <c r="DG381" s="4">
        <f t="shared" si="1446"/>
        <v>9.7201649178311715</v>
      </c>
      <c r="DH381" s="4">
        <f t="shared" si="1602"/>
        <v>0.23111292126149946</v>
      </c>
      <c r="DI381" s="4">
        <f t="shared" si="1447"/>
        <v>5.4100754798522344</v>
      </c>
      <c r="DJ381" s="4">
        <f t="shared" si="1448"/>
        <v>7.8683545195642743</v>
      </c>
      <c r="DK381" s="4">
        <f t="shared" si="1603"/>
        <v>9.5828812997624286</v>
      </c>
      <c r="DL381" s="38">
        <f t="shared" si="1604"/>
        <v>613.25314258960043</v>
      </c>
      <c r="DM381" s="4" t="e">
        <f t="shared" si="1449"/>
        <v>#REF!</v>
      </c>
      <c r="DN381" s="4">
        <f t="shared" si="1605"/>
        <v>3.7549966711037173</v>
      </c>
      <c r="DO381" s="4">
        <f t="shared" si="1697"/>
        <v>432.99454987892028</v>
      </c>
      <c r="DS381" s="4">
        <f t="shared" si="1606"/>
        <v>0.85</v>
      </c>
      <c r="DT381" s="4">
        <f t="shared" si="1607"/>
        <v>0.7</v>
      </c>
      <c r="DU381" s="4">
        <f t="shared" si="1608"/>
        <v>0.85899999999999999</v>
      </c>
      <c r="DV381" s="4">
        <f t="shared" si="1450"/>
        <v>0.7</v>
      </c>
      <c r="DX381" s="4">
        <f t="shared" si="1609"/>
        <v>617.1553300186265</v>
      </c>
      <c r="DY381" s="25">
        <f t="shared" si="1502"/>
        <v>426.32905235176491</v>
      </c>
      <c r="EA381" s="4">
        <f t="shared" si="1503"/>
        <v>0.59499999999999997</v>
      </c>
      <c r="EB381" s="4">
        <f t="shared" si="1610"/>
        <v>9.7201649178311715</v>
      </c>
      <c r="EE381" s="4">
        <f t="shared" si="1611"/>
        <v>59.610572153771514</v>
      </c>
      <c r="EF381" s="4">
        <f t="shared" si="1451"/>
        <v>3.7549966711037173</v>
      </c>
      <c r="EG381" s="4">
        <f t="shared" si="1612"/>
        <v>7.2786029567848812E-2</v>
      </c>
      <c r="EJ381" s="4">
        <f t="shared" si="1452"/>
        <v>7.2786029567848812E-2</v>
      </c>
      <c r="EK381" s="4">
        <f t="shared" si="1613"/>
        <v>0.23072723686950719</v>
      </c>
      <c r="EL381" s="4">
        <f t="shared" si="1453"/>
        <v>5.4064623071637818</v>
      </c>
      <c r="EM381" s="4">
        <f t="shared" si="1454"/>
        <v>7.8671211254314866</v>
      </c>
      <c r="EN381" s="4" t="e">
        <f t="shared" si="1455"/>
        <v>#REF!</v>
      </c>
      <c r="EO381" s="4" t="e">
        <f t="shared" si="1456"/>
        <v>#REF!</v>
      </c>
      <c r="EP381" s="4" t="e">
        <f t="shared" si="1614"/>
        <v>#REF!</v>
      </c>
      <c r="EQ381" s="4" t="e">
        <f t="shared" si="1457"/>
        <v>#REF!</v>
      </c>
      <c r="ER381" s="4" t="e">
        <f t="shared" si="1615"/>
        <v>#REF!</v>
      </c>
      <c r="FA381" s="23" t="e">
        <f t="shared" si="1383"/>
        <v>#REF!</v>
      </c>
      <c r="FB381" s="23" t="e">
        <f t="shared" si="1384"/>
        <v>#REF!</v>
      </c>
      <c r="FC381" s="23">
        <f t="shared" si="1706"/>
        <v>1.6</v>
      </c>
      <c r="FD381" s="23" t="e">
        <f t="shared" si="1385"/>
        <v>#REF!</v>
      </c>
      <c r="FE381" s="23">
        <f t="shared" si="1386"/>
        <v>1.2</v>
      </c>
      <c r="FF381" s="23">
        <f t="shared" si="1387"/>
        <v>1.2</v>
      </c>
      <c r="FG381" s="23">
        <f t="shared" si="1629"/>
        <v>0</v>
      </c>
      <c r="FH381" s="23"/>
      <c r="FR381" s="4">
        <f t="shared" si="1485"/>
        <v>1</v>
      </c>
      <c r="FS381" s="4">
        <f t="shared" si="1486"/>
        <v>0.46358941059918601</v>
      </c>
      <c r="FT381" s="4">
        <f t="shared" si="1487"/>
        <v>0.3</v>
      </c>
      <c r="FU381" s="4">
        <f t="shared" si="1488"/>
        <v>427.29400532599647</v>
      </c>
    </row>
    <row r="382" spans="2:177" ht="12" customHeight="1" x14ac:dyDescent="0.3">
      <c r="B382" s="24"/>
      <c r="C382" s="7" t="s">
        <v>525</v>
      </c>
      <c r="D382" s="38">
        <f t="shared" si="1724"/>
        <v>958.62068965517244</v>
      </c>
      <c r="E382" s="38">
        <f>4.16*25.4</f>
        <v>105.664</v>
      </c>
      <c r="F382" s="38">
        <f t="shared" si="1725"/>
        <v>33.172413793103445</v>
      </c>
      <c r="G382" s="38">
        <f t="shared" si="1726"/>
        <v>15.875</v>
      </c>
      <c r="H382" s="38">
        <f>13.1*25.4</f>
        <v>332.73999999999995</v>
      </c>
      <c r="I382" s="38">
        <f>2.55*25.4</f>
        <v>64.77</v>
      </c>
      <c r="J382" s="39">
        <f>5.1*25.4</f>
        <v>129.54</v>
      </c>
      <c r="K382" s="7">
        <f t="shared" si="1727"/>
        <v>171.44999999999996</v>
      </c>
      <c r="L382" s="38">
        <v>2</v>
      </c>
      <c r="M382" s="4">
        <f t="shared" si="1718"/>
        <v>133.35</v>
      </c>
      <c r="N382" s="7">
        <f t="shared" si="1569"/>
        <v>4.58</v>
      </c>
      <c r="O382" s="7">
        <f t="shared" si="1570"/>
        <v>4.58</v>
      </c>
      <c r="P382" s="38">
        <v>4</v>
      </c>
      <c r="Q382" s="4">
        <f t="shared" si="1736"/>
        <v>4</v>
      </c>
      <c r="R382" s="4">
        <f t="shared" si="1571"/>
        <v>5</v>
      </c>
      <c r="S382" s="7">
        <f t="shared" si="1572"/>
        <v>35.497579142809165</v>
      </c>
      <c r="V382" s="38">
        <f t="shared" si="1395"/>
        <v>589.65517241379314</v>
      </c>
      <c r="W382" s="4">
        <v>85.5</v>
      </c>
      <c r="X382" s="4">
        <f t="shared" si="1573"/>
        <v>0.90063459723224326</v>
      </c>
      <c r="Y382" s="38">
        <f t="shared" si="1737"/>
        <v>9.5249999999999986</v>
      </c>
      <c r="Z382" s="38">
        <v>10</v>
      </c>
      <c r="AA382" s="39">
        <f>1.75*25.4</f>
        <v>44.449999999999996</v>
      </c>
      <c r="AB382" s="39">
        <v>3</v>
      </c>
      <c r="AC382" s="39">
        <f t="shared" si="1728"/>
        <v>2</v>
      </c>
      <c r="AD382" s="7"/>
      <c r="AE382" s="4">
        <f t="shared" si="1576"/>
        <v>105.664</v>
      </c>
      <c r="AF382" s="4">
        <f t="shared" si="1577"/>
        <v>1.049679487179487</v>
      </c>
      <c r="AG382" s="4">
        <f t="shared" si="1578"/>
        <v>158.02717010503781</v>
      </c>
      <c r="AH382" s="4">
        <f t="shared" si="1579"/>
        <v>0.83762019230769225</v>
      </c>
      <c r="AI382" s="4">
        <v>1.25</v>
      </c>
      <c r="AJ382" s="4">
        <f t="shared" si="1513"/>
        <v>2.5</v>
      </c>
      <c r="AK382" s="38">
        <f t="shared" si="1729"/>
        <v>434.19581501232227</v>
      </c>
      <c r="AL382" s="38">
        <f t="shared" si="1616"/>
        <v>434.19581501232227</v>
      </c>
      <c r="AM382" s="38">
        <f t="shared" si="1580"/>
        <v>3.0972241539071201</v>
      </c>
      <c r="AN382" s="38">
        <f t="shared" si="1521"/>
        <v>434.1958150123221</v>
      </c>
      <c r="AO382" s="38">
        <f t="shared" si="1484"/>
        <v>1.0000000000000004</v>
      </c>
      <c r="AP382" s="38">
        <f t="shared" si="1522"/>
        <v>1.3996418198374589</v>
      </c>
      <c r="AQ382" s="4">
        <f t="shared" si="1523"/>
        <v>0</v>
      </c>
      <c r="AR382" s="4" t="e">
        <f>#REF!/G382*F382^0.5/0.19</f>
        <v>#REF!</v>
      </c>
      <c r="AS382" s="4">
        <f t="shared" si="1581"/>
        <v>1</v>
      </c>
      <c r="AT382" s="38">
        <f t="shared" si="1582"/>
        <v>607.71862068965515</v>
      </c>
      <c r="AU382" s="4">
        <f t="shared" si="1583"/>
        <v>0.44000000000000006</v>
      </c>
      <c r="AV382" s="4" t="e">
        <f>AU382*D382*#REF!/(D382*G382/2.75/F382^0.5)</f>
        <v>#REF!</v>
      </c>
      <c r="AW382" s="4" t="e">
        <f t="shared" si="1431"/>
        <v>#REF!</v>
      </c>
      <c r="AY382" s="4">
        <f t="shared" si="1584"/>
        <v>1.5</v>
      </c>
      <c r="AZ382" s="4" t="e">
        <f>(3*#REF!+30)*AY382*F382^0.5</f>
        <v>#REF!</v>
      </c>
      <c r="BB382" s="4">
        <f t="shared" si="1585"/>
        <v>582.87647638589272</v>
      </c>
      <c r="BC382" s="4">
        <f t="shared" si="1662"/>
        <v>0</v>
      </c>
      <c r="BD382" s="4">
        <f t="shared" si="1432"/>
        <v>0</v>
      </c>
      <c r="BL382" s="4">
        <f t="shared" si="1586"/>
        <v>64.77</v>
      </c>
      <c r="BP382" s="9"/>
      <c r="BR382" s="9"/>
      <c r="BS382" s="9"/>
      <c r="BT382" s="9">
        <f t="shared" si="1587"/>
        <v>64.77</v>
      </c>
      <c r="BU382" s="9">
        <f t="shared" si="1588"/>
        <v>85.72499999999998</v>
      </c>
      <c r="BV382" s="9">
        <f t="shared" si="1589"/>
        <v>2.1066390052415969</v>
      </c>
      <c r="BW382" s="40">
        <f t="shared" si="1738"/>
        <v>20</v>
      </c>
      <c r="BX382" s="9">
        <f t="shared" si="1590"/>
        <v>0.05</v>
      </c>
      <c r="BY382" s="9">
        <f t="shared" si="1433"/>
        <v>0.8</v>
      </c>
      <c r="BZ382" s="9">
        <f t="shared" si="1591"/>
        <v>1</v>
      </c>
      <c r="CA382" s="9">
        <f t="shared" si="1592"/>
        <v>0.68</v>
      </c>
      <c r="CB382" s="9">
        <f t="shared" si="1593"/>
        <v>1.3707728502186465</v>
      </c>
      <c r="CC382" s="9">
        <f t="shared" si="1594"/>
        <v>3.4269321255466161</v>
      </c>
      <c r="CD382" s="40">
        <v>1</v>
      </c>
      <c r="CE382" s="9" t="e">
        <f>4*CC382*#REF!+60*CC382</f>
        <v>#REF!</v>
      </c>
      <c r="CG382" s="4" t="e">
        <f t="shared" si="1434"/>
        <v>#REF!</v>
      </c>
      <c r="CH382" s="4" t="e">
        <f t="shared" si="1435"/>
        <v>#REF!</v>
      </c>
      <c r="CI382" s="4" t="e">
        <f t="shared" si="1436"/>
        <v>#REF!</v>
      </c>
      <c r="CJ382" s="4" t="e">
        <f t="shared" si="1437"/>
        <v>#REF!</v>
      </c>
      <c r="CK382" s="4">
        <f t="shared" si="1438"/>
        <v>0.90063459723224326</v>
      </c>
      <c r="CL382" s="4">
        <f t="shared" si="1439"/>
        <v>0.94846759987164653</v>
      </c>
      <c r="CM382" s="4">
        <f t="shared" si="1699"/>
        <v>1.356754559997581</v>
      </c>
      <c r="CN382" s="4">
        <f t="shared" si="1739"/>
        <v>10</v>
      </c>
      <c r="CU382" s="4" t="e">
        <f t="shared" si="1730"/>
        <v>#REF!</v>
      </c>
      <c r="CV382" s="4" t="e">
        <f t="shared" si="1731"/>
        <v>#REF!</v>
      </c>
      <c r="CW382" s="4" t="e">
        <f t="shared" si="1732"/>
        <v>#REF!</v>
      </c>
      <c r="CX382" s="4">
        <f t="shared" si="1733"/>
        <v>1.356754559997581</v>
      </c>
      <c r="CY382" s="4">
        <f t="shared" si="1734"/>
        <v>0.90063459723224326</v>
      </c>
      <c r="CZ382" s="4">
        <f t="shared" si="1735"/>
        <v>0.94846759987164653</v>
      </c>
      <c r="DC382" s="4" t="e">
        <f>#REF!</f>
        <v>#REF!</v>
      </c>
      <c r="DF382" s="4">
        <f t="shared" si="1601"/>
        <v>1.2154210060506127E-5</v>
      </c>
      <c r="DG382" s="4">
        <f t="shared" si="1446"/>
        <v>9.7201649178311715</v>
      </c>
      <c r="DH382" s="4">
        <f t="shared" si="1602"/>
        <v>0.45197475761769884</v>
      </c>
      <c r="DI382" s="4">
        <f t="shared" si="1447"/>
        <v>7.0748837090322549</v>
      </c>
      <c r="DJ382" s="4">
        <f t="shared" si="1448"/>
        <v>8.5012977555483715</v>
      </c>
      <c r="DK382" s="4">
        <f t="shared" si="1603"/>
        <v>9.5431608262948266</v>
      </c>
      <c r="DL382" s="38">
        <f t="shared" si="1604"/>
        <v>654.71077196664805</v>
      </c>
      <c r="DM382" s="4" t="e">
        <f t="shared" si="1449"/>
        <v>#REF!</v>
      </c>
      <c r="DN382" s="4">
        <f t="shared" si="1605"/>
        <v>2.2360679774997898</v>
      </c>
      <c r="DO382" s="4">
        <f t="shared" si="1697"/>
        <v>434.1958150123221</v>
      </c>
      <c r="DS382" s="4">
        <f t="shared" si="1606"/>
        <v>0.85</v>
      </c>
      <c r="DT382" s="4">
        <f t="shared" si="1607"/>
        <v>0.7</v>
      </c>
      <c r="DU382" s="4">
        <f t="shared" si="1608"/>
        <v>0.7</v>
      </c>
      <c r="DV382" s="4">
        <f t="shared" si="1450"/>
        <v>0.7</v>
      </c>
      <c r="DX382" s="4">
        <f t="shared" si="1609"/>
        <v>621.69247794399041</v>
      </c>
      <c r="DY382" s="25">
        <f t="shared" si="1502"/>
        <v>427.60022486473753</v>
      </c>
      <c r="EA382" s="4">
        <f t="shared" si="1503"/>
        <v>0.59499999999999997</v>
      </c>
      <c r="EB382" s="4">
        <f t="shared" si="1610"/>
        <v>9.7201649178311715</v>
      </c>
      <c r="EE382" s="4">
        <f t="shared" si="1611"/>
        <v>35.497579142809165</v>
      </c>
      <c r="EF382" s="4">
        <f t="shared" si="1451"/>
        <v>2.2360679774997898</v>
      </c>
      <c r="EG382" s="4">
        <f t="shared" si="1612"/>
        <v>0.14234361234463544</v>
      </c>
      <c r="EJ382" s="4">
        <f t="shared" si="1452"/>
        <v>0.14234361234463544</v>
      </c>
      <c r="EK382" s="4">
        <f t="shared" si="1613"/>
        <v>0.45122049598387881</v>
      </c>
      <c r="EL382" s="4">
        <f t="shared" si="1453"/>
        <v>7.0701586776188012</v>
      </c>
      <c r="EM382" s="4">
        <f t="shared" si="1454"/>
        <v>8.4993339958986827</v>
      </c>
      <c r="EN382" s="4" t="e">
        <f t="shared" si="1455"/>
        <v>#REF!</v>
      </c>
      <c r="EO382" s="4" t="e">
        <f t="shared" si="1456"/>
        <v>#REF!</v>
      </c>
      <c r="EP382" s="4" t="e">
        <f t="shared" si="1614"/>
        <v>#REF!</v>
      </c>
      <c r="EQ382" s="4" t="e">
        <f t="shared" si="1457"/>
        <v>#REF!</v>
      </c>
      <c r="ER382" s="4" t="e">
        <f t="shared" si="1615"/>
        <v>#REF!</v>
      </c>
      <c r="FA382" s="23" t="e">
        <f t="shared" si="1383"/>
        <v>#REF!</v>
      </c>
      <c r="FB382" s="23" t="e">
        <f t="shared" si="1384"/>
        <v>#REF!</v>
      </c>
      <c r="FC382" s="23">
        <f t="shared" si="1706"/>
        <v>1.4</v>
      </c>
      <c r="FD382" s="23" t="e">
        <f t="shared" si="1385"/>
        <v>#REF!</v>
      </c>
      <c r="FE382" s="23">
        <f t="shared" si="1386"/>
        <v>1</v>
      </c>
      <c r="FF382" s="23">
        <f t="shared" si="1387"/>
        <v>1</v>
      </c>
      <c r="FG382" s="23">
        <f t="shared" si="1629"/>
        <v>0</v>
      </c>
      <c r="FH382" s="23"/>
      <c r="FR382" s="4">
        <f t="shared" si="1485"/>
        <v>1</v>
      </c>
      <c r="FS382" s="4">
        <f t="shared" si="1486"/>
        <v>0.46358941059918601</v>
      </c>
      <c r="FT382" s="4">
        <f t="shared" si="1487"/>
        <v>0.3</v>
      </c>
      <c r="FU382" s="4">
        <f t="shared" si="1488"/>
        <v>434.60710566164926</v>
      </c>
    </row>
    <row r="383" spans="2:177" ht="12" customHeight="1" x14ac:dyDescent="0.3">
      <c r="B383" s="24"/>
      <c r="C383" s="7" t="s">
        <v>526</v>
      </c>
      <c r="D383" s="38">
        <f t="shared" si="1724"/>
        <v>958.62068965517244</v>
      </c>
      <c r="E383" s="38">
        <f>4.19*25.4</f>
        <v>106.426</v>
      </c>
      <c r="F383" s="38">
        <f>4690/145</f>
        <v>32.344827586206897</v>
      </c>
      <c r="G383" s="38">
        <f t="shared" si="1726"/>
        <v>15.875</v>
      </c>
      <c r="H383" s="38">
        <f>13*25.4</f>
        <v>330.2</v>
      </c>
      <c r="I383" s="38">
        <f>2.5*25.4</f>
        <v>63.5</v>
      </c>
      <c r="J383" s="39">
        <f>5.05*25.4</f>
        <v>128.26999999999998</v>
      </c>
      <c r="K383" s="7">
        <f t="shared" si="1727"/>
        <v>171.45</v>
      </c>
      <c r="L383" s="38">
        <v>2</v>
      </c>
      <c r="M383" s="4">
        <f t="shared" si="1718"/>
        <v>133.35</v>
      </c>
      <c r="N383" s="7">
        <f t="shared" si="1569"/>
        <v>4.5</v>
      </c>
      <c r="O383" s="7">
        <f t="shared" si="1570"/>
        <v>4.5</v>
      </c>
      <c r="P383" s="38">
        <v>13.1</v>
      </c>
      <c r="Q383" s="4">
        <f t="shared" si="1736"/>
        <v>13.1</v>
      </c>
      <c r="R383" s="4">
        <f t="shared" si="1571"/>
        <v>14.1</v>
      </c>
      <c r="S383" s="7">
        <f t="shared" si="1572"/>
        <v>59.610572153771514</v>
      </c>
      <c r="V383" s="38">
        <f t="shared" si="1395"/>
        <v>782.75862068965523</v>
      </c>
      <c r="W383" s="4">
        <v>113.5</v>
      </c>
      <c r="X383" s="4">
        <f t="shared" si="1573"/>
        <v>1.2858428339267387</v>
      </c>
      <c r="Y383" s="38">
        <f t="shared" si="1737"/>
        <v>9.5249999999999986</v>
      </c>
      <c r="Z383" s="38">
        <v>10</v>
      </c>
      <c r="AA383" s="39">
        <f>1.75*25.4</f>
        <v>44.449999999999996</v>
      </c>
      <c r="AB383" s="39">
        <v>3</v>
      </c>
      <c r="AC383" s="39">
        <f t="shared" si="1728"/>
        <v>2</v>
      </c>
      <c r="AD383" s="7"/>
      <c r="AE383" s="4">
        <f t="shared" si="1576"/>
        <v>106.426</v>
      </c>
      <c r="AF383" s="4">
        <f t="shared" si="1577"/>
        <v>1.0342084327764518</v>
      </c>
      <c r="AG383" s="4">
        <f t="shared" si="1578"/>
        <v>157.73449680371363</v>
      </c>
      <c r="AH383" s="4">
        <f t="shared" si="1579"/>
        <v>0.83424821002386629</v>
      </c>
      <c r="AI383" s="4">
        <v>1.25</v>
      </c>
      <c r="AJ383" s="4">
        <f t="shared" si="1513"/>
        <v>2.5</v>
      </c>
      <c r="AK383" s="38">
        <f t="shared" si="1729"/>
        <v>425.2849992610565</v>
      </c>
      <c r="AL383" s="38">
        <f t="shared" si="1616"/>
        <v>425.2849992610565</v>
      </c>
      <c r="AM383" s="38">
        <f t="shared" si="1580"/>
        <v>3.0454944685430494</v>
      </c>
      <c r="AN383" s="38">
        <f t="shared" si="1521"/>
        <v>425.28499926105661</v>
      </c>
      <c r="AO383" s="38">
        <f t="shared" si="1484"/>
        <v>0.99999999999999978</v>
      </c>
      <c r="AP383" s="38">
        <f t="shared" si="1522"/>
        <v>2.4774387905489403</v>
      </c>
      <c r="AQ383" s="4">
        <f t="shared" si="1523"/>
        <v>0</v>
      </c>
      <c r="AR383" s="4" t="e">
        <f>#REF!/G383*F383^0.5/0.19</f>
        <v>#REF!</v>
      </c>
      <c r="AS383" s="4">
        <f t="shared" si="1581"/>
        <v>1</v>
      </c>
      <c r="AT383" s="38">
        <f t="shared" si="1582"/>
        <v>1053.6175542079191</v>
      </c>
      <c r="AU383" s="4">
        <f t="shared" si="1583"/>
        <v>0.3</v>
      </c>
      <c r="AV383" s="4" t="e">
        <f>AU383*D383*#REF!/(D383*G383/2.75/F383^0.5)</f>
        <v>#REF!</v>
      </c>
      <c r="AW383" s="4" t="e">
        <f t="shared" si="1431"/>
        <v>#REF!</v>
      </c>
      <c r="AY383" s="4">
        <f t="shared" si="1584"/>
        <v>1.5</v>
      </c>
      <c r="AZ383" s="4" t="e">
        <f>(3*#REF!+30)*AY383*F383^0.5</f>
        <v>#REF!</v>
      </c>
      <c r="BB383" s="4">
        <f t="shared" si="1585"/>
        <v>1010.5480835161915</v>
      </c>
      <c r="BC383" s="4">
        <f t="shared" si="1662"/>
        <v>0</v>
      </c>
      <c r="BD383" s="4">
        <f t="shared" si="1432"/>
        <v>0</v>
      </c>
      <c r="BL383" s="4">
        <f t="shared" si="1586"/>
        <v>63.5</v>
      </c>
      <c r="BP383" s="9"/>
      <c r="BR383" s="9"/>
      <c r="BS383" s="9"/>
      <c r="BT383" s="9">
        <f t="shared" si="1587"/>
        <v>63.5</v>
      </c>
      <c r="BU383" s="9">
        <f t="shared" si="1588"/>
        <v>85.724999999999994</v>
      </c>
      <c r="BV383" s="9">
        <f t="shared" si="1589"/>
        <v>2.0920885420600022</v>
      </c>
      <c r="BW383" s="40">
        <f t="shared" si="1738"/>
        <v>20</v>
      </c>
      <c r="BX383" s="9">
        <f t="shared" si="1590"/>
        <v>0.05</v>
      </c>
      <c r="BY383" s="9">
        <f t="shared" si="1433"/>
        <v>0.8</v>
      </c>
      <c r="BZ383" s="9">
        <f t="shared" si="1591"/>
        <v>1</v>
      </c>
      <c r="CA383" s="9">
        <f t="shared" si="1592"/>
        <v>0.68</v>
      </c>
      <c r="CB383" s="9">
        <f t="shared" si="1593"/>
        <v>1.3535658143559566</v>
      </c>
      <c r="CC383" s="9">
        <f t="shared" si="1594"/>
        <v>3.3839145358898914</v>
      </c>
      <c r="CD383" s="40">
        <v>1</v>
      </c>
      <c r="CE383" s="9" t="e">
        <f>4*CC383*#REF!+60*CC383</f>
        <v>#REF!</v>
      </c>
      <c r="CG383" s="4" t="e">
        <f t="shared" si="1434"/>
        <v>#REF!</v>
      </c>
      <c r="CH383" s="4" t="e">
        <f t="shared" si="1435"/>
        <v>#REF!</v>
      </c>
      <c r="CI383" s="4" t="e">
        <f t="shared" si="1436"/>
        <v>#REF!</v>
      </c>
      <c r="CJ383" s="4" t="e">
        <f t="shared" si="1437"/>
        <v>#REF!</v>
      </c>
      <c r="CK383" s="4">
        <f t="shared" si="1438"/>
        <v>1.2858428339267387</v>
      </c>
      <c r="CL383" s="4">
        <f t="shared" si="1439"/>
        <v>1.2792539211145848</v>
      </c>
      <c r="CM383" s="4">
        <f t="shared" si="1699"/>
        <v>1.799506429845696</v>
      </c>
      <c r="CN383" s="4">
        <f t="shared" si="1739"/>
        <v>10</v>
      </c>
      <c r="CU383" s="4" t="e">
        <f t="shared" si="1730"/>
        <v>#REF!</v>
      </c>
      <c r="CV383" s="4" t="e">
        <f t="shared" si="1731"/>
        <v>#REF!</v>
      </c>
      <c r="CW383" s="4" t="e">
        <f t="shared" si="1732"/>
        <v>#REF!</v>
      </c>
      <c r="CX383" s="4">
        <f t="shared" si="1733"/>
        <v>1.799506429845696</v>
      </c>
      <c r="CY383" s="4">
        <f t="shared" si="1734"/>
        <v>1.2858428339267387</v>
      </c>
      <c r="CZ383" s="4">
        <f t="shared" si="1735"/>
        <v>1.2792539211145848</v>
      </c>
      <c r="DC383" s="4" t="e">
        <f>#REF!</f>
        <v>#REF!</v>
      </c>
      <c r="DF383" s="4">
        <f t="shared" si="1601"/>
        <v>1.2171450429620639E-5</v>
      </c>
      <c r="DG383" s="4">
        <f t="shared" si="1446"/>
        <v>9.5981496427943913</v>
      </c>
      <c r="DH383" s="4">
        <f t="shared" si="1602"/>
        <v>0.23280596049007915</v>
      </c>
      <c r="DI383" s="4">
        <f t="shared" si="1447"/>
        <v>5.3577834299564575</v>
      </c>
      <c r="DJ383" s="4">
        <f t="shared" si="1448"/>
        <v>7.7749242184825027</v>
      </c>
      <c r="DK383" s="4">
        <f t="shared" si="1603"/>
        <v>9.4574200035520022</v>
      </c>
      <c r="DL383" s="38">
        <f t="shared" si="1604"/>
        <v>608.75139638897201</v>
      </c>
      <c r="DM383" s="4" t="e">
        <f t="shared" si="1449"/>
        <v>#REF!</v>
      </c>
      <c r="DN383" s="4">
        <f t="shared" si="1605"/>
        <v>3.7549966711037173</v>
      </c>
      <c r="DO383" s="4">
        <f t="shared" si="1697"/>
        <v>425.28499926105661</v>
      </c>
      <c r="DS383" s="4">
        <f t="shared" si="1606"/>
        <v>0.85</v>
      </c>
      <c r="DT383" s="4">
        <f t="shared" si="1607"/>
        <v>0.7</v>
      </c>
      <c r="DU383" s="4">
        <f t="shared" si="1608"/>
        <v>0.7</v>
      </c>
      <c r="DV383" s="4">
        <f t="shared" si="1450"/>
        <v>0.7</v>
      </c>
      <c r="DX383" s="4">
        <f t="shared" si="1609"/>
        <v>611.88682541434423</v>
      </c>
      <c r="DY383" s="25">
        <f t="shared" si="1502"/>
        <v>418.84883979846347</v>
      </c>
      <c r="EA383" s="4">
        <f t="shared" si="1503"/>
        <v>0.59499999999999997</v>
      </c>
      <c r="EB383" s="4">
        <f t="shared" si="1610"/>
        <v>9.5981496427943913</v>
      </c>
      <c r="EE383" s="4">
        <f t="shared" si="1611"/>
        <v>59.610572153771514</v>
      </c>
      <c r="EF383" s="4">
        <f t="shared" si="1451"/>
        <v>3.7549966711037173</v>
      </c>
      <c r="EG383" s="4">
        <f t="shared" si="1612"/>
        <v>7.2398868854731249E-2</v>
      </c>
      <c r="EJ383" s="4">
        <f t="shared" si="1452"/>
        <v>7.2398868854731249E-2</v>
      </c>
      <c r="EK383" s="4">
        <f t="shared" si="1613"/>
        <v>0.23241745073115397</v>
      </c>
      <c r="EL383" s="4">
        <f t="shared" si="1453"/>
        <v>5.3542051810333406</v>
      </c>
      <c r="EM383" s="4">
        <f t="shared" si="1454"/>
        <v>7.7736998840286358</v>
      </c>
      <c r="EN383" s="4" t="e">
        <f t="shared" si="1455"/>
        <v>#REF!</v>
      </c>
      <c r="EO383" s="4" t="e">
        <f t="shared" si="1456"/>
        <v>#REF!</v>
      </c>
      <c r="EP383" s="4" t="e">
        <f t="shared" si="1614"/>
        <v>#REF!</v>
      </c>
      <c r="EQ383" s="4" t="e">
        <f t="shared" si="1457"/>
        <v>#REF!</v>
      </c>
      <c r="ER383" s="4" t="e">
        <f t="shared" si="1615"/>
        <v>#REF!</v>
      </c>
      <c r="FA383" s="23" t="e">
        <f t="shared" si="1383"/>
        <v>#REF!</v>
      </c>
      <c r="FB383" s="23" t="e">
        <f t="shared" si="1384"/>
        <v>#REF!</v>
      </c>
      <c r="FC383" s="23">
        <f t="shared" si="1706"/>
        <v>1.8</v>
      </c>
      <c r="FD383" s="23" t="e">
        <f t="shared" si="1385"/>
        <v>#REF!</v>
      </c>
      <c r="FE383" s="23">
        <f t="shared" si="1386"/>
        <v>1.4</v>
      </c>
      <c r="FF383" s="23">
        <f t="shared" si="1387"/>
        <v>1.4</v>
      </c>
      <c r="FG383" s="23">
        <f t="shared" si="1629"/>
        <v>0</v>
      </c>
      <c r="FH383" s="23"/>
      <c r="FR383" s="4">
        <f t="shared" si="1485"/>
        <v>1</v>
      </c>
      <c r="FS383" s="4">
        <f t="shared" si="1486"/>
        <v>0.46358941059918601</v>
      </c>
      <c r="FT383" s="4">
        <f t="shared" si="1487"/>
        <v>0.3</v>
      </c>
      <c r="FU383" s="4">
        <f t="shared" si="1488"/>
        <v>434.98517577221173</v>
      </c>
    </row>
    <row r="384" spans="2:177" ht="12" customHeight="1" x14ac:dyDescent="0.3">
      <c r="B384" s="24"/>
      <c r="C384" s="7" t="s">
        <v>527</v>
      </c>
      <c r="D384" s="38">
        <f t="shared" si="1724"/>
        <v>958.62068965517244</v>
      </c>
      <c r="E384" s="38">
        <f>6*25.4</f>
        <v>152.39999999999998</v>
      </c>
      <c r="F384" s="38">
        <f t="shared" ref="F384:F388" si="1740">4690/145</f>
        <v>32.344827586206897</v>
      </c>
      <c r="G384" s="38">
        <f t="shared" si="1726"/>
        <v>15.875</v>
      </c>
      <c r="H384" s="38">
        <f>13.1*25.4</f>
        <v>332.73999999999995</v>
      </c>
      <c r="I384" s="38">
        <f>2.55*25.4</f>
        <v>64.77</v>
      </c>
      <c r="J384" s="39">
        <f>3.3*25.4</f>
        <v>83.82</v>
      </c>
      <c r="K384" s="7">
        <f t="shared" si="1727"/>
        <v>171.44999999999996</v>
      </c>
      <c r="L384" s="38">
        <v>2</v>
      </c>
      <c r="M384" s="4">
        <f t="shared" si="1718"/>
        <v>133.35</v>
      </c>
      <c r="N384" s="7">
        <f t="shared" si="1569"/>
        <v>4.58</v>
      </c>
      <c r="O384" s="7">
        <f t="shared" si="1570"/>
        <v>4.58</v>
      </c>
      <c r="P384" s="38">
        <v>4</v>
      </c>
      <c r="Q384" s="4">
        <f t="shared" si="1736"/>
        <v>4</v>
      </c>
      <c r="R384" s="4">
        <f t="shared" si="1571"/>
        <v>5</v>
      </c>
      <c r="S384" s="7">
        <f t="shared" si="1572"/>
        <v>35.497579142809165</v>
      </c>
      <c r="V384" s="38">
        <f t="shared" si="1395"/>
        <v>727.58620689655174</v>
      </c>
      <c r="W384" s="4">
        <v>105.5</v>
      </c>
      <c r="X384" s="4">
        <f t="shared" si="1573"/>
        <v>0.89396556017501727</v>
      </c>
      <c r="Y384" s="38"/>
      <c r="Z384" s="38"/>
      <c r="AA384" s="39">
        <v>1</v>
      </c>
      <c r="AB384" s="39"/>
      <c r="AC384" s="39"/>
      <c r="AD384" s="7"/>
      <c r="AE384" s="4">
        <f t="shared" si="1576"/>
        <v>152.39999999999998</v>
      </c>
      <c r="AF384" s="4">
        <f t="shared" si="1577"/>
        <v>0.72777777777777763</v>
      </c>
      <c r="AG384" s="4">
        <f t="shared" si="1578"/>
        <v>270.29158549016233</v>
      </c>
      <c r="AH384" s="4">
        <f t="shared" si="1579"/>
        <v>0.79541666666666666</v>
      </c>
      <c r="AI384" s="4">
        <v>1.25</v>
      </c>
      <c r="AJ384" s="4">
        <f t="shared" si="1513"/>
        <v>2.5</v>
      </c>
      <c r="AK384" s="38">
        <f t="shared" si="1729"/>
        <v>488.96303101703046</v>
      </c>
      <c r="AL384" s="38">
        <f t="shared" si="1616"/>
        <v>488.96303101703046</v>
      </c>
      <c r="AM384" s="38">
        <f t="shared" si="1580"/>
        <v>3.0454944685430494</v>
      </c>
      <c r="AN384" s="38">
        <f t="shared" si="1521"/>
        <v>488.96303101703029</v>
      </c>
      <c r="AO384" s="38">
        <f t="shared" si="1484"/>
        <v>1.0000000000000004</v>
      </c>
      <c r="AP384" s="38">
        <f t="shared" si="1522"/>
        <v>1.2118651182008726</v>
      </c>
      <c r="AQ384" s="4">
        <f t="shared" si="1523"/>
        <v>0</v>
      </c>
      <c r="AR384" s="4" t="e">
        <f>#REF!/G384*F384^0.5/0.19</f>
        <v>#REF!</v>
      </c>
      <c r="AS384" s="4">
        <f t="shared" si="1581"/>
        <v>1</v>
      </c>
      <c r="AT384" s="38">
        <f t="shared" si="1582"/>
        <v>592.55724137931031</v>
      </c>
      <c r="AU384" s="4">
        <f t="shared" si="1583"/>
        <v>0.44000000000000006</v>
      </c>
      <c r="AV384" s="4" t="e">
        <f>AU384*D384*#REF!/(D384*G384/2.75/F384^0.5)</f>
        <v>#REF!</v>
      </c>
      <c r="AW384" s="4" t="e">
        <f t="shared" si="1431"/>
        <v>#REF!</v>
      </c>
      <c r="AY384" s="4">
        <f t="shared" si="1584"/>
        <v>1.5</v>
      </c>
      <c r="AZ384" s="4" t="e">
        <f>(3*#REF!+30)*AY384*F384^0.5</f>
        <v>#REF!</v>
      </c>
      <c r="BB384" s="4">
        <f t="shared" si="1585"/>
        <v>568.33485951140074</v>
      </c>
      <c r="BC384" s="4">
        <f t="shared" si="1662"/>
        <v>0</v>
      </c>
      <c r="BD384" s="4">
        <f t="shared" si="1432"/>
        <v>0</v>
      </c>
      <c r="BL384" s="4">
        <f t="shared" si="1586"/>
        <v>64.77</v>
      </c>
      <c r="BP384" s="9"/>
      <c r="BR384" s="9"/>
      <c r="BS384" s="9"/>
      <c r="BT384" s="9">
        <f t="shared" si="1587"/>
        <v>64.77</v>
      </c>
      <c r="BU384" s="9">
        <f t="shared" si="1588"/>
        <v>85.72499999999998</v>
      </c>
      <c r="BV384" s="9">
        <f t="shared" si="1589"/>
        <v>2.1066390052415969</v>
      </c>
      <c r="BW384" s="40">
        <f t="shared" si="1738"/>
        <v>0</v>
      </c>
      <c r="BX384" s="9">
        <f t="shared" si="1590"/>
        <v>0</v>
      </c>
      <c r="BY384" s="9">
        <f t="shared" si="1433"/>
        <v>0</v>
      </c>
      <c r="BZ384" s="9">
        <f t="shared" si="1591"/>
        <v>1</v>
      </c>
      <c r="CA384" s="9">
        <f t="shared" si="1592"/>
        <v>0.68</v>
      </c>
      <c r="CB384" s="9">
        <f t="shared" si="1593"/>
        <v>1.3535658143559566</v>
      </c>
      <c r="CC384" s="9">
        <f t="shared" si="1594"/>
        <v>2.8514745406838644</v>
      </c>
      <c r="CD384" s="40">
        <v>1</v>
      </c>
      <c r="CE384" s="9" t="e">
        <f>4*CC384*#REF!+60*CC384</f>
        <v>#REF!</v>
      </c>
      <c r="CG384" s="4" t="e">
        <f t="shared" si="1434"/>
        <v>#REF!</v>
      </c>
      <c r="CH384" s="4" t="e">
        <f t="shared" si="1435"/>
        <v>#REF!</v>
      </c>
      <c r="CI384" s="4" t="e">
        <f t="shared" si="1436"/>
        <v>#REF!</v>
      </c>
      <c r="CJ384" s="4" t="e">
        <f t="shared" si="1437"/>
        <v>#REF!</v>
      </c>
      <c r="CK384" s="4">
        <f t="shared" si="1438"/>
        <v>0.89396556017501727</v>
      </c>
      <c r="CL384" s="4">
        <f t="shared" si="1439"/>
        <v>0.95692750390543657</v>
      </c>
      <c r="CM384" s="4">
        <f t="shared" si="1699"/>
        <v>1.2598222395057197</v>
      </c>
      <c r="CN384" s="4">
        <f t="shared" si="1739"/>
        <v>0</v>
      </c>
      <c r="CO384" s="4" t="e">
        <f t="shared" ref="CO384:CO385" si="1741">CG384</f>
        <v>#REF!</v>
      </c>
      <c r="CP384" s="4" t="e">
        <f t="shared" ref="CP384:CP385" si="1742">CH384</f>
        <v>#REF!</v>
      </c>
      <c r="CQ384" s="4" t="e">
        <f t="shared" ref="CQ384:CQ385" si="1743">CJ384</f>
        <v>#REF!</v>
      </c>
      <c r="CR384" s="4">
        <f t="shared" ref="CR384:CR385" si="1744">CM384</f>
        <v>1.2598222395057197</v>
      </c>
      <c r="CS384" s="4">
        <f t="shared" ref="CS384:CS385" si="1745">CK384</f>
        <v>0.89396556017501727</v>
      </c>
      <c r="CT384" s="4">
        <f t="shared" ref="CT384:CT385" si="1746">CL384</f>
        <v>0.95692750390543657</v>
      </c>
      <c r="DC384" s="4" t="e">
        <f>#REF!</f>
        <v>#REF!</v>
      </c>
      <c r="DF384" s="4">
        <f t="shared" si="1601"/>
        <v>1.7429284624755085E-5</v>
      </c>
      <c r="DG384" s="4">
        <f t="shared" si="1446"/>
        <v>9.5981496427943913</v>
      </c>
      <c r="DH384" s="4">
        <f t="shared" si="1602"/>
        <v>0.52200757557226207</v>
      </c>
      <c r="DI384" s="4">
        <f t="shared" si="1447"/>
        <v>7.4004518777607604</v>
      </c>
      <c r="DJ384" s="4">
        <f t="shared" si="1448"/>
        <v>8.570156296053419</v>
      </c>
      <c r="DK384" s="4">
        <f t="shared" si="1603"/>
        <v>9.2254992877311519</v>
      </c>
      <c r="DL384" s="38">
        <f t="shared" si="1604"/>
        <v>813.88617113405087</v>
      </c>
      <c r="DM384" s="4" t="e">
        <f t="shared" si="1449"/>
        <v>#REF!</v>
      </c>
      <c r="DN384" s="4">
        <f t="shared" si="1605"/>
        <v>2.2360679774997898</v>
      </c>
      <c r="DO384" s="4">
        <f t="shared" si="1697"/>
        <v>488.96303101703029</v>
      </c>
      <c r="DS384" s="4">
        <f t="shared" si="1606"/>
        <v>0.85</v>
      </c>
      <c r="DT384" s="4">
        <f t="shared" si="1607"/>
        <v>0.7</v>
      </c>
      <c r="DU384" s="4">
        <f t="shared" si="1608"/>
        <v>1</v>
      </c>
      <c r="DV384" s="4">
        <f t="shared" si="1450"/>
        <v>0.7</v>
      </c>
      <c r="DX384" s="4">
        <f t="shared" si="1609"/>
        <v>760.3357662175124</v>
      </c>
      <c r="DY384" s="25">
        <f t="shared" si="1502"/>
        <v>483.90905650503407</v>
      </c>
      <c r="EA384" s="4">
        <f t="shared" si="1503"/>
        <v>0.59499999999999997</v>
      </c>
      <c r="EB384" s="4">
        <f t="shared" si="1610"/>
        <v>9.5981496427943913</v>
      </c>
      <c r="EE384" s="4">
        <f t="shared" si="1611"/>
        <v>35.497579142809165</v>
      </c>
      <c r="EF384" s="4">
        <f t="shared" si="1451"/>
        <v>2.2360679774997898</v>
      </c>
      <c r="EG384" s="4">
        <f t="shared" si="1612"/>
        <v>0.16233586943167169</v>
      </c>
      <c r="EJ384" s="4">
        <f t="shared" si="1452"/>
        <v>0.16233586943167169</v>
      </c>
      <c r="EK384" s="4">
        <f t="shared" si="1613"/>
        <v>0.52113644221761857</v>
      </c>
      <c r="EL384" s="4">
        <f t="shared" si="1453"/>
        <v>7.3955094124094876</v>
      </c>
      <c r="EM384" s="4">
        <f t="shared" si="1454"/>
        <v>8.5680239121396582</v>
      </c>
      <c r="EN384" s="4" t="e">
        <f t="shared" si="1455"/>
        <v>#REF!</v>
      </c>
      <c r="EO384" s="4" t="e">
        <f t="shared" si="1456"/>
        <v>#REF!</v>
      </c>
      <c r="EP384" s="4" t="e">
        <f t="shared" si="1614"/>
        <v>#REF!</v>
      </c>
      <c r="EQ384" s="4" t="e">
        <f t="shared" si="1457"/>
        <v>#REF!</v>
      </c>
      <c r="ER384" s="4" t="e">
        <f t="shared" si="1615"/>
        <v>#REF!</v>
      </c>
      <c r="FA384" s="23" t="e">
        <f t="shared" si="1383"/>
        <v>#REF!</v>
      </c>
      <c r="FB384" s="23" t="e">
        <f t="shared" si="1384"/>
        <v>#REF!</v>
      </c>
      <c r="FC384" s="23">
        <f t="shared" si="1706"/>
        <v>1.4</v>
      </c>
      <c r="FD384" s="23" t="e">
        <f t="shared" si="1385"/>
        <v>#REF!</v>
      </c>
      <c r="FE384" s="23">
        <f t="shared" si="1386"/>
        <v>1</v>
      </c>
      <c r="FF384" s="23">
        <f t="shared" si="1387"/>
        <v>1</v>
      </c>
      <c r="FG384" s="23">
        <f t="shared" si="1629"/>
        <v>0</v>
      </c>
      <c r="FH384" s="23"/>
      <c r="FR384" s="4">
        <f t="shared" si="1485"/>
        <v>1</v>
      </c>
      <c r="FS384" s="4">
        <f t="shared" si="1486"/>
        <v>0.5</v>
      </c>
      <c r="FT384" s="4">
        <f t="shared" si="1487"/>
        <v>0</v>
      </c>
      <c r="FU384" s="4">
        <f t="shared" si="1488"/>
        <v>577.53084846479123</v>
      </c>
    </row>
    <row r="385" spans="2:177" ht="12" customHeight="1" x14ac:dyDescent="0.3">
      <c r="B385" s="24"/>
      <c r="C385" s="7" t="s">
        <v>528</v>
      </c>
      <c r="D385" s="38">
        <f t="shared" si="1724"/>
        <v>958.62068965517244</v>
      </c>
      <c r="E385" s="38">
        <f>6.22*25.4</f>
        <v>157.98799999999997</v>
      </c>
      <c r="F385" s="38">
        <f t="shared" si="1740"/>
        <v>32.344827586206897</v>
      </c>
      <c r="G385" s="38">
        <f t="shared" si="1726"/>
        <v>15.875</v>
      </c>
      <c r="H385" s="38">
        <f>13.3*25.4</f>
        <v>337.82</v>
      </c>
      <c r="I385" s="38">
        <f>2.55*25.4</f>
        <v>64.77</v>
      </c>
      <c r="J385" s="39">
        <f>3*25.4</f>
        <v>76.199999999999989</v>
      </c>
      <c r="K385" s="7">
        <f t="shared" si="1727"/>
        <v>176.53</v>
      </c>
      <c r="L385" s="38">
        <v>2</v>
      </c>
      <c r="M385" s="4">
        <f t="shared" si="1718"/>
        <v>133.35</v>
      </c>
      <c r="N385" s="7">
        <f t="shared" si="1569"/>
        <v>4.58</v>
      </c>
      <c r="O385" s="7">
        <f t="shared" si="1570"/>
        <v>4.58</v>
      </c>
      <c r="P385" s="38">
        <v>13.1</v>
      </c>
      <c r="Q385" s="4">
        <f t="shared" si="1736"/>
        <v>13.1</v>
      </c>
      <c r="R385" s="4">
        <f t="shared" si="1571"/>
        <v>14.1</v>
      </c>
      <c r="S385" s="7">
        <f t="shared" si="1572"/>
        <v>59.610572153771514</v>
      </c>
      <c r="V385" s="38">
        <f t="shared" si="1395"/>
        <v>785.51724137931046</v>
      </c>
      <c r="W385" s="4">
        <v>113.9</v>
      </c>
      <c r="X385" s="4">
        <f t="shared" si="1573"/>
        <v>0.98338913792026705</v>
      </c>
      <c r="Y385" s="38"/>
      <c r="Z385" s="38"/>
      <c r="AA385" s="39">
        <v>1</v>
      </c>
      <c r="AB385" s="39"/>
      <c r="AC385" s="39"/>
      <c r="AD385" s="7"/>
      <c r="AE385" s="4">
        <f t="shared" si="1576"/>
        <v>157.98799999999997</v>
      </c>
      <c r="AF385" s="4">
        <f t="shared" si="1577"/>
        <v>0.71275455519828534</v>
      </c>
      <c r="AG385" s="4">
        <f t="shared" si="1578"/>
        <v>285.29307317151796</v>
      </c>
      <c r="AH385" s="4">
        <f t="shared" si="1579"/>
        <v>0.79204180064308682</v>
      </c>
      <c r="AI385" s="4">
        <v>1.25</v>
      </c>
      <c r="AJ385" s="4">
        <f t="shared" si="1513"/>
        <v>2.5</v>
      </c>
      <c r="AK385" s="38">
        <f t="shared" si="1729"/>
        <v>503.30280744753634</v>
      </c>
      <c r="AL385" s="38">
        <f t="shared" si="1616"/>
        <v>503.30280744753634</v>
      </c>
      <c r="AM385" s="38">
        <f t="shared" si="1580"/>
        <v>3.0454944685430494</v>
      </c>
      <c r="AN385" s="38">
        <f t="shared" si="1521"/>
        <v>503.30280744753645</v>
      </c>
      <c r="AO385" s="38">
        <f t="shared" si="1484"/>
        <v>0.99999999999999978</v>
      </c>
      <c r="AP385" s="38">
        <f t="shared" si="1522"/>
        <v>2.130622990934087</v>
      </c>
      <c r="AQ385" s="4">
        <f t="shared" si="1523"/>
        <v>0</v>
      </c>
      <c r="AR385" s="4" t="e">
        <f>#REF!/G385*F385^0.5/0.19</f>
        <v>#REF!</v>
      </c>
      <c r="AS385" s="4">
        <f t="shared" si="1581"/>
        <v>1</v>
      </c>
      <c r="AT385" s="38">
        <f t="shared" si="1582"/>
        <v>1072.3485329493931</v>
      </c>
      <c r="AU385" s="4">
        <f t="shared" si="1583"/>
        <v>0.3</v>
      </c>
      <c r="AV385" s="4" t="e">
        <f>AU385*D385*#REF!/(D385*G385/2.75/F385^0.5)</f>
        <v>#REF!</v>
      </c>
      <c r="AW385" s="4" t="e">
        <f t="shared" si="1431"/>
        <v>#REF!</v>
      </c>
      <c r="AY385" s="4">
        <f t="shared" si="1584"/>
        <v>1.5</v>
      </c>
      <c r="AZ385" s="4" t="e">
        <f>(3*#REF!+30)*AY385*F385^0.5</f>
        <v>#REF!</v>
      </c>
      <c r="BB385" s="4">
        <f t="shared" si="1585"/>
        <v>1028.5133827787015</v>
      </c>
      <c r="BC385" s="4">
        <f t="shared" si="1662"/>
        <v>0</v>
      </c>
      <c r="BD385" s="4">
        <f t="shared" si="1432"/>
        <v>0</v>
      </c>
      <c r="BL385" s="4">
        <f t="shared" si="1586"/>
        <v>64.77</v>
      </c>
      <c r="BP385" s="9"/>
      <c r="BR385" s="9"/>
      <c r="BS385" s="9"/>
      <c r="BT385" s="9">
        <f t="shared" si="1587"/>
        <v>64.77</v>
      </c>
      <c r="BU385" s="9">
        <f t="shared" si="1588"/>
        <v>88.265000000000001</v>
      </c>
      <c r="BV385" s="9">
        <f t="shared" si="1589"/>
        <v>2.1158860526359717</v>
      </c>
      <c r="BW385" s="40">
        <f t="shared" si="1738"/>
        <v>0</v>
      </c>
      <c r="BX385" s="9">
        <f t="shared" si="1590"/>
        <v>0</v>
      </c>
      <c r="BY385" s="9">
        <f t="shared" si="1433"/>
        <v>0</v>
      </c>
      <c r="BZ385" s="9">
        <f t="shared" si="1591"/>
        <v>1</v>
      </c>
      <c r="CA385" s="9">
        <f t="shared" si="1592"/>
        <v>0.68</v>
      </c>
      <c r="CB385" s="9">
        <f t="shared" si="1593"/>
        <v>1.3535658143559566</v>
      </c>
      <c r="CC385" s="9">
        <f t="shared" si="1594"/>
        <v>2.8639910279206195</v>
      </c>
      <c r="CD385" s="40">
        <v>1</v>
      </c>
      <c r="CE385" s="9" t="e">
        <f>4*CC385*#REF!+60*CC385</f>
        <v>#REF!</v>
      </c>
      <c r="CG385" s="4" t="e">
        <f t="shared" si="1434"/>
        <v>#REF!</v>
      </c>
      <c r="CH385" s="4" t="e">
        <f t="shared" si="1435"/>
        <v>#REF!</v>
      </c>
      <c r="CI385" s="4" t="e">
        <f t="shared" si="1436"/>
        <v>#REF!</v>
      </c>
      <c r="CJ385" s="4" t="e">
        <f t="shared" si="1437"/>
        <v>#REF!</v>
      </c>
      <c r="CK385" s="4">
        <f t="shared" si="1438"/>
        <v>0.98338913792026705</v>
      </c>
      <c r="CL385" s="4">
        <f t="shared" si="1439"/>
        <v>1.000825177613299</v>
      </c>
      <c r="CM385" s="4">
        <f t="shared" si="1699"/>
        <v>1.3120228562170784</v>
      </c>
      <c r="CN385" s="4">
        <f t="shared" si="1739"/>
        <v>0</v>
      </c>
      <c r="CO385" s="4" t="e">
        <f t="shared" si="1741"/>
        <v>#REF!</v>
      </c>
      <c r="CP385" s="4" t="e">
        <f t="shared" si="1742"/>
        <v>#REF!</v>
      </c>
      <c r="CQ385" s="4" t="e">
        <f t="shared" si="1743"/>
        <v>#REF!</v>
      </c>
      <c r="CR385" s="4">
        <f t="shared" si="1744"/>
        <v>1.3120228562170784</v>
      </c>
      <c r="CS385" s="4">
        <f t="shared" si="1745"/>
        <v>0.98338913792026705</v>
      </c>
      <c r="CT385" s="4">
        <f t="shared" si="1746"/>
        <v>1.000825177613299</v>
      </c>
      <c r="DC385" s="4" t="e">
        <f>#REF!</f>
        <v>#REF!</v>
      </c>
      <c r="DF385" s="4">
        <f t="shared" si="1601"/>
        <v>1.8068358394329439E-5</v>
      </c>
      <c r="DG385" s="4">
        <f t="shared" si="1446"/>
        <v>9.5981496427943913</v>
      </c>
      <c r="DH385" s="4">
        <f t="shared" si="1602"/>
        <v>0.2755138171079774</v>
      </c>
      <c r="DI385" s="4">
        <f t="shared" si="1447"/>
        <v>5.7311908412492434</v>
      </c>
      <c r="DJ385" s="4">
        <f t="shared" si="1448"/>
        <v>7.9062213498050378</v>
      </c>
      <c r="DK385" s="4">
        <f t="shared" si="1603"/>
        <v>9.2547968955127349</v>
      </c>
      <c r="DL385" s="38">
        <f t="shared" si="1604"/>
        <v>798.7857614947543</v>
      </c>
      <c r="DM385" s="4" t="e">
        <f t="shared" si="1449"/>
        <v>#REF!</v>
      </c>
      <c r="DN385" s="4">
        <f t="shared" si="1605"/>
        <v>3.7549966711037173</v>
      </c>
      <c r="DO385" s="4">
        <f t="shared" si="1697"/>
        <v>503.30280744753645</v>
      </c>
      <c r="DS385" s="4">
        <f t="shared" si="1606"/>
        <v>0.85</v>
      </c>
      <c r="DT385" s="4">
        <f t="shared" si="1607"/>
        <v>0.7</v>
      </c>
      <c r="DU385" s="4">
        <f t="shared" si="1608"/>
        <v>1</v>
      </c>
      <c r="DV385" s="4">
        <f t="shared" si="1450"/>
        <v>0.7</v>
      </c>
      <c r="DX385" s="4">
        <f t="shared" si="1609"/>
        <v>784.86958456876505</v>
      </c>
      <c r="DY385" s="25">
        <f t="shared" si="1502"/>
        <v>498.30722883349574</v>
      </c>
      <c r="EA385" s="4">
        <f t="shared" si="1503"/>
        <v>0.59499999999999997</v>
      </c>
      <c r="EB385" s="4">
        <f t="shared" si="1610"/>
        <v>9.5981496427943913</v>
      </c>
      <c r="EE385" s="4">
        <f t="shared" si="1611"/>
        <v>59.610572153771514</v>
      </c>
      <c r="EF385" s="4">
        <f t="shared" si="1451"/>
        <v>3.7549966711037173</v>
      </c>
      <c r="EG385" s="4">
        <f t="shared" si="1612"/>
        <v>8.5680317937207151E-2</v>
      </c>
      <c r="EJ385" s="4">
        <f t="shared" si="1452"/>
        <v>8.5680317937207151E-2</v>
      </c>
      <c r="EK385" s="4">
        <f t="shared" si="1613"/>
        <v>0.2750540358960194</v>
      </c>
      <c r="EL385" s="4">
        <f t="shared" si="1453"/>
        <v>5.7273632084746113</v>
      </c>
      <c r="EM385" s="4">
        <f t="shared" si="1454"/>
        <v>7.9048406704128062</v>
      </c>
      <c r="EN385" s="4" t="e">
        <f t="shared" si="1455"/>
        <v>#REF!</v>
      </c>
      <c r="EO385" s="4" t="e">
        <f t="shared" si="1456"/>
        <v>#REF!</v>
      </c>
      <c r="EP385" s="4" t="e">
        <f t="shared" si="1614"/>
        <v>#REF!</v>
      </c>
      <c r="EQ385" s="4" t="e">
        <f t="shared" si="1457"/>
        <v>#REF!</v>
      </c>
      <c r="ER385" s="4" t="e">
        <f t="shared" si="1615"/>
        <v>#REF!</v>
      </c>
      <c r="FA385" s="23" t="e">
        <f t="shared" si="1383"/>
        <v>#REF!</v>
      </c>
      <c r="FB385" s="23" t="e">
        <f t="shared" si="1384"/>
        <v>#REF!</v>
      </c>
      <c r="FC385" s="23">
        <f t="shared" si="1706"/>
        <v>1.4</v>
      </c>
      <c r="FD385" s="23" t="e">
        <f t="shared" si="1385"/>
        <v>#REF!</v>
      </c>
      <c r="FE385" s="23">
        <f t="shared" si="1386"/>
        <v>1</v>
      </c>
      <c r="FF385" s="23">
        <f t="shared" si="1387"/>
        <v>1.2</v>
      </c>
      <c r="FG385" s="23">
        <f t="shared" si="1629"/>
        <v>0</v>
      </c>
      <c r="FH385" s="23"/>
      <c r="FR385" s="4">
        <f t="shared" si="1485"/>
        <v>1</v>
      </c>
      <c r="FS385" s="4">
        <f t="shared" si="1486"/>
        <v>0.5</v>
      </c>
      <c r="FT385" s="4">
        <f t="shared" si="1487"/>
        <v>0</v>
      </c>
      <c r="FU385" s="4">
        <f t="shared" si="1488"/>
        <v>598.70697957516688</v>
      </c>
    </row>
    <row r="386" spans="2:177" ht="12" customHeight="1" x14ac:dyDescent="0.3">
      <c r="B386" s="24"/>
      <c r="C386" s="7" t="s">
        <v>529</v>
      </c>
      <c r="D386" s="38">
        <f t="shared" si="1724"/>
        <v>958.62068965517244</v>
      </c>
      <c r="E386" s="38">
        <f>6*25.4</f>
        <v>152.39999999999998</v>
      </c>
      <c r="F386" s="38">
        <f t="shared" si="1740"/>
        <v>32.344827586206897</v>
      </c>
      <c r="G386" s="38">
        <f t="shared" si="1726"/>
        <v>15.875</v>
      </c>
      <c r="H386" s="38">
        <f>13.1*25.4</f>
        <v>332.73999999999995</v>
      </c>
      <c r="I386" s="38">
        <f>2.55*25.4</f>
        <v>64.77</v>
      </c>
      <c r="J386" s="39">
        <f>3.2*25.4</f>
        <v>81.28</v>
      </c>
      <c r="K386" s="7">
        <f t="shared" si="1727"/>
        <v>171.44999999999996</v>
      </c>
      <c r="L386" s="38">
        <v>2</v>
      </c>
      <c r="M386" s="4">
        <f t="shared" ref="M386:M402" si="1747">5.25*25.4</f>
        <v>133.35</v>
      </c>
      <c r="N386" s="7">
        <f t="shared" si="1569"/>
        <v>4.58</v>
      </c>
      <c r="O386" s="7">
        <f t="shared" si="1570"/>
        <v>4.58</v>
      </c>
      <c r="P386" s="38">
        <v>4</v>
      </c>
      <c r="Q386" s="4">
        <f t="shared" si="1736"/>
        <v>4</v>
      </c>
      <c r="R386" s="4">
        <f t="shared" si="1571"/>
        <v>5</v>
      </c>
      <c r="S386" s="7">
        <f t="shared" si="1572"/>
        <v>35.497579142809165</v>
      </c>
      <c r="V386" s="38">
        <f t="shared" si="1395"/>
        <v>843.44827586206895</v>
      </c>
      <c r="W386" s="4">
        <v>122.3</v>
      </c>
      <c r="X386" s="4">
        <f t="shared" si="1573"/>
        <v>1.036322161226584</v>
      </c>
      <c r="Y386" s="38">
        <f t="shared" ref="Y386:Y388" si="1748">0.375*25.4</f>
        <v>9.5249999999999986</v>
      </c>
      <c r="Z386" s="38">
        <v>4</v>
      </c>
      <c r="AA386" s="39">
        <f>3.5*25.4</f>
        <v>88.899999999999991</v>
      </c>
      <c r="AB386" s="39">
        <v>2</v>
      </c>
      <c r="AC386" s="39">
        <f t="shared" ref="AC386:AC388" si="1749">AB386-1</f>
        <v>1</v>
      </c>
      <c r="AD386" s="7"/>
      <c r="AE386" s="4">
        <f t="shared" si="1576"/>
        <v>152.39999999999998</v>
      </c>
      <c r="AF386" s="4">
        <f t="shared" si="1577"/>
        <v>0.72777777777777763</v>
      </c>
      <c r="AG386" s="4">
        <f t="shared" si="1578"/>
        <v>270.29158549016233</v>
      </c>
      <c r="AH386" s="4">
        <f t="shared" si="1579"/>
        <v>0.79541666666666666</v>
      </c>
      <c r="AI386" s="4">
        <v>1.25</v>
      </c>
      <c r="AJ386" s="4">
        <f t="shared" si="1513"/>
        <v>2.5</v>
      </c>
      <c r="AK386" s="38">
        <f t="shared" si="1729"/>
        <v>488.96303101703046</v>
      </c>
      <c r="AL386" s="38">
        <f t="shared" si="1616"/>
        <v>488.96303101703046</v>
      </c>
      <c r="AM386" s="38">
        <f t="shared" si="1580"/>
        <v>3.0454944685430494</v>
      </c>
      <c r="AN386" s="38">
        <f t="shared" si="1521"/>
        <v>488.96303101703029</v>
      </c>
      <c r="AO386" s="38">
        <f t="shared" si="1484"/>
        <v>1.0000000000000004</v>
      </c>
      <c r="AP386" s="38">
        <f t="shared" si="1522"/>
        <v>1.2118651182008726</v>
      </c>
      <c r="AQ386" s="4">
        <f t="shared" si="1523"/>
        <v>0</v>
      </c>
      <c r="AR386" s="4" t="e">
        <f>#REF!/G386*F386^0.5/0.19</f>
        <v>#REF!</v>
      </c>
      <c r="AS386" s="4">
        <f t="shared" si="1581"/>
        <v>1</v>
      </c>
      <c r="AT386" s="38">
        <f t="shared" si="1582"/>
        <v>592.55724137931031</v>
      </c>
      <c r="AU386" s="4">
        <f t="shared" si="1583"/>
        <v>0.44000000000000006</v>
      </c>
      <c r="AV386" s="4" t="e">
        <f>AU386*D386*#REF!/(D386*G386/2.75/F386^0.5)</f>
        <v>#REF!</v>
      </c>
      <c r="AW386" s="4" t="e">
        <f t="shared" si="1431"/>
        <v>#REF!</v>
      </c>
      <c r="AY386" s="4">
        <f t="shared" si="1584"/>
        <v>1.5</v>
      </c>
      <c r="AZ386" s="4" t="e">
        <f>(3*#REF!+30)*AY386*F386^0.5</f>
        <v>#REF!</v>
      </c>
      <c r="BB386" s="4">
        <f t="shared" si="1585"/>
        <v>568.33485951140074</v>
      </c>
      <c r="BC386" s="4">
        <f t="shared" si="1662"/>
        <v>0</v>
      </c>
      <c r="BD386" s="4">
        <f t="shared" si="1432"/>
        <v>0</v>
      </c>
      <c r="BL386" s="4">
        <f t="shared" si="1586"/>
        <v>64.77</v>
      </c>
      <c r="BP386" s="9"/>
      <c r="BR386" s="9"/>
      <c r="BS386" s="9"/>
      <c r="BT386" s="9">
        <f t="shared" si="1587"/>
        <v>64.77</v>
      </c>
      <c r="BU386" s="9">
        <f t="shared" si="1588"/>
        <v>85.72499999999998</v>
      </c>
      <c r="BV386" s="9">
        <f t="shared" si="1589"/>
        <v>2.1066390052415969</v>
      </c>
      <c r="BW386" s="40">
        <f t="shared" si="1738"/>
        <v>20</v>
      </c>
      <c r="BX386" s="9">
        <f t="shared" si="1590"/>
        <v>0.05</v>
      </c>
      <c r="BY386" s="9">
        <f t="shared" si="1433"/>
        <v>0.8</v>
      </c>
      <c r="BZ386" s="9">
        <f t="shared" si="1591"/>
        <v>1</v>
      </c>
      <c r="CA386" s="9">
        <f t="shared" si="1592"/>
        <v>0.68</v>
      </c>
      <c r="CB386" s="9">
        <f t="shared" si="1593"/>
        <v>1.3535658143559566</v>
      </c>
      <c r="CC386" s="9">
        <f t="shared" si="1594"/>
        <v>3.3839145358898914</v>
      </c>
      <c r="CD386" s="40">
        <v>1</v>
      </c>
      <c r="CE386" s="9" t="e">
        <f>4*CC386*#REF!+60*CC386</f>
        <v>#REF!</v>
      </c>
      <c r="CG386" s="4" t="e">
        <f t="shared" si="1434"/>
        <v>#REF!</v>
      </c>
      <c r="CH386" s="4" t="e">
        <f t="shared" si="1435"/>
        <v>#REF!</v>
      </c>
      <c r="CI386" s="4" t="e">
        <f t="shared" si="1436"/>
        <v>#REF!</v>
      </c>
      <c r="CJ386" s="4" t="e">
        <f t="shared" si="1437"/>
        <v>#REF!</v>
      </c>
      <c r="CK386" s="4">
        <f t="shared" si="1438"/>
        <v>1.036322161226584</v>
      </c>
      <c r="CL386" s="4">
        <f t="shared" si="1439"/>
        <v>1.1093102722998569</v>
      </c>
      <c r="CM386" s="4">
        <f t="shared" si="1699"/>
        <v>1.3540876305298664</v>
      </c>
      <c r="CN386" s="4">
        <f t="shared" si="1739"/>
        <v>4</v>
      </c>
      <c r="CU386" s="4" t="e">
        <f t="shared" ref="CU386:CU388" si="1750">CG386</f>
        <v>#REF!</v>
      </c>
      <c r="CV386" s="4" t="e">
        <f t="shared" ref="CV386:CV388" si="1751">CH386</f>
        <v>#REF!</v>
      </c>
      <c r="CW386" s="4" t="e">
        <f t="shared" ref="CW386:CW388" si="1752">CJ386</f>
        <v>#REF!</v>
      </c>
      <c r="CX386" s="4">
        <f t="shared" ref="CX386:CX388" si="1753">CM386</f>
        <v>1.3540876305298664</v>
      </c>
      <c r="CY386" s="4">
        <f t="shared" ref="CY386:CY388" si="1754">CK386</f>
        <v>1.036322161226584</v>
      </c>
      <c r="CZ386" s="4">
        <f t="shared" ref="CZ386:CZ388" si="1755">CL386</f>
        <v>1.1093102722998569</v>
      </c>
      <c r="DC386" s="4" t="e">
        <f>#REF!</f>
        <v>#REF!</v>
      </c>
      <c r="DF386" s="4">
        <f t="shared" si="1601"/>
        <v>1.7429284624755085E-5</v>
      </c>
      <c r="DG386" s="4">
        <f t="shared" si="1446"/>
        <v>9.5981496427943913</v>
      </c>
      <c r="DH386" s="4">
        <f t="shared" si="1602"/>
        <v>0.52200757557226207</v>
      </c>
      <c r="DI386" s="4">
        <f t="shared" si="1447"/>
        <v>7.4004518777607604</v>
      </c>
      <c r="DJ386" s="4">
        <f t="shared" si="1448"/>
        <v>8.570156296053419</v>
      </c>
      <c r="DK386" s="4">
        <f t="shared" si="1603"/>
        <v>9.2254992877311519</v>
      </c>
      <c r="DL386" s="38">
        <f t="shared" si="1604"/>
        <v>813.88617113405087</v>
      </c>
      <c r="DM386" s="4" t="e">
        <f t="shared" si="1449"/>
        <v>#REF!</v>
      </c>
      <c r="DN386" s="4">
        <f t="shared" si="1605"/>
        <v>2.2360679774997898</v>
      </c>
      <c r="DO386" s="4">
        <f t="shared" si="1697"/>
        <v>488.96303101703029</v>
      </c>
      <c r="DS386" s="4">
        <f t="shared" si="1606"/>
        <v>0.85</v>
      </c>
      <c r="DT386" s="4">
        <f t="shared" si="1607"/>
        <v>0.7</v>
      </c>
      <c r="DU386" s="4">
        <f t="shared" si="1608"/>
        <v>0.85899999999999999</v>
      </c>
      <c r="DV386" s="4">
        <f t="shared" si="1450"/>
        <v>0.7</v>
      </c>
      <c r="DX386" s="4">
        <f t="shared" si="1609"/>
        <v>760.3357662175124</v>
      </c>
      <c r="DY386" s="25">
        <f t="shared" si="1502"/>
        <v>483.90905650503407</v>
      </c>
      <c r="EA386" s="4">
        <f t="shared" si="1503"/>
        <v>0.59499999999999997</v>
      </c>
      <c r="EB386" s="4">
        <f t="shared" si="1610"/>
        <v>9.5981496427943913</v>
      </c>
      <c r="EE386" s="4">
        <f t="shared" si="1611"/>
        <v>35.497579142809165</v>
      </c>
      <c r="EF386" s="4">
        <f t="shared" si="1451"/>
        <v>2.2360679774997898</v>
      </c>
      <c r="EG386" s="4">
        <f t="shared" si="1612"/>
        <v>0.16233586943167169</v>
      </c>
      <c r="EJ386" s="4">
        <f t="shared" si="1452"/>
        <v>0.16233586943167169</v>
      </c>
      <c r="EK386" s="4">
        <f t="shared" si="1613"/>
        <v>0.52113644221761857</v>
      </c>
      <c r="EL386" s="4">
        <f t="shared" si="1453"/>
        <v>7.3955094124094876</v>
      </c>
      <c r="EM386" s="4">
        <f t="shared" si="1454"/>
        <v>8.5680239121396582</v>
      </c>
      <c r="EN386" s="4" t="e">
        <f t="shared" si="1455"/>
        <v>#REF!</v>
      </c>
      <c r="EO386" s="4" t="e">
        <f t="shared" si="1456"/>
        <v>#REF!</v>
      </c>
      <c r="EP386" s="4" t="e">
        <f t="shared" si="1614"/>
        <v>#REF!</v>
      </c>
      <c r="EQ386" s="4" t="e">
        <f t="shared" si="1457"/>
        <v>#REF!</v>
      </c>
      <c r="ER386" s="4" t="e">
        <f t="shared" si="1615"/>
        <v>#REF!</v>
      </c>
      <c r="FA386" s="23" t="e">
        <f t="shared" si="1383"/>
        <v>#REF!</v>
      </c>
      <c r="FB386" s="23" t="e">
        <f t="shared" si="1384"/>
        <v>#REF!</v>
      </c>
      <c r="FC386" s="23">
        <f t="shared" si="1706"/>
        <v>1.4</v>
      </c>
      <c r="FD386" s="23" t="e">
        <f t="shared" si="1385"/>
        <v>#REF!</v>
      </c>
      <c r="FE386" s="23">
        <f t="shared" si="1386"/>
        <v>1.2</v>
      </c>
      <c r="FF386" s="23">
        <f t="shared" si="1387"/>
        <v>1.2</v>
      </c>
      <c r="FG386" s="23">
        <f t="shared" si="1629"/>
        <v>0</v>
      </c>
      <c r="FH386" s="23"/>
      <c r="FR386" s="4">
        <f t="shared" si="1485"/>
        <v>1</v>
      </c>
      <c r="FS386" s="4">
        <f t="shared" si="1486"/>
        <v>0.46358941059918601</v>
      </c>
      <c r="FT386" s="4">
        <f t="shared" si="1487"/>
        <v>0.3</v>
      </c>
      <c r="FU386" s="4">
        <f t="shared" si="1488"/>
        <v>622.89046649958709</v>
      </c>
    </row>
    <row r="387" spans="2:177" ht="12" customHeight="1" x14ac:dyDescent="0.3">
      <c r="B387" s="24"/>
      <c r="C387" s="7" t="s">
        <v>530</v>
      </c>
      <c r="D387" s="38">
        <f t="shared" si="1724"/>
        <v>958.62068965517244</v>
      </c>
      <c r="E387" s="38">
        <f>5.94*25.4</f>
        <v>150.876</v>
      </c>
      <c r="F387" s="38">
        <f t="shared" si="1740"/>
        <v>32.344827586206897</v>
      </c>
      <c r="G387" s="38">
        <f t="shared" si="1726"/>
        <v>15.875</v>
      </c>
      <c r="H387" s="38">
        <f>12.9*25.4</f>
        <v>327.65999999999997</v>
      </c>
      <c r="I387" s="38">
        <f>2.55*25.4</f>
        <v>64.77</v>
      </c>
      <c r="J387" s="39">
        <f>3.25*25.4</f>
        <v>82.55</v>
      </c>
      <c r="K387" s="7">
        <f t="shared" si="1727"/>
        <v>166.36999999999998</v>
      </c>
      <c r="L387" s="38">
        <v>2</v>
      </c>
      <c r="M387" s="4">
        <f t="shared" si="1747"/>
        <v>133.35</v>
      </c>
      <c r="N387" s="7">
        <f t="shared" si="1569"/>
        <v>4.58</v>
      </c>
      <c r="O387" s="7">
        <f t="shared" si="1570"/>
        <v>4.58</v>
      </c>
      <c r="P387" s="38">
        <v>13.1</v>
      </c>
      <c r="Q387" s="4">
        <f t="shared" si="1736"/>
        <v>13.1</v>
      </c>
      <c r="R387" s="4">
        <f t="shared" si="1571"/>
        <v>14.1</v>
      </c>
      <c r="S387" s="7">
        <f t="shared" si="1572"/>
        <v>59.610572153771514</v>
      </c>
      <c r="V387" s="38">
        <f t="shared" si="1395"/>
        <v>1032.4137931034484</v>
      </c>
      <c r="W387" s="4">
        <v>149.69999999999999</v>
      </c>
      <c r="X387" s="4">
        <f t="shared" si="1573"/>
        <v>1.3610574349331113</v>
      </c>
      <c r="Y387" s="38">
        <f t="shared" si="1748"/>
        <v>9.5249999999999986</v>
      </c>
      <c r="Z387" s="38">
        <v>4</v>
      </c>
      <c r="AA387" s="39">
        <f>3.5*25.4</f>
        <v>88.899999999999991</v>
      </c>
      <c r="AB387" s="39">
        <v>2</v>
      </c>
      <c r="AC387" s="39">
        <f t="shared" si="1749"/>
        <v>1</v>
      </c>
      <c r="AD387" s="7"/>
      <c r="AE387" s="4">
        <f t="shared" si="1576"/>
        <v>150.876</v>
      </c>
      <c r="AF387" s="4">
        <f t="shared" si="1577"/>
        <v>0.72390572390572394</v>
      </c>
      <c r="AG387" s="4">
        <f t="shared" si="1578"/>
        <v>266.24736459915772</v>
      </c>
      <c r="AH387" s="4">
        <f t="shared" si="1579"/>
        <v>0.7963804713804713</v>
      </c>
      <c r="AI387" s="4">
        <v>1.25</v>
      </c>
      <c r="AJ387" s="4">
        <f t="shared" si="1513"/>
        <v>2.5</v>
      </c>
      <c r="AK387" s="38">
        <f t="shared" si="1729"/>
        <v>479.66491341021003</v>
      </c>
      <c r="AL387" s="38">
        <f t="shared" si="1616"/>
        <v>479.66491341021003</v>
      </c>
      <c r="AM387" s="38">
        <f t="shared" si="1580"/>
        <v>3.0454944685430494</v>
      </c>
      <c r="AN387" s="38">
        <f t="shared" si="1521"/>
        <v>479.66491341021054</v>
      </c>
      <c r="AO387" s="38">
        <f t="shared" si="1484"/>
        <v>0.99999999999999889</v>
      </c>
      <c r="AP387" s="38">
        <f t="shared" si="1522"/>
        <v>2.2356201234846589</v>
      </c>
      <c r="AQ387" s="4">
        <f t="shared" si="1523"/>
        <v>0</v>
      </c>
      <c r="AR387" s="4" t="e">
        <f>#REF!/G387*F387^0.5/0.19</f>
        <v>#REF!</v>
      </c>
      <c r="AS387" s="4">
        <f t="shared" si="1581"/>
        <v>1</v>
      </c>
      <c r="AT387" s="38">
        <f t="shared" si="1582"/>
        <v>1072.3485329493931</v>
      </c>
      <c r="AU387" s="4">
        <f t="shared" si="1583"/>
        <v>0.3</v>
      </c>
      <c r="AV387" s="4" t="e">
        <f>AU387*D387*#REF!/(D387*G387/2.75/F387^0.5)</f>
        <v>#REF!</v>
      </c>
      <c r="AW387" s="4" t="e">
        <f t="shared" si="1431"/>
        <v>#REF!</v>
      </c>
      <c r="AY387" s="4">
        <f t="shared" si="1584"/>
        <v>1.5</v>
      </c>
      <c r="AZ387" s="4" t="e">
        <f>(3*#REF!+30)*AY387*F387^0.5</f>
        <v>#REF!</v>
      </c>
      <c r="BB387" s="4">
        <f t="shared" si="1585"/>
        <v>1028.5133827787015</v>
      </c>
      <c r="BC387" s="4">
        <f t="shared" si="1662"/>
        <v>0</v>
      </c>
      <c r="BD387" s="4">
        <f t="shared" si="1432"/>
        <v>0</v>
      </c>
      <c r="BL387" s="4">
        <f t="shared" si="1586"/>
        <v>64.77</v>
      </c>
      <c r="BP387" s="9"/>
      <c r="BR387" s="9"/>
      <c r="BS387" s="9"/>
      <c r="BT387" s="9">
        <f t="shared" si="1587"/>
        <v>64.77</v>
      </c>
      <c r="BU387" s="9">
        <f t="shared" si="1588"/>
        <v>83.184999999999988</v>
      </c>
      <c r="BV387" s="9">
        <f t="shared" si="1589"/>
        <v>2.0971560619797187</v>
      </c>
      <c r="BW387" s="40">
        <f t="shared" si="1738"/>
        <v>20</v>
      </c>
      <c r="BX387" s="9">
        <f t="shared" si="1590"/>
        <v>0.05</v>
      </c>
      <c r="BY387" s="9">
        <f t="shared" si="1433"/>
        <v>0.8</v>
      </c>
      <c r="BZ387" s="9">
        <f t="shared" si="1591"/>
        <v>1</v>
      </c>
      <c r="CA387" s="9">
        <f t="shared" si="1592"/>
        <v>0.68</v>
      </c>
      <c r="CB387" s="9">
        <f t="shared" si="1593"/>
        <v>1.3535658143559566</v>
      </c>
      <c r="CC387" s="9">
        <f t="shared" si="1594"/>
        <v>3.3839145358898914</v>
      </c>
      <c r="CD387" s="40">
        <v>1</v>
      </c>
      <c r="CE387" s="9" t="e">
        <f>4*CC387*#REF!+60*CC387</f>
        <v>#REF!</v>
      </c>
      <c r="CG387" s="4" t="e">
        <f t="shared" si="1434"/>
        <v>#REF!</v>
      </c>
      <c r="CH387" s="4" t="e">
        <f t="shared" si="1435"/>
        <v>#REF!</v>
      </c>
      <c r="CI387" s="4" t="e">
        <f t="shared" si="1436"/>
        <v>#REF!</v>
      </c>
      <c r="CJ387" s="4" t="e">
        <f t="shared" si="1437"/>
        <v>#REF!</v>
      </c>
      <c r="CK387" s="4">
        <f t="shared" si="1438"/>
        <v>1.3610574349331113</v>
      </c>
      <c r="CL387" s="4">
        <f t="shared" si="1439"/>
        <v>1.3796539954432834</v>
      </c>
      <c r="CM387" s="4">
        <f t="shared" si="1699"/>
        <v>1.6741983885487828</v>
      </c>
      <c r="CN387" s="4">
        <f t="shared" si="1739"/>
        <v>4</v>
      </c>
      <c r="CU387" s="4" t="e">
        <f t="shared" si="1750"/>
        <v>#REF!</v>
      </c>
      <c r="CV387" s="4" t="e">
        <f t="shared" si="1751"/>
        <v>#REF!</v>
      </c>
      <c r="CW387" s="4" t="e">
        <f t="shared" si="1752"/>
        <v>#REF!</v>
      </c>
      <c r="CX387" s="4">
        <f t="shared" si="1753"/>
        <v>1.6741983885487828</v>
      </c>
      <c r="CY387" s="4">
        <f t="shared" si="1754"/>
        <v>1.3610574349331113</v>
      </c>
      <c r="CZ387" s="4">
        <f t="shared" si="1755"/>
        <v>1.3796539954432834</v>
      </c>
      <c r="DC387" s="4" t="e">
        <f>#REF!</f>
        <v>#REF!</v>
      </c>
      <c r="DF387" s="4">
        <f t="shared" si="1601"/>
        <v>1.7254991778507537E-5</v>
      </c>
      <c r="DG387" s="4">
        <f t="shared" si="1446"/>
        <v>9.5981496427943913</v>
      </c>
      <c r="DH387" s="4">
        <f t="shared" si="1602"/>
        <v>0.26257415867919665</v>
      </c>
      <c r="DI387" s="4">
        <f t="shared" si="1447"/>
        <v>5.6219672285104876</v>
      </c>
      <c r="DJ387" s="4">
        <f t="shared" si="1448"/>
        <v>7.8671022829311426</v>
      </c>
      <c r="DK387" s="4">
        <f t="shared" si="1603"/>
        <v>9.289580301332089</v>
      </c>
      <c r="DL387" s="38">
        <f t="shared" si="1604"/>
        <v>758.53800626289217</v>
      </c>
      <c r="DM387" s="4" t="e">
        <f t="shared" si="1449"/>
        <v>#REF!</v>
      </c>
      <c r="DN387" s="4">
        <f t="shared" si="1605"/>
        <v>3.7549966711037173</v>
      </c>
      <c r="DO387" s="4">
        <f t="shared" si="1697"/>
        <v>479.66491341021054</v>
      </c>
      <c r="DS387" s="4">
        <f t="shared" si="1606"/>
        <v>0.85</v>
      </c>
      <c r="DT387" s="4">
        <f t="shared" si="1607"/>
        <v>0.7</v>
      </c>
      <c r="DU387" s="4">
        <f t="shared" si="1608"/>
        <v>0.85899999999999999</v>
      </c>
      <c r="DV387" s="4">
        <f t="shared" si="1450"/>
        <v>0.7</v>
      </c>
      <c r="DX387" s="4">
        <f t="shared" si="1609"/>
        <v>748.31356014863229</v>
      </c>
      <c r="DY387" s="25">
        <f t="shared" si="1502"/>
        <v>474.65111753327864</v>
      </c>
      <c r="EA387" s="4">
        <f t="shared" si="1503"/>
        <v>0.59499999999999997</v>
      </c>
      <c r="EB387" s="4">
        <f t="shared" si="1610"/>
        <v>9.5981496427943913</v>
      </c>
      <c r="EE387" s="4">
        <f t="shared" si="1611"/>
        <v>59.610572153771514</v>
      </c>
      <c r="EF387" s="4">
        <f t="shared" si="1451"/>
        <v>3.7549966711037173</v>
      </c>
      <c r="EG387" s="4">
        <f t="shared" si="1612"/>
        <v>8.1656294533174772E-2</v>
      </c>
      <c r="EJ387" s="4">
        <f t="shared" si="1452"/>
        <v>8.1656294533174772E-2</v>
      </c>
      <c r="EK387" s="4">
        <f t="shared" si="1613"/>
        <v>0.26213597134553179</v>
      </c>
      <c r="EL387" s="4">
        <f t="shared" si="1453"/>
        <v>5.618212541811368</v>
      </c>
      <c r="EM387" s="4">
        <f t="shared" si="1454"/>
        <v>7.8657678741570898</v>
      </c>
      <c r="EN387" s="4" t="e">
        <f t="shared" si="1455"/>
        <v>#REF!</v>
      </c>
      <c r="EO387" s="4" t="e">
        <f t="shared" si="1456"/>
        <v>#REF!</v>
      </c>
      <c r="EP387" s="4" t="e">
        <f t="shared" si="1614"/>
        <v>#REF!</v>
      </c>
      <c r="EQ387" s="4" t="e">
        <f t="shared" si="1457"/>
        <v>#REF!</v>
      </c>
      <c r="ER387" s="4" t="e">
        <f t="shared" si="1615"/>
        <v>#REF!</v>
      </c>
      <c r="FA387" s="23" t="e">
        <f t="shared" si="1383"/>
        <v>#REF!</v>
      </c>
      <c r="FB387" s="23" t="e">
        <f t="shared" si="1384"/>
        <v>#REF!</v>
      </c>
      <c r="FC387" s="23">
        <f t="shared" si="1706"/>
        <v>1.8</v>
      </c>
      <c r="FD387" s="23" t="e">
        <f t="shared" si="1385"/>
        <v>#REF!</v>
      </c>
      <c r="FE387" s="23">
        <f t="shared" si="1386"/>
        <v>1.4</v>
      </c>
      <c r="FF387" s="23">
        <f t="shared" si="1387"/>
        <v>1.4</v>
      </c>
      <c r="FG387" s="23">
        <f t="shared" si="1629"/>
        <v>0</v>
      </c>
      <c r="FH387" s="23"/>
      <c r="FR387" s="4">
        <f t="shared" si="1485"/>
        <v>1</v>
      </c>
      <c r="FS387" s="4">
        <f t="shared" si="1486"/>
        <v>0.46358941059918601</v>
      </c>
      <c r="FT387" s="4">
        <f t="shared" si="1487"/>
        <v>0.3</v>
      </c>
      <c r="FU387" s="4">
        <f t="shared" si="1488"/>
        <v>616.66156183459134</v>
      </c>
    </row>
    <row r="388" spans="2:177" ht="12" customHeight="1" x14ac:dyDescent="0.3">
      <c r="B388" s="24"/>
      <c r="C388" s="7" t="s">
        <v>531</v>
      </c>
      <c r="D388" s="38">
        <f t="shared" si="1724"/>
        <v>958.62068965517244</v>
      </c>
      <c r="E388" s="38">
        <f>6.06*25.4</f>
        <v>153.92399999999998</v>
      </c>
      <c r="F388" s="38">
        <f t="shared" si="1740"/>
        <v>32.344827586206897</v>
      </c>
      <c r="G388" s="38">
        <f t="shared" si="1726"/>
        <v>15.875</v>
      </c>
      <c r="H388" s="38">
        <f>13.1*25.4</f>
        <v>332.73999999999995</v>
      </c>
      <c r="I388" s="38">
        <f>2.55*25.4</f>
        <v>64.77</v>
      </c>
      <c r="J388" s="39">
        <f>3.15*25.4</f>
        <v>80.009999999999991</v>
      </c>
      <c r="K388" s="7">
        <f t="shared" si="1727"/>
        <v>171.44999999999996</v>
      </c>
      <c r="L388" s="38">
        <v>2</v>
      </c>
      <c r="M388" s="4">
        <f t="shared" si="1747"/>
        <v>133.35</v>
      </c>
      <c r="N388" s="7">
        <f t="shared" si="1569"/>
        <v>4.58</v>
      </c>
      <c r="O388" s="7">
        <f t="shared" si="1570"/>
        <v>4.58</v>
      </c>
      <c r="P388" s="38">
        <v>4</v>
      </c>
      <c r="Q388" s="4">
        <f t="shared" si="1736"/>
        <v>4</v>
      </c>
      <c r="R388" s="4">
        <f t="shared" si="1571"/>
        <v>5</v>
      </c>
      <c r="S388" s="7">
        <f t="shared" si="1572"/>
        <v>35.497579142809165</v>
      </c>
      <c r="V388" s="38">
        <f t="shared" si="1395"/>
        <v>967.58620689655186</v>
      </c>
      <c r="W388" s="4">
        <v>140.30000000000001</v>
      </c>
      <c r="X388" s="4">
        <f t="shared" si="1573"/>
        <v>1.1811110675219012</v>
      </c>
      <c r="Y388" s="38">
        <f t="shared" si="1748"/>
        <v>9.5249999999999986</v>
      </c>
      <c r="Z388" s="38">
        <v>10</v>
      </c>
      <c r="AA388" s="39">
        <f>1.75*25.4</f>
        <v>44.449999999999996</v>
      </c>
      <c r="AB388" s="39">
        <v>3</v>
      </c>
      <c r="AC388" s="39">
        <f t="shared" si="1749"/>
        <v>2</v>
      </c>
      <c r="AD388" s="7"/>
      <c r="AE388" s="4">
        <f t="shared" si="1576"/>
        <v>153.92399999999998</v>
      </c>
      <c r="AF388" s="4">
        <f t="shared" si="1577"/>
        <v>0.7205720572057206</v>
      </c>
      <c r="AG388" s="4">
        <f t="shared" si="1578"/>
        <v>274.35607837678128</v>
      </c>
      <c r="AH388" s="4">
        <f t="shared" si="1579"/>
        <v>0.79447194719471947</v>
      </c>
      <c r="AI388" s="4">
        <v>1.25</v>
      </c>
      <c r="AJ388" s="4">
        <f t="shared" si="1513"/>
        <v>2.5</v>
      </c>
      <c r="AK388" s="38">
        <f t="shared" si="1729"/>
        <v>490.81812471577302</v>
      </c>
      <c r="AL388" s="38">
        <f t="shared" si="1616"/>
        <v>490.81812471577302</v>
      </c>
      <c r="AM388" s="38">
        <f t="shared" si="1580"/>
        <v>3.0454944685430494</v>
      </c>
      <c r="AN388" s="38">
        <f t="shared" si="1521"/>
        <v>490.81812471577274</v>
      </c>
      <c r="AO388" s="38">
        <f t="shared" si="1484"/>
        <v>1.0000000000000007</v>
      </c>
      <c r="AP388" s="38">
        <f t="shared" si="1522"/>
        <v>1.2072847589368334</v>
      </c>
      <c r="AQ388" s="4">
        <f t="shared" si="1523"/>
        <v>0</v>
      </c>
      <c r="AR388" s="4" t="e">
        <f>#REF!/G388*F388^0.5/0.19</f>
        <v>#REF!</v>
      </c>
      <c r="AS388" s="4">
        <f t="shared" si="1581"/>
        <v>1</v>
      </c>
      <c r="AT388" s="38">
        <f t="shared" si="1582"/>
        <v>592.55724137931031</v>
      </c>
      <c r="AU388" s="4">
        <f t="shared" si="1583"/>
        <v>0.44000000000000006</v>
      </c>
      <c r="AV388" s="4" t="e">
        <f>AU388*D388*#REF!/(D388*G388/2.75/F388^0.5)</f>
        <v>#REF!</v>
      </c>
      <c r="AW388" s="4" t="e">
        <f t="shared" si="1431"/>
        <v>#REF!</v>
      </c>
      <c r="AY388" s="4">
        <f t="shared" si="1584"/>
        <v>1.5</v>
      </c>
      <c r="AZ388" s="4" t="e">
        <f>(3*#REF!+30)*AY388*F388^0.5</f>
        <v>#REF!</v>
      </c>
      <c r="BB388" s="4">
        <f t="shared" si="1585"/>
        <v>568.33485951140074</v>
      </c>
      <c r="BC388" s="4">
        <f t="shared" si="1662"/>
        <v>0</v>
      </c>
      <c r="BD388" s="4">
        <f t="shared" si="1432"/>
        <v>0</v>
      </c>
      <c r="BL388" s="4">
        <f t="shared" si="1586"/>
        <v>64.77</v>
      </c>
      <c r="BP388" s="9"/>
      <c r="BR388" s="9"/>
      <c r="BS388" s="9"/>
      <c r="BT388" s="9">
        <f t="shared" si="1587"/>
        <v>64.77</v>
      </c>
      <c r="BU388" s="9">
        <f t="shared" si="1588"/>
        <v>85.72499999999998</v>
      </c>
      <c r="BV388" s="9">
        <f t="shared" si="1589"/>
        <v>2.1066390052415969</v>
      </c>
      <c r="BW388" s="40">
        <f t="shared" si="1738"/>
        <v>20</v>
      </c>
      <c r="BX388" s="9">
        <f t="shared" si="1590"/>
        <v>0.05</v>
      </c>
      <c r="BY388" s="9">
        <f t="shared" si="1433"/>
        <v>0.8</v>
      </c>
      <c r="BZ388" s="9">
        <f t="shared" si="1591"/>
        <v>1</v>
      </c>
      <c r="CA388" s="9">
        <f t="shared" si="1592"/>
        <v>0.68</v>
      </c>
      <c r="CB388" s="9">
        <f t="shared" si="1593"/>
        <v>1.3535658143559566</v>
      </c>
      <c r="CC388" s="9">
        <f t="shared" si="1594"/>
        <v>3.3839145358898914</v>
      </c>
      <c r="CD388" s="40">
        <v>1</v>
      </c>
      <c r="CE388" s="9" t="e">
        <f>4*CC388*#REF!+60*CC388</f>
        <v>#REF!</v>
      </c>
      <c r="CG388" s="4" t="e">
        <f t="shared" si="1434"/>
        <v>#REF!</v>
      </c>
      <c r="CH388" s="4" t="e">
        <f t="shared" si="1435"/>
        <v>#REF!</v>
      </c>
      <c r="CI388" s="4" t="e">
        <f t="shared" si="1436"/>
        <v>#REF!</v>
      </c>
      <c r="CJ388" s="4" t="e">
        <f t="shared" si="1437"/>
        <v>#REF!</v>
      </c>
      <c r="CK388" s="4">
        <f t="shared" si="1438"/>
        <v>1.1811110675219012</v>
      </c>
      <c r="CL388" s="4">
        <f t="shared" si="1439"/>
        <v>1.2648314968012164</v>
      </c>
      <c r="CM388" s="4">
        <f t="shared" si="1699"/>
        <v>1.5380009760396056</v>
      </c>
      <c r="CN388" s="4">
        <f t="shared" si="1739"/>
        <v>10</v>
      </c>
      <c r="CU388" s="4" t="e">
        <f t="shared" si="1750"/>
        <v>#REF!</v>
      </c>
      <c r="CV388" s="4" t="e">
        <f t="shared" si="1751"/>
        <v>#REF!</v>
      </c>
      <c r="CW388" s="4" t="e">
        <f t="shared" si="1752"/>
        <v>#REF!</v>
      </c>
      <c r="CX388" s="4">
        <f t="shared" si="1753"/>
        <v>1.5380009760396056</v>
      </c>
      <c r="CY388" s="4">
        <f t="shared" si="1754"/>
        <v>1.1811110675219012</v>
      </c>
      <c r="CZ388" s="4">
        <f t="shared" si="1755"/>
        <v>1.2648314968012164</v>
      </c>
      <c r="DC388" s="4" t="e">
        <f>#REF!</f>
        <v>#REF!</v>
      </c>
      <c r="DF388" s="4">
        <f t="shared" si="1601"/>
        <v>1.7603577471002637E-5</v>
      </c>
      <c r="DG388" s="4">
        <f t="shared" si="1446"/>
        <v>9.5981496427943913</v>
      </c>
      <c r="DH388" s="4">
        <f t="shared" si="1602"/>
        <v>0.52398803810769279</v>
      </c>
      <c r="DI388" s="4">
        <f t="shared" si="1447"/>
        <v>7.4116698527576723</v>
      </c>
      <c r="DJ388" s="4">
        <f t="shared" si="1448"/>
        <v>8.5749995423716712</v>
      </c>
      <c r="DK388" s="4">
        <f t="shared" si="1603"/>
        <v>9.2176543034529121</v>
      </c>
      <c r="DL388" s="38">
        <f t="shared" si="1604"/>
        <v>819.21695046567675</v>
      </c>
      <c r="DM388" s="4" t="e">
        <f t="shared" si="1449"/>
        <v>#REF!</v>
      </c>
      <c r="DN388" s="4">
        <f t="shared" si="1605"/>
        <v>2.2360679774997898</v>
      </c>
      <c r="DO388" s="4">
        <f t="shared" si="1697"/>
        <v>490.81812471577274</v>
      </c>
      <c r="DS388" s="4">
        <f t="shared" si="1606"/>
        <v>0.85</v>
      </c>
      <c r="DT388" s="4">
        <f t="shared" si="1607"/>
        <v>0.7</v>
      </c>
      <c r="DU388" s="4">
        <f t="shared" si="1608"/>
        <v>0.7</v>
      </c>
      <c r="DV388" s="4">
        <f t="shared" si="1450"/>
        <v>0.7</v>
      </c>
      <c r="DX388" s="4">
        <f t="shared" si="1609"/>
        <v>764.99218223423145</v>
      </c>
      <c r="DY388" s="25">
        <f t="shared" si="1502"/>
        <v>485.80120542462834</v>
      </c>
      <c r="EA388" s="4">
        <f t="shared" si="1503"/>
        <v>0.59499999999999997</v>
      </c>
      <c r="EB388" s="4">
        <f t="shared" si="1610"/>
        <v>9.5981496427943913</v>
      </c>
      <c r="EE388" s="4">
        <f t="shared" si="1611"/>
        <v>35.497579142809165</v>
      </c>
      <c r="EF388" s="4">
        <f t="shared" si="1451"/>
        <v>2.2360679774997898</v>
      </c>
      <c r="EG388" s="4">
        <f t="shared" si="1612"/>
        <v>0.16295176108269527</v>
      </c>
      <c r="EJ388" s="4">
        <f t="shared" si="1452"/>
        <v>0.16295176108269527</v>
      </c>
      <c r="EK388" s="4">
        <f t="shared" si="1613"/>
        <v>0.52311359973018579</v>
      </c>
      <c r="EL388" s="4">
        <f t="shared" si="1453"/>
        <v>7.4067198953702853</v>
      </c>
      <c r="EM388" s="4">
        <f t="shared" si="1454"/>
        <v>8.5728618760834348</v>
      </c>
      <c r="EN388" s="4" t="e">
        <f t="shared" si="1455"/>
        <v>#REF!</v>
      </c>
      <c r="EO388" s="4" t="e">
        <f t="shared" si="1456"/>
        <v>#REF!</v>
      </c>
      <c r="EP388" s="4" t="e">
        <f t="shared" si="1614"/>
        <v>#REF!</v>
      </c>
      <c r="EQ388" s="4" t="e">
        <f t="shared" si="1457"/>
        <v>#REF!</v>
      </c>
      <c r="ER388" s="4" t="e">
        <f t="shared" si="1615"/>
        <v>#REF!</v>
      </c>
      <c r="FA388" s="23" t="e">
        <f t="shared" si="1383"/>
        <v>#REF!</v>
      </c>
      <c r="FB388" s="23" t="e">
        <f t="shared" si="1384"/>
        <v>#REF!</v>
      </c>
      <c r="FC388" s="23">
        <f t="shared" si="1706"/>
        <v>1.6</v>
      </c>
      <c r="FD388" s="23" t="e">
        <f t="shared" si="1385"/>
        <v>#REF!</v>
      </c>
      <c r="FE388" s="23">
        <f t="shared" si="1386"/>
        <v>1.2</v>
      </c>
      <c r="FF388" s="23">
        <f t="shared" si="1387"/>
        <v>1.4</v>
      </c>
      <c r="FG388" s="23">
        <f t="shared" si="1629"/>
        <v>0</v>
      </c>
      <c r="FH388" s="23"/>
      <c r="FR388" s="4">
        <f t="shared" si="1485"/>
        <v>1</v>
      </c>
      <c r="FS388" s="4">
        <f t="shared" si="1486"/>
        <v>0.46358941059918601</v>
      </c>
      <c r="FT388" s="4">
        <f t="shared" si="1487"/>
        <v>0.3</v>
      </c>
      <c r="FU388" s="4">
        <f t="shared" si="1488"/>
        <v>629.11937116458319</v>
      </c>
    </row>
    <row r="389" spans="2:177" ht="12" customHeight="1" x14ac:dyDescent="0.3">
      <c r="B389" s="24" t="s">
        <v>532</v>
      </c>
      <c r="C389" s="7" t="s">
        <v>533</v>
      </c>
      <c r="D389" s="38">
        <f t="shared" si="1724"/>
        <v>958.62068965517244</v>
      </c>
      <c r="E389" s="38">
        <f>4.06*25.4</f>
        <v>103.12399999999998</v>
      </c>
      <c r="F389" s="38">
        <f>11030/145</f>
        <v>76.068965517241381</v>
      </c>
      <c r="G389" s="38">
        <f t="shared" si="1726"/>
        <v>15.875</v>
      </c>
      <c r="H389" s="38">
        <f t="shared" ref="H389:H398" si="1756">13.1*25.4</f>
        <v>332.73999999999995</v>
      </c>
      <c r="I389" s="38">
        <f>2.6*25.4</f>
        <v>66.039999999999992</v>
      </c>
      <c r="J389" s="39">
        <f>5.2*25.4</f>
        <v>132.07999999999998</v>
      </c>
      <c r="K389" s="7">
        <f t="shared" si="1727"/>
        <v>168.90999999999997</v>
      </c>
      <c r="L389" s="38">
        <v>2</v>
      </c>
      <c r="M389" s="4">
        <f t="shared" si="1747"/>
        <v>133.35</v>
      </c>
      <c r="N389" s="7">
        <f t="shared" si="1569"/>
        <v>4.6599999999999993</v>
      </c>
      <c r="O389" s="7">
        <f t="shared" si="1570"/>
        <v>4.6599999999999993</v>
      </c>
      <c r="P389" s="38">
        <v>4</v>
      </c>
      <c r="Q389" s="4">
        <f t="shared" si="1736"/>
        <v>4</v>
      </c>
      <c r="R389" s="4">
        <f t="shared" si="1571"/>
        <v>5</v>
      </c>
      <c r="S389" s="7">
        <f t="shared" si="1572"/>
        <v>35.497579142809165</v>
      </c>
      <c r="V389" s="38">
        <f t="shared" si="1395"/>
        <v>629.65517241379314</v>
      </c>
      <c r="W389" s="4">
        <v>91.3</v>
      </c>
      <c r="X389" s="4">
        <f t="shared" si="1573"/>
        <v>0.65825114412661645</v>
      </c>
      <c r="Y389" s="38"/>
      <c r="Z389" s="38"/>
      <c r="AA389" s="39">
        <v>1</v>
      </c>
      <c r="AB389" s="39"/>
      <c r="AC389" s="39"/>
      <c r="AD389" s="7"/>
      <c r="AE389" s="4">
        <f t="shared" si="1576"/>
        <v>103.12399999999998</v>
      </c>
      <c r="AF389" s="4">
        <f t="shared" si="1577"/>
        <v>1.0755336617405586</v>
      </c>
      <c r="AG389" s="4">
        <f t="shared" si="1578"/>
        <v>230.72573356041525</v>
      </c>
      <c r="AH389" s="4">
        <f t="shared" si="1579"/>
        <v>0.84347290640394079</v>
      </c>
      <c r="AI389" s="4">
        <v>1.25</v>
      </c>
      <c r="AJ389" s="4">
        <f t="shared" si="1513"/>
        <v>2.5</v>
      </c>
      <c r="AK389" s="38">
        <f t="shared" si="1729"/>
        <v>654.09556044638771</v>
      </c>
      <c r="AL389" s="38">
        <f t="shared" si="1616"/>
        <v>654.09556044638771</v>
      </c>
      <c r="AM389" s="38">
        <f t="shared" si="1580"/>
        <v>4.7518593634836064</v>
      </c>
      <c r="AN389" s="38">
        <f t="shared" si="1521"/>
        <v>654.09556044638748</v>
      </c>
      <c r="AO389" s="38">
        <f t="shared" si="1484"/>
        <v>1.0000000000000004</v>
      </c>
      <c r="AP389" s="38">
        <f t="shared" si="1522"/>
        <v>2.1677650835509659</v>
      </c>
      <c r="AQ389" s="4">
        <f t="shared" si="1523"/>
        <v>0</v>
      </c>
      <c r="AR389" s="4" t="e">
        <f>#REF!/G389*F389^0.5/0.19</f>
        <v>#REF!</v>
      </c>
      <c r="AS389" s="4">
        <f t="shared" si="1581"/>
        <v>1</v>
      </c>
      <c r="AT389" s="38">
        <f t="shared" si="1582"/>
        <v>1417.9255172413791</v>
      </c>
      <c r="AU389" s="4">
        <f t="shared" si="1583"/>
        <v>0.44000000000000006</v>
      </c>
      <c r="AV389" s="4" t="e">
        <f>AU389*D389*#REF!/(D389*G389/2.75/F389^0.5)</f>
        <v>#REF!</v>
      </c>
      <c r="AW389" s="4" t="e">
        <f t="shared" si="1431"/>
        <v>#REF!</v>
      </c>
      <c r="AY389" s="4">
        <f t="shared" si="1584"/>
        <v>1.5</v>
      </c>
      <c r="AZ389" s="4" t="e">
        <f>(3*#REF!+30)*AY389*F389^0.5</f>
        <v>#REF!</v>
      </c>
      <c r="BB389" s="4">
        <f t="shared" si="1585"/>
        <v>1359.9639720260559</v>
      </c>
      <c r="BC389" s="4">
        <f t="shared" si="1662"/>
        <v>0</v>
      </c>
      <c r="BD389" s="4">
        <f t="shared" si="1432"/>
        <v>0</v>
      </c>
      <c r="BL389" s="4">
        <f t="shared" si="1586"/>
        <v>66.039999999999992</v>
      </c>
      <c r="BP389" s="9"/>
      <c r="BR389" s="9"/>
      <c r="BS389" s="9"/>
      <c r="BT389" s="9">
        <f t="shared" si="1587"/>
        <v>66.039999999999992</v>
      </c>
      <c r="BU389" s="9">
        <f t="shared" si="1588"/>
        <v>84.454999999999984</v>
      </c>
      <c r="BV389" s="9">
        <f t="shared" si="1589"/>
        <v>2.116261887080392</v>
      </c>
      <c r="BW389" s="40">
        <f t="shared" si="1738"/>
        <v>0</v>
      </c>
      <c r="BX389" s="9">
        <f t="shared" si="1590"/>
        <v>0</v>
      </c>
      <c r="BY389" s="9">
        <f t="shared" si="1433"/>
        <v>0</v>
      </c>
      <c r="BZ389" s="9">
        <f t="shared" si="1591"/>
        <v>1</v>
      </c>
      <c r="CA389" s="9">
        <f t="shared" si="1592"/>
        <v>0.68</v>
      </c>
      <c r="CB389" s="9">
        <f t="shared" si="1593"/>
        <v>2.0757770792545673</v>
      </c>
      <c r="CC389" s="9">
        <f t="shared" si="1594"/>
        <v>4.3928879189014953</v>
      </c>
      <c r="CD389" s="40">
        <v>1</v>
      </c>
      <c r="CE389" s="9" t="e">
        <f>4*CC389*#REF!+60*CC389</f>
        <v>#REF!</v>
      </c>
      <c r="CG389" s="4" t="e">
        <f t="shared" si="1434"/>
        <v>#REF!</v>
      </c>
      <c r="CH389" s="4" t="e">
        <f t="shared" si="1435"/>
        <v>#REF!</v>
      </c>
      <c r="CI389" s="4" t="e">
        <f t="shared" si="1436"/>
        <v>#REF!</v>
      </c>
      <c r="CJ389" s="4" t="e">
        <f t="shared" si="1437"/>
        <v>#REF!</v>
      </c>
      <c r="CK389" s="4">
        <f t="shared" si="1438"/>
        <v>0.65825114412661645</v>
      </c>
      <c r="CL389" s="4">
        <f t="shared" si="1439"/>
        <v>0.67646352686461653</v>
      </c>
      <c r="CM389" s="4">
        <f t="shared" si="1699"/>
        <v>1.3010744184441332</v>
      </c>
      <c r="CN389" s="4">
        <f t="shared" si="1739"/>
        <v>0</v>
      </c>
      <c r="CO389" s="4" t="e">
        <f t="shared" ref="CO389:CO390" si="1757">CG389</f>
        <v>#REF!</v>
      </c>
      <c r="CP389" s="4" t="e">
        <f t="shared" ref="CP389:CP390" si="1758">CH389</f>
        <v>#REF!</v>
      </c>
      <c r="CQ389" s="4" t="e">
        <f t="shared" ref="CQ389:CQ390" si="1759">CJ389</f>
        <v>#REF!</v>
      </c>
      <c r="CR389" s="4">
        <f>CM389</f>
        <v>1.3010744184441332</v>
      </c>
      <c r="CS389" s="4">
        <f t="shared" ref="CS389:CS390" si="1760">CK389</f>
        <v>0.65825114412661645</v>
      </c>
      <c r="CT389" s="4">
        <f t="shared" ref="CT389:CT390" si="1761">CL389</f>
        <v>0.67646352686461653</v>
      </c>
      <c r="DC389" s="4" t="e">
        <f>#REF!</f>
        <v>#REF!</v>
      </c>
      <c r="DF389" s="4">
        <f t="shared" si="1601"/>
        <v>1.5546920012851651E-5</v>
      </c>
      <c r="DG389" s="4">
        <f t="shared" si="1446"/>
        <v>14.719357433866572</v>
      </c>
      <c r="DH389" s="4">
        <f t="shared" si="1602"/>
        <v>0.29691990485502351</v>
      </c>
      <c r="DI389" s="4">
        <f t="shared" si="1447"/>
        <v>9.0561702129907751</v>
      </c>
      <c r="DJ389" s="4">
        <f t="shared" si="1448"/>
        <v>12.222139532840403</v>
      </c>
      <c r="DK389" s="4">
        <f t="shared" si="1603"/>
        <v>14.254053602825914</v>
      </c>
      <c r="DL389" s="38">
        <f t="shared" si="1604"/>
        <v>956.55765741088817</v>
      </c>
      <c r="DM389" s="4" t="e">
        <f t="shared" si="1449"/>
        <v>#REF!</v>
      </c>
      <c r="DN389" s="4">
        <f t="shared" si="1605"/>
        <v>2.2360679774997898</v>
      </c>
      <c r="DO389" s="4">
        <f t="shared" si="1697"/>
        <v>654.09556044638748</v>
      </c>
      <c r="DS389" s="4">
        <f t="shared" si="1606"/>
        <v>0.85</v>
      </c>
      <c r="DT389" s="4">
        <f t="shared" si="1607"/>
        <v>0.7</v>
      </c>
      <c r="DU389" s="4">
        <f t="shared" si="1608"/>
        <v>1</v>
      </c>
      <c r="DV389" s="4">
        <f t="shared" si="1450"/>
        <v>0.7</v>
      </c>
      <c r="DX389" s="4">
        <f t="shared" si="1609"/>
        <v>930.8043189441737</v>
      </c>
      <c r="DY389" s="25">
        <f t="shared" si="1502"/>
        <v>643.953481272982</v>
      </c>
      <c r="EA389" s="4">
        <f t="shared" si="1503"/>
        <v>0.59499999999999997</v>
      </c>
      <c r="EB389" s="4">
        <f t="shared" si="1610"/>
        <v>14.719357433866572</v>
      </c>
      <c r="EE389" s="4">
        <f t="shared" si="1611"/>
        <v>35.497579142809165</v>
      </c>
      <c r="EF389" s="4">
        <f t="shared" si="1451"/>
        <v>2.2360679774997898</v>
      </c>
      <c r="EG389" s="4">
        <f t="shared" si="1612"/>
        <v>0.14160491681408338</v>
      </c>
      <c r="EJ389" s="4">
        <f t="shared" si="1452"/>
        <v>0.14160491681408338</v>
      </c>
      <c r="EK389" s="4">
        <f t="shared" si="1613"/>
        <v>0.29642440087216809</v>
      </c>
      <c r="EL389" s="4">
        <f t="shared" si="1453"/>
        <v>9.0501219596905358</v>
      </c>
      <c r="EM389" s="4">
        <f t="shared" si="1454"/>
        <v>12.219907720614318</v>
      </c>
      <c r="EN389" s="4" t="e">
        <f t="shared" si="1455"/>
        <v>#REF!</v>
      </c>
      <c r="EO389" s="4" t="e">
        <f t="shared" si="1456"/>
        <v>#REF!</v>
      </c>
      <c r="EP389" s="4" t="e">
        <f t="shared" si="1614"/>
        <v>#REF!</v>
      </c>
      <c r="EQ389" s="4" t="e">
        <f t="shared" si="1457"/>
        <v>#REF!</v>
      </c>
      <c r="ER389" s="4" t="e">
        <f t="shared" si="1615"/>
        <v>#REF!</v>
      </c>
      <c r="FA389" s="23" t="e">
        <f t="shared" si="1383"/>
        <v>#REF!</v>
      </c>
      <c r="FB389" s="23" t="e">
        <f t="shared" si="1384"/>
        <v>#REF!</v>
      </c>
      <c r="FC389" s="23">
        <f t="shared" si="1706"/>
        <v>1.4</v>
      </c>
      <c r="FD389" s="23" t="e">
        <f t="shared" si="1385"/>
        <v>#REF!</v>
      </c>
      <c r="FE389" s="23">
        <f t="shared" si="1386"/>
        <v>0.8</v>
      </c>
      <c r="FF389" s="23">
        <f t="shared" si="1387"/>
        <v>0.8</v>
      </c>
      <c r="FG389" s="23">
        <f t="shared" si="1629"/>
        <v>1</v>
      </c>
      <c r="FH389" s="23"/>
      <c r="FR389" s="4">
        <f t="shared" si="1485"/>
        <v>1</v>
      </c>
      <c r="FS389" s="4">
        <f t="shared" si="1486"/>
        <v>0.5</v>
      </c>
      <c r="FT389" s="4">
        <f t="shared" si="1487"/>
        <v>0</v>
      </c>
      <c r="FU389" s="4">
        <f t="shared" si="1488"/>
        <v>483.95015956639526</v>
      </c>
    </row>
    <row r="390" spans="2:177" ht="12" customHeight="1" x14ac:dyDescent="0.3">
      <c r="B390" s="24"/>
      <c r="C390" s="7" t="s">
        <v>534</v>
      </c>
      <c r="D390" s="38">
        <f t="shared" si="1724"/>
        <v>958.62068965517244</v>
      </c>
      <c r="E390" s="38">
        <f>4.13*25.4</f>
        <v>104.90199999999999</v>
      </c>
      <c r="F390" s="38">
        <f t="shared" ref="F390:F402" si="1762">11030/145</f>
        <v>76.068965517241381</v>
      </c>
      <c r="G390" s="38">
        <f t="shared" si="1726"/>
        <v>15.875</v>
      </c>
      <c r="H390" s="38">
        <f>13*25.4</f>
        <v>330.2</v>
      </c>
      <c r="I390" s="38">
        <f>2.5*25.4</f>
        <v>63.5</v>
      </c>
      <c r="J390" s="39">
        <f>4.9*25.4</f>
        <v>124.46000000000001</v>
      </c>
      <c r="K390" s="7">
        <f t="shared" si="1727"/>
        <v>171.45</v>
      </c>
      <c r="L390" s="38">
        <v>2</v>
      </c>
      <c r="M390" s="4">
        <f t="shared" si="1747"/>
        <v>133.35</v>
      </c>
      <c r="N390" s="7">
        <f t="shared" si="1569"/>
        <v>4.5</v>
      </c>
      <c r="O390" s="7">
        <f t="shared" si="1570"/>
        <v>4.5</v>
      </c>
      <c r="P390" s="38">
        <v>13.1</v>
      </c>
      <c r="Q390" s="4">
        <f t="shared" si="1736"/>
        <v>13.1</v>
      </c>
      <c r="R390" s="4">
        <f t="shared" si="1571"/>
        <v>14.1</v>
      </c>
      <c r="S390" s="7">
        <f t="shared" si="1572"/>
        <v>59.610572153771514</v>
      </c>
      <c r="V390" s="38">
        <f t="shared" si="1395"/>
        <v>698.62068965517244</v>
      </c>
      <c r="W390" s="4">
        <v>101.3</v>
      </c>
      <c r="X390" s="4">
        <f t="shared" si="1573"/>
        <v>0.77378912538861899</v>
      </c>
      <c r="Y390" s="38"/>
      <c r="Z390" s="38"/>
      <c r="AA390" s="39">
        <v>1</v>
      </c>
      <c r="AB390" s="39"/>
      <c r="AC390" s="39"/>
      <c r="AD390" s="7"/>
      <c r="AE390" s="4">
        <f t="shared" si="1576"/>
        <v>104.90199999999999</v>
      </c>
      <c r="AF390" s="4">
        <f t="shared" si="1577"/>
        <v>1.0492332526230832</v>
      </c>
      <c r="AG390" s="4">
        <f t="shared" si="1578"/>
        <v>236.71842498037796</v>
      </c>
      <c r="AH390" s="4">
        <f t="shared" si="1579"/>
        <v>0.83619854721549636</v>
      </c>
      <c r="AI390" s="4">
        <v>1.25</v>
      </c>
      <c r="AJ390" s="4">
        <f t="shared" si="1513"/>
        <v>2.5</v>
      </c>
      <c r="AK390" s="38">
        <f t="shared" si="1729"/>
        <v>649.02815775840463</v>
      </c>
      <c r="AL390" s="38">
        <f t="shared" si="1616"/>
        <v>649.02815775840463</v>
      </c>
      <c r="AM390" s="38">
        <f t="shared" si="1580"/>
        <v>4.7518593634836064</v>
      </c>
      <c r="AN390" s="38">
        <f t="shared" si="1521"/>
        <v>649.02815775840486</v>
      </c>
      <c r="AO390" s="38">
        <f t="shared" si="1484"/>
        <v>0.99999999999999967</v>
      </c>
      <c r="AP390" s="38">
        <f t="shared" si="1522"/>
        <v>3.8178787224830018</v>
      </c>
      <c r="AQ390" s="4">
        <f t="shared" si="1523"/>
        <v>0</v>
      </c>
      <c r="AR390" s="4" t="e">
        <f>#REF!/G390*F390^0.5/0.19</f>
        <v>#REF!</v>
      </c>
      <c r="AS390" s="4">
        <f t="shared" si="1581"/>
        <v>1</v>
      </c>
      <c r="AT390" s="38">
        <f t="shared" si="1582"/>
        <v>2477.9107937981548</v>
      </c>
      <c r="AU390" s="4">
        <f t="shared" si="1583"/>
        <v>0.3</v>
      </c>
      <c r="AV390" s="4" t="e">
        <f>AU390*D390*#REF!/(D390*G390/2.75/F390^0.5)</f>
        <v>#REF!</v>
      </c>
      <c r="AW390" s="4" t="e">
        <f t="shared" si="1431"/>
        <v>#REF!</v>
      </c>
      <c r="AY390" s="4">
        <f t="shared" si="1584"/>
        <v>1.5</v>
      </c>
      <c r="AZ390" s="4" t="e">
        <f>(3*#REF!+30)*AY390*F390^0.5</f>
        <v>#REF!</v>
      </c>
      <c r="BB390" s="4">
        <f t="shared" si="1585"/>
        <v>2376.619479996501</v>
      </c>
      <c r="BC390" s="4">
        <f t="shared" si="1662"/>
        <v>0</v>
      </c>
      <c r="BD390" s="4">
        <f t="shared" si="1432"/>
        <v>0</v>
      </c>
      <c r="BL390" s="4">
        <f t="shared" si="1586"/>
        <v>63.5</v>
      </c>
      <c r="BP390" s="9"/>
      <c r="BR390" s="9"/>
      <c r="BS390" s="9"/>
      <c r="BT390" s="9">
        <f t="shared" si="1587"/>
        <v>63.5</v>
      </c>
      <c r="BU390" s="9">
        <f t="shared" si="1588"/>
        <v>85.724999999999994</v>
      </c>
      <c r="BV390" s="9">
        <f t="shared" si="1589"/>
        <v>2.0920885420600022</v>
      </c>
      <c r="BW390" s="40">
        <f t="shared" si="1738"/>
        <v>0</v>
      </c>
      <c r="BX390" s="9">
        <f t="shared" si="1590"/>
        <v>0</v>
      </c>
      <c r="BY390" s="9">
        <f t="shared" si="1433"/>
        <v>0</v>
      </c>
      <c r="BZ390" s="9">
        <f t="shared" si="1591"/>
        <v>1</v>
      </c>
      <c r="CA390" s="9">
        <f t="shared" si="1592"/>
        <v>0.68</v>
      </c>
      <c r="CB390" s="9">
        <f t="shared" si="1593"/>
        <v>2.0757770792545673</v>
      </c>
      <c r="CC390" s="9">
        <f t="shared" si="1594"/>
        <v>4.342709443379257</v>
      </c>
      <c r="CD390" s="40">
        <v>1</v>
      </c>
      <c r="CE390" s="9" t="e">
        <f>4*CC390*#REF!+60*CC390</f>
        <v>#REF!</v>
      </c>
      <c r="CG390" s="4" t="e">
        <f t="shared" si="1434"/>
        <v>#REF!</v>
      </c>
      <c r="CH390" s="4" t="e">
        <f t="shared" si="1435"/>
        <v>#REF!</v>
      </c>
      <c r="CI390" s="4" t="e">
        <f t="shared" si="1436"/>
        <v>#REF!</v>
      </c>
      <c r="CJ390" s="4" t="e">
        <f t="shared" si="1437"/>
        <v>#REF!</v>
      </c>
      <c r="CK390" s="4">
        <f t="shared" si="1438"/>
        <v>0.77378912538861899</v>
      </c>
      <c r="CL390" s="4">
        <f t="shared" si="1439"/>
        <v>0.75051026424073697</v>
      </c>
      <c r="CM390" s="4">
        <f t="shared" si="1699"/>
        <v>1.419112376432075</v>
      </c>
      <c r="CN390" s="4">
        <f t="shared" si="1739"/>
        <v>0</v>
      </c>
      <c r="CO390" s="4" t="e">
        <f t="shared" si="1757"/>
        <v>#REF!</v>
      </c>
      <c r="CP390" s="4" t="e">
        <f t="shared" si="1758"/>
        <v>#REF!</v>
      </c>
      <c r="CQ390" s="4" t="e">
        <f t="shared" si="1759"/>
        <v>#REF!</v>
      </c>
      <c r="CR390" s="4">
        <f t="shared" ref="CR390" si="1763">CM390</f>
        <v>1.419112376432075</v>
      </c>
      <c r="CS390" s="4">
        <f t="shared" si="1760"/>
        <v>0.77378912538861899</v>
      </c>
      <c r="CT390" s="4">
        <f t="shared" si="1761"/>
        <v>0.75051026424073697</v>
      </c>
      <c r="DC390" s="4" t="e">
        <f>#REF!</f>
        <v>#REF!</v>
      </c>
      <c r="DF390" s="4">
        <f t="shared" si="1601"/>
        <v>1.5814970357900817E-5</v>
      </c>
      <c r="DG390" s="4">
        <f t="shared" si="1446"/>
        <v>14.719357433866572</v>
      </c>
      <c r="DH390" s="4">
        <f t="shared" si="1602"/>
        <v>0.15106884191806433</v>
      </c>
      <c r="DI390" s="4">
        <f t="shared" si="1447"/>
        <v>6.9112851462819327</v>
      </c>
      <c r="DJ390" s="4">
        <f t="shared" si="1448"/>
        <v>11.506298630815103</v>
      </c>
      <c r="DK390" s="4">
        <f t="shared" si="1603"/>
        <v>14.337879997179973</v>
      </c>
      <c r="DL390" s="38">
        <f t="shared" si="1604"/>
        <v>902.85669148465377</v>
      </c>
      <c r="DM390" s="4" t="e">
        <f t="shared" si="1449"/>
        <v>#REF!</v>
      </c>
      <c r="DN390" s="4">
        <f t="shared" si="1605"/>
        <v>3.7549966711037173</v>
      </c>
      <c r="DO390" s="4">
        <f t="shared" si="1697"/>
        <v>649.02815775840486</v>
      </c>
      <c r="DS390" s="4">
        <f t="shared" si="1606"/>
        <v>0.85</v>
      </c>
      <c r="DT390" s="4">
        <f t="shared" si="1607"/>
        <v>0.7</v>
      </c>
      <c r="DU390" s="4">
        <f t="shared" si="1608"/>
        <v>1</v>
      </c>
      <c r="DV390" s="4">
        <f t="shared" si="1450"/>
        <v>0.7</v>
      </c>
      <c r="DX390" s="4">
        <f t="shared" si="1609"/>
        <v>930.86093947288077</v>
      </c>
      <c r="DY390" s="25">
        <f t="shared" si="1502"/>
        <v>639.06439770390989</v>
      </c>
      <c r="EA390" s="4">
        <f t="shared" si="1503"/>
        <v>0.59499999999999997</v>
      </c>
      <c r="EB390" s="4">
        <f t="shared" si="1610"/>
        <v>14.719357433866572</v>
      </c>
      <c r="EE390" s="4">
        <f t="shared" si="1611"/>
        <v>59.610572153771514</v>
      </c>
      <c r="EF390" s="4">
        <f t="shared" si="1451"/>
        <v>3.7549966711037173</v>
      </c>
      <c r="EG390" s="4">
        <f t="shared" si="1612"/>
        <v>7.2046671318490713E-2</v>
      </c>
      <c r="EJ390" s="4">
        <f t="shared" si="1452"/>
        <v>7.2046671318490713E-2</v>
      </c>
      <c r="EK390" s="4">
        <f t="shared" si="1613"/>
        <v>0.15081673617630778</v>
      </c>
      <c r="EL390" s="4">
        <f t="shared" si="1453"/>
        <v>6.9066693757948734</v>
      </c>
      <c r="EM390" s="4">
        <f t="shared" si="1454"/>
        <v>11.5049337770006</v>
      </c>
      <c r="EN390" s="4" t="e">
        <f t="shared" si="1455"/>
        <v>#REF!</v>
      </c>
      <c r="EO390" s="4" t="e">
        <f t="shared" si="1456"/>
        <v>#REF!</v>
      </c>
      <c r="EP390" s="4" t="e">
        <f t="shared" si="1614"/>
        <v>#REF!</v>
      </c>
      <c r="EQ390" s="4" t="e">
        <f t="shared" si="1457"/>
        <v>#REF!</v>
      </c>
      <c r="ER390" s="4" t="e">
        <f t="shared" si="1615"/>
        <v>#REF!</v>
      </c>
      <c r="FA390" s="23" t="e">
        <f t="shared" si="1383"/>
        <v>#REF!</v>
      </c>
      <c r="FB390" s="23" t="e">
        <f t="shared" si="1384"/>
        <v>#REF!</v>
      </c>
      <c r="FC390" s="23">
        <f t="shared" si="1706"/>
        <v>1.6</v>
      </c>
      <c r="FD390" s="23" t="e">
        <f t="shared" si="1385"/>
        <v>#REF!</v>
      </c>
      <c r="FE390" s="23">
        <f t="shared" si="1386"/>
        <v>0.8</v>
      </c>
      <c r="FF390" s="23">
        <f t="shared" si="1387"/>
        <v>0.8</v>
      </c>
      <c r="FG390" s="23">
        <f t="shared" si="1629"/>
        <v>1</v>
      </c>
      <c r="FH390" s="23"/>
      <c r="FR390" s="4">
        <f t="shared" si="1485"/>
        <v>1</v>
      </c>
      <c r="FS390" s="4">
        <f t="shared" si="1486"/>
        <v>0.5</v>
      </c>
      <c r="FT390" s="4">
        <f t="shared" si="1487"/>
        <v>0</v>
      </c>
      <c r="FU390" s="4">
        <f t="shared" si="1488"/>
        <v>492.29412783478148</v>
      </c>
    </row>
    <row r="391" spans="2:177" ht="12" customHeight="1" x14ac:dyDescent="0.3">
      <c r="B391" s="24"/>
      <c r="C391" s="7" t="s">
        <v>535</v>
      </c>
      <c r="D391" s="38">
        <f t="shared" si="1724"/>
        <v>958.62068965517244</v>
      </c>
      <c r="E391" s="38">
        <f>4.13*25.4</f>
        <v>104.90199999999999</v>
      </c>
      <c r="F391" s="38">
        <f t="shared" si="1762"/>
        <v>76.068965517241381</v>
      </c>
      <c r="G391" s="38">
        <f t="shared" si="1726"/>
        <v>15.875</v>
      </c>
      <c r="H391" s="38">
        <f t="shared" si="1756"/>
        <v>332.73999999999995</v>
      </c>
      <c r="I391" s="38">
        <f>2.65*25.4</f>
        <v>67.309999999999988</v>
      </c>
      <c r="J391" s="39">
        <f>5*25.4</f>
        <v>127</v>
      </c>
      <c r="K391" s="7">
        <f t="shared" si="1727"/>
        <v>166.36999999999998</v>
      </c>
      <c r="L391" s="38">
        <v>2</v>
      </c>
      <c r="M391" s="4">
        <f t="shared" si="1747"/>
        <v>133.35</v>
      </c>
      <c r="N391" s="7">
        <f t="shared" si="1569"/>
        <v>4.7399999999999993</v>
      </c>
      <c r="O391" s="7">
        <f t="shared" si="1570"/>
        <v>4.7399999999999993</v>
      </c>
      <c r="P391" s="38">
        <v>4</v>
      </c>
      <c r="Q391" s="4">
        <f t="shared" si="1736"/>
        <v>4</v>
      </c>
      <c r="R391" s="4">
        <f t="shared" si="1571"/>
        <v>5</v>
      </c>
      <c r="S391" s="7">
        <f t="shared" si="1572"/>
        <v>35.497579142809165</v>
      </c>
      <c r="V391" s="38">
        <f t="shared" si="1395"/>
        <v>727.58620689655174</v>
      </c>
      <c r="W391" s="4">
        <v>105.5</v>
      </c>
      <c r="X391" s="4">
        <f t="shared" si="1573"/>
        <v>0.75899280575539563</v>
      </c>
      <c r="Y391" s="38">
        <f t="shared" ref="Y391:Y394" si="1764">0.375*25.4</f>
        <v>9.5249999999999986</v>
      </c>
      <c r="Z391" s="38">
        <v>4</v>
      </c>
      <c r="AA391" s="39">
        <f>3.5*25.4</f>
        <v>88.899999999999991</v>
      </c>
      <c r="AB391" s="39">
        <v>2</v>
      </c>
      <c r="AC391" s="39">
        <f t="shared" ref="AC391:AC394" si="1765">AB391-1</f>
        <v>1</v>
      </c>
      <c r="AD391" s="7"/>
      <c r="AE391" s="4">
        <f t="shared" si="1576"/>
        <v>104.90199999999999</v>
      </c>
      <c r="AF391" s="4">
        <f t="shared" si="1577"/>
        <v>1.0573042776432606</v>
      </c>
      <c r="AG391" s="4">
        <f t="shared" si="1578"/>
        <v>236.71842498037796</v>
      </c>
      <c r="AH391" s="4">
        <f t="shared" si="1579"/>
        <v>0.84346246973365613</v>
      </c>
      <c r="AI391" s="4">
        <v>1.25</v>
      </c>
      <c r="AJ391" s="4">
        <f t="shared" si="1513"/>
        <v>2.5</v>
      </c>
      <c r="AK391" s="38">
        <f t="shared" si="1729"/>
        <v>659.70205470310771</v>
      </c>
      <c r="AL391" s="38">
        <f t="shared" si="1616"/>
        <v>659.70205470310771</v>
      </c>
      <c r="AM391" s="38">
        <f t="shared" si="1580"/>
        <v>4.7518593634836064</v>
      </c>
      <c r="AN391" s="38">
        <f t="shared" si="1521"/>
        <v>659.70205470310782</v>
      </c>
      <c r="AO391" s="38">
        <f t="shared" si="1484"/>
        <v>0.99999999999999978</v>
      </c>
      <c r="AP391" s="38">
        <f t="shared" si="1522"/>
        <v>2.1862408581643331</v>
      </c>
      <c r="AQ391" s="4">
        <f t="shared" si="1523"/>
        <v>0</v>
      </c>
      <c r="AR391" s="4" t="e">
        <f>#REF!/G391*F391^0.5/0.19</f>
        <v>#REF!</v>
      </c>
      <c r="AS391" s="4">
        <f t="shared" si="1581"/>
        <v>1</v>
      </c>
      <c r="AT391" s="38">
        <f t="shared" si="1582"/>
        <v>1442.2675862068963</v>
      </c>
      <c r="AU391" s="4">
        <f t="shared" si="1583"/>
        <v>0.44000000000000006</v>
      </c>
      <c r="AV391" s="4" t="e">
        <f>AU391*D391*#REF!/(D391*G391/2.75/F391^0.5)</f>
        <v>#REF!</v>
      </c>
      <c r="AW391" s="4" t="e">
        <f t="shared" si="1431"/>
        <v>#REF!</v>
      </c>
      <c r="AY391" s="4">
        <f t="shared" si="1584"/>
        <v>1.5</v>
      </c>
      <c r="AZ391" s="4" t="e">
        <f>(3*#REF!+30)*AY391*F391^0.5</f>
        <v>#REF!</v>
      </c>
      <c r="BB391" s="4">
        <f t="shared" si="1585"/>
        <v>1383.3109930050441</v>
      </c>
      <c r="BC391" s="4">
        <f t="shared" si="1662"/>
        <v>0</v>
      </c>
      <c r="BD391" s="4">
        <f t="shared" si="1432"/>
        <v>0</v>
      </c>
      <c r="BL391" s="4">
        <f t="shared" si="1586"/>
        <v>67.309999999999988</v>
      </c>
      <c r="BP391" s="9"/>
      <c r="BR391" s="9"/>
      <c r="BS391" s="9"/>
      <c r="BT391" s="9">
        <f t="shared" si="1587"/>
        <v>67.309999999999988</v>
      </c>
      <c r="BU391" s="9">
        <f t="shared" si="1588"/>
        <v>83.184999999999988</v>
      </c>
      <c r="BV391" s="9">
        <f t="shared" si="1589"/>
        <v>2.1255814085673048</v>
      </c>
      <c r="BW391" s="40">
        <f t="shared" si="1738"/>
        <v>20</v>
      </c>
      <c r="BX391" s="9">
        <f t="shared" si="1590"/>
        <v>0.05</v>
      </c>
      <c r="BY391" s="9">
        <f t="shared" si="1433"/>
        <v>0.8</v>
      </c>
      <c r="BZ391" s="9">
        <f t="shared" si="1591"/>
        <v>1</v>
      </c>
      <c r="CA391" s="9">
        <f t="shared" si="1592"/>
        <v>0.68</v>
      </c>
      <c r="CB391" s="9">
        <f t="shared" si="1593"/>
        <v>2.0757770792545673</v>
      </c>
      <c r="CC391" s="9">
        <f t="shared" si="1594"/>
        <v>5.1894426981364186</v>
      </c>
      <c r="CD391" s="40">
        <v>1</v>
      </c>
      <c r="CE391" s="9" t="e">
        <f>4*CC391*#REF!+60*CC391</f>
        <v>#REF!</v>
      </c>
      <c r="CG391" s="4" t="e">
        <f t="shared" si="1434"/>
        <v>#REF!</v>
      </c>
      <c r="CH391" s="4" t="e">
        <f t="shared" si="1435"/>
        <v>#REF!</v>
      </c>
      <c r="CI391" s="4" t="e">
        <f t="shared" si="1436"/>
        <v>#REF!</v>
      </c>
      <c r="CJ391" s="4" t="e">
        <f t="shared" si="1437"/>
        <v>#REF!</v>
      </c>
      <c r="CK391" s="4">
        <f t="shared" si="1438"/>
        <v>0.75899280575539563</v>
      </c>
      <c r="CL391" s="4">
        <f t="shared" si="1439"/>
        <v>0.77281597321579087</v>
      </c>
      <c r="CM391" s="4">
        <f t="shared" si="1699"/>
        <v>1.3703241283774616</v>
      </c>
      <c r="CN391" s="4">
        <f t="shared" si="1739"/>
        <v>4</v>
      </c>
      <c r="CU391" s="4" t="e">
        <f t="shared" ref="CU391:CU394" si="1766">CG391</f>
        <v>#REF!</v>
      </c>
      <c r="CV391" s="4" t="e">
        <f t="shared" ref="CV391:CV394" si="1767">CH391</f>
        <v>#REF!</v>
      </c>
      <c r="CW391" s="4" t="e">
        <f t="shared" ref="CW391:CW394" si="1768">CJ391</f>
        <v>#REF!</v>
      </c>
      <c r="CX391" s="4">
        <f t="shared" ref="CX391:CX394" si="1769">CM391</f>
        <v>1.3703241283774616</v>
      </c>
      <c r="CY391" s="4">
        <f t="shared" ref="CY391:CY394" si="1770">CK391</f>
        <v>0.75899280575539563</v>
      </c>
      <c r="CZ391" s="4">
        <f t="shared" ref="CZ391:CZ394" si="1771">CL391</f>
        <v>0.77281597321579087</v>
      </c>
      <c r="DC391" s="4" t="e">
        <f>#REF!</f>
        <v>#REF!</v>
      </c>
      <c r="DF391" s="4">
        <f t="shared" si="1601"/>
        <v>1.5814970357900817E-5</v>
      </c>
      <c r="DG391" s="4">
        <f t="shared" si="1446"/>
        <v>14.719357433866572</v>
      </c>
      <c r="DH391" s="4">
        <f t="shared" si="1602"/>
        <v>0.29946491485347015</v>
      </c>
      <c r="DI391" s="4">
        <f t="shared" si="1447"/>
        <v>9.0871402447161813</v>
      </c>
      <c r="DJ391" s="4">
        <f t="shared" si="1448"/>
        <v>12.233585041549734</v>
      </c>
      <c r="DK391" s="4">
        <f t="shared" si="1603"/>
        <v>14.23633445769425</v>
      </c>
      <c r="DL391" s="38">
        <f t="shared" si="1604"/>
        <v>958.62068965517244</v>
      </c>
      <c r="DM391" s="4" t="e">
        <f t="shared" si="1449"/>
        <v>#REF!</v>
      </c>
      <c r="DN391" s="4">
        <f t="shared" si="1605"/>
        <v>2.2360679774997898</v>
      </c>
      <c r="DO391" s="4">
        <f t="shared" si="1697"/>
        <v>659.70205470310782</v>
      </c>
      <c r="DS391" s="4">
        <f t="shared" si="1606"/>
        <v>0.85</v>
      </c>
      <c r="DT391" s="4">
        <f t="shared" si="1607"/>
        <v>0.7</v>
      </c>
      <c r="DU391" s="4">
        <f t="shared" si="1608"/>
        <v>0.85899999999999999</v>
      </c>
      <c r="DV391" s="4">
        <f t="shared" si="1450"/>
        <v>0.7</v>
      </c>
      <c r="DX391" s="4">
        <f t="shared" si="1609"/>
        <v>941.4740793580753</v>
      </c>
      <c r="DY391" s="25">
        <f t="shared" si="1502"/>
        <v>649.67753758910442</v>
      </c>
      <c r="EA391" s="4">
        <f t="shared" si="1503"/>
        <v>0.59499999999999997</v>
      </c>
      <c r="EB391" s="4">
        <f t="shared" si="1610"/>
        <v>14.719357433866572</v>
      </c>
      <c r="EE391" s="4">
        <f t="shared" si="1611"/>
        <v>35.497579142809165</v>
      </c>
      <c r="EF391" s="4">
        <f t="shared" si="1451"/>
        <v>2.2360679774997898</v>
      </c>
      <c r="EG391" s="4">
        <f t="shared" si="1612"/>
        <v>0.1428186647751607</v>
      </c>
      <c r="EJ391" s="4">
        <f t="shared" si="1452"/>
        <v>0.1428186647751607</v>
      </c>
      <c r="EK391" s="4">
        <f t="shared" si="1613"/>
        <v>0.29896516372325277</v>
      </c>
      <c r="EL391" s="4">
        <f t="shared" si="1453"/>
        <v>9.0810713077723939</v>
      </c>
      <c r="EM391" s="4">
        <f t="shared" si="1454"/>
        <v>12.231339852740703</v>
      </c>
      <c r="EN391" s="4" t="e">
        <f t="shared" si="1455"/>
        <v>#REF!</v>
      </c>
      <c r="EO391" s="4" t="e">
        <f t="shared" si="1456"/>
        <v>#REF!</v>
      </c>
      <c r="EP391" s="4" t="e">
        <f t="shared" si="1614"/>
        <v>#REF!</v>
      </c>
      <c r="EQ391" s="4" t="e">
        <f t="shared" si="1457"/>
        <v>#REF!</v>
      </c>
      <c r="ER391" s="4" t="e">
        <f t="shared" si="1615"/>
        <v>#REF!</v>
      </c>
      <c r="FA391" s="23" t="e">
        <f t="shared" ref="FA391:FA453" si="1772">IF(CG391&lt;0.6,0.6,IF(CG391&lt;0.8,0.8,IF(CG391&lt;1,1,IF(CG391&lt;1.2,1.2,IF(CG391&lt;1.4,1.4,IF(CG391&lt;1.6,1.6,IF(CG391&lt;1.8,1.8,IF(CG391&lt;2,2,2.2))))))))</f>
        <v>#REF!</v>
      </c>
      <c r="FB391" s="23" t="e">
        <f t="shared" ref="FB391:FB453" si="1773">IF(CH391&lt;0.6,0.6,IF(CH391&lt;0.8,0.8,IF(CH391&lt;1,1,IF(CH391&lt;1.2,1.2,IF(CH391&lt;1.4,1.4,IF(CH391&lt;1.6,1.6,IF(CH391&lt;1.8,1.8,IF(CH391&lt;2,2,2.2))))))))</f>
        <v>#REF!</v>
      </c>
      <c r="FC391" s="23">
        <f t="shared" si="1706"/>
        <v>1.4</v>
      </c>
      <c r="FD391" s="23" t="e">
        <f t="shared" ref="FD391:FD453" si="1774">IF(CJ391&lt;0.6,0.6,IF(CJ391&lt;0.8,0.8,IF(CJ391&lt;1,1,IF(CJ391&lt;1.2,1.2,IF(CJ391&lt;1.4,1.4,IF(CJ391&lt;1.6,1.6,IF(CJ391&lt;1.8,1.8,IF(CJ391&lt;2,2,2.2))))))))</f>
        <v>#REF!</v>
      </c>
      <c r="FE391" s="23">
        <f t="shared" ref="FE391:FE453" si="1775">IF(CK391&lt;0.6,0.6,IF(CK391&lt;0.8,0.8,IF(CK391&lt;1,1,IF(CK391&lt;1.2,1.2,IF(CK391&lt;1.4,1.4,IF(CK391&lt;1.6,1.6,IF(CK391&lt;1.8,1.8,IF(CK391&lt;2,2,2.2))))))))</f>
        <v>0.8</v>
      </c>
      <c r="FF391" s="23">
        <f t="shared" ref="FF391:FF453" si="1776">IF(CL391&lt;0.6,0.6,IF(CL391&lt;0.8,0.8,IF(CL391&lt;1,1,IF(CL391&lt;1.2,1.2,IF(CL391&lt;1.4,1.4,IF(CL391&lt;1.6,1.6,IF(CL391&lt;1.8,1.8,IF(CL391&lt;2,2,2.2))))))))</f>
        <v>0.8</v>
      </c>
      <c r="FG391" s="23">
        <f t="shared" si="1629"/>
        <v>1</v>
      </c>
      <c r="FH391" s="23"/>
      <c r="FR391" s="4">
        <f t="shared" si="1485"/>
        <v>1</v>
      </c>
      <c r="FS391" s="4">
        <f t="shared" si="1486"/>
        <v>0.46358941059918601</v>
      </c>
      <c r="FT391" s="4">
        <f t="shared" si="1487"/>
        <v>0.3</v>
      </c>
      <c r="FU391" s="4">
        <f t="shared" si="1488"/>
        <v>530.95920288439595</v>
      </c>
    </row>
    <row r="392" spans="2:177" ht="12" customHeight="1" x14ac:dyDescent="0.3">
      <c r="B392" s="24"/>
      <c r="C392" s="7" t="s">
        <v>536</v>
      </c>
      <c r="D392" s="38">
        <f t="shared" si="1724"/>
        <v>958.62068965517244</v>
      </c>
      <c r="E392" s="38">
        <f>4.09*25.4</f>
        <v>103.886</v>
      </c>
      <c r="F392" s="38">
        <f t="shared" si="1762"/>
        <v>76.068965517241381</v>
      </c>
      <c r="G392" s="38">
        <f t="shared" si="1726"/>
        <v>15.875</v>
      </c>
      <c r="H392" s="38">
        <f t="shared" si="1756"/>
        <v>332.73999999999995</v>
      </c>
      <c r="I392" s="38">
        <f>2.6*25.4</f>
        <v>66.039999999999992</v>
      </c>
      <c r="J392" s="39">
        <f>5.15*25.4</f>
        <v>130.81</v>
      </c>
      <c r="K392" s="7">
        <f t="shared" si="1727"/>
        <v>168.90999999999997</v>
      </c>
      <c r="L392" s="38">
        <v>2</v>
      </c>
      <c r="M392" s="4">
        <f t="shared" si="1747"/>
        <v>133.35</v>
      </c>
      <c r="N392" s="7">
        <f t="shared" si="1569"/>
        <v>4.6599999999999993</v>
      </c>
      <c r="O392" s="7">
        <f t="shared" si="1570"/>
        <v>4.6599999999999993</v>
      </c>
      <c r="P392" s="38">
        <v>13.1</v>
      </c>
      <c r="Q392" s="4">
        <f t="shared" si="1736"/>
        <v>13.1</v>
      </c>
      <c r="R392" s="4">
        <f t="shared" si="1571"/>
        <v>14.1</v>
      </c>
      <c r="S392" s="7">
        <f t="shared" si="1572"/>
        <v>59.610572153771514</v>
      </c>
      <c r="V392" s="38">
        <f t="shared" si="1395"/>
        <v>807.58620689655174</v>
      </c>
      <c r="W392" s="4">
        <v>117.1</v>
      </c>
      <c r="X392" s="4">
        <f t="shared" si="1573"/>
        <v>0.8904869210020433</v>
      </c>
      <c r="Y392" s="38">
        <f t="shared" si="1764"/>
        <v>9.5249999999999986</v>
      </c>
      <c r="Z392" s="38">
        <v>4</v>
      </c>
      <c r="AA392" s="39">
        <f>3.5*25.4</f>
        <v>88.899999999999991</v>
      </c>
      <c r="AB392" s="39">
        <v>2</v>
      </c>
      <c r="AC392" s="39">
        <f t="shared" si="1765"/>
        <v>1</v>
      </c>
      <c r="AD392" s="7"/>
      <c r="AE392" s="4">
        <f t="shared" si="1576"/>
        <v>103.886</v>
      </c>
      <c r="AF392" s="4">
        <f t="shared" si="1577"/>
        <v>1.0676446617766908</v>
      </c>
      <c r="AG392" s="4">
        <f t="shared" si="1578"/>
        <v>233.28775677272216</v>
      </c>
      <c r="AH392" s="4">
        <f t="shared" si="1579"/>
        <v>0.84242053789731042</v>
      </c>
      <c r="AI392" s="4">
        <v>1.25</v>
      </c>
      <c r="AJ392" s="4">
        <f t="shared" si="1513"/>
        <v>2.5</v>
      </c>
      <c r="AK392" s="38">
        <f t="shared" si="1729"/>
        <v>655.68862261712218</v>
      </c>
      <c r="AL392" s="38">
        <f t="shared" si="1616"/>
        <v>655.68862261712218</v>
      </c>
      <c r="AM392" s="38">
        <f t="shared" si="1580"/>
        <v>4.7518593634836064</v>
      </c>
      <c r="AN392" s="38">
        <f t="shared" si="1521"/>
        <v>655.68862261712229</v>
      </c>
      <c r="AO392" s="38">
        <f t="shared" si="1484"/>
        <v>0.99999999999999978</v>
      </c>
      <c r="AP392" s="38">
        <f t="shared" si="1522"/>
        <v>3.9134647150757931</v>
      </c>
      <c r="AQ392" s="4">
        <f t="shared" si="1523"/>
        <v>0</v>
      </c>
      <c r="AR392" s="4" t="e">
        <f>#REF!/G392*F392^0.5/0.19</f>
        <v>#REF!</v>
      </c>
      <c r="AS392" s="4">
        <f t="shared" si="1581"/>
        <v>1</v>
      </c>
      <c r="AT392" s="38">
        <f t="shared" si="1582"/>
        <v>2566.0142886887556</v>
      </c>
      <c r="AU392" s="4">
        <f t="shared" si="1583"/>
        <v>0.3</v>
      </c>
      <c r="AV392" s="4" t="e">
        <f>AU392*D392*#REF!/(D392*G392/2.75/F392^0.5)</f>
        <v>#REF!</v>
      </c>
      <c r="AW392" s="4" t="e">
        <f t="shared" si="1431"/>
        <v>#REF!</v>
      </c>
      <c r="AY392" s="4">
        <f t="shared" si="1584"/>
        <v>1.5</v>
      </c>
      <c r="AZ392" s="4" t="e">
        <f>(3*#REF!+30)*AY392*F392^0.5</f>
        <v>#REF!</v>
      </c>
      <c r="BB392" s="4">
        <f t="shared" si="1585"/>
        <v>2461.1215059519318</v>
      </c>
      <c r="BC392" s="4">
        <f t="shared" si="1662"/>
        <v>0</v>
      </c>
      <c r="BD392" s="4">
        <f t="shared" si="1432"/>
        <v>0</v>
      </c>
      <c r="BL392" s="4">
        <f t="shared" si="1586"/>
        <v>66.039999999999992</v>
      </c>
      <c r="BP392" s="9"/>
      <c r="BR392" s="9"/>
      <c r="BS392" s="9"/>
      <c r="BT392" s="9">
        <f t="shared" si="1587"/>
        <v>66.039999999999992</v>
      </c>
      <c r="BU392" s="9">
        <f t="shared" si="1588"/>
        <v>84.454999999999984</v>
      </c>
      <c r="BV392" s="9">
        <f t="shared" si="1589"/>
        <v>2.116261887080392</v>
      </c>
      <c r="BW392" s="40">
        <f t="shared" si="1738"/>
        <v>20</v>
      </c>
      <c r="BX392" s="9">
        <f t="shared" si="1590"/>
        <v>0.05</v>
      </c>
      <c r="BY392" s="9">
        <f t="shared" si="1433"/>
        <v>0.8</v>
      </c>
      <c r="BZ392" s="9">
        <f t="shared" si="1591"/>
        <v>1</v>
      </c>
      <c r="CA392" s="9">
        <f t="shared" si="1592"/>
        <v>0.68</v>
      </c>
      <c r="CB392" s="9">
        <f t="shared" si="1593"/>
        <v>2.0757770792545673</v>
      </c>
      <c r="CC392" s="9">
        <f t="shared" si="1594"/>
        <v>5.1894426981364186</v>
      </c>
      <c r="CD392" s="40">
        <v>1</v>
      </c>
      <c r="CE392" s="9" t="e">
        <f>4*CC392*#REF!+60*CC392</f>
        <v>#REF!</v>
      </c>
      <c r="CG392" s="4" t="e">
        <f t="shared" si="1434"/>
        <v>#REF!</v>
      </c>
      <c r="CH392" s="4" t="e">
        <f t="shared" si="1435"/>
        <v>#REF!</v>
      </c>
      <c r="CI392" s="4" t="e">
        <f t="shared" si="1436"/>
        <v>#REF!</v>
      </c>
      <c r="CJ392" s="4" t="e">
        <f t="shared" si="1437"/>
        <v>#REF!</v>
      </c>
      <c r="CK392" s="4">
        <f t="shared" si="1438"/>
        <v>0.8904869210020433</v>
      </c>
      <c r="CL392" s="4">
        <f t="shared" si="1439"/>
        <v>0.86413021470864393</v>
      </c>
      <c r="CM392" s="4">
        <f t="shared" si="1699"/>
        <v>1.5358700933690845</v>
      </c>
      <c r="CN392" s="4">
        <f t="shared" si="1739"/>
        <v>4</v>
      </c>
      <c r="CU392" s="4" t="e">
        <f t="shared" si="1766"/>
        <v>#REF!</v>
      </c>
      <c r="CV392" s="4" t="e">
        <f t="shared" si="1767"/>
        <v>#REF!</v>
      </c>
      <c r="CW392" s="4" t="e">
        <f t="shared" si="1768"/>
        <v>#REF!</v>
      </c>
      <c r="CX392" s="4">
        <f t="shared" si="1769"/>
        <v>1.5358700933690845</v>
      </c>
      <c r="CY392" s="4">
        <f t="shared" si="1770"/>
        <v>0.8904869210020433</v>
      </c>
      <c r="CZ392" s="4">
        <f t="shared" si="1771"/>
        <v>0.86413021470864393</v>
      </c>
      <c r="DC392" s="4" t="e">
        <f>#REF!</f>
        <v>#REF!</v>
      </c>
      <c r="DF392" s="4">
        <f t="shared" si="1601"/>
        <v>1.5661798732158438E-5</v>
      </c>
      <c r="DG392" s="4">
        <f t="shared" si="1446"/>
        <v>14.719357433866572</v>
      </c>
      <c r="DH392" s="4">
        <f t="shared" si="1602"/>
        <v>0.1526191424725388</v>
      </c>
      <c r="DI392" s="4">
        <f t="shared" si="1447"/>
        <v>6.9395683100342502</v>
      </c>
      <c r="DJ392" s="4">
        <f t="shared" si="1448"/>
        <v>11.514679402936299</v>
      </c>
      <c r="DK392" s="4">
        <f t="shared" si="1603"/>
        <v>14.345562691705661</v>
      </c>
      <c r="DL392" s="38">
        <f t="shared" si="1604"/>
        <v>906.90406321498199</v>
      </c>
      <c r="DM392" s="4" t="e">
        <f t="shared" si="1449"/>
        <v>#REF!</v>
      </c>
      <c r="DN392" s="4">
        <f t="shared" si="1605"/>
        <v>3.7549966711037173</v>
      </c>
      <c r="DO392" s="4">
        <f t="shared" si="1697"/>
        <v>655.68862261712229</v>
      </c>
      <c r="DS392" s="4">
        <f t="shared" si="1606"/>
        <v>0.85</v>
      </c>
      <c r="DT392" s="4">
        <f t="shared" si="1607"/>
        <v>0.7</v>
      </c>
      <c r="DU392" s="4">
        <f t="shared" si="1608"/>
        <v>0.85899999999999999</v>
      </c>
      <c r="DV392" s="4">
        <f t="shared" si="1450"/>
        <v>0.7</v>
      </c>
      <c r="DX392" s="4">
        <f t="shared" si="1609"/>
        <v>934.56540825718389</v>
      </c>
      <c r="DY392" s="25">
        <f t="shared" si="1502"/>
        <v>645.59498311551533</v>
      </c>
      <c r="EA392" s="4">
        <f t="shared" si="1503"/>
        <v>0.59499999999999997</v>
      </c>
      <c r="EB392" s="4">
        <f t="shared" si="1610"/>
        <v>14.719357433866572</v>
      </c>
      <c r="EE392" s="4">
        <f t="shared" si="1611"/>
        <v>59.610572153771514</v>
      </c>
      <c r="EF392" s="4">
        <f t="shared" si="1451"/>
        <v>3.7549966711037173</v>
      </c>
      <c r="EG392" s="4">
        <f t="shared" si="1612"/>
        <v>7.2786029567848812E-2</v>
      </c>
      <c r="EJ392" s="4">
        <f t="shared" si="1452"/>
        <v>7.2786029567848812E-2</v>
      </c>
      <c r="EK392" s="4">
        <f t="shared" si="1613"/>
        <v>0.15236444956809359</v>
      </c>
      <c r="EL392" s="4">
        <f t="shared" si="1453"/>
        <v>6.9349336503551298</v>
      </c>
      <c r="EM392" s="4">
        <f t="shared" si="1454"/>
        <v>11.513304002340247</v>
      </c>
      <c r="EN392" s="4" t="e">
        <f t="shared" si="1455"/>
        <v>#REF!</v>
      </c>
      <c r="EO392" s="4" t="e">
        <f t="shared" si="1456"/>
        <v>#REF!</v>
      </c>
      <c r="EP392" s="4" t="e">
        <f t="shared" si="1614"/>
        <v>#REF!</v>
      </c>
      <c r="EQ392" s="4" t="e">
        <f t="shared" si="1457"/>
        <v>#REF!</v>
      </c>
      <c r="ER392" s="4" t="e">
        <f t="shared" si="1615"/>
        <v>#REF!</v>
      </c>
      <c r="FA392" s="23" t="e">
        <f t="shared" si="1772"/>
        <v>#REF!</v>
      </c>
      <c r="FB392" s="23" t="e">
        <f t="shared" si="1773"/>
        <v>#REF!</v>
      </c>
      <c r="FC392" s="23">
        <f t="shared" si="1706"/>
        <v>1.6</v>
      </c>
      <c r="FD392" s="23" t="e">
        <f t="shared" si="1774"/>
        <v>#REF!</v>
      </c>
      <c r="FE392" s="23">
        <f t="shared" si="1775"/>
        <v>1</v>
      </c>
      <c r="FF392" s="23">
        <f t="shared" si="1776"/>
        <v>1</v>
      </c>
      <c r="FG392" s="23">
        <f t="shared" si="1629"/>
        <v>0</v>
      </c>
      <c r="FH392" s="23"/>
      <c r="FR392" s="4">
        <f t="shared" si="1485"/>
        <v>1</v>
      </c>
      <c r="FS392" s="4">
        <f t="shared" si="1486"/>
        <v>0.46358941059918601</v>
      </c>
      <c r="FT392" s="4">
        <f t="shared" si="1487"/>
        <v>0.3</v>
      </c>
      <c r="FU392" s="4">
        <f t="shared" si="1488"/>
        <v>525.81674087098781</v>
      </c>
    </row>
    <row r="393" spans="2:177" ht="12" customHeight="1" x14ac:dyDescent="0.3">
      <c r="B393" s="24"/>
      <c r="C393" s="7" t="s">
        <v>537</v>
      </c>
      <c r="D393" s="38">
        <f t="shared" si="1724"/>
        <v>958.62068965517244</v>
      </c>
      <c r="E393" s="38">
        <f>4.22*25.4</f>
        <v>107.18799999999999</v>
      </c>
      <c r="F393" s="38">
        <f t="shared" si="1762"/>
        <v>76.068965517241381</v>
      </c>
      <c r="G393" s="38">
        <f t="shared" si="1726"/>
        <v>15.875</v>
      </c>
      <c r="H393" s="38">
        <f t="shared" si="1756"/>
        <v>332.73999999999995</v>
      </c>
      <c r="I393" s="38">
        <f>2.55*25.4</f>
        <v>64.77</v>
      </c>
      <c r="J393" s="39">
        <f>4.8*25.4</f>
        <v>121.91999999999999</v>
      </c>
      <c r="K393" s="7">
        <f t="shared" si="1727"/>
        <v>171.44999999999996</v>
      </c>
      <c r="L393" s="38">
        <v>2</v>
      </c>
      <c r="M393" s="4">
        <f t="shared" si="1747"/>
        <v>133.35</v>
      </c>
      <c r="N393" s="7">
        <f t="shared" si="1569"/>
        <v>4.58</v>
      </c>
      <c r="O393" s="7">
        <f t="shared" si="1570"/>
        <v>4.58</v>
      </c>
      <c r="P393" s="38">
        <v>4</v>
      </c>
      <c r="Q393" s="4">
        <f t="shared" si="1736"/>
        <v>4</v>
      </c>
      <c r="R393" s="4">
        <f t="shared" si="1571"/>
        <v>5</v>
      </c>
      <c r="S393" s="7">
        <f t="shared" si="1572"/>
        <v>35.497579142809165</v>
      </c>
      <c r="V393" s="38">
        <f t="shared" ref="V393:V453" si="1777">W393/0.145</f>
        <v>865.51724137931035</v>
      </c>
      <c r="W393" s="4">
        <v>125.5</v>
      </c>
      <c r="X393" s="4">
        <f t="shared" si="1573"/>
        <v>0.90287769784172656</v>
      </c>
      <c r="Y393" s="38">
        <f t="shared" si="1764"/>
        <v>9.5249999999999986</v>
      </c>
      <c r="Z393" s="38">
        <v>10</v>
      </c>
      <c r="AA393" s="39">
        <f>1.75*25.4</f>
        <v>44.449999999999996</v>
      </c>
      <c r="AB393" s="39">
        <v>3</v>
      </c>
      <c r="AC393" s="39">
        <f t="shared" si="1765"/>
        <v>2</v>
      </c>
      <c r="AD393" s="7"/>
      <c r="AE393" s="4">
        <f t="shared" si="1576"/>
        <v>107.18799999999999</v>
      </c>
      <c r="AF393" s="4">
        <f t="shared" si="1577"/>
        <v>1.0347551342812007</v>
      </c>
      <c r="AG393" s="4">
        <f t="shared" si="1578"/>
        <v>244.49819737031095</v>
      </c>
      <c r="AH393" s="4">
        <f t="shared" si="1579"/>
        <v>0.83566350710900472</v>
      </c>
      <c r="AI393" s="4">
        <v>1.25</v>
      </c>
      <c r="AJ393" s="4">
        <f t="shared" si="1513"/>
        <v>2.5</v>
      </c>
      <c r="AK393" s="38">
        <f t="shared" si="1729"/>
        <v>660.68540095813057</v>
      </c>
      <c r="AL393" s="38">
        <f t="shared" si="1616"/>
        <v>660.68540095813057</v>
      </c>
      <c r="AM393" s="38">
        <f t="shared" si="1580"/>
        <v>4.7518593634836064</v>
      </c>
      <c r="AN393" s="38">
        <f t="shared" si="1521"/>
        <v>660.6854009581308</v>
      </c>
      <c r="AO393" s="38">
        <f t="shared" si="1484"/>
        <v>0.99999999999999967</v>
      </c>
      <c r="AP393" s="38">
        <f t="shared" si="1522"/>
        <v>2.1092995944134336</v>
      </c>
      <c r="AQ393" s="4">
        <f t="shared" si="1523"/>
        <v>0</v>
      </c>
      <c r="AR393" s="4" t="e">
        <f>#REF!/G393*F393^0.5/0.19</f>
        <v>#REF!</v>
      </c>
      <c r="AS393" s="4">
        <f t="shared" si="1581"/>
        <v>1</v>
      </c>
      <c r="AT393" s="38">
        <f t="shared" si="1582"/>
        <v>1393.5834482758621</v>
      </c>
      <c r="AU393" s="4">
        <f t="shared" si="1583"/>
        <v>0.44000000000000006</v>
      </c>
      <c r="AV393" s="4" t="e">
        <f>AU393*D393*#REF!/(D393*G393/2.75/F393^0.5)</f>
        <v>#REF!</v>
      </c>
      <c r="AW393" s="4" t="e">
        <f t="shared" si="1431"/>
        <v>#REF!</v>
      </c>
      <c r="AY393" s="4">
        <f t="shared" si="1584"/>
        <v>1.5</v>
      </c>
      <c r="AZ393" s="4" t="e">
        <f>(3*#REF!+30)*AY393*F393^0.5</f>
        <v>#REF!</v>
      </c>
      <c r="BB393" s="4">
        <f t="shared" si="1585"/>
        <v>1336.6169510470681</v>
      </c>
      <c r="BC393" s="4">
        <f t="shared" si="1662"/>
        <v>0</v>
      </c>
      <c r="BD393" s="4">
        <f t="shared" si="1432"/>
        <v>0</v>
      </c>
      <c r="BL393" s="4">
        <f t="shared" si="1586"/>
        <v>64.77</v>
      </c>
      <c r="BP393" s="9"/>
      <c r="BR393" s="9"/>
      <c r="BS393" s="9"/>
      <c r="BT393" s="9">
        <f t="shared" si="1587"/>
        <v>64.77</v>
      </c>
      <c r="BU393" s="9">
        <f t="shared" si="1588"/>
        <v>85.72499999999998</v>
      </c>
      <c r="BV393" s="9">
        <f t="shared" si="1589"/>
        <v>2.1066390052415969</v>
      </c>
      <c r="BW393" s="40">
        <f t="shared" si="1738"/>
        <v>20</v>
      </c>
      <c r="BX393" s="9">
        <f t="shared" si="1590"/>
        <v>0.05</v>
      </c>
      <c r="BY393" s="9">
        <f t="shared" si="1433"/>
        <v>0.8</v>
      </c>
      <c r="BZ393" s="9">
        <f t="shared" si="1591"/>
        <v>1</v>
      </c>
      <c r="CA393" s="9">
        <f t="shared" si="1592"/>
        <v>0.68</v>
      </c>
      <c r="CB393" s="9">
        <f t="shared" si="1593"/>
        <v>2.0757770792545673</v>
      </c>
      <c r="CC393" s="9">
        <f t="shared" si="1594"/>
        <v>5.1894426981364186</v>
      </c>
      <c r="CD393" s="40">
        <v>1</v>
      </c>
      <c r="CE393" s="9" t="e">
        <f>4*CC393*#REF!+60*CC393</f>
        <v>#REF!</v>
      </c>
      <c r="CG393" s="4" t="e">
        <f t="shared" si="1434"/>
        <v>#REF!</v>
      </c>
      <c r="CH393" s="4" t="e">
        <f t="shared" si="1435"/>
        <v>#REF!</v>
      </c>
      <c r="CI393" s="4" t="e">
        <f t="shared" si="1436"/>
        <v>#REF!</v>
      </c>
      <c r="CJ393" s="4" t="e">
        <f t="shared" si="1437"/>
        <v>#REF!</v>
      </c>
      <c r="CK393" s="4">
        <f t="shared" si="1438"/>
        <v>0.90287769784172656</v>
      </c>
      <c r="CL393" s="4">
        <f t="shared" si="1439"/>
        <v>0.91208253125064931</v>
      </c>
      <c r="CM393" s="4">
        <f t="shared" si="1699"/>
        <v>1.5953360225510751</v>
      </c>
      <c r="CN393" s="4">
        <f t="shared" si="1739"/>
        <v>10</v>
      </c>
      <c r="CU393" s="4" t="e">
        <f t="shared" si="1766"/>
        <v>#REF!</v>
      </c>
      <c r="CV393" s="4" t="e">
        <f t="shared" si="1767"/>
        <v>#REF!</v>
      </c>
      <c r="CW393" s="4" t="e">
        <f t="shared" si="1768"/>
        <v>#REF!</v>
      </c>
      <c r="CX393" s="4">
        <f t="shared" si="1769"/>
        <v>1.5953360225510751</v>
      </c>
      <c r="CY393" s="4">
        <f t="shared" si="1770"/>
        <v>0.90287769784172656</v>
      </c>
      <c r="CZ393" s="4">
        <f t="shared" si="1771"/>
        <v>0.91208253125064931</v>
      </c>
      <c r="DC393" s="4" t="e">
        <f>#REF!</f>
        <v>#REF!</v>
      </c>
      <c r="DF393" s="4">
        <f t="shared" si="1601"/>
        <v>1.6159606515821178E-5</v>
      </c>
      <c r="DG393" s="4">
        <f t="shared" si="1446"/>
        <v>14.719357433866572</v>
      </c>
      <c r="DH393" s="4">
        <f t="shared" si="1602"/>
        <v>0.29991129470090672</v>
      </c>
      <c r="DI393" s="4">
        <f t="shared" si="1447"/>
        <v>9.0925559092864905</v>
      </c>
      <c r="DJ393" s="4">
        <f t="shared" si="1448"/>
        <v>12.235589502750088</v>
      </c>
      <c r="DK393" s="4">
        <f t="shared" si="1603"/>
        <v>14.213904064637124</v>
      </c>
      <c r="DL393" s="38">
        <f t="shared" si="1604"/>
        <v>958.62068965517244</v>
      </c>
      <c r="DM393" s="4" t="e">
        <f t="shared" si="1449"/>
        <v>#REF!</v>
      </c>
      <c r="DN393" s="4">
        <f t="shared" si="1605"/>
        <v>2.2360679774997898</v>
      </c>
      <c r="DO393" s="4">
        <f t="shared" si="1697"/>
        <v>660.6854009581308</v>
      </c>
      <c r="DS393" s="4">
        <f t="shared" si="1606"/>
        <v>0.85</v>
      </c>
      <c r="DT393" s="4">
        <f t="shared" si="1607"/>
        <v>0.7</v>
      </c>
      <c r="DU393" s="4">
        <f t="shared" si="1608"/>
        <v>0.7</v>
      </c>
      <c r="DV393" s="4">
        <f t="shared" si="1450"/>
        <v>0.7</v>
      </c>
      <c r="DX393" s="4">
        <f t="shared" si="1609"/>
        <v>948.94618822762834</v>
      </c>
      <c r="DY393" s="25">
        <f t="shared" si="1502"/>
        <v>650.79088404722711</v>
      </c>
      <c r="EA393" s="4">
        <f t="shared" si="1503"/>
        <v>0.59499999999999997</v>
      </c>
      <c r="EB393" s="4">
        <f t="shared" si="1610"/>
        <v>14.719357433866572</v>
      </c>
      <c r="EE393" s="4">
        <f t="shared" si="1611"/>
        <v>35.497579142809165</v>
      </c>
      <c r="EF393" s="4">
        <f t="shared" si="1451"/>
        <v>2.2360679774997898</v>
      </c>
      <c r="EG393" s="4">
        <f t="shared" si="1612"/>
        <v>0.14303154905853199</v>
      </c>
      <c r="EJ393" s="4">
        <f t="shared" si="1452"/>
        <v>0.14303154905853199</v>
      </c>
      <c r="EK393" s="4">
        <f t="shared" si="1613"/>
        <v>0.2994107986459178</v>
      </c>
      <c r="EL393" s="4">
        <f t="shared" si="1453"/>
        <v>9.0864833554372844</v>
      </c>
      <c r="EM393" s="4">
        <f t="shared" si="1454"/>
        <v>12.233341972668274</v>
      </c>
      <c r="EN393" s="4" t="e">
        <f t="shared" si="1455"/>
        <v>#REF!</v>
      </c>
      <c r="EO393" s="4" t="e">
        <f t="shared" si="1456"/>
        <v>#REF!</v>
      </c>
      <c r="EP393" s="4" t="e">
        <f t="shared" si="1614"/>
        <v>#REF!</v>
      </c>
      <c r="EQ393" s="4" t="e">
        <f t="shared" si="1457"/>
        <v>#REF!</v>
      </c>
      <c r="ER393" s="4" t="e">
        <f t="shared" si="1615"/>
        <v>#REF!</v>
      </c>
      <c r="FA393" s="23" t="e">
        <f t="shared" si="1772"/>
        <v>#REF!</v>
      </c>
      <c r="FB393" s="23" t="e">
        <f t="shared" si="1773"/>
        <v>#REF!</v>
      </c>
      <c r="FC393" s="23">
        <f t="shared" si="1706"/>
        <v>1.6</v>
      </c>
      <c r="FD393" s="23" t="e">
        <f t="shared" si="1774"/>
        <v>#REF!</v>
      </c>
      <c r="FE393" s="23">
        <f t="shared" si="1775"/>
        <v>1</v>
      </c>
      <c r="FF393" s="23">
        <f t="shared" si="1776"/>
        <v>1</v>
      </c>
      <c r="FG393" s="23">
        <f t="shared" si="1629"/>
        <v>0</v>
      </c>
      <c r="FH393" s="23"/>
      <c r="FR393" s="4">
        <f t="shared" si="1485"/>
        <v>1</v>
      </c>
      <c r="FS393" s="4">
        <f t="shared" si="1486"/>
        <v>0.46358941059918601</v>
      </c>
      <c r="FT393" s="4">
        <f t="shared" si="1487"/>
        <v>0.3</v>
      </c>
      <c r="FU393" s="4">
        <f t="shared" si="1488"/>
        <v>542.52974241456434</v>
      </c>
    </row>
    <row r="394" spans="2:177" ht="12" customHeight="1" x14ac:dyDescent="0.3">
      <c r="B394" s="24"/>
      <c r="C394" s="7" t="s">
        <v>538</v>
      </c>
      <c r="D394" s="38">
        <f t="shared" si="1724"/>
        <v>958.62068965517244</v>
      </c>
      <c r="E394" s="38">
        <f>4.13*25.4</f>
        <v>104.90199999999999</v>
      </c>
      <c r="F394" s="38">
        <f t="shared" si="1762"/>
        <v>76.068965517241381</v>
      </c>
      <c r="G394" s="38">
        <f t="shared" si="1726"/>
        <v>15.875</v>
      </c>
      <c r="H394" s="38">
        <f t="shared" si="1756"/>
        <v>332.73999999999995</v>
      </c>
      <c r="I394" s="38">
        <f>2.55*25.4</f>
        <v>64.77</v>
      </c>
      <c r="J394" s="39">
        <f>5*25.4</f>
        <v>127</v>
      </c>
      <c r="K394" s="7">
        <f t="shared" si="1727"/>
        <v>171.44999999999996</v>
      </c>
      <c r="L394" s="38">
        <v>2</v>
      </c>
      <c r="M394" s="4">
        <f t="shared" si="1747"/>
        <v>133.35</v>
      </c>
      <c r="N394" s="7">
        <f t="shared" si="1569"/>
        <v>4.58</v>
      </c>
      <c r="O394" s="7">
        <f t="shared" si="1570"/>
        <v>4.58</v>
      </c>
      <c r="P394" s="38">
        <v>13.1</v>
      </c>
      <c r="Q394" s="4">
        <f t="shared" si="1736"/>
        <v>13.1</v>
      </c>
      <c r="R394" s="4">
        <f t="shared" si="1571"/>
        <v>14.1</v>
      </c>
      <c r="S394" s="7">
        <f t="shared" si="1572"/>
        <v>59.610572153771514</v>
      </c>
      <c r="V394" s="38">
        <f t="shared" si="1777"/>
        <v>896.55172413793105</v>
      </c>
      <c r="W394" s="4">
        <v>130</v>
      </c>
      <c r="X394" s="4">
        <f t="shared" si="1573"/>
        <v>0.98498574494393953</v>
      </c>
      <c r="Y394" s="38">
        <f t="shared" si="1764"/>
        <v>9.5249999999999986</v>
      </c>
      <c r="Z394" s="38">
        <v>10</v>
      </c>
      <c r="AA394" s="39">
        <f>1.75*25.4</f>
        <v>44.449999999999996</v>
      </c>
      <c r="AB394" s="39">
        <v>3</v>
      </c>
      <c r="AC394" s="39">
        <f t="shared" si="1765"/>
        <v>2</v>
      </c>
      <c r="AD394" s="7"/>
      <c r="AE394" s="4">
        <f t="shared" si="1576"/>
        <v>104.90199999999999</v>
      </c>
      <c r="AF394" s="4">
        <f t="shared" si="1577"/>
        <v>1.0573042776432606</v>
      </c>
      <c r="AG394" s="4">
        <f t="shared" si="1578"/>
        <v>236.71842498037796</v>
      </c>
      <c r="AH394" s="4">
        <f t="shared" si="1579"/>
        <v>0.83861985472154954</v>
      </c>
      <c r="AI394" s="4">
        <v>1.25</v>
      </c>
      <c r="AJ394" s="4">
        <f t="shared" si="1513"/>
        <v>2.5</v>
      </c>
      <c r="AK394" s="38">
        <f t="shared" si="1729"/>
        <v>655.914472933605</v>
      </c>
      <c r="AL394" s="38">
        <f t="shared" si="1616"/>
        <v>655.914472933605</v>
      </c>
      <c r="AM394" s="38">
        <f t="shared" si="1580"/>
        <v>4.7518593634836064</v>
      </c>
      <c r="AN394" s="38">
        <f t="shared" si="1521"/>
        <v>655.91447293360523</v>
      </c>
      <c r="AO394" s="38">
        <f t="shared" si="1484"/>
        <v>0.99999999999999967</v>
      </c>
      <c r="AP394" s="38">
        <f t="shared" si="1522"/>
        <v>3.8449563857980928</v>
      </c>
      <c r="AQ394" s="4">
        <f t="shared" si="1523"/>
        <v>0</v>
      </c>
      <c r="AR394" s="4" t="e">
        <f>#REF!/G394*F394^0.5/0.19</f>
        <v>#REF!</v>
      </c>
      <c r="AS394" s="4">
        <f t="shared" si="1581"/>
        <v>1</v>
      </c>
      <c r="AT394" s="38">
        <f t="shared" si="1582"/>
        <v>2521.9625412434557</v>
      </c>
      <c r="AU394" s="4">
        <f t="shared" si="1583"/>
        <v>0.3</v>
      </c>
      <c r="AV394" s="4" t="e">
        <f>AU394*D394*#REF!/(D394*G394/2.75/F394^0.5)</f>
        <v>#REF!</v>
      </c>
      <c r="AW394" s="4" t="e">
        <f t="shared" si="1431"/>
        <v>#REF!</v>
      </c>
      <c r="AY394" s="4">
        <f t="shared" si="1584"/>
        <v>1.5</v>
      </c>
      <c r="AZ394" s="4" t="e">
        <f>(3*#REF!+30)*AY394*F394^0.5</f>
        <v>#REF!</v>
      </c>
      <c r="BB394" s="4">
        <f t="shared" si="1585"/>
        <v>2418.8704929742166</v>
      </c>
      <c r="BC394" s="4">
        <f t="shared" si="1662"/>
        <v>0</v>
      </c>
      <c r="BD394" s="4">
        <f t="shared" si="1432"/>
        <v>0</v>
      </c>
      <c r="BL394" s="4">
        <f t="shared" si="1586"/>
        <v>64.77</v>
      </c>
      <c r="BP394" s="9"/>
      <c r="BR394" s="9"/>
      <c r="BS394" s="9"/>
      <c r="BT394" s="9">
        <f t="shared" si="1587"/>
        <v>64.77</v>
      </c>
      <c r="BU394" s="9">
        <f t="shared" si="1588"/>
        <v>85.72499999999998</v>
      </c>
      <c r="BV394" s="9">
        <f t="shared" si="1589"/>
        <v>2.1066390052415969</v>
      </c>
      <c r="BW394" s="40">
        <f t="shared" si="1738"/>
        <v>20</v>
      </c>
      <c r="BX394" s="9">
        <f t="shared" si="1590"/>
        <v>0.05</v>
      </c>
      <c r="BY394" s="9">
        <f t="shared" si="1433"/>
        <v>0.8</v>
      </c>
      <c r="BZ394" s="9">
        <f t="shared" si="1591"/>
        <v>1</v>
      </c>
      <c r="CA394" s="9">
        <f t="shared" si="1592"/>
        <v>0.68</v>
      </c>
      <c r="CB394" s="9">
        <f t="shared" si="1593"/>
        <v>2.0757770792545673</v>
      </c>
      <c r="CC394" s="9">
        <f t="shared" si="1594"/>
        <v>5.1894426981364186</v>
      </c>
      <c r="CD394" s="40">
        <v>1</v>
      </c>
      <c r="CE394" s="9" t="e">
        <f>4*CC394*#REF!+60*CC394</f>
        <v>#REF!</v>
      </c>
      <c r="CG394" s="4" t="e">
        <f t="shared" si="1434"/>
        <v>#REF!</v>
      </c>
      <c r="CH394" s="4" t="e">
        <f t="shared" si="1435"/>
        <v>#REF!</v>
      </c>
      <c r="CI394" s="4" t="e">
        <f t="shared" si="1436"/>
        <v>#REF!</v>
      </c>
      <c r="CJ394" s="4" t="e">
        <f t="shared" si="1437"/>
        <v>#REF!</v>
      </c>
      <c r="CK394" s="4">
        <f t="shared" si="1438"/>
        <v>0.98498574494393953</v>
      </c>
      <c r="CL394" s="4">
        <f t="shared" si="1439"/>
        <v>0.95614243505191698</v>
      </c>
      <c r="CM394" s="4">
        <f t="shared" si="1699"/>
        <v>1.6885510586641708</v>
      </c>
      <c r="CN394" s="4">
        <f t="shared" si="1739"/>
        <v>10</v>
      </c>
      <c r="CU394" s="4" t="e">
        <f t="shared" si="1766"/>
        <v>#REF!</v>
      </c>
      <c r="CV394" s="4" t="e">
        <f t="shared" si="1767"/>
        <v>#REF!</v>
      </c>
      <c r="CW394" s="4" t="e">
        <f t="shared" si="1768"/>
        <v>#REF!</v>
      </c>
      <c r="CX394" s="4">
        <f t="shared" si="1769"/>
        <v>1.6885510586641708</v>
      </c>
      <c r="CY394" s="4">
        <f t="shared" si="1770"/>
        <v>0.98498574494393953</v>
      </c>
      <c r="CZ394" s="4">
        <f t="shared" si="1771"/>
        <v>0.95614243505191698</v>
      </c>
      <c r="DC394" s="4" t="e">
        <f>#REF!</f>
        <v>#REF!</v>
      </c>
      <c r="DF394" s="4">
        <f t="shared" si="1601"/>
        <v>1.5814970357900817E-5</v>
      </c>
      <c r="DG394" s="4">
        <f t="shared" si="1446"/>
        <v>14.719357433866572</v>
      </c>
      <c r="DH394" s="4">
        <f t="shared" si="1602"/>
        <v>0.15267171175686037</v>
      </c>
      <c r="DI394" s="4">
        <f t="shared" si="1447"/>
        <v>6.940524338074761</v>
      </c>
      <c r="DJ394" s="4">
        <f t="shared" si="1448"/>
        <v>11.514963218771863</v>
      </c>
      <c r="DK394" s="4">
        <f t="shared" si="1603"/>
        <v>14.336996999621</v>
      </c>
      <c r="DL394" s="38">
        <f t="shared" si="1604"/>
        <v>910.21796887929406</v>
      </c>
      <c r="DM394" s="4" t="e">
        <f t="shared" si="1449"/>
        <v>#REF!</v>
      </c>
      <c r="DN394" s="4">
        <f t="shared" si="1605"/>
        <v>3.7549966711037173</v>
      </c>
      <c r="DO394" s="4">
        <f t="shared" si="1697"/>
        <v>655.91447293360523</v>
      </c>
      <c r="DS394" s="4">
        <f t="shared" si="1606"/>
        <v>0.85</v>
      </c>
      <c r="DT394" s="4">
        <f t="shared" si="1607"/>
        <v>0.7</v>
      </c>
      <c r="DU394" s="4">
        <f t="shared" si="1608"/>
        <v>0.7</v>
      </c>
      <c r="DV394" s="4">
        <f t="shared" si="1450"/>
        <v>0.7</v>
      </c>
      <c r="DX394" s="4">
        <f t="shared" si="1609"/>
        <v>937.67590608950411</v>
      </c>
      <c r="DY394" s="25">
        <f t="shared" si="1502"/>
        <v>645.87936432053323</v>
      </c>
      <c r="EA394" s="4">
        <f t="shared" si="1503"/>
        <v>0.59499999999999997</v>
      </c>
      <c r="EB394" s="4">
        <f t="shared" si="1610"/>
        <v>14.719357433866572</v>
      </c>
      <c r="EE394" s="4">
        <f t="shared" si="1611"/>
        <v>59.610572153771514</v>
      </c>
      <c r="EF394" s="4">
        <f t="shared" si="1451"/>
        <v>3.7549966711037173</v>
      </c>
      <c r="EG394" s="4">
        <f t="shared" si="1612"/>
        <v>7.2811100534838955E-2</v>
      </c>
      <c r="EJ394" s="4">
        <f t="shared" si="1452"/>
        <v>7.2811100534838955E-2</v>
      </c>
      <c r="EK394" s="4">
        <f t="shared" si="1613"/>
        <v>0.15241693112407723</v>
      </c>
      <c r="EL394" s="4">
        <f t="shared" si="1453"/>
        <v>6.9358890399028104</v>
      </c>
      <c r="EM394" s="4">
        <f t="shared" si="1454"/>
        <v>11.513587461198421</v>
      </c>
      <c r="EN394" s="4" t="e">
        <f t="shared" si="1455"/>
        <v>#REF!</v>
      </c>
      <c r="EO394" s="4" t="e">
        <f t="shared" si="1456"/>
        <v>#REF!</v>
      </c>
      <c r="EP394" s="4" t="e">
        <f t="shared" si="1614"/>
        <v>#REF!</v>
      </c>
      <c r="EQ394" s="4" t="e">
        <f t="shared" si="1457"/>
        <v>#REF!</v>
      </c>
      <c r="ER394" s="4" t="e">
        <f t="shared" si="1615"/>
        <v>#REF!</v>
      </c>
      <c r="FA394" s="23" t="e">
        <f t="shared" si="1772"/>
        <v>#REF!</v>
      </c>
      <c r="FB394" s="23" t="e">
        <f t="shared" si="1773"/>
        <v>#REF!</v>
      </c>
      <c r="FC394" s="23">
        <f t="shared" si="1706"/>
        <v>1.8</v>
      </c>
      <c r="FD394" s="23" t="e">
        <f t="shared" si="1774"/>
        <v>#REF!</v>
      </c>
      <c r="FE394" s="23">
        <f t="shared" si="1775"/>
        <v>1</v>
      </c>
      <c r="FF394" s="23">
        <f t="shared" si="1776"/>
        <v>1</v>
      </c>
      <c r="FG394" s="23">
        <f t="shared" si="1629"/>
        <v>0</v>
      </c>
      <c r="FH394" s="23"/>
      <c r="FR394" s="4">
        <f t="shared" si="1485"/>
        <v>1</v>
      </c>
      <c r="FS394" s="4">
        <f t="shared" si="1486"/>
        <v>0.46358941059918601</v>
      </c>
      <c r="FT394" s="4">
        <f t="shared" si="1487"/>
        <v>0.3</v>
      </c>
      <c r="FU394" s="4">
        <f t="shared" si="1488"/>
        <v>530.95920288439595</v>
      </c>
    </row>
    <row r="395" spans="2:177" ht="12" customHeight="1" x14ac:dyDescent="0.3">
      <c r="B395" s="24"/>
      <c r="C395" s="7" t="s">
        <v>539</v>
      </c>
      <c r="D395" s="38">
        <f t="shared" si="1724"/>
        <v>958.62068965517244</v>
      </c>
      <c r="E395" s="38">
        <f>6*25.4</f>
        <v>152.39999999999998</v>
      </c>
      <c r="F395" s="38">
        <f t="shared" si="1762"/>
        <v>76.068965517241381</v>
      </c>
      <c r="G395" s="38">
        <f t="shared" si="1726"/>
        <v>15.875</v>
      </c>
      <c r="H395" s="38">
        <f t="shared" si="1756"/>
        <v>332.73999999999995</v>
      </c>
      <c r="I395" s="38">
        <f>2.55*25.4</f>
        <v>64.77</v>
      </c>
      <c r="J395" s="39">
        <f>3.1*25.4</f>
        <v>78.739999999999995</v>
      </c>
      <c r="K395" s="7">
        <f t="shared" si="1727"/>
        <v>171.44999999999996</v>
      </c>
      <c r="L395" s="38">
        <v>2</v>
      </c>
      <c r="M395" s="4">
        <f t="shared" si="1747"/>
        <v>133.35</v>
      </c>
      <c r="N395" s="7">
        <f t="shared" si="1569"/>
        <v>4.58</v>
      </c>
      <c r="O395" s="7">
        <f t="shared" si="1570"/>
        <v>4.58</v>
      </c>
      <c r="P395" s="38">
        <v>4</v>
      </c>
      <c r="Q395" s="4">
        <f t="shared" si="1736"/>
        <v>4</v>
      </c>
      <c r="R395" s="4">
        <f t="shared" si="1571"/>
        <v>5</v>
      </c>
      <c r="S395" s="7">
        <f t="shared" si="1572"/>
        <v>35.497579142809165</v>
      </c>
      <c r="V395" s="38">
        <f t="shared" si="1777"/>
        <v>927.58620689655174</v>
      </c>
      <c r="W395" s="4">
        <v>134.5</v>
      </c>
      <c r="X395" s="4">
        <f t="shared" si="1573"/>
        <v>0.96762589928057552</v>
      </c>
      <c r="Y395" s="38"/>
      <c r="Z395" s="38"/>
      <c r="AA395" s="39">
        <v>1</v>
      </c>
      <c r="AB395" s="39"/>
      <c r="AC395" s="39"/>
      <c r="AD395" s="7"/>
      <c r="AE395" s="4">
        <f t="shared" si="1576"/>
        <v>152.39999999999998</v>
      </c>
      <c r="AF395" s="4">
        <f t="shared" si="1577"/>
        <v>0.72777777777777763</v>
      </c>
      <c r="AG395" s="4">
        <f t="shared" si="1578"/>
        <v>414.50890080495793</v>
      </c>
      <c r="AH395" s="4">
        <f t="shared" si="1579"/>
        <v>0.79541666666666666</v>
      </c>
      <c r="AI395" s="4">
        <v>1.25</v>
      </c>
      <c r="AJ395" s="4">
        <f t="shared" si="1513"/>
        <v>2.5</v>
      </c>
      <c r="AK395" s="38">
        <f t="shared" si="1729"/>
        <v>749.85511721935075</v>
      </c>
      <c r="AL395" s="38">
        <f t="shared" si="1616"/>
        <v>749.85511721935075</v>
      </c>
      <c r="AM395" s="38">
        <f t="shared" si="1580"/>
        <v>4.7518593634836064</v>
      </c>
      <c r="AN395" s="38">
        <f t="shared" si="1521"/>
        <v>749.8551172193504</v>
      </c>
      <c r="AO395" s="38">
        <f t="shared" si="1484"/>
        <v>1.0000000000000004</v>
      </c>
      <c r="AP395" s="38">
        <f t="shared" si="1522"/>
        <v>1.8584702781566882</v>
      </c>
      <c r="AQ395" s="4">
        <f t="shared" si="1523"/>
        <v>0</v>
      </c>
      <c r="AR395" s="4" t="e">
        <f>#REF!/G395*F395^0.5/0.19</f>
        <v>#REF!</v>
      </c>
      <c r="AS395" s="4">
        <f t="shared" si="1581"/>
        <v>1</v>
      </c>
      <c r="AT395" s="38">
        <f t="shared" si="1582"/>
        <v>1393.5834482758621</v>
      </c>
      <c r="AU395" s="4">
        <f t="shared" si="1583"/>
        <v>0.44000000000000006</v>
      </c>
      <c r="AV395" s="4" t="e">
        <f>AU395*D395*#REF!/(D395*G395/2.75/F395^0.5)</f>
        <v>#REF!</v>
      </c>
      <c r="AW395" s="4" t="e">
        <f t="shared" si="1431"/>
        <v>#REF!</v>
      </c>
      <c r="AY395" s="4">
        <f t="shared" si="1584"/>
        <v>1.5</v>
      </c>
      <c r="AZ395" s="4" t="e">
        <f>(3*#REF!+30)*AY395*F395^0.5</f>
        <v>#REF!</v>
      </c>
      <c r="BB395" s="4">
        <f t="shared" si="1585"/>
        <v>1336.6169510470681</v>
      </c>
      <c r="BC395" s="4">
        <f t="shared" si="1662"/>
        <v>0</v>
      </c>
      <c r="BD395" s="4">
        <f t="shared" si="1432"/>
        <v>0</v>
      </c>
      <c r="BL395" s="4">
        <f t="shared" si="1586"/>
        <v>64.77</v>
      </c>
      <c r="BP395" s="9"/>
      <c r="BR395" s="9"/>
      <c r="BS395" s="9"/>
      <c r="BT395" s="9">
        <f t="shared" si="1587"/>
        <v>64.77</v>
      </c>
      <c r="BU395" s="9">
        <f t="shared" si="1588"/>
        <v>85.72499999999998</v>
      </c>
      <c r="BV395" s="9">
        <f t="shared" si="1589"/>
        <v>2.1066390052415969</v>
      </c>
      <c r="BW395" s="40">
        <f t="shared" si="1738"/>
        <v>0</v>
      </c>
      <c r="BX395" s="9">
        <f t="shared" si="1590"/>
        <v>0</v>
      </c>
      <c r="BY395" s="9">
        <f t="shared" si="1433"/>
        <v>0</v>
      </c>
      <c r="BZ395" s="9">
        <f t="shared" si="1591"/>
        <v>1</v>
      </c>
      <c r="CA395" s="9">
        <f t="shared" si="1592"/>
        <v>0.68</v>
      </c>
      <c r="CB395" s="9">
        <f t="shared" si="1593"/>
        <v>2.0757770792545673</v>
      </c>
      <c r="CC395" s="9">
        <f t="shared" si="1594"/>
        <v>4.3729129613441495</v>
      </c>
      <c r="CD395" s="40">
        <v>1</v>
      </c>
      <c r="CE395" s="9" t="e">
        <f>4*CC395*#REF!+60*CC395</f>
        <v>#REF!</v>
      </c>
      <c r="CG395" s="4" t="e">
        <f t="shared" si="1434"/>
        <v>#REF!</v>
      </c>
      <c r="CH395" s="4" t="e">
        <f t="shared" si="1435"/>
        <v>#REF!</v>
      </c>
      <c r="CI395" s="4" t="e">
        <f t="shared" si="1436"/>
        <v>#REF!</v>
      </c>
      <c r="CJ395" s="4" t="e">
        <f t="shared" si="1437"/>
        <v>#REF!</v>
      </c>
      <c r="CK395" s="4">
        <f t="shared" si="1438"/>
        <v>0.96762589928057552</v>
      </c>
      <c r="CL395" s="4">
        <f t="shared" si="1439"/>
        <v>0.96762589928057552</v>
      </c>
      <c r="CM395" s="4">
        <f t="shared" si="1699"/>
        <v>1.2969655123763921</v>
      </c>
      <c r="CN395" s="4">
        <f t="shared" si="1739"/>
        <v>0</v>
      </c>
      <c r="CO395" s="4" t="e">
        <f t="shared" ref="CO395:CO397" si="1778">CG395</f>
        <v>#REF!</v>
      </c>
      <c r="CP395" s="4" t="e">
        <f t="shared" ref="CP395:CP397" si="1779">CH395</f>
        <v>#REF!</v>
      </c>
      <c r="CQ395" s="4" t="e">
        <f t="shared" ref="CQ395:CQ397" si="1780">CJ395</f>
        <v>#REF!</v>
      </c>
      <c r="CR395" s="4">
        <f t="shared" ref="CR395:CR397" si="1781">CM395</f>
        <v>1.2969655123763921</v>
      </c>
      <c r="CS395" s="4">
        <f t="shared" ref="CS395:CS397" si="1782">CK395</f>
        <v>0.96762589928057552</v>
      </c>
      <c r="CT395" s="4">
        <f t="shared" ref="CT395:CT397" si="1783">CL395</f>
        <v>0.96762589928057552</v>
      </c>
      <c r="DC395" s="4" t="e">
        <f>#REF!</f>
        <v>#REF!</v>
      </c>
      <c r="DF395" s="4">
        <f t="shared" si="1601"/>
        <v>2.2975743861357127E-5</v>
      </c>
      <c r="DG395" s="4">
        <f t="shared" si="1446"/>
        <v>14.719357433866572</v>
      </c>
      <c r="DH395" s="4">
        <f t="shared" si="1602"/>
        <v>0.34038896382032713</v>
      </c>
      <c r="DI395" s="4">
        <f t="shared" si="1447"/>
        <v>9.5648692976355409</v>
      </c>
      <c r="DJ395" s="4">
        <f t="shared" si="1448"/>
        <v>12.413789399888694</v>
      </c>
      <c r="DK395" s="4">
        <f t="shared" si="1603"/>
        <v>13.652143938875277</v>
      </c>
      <c r="DL395" s="38">
        <f t="shared" si="1604"/>
        <v>958.62068965517244</v>
      </c>
      <c r="DM395" s="4" t="e">
        <f t="shared" si="1449"/>
        <v>#REF!</v>
      </c>
      <c r="DN395" s="4">
        <f t="shared" si="1605"/>
        <v>2.2360679774997898</v>
      </c>
      <c r="DO395" s="4">
        <f t="shared" si="1697"/>
        <v>749.8551172193504</v>
      </c>
      <c r="DS395" s="4">
        <f t="shared" si="1606"/>
        <v>0.85</v>
      </c>
      <c r="DT395" s="4">
        <f t="shared" si="1607"/>
        <v>0.7</v>
      </c>
      <c r="DU395" s="4">
        <f t="shared" si="1608"/>
        <v>1</v>
      </c>
      <c r="DV395" s="4">
        <f t="shared" si="1450"/>
        <v>0.7</v>
      </c>
      <c r="DX395" s="4">
        <f t="shared" si="1609"/>
        <v>958.62068965517244</v>
      </c>
      <c r="DY395" s="25">
        <f t="shared" si="1502"/>
        <v>742.1045340265191</v>
      </c>
      <c r="EA395" s="4">
        <f t="shared" si="1503"/>
        <v>0.59499999999999997</v>
      </c>
      <c r="EB395" s="4">
        <f t="shared" si="1610"/>
        <v>14.719357433866572</v>
      </c>
      <c r="EE395" s="4">
        <f t="shared" si="1611"/>
        <v>35.497579142809165</v>
      </c>
      <c r="EF395" s="4">
        <f t="shared" si="1451"/>
        <v>2.2360679774997898</v>
      </c>
      <c r="EG395" s="4">
        <f t="shared" si="1612"/>
        <v>0.16233586943167166</v>
      </c>
      <c r="EJ395" s="4">
        <f t="shared" si="1452"/>
        <v>0.16233586943167166</v>
      </c>
      <c r="EK395" s="4">
        <f t="shared" si="1613"/>
        <v>0.33982091807958992</v>
      </c>
      <c r="EL395" s="4">
        <f t="shared" si="1453"/>
        <v>9.5584813045948618</v>
      </c>
      <c r="EM395" s="4">
        <f t="shared" si="1454"/>
        <v>12.41133532188586</v>
      </c>
      <c r="EN395" s="4" t="e">
        <f t="shared" si="1455"/>
        <v>#REF!</v>
      </c>
      <c r="EO395" s="4" t="e">
        <f t="shared" si="1456"/>
        <v>#REF!</v>
      </c>
      <c r="EP395" s="4" t="e">
        <f t="shared" si="1614"/>
        <v>#REF!</v>
      </c>
      <c r="EQ395" s="4" t="e">
        <f t="shared" si="1457"/>
        <v>#REF!</v>
      </c>
      <c r="ER395" s="4" t="e">
        <f t="shared" si="1615"/>
        <v>#REF!</v>
      </c>
      <c r="FA395" s="23" t="e">
        <f t="shared" si="1772"/>
        <v>#REF!</v>
      </c>
      <c r="FB395" s="23" t="e">
        <f t="shared" si="1773"/>
        <v>#REF!</v>
      </c>
      <c r="FC395" s="23">
        <f t="shared" si="1706"/>
        <v>1.4</v>
      </c>
      <c r="FD395" s="23" t="e">
        <f t="shared" si="1774"/>
        <v>#REF!</v>
      </c>
      <c r="FE395" s="23">
        <f t="shared" si="1775"/>
        <v>1</v>
      </c>
      <c r="FF395" s="23">
        <f t="shared" si="1776"/>
        <v>1</v>
      </c>
      <c r="FG395" s="23">
        <f t="shared" si="1629"/>
        <v>0</v>
      </c>
      <c r="FH395" s="23"/>
      <c r="FR395" s="4">
        <f t="shared" si="1485"/>
        <v>1</v>
      </c>
      <c r="FS395" s="4">
        <f t="shared" si="1486"/>
        <v>0.5</v>
      </c>
      <c r="FT395" s="4">
        <f t="shared" si="1487"/>
        <v>0</v>
      </c>
      <c r="FU395" s="4">
        <f t="shared" si="1488"/>
        <v>715.19728014738234</v>
      </c>
    </row>
    <row r="396" spans="2:177" ht="12" customHeight="1" x14ac:dyDescent="0.3">
      <c r="B396" s="24"/>
      <c r="C396" s="7" t="s">
        <v>540</v>
      </c>
      <c r="D396" s="38">
        <f t="shared" si="1724"/>
        <v>958.62068965517244</v>
      </c>
      <c r="E396" s="38">
        <f>6.03*25.4</f>
        <v>153.16200000000001</v>
      </c>
      <c r="F396" s="38">
        <f t="shared" si="1762"/>
        <v>76.068965517241381</v>
      </c>
      <c r="G396" s="38">
        <f t="shared" si="1726"/>
        <v>15.875</v>
      </c>
      <c r="H396" s="38">
        <f>13*25.4</f>
        <v>330.2</v>
      </c>
      <c r="I396" s="38">
        <f>2.55*25.4</f>
        <v>64.77</v>
      </c>
      <c r="J396" s="39">
        <f>3.15*25.4</f>
        <v>80.009999999999991</v>
      </c>
      <c r="K396" s="7">
        <f t="shared" si="1727"/>
        <v>168.91</v>
      </c>
      <c r="L396" s="38">
        <v>2</v>
      </c>
      <c r="M396" s="4">
        <f t="shared" si="1747"/>
        <v>133.35</v>
      </c>
      <c r="N396" s="7">
        <f t="shared" si="1569"/>
        <v>4.58</v>
      </c>
      <c r="O396" s="7">
        <f t="shared" si="1570"/>
        <v>4.58</v>
      </c>
      <c r="P396" s="38">
        <v>13.1</v>
      </c>
      <c r="Q396" s="4">
        <f t="shared" si="1736"/>
        <v>13.1</v>
      </c>
      <c r="R396" s="4">
        <f t="shared" si="1571"/>
        <v>14.1</v>
      </c>
      <c r="S396" s="7">
        <f t="shared" si="1572"/>
        <v>59.610572153771514</v>
      </c>
      <c r="V396" s="38">
        <f t="shared" si="1777"/>
        <v>983.44827586206895</v>
      </c>
      <c r="W396" s="4">
        <v>142.6</v>
      </c>
      <c r="X396" s="4">
        <f t="shared" si="1573"/>
        <v>1</v>
      </c>
      <c r="Y396" s="38"/>
      <c r="Z396" s="38"/>
      <c r="AA396" s="39">
        <v>1</v>
      </c>
      <c r="AB396" s="39"/>
      <c r="AC396" s="39"/>
      <c r="AD396" s="7"/>
      <c r="AE396" s="4">
        <f t="shared" si="1576"/>
        <v>153.16200000000001</v>
      </c>
      <c r="AF396" s="4">
        <f t="shared" si="1577"/>
        <v>0.71862907683803201</v>
      </c>
      <c r="AG396" s="4">
        <f t="shared" si="1578"/>
        <v>417.6216003496458</v>
      </c>
      <c r="AH396" s="4">
        <f t="shared" si="1579"/>
        <v>0.79494195688225533</v>
      </c>
      <c r="AI396" s="4">
        <v>1.25</v>
      </c>
      <c r="AJ396" s="4">
        <f t="shared" si="1513"/>
        <v>2.5</v>
      </c>
      <c r="AK396" s="38">
        <f t="shared" si="1729"/>
        <v>745.54382926292237</v>
      </c>
      <c r="AL396" s="38">
        <f t="shared" si="1616"/>
        <v>745.54382926292237</v>
      </c>
      <c r="AM396" s="38">
        <f t="shared" si="1580"/>
        <v>4.7518593634836064</v>
      </c>
      <c r="AN396" s="38">
        <f t="shared" si="1521"/>
        <v>745.54382926292283</v>
      </c>
      <c r="AO396" s="38">
        <f t="shared" si="1484"/>
        <v>0.99999999999999944</v>
      </c>
      <c r="AP396" s="38">
        <f t="shared" si="1522"/>
        <v>3.3827153310849316</v>
      </c>
      <c r="AQ396" s="4">
        <f t="shared" si="1523"/>
        <v>0</v>
      </c>
      <c r="AR396" s="4" t="e">
        <f>#REF!/G396*F396^0.5/0.19</f>
        <v>#REF!</v>
      </c>
      <c r="AS396" s="4">
        <f t="shared" si="1581"/>
        <v>1</v>
      </c>
      <c r="AT396" s="38">
        <f t="shared" si="1582"/>
        <v>2521.9625412434557</v>
      </c>
      <c r="AU396" s="4">
        <f t="shared" si="1583"/>
        <v>0.3</v>
      </c>
      <c r="AV396" s="4" t="e">
        <f>AU396*D396*#REF!/(D396*G396/2.75/F396^0.5)</f>
        <v>#REF!</v>
      </c>
      <c r="AW396" s="4" t="e">
        <f t="shared" si="1431"/>
        <v>#REF!</v>
      </c>
      <c r="AY396" s="4">
        <f t="shared" si="1584"/>
        <v>1.5</v>
      </c>
      <c r="AZ396" s="4" t="e">
        <f>(3*#REF!+30)*AY396*F396^0.5</f>
        <v>#REF!</v>
      </c>
      <c r="BB396" s="4">
        <f t="shared" si="1585"/>
        <v>2418.8704929742166</v>
      </c>
      <c r="BC396" s="4">
        <f t="shared" si="1662"/>
        <v>0</v>
      </c>
      <c r="BD396" s="4">
        <f t="shared" si="1432"/>
        <v>0</v>
      </c>
      <c r="BL396" s="4">
        <f t="shared" si="1586"/>
        <v>64.77</v>
      </c>
      <c r="BP396" s="9"/>
      <c r="BR396" s="9"/>
      <c r="BS396" s="9"/>
      <c r="BT396" s="9">
        <f t="shared" si="1587"/>
        <v>64.77</v>
      </c>
      <c r="BU396" s="9">
        <f t="shared" si="1588"/>
        <v>84.454999999999998</v>
      </c>
      <c r="BV396" s="9">
        <f t="shared" si="1589"/>
        <v>2.1019278374638874</v>
      </c>
      <c r="BW396" s="40">
        <f t="shared" si="1738"/>
        <v>0</v>
      </c>
      <c r="BX396" s="9">
        <f t="shared" si="1590"/>
        <v>0</v>
      </c>
      <c r="BY396" s="9">
        <f t="shared" si="1433"/>
        <v>0</v>
      </c>
      <c r="BZ396" s="9">
        <f t="shared" si="1591"/>
        <v>1</v>
      </c>
      <c r="CA396" s="9">
        <f t="shared" si="1592"/>
        <v>0.68</v>
      </c>
      <c r="CB396" s="9">
        <f t="shared" si="1593"/>
        <v>2.0757770792545673</v>
      </c>
      <c r="CC396" s="9">
        <f t="shared" si="1594"/>
        <v>4.3631336272546575</v>
      </c>
      <c r="CD396" s="40">
        <v>1</v>
      </c>
      <c r="CE396" s="9" t="e">
        <f>4*CC396*#REF!+60*CC396</f>
        <v>#REF!</v>
      </c>
      <c r="CG396" s="4" t="e">
        <f t="shared" si="1434"/>
        <v>#REF!</v>
      </c>
      <c r="CH396" s="4" t="e">
        <f t="shared" si="1435"/>
        <v>#REF!</v>
      </c>
      <c r="CI396" s="4" t="e">
        <f t="shared" si="1436"/>
        <v>#REF!</v>
      </c>
      <c r="CJ396" s="4" t="e">
        <f t="shared" si="1437"/>
        <v>#REF!</v>
      </c>
      <c r="CK396" s="4">
        <f t="shared" si="1438"/>
        <v>1</v>
      </c>
      <c r="CL396" s="4">
        <f t="shared" si="1439"/>
        <v>1</v>
      </c>
      <c r="CM396" s="4">
        <f t="shared" si="1699"/>
        <v>1.368231571250613</v>
      </c>
      <c r="CN396" s="4">
        <f t="shared" si="1739"/>
        <v>0</v>
      </c>
      <c r="CO396" s="4" t="e">
        <f t="shared" si="1778"/>
        <v>#REF!</v>
      </c>
      <c r="CP396" s="4" t="e">
        <f t="shared" si="1779"/>
        <v>#REF!</v>
      </c>
      <c r="CQ396" s="4" t="e">
        <f t="shared" si="1780"/>
        <v>#REF!</v>
      </c>
      <c r="CR396" s="4">
        <f t="shared" si="1781"/>
        <v>1.368231571250613</v>
      </c>
      <c r="CS396" s="4">
        <f t="shared" si="1782"/>
        <v>1</v>
      </c>
      <c r="CT396" s="4">
        <f t="shared" si="1783"/>
        <v>1</v>
      </c>
      <c r="DC396" s="4" t="e">
        <f>#REF!</f>
        <v>#REF!</v>
      </c>
      <c r="DF396" s="4">
        <f t="shared" si="1601"/>
        <v>2.3090622580663914E-5</v>
      </c>
      <c r="DG396" s="4">
        <f t="shared" si="1446"/>
        <v>14.719357433866572</v>
      </c>
      <c r="DH396" s="4">
        <f t="shared" si="1602"/>
        <v>0.17353398545126572</v>
      </c>
      <c r="DI396" s="4">
        <f t="shared" si="1447"/>
        <v>7.3053775881808054</v>
      </c>
      <c r="DJ396" s="4">
        <f t="shared" si="1448"/>
        <v>11.62577071614635</v>
      </c>
      <c r="DK396" s="4">
        <f t="shared" si="1603"/>
        <v>13.80694107281577</v>
      </c>
      <c r="DL396" s="38">
        <f t="shared" si="1604"/>
        <v>983.44827586206895</v>
      </c>
      <c r="DM396" s="4" t="e">
        <f t="shared" si="1449"/>
        <v>#REF!</v>
      </c>
      <c r="DN396" s="4">
        <f t="shared" si="1605"/>
        <v>3.7549966711037173</v>
      </c>
      <c r="DO396" s="4">
        <f t="shared" si="1697"/>
        <v>745.54382926292283</v>
      </c>
      <c r="DS396" s="4">
        <f t="shared" si="1606"/>
        <v>0.85</v>
      </c>
      <c r="DT396" s="4">
        <f t="shared" si="1607"/>
        <v>0.7</v>
      </c>
      <c r="DU396" s="4">
        <f t="shared" si="1608"/>
        <v>1</v>
      </c>
      <c r="DV396" s="4">
        <f t="shared" si="1450"/>
        <v>0.7</v>
      </c>
      <c r="DX396" s="4">
        <f t="shared" si="1609"/>
        <v>983.44827586206895</v>
      </c>
      <c r="DY396" s="25">
        <f t="shared" si="1502"/>
        <v>737.88070102182303</v>
      </c>
      <c r="EA396" s="4">
        <f t="shared" si="1503"/>
        <v>0.59499999999999997</v>
      </c>
      <c r="EB396" s="4">
        <f t="shared" si="1610"/>
        <v>14.719357433866572</v>
      </c>
      <c r="EE396" s="4">
        <f t="shared" si="1611"/>
        <v>59.610572153771514</v>
      </c>
      <c r="EF396" s="4">
        <f t="shared" si="1451"/>
        <v>3.7549966711037173</v>
      </c>
      <c r="EG396" s="4">
        <f t="shared" si="1612"/>
        <v>8.2760586853350845E-2</v>
      </c>
      <c r="EJ396" s="4">
        <f t="shared" si="1452"/>
        <v>8.2760586853350845E-2</v>
      </c>
      <c r="EK396" s="4">
        <f t="shared" si="1613"/>
        <v>0.17324438957188587</v>
      </c>
      <c r="EL396" s="4">
        <f t="shared" si="1453"/>
        <v>7.3004986191389216</v>
      </c>
      <c r="EM396" s="4">
        <f t="shared" si="1454"/>
        <v>11.624256514878113</v>
      </c>
      <c r="EN396" s="4" t="e">
        <f t="shared" si="1455"/>
        <v>#REF!</v>
      </c>
      <c r="EO396" s="4" t="e">
        <f t="shared" si="1456"/>
        <v>#REF!</v>
      </c>
      <c r="EP396" s="4" t="e">
        <f t="shared" si="1614"/>
        <v>#REF!</v>
      </c>
      <c r="EQ396" s="4" t="e">
        <f t="shared" si="1457"/>
        <v>#REF!</v>
      </c>
      <c r="ER396" s="4" t="e">
        <f t="shared" si="1615"/>
        <v>#REF!</v>
      </c>
      <c r="FA396" s="23" t="e">
        <f t="shared" si="1772"/>
        <v>#REF!</v>
      </c>
      <c r="FB396" s="23" t="e">
        <f t="shared" si="1773"/>
        <v>#REF!</v>
      </c>
      <c r="FC396" s="23">
        <f t="shared" si="1706"/>
        <v>1.4</v>
      </c>
      <c r="FD396" s="23" t="e">
        <f t="shared" si="1774"/>
        <v>#REF!</v>
      </c>
      <c r="FE396" s="23">
        <f t="shared" si="1775"/>
        <v>1.2</v>
      </c>
      <c r="FF396" s="23">
        <f t="shared" si="1776"/>
        <v>1.2</v>
      </c>
      <c r="FG396" s="23">
        <f t="shared" si="1629"/>
        <v>0</v>
      </c>
      <c r="FH396" s="23"/>
      <c r="FR396" s="4">
        <f t="shared" si="1485"/>
        <v>1</v>
      </c>
      <c r="FS396" s="4">
        <f t="shared" si="1486"/>
        <v>0.5</v>
      </c>
      <c r="FT396" s="4">
        <f t="shared" si="1487"/>
        <v>0</v>
      </c>
      <c r="FU396" s="4">
        <f t="shared" si="1488"/>
        <v>718.7732665481193</v>
      </c>
    </row>
    <row r="397" spans="2:177" ht="12" customHeight="1" x14ac:dyDescent="0.3">
      <c r="B397" s="24"/>
      <c r="C397" s="7" t="s">
        <v>541</v>
      </c>
      <c r="D397" s="38">
        <f t="shared" si="1724"/>
        <v>958.62068965517244</v>
      </c>
      <c r="E397" s="38">
        <f>5.04*25.4</f>
        <v>128.01599999999999</v>
      </c>
      <c r="F397" s="38">
        <f t="shared" si="1762"/>
        <v>76.068965517241381</v>
      </c>
      <c r="G397" s="38">
        <f t="shared" si="1726"/>
        <v>15.875</v>
      </c>
      <c r="H397" s="38">
        <f t="shared" si="1756"/>
        <v>332.73999999999995</v>
      </c>
      <c r="I397" s="38">
        <f t="shared" ref="I397:I403" si="1784">2.5*25.4</f>
        <v>63.5</v>
      </c>
      <c r="J397" s="39">
        <f>4.23*25.4</f>
        <v>107.44200000000001</v>
      </c>
      <c r="K397" s="7">
        <f t="shared" si="1727"/>
        <v>79.057499999999976</v>
      </c>
      <c r="L397" s="38">
        <v>3</v>
      </c>
      <c r="M397" s="4">
        <f t="shared" si="1747"/>
        <v>133.35</v>
      </c>
      <c r="N397" s="7">
        <f t="shared" si="1569"/>
        <v>2.9899999999999993</v>
      </c>
      <c r="O397" s="7">
        <f t="shared" si="1570"/>
        <v>4.5</v>
      </c>
      <c r="P397" s="38">
        <v>4</v>
      </c>
      <c r="Q397" s="4">
        <f t="shared" si="1736"/>
        <v>4</v>
      </c>
      <c r="R397" s="4">
        <f t="shared" si="1571"/>
        <v>5</v>
      </c>
      <c r="S397" s="7">
        <f t="shared" si="1572"/>
        <v>35.497579142809165</v>
      </c>
      <c r="V397" s="38">
        <f t="shared" si="1777"/>
        <v>623.44827586206907</v>
      </c>
      <c r="W397" s="4">
        <v>90.4</v>
      </c>
      <c r="X397" s="4">
        <f t="shared" si="1573"/>
        <v>0.81191613543819985</v>
      </c>
      <c r="Y397" s="38"/>
      <c r="Z397" s="38"/>
      <c r="AA397" s="39">
        <v>1</v>
      </c>
      <c r="AB397" s="39"/>
      <c r="AC397" s="39"/>
      <c r="AD397" s="7"/>
      <c r="AE397" s="4">
        <f t="shared" si="1576"/>
        <v>128.01599999999999</v>
      </c>
      <c r="AF397" s="4">
        <f t="shared" si="1577"/>
        <v>0.86640211640211651</v>
      </c>
      <c r="AG397" s="4">
        <f t="shared" si="1578"/>
        <v>212.74606238722586</v>
      </c>
      <c r="AH397" s="4">
        <f t="shared" si="1579"/>
        <v>0.81160714285714286</v>
      </c>
      <c r="AI397" s="4">
        <v>1.25</v>
      </c>
      <c r="AJ397" s="4">
        <f t="shared" si="1513"/>
        <v>2.5</v>
      </c>
      <c r="AK397" s="38">
        <f t="shared" si="1729"/>
        <v>467.49494304139188</v>
      </c>
      <c r="AL397" s="38">
        <f t="shared" si="1616"/>
        <v>467.49494304139188</v>
      </c>
      <c r="AM397" s="38">
        <f t="shared" si="1580"/>
        <v>4.7518593634836064</v>
      </c>
      <c r="AN397" s="38">
        <f t="shared" si="1521"/>
        <v>467.49494304139216</v>
      </c>
      <c r="AO397" s="38">
        <f t="shared" si="1484"/>
        <v>0.99999999999999944</v>
      </c>
      <c r="AP397" s="38">
        <f t="shared" si="1522"/>
        <v>2.3392070107997665</v>
      </c>
      <c r="AQ397" s="4">
        <f t="shared" si="1523"/>
        <v>0</v>
      </c>
      <c r="AR397" s="4" t="e">
        <f>#REF!/G397*F397^0.5/0.19</f>
        <v>#REF!</v>
      </c>
      <c r="AS397" s="4">
        <f t="shared" si="1581"/>
        <v>1.2020066889632108</v>
      </c>
      <c r="AT397" s="38">
        <f t="shared" si="1582"/>
        <v>1093.567448275862</v>
      </c>
      <c r="AU397" s="4">
        <f t="shared" si="1583"/>
        <v>0.44000000000000006</v>
      </c>
      <c r="AV397" s="4" t="e">
        <f>AU397*D397*#REF!/(D397*G397/2.75/F397^0.5)</f>
        <v>#REF!</v>
      </c>
      <c r="AW397" s="4" t="e">
        <f t="shared" si="1431"/>
        <v>#REF!</v>
      </c>
      <c r="AY397" s="4">
        <f t="shared" si="1584"/>
        <v>1.5</v>
      </c>
      <c r="AZ397" s="4" t="e">
        <f>(3*#REF!+30)*AY397*F397^0.5</f>
        <v>#REF!</v>
      </c>
      <c r="BB397" s="4">
        <f t="shared" si="1585"/>
        <v>1048.8649174810398</v>
      </c>
      <c r="BC397" s="4">
        <f t="shared" si="1662"/>
        <v>0</v>
      </c>
      <c r="BD397" s="4">
        <f t="shared" si="1432"/>
        <v>0</v>
      </c>
      <c r="BL397" s="4">
        <f t="shared" si="1586"/>
        <v>39.528749999999988</v>
      </c>
      <c r="BP397" s="9"/>
      <c r="BR397" s="9"/>
      <c r="BS397" s="9"/>
      <c r="BT397" s="9">
        <f t="shared" si="1587"/>
        <v>39.528749999999988</v>
      </c>
      <c r="BU397" s="9">
        <f t="shared" si="1588"/>
        <v>63.5</v>
      </c>
      <c r="BV397" s="9">
        <f t="shared" si="1589"/>
        <v>1.6942549773761708</v>
      </c>
      <c r="BW397" s="40">
        <f t="shared" si="1738"/>
        <v>0</v>
      </c>
      <c r="BX397" s="9">
        <f t="shared" si="1590"/>
        <v>0</v>
      </c>
      <c r="BY397" s="9">
        <f t="shared" si="1433"/>
        <v>0</v>
      </c>
      <c r="BZ397" s="9">
        <f t="shared" si="1591"/>
        <v>1</v>
      </c>
      <c r="CA397" s="9">
        <f t="shared" si="1592"/>
        <v>0.68</v>
      </c>
      <c r="CB397" s="9">
        <f t="shared" si="1593"/>
        <v>2.0757770792545673</v>
      </c>
      <c r="CC397" s="9">
        <f t="shared" si="1594"/>
        <v>3.5168956484504208</v>
      </c>
      <c r="CD397" s="40">
        <v>1</v>
      </c>
      <c r="CE397" s="9" t="e">
        <f>4*CC397*#REF!+60*CC397</f>
        <v>#REF!</v>
      </c>
      <c r="CG397" s="4" t="e">
        <f t="shared" si="1434"/>
        <v>#REF!</v>
      </c>
      <c r="CH397" s="4" t="e">
        <f t="shared" si="1435"/>
        <v>#REF!</v>
      </c>
      <c r="CI397" s="4" t="e">
        <f t="shared" si="1436"/>
        <v>#REF!</v>
      </c>
      <c r="CJ397" s="4" t="e">
        <f t="shared" si="1437"/>
        <v>#REF!</v>
      </c>
      <c r="CK397" s="4">
        <f t="shared" si="1438"/>
        <v>0.81191613543819985</v>
      </c>
      <c r="CL397" s="4">
        <f t="shared" si="1439"/>
        <v>0.82625634412902194</v>
      </c>
      <c r="CM397" s="4">
        <f t="shared" si="1699"/>
        <v>1.3871339650041066</v>
      </c>
      <c r="CN397" s="4">
        <f t="shared" si="1739"/>
        <v>0</v>
      </c>
      <c r="CO397" s="4" t="e">
        <f t="shared" si="1778"/>
        <v>#REF!</v>
      </c>
      <c r="CP397" s="4" t="e">
        <f t="shared" si="1779"/>
        <v>#REF!</v>
      </c>
      <c r="CQ397" s="4" t="e">
        <f t="shared" si="1780"/>
        <v>#REF!</v>
      </c>
      <c r="CR397" s="4">
        <f t="shared" si="1781"/>
        <v>1.3871339650041066</v>
      </c>
      <c r="CS397" s="4">
        <f t="shared" si="1782"/>
        <v>0.81191613543819985</v>
      </c>
      <c r="CT397" s="4">
        <f t="shared" si="1783"/>
        <v>0.82625634412902194</v>
      </c>
      <c r="DC397" s="4" t="e">
        <f>#REF!</f>
        <v>#REF!</v>
      </c>
      <c r="DF397" s="4">
        <f t="shared" si="1601"/>
        <v>1.9299624843539986E-5</v>
      </c>
      <c r="DG397" s="4">
        <f t="shared" si="1446"/>
        <v>12.10757955782209</v>
      </c>
      <c r="DH397" s="4">
        <f t="shared" si="1602"/>
        <v>0.21221448730415612</v>
      </c>
      <c r="DI397" s="4">
        <f t="shared" si="1447"/>
        <v>6.5127940191019551</v>
      </c>
      <c r="DJ397" s="4">
        <f t="shared" si="1448"/>
        <v>9.7247919654802502</v>
      </c>
      <c r="DK397" s="4">
        <f t="shared" si="1603"/>
        <v>11.637478044456321</v>
      </c>
      <c r="DL397" s="38">
        <f t="shared" si="1604"/>
        <v>767.87275021401979</v>
      </c>
      <c r="DM397" s="4" t="e">
        <f t="shared" si="1449"/>
        <v>#REF!</v>
      </c>
      <c r="DN397" s="4">
        <f t="shared" si="1605"/>
        <v>2.2360679774997898</v>
      </c>
      <c r="DO397" s="4">
        <f t="shared" si="1697"/>
        <v>467.49494304139216</v>
      </c>
      <c r="DS397" s="4">
        <f t="shared" si="1606"/>
        <v>0.85</v>
      </c>
      <c r="DT397" s="4">
        <f t="shared" si="1607"/>
        <v>0.85100000000000009</v>
      </c>
      <c r="DU397" s="4">
        <f t="shared" si="1608"/>
        <v>1</v>
      </c>
      <c r="DV397" s="4">
        <f t="shared" si="1450"/>
        <v>0.85100000000000009</v>
      </c>
      <c r="DX397" s="4">
        <f t="shared" si="1609"/>
        <v>754.54582623418389</v>
      </c>
      <c r="DY397" s="25">
        <f t="shared" si="1502"/>
        <v>461.63926157135188</v>
      </c>
      <c r="EA397" s="4">
        <f t="shared" si="1503"/>
        <v>0.72335000000000005</v>
      </c>
      <c r="EB397" s="4">
        <f t="shared" si="1610"/>
        <v>12.10757955782209</v>
      </c>
      <c r="EE397" s="4">
        <f t="shared" si="1611"/>
        <v>35.497579142809165</v>
      </c>
      <c r="EF397" s="4">
        <f t="shared" si="1451"/>
        <v>2.2360679774997898</v>
      </c>
      <c r="EG397" s="4">
        <f t="shared" si="1612"/>
        <v>0.10120781507094023</v>
      </c>
      <c r="EJ397" s="4">
        <f t="shared" si="1452"/>
        <v>0.10120781507094023</v>
      </c>
      <c r="EK397" s="4">
        <f t="shared" si="1613"/>
        <v>0.21186034087624936</v>
      </c>
      <c r="EL397" s="4">
        <f t="shared" si="1453"/>
        <v>6.5084443848754141</v>
      </c>
      <c r="EM397" s="4">
        <f t="shared" si="1454"/>
        <v>9.7233476939465842</v>
      </c>
      <c r="EN397" s="4" t="e">
        <f t="shared" si="1455"/>
        <v>#REF!</v>
      </c>
      <c r="EO397" s="4" t="e">
        <f t="shared" si="1456"/>
        <v>#REF!</v>
      </c>
      <c r="EP397" s="4" t="e">
        <f t="shared" si="1614"/>
        <v>#REF!</v>
      </c>
      <c r="EQ397" s="4" t="e">
        <f t="shared" si="1457"/>
        <v>#REF!</v>
      </c>
      <c r="ER397" s="4" t="e">
        <f t="shared" si="1615"/>
        <v>#REF!</v>
      </c>
      <c r="FA397" s="23" t="e">
        <f t="shared" si="1772"/>
        <v>#REF!</v>
      </c>
      <c r="FB397" s="23" t="e">
        <f t="shared" si="1773"/>
        <v>#REF!</v>
      </c>
      <c r="FC397" s="23">
        <f t="shared" si="1706"/>
        <v>1.4</v>
      </c>
      <c r="FD397" s="23" t="e">
        <f t="shared" si="1774"/>
        <v>#REF!</v>
      </c>
      <c r="FE397" s="23">
        <f t="shared" si="1775"/>
        <v>1</v>
      </c>
      <c r="FF397" s="23">
        <f t="shared" si="1776"/>
        <v>1</v>
      </c>
      <c r="FG397" s="23">
        <f t="shared" si="1629"/>
        <v>0</v>
      </c>
      <c r="FH397" s="23"/>
      <c r="FR397" s="4">
        <f t="shared" si="1485"/>
        <v>1</v>
      </c>
      <c r="FS397" s="4">
        <f t="shared" si="1486"/>
        <v>0.66833333333333345</v>
      </c>
      <c r="FT397" s="4">
        <f t="shared" si="1487"/>
        <v>0</v>
      </c>
      <c r="FU397" s="4">
        <f t="shared" si="1488"/>
        <v>449.45065984324259</v>
      </c>
    </row>
    <row r="398" spans="2:177" ht="12" customHeight="1" x14ac:dyDescent="0.3">
      <c r="B398" s="14"/>
      <c r="C398" s="7" t="s">
        <v>542</v>
      </c>
      <c r="D398" s="38">
        <f t="shared" si="1724"/>
        <v>958.62068965517244</v>
      </c>
      <c r="E398" s="38">
        <f>5.15*25.4</f>
        <v>130.81</v>
      </c>
      <c r="F398" s="38">
        <f t="shared" si="1762"/>
        <v>76.068965517241381</v>
      </c>
      <c r="G398" s="38">
        <f t="shared" si="1726"/>
        <v>15.875</v>
      </c>
      <c r="H398" s="38">
        <f t="shared" si="1756"/>
        <v>332.73999999999995</v>
      </c>
      <c r="I398" s="38">
        <f t="shared" si="1784"/>
        <v>63.5</v>
      </c>
      <c r="J398" s="39">
        <f>4.03*25.4</f>
        <v>102.36199999999999</v>
      </c>
      <c r="K398" s="7">
        <f t="shared" si="1727"/>
        <v>79.057499999999976</v>
      </c>
      <c r="L398" s="38">
        <v>3</v>
      </c>
      <c r="M398" s="4">
        <f t="shared" si="1747"/>
        <v>133.35</v>
      </c>
      <c r="N398" s="7">
        <f t="shared" si="1569"/>
        <v>2.9899999999999993</v>
      </c>
      <c r="O398" s="7">
        <f t="shared" si="1570"/>
        <v>4.5</v>
      </c>
      <c r="P398" s="38">
        <v>4</v>
      </c>
      <c r="Q398" s="4">
        <f t="shared" si="1736"/>
        <v>4</v>
      </c>
      <c r="R398" s="4">
        <f t="shared" si="1571"/>
        <v>5</v>
      </c>
      <c r="S398" s="7">
        <f t="shared" si="1572"/>
        <v>35.497579142809165</v>
      </c>
      <c r="V398" s="38">
        <f t="shared" si="1777"/>
        <v>781.37931034482767</v>
      </c>
      <c r="W398" s="4">
        <v>113.3</v>
      </c>
      <c r="X398" s="4">
        <f t="shared" si="1573"/>
        <v>0.9430316920738141</v>
      </c>
      <c r="Y398" s="38">
        <f t="shared" ref="Y398:Y399" si="1785">0.375*25.4</f>
        <v>9.5249999999999986</v>
      </c>
      <c r="Z398" s="38">
        <v>4</v>
      </c>
      <c r="AA398" s="39">
        <f>3.5*25.4</f>
        <v>88.899999999999991</v>
      </c>
      <c r="AB398" s="39">
        <v>2</v>
      </c>
      <c r="AC398" s="39">
        <f t="shared" ref="AC398:AC399" si="1786">AB398-1</f>
        <v>1</v>
      </c>
      <c r="AD398" s="7"/>
      <c r="AE398" s="4">
        <f t="shared" si="1576"/>
        <v>130.81</v>
      </c>
      <c r="AF398" s="4">
        <f t="shared" si="1577"/>
        <v>0.84789644012944965</v>
      </c>
      <c r="AG398" s="4">
        <f t="shared" si="1578"/>
        <v>219.74882905147061</v>
      </c>
      <c r="AH398" s="4">
        <f t="shared" si="1579"/>
        <v>0.80922330097087369</v>
      </c>
      <c r="AI398" s="4">
        <v>1.25</v>
      </c>
      <c r="AJ398" s="4">
        <f t="shared" si="1513"/>
        <v>2.5</v>
      </c>
      <c r="AK398" s="38">
        <f t="shared" si="1729"/>
        <v>471.1810141720569</v>
      </c>
      <c r="AL398" s="38">
        <f t="shared" si="1616"/>
        <v>471.1810141720569</v>
      </c>
      <c r="AM398" s="38">
        <f t="shared" si="1580"/>
        <v>4.7518593634836064</v>
      </c>
      <c r="AN398" s="38">
        <f t="shared" si="1521"/>
        <v>471.18101417205736</v>
      </c>
      <c r="AO398" s="38">
        <f t="shared" si="1484"/>
        <v>0.999999999999999</v>
      </c>
      <c r="AP398" s="38">
        <f t="shared" si="1522"/>
        <v>2.320907284851959</v>
      </c>
      <c r="AQ398" s="4">
        <f t="shared" si="1523"/>
        <v>0</v>
      </c>
      <c r="AR398" s="4" t="e">
        <f>#REF!/G398*F398^0.5/0.19</f>
        <v>#REF!</v>
      </c>
      <c r="AS398" s="4">
        <f t="shared" si="1581"/>
        <v>1.2020066889632108</v>
      </c>
      <c r="AT398" s="38">
        <f t="shared" si="1582"/>
        <v>1093.567448275862</v>
      </c>
      <c r="AU398" s="4">
        <f t="shared" si="1583"/>
        <v>0.44000000000000006</v>
      </c>
      <c r="AV398" s="4" t="e">
        <f>AU398*D398*#REF!/(D398*G398/2.75/F398^0.5)</f>
        <v>#REF!</v>
      </c>
      <c r="AW398" s="4" t="e">
        <f t="shared" si="1431"/>
        <v>#REF!</v>
      </c>
      <c r="AY398" s="4">
        <f t="shared" si="1584"/>
        <v>1.5</v>
      </c>
      <c r="AZ398" s="4" t="e">
        <f>(3*#REF!+30)*AY398*F398^0.5</f>
        <v>#REF!</v>
      </c>
      <c r="BB398" s="4">
        <f t="shared" si="1585"/>
        <v>1048.8649174810398</v>
      </c>
      <c r="BC398" s="4">
        <f t="shared" si="1662"/>
        <v>0</v>
      </c>
      <c r="BD398" s="4">
        <f t="shared" si="1432"/>
        <v>0</v>
      </c>
      <c r="BL398" s="4">
        <f t="shared" si="1586"/>
        <v>39.528749999999988</v>
      </c>
      <c r="BP398" s="9"/>
      <c r="BR398" s="9"/>
      <c r="BS398" s="9"/>
      <c r="BT398" s="9">
        <f t="shared" si="1587"/>
        <v>39.528749999999988</v>
      </c>
      <c r="BU398" s="9">
        <f t="shared" si="1588"/>
        <v>63.5</v>
      </c>
      <c r="BV398" s="9">
        <f t="shared" si="1589"/>
        <v>1.6942549773761708</v>
      </c>
      <c r="BW398" s="40">
        <f t="shared" si="1738"/>
        <v>20</v>
      </c>
      <c r="BX398" s="9">
        <f t="shared" si="1590"/>
        <v>0.05</v>
      </c>
      <c r="BY398" s="9">
        <f t="shared" si="1433"/>
        <v>0.8</v>
      </c>
      <c r="BZ398" s="9">
        <f t="shared" si="1591"/>
        <v>1</v>
      </c>
      <c r="CA398" s="9">
        <f t="shared" si="1592"/>
        <v>0.68</v>
      </c>
      <c r="CB398" s="9">
        <f t="shared" si="1593"/>
        <v>2.0757770792545673</v>
      </c>
      <c r="CC398" s="9">
        <f t="shared" si="1594"/>
        <v>5.1775173118540749</v>
      </c>
      <c r="CD398" s="40">
        <v>1</v>
      </c>
      <c r="CE398" s="9" t="e">
        <f>4*CC398*#REF!+60*CC398</f>
        <v>#REF!</v>
      </c>
      <c r="CG398" s="4" t="e">
        <f t="shared" si="1434"/>
        <v>#REF!</v>
      </c>
      <c r="CH398" s="4" t="e">
        <f t="shared" si="1435"/>
        <v>#REF!</v>
      </c>
      <c r="CI398" s="4" t="e">
        <f t="shared" si="1436"/>
        <v>#REF!</v>
      </c>
      <c r="CJ398" s="4" t="e">
        <f t="shared" si="1437"/>
        <v>#REF!</v>
      </c>
      <c r="CK398" s="4">
        <f t="shared" si="1438"/>
        <v>0.9430316920738141</v>
      </c>
      <c r="CL398" s="4">
        <f t="shared" si="1439"/>
        <v>0.9601139047349182</v>
      </c>
      <c r="CM398" s="4">
        <f t="shared" si="1699"/>
        <v>1.418561096358864</v>
      </c>
      <c r="CN398" s="4">
        <f t="shared" si="1739"/>
        <v>4</v>
      </c>
      <c r="CU398" s="4" t="e">
        <f t="shared" ref="CU398:CU399" si="1787">CG398</f>
        <v>#REF!</v>
      </c>
      <c r="CV398" s="4" t="e">
        <f t="shared" ref="CV398:CV399" si="1788">CH398</f>
        <v>#REF!</v>
      </c>
      <c r="CW398" s="4" t="e">
        <f t="shared" ref="CW398:CW399" si="1789">CJ398</f>
        <v>#REF!</v>
      </c>
      <c r="CX398" s="4">
        <f t="shared" ref="CX398:CX399" si="1790">CM398</f>
        <v>1.418561096358864</v>
      </c>
      <c r="CY398" s="4">
        <f t="shared" ref="CY398:CY399" si="1791">CK398</f>
        <v>0.9430316920738141</v>
      </c>
      <c r="CZ398" s="4">
        <f t="shared" ref="CZ398:CZ399" si="1792">CL398</f>
        <v>0.9601139047349182</v>
      </c>
      <c r="DC398" s="4" t="e">
        <f>#REF!</f>
        <v>#REF!</v>
      </c>
      <c r="DF398" s="4">
        <f t="shared" si="1601"/>
        <v>1.9720846814331535E-5</v>
      </c>
      <c r="DG398" s="4">
        <f t="shared" si="1446"/>
        <v>14.094970381632237</v>
      </c>
      <c r="DH398" s="4">
        <f t="shared" si="1602"/>
        <v>0.21388774111535619</v>
      </c>
      <c r="DI398" s="4">
        <f t="shared" si="1447"/>
        <v>7.6056883382842555</v>
      </c>
      <c r="DJ398" s="4">
        <f t="shared" si="1448"/>
        <v>11.328995266091802</v>
      </c>
      <c r="DK398" s="4">
        <f t="shared" si="1603"/>
        <v>13.428486755301332</v>
      </c>
      <c r="DL398" s="38">
        <f t="shared" si="1604"/>
        <v>828.58223844683539</v>
      </c>
      <c r="DM398" s="4" t="e">
        <f t="shared" si="1449"/>
        <v>#REF!</v>
      </c>
      <c r="DN398" s="4">
        <f t="shared" si="1605"/>
        <v>2.2360679774997898</v>
      </c>
      <c r="DO398" s="4">
        <f t="shared" si="1697"/>
        <v>471.18101417205736</v>
      </c>
      <c r="DS398" s="4">
        <f t="shared" si="1606"/>
        <v>0.85</v>
      </c>
      <c r="DT398" s="4">
        <f t="shared" si="1607"/>
        <v>0.85100000000000009</v>
      </c>
      <c r="DU398" s="4">
        <f t="shared" si="1608"/>
        <v>0.85899999999999999</v>
      </c>
      <c r="DV398" s="4">
        <f t="shared" si="1450"/>
        <v>0.73100900000000002</v>
      </c>
      <c r="DX398" s="4">
        <f t="shared" si="1609"/>
        <v>813.84021884420258</v>
      </c>
      <c r="DY398" s="25">
        <f t="shared" si="1502"/>
        <v>465.41255101025371</v>
      </c>
      <c r="EA398" s="4">
        <f t="shared" si="1503"/>
        <v>0.62135764999999998</v>
      </c>
      <c r="EB398" s="4">
        <f t="shared" si="1610"/>
        <v>14.094970381632237</v>
      </c>
      <c r="EE398" s="4">
        <f t="shared" si="1611"/>
        <v>35.497579142809165</v>
      </c>
      <c r="EF398" s="4">
        <f t="shared" si="1451"/>
        <v>2.2360679774997898</v>
      </c>
      <c r="EG398" s="4">
        <f t="shared" si="1612"/>
        <v>0.10200581130786993</v>
      </c>
      <c r="EJ398" s="4">
        <f t="shared" si="1452"/>
        <v>0.10200581130786993</v>
      </c>
      <c r="EK398" s="4">
        <f t="shared" si="1613"/>
        <v>0.21353080233869065</v>
      </c>
      <c r="EL398" s="4">
        <f t="shared" si="1453"/>
        <v>7.6006088037226558</v>
      </c>
      <c r="EM398" s="4">
        <f t="shared" si="1454"/>
        <v>11.327304292034674</v>
      </c>
      <c r="EN398" s="4" t="e">
        <f t="shared" si="1455"/>
        <v>#REF!</v>
      </c>
      <c r="EO398" s="4" t="e">
        <f t="shared" si="1456"/>
        <v>#REF!</v>
      </c>
      <c r="EP398" s="4" t="e">
        <f t="shared" si="1614"/>
        <v>#REF!</v>
      </c>
      <c r="EQ398" s="4" t="e">
        <f t="shared" si="1457"/>
        <v>#REF!</v>
      </c>
      <c r="ER398" s="4" t="e">
        <f t="shared" si="1615"/>
        <v>#REF!</v>
      </c>
      <c r="FA398" s="23" t="e">
        <f t="shared" si="1772"/>
        <v>#REF!</v>
      </c>
      <c r="FB398" s="23" t="e">
        <f t="shared" si="1773"/>
        <v>#REF!</v>
      </c>
      <c r="FC398" s="23">
        <f t="shared" si="1706"/>
        <v>1.6</v>
      </c>
      <c r="FD398" s="23" t="e">
        <f t="shared" si="1774"/>
        <v>#REF!</v>
      </c>
      <c r="FE398" s="23">
        <f t="shared" si="1775"/>
        <v>1</v>
      </c>
      <c r="FF398" s="23">
        <f t="shared" si="1776"/>
        <v>1</v>
      </c>
      <c r="FG398" s="23">
        <f t="shared" si="1629"/>
        <v>0</v>
      </c>
      <c r="FH398" s="23"/>
      <c r="FR398" s="4">
        <f t="shared" si="1485"/>
        <v>1</v>
      </c>
      <c r="FS398" s="4">
        <f t="shared" si="1486"/>
        <v>0.55723447154022165</v>
      </c>
      <c r="FT398" s="4">
        <f t="shared" si="1487"/>
        <v>0.3</v>
      </c>
      <c r="FU398" s="4">
        <f t="shared" si="1488"/>
        <v>550.82527805848997</v>
      </c>
    </row>
    <row r="399" spans="2:177" ht="12" customHeight="1" x14ac:dyDescent="0.3">
      <c r="B399" s="14"/>
      <c r="C399" s="7" t="s">
        <v>543</v>
      </c>
      <c r="D399" s="38">
        <f t="shared" si="1724"/>
        <v>958.62068965517244</v>
      </c>
      <c r="E399" s="38">
        <f>5.02*25.4</f>
        <v>127.50799999999998</v>
      </c>
      <c r="F399" s="38">
        <f t="shared" si="1762"/>
        <v>76.068965517241381</v>
      </c>
      <c r="G399" s="38">
        <f t="shared" si="1726"/>
        <v>15.875</v>
      </c>
      <c r="H399" s="38">
        <f>12.9*25.4</f>
        <v>327.65999999999997</v>
      </c>
      <c r="I399" s="38">
        <f t="shared" si="1784"/>
        <v>63.5</v>
      </c>
      <c r="J399" s="39">
        <f>4.1*25.4</f>
        <v>104.13999999999999</v>
      </c>
      <c r="K399" s="7">
        <f t="shared" si="1727"/>
        <v>76.517499999999984</v>
      </c>
      <c r="L399" s="38">
        <v>3</v>
      </c>
      <c r="M399" s="4">
        <f t="shared" si="1747"/>
        <v>133.35</v>
      </c>
      <c r="N399" s="7">
        <f t="shared" si="1569"/>
        <v>2.9099999999999997</v>
      </c>
      <c r="O399" s="7">
        <f t="shared" si="1570"/>
        <v>4.5</v>
      </c>
      <c r="P399" s="38">
        <v>4</v>
      </c>
      <c r="Q399" s="4">
        <f t="shared" si="1736"/>
        <v>4</v>
      </c>
      <c r="R399" s="4">
        <f t="shared" si="1571"/>
        <v>5</v>
      </c>
      <c r="S399" s="7">
        <f t="shared" si="1572"/>
        <v>35.497579142809165</v>
      </c>
      <c r="V399" s="38">
        <f t="shared" si="1777"/>
        <v>859.31034482758628</v>
      </c>
      <c r="W399" s="4">
        <v>124.6</v>
      </c>
      <c r="X399" s="4">
        <f t="shared" si="1573"/>
        <v>1.0458763223941501</v>
      </c>
      <c r="Y399" s="38">
        <f t="shared" si="1785"/>
        <v>9.5249999999999986</v>
      </c>
      <c r="Z399" s="38">
        <v>10</v>
      </c>
      <c r="AA399" s="39">
        <f>1.75*25.4</f>
        <v>44.449999999999996</v>
      </c>
      <c r="AB399" s="39">
        <v>3</v>
      </c>
      <c r="AC399" s="39">
        <f t="shared" si="1786"/>
        <v>2</v>
      </c>
      <c r="AD399" s="7"/>
      <c r="AE399" s="4">
        <f t="shared" si="1576"/>
        <v>127.50799999999998</v>
      </c>
      <c r="AF399" s="4">
        <f t="shared" si="1577"/>
        <v>0.856573705179283</v>
      </c>
      <c r="AG399" s="4">
        <f t="shared" si="1578"/>
        <v>211.48097390514772</v>
      </c>
      <c r="AH399" s="4">
        <f t="shared" si="1579"/>
        <v>0.81205179282868523</v>
      </c>
      <c r="AI399" s="4">
        <v>1.25</v>
      </c>
      <c r="AJ399" s="4">
        <f t="shared" si="1513"/>
        <v>2.5</v>
      </c>
      <c r="AK399" s="38">
        <f t="shared" si="1729"/>
        <v>459.69501197583168</v>
      </c>
      <c r="AL399" s="38">
        <f t="shared" si="1616"/>
        <v>459.69501197583168</v>
      </c>
      <c r="AM399" s="38">
        <f t="shared" si="1580"/>
        <v>4.7518593634836064</v>
      </c>
      <c r="AN399" s="38">
        <f t="shared" si="1521"/>
        <v>459.69501197583151</v>
      </c>
      <c r="AO399" s="38">
        <f t="shared" si="1484"/>
        <v>1.0000000000000004</v>
      </c>
      <c r="AP399" s="38">
        <f t="shared" si="1522"/>
        <v>2.3471262006064104</v>
      </c>
      <c r="AQ399" s="4">
        <f t="shared" si="1523"/>
        <v>0</v>
      </c>
      <c r="AR399" s="4" t="e">
        <f>#REF!/G399*F399^0.5/0.19</f>
        <v>#REF!</v>
      </c>
      <c r="AS399" s="4">
        <f t="shared" si="1581"/>
        <v>1.2185567010309279</v>
      </c>
      <c r="AT399" s="38">
        <f t="shared" si="1582"/>
        <v>1078.9622068965518</v>
      </c>
      <c r="AU399" s="4">
        <f t="shared" si="1583"/>
        <v>0.44000000000000006</v>
      </c>
      <c r="AV399" s="4" t="e">
        <f>AU399*D399*#REF!/(D399*G399/2.75/F399^0.5)</f>
        <v>#REF!</v>
      </c>
      <c r="AW399" s="4" t="e">
        <f t="shared" ref="AW399:AW453" si="1793">AT399+AV399</f>
        <v>#REF!</v>
      </c>
      <c r="AY399" s="4">
        <f t="shared" si="1584"/>
        <v>1.5</v>
      </c>
      <c r="AZ399" s="4" t="e">
        <f>(3*#REF!+30)*AY399*F399^0.5</f>
        <v>#REF!</v>
      </c>
      <c r="BB399" s="4">
        <f t="shared" si="1585"/>
        <v>1034.856704893647</v>
      </c>
      <c r="BC399" s="4">
        <f t="shared" si="1662"/>
        <v>0</v>
      </c>
      <c r="BD399" s="4">
        <f t="shared" ref="BD399:BD453" si="1794">BC399/BB399</f>
        <v>0</v>
      </c>
      <c r="BL399" s="4">
        <f t="shared" si="1586"/>
        <v>38.258749999999992</v>
      </c>
      <c r="BP399" s="9"/>
      <c r="BR399" s="9"/>
      <c r="BS399" s="9"/>
      <c r="BT399" s="9">
        <f t="shared" si="1587"/>
        <v>38.258749999999992</v>
      </c>
      <c r="BU399" s="9">
        <f t="shared" si="1588"/>
        <v>63.5</v>
      </c>
      <c r="BV399" s="9">
        <f t="shared" si="1589"/>
        <v>1.6750005871158282</v>
      </c>
      <c r="BW399" s="40">
        <f t="shared" si="1738"/>
        <v>20</v>
      </c>
      <c r="BX399" s="9">
        <f t="shared" si="1590"/>
        <v>0.05</v>
      </c>
      <c r="BY399" s="9">
        <f t="shared" ref="BY399:BY453" si="1795">MAX(0,BW399*(BX399-0.5/50))</f>
        <v>0.8</v>
      </c>
      <c r="BZ399" s="9">
        <f t="shared" si="1591"/>
        <v>1</v>
      </c>
      <c r="CA399" s="9">
        <f t="shared" si="1592"/>
        <v>0.68</v>
      </c>
      <c r="CB399" s="9">
        <f t="shared" si="1593"/>
        <v>2.0757770792545673</v>
      </c>
      <c r="CC399" s="9">
        <f t="shared" si="1594"/>
        <v>5.1375494898766334</v>
      </c>
      <c r="CD399" s="40">
        <v>1</v>
      </c>
      <c r="CE399" s="9" t="e">
        <f>4*CC399*#REF!+60*CC399</f>
        <v>#REF!</v>
      </c>
      <c r="CG399" s="4" t="e">
        <f t="shared" ref="CG399:CG453" si="1796">V399/AR399</f>
        <v>#REF!</v>
      </c>
      <c r="CH399" s="4" t="e">
        <f t="shared" ref="CH399:CH453" si="1797">V399/AW399</f>
        <v>#REF!</v>
      </c>
      <c r="CI399" s="4" t="e">
        <f t="shared" ref="CI399:CI453" si="1798">V399/AZ399</f>
        <v>#REF!</v>
      </c>
      <c r="CJ399" s="4" t="e">
        <f t="shared" ref="CJ399:CJ453" si="1799">V399/CE399</f>
        <v>#REF!</v>
      </c>
      <c r="CK399" s="4">
        <f t="shared" ref="CK399:CK453" si="1800">V399/DL399</f>
        <v>1.0458763223941501</v>
      </c>
      <c r="CL399" s="4">
        <f t="shared" ref="CL399:CL453" si="1801">V399/DX399</f>
        <v>1.0627262740118579</v>
      </c>
      <c r="CM399" s="4">
        <f t="shared" si="1699"/>
        <v>1.6217447857525504</v>
      </c>
      <c r="CN399" s="4">
        <f t="shared" si="1739"/>
        <v>10</v>
      </c>
      <c r="CU399" s="4" t="e">
        <f t="shared" si="1787"/>
        <v>#REF!</v>
      </c>
      <c r="CV399" s="4" t="e">
        <f t="shared" si="1788"/>
        <v>#REF!</v>
      </c>
      <c r="CW399" s="4" t="e">
        <f t="shared" si="1789"/>
        <v>#REF!</v>
      </c>
      <c r="CX399" s="4">
        <f t="shared" si="1790"/>
        <v>1.6217447857525504</v>
      </c>
      <c r="CY399" s="4">
        <f t="shared" si="1791"/>
        <v>1.0458763223941501</v>
      </c>
      <c r="CZ399" s="4">
        <f t="shared" si="1792"/>
        <v>1.0627262740118579</v>
      </c>
      <c r="DC399" s="4" t="e">
        <f>#REF!</f>
        <v>#REF!</v>
      </c>
      <c r="DF399" s="4">
        <f t="shared" si="1601"/>
        <v>1.9223039030668795E-5</v>
      </c>
      <c r="DG399" s="4">
        <f t="shared" ref="DG399:DG453" si="1802">EB399</f>
        <v>14.719357433866572</v>
      </c>
      <c r="DH399" s="4">
        <f t="shared" si="1602"/>
        <v>0.20867378938490794</v>
      </c>
      <c r="DI399" s="4">
        <f t="shared" ref="DI399:DI453" si="1803">DG399*DH399^0.4</f>
        <v>7.8645886568405601</v>
      </c>
      <c r="DJ399" s="4">
        <f t="shared" ref="DJ399:DJ453" si="1804">MIN(DG399, DG399/1.4*(1-DH399^1.4)/(1-DH399))</f>
        <v>11.804978006229822</v>
      </c>
      <c r="DK399" s="4">
        <f t="shared" si="1603"/>
        <v>14.033080781393064</v>
      </c>
      <c r="DL399" s="38">
        <f t="shared" si="1604"/>
        <v>821.61755307789213</v>
      </c>
      <c r="DM399" s="4" t="e">
        <f t="shared" ref="DM399:DM453" si="1805">DL399/ER399</f>
        <v>#REF!</v>
      </c>
      <c r="DN399" s="4">
        <f t="shared" si="1605"/>
        <v>2.2360679774997898</v>
      </c>
      <c r="DO399" s="4">
        <f t="shared" si="1697"/>
        <v>459.69501197583151</v>
      </c>
      <c r="DS399" s="4">
        <f t="shared" si="1606"/>
        <v>0.85</v>
      </c>
      <c r="DT399" s="4">
        <f t="shared" si="1607"/>
        <v>0.8590000000000001</v>
      </c>
      <c r="DU399" s="4">
        <f t="shared" si="1608"/>
        <v>0.7</v>
      </c>
      <c r="DV399" s="4">
        <f t="shared" ref="DV399:DV453" si="1806">IF(DT399*DU399&lt;0.7,0.7,DT399*DU399)</f>
        <v>0.7</v>
      </c>
      <c r="DX399" s="4">
        <f t="shared" si="1609"/>
        <v>808.59047700367478</v>
      </c>
      <c r="DY399" s="25">
        <f t="shared" si="1502"/>
        <v>453.912840277226</v>
      </c>
      <c r="EA399" s="4">
        <f t="shared" si="1503"/>
        <v>0.59499999999999997</v>
      </c>
      <c r="EB399" s="4">
        <f t="shared" si="1610"/>
        <v>14.719357433866572</v>
      </c>
      <c r="EE399" s="4">
        <f t="shared" si="1611"/>
        <v>35.497579142809165</v>
      </c>
      <c r="EF399" s="4">
        <f t="shared" ref="EF399:EF453" si="1807">R399^0.5</f>
        <v>2.2360679774997898</v>
      </c>
      <c r="EG399" s="4">
        <f t="shared" si="1612"/>
        <v>9.951921074997444E-2</v>
      </c>
      <c r="EJ399" s="4">
        <f t="shared" ref="EJ399:EJ453" si="1808">EG399</f>
        <v>9.951921074997444E-2</v>
      </c>
      <c r="EK399" s="4">
        <f t="shared" si="1613"/>
        <v>0.20832555172193198</v>
      </c>
      <c r="EL399" s="4">
        <f t="shared" ref="EL399:EL453" si="1809">EB399/1*EK399^0.4</f>
        <v>7.8593362131275946</v>
      </c>
      <c r="EM399" s="4">
        <f t="shared" ref="EM399:EM453" si="1810">EB399/1.4*(1-EK399^1.4)/(1-EK399)</f>
        <v>11.803243573120547</v>
      </c>
      <c r="EN399" s="4" t="e">
        <f t="shared" ref="EN399:EN453" si="1811">MAX(0,DC399*EN$9-EE399)</f>
        <v>#REF!</v>
      </c>
      <c r="EO399" s="4" t="e">
        <f t="shared" ref="EO399:EO453" si="1812">MAX(0,DC399-EE399-EN399)</f>
        <v>#REF!</v>
      </c>
      <c r="EP399" s="4" t="e">
        <f t="shared" si="1614"/>
        <v>#REF!</v>
      </c>
      <c r="EQ399" s="4" t="e">
        <f t="shared" ref="EQ399:EQ453" si="1813">MAX(0.5*EB399, (1-2*EP399*(EE399*EL399+EN399*EM399))/(1/EB399+EP399*EO399))</f>
        <v>#REF!</v>
      </c>
      <c r="ER399" s="4" t="e">
        <f t="shared" si="1615"/>
        <v>#REF!</v>
      </c>
      <c r="FA399" s="23" t="e">
        <f t="shared" si="1772"/>
        <v>#REF!</v>
      </c>
      <c r="FB399" s="23" t="e">
        <f t="shared" si="1773"/>
        <v>#REF!</v>
      </c>
      <c r="FC399" s="23">
        <f t="shared" si="1706"/>
        <v>1.8</v>
      </c>
      <c r="FD399" s="23" t="e">
        <f t="shared" si="1774"/>
        <v>#REF!</v>
      </c>
      <c r="FE399" s="23">
        <f t="shared" si="1775"/>
        <v>1.2</v>
      </c>
      <c r="FF399" s="23">
        <f t="shared" si="1776"/>
        <v>1.2</v>
      </c>
      <c r="FG399" s="23">
        <f t="shared" si="1629"/>
        <v>0</v>
      </c>
      <c r="FH399" s="23"/>
      <c r="FR399" s="4">
        <f t="shared" si="1485"/>
        <v>1</v>
      </c>
      <c r="FS399" s="4">
        <f t="shared" si="1486"/>
        <v>0.56465190210980853</v>
      </c>
      <c r="FT399" s="4">
        <f t="shared" si="1487"/>
        <v>0.3</v>
      </c>
      <c r="FU399" s="4">
        <f t="shared" si="1488"/>
        <v>529.86780187416116</v>
      </c>
    </row>
    <row r="400" spans="2:177" ht="12" customHeight="1" x14ac:dyDescent="0.3">
      <c r="B400" s="14"/>
      <c r="C400" s="7" t="s">
        <v>544</v>
      </c>
      <c r="D400" s="38">
        <f t="shared" si="1724"/>
        <v>958.62068965517244</v>
      </c>
      <c r="E400" s="38">
        <f>5.19*25.4</f>
        <v>131.82599999999999</v>
      </c>
      <c r="F400" s="38">
        <f t="shared" si="1762"/>
        <v>76.068965517241381</v>
      </c>
      <c r="G400" s="38">
        <f t="shared" si="1726"/>
        <v>15.875</v>
      </c>
      <c r="H400" s="38">
        <f>12.8*25.4</f>
        <v>325.12</v>
      </c>
      <c r="I400" s="38">
        <f t="shared" si="1784"/>
        <v>63.5</v>
      </c>
      <c r="J400" s="39">
        <f>3.9*25.4</f>
        <v>99.059999999999988</v>
      </c>
      <c r="K400" s="7">
        <f t="shared" si="1727"/>
        <v>44.873333333333335</v>
      </c>
      <c r="L400" s="38">
        <v>4</v>
      </c>
      <c r="M400" s="4">
        <f t="shared" si="1747"/>
        <v>133.35</v>
      </c>
      <c r="N400" s="7">
        <f t="shared" si="1569"/>
        <v>1.9133333333333333</v>
      </c>
      <c r="O400" s="7">
        <f t="shared" si="1570"/>
        <v>4.5</v>
      </c>
      <c r="P400" s="38">
        <v>4</v>
      </c>
      <c r="Q400" s="4">
        <f t="shared" si="1736"/>
        <v>4</v>
      </c>
      <c r="R400" s="4">
        <f t="shared" si="1571"/>
        <v>5</v>
      </c>
      <c r="S400" s="7">
        <f t="shared" si="1572"/>
        <v>35.497579142809165</v>
      </c>
      <c r="V400" s="38">
        <f t="shared" si="1777"/>
        <v>570.34482758620697</v>
      </c>
      <c r="W400" s="4">
        <v>82.7</v>
      </c>
      <c r="X400" s="4">
        <f t="shared" si="1573"/>
        <v>0.93075915185163327</v>
      </c>
      <c r="Y400" s="38"/>
      <c r="Z400" s="38"/>
      <c r="AA400" s="39">
        <v>1</v>
      </c>
      <c r="AB400" s="39"/>
      <c r="AC400" s="39"/>
      <c r="AD400" s="7"/>
      <c r="AE400" s="4">
        <f t="shared" si="1576"/>
        <v>131.82599999999999</v>
      </c>
      <c r="AF400" s="4">
        <f t="shared" si="1577"/>
        <v>0.82209377007064866</v>
      </c>
      <c r="AG400" s="4">
        <f t="shared" si="1578"/>
        <v>166.73548079390528</v>
      </c>
      <c r="AH400" s="4">
        <f t="shared" si="1579"/>
        <v>0.80838150289017341</v>
      </c>
      <c r="AI400" s="4">
        <v>1.25</v>
      </c>
      <c r="AJ400" s="4">
        <f t="shared" si="1513"/>
        <v>2.5</v>
      </c>
      <c r="AK400" s="38">
        <f t="shared" si="1729"/>
        <v>346.27072202772723</v>
      </c>
      <c r="AL400" s="38">
        <f t="shared" si="1616"/>
        <v>346.27072202772723</v>
      </c>
      <c r="AM400" s="38">
        <f t="shared" si="1580"/>
        <v>4.7518593634836064</v>
      </c>
      <c r="AN400" s="38">
        <f t="shared" si="1521"/>
        <v>346.27072202772706</v>
      </c>
      <c r="AO400" s="38">
        <f t="shared" si="1484"/>
        <v>1.0000000000000004</v>
      </c>
      <c r="AP400" s="38">
        <f t="shared" si="1522"/>
        <v>2.5904738238524363</v>
      </c>
      <c r="AQ400" s="4">
        <f t="shared" si="1523"/>
        <v>0</v>
      </c>
      <c r="AR400" s="4" t="e">
        <f>#REF!/G400*F400^0.5/0.19</f>
        <v>#REF!</v>
      </c>
      <c r="AS400" s="4">
        <f t="shared" si="1581"/>
        <v>1.540766550522648</v>
      </c>
      <c r="AT400" s="38">
        <f t="shared" si="1582"/>
        <v>897.00524137931018</v>
      </c>
      <c r="AU400" s="4">
        <f t="shared" si="1583"/>
        <v>0.44000000000000006</v>
      </c>
      <c r="AV400" s="4" t="e">
        <f>AU400*D400*#REF!/(D400*G400/2.75/F400^0.5)</f>
        <v>#REF!</v>
      </c>
      <c r="AW400" s="4" t="e">
        <f t="shared" si="1793"/>
        <v>#REF!</v>
      </c>
      <c r="AY400" s="4">
        <f t="shared" si="1584"/>
        <v>1.5</v>
      </c>
      <c r="AZ400" s="4" t="e">
        <f>(3*#REF!+30)*AY400*F400^0.5</f>
        <v>#REF!</v>
      </c>
      <c r="BB400" s="4">
        <f t="shared" si="1585"/>
        <v>860.3377230757111</v>
      </c>
      <c r="BC400" s="4">
        <f t="shared" si="1662"/>
        <v>0</v>
      </c>
      <c r="BD400" s="4">
        <f t="shared" si="1794"/>
        <v>0</v>
      </c>
      <c r="BL400" s="4">
        <f t="shared" si="1586"/>
        <v>22.436666666666667</v>
      </c>
      <c r="BP400" s="9"/>
      <c r="BR400" s="9"/>
      <c r="BS400" s="9"/>
      <c r="BT400" s="9">
        <f t="shared" si="1587"/>
        <v>22.436666666666667</v>
      </c>
      <c r="BU400" s="9">
        <f t="shared" si="1588"/>
        <v>63.5</v>
      </c>
      <c r="BV400" s="9">
        <f t="shared" si="1589"/>
        <v>1.3896153710408319</v>
      </c>
      <c r="BW400" s="40">
        <f t="shared" si="1738"/>
        <v>0</v>
      </c>
      <c r="BX400" s="9">
        <f t="shared" si="1590"/>
        <v>0</v>
      </c>
      <c r="BY400" s="9">
        <f t="shared" si="1795"/>
        <v>0</v>
      </c>
      <c r="BZ400" s="9">
        <f t="shared" si="1591"/>
        <v>1</v>
      </c>
      <c r="CA400" s="9">
        <f t="shared" si="1592"/>
        <v>0.68</v>
      </c>
      <c r="CB400" s="9">
        <f t="shared" si="1593"/>
        <v>2.0757770792545673</v>
      </c>
      <c r="CC400" s="9">
        <f t="shared" si="1594"/>
        <v>2.88453173618639</v>
      </c>
      <c r="CD400" s="40">
        <v>1</v>
      </c>
      <c r="CE400" s="9" t="e">
        <f>4*CC400*#REF!+60*CC400</f>
        <v>#REF!</v>
      </c>
      <c r="CG400" s="4" t="e">
        <f t="shared" si="1796"/>
        <v>#REF!</v>
      </c>
      <c r="CH400" s="4" t="e">
        <f t="shared" si="1797"/>
        <v>#REF!</v>
      </c>
      <c r="CI400" s="4" t="e">
        <f t="shared" si="1798"/>
        <v>#REF!</v>
      </c>
      <c r="CJ400" s="4" t="e">
        <f t="shared" si="1799"/>
        <v>#REF!</v>
      </c>
      <c r="CK400" s="4">
        <f t="shared" si="1800"/>
        <v>0.93075915185163327</v>
      </c>
      <c r="CL400" s="4">
        <f t="shared" si="1801"/>
        <v>0.93527480684988118</v>
      </c>
      <c r="CM400" s="4">
        <f t="shared" si="1699"/>
        <v>1.5631748888459425</v>
      </c>
      <c r="CN400" s="4">
        <f t="shared" si="1739"/>
        <v>0</v>
      </c>
      <c r="CO400" s="4" t="e">
        <f t="shared" ref="CO400" si="1814">CG400</f>
        <v>#REF!</v>
      </c>
      <c r="CP400" s="4" t="e">
        <f t="shared" ref="CP400" si="1815">CH400</f>
        <v>#REF!</v>
      </c>
      <c r="CQ400" s="4" t="e">
        <f t="shared" ref="CQ400" si="1816">CJ400</f>
        <v>#REF!</v>
      </c>
      <c r="CR400" s="4">
        <f t="shared" ref="CR400" si="1817">CM400</f>
        <v>1.5631748888459425</v>
      </c>
      <c r="CS400" s="4">
        <f t="shared" ref="CS400" si="1818">CK400</f>
        <v>0.93075915185163327</v>
      </c>
      <c r="CT400" s="4">
        <f t="shared" ref="CT400" si="1819">CL400</f>
        <v>0.93527480684988118</v>
      </c>
      <c r="DC400" s="4" t="e">
        <f>#REF!</f>
        <v>#REF!</v>
      </c>
      <c r="DF400" s="4">
        <f t="shared" si="1601"/>
        <v>1.987401844007391E-5</v>
      </c>
      <c r="DG400" s="4">
        <f t="shared" si="1802"/>
        <v>10.747792284812169</v>
      </c>
      <c r="DH400" s="4">
        <f t="shared" si="1602"/>
        <v>0.15718600775762356</v>
      </c>
      <c r="DI400" s="4">
        <f t="shared" si="1803"/>
        <v>5.1272538285529041</v>
      </c>
      <c r="DJ400" s="4">
        <f t="shared" si="1804"/>
        <v>8.4257362124731756</v>
      </c>
      <c r="DK400" s="4">
        <f t="shared" si="1603"/>
        <v>10.368938630659107</v>
      </c>
      <c r="DL400" s="38">
        <f t="shared" si="1604"/>
        <v>612.77380560972688</v>
      </c>
      <c r="DM400" s="4" t="e">
        <f t="shared" si="1805"/>
        <v>#REF!</v>
      </c>
      <c r="DN400" s="4">
        <f t="shared" si="1605"/>
        <v>2.2360679774997898</v>
      </c>
      <c r="DO400" s="4">
        <f t="shared" si="1697"/>
        <v>346.27072202772706</v>
      </c>
      <c r="DS400" s="4">
        <f t="shared" si="1606"/>
        <v>0.85</v>
      </c>
      <c r="DT400" s="4">
        <f t="shared" si="1607"/>
        <v>0.95866666666666667</v>
      </c>
      <c r="DU400" s="4">
        <f t="shared" si="1608"/>
        <v>1</v>
      </c>
      <c r="DV400" s="4">
        <f t="shared" si="1806"/>
        <v>0.95866666666666667</v>
      </c>
      <c r="DX400" s="4">
        <f t="shared" si="1609"/>
        <v>609.8152365583303</v>
      </c>
      <c r="DY400" s="25">
        <f t="shared" si="1502"/>
        <v>342.0662351590895</v>
      </c>
      <c r="EA400" s="4">
        <f t="shared" si="1503"/>
        <v>0.81486666666666663</v>
      </c>
      <c r="EB400" s="4">
        <f t="shared" si="1610"/>
        <v>10.747792284812169</v>
      </c>
      <c r="EE400" s="4">
        <f t="shared" si="1611"/>
        <v>35.497579142809165</v>
      </c>
      <c r="EF400" s="4">
        <f t="shared" si="1807"/>
        <v>2.2360679774997898</v>
      </c>
      <c r="EG400" s="4">
        <f t="shared" si="1612"/>
        <v>7.4964026287574675E-2</v>
      </c>
      <c r="EJ400" s="4">
        <f t="shared" si="1808"/>
        <v>7.4964026287574675E-2</v>
      </c>
      <c r="EK400" s="4">
        <f t="shared" si="1613"/>
        <v>0.15692369360616554</v>
      </c>
      <c r="EL400" s="4">
        <f t="shared" si="1809"/>
        <v>5.12382954111568</v>
      </c>
      <c r="EM400" s="4">
        <f t="shared" si="1810"/>
        <v>8.4247093924266547</v>
      </c>
      <c r="EN400" s="4" t="e">
        <f t="shared" si="1811"/>
        <v>#REF!</v>
      </c>
      <c r="EO400" s="4" t="e">
        <f t="shared" si="1812"/>
        <v>#REF!</v>
      </c>
      <c r="EP400" s="4" t="e">
        <f t="shared" si="1614"/>
        <v>#REF!</v>
      </c>
      <c r="EQ400" s="4" t="e">
        <f t="shared" si="1813"/>
        <v>#REF!</v>
      </c>
      <c r="ER400" s="4" t="e">
        <f t="shared" si="1615"/>
        <v>#REF!</v>
      </c>
      <c r="FA400" s="23" t="e">
        <f t="shared" si="1772"/>
        <v>#REF!</v>
      </c>
      <c r="FB400" s="23" t="e">
        <f t="shared" si="1773"/>
        <v>#REF!</v>
      </c>
      <c r="FC400" s="23">
        <f t="shared" si="1706"/>
        <v>1.6</v>
      </c>
      <c r="FD400" s="23" t="e">
        <f t="shared" si="1774"/>
        <v>#REF!</v>
      </c>
      <c r="FE400" s="23">
        <f t="shared" si="1775"/>
        <v>1</v>
      </c>
      <c r="FF400" s="23">
        <f t="shared" si="1776"/>
        <v>1</v>
      </c>
      <c r="FG400" s="23">
        <f t="shared" si="1629"/>
        <v>0</v>
      </c>
      <c r="FH400" s="23"/>
      <c r="FR400" s="4">
        <f t="shared" si="1485"/>
        <v>1</v>
      </c>
      <c r="FS400" s="4">
        <f t="shared" si="1486"/>
        <v>0.84777777777777774</v>
      </c>
      <c r="FT400" s="4">
        <f t="shared" si="1487"/>
        <v>0</v>
      </c>
      <c r="FU400" s="4">
        <f t="shared" si="1488"/>
        <v>364.86309475408729</v>
      </c>
    </row>
    <row r="401" spans="2:177" ht="12" customHeight="1" x14ac:dyDescent="0.3">
      <c r="B401" s="14"/>
      <c r="C401" s="7" t="s">
        <v>545</v>
      </c>
      <c r="D401" s="38">
        <f t="shared" si="1724"/>
        <v>958.62068965517244</v>
      </c>
      <c r="E401" s="38">
        <f>5.03*25.4</f>
        <v>127.762</v>
      </c>
      <c r="F401" s="38">
        <f t="shared" si="1762"/>
        <v>76.068965517241381</v>
      </c>
      <c r="G401" s="38">
        <f t="shared" si="1726"/>
        <v>15.875</v>
      </c>
      <c r="H401" s="38">
        <f>13*25.4</f>
        <v>330.2</v>
      </c>
      <c r="I401" s="38">
        <f t="shared" si="1784"/>
        <v>63.5</v>
      </c>
      <c r="J401" s="39">
        <f>4*25.4</f>
        <v>101.6</v>
      </c>
      <c r="K401" s="7">
        <f t="shared" si="1727"/>
        <v>46.566666666666663</v>
      </c>
      <c r="L401" s="38">
        <v>4</v>
      </c>
      <c r="M401" s="4">
        <f t="shared" si="1747"/>
        <v>133.35</v>
      </c>
      <c r="N401" s="7">
        <f t="shared" si="1569"/>
        <v>1.9666666666666666</v>
      </c>
      <c r="O401" s="7">
        <f t="shared" si="1570"/>
        <v>4.5</v>
      </c>
      <c r="P401" s="38">
        <v>4</v>
      </c>
      <c r="Q401" s="4">
        <f t="shared" si="1736"/>
        <v>4</v>
      </c>
      <c r="R401" s="4">
        <f t="shared" si="1571"/>
        <v>5</v>
      </c>
      <c r="S401" s="7">
        <f t="shared" si="1572"/>
        <v>35.497579142809165</v>
      </c>
      <c r="V401" s="38">
        <f t="shared" si="1777"/>
        <v>687.58620689655174</v>
      </c>
      <c r="W401" s="4">
        <v>99.7</v>
      </c>
      <c r="X401" s="4">
        <f t="shared" si="1573"/>
        <v>1.0597976267559761</v>
      </c>
      <c r="Y401" s="38">
        <f t="shared" ref="Y401:Y402" si="1820">0.375*25.4</f>
        <v>9.5249999999999986</v>
      </c>
      <c r="Z401" s="38">
        <v>4</v>
      </c>
      <c r="AA401" s="39">
        <f>3.5*25.4</f>
        <v>88.899999999999991</v>
      </c>
      <c r="AB401" s="39">
        <v>2</v>
      </c>
      <c r="AC401" s="39">
        <f t="shared" ref="AC401:AC402" si="1821">AB401-1</f>
        <v>1</v>
      </c>
      <c r="AD401" s="7"/>
      <c r="AE401" s="4">
        <f t="shared" si="1576"/>
        <v>127.762</v>
      </c>
      <c r="AF401" s="4">
        <f t="shared" si="1577"/>
        <v>0.86149768058316756</v>
      </c>
      <c r="AG401" s="4">
        <f t="shared" si="1578"/>
        <v>159.0849028201888</v>
      </c>
      <c r="AH401" s="4">
        <f t="shared" si="1579"/>
        <v>0.81182902584493033</v>
      </c>
      <c r="AI401" s="4">
        <v>1.25</v>
      </c>
      <c r="AJ401" s="4">
        <f t="shared" si="1513"/>
        <v>2.5</v>
      </c>
      <c r="AK401" s="38">
        <f t="shared" si="1729"/>
        <v>347.69438408733856</v>
      </c>
      <c r="AL401" s="38">
        <f t="shared" si="1616"/>
        <v>347.69438408733856</v>
      </c>
      <c r="AM401" s="38">
        <f t="shared" si="1580"/>
        <v>4.7518593634836064</v>
      </c>
      <c r="AN401" s="38">
        <f t="shared" si="1521"/>
        <v>347.69438408733862</v>
      </c>
      <c r="AO401" s="38">
        <f t="shared" si="1484"/>
        <v>0.99999999999999989</v>
      </c>
      <c r="AP401" s="38">
        <f t="shared" si="1522"/>
        <v>2.6078709075086741</v>
      </c>
      <c r="AQ401" s="4">
        <f t="shared" si="1523"/>
        <v>0</v>
      </c>
      <c r="AR401" s="4" t="e">
        <f>#REF!/G401*F401^0.5/0.19</f>
        <v>#REF!</v>
      </c>
      <c r="AS401" s="4">
        <f t="shared" si="1581"/>
        <v>1.5152542372881357</v>
      </c>
      <c r="AT401" s="38">
        <f t="shared" si="1582"/>
        <v>906.74206896551721</v>
      </c>
      <c r="AU401" s="4">
        <f t="shared" si="1583"/>
        <v>0.44000000000000006</v>
      </c>
      <c r="AV401" s="4" t="e">
        <f>AU401*D401*#REF!/(D401*G401/2.75/F401^0.5)</f>
        <v>#REF!</v>
      </c>
      <c r="AW401" s="4" t="e">
        <f t="shared" si="1793"/>
        <v>#REF!</v>
      </c>
      <c r="AY401" s="4">
        <f t="shared" si="1584"/>
        <v>1.5</v>
      </c>
      <c r="AZ401" s="4" t="e">
        <f>(3*#REF!+30)*AY401*F401^0.5</f>
        <v>#REF!</v>
      </c>
      <c r="BB401" s="4">
        <f t="shared" si="1585"/>
        <v>869.6765314673064</v>
      </c>
      <c r="BC401" s="4">
        <f t="shared" ref="BC401:BC432" si="1822">8/3*T401*U401^2/(S401-G401-22)/G401*(S401^2-G401^2)/(S401^2-(G401+22)^2)</f>
        <v>0</v>
      </c>
      <c r="BD401" s="4">
        <f t="shared" si="1794"/>
        <v>0</v>
      </c>
      <c r="BL401" s="4">
        <f t="shared" si="1586"/>
        <v>23.283333333333331</v>
      </c>
      <c r="BP401" s="9"/>
      <c r="BR401" s="9"/>
      <c r="BS401" s="9"/>
      <c r="BT401" s="9">
        <f t="shared" si="1587"/>
        <v>23.283333333333331</v>
      </c>
      <c r="BU401" s="9">
        <f t="shared" si="1588"/>
        <v>63.5</v>
      </c>
      <c r="BV401" s="9">
        <f t="shared" si="1589"/>
        <v>1.4077482505972425</v>
      </c>
      <c r="BW401" s="40">
        <f t="shared" si="1738"/>
        <v>20</v>
      </c>
      <c r="BX401" s="9">
        <f t="shared" si="1590"/>
        <v>0.05</v>
      </c>
      <c r="BY401" s="9">
        <f t="shared" si="1795"/>
        <v>0.8</v>
      </c>
      <c r="BZ401" s="9">
        <f t="shared" si="1591"/>
        <v>1</v>
      </c>
      <c r="CA401" s="9">
        <f t="shared" si="1592"/>
        <v>0.68</v>
      </c>
      <c r="CB401" s="9">
        <f t="shared" si="1593"/>
        <v>2.0757770792545673</v>
      </c>
      <c r="CC401" s="9">
        <f t="shared" si="1594"/>
        <v>4.5827932153541244</v>
      </c>
      <c r="CD401" s="40">
        <v>1</v>
      </c>
      <c r="CE401" s="9" t="e">
        <f>4*CC401*#REF!+60*CC401</f>
        <v>#REF!</v>
      </c>
      <c r="CG401" s="4" t="e">
        <f t="shared" si="1796"/>
        <v>#REF!</v>
      </c>
      <c r="CH401" s="4" t="e">
        <f t="shared" si="1797"/>
        <v>#REF!</v>
      </c>
      <c r="CI401" s="4" t="e">
        <f t="shared" si="1798"/>
        <v>#REF!</v>
      </c>
      <c r="CJ401" s="4" t="e">
        <f t="shared" si="1799"/>
        <v>#REF!</v>
      </c>
      <c r="CK401" s="4">
        <f t="shared" si="1800"/>
        <v>1.0597976267559761</v>
      </c>
      <c r="CL401" s="4">
        <f t="shared" si="1801"/>
        <v>1.0625500982773062</v>
      </c>
      <c r="CM401" s="4">
        <f t="shared" si="1699"/>
        <v>1.4956819971499853</v>
      </c>
      <c r="CN401" s="4">
        <f t="shared" si="1739"/>
        <v>4</v>
      </c>
      <c r="CU401" s="4" t="e">
        <f t="shared" ref="CU401:CU402" si="1823">CG401</f>
        <v>#REF!</v>
      </c>
      <c r="CV401" s="4" t="e">
        <f t="shared" ref="CV401:CV402" si="1824">CH401</f>
        <v>#REF!</v>
      </c>
      <c r="CW401" s="4" t="e">
        <f t="shared" ref="CW401:CW402" si="1825">CJ401</f>
        <v>#REF!</v>
      </c>
      <c r="CX401" s="4">
        <f t="shared" ref="CX401:CX402" si="1826">CM401</f>
        <v>1.4956819971499853</v>
      </c>
      <c r="CY401" s="4">
        <f t="shared" ref="CY401:CY402" si="1827">CK401</f>
        <v>1.0597976267559761</v>
      </c>
      <c r="CZ401" s="4">
        <f t="shared" ref="CZ401:CZ402" si="1828">CL401</f>
        <v>1.0625500982773062</v>
      </c>
      <c r="DC401" s="4" t="e">
        <f>#REF!</f>
        <v>#REF!</v>
      </c>
      <c r="DF401" s="4">
        <f t="shared" si="1601"/>
        <v>1.9261331937104394E-5</v>
      </c>
      <c r="DG401" s="4">
        <f t="shared" si="1802"/>
        <v>12.581978805701782</v>
      </c>
      <c r="DH401" s="4">
        <f t="shared" si="1602"/>
        <v>0.15783226440397216</v>
      </c>
      <c r="DI401" s="4">
        <f t="shared" si="1803"/>
        <v>6.0121147926331782</v>
      </c>
      <c r="DJ401" s="4">
        <f t="shared" si="1804"/>
        <v>9.8666068378636407</v>
      </c>
      <c r="DK401" s="4">
        <f t="shared" si="1603"/>
        <v>12.096419492605579</v>
      </c>
      <c r="DL401" s="38">
        <f t="shared" si="1604"/>
        <v>648.79009872973802</v>
      </c>
      <c r="DM401" s="4" t="e">
        <f t="shared" si="1805"/>
        <v>#REF!</v>
      </c>
      <c r="DN401" s="4">
        <f t="shared" si="1605"/>
        <v>2.2360679774997898</v>
      </c>
      <c r="DO401" s="4">
        <f t="shared" si="1697"/>
        <v>347.69438408733862</v>
      </c>
      <c r="DS401" s="4">
        <f t="shared" si="1606"/>
        <v>0.85</v>
      </c>
      <c r="DT401" s="4">
        <f t="shared" si="1607"/>
        <v>0.95333333333333337</v>
      </c>
      <c r="DU401" s="4">
        <f t="shared" si="1608"/>
        <v>0.85899999999999999</v>
      </c>
      <c r="DV401" s="4">
        <f t="shared" si="1806"/>
        <v>0.81891333333333338</v>
      </c>
      <c r="DX401" s="4">
        <f t="shared" si="1609"/>
        <v>647.10944736753891</v>
      </c>
      <c r="DY401" s="25">
        <f t="shared" si="1502"/>
        <v>343.33015108267512</v>
      </c>
      <c r="EA401" s="4">
        <f t="shared" si="1503"/>
        <v>0.69607633333333341</v>
      </c>
      <c r="EB401" s="4">
        <f t="shared" si="1610"/>
        <v>12.581978805701782</v>
      </c>
      <c r="EE401" s="4">
        <f t="shared" si="1611"/>
        <v>35.497579142809165</v>
      </c>
      <c r="EF401" s="4">
        <f t="shared" si="1807"/>
        <v>2.2360679774997898</v>
      </c>
      <c r="EG401" s="4">
        <f t="shared" si="1612"/>
        <v>7.5272234383934614E-2</v>
      </c>
      <c r="EJ401" s="4">
        <f t="shared" si="1808"/>
        <v>7.5272234383934614E-2</v>
      </c>
      <c r="EK401" s="4">
        <f t="shared" si="1613"/>
        <v>0.15756887177061726</v>
      </c>
      <c r="EL401" s="4">
        <f t="shared" si="1809"/>
        <v>6.0080995420050707</v>
      </c>
      <c r="EM401" s="4">
        <f t="shared" si="1810"/>
        <v>9.8654010734024293</v>
      </c>
      <c r="EN401" s="4" t="e">
        <f t="shared" si="1811"/>
        <v>#REF!</v>
      </c>
      <c r="EO401" s="4" t="e">
        <f t="shared" si="1812"/>
        <v>#REF!</v>
      </c>
      <c r="EP401" s="4" t="e">
        <f t="shared" si="1614"/>
        <v>#REF!</v>
      </c>
      <c r="EQ401" s="4" t="e">
        <f t="shared" si="1813"/>
        <v>#REF!</v>
      </c>
      <c r="ER401" s="4" t="e">
        <f t="shared" si="1615"/>
        <v>#REF!</v>
      </c>
      <c r="FA401" s="23" t="e">
        <f t="shared" si="1772"/>
        <v>#REF!</v>
      </c>
      <c r="FB401" s="23" t="e">
        <f t="shared" si="1773"/>
        <v>#REF!</v>
      </c>
      <c r="FC401" s="23">
        <f t="shared" si="1706"/>
        <v>1.6</v>
      </c>
      <c r="FD401" s="23" t="e">
        <f t="shared" si="1774"/>
        <v>#REF!</v>
      </c>
      <c r="FE401" s="23">
        <f t="shared" si="1775"/>
        <v>1.2</v>
      </c>
      <c r="FF401" s="23">
        <f t="shared" si="1776"/>
        <v>1.2</v>
      </c>
      <c r="FG401" s="23">
        <f t="shared" si="1629"/>
        <v>0</v>
      </c>
      <c r="FH401" s="23"/>
      <c r="FR401" s="4">
        <f t="shared" si="1485"/>
        <v>1</v>
      </c>
      <c r="FS401" s="4">
        <f t="shared" si="1486"/>
        <v>0.65211577090952166</v>
      </c>
      <c r="FT401" s="4">
        <f t="shared" si="1487"/>
        <v>0.3</v>
      </c>
      <c r="FU401" s="4">
        <f t="shared" si="1488"/>
        <v>459.71416932659741</v>
      </c>
    </row>
    <row r="402" spans="2:177" ht="12" customHeight="1" x14ac:dyDescent="0.3">
      <c r="B402" s="14"/>
      <c r="C402" s="7" t="s">
        <v>546</v>
      </c>
      <c r="D402" s="38">
        <f t="shared" si="1724"/>
        <v>958.62068965517244</v>
      </c>
      <c r="E402" s="38">
        <f>5.19*25.4</f>
        <v>131.82599999999999</v>
      </c>
      <c r="F402" s="38">
        <f t="shared" si="1762"/>
        <v>76.068965517241381</v>
      </c>
      <c r="G402" s="38">
        <f t="shared" si="1726"/>
        <v>15.875</v>
      </c>
      <c r="H402" s="38">
        <f>13.3*25.4</f>
        <v>337.82</v>
      </c>
      <c r="I402" s="38">
        <f t="shared" si="1784"/>
        <v>63.5</v>
      </c>
      <c r="J402" s="39">
        <f>3.8*25.4</f>
        <v>96.52</v>
      </c>
      <c r="K402" s="7">
        <f t="shared" si="1727"/>
        <v>49.106666666666662</v>
      </c>
      <c r="L402" s="38">
        <v>4</v>
      </c>
      <c r="M402" s="4">
        <f t="shared" si="1747"/>
        <v>133.35</v>
      </c>
      <c r="N402" s="7">
        <f t="shared" si="1569"/>
        <v>2.0466666666666664</v>
      </c>
      <c r="O402" s="7">
        <f t="shared" si="1570"/>
        <v>4.5</v>
      </c>
      <c r="P402" s="38">
        <v>4</v>
      </c>
      <c r="Q402" s="4">
        <f t="shared" si="1736"/>
        <v>4</v>
      </c>
      <c r="R402" s="4">
        <f t="shared" si="1571"/>
        <v>5</v>
      </c>
      <c r="S402" s="7">
        <f t="shared" si="1572"/>
        <v>35.497579142809165</v>
      </c>
      <c r="V402" s="38">
        <f t="shared" si="1777"/>
        <v>1070.344827586207</v>
      </c>
      <c r="W402" s="4">
        <v>155.19999999999999</v>
      </c>
      <c r="X402" s="4">
        <f t="shared" si="1573"/>
        <v>1.4770163586145215</v>
      </c>
      <c r="Y402" s="38">
        <f t="shared" si="1820"/>
        <v>9.5249999999999986</v>
      </c>
      <c r="Z402" s="38">
        <v>10</v>
      </c>
      <c r="AA402" s="39">
        <f>1.75*25.4</f>
        <v>44.449999999999996</v>
      </c>
      <c r="AB402" s="39">
        <v>3</v>
      </c>
      <c r="AC402" s="39">
        <f t="shared" si="1821"/>
        <v>2</v>
      </c>
      <c r="AD402" s="7"/>
      <c r="AE402" s="4">
        <f t="shared" si="1576"/>
        <v>131.82599999999999</v>
      </c>
      <c r="AF402" s="4">
        <f t="shared" si="1577"/>
        <v>0.85420680796403337</v>
      </c>
      <c r="AG402" s="4">
        <f t="shared" si="1578"/>
        <v>166.73548079390528</v>
      </c>
      <c r="AH402" s="4">
        <f t="shared" si="1579"/>
        <v>0.80838150289017341</v>
      </c>
      <c r="AI402" s="4">
        <v>1.25</v>
      </c>
      <c r="AJ402" s="4">
        <f t="shared" si="1513"/>
        <v>2.5</v>
      </c>
      <c r="AK402" s="38">
        <f t="shared" si="1729"/>
        <v>359.7969221069352</v>
      </c>
      <c r="AL402" s="38">
        <f t="shared" si="1616"/>
        <v>359.7969221069352</v>
      </c>
      <c r="AM402" s="38">
        <f t="shared" si="1580"/>
        <v>4.7518593634836064</v>
      </c>
      <c r="AN402" s="38">
        <f t="shared" si="1521"/>
        <v>359.7969221069352</v>
      </c>
      <c r="AO402" s="38">
        <f t="shared" si="1484"/>
        <v>1</v>
      </c>
      <c r="AP402" s="38">
        <f t="shared" si="1522"/>
        <v>2.5607426126646908</v>
      </c>
      <c r="AQ402" s="4">
        <f t="shared" si="1523"/>
        <v>0</v>
      </c>
      <c r="AR402" s="4" t="e">
        <f>#REF!/G402*F402^0.5/0.19</f>
        <v>#REF!</v>
      </c>
      <c r="AS402" s="4">
        <f t="shared" si="1581"/>
        <v>1.4794788273615636</v>
      </c>
      <c r="AT402" s="38">
        <f t="shared" si="1582"/>
        <v>921.34731034482752</v>
      </c>
      <c r="AU402" s="4">
        <f t="shared" si="1583"/>
        <v>0.44000000000000006</v>
      </c>
      <c r="AV402" s="4" t="e">
        <f>AU402*D402*#REF!/(D402*G402/2.75/F402^0.5)</f>
        <v>#REF!</v>
      </c>
      <c r="AW402" s="4" t="e">
        <f t="shared" si="1793"/>
        <v>#REF!</v>
      </c>
      <c r="AY402" s="4">
        <f t="shared" si="1584"/>
        <v>1.5</v>
      </c>
      <c r="AZ402" s="4" t="e">
        <f>(3*#REF!+30)*AY402*F402^0.5</f>
        <v>#REF!</v>
      </c>
      <c r="BB402" s="4">
        <f t="shared" si="1585"/>
        <v>883.68474405469908</v>
      </c>
      <c r="BC402" s="4">
        <f t="shared" si="1822"/>
        <v>0</v>
      </c>
      <c r="BD402" s="4">
        <f t="shared" si="1794"/>
        <v>0</v>
      </c>
      <c r="BL402" s="4">
        <f t="shared" si="1586"/>
        <v>24.553333333333331</v>
      </c>
      <c r="BP402" s="9"/>
      <c r="BR402" s="9"/>
      <c r="BS402" s="9"/>
      <c r="BT402" s="9">
        <f t="shared" si="1587"/>
        <v>24.553333333333331</v>
      </c>
      <c r="BU402" s="9">
        <f t="shared" si="1588"/>
        <v>63.5</v>
      </c>
      <c r="BV402" s="9">
        <f t="shared" si="1589"/>
        <v>1.4341608165436117</v>
      </c>
      <c r="BW402" s="40">
        <f t="shared" si="1738"/>
        <v>20</v>
      </c>
      <c r="BX402" s="9">
        <f t="shared" si="1590"/>
        <v>0.05</v>
      </c>
      <c r="BY402" s="9">
        <f t="shared" si="1795"/>
        <v>0.8</v>
      </c>
      <c r="BZ402" s="9">
        <f t="shared" si="1591"/>
        <v>1</v>
      </c>
      <c r="CA402" s="9">
        <f t="shared" si="1592"/>
        <v>0.68</v>
      </c>
      <c r="CB402" s="9">
        <f t="shared" si="1593"/>
        <v>2.0757770792545673</v>
      </c>
      <c r="CC402" s="9">
        <f t="shared" si="1594"/>
        <v>4.6376198143498968</v>
      </c>
      <c r="CD402" s="40">
        <v>1</v>
      </c>
      <c r="CE402" s="9" t="e">
        <f>4*CC402*#REF!+60*CC402</f>
        <v>#REF!</v>
      </c>
      <c r="CG402" s="47" t="e">
        <f t="shared" ref="CG402" si="1829">V402/AR402</f>
        <v>#REF!</v>
      </c>
      <c r="CH402" s="47" t="e">
        <f t="shared" ref="CH402" si="1830">V402/AW402</f>
        <v>#REF!</v>
      </c>
      <c r="CI402" s="47" t="e">
        <f t="shared" ref="CI402" si="1831">V402/AZ402</f>
        <v>#REF!</v>
      </c>
      <c r="CJ402" s="47" t="e">
        <f t="shared" ref="CJ402" si="1832">V402/CE402</f>
        <v>#REF!</v>
      </c>
      <c r="CK402" s="47">
        <f t="shared" ref="CK402" si="1833">V402/DL402</f>
        <v>1.4770163586145215</v>
      </c>
      <c r="CL402" s="47">
        <f t="shared" ref="CL402" si="1834">V402/DX402</f>
        <v>1.4822322141280799</v>
      </c>
      <c r="CM402" s="47">
        <f t="shared" si="1699"/>
        <v>2.2308393728048879</v>
      </c>
      <c r="CN402" s="4">
        <f t="shared" si="1739"/>
        <v>10</v>
      </c>
      <c r="CU402" s="4" t="e">
        <f t="shared" si="1823"/>
        <v>#REF!</v>
      </c>
      <c r="CV402" s="4" t="e">
        <f t="shared" si="1824"/>
        <v>#REF!</v>
      </c>
      <c r="CW402" s="4" t="e">
        <f t="shared" si="1825"/>
        <v>#REF!</v>
      </c>
      <c r="CX402" s="4">
        <f t="shared" si="1826"/>
        <v>2.2308393728048879</v>
      </c>
      <c r="CY402" s="4">
        <f t="shared" si="1827"/>
        <v>1.4770163586145215</v>
      </c>
      <c r="CZ402" s="4">
        <f t="shared" si="1828"/>
        <v>1.4822322141280799</v>
      </c>
      <c r="DC402" s="4" t="e">
        <f>#REF!</f>
        <v>#REF!</v>
      </c>
      <c r="DF402" s="4">
        <f t="shared" si="1601"/>
        <v>1.987401844007391E-5</v>
      </c>
      <c r="DG402" s="4">
        <f t="shared" si="1802"/>
        <v>14.719357433866572</v>
      </c>
      <c r="DH402" s="4">
        <f t="shared" si="1602"/>
        <v>0.16332608618565578</v>
      </c>
      <c r="DI402" s="4">
        <f t="shared" si="1803"/>
        <v>7.1303537009958502</v>
      </c>
      <c r="DJ402" s="4">
        <f t="shared" si="1804"/>
        <v>11.571998230954497</v>
      </c>
      <c r="DK402" s="4">
        <f t="shared" si="1603"/>
        <v>14.007178283150786</v>
      </c>
      <c r="DL402" s="38">
        <f t="shared" si="1604"/>
        <v>724.66687409624717</v>
      </c>
      <c r="DM402" s="4" t="e">
        <f t="shared" si="1805"/>
        <v>#REF!</v>
      </c>
      <c r="DN402" s="4">
        <f t="shared" si="1605"/>
        <v>2.2360679774997898</v>
      </c>
      <c r="DO402" s="4">
        <f t="shared" si="1697"/>
        <v>359.7969221069352</v>
      </c>
      <c r="DS402" s="4">
        <f t="shared" si="1606"/>
        <v>0.85</v>
      </c>
      <c r="DT402" s="4">
        <f t="shared" si="1607"/>
        <v>0.94533333333333336</v>
      </c>
      <c r="DU402" s="4">
        <f t="shared" si="1608"/>
        <v>0.7</v>
      </c>
      <c r="DV402" s="4">
        <f t="shared" si="1806"/>
        <v>0.7</v>
      </c>
      <c r="DX402" s="4">
        <f t="shared" si="1609"/>
        <v>722.11682986247547</v>
      </c>
      <c r="DY402" s="25">
        <f t="shared" si="1502"/>
        <v>355.4281974699914</v>
      </c>
      <c r="EA402" s="4">
        <f t="shared" si="1503"/>
        <v>0.59499999999999997</v>
      </c>
      <c r="EB402" s="4">
        <f t="shared" si="1610"/>
        <v>14.719357433866572</v>
      </c>
      <c r="EE402" s="4">
        <f t="shared" si="1611"/>
        <v>35.497579142809165</v>
      </c>
      <c r="EF402" s="4">
        <f t="shared" si="1807"/>
        <v>2.2360679774997898</v>
      </c>
      <c r="EG402" s="4">
        <f t="shared" si="1612"/>
        <v>7.7892308564433063E-2</v>
      </c>
      <c r="EJ402" s="4">
        <f t="shared" si="1808"/>
        <v>7.7892308564433063E-2</v>
      </c>
      <c r="EK402" s="4">
        <f t="shared" si="1613"/>
        <v>0.16305352538765638</v>
      </c>
      <c r="EL402" s="4">
        <f t="shared" si="1809"/>
        <v>7.1255916233968595</v>
      </c>
      <c r="EM402" s="4">
        <f t="shared" si="1810"/>
        <v>11.57055098542124</v>
      </c>
      <c r="EN402" s="4" t="e">
        <f t="shared" si="1811"/>
        <v>#REF!</v>
      </c>
      <c r="EO402" s="4" t="e">
        <f t="shared" si="1812"/>
        <v>#REF!</v>
      </c>
      <c r="EP402" s="4" t="e">
        <f t="shared" si="1614"/>
        <v>#REF!</v>
      </c>
      <c r="EQ402" s="4" t="e">
        <f t="shared" si="1813"/>
        <v>#REF!</v>
      </c>
      <c r="ER402" s="4" t="e">
        <f t="shared" si="1615"/>
        <v>#REF!</v>
      </c>
      <c r="FA402" s="23" t="e">
        <f t="shared" si="1772"/>
        <v>#REF!</v>
      </c>
      <c r="FB402" s="23" t="e">
        <f t="shared" si="1773"/>
        <v>#REF!</v>
      </c>
      <c r="FC402" s="23">
        <f t="shared" si="1706"/>
        <v>2.2000000000000002</v>
      </c>
      <c r="FD402" s="23" t="e">
        <f t="shared" si="1774"/>
        <v>#REF!</v>
      </c>
      <c r="FE402" s="23">
        <f t="shared" si="1775"/>
        <v>1.6</v>
      </c>
      <c r="FF402" s="23">
        <f t="shared" si="1776"/>
        <v>1.6</v>
      </c>
      <c r="FG402" s="23">
        <f t="shared" si="1629"/>
        <v>0</v>
      </c>
      <c r="FH402" s="23"/>
      <c r="FR402" s="4">
        <f t="shared" si="1485"/>
        <v>1</v>
      </c>
      <c r="FS402" s="4">
        <f t="shared" si="1486"/>
        <v>0.64469834033993467</v>
      </c>
      <c r="FT402" s="4">
        <f t="shared" si="1487"/>
        <v>0.3</v>
      </c>
      <c r="FU402" s="4">
        <f t="shared" si="1488"/>
        <v>479.79466412251668</v>
      </c>
    </row>
    <row r="403" spans="2:177" ht="12" customHeight="1" x14ac:dyDescent="0.3">
      <c r="B403" s="14" t="s">
        <v>547</v>
      </c>
      <c r="C403" s="7" t="s">
        <v>548</v>
      </c>
      <c r="D403" s="38">
        <f>135/0.145</f>
        <v>931.0344827586207</v>
      </c>
      <c r="E403" s="38">
        <f>16.56*25.4</f>
        <v>420.62399999999997</v>
      </c>
      <c r="F403" s="38">
        <f>4050/145</f>
        <v>27.931034482758619</v>
      </c>
      <c r="G403" s="38">
        <f>1.41*25.4</f>
        <v>35.813999999999993</v>
      </c>
      <c r="H403" s="38">
        <f>21.9*25.4</f>
        <v>556.25999999999988</v>
      </c>
      <c r="I403" s="38">
        <f t="shared" si="1784"/>
        <v>63.5</v>
      </c>
      <c r="J403" s="39">
        <f>4*25.4</f>
        <v>101.6</v>
      </c>
      <c r="K403" s="7">
        <f t="shared" si="1727"/>
        <v>357.63199999999989</v>
      </c>
      <c r="L403" s="38">
        <v>2</v>
      </c>
      <c r="M403" s="4">
        <f>20*25.4</f>
        <v>508</v>
      </c>
      <c r="N403" s="7">
        <f t="shared" si="1569"/>
        <v>2.2730496453900715</v>
      </c>
      <c r="O403" s="7">
        <f t="shared" si="1570"/>
        <v>2.2730496453900715</v>
      </c>
      <c r="P403" s="38">
        <v>3.8</v>
      </c>
      <c r="Q403" s="4">
        <f t="shared" si="1736"/>
        <v>3.8</v>
      </c>
      <c r="R403" s="4">
        <f t="shared" si="1571"/>
        <v>4.8</v>
      </c>
      <c r="S403" s="7">
        <f t="shared" si="1572"/>
        <v>78.464542697960056</v>
      </c>
      <c r="V403" s="38">
        <f t="shared" si="1777"/>
        <v>431.0344827586207</v>
      </c>
      <c r="W403" s="4">
        <v>62.5</v>
      </c>
      <c r="X403" s="4">
        <f t="shared" si="1573"/>
        <v>0.9223210736286156</v>
      </c>
      <c r="Y403" s="38"/>
      <c r="Z403" s="38"/>
      <c r="AA403" s="39">
        <v>1</v>
      </c>
      <c r="AB403" s="39"/>
      <c r="AC403" s="39"/>
      <c r="AD403" s="7"/>
      <c r="AE403" s="4">
        <f t="shared" si="1576"/>
        <v>420.62399999999997</v>
      </c>
      <c r="AF403" s="4">
        <f t="shared" si="1577"/>
        <v>0.44082125603864725</v>
      </c>
      <c r="AG403" s="4">
        <f t="shared" si="1578"/>
        <v>226.28671014164769</v>
      </c>
      <c r="AH403" s="4">
        <f t="shared" si="1579"/>
        <v>0.73870772946859897</v>
      </c>
      <c r="AI403" s="4">
        <v>1.25</v>
      </c>
      <c r="AJ403" s="4">
        <f t="shared" si="1513"/>
        <v>2.5</v>
      </c>
      <c r="AK403" s="38">
        <f t="shared" si="1729"/>
        <v>230.27364801496174</v>
      </c>
      <c r="AL403" s="38">
        <f t="shared" si="1616"/>
        <v>230.27364801496174</v>
      </c>
      <c r="AM403" s="38">
        <f t="shared" si="1580"/>
        <v>2.761717606769436</v>
      </c>
      <c r="AN403" s="38">
        <f t="shared" si="1521"/>
        <v>230.27364801496179</v>
      </c>
      <c r="AO403" s="38">
        <f t="shared" si="1484"/>
        <v>0.99999999999999978</v>
      </c>
      <c r="AP403" s="38">
        <f t="shared" si="1522"/>
        <v>1.0749134448372641</v>
      </c>
      <c r="AQ403" s="4">
        <f t="shared" si="1523"/>
        <v>0</v>
      </c>
      <c r="AR403" s="4" t="e">
        <f>#REF!/G403*F403^0.5/0.19</f>
        <v>#REF!</v>
      </c>
      <c r="AS403" s="4">
        <f t="shared" si="1581"/>
        <v>1</v>
      </c>
      <c r="AT403" s="38">
        <f t="shared" si="1582"/>
        <v>247.52424024300623</v>
      </c>
      <c r="AU403" s="4">
        <f t="shared" si="1583"/>
        <v>0.46800000000000008</v>
      </c>
      <c r="AV403" s="4" t="e">
        <f>AU403*D403*#REF!/(D403*G403/2.75/F403^0.5)</f>
        <v>#REF!</v>
      </c>
      <c r="AW403" s="4" t="e">
        <f t="shared" si="1793"/>
        <v>#REF!</v>
      </c>
      <c r="AY403" s="4">
        <f t="shared" si="1584"/>
        <v>1.1932624113475179</v>
      </c>
      <c r="AZ403" s="4" t="e">
        <f>(3*#REF!+30)*AY403*F403^0.5</f>
        <v>#REF!</v>
      </c>
      <c r="BB403" s="4">
        <f t="shared" si="1585"/>
        <v>237.40601663515</v>
      </c>
      <c r="BC403" s="4">
        <f t="shared" si="1822"/>
        <v>0</v>
      </c>
      <c r="BD403" s="4">
        <f t="shared" si="1794"/>
        <v>0</v>
      </c>
      <c r="BL403" s="4">
        <f t="shared" si="1586"/>
        <v>63.5</v>
      </c>
      <c r="BP403" s="9"/>
      <c r="BR403" s="9"/>
      <c r="BS403" s="9"/>
      <c r="BT403" s="9">
        <f t="shared" si="1587"/>
        <v>63.5</v>
      </c>
      <c r="BU403" s="9">
        <f t="shared" si="1588"/>
        <v>178.81599999999995</v>
      </c>
      <c r="BV403" s="9">
        <f t="shared" si="1589"/>
        <v>1.5552683910541685</v>
      </c>
      <c r="BW403" s="40">
        <f t="shared" si="1738"/>
        <v>0</v>
      </c>
      <c r="BX403" s="9">
        <f t="shared" si="1590"/>
        <v>0</v>
      </c>
      <c r="BY403" s="9">
        <f t="shared" si="1795"/>
        <v>0</v>
      </c>
      <c r="BZ403" s="9">
        <f t="shared" si="1591"/>
        <v>0.89777220146327208</v>
      </c>
      <c r="CA403" s="9">
        <f t="shared" si="1592"/>
        <v>0.68</v>
      </c>
      <c r="CB403" s="9">
        <f t="shared" si="1593"/>
        <v>1.129240956903802</v>
      </c>
      <c r="CC403" s="9">
        <f t="shared" si="1594"/>
        <v>1.7562727661562458</v>
      </c>
      <c r="CD403" s="40">
        <v>1</v>
      </c>
      <c r="CE403" s="9" t="e">
        <f>4*CC403*#REF!+60*CC403</f>
        <v>#REF!</v>
      </c>
      <c r="CG403" s="4" t="e">
        <f t="shared" si="1796"/>
        <v>#REF!</v>
      </c>
      <c r="CH403" s="4" t="e">
        <f t="shared" si="1797"/>
        <v>#REF!</v>
      </c>
      <c r="CI403" s="4" t="e">
        <f t="shared" si="1798"/>
        <v>#REF!</v>
      </c>
      <c r="CJ403" s="4" t="e">
        <f t="shared" si="1799"/>
        <v>#REF!</v>
      </c>
      <c r="CK403" s="4">
        <f t="shared" si="1800"/>
        <v>0.9223210736286156</v>
      </c>
      <c r="CL403" s="4">
        <f t="shared" si="1801"/>
        <v>1.0182198876788391</v>
      </c>
      <c r="CM403" s="4">
        <f t="shared" si="1699"/>
        <v>0.95053003455679075</v>
      </c>
      <c r="CN403" s="4">
        <f t="shared" si="1739"/>
        <v>0</v>
      </c>
      <c r="CO403" s="4" t="e">
        <f t="shared" ref="CO403" si="1835">CG403</f>
        <v>#REF!</v>
      </c>
      <c r="CP403" s="4" t="e">
        <f t="shared" ref="CP403" si="1836">CH403</f>
        <v>#REF!</v>
      </c>
      <c r="CQ403" s="4" t="e">
        <f t="shared" ref="CQ403" si="1837">CJ403</f>
        <v>#REF!</v>
      </c>
      <c r="CR403" s="4">
        <f t="shared" ref="CR403" si="1838">CM403</f>
        <v>0.95053003455679075</v>
      </c>
      <c r="CS403" s="4">
        <f t="shared" ref="CS403" si="1839">CK403</f>
        <v>0.9223210736286156</v>
      </c>
      <c r="CT403" s="4">
        <f t="shared" ref="CT403" si="1840">CL403</f>
        <v>1.0182198876788391</v>
      </c>
      <c r="DC403" s="4" t="e">
        <f>#REF!</f>
        <v>#REF!</v>
      </c>
      <c r="DF403" s="4">
        <f t="shared" si="1601"/>
        <v>2.0661842577189241E-5</v>
      </c>
      <c r="DG403" s="4">
        <f t="shared" si="1802"/>
        <v>5.5362830674967025</v>
      </c>
      <c r="DH403" s="4">
        <f t="shared" si="1602"/>
        <v>0.66239027581160248</v>
      </c>
      <c r="DI403" s="4">
        <f t="shared" si="1803"/>
        <v>4.695305626185454</v>
      </c>
      <c r="DJ403" s="4">
        <f t="shared" si="1804"/>
        <v>5.133057714115556</v>
      </c>
      <c r="DK403" s="4">
        <f t="shared" si="1603"/>
        <v>5.1121815424678534</v>
      </c>
      <c r="DL403" s="38">
        <f t="shared" si="1604"/>
        <v>467.33669552061247</v>
      </c>
      <c r="DM403" s="4" t="e">
        <f t="shared" si="1805"/>
        <v>#REF!</v>
      </c>
      <c r="DN403" s="4">
        <f t="shared" si="1605"/>
        <v>2.1908902300206643</v>
      </c>
      <c r="DO403" s="4">
        <f t="shared" si="1697"/>
        <v>230.27364801496179</v>
      </c>
      <c r="DS403" s="4">
        <f t="shared" si="1606"/>
        <v>0.85</v>
      </c>
      <c r="DT403" s="4">
        <f t="shared" si="1607"/>
        <v>0.92269503546099285</v>
      </c>
      <c r="DU403" s="4">
        <f t="shared" si="1608"/>
        <v>1</v>
      </c>
      <c r="DV403" s="4">
        <f t="shared" si="1806"/>
        <v>0.92269503546099285</v>
      </c>
      <c r="DX403" s="4">
        <f t="shared" si="1609"/>
        <v>423.32161056215301</v>
      </c>
      <c r="DY403" s="25">
        <f t="shared" si="1502"/>
        <v>228.25597737546067</v>
      </c>
      <c r="EA403" s="4">
        <f t="shared" si="1503"/>
        <v>0.78429078014184395</v>
      </c>
      <c r="EB403" s="4">
        <f t="shared" si="1610"/>
        <v>5.5362830674967025</v>
      </c>
      <c r="EE403" s="4">
        <f t="shared" si="1611"/>
        <v>78.464542697960056</v>
      </c>
      <c r="EF403" s="4">
        <f t="shared" si="1807"/>
        <v>2.1908902300206643</v>
      </c>
      <c r="EG403" s="4">
        <f t="shared" si="1612"/>
        <v>0.19142238549023421</v>
      </c>
      <c r="EJ403" s="4">
        <f t="shared" si="1808"/>
        <v>0.19142238549023421</v>
      </c>
      <c r="EK403" s="4">
        <f t="shared" si="1613"/>
        <v>0.66128486989403812</v>
      </c>
      <c r="EL403" s="4">
        <f t="shared" si="1809"/>
        <v>4.6921698196489912</v>
      </c>
      <c r="EM403" s="4">
        <f t="shared" si="1810"/>
        <v>5.1316239823884038</v>
      </c>
      <c r="EN403" s="4" t="e">
        <f t="shared" si="1811"/>
        <v>#REF!</v>
      </c>
      <c r="EO403" s="4" t="e">
        <f t="shared" si="1812"/>
        <v>#REF!</v>
      </c>
      <c r="EP403" s="4" t="e">
        <f t="shared" si="1614"/>
        <v>#REF!</v>
      </c>
      <c r="EQ403" s="4" t="e">
        <f t="shared" si="1813"/>
        <v>#REF!</v>
      </c>
      <c r="ER403" s="4" t="e">
        <f t="shared" si="1615"/>
        <v>#REF!</v>
      </c>
      <c r="FA403" s="23" t="e">
        <f t="shared" si="1772"/>
        <v>#REF!</v>
      </c>
      <c r="FB403" s="23" t="e">
        <f t="shared" si="1773"/>
        <v>#REF!</v>
      </c>
      <c r="FC403" s="23">
        <f t="shared" si="1706"/>
        <v>1</v>
      </c>
      <c r="FD403" s="23" t="e">
        <f t="shared" si="1774"/>
        <v>#REF!</v>
      </c>
      <c r="FE403" s="23">
        <f t="shared" si="1775"/>
        <v>1</v>
      </c>
      <c r="FF403" s="23">
        <f t="shared" si="1776"/>
        <v>1.2</v>
      </c>
      <c r="FG403" s="23">
        <f t="shared" si="1629"/>
        <v>0</v>
      </c>
      <c r="FH403" s="23"/>
      <c r="FR403" s="4">
        <f t="shared" si="1485"/>
        <v>1</v>
      </c>
      <c r="FS403" s="4">
        <f t="shared" si="1486"/>
        <v>0.5</v>
      </c>
      <c r="FT403" s="4">
        <f t="shared" si="1487"/>
        <v>0</v>
      </c>
      <c r="FU403" s="4">
        <f t="shared" si="1488"/>
        <v>453.46750453772006</v>
      </c>
    </row>
    <row r="404" spans="2:177" ht="12" customHeight="1" x14ac:dyDescent="0.3">
      <c r="B404" s="14"/>
      <c r="C404" s="7" t="s">
        <v>549</v>
      </c>
      <c r="D404" s="38">
        <f t="shared" ref="D404:D410" si="1841">135/0.145</f>
        <v>931.0344827586207</v>
      </c>
      <c r="E404" s="38">
        <f>17.44*25.4</f>
        <v>442.976</v>
      </c>
      <c r="F404" s="38">
        <f>4050/145</f>
        <v>27.931034482758619</v>
      </c>
      <c r="G404" s="38">
        <f t="shared" ref="G404:G410" si="1842">1.41*25.4</f>
        <v>35.813999999999993</v>
      </c>
      <c r="H404" s="38">
        <f>21.7*25.4</f>
        <v>551.17999999999995</v>
      </c>
      <c r="I404" s="38">
        <f>2.6*25.4</f>
        <v>66.039999999999992</v>
      </c>
      <c r="J404" s="39">
        <f>3*25.4</f>
        <v>76.199999999999989</v>
      </c>
      <c r="K404" s="7">
        <f t="shared" si="1727"/>
        <v>347.47199999999998</v>
      </c>
      <c r="L404" s="38">
        <v>2</v>
      </c>
      <c r="M404" s="4">
        <f t="shared" ref="M404:M453" si="1843">20*25.4</f>
        <v>508</v>
      </c>
      <c r="N404" s="7">
        <f t="shared" si="1569"/>
        <v>2.3439716312056742</v>
      </c>
      <c r="O404" s="7">
        <f t="shared" si="1570"/>
        <v>2.3439716312056742</v>
      </c>
      <c r="P404" s="38">
        <v>3.8</v>
      </c>
      <c r="Q404" s="4">
        <f t="shared" si="1736"/>
        <v>3.8</v>
      </c>
      <c r="R404" s="4">
        <f t="shared" si="1571"/>
        <v>4.8</v>
      </c>
      <c r="S404" s="7">
        <f t="shared" si="1572"/>
        <v>78.464542697960056</v>
      </c>
      <c r="V404" s="38">
        <f t="shared" si="1777"/>
        <v>522.75862068965523</v>
      </c>
      <c r="W404" s="4">
        <v>75.8</v>
      </c>
      <c r="X404" s="4">
        <f t="shared" si="1573"/>
        <v>1.0760378613885915</v>
      </c>
      <c r="Y404" s="38">
        <f>0.5*25.4</f>
        <v>12.7</v>
      </c>
      <c r="Z404" s="38">
        <v>4</v>
      </c>
      <c r="AA404" s="39">
        <f>8*25.4</f>
        <v>203.2</v>
      </c>
      <c r="AB404" s="39">
        <v>2</v>
      </c>
      <c r="AC404" s="39">
        <f t="shared" ref="AC404" si="1844">AB404-1</f>
        <v>1</v>
      </c>
      <c r="AD404" s="7"/>
      <c r="AE404" s="4">
        <f t="shared" si="1576"/>
        <v>442.976</v>
      </c>
      <c r="AF404" s="4">
        <f t="shared" si="1577"/>
        <v>0.4147553516819571</v>
      </c>
      <c r="AG404" s="4">
        <f t="shared" si="1578"/>
        <v>244.56160209111823</v>
      </c>
      <c r="AH404" s="4">
        <f t="shared" si="1579"/>
        <v>0.73790137614678897</v>
      </c>
      <c r="AI404" s="4">
        <v>1.25</v>
      </c>
      <c r="AJ404" s="4">
        <f t="shared" si="1513"/>
        <v>2.5</v>
      </c>
      <c r="AK404" s="38">
        <f t="shared" si="1729"/>
        <v>233.89913258342173</v>
      </c>
      <c r="AL404" s="38">
        <f t="shared" si="1616"/>
        <v>233.89913258342173</v>
      </c>
      <c r="AM404" s="38">
        <f t="shared" si="1580"/>
        <v>2.761717606769436</v>
      </c>
      <c r="AN404" s="38">
        <f t="shared" si="1521"/>
        <v>233.89913258342185</v>
      </c>
      <c r="AO404" s="38">
        <f t="shared" ref="AO404:AO452" si="1845">AK404/AN404</f>
        <v>0.99999999999999956</v>
      </c>
      <c r="AP404" s="38">
        <f t="shared" si="1522"/>
        <v>1.0912708509945452</v>
      </c>
      <c r="AQ404" s="4">
        <f t="shared" si="1523"/>
        <v>0</v>
      </c>
      <c r="AR404" s="4" t="e">
        <f>#REF!/G404*F404^0.5/0.19</f>
        <v>#REF!</v>
      </c>
      <c r="AS404" s="4">
        <f t="shared" si="1581"/>
        <v>1</v>
      </c>
      <c r="AT404" s="38">
        <f t="shared" si="1582"/>
        <v>255.24730546119673</v>
      </c>
      <c r="AU404" s="4">
        <f t="shared" si="1583"/>
        <v>0.46800000000000008</v>
      </c>
      <c r="AV404" s="4" t="e">
        <f>AU404*D404*#REF!/(D404*G404/2.75/F404^0.5)</f>
        <v>#REF!</v>
      </c>
      <c r="AW404" s="4" t="e">
        <f t="shared" si="1793"/>
        <v>#REF!</v>
      </c>
      <c r="AY404" s="4">
        <f t="shared" si="1584"/>
        <v>1.4895028948217903</v>
      </c>
      <c r="AZ404" s="4" t="e">
        <f>(3*#REF!+30)*AY404*F404^0.5</f>
        <v>#REF!</v>
      </c>
      <c r="BB404" s="4">
        <f t="shared" si="1585"/>
        <v>244.81338064872722</v>
      </c>
      <c r="BC404" s="4">
        <f t="shared" si="1822"/>
        <v>0</v>
      </c>
      <c r="BD404" s="4">
        <f t="shared" si="1794"/>
        <v>0</v>
      </c>
      <c r="BL404" s="4">
        <f t="shared" si="1586"/>
        <v>66.039999999999992</v>
      </c>
      <c r="BP404" s="9"/>
      <c r="BR404" s="9"/>
      <c r="BS404" s="9"/>
      <c r="BT404" s="9">
        <f t="shared" si="1587"/>
        <v>66.039999999999992</v>
      </c>
      <c r="BU404" s="9">
        <f t="shared" si="1588"/>
        <v>173.73599999999999</v>
      </c>
      <c r="BV404" s="9">
        <f t="shared" si="1589"/>
        <v>1.5699634099271278</v>
      </c>
      <c r="BW404" s="40">
        <f t="shared" si="1738"/>
        <v>20</v>
      </c>
      <c r="BX404" s="9">
        <f t="shared" si="1590"/>
        <v>0.05</v>
      </c>
      <c r="BY404" s="9">
        <f t="shared" si="1795"/>
        <v>0.8</v>
      </c>
      <c r="BZ404" s="9">
        <f t="shared" si="1591"/>
        <v>0.89777220146327208</v>
      </c>
      <c r="CA404" s="9">
        <f t="shared" si="1592"/>
        <v>0.68</v>
      </c>
      <c r="CB404" s="9">
        <f t="shared" si="1593"/>
        <v>1.129240956903802</v>
      </c>
      <c r="CC404" s="9">
        <f t="shared" si="1594"/>
        <v>2.6762597488531075</v>
      </c>
      <c r="CD404" s="40">
        <v>1</v>
      </c>
      <c r="CE404" s="9" t="e">
        <f>4*CC404*#REF!+60*CC404</f>
        <v>#REF!</v>
      </c>
      <c r="CG404" s="4" t="e">
        <f t="shared" si="1796"/>
        <v>#REF!</v>
      </c>
      <c r="CH404" s="4" t="e">
        <f t="shared" si="1797"/>
        <v>#REF!</v>
      </c>
      <c r="CI404" s="4" t="e">
        <f t="shared" si="1798"/>
        <v>#REF!</v>
      </c>
      <c r="CJ404" s="4" t="e">
        <f t="shared" si="1799"/>
        <v>#REF!</v>
      </c>
      <c r="CK404" s="4">
        <f t="shared" si="1800"/>
        <v>1.0760378613885915</v>
      </c>
      <c r="CL404" s="4">
        <f t="shared" si="1801"/>
        <v>1.1905256945812908</v>
      </c>
      <c r="CM404" s="4">
        <f t="shared" si="1699"/>
        <v>0.96797883882138447</v>
      </c>
      <c r="CN404" s="4">
        <f t="shared" si="1739"/>
        <v>4</v>
      </c>
      <c r="CU404" s="4" t="e">
        <f t="shared" ref="CU404:CU405" si="1846">CG404</f>
        <v>#REF!</v>
      </c>
      <c r="CV404" s="4" t="e">
        <f t="shared" ref="CV404:CV405" si="1847">CH404</f>
        <v>#REF!</v>
      </c>
      <c r="CW404" s="4" t="e">
        <f t="shared" ref="CW404:CW405" si="1848">CJ404</f>
        <v>#REF!</v>
      </c>
      <c r="CX404" s="4">
        <f t="shared" ref="CX404:CX405" si="1849">CM404</f>
        <v>0.96797883882138447</v>
      </c>
      <c r="CY404" s="4">
        <f t="shared" ref="CY404:CY405" si="1850">CK404</f>
        <v>1.0760378613885915</v>
      </c>
      <c r="CZ404" s="4">
        <f t="shared" ref="CZ404:CZ405" si="1851">CL404</f>
        <v>1.1905256945812908</v>
      </c>
      <c r="DC404" s="4" t="e">
        <f>#REF!</f>
        <v>#REF!</v>
      </c>
      <c r="DF404" s="4">
        <f t="shared" si="1601"/>
        <v>2.1759814888054373E-5</v>
      </c>
      <c r="DG404" s="4">
        <f t="shared" si="1802"/>
        <v>5.5816724777772073</v>
      </c>
      <c r="DH404" s="4">
        <f t="shared" si="1602"/>
        <v>0.67281911013092033</v>
      </c>
      <c r="DI404" s="4">
        <f t="shared" si="1803"/>
        <v>4.7634726565456242</v>
      </c>
      <c r="DJ404" s="4">
        <f t="shared" si="1804"/>
        <v>5.1887352956739976</v>
      </c>
      <c r="DK404" s="4">
        <f t="shared" si="1603"/>
        <v>5.1024001629185483</v>
      </c>
      <c r="DL404" s="38">
        <f t="shared" si="1604"/>
        <v>485.81805478020306</v>
      </c>
      <c r="DM404" s="4" t="e">
        <f t="shared" si="1805"/>
        <v>#REF!</v>
      </c>
      <c r="DN404" s="4">
        <f t="shared" si="1605"/>
        <v>2.1908902300206643</v>
      </c>
      <c r="DO404" s="4">
        <f t="shared" si="1697"/>
        <v>233.89913258342185</v>
      </c>
      <c r="DS404" s="4">
        <f t="shared" si="1606"/>
        <v>0.85</v>
      </c>
      <c r="DT404" s="4">
        <f t="shared" si="1607"/>
        <v>0.91560283687943256</v>
      </c>
      <c r="DU404" s="4">
        <f t="shared" si="1608"/>
        <v>0.9995510789195714</v>
      </c>
      <c r="DV404" s="4">
        <f t="shared" si="1806"/>
        <v>0.91519180346465712</v>
      </c>
      <c r="DX404" s="4">
        <f t="shared" si="1609"/>
        <v>439.09898212949531</v>
      </c>
      <c r="DY404" s="25">
        <f t="shared" si="1502"/>
        <v>231.98330550729423</v>
      </c>
      <c r="EA404" s="4">
        <f t="shared" si="1503"/>
        <v>0.7779130329449585</v>
      </c>
      <c r="EB404" s="4">
        <f t="shared" si="1610"/>
        <v>5.5816724777772073</v>
      </c>
      <c r="EE404" s="4">
        <f t="shared" si="1611"/>
        <v>78.464542697960056</v>
      </c>
      <c r="EF404" s="4">
        <f t="shared" si="1807"/>
        <v>2.1908902300206643</v>
      </c>
      <c r="EG404" s="4">
        <f t="shared" si="1612"/>
        <v>0.1944361862904351</v>
      </c>
      <c r="EJ404" s="4">
        <f t="shared" si="1808"/>
        <v>0.1944361862904351</v>
      </c>
      <c r="EK404" s="4">
        <f t="shared" si="1613"/>
        <v>0.6716963004325478</v>
      </c>
      <c r="EL404" s="4">
        <f t="shared" si="1809"/>
        <v>4.7602913239803168</v>
      </c>
      <c r="EM404" s="4">
        <f t="shared" si="1810"/>
        <v>5.1872754439165325</v>
      </c>
      <c r="EN404" s="4" t="e">
        <f t="shared" si="1811"/>
        <v>#REF!</v>
      </c>
      <c r="EO404" s="4" t="e">
        <f t="shared" si="1812"/>
        <v>#REF!</v>
      </c>
      <c r="EP404" s="4" t="e">
        <f t="shared" si="1614"/>
        <v>#REF!</v>
      </c>
      <c r="EQ404" s="4" t="e">
        <f t="shared" si="1813"/>
        <v>#REF!</v>
      </c>
      <c r="ER404" s="4" t="e">
        <f t="shared" si="1615"/>
        <v>#REF!</v>
      </c>
      <c r="FA404" s="23" t="e">
        <f t="shared" si="1772"/>
        <v>#REF!</v>
      </c>
      <c r="FB404" s="23" t="e">
        <f t="shared" si="1773"/>
        <v>#REF!</v>
      </c>
      <c r="FC404" s="23">
        <f t="shared" si="1706"/>
        <v>1</v>
      </c>
      <c r="FD404" s="23" t="e">
        <f t="shared" si="1774"/>
        <v>#REF!</v>
      </c>
      <c r="FE404" s="23">
        <f t="shared" si="1775"/>
        <v>1.2</v>
      </c>
      <c r="FF404" s="23">
        <f t="shared" si="1776"/>
        <v>1.2</v>
      </c>
      <c r="FG404" s="23">
        <f t="shared" si="1629"/>
        <v>0</v>
      </c>
      <c r="FH404" s="23"/>
      <c r="FR404" s="4">
        <f t="shared" ref="FR404:FR453" si="1852">IF(I404&gt;=2.5*25.4,1,1.25)</f>
        <v>1</v>
      </c>
      <c r="FS404" s="4">
        <f t="shared" ref="FS404:FS453" si="1853">IF(AA404&gt;1, 0.05*(18-MIN(8,(K404+G404)/G404))*(1-48000/MAX(60000,(D404*145))*(G404/25.4)^0.75*FT404), 1/12*(14-MIN(8,(K404+G404)/G404)))</f>
        <v>0.44214730608235164</v>
      </c>
      <c r="FT404" s="4">
        <f t="shared" ref="FT404:FT453" si="1854">MIN(0.3, Y404^2*PI()/4*2*AB404/(G404^2*PI()/4*L404))</f>
        <v>0.25149640360142855</v>
      </c>
      <c r="FU404" s="4">
        <f t="shared" ref="FU404:FU453" si="1855">(E404/25.4)/(G404/25.4)^1.5/0.0024*(F404*145)^0.25/FR404/FS404/145</f>
        <v>540.05170332666421</v>
      </c>
    </row>
    <row r="405" spans="2:177" ht="12" customHeight="1" x14ac:dyDescent="0.3">
      <c r="B405" s="14"/>
      <c r="C405" s="7" t="s">
        <v>550</v>
      </c>
      <c r="D405" s="38">
        <f t="shared" si="1841"/>
        <v>931.0344827586207</v>
      </c>
      <c r="E405" s="38">
        <f>16.72*25.4</f>
        <v>424.68799999999993</v>
      </c>
      <c r="F405" s="38">
        <f>4050/145</f>
        <v>27.931034482758619</v>
      </c>
      <c r="G405" s="38">
        <f t="shared" si="1842"/>
        <v>35.813999999999993</v>
      </c>
      <c r="H405" s="38">
        <f>21.4*25.4</f>
        <v>543.55999999999995</v>
      </c>
      <c r="I405" s="38">
        <f>2.5*25.4</f>
        <v>63.5</v>
      </c>
      <c r="J405" s="39">
        <f>3.8*25.4</f>
        <v>96.52</v>
      </c>
      <c r="K405" s="7">
        <f t="shared" si="1727"/>
        <v>344.93199999999996</v>
      </c>
      <c r="L405" s="38">
        <v>2</v>
      </c>
      <c r="M405" s="4">
        <f t="shared" si="1843"/>
        <v>508</v>
      </c>
      <c r="N405" s="7">
        <f t="shared" si="1569"/>
        <v>2.2730496453900715</v>
      </c>
      <c r="O405" s="7">
        <f t="shared" si="1570"/>
        <v>2.2730496453900715</v>
      </c>
      <c r="P405" s="38">
        <v>3.8</v>
      </c>
      <c r="Q405" s="4">
        <f t="shared" si="1736"/>
        <v>3.8</v>
      </c>
      <c r="R405" s="4">
        <f t="shared" si="1571"/>
        <v>4.8</v>
      </c>
      <c r="S405" s="7">
        <f t="shared" si="1572"/>
        <v>78.464542697960056</v>
      </c>
      <c r="V405" s="38">
        <f t="shared" si="1777"/>
        <v>513.79310344827593</v>
      </c>
      <c r="W405" s="4">
        <v>74.5</v>
      </c>
      <c r="X405" s="4">
        <f t="shared" si="1573"/>
        <v>1.0622002196076112</v>
      </c>
      <c r="Y405" s="38">
        <f>0.5*25.4</f>
        <v>12.7</v>
      </c>
      <c r="Z405" s="38">
        <v>12</v>
      </c>
      <c r="AA405" s="39">
        <f>4*25.4</f>
        <v>101.6</v>
      </c>
      <c r="AB405" s="39">
        <v>4</v>
      </c>
      <c r="AC405" s="39">
        <v>2</v>
      </c>
      <c r="AD405" s="7"/>
      <c r="AE405" s="4">
        <f t="shared" si="1576"/>
        <v>424.68799999999993</v>
      </c>
      <c r="AF405" s="4">
        <f t="shared" si="1577"/>
        <v>0.42663476874003192</v>
      </c>
      <c r="AG405" s="4">
        <f t="shared" si="1578"/>
        <v>229.5741365097727</v>
      </c>
      <c r="AH405" s="4">
        <f t="shared" si="1579"/>
        <v>0.73833732057416268</v>
      </c>
      <c r="AI405" s="4">
        <v>1.25</v>
      </c>
      <c r="AJ405" s="4">
        <f t="shared" si="1513"/>
        <v>2.5</v>
      </c>
      <c r="AK405" s="38">
        <f t="shared" si="1729"/>
        <v>225.98730751771248</v>
      </c>
      <c r="AL405" s="38">
        <f t="shared" si="1616"/>
        <v>225.98730751771248</v>
      </c>
      <c r="AM405" s="38">
        <f t="shared" si="1580"/>
        <v>2.761717606769436</v>
      </c>
      <c r="AN405" s="38">
        <f t="shared" si="1521"/>
        <v>225.98730751771248</v>
      </c>
      <c r="AO405" s="38">
        <f t="shared" si="1845"/>
        <v>1</v>
      </c>
      <c r="AP405" s="38">
        <f t="shared" si="1522"/>
        <v>1.095301514770274</v>
      </c>
      <c r="AQ405" s="4">
        <f t="shared" si="1523"/>
        <v>0</v>
      </c>
      <c r="AR405" s="4" t="e">
        <f>#REF!/G405*F405^0.5/0.19</f>
        <v>#REF!</v>
      </c>
      <c r="AS405" s="4">
        <f t="shared" si="1581"/>
        <v>1</v>
      </c>
      <c r="AT405" s="38">
        <f t="shared" si="1582"/>
        <v>247.52424024300623</v>
      </c>
      <c r="AU405" s="4">
        <f t="shared" si="1583"/>
        <v>0.46800000000000008</v>
      </c>
      <c r="AV405" s="4" t="e">
        <f>AU405*D405*#REF!/(D405*G405/2.75/F405^0.5)</f>
        <v>#REF!</v>
      </c>
      <c r="AW405" s="4" t="e">
        <f t="shared" si="1793"/>
        <v>#REF!</v>
      </c>
      <c r="AY405" s="4">
        <f t="shared" si="1584"/>
        <v>1.5</v>
      </c>
      <c r="AZ405" s="4" t="e">
        <f>(3*#REF!+30)*AY405*F405^0.5</f>
        <v>#REF!</v>
      </c>
      <c r="BB405" s="4">
        <f t="shared" si="1585"/>
        <v>237.40601663515</v>
      </c>
      <c r="BC405" s="4">
        <f t="shared" si="1822"/>
        <v>0</v>
      </c>
      <c r="BD405" s="4">
        <f t="shared" si="1794"/>
        <v>0</v>
      </c>
      <c r="BL405" s="4">
        <f t="shared" si="1586"/>
        <v>63.5</v>
      </c>
      <c r="BP405" s="9"/>
      <c r="BR405" s="9"/>
      <c r="BS405" s="9"/>
      <c r="BT405" s="9">
        <f t="shared" si="1587"/>
        <v>63.5</v>
      </c>
      <c r="BU405" s="9">
        <f t="shared" si="1588"/>
        <v>172.46599999999998</v>
      </c>
      <c r="BV405" s="9">
        <f t="shared" si="1589"/>
        <v>1.5468560948614203</v>
      </c>
      <c r="BW405" s="40">
        <f t="shared" si="1738"/>
        <v>20</v>
      </c>
      <c r="BX405" s="9">
        <f t="shared" si="1590"/>
        <v>0.05</v>
      </c>
      <c r="BY405" s="9">
        <f t="shared" si="1795"/>
        <v>0.8</v>
      </c>
      <c r="BZ405" s="9">
        <f t="shared" si="1591"/>
        <v>0.89777220146327208</v>
      </c>
      <c r="CA405" s="9">
        <f t="shared" si="1592"/>
        <v>0.68</v>
      </c>
      <c r="CB405" s="9">
        <f t="shared" si="1593"/>
        <v>1.129240956903802</v>
      </c>
      <c r="CC405" s="9">
        <f t="shared" si="1594"/>
        <v>2.6501660222768302</v>
      </c>
      <c r="CD405" s="40">
        <v>1</v>
      </c>
      <c r="CE405" s="9" t="e">
        <f>4*CC405*#REF!+60*CC405</f>
        <v>#REF!</v>
      </c>
      <c r="CG405" s="4" t="e">
        <f t="shared" si="1796"/>
        <v>#REF!</v>
      </c>
      <c r="CH405" s="4" t="e">
        <f t="shared" si="1797"/>
        <v>#REF!</v>
      </c>
      <c r="CI405" s="4" t="e">
        <f t="shared" si="1798"/>
        <v>#REF!</v>
      </c>
      <c r="CJ405" s="4" t="e">
        <f t="shared" si="1799"/>
        <v>#REF!</v>
      </c>
      <c r="CK405" s="4">
        <f t="shared" si="1800"/>
        <v>1.0622002196076112</v>
      </c>
      <c r="CL405" s="4">
        <f t="shared" si="1801"/>
        <v>1.1753055919076683</v>
      </c>
      <c r="CM405" s="4">
        <f t="shared" si="1699"/>
        <v>0.9673044426554136</v>
      </c>
      <c r="CN405" s="4">
        <f t="shared" si="1739"/>
        <v>12</v>
      </c>
      <c r="CU405" s="4" t="e">
        <f t="shared" si="1846"/>
        <v>#REF!</v>
      </c>
      <c r="CV405" s="4" t="e">
        <f t="shared" si="1847"/>
        <v>#REF!</v>
      </c>
      <c r="CW405" s="4" t="e">
        <f t="shared" si="1848"/>
        <v>#REF!</v>
      </c>
      <c r="CX405" s="4">
        <f t="shared" si="1849"/>
        <v>0.9673044426554136</v>
      </c>
      <c r="CY405" s="4">
        <f t="shared" si="1850"/>
        <v>1.0622002196076112</v>
      </c>
      <c r="CZ405" s="4">
        <f t="shared" si="1851"/>
        <v>1.1753055919076683</v>
      </c>
      <c r="DC405" s="4" t="e">
        <f>#REF!</f>
        <v>#REF!</v>
      </c>
      <c r="DF405" s="4">
        <f t="shared" si="1601"/>
        <v>2.0861473906437448E-5</v>
      </c>
      <c r="DG405" s="4">
        <f t="shared" si="1802"/>
        <v>5.9909859754492585</v>
      </c>
      <c r="DH405" s="4">
        <f t="shared" si="1602"/>
        <v>0.65006046608882018</v>
      </c>
      <c r="DI405" s="4">
        <f t="shared" si="1803"/>
        <v>5.0428935978626948</v>
      </c>
      <c r="DJ405" s="4">
        <f t="shared" si="1804"/>
        <v>5.5372835873877797</v>
      </c>
      <c r="DK405" s="4">
        <f t="shared" si="1603"/>
        <v>5.4870121914231831</v>
      </c>
      <c r="DL405" s="38">
        <f t="shared" si="1604"/>
        <v>483.70645567939812</v>
      </c>
      <c r="DM405" s="4" t="e">
        <f t="shared" si="1805"/>
        <v>#REF!</v>
      </c>
      <c r="DN405" s="4">
        <f t="shared" si="1605"/>
        <v>2.1908902300206643</v>
      </c>
      <c r="DO405" s="4">
        <f t="shared" si="1697"/>
        <v>225.98730751771248</v>
      </c>
      <c r="DS405" s="4">
        <f t="shared" si="1606"/>
        <v>0.85</v>
      </c>
      <c r="DT405" s="4">
        <f t="shared" si="1607"/>
        <v>0.92269503546099285</v>
      </c>
      <c r="DU405" s="4">
        <f t="shared" si="1608"/>
        <v>0.92410215783914285</v>
      </c>
      <c r="DV405" s="4">
        <f t="shared" si="1806"/>
        <v>0.85266447329696793</v>
      </c>
      <c r="DX405" s="4">
        <f t="shared" si="1609"/>
        <v>437.15703131670239</v>
      </c>
      <c r="DY405" s="25">
        <f t="shared" si="1502"/>
        <v>224.03089193476285</v>
      </c>
      <c r="EA405" s="4">
        <f t="shared" si="1503"/>
        <v>0.72476480230242268</v>
      </c>
      <c r="EB405" s="4">
        <f t="shared" si="1610"/>
        <v>5.9909859754492585</v>
      </c>
      <c r="EE405" s="4">
        <f t="shared" si="1611"/>
        <v>78.464542697960056</v>
      </c>
      <c r="EF405" s="4">
        <f t="shared" si="1807"/>
        <v>2.1908902300206643</v>
      </c>
      <c r="EG405" s="4">
        <f t="shared" si="1612"/>
        <v>0.18785922691746718</v>
      </c>
      <c r="EJ405" s="4">
        <f t="shared" si="1808"/>
        <v>0.18785922691746718</v>
      </c>
      <c r="EK405" s="4">
        <f t="shared" si="1613"/>
        <v>0.6489756363257192</v>
      </c>
      <c r="EL405" s="4">
        <f t="shared" si="1809"/>
        <v>5.0395256512441255</v>
      </c>
      <c r="EM405" s="4">
        <f t="shared" si="1810"/>
        <v>5.5357504872666619</v>
      </c>
      <c r="EN405" s="4" t="e">
        <f t="shared" si="1811"/>
        <v>#REF!</v>
      </c>
      <c r="EO405" s="4" t="e">
        <f t="shared" si="1812"/>
        <v>#REF!</v>
      </c>
      <c r="EP405" s="4" t="e">
        <f t="shared" si="1614"/>
        <v>#REF!</v>
      </c>
      <c r="EQ405" s="4" t="e">
        <f t="shared" si="1813"/>
        <v>#REF!</v>
      </c>
      <c r="ER405" s="4" t="e">
        <f t="shared" si="1615"/>
        <v>#REF!</v>
      </c>
      <c r="FA405" s="23" t="e">
        <f t="shared" si="1772"/>
        <v>#REF!</v>
      </c>
      <c r="FB405" s="23" t="e">
        <f t="shared" si="1773"/>
        <v>#REF!</v>
      </c>
      <c r="FC405" s="23">
        <f t="shared" si="1706"/>
        <v>1</v>
      </c>
      <c r="FD405" s="23" t="e">
        <f t="shared" si="1774"/>
        <v>#REF!</v>
      </c>
      <c r="FE405" s="23">
        <f t="shared" si="1775"/>
        <v>1.2</v>
      </c>
      <c r="FF405" s="23">
        <f t="shared" si="1776"/>
        <v>1.2</v>
      </c>
      <c r="FG405" s="23">
        <f t="shared" si="1629"/>
        <v>0</v>
      </c>
      <c r="FH405" s="23"/>
      <c r="FR405" s="4">
        <f t="shared" si="1852"/>
        <v>1</v>
      </c>
      <c r="FS405" s="4">
        <f t="shared" si="1853"/>
        <v>0.43098983553339404</v>
      </c>
      <c r="FT405" s="4">
        <f t="shared" si="1854"/>
        <v>0.3</v>
      </c>
      <c r="FU405" s="4">
        <f t="shared" si="1855"/>
        <v>531.15966472543778</v>
      </c>
    </row>
    <row r="406" spans="2:177" ht="12" customHeight="1" x14ac:dyDescent="0.3">
      <c r="B406" s="14"/>
      <c r="C406" s="7" t="s">
        <v>551</v>
      </c>
      <c r="D406" s="38">
        <f t="shared" si="1841"/>
        <v>931.0344827586207</v>
      </c>
      <c r="E406" s="38">
        <f>12*25.4</f>
        <v>304.79999999999995</v>
      </c>
      <c r="F406" s="38">
        <f>3960/145</f>
        <v>27.310344827586206</v>
      </c>
      <c r="G406" s="38">
        <f t="shared" si="1842"/>
        <v>35.813999999999993</v>
      </c>
      <c r="H406" s="38">
        <f>21.7*25.4</f>
        <v>551.17999999999995</v>
      </c>
      <c r="I406" s="38">
        <f>2.7*25.4</f>
        <v>68.58</v>
      </c>
      <c r="J406" s="39">
        <f>3.1*25.4</f>
        <v>78.739999999999995</v>
      </c>
      <c r="K406" s="7">
        <f t="shared" si="1727"/>
        <v>342.39199999999994</v>
      </c>
      <c r="L406" s="38">
        <v>2</v>
      </c>
      <c r="M406" s="4">
        <f t="shared" si="1843"/>
        <v>508</v>
      </c>
      <c r="N406" s="7">
        <f t="shared" si="1569"/>
        <v>2.4148936170212769</v>
      </c>
      <c r="O406" s="7">
        <f t="shared" si="1570"/>
        <v>2.4148936170212769</v>
      </c>
      <c r="P406" s="38">
        <v>3.8</v>
      </c>
      <c r="Q406" s="4">
        <f t="shared" si="1736"/>
        <v>3.8</v>
      </c>
      <c r="R406" s="4">
        <f t="shared" si="1571"/>
        <v>4.8</v>
      </c>
      <c r="S406" s="7">
        <f t="shared" si="1572"/>
        <v>78.464542697960056</v>
      </c>
      <c r="V406" s="38">
        <f t="shared" si="1777"/>
        <v>251.0344827586207</v>
      </c>
      <c r="W406" s="4">
        <v>36.4</v>
      </c>
      <c r="X406" s="4">
        <f t="shared" si="1573"/>
        <v>0.68598892644176579</v>
      </c>
      <c r="Y406" s="38"/>
      <c r="Z406" s="38"/>
      <c r="AA406" s="39">
        <v>1</v>
      </c>
      <c r="AB406" s="39"/>
      <c r="AC406" s="39"/>
      <c r="AD406" s="7"/>
      <c r="AE406" s="4">
        <f t="shared" si="1576"/>
        <v>304.79999999999995</v>
      </c>
      <c r="AF406" s="4">
        <f t="shared" si="1577"/>
        <v>0.60277777777777775</v>
      </c>
      <c r="AG406" s="4">
        <f t="shared" si="1578"/>
        <v>138.02587222939175</v>
      </c>
      <c r="AH406" s="4">
        <f t="shared" si="1579"/>
        <v>0.75674999999999992</v>
      </c>
      <c r="AI406" s="4">
        <v>1.25</v>
      </c>
      <c r="AJ406" s="4">
        <f t="shared" si="1513"/>
        <v>2.5</v>
      </c>
      <c r="AK406" s="38">
        <f t="shared" si="1729"/>
        <v>196.75246616042975</v>
      </c>
      <c r="AL406" s="38">
        <f t="shared" si="1616"/>
        <v>196.75246616042975</v>
      </c>
      <c r="AM406" s="38">
        <f t="shared" si="1580"/>
        <v>2.7206502209498358</v>
      </c>
      <c r="AN406" s="38">
        <f t="shared" si="1521"/>
        <v>196.75246616042969</v>
      </c>
      <c r="AO406" s="38">
        <f t="shared" si="1845"/>
        <v>1.0000000000000002</v>
      </c>
      <c r="AP406" s="38">
        <f t="shared" si="1522"/>
        <v>1.3068531728320587</v>
      </c>
      <c r="AQ406" s="4">
        <f t="shared" si="1523"/>
        <v>0</v>
      </c>
      <c r="AR406" s="4" t="e">
        <f>#REF!/G406*F406^0.5/0.19</f>
        <v>#REF!</v>
      </c>
      <c r="AS406" s="4">
        <f t="shared" si="1581"/>
        <v>1</v>
      </c>
      <c r="AT406" s="38">
        <f t="shared" si="1582"/>
        <v>257.12658466428979</v>
      </c>
      <c r="AU406" s="4">
        <f t="shared" si="1583"/>
        <v>0.46800000000000008</v>
      </c>
      <c r="AV406" s="4" t="e">
        <f>AU406*D406*#REF!/(D406*G406/2.75/F406^0.5)</f>
        <v>#REF!</v>
      </c>
      <c r="AW406" s="4" t="e">
        <f t="shared" si="1793"/>
        <v>#REF!</v>
      </c>
      <c r="AY406" s="4">
        <f t="shared" si="1584"/>
        <v>1.2287234042553192</v>
      </c>
      <c r="AZ406" s="4" t="e">
        <f>(3*#REF!+30)*AY406*F406^0.5</f>
        <v>#REF!</v>
      </c>
      <c r="BB406" s="4">
        <f t="shared" si="1585"/>
        <v>246.61583922536434</v>
      </c>
      <c r="BC406" s="4">
        <f t="shared" si="1822"/>
        <v>0</v>
      </c>
      <c r="BD406" s="4">
        <f t="shared" si="1794"/>
        <v>0</v>
      </c>
      <c r="BL406" s="4">
        <f t="shared" si="1586"/>
        <v>68.58</v>
      </c>
      <c r="BP406" s="9"/>
      <c r="BR406" s="9"/>
      <c r="BS406" s="9"/>
      <c r="BT406" s="9">
        <f t="shared" si="1587"/>
        <v>68.58</v>
      </c>
      <c r="BU406" s="9">
        <f t="shared" si="1588"/>
        <v>171.19599999999997</v>
      </c>
      <c r="BV406" s="9">
        <f t="shared" si="1589"/>
        <v>1.5873282502249415</v>
      </c>
      <c r="BW406" s="40">
        <f t="shared" si="1738"/>
        <v>0</v>
      </c>
      <c r="BX406" s="9">
        <f t="shared" si="1590"/>
        <v>0</v>
      </c>
      <c r="BY406" s="9">
        <f t="shared" si="1795"/>
        <v>0</v>
      </c>
      <c r="BZ406" s="9">
        <f t="shared" si="1591"/>
        <v>0.89777220146327208</v>
      </c>
      <c r="CA406" s="9">
        <f t="shared" si="1592"/>
        <v>0.68</v>
      </c>
      <c r="CB406" s="9">
        <f t="shared" si="1593"/>
        <v>1.1166233434875248</v>
      </c>
      <c r="CC406" s="9">
        <f t="shared" si="1594"/>
        <v>1.7724477779783765</v>
      </c>
      <c r="CD406" s="40">
        <v>1</v>
      </c>
      <c r="CE406" s="9" t="e">
        <f>4*CC406*#REF!+60*CC406</f>
        <v>#REF!</v>
      </c>
      <c r="CG406" s="4" t="e">
        <f t="shared" si="1796"/>
        <v>#REF!</v>
      </c>
      <c r="CH406" s="4" t="e">
        <f t="shared" si="1797"/>
        <v>#REF!</v>
      </c>
      <c r="CI406" s="4" t="e">
        <f t="shared" si="1798"/>
        <v>#REF!</v>
      </c>
      <c r="CJ406" s="4" t="e">
        <f t="shared" si="1799"/>
        <v>#REF!</v>
      </c>
      <c r="CK406" s="4">
        <f t="shared" si="1800"/>
        <v>0.68598892644176579</v>
      </c>
      <c r="CL406" s="4">
        <f t="shared" si="1801"/>
        <v>0.74669552116938287</v>
      </c>
      <c r="CM406" s="4">
        <f t="shared" si="1699"/>
        <v>0.76825652258018351</v>
      </c>
      <c r="CN406" s="4">
        <f t="shared" si="1739"/>
        <v>0</v>
      </c>
      <c r="CO406" s="4" t="e">
        <f t="shared" ref="CO406" si="1856">CG406</f>
        <v>#REF!</v>
      </c>
      <c r="CP406" s="4" t="e">
        <f t="shared" ref="CP406" si="1857">CH406</f>
        <v>#REF!</v>
      </c>
      <c r="CQ406" s="4" t="e">
        <f t="shared" ref="CQ406" si="1858">CJ406</f>
        <v>#REF!</v>
      </c>
      <c r="CR406" s="4">
        <f t="shared" ref="CR406" si="1859">CM406</f>
        <v>0.76825652258018351</v>
      </c>
      <c r="CS406" s="4">
        <f t="shared" ref="CS406" si="1860">CK406</f>
        <v>0.68598892644176579</v>
      </c>
      <c r="CT406" s="4">
        <f t="shared" ref="CT406" si="1861">CL406</f>
        <v>0.74669552116938287</v>
      </c>
      <c r="DC406" s="4" t="e">
        <f>#REF!</f>
        <v>#REF!</v>
      </c>
      <c r="DF406" s="4">
        <f t="shared" si="1601"/>
        <v>1.4904502788497585E-5</v>
      </c>
      <c r="DG406" s="4">
        <f t="shared" si="1802"/>
        <v>5.5598943030135199</v>
      </c>
      <c r="DH406" s="4">
        <f t="shared" si="1602"/>
        <v>0.57882826340566917</v>
      </c>
      <c r="DI406" s="4">
        <f t="shared" si="1803"/>
        <v>4.4677249354864337</v>
      </c>
      <c r="DJ406" s="4">
        <f t="shared" si="1804"/>
        <v>5.0434954587795096</v>
      </c>
      <c r="DK406" s="4">
        <f t="shared" si="1603"/>
        <v>5.3425632594807206</v>
      </c>
      <c r="DL406" s="38">
        <f t="shared" si="1604"/>
        <v>365.94538640840761</v>
      </c>
      <c r="DM406" s="4" t="e">
        <f t="shared" si="1805"/>
        <v>#REF!</v>
      </c>
      <c r="DN406" s="4">
        <f t="shared" si="1605"/>
        <v>2.1908902300206643</v>
      </c>
      <c r="DO406" s="4">
        <f t="shared" si="1697"/>
        <v>196.75246616042969</v>
      </c>
      <c r="DS406" s="4">
        <f t="shared" si="1606"/>
        <v>0.85</v>
      </c>
      <c r="DT406" s="4">
        <f t="shared" si="1607"/>
        <v>0.90851063829787226</v>
      </c>
      <c r="DU406" s="4">
        <f t="shared" si="1608"/>
        <v>1</v>
      </c>
      <c r="DV406" s="4">
        <f t="shared" si="1806"/>
        <v>0.90851063829787226</v>
      </c>
      <c r="DX406" s="4">
        <f t="shared" si="1609"/>
        <v>336.19390453217306</v>
      </c>
      <c r="DY406" s="25">
        <f t="shared" si="1502"/>
        <v>194.23915637012578</v>
      </c>
      <c r="EA406" s="4">
        <f t="shared" si="1503"/>
        <v>0.77223404255319139</v>
      </c>
      <c r="EB406" s="4">
        <f t="shared" si="1610"/>
        <v>5.5598943030135199</v>
      </c>
      <c r="EE406" s="4">
        <f t="shared" si="1611"/>
        <v>78.464542697960056</v>
      </c>
      <c r="EF406" s="4">
        <f t="shared" si="1807"/>
        <v>2.1908902300206643</v>
      </c>
      <c r="EG406" s="4">
        <f t="shared" si="1612"/>
        <v>0.16540498194388473</v>
      </c>
      <c r="EJ406" s="4">
        <f t="shared" si="1808"/>
        <v>0.16540498194388473</v>
      </c>
      <c r="EK406" s="4">
        <f t="shared" si="1613"/>
        <v>0.57786230691296858</v>
      </c>
      <c r="EL406" s="4">
        <f t="shared" si="1809"/>
        <v>4.4647411209765364</v>
      </c>
      <c r="EM406" s="4">
        <f t="shared" si="1810"/>
        <v>5.0421745387071857</v>
      </c>
      <c r="EN406" s="4" t="e">
        <f t="shared" si="1811"/>
        <v>#REF!</v>
      </c>
      <c r="EO406" s="4" t="e">
        <f t="shared" si="1812"/>
        <v>#REF!</v>
      </c>
      <c r="EP406" s="4" t="e">
        <f t="shared" si="1614"/>
        <v>#REF!</v>
      </c>
      <c r="EQ406" s="4" t="e">
        <f t="shared" si="1813"/>
        <v>#REF!</v>
      </c>
      <c r="ER406" s="4" t="e">
        <f t="shared" si="1615"/>
        <v>#REF!</v>
      </c>
      <c r="FA406" s="23" t="e">
        <f t="shared" si="1772"/>
        <v>#REF!</v>
      </c>
      <c r="FB406" s="23" t="e">
        <f t="shared" si="1773"/>
        <v>#REF!</v>
      </c>
      <c r="FC406" s="23">
        <f t="shared" si="1706"/>
        <v>0.8</v>
      </c>
      <c r="FD406" s="23" t="e">
        <f t="shared" si="1774"/>
        <v>#REF!</v>
      </c>
      <c r="FE406" s="23">
        <f t="shared" si="1775"/>
        <v>0.8</v>
      </c>
      <c r="FF406" s="23">
        <f t="shared" si="1776"/>
        <v>0.8</v>
      </c>
      <c r="FG406" s="23">
        <f t="shared" si="1629"/>
        <v>1</v>
      </c>
      <c r="FH406" s="23"/>
      <c r="FR406" s="4">
        <f t="shared" si="1852"/>
        <v>1</v>
      </c>
      <c r="FS406" s="4">
        <f t="shared" si="1853"/>
        <v>0.5</v>
      </c>
      <c r="FT406" s="4">
        <f t="shared" si="1854"/>
        <v>0</v>
      </c>
      <c r="FU406" s="4">
        <f t="shared" si="1855"/>
        <v>326.75867419325431</v>
      </c>
    </row>
    <row r="407" spans="2:177" ht="12" customHeight="1" x14ac:dyDescent="0.3">
      <c r="B407" s="14"/>
      <c r="C407" s="7" t="s">
        <v>552</v>
      </c>
      <c r="D407" s="38">
        <f t="shared" si="1841"/>
        <v>931.0344827586207</v>
      </c>
      <c r="E407" s="38">
        <f>12*25.4</f>
        <v>304.79999999999995</v>
      </c>
      <c r="F407" s="38">
        <f>3960/145</f>
        <v>27.310344827586206</v>
      </c>
      <c r="G407" s="38">
        <f t="shared" si="1842"/>
        <v>35.813999999999993</v>
      </c>
      <c r="H407" s="38">
        <f t="shared" ref="H407" si="1862">21.4*25.4</f>
        <v>543.55999999999995</v>
      </c>
      <c r="I407" s="38">
        <f>2.4*25.4</f>
        <v>60.959999999999994</v>
      </c>
      <c r="J407" s="39">
        <f>3.7*25.4</f>
        <v>93.98</v>
      </c>
      <c r="K407" s="7">
        <f t="shared" si="1727"/>
        <v>350.01199999999994</v>
      </c>
      <c r="L407" s="38">
        <v>2</v>
      </c>
      <c r="M407" s="4">
        <f t="shared" si="1843"/>
        <v>508</v>
      </c>
      <c r="N407" s="7">
        <f t="shared" si="1569"/>
        <v>2.2021276595744683</v>
      </c>
      <c r="O407" s="7">
        <f t="shared" si="1570"/>
        <v>2.2021276595744683</v>
      </c>
      <c r="P407" s="38">
        <v>3.8</v>
      </c>
      <c r="Q407" s="4">
        <f t="shared" si="1736"/>
        <v>3.8</v>
      </c>
      <c r="R407" s="4">
        <f t="shared" si="1571"/>
        <v>4.8</v>
      </c>
      <c r="S407" s="7">
        <f t="shared" si="1572"/>
        <v>78.464542697960056</v>
      </c>
      <c r="V407" s="38">
        <f t="shared" si="1777"/>
        <v>297.24137931034488</v>
      </c>
      <c r="W407" s="4">
        <v>43.1</v>
      </c>
      <c r="X407" s="4">
        <f t="shared" si="1573"/>
        <v>0.83117670323868909</v>
      </c>
      <c r="Y407" s="38">
        <f>0.5*25.4</f>
        <v>12.7</v>
      </c>
      <c r="Z407" s="38">
        <v>4</v>
      </c>
      <c r="AA407" s="39">
        <f>8*25.4</f>
        <v>203.2</v>
      </c>
      <c r="AB407" s="39">
        <v>2</v>
      </c>
      <c r="AC407" s="39">
        <f t="shared" ref="AC407" si="1863">AB407-1</f>
        <v>1</v>
      </c>
      <c r="AD407" s="7"/>
      <c r="AE407" s="4">
        <f t="shared" si="1576"/>
        <v>304.79999999999995</v>
      </c>
      <c r="AF407" s="4">
        <f t="shared" si="1577"/>
        <v>0.59444444444444433</v>
      </c>
      <c r="AG407" s="4">
        <f t="shared" si="1578"/>
        <v>138.02587222939175</v>
      </c>
      <c r="AH407" s="4">
        <f t="shared" si="1579"/>
        <v>0.75174999999999992</v>
      </c>
      <c r="AI407" s="4">
        <v>1.25</v>
      </c>
      <c r="AJ407" s="4">
        <f t="shared" si="1513"/>
        <v>2.5</v>
      </c>
      <c r="AK407" s="38">
        <f t="shared" si="1729"/>
        <v>192.75037484346592</v>
      </c>
      <c r="AL407" s="38">
        <f t="shared" si="1616"/>
        <v>192.75037484346592</v>
      </c>
      <c r="AM407" s="38">
        <f t="shared" si="1580"/>
        <v>2.7206502209498358</v>
      </c>
      <c r="AN407" s="38">
        <f t="shared" si="1521"/>
        <v>192.75037484346589</v>
      </c>
      <c r="AO407" s="38">
        <f t="shared" si="1845"/>
        <v>1.0000000000000002</v>
      </c>
      <c r="AP407" s="38">
        <f t="shared" si="1522"/>
        <v>1.2164555333014579</v>
      </c>
      <c r="AQ407" s="4">
        <f t="shared" si="1523"/>
        <v>0</v>
      </c>
      <c r="AR407" s="4" t="e">
        <f>#REF!/G407*F407^0.5/0.19</f>
        <v>#REF!</v>
      </c>
      <c r="AS407" s="4">
        <f t="shared" si="1581"/>
        <v>1</v>
      </c>
      <c r="AT407" s="38">
        <f t="shared" si="1582"/>
        <v>234.47226002426424</v>
      </c>
      <c r="AU407" s="4">
        <f t="shared" si="1583"/>
        <v>0.46800000000000008</v>
      </c>
      <c r="AV407" s="4" t="e">
        <f>AU407*D407*#REF!/(D407*G407/2.75/F407^0.5)</f>
        <v>#REF!</v>
      </c>
      <c r="AW407" s="4" t="e">
        <f t="shared" si="1793"/>
        <v>#REF!</v>
      </c>
      <c r="AY407" s="4">
        <f t="shared" si="1584"/>
        <v>1.454041901913989</v>
      </c>
      <c r="AZ407" s="4" t="e">
        <f>(3*#REF!+30)*AY407*F407^0.5</f>
        <v>#REF!</v>
      </c>
      <c r="BB407" s="4">
        <f t="shared" si="1585"/>
        <v>224.8875714522045</v>
      </c>
      <c r="BC407" s="4">
        <f t="shared" si="1822"/>
        <v>0</v>
      </c>
      <c r="BD407" s="4">
        <f t="shared" si="1794"/>
        <v>0</v>
      </c>
      <c r="BL407" s="4">
        <f t="shared" si="1586"/>
        <v>60.959999999999994</v>
      </c>
      <c r="BP407" s="9"/>
      <c r="BR407" s="9"/>
      <c r="BS407" s="9"/>
      <c r="BT407" s="9">
        <f t="shared" si="1587"/>
        <v>60.959999999999994</v>
      </c>
      <c r="BU407" s="9">
        <f t="shared" si="1588"/>
        <v>175.00599999999997</v>
      </c>
      <c r="BV407" s="9">
        <f t="shared" si="1589"/>
        <v>1.5282600539404603</v>
      </c>
      <c r="BW407" s="40">
        <f t="shared" si="1738"/>
        <v>20</v>
      </c>
      <c r="BX407" s="9">
        <f t="shared" si="1590"/>
        <v>0.05</v>
      </c>
      <c r="BY407" s="9">
        <f t="shared" si="1795"/>
        <v>0.8</v>
      </c>
      <c r="BZ407" s="9">
        <f t="shared" si="1591"/>
        <v>0.89777220146327208</v>
      </c>
      <c r="CA407" s="9">
        <f t="shared" si="1592"/>
        <v>0.68</v>
      </c>
      <c r="CB407" s="9">
        <f t="shared" si="1593"/>
        <v>1.1166233434875248</v>
      </c>
      <c r="CC407" s="9">
        <f t="shared" si="1594"/>
        <v>2.5997895259394417</v>
      </c>
      <c r="CD407" s="40">
        <v>1</v>
      </c>
      <c r="CE407" s="9" t="e">
        <f>4*CC407*#REF!+60*CC407</f>
        <v>#REF!</v>
      </c>
      <c r="CG407" s="4" t="e">
        <f t="shared" si="1796"/>
        <v>#REF!</v>
      </c>
      <c r="CH407" s="4" t="e">
        <f t="shared" si="1797"/>
        <v>#REF!</v>
      </c>
      <c r="CI407" s="4" t="e">
        <f t="shared" si="1798"/>
        <v>#REF!</v>
      </c>
      <c r="CJ407" s="4" t="e">
        <f t="shared" si="1799"/>
        <v>#REF!</v>
      </c>
      <c r="CK407" s="4">
        <f t="shared" si="1800"/>
        <v>0.83117670323868909</v>
      </c>
      <c r="CL407" s="4">
        <f t="shared" si="1801"/>
        <v>0.90336797784402101</v>
      </c>
      <c r="CM407" s="4">
        <f t="shared" si="1699"/>
        <v>1.0055163450729336</v>
      </c>
      <c r="CN407" s="4">
        <f t="shared" si="1739"/>
        <v>4</v>
      </c>
      <c r="CU407" s="4" t="e">
        <f t="shared" ref="CU407:CU408" si="1864">CG407</f>
        <v>#REF!</v>
      </c>
      <c r="CV407" s="4" t="e">
        <f t="shared" ref="CV407:CV408" si="1865">CH407</f>
        <v>#REF!</v>
      </c>
      <c r="CW407" s="4" t="e">
        <f t="shared" ref="CW407:CW408" si="1866">CJ407</f>
        <v>#REF!</v>
      </c>
      <c r="CX407" s="4">
        <f t="shared" ref="CX407:CX408" si="1867">CM407</f>
        <v>1.0055163450729336</v>
      </c>
      <c r="CY407" s="4">
        <f t="shared" ref="CY407:CY408" si="1868">CK407</f>
        <v>0.83117670323868909</v>
      </c>
      <c r="CZ407" s="4">
        <f t="shared" ref="CZ407:CZ408" si="1869">CL407</f>
        <v>0.90336797784402101</v>
      </c>
      <c r="DC407" s="4" t="e">
        <f>#REF!</f>
        <v>#REF!</v>
      </c>
      <c r="DF407" s="4">
        <f t="shared" si="1601"/>
        <v>1.4904502788497585E-5</v>
      </c>
      <c r="DG407" s="4">
        <f t="shared" si="1802"/>
        <v>5.4351055338759089</v>
      </c>
      <c r="DH407" s="4">
        <f t="shared" si="1602"/>
        <v>0.5670544665522147</v>
      </c>
      <c r="DI407" s="4">
        <f t="shared" si="1803"/>
        <v>4.3316952161002904</v>
      </c>
      <c r="DJ407" s="4">
        <f t="shared" si="1804"/>
        <v>4.91450537854291</v>
      </c>
      <c r="DK407" s="4">
        <f t="shared" si="1603"/>
        <v>5.2282250018223193</v>
      </c>
      <c r="DL407" s="38">
        <f t="shared" si="1604"/>
        <v>357.61514747964014</v>
      </c>
      <c r="DM407" s="4" t="e">
        <f t="shared" si="1805"/>
        <v>#REF!</v>
      </c>
      <c r="DN407" s="4">
        <f t="shared" si="1605"/>
        <v>2.1908902300206643</v>
      </c>
      <c r="DO407" s="4">
        <f t="shared" si="1697"/>
        <v>192.75037484346589</v>
      </c>
      <c r="DS407" s="4">
        <f t="shared" si="1606"/>
        <v>0.85</v>
      </c>
      <c r="DT407" s="4">
        <f t="shared" si="1607"/>
        <v>0.92978723404255315</v>
      </c>
      <c r="DU407" s="4">
        <f t="shared" si="1608"/>
        <v>0.9995510789195714</v>
      </c>
      <c r="DV407" s="4">
        <f t="shared" si="1806"/>
        <v>0.92936983295287801</v>
      </c>
      <c r="DX407" s="4">
        <f t="shared" si="1609"/>
        <v>329.03687821627403</v>
      </c>
      <c r="DY407" s="25">
        <f t="shared" si="1502"/>
        <v>190.2682262875274</v>
      </c>
      <c r="EA407" s="4">
        <f t="shared" si="1503"/>
        <v>0.78996435800994624</v>
      </c>
      <c r="EB407" s="4">
        <f t="shared" si="1610"/>
        <v>5.4351055338759089</v>
      </c>
      <c r="EE407" s="4">
        <f t="shared" si="1611"/>
        <v>78.464542697960056</v>
      </c>
      <c r="EF407" s="4">
        <f t="shared" si="1807"/>
        <v>2.1908902300206643</v>
      </c>
      <c r="EG407" s="4">
        <f t="shared" si="1612"/>
        <v>0.16204052174199624</v>
      </c>
      <c r="EJ407" s="4">
        <f t="shared" si="1808"/>
        <v>0.16204052174199624</v>
      </c>
      <c r="EK407" s="4">
        <f t="shared" si="1613"/>
        <v>0.56610815833212513</v>
      </c>
      <c r="EL407" s="4">
        <f t="shared" si="1809"/>
        <v>4.3288022503906989</v>
      </c>
      <c r="EM407" s="4">
        <f t="shared" si="1810"/>
        <v>4.9132311286392003</v>
      </c>
      <c r="EN407" s="4" t="e">
        <f t="shared" si="1811"/>
        <v>#REF!</v>
      </c>
      <c r="EO407" s="4" t="e">
        <f t="shared" si="1812"/>
        <v>#REF!</v>
      </c>
      <c r="EP407" s="4" t="e">
        <f t="shared" si="1614"/>
        <v>#REF!</v>
      </c>
      <c r="EQ407" s="4" t="e">
        <f t="shared" si="1813"/>
        <v>#REF!</v>
      </c>
      <c r="ER407" s="4" t="e">
        <f t="shared" si="1615"/>
        <v>#REF!</v>
      </c>
      <c r="FA407" s="23" t="e">
        <f t="shared" si="1772"/>
        <v>#REF!</v>
      </c>
      <c r="FB407" s="23" t="e">
        <f t="shared" si="1773"/>
        <v>#REF!</v>
      </c>
      <c r="FC407" s="23">
        <f t="shared" si="1706"/>
        <v>1.2</v>
      </c>
      <c r="FD407" s="23" t="e">
        <f t="shared" si="1774"/>
        <v>#REF!</v>
      </c>
      <c r="FE407" s="23">
        <f t="shared" si="1775"/>
        <v>1</v>
      </c>
      <c r="FF407" s="23">
        <f t="shared" si="1776"/>
        <v>1</v>
      </c>
      <c r="FG407" s="23">
        <f t="shared" si="1629"/>
        <v>0</v>
      </c>
      <c r="FH407" s="23"/>
      <c r="FR407" s="4">
        <f t="shared" si="1852"/>
        <v>1.25</v>
      </c>
      <c r="FS407" s="4">
        <f t="shared" si="1853"/>
        <v>0.44214730608235164</v>
      </c>
      <c r="FT407" s="4">
        <f t="shared" si="1854"/>
        <v>0.25149640360142855</v>
      </c>
      <c r="FU407" s="4">
        <f t="shared" si="1855"/>
        <v>295.61068874398546</v>
      </c>
    </row>
    <row r="408" spans="2:177" ht="12" customHeight="1" x14ac:dyDescent="0.3">
      <c r="B408" s="14"/>
      <c r="C408" s="7" t="s">
        <v>553</v>
      </c>
      <c r="D408" s="38">
        <f t="shared" si="1841"/>
        <v>931.0344827586207</v>
      </c>
      <c r="E408" s="38">
        <f>12.09*25.4</f>
        <v>307.08599999999996</v>
      </c>
      <c r="F408" s="38">
        <f>3960/145</f>
        <v>27.310344827586206</v>
      </c>
      <c r="G408" s="38">
        <f t="shared" si="1842"/>
        <v>35.813999999999993</v>
      </c>
      <c r="H408" s="38">
        <f>21.6*25.4</f>
        <v>548.64</v>
      </c>
      <c r="I408" s="38">
        <f>2.65*25.4</f>
        <v>67.309999999999988</v>
      </c>
      <c r="J408" s="39">
        <f>3.55*25.4</f>
        <v>90.169999999999987</v>
      </c>
      <c r="K408" s="7">
        <f t="shared" si="1727"/>
        <v>342.39200000000005</v>
      </c>
      <c r="L408" s="38">
        <v>2</v>
      </c>
      <c r="M408" s="4">
        <f t="shared" si="1843"/>
        <v>508</v>
      </c>
      <c r="N408" s="7">
        <f t="shared" si="1569"/>
        <v>2.3794326241134751</v>
      </c>
      <c r="O408" s="7">
        <f t="shared" si="1570"/>
        <v>2.3794326241134751</v>
      </c>
      <c r="P408" s="38">
        <v>3.8</v>
      </c>
      <c r="Q408" s="4">
        <f t="shared" si="1736"/>
        <v>3.8</v>
      </c>
      <c r="R408" s="4">
        <f t="shared" si="1571"/>
        <v>4.8</v>
      </c>
      <c r="S408" s="7">
        <f t="shared" si="1572"/>
        <v>78.464542697960056</v>
      </c>
      <c r="V408" s="38">
        <f t="shared" si="1777"/>
        <v>344.82758620689657</v>
      </c>
      <c r="W408" s="4">
        <v>50</v>
      </c>
      <c r="X408" s="4">
        <f t="shared" si="1573"/>
        <v>0.90798285629871378</v>
      </c>
      <c r="Y408" s="38">
        <f>0.5*25.4</f>
        <v>12.7</v>
      </c>
      <c r="Z408" s="38">
        <v>12</v>
      </c>
      <c r="AA408" s="39">
        <f>4*25.4</f>
        <v>101.6</v>
      </c>
      <c r="AB408" s="39">
        <v>4</v>
      </c>
      <c r="AC408" s="39">
        <v>2</v>
      </c>
      <c r="AD408" s="7"/>
      <c r="AE408" s="4">
        <f t="shared" si="1576"/>
        <v>307.08599999999996</v>
      </c>
      <c r="AF408" s="4">
        <f t="shared" si="1577"/>
        <v>0.59553349875930517</v>
      </c>
      <c r="AG408" s="4">
        <f t="shared" si="1578"/>
        <v>139.58157114605814</v>
      </c>
      <c r="AH408" s="4">
        <f t="shared" si="1579"/>
        <v>0.7555004135649297</v>
      </c>
      <c r="AI408" s="4">
        <v>1.25</v>
      </c>
      <c r="AJ408" s="4">
        <f t="shared" si="1513"/>
        <v>2.5</v>
      </c>
      <c r="AK408" s="38">
        <f t="shared" si="1729"/>
        <v>196.25422095574984</v>
      </c>
      <c r="AL408" s="38">
        <f t="shared" si="1616"/>
        <v>196.25422095574984</v>
      </c>
      <c r="AM408" s="38">
        <f t="shared" si="1580"/>
        <v>2.7206502209498358</v>
      </c>
      <c r="AN408" s="38">
        <f t="shared" si="1521"/>
        <v>196.25422095574979</v>
      </c>
      <c r="AO408" s="38">
        <f t="shared" si="1845"/>
        <v>1.0000000000000002</v>
      </c>
      <c r="AP408" s="38">
        <f t="shared" si="1522"/>
        <v>1.2909320505675961</v>
      </c>
      <c r="AQ408" s="4">
        <f t="shared" si="1523"/>
        <v>0</v>
      </c>
      <c r="AR408" s="4" t="e">
        <f>#REF!/G408*F408^0.5/0.19</f>
        <v>#REF!</v>
      </c>
      <c r="AS408" s="4">
        <f t="shared" si="1581"/>
        <v>1</v>
      </c>
      <c r="AT408" s="38">
        <f t="shared" si="1582"/>
        <v>253.35086389095216</v>
      </c>
      <c r="AU408" s="4">
        <f t="shared" si="1583"/>
        <v>0.46800000000000008</v>
      </c>
      <c r="AV408" s="4" t="e">
        <f>AU408*D408*#REF!/(D408*G408/2.75/F408^0.5)</f>
        <v>#REF!</v>
      </c>
      <c r="AW408" s="4" t="e">
        <f t="shared" si="1793"/>
        <v>#REF!</v>
      </c>
      <c r="AY408" s="4">
        <f t="shared" si="1584"/>
        <v>1.5</v>
      </c>
      <c r="AZ408" s="4" t="e">
        <f>(3*#REF!+30)*AY408*F408^0.5</f>
        <v>#REF!</v>
      </c>
      <c r="BB408" s="4">
        <f t="shared" si="1585"/>
        <v>242.99446126317099</v>
      </c>
      <c r="BC408" s="4">
        <f t="shared" si="1822"/>
        <v>0</v>
      </c>
      <c r="BD408" s="4">
        <f t="shared" si="1794"/>
        <v>0</v>
      </c>
      <c r="BL408" s="4">
        <f t="shared" si="1586"/>
        <v>67.309999999999988</v>
      </c>
      <c r="BP408" s="9"/>
      <c r="BR408" s="9"/>
      <c r="BS408" s="9"/>
      <c r="BT408" s="9">
        <f t="shared" si="1587"/>
        <v>67.309999999999988</v>
      </c>
      <c r="BU408" s="9">
        <f t="shared" si="1588"/>
        <v>171.19600000000003</v>
      </c>
      <c r="BV408" s="9">
        <f t="shared" si="1589"/>
        <v>1.5769774531015164</v>
      </c>
      <c r="BW408" s="40">
        <f t="shared" si="1738"/>
        <v>20</v>
      </c>
      <c r="BX408" s="9">
        <f t="shared" si="1590"/>
        <v>0.05</v>
      </c>
      <c r="BY408" s="9">
        <f t="shared" si="1795"/>
        <v>0.8</v>
      </c>
      <c r="BZ408" s="9">
        <f t="shared" si="1591"/>
        <v>0.89777220146327208</v>
      </c>
      <c r="CA408" s="9">
        <f t="shared" si="1592"/>
        <v>0.68</v>
      </c>
      <c r="CB408" s="9">
        <f t="shared" si="1593"/>
        <v>1.1166233434875248</v>
      </c>
      <c r="CC408" s="9">
        <f t="shared" si="1594"/>
        <v>2.6541885110766765</v>
      </c>
      <c r="CD408" s="40">
        <v>1</v>
      </c>
      <c r="CE408" s="9" t="e">
        <f>4*CC408*#REF!+60*CC408</f>
        <v>#REF!</v>
      </c>
      <c r="CG408" s="4" t="e">
        <f t="shared" si="1796"/>
        <v>#REF!</v>
      </c>
      <c r="CH408" s="4" t="e">
        <f t="shared" si="1797"/>
        <v>#REF!</v>
      </c>
      <c r="CI408" s="4" t="e">
        <f t="shared" si="1798"/>
        <v>#REF!</v>
      </c>
      <c r="CJ408" s="4" t="e">
        <f t="shared" si="1799"/>
        <v>#REF!</v>
      </c>
      <c r="CK408" s="4">
        <f t="shared" si="1800"/>
        <v>0.90798285629871378</v>
      </c>
      <c r="CL408" s="4">
        <f t="shared" si="1801"/>
        <v>0.99108586662496612</v>
      </c>
      <c r="CM408" s="4">
        <f t="shared" si="1699"/>
        <v>0.90287337363807318</v>
      </c>
      <c r="CN408" s="4">
        <f t="shared" si="1739"/>
        <v>12</v>
      </c>
      <c r="CU408" s="4" t="e">
        <f t="shared" si="1864"/>
        <v>#REF!</v>
      </c>
      <c r="CV408" s="4" t="e">
        <f t="shared" si="1865"/>
        <v>#REF!</v>
      </c>
      <c r="CW408" s="4" t="e">
        <f t="shared" si="1866"/>
        <v>#REF!</v>
      </c>
      <c r="CX408" s="4">
        <f t="shared" si="1867"/>
        <v>0.90287337363807318</v>
      </c>
      <c r="CY408" s="4">
        <f t="shared" si="1868"/>
        <v>0.90798285629871378</v>
      </c>
      <c r="CZ408" s="4">
        <f t="shared" si="1869"/>
        <v>0.99108586662496612</v>
      </c>
      <c r="DC408" s="4" t="e">
        <f>#REF!</f>
        <v>#REF!</v>
      </c>
      <c r="DF408" s="4">
        <f t="shared" si="1601"/>
        <v>1.5016286559411316E-5</v>
      </c>
      <c r="DG408" s="4">
        <f t="shared" si="1802"/>
        <v>5.9931439923967753</v>
      </c>
      <c r="DH408" s="4">
        <f t="shared" si="1602"/>
        <v>0.57736247030938381</v>
      </c>
      <c r="DI408" s="4">
        <f t="shared" si="1803"/>
        <v>4.81098643586121</v>
      </c>
      <c r="DJ408" s="4">
        <f t="shared" si="1804"/>
        <v>5.4343442806430158</v>
      </c>
      <c r="DK408" s="4">
        <f t="shared" si="1603"/>
        <v>5.737033797309703</v>
      </c>
      <c r="DL408" s="38">
        <f t="shared" si="1604"/>
        <v>379.77323449976359</v>
      </c>
      <c r="DM408" s="4" t="e">
        <f t="shared" si="1805"/>
        <v>#REF!</v>
      </c>
      <c r="DN408" s="4">
        <f t="shared" si="1605"/>
        <v>2.1908902300206643</v>
      </c>
      <c r="DO408" s="4">
        <f t="shared" si="1697"/>
        <v>196.25422095574979</v>
      </c>
      <c r="DS408" s="4">
        <f t="shared" si="1606"/>
        <v>0.85</v>
      </c>
      <c r="DT408" s="4">
        <f t="shared" si="1607"/>
        <v>0.91205673758865247</v>
      </c>
      <c r="DU408" s="4">
        <f t="shared" si="1608"/>
        <v>0.92410215783914285</v>
      </c>
      <c r="DV408" s="4">
        <f t="shared" si="1806"/>
        <v>0.84283359927740265</v>
      </c>
      <c r="DX408" s="4">
        <f t="shared" si="1609"/>
        <v>347.92907236299209</v>
      </c>
      <c r="DY408" s="25">
        <f t="shared" ref="DY408:DY453" si="1870">13.3*H408*E408^0.5*F408^0.5/L408/G408^2*(0.7+I408/5/E408)</f>
        <v>193.76500668623251</v>
      </c>
      <c r="EA408" s="4">
        <f t="shared" ref="EA408:EA453" si="1871">DS408*DV408</f>
        <v>0.71640855938579218</v>
      </c>
      <c r="EB408" s="4">
        <f t="shared" si="1610"/>
        <v>5.9931439923967753</v>
      </c>
      <c r="EE408" s="4">
        <f t="shared" si="1611"/>
        <v>78.464542697960056</v>
      </c>
      <c r="EF408" s="4">
        <f t="shared" si="1807"/>
        <v>2.1908902300206643</v>
      </c>
      <c r="EG408" s="4">
        <f t="shared" si="1612"/>
        <v>0.16498611939699034</v>
      </c>
      <c r="EJ408" s="4">
        <f t="shared" si="1808"/>
        <v>0.16498611939699034</v>
      </c>
      <c r="EK408" s="4">
        <f t="shared" si="1613"/>
        <v>0.57639895995217427</v>
      </c>
      <c r="EL408" s="4">
        <f t="shared" si="1809"/>
        <v>4.8077733707460721</v>
      </c>
      <c r="EM408" s="4">
        <f t="shared" si="1810"/>
        <v>5.4329227558236886</v>
      </c>
      <c r="EN408" s="4" t="e">
        <f t="shared" si="1811"/>
        <v>#REF!</v>
      </c>
      <c r="EO408" s="4" t="e">
        <f t="shared" si="1812"/>
        <v>#REF!</v>
      </c>
      <c r="EP408" s="4" t="e">
        <f t="shared" si="1614"/>
        <v>#REF!</v>
      </c>
      <c r="EQ408" s="4" t="e">
        <f t="shared" si="1813"/>
        <v>#REF!</v>
      </c>
      <c r="ER408" s="4" t="e">
        <f t="shared" si="1615"/>
        <v>#REF!</v>
      </c>
      <c r="FA408" s="23" t="e">
        <f t="shared" si="1772"/>
        <v>#REF!</v>
      </c>
      <c r="FB408" s="23" t="e">
        <f t="shared" si="1773"/>
        <v>#REF!</v>
      </c>
      <c r="FC408" s="23">
        <f t="shared" si="1706"/>
        <v>1</v>
      </c>
      <c r="FD408" s="23" t="e">
        <f t="shared" si="1774"/>
        <v>#REF!</v>
      </c>
      <c r="FE408" s="23">
        <f t="shared" si="1775"/>
        <v>1</v>
      </c>
      <c r="FF408" s="23">
        <f t="shared" si="1776"/>
        <v>1</v>
      </c>
      <c r="FG408" s="23">
        <f t="shared" si="1629"/>
        <v>0</v>
      </c>
      <c r="FH408" s="23"/>
      <c r="FR408" s="4">
        <f t="shared" si="1852"/>
        <v>1</v>
      </c>
      <c r="FS408" s="4">
        <f t="shared" si="1853"/>
        <v>0.43098983553339404</v>
      </c>
      <c r="FT408" s="4">
        <f t="shared" si="1854"/>
        <v>0.3</v>
      </c>
      <c r="FU408" s="4">
        <f t="shared" si="1855"/>
        <v>381.92242265095808</v>
      </c>
    </row>
    <row r="409" spans="2:177" ht="12" customHeight="1" x14ac:dyDescent="0.3">
      <c r="B409" s="14"/>
      <c r="C409" s="7" t="s">
        <v>554</v>
      </c>
      <c r="D409" s="38">
        <f t="shared" si="1841"/>
        <v>931.0344827586207</v>
      </c>
      <c r="E409" s="38">
        <f>12.13*25.4</f>
        <v>308.10199999999998</v>
      </c>
      <c r="F409" s="38">
        <f>3960/145</f>
        <v>27.310344827586206</v>
      </c>
      <c r="G409" s="38">
        <f t="shared" si="1842"/>
        <v>35.813999999999993</v>
      </c>
      <c r="H409" s="38">
        <f>21.7*25.4</f>
        <v>551.17999999999995</v>
      </c>
      <c r="I409" s="38">
        <f>2.65*25.4</f>
        <v>67.309999999999988</v>
      </c>
      <c r="J409" s="39">
        <f>3.3*25.4</f>
        <v>83.82</v>
      </c>
      <c r="K409" s="7">
        <f t="shared" si="1727"/>
        <v>344.93200000000002</v>
      </c>
      <c r="L409" s="38">
        <v>2</v>
      </c>
      <c r="M409" s="4">
        <f t="shared" si="1843"/>
        <v>508</v>
      </c>
      <c r="N409" s="7">
        <f t="shared" si="1569"/>
        <v>2.3794326241134751</v>
      </c>
      <c r="O409" s="7">
        <f t="shared" si="1570"/>
        <v>2.3794326241134751</v>
      </c>
      <c r="P409" s="38">
        <v>8.6</v>
      </c>
      <c r="Q409" s="4">
        <f t="shared" si="1736"/>
        <v>8.6</v>
      </c>
      <c r="R409" s="4">
        <f t="shared" si="1571"/>
        <v>9.6</v>
      </c>
      <c r="S409" s="7">
        <f t="shared" si="1572"/>
        <v>110.96562044885792</v>
      </c>
      <c r="V409" s="38">
        <f t="shared" si="1777"/>
        <v>282.06896551724139</v>
      </c>
      <c r="W409" s="4">
        <v>40.9</v>
      </c>
      <c r="X409" s="4">
        <f t="shared" si="1573"/>
        <v>0.80065106847835565</v>
      </c>
      <c r="Y409" s="38"/>
      <c r="Z409" s="38"/>
      <c r="AA409" s="39">
        <v>1</v>
      </c>
      <c r="AB409" s="39"/>
      <c r="AC409" s="39"/>
      <c r="AD409" s="7"/>
      <c r="AE409" s="4">
        <f t="shared" si="1576"/>
        <v>308.10199999999998</v>
      </c>
      <c r="AF409" s="4">
        <f t="shared" si="1577"/>
        <v>0.59631766968947519</v>
      </c>
      <c r="AG409" s="4">
        <f t="shared" si="1578"/>
        <v>140.27485630559957</v>
      </c>
      <c r="AH409" s="4">
        <f t="shared" si="1579"/>
        <v>0.75531739488870564</v>
      </c>
      <c r="AI409" s="4">
        <v>1.25</v>
      </c>
      <c r="AJ409" s="4">
        <f t="shared" si="1513"/>
        <v>2.5</v>
      </c>
      <c r="AK409" s="38">
        <f t="shared" si="1729"/>
        <v>197.4408531721443</v>
      </c>
      <c r="AL409" s="38">
        <f t="shared" si="1616"/>
        <v>197.4408531721443</v>
      </c>
      <c r="AM409" s="38">
        <f t="shared" si="1580"/>
        <v>2.7206502209498358</v>
      </c>
      <c r="AN409" s="38">
        <f t="shared" si="1521"/>
        <v>197.44085317214459</v>
      </c>
      <c r="AO409" s="38">
        <f t="shared" si="1845"/>
        <v>0.99999999999999856</v>
      </c>
      <c r="AP409" s="38">
        <f t="shared" si="1522"/>
        <v>1.9303799487364652</v>
      </c>
      <c r="AQ409" s="4">
        <f t="shared" si="1523"/>
        <v>0</v>
      </c>
      <c r="AR409" s="4" t="e">
        <f>#REF!/G409*F409^0.5/0.19</f>
        <v>#REF!</v>
      </c>
      <c r="AS409" s="4">
        <f t="shared" si="1581"/>
        <v>1</v>
      </c>
      <c r="AT409" s="38">
        <f t="shared" si="1582"/>
        <v>381.13586402492842</v>
      </c>
      <c r="AU409" s="4">
        <f t="shared" si="1583"/>
        <v>0.3</v>
      </c>
      <c r="AV409" s="4" t="e">
        <f>AU409*D409*#REF!/(D409*G409/2.75/F409^0.5)</f>
        <v>#REF!</v>
      </c>
      <c r="AW409" s="4" t="e">
        <f t="shared" si="1793"/>
        <v>#REF!</v>
      </c>
      <c r="AY409" s="4">
        <f t="shared" si="1584"/>
        <v>1.2198581560283688</v>
      </c>
      <c r="AZ409" s="4" t="e">
        <f>(3*#REF!+30)*AY409*F409^0.5</f>
        <v>#REF!</v>
      </c>
      <c r="BB409" s="4">
        <f t="shared" si="1585"/>
        <v>365.55590347887568</v>
      </c>
      <c r="BC409" s="4">
        <f t="shared" si="1822"/>
        <v>0</v>
      </c>
      <c r="BD409" s="4">
        <f t="shared" si="1794"/>
        <v>0</v>
      </c>
      <c r="BL409" s="4">
        <f t="shared" si="1586"/>
        <v>67.309999999999988</v>
      </c>
      <c r="BP409" s="9"/>
      <c r="BR409" s="9"/>
      <c r="BS409" s="9"/>
      <c r="BT409" s="9">
        <f t="shared" si="1587"/>
        <v>67.309999999999988</v>
      </c>
      <c r="BU409" s="9">
        <f t="shared" si="1588"/>
        <v>172.46600000000001</v>
      </c>
      <c r="BV409" s="9">
        <f t="shared" si="1589"/>
        <v>1.5787267425904519</v>
      </c>
      <c r="BW409" s="40">
        <f t="shared" si="1738"/>
        <v>0</v>
      </c>
      <c r="BX409" s="9">
        <f t="shared" si="1590"/>
        <v>0</v>
      </c>
      <c r="BY409" s="9">
        <f t="shared" si="1795"/>
        <v>0</v>
      </c>
      <c r="BZ409" s="9">
        <f t="shared" si="1591"/>
        <v>0.89777220146327208</v>
      </c>
      <c r="CA409" s="9">
        <f t="shared" si="1592"/>
        <v>0.68</v>
      </c>
      <c r="CB409" s="9">
        <f t="shared" si="1593"/>
        <v>1.1166233434875248</v>
      </c>
      <c r="CC409" s="9">
        <f t="shared" si="1594"/>
        <v>1.7628431337645192</v>
      </c>
      <c r="CD409" s="40">
        <v>1</v>
      </c>
      <c r="CE409" s="9" t="e">
        <f>4*CC409*#REF!+60*CC409</f>
        <v>#REF!</v>
      </c>
      <c r="CG409" s="4" t="e">
        <f t="shared" si="1796"/>
        <v>#REF!</v>
      </c>
      <c r="CH409" s="4" t="e">
        <f t="shared" si="1797"/>
        <v>#REF!</v>
      </c>
      <c r="CI409" s="4" t="e">
        <f t="shared" si="1798"/>
        <v>#REF!</v>
      </c>
      <c r="CJ409" s="4" t="e">
        <f t="shared" si="1799"/>
        <v>#REF!</v>
      </c>
      <c r="CK409" s="4">
        <f t="shared" si="1800"/>
        <v>0.80065106847835565</v>
      </c>
      <c r="CL409" s="4">
        <f t="shared" si="1801"/>
        <v>0.8348184273807373</v>
      </c>
      <c r="CM409" s="4">
        <f t="shared" si="1699"/>
        <v>0.85398182075671547</v>
      </c>
      <c r="CN409" s="4">
        <f t="shared" si="1739"/>
        <v>0</v>
      </c>
      <c r="CO409" s="4" t="e">
        <f t="shared" ref="CO409" si="1872">CG409</f>
        <v>#REF!</v>
      </c>
      <c r="CP409" s="4" t="e">
        <f t="shared" ref="CP409" si="1873">CH409</f>
        <v>#REF!</v>
      </c>
      <c r="CQ409" s="4" t="e">
        <f t="shared" ref="CQ409" si="1874">CJ409</f>
        <v>#REF!</v>
      </c>
      <c r="CR409" s="4">
        <f t="shared" ref="CR409" si="1875">CM409</f>
        <v>0.85398182075671547</v>
      </c>
      <c r="CS409" s="4">
        <f t="shared" ref="CS409" si="1876">CK409</f>
        <v>0.80065106847835565</v>
      </c>
      <c r="CT409" s="4">
        <f t="shared" ref="CT409" si="1877">CL409</f>
        <v>0.8348184273807373</v>
      </c>
      <c r="DC409" s="4" t="e">
        <f>#REF!</f>
        <v>#REF!</v>
      </c>
      <c r="DF409" s="4">
        <f t="shared" si="1601"/>
        <v>1.5065968235372974E-5</v>
      </c>
      <c r="DG409" s="4">
        <f t="shared" si="1802"/>
        <v>5.5382772956145558</v>
      </c>
      <c r="DH409" s="4">
        <f t="shared" si="1602"/>
        <v>0.36296663612174113</v>
      </c>
      <c r="DI409" s="4">
        <f t="shared" si="1803"/>
        <v>3.6925074416042682</v>
      </c>
      <c r="DJ409" s="4">
        <f t="shared" si="1804"/>
        <v>4.707109693061569</v>
      </c>
      <c r="DK409" s="4">
        <f t="shared" si="1603"/>
        <v>5.3412229365900616</v>
      </c>
      <c r="DL409" s="38">
        <f t="shared" si="1604"/>
        <v>352.29949302798775</v>
      </c>
      <c r="DM409" s="4" t="e">
        <f t="shared" si="1805"/>
        <v>#REF!</v>
      </c>
      <c r="DN409" s="4">
        <f t="shared" si="1605"/>
        <v>3.0983866769659336</v>
      </c>
      <c r="DO409" s="4">
        <f t="shared" si="1697"/>
        <v>197.44085317214459</v>
      </c>
      <c r="DS409" s="4">
        <f t="shared" si="1606"/>
        <v>0.85</v>
      </c>
      <c r="DT409" s="4">
        <f t="shared" si="1607"/>
        <v>0.91205673758865247</v>
      </c>
      <c r="DU409" s="4">
        <f t="shared" si="1608"/>
        <v>1</v>
      </c>
      <c r="DV409" s="4">
        <f t="shared" si="1806"/>
        <v>0.91205673758865247</v>
      </c>
      <c r="DX409" s="4">
        <f t="shared" si="1609"/>
        <v>337.88061722863438</v>
      </c>
      <c r="DY409" s="25">
        <f t="shared" si="1870"/>
        <v>194.94592872692252</v>
      </c>
      <c r="EA409" s="4">
        <f t="shared" si="1871"/>
        <v>0.77524822695035456</v>
      </c>
      <c r="EB409" s="4">
        <f t="shared" si="1610"/>
        <v>5.5382772956145558</v>
      </c>
      <c r="EE409" s="4">
        <f t="shared" si="1611"/>
        <v>110.96562044885792</v>
      </c>
      <c r="EF409" s="4">
        <f t="shared" si="1807"/>
        <v>3.0983866769659336</v>
      </c>
      <c r="EG409" s="4">
        <f t="shared" si="1612"/>
        <v>0.10372072977347489</v>
      </c>
      <c r="EJ409" s="4">
        <f t="shared" si="1808"/>
        <v>0.10372072977347489</v>
      </c>
      <c r="EK409" s="4">
        <f t="shared" si="1613"/>
        <v>0.362360912453839</v>
      </c>
      <c r="EL409" s="4">
        <f t="shared" si="1809"/>
        <v>3.6900413638037644</v>
      </c>
      <c r="EM409" s="4">
        <f t="shared" si="1810"/>
        <v>4.7061447030455348</v>
      </c>
      <c r="EN409" s="4" t="e">
        <f t="shared" si="1811"/>
        <v>#REF!</v>
      </c>
      <c r="EO409" s="4" t="e">
        <f t="shared" si="1812"/>
        <v>#REF!</v>
      </c>
      <c r="EP409" s="4" t="e">
        <f t="shared" si="1614"/>
        <v>#REF!</v>
      </c>
      <c r="EQ409" s="4" t="e">
        <f t="shared" si="1813"/>
        <v>#REF!</v>
      </c>
      <c r="ER409" s="4" t="e">
        <f t="shared" si="1615"/>
        <v>#REF!</v>
      </c>
      <c r="FA409" s="23" t="e">
        <f t="shared" si="1772"/>
        <v>#REF!</v>
      </c>
      <c r="FB409" s="23" t="e">
        <f t="shared" si="1773"/>
        <v>#REF!</v>
      </c>
      <c r="FC409" s="23">
        <f t="shared" si="1706"/>
        <v>1</v>
      </c>
      <c r="FD409" s="23" t="e">
        <f t="shared" si="1774"/>
        <v>#REF!</v>
      </c>
      <c r="FE409" s="23">
        <f t="shared" si="1775"/>
        <v>1</v>
      </c>
      <c r="FF409" s="23">
        <f t="shared" si="1776"/>
        <v>1</v>
      </c>
      <c r="FG409" s="23">
        <f t="shared" si="1629"/>
        <v>0</v>
      </c>
      <c r="FH409" s="23"/>
      <c r="FR409" s="4">
        <f t="shared" si="1852"/>
        <v>1</v>
      </c>
      <c r="FS409" s="4">
        <f t="shared" si="1853"/>
        <v>0.5</v>
      </c>
      <c r="FT409" s="4">
        <f t="shared" si="1854"/>
        <v>0</v>
      </c>
      <c r="FU409" s="4">
        <f t="shared" si="1855"/>
        <v>330.29855983034787</v>
      </c>
    </row>
    <row r="410" spans="2:177" ht="12" customHeight="1" x14ac:dyDescent="0.3">
      <c r="B410" s="14"/>
      <c r="C410" s="7" t="s">
        <v>555</v>
      </c>
      <c r="D410" s="38">
        <f t="shared" si="1841"/>
        <v>931.0344827586207</v>
      </c>
      <c r="E410" s="38">
        <f>12.56*25.4</f>
        <v>319.024</v>
      </c>
      <c r="F410" s="38">
        <f>4050/145</f>
        <v>27.931034482758619</v>
      </c>
      <c r="G410" s="38">
        <f t="shared" si="1842"/>
        <v>35.813999999999993</v>
      </c>
      <c r="H410" s="38">
        <f>22*25.4</f>
        <v>558.79999999999995</v>
      </c>
      <c r="I410" s="38">
        <f>2.75*25.4</f>
        <v>69.849999999999994</v>
      </c>
      <c r="J410" s="39">
        <f>3.4*25.4</f>
        <v>86.36</v>
      </c>
      <c r="K410" s="7">
        <f t="shared" si="1727"/>
        <v>347.47199999999998</v>
      </c>
      <c r="L410" s="38">
        <v>2</v>
      </c>
      <c r="M410" s="4">
        <f t="shared" si="1843"/>
        <v>508</v>
      </c>
      <c r="N410" s="7">
        <f t="shared" si="1569"/>
        <v>2.4503546099290783</v>
      </c>
      <c r="O410" s="7">
        <f t="shared" si="1570"/>
        <v>2.4503546099290783</v>
      </c>
      <c r="P410" s="38">
        <v>8.6</v>
      </c>
      <c r="Q410" s="4">
        <f t="shared" si="1736"/>
        <v>8.6</v>
      </c>
      <c r="R410" s="4">
        <f t="shared" si="1571"/>
        <v>9.6</v>
      </c>
      <c r="S410" s="7">
        <f t="shared" si="1572"/>
        <v>110.96562044885792</v>
      </c>
      <c r="V410" s="38">
        <f t="shared" si="1777"/>
        <v>350.34482758620692</v>
      </c>
      <c r="W410" s="4">
        <v>50.8</v>
      </c>
      <c r="X410" s="4">
        <f t="shared" si="1573"/>
        <v>0.91366453911512724</v>
      </c>
      <c r="Y410" s="38">
        <f>0.5*25.4</f>
        <v>12.7</v>
      </c>
      <c r="Z410" s="38">
        <v>12</v>
      </c>
      <c r="AA410" s="39">
        <f>4*25.4</f>
        <v>101.6</v>
      </c>
      <c r="AB410" s="39">
        <v>4</v>
      </c>
      <c r="AC410" s="39">
        <v>2</v>
      </c>
      <c r="AD410" s="7"/>
      <c r="AE410" s="4">
        <f t="shared" si="1576"/>
        <v>319.024</v>
      </c>
      <c r="AF410" s="4">
        <f t="shared" si="1577"/>
        <v>0.58386411889596601</v>
      </c>
      <c r="AG410" s="4">
        <f t="shared" si="1578"/>
        <v>149.46964702918689</v>
      </c>
      <c r="AH410" s="4">
        <f t="shared" si="1579"/>
        <v>0.75501592356687897</v>
      </c>
      <c r="AI410" s="4">
        <v>1.25</v>
      </c>
      <c r="AJ410" s="4">
        <f t="shared" ref="AJ410:AJ453" si="1878">AJ409</f>
        <v>2.5</v>
      </c>
      <c r="AK410" s="38">
        <f t="shared" si="1729"/>
        <v>205.90691341005282</v>
      </c>
      <c r="AL410" s="38">
        <f t="shared" si="1616"/>
        <v>205.90691341005282</v>
      </c>
      <c r="AM410" s="38">
        <f t="shared" si="1580"/>
        <v>2.761717606769436</v>
      </c>
      <c r="AN410" s="38">
        <f t="shared" si="1521"/>
        <v>205.90691341005299</v>
      </c>
      <c r="AO410" s="38">
        <f t="shared" si="1845"/>
        <v>0.99999999999999922</v>
      </c>
      <c r="AP410" s="38">
        <f t="shared" si="1522"/>
        <v>1.9495045486691553</v>
      </c>
      <c r="AQ410" s="4">
        <f t="shared" si="1523"/>
        <v>0</v>
      </c>
      <c r="AR410" s="4" t="e">
        <f>#REF!/G410*F410^0.5/0.19</f>
        <v>#REF!</v>
      </c>
      <c r="AS410" s="4">
        <f t="shared" si="1581"/>
        <v>1</v>
      </c>
      <c r="AT410" s="38">
        <f t="shared" si="1582"/>
        <v>401.4164642953242</v>
      </c>
      <c r="AU410" s="4">
        <f t="shared" si="1583"/>
        <v>0.3</v>
      </c>
      <c r="AV410" s="4" t="e">
        <f>AU410*D410*#REF!/(D410*G410/2.75/F410^0.5)</f>
        <v>#REF!</v>
      </c>
      <c r="AW410" s="4" t="e">
        <f t="shared" si="1793"/>
        <v>#REF!</v>
      </c>
      <c r="AY410" s="4">
        <f t="shared" si="1584"/>
        <v>1.5</v>
      </c>
      <c r="AZ410" s="4" t="e">
        <f>(3*#REF!+30)*AY410*F410^0.5</f>
        <v>#REF!</v>
      </c>
      <c r="BB410" s="4">
        <f t="shared" si="1585"/>
        <v>385.00747929398597</v>
      </c>
      <c r="BC410" s="4">
        <f t="shared" si="1822"/>
        <v>0</v>
      </c>
      <c r="BD410" s="4">
        <f t="shared" si="1794"/>
        <v>0</v>
      </c>
      <c r="BL410" s="4">
        <f t="shared" si="1586"/>
        <v>69.849999999999994</v>
      </c>
      <c r="BP410" s="9"/>
      <c r="BR410" s="9"/>
      <c r="BS410" s="9"/>
      <c r="BT410" s="9">
        <f t="shared" si="1587"/>
        <v>69.849999999999994</v>
      </c>
      <c r="BU410" s="9">
        <f t="shared" si="1588"/>
        <v>173.73599999999999</v>
      </c>
      <c r="BV410" s="9">
        <f t="shared" si="1589"/>
        <v>1.6010883658280048</v>
      </c>
      <c r="BW410" s="40">
        <f t="shared" si="1738"/>
        <v>20</v>
      </c>
      <c r="BX410" s="9">
        <f t="shared" si="1590"/>
        <v>0.05</v>
      </c>
      <c r="BY410" s="9">
        <f t="shared" si="1795"/>
        <v>0.8</v>
      </c>
      <c r="BZ410" s="9">
        <f t="shared" si="1591"/>
        <v>0.89777220146327208</v>
      </c>
      <c r="CA410" s="9">
        <f t="shared" si="1592"/>
        <v>0.68</v>
      </c>
      <c r="CB410" s="9">
        <f t="shared" si="1593"/>
        <v>1.129240956903802</v>
      </c>
      <c r="CC410" s="9">
        <f t="shared" si="1594"/>
        <v>2.7114073238382024</v>
      </c>
      <c r="CD410" s="40">
        <v>1</v>
      </c>
      <c r="CE410" s="9" t="e">
        <f>4*CC410*#REF!+60*CC410</f>
        <v>#REF!</v>
      </c>
      <c r="CG410" s="4" t="e">
        <f t="shared" si="1796"/>
        <v>#REF!</v>
      </c>
      <c r="CH410" s="4" t="e">
        <f t="shared" si="1797"/>
        <v>#REF!</v>
      </c>
      <c r="CI410" s="4" t="e">
        <f t="shared" si="1798"/>
        <v>#REF!</v>
      </c>
      <c r="CJ410" s="4" t="e">
        <f t="shared" si="1799"/>
        <v>#REF!</v>
      </c>
      <c r="CK410" s="4">
        <f t="shared" si="1800"/>
        <v>0.91366453911512724</v>
      </c>
      <c r="CL410" s="4">
        <f t="shared" si="1801"/>
        <v>0.95553229503146886</v>
      </c>
      <c r="CM410" s="4">
        <f t="shared" si="1699"/>
        <v>0.87804597345881741</v>
      </c>
      <c r="CN410" s="4">
        <f t="shared" si="1739"/>
        <v>12</v>
      </c>
      <c r="CU410" s="4" t="e">
        <f t="shared" ref="CU410" si="1879">CG410</f>
        <v>#REF!</v>
      </c>
      <c r="CV410" s="4" t="e">
        <f t="shared" ref="CV410" si="1880">CH410</f>
        <v>#REF!</v>
      </c>
      <c r="CW410" s="4" t="e">
        <f t="shared" ref="CW410" si="1881">CJ410</f>
        <v>#REF!</v>
      </c>
      <c r="CX410" s="4">
        <f t="shared" ref="CX410" si="1882">CM410</f>
        <v>0.87804597345881741</v>
      </c>
      <c r="CY410" s="4">
        <f t="shared" ref="CY410" si="1883">CK410</f>
        <v>0.91366453911512724</v>
      </c>
      <c r="CZ410" s="4">
        <f t="shared" ref="CZ410" si="1884">CL410</f>
        <v>0.95553229503146886</v>
      </c>
      <c r="DC410" s="4" t="e">
        <f>#REF!</f>
        <v>#REF!</v>
      </c>
      <c r="DF410" s="4">
        <f t="shared" si="1601"/>
        <v>1.5671059345984113E-5</v>
      </c>
      <c r="DG410" s="4">
        <f t="shared" si="1802"/>
        <v>6.1083642273193455</v>
      </c>
      <c r="DH410" s="4">
        <f t="shared" si="1602"/>
        <v>0.37011848748195403</v>
      </c>
      <c r="DI410" s="4">
        <f t="shared" si="1803"/>
        <v>4.10450922978207</v>
      </c>
      <c r="DJ410" s="4">
        <f t="shared" si="1804"/>
        <v>5.2041641258059013</v>
      </c>
      <c r="DK410" s="4">
        <f t="shared" si="1603"/>
        <v>5.8486827334247211</v>
      </c>
      <c r="DL410" s="38">
        <f t="shared" si="1604"/>
        <v>383.45017518739593</v>
      </c>
      <c r="DM410" s="4" t="e">
        <f t="shared" si="1805"/>
        <v>#REF!</v>
      </c>
      <c r="DN410" s="4">
        <f t="shared" si="1605"/>
        <v>3.0983866769659336</v>
      </c>
      <c r="DO410" s="4">
        <f t="shared" si="1697"/>
        <v>205.90691341005299</v>
      </c>
      <c r="DS410" s="4">
        <f t="shared" si="1606"/>
        <v>0.85</v>
      </c>
      <c r="DT410" s="4">
        <f t="shared" si="1607"/>
        <v>0.90496453900709217</v>
      </c>
      <c r="DU410" s="4">
        <f t="shared" si="1608"/>
        <v>0.92410215783914285</v>
      </c>
      <c r="DV410" s="4">
        <f t="shared" si="1806"/>
        <v>0.83627968326435909</v>
      </c>
      <c r="DX410" s="4">
        <f t="shared" si="1609"/>
        <v>366.64886096253701</v>
      </c>
      <c r="DY410" s="25">
        <f t="shared" si="1870"/>
        <v>203.41257437715191</v>
      </c>
      <c r="EA410" s="4">
        <f t="shared" si="1871"/>
        <v>0.71083773077470525</v>
      </c>
      <c r="EB410" s="4">
        <f t="shared" si="1610"/>
        <v>6.1083642273193455</v>
      </c>
      <c r="EE410" s="4">
        <f t="shared" si="1611"/>
        <v>110.96562044885792</v>
      </c>
      <c r="EF410" s="4">
        <f t="shared" si="1807"/>
        <v>3.0983866769659336</v>
      </c>
      <c r="EG410" s="4">
        <f t="shared" si="1612"/>
        <v>0.10695954692424253</v>
      </c>
      <c r="EJ410" s="4">
        <f t="shared" si="1808"/>
        <v>0.10695954692424253</v>
      </c>
      <c r="EK410" s="4">
        <f t="shared" si="1613"/>
        <v>0.36950082870705558</v>
      </c>
      <c r="EL410" s="4">
        <f t="shared" si="1809"/>
        <v>4.1017679924917996</v>
      </c>
      <c r="EM410" s="4">
        <f t="shared" si="1810"/>
        <v>5.2030855233904019</v>
      </c>
      <c r="EN410" s="4" t="e">
        <f t="shared" si="1811"/>
        <v>#REF!</v>
      </c>
      <c r="EO410" s="4" t="e">
        <f t="shared" si="1812"/>
        <v>#REF!</v>
      </c>
      <c r="EP410" s="4" t="e">
        <f t="shared" si="1614"/>
        <v>#REF!</v>
      </c>
      <c r="EQ410" s="4" t="e">
        <f t="shared" si="1813"/>
        <v>#REF!</v>
      </c>
      <c r="ER410" s="4" t="e">
        <f t="shared" si="1615"/>
        <v>#REF!</v>
      </c>
      <c r="FA410" s="23" t="e">
        <f t="shared" si="1772"/>
        <v>#REF!</v>
      </c>
      <c r="FB410" s="23" t="e">
        <f t="shared" si="1773"/>
        <v>#REF!</v>
      </c>
      <c r="FC410" s="23">
        <f t="shared" si="1706"/>
        <v>1</v>
      </c>
      <c r="FD410" s="23" t="e">
        <f t="shared" si="1774"/>
        <v>#REF!</v>
      </c>
      <c r="FE410" s="23">
        <f t="shared" si="1775"/>
        <v>1</v>
      </c>
      <c r="FF410" s="23">
        <f t="shared" si="1776"/>
        <v>1</v>
      </c>
      <c r="FG410" s="23">
        <f t="shared" si="1629"/>
        <v>0</v>
      </c>
      <c r="FH410" s="23"/>
      <c r="FR410" s="4">
        <f t="shared" si="1852"/>
        <v>1</v>
      </c>
      <c r="FS410" s="4">
        <f t="shared" si="1853"/>
        <v>0.43098983553339404</v>
      </c>
      <c r="FT410" s="4">
        <f t="shared" si="1854"/>
        <v>0.3</v>
      </c>
      <c r="FU410" s="4">
        <f t="shared" si="1855"/>
        <v>399.00510699470681</v>
      </c>
    </row>
    <row r="411" spans="2:177" ht="12" customHeight="1" x14ac:dyDescent="0.3">
      <c r="B411" s="14" t="s">
        <v>556</v>
      </c>
      <c r="C411" s="7" t="s">
        <v>557</v>
      </c>
      <c r="D411" s="38">
        <f>129/0.145</f>
        <v>889.65517241379314</v>
      </c>
      <c r="E411" s="38">
        <f>9.88*25.4</f>
        <v>250.952</v>
      </c>
      <c r="F411" s="38">
        <f>7410/145</f>
        <v>51.103448275862071</v>
      </c>
      <c r="G411" s="38">
        <f t="shared" ref="G411:G429" si="1885">1*25.4</f>
        <v>25.4</v>
      </c>
      <c r="H411" s="38">
        <f>17.1*25.4</f>
        <v>434.34000000000003</v>
      </c>
      <c r="I411" s="38">
        <f>2.55*25.4</f>
        <v>64.77</v>
      </c>
      <c r="J411" s="39">
        <f>3.4*25.4</f>
        <v>86.36</v>
      </c>
      <c r="K411" s="7">
        <f t="shared" si="1727"/>
        <v>254.00000000000003</v>
      </c>
      <c r="L411" s="38">
        <v>2</v>
      </c>
      <c r="M411" s="4">
        <f t="shared" si="1843"/>
        <v>508</v>
      </c>
      <c r="N411" s="7">
        <f t="shared" si="1569"/>
        <v>3.05</v>
      </c>
      <c r="O411" s="7">
        <f t="shared" si="1570"/>
        <v>3.05</v>
      </c>
      <c r="P411" s="38">
        <v>4.0999999999999996</v>
      </c>
      <c r="Q411" s="4">
        <f t="shared" si="1736"/>
        <v>4.0999999999999996</v>
      </c>
      <c r="R411" s="4">
        <f t="shared" si="1571"/>
        <v>5.0999999999999996</v>
      </c>
      <c r="S411" s="7">
        <f t="shared" si="1572"/>
        <v>57.361276136431961</v>
      </c>
      <c r="V411" s="38">
        <f t="shared" si="1777"/>
        <v>437.93103448275866</v>
      </c>
      <c r="W411" s="4">
        <v>63.5</v>
      </c>
      <c r="X411" s="4">
        <f t="shared" si="1573"/>
        <v>0.63658061415316614</v>
      </c>
      <c r="Y411" s="38"/>
      <c r="Z411" s="38"/>
      <c r="AA411" s="39">
        <v>1</v>
      </c>
      <c r="AB411" s="39"/>
      <c r="AC411" s="39"/>
      <c r="AD411" s="7"/>
      <c r="AE411" s="4">
        <f t="shared" si="1576"/>
        <v>250.952</v>
      </c>
      <c r="AF411" s="4">
        <f t="shared" si="1577"/>
        <v>0.57692307692307698</v>
      </c>
      <c r="AG411" s="4">
        <f t="shared" si="1578"/>
        <v>280.42955602781353</v>
      </c>
      <c r="AH411" s="4">
        <f t="shared" si="1579"/>
        <v>0.76174089068825901</v>
      </c>
      <c r="AI411" s="4">
        <v>1.25</v>
      </c>
      <c r="AJ411" s="4">
        <f t="shared" si="1878"/>
        <v>2.5</v>
      </c>
      <c r="AK411" s="38">
        <f t="shared" si="1729"/>
        <v>385.12258374508366</v>
      </c>
      <c r="AL411" s="38">
        <f t="shared" si="1616"/>
        <v>385.12258374508366</v>
      </c>
      <c r="AM411" s="38">
        <f t="shared" si="1580"/>
        <v>4.0980014231553801</v>
      </c>
      <c r="AN411" s="38">
        <f t="shared" si="1521"/>
        <v>385.12258374508349</v>
      </c>
      <c r="AO411" s="38">
        <f t="shared" si="1845"/>
        <v>1.0000000000000004</v>
      </c>
      <c r="AP411" s="38">
        <f t="shared" si="1522"/>
        <v>1.6389774658633678</v>
      </c>
      <c r="AQ411" s="4">
        <f t="shared" si="1523"/>
        <v>0</v>
      </c>
      <c r="AR411" s="4" t="e">
        <f>#REF!/G411*F411^0.5/0.19</f>
        <v>#REF!</v>
      </c>
      <c r="AS411" s="4">
        <f t="shared" si="1581"/>
        <v>1</v>
      </c>
      <c r="AT411" s="38">
        <f t="shared" si="1582"/>
        <v>631.20723635326954</v>
      </c>
      <c r="AU411" s="4">
        <f t="shared" si="1583"/>
        <v>0.42600000000000005</v>
      </c>
      <c r="AV411" s="4" t="e">
        <f>AU411*D411*#REF!/(D411*G411/2.75/F411^0.5)</f>
        <v>#REF!</v>
      </c>
      <c r="AW411" s="4" t="e">
        <f t="shared" si="1793"/>
        <v>#REF!</v>
      </c>
      <c r="AY411" s="4">
        <f t="shared" si="1584"/>
        <v>1.3875</v>
      </c>
      <c r="AZ411" s="4" t="e">
        <f>(3*#REF!+30)*AY411*F411^0.5</f>
        <v>#REF!</v>
      </c>
      <c r="BB411" s="4">
        <f t="shared" si="1585"/>
        <v>605.40493127781826</v>
      </c>
      <c r="BC411" s="4">
        <f t="shared" si="1822"/>
        <v>0</v>
      </c>
      <c r="BD411" s="4">
        <f t="shared" si="1794"/>
        <v>0</v>
      </c>
      <c r="BL411" s="4">
        <f t="shared" si="1586"/>
        <v>64.77</v>
      </c>
      <c r="BP411" s="9"/>
      <c r="BR411" s="9"/>
      <c r="BS411" s="9"/>
      <c r="BT411" s="9">
        <f t="shared" si="1587"/>
        <v>64.77</v>
      </c>
      <c r="BU411" s="9">
        <f t="shared" si="1588"/>
        <v>127.00000000000001</v>
      </c>
      <c r="BV411" s="9">
        <f t="shared" si="1589"/>
        <v>1.7665851027593089</v>
      </c>
      <c r="BW411" s="40">
        <f t="shared" si="1738"/>
        <v>0</v>
      </c>
      <c r="BX411" s="9">
        <f t="shared" si="1590"/>
        <v>0</v>
      </c>
      <c r="BY411" s="9">
        <f t="shared" si="1795"/>
        <v>0</v>
      </c>
      <c r="BZ411" s="9">
        <f t="shared" si="1591"/>
        <v>0.99524931562137331</v>
      </c>
      <c r="CA411" s="9">
        <f t="shared" si="1592"/>
        <v>0.68</v>
      </c>
      <c r="CB411" s="9">
        <f t="shared" si="1593"/>
        <v>1.693300152715469</v>
      </c>
      <c r="CC411" s="9">
        <f t="shared" si="1594"/>
        <v>2.99135882428721</v>
      </c>
      <c r="CD411" s="40">
        <v>1</v>
      </c>
      <c r="CE411" s="9" t="e">
        <f>4*CC411*#REF!+60*CC411</f>
        <v>#REF!</v>
      </c>
      <c r="CG411" s="4" t="e">
        <f t="shared" si="1796"/>
        <v>#REF!</v>
      </c>
      <c r="CH411" s="4" t="e">
        <f t="shared" si="1797"/>
        <v>#REF!</v>
      </c>
      <c r="CI411" s="4" t="e">
        <f t="shared" si="1798"/>
        <v>#REF!</v>
      </c>
      <c r="CJ411" s="4" t="e">
        <f t="shared" si="1799"/>
        <v>#REF!</v>
      </c>
      <c r="CK411" s="4">
        <f t="shared" si="1800"/>
        <v>0.63658061415316614</v>
      </c>
      <c r="CL411" s="4">
        <f t="shared" si="1801"/>
        <v>0.67335839175112699</v>
      </c>
      <c r="CM411" s="4">
        <f t="shared" si="1699"/>
        <v>0.8312726172672158</v>
      </c>
      <c r="CN411" s="4">
        <f t="shared" si="1739"/>
        <v>0</v>
      </c>
      <c r="CO411" s="4" t="e">
        <f t="shared" ref="CO411:CO412" si="1886">CG411</f>
        <v>#REF!</v>
      </c>
      <c r="CP411" s="4" t="e">
        <f t="shared" ref="CP411:CP412" si="1887">CH411</f>
        <v>#REF!</v>
      </c>
      <c r="CQ411" s="4" t="e">
        <f t="shared" ref="CQ411:CQ412" si="1888">CJ411</f>
        <v>#REF!</v>
      </c>
      <c r="CR411" s="4">
        <f t="shared" ref="CR411:CR412" si="1889">CM411</f>
        <v>0.8312726172672158</v>
      </c>
      <c r="CS411" s="4">
        <f t="shared" ref="CS411:CS412" si="1890">CK411</f>
        <v>0.63658061415316614</v>
      </c>
      <c r="CT411" s="4">
        <f t="shared" ref="CT411:CT412" si="1891">CL411</f>
        <v>0.67335839175112699</v>
      </c>
      <c r="DC411" s="4" t="e">
        <f>#REF!</f>
        <v>#REF!</v>
      </c>
      <c r="DF411" s="4">
        <f t="shared" si="1601"/>
        <v>2.0297432140333448E-5</v>
      </c>
      <c r="DG411" s="4">
        <f t="shared" si="1802"/>
        <v>9.0857094645609653</v>
      </c>
      <c r="DH411" s="4">
        <f t="shared" si="1602"/>
        <v>0.41025190412805262</v>
      </c>
      <c r="DI411" s="4">
        <f t="shared" si="1803"/>
        <v>6.3617864584628112</v>
      </c>
      <c r="DJ411" s="4">
        <f t="shared" si="1804"/>
        <v>7.843269381391015</v>
      </c>
      <c r="DK411" s="4">
        <f t="shared" si="1603"/>
        <v>8.4745268395009088</v>
      </c>
      <c r="DL411" s="38">
        <f t="shared" si="1604"/>
        <v>687.94277542575173</v>
      </c>
      <c r="DM411" s="4" t="e">
        <f t="shared" si="1805"/>
        <v>#REF!</v>
      </c>
      <c r="DN411" s="4">
        <f t="shared" si="1605"/>
        <v>2.2583179581272428</v>
      </c>
      <c r="DO411" s="4">
        <f t="shared" si="1697"/>
        <v>385.12258374508349</v>
      </c>
      <c r="DS411" s="4">
        <f t="shared" si="1606"/>
        <v>0.85</v>
      </c>
      <c r="DT411" s="4">
        <f t="shared" si="1607"/>
        <v>0.84499999999999997</v>
      </c>
      <c r="DU411" s="4">
        <f t="shared" si="1608"/>
        <v>1</v>
      </c>
      <c r="DV411" s="4">
        <f t="shared" si="1806"/>
        <v>0.84499999999999997</v>
      </c>
      <c r="DX411" s="4">
        <f t="shared" si="1609"/>
        <v>650.36842170167506</v>
      </c>
      <c r="DY411" s="25">
        <f t="shared" si="1870"/>
        <v>381.06799317208811</v>
      </c>
      <c r="EA411" s="4">
        <f t="shared" si="1871"/>
        <v>0.71824999999999994</v>
      </c>
      <c r="EB411" s="4">
        <f t="shared" si="1610"/>
        <v>9.0857094645609653</v>
      </c>
      <c r="EE411" s="4">
        <f t="shared" si="1611"/>
        <v>57.361276136431961</v>
      </c>
      <c r="EF411" s="4">
        <f t="shared" si="1807"/>
        <v>2.2583179581272428</v>
      </c>
      <c r="EG411" s="4">
        <f t="shared" si="1612"/>
        <v>0.1603655114597024</v>
      </c>
      <c r="EJ411" s="4">
        <f t="shared" si="1808"/>
        <v>0.1603655114597024</v>
      </c>
      <c r="EK411" s="4">
        <f t="shared" si="1613"/>
        <v>0.40956727016062394</v>
      </c>
      <c r="EL411" s="4">
        <f t="shared" si="1809"/>
        <v>6.3575376761367446</v>
      </c>
      <c r="EM411" s="4">
        <f t="shared" si="1810"/>
        <v>7.8415490707318991</v>
      </c>
      <c r="EN411" s="4" t="e">
        <f t="shared" si="1811"/>
        <v>#REF!</v>
      </c>
      <c r="EO411" s="4" t="e">
        <f t="shared" si="1812"/>
        <v>#REF!</v>
      </c>
      <c r="EP411" s="4" t="e">
        <f t="shared" si="1614"/>
        <v>#REF!</v>
      </c>
      <c r="EQ411" s="4" t="e">
        <f t="shared" si="1813"/>
        <v>#REF!</v>
      </c>
      <c r="ER411" s="4" t="e">
        <f t="shared" si="1615"/>
        <v>#REF!</v>
      </c>
      <c r="FA411" s="23" t="e">
        <f t="shared" si="1772"/>
        <v>#REF!</v>
      </c>
      <c r="FB411" s="23" t="e">
        <f t="shared" si="1773"/>
        <v>#REF!</v>
      </c>
      <c r="FC411" s="23">
        <f t="shared" si="1706"/>
        <v>1</v>
      </c>
      <c r="FD411" s="23" t="e">
        <f t="shared" si="1774"/>
        <v>#REF!</v>
      </c>
      <c r="FE411" s="23">
        <f t="shared" si="1775"/>
        <v>0.8</v>
      </c>
      <c r="FF411" s="23">
        <f t="shared" si="1776"/>
        <v>0.8</v>
      </c>
      <c r="FG411" s="23">
        <f t="shared" si="1629"/>
        <v>1</v>
      </c>
      <c r="FH411" s="23"/>
      <c r="FR411" s="4">
        <f t="shared" si="1852"/>
        <v>1</v>
      </c>
      <c r="FS411" s="4">
        <f t="shared" si="1853"/>
        <v>0.5</v>
      </c>
      <c r="FT411" s="4">
        <f t="shared" si="1854"/>
        <v>0</v>
      </c>
      <c r="FU411" s="4">
        <f t="shared" si="1855"/>
        <v>526.81999308775983</v>
      </c>
    </row>
    <row r="412" spans="2:177" ht="12" customHeight="1" x14ac:dyDescent="0.3">
      <c r="B412" s="14"/>
      <c r="C412" s="7" t="s">
        <v>558</v>
      </c>
      <c r="D412" s="38">
        <f t="shared" ref="D412:D419" si="1892">129/0.145</f>
        <v>889.65517241379314</v>
      </c>
      <c r="E412" s="38">
        <f>9.81*25.4</f>
        <v>249.17400000000001</v>
      </c>
      <c r="F412" s="38">
        <f>7410/145</f>
        <v>51.103448275862071</v>
      </c>
      <c r="G412" s="38">
        <f t="shared" si="1885"/>
        <v>25.4</v>
      </c>
      <c r="H412" s="38">
        <f>17.3*25.4</f>
        <v>439.42</v>
      </c>
      <c r="I412" s="38">
        <f>2.6*25.4</f>
        <v>66.039999999999992</v>
      </c>
      <c r="J412" s="39">
        <f>3.35*25.4</f>
        <v>85.09</v>
      </c>
      <c r="K412" s="7">
        <f t="shared" si="1727"/>
        <v>256.54000000000002</v>
      </c>
      <c r="L412" s="38">
        <v>2</v>
      </c>
      <c r="M412" s="4">
        <f t="shared" si="1843"/>
        <v>508</v>
      </c>
      <c r="N412" s="7">
        <f t="shared" si="1569"/>
        <v>3.0999999999999996</v>
      </c>
      <c r="O412" s="7">
        <f t="shared" si="1570"/>
        <v>3.0999999999999996</v>
      </c>
      <c r="P412" s="38">
        <v>9.1</v>
      </c>
      <c r="Q412" s="4">
        <f t="shared" si="1736"/>
        <v>9.1</v>
      </c>
      <c r="R412" s="4">
        <f t="shared" si="1571"/>
        <v>10.1</v>
      </c>
      <c r="S412" s="7">
        <f t="shared" si="1572"/>
        <v>80.72246279691916</v>
      </c>
      <c r="V412" s="38">
        <f t="shared" si="1777"/>
        <v>452.41379310344826</v>
      </c>
      <c r="W412" s="4">
        <v>65.599999999999994</v>
      </c>
      <c r="X412" s="4">
        <f t="shared" si="1573"/>
        <v>0.67872485494033818</v>
      </c>
      <c r="Y412" s="38"/>
      <c r="Z412" s="38"/>
      <c r="AA412" s="39">
        <v>1</v>
      </c>
      <c r="AB412" s="39"/>
      <c r="AC412" s="39"/>
      <c r="AD412" s="7"/>
      <c r="AE412" s="4">
        <f t="shared" si="1576"/>
        <v>249.17400000000001</v>
      </c>
      <c r="AF412" s="4">
        <f t="shared" si="1577"/>
        <v>0.58783554196398236</v>
      </c>
      <c r="AG412" s="4">
        <f t="shared" si="1578"/>
        <v>277.45456748084541</v>
      </c>
      <c r="AH412" s="4">
        <f t="shared" si="1579"/>
        <v>0.76320081549439345</v>
      </c>
      <c r="AI412" s="4">
        <v>1.25</v>
      </c>
      <c r="AJ412" s="4">
        <f t="shared" si="1878"/>
        <v>2.5</v>
      </c>
      <c r="AK412" s="38">
        <f t="shared" si="1729"/>
        <v>388.98832530980724</v>
      </c>
      <c r="AL412" s="38">
        <f t="shared" si="1616"/>
        <v>388.98832530980724</v>
      </c>
      <c r="AM412" s="38">
        <f t="shared" si="1580"/>
        <v>4.0980014231553801</v>
      </c>
      <c r="AN412" s="38">
        <f t="shared" ref="AN412:AN453" si="1893">AJ412* (F412^0.5/AE412^0.5)/(PI()/4*G412^2)/L412/0.72 *(0.7+(MIN(I412,M412)+0.5*G412)/5/E412) *(3*H412*E412)</f>
        <v>388.98832530980735</v>
      </c>
      <c r="AO412" s="38">
        <f t="shared" si="1845"/>
        <v>0.99999999999999967</v>
      </c>
      <c r="AP412" s="38">
        <f t="shared" ref="AP412:AP453" si="1894">AT412/AN412</f>
        <v>2.4571180617648873</v>
      </c>
      <c r="AQ412" s="4">
        <f t="shared" ref="AQ412:AQ453" si="1895">IF(AP412&lt;1,1,0)</f>
        <v>0</v>
      </c>
      <c r="AR412" s="4" t="e">
        <f>#REF!/G412*F412^0.5/0.19</f>
        <v>#REF!</v>
      </c>
      <c r="AS412" s="4">
        <f t="shared" si="1581"/>
        <v>1</v>
      </c>
      <c r="AT412" s="38">
        <f t="shared" si="1582"/>
        <v>955.7902399344033</v>
      </c>
      <c r="AU412" s="4">
        <f t="shared" si="1583"/>
        <v>0.3</v>
      </c>
      <c r="AV412" s="4" t="e">
        <f>AU412*D412*#REF!/(D412*G412/2.75/F412^0.5)</f>
        <v>#REF!</v>
      </c>
      <c r="AW412" s="4" t="e">
        <f t="shared" si="1793"/>
        <v>#REF!</v>
      </c>
      <c r="AY412" s="4">
        <f t="shared" si="1584"/>
        <v>1.4</v>
      </c>
      <c r="AZ412" s="4" t="e">
        <f>(3*#REF!+30)*AY412*F412^0.5</f>
        <v>#REF!</v>
      </c>
      <c r="BB412" s="4">
        <f t="shared" si="1585"/>
        <v>916.71972562692179</v>
      </c>
      <c r="BC412" s="4">
        <f t="shared" si="1822"/>
        <v>0</v>
      </c>
      <c r="BD412" s="4">
        <f t="shared" si="1794"/>
        <v>0</v>
      </c>
      <c r="BL412" s="4">
        <f t="shared" si="1586"/>
        <v>66.039999999999992</v>
      </c>
      <c r="BP412" s="9"/>
      <c r="BR412" s="9"/>
      <c r="BS412" s="9"/>
      <c r="BT412" s="9">
        <f t="shared" si="1587"/>
        <v>66.039999999999992</v>
      </c>
      <c r="BU412" s="9">
        <f t="shared" si="1588"/>
        <v>128.27000000000001</v>
      </c>
      <c r="BV412" s="9">
        <f t="shared" si="1589"/>
        <v>1.7812889692205971</v>
      </c>
      <c r="BW412" s="40">
        <f t="shared" si="1738"/>
        <v>0</v>
      </c>
      <c r="BX412" s="9">
        <f t="shared" si="1590"/>
        <v>0</v>
      </c>
      <c r="BY412" s="9">
        <f t="shared" si="1795"/>
        <v>0</v>
      </c>
      <c r="BZ412" s="9">
        <f t="shared" si="1591"/>
        <v>0.99524931562137331</v>
      </c>
      <c r="CA412" s="9">
        <f t="shared" si="1592"/>
        <v>0.68</v>
      </c>
      <c r="CB412" s="9">
        <f t="shared" si="1593"/>
        <v>1.693300152715469</v>
      </c>
      <c r="CC412" s="9">
        <f t="shared" si="1594"/>
        <v>3.0162568836116175</v>
      </c>
      <c r="CD412" s="40">
        <v>1</v>
      </c>
      <c r="CE412" s="9" t="e">
        <f>4*CC412*#REF!+60*CC412</f>
        <v>#REF!</v>
      </c>
      <c r="CG412" s="4" t="e">
        <f t="shared" si="1796"/>
        <v>#REF!</v>
      </c>
      <c r="CH412" s="4" t="e">
        <f t="shared" si="1797"/>
        <v>#REF!</v>
      </c>
      <c r="CI412" s="4" t="e">
        <f t="shared" si="1798"/>
        <v>#REF!</v>
      </c>
      <c r="CJ412" s="4" t="e">
        <f t="shared" si="1799"/>
        <v>#REF!</v>
      </c>
      <c r="CK412" s="4">
        <f t="shared" si="1800"/>
        <v>0.67872485494033818</v>
      </c>
      <c r="CL412" s="4">
        <f t="shared" si="1801"/>
        <v>0.69192281388318311</v>
      </c>
      <c r="CM412" s="4">
        <f t="shared" si="1699"/>
        <v>0.86489129505352247</v>
      </c>
      <c r="CN412" s="4">
        <f t="shared" si="1739"/>
        <v>0</v>
      </c>
      <c r="CO412" s="4" t="e">
        <f t="shared" si="1886"/>
        <v>#REF!</v>
      </c>
      <c r="CP412" s="4" t="e">
        <f t="shared" si="1887"/>
        <v>#REF!</v>
      </c>
      <c r="CQ412" s="4" t="e">
        <f t="shared" si="1888"/>
        <v>#REF!</v>
      </c>
      <c r="CR412" s="4">
        <f t="shared" si="1889"/>
        <v>0.86489129505352247</v>
      </c>
      <c r="CS412" s="4">
        <f t="shared" si="1890"/>
        <v>0.67872485494033818</v>
      </c>
      <c r="CT412" s="4">
        <f t="shared" si="1891"/>
        <v>0.69192281388318311</v>
      </c>
      <c r="DC412" s="4" t="e">
        <f>#REF!</f>
        <v>#REF!</v>
      </c>
      <c r="DF412" s="4">
        <f t="shared" si="1601"/>
        <v>2.0153624422739997E-5</v>
      </c>
      <c r="DG412" s="4">
        <f t="shared" si="1802"/>
        <v>9.1397910685166845</v>
      </c>
      <c r="DH412" s="4">
        <f t="shared" si="1602"/>
        <v>0.26272793307880238</v>
      </c>
      <c r="DI412" s="4">
        <f t="shared" si="1803"/>
        <v>5.3547446764165203</v>
      </c>
      <c r="DJ412" s="4">
        <f t="shared" si="1804"/>
        <v>7.4918554633137289</v>
      </c>
      <c r="DK412" s="4">
        <f t="shared" si="1603"/>
        <v>8.5890007851221988</v>
      </c>
      <c r="DL412" s="38">
        <f t="shared" si="1604"/>
        <v>666.56435197620203</v>
      </c>
      <c r="DM412" s="4" t="e">
        <f t="shared" si="1805"/>
        <v>#REF!</v>
      </c>
      <c r="DN412" s="4">
        <f t="shared" si="1605"/>
        <v>3.1780497164141401</v>
      </c>
      <c r="DO412" s="4">
        <f t="shared" si="1697"/>
        <v>388.98832530980735</v>
      </c>
      <c r="DS412" s="4">
        <f t="shared" si="1606"/>
        <v>0.85</v>
      </c>
      <c r="DT412" s="4">
        <f t="shared" si="1607"/>
        <v>0.84000000000000008</v>
      </c>
      <c r="DU412" s="4">
        <f t="shared" si="1608"/>
        <v>1</v>
      </c>
      <c r="DV412" s="4">
        <f t="shared" si="1806"/>
        <v>0.84000000000000008</v>
      </c>
      <c r="DX412" s="4">
        <f t="shared" si="1609"/>
        <v>653.85008851555085</v>
      </c>
      <c r="DY412" s="25">
        <f t="shared" si="1870"/>
        <v>384.86603736910473</v>
      </c>
      <c r="EA412" s="4">
        <f t="shared" si="1871"/>
        <v>0.71400000000000008</v>
      </c>
      <c r="EB412" s="4">
        <f t="shared" si="1610"/>
        <v>9.1397910685166845</v>
      </c>
      <c r="EE412" s="4">
        <f t="shared" si="1611"/>
        <v>80.72246279691916</v>
      </c>
      <c r="EF412" s="4">
        <f t="shared" si="1807"/>
        <v>3.1780497164141406</v>
      </c>
      <c r="EG412" s="4">
        <f t="shared" si="1612"/>
        <v>0.10269909521195474</v>
      </c>
      <c r="EJ412" s="4">
        <f t="shared" si="1808"/>
        <v>0.10269909521195474</v>
      </c>
      <c r="EK412" s="4">
        <f t="shared" si="1613"/>
        <v>0.26228948912432426</v>
      </c>
      <c r="EL412" s="4">
        <f t="shared" si="1809"/>
        <v>5.3511684569551603</v>
      </c>
      <c r="EM412" s="4">
        <f t="shared" si="1810"/>
        <v>7.4905842503572924</v>
      </c>
      <c r="EN412" s="4" t="e">
        <f t="shared" si="1811"/>
        <v>#REF!</v>
      </c>
      <c r="EO412" s="4" t="e">
        <f t="shared" si="1812"/>
        <v>#REF!</v>
      </c>
      <c r="EP412" s="4" t="e">
        <f t="shared" si="1614"/>
        <v>#REF!</v>
      </c>
      <c r="EQ412" s="4" t="e">
        <f t="shared" si="1813"/>
        <v>#REF!</v>
      </c>
      <c r="ER412" s="4" t="e">
        <f t="shared" si="1615"/>
        <v>#REF!</v>
      </c>
      <c r="FA412" s="23" t="e">
        <f t="shared" si="1772"/>
        <v>#REF!</v>
      </c>
      <c r="FB412" s="23" t="e">
        <f t="shared" si="1773"/>
        <v>#REF!</v>
      </c>
      <c r="FC412" s="23">
        <f t="shared" si="1706"/>
        <v>1</v>
      </c>
      <c r="FD412" s="23" t="e">
        <f t="shared" si="1774"/>
        <v>#REF!</v>
      </c>
      <c r="FE412" s="23">
        <f t="shared" si="1775"/>
        <v>0.8</v>
      </c>
      <c r="FF412" s="23">
        <f t="shared" si="1776"/>
        <v>0.8</v>
      </c>
      <c r="FG412" s="23">
        <f t="shared" si="1629"/>
        <v>1</v>
      </c>
      <c r="FH412" s="23"/>
      <c r="FR412" s="4">
        <f t="shared" si="1852"/>
        <v>1</v>
      </c>
      <c r="FS412" s="4">
        <f t="shared" si="1853"/>
        <v>0.5</v>
      </c>
      <c r="FT412" s="4">
        <f t="shared" si="1854"/>
        <v>0</v>
      </c>
      <c r="FU412" s="4">
        <f t="shared" si="1855"/>
        <v>523.08746277236071</v>
      </c>
    </row>
    <row r="413" spans="2:177" ht="12" customHeight="1" x14ac:dyDescent="0.3">
      <c r="B413" s="14"/>
      <c r="C413" s="7" t="s">
        <v>559</v>
      </c>
      <c r="D413" s="38">
        <f t="shared" si="1892"/>
        <v>889.65517241379314</v>
      </c>
      <c r="E413" s="38">
        <f>9.63*25.4</f>
        <v>244.602</v>
      </c>
      <c r="F413" s="38">
        <f>7410/145</f>
        <v>51.103448275862071</v>
      </c>
      <c r="G413" s="38">
        <f t="shared" si="1885"/>
        <v>25.4</v>
      </c>
      <c r="H413" s="38">
        <f>17.4*25.4</f>
        <v>441.95999999999992</v>
      </c>
      <c r="I413" s="38">
        <f>2.65*25.4</f>
        <v>67.309999999999988</v>
      </c>
      <c r="J413" s="39">
        <f>3.6*25.4</f>
        <v>91.44</v>
      </c>
      <c r="K413" s="7">
        <f t="shared" si="1727"/>
        <v>256.53999999999996</v>
      </c>
      <c r="L413" s="38">
        <v>2</v>
      </c>
      <c r="M413" s="4">
        <f t="shared" si="1843"/>
        <v>508</v>
      </c>
      <c r="N413" s="7">
        <f t="shared" si="1569"/>
        <v>3.1499999999999995</v>
      </c>
      <c r="O413" s="7">
        <f t="shared" si="1570"/>
        <v>3.1499999999999995</v>
      </c>
      <c r="P413" s="38">
        <v>9.1</v>
      </c>
      <c r="Q413" s="4">
        <f t="shared" si="1736"/>
        <v>9.1</v>
      </c>
      <c r="R413" s="4">
        <f t="shared" si="1571"/>
        <v>10.1</v>
      </c>
      <c r="S413" s="7">
        <f t="shared" si="1572"/>
        <v>80.72246279691916</v>
      </c>
      <c r="V413" s="38">
        <f t="shared" si="1777"/>
        <v>595.17241379310349</v>
      </c>
      <c r="W413" s="4">
        <v>86.3</v>
      </c>
      <c r="X413" s="4">
        <f t="shared" si="1573"/>
        <v>0.83340478977310528</v>
      </c>
      <c r="Y413" s="38">
        <f>0.5*25.4</f>
        <v>12.7</v>
      </c>
      <c r="Z413" s="38">
        <v>10</v>
      </c>
      <c r="AA413" s="39">
        <f>5*25.4</f>
        <v>127</v>
      </c>
      <c r="AB413" s="39">
        <v>3</v>
      </c>
      <c r="AC413" s="39">
        <v>2</v>
      </c>
      <c r="AD413" s="7"/>
      <c r="AE413" s="4">
        <f t="shared" si="1576"/>
        <v>244.602</v>
      </c>
      <c r="AF413" s="4">
        <f t="shared" si="1577"/>
        <v>0.60228452751817219</v>
      </c>
      <c r="AG413" s="4">
        <f t="shared" si="1578"/>
        <v>269.85334029886326</v>
      </c>
      <c r="AH413" s="4">
        <f t="shared" si="1579"/>
        <v>0.76542056074766351</v>
      </c>
      <c r="AI413" s="4">
        <v>1.25</v>
      </c>
      <c r="AJ413" s="4">
        <f t="shared" si="1878"/>
        <v>2.5</v>
      </c>
      <c r="AK413" s="38">
        <f t="shared" si="1729"/>
        <v>388.75827858803166</v>
      </c>
      <c r="AL413" s="38">
        <f t="shared" si="1616"/>
        <v>388.75827858803166</v>
      </c>
      <c r="AM413" s="38">
        <f t="shared" si="1580"/>
        <v>4.0980014231553801</v>
      </c>
      <c r="AN413" s="38">
        <f t="shared" si="1893"/>
        <v>388.75827858803183</v>
      </c>
      <c r="AO413" s="38">
        <f t="shared" si="1845"/>
        <v>0.99999999999999956</v>
      </c>
      <c r="AP413" s="38">
        <f t="shared" si="1894"/>
        <v>2.4982264431092367</v>
      </c>
      <c r="AQ413" s="4">
        <f t="shared" si="1895"/>
        <v>0</v>
      </c>
      <c r="AR413" s="4" t="e">
        <f>#REF!/G413*F413^0.5/0.19</f>
        <v>#REF!</v>
      </c>
      <c r="AS413" s="4">
        <f t="shared" si="1581"/>
        <v>1</v>
      </c>
      <c r="AT413" s="38">
        <f t="shared" si="1582"/>
        <v>971.20621154624848</v>
      </c>
      <c r="AU413" s="4">
        <f t="shared" si="1583"/>
        <v>0.3</v>
      </c>
      <c r="AV413" s="4" t="e">
        <f>AU413*D413*#REF!/(D413*G413/2.75/F413^0.5)</f>
        <v>#REF!</v>
      </c>
      <c r="AW413" s="4" t="e">
        <f t="shared" si="1793"/>
        <v>#REF!</v>
      </c>
      <c r="AY413" s="4">
        <f t="shared" si="1584"/>
        <v>1.5</v>
      </c>
      <c r="AZ413" s="4" t="e">
        <f>(3*#REF!+30)*AY413*F413^0.5</f>
        <v>#REF!</v>
      </c>
      <c r="BB413" s="4">
        <f t="shared" si="1585"/>
        <v>931.5055276531624</v>
      </c>
      <c r="BC413" s="4">
        <f t="shared" si="1822"/>
        <v>0</v>
      </c>
      <c r="BD413" s="4">
        <f t="shared" si="1794"/>
        <v>0</v>
      </c>
      <c r="BL413" s="4">
        <f t="shared" si="1586"/>
        <v>67.309999999999988</v>
      </c>
      <c r="BP413" s="9"/>
      <c r="BR413" s="9"/>
      <c r="BS413" s="9"/>
      <c r="BT413" s="9">
        <f t="shared" si="1587"/>
        <v>67.309999999999988</v>
      </c>
      <c r="BU413" s="9">
        <f t="shared" si="1588"/>
        <v>128.26999999999998</v>
      </c>
      <c r="BV413" s="9">
        <f t="shared" si="1589"/>
        <v>1.793204262788072</v>
      </c>
      <c r="BW413" s="40">
        <f t="shared" si="1738"/>
        <v>20</v>
      </c>
      <c r="BX413" s="9">
        <f t="shared" si="1590"/>
        <v>0.05</v>
      </c>
      <c r="BY413" s="9">
        <f t="shared" si="1795"/>
        <v>0.8</v>
      </c>
      <c r="BZ413" s="9">
        <f t="shared" si="1591"/>
        <v>0.99524931562137331</v>
      </c>
      <c r="CA413" s="9">
        <f t="shared" si="1592"/>
        <v>0.68</v>
      </c>
      <c r="CB413" s="9">
        <f t="shared" si="1593"/>
        <v>1.693300152715469</v>
      </c>
      <c r="CC413" s="9">
        <f t="shared" si="1594"/>
        <v>4.2332503817886726</v>
      </c>
      <c r="CD413" s="40">
        <v>1</v>
      </c>
      <c r="CE413" s="9" t="e">
        <f>4*CC413*#REF!+60*CC413</f>
        <v>#REF!</v>
      </c>
      <c r="CG413" s="4" t="e">
        <f t="shared" si="1796"/>
        <v>#REF!</v>
      </c>
      <c r="CH413" s="4" t="e">
        <f t="shared" si="1797"/>
        <v>#REF!</v>
      </c>
      <c r="CI413" s="4" t="e">
        <f t="shared" si="1798"/>
        <v>#REF!</v>
      </c>
      <c r="CJ413" s="4" t="e">
        <f t="shared" si="1799"/>
        <v>#REF!</v>
      </c>
      <c r="CK413" s="4">
        <f t="shared" si="1800"/>
        <v>0.83340478977310528</v>
      </c>
      <c r="CL413" s="4">
        <f t="shared" si="1801"/>
        <v>0.84853134899852589</v>
      </c>
      <c r="CM413" s="4">
        <f t="shared" si="1699"/>
        <v>1.0296890870286513</v>
      </c>
      <c r="CN413" s="4">
        <f t="shared" si="1739"/>
        <v>10</v>
      </c>
      <c r="CU413" s="4" t="e">
        <f t="shared" ref="CU413" si="1896">CG413</f>
        <v>#REF!</v>
      </c>
      <c r="CV413" s="4" t="e">
        <f t="shared" ref="CV413" si="1897">CH413</f>
        <v>#REF!</v>
      </c>
      <c r="CW413" s="4" t="e">
        <f t="shared" ref="CW413" si="1898">CJ413</f>
        <v>#REF!</v>
      </c>
      <c r="CX413" s="4">
        <f t="shared" ref="CX413" si="1899">CM413</f>
        <v>1.0296890870286513</v>
      </c>
      <c r="CY413" s="4">
        <f t="shared" ref="CY413" si="1900">CK413</f>
        <v>0.83340478977310528</v>
      </c>
      <c r="CZ413" s="4">
        <f t="shared" ref="CZ413" si="1901">CL413</f>
        <v>0.84853134899852589</v>
      </c>
      <c r="DC413" s="4" t="e">
        <f>#REF!</f>
        <v>#REF!</v>
      </c>
      <c r="DF413" s="4">
        <f t="shared" si="1601"/>
        <v>1.9783833148928252E-5</v>
      </c>
      <c r="DG413" s="4">
        <f t="shared" si="1802"/>
        <v>10.967749282220023</v>
      </c>
      <c r="DH413" s="4">
        <f t="shared" si="1602"/>
        <v>0.26257255643690569</v>
      </c>
      <c r="DI413" s="4">
        <f t="shared" si="1803"/>
        <v>6.4241732862813743</v>
      </c>
      <c r="DJ413" s="4">
        <f t="shared" si="1804"/>
        <v>8.9896860463643975</v>
      </c>
      <c r="DK413" s="4">
        <f t="shared" si="1603"/>
        <v>10.206506761698176</v>
      </c>
      <c r="DL413" s="38">
        <f t="shared" si="1604"/>
        <v>714.14566018409778</v>
      </c>
      <c r="DM413" s="4" t="e">
        <f t="shared" si="1805"/>
        <v>#REF!</v>
      </c>
      <c r="DN413" s="4">
        <f t="shared" si="1605"/>
        <v>3.1780497164141401</v>
      </c>
      <c r="DO413" s="4">
        <f t="shared" si="1697"/>
        <v>388.75827858803183</v>
      </c>
      <c r="DS413" s="4">
        <f t="shared" si="1606"/>
        <v>0.85</v>
      </c>
      <c r="DT413" s="4">
        <f t="shared" si="1607"/>
        <v>0.83499999999999996</v>
      </c>
      <c r="DU413" s="4">
        <f t="shared" si="1608"/>
        <v>0.77500000000000002</v>
      </c>
      <c r="DV413" s="4">
        <f t="shared" si="1806"/>
        <v>0.7</v>
      </c>
      <c r="DX413" s="4">
        <f t="shared" si="1609"/>
        <v>701.41476151181951</v>
      </c>
      <c r="DY413" s="25">
        <f t="shared" si="1870"/>
        <v>384.55648474848294</v>
      </c>
      <c r="EA413" s="4">
        <f t="shared" si="1871"/>
        <v>0.59499999999999997</v>
      </c>
      <c r="EB413" s="4">
        <f t="shared" si="1610"/>
        <v>10.967749282220023</v>
      </c>
      <c r="EE413" s="4">
        <f t="shared" si="1611"/>
        <v>80.72246279691916</v>
      </c>
      <c r="EF413" s="4">
        <f t="shared" si="1807"/>
        <v>3.1780497164141406</v>
      </c>
      <c r="EG413" s="4">
        <f t="shared" si="1612"/>
        <v>0.10263835922414841</v>
      </c>
      <c r="EJ413" s="4">
        <f t="shared" si="1808"/>
        <v>0.10263835922414841</v>
      </c>
      <c r="EK413" s="4">
        <f t="shared" si="1613"/>
        <v>0.26213437177708465</v>
      </c>
      <c r="EL413" s="4">
        <f t="shared" si="1809"/>
        <v>6.4198828382921871</v>
      </c>
      <c r="EM413" s="4">
        <f t="shared" si="1810"/>
        <v>8.9881612318991966</v>
      </c>
      <c r="EN413" s="4" t="e">
        <f t="shared" si="1811"/>
        <v>#REF!</v>
      </c>
      <c r="EO413" s="4" t="e">
        <f t="shared" si="1812"/>
        <v>#REF!</v>
      </c>
      <c r="EP413" s="4" t="e">
        <f t="shared" si="1614"/>
        <v>#REF!</v>
      </c>
      <c r="EQ413" s="4" t="e">
        <f t="shared" si="1813"/>
        <v>#REF!</v>
      </c>
      <c r="ER413" s="4" t="e">
        <f t="shared" si="1615"/>
        <v>#REF!</v>
      </c>
      <c r="FA413" s="23" t="e">
        <f t="shared" si="1772"/>
        <v>#REF!</v>
      </c>
      <c r="FB413" s="23" t="e">
        <f t="shared" si="1773"/>
        <v>#REF!</v>
      </c>
      <c r="FC413" s="23">
        <f t="shared" si="1706"/>
        <v>1.2</v>
      </c>
      <c r="FD413" s="23" t="e">
        <f t="shared" si="1774"/>
        <v>#REF!</v>
      </c>
      <c r="FE413" s="23">
        <f t="shared" si="1775"/>
        <v>1</v>
      </c>
      <c r="FF413" s="23">
        <f t="shared" si="1776"/>
        <v>1</v>
      </c>
      <c r="FG413" s="23">
        <f t="shared" si="1629"/>
        <v>0</v>
      </c>
      <c r="FH413" s="23"/>
      <c r="FR413" s="4">
        <f t="shared" si="1852"/>
        <v>1</v>
      </c>
      <c r="FS413" s="4">
        <f t="shared" si="1853"/>
        <v>0.44418604651162791</v>
      </c>
      <c r="FT413" s="4">
        <f t="shared" si="1854"/>
        <v>0.3</v>
      </c>
      <c r="FU413" s="4">
        <f t="shared" si="1855"/>
        <v>578.01177199088124</v>
      </c>
    </row>
    <row r="414" spans="2:177" ht="12" customHeight="1" x14ac:dyDescent="0.3">
      <c r="B414" s="14"/>
      <c r="C414" s="7" t="s">
        <v>560</v>
      </c>
      <c r="D414" s="38">
        <f t="shared" si="1892"/>
        <v>889.65517241379314</v>
      </c>
      <c r="E414" s="38">
        <f>9.88*25.4</f>
        <v>250.952</v>
      </c>
      <c r="F414" s="38">
        <f t="shared" ref="F414:F419" si="1902">4880/145</f>
        <v>33.655172413793103</v>
      </c>
      <c r="G414" s="38">
        <f t="shared" si="1885"/>
        <v>25.4</v>
      </c>
      <c r="H414" s="38">
        <f>17.4*25.4</f>
        <v>441.95999999999992</v>
      </c>
      <c r="I414" s="38">
        <f>2.55*25.4</f>
        <v>64.77</v>
      </c>
      <c r="J414" s="39">
        <f>3.3*25.4</f>
        <v>83.82</v>
      </c>
      <c r="K414" s="7">
        <f t="shared" si="1727"/>
        <v>261.61999999999989</v>
      </c>
      <c r="L414" s="38">
        <v>2</v>
      </c>
      <c r="M414" s="4">
        <f t="shared" si="1843"/>
        <v>508</v>
      </c>
      <c r="N414" s="7">
        <f t="shared" si="1569"/>
        <v>3.05</v>
      </c>
      <c r="O414" s="7">
        <f t="shared" si="1570"/>
        <v>3.05</v>
      </c>
      <c r="P414" s="38">
        <v>4.0999999999999996</v>
      </c>
      <c r="Q414" s="4">
        <f t="shared" si="1736"/>
        <v>4.0999999999999996</v>
      </c>
      <c r="R414" s="4">
        <f t="shared" si="1571"/>
        <v>5.0999999999999996</v>
      </c>
      <c r="S414" s="7">
        <f t="shared" si="1572"/>
        <v>57.361276136431961</v>
      </c>
      <c r="V414" s="38">
        <f t="shared" si="1777"/>
        <v>354.48275862068965</v>
      </c>
      <c r="W414" s="4">
        <v>51.4</v>
      </c>
      <c r="X414" s="4">
        <f t="shared" si="1573"/>
        <v>0.61800778838527559</v>
      </c>
      <c r="Y414" s="38"/>
      <c r="Z414" s="38"/>
      <c r="AA414" s="39">
        <v>1</v>
      </c>
      <c r="AB414" s="39"/>
      <c r="AC414" s="39"/>
      <c r="AD414" s="7"/>
      <c r="AE414" s="4">
        <f t="shared" si="1576"/>
        <v>250.952</v>
      </c>
      <c r="AF414" s="4">
        <f t="shared" si="1577"/>
        <v>0.58704453441295534</v>
      </c>
      <c r="AG414" s="4">
        <f t="shared" si="1578"/>
        <v>227.57502097194012</v>
      </c>
      <c r="AH414" s="4">
        <f t="shared" si="1579"/>
        <v>0.76174089068825901</v>
      </c>
      <c r="AI414" s="4">
        <v>1.25</v>
      </c>
      <c r="AJ414" s="4">
        <f t="shared" si="1878"/>
        <v>2.5</v>
      </c>
      <c r="AK414" s="38">
        <f t="shared" si="1729"/>
        <v>318.01890030575532</v>
      </c>
      <c r="AL414" s="38">
        <f t="shared" si="1616"/>
        <v>318.01890030575532</v>
      </c>
      <c r="AM414" s="38">
        <f t="shared" si="1580"/>
        <v>3.1272010355053257</v>
      </c>
      <c r="AN414" s="38">
        <f t="shared" si="1893"/>
        <v>318.01890030575521</v>
      </c>
      <c r="AO414" s="38">
        <f t="shared" si="1845"/>
        <v>1.0000000000000004</v>
      </c>
      <c r="AP414" s="38">
        <f t="shared" si="1894"/>
        <v>1.3071356264291427</v>
      </c>
      <c r="AQ414" s="4">
        <f t="shared" si="1895"/>
        <v>0</v>
      </c>
      <c r="AR414" s="4" t="e">
        <f>#REF!/G414*F414^0.5/0.19</f>
        <v>#REF!</v>
      </c>
      <c r="AS414" s="4">
        <f t="shared" si="1581"/>
        <v>1</v>
      </c>
      <c r="AT414" s="38">
        <f t="shared" si="1582"/>
        <v>415.69383446747042</v>
      </c>
      <c r="AU414" s="4">
        <f t="shared" si="1583"/>
        <v>0.42600000000000005</v>
      </c>
      <c r="AV414" s="4" t="e">
        <f>AU414*D414*#REF!/(D414*G414/2.75/F414^0.5)</f>
        <v>#REF!</v>
      </c>
      <c r="AW414" s="4" t="e">
        <f t="shared" si="1793"/>
        <v>#REF!</v>
      </c>
      <c r="AY414" s="4">
        <f t="shared" si="1584"/>
        <v>1.3875</v>
      </c>
      <c r="AZ414" s="4" t="e">
        <f>(3*#REF!+30)*AY414*F414^0.5</f>
        <v>#REF!</v>
      </c>
      <c r="BB414" s="4">
        <f t="shared" si="1585"/>
        <v>398.70122329767247</v>
      </c>
      <c r="BC414" s="4">
        <f t="shared" si="1822"/>
        <v>0</v>
      </c>
      <c r="BD414" s="4">
        <f t="shared" si="1794"/>
        <v>0</v>
      </c>
      <c r="BL414" s="4">
        <f t="shared" si="1586"/>
        <v>64.77</v>
      </c>
      <c r="BP414" s="9"/>
      <c r="BR414" s="9"/>
      <c r="BS414" s="9"/>
      <c r="BT414" s="9">
        <f t="shared" si="1587"/>
        <v>64.77</v>
      </c>
      <c r="BU414" s="9">
        <f t="shared" si="1588"/>
        <v>130.80999999999995</v>
      </c>
      <c r="BV414" s="9">
        <f t="shared" si="1589"/>
        <v>1.7744352138444073</v>
      </c>
      <c r="BW414" s="40">
        <f t="shared" si="1738"/>
        <v>0</v>
      </c>
      <c r="BX414" s="9">
        <f t="shared" si="1590"/>
        <v>0</v>
      </c>
      <c r="BY414" s="9">
        <f t="shared" si="1795"/>
        <v>0</v>
      </c>
      <c r="BZ414" s="9">
        <f t="shared" si="1591"/>
        <v>0.99524931562137331</v>
      </c>
      <c r="CA414" s="9">
        <f t="shared" si="1592"/>
        <v>0.68</v>
      </c>
      <c r="CB414" s="9">
        <f t="shared" si="1593"/>
        <v>1.3741519375646418</v>
      </c>
      <c r="CC414" s="9">
        <f t="shared" si="1594"/>
        <v>2.4383435871872217</v>
      </c>
      <c r="CD414" s="40">
        <v>1</v>
      </c>
      <c r="CE414" s="9" t="e">
        <f>4*CC414*#REF!+60*CC414</f>
        <v>#REF!</v>
      </c>
      <c r="CG414" s="4" t="e">
        <f t="shared" si="1796"/>
        <v>#REF!</v>
      </c>
      <c r="CH414" s="4" t="e">
        <f t="shared" si="1797"/>
        <v>#REF!</v>
      </c>
      <c r="CI414" s="4" t="e">
        <f t="shared" si="1798"/>
        <v>#REF!</v>
      </c>
      <c r="CJ414" s="4" t="e">
        <f t="shared" si="1799"/>
        <v>#REF!</v>
      </c>
      <c r="CK414" s="4">
        <f t="shared" si="1800"/>
        <v>0.61800778838527559</v>
      </c>
      <c r="CL414" s="4">
        <f t="shared" si="1801"/>
        <v>0.6648035989042731</v>
      </c>
      <c r="CM414" s="4">
        <f t="shared" si="1699"/>
        <v>0.74693440629475993</v>
      </c>
      <c r="CN414" s="4">
        <f t="shared" si="1739"/>
        <v>0</v>
      </c>
      <c r="CO414" s="4" t="e">
        <f t="shared" ref="CO414:CO415" si="1903">CG414</f>
        <v>#REF!</v>
      </c>
      <c r="CP414" s="4" t="e">
        <f t="shared" ref="CP414:CP415" si="1904">CH414</f>
        <v>#REF!</v>
      </c>
      <c r="CQ414" s="4" t="e">
        <f t="shared" ref="CQ414:CQ415" si="1905">CJ414</f>
        <v>#REF!</v>
      </c>
      <c r="CR414" s="4">
        <f t="shared" ref="CR414:CR415" si="1906">CM414</f>
        <v>0.74693440629475993</v>
      </c>
      <c r="CS414" s="4">
        <f t="shared" ref="CS414:CS415" si="1907">CK414</f>
        <v>0.61800778838527559</v>
      </c>
      <c r="CT414" s="4">
        <f t="shared" ref="CT414:CT415" si="1908">CL414</f>
        <v>0.6648035989042731</v>
      </c>
      <c r="DC414" s="4" t="e">
        <f>#REF!</f>
        <v>#REF!</v>
      </c>
      <c r="DF414" s="4">
        <f t="shared" si="1601"/>
        <v>1.8101887802209873E-5</v>
      </c>
      <c r="DG414" s="4">
        <f t="shared" si="1802"/>
        <v>7.3732617603878383</v>
      </c>
      <c r="DH414" s="4">
        <f t="shared" si="1602"/>
        <v>0.51440234096462856</v>
      </c>
      <c r="DI414" s="4">
        <f t="shared" si="1803"/>
        <v>5.651722459899756</v>
      </c>
      <c r="DJ414" s="4">
        <f t="shared" si="1804"/>
        <v>6.5692280921920974</v>
      </c>
      <c r="DK414" s="4">
        <f t="shared" si="1603"/>
        <v>6.9986563688871684</v>
      </c>
      <c r="DL414" s="38">
        <f t="shared" si="1604"/>
        <v>573.58946809857946</v>
      </c>
      <c r="DM414" s="4" t="e">
        <f t="shared" si="1805"/>
        <v>#REF!</v>
      </c>
      <c r="DN414" s="4">
        <f t="shared" si="1605"/>
        <v>2.2583179581272428</v>
      </c>
      <c r="DO414" s="4">
        <f t="shared" si="1697"/>
        <v>318.01890030575521</v>
      </c>
      <c r="DS414" s="4">
        <f t="shared" si="1606"/>
        <v>0.85</v>
      </c>
      <c r="DT414" s="4">
        <f t="shared" si="1607"/>
        <v>0.84499999999999997</v>
      </c>
      <c r="DU414" s="4">
        <f t="shared" si="1608"/>
        <v>1</v>
      </c>
      <c r="DV414" s="4">
        <f t="shared" si="1806"/>
        <v>0.84499999999999997</v>
      </c>
      <c r="DX414" s="4">
        <f t="shared" si="1609"/>
        <v>533.21425937667436</v>
      </c>
      <c r="DY414" s="25">
        <f t="shared" si="1870"/>
        <v>314.67078079877888</v>
      </c>
      <c r="EA414" s="4">
        <f t="shared" si="1871"/>
        <v>0.71824999999999994</v>
      </c>
      <c r="EB414" s="4">
        <f t="shared" si="1610"/>
        <v>7.3732617603878383</v>
      </c>
      <c r="EE414" s="4">
        <f t="shared" si="1611"/>
        <v>57.361276136431961</v>
      </c>
      <c r="EF414" s="4">
        <f t="shared" si="1807"/>
        <v>2.2583179581272428</v>
      </c>
      <c r="EG414" s="4">
        <f t="shared" si="1612"/>
        <v>0.16317894148531115</v>
      </c>
      <c r="EJ414" s="4">
        <f t="shared" si="1808"/>
        <v>0.16317894148531115</v>
      </c>
      <c r="EK414" s="4">
        <f t="shared" si="1613"/>
        <v>0.51354389932912226</v>
      </c>
      <c r="EL414" s="4">
        <f t="shared" si="1809"/>
        <v>5.6479479008735689</v>
      </c>
      <c r="EM414" s="4">
        <f t="shared" si="1810"/>
        <v>6.5676056541484567</v>
      </c>
      <c r="EN414" s="4" t="e">
        <f t="shared" si="1811"/>
        <v>#REF!</v>
      </c>
      <c r="EO414" s="4" t="e">
        <f t="shared" si="1812"/>
        <v>#REF!</v>
      </c>
      <c r="EP414" s="4" t="e">
        <f t="shared" si="1614"/>
        <v>#REF!</v>
      </c>
      <c r="EQ414" s="4" t="e">
        <f t="shared" si="1813"/>
        <v>#REF!</v>
      </c>
      <c r="ER414" s="4" t="e">
        <f t="shared" si="1615"/>
        <v>#REF!</v>
      </c>
      <c r="FA414" s="23" t="e">
        <f t="shared" si="1772"/>
        <v>#REF!</v>
      </c>
      <c r="FB414" s="23" t="e">
        <f t="shared" si="1773"/>
        <v>#REF!</v>
      </c>
      <c r="FC414" s="23">
        <f t="shared" si="1706"/>
        <v>0.8</v>
      </c>
      <c r="FD414" s="23" t="e">
        <f t="shared" si="1774"/>
        <v>#REF!</v>
      </c>
      <c r="FE414" s="23">
        <f t="shared" si="1775"/>
        <v>0.8</v>
      </c>
      <c r="FF414" s="23">
        <f t="shared" si="1776"/>
        <v>0.8</v>
      </c>
      <c r="FG414" s="23">
        <f t="shared" si="1629"/>
        <v>1</v>
      </c>
      <c r="FH414" s="23"/>
      <c r="FR414" s="4">
        <f t="shared" si="1852"/>
        <v>1</v>
      </c>
      <c r="FS414" s="4">
        <f t="shared" si="1853"/>
        <v>0.5</v>
      </c>
      <c r="FT414" s="4">
        <f t="shared" si="1854"/>
        <v>0</v>
      </c>
      <c r="FU414" s="4">
        <f t="shared" si="1855"/>
        <v>474.58351849011149</v>
      </c>
    </row>
    <row r="415" spans="2:177" ht="12" customHeight="1" x14ac:dyDescent="0.3">
      <c r="B415" s="14"/>
      <c r="C415" s="7" t="s">
        <v>561</v>
      </c>
      <c r="D415" s="38">
        <f t="shared" si="1892"/>
        <v>889.65517241379314</v>
      </c>
      <c r="E415" s="38">
        <f>9.75*25.4</f>
        <v>247.64999999999998</v>
      </c>
      <c r="F415" s="38">
        <f t="shared" si="1902"/>
        <v>33.655172413793103</v>
      </c>
      <c r="G415" s="38">
        <f t="shared" si="1885"/>
        <v>25.4</v>
      </c>
      <c r="H415" s="38">
        <f>17.5*25.4</f>
        <v>444.5</v>
      </c>
      <c r="I415" s="38">
        <f>2.6*25.4</f>
        <v>66.039999999999992</v>
      </c>
      <c r="J415" s="39">
        <f>3.5*25.4</f>
        <v>88.899999999999991</v>
      </c>
      <c r="K415" s="7">
        <f t="shared" si="1727"/>
        <v>261.62</v>
      </c>
      <c r="L415" s="38">
        <v>2</v>
      </c>
      <c r="M415" s="4">
        <f t="shared" si="1843"/>
        <v>508</v>
      </c>
      <c r="N415" s="7">
        <f t="shared" si="1569"/>
        <v>3.0999999999999996</v>
      </c>
      <c r="O415" s="7">
        <f t="shared" si="1570"/>
        <v>3.0999999999999996</v>
      </c>
      <c r="P415" s="38">
        <v>9.1</v>
      </c>
      <c r="Q415" s="4">
        <f t="shared" si="1736"/>
        <v>9.1</v>
      </c>
      <c r="R415" s="4">
        <f t="shared" si="1571"/>
        <v>10.1</v>
      </c>
      <c r="S415" s="7">
        <f t="shared" si="1572"/>
        <v>80.72246279691916</v>
      </c>
      <c r="V415" s="38">
        <f t="shared" si="1777"/>
        <v>387.58620689655174</v>
      </c>
      <c r="W415" s="4">
        <v>56.2</v>
      </c>
      <c r="X415" s="4">
        <f t="shared" si="1573"/>
        <v>0.70367808719437008</v>
      </c>
      <c r="Y415" s="38"/>
      <c r="Z415" s="38"/>
      <c r="AA415" s="39">
        <v>1</v>
      </c>
      <c r="AB415" s="39"/>
      <c r="AC415" s="39"/>
      <c r="AD415" s="7"/>
      <c r="AE415" s="4">
        <f t="shared" si="1576"/>
        <v>247.64999999999998</v>
      </c>
      <c r="AF415" s="4">
        <f t="shared" si="1577"/>
        <v>0.59829059829059839</v>
      </c>
      <c r="AG415" s="4">
        <f t="shared" si="1578"/>
        <v>223.09821631857008</v>
      </c>
      <c r="AH415" s="4">
        <f t="shared" si="1579"/>
        <v>0.76358974358974352</v>
      </c>
      <c r="AI415" s="4">
        <v>1.25</v>
      </c>
      <c r="AJ415" s="4">
        <f t="shared" si="1878"/>
        <v>2.5</v>
      </c>
      <c r="AK415" s="38">
        <f t="shared" si="1729"/>
        <v>318.50656211489917</v>
      </c>
      <c r="AL415" s="38">
        <f t="shared" si="1616"/>
        <v>318.50656211489917</v>
      </c>
      <c r="AM415" s="38">
        <f t="shared" si="1580"/>
        <v>3.1272010355053257</v>
      </c>
      <c r="AN415" s="38">
        <f t="shared" si="1893"/>
        <v>318.5065621148994</v>
      </c>
      <c r="AO415" s="38">
        <f t="shared" si="1845"/>
        <v>0.99999999999999933</v>
      </c>
      <c r="AP415" s="38">
        <f t="shared" si="1894"/>
        <v>1.9762679201452078</v>
      </c>
      <c r="AQ415" s="4">
        <f t="shared" si="1895"/>
        <v>0</v>
      </c>
      <c r="AR415" s="4" t="e">
        <f>#REF!/G415*F415^0.5/0.19</f>
        <v>#REF!</v>
      </c>
      <c r="AS415" s="4">
        <f t="shared" si="1581"/>
        <v>1</v>
      </c>
      <c r="AT415" s="38">
        <f t="shared" si="1582"/>
        <v>629.45430106341269</v>
      </c>
      <c r="AU415" s="4">
        <f t="shared" si="1583"/>
        <v>0.3</v>
      </c>
      <c r="AV415" s="4" t="e">
        <f>AU415*D415*#REF!/(D415*G415/2.75/F415^0.5)</f>
        <v>#REF!</v>
      </c>
      <c r="AW415" s="4" t="e">
        <f t="shared" si="1793"/>
        <v>#REF!</v>
      </c>
      <c r="AY415" s="4">
        <f t="shared" si="1584"/>
        <v>1.4</v>
      </c>
      <c r="AZ415" s="4" t="e">
        <f>(3*#REF!+30)*AY415*F415^0.5</f>
        <v>#REF!</v>
      </c>
      <c r="BB415" s="4">
        <f t="shared" si="1585"/>
        <v>603.72365196482838</v>
      </c>
      <c r="BC415" s="4">
        <f t="shared" si="1822"/>
        <v>0</v>
      </c>
      <c r="BD415" s="4">
        <f t="shared" si="1794"/>
        <v>0</v>
      </c>
      <c r="BL415" s="4">
        <f t="shared" si="1586"/>
        <v>66.039999999999992</v>
      </c>
      <c r="BP415" s="9"/>
      <c r="BR415" s="9"/>
      <c r="BS415" s="9"/>
      <c r="BT415" s="9">
        <f t="shared" si="1587"/>
        <v>66.039999999999992</v>
      </c>
      <c r="BU415" s="9">
        <f t="shared" si="1588"/>
        <v>130.81</v>
      </c>
      <c r="BV415" s="9">
        <f t="shared" si="1589"/>
        <v>1.7865359348792491</v>
      </c>
      <c r="BW415" s="40">
        <f t="shared" si="1738"/>
        <v>0</v>
      </c>
      <c r="BX415" s="9">
        <f t="shared" si="1590"/>
        <v>0</v>
      </c>
      <c r="BY415" s="9">
        <f t="shared" si="1795"/>
        <v>0</v>
      </c>
      <c r="BZ415" s="9">
        <f t="shared" si="1591"/>
        <v>0.99524931562137331</v>
      </c>
      <c r="CA415" s="9">
        <f t="shared" si="1592"/>
        <v>0.68</v>
      </c>
      <c r="CB415" s="9">
        <f t="shared" si="1593"/>
        <v>1.3741519375646418</v>
      </c>
      <c r="CC415" s="9">
        <f t="shared" si="1594"/>
        <v>2.4549718164431789</v>
      </c>
      <c r="CD415" s="40">
        <v>1</v>
      </c>
      <c r="CE415" s="9" t="e">
        <f>4*CC415*#REF!+60*CC415</f>
        <v>#REF!</v>
      </c>
      <c r="CG415" s="4" t="e">
        <f t="shared" si="1796"/>
        <v>#REF!</v>
      </c>
      <c r="CH415" s="4" t="e">
        <f t="shared" si="1797"/>
        <v>#REF!</v>
      </c>
      <c r="CI415" s="4" t="e">
        <f t="shared" si="1798"/>
        <v>#REF!</v>
      </c>
      <c r="CJ415" s="4" t="e">
        <f t="shared" si="1799"/>
        <v>#REF!</v>
      </c>
      <c r="CK415" s="4">
        <f t="shared" si="1800"/>
        <v>0.70367808719437008</v>
      </c>
      <c r="CL415" s="4">
        <f t="shared" si="1801"/>
        <v>0.72846501506533778</v>
      </c>
      <c r="CM415" s="4">
        <f t="shared" si="1699"/>
        <v>0.8275761961520568</v>
      </c>
      <c r="CN415" s="4">
        <f t="shared" si="1739"/>
        <v>0</v>
      </c>
      <c r="CO415" s="4" t="e">
        <f t="shared" si="1903"/>
        <v>#REF!</v>
      </c>
      <c r="CP415" s="4" t="e">
        <f t="shared" si="1904"/>
        <v>#REF!</v>
      </c>
      <c r="CQ415" s="4" t="e">
        <f t="shared" si="1905"/>
        <v>#REF!</v>
      </c>
      <c r="CR415" s="4">
        <f t="shared" si="1906"/>
        <v>0.8275761961520568</v>
      </c>
      <c r="CS415" s="4">
        <f t="shared" si="1907"/>
        <v>0.70367808719437008</v>
      </c>
      <c r="CT415" s="4">
        <f t="shared" si="1908"/>
        <v>0.72846501506533778</v>
      </c>
      <c r="DC415" s="4" t="e">
        <f>#REF!</f>
        <v>#REF!</v>
      </c>
      <c r="DF415" s="4">
        <f t="shared" si="1601"/>
        <v>1.7863705067970267E-5</v>
      </c>
      <c r="DG415" s="4">
        <f t="shared" si="1802"/>
        <v>7.4171502232472895</v>
      </c>
      <c r="DH415" s="4">
        <f t="shared" si="1602"/>
        <v>0.32665285061685839</v>
      </c>
      <c r="DI415" s="4">
        <f t="shared" si="1803"/>
        <v>4.7410185666214346</v>
      </c>
      <c r="DJ415" s="4">
        <f t="shared" si="1804"/>
        <v>6.2252785516665377</v>
      </c>
      <c r="DK415" s="4">
        <f t="shared" si="1603"/>
        <v>7.084379290649192</v>
      </c>
      <c r="DL415" s="38">
        <f t="shared" si="1604"/>
        <v>550.80044973674535</v>
      </c>
      <c r="DM415" s="4" t="e">
        <f t="shared" si="1805"/>
        <v>#REF!</v>
      </c>
      <c r="DN415" s="4">
        <f t="shared" si="1605"/>
        <v>3.1780497164141401</v>
      </c>
      <c r="DO415" s="4">
        <f t="shared" si="1697"/>
        <v>318.5065621148994</v>
      </c>
      <c r="DS415" s="4">
        <f t="shared" si="1606"/>
        <v>0.85</v>
      </c>
      <c r="DT415" s="4">
        <f t="shared" si="1607"/>
        <v>0.84000000000000008</v>
      </c>
      <c r="DU415" s="4">
        <f t="shared" si="1608"/>
        <v>1</v>
      </c>
      <c r="DV415" s="4">
        <f t="shared" si="1806"/>
        <v>0.84000000000000008</v>
      </c>
      <c r="DX415" s="4">
        <f t="shared" si="1609"/>
        <v>532.05877959944064</v>
      </c>
      <c r="DY415" s="25">
        <f t="shared" si="1870"/>
        <v>315.1071355694574</v>
      </c>
      <c r="EA415" s="4">
        <f t="shared" si="1871"/>
        <v>0.71400000000000008</v>
      </c>
      <c r="EB415" s="4">
        <f t="shared" si="1610"/>
        <v>7.4171502232472895</v>
      </c>
      <c r="EE415" s="4">
        <f t="shared" si="1611"/>
        <v>80.72246279691916</v>
      </c>
      <c r="EF415" s="4">
        <f t="shared" si="1807"/>
        <v>3.1780497164141406</v>
      </c>
      <c r="EG415" s="4">
        <f t="shared" si="1612"/>
        <v>0.10362096388765003</v>
      </c>
      <c r="EJ415" s="4">
        <f t="shared" si="1808"/>
        <v>0.10362096388765003</v>
      </c>
      <c r="EK415" s="4">
        <f t="shared" si="1613"/>
        <v>0.32610772788899423</v>
      </c>
      <c r="EL415" s="4">
        <f t="shared" si="1809"/>
        <v>4.7378522302432895</v>
      </c>
      <c r="EM415" s="4">
        <f t="shared" si="1810"/>
        <v>6.2240766285072322</v>
      </c>
      <c r="EN415" s="4" t="e">
        <f t="shared" si="1811"/>
        <v>#REF!</v>
      </c>
      <c r="EO415" s="4" t="e">
        <f t="shared" si="1812"/>
        <v>#REF!</v>
      </c>
      <c r="EP415" s="4" t="e">
        <f t="shared" si="1614"/>
        <v>#REF!</v>
      </c>
      <c r="EQ415" s="4" t="e">
        <f t="shared" si="1813"/>
        <v>#REF!</v>
      </c>
      <c r="ER415" s="4" t="e">
        <f t="shared" si="1615"/>
        <v>#REF!</v>
      </c>
      <c r="FA415" s="23" t="e">
        <f t="shared" si="1772"/>
        <v>#REF!</v>
      </c>
      <c r="FB415" s="23" t="e">
        <f t="shared" si="1773"/>
        <v>#REF!</v>
      </c>
      <c r="FC415" s="23">
        <f t="shared" si="1706"/>
        <v>1</v>
      </c>
      <c r="FD415" s="23" t="e">
        <f t="shared" si="1774"/>
        <v>#REF!</v>
      </c>
      <c r="FE415" s="23">
        <f t="shared" si="1775"/>
        <v>0.8</v>
      </c>
      <c r="FF415" s="23">
        <f t="shared" si="1776"/>
        <v>0.8</v>
      </c>
      <c r="FG415" s="23">
        <f t="shared" si="1629"/>
        <v>1</v>
      </c>
      <c r="FH415" s="23"/>
      <c r="FR415" s="4">
        <f t="shared" si="1852"/>
        <v>1</v>
      </c>
      <c r="FS415" s="4">
        <f t="shared" si="1853"/>
        <v>0.5</v>
      </c>
      <c r="FT415" s="4">
        <f t="shared" si="1854"/>
        <v>0</v>
      </c>
      <c r="FU415" s="4">
        <f t="shared" si="1855"/>
        <v>468.33899850997841</v>
      </c>
    </row>
    <row r="416" spans="2:177" ht="12" customHeight="1" x14ac:dyDescent="0.3">
      <c r="B416" s="14"/>
      <c r="C416" s="33" t="s">
        <v>562</v>
      </c>
      <c r="D416" s="38">
        <f t="shared" si="1892"/>
        <v>889.65517241379314</v>
      </c>
      <c r="E416" s="38">
        <f>10.13*25.4</f>
        <v>257.30200000000002</v>
      </c>
      <c r="F416" s="38">
        <f t="shared" si="1902"/>
        <v>33.655172413793103</v>
      </c>
      <c r="G416" s="38">
        <f t="shared" si="1885"/>
        <v>25.4</v>
      </c>
      <c r="H416" s="38">
        <f>17.3*25.4</f>
        <v>439.42</v>
      </c>
      <c r="I416" s="38">
        <f>2.5*25.4</f>
        <v>63.5</v>
      </c>
      <c r="J416" s="39">
        <f>3*25.4</f>
        <v>76.199999999999989</v>
      </c>
      <c r="K416" s="7">
        <f t="shared" si="1727"/>
        <v>261.62</v>
      </c>
      <c r="L416" s="38">
        <v>2</v>
      </c>
      <c r="M416" s="4">
        <f t="shared" si="1843"/>
        <v>508</v>
      </c>
      <c r="N416" s="7">
        <f t="shared" si="1569"/>
        <v>3</v>
      </c>
      <c r="O416" s="7">
        <f t="shared" si="1570"/>
        <v>3</v>
      </c>
      <c r="P416" s="38">
        <v>4.0999999999999996</v>
      </c>
      <c r="Q416" s="4">
        <f t="shared" si="1736"/>
        <v>4.0999999999999996</v>
      </c>
      <c r="R416" s="4">
        <f t="shared" si="1571"/>
        <v>5.0999999999999996</v>
      </c>
      <c r="S416" s="7">
        <f t="shared" si="1572"/>
        <v>57.361276136431961</v>
      </c>
      <c r="V416" s="38">
        <f t="shared" si="1777"/>
        <v>564.13793103448279</v>
      </c>
      <c r="W416" s="4">
        <v>81.8</v>
      </c>
      <c r="X416" s="4">
        <f t="shared" si="1573"/>
        <v>0.9393306132040562</v>
      </c>
      <c r="Y416" s="38">
        <f t="shared" ref="Y416:Y419" si="1909">0.5*25.4</f>
        <v>12.7</v>
      </c>
      <c r="Z416" s="38">
        <v>6</v>
      </c>
      <c r="AA416" s="39">
        <f>7.5*25.4</f>
        <v>190.5</v>
      </c>
      <c r="AB416" s="39">
        <v>1</v>
      </c>
      <c r="AC416" s="39">
        <v>1</v>
      </c>
      <c r="AD416" s="7"/>
      <c r="AE416" s="4">
        <f t="shared" si="1576"/>
        <v>257.30200000000002</v>
      </c>
      <c r="AF416" s="4">
        <f t="shared" si="1577"/>
        <v>0.56926620598881206</v>
      </c>
      <c r="AG416" s="4">
        <f t="shared" si="1578"/>
        <v>236.26714999168641</v>
      </c>
      <c r="AH416" s="4">
        <f t="shared" si="1579"/>
        <v>0.75923000987166822</v>
      </c>
      <c r="AI416" s="4">
        <v>1.25</v>
      </c>
      <c r="AJ416" s="4">
        <f t="shared" si="1878"/>
        <v>2.5</v>
      </c>
      <c r="AK416" s="38">
        <f t="shared" si="1729"/>
        <v>319.11126334066762</v>
      </c>
      <c r="AL416" s="38">
        <f t="shared" si="1616"/>
        <v>319.11126334066762</v>
      </c>
      <c r="AM416" s="38">
        <f t="shared" si="1580"/>
        <v>3.1272010355053257</v>
      </c>
      <c r="AN416" s="38">
        <f t="shared" si="1893"/>
        <v>319.11126334066768</v>
      </c>
      <c r="AO416" s="38">
        <f t="shared" si="1845"/>
        <v>0.99999999999999978</v>
      </c>
      <c r="AP416" s="38">
        <f t="shared" si="1894"/>
        <v>1.2813060158485035</v>
      </c>
      <c r="AQ416" s="4">
        <f t="shared" si="1895"/>
        <v>0</v>
      </c>
      <c r="AR416" s="4" t="e">
        <f>#REF!/G416*F416^0.5/0.19</f>
        <v>#REF!</v>
      </c>
      <c r="AS416" s="4">
        <f t="shared" si="1581"/>
        <v>1</v>
      </c>
      <c r="AT416" s="38">
        <f t="shared" si="1582"/>
        <v>408.87918144341347</v>
      </c>
      <c r="AU416" s="4">
        <f t="shared" si="1583"/>
        <v>0.42600000000000005</v>
      </c>
      <c r="AV416" s="4" t="e">
        <f>AU416*D416*#REF!/(D416*G416/2.75/F416^0.5)</f>
        <v>#REF!</v>
      </c>
      <c r="AW416" s="4" t="e">
        <f t="shared" si="1793"/>
        <v>#REF!</v>
      </c>
      <c r="AY416" s="4">
        <f t="shared" si="1584"/>
        <v>1.5</v>
      </c>
      <c r="AZ416" s="4" t="e">
        <f>(3*#REF!+30)*AY416*F416^0.5</f>
        <v>#REF!</v>
      </c>
      <c r="BB416" s="4">
        <f t="shared" si="1585"/>
        <v>392.16513766984178</v>
      </c>
      <c r="BC416" s="4">
        <f t="shared" si="1822"/>
        <v>0</v>
      </c>
      <c r="BD416" s="4">
        <f t="shared" si="1794"/>
        <v>0</v>
      </c>
      <c r="BL416" s="4">
        <f t="shared" si="1586"/>
        <v>63.5</v>
      </c>
      <c r="BP416" s="9"/>
      <c r="BR416" s="9"/>
      <c r="BS416" s="9"/>
      <c r="BT416" s="9">
        <f t="shared" si="1587"/>
        <v>63.5</v>
      </c>
      <c r="BU416" s="9">
        <f t="shared" si="1588"/>
        <v>130.81</v>
      </c>
      <c r="BV416" s="9">
        <f t="shared" si="1589"/>
        <v>1.7621792676747374</v>
      </c>
      <c r="BW416" s="40">
        <f t="shared" si="1738"/>
        <v>20</v>
      </c>
      <c r="BX416" s="9">
        <f t="shared" si="1590"/>
        <v>0.05</v>
      </c>
      <c r="BY416" s="9">
        <f t="shared" si="1795"/>
        <v>0.8</v>
      </c>
      <c r="BZ416" s="9">
        <f t="shared" si="1591"/>
        <v>0.99524931562137331</v>
      </c>
      <c r="CA416" s="9">
        <f t="shared" si="1592"/>
        <v>0.68</v>
      </c>
      <c r="CB416" s="9">
        <f t="shared" si="1593"/>
        <v>1.3741519375646418</v>
      </c>
      <c r="CC416" s="9">
        <f t="shared" si="1594"/>
        <v>3.4353798439116048</v>
      </c>
      <c r="CD416" s="40">
        <v>1</v>
      </c>
      <c r="CE416" s="9" t="e">
        <f>4*CC416*#REF!+60*CC416</f>
        <v>#REF!</v>
      </c>
      <c r="CG416" s="4" t="e">
        <f t="shared" si="1796"/>
        <v>#REF!</v>
      </c>
      <c r="CH416" s="4" t="e">
        <f t="shared" si="1797"/>
        <v>#REF!</v>
      </c>
      <c r="CI416" s="4" t="e">
        <f t="shared" si="1798"/>
        <v>#REF!</v>
      </c>
      <c r="CJ416" s="4" t="e">
        <f t="shared" si="1799"/>
        <v>#REF!</v>
      </c>
      <c r="CK416" s="4">
        <f t="shared" si="1800"/>
        <v>0.9393306132040562</v>
      </c>
      <c r="CL416" s="4">
        <f t="shared" si="1801"/>
        <v>1.0134345640672162</v>
      </c>
      <c r="CM416" s="4">
        <f t="shared" si="1699"/>
        <v>1.0515170046860745</v>
      </c>
      <c r="CN416" s="4">
        <f t="shared" si="1739"/>
        <v>6</v>
      </c>
      <c r="CU416" s="4" t="e">
        <f t="shared" ref="CU416:CU419" si="1910">CG416</f>
        <v>#REF!</v>
      </c>
      <c r="CV416" s="4" t="e">
        <f t="shared" ref="CV416:CV419" si="1911">CH416</f>
        <v>#REF!</v>
      </c>
      <c r="CW416" s="4" t="e">
        <f t="shared" ref="CW416:CW419" si="1912">CJ416</f>
        <v>#REF!</v>
      </c>
      <c r="CX416" s="4">
        <f t="shared" ref="CX416:CX419" si="1913">CM416</f>
        <v>1.0515170046860745</v>
      </c>
      <c r="CY416" s="4">
        <f t="shared" ref="CY416:CY419" si="1914">CK416</f>
        <v>0.9393306132040562</v>
      </c>
      <c r="CZ416" s="4">
        <f t="shared" ref="CZ416:CZ419" si="1915">CL416</f>
        <v>1.0134345640672162</v>
      </c>
      <c r="DC416" s="4" t="e">
        <f>#REF!</f>
        <v>#REF!</v>
      </c>
      <c r="DF416" s="4">
        <f t="shared" si="1601"/>
        <v>1.855993152190142E-5</v>
      </c>
      <c r="DG416" s="4">
        <f t="shared" si="1802"/>
        <v>7.9242050079843862</v>
      </c>
      <c r="DH416" s="4">
        <f t="shared" si="1602"/>
        <v>0.51616926142690911</v>
      </c>
      <c r="DI416" s="4">
        <f t="shared" si="1803"/>
        <v>6.0823661140843202</v>
      </c>
      <c r="DJ416" s="4">
        <f t="shared" si="1804"/>
        <v>7.063678327525893</v>
      </c>
      <c r="DK416" s="4">
        <f t="shared" si="1603"/>
        <v>7.4691435952565444</v>
      </c>
      <c r="DL416" s="38">
        <f t="shared" si="1604"/>
        <v>600.57441235754959</v>
      </c>
      <c r="DM416" s="4" t="e">
        <f t="shared" si="1805"/>
        <v>#REF!</v>
      </c>
      <c r="DN416" s="4">
        <f t="shared" si="1605"/>
        <v>2.2583179581272428</v>
      </c>
      <c r="DO416" s="4">
        <f t="shared" si="1697"/>
        <v>319.11126334066768</v>
      </c>
      <c r="DS416" s="4">
        <f t="shared" si="1606"/>
        <v>0.85</v>
      </c>
      <c r="DT416" s="4">
        <f t="shared" si="1607"/>
        <v>0.85</v>
      </c>
      <c r="DU416" s="4">
        <f t="shared" si="1608"/>
        <v>0.92500000000000004</v>
      </c>
      <c r="DV416" s="4">
        <f t="shared" si="1806"/>
        <v>0.78625</v>
      </c>
      <c r="DX416" s="4">
        <f t="shared" si="1609"/>
        <v>556.65945393694528</v>
      </c>
      <c r="DY416" s="25">
        <f t="shared" si="1870"/>
        <v>315.84286374429968</v>
      </c>
      <c r="EA416" s="4">
        <f t="shared" si="1871"/>
        <v>0.66831249999999998</v>
      </c>
      <c r="EB416" s="4">
        <f t="shared" si="1610"/>
        <v>7.9242050079843862</v>
      </c>
      <c r="EE416" s="4">
        <f t="shared" si="1611"/>
        <v>57.361276136431961</v>
      </c>
      <c r="EF416" s="4">
        <f t="shared" si="1807"/>
        <v>2.2583179581272428</v>
      </c>
      <c r="EG416" s="4">
        <f t="shared" si="1612"/>
        <v>0.16373944478742095</v>
      </c>
      <c r="EJ416" s="4">
        <f t="shared" si="1808"/>
        <v>0.16373944478742095</v>
      </c>
      <c r="EK416" s="4">
        <f t="shared" si="1613"/>
        <v>0.5153078711304605</v>
      </c>
      <c r="EL416" s="4">
        <f t="shared" si="1809"/>
        <v>6.0783039454128431</v>
      </c>
      <c r="EM416" s="4">
        <f t="shared" si="1810"/>
        <v>7.0619307396611051</v>
      </c>
      <c r="EN416" s="4" t="e">
        <f t="shared" si="1811"/>
        <v>#REF!</v>
      </c>
      <c r="EO416" s="4" t="e">
        <f t="shared" si="1812"/>
        <v>#REF!</v>
      </c>
      <c r="EP416" s="4" t="e">
        <f t="shared" si="1614"/>
        <v>#REF!</v>
      </c>
      <c r="EQ416" s="4" t="e">
        <f t="shared" si="1813"/>
        <v>#REF!</v>
      </c>
      <c r="ER416" s="4" t="e">
        <f t="shared" si="1615"/>
        <v>#REF!</v>
      </c>
      <c r="FA416" s="23" t="e">
        <f t="shared" si="1772"/>
        <v>#REF!</v>
      </c>
      <c r="FB416" s="23" t="e">
        <f t="shared" si="1773"/>
        <v>#REF!</v>
      </c>
      <c r="FC416" s="23">
        <f t="shared" si="1706"/>
        <v>1.2</v>
      </c>
      <c r="FD416" s="23" t="e">
        <f t="shared" si="1774"/>
        <v>#REF!</v>
      </c>
      <c r="FE416" s="23">
        <f t="shared" si="1775"/>
        <v>1</v>
      </c>
      <c r="FF416" s="23">
        <f t="shared" si="1776"/>
        <v>1.2</v>
      </c>
      <c r="FG416" s="23">
        <f t="shared" si="1629"/>
        <v>0</v>
      </c>
      <c r="FH416" s="23"/>
      <c r="FR416" s="4">
        <f t="shared" si="1852"/>
        <v>1</v>
      </c>
      <c r="FS416" s="4">
        <f t="shared" si="1853"/>
        <v>0.45348837209302328</v>
      </c>
      <c r="FT416" s="4">
        <f t="shared" si="1854"/>
        <v>0.25</v>
      </c>
      <c r="FU416" s="4">
        <f t="shared" si="1855"/>
        <v>536.4991041708389</v>
      </c>
    </row>
    <row r="417" spans="2:177" ht="12" customHeight="1" x14ac:dyDescent="0.3">
      <c r="B417" s="14"/>
      <c r="C417" s="33" t="s">
        <v>563</v>
      </c>
      <c r="D417" s="38">
        <f t="shared" si="1892"/>
        <v>889.65517241379314</v>
      </c>
      <c r="E417" s="38">
        <f>9.75*25.4</f>
        <v>247.64999999999998</v>
      </c>
      <c r="F417" s="38">
        <f t="shared" si="1902"/>
        <v>33.655172413793103</v>
      </c>
      <c r="G417" s="38">
        <f t="shared" si="1885"/>
        <v>25.4</v>
      </c>
      <c r="H417" s="38">
        <f>17.3*25.4</f>
        <v>439.42</v>
      </c>
      <c r="I417" s="38">
        <f>2.6*25.4</f>
        <v>66.039999999999992</v>
      </c>
      <c r="J417" s="39">
        <f>3.6*25.4</f>
        <v>91.44</v>
      </c>
      <c r="K417" s="7">
        <f t="shared" si="1727"/>
        <v>256.54000000000002</v>
      </c>
      <c r="L417" s="38">
        <v>2</v>
      </c>
      <c r="M417" s="4">
        <f t="shared" si="1843"/>
        <v>508</v>
      </c>
      <c r="N417" s="7">
        <f t="shared" si="1569"/>
        <v>3.0999999999999996</v>
      </c>
      <c r="O417" s="7">
        <f t="shared" si="1570"/>
        <v>3.0999999999999996</v>
      </c>
      <c r="P417" s="38">
        <v>9.1</v>
      </c>
      <c r="Q417" s="4">
        <f t="shared" si="1736"/>
        <v>9.1</v>
      </c>
      <c r="R417" s="4">
        <f t="shared" si="1571"/>
        <v>10.1</v>
      </c>
      <c r="S417" s="7">
        <f t="shared" si="1572"/>
        <v>80.72246279691916</v>
      </c>
      <c r="V417" s="38">
        <f t="shared" si="1777"/>
        <v>367.58620689655174</v>
      </c>
      <c r="W417" s="4">
        <v>53.3</v>
      </c>
      <c r="X417" s="4">
        <f t="shared" si="1573"/>
        <v>0.65027889870200761</v>
      </c>
      <c r="Y417" s="38">
        <f t="shared" si="1909"/>
        <v>12.7</v>
      </c>
      <c r="Z417" s="38">
        <v>6</v>
      </c>
      <c r="AA417" s="39">
        <f>7.5*25.4</f>
        <v>190.5</v>
      </c>
      <c r="AB417" s="39">
        <v>1</v>
      </c>
      <c r="AC417" s="39">
        <v>1</v>
      </c>
      <c r="AD417" s="7"/>
      <c r="AE417" s="4">
        <f t="shared" si="1576"/>
        <v>247.64999999999998</v>
      </c>
      <c r="AF417" s="4">
        <f t="shared" si="1577"/>
        <v>0.59145299145299157</v>
      </c>
      <c r="AG417" s="4">
        <f t="shared" si="1578"/>
        <v>223.09821631857008</v>
      </c>
      <c r="AH417" s="4">
        <f t="shared" si="1579"/>
        <v>0.76358974358974352</v>
      </c>
      <c r="AI417" s="4">
        <v>1.25</v>
      </c>
      <c r="AJ417" s="4">
        <f t="shared" si="1878"/>
        <v>2.5</v>
      </c>
      <c r="AK417" s="38">
        <f t="shared" si="1729"/>
        <v>314.86648711930036</v>
      </c>
      <c r="AL417" s="38">
        <f t="shared" si="1616"/>
        <v>314.86648711930036</v>
      </c>
      <c r="AM417" s="38">
        <f t="shared" si="1580"/>
        <v>3.1272010355053257</v>
      </c>
      <c r="AN417" s="38">
        <f t="shared" si="1893"/>
        <v>314.86648711930053</v>
      </c>
      <c r="AO417" s="38">
        <f t="shared" si="1845"/>
        <v>0.99999999999999944</v>
      </c>
      <c r="AP417" s="38">
        <f t="shared" si="1894"/>
        <v>1.9991149481237653</v>
      </c>
      <c r="AQ417" s="4">
        <f t="shared" si="1895"/>
        <v>0</v>
      </c>
      <c r="AR417" s="4" t="e">
        <f>#REF!/G417*F417^0.5/0.19</f>
        <v>#REF!</v>
      </c>
      <c r="AS417" s="4">
        <f t="shared" si="1581"/>
        <v>1</v>
      </c>
      <c r="AT417" s="38">
        <f t="shared" si="1582"/>
        <v>629.45430106341269</v>
      </c>
      <c r="AU417" s="4">
        <f t="shared" si="1583"/>
        <v>0.3</v>
      </c>
      <c r="AV417" s="4" t="e">
        <f>AU417*D417*#REF!/(D417*G417/2.75/F417^0.5)</f>
        <v>#REF!</v>
      </c>
      <c r="AW417" s="4" t="e">
        <f t="shared" si="1793"/>
        <v>#REF!</v>
      </c>
      <c r="AY417" s="4">
        <f t="shared" si="1584"/>
        <v>1.5</v>
      </c>
      <c r="AZ417" s="4" t="e">
        <f>(3*#REF!+30)*AY417*F417^0.5</f>
        <v>#REF!</v>
      </c>
      <c r="BB417" s="4">
        <f t="shared" si="1585"/>
        <v>603.72365196482838</v>
      </c>
      <c r="BC417" s="4">
        <f t="shared" si="1822"/>
        <v>0</v>
      </c>
      <c r="BD417" s="4">
        <f t="shared" si="1794"/>
        <v>0</v>
      </c>
      <c r="BL417" s="4">
        <f t="shared" si="1586"/>
        <v>66.039999999999992</v>
      </c>
      <c r="BP417" s="9"/>
      <c r="BR417" s="9"/>
      <c r="BS417" s="9"/>
      <c r="BT417" s="9">
        <f t="shared" si="1587"/>
        <v>66.039999999999992</v>
      </c>
      <c r="BU417" s="9">
        <f t="shared" si="1588"/>
        <v>128.27000000000001</v>
      </c>
      <c r="BV417" s="9">
        <f t="shared" si="1589"/>
        <v>1.7812889692205971</v>
      </c>
      <c r="BW417" s="40">
        <f t="shared" si="1738"/>
        <v>20</v>
      </c>
      <c r="BX417" s="9">
        <f t="shared" si="1590"/>
        <v>0.05</v>
      </c>
      <c r="BY417" s="9">
        <f t="shared" si="1795"/>
        <v>0.8</v>
      </c>
      <c r="BZ417" s="9">
        <f t="shared" si="1591"/>
        <v>0.99524931562137331</v>
      </c>
      <c r="CA417" s="9">
        <f t="shared" si="1592"/>
        <v>0.68</v>
      </c>
      <c r="CB417" s="9">
        <f t="shared" si="1593"/>
        <v>1.3741519375646418</v>
      </c>
      <c r="CC417" s="9">
        <f t="shared" si="1594"/>
        <v>3.4353798439116048</v>
      </c>
      <c r="CD417" s="40">
        <v>1</v>
      </c>
      <c r="CE417" s="9" t="e">
        <f>4*CC417*#REF!+60*CC417</f>
        <v>#REF!</v>
      </c>
      <c r="CG417" s="4" t="e">
        <f t="shared" si="1796"/>
        <v>#REF!</v>
      </c>
      <c r="CH417" s="4" t="e">
        <f t="shared" si="1797"/>
        <v>#REF!</v>
      </c>
      <c r="CI417" s="4" t="e">
        <f t="shared" si="1798"/>
        <v>#REF!</v>
      </c>
      <c r="CJ417" s="4" t="e">
        <f t="shared" si="1799"/>
        <v>#REF!</v>
      </c>
      <c r="CK417" s="4">
        <f t="shared" si="1800"/>
        <v>0.65027889870200761</v>
      </c>
      <c r="CL417" s="4">
        <f t="shared" si="1801"/>
        <v>0.67317534853537886</v>
      </c>
      <c r="CM417" s="4">
        <f t="shared" si="1699"/>
        <v>0.71186072951306811</v>
      </c>
      <c r="CN417" s="4">
        <f t="shared" si="1739"/>
        <v>6</v>
      </c>
      <c r="CU417" s="4" t="e">
        <f t="shared" si="1910"/>
        <v>#REF!</v>
      </c>
      <c r="CV417" s="4" t="e">
        <f t="shared" si="1911"/>
        <v>#REF!</v>
      </c>
      <c r="CW417" s="4" t="e">
        <f t="shared" si="1912"/>
        <v>#REF!</v>
      </c>
      <c r="CX417" s="4">
        <f t="shared" si="1913"/>
        <v>0.71186072951306811</v>
      </c>
      <c r="CY417" s="4">
        <f t="shared" si="1914"/>
        <v>0.65027889870200761</v>
      </c>
      <c r="CZ417" s="4">
        <f t="shared" si="1915"/>
        <v>0.67317534853537886</v>
      </c>
      <c r="DC417" s="4" t="e">
        <f>#REF!</f>
        <v>#REF!</v>
      </c>
      <c r="DF417" s="4">
        <f t="shared" si="1601"/>
        <v>1.7863705067970267E-5</v>
      </c>
      <c r="DG417" s="4">
        <f t="shared" si="1802"/>
        <v>8.0185407818889605</v>
      </c>
      <c r="DH417" s="4">
        <f t="shared" si="1602"/>
        <v>0.32291967518123715</v>
      </c>
      <c r="DI417" s="4">
        <f t="shared" si="1803"/>
        <v>5.1019141344434411</v>
      </c>
      <c r="DJ417" s="4">
        <f t="shared" si="1804"/>
        <v>6.7211189122916251</v>
      </c>
      <c r="DK417" s="4">
        <f t="shared" si="1603"/>
        <v>7.6306804120184868</v>
      </c>
      <c r="DL417" s="38">
        <f t="shared" si="1604"/>
        <v>565.27469618078339</v>
      </c>
      <c r="DM417" s="4" t="e">
        <f t="shared" si="1805"/>
        <v>#REF!</v>
      </c>
      <c r="DN417" s="4">
        <f t="shared" si="1605"/>
        <v>3.1780497164141401</v>
      </c>
      <c r="DO417" s="4">
        <f t="shared" si="1697"/>
        <v>314.86648711930053</v>
      </c>
      <c r="DS417" s="4">
        <f t="shared" si="1606"/>
        <v>0.85</v>
      </c>
      <c r="DT417" s="4">
        <f t="shared" si="1607"/>
        <v>0.84000000000000008</v>
      </c>
      <c r="DU417" s="4">
        <f t="shared" si="1608"/>
        <v>0.92500000000000004</v>
      </c>
      <c r="DV417" s="4">
        <f t="shared" si="1806"/>
        <v>0.77700000000000014</v>
      </c>
      <c r="DX417" s="4">
        <f t="shared" si="1609"/>
        <v>546.04822903320144</v>
      </c>
      <c r="DY417" s="25">
        <f t="shared" si="1870"/>
        <v>311.50591116294936</v>
      </c>
      <c r="EA417" s="4">
        <f t="shared" si="1871"/>
        <v>0.66045000000000009</v>
      </c>
      <c r="EB417" s="4">
        <f t="shared" si="1610"/>
        <v>8.0185407818889605</v>
      </c>
      <c r="EE417" s="4">
        <f t="shared" si="1611"/>
        <v>80.72246279691916</v>
      </c>
      <c r="EF417" s="4">
        <f t="shared" si="1807"/>
        <v>3.1780497164141406</v>
      </c>
      <c r="EG417" s="4">
        <f t="shared" si="1612"/>
        <v>0.1024367243003626</v>
      </c>
      <c r="EJ417" s="4">
        <f t="shared" si="1808"/>
        <v>0.1024367243003626</v>
      </c>
      <c r="EK417" s="4">
        <f t="shared" si="1613"/>
        <v>0.32238078242740575</v>
      </c>
      <c r="EL417" s="4">
        <f t="shared" si="1809"/>
        <v>5.0985067703728175</v>
      </c>
      <c r="EM417" s="4">
        <f t="shared" si="1810"/>
        <v>6.7198298466222051</v>
      </c>
      <c r="EN417" s="4" t="e">
        <f t="shared" si="1811"/>
        <v>#REF!</v>
      </c>
      <c r="EO417" s="4" t="e">
        <f t="shared" si="1812"/>
        <v>#REF!</v>
      </c>
      <c r="EP417" s="4" t="e">
        <f t="shared" si="1614"/>
        <v>#REF!</v>
      </c>
      <c r="EQ417" s="4" t="e">
        <f t="shared" si="1813"/>
        <v>#REF!</v>
      </c>
      <c r="ER417" s="4" t="e">
        <f t="shared" si="1615"/>
        <v>#REF!</v>
      </c>
      <c r="FA417" s="23" t="e">
        <f t="shared" si="1772"/>
        <v>#REF!</v>
      </c>
      <c r="FB417" s="23" t="e">
        <f t="shared" si="1773"/>
        <v>#REF!</v>
      </c>
      <c r="FC417" s="23">
        <f t="shared" si="1706"/>
        <v>0.8</v>
      </c>
      <c r="FD417" s="23" t="e">
        <f t="shared" si="1774"/>
        <v>#REF!</v>
      </c>
      <c r="FE417" s="23">
        <f t="shared" si="1775"/>
        <v>0.8</v>
      </c>
      <c r="FF417" s="23">
        <f t="shared" si="1776"/>
        <v>0.8</v>
      </c>
      <c r="FG417" s="23">
        <f t="shared" si="1629"/>
        <v>1</v>
      </c>
      <c r="FH417" s="23"/>
      <c r="FR417" s="4">
        <f t="shared" si="1852"/>
        <v>1</v>
      </c>
      <c r="FS417" s="4">
        <f t="shared" si="1853"/>
        <v>0.45348837209302328</v>
      </c>
      <c r="FT417" s="4">
        <f t="shared" si="1854"/>
        <v>0.25</v>
      </c>
      <c r="FU417" s="4">
        <f t="shared" si="1855"/>
        <v>516.37376758792493</v>
      </c>
    </row>
    <row r="418" spans="2:177" ht="12" customHeight="1" x14ac:dyDescent="0.3">
      <c r="B418" s="14"/>
      <c r="C418" s="33" t="s">
        <v>564</v>
      </c>
      <c r="D418" s="38">
        <f t="shared" si="1892"/>
        <v>889.65517241379314</v>
      </c>
      <c r="E418" s="38">
        <f>10.1*25.4</f>
        <v>256.53999999999996</v>
      </c>
      <c r="F418" s="38">
        <f t="shared" si="1902"/>
        <v>33.655172413793103</v>
      </c>
      <c r="G418" s="38">
        <f t="shared" si="1885"/>
        <v>25.4</v>
      </c>
      <c r="H418" s="38">
        <f>17.5*25.4</f>
        <v>444.5</v>
      </c>
      <c r="I418" s="38">
        <f>2.7*25.4</f>
        <v>68.58</v>
      </c>
      <c r="J418" s="39">
        <f>3.15*25.4</f>
        <v>80.009999999999991</v>
      </c>
      <c r="K418" s="7">
        <f t="shared" si="1727"/>
        <v>256.53999999999996</v>
      </c>
      <c r="L418" s="38">
        <v>2</v>
      </c>
      <c r="M418" s="4">
        <f t="shared" si="1843"/>
        <v>508</v>
      </c>
      <c r="N418" s="7">
        <f t="shared" si="1569"/>
        <v>3.2</v>
      </c>
      <c r="O418" s="7">
        <f t="shared" si="1570"/>
        <v>3.2</v>
      </c>
      <c r="P418" s="38">
        <v>4.0999999999999996</v>
      </c>
      <c r="Q418" s="4">
        <f t="shared" si="1736"/>
        <v>4.0999999999999996</v>
      </c>
      <c r="R418" s="4">
        <f t="shared" si="1571"/>
        <v>5.0999999999999996</v>
      </c>
      <c r="S418" s="7">
        <f t="shared" si="1572"/>
        <v>57.361276136431961</v>
      </c>
      <c r="V418" s="38">
        <f t="shared" si="1777"/>
        <v>613.10344827586221</v>
      </c>
      <c r="W418" s="4">
        <v>88.9</v>
      </c>
      <c r="X418" s="4">
        <f t="shared" si="1573"/>
        <v>0.95884996399514588</v>
      </c>
      <c r="Y418" s="38">
        <f t="shared" si="1909"/>
        <v>12.7</v>
      </c>
      <c r="Z418" s="38">
        <v>10</v>
      </c>
      <c r="AA418" s="39">
        <f>5*25.4</f>
        <v>127</v>
      </c>
      <c r="AB418" s="39">
        <v>3</v>
      </c>
      <c r="AC418" s="39">
        <f t="shared" ref="AC418:AC419" si="1916">AB418-1</f>
        <v>2</v>
      </c>
      <c r="AD418" s="7"/>
      <c r="AE418" s="4">
        <f t="shared" si="1576"/>
        <v>256.53999999999996</v>
      </c>
      <c r="AF418" s="4">
        <f t="shared" si="1577"/>
        <v>0.57755775577557766</v>
      </c>
      <c r="AG418" s="4">
        <f t="shared" si="1578"/>
        <v>235.21836952025916</v>
      </c>
      <c r="AH418" s="4">
        <f t="shared" si="1579"/>
        <v>0.76336633663366338</v>
      </c>
      <c r="AI418" s="4">
        <v>1.25</v>
      </c>
      <c r="AJ418" s="4">
        <f t="shared" si="1878"/>
        <v>2.5</v>
      </c>
      <c r="AK418" s="38">
        <f t="shared" si="1729"/>
        <v>324.07809801654423</v>
      </c>
      <c r="AL418" s="38">
        <f t="shared" si="1616"/>
        <v>324.07809801654423</v>
      </c>
      <c r="AM418" s="38">
        <f t="shared" si="1580"/>
        <v>3.1272010355053257</v>
      </c>
      <c r="AN418" s="38">
        <f t="shared" si="1893"/>
        <v>324.07809801654435</v>
      </c>
      <c r="AO418" s="38">
        <f t="shared" si="1845"/>
        <v>0.99999999999999967</v>
      </c>
      <c r="AP418" s="38">
        <f t="shared" si="1894"/>
        <v>1.3457799098702932</v>
      </c>
      <c r="AQ418" s="4">
        <f t="shared" si="1895"/>
        <v>0</v>
      </c>
      <c r="AR418" s="4" t="e">
        <f>#REF!/G418*F418^0.5/0.19</f>
        <v>#REF!</v>
      </c>
      <c r="AS418" s="4">
        <f t="shared" si="1581"/>
        <v>1</v>
      </c>
      <c r="AT418" s="38">
        <f t="shared" si="1582"/>
        <v>436.13779353964105</v>
      </c>
      <c r="AU418" s="4">
        <f t="shared" si="1583"/>
        <v>0.42600000000000005</v>
      </c>
      <c r="AV418" s="4" t="e">
        <f>AU418*D418*#REF!/(D418*G418/2.75/F418^0.5)</f>
        <v>#REF!</v>
      </c>
      <c r="AW418" s="4" t="e">
        <f t="shared" si="1793"/>
        <v>#REF!</v>
      </c>
      <c r="AY418" s="4">
        <f t="shared" si="1584"/>
        <v>1.5</v>
      </c>
      <c r="AZ418" s="4" t="e">
        <f>(3*#REF!+30)*AY418*F418^0.5</f>
        <v>#REF!</v>
      </c>
      <c r="BB418" s="4">
        <f t="shared" si="1585"/>
        <v>418.30948018116464</v>
      </c>
      <c r="BC418" s="4">
        <f t="shared" si="1822"/>
        <v>0</v>
      </c>
      <c r="BD418" s="4">
        <f t="shared" si="1794"/>
        <v>0</v>
      </c>
      <c r="BL418" s="4">
        <f t="shared" si="1586"/>
        <v>68.58</v>
      </c>
      <c r="BP418" s="9"/>
      <c r="BR418" s="9"/>
      <c r="BS418" s="9"/>
      <c r="BT418" s="9">
        <f t="shared" si="1587"/>
        <v>68.58</v>
      </c>
      <c r="BU418" s="9">
        <f t="shared" si="1588"/>
        <v>128.26999999999998</v>
      </c>
      <c r="BV418" s="9">
        <f t="shared" si="1589"/>
        <v>1.8049743064805013</v>
      </c>
      <c r="BW418" s="40">
        <f t="shared" si="1738"/>
        <v>20</v>
      </c>
      <c r="BX418" s="9">
        <f t="shared" si="1590"/>
        <v>0.05</v>
      </c>
      <c r="BY418" s="9">
        <f t="shared" si="1795"/>
        <v>0.8</v>
      </c>
      <c r="BZ418" s="9">
        <f t="shared" si="1591"/>
        <v>0.99524931562137331</v>
      </c>
      <c r="CA418" s="9">
        <f t="shared" si="1592"/>
        <v>0.68</v>
      </c>
      <c r="CB418" s="9">
        <f t="shared" si="1593"/>
        <v>1.3741519375646418</v>
      </c>
      <c r="CC418" s="9">
        <f t="shared" si="1594"/>
        <v>3.4353798439116048</v>
      </c>
      <c r="CD418" s="40">
        <v>1</v>
      </c>
      <c r="CE418" s="9" t="e">
        <f>4*CC418*#REF!+60*CC418</f>
        <v>#REF!</v>
      </c>
      <c r="CG418" s="4" t="e">
        <f t="shared" si="1796"/>
        <v>#REF!</v>
      </c>
      <c r="CH418" s="4" t="e">
        <f t="shared" si="1797"/>
        <v>#REF!</v>
      </c>
      <c r="CI418" s="4" t="e">
        <f t="shared" si="1798"/>
        <v>#REF!</v>
      </c>
      <c r="CJ418" s="4" t="e">
        <f t="shared" si="1799"/>
        <v>#REF!</v>
      </c>
      <c r="CK418" s="4">
        <f t="shared" si="1800"/>
        <v>0.95884996399514588</v>
      </c>
      <c r="CL418" s="4">
        <f t="shared" si="1801"/>
        <v>1.0383544149159285</v>
      </c>
      <c r="CM418" s="4">
        <f t="shared" si="1699"/>
        <v>1.1226686234334839</v>
      </c>
      <c r="CN418" s="4">
        <f t="shared" si="1739"/>
        <v>10</v>
      </c>
      <c r="CU418" s="4" t="e">
        <f t="shared" si="1910"/>
        <v>#REF!</v>
      </c>
      <c r="CV418" s="4" t="e">
        <f t="shared" si="1911"/>
        <v>#REF!</v>
      </c>
      <c r="CW418" s="4" t="e">
        <f t="shared" si="1912"/>
        <v>#REF!</v>
      </c>
      <c r="CX418" s="4">
        <f t="shared" si="1913"/>
        <v>1.1226686234334839</v>
      </c>
      <c r="CY418" s="4">
        <f t="shared" si="1914"/>
        <v>0.95884996399514588</v>
      </c>
      <c r="CZ418" s="4">
        <f t="shared" si="1915"/>
        <v>1.0383544149159285</v>
      </c>
      <c r="DC418" s="4" t="e">
        <f>#REF!</f>
        <v>#REF!</v>
      </c>
      <c r="DF418" s="4">
        <f t="shared" si="1601"/>
        <v>1.8504966275538429E-5</v>
      </c>
      <c r="DG418" s="4">
        <f t="shared" si="1802"/>
        <v>8.9005802678967481</v>
      </c>
      <c r="DH418" s="4">
        <f t="shared" si="1602"/>
        <v>0.5242032222449573</v>
      </c>
      <c r="DI418" s="4">
        <f t="shared" si="1803"/>
        <v>6.8741371952114356</v>
      </c>
      <c r="DJ418" s="4">
        <f t="shared" si="1804"/>
        <v>7.9522777785905845</v>
      </c>
      <c r="DK418" s="4">
        <f t="shared" si="1603"/>
        <v>8.3289542482658874</v>
      </c>
      <c r="DL418" s="38">
        <f t="shared" si="1604"/>
        <v>639.41541565200077</v>
      </c>
      <c r="DM418" s="4" t="e">
        <f t="shared" si="1805"/>
        <v>#REF!</v>
      </c>
      <c r="DN418" s="4">
        <f t="shared" si="1605"/>
        <v>2.2583179581272428</v>
      </c>
      <c r="DO418" s="4">
        <f t="shared" si="1697"/>
        <v>324.07809801654435</v>
      </c>
      <c r="DS418" s="4">
        <f t="shared" si="1606"/>
        <v>0.85</v>
      </c>
      <c r="DT418" s="4">
        <f t="shared" si="1607"/>
        <v>0.83</v>
      </c>
      <c r="DU418" s="4">
        <f t="shared" si="1608"/>
        <v>0.77500000000000002</v>
      </c>
      <c r="DV418" s="4">
        <f t="shared" si="1806"/>
        <v>0.7</v>
      </c>
      <c r="DX418" s="4">
        <f t="shared" si="1609"/>
        <v>590.45682232256195</v>
      </c>
      <c r="DY418" s="25">
        <f t="shared" si="1870"/>
        <v>320.76924020529049</v>
      </c>
      <c r="EA418" s="4">
        <f t="shared" si="1871"/>
        <v>0.59499999999999997</v>
      </c>
      <c r="EB418" s="4">
        <f t="shared" si="1610"/>
        <v>8.9005802678967481</v>
      </c>
      <c r="EE418" s="4">
        <f t="shared" si="1611"/>
        <v>57.361276136431961</v>
      </c>
      <c r="EF418" s="4">
        <f t="shared" si="1807"/>
        <v>2.2583179581272428</v>
      </c>
      <c r="EG418" s="4">
        <f t="shared" si="1612"/>
        <v>0.16628798144408777</v>
      </c>
      <c r="EJ418" s="4">
        <f t="shared" si="1808"/>
        <v>0.16628798144408777</v>
      </c>
      <c r="EK418" s="4">
        <f t="shared" si="1613"/>
        <v>0.52332842476523023</v>
      </c>
      <c r="EL418" s="4">
        <f t="shared" si="1809"/>
        <v>6.8695462343527716</v>
      </c>
      <c r="EM418" s="4">
        <f t="shared" si="1810"/>
        <v>7.9502949408059536</v>
      </c>
      <c r="EN418" s="4" t="e">
        <f t="shared" si="1811"/>
        <v>#REF!</v>
      </c>
      <c r="EO418" s="4" t="e">
        <f t="shared" si="1812"/>
        <v>#REF!</v>
      </c>
      <c r="EP418" s="4" t="e">
        <f t="shared" si="1614"/>
        <v>#REF!</v>
      </c>
      <c r="EQ418" s="4" t="e">
        <f t="shared" si="1813"/>
        <v>#REF!</v>
      </c>
      <c r="ER418" s="4" t="e">
        <f t="shared" si="1615"/>
        <v>#REF!</v>
      </c>
      <c r="FA418" s="23" t="e">
        <f t="shared" si="1772"/>
        <v>#REF!</v>
      </c>
      <c r="FB418" s="23" t="e">
        <f t="shared" si="1773"/>
        <v>#REF!</v>
      </c>
      <c r="FC418" s="23">
        <f t="shared" si="1706"/>
        <v>1.2</v>
      </c>
      <c r="FD418" s="23" t="e">
        <f t="shared" si="1774"/>
        <v>#REF!</v>
      </c>
      <c r="FE418" s="23">
        <f t="shared" si="1775"/>
        <v>1</v>
      </c>
      <c r="FF418" s="23">
        <f t="shared" si="1776"/>
        <v>1.2</v>
      </c>
      <c r="FG418" s="23">
        <f t="shared" si="1629"/>
        <v>0</v>
      </c>
      <c r="FH418" s="23"/>
      <c r="FR418" s="4">
        <f t="shared" si="1852"/>
        <v>1</v>
      </c>
      <c r="FS418" s="4">
        <f t="shared" si="1853"/>
        <v>0.44418604651162791</v>
      </c>
      <c r="FT418" s="4">
        <f t="shared" si="1854"/>
        <v>0.3</v>
      </c>
      <c r="FU418" s="4">
        <f t="shared" si="1855"/>
        <v>546.11257095686301</v>
      </c>
    </row>
    <row r="419" spans="2:177" ht="12" customHeight="1" x14ac:dyDescent="0.3">
      <c r="B419" s="14"/>
      <c r="C419" s="33" t="s">
        <v>565</v>
      </c>
      <c r="D419" s="38">
        <f t="shared" si="1892"/>
        <v>889.65517241379314</v>
      </c>
      <c r="E419" s="38">
        <f>9.94*25.4</f>
        <v>252.47599999999997</v>
      </c>
      <c r="F419" s="38">
        <f t="shared" si="1902"/>
        <v>33.655172413793103</v>
      </c>
      <c r="G419" s="38">
        <f t="shared" si="1885"/>
        <v>25.4</v>
      </c>
      <c r="H419" s="38">
        <f>17.3*25.4</f>
        <v>439.42</v>
      </c>
      <c r="I419" s="38">
        <f>2.6*25.4</f>
        <v>66.039999999999992</v>
      </c>
      <c r="J419" s="39">
        <f>3.25*25.4</f>
        <v>82.55</v>
      </c>
      <c r="K419" s="7">
        <f t="shared" si="1727"/>
        <v>256.54000000000002</v>
      </c>
      <c r="L419" s="38">
        <v>2</v>
      </c>
      <c r="M419" s="4">
        <f t="shared" si="1843"/>
        <v>508</v>
      </c>
      <c r="N419" s="7">
        <f t="shared" si="1569"/>
        <v>3.0999999999999996</v>
      </c>
      <c r="O419" s="7">
        <f t="shared" si="1570"/>
        <v>3.0999999999999996</v>
      </c>
      <c r="P419" s="38">
        <v>9.1</v>
      </c>
      <c r="Q419" s="4">
        <f t="shared" si="1736"/>
        <v>9.1</v>
      </c>
      <c r="R419" s="4">
        <f t="shared" si="1571"/>
        <v>10.1</v>
      </c>
      <c r="S419" s="7">
        <f t="shared" si="1572"/>
        <v>80.72246279691916</v>
      </c>
      <c r="V419" s="38">
        <f t="shared" si="1777"/>
        <v>615.17241379310349</v>
      </c>
      <c r="W419" s="4">
        <v>89.2</v>
      </c>
      <c r="X419" s="4">
        <f t="shared" si="1573"/>
        <v>1.0237310466798923</v>
      </c>
      <c r="Y419" s="38">
        <f t="shared" si="1909"/>
        <v>12.7</v>
      </c>
      <c r="Z419" s="38">
        <v>10</v>
      </c>
      <c r="AA419" s="39">
        <f>5*25.4</f>
        <v>127</v>
      </c>
      <c r="AB419" s="39">
        <v>3</v>
      </c>
      <c r="AC419" s="39">
        <f t="shared" si="1916"/>
        <v>2</v>
      </c>
      <c r="AD419" s="7"/>
      <c r="AE419" s="4">
        <f t="shared" si="1576"/>
        <v>252.47599999999997</v>
      </c>
      <c r="AF419" s="4">
        <f t="shared" si="1577"/>
        <v>0.58014755197853785</v>
      </c>
      <c r="AG419" s="4">
        <f t="shared" si="1578"/>
        <v>229.651216949939</v>
      </c>
      <c r="AH419" s="4">
        <f t="shared" si="1579"/>
        <v>0.76237424547283694</v>
      </c>
      <c r="AI419" s="4">
        <v>1.25</v>
      </c>
      <c r="AJ419" s="4">
        <f t="shared" si="1878"/>
        <v>2.5</v>
      </c>
      <c r="AK419" s="38">
        <f t="shared" si="1729"/>
        <v>317.41354346112331</v>
      </c>
      <c r="AL419" s="38">
        <f t="shared" si="1616"/>
        <v>317.41354346112331</v>
      </c>
      <c r="AM419" s="38">
        <f t="shared" si="1580"/>
        <v>3.1272010355053257</v>
      </c>
      <c r="AN419" s="38">
        <f t="shared" si="1893"/>
        <v>317.41354346112354</v>
      </c>
      <c r="AO419" s="38">
        <f t="shared" si="1845"/>
        <v>0.99999999999999933</v>
      </c>
      <c r="AP419" s="38">
        <f t="shared" si="1894"/>
        <v>1.9830732305866701</v>
      </c>
      <c r="AQ419" s="4">
        <f t="shared" si="1895"/>
        <v>0</v>
      </c>
      <c r="AR419" s="4" t="e">
        <f>#REF!/G419*F419^0.5/0.19</f>
        <v>#REF!</v>
      </c>
      <c r="AS419" s="4">
        <f t="shared" si="1581"/>
        <v>1</v>
      </c>
      <c r="AT419" s="38">
        <f t="shared" si="1582"/>
        <v>629.45430106341269</v>
      </c>
      <c r="AU419" s="4">
        <f t="shared" si="1583"/>
        <v>0.3</v>
      </c>
      <c r="AV419" s="4" t="e">
        <f>AU419*D419*#REF!/(D419*G419/2.75/F419^0.5)</f>
        <v>#REF!</v>
      </c>
      <c r="AW419" s="4" t="e">
        <f t="shared" si="1793"/>
        <v>#REF!</v>
      </c>
      <c r="AY419" s="4">
        <f t="shared" si="1584"/>
        <v>1.5</v>
      </c>
      <c r="AZ419" s="4" t="e">
        <f>(3*#REF!+30)*AY419*F419^0.5</f>
        <v>#REF!</v>
      </c>
      <c r="BB419" s="4">
        <f t="shared" si="1585"/>
        <v>603.72365196482838</v>
      </c>
      <c r="BC419" s="4">
        <f t="shared" si="1822"/>
        <v>0</v>
      </c>
      <c r="BD419" s="4">
        <f t="shared" si="1794"/>
        <v>0</v>
      </c>
      <c r="BL419" s="4">
        <f t="shared" si="1586"/>
        <v>66.039999999999992</v>
      </c>
      <c r="BP419" s="9"/>
      <c r="BR419" s="9"/>
      <c r="BS419" s="9"/>
      <c r="BT419" s="9">
        <f t="shared" si="1587"/>
        <v>66.039999999999992</v>
      </c>
      <c r="BU419" s="9">
        <f t="shared" si="1588"/>
        <v>128.27000000000001</v>
      </c>
      <c r="BV419" s="9">
        <f t="shared" si="1589"/>
        <v>1.7812889692205971</v>
      </c>
      <c r="BW419" s="40">
        <f t="shared" si="1738"/>
        <v>20</v>
      </c>
      <c r="BX419" s="9">
        <f t="shared" si="1590"/>
        <v>0.05</v>
      </c>
      <c r="BY419" s="9">
        <f t="shared" si="1795"/>
        <v>0.8</v>
      </c>
      <c r="BZ419" s="9">
        <f t="shared" si="1591"/>
        <v>0.99524931562137331</v>
      </c>
      <c r="CA419" s="9">
        <f t="shared" si="1592"/>
        <v>0.68</v>
      </c>
      <c r="CB419" s="9">
        <f t="shared" si="1593"/>
        <v>1.3741519375646418</v>
      </c>
      <c r="CC419" s="9">
        <f t="shared" si="1594"/>
        <v>3.4353798439116048</v>
      </c>
      <c r="CD419" s="40">
        <v>1</v>
      </c>
      <c r="CE419" s="9" t="e">
        <f>4*CC419*#REF!+60*CC419</f>
        <v>#REF!</v>
      </c>
      <c r="CG419" s="4" t="e">
        <f t="shared" si="1796"/>
        <v>#REF!</v>
      </c>
      <c r="CH419" s="4" t="e">
        <f t="shared" si="1797"/>
        <v>#REF!</v>
      </c>
      <c r="CI419" s="4" t="e">
        <f t="shared" si="1798"/>
        <v>#REF!</v>
      </c>
      <c r="CJ419" s="4" t="e">
        <f t="shared" si="1799"/>
        <v>#REF!</v>
      </c>
      <c r="CK419" s="4">
        <f t="shared" si="1800"/>
        <v>1.0237310466798923</v>
      </c>
      <c r="CL419" s="4">
        <f t="shared" si="1801"/>
        <v>1.0615276951705674</v>
      </c>
      <c r="CM419" s="4">
        <f t="shared" si="1699"/>
        <v>1.1445892636173558</v>
      </c>
      <c r="CN419" s="4">
        <f t="shared" si="1739"/>
        <v>10</v>
      </c>
      <c r="CU419" s="4" t="e">
        <f t="shared" si="1910"/>
        <v>#REF!</v>
      </c>
      <c r="CV419" s="4" t="e">
        <f t="shared" si="1911"/>
        <v>#REF!</v>
      </c>
      <c r="CW419" s="4" t="e">
        <f t="shared" si="1912"/>
        <v>#REF!</v>
      </c>
      <c r="CX419" s="4">
        <f t="shared" si="1913"/>
        <v>1.1445892636173558</v>
      </c>
      <c r="CY419" s="4">
        <f t="shared" si="1914"/>
        <v>1.0237310466798923</v>
      </c>
      <c r="CZ419" s="4">
        <f t="shared" si="1915"/>
        <v>1.0615276951705674</v>
      </c>
      <c r="DC419" s="4" t="e">
        <f>#REF!</f>
        <v>#REF!</v>
      </c>
      <c r="DF419" s="4">
        <f t="shared" si="1601"/>
        <v>1.8211818294935842E-5</v>
      </c>
      <c r="DG419" s="4">
        <f t="shared" si="1802"/>
        <v>8.9005802678967481</v>
      </c>
      <c r="DH419" s="4">
        <f t="shared" si="1602"/>
        <v>0.32553187635289799</v>
      </c>
      <c r="DI419" s="4">
        <f t="shared" si="1803"/>
        <v>5.681404745877507</v>
      </c>
      <c r="DJ419" s="4">
        <f t="shared" si="1804"/>
        <v>7.467367537933904</v>
      </c>
      <c r="DK419" s="4">
        <f t="shared" si="1603"/>
        <v>8.4029386811928486</v>
      </c>
      <c r="DL419" s="38">
        <f t="shared" si="1604"/>
        <v>600.91213975408527</v>
      </c>
      <c r="DM419" s="4" t="e">
        <f t="shared" si="1805"/>
        <v>#REF!</v>
      </c>
      <c r="DN419" s="4">
        <f t="shared" si="1605"/>
        <v>3.1780497164141401</v>
      </c>
      <c r="DO419" s="4">
        <f t="shared" si="1697"/>
        <v>317.41354346112354</v>
      </c>
      <c r="DS419" s="4">
        <f t="shared" si="1606"/>
        <v>0.85</v>
      </c>
      <c r="DT419" s="4">
        <f t="shared" si="1607"/>
        <v>0.84000000000000008</v>
      </c>
      <c r="DU419" s="4">
        <f t="shared" si="1608"/>
        <v>0.77500000000000002</v>
      </c>
      <c r="DV419" s="4">
        <f t="shared" si="1806"/>
        <v>0.7</v>
      </c>
      <c r="DX419" s="4">
        <f t="shared" si="1609"/>
        <v>579.51612246372611</v>
      </c>
      <c r="DY419" s="25">
        <f t="shared" si="1870"/>
        <v>314.10081887504515</v>
      </c>
      <c r="EA419" s="4">
        <f t="shared" si="1871"/>
        <v>0.59499999999999997</v>
      </c>
      <c r="EB419" s="4">
        <f t="shared" si="1610"/>
        <v>8.9005802678967481</v>
      </c>
      <c r="EE419" s="4">
        <f t="shared" si="1611"/>
        <v>80.72246279691916</v>
      </c>
      <c r="EF419" s="4">
        <f t="shared" si="1807"/>
        <v>3.1780497164141406</v>
      </c>
      <c r="EG419" s="4">
        <f t="shared" si="1612"/>
        <v>0.10326536792849809</v>
      </c>
      <c r="EJ419" s="4">
        <f t="shared" si="1808"/>
        <v>0.10326536792849809</v>
      </c>
      <c r="EK419" s="4">
        <f t="shared" si="1613"/>
        <v>0.32498862432215925</v>
      </c>
      <c r="EL419" s="4">
        <f t="shared" si="1809"/>
        <v>5.6776103632415724</v>
      </c>
      <c r="EM419" s="4">
        <f t="shared" si="1810"/>
        <v>7.4659286608579007</v>
      </c>
      <c r="EN419" s="4" t="e">
        <f t="shared" si="1811"/>
        <v>#REF!</v>
      </c>
      <c r="EO419" s="4" t="e">
        <f t="shared" si="1812"/>
        <v>#REF!</v>
      </c>
      <c r="EP419" s="4" t="e">
        <f t="shared" si="1614"/>
        <v>#REF!</v>
      </c>
      <c r="EQ419" s="4" t="e">
        <f t="shared" si="1813"/>
        <v>#REF!</v>
      </c>
      <c r="ER419" s="4" t="e">
        <f t="shared" si="1615"/>
        <v>#REF!</v>
      </c>
      <c r="FA419" s="23" t="e">
        <f t="shared" si="1772"/>
        <v>#REF!</v>
      </c>
      <c r="FB419" s="23" t="e">
        <f t="shared" si="1773"/>
        <v>#REF!</v>
      </c>
      <c r="FC419" s="23">
        <f t="shared" si="1706"/>
        <v>1.2</v>
      </c>
      <c r="FD419" s="23" t="e">
        <f t="shared" si="1774"/>
        <v>#REF!</v>
      </c>
      <c r="FE419" s="23">
        <f t="shared" si="1775"/>
        <v>1.2</v>
      </c>
      <c r="FF419" s="23">
        <f t="shared" si="1776"/>
        <v>1.2</v>
      </c>
      <c r="FG419" s="23">
        <f t="shared" si="1629"/>
        <v>0</v>
      </c>
      <c r="FH419" s="23"/>
      <c r="FR419" s="4">
        <f t="shared" si="1852"/>
        <v>1</v>
      </c>
      <c r="FS419" s="4">
        <f t="shared" si="1853"/>
        <v>0.44418604651162791</v>
      </c>
      <c r="FT419" s="4">
        <f t="shared" si="1854"/>
        <v>0.3</v>
      </c>
      <c r="FU419" s="4">
        <f t="shared" si="1855"/>
        <v>537.46128270408099</v>
      </c>
    </row>
    <row r="420" spans="2:177" ht="12" customHeight="1" x14ac:dyDescent="0.3">
      <c r="B420" s="14" t="s">
        <v>566</v>
      </c>
      <c r="C420" s="33" t="s">
        <v>567</v>
      </c>
      <c r="D420" s="38">
        <f>135/0.145</f>
        <v>931.0344827586207</v>
      </c>
      <c r="E420" s="38">
        <f>14.5*25.4</f>
        <v>368.29999999999995</v>
      </c>
      <c r="F420" s="38">
        <f>8660/145</f>
        <v>59.724137931034484</v>
      </c>
      <c r="G420" s="38">
        <f t="shared" ref="G420:G425" si="1917">1.41*25.4</f>
        <v>35.813999999999993</v>
      </c>
      <c r="H420" s="38">
        <f>21.8*25.4</f>
        <v>553.72</v>
      </c>
      <c r="I420" s="38">
        <f>2.65*25.4</f>
        <v>67.309999999999988</v>
      </c>
      <c r="J420" s="39">
        <f>3.4*25.4</f>
        <v>86.36</v>
      </c>
      <c r="K420" s="7">
        <f t="shared" si="1727"/>
        <v>347.47200000000009</v>
      </c>
      <c r="L420" s="38">
        <v>2</v>
      </c>
      <c r="M420" s="4">
        <f t="shared" si="1843"/>
        <v>508</v>
      </c>
      <c r="N420" s="7">
        <f t="shared" si="1569"/>
        <v>2.3794326241134751</v>
      </c>
      <c r="O420" s="7">
        <f t="shared" si="1570"/>
        <v>2.3794326241134751</v>
      </c>
      <c r="P420" s="38">
        <v>3.8</v>
      </c>
      <c r="Q420" s="4">
        <f t="shared" si="1736"/>
        <v>3.8</v>
      </c>
      <c r="R420" s="4">
        <f t="shared" si="1571"/>
        <v>4.8</v>
      </c>
      <c r="S420" s="7">
        <f t="shared" si="1572"/>
        <v>78.464542697960056</v>
      </c>
      <c r="V420" s="38">
        <f t="shared" si="1777"/>
        <v>349.65517241379314</v>
      </c>
      <c r="W420" s="4">
        <v>50.7</v>
      </c>
      <c r="X420" s="4">
        <f t="shared" si="1573"/>
        <v>0.58197921135499686</v>
      </c>
      <c r="Y420" s="38"/>
      <c r="Z420" s="38"/>
      <c r="AA420" s="39">
        <v>1</v>
      </c>
      <c r="AB420" s="39"/>
      <c r="AC420" s="39"/>
      <c r="AD420" s="7"/>
      <c r="AE420" s="4">
        <f t="shared" si="1576"/>
        <v>368.29999999999995</v>
      </c>
      <c r="AF420" s="4">
        <f t="shared" si="1577"/>
        <v>0.50114942528735651</v>
      </c>
      <c r="AG420" s="4">
        <f t="shared" si="1578"/>
        <v>271.11402683702772</v>
      </c>
      <c r="AH420" s="4">
        <f t="shared" si="1579"/>
        <v>0.74627586206896546</v>
      </c>
      <c r="AI420" s="4">
        <v>1.25</v>
      </c>
      <c r="AJ420" s="4">
        <f t="shared" si="1878"/>
        <v>2.5</v>
      </c>
      <c r="AK420" s="38">
        <f t="shared" si="1729"/>
        <v>316.86089219181434</v>
      </c>
      <c r="AL420" s="38">
        <f t="shared" si="1616"/>
        <v>316.86089219181434</v>
      </c>
      <c r="AM420" s="38">
        <f t="shared" si="1580"/>
        <v>4.3472312358327088</v>
      </c>
      <c r="AN420" s="38">
        <f t="shared" si="1893"/>
        <v>316.86089219181434</v>
      </c>
      <c r="AO420" s="38">
        <f t="shared" si="1845"/>
        <v>1</v>
      </c>
      <c r="AP420" s="38">
        <f t="shared" si="1894"/>
        <v>1.7485435555071853</v>
      </c>
      <c r="AQ420" s="4">
        <f t="shared" si="1895"/>
        <v>0</v>
      </c>
      <c r="AR420" s="4" t="e">
        <f>#REF!/G420*F420^0.5/0.19</f>
        <v>#REF!</v>
      </c>
      <c r="AS420" s="4">
        <f t="shared" si="1581"/>
        <v>1</v>
      </c>
      <c r="AT420" s="38">
        <f t="shared" si="1582"/>
        <v>554.04507103425397</v>
      </c>
      <c r="AU420" s="4">
        <f t="shared" si="1583"/>
        <v>0.46800000000000008</v>
      </c>
      <c r="AV420" s="4" t="e">
        <f>AU420*D420*#REF!/(D420*G420/2.75/F420^0.5)</f>
        <v>#REF!</v>
      </c>
      <c r="AW420" s="4" t="e">
        <f t="shared" si="1793"/>
        <v>#REF!</v>
      </c>
      <c r="AY420" s="4">
        <f t="shared" si="1584"/>
        <v>1.2198581560283688</v>
      </c>
      <c r="AZ420" s="4" t="e">
        <f>(3*#REF!+30)*AY420*F420^0.5</f>
        <v>#REF!</v>
      </c>
      <c r="BB420" s="4">
        <f t="shared" si="1585"/>
        <v>531.39697841895475</v>
      </c>
      <c r="BC420" s="4">
        <f t="shared" si="1822"/>
        <v>0</v>
      </c>
      <c r="BD420" s="4">
        <f t="shared" si="1794"/>
        <v>0</v>
      </c>
      <c r="BL420" s="4">
        <f t="shared" si="1586"/>
        <v>67.309999999999988</v>
      </c>
      <c r="BP420" s="9"/>
      <c r="BR420" s="9"/>
      <c r="BS420" s="9"/>
      <c r="BT420" s="9">
        <f t="shared" si="1587"/>
        <v>67.309999999999988</v>
      </c>
      <c r="BU420" s="9">
        <f t="shared" si="1588"/>
        <v>173.73600000000005</v>
      </c>
      <c r="BV420" s="9">
        <f t="shared" si="1589"/>
        <v>1.5804651169733801</v>
      </c>
      <c r="BW420" s="40">
        <f t="shared" si="1738"/>
        <v>0</v>
      </c>
      <c r="BX420" s="9">
        <f t="shared" si="1590"/>
        <v>0</v>
      </c>
      <c r="BY420" s="9">
        <f t="shared" si="1795"/>
        <v>0</v>
      </c>
      <c r="BZ420" s="9">
        <f t="shared" si="1591"/>
        <v>0.89777220146327208</v>
      </c>
      <c r="CA420" s="9">
        <f t="shared" si="1592"/>
        <v>0.68</v>
      </c>
      <c r="CB420" s="9">
        <f t="shared" si="1593"/>
        <v>1.6512698668680077</v>
      </c>
      <c r="CC420" s="9">
        <f t="shared" si="1594"/>
        <v>2.6097744232941635</v>
      </c>
      <c r="CD420" s="40">
        <v>1</v>
      </c>
      <c r="CE420" s="9" t="e">
        <f>4*CC420*#REF!+60*CC420</f>
        <v>#REF!</v>
      </c>
      <c r="CG420" s="4" t="e">
        <f t="shared" si="1796"/>
        <v>#REF!</v>
      </c>
      <c r="CH420" s="4" t="e">
        <f t="shared" si="1797"/>
        <v>#REF!</v>
      </c>
      <c r="CI420" s="4" t="e">
        <f t="shared" si="1798"/>
        <v>#REF!</v>
      </c>
      <c r="CJ420" s="4" t="e">
        <f t="shared" si="1799"/>
        <v>#REF!</v>
      </c>
      <c r="CK420" s="4">
        <f t="shared" si="1800"/>
        <v>0.58197921135499686</v>
      </c>
      <c r="CL420" s="4">
        <f t="shared" si="1801"/>
        <v>0.61746193238869718</v>
      </c>
      <c r="CM420" s="4">
        <f t="shared" si="1699"/>
        <v>0.72823307370272738</v>
      </c>
      <c r="CN420" s="4">
        <f t="shared" si="1739"/>
        <v>0</v>
      </c>
      <c r="CO420" s="4" t="e">
        <f t="shared" ref="CO420" si="1918">CG420</f>
        <v>#REF!</v>
      </c>
      <c r="CP420" s="4" t="e">
        <f t="shared" ref="CP420" si="1919">CH420</f>
        <v>#REF!</v>
      </c>
      <c r="CQ420" s="4" t="e">
        <f t="shared" ref="CQ420" si="1920">CJ420</f>
        <v>#REF!</v>
      </c>
      <c r="CR420" s="4">
        <f t="shared" ref="CR420" si="1921">CM420</f>
        <v>0.72823307370272738</v>
      </c>
      <c r="CS420" s="4">
        <f t="shared" ref="CS420" si="1922">CK420</f>
        <v>0.58197921135499686</v>
      </c>
      <c r="CT420" s="4">
        <f t="shared" ref="CT420" si="1923">CL420</f>
        <v>0.61746193238869718</v>
      </c>
      <c r="DC420" s="4" t="e">
        <f>#REF!</f>
        <v>#REF!</v>
      </c>
      <c r="DF420" s="4">
        <f t="shared" si="1601"/>
        <v>2.2289464375323425E-5</v>
      </c>
      <c r="DG420" s="4">
        <f t="shared" si="1802"/>
        <v>8.1900405055518455</v>
      </c>
      <c r="DH420" s="4">
        <f t="shared" si="1602"/>
        <v>0.42626088173198085</v>
      </c>
      <c r="DI420" s="4">
        <f t="shared" si="1803"/>
        <v>5.8231267217522005</v>
      </c>
      <c r="DJ420" s="4">
        <f t="shared" si="1804"/>
        <v>7.1061034946776394</v>
      </c>
      <c r="DK420" s="4">
        <f t="shared" si="1603"/>
        <v>7.3859926828278253</v>
      </c>
      <c r="DL420" s="38">
        <f t="shared" si="1604"/>
        <v>600.80354348002606</v>
      </c>
      <c r="DM420" s="4" t="e">
        <f t="shared" si="1805"/>
        <v>#REF!</v>
      </c>
      <c r="DN420" s="4">
        <f t="shared" si="1605"/>
        <v>2.1908902300206643</v>
      </c>
      <c r="DO420" s="4">
        <f t="shared" si="1697"/>
        <v>316.86089219181434</v>
      </c>
      <c r="DS420" s="4">
        <f t="shared" si="1606"/>
        <v>0.85</v>
      </c>
      <c r="DT420" s="4">
        <f t="shared" si="1607"/>
        <v>0.91205673758865247</v>
      </c>
      <c r="DU420" s="4">
        <f t="shared" si="1608"/>
        <v>1</v>
      </c>
      <c r="DV420" s="4">
        <f t="shared" si="1806"/>
        <v>0.91205673758865247</v>
      </c>
      <c r="DX420" s="4">
        <f t="shared" si="1609"/>
        <v>566.27810407862103</v>
      </c>
      <c r="DY420" s="25">
        <f t="shared" si="1870"/>
        <v>313.6066416732981</v>
      </c>
      <c r="EA420" s="4">
        <f t="shared" si="1871"/>
        <v>0.77524822695035456</v>
      </c>
      <c r="EB420" s="4">
        <f t="shared" si="1610"/>
        <v>8.1900405055518455</v>
      </c>
      <c r="EE420" s="4">
        <f t="shared" si="1611"/>
        <v>78.464542697960056</v>
      </c>
      <c r="EF420" s="4">
        <f t="shared" si="1807"/>
        <v>2.1908902300206643</v>
      </c>
      <c r="EG420" s="4">
        <f t="shared" si="1612"/>
        <v>0.18012985077882213</v>
      </c>
      <c r="EJ420" s="4">
        <f t="shared" si="1808"/>
        <v>0.18012985077882213</v>
      </c>
      <c r="EK420" s="4">
        <f t="shared" si="1613"/>
        <v>0.42554953176459903</v>
      </c>
      <c r="EL420" s="4">
        <f t="shared" si="1809"/>
        <v>5.8192376886858801</v>
      </c>
      <c r="EM420" s="4">
        <f t="shared" si="1810"/>
        <v>7.1045123592589068</v>
      </c>
      <c r="EN420" s="4" t="e">
        <f t="shared" si="1811"/>
        <v>#REF!</v>
      </c>
      <c r="EO420" s="4" t="e">
        <f t="shared" si="1812"/>
        <v>#REF!</v>
      </c>
      <c r="EP420" s="4" t="e">
        <f t="shared" si="1614"/>
        <v>#REF!</v>
      </c>
      <c r="EQ420" s="4" t="e">
        <f t="shared" si="1813"/>
        <v>#REF!</v>
      </c>
      <c r="ER420" s="4" t="e">
        <f t="shared" si="1615"/>
        <v>#REF!</v>
      </c>
      <c r="FA420" s="23" t="e">
        <f t="shared" si="1772"/>
        <v>#REF!</v>
      </c>
      <c r="FB420" s="23" t="e">
        <f t="shared" si="1773"/>
        <v>#REF!</v>
      </c>
      <c r="FC420" s="23">
        <f t="shared" si="1706"/>
        <v>0.8</v>
      </c>
      <c r="FD420" s="23" t="e">
        <f t="shared" si="1774"/>
        <v>#REF!</v>
      </c>
      <c r="FE420" s="23">
        <f t="shared" si="1775"/>
        <v>0.6</v>
      </c>
      <c r="FF420" s="23">
        <f t="shared" si="1776"/>
        <v>0.8</v>
      </c>
      <c r="FG420" s="23">
        <f t="shared" si="1629"/>
        <v>1</v>
      </c>
      <c r="FH420" s="23"/>
      <c r="FR420" s="4">
        <f t="shared" si="1852"/>
        <v>1</v>
      </c>
      <c r="FS420" s="4">
        <f t="shared" si="1853"/>
        <v>0.5</v>
      </c>
      <c r="FT420" s="4">
        <f t="shared" si="1854"/>
        <v>0</v>
      </c>
      <c r="FU420" s="4">
        <f t="shared" si="1855"/>
        <v>480.14184612071898</v>
      </c>
    </row>
    <row r="421" spans="2:177" ht="12" customHeight="1" x14ac:dyDescent="0.3">
      <c r="B421" s="14"/>
      <c r="C421" s="33" t="s">
        <v>568</v>
      </c>
      <c r="D421" s="38">
        <f t="shared" ref="D421:D425" si="1924">135/0.145</f>
        <v>931.0344827586207</v>
      </c>
      <c r="E421" s="38">
        <f>14.69*25.4</f>
        <v>373.12599999999998</v>
      </c>
      <c r="F421" s="38">
        <f>8660/145</f>
        <v>59.724137931034484</v>
      </c>
      <c r="G421" s="38">
        <f t="shared" si="1917"/>
        <v>35.813999999999993</v>
      </c>
      <c r="H421" s="38">
        <f>21.8*25.4</f>
        <v>553.72</v>
      </c>
      <c r="I421" s="38">
        <f>2.55*25.4</f>
        <v>64.77</v>
      </c>
      <c r="J421" s="39">
        <f>3.2*25.4</f>
        <v>81.28</v>
      </c>
      <c r="K421" s="7">
        <f t="shared" si="1727"/>
        <v>352.55200000000002</v>
      </c>
      <c r="L421" s="38">
        <v>2</v>
      </c>
      <c r="M421" s="4">
        <f t="shared" si="1843"/>
        <v>508</v>
      </c>
      <c r="N421" s="7">
        <f t="shared" si="1569"/>
        <v>2.3085106382978724</v>
      </c>
      <c r="O421" s="7">
        <f t="shared" si="1570"/>
        <v>2.3085106382978724</v>
      </c>
      <c r="P421" s="38">
        <v>3.8</v>
      </c>
      <c r="Q421" s="4">
        <f t="shared" si="1736"/>
        <v>3.8</v>
      </c>
      <c r="R421" s="4">
        <f t="shared" si="1571"/>
        <v>4.8</v>
      </c>
      <c r="S421" s="7">
        <f t="shared" si="1572"/>
        <v>78.464542697960056</v>
      </c>
      <c r="V421" s="38">
        <f t="shared" si="1777"/>
        <v>391.03448275862075</v>
      </c>
      <c r="W421" s="4">
        <v>56.7</v>
      </c>
      <c r="X421" s="4">
        <f t="shared" si="1573"/>
        <v>0.64761509962742803</v>
      </c>
      <c r="Y421" s="38">
        <f t="shared" ref="Y421:Y422" si="1925">0.5*25.4</f>
        <v>12.7</v>
      </c>
      <c r="Z421" s="38">
        <v>4</v>
      </c>
      <c r="AA421" s="39">
        <f>8*25.4</f>
        <v>203.2</v>
      </c>
      <c r="AB421" s="39">
        <v>2</v>
      </c>
      <c r="AC421" s="39">
        <f t="shared" ref="AC421:AC422" si="1926">AB421-1</f>
        <v>1</v>
      </c>
      <c r="AD421" s="7"/>
      <c r="AE421" s="4">
        <f t="shared" si="1576"/>
        <v>373.12599999999998</v>
      </c>
      <c r="AF421" s="4">
        <f t="shared" si="1577"/>
        <v>0.49466757431359204</v>
      </c>
      <c r="AG421" s="4">
        <f t="shared" si="1578"/>
        <v>276.46023823193622</v>
      </c>
      <c r="AH421" s="4">
        <f t="shared" si="1579"/>
        <v>0.74431586113002035</v>
      </c>
      <c r="AI421" s="4">
        <v>1.25</v>
      </c>
      <c r="AJ421" s="4">
        <f t="shared" si="1878"/>
        <v>2.5</v>
      </c>
      <c r="AK421" s="38">
        <f t="shared" si="1729"/>
        <v>318.09249051752539</v>
      </c>
      <c r="AL421" s="38">
        <f t="shared" si="1616"/>
        <v>318.09249051752539</v>
      </c>
      <c r="AM421" s="38">
        <f t="shared" si="1580"/>
        <v>4.3472312358327088</v>
      </c>
      <c r="AN421" s="38">
        <f t="shared" si="1893"/>
        <v>318.09249051752539</v>
      </c>
      <c r="AO421" s="38">
        <f t="shared" si="1845"/>
        <v>1</v>
      </c>
      <c r="AP421" s="38">
        <f t="shared" si="1894"/>
        <v>1.689857748922543</v>
      </c>
      <c r="AQ421" s="4">
        <f t="shared" si="1895"/>
        <v>0</v>
      </c>
      <c r="AR421" s="4" t="e">
        <f>#REF!/G421*F421^0.5/0.19</f>
        <v>#REF!</v>
      </c>
      <c r="AS421" s="4">
        <f t="shared" si="1581"/>
        <v>1</v>
      </c>
      <c r="AT421" s="38">
        <f t="shared" si="1582"/>
        <v>537.53105997511079</v>
      </c>
      <c r="AU421" s="4">
        <f t="shared" si="1583"/>
        <v>0.46800000000000008</v>
      </c>
      <c r="AV421" s="4" t="e">
        <f>AU421*D421*#REF!/(D421*G421/2.75/F421^0.5)</f>
        <v>#REF!</v>
      </c>
      <c r="AW421" s="4" t="e">
        <f t="shared" si="1793"/>
        <v>#REF!</v>
      </c>
      <c r="AY421" s="4">
        <f t="shared" si="1584"/>
        <v>1.4806376465948399</v>
      </c>
      <c r="AZ421" s="4" t="e">
        <f>(3*#REF!+30)*AY421*F421^0.5</f>
        <v>#REF!</v>
      </c>
      <c r="BB421" s="4">
        <f t="shared" si="1585"/>
        <v>515.55802228128107</v>
      </c>
      <c r="BC421" s="4">
        <f t="shared" si="1822"/>
        <v>0</v>
      </c>
      <c r="BD421" s="4">
        <f t="shared" si="1794"/>
        <v>0</v>
      </c>
      <c r="BL421" s="4">
        <f t="shared" si="1586"/>
        <v>64.77</v>
      </c>
      <c r="BP421" s="9"/>
      <c r="BR421" s="9"/>
      <c r="BS421" s="9"/>
      <c r="BT421" s="9">
        <f t="shared" si="1587"/>
        <v>64.77</v>
      </c>
      <c r="BU421" s="9">
        <f t="shared" si="1588"/>
        <v>176.27600000000001</v>
      </c>
      <c r="BV421" s="9">
        <f t="shared" si="1589"/>
        <v>1.5627281214384319</v>
      </c>
      <c r="BW421" s="40">
        <f t="shared" si="1738"/>
        <v>20</v>
      </c>
      <c r="BX421" s="9">
        <f t="shared" si="1590"/>
        <v>0.05</v>
      </c>
      <c r="BY421" s="9">
        <f t="shared" si="1795"/>
        <v>0.8</v>
      </c>
      <c r="BZ421" s="9">
        <f t="shared" si="1591"/>
        <v>0.89777220146327208</v>
      </c>
      <c r="CA421" s="9">
        <f t="shared" si="1592"/>
        <v>0.68</v>
      </c>
      <c r="CB421" s="9">
        <f t="shared" si="1593"/>
        <v>1.6512698668680077</v>
      </c>
      <c r="CC421" s="9">
        <f t="shared" si="1594"/>
        <v>3.9015017505329372</v>
      </c>
      <c r="CD421" s="40">
        <v>1</v>
      </c>
      <c r="CE421" s="9" t="e">
        <f>4*CC421*#REF!+60*CC421</f>
        <v>#REF!</v>
      </c>
      <c r="CG421" s="4" t="e">
        <f t="shared" si="1796"/>
        <v>#REF!</v>
      </c>
      <c r="CH421" s="4" t="e">
        <f t="shared" si="1797"/>
        <v>#REF!</v>
      </c>
      <c r="CI421" s="4" t="e">
        <f t="shared" si="1798"/>
        <v>#REF!</v>
      </c>
      <c r="CJ421" s="4" t="e">
        <f t="shared" si="1799"/>
        <v>#REF!</v>
      </c>
      <c r="CK421" s="4">
        <f t="shared" si="1800"/>
        <v>0.64761509962742803</v>
      </c>
      <c r="CL421" s="4">
        <f t="shared" si="1801"/>
        <v>0.68724341538301104</v>
      </c>
      <c r="CM421" s="4">
        <f t="shared" si="1699"/>
        <v>0.71086754061834379</v>
      </c>
      <c r="CN421" s="4">
        <f t="shared" si="1739"/>
        <v>4</v>
      </c>
      <c r="CU421" s="4" t="e">
        <f t="shared" ref="CU421:CU422" si="1927">CG421</f>
        <v>#REF!</v>
      </c>
      <c r="CV421" s="4" t="e">
        <f t="shared" ref="CV421:CV422" si="1928">CH421</f>
        <v>#REF!</v>
      </c>
      <c r="CW421" s="4" t="e">
        <f t="shared" ref="CW421:CW422" si="1929">CJ421</f>
        <v>#REF!</v>
      </c>
      <c r="CX421" s="4">
        <f t="shared" ref="CX421:CX422" si="1930">CM421</f>
        <v>0.71086754061834379</v>
      </c>
      <c r="CY421" s="4">
        <f t="shared" ref="CY421:CY422" si="1931">CK421</f>
        <v>0.64761509962742803</v>
      </c>
      <c r="CZ421" s="4">
        <f t="shared" ref="CZ421:CZ422" si="1932">CL421</f>
        <v>0.68724341538301104</v>
      </c>
      <c r="DC421" s="4" t="e">
        <f>#REF!</f>
        <v>#REF!</v>
      </c>
      <c r="DF421" s="4">
        <f t="shared" si="1601"/>
        <v>2.2581533218862147E-5</v>
      </c>
      <c r="DG421" s="4">
        <f t="shared" si="1802"/>
        <v>8.1304956994783915</v>
      </c>
      <c r="DH421" s="4">
        <f t="shared" si="1602"/>
        <v>0.42791770401959656</v>
      </c>
      <c r="DI421" s="4">
        <f t="shared" si="1803"/>
        <v>5.7897675296534361</v>
      </c>
      <c r="DJ421" s="4">
        <f t="shared" si="1804"/>
        <v>7.0581149788874846</v>
      </c>
      <c r="DK421" s="4">
        <f t="shared" si="1603"/>
        <v>7.3164544580678683</v>
      </c>
      <c r="DL421" s="38">
        <f t="shared" si="1604"/>
        <v>603.80692634186926</v>
      </c>
      <c r="DM421" s="4" t="e">
        <f t="shared" si="1805"/>
        <v>#REF!</v>
      </c>
      <c r="DN421" s="4">
        <f t="shared" si="1605"/>
        <v>2.1908902300206643</v>
      </c>
      <c r="DO421" s="4">
        <f t="shared" si="1697"/>
        <v>318.09249051752539</v>
      </c>
      <c r="DS421" s="4">
        <f t="shared" si="1606"/>
        <v>0.85</v>
      </c>
      <c r="DT421" s="4">
        <f t="shared" si="1607"/>
        <v>0.91914893617021276</v>
      </c>
      <c r="DU421" s="4">
        <f t="shared" si="1608"/>
        <v>0.9995510789195714</v>
      </c>
      <c r="DV421" s="4">
        <f t="shared" si="1806"/>
        <v>0.91873631083671248</v>
      </c>
      <c r="DX421" s="4">
        <f t="shared" si="1609"/>
        <v>568.98978441385486</v>
      </c>
      <c r="DY421" s="25">
        <f t="shared" si="1870"/>
        <v>314.86854648760465</v>
      </c>
      <c r="EA421" s="4">
        <f t="shared" si="1871"/>
        <v>0.78092586421120558</v>
      </c>
      <c r="EB421" s="4">
        <f t="shared" si="1610"/>
        <v>8.1304956994783915</v>
      </c>
      <c r="EE421" s="4">
        <f t="shared" si="1611"/>
        <v>78.464542697960056</v>
      </c>
      <c r="EF421" s="4">
        <f t="shared" si="1807"/>
        <v>2.1908902300206643</v>
      </c>
      <c r="EG421" s="4">
        <f t="shared" si="1612"/>
        <v>0.18082999279096884</v>
      </c>
      <c r="EJ421" s="4">
        <f t="shared" si="1808"/>
        <v>0.18082999279096884</v>
      </c>
      <c r="EK421" s="4">
        <f t="shared" si="1613"/>
        <v>0.42720358912460649</v>
      </c>
      <c r="EL421" s="4">
        <f t="shared" si="1809"/>
        <v>5.7859007758551693</v>
      </c>
      <c r="EM421" s="4">
        <f t="shared" si="1810"/>
        <v>7.0565312988731881</v>
      </c>
      <c r="EN421" s="4" t="e">
        <f t="shared" si="1811"/>
        <v>#REF!</v>
      </c>
      <c r="EO421" s="4" t="e">
        <f t="shared" si="1812"/>
        <v>#REF!</v>
      </c>
      <c r="EP421" s="4" t="e">
        <f t="shared" si="1614"/>
        <v>#REF!</v>
      </c>
      <c r="EQ421" s="4" t="e">
        <f t="shared" si="1813"/>
        <v>#REF!</v>
      </c>
      <c r="ER421" s="4" t="e">
        <f t="shared" si="1615"/>
        <v>#REF!</v>
      </c>
      <c r="FA421" s="23" t="e">
        <f t="shared" si="1772"/>
        <v>#REF!</v>
      </c>
      <c r="FB421" s="23" t="e">
        <f t="shared" si="1773"/>
        <v>#REF!</v>
      </c>
      <c r="FC421" s="23">
        <f t="shared" si="1706"/>
        <v>0.8</v>
      </c>
      <c r="FD421" s="23" t="e">
        <f t="shared" si="1774"/>
        <v>#REF!</v>
      </c>
      <c r="FE421" s="23">
        <f t="shared" si="1775"/>
        <v>0.8</v>
      </c>
      <c r="FF421" s="23">
        <f t="shared" si="1776"/>
        <v>0.8</v>
      </c>
      <c r="FG421" s="23">
        <f t="shared" si="1629"/>
        <v>1</v>
      </c>
      <c r="FH421" s="23"/>
      <c r="FR421" s="4">
        <f t="shared" si="1852"/>
        <v>1</v>
      </c>
      <c r="FS421" s="4">
        <f t="shared" si="1853"/>
        <v>0.44214730608235164</v>
      </c>
      <c r="FT421" s="4">
        <f t="shared" si="1854"/>
        <v>0.25149640360142855</v>
      </c>
      <c r="FU421" s="4">
        <f t="shared" si="1855"/>
        <v>550.08065555853318</v>
      </c>
    </row>
    <row r="422" spans="2:177" ht="12" customHeight="1" x14ac:dyDescent="0.3">
      <c r="B422" s="14"/>
      <c r="C422" s="7" t="s">
        <v>569</v>
      </c>
      <c r="D422" s="38">
        <f t="shared" si="1924"/>
        <v>931.0344827586207</v>
      </c>
      <c r="E422" s="38">
        <f>14.69*25.4</f>
        <v>373.12599999999998</v>
      </c>
      <c r="F422" s="38">
        <f>8660/145</f>
        <v>59.724137931034484</v>
      </c>
      <c r="G422" s="38">
        <f t="shared" si="1917"/>
        <v>35.813999999999993</v>
      </c>
      <c r="H422" s="38">
        <f>21.7*25.4</f>
        <v>551.17999999999995</v>
      </c>
      <c r="I422" s="38">
        <f>2.45*25.4</f>
        <v>62.230000000000004</v>
      </c>
      <c r="J422" s="39">
        <f>3.4*25.4</f>
        <v>86.36</v>
      </c>
      <c r="K422" s="7">
        <f t="shared" si="1727"/>
        <v>355.09199999999998</v>
      </c>
      <c r="L422" s="38">
        <v>2</v>
      </c>
      <c r="M422" s="4">
        <f t="shared" si="1843"/>
        <v>508</v>
      </c>
      <c r="N422" s="7">
        <f t="shared" si="1569"/>
        <v>2.2375886524822697</v>
      </c>
      <c r="O422" s="7">
        <f t="shared" si="1570"/>
        <v>2.2375886524822697</v>
      </c>
      <c r="P422" s="38">
        <v>3.8</v>
      </c>
      <c r="Q422" s="4">
        <f t="shared" si="1736"/>
        <v>3.8</v>
      </c>
      <c r="R422" s="4">
        <f t="shared" si="1571"/>
        <v>4.8</v>
      </c>
      <c r="S422" s="7">
        <f t="shared" si="1572"/>
        <v>78.464542697960056</v>
      </c>
      <c r="V422" s="38">
        <f t="shared" si="1777"/>
        <v>497.93103448275866</v>
      </c>
      <c r="W422" s="4">
        <v>72.2</v>
      </c>
      <c r="X422" s="4">
        <f t="shared" si="1573"/>
        <v>0.80079303363680798</v>
      </c>
      <c r="Y422" s="38">
        <f t="shared" si="1925"/>
        <v>12.7</v>
      </c>
      <c r="Z422" s="38">
        <v>12</v>
      </c>
      <c r="AA422" s="39">
        <f>4*25.4</f>
        <v>101.6</v>
      </c>
      <c r="AB422" s="39">
        <v>3</v>
      </c>
      <c r="AC422" s="39">
        <f t="shared" si="1926"/>
        <v>2</v>
      </c>
      <c r="AD422" s="7"/>
      <c r="AE422" s="4">
        <f t="shared" si="1576"/>
        <v>373.12599999999998</v>
      </c>
      <c r="AF422" s="4">
        <f t="shared" si="1577"/>
        <v>0.49239845700022689</v>
      </c>
      <c r="AG422" s="4">
        <f t="shared" si="1578"/>
        <v>276.46023823193622</v>
      </c>
      <c r="AH422" s="4">
        <f t="shared" si="1579"/>
        <v>0.74295439074200131</v>
      </c>
      <c r="AI422" s="4">
        <v>1.25</v>
      </c>
      <c r="AJ422" s="4">
        <f t="shared" si="1878"/>
        <v>2.5</v>
      </c>
      <c r="AK422" s="38">
        <f t="shared" si="1729"/>
        <v>316.05417861937889</v>
      </c>
      <c r="AL422" s="38">
        <f t="shared" si="1616"/>
        <v>316.05417861937889</v>
      </c>
      <c r="AM422" s="38">
        <f t="shared" si="1580"/>
        <v>4.3472312358327088</v>
      </c>
      <c r="AN422" s="38">
        <f t="shared" si="1893"/>
        <v>316.05417861937889</v>
      </c>
      <c r="AO422" s="38">
        <f t="shared" si="1845"/>
        <v>1</v>
      </c>
      <c r="AP422" s="38">
        <f t="shared" si="1894"/>
        <v>1.6485054910266623</v>
      </c>
      <c r="AQ422" s="4">
        <f t="shared" si="1895"/>
        <v>0</v>
      </c>
      <c r="AR422" s="4" t="e">
        <f>#REF!/G422*F422^0.5/0.19</f>
        <v>#REF!</v>
      </c>
      <c r="AS422" s="4">
        <f t="shared" si="1581"/>
        <v>1</v>
      </c>
      <c r="AT422" s="38">
        <f t="shared" si="1582"/>
        <v>521.01704891596762</v>
      </c>
      <c r="AU422" s="4">
        <f t="shared" si="1583"/>
        <v>0.46800000000000008</v>
      </c>
      <c r="AV422" s="4" t="e">
        <f>AU422*D422*#REF!/(D422*G422/2.75/F422^0.5)</f>
        <v>#REF!</v>
      </c>
      <c r="AW422" s="4" t="e">
        <f t="shared" si="1793"/>
        <v>#REF!</v>
      </c>
      <c r="AY422" s="4">
        <f t="shared" si="1584"/>
        <v>1.5</v>
      </c>
      <c r="AZ422" s="4" t="e">
        <f>(3*#REF!+30)*AY422*F422^0.5</f>
        <v>#REF!</v>
      </c>
      <c r="BB422" s="4">
        <f t="shared" si="1585"/>
        <v>499.71906614360728</v>
      </c>
      <c r="BC422" s="4">
        <f t="shared" si="1822"/>
        <v>0</v>
      </c>
      <c r="BD422" s="4">
        <f t="shared" si="1794"/>
        <v>0</v>
      </c>
      <c r="BL422" s="4">
        <f t="shared" si="1586"/>
        <v>62.230000000000004</v>
      </c>
      <c r="BP422" s="9"/>
      <c r="BR422" s="9"/>
      <c r="BS422" s="9"/>
      <c r="BT422" s="9">
        <f t="shared" si="1587"/>
        <v>62.230000000000004</v>
      </c>
      <c r="BU422" s="9">
        <f t="shared" si="1588"/>
        <v>177.54599999999999</v>
      </c>
      <c r="BV422" s="9">
        <f t="shared" si="1589"/>
        <v>1.5426597542601972</v>
      </c>
      <c r="BW422" s="40">
        <f t="shared" si="1738"/>
        <v>20</v>
      </c>
      <c r="BX422" s="9">
        <f t="shared" si="1590"/>
        <v>0.05</v>
      </c>
      <c r="BY422" s="9">
        <f t="shared" si="1795"/>
        <v>0.8</v>
      </c>
      <c r="BZ422" s="9">
        <f t="shared" si="1591"/>
        <v>0.89777220146327208</v>
      </c>
      <c r="CA422" s="9">
        <f t="shared" si="1592"/>
        <v>0.68</v>
      </c>
      <c r="CB422" s="9">
        <f t="shared" si="1593"/>
        <v>1.6512698668680077</v>
      </c>
      <c r="CC422" s="9">
        <f t="shared" si="1594"/>
        <v>3.8683634605342756</v>
      </c>
      <c r="CD422" s="40">
        <v>1</v>
      </c>
      <c r="CE422" s="9" t="e">
        <f>4*CC422*#REF!+60*CC422</f>
        <v>#REF!</v>
      </c>
      <c r="CG422" s="4" t="e">
        <f t="shared" si="1796"/>
        <v>#REF!</v>
      </c>
      <c r="CH422" s="4" t="e">
        <f t="shared" si="1797"/>
        <v>#REF!</v>
      </c>
      <c r="CI422" s="4" t="e">
        <f t="shared" si="1798"/>
        <v>#REF!</v>
      </c>
      <c r="CJ422" s="4" t="e">
        <f t="shared" si="1799"/>
        <v>#REF!</v>
      </c>
      <c r="CK422" s="4">
        <f t="shared" si="1800"/>
        <v>0.80079303363680798</v>
      </c>
      <c r="CL422" s="4">
        <f t="shared" si="1801"/>
        <v>0.85028063832166845</v>
      </c>
      <c r="CM422" s="4">
        <f t="shared" si="1699"/>
        <v>1.102942521630832</v>
      </c>
      <c r="CN422" s="4">
        <f t="shared" si="1739"/>
        <v>12</v>
      </c>
      <c r="CU422" s="4" t="e">
        <f t="shared" si="1927"/>
        <v>#REF!</v>
      </c>
      <c r="CV422" s="4" t="e">
        <f t="shared" si="1928"/>
        <v>#REF!</v>
      </c>
      <c r="CW422" s="4" t="e">
        <f t="shared" si="1929"/>
        <v>#REF!</v>
      </c>
      <c r="CX422" s="4">
        <f t="shared" si="1930"/>
        <v>1.102942521630832</v>
      </c>
      <c r="CY422" s="4">
        <f t="shared" si="1931"/>
        <v>0.80079303363680798</v>
      </c>
      <c r="CZ422" s="4">
        <f t="shared" si="1932"/>
        <v>0.85028063832166845</v>
      </c>
      <c r="DC422" s="4" t="e">
        <f>#REF!</f>
        <v>#REF!</v>
      </c>
      <c r="DF422" s="4">
        <f t="shared" si="1601"/>
        <v>2.2581533218862147E-5</v>
      </c>
      <c r="DG422" s="4">
        <f t="shared" si="1802"/>
        <v>8.7269775139135497</v>
      </c>
      <c r="DH422" s="4">
        <f t="shared" si="1602"/>
        <v>0.4251756407092947</v>
      </c>
      <c r="DI422" s="4">
        <f t="shared" si="1803"/>
        <v>6.1985656734611458</v>
      </c>
      <c r="DJ422" s="4">
        <f t="shared" si="1804"/>
        <v>7.5693908977413145</v>
      </c>
      <c r="DK422" s="4">
        <f t="shared" si="1603"/>
        <v>7.7912639473019434</v>
      </c>
      <c r="DL422" s="38">
        <f t="shared" si="1604"/>
        <v>621.79741027641171</v>
      </c>
      <c r="DM422" s="4" t="e">
        <f t="shared" si="1805"/>
        <v>#REF!</v>
      </c>
      <c r="DN422" s="4">
        <f t="shared" si="1605"/>
        <v>2.1908902300206643</v>
      </c>
      <c r="DO422" s="4">
        <f t="shared" si="1697"/>
        <v>316.05417861937889</v>
      </c>
      <c r="DS422" s="4">
        <f t="shared" si="1606"/>
        <v>0.85</v>
      </c>
      <c r="DT422" s="4">
        <f t="shared" si="1607"/>
        <v>0.92624113475177294</v>
      </c>
      <c r="DU422" s="4">
        <f t="shared" si="1608"/>
        <v>0.92410215783914285</v>
      </c>
      <c r="DV422" s="4">
        <f t="shared" si="1806"/>
        <v>0.85594143130348965</v>
      </c>
      <c r="DX422" s="4">
        <f t="shared" si="1609"/>
        <v>585.60787114428808</v>
      </c>
      <c r="DY422" s="25">
        <f t="shared" si="1870"/>
        <v>312.84340374133052</v>
      </c>
      <c r="EA422" s="4">
        <f t="shared" si="1871"/>
        <v>0.72755021660796615</v>
      </c>
      <c r="EB422" s="4">
        <f t="shared" si="1610"/>
        <v>8.7269775139135497</v>
      </c>
      <c r="EE422" s="4">
        <f t="shared" si="1611"/>
        <v>78.464542697960056</v>
      </c>
      <c r="EF422" s="4">
        <f t="shared" si="1807"/>
        <v>2.1908902300206643</v>
      </c>
      <c r="EG422" s="4">
        <f t="shared" si="1612"/>
        <v>0.17967124828477851</v>
      </c>
      <c r="EJ422" s="4">
        <f t="shared" si="1808"/>
        <v>0.17967124828477851</v>
      </c>
      <c r="EK422" s="4">
        <f t="shared" si="1613"/>
        <v>0.42446610180691829</v>
      </c>
      <c r="EL422" s="4">
        <f t="shared" si="1809"/>
        <v>6.1944258997588486</v>
      </c>
      <c r="EM422" s="4">
        <f t="shared" si="1810"/>
        <v>7.5676983436658878</v>
      </c>
      <c r="EN422" s="4" t="e">
        <f t="shared" si="1811"/>
        <v>#REF!</v>
      </c>
      <c r="EO422" s="4" t="e">
        <f t="shared" si="1812"/>
        <v>#REF!</v>
      </c>
      <c r="EP422" s="4" t="e">
        <f t="shared" si="1614"/>
        <v>#REF!</v>
      </c>
      <c r="EQ422" s="4" t="e">
        <f t="shared" si="1813"/>
        <v>#REF!</v>
      </c>
      <c r="ER422" s="4" t="e">
        <f t="shared" si="1615"/>
        <v>#REF!</v>
      </c>
      <c r="FA422" s="23" t="e">
        <f t="shared" si="1772"/>
        <v>#REF!</v>
      </c>
      <c r="FB422" s="23" t="e">
        <f t="shared" si="1773"/>
        <v>#REF!</v>
      </c>
      <c r="FC422" s="23">
        <f t="shared" si="1706"/>
        <v>1.2</v>
      </c>
      <c r="FD422" s="23" t="e">
        <f t="shared" si="1774"/>
        <v>#REF!</v>
      </c>
      <c r="FE422" s="23">
        <f t="shared" si="1775"/>
        <v>1</v>
      </c>
      <c r="FF422" s="23">
        <f t="shared" si="1776"/>
        <v>1</v>
      </c>
      <c r="FG422" s="23">
        <f t="shared" si="1629"/>
        <v>0</v>
      </c>
      <c r="FH422" s="23"/>
      <c r="FR422" s="4">
        <f t="shared" si="1852"/>
        <v>1.25</v>
      </c>
      <c r="FS422" s="4">
        <f t="shared" si="1853"/>
        <v>0.43098983553339404</v>
      </c>
      <c r="FT422" s="4">
        <f t="shared" si="1854"/>
        <v>0.3</v>
      </c>
      <c r="FU422" s="4">
        <f t="shared" si="1855"/>
        <v>451.45692066211052</v>
      </c>
    </row>
    <row r="423" spans="2:177" ht="12" customHeight="1" x14ac:dyDescent="0.3">
      <c r="B423" s="14"/>
      <c r="C423" s="7" t="s">
        <v>570</v>
      </c>
      <c r="D423" s="38">
        <f t="shared" si="1924"/>
        <v>931.0344827586207</v>
      </c>
      <c r="E423" s="38">
        <f>14.63*25.4</f>
        <v>371.60199999999998</v>
      </c>
      <c r="F423" s="38">
        <f>8720/145</f>
        <v>60.137931034482762</v>
      </c>
      <c r="G423" s="38">
        <f t="shared" si="1917"/>
        <v>35.813999999999993</v>
      </c>
      <c r="H423" s="38">
        <f>22*25.4</f>
        <v>558.79999999999995</v>
      </c>
      <c r="I423" s="38">
        <f>2.8*25.4</f>
        <v>71.11999999999999</v>
      </c>
      <c r="J423" s="39">
        <f>3.3*25.4</f>
        <v>83.82</v>
      </c>
      <c r="K423" s="7">
        <f t="shared" si="1727"/>
        <v>154.55899999999997</v>
      </c>
      <c r="L423" s="38">
        <v>3</v>
      </c>
      <c r="M423" s="4">
        <f t="shared" si="1843"/>
        <v>508</v>
      </c>
      <c r="N423" s="7">
        <f t="shared" si="1569"/>
        <v>2.4858156028368796</v>
      </c>
      <c r="O423" s="7">
        <f t="shared" si="1570"/>
        <v>2.4858156028368796</v>
      </c>
      <c r="P423" s="38">
        <v>3.8</v>
      </c>
      <c r="Q423" s="4">
        <f t="shared" si="1736"/>
        <v>3.8</v>
      </c>
      <c r="R423" s="4">
        <f t="shared" si="1571"/>
        <v>4.8</v>
      </c>
      <c r="S423" s="7">
        <f t="shared" si="1572"/>
        <v>78.464542697960056</v>
      </c>
      <c r="V423" s="38">
        <f t="shared" si="1777"/>
        <v>233.79310344827587</v>
      </c>
      <c r="W423" s="4">
        <v>33.9</v>
      </c>
      <c r="X423" s="4">
        <f t="shared" si="1573"/>
        <v>0.47564989032534455</v>
      </c>
      <c r="Y423" s="38"/>
      <c r="Z423" s="38"/>
      <c r="AA423" s="39">
        <v>1</v>
      </c>
      <c r="AB423" s="39"/>
      <c r="AC423" s="39"/>
      <c r="AD423" s="7"/>
      <c r="AE423" s="4">
        <f t="shared" si="1576"/>
        <v>371.60199999999998</v>
      </c>
      <c r="AF423" s="4">
        <f t="shared" si="1577"/>
        <v>0.50125313283208028</v>
      </c>
      <c r="AG423" s="4">
        <f t="shared" si="1578"/>
        <v>183.81227524875013</v>
      </c>
      <c r="AH423" s="4">
        <f t="shared" si="1579"/>
        <v>0.74791524265208476</v>
      </c>
      <c r="AI423" s="4">
        <v>1.25</v>
      </c>
      <c r="AJ423" s="4">
        <f t="shared" si="1878"/>
        <v>2.5</v>
      </c>
      <c r="AK423" s="38">
        <f t="shared" si="1729"/>
        <v>215.34461535886712</v>
      </c>
      <c r="AL423" s="38">
        <f t="shared" si="1616"/>
        <v>215.34461535886712</v>
      </c>
      <c r="AM423" s="38">
        <f t="shared" si="1580"/>
        <v>4.3584878994477556</v>
      </c>
      <c r="AN423" s="38">
        <f t="shared" si="1893"/>
        <v>215.3446153588668</v>
      </c>
      <c r="AO423" s="38">
        <f t="shared" si="1845"/>
        <v>1.0000000000000016</v>
      </c>
      <c r="AP423" s="38">
        <f t="shared" si="1894"/>
        <v>2.706482164766975</v>
      </c>
      <c r="AQ423" s="4">
        <f t="shared" si="1895"/>
        <v>0</v>
      </c>
      <c r="AR423" s="4" t="e">
        <f>#REF!/G423*F423^0.5/0.19</f>
        <v>#REF!</v>
      </c>
      <c r="AS423" s="4">
        <f t="shared" si="1581"/>
        <v>1</v>
      </c>
      <c r="AT423" s="38">
        <f t="shared" si="1582"/>
        <v>582.82636074737741</v>
      </c>
      <c r="AU423" s="4">
        <f t="shared" si="1583"/>
        <v>0.46800000000000008</v>
      </c>
      <c r="AV423" s="4" t="e">
        <f>AU423*D423*#REF!/(D423*G423/2.75/F423^0.5)</f>
        <v>#REF!</v>
      </c>
      <c r="AW423" s="4" t="e">
        <f t="shared" si="1793"/>
        <v>#REF!</v>
      </c>
      <c r="AY423" s="4">
        <f t="shared" si="1584"/>
        <v>1.2464539007092199</v>
      </c>
      <c r="AZ423" s="4" t="e">
        <f>(3*#REF!+30)*AY423*F423^0.5</f>
        <v>#REF!</v>
      </c>
      <c r="BB423" s="4">
        <f t="shared" si="1585"/>
        <v>559.00175497621922</v>
      </c>
      <c r="BC423" s="4">
        <f t="shared" si="1822"/>
        <v>0</v>
      </c>
      <c r="BD423" s="4">
        <f t="shared" si="1794"/>
        <v>0</v>
      </c>
      <c r="BL423" s="4">
        <f t="shared" si="1586"/>
        <v>71.11999999999999</v>
      </c>
      <c r="BP423" s="9"/>
      <c r="BR423" s="9"/>
      <c r="BS423" s="9"/>
      <c r="BT423" s="9">
        <f t="shared" si="1587"/>
        <v>71.11999999999999</v>
      </c>
      <c r="BU423" s="9">
        <f t="shared" si="1588"/>
        <v>77.279499999999985</v>
      </c>
      <c r="BV423" s="9">
        <f t="shared" si="1589"/>
        <v>1.4268566467933428</v>
      </c>
      <c r="BW423" s="40">
        <f t="shared" si="1738"/>
        <v>0</v>
      </c>
      <c r="BX423" s="9">
        <f t="shared" si="1590"/>
        <v>0</v>
      </c>
      <c r="BY423" s="9">
        <f t="shared" si="1795"/>
        <v>0</v>
      </c>
      <c r="BZ423" s="9">
        <f t="shared" si="1591"/>
        <v>0.89777220146327208</v>
      </c>
      <c r="CA423" s="9">
        <f t="shared" si="1592"/>
        <v>0.68</v>
      </c>
      <c r="CB423" s="9">
        <f t="shared" si="1593"/>
        <v>1.656980327255414</v>
      </c>
      <c r="CC423" s="9">
        <f t="shared" si="1594"/>
        <v>2.3642733935501958</v>
      </c>
      <c r="CD423" s="40">
        <v>1</v>
      </c>
      <c r="CE423" s="9" t="e">
        <f>4*CC423*#REF!+60*CC423</f>
        <v>#REF!</v>
      </c>
      <c r="CG423" s="4" t="e">
        <f t="shared" si="1796"/>
        <v>#REF!</v>
      </c>
      <c r="CH423" s="4" t="e">
        <f t="shared" si="1797"/>
        <v>#REF!</v>
      </c>
      <c r="CI423" s="4" t="e">
        <f t="shared" si="1798"/>
        <v>#REF!</v>
      </c>
      <c r="CJ423" s="4" t="e">
        <f t="shared" si="1799"/>
        <v>#REF!</v>
      </c>
      <c r="CK423" s="4">
        <f t="shared" si="1800"/>
        <v>0.47564989032534455</v>
      </c>
      <c r="CL423" s="4">
        <f t="shared" si="1801"/>
        <v>0.49532268932934714</v>
      </c>
      <c r="CM423" s="4">
        <f t="shared" si="1699"/>
        <v>0.69730791094744238</v>
      </c>
      <c r="CN423" s="4">
        <f t="shared" si="1739"/>
        <v>0</v>
      </c>
      <c r="CO423" s="4" t="e">
        <f t="shared" ref="CO423" si="1933">CG423</f>
        <v>#REF!</v>
      </c>
      <c r="CP423" s="4" t="e">
        <f t="shared" ref="CP423" si="1934">CH423</f>
        <v>#REF!</v>
      </c>
      <c r="CQ423" s="4" t="e">
        <f t="shared" ref="CQ423" si="1935">CJ423</f>
        <v>#REF!</v>
      </c>
      <c r="CR423" s="4">
        <f t="shared" ref="CR423" si="1936">CM423</f>
        <v>0.69730791094744238</v>
      </c>
      <c r="CS423" s="4">
        <f t="shared" ref="CS423" si="1937">CK423</f>
        <v>0.47564989032534455</v>
      </c>
      <c r="CT423" s="4">
        <f t="shared" ref="CT423" si="1938">CL423</f>
        <v>0.49532268932934714</v>
      </c>
      <c r="DC423" s="4" t="e">
        <f>#REF!</f>
        <v>#REF!</v>
      </c>
      <c r="DF423" s="4">
        <f t="shared" si="1601"/>
        <v>2.2546529017550049E-5</v>
      </c>
      <c r="DG423" s="4">
        <f t="shared" si="1802"/>
        <v>8.3153544113293236</v>
      </c>
      <c r="DH423" s="4">
        <f t="shared" si="1602"/>
        <v>0.28770159004621326</v>
      </c>
      <c r="DI423" s="4">
        <f t="shared" si="1803"/>
        <v>5.0519340097069563</v>
      </c>
      <c r="DJ423" s="4">
        <f t="shared" si="1804"/>
        <v>6.8810495994762375</v>
      </c>
      <c r="DK423" s="4">
        <f t="shared" si="1603"/>
        <v>7.5191156474869798</v>
      </c>
      <c r="DL423" s="38">
        <f t="shared" si="1604"/>
        <v>491.52350963092073</v>
      </c>
      <c r="DM423" s="4" t="e">
        <f t="shared" si="1805"/>
        <v>#REF!</v>
      </c>
      <c r="DN423" s="4">
        <f t="shared" si="1605"/>
        <v>2.1908902300206643</v>
      </c>
      <c r="DO423" s="4">
        <f t="shared" si="1697"/>
        <v>215.3446153588668</v>
      </c>
      <c r="DS423" s="4">
        <f t="shared" si="1606"/>
        <v>0.85</v>
      </c>
      <c r="DT423" s="4">
        <f t="shared" si="1607"/>
        <v>0.90141843971631208</v>
      </c>
      <c r="DU423" s="4">
        <f t="shared" si="1608"/>
        <v>1</v>
      </c>
      <c r="DV423" s="4">
        <f t="shared" si="1806"/>
        <v>0.90141843971631208</v>
      </c>
      <c r="DX423" s="4">
        <f t="shared" si="1609"/>
        <v>472.00160316666512</v>
      </c>
      <c r="DY423" s="25">
        <f t="shared" si="1870"/>
        <v>213.16408180975441</v>
      </c>
      <c r="EA423" s="4">
        <f t="shared" si="1871"/>
        <v>0.76620567375886528</v>
      </c>
      <c r="EB423" s="4">
        <f t="shared" si="1610"/>
        <v>8.3153544113293236</v>
      </c>
      <c r="EE423" s="4">
        <f t="shared" si="1611"/>
        <v>78.464542697960056</v>
      </c>
      <c r="EF423" s="4">
        <f t="shared" si="1807"/>
        <v>2.1908902300206643</v>
      </c>
      <c r="EG423" s="4">
        <f t="shared" si="1612"/>
        <v>0.12199773533478737</v>
      </c>
      <c r="EJ423" s="4">
        <f t="shared" si="1808"/>
        <v>0.12199773533478737</v>
      </c>
      <c r="EK423" s="4">
        <f t="shared" si="1613"/>
        <v>0.28722146971271345</v>
      </c>
      <c r="EL423" s="4">
        <f t="shared" si="1809"/>
        <v>5.0485600253594702</v>
      </c>
      <c r="EM423" s="4">
        <f t="shared" si="1810"/>
        <v>6.8798163897573916</v>
      </c>
      <c r="EN423" s="4" t="e">
        <f t="shared" si="1811"/>
        <v>#REF!</v>
      </c>
      <c r="EO423" s="4" t="e">
        <f t="shared" si="1812"/>
        <v>#REF!</v>
      </c>
      <c r="EP423" s="4" t="e">
        <f t="shared" si="1614"/>
        <v>#REF!</v>
      </c>
      <c r="EQ423" s="4" t="e">
        <f t="shared" si="1813"/>
        <v>#REF!</v>
      </c>
      <c r="ER423" s="4" t="e">
        <f t="shared" si="1615"/>
        <v>#REF!</v>
      </c>
      <c r="FA423" s="23" t="e">
        <f t="shared" si="1772"/>
        <v>#REF!</v>
      </c>
      <c r="FB423" s="23" t="e">
        <f t="shared" si="1773"/>
        <v>#REF!</v>
      </c>
      <c r="FC423" s="23">
        <f t="shared" si="1706"/>
        <v>0.8</v>
      </c>
      <c r="FD423" s="23" t="e">
        <f t="shared" si="1774"/>
        <v>#REF!</v>
      </c>
      <c r="FE423" s="23">
        <f t="shared" si="1775"/>
        <v>0.6</v>
      </c>
      <c r="FF423" s="23">
        <f t="shared" si="1776"/>
        <v>0.6</v>
      </c>
      <c r="FG423" s="23">
        <f t="shared" si="1629"/>
        <v>1</v>
      </c>
      <c r="FH423" s="23"/>
      <c r="FR423" s="4">
        <f t="shared" si="1852"/>
        <v>1</v>
      </c>
      <c r="FS423" s="4">
        <f t="shared" si="1853"/>
        <v>0.72369976359338062</v>
      </c>
      <c r="FT423" s="4">
        <f t="shared" si="1854"/>
        <v>0</v>
      </c>
      <c r="FU423" s="4">
        <f t="shared" si="1855"/>
        <v>335.27957990698513</v>
      </c>
    </row>
    <row r="424" spans="2:177" ht="12" customHeight="1" x14ac:dyDescent="0.3">
      <c r="B424" s="14"/>
      <c r="C424" s="7" t="s">
        <v>571</v>
      </c>
      <c r="D424" s="38">
        <f t="shared" si="1924"/>
        <v>931.0344827586207</v>
      </c>
      <c r="E424" s="38">
        <f>14.54*25.4</f>
        <v>369.31599999999997</v>
      </c>
      <c r="F424" s="38">
        <f>8720/145</f>
        <v>60.137931034482762</v>
      </c>
      <c r="G424" s="38">
        <f t="shared" si="1917"/>
        <v>35.813999999999993</v>
      </c>
      <c r="H424" s="38">
        <f>21.8*25.4</f>
        <v>553.72</v>
      </c>
      <c r="I424" s="38">
        <f>2.55*25.4</f>
        <v>64.77</v>
      </c>
      <c r="J424" s="39">
        <f>3.26*25.4</f>
        <v>82.803999999999988</v>
      </c>
      <c r="K424" s="7">
        <f t="shared" si="1727"/>
        <v>158.36900000000003</v>
      </c>
      <c r="L424" s="38">
        <v>3</v>
      </c>
      <c r="M424" s="4">
        <f t="shared" si="1843"/>
        <v>508</v>
      </c>
      <c r="N424" s="7">
        <f t="shared" si="1569"/>
        <v>2.3085106382978724</v>
      </c>
      <c r="O424" s="7">
        <f t="shared" si="1570"/>
        <v>2.3085106382978724</v>
      </c>
      <c r="P424" s="38">
        <v>3.8</v>
      </c>
      <c r="Q424" s="4">
        <f t="shared" si="1736"/>
        <v>3.8</v>
      </c>
      <c r="R424" s="4">
        <f t="shared" si="1571"/>
        <v>4.8</v>
      </c>
      <c r="S424" s="7">
        <f t="shared" si="1572"/>
        <v>78.464542697960056</v>
      </c>
      <c r="V424" s="38">
        <f t="shared" si="1777"/>
        <v>320.68965517241384</v>
      </c>
      <c r="W424" s="4">
        <v>46.5</v>
      </c>
      <c r="X424" s="4">
        <f t="shared" si="1573"/>
        <v>0.66704150177213273</v>
      </c>
      <c r="Y424" s="38">
        <f t="shared" ref="Y424:Y425" si="1939">0.5*25.4</f>
        <v>12.7</v>
      </c>
      <c r="Z424" s="38">
        <v>4</v>
      </c>
      <c r="AA424" s="39">
        <f>8*25.4</f>
        <v>203.2</v>
      </c>
      <c r="AB424" s="39">
        <v>2</v>
      </c>
      <c r="AC424" s="39">
        <f t="shared" ref="AC424:AC425" si="1940">AB424-1</f>
        <v>1</v>
      </c>
      <c r="AD424" s="7"/>
      <c r="AE424" s="4">
        <f t="shared" si="1576"/>
        <v>369.31599999999997</v>
      </c>
      <c r="AF424" s="4">
        <f t="shared" si="1577"/>
        <v>0.49977074736359473</v>
      </c>
      <c r="AG424" s="4">
        <f t="shared" si="1578"/>
        <v>182.1187376827082</v>
      </c>
      <c r="AH424" s="4">
        <f t="shared" si="1579"/>
        <v>0.74477303988995869</v>
      </c>
      <c r="AI424" s="4">
        <v>1.25</v>
      </c>
      <c r="AJ424" s="4">
        <f t="shared" si="1878"/>
        <v>2.5</v>
      </c>
      <c r="AK424" s="38">
        <f t="shared" si="1729"/>
        <v>211.83583679291482</v>
      </c>
      <c r="AL424" s="38">
        <f t="shared" si="1616"/>
        <v>211.83583679291482</v>
      </c>
      <c r="AM424" s="38">
        <f t="shared" si="1580"/>
        <v>4.3584878994477556</v>
      </c>
      <c r="AN424" s="38">
        <f t="shared" si="1893"/>
        <v>211.8358367929149</v>
      </c>
      <c r="AO424" s="38">
        <f t="shared" si="1845"/>
        <v>0.99999999999999956</v>
      </c>
      <c r="AP424" s="38">
        <f t="shared" si="1894"/>
        <v>2.5550695380031971</v>
      </c>
      <c r="AQ424" s="4">
        <f t="shared" si="1895"/>
        <v>0</v>
      </c>
      <c r="AR424" s="4" t="e">
        <f>#REF!/G424*F424^0.5/0.19</f>
        <v>#REF!</v>
      </c>
      <c r="AS424" s="4">
        <f t="shared" si="1581"/>
        <v>1</v>
      </c>
      <c r="AT424" s="38">
        <f t="shared" si="1582"/>
        <v>541.25529364699378</v>
      </c>
      <c r="AU424" s="4">
        <f t="shared" si="1583"/>
        <v>0.46800000000000008</v>
      </c>
      <c r="AV424" s="4" t="e">
        <f>AU424*D424*#REF!/(D424*G424/2.75/F424^0.5)</f>
        <v>#REF!</v>
      </c>
      <c r="AW424" s="4" t="e">
        <f t="shared" si="1793"/>
        <v>#REF!</v>
      </c>
      <c r="AY424" s="4">
        <f t="shared" si="1584"/>
        <v>1.3878009842547159</v>
      </c>
      <c r="AZ424" s="4" t="e">
        <f>(3*#REF!+30)*AY424*F424^0.5</f>
        <v>#REF!</v>
      </c>
      <c r="BB424" s="4">
        <f t="shared" si="1585"/>
        <v>519.1300178167171</v>
      </c>
      <c r="BC424" s="4">
        <f t="shared" si="1822"/>
        <v>0</v>
      </c>
      <c r="BD424" s="4">
        <f t="shared" si="1794"/>
        <v>0</v>
      </c>
      <c r="BL424" s="4">
        <f t="shared" si="1586"/>
        <v>64.77</v>
      </c>
      <c r="BP424" s="9"/>
      <c r="BR424" s="9"/>
      <c r="BS424" s="9"/>
      <c r="BT424" s="9">
        <f t="shared" si="1587"/>
        <v>64.77</v>
      </c>
      <c r="BU424" s="9">
        <f t="shared" si="1588"/>
        <v>79.184500000000014</v>
      </c>
      <c r="BV424" s="9">
        <f t="shared" si="1589"/>
        <v>1.3859592972879591</v>
      </c>
      <c r="BW424" s="40">
        <f t="shared" si="1738"/>
        <v>20</v>
      </c>
      <c r="BX424" s="9">
        <f t="shared" si="1590"/>
        <v>4.6418331170061958E-2</v>
      </c>
      <c r="BY424" s="9">
        <f t="shared" si="1795"/>
        <v>0.72836662340123914</v>
      </c>
      <c r="BZ424" s="9">
        <f t="shared" si="1591"/>
        <v>0.89777220146327208</v>
      </c>
      <c r="CA424" s="9">
        <f t="shared" si="1592"/>
        <v>0.68</v>
      </c>
      <c r="CB424" s="9">
        <f t="shared" si="1593"/>
        <v>1.656980327255414</v>
      </c>
      <c r="CC424" s="9">
        <f t="shared" si="1594"/>
        <v>3.503396455988192</v>
      </c>
      <c r="CD424" s="40">
        <v>1</v>
      </c>
      <c r="CE424" s="9" t="e">
        <f>4*CC424*#REF!+60*CC424</f>
        <v>#REF!</v>
      </c>
      <c r="CG424" s="4" t="e">
        <f t="shared" si="1796"/>
        <v>#REF!</v>
      </c>
      <c r="CH424" s="4" t="e">
        <f t="shared" si="1797"/>
        <v>#REF!</v>
      </c>
      <c r="CI424" s="4" t="e">
        <f t="shared" si="1798"/>
        <v>#REF!</v>
      </c>
      <c r="CJ424" s="4" t="e">
        <f t="shared" si="1799"/>
        <v>#REF!</v>
      </c>
      <c r="CK424" s="4">
        <f t="shared" si="1800"/>
        <v>0.66704150177213273</v>
      </c>
      <c r="CL424" s="4">
        <f t="shared" si="1801"/>
        <v>0.69404556824261776</v>
      </c>
      <c r="CM424" s="4">
        <f t="shared" si="1699"/>
        <v>0.7718247303008392</v>
      </c>
      <c r="CN424" s="4">
        <f t="shared" si="1739"/>
        <v>4</v>
      </c>
      <c r="CU424" s="4" t="e">
        <f t="shared" ref="CU424:CU425" si="1941">CG424</f>
        <v>#REF!</v>
      </c>
      <c r="CV424" s="4" t="e">
        <f t="shared" ref="CV424:CV425" si="1942">CH424</f>
        <v>#REF!</v>
      </c>
      <c r="CW424" s="4" t="e">
        <f t="shared" ref="CW424:CW425" si="1943">CJ424</f>
        <v>#REF!</v>
      </c>
      <c r="CX424" s="4">
        <f t="shared" ref="CX424:CX425" si="1944">CM424</f>
        <v>0.7718247303008392</v>
      </c>
      <c r="CY424" s="4">
        <f t="shared" ref="CY424:CY425" si="1945">CK424</f>
        <v>0.66704150177213273</v>
      </c>
      <c r="CZ424" s="4">
        <f t="shared" ref="CZ424:CZ425" si="1946">CL424</f>
        <v>0.69404556824261776</v>
      </c>
      <c r="DC424" s="4" t="e">
        <f>#REF!</f>
        <v>#REF!</v>
      </c>
      <c r="DF424" s="4">
        <f t="shared" si="1601"/>
        <v>2.2407828565630739E-5</v>
      </c>
      <c r="DG424" s="4">
        <f t="shared" si="1802"/>
        <v>8.1586127714079559</v>
      </c>
      <c r="DH424" s="4">
        <f t="shared" si="1602"/>
        <v>0.28301384259145501</v>
      </c>
      <c r="DI424" s="4">
        <f t="shared" si="1803"/>
        <v>4.9242420460742977</v>
      </c>
      <c r="DJ424" s="4">
        <f t="shared" si="1804"/>
        <v>6.7395045997114531</v>
      </c>
      <c r="DK424" s="4">
        <f t="shared" si="1603"/>
        <v>7.4031824594414859</v>
      </c>
      <c r="DL424" s="38">
        <f t="shared" si="1604"/>
        <v>480.76417182504525</v>
      </c>
      <c r="DM424" s="4" t="e">
        <f t="shared" si="1805"/>
        <v>#REF!</v>
      </c>
      <c r="DN424" s="4">
        <f t="shared" si="1605"/>
        <v>2.1908902300206643</v>
      </c>
      <c r="DO424" s="4">
        <f t="shared" si="1697"/>
        <v>211.8358367929149</v>
      </c>
      <c r="DS424" s="4">
        <f t="shared" si="1606"/>
        <v>0.85</v>
      </c>
      <c r="DT424" s="4">
        <f t="shared" si="1607"/>
        <v>0.91914893617021276</v>
      </c>
      <c r="DU424" s="4">
        <f t="shared" si="1608"/>
        <v>0.9995510789195714</v>
      </c>
      <c r="DV424" s="4">
        <f t="shared" si="1806"/>
        <v>0.91873631083671248</v>
      </c>
      <c r="DX424" s="4">
        <f t="shared" si="1609"/>
        <v>462.0585014099683</v>
      </c>
      <c r="DY424" s="25">
        <f t="shared" si="1870"/>
        <v>209.66226801364556</v>
      </c>
      <c r="EA424" s="4">
        <f t="shared" si="1871"/>
        <v>0.78092586421120558</v>
      </c>
      <c r="EB424" s="4">
        <f t="shared" si="1610"/>
        <v>8.1586127714079559</v>
      </c>
      <c r="EE424" s="4">
        <f t="shared" si="1611"/>
        <v>78.464542697960056</v>
      </c>
      <c r="EF424" s="4">
        <f t="shared" si="1807"/>
        <v>2.1908902300206643</v>
      </c>
      <c r="EG424" s="4">
        <f t="shared" si="1612"/>
        <v>0.12000993063336024</v>
      </c>
      <c r="EJ424" s="4">
        <f t="shared" si="1808"/>
        <v>0.12000993063336024</v>
      </c>
      <c r="EK424" s="4">
        <f t="shared" si="1613"/>
        <v>0.28254154523477981</v>
      </c>
      <c r="EL424" s="4">
        <f t="shared" si="1809"/>
        <v>4.9209533420740552</v>
      </c>
      <c r="EM424" s="4">
        <f t="shared" si="1810"/>
        <v>6.7383085441162534</v>
      </c>
      <c r="EN424" s="4" t="e">
        <f t="shared" si="1811"/>
        <v>#REF!</v>
      </c>
      <c r="EO424" s="4" t="e">
        <f t="shared" si="1812"/>
        <v>#REF!</v>
      </c>
      <c r="EP424" s="4" t="e">
        <f t="shared" si="1614"/>
        <v>#REF!</v>
      </c>
      <c r="EQ424" s="4" t="e">
        <f t="shared" si="1813"/>
        <v>#REF!</v>
      </c>
      <c r="ER424" s="4" t="e">
        <f t="shared" si="1615"/>
        <v>#REF!</v>
      </c>
      <c r="FA424" s="23" t="e">
        <f t="shared" si="1772"/>
        <v>#REF!</v>
      </c>
      <c r="FB424" s="23" t="e">
        <f t="shared" si="1773"/>
        <v>#REF!</v>
      </c>
      <c r="FC424" s="23">
        <f t="shared" si="1706"/>
        <v>0.8</v>
      </c>
      <c r="FD424" s="23" t="e">
        <f t="shared" si="1774"/>
        <v>#REF!</v>
      </c>
      <c r="FE424" s="23">
        <f t="shared" si="1775"/>
        <v>0.8</v>
      </c>
      <c r="FF424" s="23">
        <f t="shared" si="1776"/>
        <v>0.8</v>
      </c>
      <c r="FG424" s="23">
        <f t="shared" si="1629"/>
        <v>1</v>
      </c>
      <c r="FH424" s="23"/>
      <c r="FR424" s="4">
        <f t="shared" si="1852"/>
        <v>1</v>
      </c>
      <c r="FS424" s="4">
        <f t="shared" si="1853"/>
        <v>0.58038924223974031</v>
      </c>
      <c r="FT424" s="4">
        <f t="shared" si="1854"/>
        <v>0.16766426906761905</v>
      </c>
      <c r="FU424" s="4">
        <f t="shared" si="1855"/>
        <v>415.49543903240379</v>
      </c>
    </row>
    <row r="425" spans="2:177" ht="12" customHeight="1" x14ac:dyDescent="0.3">
      <c r="B425" s="14"/>
      <c r="C425" s="7" t="s">
        <v>572</v>
      </c>
      <c r="D425" s="38">
        <f t="shared" si="1924"/>
        <v>931.0344827586207</v>
      </c>
      <c r="E425" s="38">
        <f>14.92*25.4</f>
        <v>378.96799999999996</v>
      </c>
      <c r="F425" s="38">
        <f>8720/145</f>
        <v>60.137931034482762</v>
      </c>
      <c r="G425" s="38">
        <f t="shared" si="1917"/>
        <v>35.813999999999993</v>
      </c>
      <c r="H425" s="38">
        <f>22.2*25.4</f>
        <v>563.88</v>
      </c>
      <c r="I425" s="38">
        <f>2.8*25.4</f>
        <v>71.11999999999999</v>
      </c>
      <c r="J425" s="39">
        <f>3.3*25.4</f>
        <v>83.82</v>
      </c>
      <c r="K425" s="7">
        <f t="shared" si="1727"/>
        <v>157.09899999999999</v>
      </c>
      <c r="L425" s="38">
        <v>3</v>
      </c>
      <c r="M425" s="4">
        <f t="shared" si="1843"/>
        <v>508</v>
      </c>
      <c r="N425" s="7">
        <f t="shared" ref="N425:N453" si="1947">MIN(I425/G425+0.5, K425/2/G425+0.5)</f>
        <v>2.4858156028368796</v>
      </c>
      <c r="O425" s="7">
        <f t="shared" ref="O425:O453" si="1948">I425/G425+0.5</f>
        <v>2.4858156028368796</v>
      </c>
      <c r="P425" s="38">
        <v>3.8</v>
      </c>
      <c r="Q425" s="4">
        <f t="shared" si="1736"/>
        <v>3.8</v>
      </c>
      <c r="R425" s="4">
        <f t="shared" ref="R425:R453" si="1949">Q425+1</f>
        <v>4.8</v>
      </c>
      <c r="S425" s="7">
        <f t="shared" ref="S425:S453" si="1950">G425*R425^0.5</f>
        <v>78.464542697960056</v>
      </c>
      <c r="V425" s="38">
        <f t="shared" si="1777"/>
        <v>370.34482758620692</v>
      </c>
      <c r="W425" s="4">
        <v>53.7</v>
      </c>
      <c r="X425" s="4">
        <f t="shared" ref="X425:X453" si="1951">CK425</f>
        <v>0.70702684009784134</v>
      </c>
      <c r="Y425" s="38">
        <f t="shared" si="1939"/>
        <v>12.7</v>
      </c>
      <c r="Z425" s="38">
        <v>12</v>
      </c>
      <c r="AA425" s="39">
        <f>4*25.4</f>
        <v>101.6</v>
      </c>
      <c r="AB425" s="39">
        <v>3</v>
      </c>
      <c r="AC425" s="39">
        <f t="shared" si="1940"/>
        <v>2</v>
      </c>
      <c r="AD425" s="7"/>
      <c r="AE425" s="4">
        <f t="shared" ref="AE425:AE453" si="1952">E425</f>
        <v>378.96799999999996</v>
      </c>
      <c r="AF425" s="4">
        <f t="shared" ref="AF425:AF453" si="1953">IF(E425*3&gt;K425+G425, H425, (I425+G425/2)*2+1.5*E425*(2*L425-2))*(3*E425)/(9*E425^2)</f>
        <v>0.49597855227882043</v>
      </c>
      <c r="AG425" s="4">
        <f t="shared" ref="AG425:AG453" si="1954">MIN(10*F425^0.5*E425^1.5,100*3.9*F425^0.5*E425^(5/3))/(PI()/4*G425^2)/L425</f>
        <v>189.30463885208755</v>
      </c>
      <c r="AH425" s="4">
        <f t="shared" ref="AH425:AH453" si="1955">MIN(0.7+0.3*(MIN(I425,M425)+0.5*G425)/1.5/E425,1)</f>
        <v>0.74698391420911525</v>
      </c>
      <c r="AI425" s="4">
        <v>1.25</v>
      </c>
      <c r="AJ425" s="4">
        <f t="shared" si="1878"/>
        <v>2.5</v>
      </c>
      <c r="AK425" s="38">
        <f t="shared" si="1729"/>
        <v>219.1721784510718</v>
      </c>
      <c r="AL425" s="38">
        <f t="shared" si="1616"/>
        <v>219.1721784510718</v>
      </c>
      <c r="AM425" s="38">
        <f t="shared" ref="AM425:AM453" si="1956">IF(F425&lt;50, 0.3*F425^(2/3), 2.12*LN(1+0.1*(F425+8)))</f>
        <v>4.3584878994477556</v>
      </c>
      <c r="AN425" s="38">
        <f t="shared" si="1893"/>
        <v>219.1721784510718</v>
      </c>
      <c r="AO425" s="38">
        <f t="shared" si="1845"/>
        <v>1</v>
      </c>
      <c r="AP425" s="38">
        <f t="shared" si="1894"/>
        <v>2.6592168990896266</v>
      </c>
      <c r="AQ425" s="4">
        <f t="shared" si="1895"/>
        <v>0</v>
      </c>
      <c r="AR425" s="4" t="e">
        <f>#REF!/G425*F425^0.5/0.19</f>
        <v>#REF!</v>
      </c>
      <c r="AS425" s="4">
        <f t="shared" ref="AS425:AS453" si="1957">MIN(0.6+0.4*(O425/N425),2)</f>
        <v>1</v>
      </c>
      <c r="AT425" s="38">
        <f t="shared" ref="AT425:AT453" si="1958">2*F425*N425*P425^0.5*AS425*0.7/0.7</f>
        <v>582.82636074737741</v>
      </c>
      <c r="AU425" s="4">
        <f t="shared" ref="AU425:AU453" si="1959">MAX(1-0.7*Q425/5,0.3)</f>
        <v>0.46800000000000008</v>
      </c>
      <c r="AV425" s="4" t="e">
        <f>AU425*D425*#REF!/(D425*G425/2.75/F425^0.5)</f>
        <v>#REF!</v>
      </c>
      <c r="AW425" s="4" t="e">
        <f t="shared" si="1793"/>
        <v>#REF!</v>
      </c>
      <c r="AY425" s="4">
        <f t="shared" ref="AY425:AY453" si="1960">MIN(1.5, 0.75+0.25*MIN(3,MAX(1,I425/G425))+0.4*MIN(1,(40*2*PI()*Y425^2/4/AA425/L425)/G425))</f>
        <v>1.5</v>
      </c>
      <c r="AZ425" s="4" t="e">
        <f>(3*#REF!+30)*AY425*F425^0.5</f>
        <v>#REF!</v>
      </c>
      <c r="BB425" s="4">
        <f t="shared" ref="BB425:BB453" si="1961">3.4/PI()^0.5*F425*N425*Q425^0.5*AS425</f>
        <v>559.00175497621922</v>
      </c>
      <c r="BC425" s="4">
        <f t="shared" si="1822"/>
        <v>0</v>
      </c>
      <c r="BD425" s="4">
        <f t="shared" si="1794"/>
        <v>0</v>
      </c>
      <c r="BL425" s="4">
        <f t="shared" ref="BL425:BL453" si="1962">IF(K425=0,I425,MIN(K425/2,I425))</f>
        <v>71.11999999999999</v>
      </c>
      <c r="BP425" s="9"/>
      <c r="BR425" s="9"/>
      <c r="BS425" s="9"/>
      <c r="BT425" s="9">
        <f t="shared" ref="BT425:BT453" si="1963">IF(K425=0,MIN(I425,J425),MIN(K425/2,I425,J425))</f>
        <v>71.11999999999999</v>
      </c>
      <c r="BU425" s="9">
        <f t="shared" ref="BU425:BU453" si="1964">MAX(K425/2,I425)</f>
        <v>78.549499999999995</v>
      </c>
      <c r="BV425" s="9">
        <f t="shared" ref="BV425:BV453" si="1965">(BT425/G425)^0.5*(BU425/BT425)^0.15</f>
        <v>1.4303496396121349</v>
      </c>
      <c r="BW425" s="40">
        <f t="shared" si="1738"/>
        <v>20</v>
      </c>
      <c r="BX425" s="9">
        <f t="shared" ref="BX425:BX453" si="1966">MIN(PI()*Y425^2/4*Z425*2/L425/G425/MAX(0.01,AA425),0.05)</f>
        <v>0.05</v>
      </c>
      <c r="BY425" s="9">
        <f t="shared" si="1795"/>
        <v>0.8</v>
      </c>
      <c r="BZ425" s="9">
        <f t="shared" ref="BZ425:BZ453" si="1967">MIN(1,(25/G425)^0.3)</f>
        <v>0.89777220146327208</v>
      </c>
      <c r="CA425" s="9">
        <f t="shared" ref="CA425:CA453" si="1968">IF(D425&gt;=800,0.68,IF(D425&gt;=700,0.75-(D425-700)*0.07/100,IF(D425&gt;=600,0.85-(D425-600)*0.1/100,IF(D425&gt;=500,1-(D425-500)*0.15/100,1.2-(D425-400)*0.2/100))))</f>
        <v>0.68</v>
      </c>
      <c r="CB425" s="9">
        <f t="shared" ref="CB425:CB453" si="1969">1.75*BZ425*CA425*(F425/25)^0.5</f>
        <v>1.656980327255414</v>
      </c>
      <c r="CC425" s="9">
        <f t="shared" ref="CC425:CC453" si="1970">MIN((BV425+BY425)*CB425,2.5*CB425,F425^0.5)</f>
        <v>3.6956454757385102</v>
      </c>
      <c r="CD425" s="40">
        <v>1</v>
      </c>
      <c r="CE425" s="9" t="e">
        <f>4*CC425*#REF!+60*CC425</f>
        <v>#REF!</v>
      </c>
      <c r="CG425" s="4" t="e">
        <f t="shared" si="1796"/>
        <v>#REF!</v>
      </c>
      <c r="CH425" s="4" t="e">
        <f t="shared" si="1797"/>
        <v>#REF!</v>
      </c>
      <c r="CI425" s="4" t="e">
        <f t="shared" si="1798"/>
        <v>#REF!</v>
      </c>
      <c r="CJ425" s="4" t="e">
        <f t="shared" si="1799"/>
        <v>#REF!</v>
      </c>
      <c r="CK425" s="4">
        <f t="shared" si="1800"/>
        <v>0.70702684009784134</v>
      </c>
      <c r="CL425" s="4">
        <f t="shared" si="1801"/>
        <v>0.73678053201601534</v>
      </c>
      <c r="CM425" s="4">
        <f t="shared" si="1699"/>
        <v>0.8346761269586771</v>
      </c>
      <c r="CN425" s="4">
        <f t="shared" si="1739"/>
        <v>12</v>
      </c>
      <c r="CU425" s="4" t="e">
        <f t="shared" si="1941"/>
        <v>#REF!</v>
      </c>
      <c r="CV425" s="4" t="e">
        <f t="shared" si="1942"/>
        <v>#REF!</v>
      </c>
      <c r="CW425" s="4" t="e">
        <f t="shared" si="1943"/>
        <v>#REF!</v>
      </c>
      <c r="CX425" s="4">
        <f t="shared" si="1944"/>
        <v>0.8346761269586771</v>
      </c>
      <c r="CY425" s="4">
        <f t="shared" si="1945"/>
        <v>0.70702684009784134</v>
      </c>
      <c r="CZ425" s="4">
        <f t="shared" si="1946"/>
        <v>0.73678053201601534</v>
      </c>
      <c r="DC425" s="4" t="e">
        <f>#REF!</f>
        <v>#REF!</v>
      </c>
      <c r="DF425" s="4">
        <f t="shared" ref="DF425:DF453" si="1971">E425/4/(1-0.3*(F425/30)^0.5)/200000/G425</f>
        <v>2.2993452695956715E-5</v>
      </c>
      <c r="DG425" s="4">
        <f t="shared" si="1802"/>
        <v>8.9983064543138589</v>
      </c>
      <c r="DH425" s="4">
        <f t="shared" ref="DH425:DH453" si="1972">DO425*S425/257/F425/P425</f>
        <v>0.29281523538066689</v>
      </c>
      <c r="DI425" s="4">
        <f t="shared" si="1803"/>
        <v>5.505518770359167</v>
      </c>
      <c r="DJ425" s="4">
        <f t="shared" si="1804"/>
        <v>7.4603727031590674</v>
      </c>
      <c r="DK425" s="4">
        <f t="shared" ref="DK425:DK453" si="1973">MAX(DG425/2, (4-DF425*(8*S425*(DI425-DJ425)+6*E425*DJ425))/(4+DF425*E425*DG425)*DG425)</f>
        <v>8.026987180468911</v>
      </c>
      <c r="DL425" s="38">
        <f t="shared" ref="DL425:DL453" si="1974">MIN(1/G425*(4*S425*(DI425-DJ425)+(3*DJ425+DK425)*E425)+DO425 -EV425,MAX(D425,V425))</f>
        <v>523.80589615941176</v>
      </c>
      <c r="DM425" s="4" t="e">
        <f t="shared" si="1805"/>
        <v>#REF!</v>
      </c>
      <c r="DN425" s="4">
        <f t="shared" ref="DN425:DN453" si="1975">S425/G425</f>
        <v>2.1908902300206643</v>
      </c>
      <c r="DO425" s="4">
        <f t="shared" si="1697"/>
        <v>219.1721784510718</v>
      </c>
      <c r="DS425" s="4">
        <f t="shared" ref="DS425:DS453" si="1976">IF(J425&gt;1*G425,0.85,1)</f>
        <v>0.85</v>
      </c>
      <c r="DT425" s="4">
        <f t="shared" ref="DT425:DT453" si="1977">MIN(1,MAX(0.7,(1-0.1*(BL425-1*G425)/G425)))</f>
        <v>0.90141843971631208</v>
      </c>
      <c r="DU425" s="4">
        <f t="shared" ref="DU425:DU453" si="1978">MIN(1,MAX(0.7,1-0.3*(PI()*Y425^2/4*AC425*2-0.25*PI()/4*G425^2)/(PI()/4*G425^2)))</f>
        <v>0.92410215783914285</v>
      </c>
      <c r="DV425" s="4">
        <f t="shared" si="1806"/>
        <v>0.83300272525783725</v>
      </c>
      <c r="DX425" s="4">
        <f t="shared" ref="DX425:DX453" si="1979">MIN(DG425/G425*3*E425+DY425-EV425,MAX(D425,V425))</f>
        <v>502.65284096588584</v>
      </c>
      <c r="DY425" s="25">
        <f t="shared" si="1870"/>
        <v>217.00447437362462</v>
      </c>
      <c r="EA425" s="4">
        <f t="shared" si="1871"/>
        <v>0.70805231646916167</v>
      </c>
      <c r="EB425" s="4">
        <f t="shared" ref="EB425:EB453" si="1980">IF(G425&lt;22.2,1.1*5*(F425/30)^0.5,IF(G425&gt;=31.8,0.9*5*(F425/30)^0.5,1*5*(F425/30)^0.5))/DS425/DV425</f>
        <v>8.9983064543138589</v>
      </c>
      <c r="EE425" s="4">
        <f t="shared" ref="EE425:EE453" si="1981">EF425*G425</f>
        <v>78.464542697960056</v>
      </c>
      <c r="EF425" s="4">
        <f t="shared" si="1807"/>
        <v>2.1908902300206643</v>
      </c>
      <c r="EG425" s="4">
        <f t="shared" ref="EG425:EG453" si="1982">MIN(DO425)/(4700*F425^0.5)/Q425*EE425</f>
        <v>0.12416613888795661</v>
      </c>
      <c r="EJ425" s="4">
        <f t="shared" si="1808"/>
        <v>0.12416613888795661</v>
      </c>
      <c r="EK425" s="4">
        <f t="shared" ref="EK425:EK453" si="1983">MIN(0.999, EJ425/(0.3*(F425/30)^0.5))</f>
        <v>0.29232658132615785</v>
      </c>
      <c r="EL425" s="4">
        <f t="shared" si="1809"/>
        <v>5.5018418549203876</v>
      </c>
      <c r="EM425" s="4">
        <f t="shared" si="1810"/>
        <v>7.4590215919052358</v>
      </c>
      <c r="EN425" s="4" t="e">
        <f t="shared" si="1811"/>
        <v>#REF!</v>
      </c>
      <c r="EO425" s="4" t="e">
        <f t="shared" si="1812"/>
        <v>#REF!</v>
      </c>
      <c r="EP425" s="4" t="e">
        <f t="shared" ref="EP425:EP453" si="1984">EO425/(1-0.3*(F425/30)^0.5)/200000/G425</f>
        <v>#REF!</v>
      </c>
      <c r="EQ425" s="4" t="e">
        <f t="shared" si="1813"/>
        <v>#REF!</v>
      </c>
      <c r="ER425" s="4" t="e">
        <f t="shared" ref="ER425:ER453" si="1985">MIN(4/G425*(1*EL425*EE425+EM425*EN425+EO425*EQ425)+DO425,MAX(D425,V425))</f>
        <v>#REF!</v>
      </c>
      <c r="FA425" s="23" t="e">
        <f t="shared" si="1772"/>
        <v>#REF!</v>
      </c>
      <c r="FB425" s="23" t="e">
        <f t="shared" si="1773"/>
        <v>#REF!</v>
      </c>
      <c r="FC425" s="23">
        <f t="shared" si="1706"/>
        <v>1</v>
      </c>
      <c r="FD425" s="23" t="e">
        <f t="shared" si="1774"/>
        <v>#REF!</v>
      </c>
      <c r="FE425" s="23">
        <f t="shared" si="1775"/>
        <v>0.8</v>
      </c>
      <c r="FF425" s="23">
        <f t="shared" si="1776"/>
        <v>0.8</v>
      </c>
      <c r="FG425" s="23">
        <f t="shared" si="1629"/>
        <v>1</v>
      </c>
      <c r="FH425" s="23"/>
      <c r="FR425" s="4">
        <f t="shared" si="1852"/>
        <v>1</v>
      </c>
      <c r="FS425" s="4">
        <f t="shared" si="1853"/>
        <v>0.55770140699820026</v>
      </c>
      <c r="FT425" s="4">
        <f t="shared" si="1854"/>
        <v>0.25149640360142861</v>
      </c>
      <c r="FU425" s="4">
        <f t="shared" si="1855"/>
        <v>443.6988379380615</v>
      </c>
    </row>
    <row r="426" spans="2:177" ht="12" customHeight="1" x14ac:dyDescent="0.3">
      <c r="B426" s="14"/>
      <c r="C426" s="48" t="s">
        <v>573</v>
      </c>
      <c r="D426" s="38">
        <f>115.9/0.145</f>
        <v>799.31034482758628</v>
      </c>
      <c r="E426" s="38">
        <f>9.69*25.4</f>
        <v>246.12599999999998</v>
      </c>
      <c r="F426" s="38">
        <f>8800/145</f>
        <v>60.689655172413794</v>
      </c>
      <c r="G426" s="38">
        <f t="shared" si="1885"/>
        <v>25.4</v>
      </c>
      <c r="H426" s="38">
        <f>16.9*25.4</f>
        <v>429.25999999999993</v>
      </c>
      <c r="I426" s="38">
        <f>2.5*25.4</f>
        <v>63.5</v>
      </c>
      <c r="J426" s="39">
        <f>2.95*25.4</f>
        <v>74.930000000000007</v>
      </c>
      <c r="K426" s="7">
        <f t="shared" si="1727"/>
        <v>251.45999999999992</v>
      </c>
      <c r="L426" s="38">
        <v>2</v>
      </c>
      <c r="M426" s="4">
        <f t="shared" si="1843"/>
        <v>508</v>
      </c>
      <c r="N426" s="7">
        <f t="shared" si="1947"/>
        <v>3</v>
      </c>
      <c r="O426" s="7">
        <f t="shared" si="1948"/>
        <v>3</v>
      </c>
      <c r="P426" s="38">
        <v>12.9</v>
      </c>
      <c r="Q426" s="4">
        <f t="shared" si="1736"/>
        <v>12.9</v>
      </c>
      <c r="R426" s="4">
        <f t="shared" si="1949"/>
        <v>13.9</v>
      </c>
      <c r="S426" s="7">
        <f t="shared" si="1950"/>
        <v>94.698067562120812</v>
      </c>
      <c r="V426" s="38">
        <f t="shared" si="1777"/>
        <v>743.44827586206895</v>
      </c>
      <c r="W426" s="4">
        <v>107.8</v>
      </c>
      <c r="X426" s="4">
        <f t="shared" si="1951"/>
        <v>1.0814969925658282</v>
      </c>
      <c r="Y426" s="38"/>
      <c r="Z426" s="38"/>
      <c r="AA426" s="39">
        <v>1</v>
      </c>
      <c r="AB426" s="39"/>
      <c r="AC426" s="39"/>
      <c r="AD426" s="7"/>
      <c r="AE426" s="4">
        <f t="shared" si="1952"/>
        <v>246.12599999999998</v>
      </c>
      <c r="AF426" s="4">
        <f t="shared" si="1953"/>
        <v>0.58135534915720666</v>
      </c>
      <c r="AG426" s="4">
        <f t="shared" si="1954"/>
        <v>296.82895641194636</v>
      </c>
      <c r="AH426" s="4">
        <f t="shared" si="1955"/>
        <v>0.76191950464396285</v>
      </c>
      <c r="AI426" s="4">
        <v>1.25</v>
      </c>
      <c r="AJ426" s="4">
        <f t="shared" si="1878"/>
        <v>2.5</v>
      </c>
      <c r="AK426" s="38">
        <f t="shared" si="1729"/>
        <v>410.87247777176111</v>
      </c>
      <c r="AL426" s="38">
        <f t="shared" ref="AL426:AL453" si="1986">AK426</f>
        <v>410.87247777176111</v>
      </c>
      <c r="AM426" s="38">
        <f t="shared" si="1956"/>
        <v>4.3734044077759826</v>
      </c>
      <c r="AN426" s="38">
        <f t="shared" si="1893"/>
        <v>410.87247777176123</v>
      </c>
      <c r="AO426" s="38">
        <f t="shared" si="1845"/>
        <v>0.99999999999999978</v>
      </c>
      <c r="AP426" s="38">
        <f t="shared" si="1894"/>
        <v>3.183125226035874</v>
      </c>
      <c r="AQ426" s="4">
        <f t="shared" si="1895"/>
        <v>0</v>
      </c>
      <c r="AR426" s="4" t="e">
        <f>#REF!/G426*F426^0.5/0.19</f>
        <v>#REF!</v>
      </c>
      <c r="AS426" s="4">
        <f t="shared" si="1957"/>
        <v>1</v>
      </c>
      <c r="AT426" s="38">
        <f t="shared" si="1958"/>
        <v>1307.8585486791571</v>
      </c>
      <c r="AU426" s="4">
        <f t="shared" si="1959"/>
        <v>0.3</v>
      </c>
      <c r="AV426" s="4" t="e">
        <f>AU426*D426*#REF!/(D426*G426/2.75/F426^0.5)</f>
        <v>#REF!</v>
      </c>
      <c r="AW426" s="4" t="e">
        <f t="shared" si="1793"/>
        <v>#REF!</v>
      </c>
      <c r="AY426" s="4">
        <f t="shared" si="1960"/>
        <v>1.375</v>
      </c>
      <c r="AZ426" s="4" t="e">
        <f>(3*#REF!+30)*AY426*F426^0.5</f>
        <v>#REF!</v>
      </c>
      <c r="BB426" s="4">
        <f t="shared" si="1961"/>
        <v>1254.3962888617332</v>
      </c>
      <c r="BC426" s="4">
        <f t="shared" si="1822"/>
        <v>0</v>
      </c>
      <c r="BD426" s="4">
        <f t="shared" si="1794"/>
        <v>0</v>
      </c>
      <c r="BL426" s="4">
        <f t="shared" si="1962"/>
        <v>63.5</v>
      </c>
      <c r="BP426" s="9"/>
      <c r="BR426" s="9"/>
      <c r="BS426" s="9"/>
      <c r="BT426" s="9">
        <f t="shared" si="1963"/>
        <v>63.5</v>
      </c>
      <c r="BU426" s="9">
        <f t="shared" si="1964"/>
        <v>125.72999999999996</v>
      </c>
      <c r="BV426" s="9">
        <f t="shared" si="1965"/>
        <v>1.7517405482385959</v>
      </c>
      <c r="BW426" s="40">
        <f t="shared" si="1738"/>
        <v>0</v>
      </c>
      <c r="BX426" s="9">
        <f t="shared" si="1966"/>
        <v>0</v>
      </c>
      <c r="BY426" s="9">
        <f t="shared" si="1795"/>
        <v>0</v>
      </c>
      <c r="BZ426" s="9">
        <f t="shared" si="1967"/>
        <v>0.99524931562137331</v>
      </c>
      <c r="CA426" s="9">
        <f t="shared" si="1968"/>
        <v>0.68048275862068963</v>
      </c>
      <c r="CB426" s="9">
        <f t="shared" si="1969"/>
        <v>1.8466066401443861</v>
      </c>
      <c r="CC426" s="9">
        <f t="shared" si="1970"/>
        <v>3.2347757281875587</v>
      </c>
      <c r="CD426" s="40">
        <v>1</v>
      </c>
      <c r="CE426" s="9" t="e">
        <f>4*CC426*#REF!+60*CC426</f>
        <v>#REF!</v>
      </c>
      <c r="CG426" s="4" t="e">
        <f t="shared" si="1796"/>
        <v>#REF!</v>
      </c>
      <c r="CH426" s="4" t="e">
        <f t="shared" si="1797"/>
        <v>#REF!</v>
      </c>
      <c r="CI426" s="4" t="e">
        <f t="shared" si="1798"/>
        <v>#REF!</v>
      </c>
      <c r="CJ426" s="4" t="e">
        <f t="shared" si="1799"/>
        <v>#REF!</v>
      </c>
      <c r="CK426" s="4">
        <f t="shared" si="1800"/>
        <v>1.0814969925658282</v>
      </c>
      <c r="CL426" s="4">
        <f t="shared" si="1801"/>
        <v>1.0734511207027237</v>
      </c>
      <c r="CM426" s="4">
        <f t="shared" si="1699"/>
        <v>1.378337467570502</v>
      </c>
      <c r="CN426" s="4">
        <f t="shared" si="1739"/>
        <v>0</v>
      </c>
      <c r="CO426" s="4" t="e">
        <f t="shared" ref="CO426:CO427" si="1987">CG426</f>
        <v>#REF!</v>
      </c>
      <c r="CP426" s="4" t="e">
        <f t="shared" ref="CP426:CP427" si="1988">CH426</f>
        <v>#REF!</v>
      </c>
      <c r="CQ426" s="4" t="e">
        <f t="shared" ref="CQ426:CQ427" si="1989">CJ426</f>
        <v>#REF!</v>
      </c>
      <c r="CR426" s="4">
        <f t="shared" ref="CR426:CR427" si="1990">CM426</f>
        <v>1.378337467570502</v>
      </c>
      <c r="CS426" s="4">
        <f t="shared" ref="CS426:CS427" si="1991">CK426</f>
        <v>1.0814969925658282</v>
      </c>
      <c r="CT426" s="4">
        <f t="shared" ref="CT426:CT427" si="1992">CL426</f>
        <v>1.0734511207027237</v>
      </c>
      <c r="DC426" s="4" t="e">
        <f>#REF!</f>
        <v>#REF!</v>
      </c>
      <c r="DF426" s="4">
        <f t="shared" si="1971"/>
        <v>2.1127512369735255E-5</v>
      </c>
      <c r="DG426" s="4">
        <f t="shared" si="1802"/>
        <v>9.8430311725779873</v>
      </c>
      <c r="DH426" s="4">
        <f t="shared" si="1972"/>
        <v>0.19337960299149198</v>
      </c>
      <c r="DI426" s="4">
        <f t="shared" si="1803"/>
        <v>5.1014440303118125</v>
      </c>
      <c r="DJ426" s="4">
        <f t="shared" si="1804"/>
        <v>7.8427012828187666</v>
      </c>
      <c r="DK426" s="4">
        <f t="shared" si="1973"/>
        <v>9.2307511883463249</v>
      </c>
      <c r="DL426" s="38">
        <f t="shared" si="1974"/>
        <v>687.42519024325156</v>
      </c>
      <c r="DM426" s="4" t="e">
        <f t="shared" si="1805"/>
        <v>#REF!</v>
      </c>
      <c r="DN426" s="4">
        <f t="shared" si="1975"/>
        <v>3.7282703764614493</v>
      </c>
      <c r="DO426" s="4">
        <f t="shared" si="1697"/>
        <v>410.87247777176123</v>
      </c>
      <c r="DS426" s="4">
        <f t="shared" si="1976"/>
        <v>0.85</v>
      </c>
      <c r="DT426" s="4">
        <f t="shared" si="1977"/>
        <v>0.85</v>
      </c>
      <c r="DU426" s="4">
        <f t="shared" si="1978"/>
        <v>1</v>
      </c>
      <c r="DV426" s="4">
        <f t="shared" si="1806"/>
        <v>0.85</v>
      </c>
      <c r="DX426" s="4">
        <f t="shared" si="1979"/>
        <v>692.57766983873307</v>
      </c>
      <c r="DY426" s="25">
        <f t="shared" si="1870"/>
        <v>406.44075365189104</v>
      </c>
      <c r="EA426" s="4">
        <f t="shared" si="1871"/>
        <v>0.72249999999999992</v>
      </c>
      <c r="EB426" s="4">
        <f t="shared" si="1980"/>
        <v>9.8430311725779873</v>
      </c>
      <c r="EE426" s="4">
        <f t="shared" si="1981"/>
        <v>94.698067562120812</v>
      </c>
      <c r="EF426" s="4">
        <f t="shared" si="1807"/>
        <v>3.7282703764614498</v>
      </c>
      <c r="EG426" s="4">
        <f t="shared" si="1982"/>
        <v>8.237648650767096E-2</v>
      </c>
      <c r="EJ426" s="4">
        <f t="shared" si="1808"/>
        <v>8.237648650767096E-2</v>
      </c>
      <c r="EK426" s="4">
        <f t="shared" si="1983"/>
        <v>0.19305688847515784</v>
      </c>
      <c r="EL426" s="4">
        <f t="shared" si="1809"/>
        <v>5.0980369802049079</v>
      </c>
      <c r="EM426" s="4">
        <f t="shared" si="1810"/>
        <v>7.8416043118474654</v>
      </c>
      <c r="EN426" s="4" t="e">
        <f t="shared" si="1811"/>
        <v>#REF!</v>
      </c>
      <c r="EO426" s="4" t="e">
        <f t="shared" si="1812"/>
        <v>#REF!</v>
      </c>
      <c r="EP426" s="4" t="e">
        <f t="shared" si="1984"/>
        <v>#REF!</v>
      </c>
      <c r="EQ426" s="4" t="e">
        <f t="shared" si="1813"/>
        <v>#REF!</v>
      </c>
      <c r="ER426" s="4" t="e">
        <f t="shared" si="1985"/>
        <v>#REF!</v>
      </c>
      <c r="EU426" s="4">
        <f>5.25*25.4</f>
        <v>133.35</v>
      </c>
      <c r="FA426" s="23" t="e">
        <f t="shared" si="1772"/>
        <v>#REF!</v>
      </c>
      <c r="FB426" s="23" t="e">
        <f t="shared" si="1773"/>
        <v>#REF!</v>
      </c>
      <c r="FC426" s="23">
        <f t="shared" si="1706"/>
        <v>1.4</v>
      </c>
      <c r="FD426" s="23" t="e">
        <f t="shared" si="1774"/>
        <v>#REF!</v>
      </c>
      <c r="FE426" s="23">
        <f t="shared" si="1775"/>
        <v>1.2</v>
      </c>
      <c r="FF426" s="23">
        <f t="shared" si="1776"/>
        <v>1.2</v>
      </c>
      <c r="FG426" s="23">
        <f t="shared" si="1629"/>
        <v>0</v>
      </c>
      <c r="FH426" s="23"/>
      <c r="FR426" s="4">
        <f t="shared" si="1852"/>
        <v>1</v>
      </c>
      <c r="FS426" s="4">
        <f t="shared" si="1853"/>
        <v>0.5</v>
      </c>
      <c r="FT426" s="4">
        <f t="shared" si="1854"/>
        <v>0</v>
      </c>
      <c r="FU426" s="4">
        <f t="shared" si="1855"/>
        <v>539.3804444513089</v>
      </c>
    </row>
    <row r="427" spans="2:177" ht="12" customHeight="1" x14ac:dyDescent="0.3">
      <c r="B427" s="14"/>
      <c r="C427" s="7" t="s">
        <v>574</v>
      </c>
      <c r="D427" s="38">
        <f>115.9/0.145</f>
        <v>799.31034482758628</v>
      </c>
      <c r="E427" s="38">
        <f>8.25*25.4</f>
        <v>209.54999999999998</v>
      </c>
      <c r="F427" s="38">
        <f>8800/145</f>
        <v>60.689655172413794</v>
      </c>
      <c r="G427" s="38">
        <f t="shared" si="1885"/>
        <v>25.4</v>
      </c>
      <c r="H427" s="38">
        <f>17.3*25.4</f>
        <v>439.42</v>
      </c>
      <c r="I427" s="38">
        <f>2.6*25.4</f>
        <v>66.039999999999992</v>
      </c>
      <c r="J427" s="39">
        <f>3.3*25.4</f>
        <v>83.82</v>
      </c>
      <c r="K427" s="7">
        <f t="shared" si="1727"/>
        <v>256.54000000000002</v>
      </c>
      <c r="L427" s="38">
        <v>2</v>
      </c>
      <c r="M427" s="4">
        <f t="shared" si="1843"/>
        <v>508</v>
      </c>
      <c r="N427" s="7">
        <f t="shared" si="1947"/>
        <v>3.0999999999999996</v>
      </c>
      <c r="O427" s="7">
        <f t="shared" si="1948"/>
        <v>3.0999999999999996</v>
      </c>
      <c r="P427" s="38">
        <v>14.9</v>
      </c>
      <c r="Q427" s="4">
        <f t="shared" si="1736"/>
        <v>14.9</v>
      </c>
      <c r="R427" s="4">
        <f t="shared" si="1949"/>
        <v>15.9</v>
      </c>
      <c r="S427" s="7">
        <f t="shared" si="1950"/>
        <v>101.28200234987457</v>
      </c>
      <c r="V427" s="38">
        <f t="shared" si="1777"/>
        <v>618.62068965517244</v>
      </c>
      <c r="W427" s="4">
        <v>89.7</v>
      </c>
      <c r="X427" s="4">
        <f t="shared" si="1951"/>
        <v>0.99576500752813224</v>
      </c>
      <c r="Y427" s="38"/>
      <c r="Z427" s="38"/>
      <c r="AA427" s="39">
        <v>1</v>
      </c>
      <c r="AB427" s="39"/>
      <c r="AC427" s="39"/>
      <c r="AD427" s="7"/>
      <c r="AE427" s="4">
        <f t="shared" si="1952"/>
        <v>209.54999999999998</v>
      </c>
      <c r="AF427" s="4">
        <f t="shared" si="1953"/>
        <v>0.69898989898989905</v>
      </c>
      <c r="AG427" s="4">
        <f t="shared" si="1954"/>
        <v>233.18548975839079</v>
      </c>
      <c r="AH427" s="4">
        <f t="shared" si="1955"/>
        <v>0.77515151515151515</v>
      </c>
      <c r="AI427" s="4">
        <v>1.25</v>
      </c>
      <c r="AJ427" s="4">
        <f t="shared" si="1878"/>
        <v>2.5</v>
      </c>
      <c r="AK427" s="38">
        <f t="shared" si="1729"/>
        <v>394.82900032422606</v>
      </c>
      <c r="AL427" s="38">
        <f t="shared" si="1986"/>
        <v>394.82900032422606</v>
      </c>
      <c r="AM427" s="38">
        <f t="shared" si="1956"/>
        <v>4.3734044077759826</v>
      </c>
      <c r="AN427" s="38">
        <f t="shared" si="1893"/>
        <v>394.82900032422566</v>
      </c>
      <c r="AO427" s="38">
        <f t="shared" si="1845"/>
        <v>1.0000000000000011</v>
      </c>
      <c r="AP427" s="38">
        <f t="shared" si="1894"/>
        <v>3.6786667707318781</v>
      </c>
      <c r="AQ427" s="4">
        <f t="shared" si="1895"/>
        <v>0</v>
      </c>
      <c r="AR427" s="4" t="e">
        <f>#REF!/G427*F427^0.5/0.19</f>
        <v>#REF!</v>
      </c>
      <c r="AS427" s="4">
        <f t="shared" si="1957"/>
        <v>1</v>
      </c>
      <c r="AT427" s="38">
        <f t="shared" si="1958"/>
        <v>1452.4443236140148</v>
      </c>
      <c r="AU427" s="4">
        <f t="shared" si="1959"/>
        <v>0.3</v>
      </c>
      <c r="AV427" s="4" t="e">
        <f>AU427*D427*#REF!/(D427*G427/2.75/F427^0.5)</f>
        <v>#REF!</v>
      </c>
      <c r="AW427" s="4" t="e">
        <f t="shared" si="1793"/>
        <v>#REF!</v>
      </c>
      <c r="AY427" s="4">
        <f t="shared" si="1960"/>
        <v>1.4</v>
      </c>
      <c r="AZ427" s="4" t="e">
        <f>(3*#REF!+30)*AY427*F427^0.5</f>
        <v>#REF!</v>
      </c>
      <c r="BB427" s="4">
        <f t="shared" si="1961"/>
        <v>1393.0717287123591</v>
      </c>
      <c r="BC427" s="4">
        <f t="shared" si="1822"/>
        <v>0</v>
      </c>
      <c r="BD427" s="4">
        <f t="shared" si="1794"/>
        <v>0</v>
      </c>
      <c r="BL427" s="4">
        <f t="shared" si="1962"/>
        <v>66.039999999999992</v>
      </c>
      <c r="BP427" s="9"/>
      <c r="BR427" s="9"/>
      <c r="BS427" s="9"/>
      <c r="BT427" s="9">
        <f t="shared" si="1963"/>
        <v>66.039999999999992</v>
      </c>
      <c r="BU427" s="9">
        <f t="shared" si="1964"/>
        <v>128.27000000000001</v>
      </c>
      <c r="BV427" s="9">
        <f t="shared" si="1965"/>
        <v>1.7812889692205971</v>
      </c>
      <c r="BW427" s="40">
        <f t="shared" si="1738"/>
        <v>0</v>
      </c>
      <c r="BX427" s="9">
        <f t="shared" si="1966"/>
        <v>0</v>
      </c>
      <c r="BY427" s="9">
        <f t="shared" si="1795"/>
        <v>0</v>
      </c>
      <c r="BZ427" s="9">
        <f t="shared" si="1967"/>
        <v>0.99524931562137331</v>
      </c>
      <c r="CA427" s="9">
        <f t="shared" si="1968"/>
        <v>0.68048275862068963</v>
      </c>
      <c r="CB427" s="9">
        <f t="shared" si="1969"/>
        <v>1.8466066401443861</v>
      </c>
      <c r="CC427" s="9">
        <f t="shared" si="1970"/>
        <v>3.2893400385787035</v>
      </c>
      <c r="CD427" s="40">
        <v>1</v>
      </c>
      <c r="CE427" s="9" t="e">
        <f>4*CC427*#REF!+60*CC427</f>
        <v>#REF!</v>
      </c>
      <c r="CG427" s="4" t="e">
        <f t="shared" si="1796"/>
        <v>#REF!</v>
      </c>
      <c r="CH427" s="4" t="e">
        <f t="shared" si="1797"/>
        <v>#REF!</v>
      </c>
      <c r="CI427" s="4" t="e">
        <f t="shared" si="1798"/>
        <v>#REF!</v>
      </c>
      <c r="CJ427" s="4" t="e">
        <f t="shared" si="1799"/>
        <v>#REF!</v>
      </c>
      <c r="CK427" s="4">
        <f t="shared" si="1800"/>
        <v>0.99576500752813224</v>
      </c>
      <c r="CL427" s="4">
        <f t="shared" si="1801"/>
        <v>0.97228115444619168</v>
      </c>
      <c r="CM427" s="4">
        <f t="shared" si="1699"/>
        <v>1.3470976313599901</v>
      </c>
      <c r="CN427" s="4">
        <f t="shared" si="1739"/>
        <v>0</v>
      </c>
      <c r="CO427" s="4" t="e">
        <f t="shared" si="1987"/>
        <v>#REF!</v>
      </c>
      <c r="CP427" s="4" t="e">
        <f t="shared" si="1988"/>
        <v>#REF!</v>
      </c>
      <c r="CQ427" s="4" t="e">
        <f t="shared" si="1989"/>
        <v>#REF!</v>
      </c>
      <c r="CR427" s="4">
        <f t="shared" si="1990"/>
        <v>1.3470976313599901</v>
      </c>
      <c r="CS427" s="4">
        <f t="shared" si="1991"/>
        <v>0.99576500752813224</v>
      </c>
      <c r="CT427" s="4">
        <f t="shared" si="1992"/>
        <v>0.97228115444619168</v>
      </c>
      <c r="DC427" s="4" t="e">
        <f>#REF!</f>
        <v>#REF!</v>
      </c>
      <c r="DF427" s="4">
        <f t="shared" si="1971"/>
        <v>1.7987820129031567E-5</v>
      </c>
      <c r="DG427" s="4">
        <f t="shared" si="1802"/>
        <v>9.9602101151086764</v>
      </c>
      <c r="DH427" s="4">
        <f t="shared" si="1972"/>
        <v>0.17207083308907464</v>
      </c>
      <c r="DI427" s="4">
        <f t="shared" si="1803"/>
        <v>4.926646535132214</v>
      </c>
      <c r="DJ427" s="4">
        <f t="shared" si="1804"/>
        <v>7.8616783602674873</v>
      </c>
      <c r="DK427" s="4">
        <f t="shared" si="1973"/>
        <v>9.5345059053681016</v>
      </c>
      <c r="DL427" s="38">
        <f t="shared" si="1974"/>
        <v>621.25168586795837</v>
      </c>
      <c r="DM427" s="4" t="e">
        <f t="shared" si="1805"/>
        <v>#REF!</v>
      </c>
      <c r="DN427" s="4">
        <f t="shared" si="1975"/>
        <v>3.9874804074753771</v>
      </c>
      <c r="DO427" s="4">
        <f t="shared" si="1697"/>
        <v>394.82900032422566</v>
      </c>
      <c r="DS427" s="4">
        <f t="shared" si="1976"/>
        <v>0.85</v>
      </c>
      <c r="DT427" s="4">
        <f t="shared" si="1977"/>
        <v>0.84000000000000008</v>
      </c>
      <c r="DU427" s="4">
        <f t="shared" si="1978"/>
        <v>1</v>
      </c>
      <c r="DV427" s="4">
        <f t="shared" si="1806"/>
        <v>0.84000000000000008</v>
      </c>
      <c r="DX427" s="4">
        <f t="shared" si="1979"/>
        <v>636.25699914705933</v>
      </c>
      <c r="DY427" s="25">
        <f t="shared" si="1870"/>
        <v>389.74179879811953</v>
      </c>
      <c r="EA427" s="4">
        <f t="shared" si="1871"/>
        <v>0.71400000000000008</v>
      </c>
      <c r="EB427" s="4">
        <f t="shared" si="1980"/>
        <v>9.9602101151086764</v>
      </c>
      <c r="EE427" s="4">
        <f t="shared" si="1981"/>
        <v>101.28200234987457</v>
      </c>
      <c r="EF427" s="4">
        <f t="shared" si="1807"/>
        <v>3.9874804074753771</v>
      </c>
      <c r="EG427" s="4">
        <f t="shared" si="1982"/>
        <v>7.3299305826734412E-2</v>
      </c>
      <c r="EJ427" s="4">
        <f t="shared" si="1808"/>
        <v>7.3299305826734412E-2</v>
      </c>
      <c r="EK427" s="4">
        <f t="shared" si="1983"/>
        <v>0.17178367893829274</v>
      </c>
      <c r="EL427" s="4">
        <f t="shared" si="1809"/>
        <v>4.9233562252700516</v>
      </c>
      <c r="EM427" s="4">
        <f t="shared" si="1810"/>
        <v>7.8606601734919019</v>
      </c>
      <c r="EN427" s="4" t="e">
        <f t="shared" si="1811"/>
        <v>#REF!</v>
      </c>
      <c r="EO427" s="4" t="e">
        <f t="shared" si="1812"/>
        <v>#REF!</v>
      </c>
      <c r="EP427" s="4" t="e">
        <f t="shared" si="1984"/>
        <v>#REF!</v>
      </c>
      <c r="EQ427" s="4" t="e">
        <f t="shared" si="1813"/>
        <v>#REF!</v>
      </c>
      <c r="ER427" s="4" t="e">
        <f t="shared" si="1985"/>
        <v>#REF!</v>
      </c>
      <c r="FA427" s="23" t="e">
        <f t="shared" si="1772"/>
        <v>#REF!</v>
      </c>
      <c r="FB427" s="23" t="e">
        <f t="shared" si="1773"/>
        <v>#REF!</v>
      </c>
      <c r="FC427" s="23">
        <f t="shared" si="1706"/>
        <v>1.4</v>
      </c>
      <c r="FD427" s="23" t="e">
        <f t="shared" si="1774"/>
        <v>#REF!</v>
      </c>
      <c r="FE427" s="23">
        <f t="shared" si="1775"/>
        <v>1</v>
      </c>
      <c r="FF427" s="23">
        <f t="shared" si="1776"/>
        <v>1</v>
      </c>
      <c r="FG427" s="23">
        <f t="shared" ref="FG427:FG453" si="1993">IF(FE427&lt;1,1,0)</f>
        <v>0</v>
      </c>
      <c r="FH427" s="23"/>
      <c r="FR427" s="4">
        <f t="shared" si="1852"/>
        <v>1</v>
      </c>
      <c r="FS427" s="4">
        <f t="shared" si="1853"/>
        <v>0.5</v>
      </c>
      <c r="FT427" s="4">
        <f t="shared" si="1854"/>
        <v>0</v>
      </c>
      <c r="FU427" s="4">
        <f t="shared" si="1855"/>
        <v>459.22483660715164</v>
      </c>
    </row>
    <row r="428" spans="2:177" ht="12" customHeight="1" x14ac:dyDescent="0.3">
      <c r="B428" s="14"/>
      <c r="C428" s="48" t="s">
        <v>575</v>
      </c>
      <c r="D428" s="38">
        <f>115.9/0.145</f>
        <v>799.31034482758628</v>
      </c>
      <c r="E428" s="38">
        <f>9.38*25.4</f>
        <v>238.25200000000001</v>
      </c>
      <c r="F428" s="38">
        <f>8800/145</f>
        <v>60.689655172413794</v>
      </c>
      <c r="G428" s="38">
        <f t="shared" si="1885"/>
        <v>25.4</v>
      </c>
      <c r="H428" s="38">
        <f>17.1*25.4</f>
        <v>434.34000000000003</v>
      </c>
      <c r="I428" s="38">
        <f>2.55*25.4</f>
        <v>64.77</v>
      </c>
      <c r="J428" s="39">
        <f>3.2*25.4</f>
        <v>81.28</v>
      </c>
      <c r="K428" s="7">
        <f t="shared" si="1727"/>
        <v>254.00000000000003</v>
      </c>
      <c r="L428" s="38">
        <v>2</v>
      </c>
      <c r="M428" s="4">
        <f t="shared" si="1843"/>
        <v>508</v>
      </c>
      <c r="N428" s="7">
        <f t="shared" si="1947"/>
        <v>3.05</v>
      </c>
      <c r="O428" s="7">
        <f t="shared" si="1948"/>
        <v>3.05</v>
      </c>
      <c r="P428" s="38">
        <v>12.9</v>
      </c>
      <c r="Q428" s="4">
        <f t="shared" si="1736"/>
        <v>12.9</v>
      </c>
      <c r="R428" s="4">
        <f t="shared" si="1949"/>
        <v>13.9</v>
      </c>
      <c r="S428" s="7">
        <f t="shared" si="1950"/>
        <v>94.698067562120812</v>
      </c>
      <c r="V428" s="38">
        <f t="shared" si="1777"/>
        <v>728.96551724137942</v>
      </c>
      <c r="W428" s="4">
        <v>105.7</v>
      </c>
      <c r="X428" s="4">
        <f t="shared" si="1951"/>
        <v>0.99413885294838056</v>
      </c>
      <c r="Y428" s="38">
        <f t="shared" ref="Y428:Y437" si="1994">0.5*25.4</f>
        <v>12.7</v>
      </c>
      <c r="Z428" s="38">
        <v>10</v>
      </c>
      <c r="AA428" s="39">
        <f>3*25.4</f>
        <v>76.199999999999989</v>
      </c>
      <c r="AB428" s="39">
        <v>3</v>
      </c>
      <c r="AC428" s="39">
        <f t="shared" ref="AC428:AC429" si="1995">AB428-1</f>
        <v>2</v>
      </c>
      <c r="AD428" s="7"/>
      <c r="AE428" s="4">
        <f t="shared" si="1952"/>
        <v>238.25200000000001</v>
      </c>
      <c r="AF428" s="4">
        <f t="shared" si="1953"/>
        <v>0.60767590618336897</v>
      </c>
      <c r="AG428" s="4">
        <f t="shared" si="1954"/>
        <v>282.69938075844567</v>
      </c>
      <c r="AH428" s="4">
        <f t="shared" si="1955"/>
        <v>0.76503198294243069</v>
      </c>
      <c r="AI428" s="4">
        <v>1.25</v>
      </c>
      <c r="AJ428" s="4">
        <f t="shared" si="1878"/>
        <v>2.5</v>
      </c>
      <c r="AK428" s="38">
        <f t="shared" si="1729"/>
        <v>410.70168799237626</v>
      </c>
      <c r="AL428" s="38">
        <f t="shared" si="1986"/>
        <v>410.70168799237626</v>
      </c>
      <c r="AM428" s="38">
        <f t="shared" si="1956"/>
        <v>4.3734044077759826</v>
      </c>
      <c r="AN428" s="38">
        <f t="shared" si="1893"/>
        <v>410.70168799237581</v>
      </c>
      <c r="AO428" s="38">
        <f t="shared" si="1845"/>
        <v>1.0000000000000011</v>
      </c>
      <c r="AP428" s="38">
        <f t="shared" si="1894"/>
        <v>3.2375230733939095</v>
      </c>
      <c r="AQ428" s="4">
        <f t="shared" si="1895"/>
        <v>0</v>
      </c>
      <c r="AR428" s="4" t="e">
        <f>#REF!/G428*F428^0.5/0.19</f>
        <v>#REF!</v>
      </c>
      <c r="AS428" s="4">
        <f t="shared" si="1957"/>
        <v>1</v>
      </c>
      <c r="AT428" s="38">
        <f t="shared" si="1958"/>
        <v>1329.656191157143</v>
      </c>
      <c r="AU428" s="4">
        <f t="shared" si="1959"/>
        <v>0.3</v>
      </c>
      <c r="AV428" s="4" t="e">
        <f>AU428*D428*#REF!/(D428*G428/2.75/F428^0.5)</f>
        <v>#REF!</v>
      </c>
      <c r="AW428" s="4" t="e">
        <f t="shared" si="1793"/>
        <v>#REF!</v>
      </c>
      <c r="AY428" s="4">
        <f t="shared" si="1960"/>
        <v>1.5</v>
      </c>
      <c r="AZ428" s="4" t="e">
        <f>(3*#REF!+30)*AY428*F428^0.5</f>
        <v>#REF!</v>
      </c>
      <c r="BB428" s="4">
        <f t="shared" si="1961"/>
        <v>1275.3028936760954</v>
      </c>
      <c r="BC428" s="4">
        <f t="shared" si="1822"/>
        <v>0</v>
      </c>
      <c r="BD428" s="4">
        <f t="shared" si="1794"/>
        <v>0</v>
      </c>
      <c r="BL428" s="4">
        <f t="shared" si="1962"/>
        <v>64.77</v>
      </c>
      <c r="BP428" s="9"/>
      <c r="BR428" s="9"/>
      <c r="BS428" s="9"/>
      <c r="BT428" s="9">
        <f t="shared" si="1963"/>
        <v>64.77</v>
      </c>
      <c r="BU428" s="9">
        <f t="shared" si="1964"/>
        <v>127.00000000000001</v>
      </c>
      <c r="BV428" s="9">
        <f t="shared" si="1965"/>
        <v>1.7665851027593089</v>
      </c>
      <c r="BW428" s="40">
        <f t="shared" si="1738"/>
        <v>20</v>
      </c>
      <c r="BX428" s="9">
        <f t="shared" si="1966"/>
        <v>0.05</v>
      </c>
      <c r="BY428" s="9">
        <f t="shared" si="1795"/>
        <v>0.8</v>
      </c>
      <c r="BZ428" s="9">
        <f t="shared" si="1967"/>
        <v>0.99524931562137331</v>
      </c>
      <c r="CA428" s="9">
        <f t="shared" si="1968"/>
        <v>0.68048275862068963</v>
      </c>
      <c r="CB428" s="9">
        <f t="shared" si="1969"/>
        <v>1.8466066401443861</v>
      </c>
      <c r="CC428" s="9">
        <f t="shared" si="1970"/>
        <v>4.6165166003609652</v>
      </c>
      <c r="CD428" s="40">
        <v>1</v>
      </c>
      <c r="CE428" s="9" t="e">
        <f>4*CC428*#REF!+60*CC428</f>
        <v>#REF!</v>
      </c>
      <c r="CG428" s="4" t="e">
        <f t="shared" si="1796"/>
        <v>#REF!</v>
      </c>
      <c r="CH428" s="4" t="e">
        <f t="shared" si="1797"/>
        <v>#REF!</v>
      </c>
      <c r="CI428" s="4" t="e">
        <f t="shared" si="1798"/>
        <v>#REF!</v>
      </c>
      <c r="CJ428" s="4" t="e">
        <f t="shared" si="1799"/>
        <v>#REF!</v>
      </c>
      <c r="CK428" s="4">
        <f t="shared" si="1800"/>
        <v>0.99413885294838056</v>
      </c>
      <c r="CL428" s="4">
        <f t="shared" si="1801"/>
        <v>0.98184147159351287</v>
      </c>
      <c r="CM428" s="4">
        <f t="shared" si="1699"/>
        <v>1.2226871085348725</v>
      </c>
      <c r="CN428" s="4">
        <f t="shared" si="1739"/>
        <v>10</v>
      </c>
      <c r="CU428" s="4" t="e">
        <f t="shared" ref="CU428:CU429" si="1996">CG428</f>
        <v>#REF!</v>
      </c>
      <c r="CV428" s="4" t="e">
        <f t="shared" ref="CV428:CV429" si="1997">CH428</f>
        <v>#REF!</v>
      </c>
      <c r="CW428" s="4" t="e">
        <f t="shared" ref="CW428:CW429" si="1998">CJ428</f>
        <v>#REF!</v>
      </c>
      <c r="CX428" s="4">
        <f t="shared" ref="CX428:CX429" si="1999">CM428</f>
        <v>1.2226871085348725</v>
      </c>
      <c r="CY428" s="4">
        <f t="shared" ref="CY428:CY429" si="2000">CK428</f>
        <v>0.99413885294838056</v>
      </c>
      <c r="CZ428" s="4">
        <f t="shared" ref="CZ428:CZ429" si="2001">CL428</f>
        <v>0.98184147159351287</v>
      </c>
      <c r="DC428" s="4" t="e">
        <f>#REF!</f>
        <v>#REF!</v>
      </c>
      <c r="DF428" s="4">
        <f t="shared" si="1971"/>
        <v>2.0451606401250436E-5</v>
      </c>
      <c r="DG428" s="4">
        <f t="shared" si="1802"/>
        <v>11.952252138130413</v>
      </c>
      <c r="DH428" s="4">
        <f t="shared" si="1972"/>
        <v>0.19329921975455272</v>
      </c>
      <c r="DI428" s="4">
        <f t="shared" si="1803"/>
        <v>6.1935804996758534</v>
      </c>
      <c r="DJ428" s="4">
        <f t="shared" si="1804"/>
        <v>9.5229483944501201</v>
      </c>
      <c r="DK428" s="4">
        <f t="shared" si="1973"/>
        <v>11.112682316132476</v>
      </c>
      <c r="DL428" s="38">
        <f t="shared" si="1974"/>
        <v>733.26328115981005</v>
      </c>
      <c r="DM428" s="4" t="e">
        <f t="shared" si="1805"/>
        <v>#REF!</v>
      </c>
      <c r="DN428" s="4">
        <f t="shared" si="1975"/>
        <v>3.7282703764614493</v>
      </c>
      <c r="DO428" s="4">
        <f t="shared" si="1697"/>
        <v>410.70168799237581</v>
      </c>
      <c r="DS428" s="4">
        <f t="shared" si="1976"/>
        <v>0.85</v>
      </c>
      <c r="DT428" s="4">
        <f t="shared" si="1977"/>
        <v>0.84499999999999997</v>
      </c>
      <c r="DU428" s="4">
        <f t="shared" si="1978"/>
        <v>0.77500000000000002</v>
      </c>
      <c r="DV428" s="4">
        <f t="shared" si="1806"/>
        <v>0.7</v>
      </c>
      <c r="DX428" s="4">
        <f t="shared" si="1979"/>
        <v>742.44726703006359</v>
      </c>
      <c r="DY428" s="25">
        <f t="shared" si="1870"/>
        <v>406.11089186307373</v>
      </c>
      <c r="EA428" s="4">
        <f t="shared" si="1871"/>
        <v>0.59499999999999997</v>
      </c>
      <c r="EB428" s="4">
        <f t="shared" si="1980"/>
        <v>11.952252138130413</v>
      </c>
      <c r="EE428" s="4">
        <f t="shared" si="1981"/>
        <v>94.698067562120812</v>
      </c>
      <c r="EF428" s="4">
        <f t="shared" si="1807"/>
        <v>3.7282703764614498</v>
      </c>
      <c r="EG428" s="4">
        <f t="shared" si="1982"/>
        <v>8.2342244589026295E-2</v>
      </c>
      <c r="EJ428" s="4">
        <f t="shared" si="1808"/>
        <v>8.2342244589026295E-2</v>
      </c>
      <c r="EK428" s="4">
        <f t="shared" si="1983"/>
        <v>0.19297663938285961</v>
      </c>
      <c r="EL428" s="4">
        <f t="shared" si="1809"/>
        <v>6.1894440553714247</v>
      </c>
      <c r="EM428" s="4">
        <f t="shared" si="1810"/>
        <v>9.5216167653525225</v>
      </c>
      <c r="EN428" s="4" t="e">
        <f t="shared" si="1811"/>
        <v>#REF!</v>
      </c>
      <c r="EO428" s="4" t="e">
        <f t="shared" si="1812"/>
        <v>#REF!</v>
      </c>
      <c r="EP428" s="4" t="e">
        <f t="shared" si="1984"/>
        <v>#REF!</v>
      </c>
      <c r="EQ428" s="4" t="e">
        <f t="shared" si="1813"/>
        <v>#REF!</v>
      </c>
      <c r="ER428" s="4" t="e">
        <f t="shared" si="1985"/>
        <v>#REF!</v>
      </c>
      <c r="EU428" s="4">
        <f>5.25*25.4</f>
        <v>133.35</v>
      </c>
      <c r="FA428" s="23" t="e">
        <f t="shared" si="1772"/>
        <v>#REF!</v>
      </c>
      <c r="FB428" s="23" t="e">
        <f t="shared" si="1773"/>
        <v>#REF!</v>
      </c>
      <c r="FC428" s="23">
        <f t="shared" si="1706"/>
        <v>1.4</v>
      </c>
      <c r="FD428" s="23" t="e">
        <f t="shared" si="1774"/>
        <v>#REF!</v>
      </c>
      <c r="FE428" s="23">
        <f t="shared" si="1775"/>
        <v>1</v>
      </c>
      <c r="FF428" s="23">
        <f t="shared" si="1776"/>
        <v>1</v>
      </c>
      <c r="FG428" s="23">
        <f t="shared" si="1993"/>
        <v>0</v>
      </c>
      <c r="FH428" s="23"/>
      <c r="FR428" s="4">
        <f t="shared" si="1852"/>
        <v>1</v>
      </c>
      <c r="FS428" s="4">
        <f t="shared" si="1853"/>
        <v>0.43787748058671272</v>
      </c>
      <c r="FT428" s="4">
        <f t="shared" si="1854"/>
        <v>0.3</v>
      </c>
      <c r="FU428" s="4">
        <f t="shared" si="1855"/>
        <v>596.1995609121027</v>
      </c>
    </row>
    <row r="429" spans="2:177" ht="12" customHeight="1" x14ac:dyDescent="0.3">
      <c r="B429" s="14"/>
      <c r="C429" s="7" t="s">
        <v>576</v>
      </c>
      <c r="D429" s="38">
        <f>115.9/0.145</f>
        <v>799.31034482758628</v>
      </c>
      <c r="E429" s="38">
        <f>8.25*25.4</f>
        <v>209.54999999999998</v>
      </c>
      <c r="F429" s="38">
        <f>8800/145</f>
        <v>60.689655172413794</v>
      </c>
      <c r="G429" s="38">
        <f t="shared" si="1885"/>
        <v>25.4</v>
      </c>
      <c r="H429" s="38">
        <f>17.3*25.4</f>
        <v>439.42</v>
      </c>
      <c r="I429" s="38">
        <f>2.65*25.4</f>
        <v>67.309999999999988</v>
      </c>
      <c r="J429" s="39">
        <f>3.1*25.4</f>
        <v>78.739999999999995</v>
      </c>
      <c r="K429" s="7">
        <f t="shared" si="1727"/>
        <v>254.00000000000003</v>
      </c>
      <c r="L429" s="38">
        <v>2</v>
      </c>
      <c r="M429" s="4">
        <f t="shared" si="1843"/>
        <v>508</v>
      </c>
      <c r="N429" s="7">
        <f t="shared" si="1947"/>
        <v>3.1499999999999995</v>
      </c>
      <c r="O429" s="7">
        <f t="shared" si="1948"/>
        <v>3.1499999999999995</v>
      </c>
      <c r="P429" s="38">
        <v>14.9</v>
      </c>
      <c r="Q429" s="4">
        <f t="shared" si="1736"/>
        <v>14.9</v>
      </c>
      <c r="R429" s="4">
        <f t="shared" si="1949"/>
        <v>15.9</v>
      </c>
      <c r="S429" s="7">
        <f t="shared" si="1950"/>
        <v>101.28200234987457</v>
      </c>
      <c r="V429" s="38">
        <f t="shared" si="1777"/>
        <v>759.31034482758616</v>
      </c>
      <c r="W429" s="4">
        <v>110.1</v>
      </c>
      <c r="X429" s="4">
        <f t="shared" si="1951"/>
        <v>1.1394424782402843</v>
      </c>
      <c r="Y429" s="38">
        <f t="shared" si="1994"/>
        <v>12.7</v>
      </c>
      <c r="Z429" s="38">
        <v>10</v>
      </c>
      <c r="AA429" s="39">
        <f>3*25.4</f>
        <v>76.199999999999989</v>
      </c>
      <c r="AB429" s="39">
        <v>3</v>
      </c>
      <c r="AC429" s="39">
        <f t="shared" si="1995"/>
        <v>2</v>
      </c>
      <c r="AD429" s="7"/>
      <c r="AE429" s="4">
        <f t="shared" si="1952"/>
        <v>209.54999999999998</v>
      </c>
      <c r="AF429" s="4">
        <f t="shared" si="1953"/>
        <v>0.69898989898989905</v>
      </c>
      <c r="AG429" s="4">
        <f t="shared" si="1954"/>
        <v>233.18548975839079</v>
      </c>
      <c r="AH429" s="4">
        <f t="shared" si="1955"/>
        <v>0.77636363636363637</v>
      </c>
      <c r="AI429" s="4">
        <v>1.25</v>
      </c>
      <c r="AJ429" s="4">
        <f t="shared" si="1878"/>
        <v>2.5</v>
      </c>
      <c r="AK429" s="38">
        <f t="shared" si="1729"/>
        <v>395.44640298305984</v>
      </c>
      <c r="AL429" s="38">
        <f t="shared" si="1986"/>
        <v>395.44640298305984</v>
      </c>
      <c r="AM429" s="38">
        <f t="shared" si="1956"/>
        <v>4.3734044077759826</v>
      </c>
      <c r="AN429" s="38">
        <f t="shared" si="1893"/>
        <v>395.44640298305944</v>
      </c>
      <c r="AO429" s="38">
        <f t="shared" si="1845"/>
        <v>1.0000000000000011</v>
      </c>
      <c r="AP429" s="38">
        <f t="shared" si="1894"/>
        <v>3.7321640400048164</v>
      </c>
      <c r="AQ429" s="4">
        <f t="shared" si="1895"/>
        <v>0</v>
      </c>
      <c r="AR429" s="4" t="e">
        <f>#REF!/G429*F429^0.5/0.19</f>
        <v>#REF!</v>
      </c>
      <c r="AS429" s="4">
        <f t="shared" si="1957"/>
        <v>1</v>
      </c>
      <c r="AT429" s="38">
        <f t="shared" si="1958"/>
        <v>1475.8708449626279</v>
      </c>
      <c r="AU429" s="4">
        <f t="shared" si="1959"/>
        <v>0.3</v>
      </c>
      <c r="AV429" s="4" t="e">
        <f>AU429*D429*#REF!/(D429*G429/2.75/F429^0.5)</f>
        <v>#REF!</v>
      </c>
      <c r="AW429" s="4" t="e">
        <f t="shared" si="1793"/>
        <v>#REF!</v>
      </c>
      <c r="AY429" s="4">
        <f t="shared" si="1960"/>
        <v>1.5</v>
      </c>
      <c r="AZ429" s="4" t="e">
        <f>(3*#REF!+30)*AY429*F429^0.5</f>
        <v>#REF!</v>
      </c>
      <c r="BB429" s="4">
        <f t="shared" si="1961"/>
        <v>1415.5406275625585</v>
      </c>
      <c r="BC429" s="4">
        <f t="shared" si="1822"/>
        <v>0</v>
      </c>
      <c r="BD429" s="4">
        <f t="shared" si="1794"/>
        <v>0</v>
      </c>
      <c r="BL429" s="4">
        <f t="shared" si="1962"/>
        <v>67.309999999999988</v>
      </c>
      <c r="BP429" s="9"/>
      <c r="BR429" s="9"/>
      <c r="BS429" s="9"/>
      <c r="BT429" s="9">
        <f t="shared" si="1963"/>
        <v>67.309999999999988</v>
      </c>
      <c r="BU429" s="9">
        <f t="shared" si="1964"/>
        <v>127.00000000000001</v>
      </c>
      <c r="BV429" s="9">
        <f t="shared" si="1965"/>
        <v>1.7905298128039189</v>
      </c>
      <c r="BW429" s="40">
        <f t="shared" si="1738"/>
        <v>20</v>
      </c>
      <c r="BX429" s="9">
        <f t="shared" si="1966"/>
        <v>0.05</v>
      </c>
      <c r="BY429" s="9">
        <f t="shared" si="1795"/>
        <v>0.8</v>
      </c>
      <c r="BZ429" s="9">
        <f t="shared" si="1967"/>
        <v>0.99524931562137331</v>
      </c>
      <c r="CA429" s="9">
        <f t="shared" si="1968"/>
        <v>0.68048275862068963</v>
      </c>
      <c r="CB429" s="9">
        <f t="shared" si="1969"/>
        <v>1.8466066401443861</v>
      </c>
      <c r="CC429" s="9">
        <f t="shared" si="1970"/>
        <v>4.6165166003609652</v>
      </c>
      <c r="CD429" s="40">
        <v>1</v>
      </c>
      <c r="CE429" s="9" t="e">
        <f>4*CC429*#REF!+60*CC429</f>
        <v>#REF!</v>
      </c>
      <c r="CG429" s="4" t="e">
        <f t="shared" si="1796"/>
        <v>#REF!</v>
      </c>
      <c r="CH429" s="4" t="e">
        <f t="shared" si="1797"/>
        <v>#REF!</v>
      </c>
      <c r="CI429" s="4" t="e">
        <f t="shared" si="1798"/>
        <v>#REF!</v>
      </c>
      <c r="CJ429" s="4" t="e">
        <f t="shared" si="1799"/>
        <v>#REF!</v>
      </c>
      <c r="CK429" s="4">
        <f t="shared" si="1800"/>
        <v>1.1394424782402843</v>
      </c>
      <c r="CL429" s="4">
        <f t="shared" si="1801"/>
        <v>1.1065773777959143</v>
      </c>
      <c r="CM429" s="4">
        <f t="shared" si="1699"/>
        <v>1.4480266495732195</v>
      </c>
      <c r="CN429" s="4">
        <f t="shared" si="1739"/>
        <v>10</v>
      </c>
      <c r="CU429" s="4" t="e">
        <f t="shared" si="1996"/>
        <v>#REF!</v>
      </c>
      <c r="CV429" s="4" t="e">
        <f t="shared" si="1997"/>
        <v>#REF!</v>
      </c>
      <c r="CW429" s="4" t="e">
        <f t="shared" si="1998"/>
        <v>#REF!</v>
      </c>
      <c r="CX429" s="4">
        <f t="shared" si="1999"/>
        <v>1.4480266495732195</v>
      </c>
      <c r="CY429" s="4">
        <f t="shared" si="2000"/>
        <v>1.1394424782402843</v>
      </c>
      <c r="CZ429" s="4">
        <f t="shared" si="2001"/>
        <v>1.1065773777959143</v>
      </c>
      <c r="DC429" s="4" t="e">
        <f>#REF!</f>
        <v>#REF!</v>
      </c>
      <c r="DF429" s="4">
        <f t="shared" si="1971"/>
        <v>1.7987820129031567E-5</v>
      </c>
      <c r="DG429" s="4">
        <f t="shared" si="1802"/>
        <v>11.952252138130413</v>
      </c>
      <c r="DH429" s="4">
        <f t="shared" si="1972"/>
        <v>0.17233990397740784</v>
      </c>
      <c r="DI429" s="4">
        <f t="shared" si="1803"/>
        <v>5.9156719827356019</v>
      </c>
      <c r="DJ429" s="4">
        <f t="shared" si="1804"/>
        <v>9.435158440042839</v>
      </c>
      <c r="DK429" s="4">
        <f t="shared" si="1973"/>
        <v>11.34018962755985</v>
      </c>
      <c r="DL429" s="38">
        <f t="shared" si="1974"/>
        <v>666.38760562993832</v>
      </c>
      <c r="DM429" s="4" t="e">
        <f t="shared" si="1805"/>
        <v>#REF!</v>
      </c>
      <c r="DN429" s="4">
        <f t="shared" si="1975"/>
        <v>3.9874804074753771</v>
      </c>
      <c r="DO429" s="4">
        <f t="shared" si="1697"/>
        <v>395.44640298305944</v>
      </c>
      <c r="DS429" s="4">
        <f t="shared" si="1976"/>
        <v>0.85</v>
      </c>
      <c r="DT429" s="4">
        <f t="shared" si="1977"/>
        <v>0.83499999999999996</v>
      </c>
      <c r="DU429" s="4">
        <f t="shared" si="1978"/>
        <v>0.77500000000000002</v>
      </c>
      <c r="DV429" s="4">
        <f t="shared" si="1806"/>
        <v>0.7</v>
      </c>
      <c r="DX429" s="4">
        <f t="shared" si="1979"/>
        <v>686.17916836505719</v>
      </c>
      <c r="DY429" s="25">
        <f t="shared" si="1870"/>
        <v>390.36092794632941</v>
      </c>
      <c r="EA429" s="4">
        <f t="shared" si="1871"/>
        <v>0.59499999999999997</v>
      </c>
      <c r="EB429" s="4">
        <f t="shared" si="1980"/>
        <v>11.952252138130413</v>
      </c>
      <c r="EE429" s="4">
        <f t="shared" si="1981"/>
        <v>101.28200234987457</v>
      </c>
      <c r="EF429" s="4">
        <f t="shared" si="1807"/>
        <v>3.9874804074753771</v>
      </c>
      <c r="EG429" s="4">
        <f t="shared" si="1982"/>
        <v>7.3413925538738684E-2</v>
      </c>
      <c r="EJ429" s="4">
        <f t="shared" si="1808"/>
        <v>7.3413925538738684E-2</v>
      </c>
      <c r="EK429" s="4">
        <f t="shared" si="1983"/>
        <v>0.17205230079746128</v>
      </c>
      <c r="EL429" s="4">
        <f t="shared" si="1809"/>
        <v>5.9117211423967806</v>
      </c>
      <c r="EM429" s="4">
        <f t="shared" si="1810"/>
        <v>9.4339351942507346</v>
      </c>
      <c r="EN429" s="4" t="e">
        <f t="shared" si="1811"/>
        <v>#REF!</v>
      </c>
      <c r="EO429" s="4" t="e">
        <f t="shared" si="1812"/>
        <v>#REF!</v>
      </c>
      <c r="EP429" s="4" t="e">
        <f t="shared" si="1984"/>
        <v>#REF!</v>
      </c>
      <c r="EQ429" s="4" t="e">
        <f t="shared" si="1813"/>
        <v>#REF!</v>
      </c>
      <c r="ER429" s="4" t="e">
        <f t="shared" si="1985"/>
        <v>#REF!</v>
      </c>
      <c r="FA429" s="23" t="e">
        <f t="shared" si="1772"/>
        <v>#REF!</v>
      </c>
      <c r="FB429" s="23" t="e">
        <f t="shared" si="1773"/>
        <v>#REF!</v>
      </c>
      <c r="FC429" s="23">
        <f t="shared" si="1706"/>
        <v>1.6</v>
      </c>
      <c r="FD429" s="23" t="e">
        <f t="shared" si="1774"/>
        <v>#REF!</v>
      </c>
      <c r="FE429" s="23">
        <f t="shared" si="1775"/>
        <v>1.2</v>
      </c>
      <c r="FF429" s="23">
        <f t="shared" si="1776"/>
        <v>1.2</v>
      </c>
      <c r="FG429" s="23">
        <f t="shared" si="1993"/>
        <v>0</v>
      </c>
      <c r="FH429" s="23"/>
      <c r="FR429" s="4">
        <f t="shared" si="1852"/>
        <v>1</v>
      </c>
      <c r="FS429" s="4">
        <f t="shared" si="1853"/>
        <v>0.43787748058671272</v>
      </c>
      <c r="FT429" s="4">
        <f t="shared" si="1854"/>
        <v>0.3</v>
      </c>
      <c r="FU429" s="4">
        <f t="shared" si="1855"/>
        <v>524.37594643122043</v>
      </c>
    </row>
    <row r="430" spans="2:177" ht="12" customHeight="1" x14ac:dyDescent="0.3">
      <c r="B430" s="14" t="s">
        <v>577</v>
      </c>
      <c r="C430" s="7" t="s">
        <v>578</v>
      </c>
      <c r="D430" s="38">
        <f>135/0.145</f>
        <v>931.0344827586207</v>
      </c>
      <c r="E430" s="38">
        <f>12.13*25.4</f>
        <v>308.10199999999998</v>
      </c>
      <c r="F430" s="38">
        <f>5760/145</f>
        <v>39.724137931034484</v>
      </c>
      <c r="G430" s="38">
        <f>1.41*25.4</f>
        <v>35.813999999999993</v>
      </c>
      <c r="H430" s="38">
        <f>21.7*25.4</f>
        <v>551.17999999999995</v>
      </c>
      <c r="I430" s="38">
        <f>2.65*25.4</f>
        <v>67.309999999999988</v>
      </c>
      <c r="J430" s="39">
        <f>3.5*25.4</f>
        <v>88.899999999999991</v>
      </c>
      <c r="K430" s="7">
        <f t="shared" si="1727"/>
        <v>344.93200000000002</v>
      </c>
      <c r="L430" s="38">
        <v>2</v>
      </c>
      <c r="M430" s="4">
        <f t="shared" si="1843"/>
        <v>508</v>
      </c>
      <c r="N430" s="7">
        <f t="shared" si="1947"/>
        <v>2.3794326241134751</v>
      </c>
      <c r="O430" s="7">
        <f t="shared" si="1948"/>
        <v>2.3794326241134751</v>
      </c>
      <c r="P430" s="38">
        <v>3.9</v>
      </c>
      <c r="Q430" s="4">
        <f t="shared" si="1736"/>
        <v>3.9</v>
      </c>
      <c r="R430" s="4">
        <f t="shared" si="1949"/>
        <v>4.9000000000000004</v>
      </c>
      <c r="S430" s="7">
        <f t="shared" si="1950"/>
        <v>79.277668484889219</v>
      </c>
      <c r="V430" s="38">
        <f t="shared" si="1777"/>
        <v>293.79310344827587</v>
      </c>
      <c r="W430" s="4">
        <v>42.6</v>
      </c>
      <c r="X430" s="4">
        <f t="shared" si="1951"/>
        <v>0.67339603919552049</v>
      </c>
      <c r="Y430" s="38"/>
      <c r="Z430" s="38"/>
      <c r="AA430" s="39">
        <v>1</v>
      </c>
      <c r="AB430" s="39"/>
      <c r="AC430" s="39"/>
      <c r="AD430" s="7"/>
      <c r="AE430" s="4">
        <f t="shared" si="1952"/>
        <v>308.10199999999998</v>
      </c>
      <c r="AF430" s="4">
        <f t="shared" si="1953"/>
        <v>0.59631766968947519</v>
      </c>
      <c r="AG430" s="4">
        <f t="shared" si="1954"/>
        <v>169.17784214061564</v>
      </c>
      <c r="AH430" s="4">
        <f t="shared" si="1955"/>
        <v>0.75531739488870564</v>
      </c>
      <c r="AI430" s="4">
        <v>1.25</v>
      </c>
      <c r="AJ430" s="4">
        <f t="shared" si="1878"/>
        <v>2.5</v>
      </c>
      <c r="AK430" s="38">
        <f t="shared" si="1729"/>
        <v>238.12262845805614</v>
      </c>
      <c r="AL430" s="38">
        <f t="shared" si="1986"/>
        <v>238.12262845805614</v>
      </c>
      <c r="AM430" s="38">
        <f t="shared" si="1956"/>
        <v>3.4926701740126327</v>
      </c>
      <c r="AN430" s="38">
        <f t="shared" si="1893"/>
        <v>238.12262845805651</v>
      </c>
      <c r="AO430" s="38">
        <f t="shared" si="1845"/>
        <v>0.99999999999999845</v>
      </c>
      <c r="AP430" s="38">
        <f t="shared" si="1894"/>
        <v>1.5677959002994157</v>
      </c>
      <c r="AQ430" s="4">
        <f t="shared" si="1895"/>
        <v>0</v>
      </c>
      <c r="AR430" s="4" t="e">
        <f>#REF!/G430*F430^0.5/0.19</f>
        <v>#REF!</v>
      </c>
      <c r="AS430" s="4">
        <f t="shared" si="1957"/>
        <v>1</v>
      </c>
      <c r="AT430" s="38">
        <f t="shared" si="1958"/>
        <v>373.32768066506196</v>
      </c>
      <c r="AU430" s="4">
        <f t="shared" si="1959"/>
        <v>0.45399999999999996</v>
      </c>
      <c r="AV430" s="4" t="e">
        <f>AU430*D430*#REF!/(D430*G430/2.75/F430^0.5)</f>
        <v>#REF!</v>
      </c>
      <c r="AW430" s="4" t="e">
        <f t="shared" si="1793"/>
        <v>#REF!</v>
      </c>
      <c r="AY430" s="4">
        <f t="shared" si="1960"/>
        <v>1.2198581560283688</v>
      </c>
      <c r="AZ430" s="4" t="e">
        <f>(3*#REF!+30)*AY430*F430^0.5</f>
        <v>#REF!</v>
      </c>
      <c r="BB430" s="4">
        <f t="shared" si="1961"/>
        <v>358.06690075816078</v>
      </c>
      <c r="BC430" s="4">
        <f t="shared" si="1822"/>
        <v>0</v>
      </c>
      <c r="BD430" s="4">
        <f t="shared" si="1794"/>
        <v>0</v>
      </c>
      <c r="BL430" s="4">
        <f t="shared" si="1962"/>
        <v>67.309999999999988</v>
      </c>
      <c r="BP430" s="9"/>
      <c r="BR430" s="9"/>
      <c r="BS430" s="9"/>
      <c r="BT430" s="9">
        <f t="shared" si="1963"/>
        <v>67.309999999999988</v>
      </c>
      <c r="BU430" s="9">
        <f t="shared" si="1964"/>
        <v>172.46600000000001</v>
      </c>
      <c r="BV430" s="9">
        <f t="shared" si="1965"/>
        <v>1.5787267425904519</v>
      </c>
      <c r="BW430" s="40">
        <f t="shared" si="1738"/>
        <v>0</v>
      </c>
      <c r="BX430" s="9">
        <f t="shared" si="1966"/>
        <v>0</v>
      </c>
      <c r="BY430" s="9">
        <f t="shared" si="1795"/>
        <v>0</v>
      </c>
      <c r="BZ430" s="9">
        <f t="shared" si="1967"/>
        <v>0.89777220146327208</v>
      </c>
      <c r="CA430" s="9">
        <f t="shared" si="1968"/>
        <v>0.68</v>
      </c>
      <c r="CB430" s="9">
        <f t="shared" si="1969"/>
        <v>1.3466984227273664</v>
      </c>
      <c r="CC430" s="9">
        <f t="shared" si="1970"/>
        <v>2.1260688141640744</v>
      </c>
      <c r="CD430" s="40">
        <v>1</v>
      </c>
      <c r="CE430" s="9" t="e">
        <f>4*CC430*#REF!+60*CC430</f>
        <v>#REF!</v>
      </c>
      <c r="CG430" s="4" t="e">
        <f t="shared" si="1796"/>
        <v>#REF!</v>
      </c>
      <c r="CH430" s="4" t="e">
        <f t="shared" si="1797"/>
        <v>#REF!</v>
      </c>
      <c r="CI430" s="4" t="e">
        <f t="shared" si="1798"/>
        <v>#REF!</v>
      </c>
      <c r="CJ430" s="4" t="e">
        <f t="shared" si="1799"/>
        <v>#REF!</v>
      </c>
      <c r="CK430" s="4">
        <f t="shared" si="1800"/>
        <v>0.67339603919552049</v>
      </c>
      <c r="CL430" s="4">
        <f t="shared" si="1801"/>
        <v>0.72096580896252627</v>
      </c>
      <c r="CM430" s="4">
        <f t="shared" si="1699"/>
        <v>0.80994045632785505</v>
      </c>
      <c r="CN430" s="4">
        <f t="shared" si="1739"/>
        <v>0</v>
      </c>
      <c r="CO430" s="4" t="e">
        <f t="shared" ref="CO430" si="2002">CG430</f>
        <v>#REF!</v>
      </c>
      <c r="CP430" s="4" t="e">
        <f t="shared" ref="CP430" si="2003">CH430</f>
        <v>#REF!</v>
      </c>
      <c r="CQ430" s="4" t="e">
        <f t="shared" ref="CQ430" si="2004">CJ430</f>
        <v>#REF!</v>
      </c>
      <c r="CR430" s="4">
        <f t="shared" ref="CR430" si="2005">CM430</f>
        <v>0.80994045632785505</v>
      </c>
      <c r="CS430" s="4">
        <f t="shared" ref="CS430" si="2006">CK430</f>
        <v>0.67339603919552049</v>
      </c>
      <c r="CT430" s="4">
        <f t="shared" ref="CT430" si="2007">CL430</f>
        <v>0.72096580896252627</v>
      </c>
      <c r="DC430" s="4" t="e">
        <f>#REF!</f>
        <v>#REF!</v>
      </c>
      <c r="DF430" s="4">
        <f t="shared" si="1971"/>
        <v>1.6422982705051898E-5</v>
      </c>
      <c r="DG430" s="4">
        <f t="shared" si="1802"/>
        <v>6.6794137361809804</v>
      </c>
      <c r="DH430" s="4">
        <f t="shared" si="1972"/>
        <v>0.47413206320930545</v>
      </c>
      <c r="DI430" s="4">
        <f t="shared" si="1803"/>
        <v>4.9556208963323414</v>
      </c>
      <c r="DJ430" s="4">
        <f t="shared" si="1804"/>
        <v>5.8811547174806602</v>
      </c>
      <c r="DK430" s="4">
        <f t="shared" si="1973"/>
        <v>6.343757885764715</v>
      </c>
      <c r="DL430" s="38">
        <f t="shared" si="1974"/>
        <v>436.28576104970682</v>
      </c>
      <c r="DM430" s="4" t="e">
        <f t="shared" si="1805"/>
        <v>#REF!</v>
      </c>
      <c r="DN430" s="4">
        <f t="shared" si="1975"/>
        <v>2.2135943621178655</v>
      </c>
      <c r="DO430" s="4">
        <f t="shared" si="1697"/>
        <v>238.12262845805651</v>
      </c>
      <c r="DS430" s="4">
        <f t="shared" si="1976"/>
        <v>0.85</v>
      </c>
      <c r="DT430" s="4">
        <f t="shared" si="1977"/>
        <v>0.91205673758865247</v>
      </c>
      <c r="DU430" s="4">
        <f t="shared" si="1978"/>
        <v>1</v>
      </c>
      <c r="DV430" s="4">
        <f t="shared" si="1806"/>
        <v>0.91205673758865247</v>
      </c>
      <c r="DX430" s="4">
        <f t="shared" si="1979"/>
        <v>407.49935682948092</v>
      </c>
      <c r="DY430" s="25">
        <f t="shared" si="1870"/>
        <v>235.11363636166115</v>
      </c>
      <c r="EA430" s="4">
        <f t="shared" si="1871"/>
        <v>0.77524822695035456</v>
      </c>
      <c r="EB430" s="4">
        <f t="shared" si="1980"/>
        <v>6.6794137361809804</v>
      </c>
      <c r="EE430" s="4">
        <f t="shared" si="1981"/>
        <v>79.277668484889219</v>
      </c>
      <c r="EF430" s="4">
        <f t="shared" si="1807"/>
        <v>2.2135943621178655</v>
      </c>
      <c r="EG430" s="4">
        <f t="shared" si="1982"/>
        <v>0.1634036794271963</v>
      </c>
      <c r="EJ430" s="4">
        <f t="shared" si="1808"/>
        <v>0.1634036794271963</v>
      </c>
      <c r="EK430" s="4">
        <f t="shared" si="1983"/>
        <v>0.47334082516201326</v>
      </c>
      <c r="EL430" s="4">
        <f t="shared" si="1809"/>
        <v>4.9523112356550287</v>
      </c>
      <c r="EM430" s="4">
        <f t="shared" si="1810"/>
        <v>5.879761735540094</v>
      </c>
      <c r="EN430" s="4" t="e">
        <f t="shared" si="1811"/>
        <v>#REF!</v>
      </c>
      <c r="EO430" s="4" t="e">
        <f t="shared" si="1812"/>
        <v>#REF!</v>
      </c>
      <c r="EP430" s="4" t="e">
        <f t="shared" si="1984"/>
        <v>#REF!</v>
      </c>
      <c r="EQ430" s="4" t="e">
        <f t="shared" si="1813"/>
        <v>#REF!</v>
      </c>
      <c r="ER430" s="4" t="e">
        <f t="shared" si="1985"/>
        <v>#REF!</v>
      </c>
      <c r="FA430" s="23" t="e">
        <f t="shared" si="1772"/>
        <v>#REF!</v>
      </c>
      <c r="FB430" s="23" t="e">
        <f t="shared" si="1773"/>
        <v>#REF!</v>
      </c>
      <c r="FC430" s="23">
        <f t="shared" si="1706"/>
        <v>1</v>
      </c>
      <c r="FD430" s="23" t="e">
        <f t="shared" si="1774"/>
        <v>#REF!</v>
      </c>
      <c r="FE430" s="23">
        <f t="shared" si="1775"/>
        <v>0.8</v>
      </c>
      <c r="FF430" s="23">
        <f t="shared" si="1776"/>
        <v>0.8</v>
      </c>
      <c r="FG430" s="23">
        <f t="shared" si="1993"/>
        <v>1</v>
      </c>
      <c r="FH430" s="23"/>
      <c r="FR430" s="4">
        <f t="shared" si="1852"/>
        <v>1</v>
      </c>
      <c r="FS430" s="4">
        <f t="shared" si="1853"/>
        <v>0.5</v>
      </c>
      <c r="FT430" s="4">
        <f t="shared" si="1854"/>
        <v>0</v>
      </c>
      <c r="FU430" s="4">
        <f t="shared" si="1855"/>
        <v>362.73419996858587</v>
      </c>
    </row>
    <row r="431" spans="2:177" ht="12" customHeight="1" x14ac:dyDescent="0.3">
      <c r="B431" s="14"/>
      <c r="C431" s="7" t="s">
        <v>579</v>
      </c>
      <c r="D431" s="38">
        <f t="shared" ref="D431:D437" si="2008">135/0.145</f>
        <v>931.0344827586207</v>
      </c>
      <c r="E431" s="38">
        <f>12.5*25.4</f>
        <v>317.5</v>
      </c>
      <c r="F431" s="38">
        <f>5760/145</f>
        <v>39.724137931034484</v>
      </c>
      <c r="G431" s="38">
        <f t="shared" ref="G431:G453" si="2009">1.41*25.4</f>
        <v>35.813999999999993</v>
      </c>
      <c r="H431" s="38">
        <f>21.8*25.4</f>
        <v>553.72</v>
      </c>
      <c r="I431" s="38">
        <f>2.7*25.4</f>
        <v>68.58</v>
      </c>
      <c r="J431" s="39">
        <f>3.1*25.4</f>
        <v>78.739999999999995</v>
      </c>
      <c r="K431" s="7">
        <f t="shared" si="1727"/>
        <v>344.93200000000002</v>
      </c>
      <c r="L431" s="38">
        <v>2</v>
      </c>
      <c r="M431" s="4">
        <f t="shared" si="1843"/>
        <v>508</v>
      </c>
      <c r="N431" s="7">
        <f t="shared" si="1947"/>
        <v>2.4148936170212769</v>
      </c>
      <c r="O431" s="7">
        <f t="shared" si="1948"/>
        <v>2.4148936170212769</v>
      </c>
      <c r="P431" s="38">
        <v>3.9</v>
      </c>
      <c r="Q431" s="4">
        <f t="shared" si="1736"/>
        <v>3.9</v>
      </c>
      <c r="R431" s="4">
        <f t="shared" si="1949"/>
        <v>4.9000000000000004</v>
      </c>
      <c r="S431" s="7">
        <f t="shared" si="1950"/>
        <v>79.277668484889219</v>
      </c>
      <c r="V431" s="38">
        <f t="shared" si="1777"/>
        <v>390.34482758620692</v>
      </c>
      <c r="W431" s="4">
        <v>56.6</v>
      </c>
      <c r="X431" s="4">
        <f t="shared" si="1951"/>
        <v>0.8706995887826271</v>
      </c>
      <c r="Y431" s="38">
        <f t="shared" si="1994"/>
        <v>12.7</v>
      </c>
      <c r="Z431" s="38">
        <v>12</v>
      </c>
      <c r="AA431" s="39">
        <f>4*25.4</f>
        <v>101.6</v>
      </c>
      <c r="AB431" s="39">
        <v>2</v>
      </c>
      <c r="AC431" s="39">
        <f>AB431-1</f>
        <v>1</v>
      </c>
      <c r="AD431" s="7"/>
      <c r="AE431" s="4">
        <f t="shared" si="1952"/>
        <v>317.5</v>
      </c>
      <c r="AF431" s="4">
        <f t="shared" si="1953"/>
        <v>0.58133333333333337</v>
      </c>
      <c r="AG431" s="4">
        <f t="shared" si="1954"/>
        <v>176.97719173373653</v>
      </c>
      <c r="AH431" s="4">
        <f t="shared" si="1955"/>
        <v>0.75447999999999993</v>
      </c>
      <c r="AI431" s="4">
        <v>1.25</v>
      </c>
      <c r="AJ431" s="4">
        <f t="shared" si="1878"/>
        <v>2.5</v>
      </c>
      <c r="AK431" s="38">
        <f t="shared" si="1729"/>
        <v>242.57178210833959</v>
      </c>
      <c r="AL431" s="38">
        <f t="shared" si="1986"/>
        <v>242.57178210833959</v>
      </c>
      <c r="AM431" s="38">
        <f t="shared" si="1956"/>
        <v>3.4926701740126327</v>
      </c>
      <c r="AN431" s="38">
        <f t="shared" si="1893"/>
        <v>242.57178210833953</v>
      </c>
      <c r="AO431" s="38">
        <f t="shared" si="1845"/>
        <v>1.0000000000000002</v>
      </c>
      <c r="AP431" s="38">
        <f t="shared" si="1894"/>
        <v>1.5619765341272129</v>
      </c>
      <c r="AQ431" s="4">
        <f t="shared" si="1895"/>
        <v>0</v>
      </c>
      <c r="AR431" s="4" t="e">
        <f>#REF!/G431*F431^0.5/0.19</f>
        <v>#REF!</v>
      </c>
      <c r="AS431" s="4">
        <f t="shared" si="1957"/>
        <v>1</v>
      </c>
      <c r="AT431" s="38">
        <f t="shared" si="1958"/>
        <v>378.89143149464564</v>
      </c>
      <c r="AU431" s="4">
        <f t="shared" si="1959"/>
        <v>0.45399999999999996</v>
      </c>
      <c r="AV431" s="4" t="e">
        <f>AU431*D431*#REF!/(D431*G431/2.75/F431^0.5)</f>
        <v>#REF!</v>
      </c>
      <c r="AW431" s="4" t="e">
        <f t="shared" si="1793"/>
        <v>#REF!</v>
      </c>
      <c r="AY431" s="4">
        <f t="shared" si="1960"/>
        <v>1.5</v>
      </c>
      <c r="AZ431" s="4" t="e">
        <f>(3*#REF!+30)*AY431*F431^0.5</f>
        <v>#REF!</v>
      </c>
      <c r="BB431" s="4">
        <f t="shared" si="1961"/>
        <v>363.40321820612149</v>
      </c>
      <c r="BC431" s="4">
        <f t="shared" si="1822"/>
        <v>0</v>
      </c>
      <c r="BD431" s="4">
        <f t="shared" si="1794"/>
        <v>0</v>
      </c>
      <c r="BL431" s="4">
        <f t="shared" si="1962"/>
        <v>68.58</v>
      </c>
      <c r="BP431" s="9"/>
      <c r="BR431" s="9"/>
      <c r="BS431" s="9"/>
      <c r="BT431" s="9">
        <f t="shared" si="1963"/>
        <v>68.58</v>
      </c>
      <c r="BU431" s="9">
        <f t="shared" si="1964"/>
        <v>172.46600000000001</v>
      </c>
      <c r="BV431" s="9">
        <f t="shared" si="1965"/>
        <v>1.5890890215144411</v>
      </c>
      <c r="BW431" s="40">
        <f t="shared" si="1738"/>
        <v>20</v>
      </c>
      <c r="BX431" s="9">
        <f t="shared" si="1966"/>
        <v>0.05</v>
      </c>
      <c r="BY431" s="9">
        <f t="shared" si="1795"/>
        <v>0.8</v>
      </c>
      <c r="BZ431" s="9">
        <f t="shared" si="1967"/>
        <v>0.89777220146327208</v>
      </c>
      <c r="CA431" s="9">
        <f t="shared" si="1968"/>
        <v>0.68</v>
      </c>
      <c r="CB431" s="9">
        <f t="shared" si="1969"/>
        <v>1.3466984227273664</v>
      </c>
      <c r="CC431" s="9">
        <f t="shared" si="1970"/>
        <v>3.217382417028765</v>
      </c>
      <c r="CD431" s="40">
        <v>1</v>
      </c>
      <c r="CE431" s="9" t="e">
        <f>4*CC431*#REF!+60*CC431</f>
        <v>#REF!</v>
      </c>
      <c r="CG431" s="4" t="e">
        <f t="shared" si="1796"/>
        <v>#REF!</v>
      </c>
      <c r="CH431" s="4" t="e">
        <f t="shared" si="1797"/>
        <v>#REF!</v>
      </c>
      <c r="CI431" s="4" t="e">
        <f t="shared" si="1798"/>
        <v>#REF!</v>
      </c>
      <c r="CJ431" s="4" t="e">
        <f t="shared" si="1799"/>
        <v>#REF!</v>
      </c>
      <c r="CK431" s="4">
        <f t="shared" si="1800"/>
        <v>0.8706995887826271</v>
      </c>
      <c r="CL431" s="4">
        <f t="shared" si="1801"/>
        <v>0.93377048827409681</v>
      </c>
      <c r="CM431" s="4">
        <f t="shared" si="1699"/>
        <v>0.92343789210776062</v>
      </c>
      <c r="CN431" s="4">
        <f t="shared" si="1739"/>
        <v>12</v>
      </c>
      <c r="CU431" s="4" t="e">
        <f t="shared" ref="CU431" si="2010">CG431</f>
        <v>#REF!</v>
      </c>
      <c r="CV431" s="4" t="e">
        <f t="shared" ref="CV431" si="2011">CH431</f>
        <v>#REF!</v>
      </c>
      <c r="CW431" s="4" t="e">
        <f t="shared" ref="CW431" si="2012">CJ431</f>
        <v>#REF!</v>
      </c>
      <c r="CX431" s="4">
        <f t="shared" ref="CX431" si="2013">CM431</f>
        <v>0.92343789210776062</v>
      </c>
      <c r="CY431" s="4">
        <f t="shared" ref="CY431" si="2014">CK431</f>
        <v>0.8706995887826271</v>
      </c>
      <c r="CZ431" s="4">
        <f t="shared" ref="CZ431" si="2015">CL431</f>
        <v>0.93377048827409681</v>
      </c>
      <c r="DC431" s="4" t="e">
        <f>#REF!</f>
        <v>#REF!</v>
      </c>
      <c r="DF431" s="4">
        <f t="shared" si="1971"/>
        <v>1.6923931064562959E-5</v>
      </c>
      <c r="DG431" s="4">
        <f t="shared" si="1802"/>
        <v>6.7084964135054195</v>
      </c>
      <c r="DH431" s="4">
        <f t="shared" si="1972"/>
        <v>0.48299088697336229</v>
      </c>
      <c r="DI431" s="4">
        <f t="shared" si="1803"/>
        <v>5.0141897708041316</v>
      </c>
      <c r="DJ431" s="4">
        <f t="shared" si="1804"/>
        <v>5.92237204977069</v>
      </c>
      <c r="DK431" s="4">
        <f t="shared" si="1973"/>
        <v>6.3474171439442504</v>
      </c>
      <c r="DL431" s="38">
        <f t="shared" si="1974"/>
        <v>448.31171694013256</v>
      </c>
      <c r="DM431" s="4" t="e">
        <f t="shared" si="1805"/>
        <v>#REF!</v>
      </c>
      <c r="DN431" s="4">
        <f t="shared" si="1975"/>
        <v>2.2135943621178655</v>
      </c>
      <c r="DO431" s="4">
        <f t="shared" si="1697"/>
        <v>242.57178210833953</v>
      </c>
      <c r="DS431" s="4">
        <f t="shared" si="1976"/>
        <v>0.85</v>
      </c>
      <c r="DT431" s="4">
        <f t="shared" si="1977"/>
        <v>0.90851063829787226</v>
      </c>
      <c r="DU431" s="4">
        <f t="shared" si="1978"/>
        <v>0.9995510789195714</v>
      </c>
      <c r="DV431" s="4">
        <f t="shared" si="1806"/>
        <v>0.90810278872054673</v>
      </c>
      <c r="DX431" s="4">
        <f t="shared" si="1979"/>
        <v>418.03080359466878</v>
      </c>
      <c r="DY431" s="25">
        <f t="shared" si="1870"/>
        <v>239.61334578867351</v>
      </c>
      <c r="EA431" s="4">
        <f t="shared" si="1871"/>
        <v>0.77188737041246469</v>
      </c>
      <c r="EB431" s="4">
        <f t="shared" si="1980"/>
        <v>6.7084964135054195</v>
      </c>
      <c r="EE431" s="4">
        <f t="shared" si="1981"/>
        <v>79.277668484889219</v>
      </c>
      <c r="EF431" s="4">
        <f t="shared" si="1807"/>
        <v>2.2135943621178655</v>
      </c>
      <c r="EG431" s="4">
        <f t="shared" si="1982"/>
        <v>0.16645676212454794</v>
      </c>
      <c r="EJ431" s="4">
        <f t="shared" si="1808"/>
        <v>0.16645676212454794</v>
      </c>
      <c r="EK431" s="4">
        <f t="shared" si="1983"/>
        <v>0.4821848652002681</v>
      </c>
      <c r="EL431" s="4">
        <f t="shared" si="1809"/>
        <v>5.0108409943217955</v>
      </c>
      <c r="EM431" s="4">
        <f t="shared" si="1810"/>
        <v>5.9209557835987123</v>
      </c>
      <c r="EN431" s="4" t="e">
        <f t="shared" si="1811"/>
        <v>#REF!</v>
      </c>
      <c r="EO431" s="4" t="e">
        <f t="shared" si="1812"/>
        <v>#REF!</v>
      </c>
      <c r="EP431" s="4" t="e">
        <f t="shared" si="1984"/>
        <v>#REF!</v>
      </c>
      <c r="EQ431" s="4" t="e">
        <f t="shared" si="1813"/>
        <v>#REF!</v>
      </c>
      <c r="ER431" s="4" t="e">
        <f t="shared" si="1985"/>
        <v>#REF!</v>
      </c>
      <c r="FA431" s="23" t="e">
        <f t="shared" si="1772"/>
        <v>#REF!</v>
      </c>
      <c r="FB431" s="23" t="e">
        <f t="shared" si="1773"/>
        <v>#REF!</v>
      </c>
      <c r="FC431" s="23">
        <f t="shared" si="1706"/>
        <v>1</v>
      </c>
      <c r="FD431" s="23" t="e">
        <f t="shared" si="1774"/>
        <v>#REF!</v>
      </c>
      <c r="FE431" s="23">
        <f t="shared" si="1775"/>
        <v>1</v>
      </c>
      <c r="FF431" s="23">
        <f t="shared" si="1776"/>
        <v>1</v>
      </c>
      <c r="FG431" s="23">
        <f t="shared" si="1993"/>
        <v>0</v>
      </c>
      <c r="FH431" s="23"/>
      <c r="FR431" s="4">
        <f t="shared" si="1852"/>
        <v>1</v>
      </c>
      <c r="FS431" s="4">
        <f t="shared" si="1853"/>
        <v>0.44214730608235164</v>
      </c>
      <c r="FT431" s="4">
        <f t="shared" si="1854"/>
        <v>0.25149640360142855</v>
      </c>
      <c r="FU431" s="4">
        <f t="shared" si="1855"/>
        <v>422.7082632436049</v>
      </c>
    </row>
    <row r="432" spans="2:177" ht="12" customHeight="1" x14ac:dyDescent="0.3">
      <c r="B432" s="14"/>
      <c r="C432" s="7" t="s">
        <v>580</v>
      </c>
      <c r="D432" s="38">
        <f t="shared" si="2008"/>
        <v>931.0344827586207</v>
      </c>
      <c r="E432" s="38">
        <f>17.25*25.4</f>
        <v>438.15</v>
      </c>
      <c r="F432" s="38">
        <f>5760/145</f>
        <v>39.724137931034484</v>
      </c>
      <c r="G432" s="38">
        <f t="shared" si="2009"/>
        <v>35.813999999999993</v>
      </c>
      <c r="H432" s="38">
        <f>21.9*25.4</f>
        <v>556.25999999999988</v>
      </c>
      <c r="I432" s="38">
        <f>2.75*25.4</f>
        <v>69.849999999999994</v>
      </c>
      <c r="J432" s="39">
        <f>3.25*25.4</f>
        <v>82.55</v>
      </c>
      <c r="K432" s="7">
        <f t="shared" si="1727"/>
        <v>344.9319999999999</v>
      </c>
      <c r="L432" s="38">
        <v>2</v>
      </c>
      <c r="M432" s="4">
        <f t="shared" si="1843"/>
        <v>508</v>
      </c>
      <c r="N432" s="7">
        <f t="shared" si="1947"/>
        <v>2.4503546099290783</v>
      </c>
      <c r="O432" s="7">
        <f t="shared" si="1948"/>
        <v>2.4503546099290783</v>
      </c>
      <c r="P432" s="38">
        <v>3.9</v>
      </c>
      <c r="Q432" s="4">
        <f t="shared" si="1736"/>
        <v>3.9</v>
      </c>
      <c r="R432" s="4">
        <f t="shared" si="1949"/>
        <v>4.9000000000000004</v>
      </c>
      <c r="S432" s="7">
        <f t="shared" si="1950"/>
        <v>79.277668484889219</v>
      </c>
      <c r="V432" s="38">
        <f t="shared" si="1777"/>
        <v>586.89655172413791</v>
      </c>
      <c r="W432" s="4">
        <v>85.1</v>
      </c>
      <c r="X432" s="4">
        <f t="shared" si="1951"/>
        <v>1.0281950348313329</v>
      </c>
      <c r="Y432" s="38"/>
      <c r="Z432" s="38"/>
      <c r="AA432" s="39">
        <v>1</v>
      </c>
      <c r="AB432" s="39"/>
      <c r="AC432" s="39"/>
      <c r="AD432" s="7"/>
      <c r="AE432" s="4">
        <f t="shared" si="1952"/>
        <v>438.15</v>
      </c>
      <c r="AF432" s="4">
        <f t="shared" si="1953"/>
        <v>0.42318840579710132</v>
      </c>
      <c r="AG432" s="4">
        <f t="shared" si="1954"/>
        <v>286.90355464864228</v>
      </c>
      <c r="AH432" s="4">
        <f t="shared" si="1955"/>
        <v>0.74005797101449267</v>
      </c>
      <c r="AI432" s="4">
        <v>1.25</v>
      </c>
      <c r="AJ432" s="4">
        <f t="shared" si="1878"/>
        <v>2.5</v>
      </c>
      <c r="AK432" s="38">
        <f t="shared" si="1729"/>
        <v>280.79246675178877</v>
      </c>
      <c r="AL432" s="38">
        <f t="shared" si="1986"/>
        <v>280.79246675178877</v>
      </c>
      <c r="AM432" s="38">
        <f t="shared" si="1956"/>
        <v>3.4926701740126327</v>
      </c>
      <c r="AN432" s="38">
        <f t="shared" si="1893"/>
        <v>280.79246675178882</v>
      </c>
      <c r="AO432" s="38">
        <f t="shared" si="1845"/>
        <v>0.99999999999999978</v>
      </c>
      <c r="AP432" s="38">
        <f t="shared" si="1894"/>
        <v>1.3691791192677361</v>
      </c>
      <c r="AQ432" s="4">
        <f t="shared" si="1895"/>
        <v>0</v>
      </c>
      <c r="AR432" s="4" t="e">
        <f>#REF!/G432*F432^0.5/0.19</f>
        <v>#REF!</v>
      </c>
      <c r="AS432" s="4">
        <f t="shared" si="1957"/>
        <v>1</v>
      </c>
      <c r="AT432" s="38">
        <f t="shared" si="1958"/>
        <v>384.45518232422927</v>
      </c>
      <c r="AU432" s="4">
        <f t="shared" si="1959"/>
        <v>0.45399999999999996</v>
      </c>
      <c r="AV432" s="4" t="e">
        <f>AU432*D432*#REF!/(D432*G432/2.75/F432^0.5)</f>
        <v>#REF!</v>
      </c>
      <c r="AW432" s="4" t="e">
        <f t="shared" si="1793"/>
        <v>#REF!</v>
      </c>
      <c r="AY432" s="4">
        <f t="shared" si="1960"/>
        <v>1.2375886524822697</v>
      </c>
      <c r="AZ432" s="4" t="e">
        <f>(3*#REF!+30)*AY432*F432^0.5</f>
        <v>#REF!</v>
      </c>
      <c r="BB432" s="4">
        <f t="shared" si="1961"/>
        <v>368.7395356540822</v>
      </c>
      <c r="BC432" s="4">
        <f t="shared" si="1822"/>
        <v>0</v>
      </c>
      <c r="BD432" s="4">
        <f t="shared" si="1794"/>
        <v>0</v>
      </c>
      <c r="BL432" s="4">
        <f t="shared" si="1962"/>
        <v>69.849999999999994</v>
      </c>
      <c r="BP432" s="9"/>
      <c r="BR432" s="9"/>
      <c r="BS432" s="9"/>
      <c r="BT432" s="9">
        <f t="shared" si="1963"/>
        <v>69.849999999999994</v>
      </c>
      <c r="BU432" s="9">
        <f t="shared" si="1964"/>
        <v>172.46599999999995</v>
      </c>
      <c r="BV432" s="9">
        <f t="shared" si="1965"/>
        <v>1.5993273076622354</v>
      </c>
      <c r="BW432" s="40">
        <f t="shared" si="1738"/>
        <v>0</v>
      </c>
      <c r="BX432" s="9">
        <f t="shared" si="1966"/>
        <v>0</v>
      </c>
      <c r="BY432" s="9">
        <f t="shared" si="1795"/>
        <v>0</v>
      </c>
      <c r="BZ432" s="9">
        <f t="shared" si="1967"/>
        <v>0.89777220146327208</v>
      </c>
      <c r="CA432" s="9">
        <f t="shared" si="1968"/>
        <v>0.68</v>
      </c>
      <c r="CB432" s="9">
        <f t="shared" si="1969"/>
        <v>1.3466984227273664</v>
      </c>
      <c r="CC432" s="9">
        <f t="shared" si="1970"/>
        <v>2.1538115626535377</v>
      </c>
      <c r="CD432" s="40">
        <v>1</v>
      </c>
      <c r="CE432" s="9" t="e">
        <f>4*CC432*#REF!+60*CC432</f>
        <v>#REF!</v>
      </c>
      <c r="CG432" s="4" t="e">
        <f t="shared" si="1796"/>
        <v>#REF!</v>
      </c>
      <c r="CH432" s="4" t="e">
        <f t="shared" si="1797"/>
        <v>#REF!</v>
      </c>
      <c r="CI432" s="4" t="e">
        <f t="shared" si="1798"/>
        <v>#REF!</v>
      </c>
      <c r="CJ432" s="4" t="e">
        <f t="shared" si="1799"/>
        <v>#REF!</v>
      </c>
      <c r="CK432" s="4">
        <f t="shared" si="1800"/>
        <v>1.0281950348313329</v>
      </c>
      <c r="CL432" s="4">
        <f t="shared" si="1801"/>
        <v>1.1167546869959355</v>
      </c>
      <c r="CM432" s="4">
        <f t="shared" si="1699"/>
        <v>1.1377445264616732</v>
      </c>
      <c r="CN432" s="4">
        <f t="shared" si="1739"/>
        <v>0</v>
      </c>
      <c r="CO432" s="4" t="e">
        <f t="shared" ref="CO432" si="2016">CG432</f>
        <v>#REF!</v>
      </c>
      <c r="CP432" s="4" t="e">
        <f t="shared" ref="CP432" si="2017">CH432</f>
        <v>#REF!</v>
      </c>
      <c r="CQ432" s="4" t="e">
        <f t="shared" ref="CQ432" si="2018">CJ432</f>
        <v>#REF!</v>
      </c>
      <c r="CR432" s="4">
        <f t="shared" ref="CR432" si="2019">CM432</f>
        <v>1.1377445264616732</v>
      </c>
      <c r="CS432" s="4">
        <f t="shared" ref="CS432" si="2020">CK432</f>
        <v>1.0281950348313329</v>
      </c>
      <c r="CT432" s="4">
        <f t="shared" ref="CT432" si="2021">CL432</f>
        <v>1.1167546869959355</v>
      </c>
      <c r="DC432" s="4" t="e">
        <f>#REF!</f>
        <v>#REF!</v>
      </c>
      <c r="DF432" s="4">
        <f t="shared" si="1971"/>
        <v>2.3355024869096883E-5</v>
      </c>
      <c r="DG432" s="4">
        <f t="shared" si="1802"/>
        <v>6.7317602388156281</v>
      </c>
      <c r="DH432" s="4">
        <f t="shared" si="1972"/>
        <v>0.55909307089689819</v>
      </c>
      <c r="DI432" s="4">
        <f t="shared" si="1803"/>
        <v>5.3348508677845992</v>
      </c>
      <c r="DJ432" s="4">
        <f t="shared" si="1804"/>
        <v>6.0736531857113283</v>
      </c>
      <c r="DK432" s="4">
        <f t="shared" si="1973"/>
        <v>6.0189362004704252</v>
      </c>
      <c r="DL432" s="38">
        <f t="shared" si="1974"/>
        <v>570.80274835251817</v>
      </c>
      <c r="DM432" s="4" t="e">
        <f t="shared" si="1805"/>
        <v>#REF!</v>
      </c>
      <c r="DN432" s="4">
        <f t="shared" si="1975"/>
        <v>2.2135943621178655</v>
      </c>
      <c r="DO432" s="4">
        <f t="shared" si="1697"/>
        <v>280.79246675178882</v>
      </c>
      <c r="DS432" s="4">
        <f t="shared" si="1976"/>
        <v>0.85</v>
      </c>
      <c r="DT432" s="4">
        <f t="shared" si="1977"/>
        <v>0.90496453900709217</v>
      </c>
      <c r="DU432" s="4">
        <f t="shared" si="1978"/>
        <v>1</v>
      </c>
      <c r="DV432" s="4">
        <f t="shared" si="1806"/>
        <v>0.90496453900709217</v>
      </c>
      <c r="DX432" s="4">
        <f t="shared" si="1979"/>
        <v>525.53757647786256</v>
      </c>
      <c r="DY432" s="25">
        <f t="shared" si="1870"/>
        <v>278.46765281920381</v>
      </c>
      <c r="EA432" s="4">
        <f t="shared" si="1871"/>
        <v>0.76921985815602834</v>
      </c>
      <c r="EB432" s="4">
        <f t="shared" si="1980"/>
        <v>6.7317602388156281</v>
      </c>
      <c r="EE432" s="4">
        <f t="shared" si="1981"/>
        <v>79.277668484889219</v>
      </c>
      <c r="EF432" s="4">
        <f t="shared" si="1807"/>
        <v>2.2135943621178655</v>
      </c>
      <c r="EG432" s="4">
        <f t="shared" si="1982"/>
        <v>0.19268442701052596</v>
      </c>
      <c r="EJ432" s="4">
        <f t="shared" si="1808"/>
        <v>0.19268442701052596</v>
      </c>
      <c r="EK432" s="4">
        <f t="shared" si="1983"/>
        <v>0.5581600487623547</v>
      </c>
      <c r="EL432" s="4">
        <f t="shared" si="1809"/>
        <v>5.3312879346010904</v>
      </c>
      <c r="EM432" s="4">
        <f t="shared" si="1810"/>
        <v>6.0720893144862593</v>
      </c>
      <c r="EN432" s="4" t="e">
        <f t="shared" si="1811"/>
        <v>#REF!</v>
      </c>
      <c r="EO432" s="4" t="e">
        <f t="shared" si="1812"/>
        <v>#REF!</v>
      </c>
      <c r="EP432" s="4" t="e">
        <f t="shared" si="1984"/>
        <v>#REF!</v>
      </c>
      <c r="EQ432" s="4" t="e">
        <f t="shared" si="1813"/>
        <v>#REF!</v>
      </c>
      <c r="ER432" s="4" t="e">
        <f t="shared" si="1985"/>
        <v>#REF!</v>
      </c>
      <c r="FA432" s="23" t="e">
        <f t="shared" si="1772"/>
        <v>#REF!</v>
      </c>
      <c r="FB432" s="23" t="e">
        <f t="shared" si="1773"/>
        <v>#REF!</v>
      </c>
      <c r="FC432" s="23">
        <f t="shared" si="1706"/>
        <v>1.2</v>
      </c>
      <c r="FD432" s="23" t="e">
        <f t="shared" si="1774"/>
        <v>#REF!</v>
      </c>
      <c r="FE432" s="23">
        <f t="shared" si="1775"/>
        <v>1.2</v>
      </c>
      <c r="FF432" s="23">
        <f t="shared" si="1776"/>
        <v>1.2</v>
      </c>
      <c r="FG432" s="23">
        <f t="shared" si="1993"/>
        <v>0</v>
      </c>
      <c r="FH432" s="23"/>
      <c r="FR432" s="4">
        <f t="shared" si="1852"/>
        <v>1</v>
      </c>
      <c r="FS432" s="4">
        <f t="shared" si="1853"/>
        <v>0.5</v>
      </c>
      <c r="FT432" s="4">
        <f t="shared" si="1854"/>
        <v>0</v>
      </c>
      <c r="FU432" s="4">
        <f t="shared" si="1855"/>
        <v>515.84212279127007</v>
      </c>
    </row>
    <row r="433" spans="2:177" ht="12" customHeight="1" x14ac:dyDescent="0.3">
      <c r="B433" s="14"/>
      <c r="C433" s="7" t="s">
        <v>581</v>
      </c>
      <c r="D433" s="38">
        <f t="shared" si="2008"/>
        <v>931.0344827586207</v>
      </c>
      <c r="E433" s="38">
        <f>16.94*25.4</f>
        <v>430.27600000000001</v>
      </c>
      <c r="F433" s="38">
        <f>5970/145</f>
        <v>41.172413793103445</v>
      </c>
      <c r="G433" s="38">
        <f t="shared" si="2009"/>
        <v>35.813999999999993</v>
      </c>
      <c r="H433" s="38">
        <f>21.5*25.4</f>
        <v>546.1</v>
      </c>
      <c r="I433" s="38">
        <f>2.55*25.4</f>
        <v>64.77</v>
      </c>
      <c r="J433" s="39">
        <f>3.7*25.4</f>
        <v>93.98</v>
      </c>
      <c r="K433" s="7">
        <f t="shared" si="1727"/>
        <v>344.93200000000002</v>
      </c>
      <c r="L433" s="38">
        <v>2</v>
      </c>
      <c r="M433" s="4">
        <f t="shared" si="1843"/>
        <v>508</v>
      </c>
      <c r="N433" s="7">
        <f t="shared" si="1947"/>
        <v>2.3085106382978724</v>
      </c>
      <c r="O433" s="7">
        <f t="shared" si="1948"/>
        <v>2.3085106382978724</v>
      </c>
      <c r="P433" s="38">
        <v>3.9</v>
      </c>
      <c r="Q433" s="4">
        <f t="shared" si="1736"/>
        <v>3.9</v>
      </c>
      <c r="R433" s="4">
        <f t="shared" si="1949"/>
        <v>4.9000000000000004</v>
      </c>
      <c r="S433" s="7">
        <f t="shared" si="1950"/>
        <v>79.277668484889219</v>
      </c>
      <c r="V433" s="38">
        <f t="shared" si="1777"/>
        <v>671.72413793103453</v>
      </c>
      <c r="W433" s="4">
        <v>97.4</v>
      </c>
      <c r="X433" s="4">
        <f t="shared" si="1951"/>
        <v>1.1970277979743196</v>
      </c>
      <c r="Y433" s="38">
        <f t="shared" si="1994"/>
        <v>12.7</v>
      </c>
      <c r="Z433" s="38">
        <v>12</v>
      </c>
      <c r="AA433" s="39">
        <f>4*25.4</f>
        <v>101.6</v>
      </c>
      <c r="AB433" s="39">
        <v>2</v>
      </c>
      <c r="AC433" s="39">
        <f>AB433-1</f>
        <v>1</v>
      </c>
      <c r="AD433" s="7"/>
      <c r="AE433" s="4">
        <f t="shared" si="1952"/>
        <v>430.27600000000001</v>
      </c>
      <c r="AF433" s="4">
        <f t="shared" si="1953"/>
        <v>0.42306178669815031</v>
      </c>
      <c r="AG433" s="4">
        <f t="shared" si="1954"/>
        <v>284.24858588831904</v>
      </c>
      <c r="AH433" s="4">
        <f t="shared" si="1955"/>
        <v>0.73842975206611561</v>
      </c>
      <c r="AI433" s="4">
        <v>1.25</v>
      </c>
      <c r="AJ433" s="4">
        <f t="shared" si="1878"/>
        <v>2.5</v>
      </c>
      <c r="AK433" s="38">
        <f t="shared" si="1729"/>
        <v>277.49893467489983</v>
      </c>
      <c r="AL433" s="38">
        <f t="shared" si="1986"/>
        <v>277.49893467489983</v>
      </c>
      <c r="AM433" s="38">
        <f t="shared" si="1956"/>
        <v>3.5770538153249696</v>
      </c>
      <c r="AN433" s="38">
        <f t="shared" si="1893"/>
        <v>277.49893467490006</v>
      </c>
      <c r="AO433" s="38">
        <f t="shared" si="1845"/>
        <v>0.99999999999999922</v>
      </c>
      <c r="AP433" s="38">
        <f t="shared" si="1894"/>
        <v>1.3528174236246544</v>
      </c>
      <c r="AQ433" s="4">
        <f t="shared" si="1895"/>
        <v>0</v>
      </c>
      <c r="AR433" s="4" t="e">
        <f>#REF!/G433*F433^0.5/0.19</f>
        <v>#REF!</v>
      </c>
      <c r="AS433" s="4">
        <f t="shared" si="1957"/>
        <v>1</v>
      </c>
      <c r="AT433" s="38">
        <f t="shared" si="1958"/>
        <v>375.4053938654846</v>
      </c>
      <c r="AU433" s="4">
        <f t="shared" si="1959"/>
        <v>0.45399999999999996</v>
      </c>
      <c r="AV433" s="4" t="e">
        <f>AU433*D433*#REF!/(D433*G433/2.75/F433^0.5)</f>
        <v>#REF!</v>
      </c>
      <c r="AW433" s="4" t="e">
        <f t="shared" si="1793"/>
        <v>#REF!</v>
      </c>
      <c r="AY433" s="4">
        <f t="shared" si="1960"/>
        <v>1.5</v>
      </c>
      <c r="AZ433" s="4" t="e">
        <f>(3*#REF!+30)*AY433*F433^0.5</f>
        <v>#REF!</v>
      </c>
      <c r="BB433" s="4">
        <f t="shared" si="1961"/>
        <v>360.05968180513355</v>
      </c>
      <c r="BC433" s="4">
        <f t="shared" ref="BC433:BC453" si="2022">8/3*T433*U433^2/(S433-G433-22)/G433*(S433^2-G433^2)/(S433^2-(G433+22)^2)</f>
        <v>0</v>
      </c>
      <c r="BD433" s="4">
        <f t="shared" si="1794"/>
        <v>0</v>
      </c>
      <c r="BL433" s="4">
        <f t="shared" si="1962"/>
        <v>64.77</v>
      </c>
      <c r="BP433" s="9"/>
      <c r="BR433" s="9"/>
      <c r="BS433" s="9"/>
      <c r="BT433" s="9">
        <f t="shared" si="1963"/>
        <v>64.77</v>
      </c>
      <c r="BU433" s="9">
        <f t="shared" si="1964"/>
        <v>172.46600000000001</v>
      </c>
      <c r="BV433" s="9">
        <f t="shared" si="1965"/>
        <v>1.5576144696639249</v>
      </c>
      <c r="BW433" s="40">
        <f t="shared" si="1738"/>
        <v>20</v>
      </c>
      <c r="BX433" s="9">
        <f t="shared" si="1966"/>
        <v>0.05</v>
      </c>
      <c r="BY433" s="9">
        <f t="shared" si="1795"/>
        <v>0.8</v>
      </c>
      <c r="BZ433" s="9">
        <f t="shared" si="1967"/>
        <v>0.89777220146327208</v>
      </c>
      <c r="CA433" s="9">
        <f t="shared" si="1968"/>
        <v>0.68</v>
      </c>
      <c r="CB433" s="9">
        <f t="shared" si="1969"/>
        <v>1.3710278453315501</v>
      </c>
      <c r="CC433" s="9">
        <f t="shared" si="1970"/>
        <v>3.2323550864658164</v>
      </c>
      <c r="CD433" s="40">
        <v>1</v>
      </c>
      <c r="CE433" s="9" t="e">
        <f>4*CC433*#REF!+60*CC433</f>
        <v>#REF!</v>
      </c>
      <c r="CG433" s="4" t="e">
        <f t="shared" si="1796"/>
        <v>#REF!</v>
      </c>
      <c r="CH433" s="4" t="e">
        <f t="shared" si="1797"/>
        <v>#REF!</v>
      </c>
      <c r="CI433" s="4" t="e">
        <f t="shared" si="1798"/>
        <v>#REF!</v>
      </c>
      <c r="CJ433" s="4" t="e">
        <f t="shared" si="1799"/>
        <v>#REF!</v>
      </c>
      <c r="CK433" s="4">
        <f t="shared" si="1800"/>
        <v>1.1970277979743196</v>
      </c>
      <c r="CL433" s="4">
        <f t="shared" si="1801"/>
        <v>1.2956424138648808</v>
      </c>
      <c r="CM433" s="4">
        <f t="shared" si="1699"/>
        <v>1.1621411039397247</v>
      </c>
      <c r="CN433" s="4">
        <f t="shared" si="1739"/>
        <v>12</v>
      </c>
      <c r="CU433" s="4" t="e">
        <f t="shared" ref="CU433" si="2023">CG433</f>
        <v>#REF!</v>
      </c>
      <c r="CV433" s="4" t="e">
        <f t="shared" ref="CV433" si="2024">CH433</f>
        <v>#REF!</v>
      </c>
      <c r="CW433" s="4" t="e">
        <f t="shared" ref="CW433" si="2025">CJ433</f>
        <v>#REF!</v>
      </c>
      <c r="CX433" s="4">
        <f t="shared" ref="CX433" si="2026">CM433</f>
        <v>1.1621411039397247</v>
      </c>
      <c r="CY433" s="4">
        <f t="shared" ref="CY433" si="2027">CK433</f>
        <v>1.1970277979743196</v>
      </c>
      <c r="CZ433" s="4">
        <f t="shared" ref="CZ433" si="2028">CL433</f>
        <v>1.2956424138648808</v>
      </c>
      <c r="DC433" s="4" t="e">
        <f>#REF!</f>
        <v>#REF!</v>
      </c>
      <c r="DF433" s="4">
        <f t="shared" si="1971"/>
        <v>2.3155863189575028E-5</v>
      </c>
      <c r="DG433" s="4">
        <f t="shared" si="1802"/>
        <v>6.7506445941972286</v>
      </c>
      <c r="DH433" s="4">
        <f t="shared" si="1972"/>
        <v>0.53309932205670096</v>
      </c>
      <c r="DI433" s="4">
        <f t="shared" si="1803"/>
        <v>5.248902383941342</v>
      </c>
      <c r="DJ433" s="4">
        <f t="shared" si="1804"/>
        <v>6.0466489501837426</v>
      </c>
      <c r="DK433" s="4">
        <f t="shared" si="1973"/>
        <v>6.0585023027312088</v>
      </c>
      <c r="DL433" s="38">
        <f t="shared" si="1974"/>
        <v>561.16001572207881</v>
      </c>
      <c r="DM433" s="4" t="e">
        <f t="shared" si="1805"/>
        <v>#REF!</v>
      </c>
      <c r="DN433" s="4">
        <f t="shared" si="1975"/>
        <v>2.2135943621178655</v>
      </c>
      <c r="DO433" s="4">
        <f t="shared" si="1697"/>
        <v>277.49893467490006</v>
      </c>
      <c r="DS433" s="4">
        <f t="shared" si="1976"/>
        <v>0.85</v>
      </c>
      <c r="DT433" s="4">
        <f t="shared" si="1977"/>
        <v>0.91914893617021276</v>
      </c>
      <c r="DU433" s="4">
        <f t="shared" si="1978"/>
        <v>0.9995510789195714</v>
      </c>
      <c r="DV433" s="4">
        <f t="shared" si="1806"/>
        <v>0.91873631083671248</v>
      </c>
      <c r="DX433" s="4">
        <f t="shared" si="1979"/>
        <v>518.44870987766762</v>
      </c>
      <c r="DY433" s="25">
        <f t="shared" si="1870"/>
        <v>275.13824301447386</v>
      </c>
      <c r="EA433" s="4">
        <f t="shared" si="1871"/>
        <v>0.78092586421120558</v>
      </c>
      <c r="EB433" s="4">
        <f t="shared" si="1980"/>
        <v>6.7506445941972286</v>
      </c>
      <c r="EE433" s="4">
        <f t="shared" si="1981"/>
        <v>79.277668484889219</v>
      </c>
      <c r="EF433" s="4">
        <f t="shared" si="1807"/>
        <v>2.2135943621178655</v>
      </c>
      <c r="EG433" s="4">
        <f t="shared" si="1982"/>
        <v>0.1870451967137802</v>
      </c>
      <c r="EJ433" s="4">
        <f t="shared" si="1808"/>
        <v>0.1870451967137802</v>
      </c>
      <c r="EK433" s="4">
        <f t="shared" si="1983"/>
        <v>0.53220967864439561</v>
      </c>
      <c r="EL433" s="4">
        <f t="shared" si="1809"/>
        <v>5.2453968523071453</v>
      </c>
      <c r="EM433" s="4">
        <f t="shared" si="1810"/>
        <v>6.0451284632882327</v>
      </c>
      <c r="EN433" s="4" t="e">
        <f t="shared" si="1811"/>
        <v>#REF!</v>
      </c>
      <c r="EO433" s="4" t="e">
        <f t="shared" si="1812"/>
        <v>#REF!</v>
      </c>
      <c r="EP433" s="4" t="e">
        <f t="shared" si="1984"/>
        <v>#REF!</v>
      </c>
      <c r="EQ433" s="4" t="e">
        <f t="shared" si="1813"/>
        <v>#REF!</v>
      </c>
      <c r="ER433" s="4" t="e">
        <f t="shared" si="1985"/>
        <v>#REF!</v>
      </c>
      <c r="FA433" s="23" t="e">
        <f t="shared" si="1772"/>
        <v>#REF!</v>
      </c>
      <c r="FB433" s="23" t="e">
        <f t="shared" si="1773"/>
        <v>#REF!</v>
      </c>
      <c r="FC433" s="23">
        <f t="shared" si="1706"/>
        <v>1.2</v>
      </c>
      <c r="FD433" s="23" t="e">
        <f t="shared" si="1774"/>
        <v>#REF!</v>
      </c>
      <c r="FE433" s="23">
        <f t="shared" si="1775"/>
        <v>1.2</v>
      </c>
      <c r="FF433" s="23">
        <f t="shared" si="1776"/>
        <v>1.4</v>
      </c>
      <c r="FG433" s="23">
        <f t="shared" si="1993"/>
        <v>0</v>
      </c>
      <c r="FH433" s="23"/>
      <c r="FR433" s="4">
        <f t="shared" si="1852"/>
        <v>1</v>
      </c>
      <c r="FS433" s="4">
        <f t="shared" si="1853"/>
        <v>0.44214730608235164</v>
      </c>
      <c r="FT433" s="4">
        <f t="shared" si="1854"/>
        <v>0.25149640360142855</v>
      </c>
      <c r="FU433" s="4">
        <f t="shared" si="1855"/>
        <v>578.00566183732019</v>
      </c>
    </row>
    <row r="434" spans="2:177" ht="12" customHeight="1" x14ac:dyDescent="0.3">
      <c r="B434" s="14"/>
      <c r="C434" s="7" t="s">
        <v>582</v>
      </c>
      <c r="D434" s="38">
        <f t="shared" si="2008"/>
        <v>931.0344827586207</v>
      </c>
      <c r="E434" s="38">
        <f>14.5*25.4</f>
        <v>368.29999999999995</v>
      </c>
      <c r="F434" s="38">
        <f>5970/145</f>
        <v>41.172413793103445</v>
      </c>
      <c r="G434" s="38">
        <f t="shared" si="2009"/>
        <v>35.813999999999993</v>
      </c>
      <c r="H434" s="38">
        <f>21.7*25.4</f>
        <v>551.17999999999995</v>
      </c>
      <c r="I434" s="38">
        <f>2.55*25.4</f>
        <v>64.77</v>
      </c>
      <c r="J434" s="39">
        <f>3.3*25.4</f>
        <v>83.82</v>
      </c>
      <c r="K434" s="7">
        <f t="shared" si="1727"/>
        <v>350.01199999999994</v>
      </c>
      <c r="L434" s="38">
        <v>2</v>
      </c>
      <c r="M434" s="4">
        <f t="shared" si="1843"/>
        <v>508</v>
      </c>
      <c r="N434" s="7">
        <f t="shared" si="1947"/>
        <v>2.3085106382978724</v>
      </c>
      <c r="O434" s="7">
        <f t="shared" si="1948"/>
        <v>2.3085106382978724</v>
      </c>
      <c r="P434" s="38">
        <v>8.6</v>
      </c>
      <c r="Q434" s="4">
        <f t="shared" si="1736"/>
        <v>8.6</v>
      </c>
      <c r="R434" s="4">
        <f t="shared" si="1949"/>
        <v>9.6</v>
      </c>
      <c r="S434" s="7">
        <f t="shared" si="1950"/>
        <v>110.96562044885792</v>
      </c>
      <c r="V434" s="38">
        <f t="shared" si="1777"/>
        <v>366.20689655172418</v>
      </c>
      <c r="W434" s="4">
        <v>53.1</v>
      </c>
      <c r="X434" s="4">
        <f t="shared" si="1951"/>
        <v>0.75774169091366828</v>
      </c>
      <c r="Y434" s="38"/>
      <c r="Z434" s="38"/>
      <c r="AA434" s="39">
        <v>1</v>
      </c>
      <c r="AB434" s="39"/>
      <c r="AC434" s="39"/>
      <c r="AD434" s="7"/>
      <c r="AE434" s="4">
        <f t="shared" si="1952"/>
        <v>368.29999999999995</v>
      </c>
      <c r="AF434" s="4">
        <f t="shared" si="1953"/>
        <v>0.49885057471264377</v>
      </c>
      <c r="AG434" s="4">
        <f t="shared" si="1954"/>
        <v>225.10244237578763</v>
      </c>
      <c r="AH434" s="4">
        <f t="shared" si="1955"/>
        <v>0.74489655172413793</v>
      </c>
      <c r="AI434" s="4">
        <v>1.25</v>
      </c>
      <c r="AJ434" s="4">
        <f t="shared" si="1878"/>
        <v>2.5</v>
      </c>
      <c r="AK434" s="38">
        <f t="shared" si="1729"/>
        <v>261.39463494941117</v>
      </c>
      <c r="AL434" s="38">
        <f t="shared" si="1986"/>
        <v>261.39463494941117</v>
      </c>
      <c r="AM434" s="38">
        <f t="shared" si="1956"/>
        <v>3.5770538153249696</v>
      </c>
      <c r="AN434" s="38">
        <f t="shared" si="1893"/>
        <v>261.39463494941111</v>
      </c>
      <c r="AO434" s="38">
        <f t="shared" si="1845"/>
        <v>1.0000000000000002</v>
      </c>
      <c r="AP434" s="38">
        <f t="shared" si="1894"/>
        <v>2.1326557642509187</v>
      </c>
      <c r="AQ434" s="4">
        <f t="shared" si="1895"/>
        <v>0</v>
      </c>
      <c r="AR434" s="4" t="e">
        <f>#REF!/G434*F434^0.5/0.19</f>
        <v>#REF!</v>
      </c>
      <c r="AS434" s="4">
        <f t="shared" si="1957"/>
        <v>1</v>
      </c>
      <c r="AT434" s="38">
        <f t="shared" si="1958"/>
        <v>557.46477496912632</v>
      </c>
      <c r="AU434" s="4">
        <f t="shared" si="1959"/>
        <v>0.3</v>
      </c>
      <c r="AV434" s="4" t="e">
        <f>AU434*D434*#REF!/(D434*G434/2.75/F434^0.5)</f>
        <v>#REF!</v>
      </c>
      <c r="AW434" s="4" t="e">
        <f t="shared" si="1793"/>
        <v>#REF!</v>
      </c>
      <c r="AY434" s="4">
        <f t="shared" si="1960"/>
        <v>1.2021276595744681</v>
      </c>
      <c r="AZ434" s="4" t="e">
        <f>(3*#REF!+30)*AY434*F434^0.5</f>
        <v>#REF!</v>
      </c>
      <c r="BB434" s="4">
        <f t="shared" si="1961"/>
        <v>534.67689269503751</v>
      </c>
      <c r="BC434" s="4">
        <f t="shared" si="2022"/>
        <v>0</v>
      </c>
      <c r="BD434" s="4">
        <f t="shared" si="1794"/>
        <v>0</v>
      </c>
      <c r="BL434" s="4">
        <f t="shared" si="1962"/>
        <v>64.77</v>
      </c>
      <c r="BP434" s="9"/>
      <c r="BR434" s="9"/>
      <c r="BS434" s="9"/>
      <c r="BT434" s="9">
        <f t="shared" si="1963"/>
        <v>64.77</v>
      </c>
      <c r="BU434" s="9">
        <f t="shared" si="1964"/>
        <v>175.00599999999997</v>
      </c>
      <c r="BV434" s="9">
        <f t="shared" si="1965"/>
        <v>1.561034100003972</v>
      </c>
      <c r="BW434" s="40">
        <f t="shared" si="1738"/>
        <v>0</v>
      </c>
      <c r="BX434" s="9">
        <f t="shared" si="1966"/>
        <v>0</v>
      </c>
      <c r="BY434" s="9">
        <f t="shared" si="1795"/>
        <v>0</v>
      </c>
      <c r="BZ434" s="9">
        <f t="shared" si="1967"/>
        <v>0.89777220146327208</v>
      </c>
      <c r="CA434" s="9">
        <f t="shared" si="1968"/>
        <v>0.68</v>
      </c>
      <c r="CB434" s="9">
        <f t="shared" si="1969"/>
        <v>1.3710278453315501</v>
      </c>
      <c r="CC434" s="9">
        <f t="shared" si="1970"/>
        <v>2.1402212186175213</v>
      </c>
      <c r="CD434" s="40">
        <v>1</v>
      </c>
      <c r="CE434" s="9" t="e">
        <f>4*CC434*#REF!+60*CC434</f>
        <v>#REF!</v>
      </c>
      <c r="CG434" s="4" t="e">
        <f t="shared" si="1796"/>
        <v>#REF!</v>
      </c>
      <c r="CH434" s="4" t="e">
        <f t="shared" si="1797"/>
        <v>#REF!</v>
      </c>
      <c r="CI434" s="4" t="e">
        <f t="shared" si="1798"/>
        <v>#REF!</v>
      </c>
      <c r="CJ434" s="4" t="e">
        <f t="shared" si="1799"/>
        <v>#REF!</v>
      </c>
      <c r="CK434" s="4">
        <f t="shared" si="1800"/>
        <v>0.75774169091366828</v>
      </c>
      <c r="CL434" s="4">
        <f t="shared" si="1801"/>
        <v>0.78437925291382093</v>
      </c>
      <c r="CM434" s="4">
        <f t="shared" si="1699"/>
        <v>0.83703352176496904</v>
      </c>
      <c r="CN434" s="4">
        <f t="shared" si="1739"/>
        <v>0</v>
      </c>
      <c r="CO434" s="4" t="e">
        <f t="shared" ref="CO434" si="2029">CG434</f>
        <v>#REF!</v>
      </c>
      <c r="CP434" s="4" t="e">
        <f t="shared" ref="CP434" si="2030">CH434</f>
        <v>#REF!</v>
      </c>
      <c r="CQ434" s="4" t="e">
        <f t="shared" ref="CQ434" si="2031">CJ434</f>
        <v>#REF!</v>
      </c>
      <c r="CR434" s="4">
        <f t="shared" ref="CR434" si="2032">CM434</f>
        <v>0.83703352176496904</v>
      </c>
      <c r="CS434" s="4">
        <f t="shared" ref="CS434" si="2033">CK434</f>
        <v>0.75774169091366828</v>
      </c>
      <c r="CT434" s="4">
        <f t="shared" ref="CT434" si="2034">CL434</f>
        <v>0.78437925291382093</v>
      </c>
      <c r="DC434" s="4" t="e">
        <f>#REF!</f>
        <v>#REF!</v>
      </c>
      <c r="DF434" s="4">
        <f t="shared" si="1971"/>
        <v>1.9820544052469766E-5</v>
      </c>
      <c r="DG434" s="4">
        <f t="shared" si="1802"/>
        <v>6.747614087532412</v>
      </c>
      <c r="DH434" s="4">
        <f t="shared" si="1972"/>
        <v>0.31874781170116245</v>
      </c>
      <c r="DI434" s="4">
        <f t="shared" si="1803"/>
        <v>4.2709955706034792</v>
      </c>
      <c r="DJ434" s="4">
        <f t="shared" si="1804"/>
        <v>5.6474194433333995</v>
      </c>
      <c r="DK434" s="4">
        <f t="shared" si="1973"/>
        <v>6.2937040988749562</v>
      </c>
      <c r="DL434" s="38">
        <f t="shared" si="1974"/>
        <v>483.28724807283595</v>
      </c>
      <c r="DM434" s="4" t="e">
        <f t="shared" si="1805"/>
        <v>#REF!</v>
      </c>
      <c r="DN434" s="4">
        <f t="shared" si="1975"/>
        <v>3.0983866769659336</v>
      </c>
      <c r="DO434" s="4">
        <f t="shared" si="1697"/>
        <v>261.39463494941111</v>
      </c>
      <c r="DS434" s="4">
        <f t="shared" si="1976"/>
        <v>0.85</v>
      </c>
      <c r="DT434" s="4">
        <f t="shared" si="1977"/>
        <v>0.91914893617021276</v>
      </c>
      <c r="DU434" s="4">
        <f t="shared" si="1978"/>
        <v>1</v>
      </c>
      <c r="DV434" s="4">
        <f t="shared" si="1806"/>
        <v>0.91914893617021276</v>
      </c>
      <c r="DX434" s="4">
        <f t="shared" si="1979"/>
        <v>466.87478689847376</v>
      </c>
      <c r="DY434" s="25">
        <f t="shared" si="1870"/>
        <v>258.70371398523974</v>
      </c>
      <c r="EA434" s="4">
        <f t="shared" si="1871"/>
        <v>0.78127659574468078</v>
      </c>
      <c r="EB434" s="4">
        <f t="shared" si="1980"/>
        <v>6.747614087532412</v>
      </c>
      <c r="EE434" s="4">
        <f t="shared" si="1981"/>
        <v>110.96562044885792</v>
      </c>
      <c r="EF434" s="4">
        <f t="shared" si="1807"/>
        <v>3.0983866769659336</v>
      </c>
      <c r="EG434" s="4">
        <f t="shared" si="1982"/>
        <v>0.11183703425417155</v>
      </c>
      <c r="EJ434" s="4">
        <f t="shared" si="1808"/>
        <v>0.11183703425417155</v>
      </c>
      <c r="EK434" s="4">
        <f t="shared" si="1983"/>
        <v>0.31821588100994969</v>
      </c>
      <c r="EL434" s="4">
        <f t="shared" si="1809"/>
        <v>4.2681431437555215</v>
      </c>
      <c r="EM434" s="4">
        <f t="shared" si="1810"/>
        <v>5.6463444393818696</v>
      </c>
      <c r="EN434" s="4" t="e">
        <f t="shared" si="1811"/>
        <v>#REF!</v>
      </c>
      <c r="EO434" s="4" t="e">
        <f t="shared" si="1812"/>
        <v>#REF!</v>
      </c>
      <c r="EP434" s="4" t="e">
        <f t="shared" si="1984"/>
        <v>#REF!</v>
      </c>
      <c r="EQ434" s="4" t="e">
        <f t="shared" si="1813"/>
        <v>#REF!</v>
      </c>
      <c r="ER434" s="4" t="e">
        <f t="shared" si="1985"/>
        <v>#REF!</v>
      </c>
      <c r="FA434" s="23" t="e">
        <f t="shared" si="1772"/>
        <v>#REF!</v>
      </c>
      <c r="FB434" s="23" t="e">
        <f t="shared" si="1773"/>
        <v>#REF!</v>
      </c>
      <c r="FC434" s="23">
        <f t="shared" si="1706"/>
        <v>1</v>
      </c>
      <c r="FD434" s="23" t="e">
        <f t="shared" si="1774"/>
        <v>#REF!</v>
      </c>
      <c r="FE434" s="23">
        <f t="shared" si="1775"/>
        <v>0.8</v>
      </c>
      <c r="FF434" s="23">
        <f t="shared" si="1776"/>
        <v>0.8</v>
      </c>
      <c r="FG434" s="23">
        <f t="shared" si="1993"/>
        <v>1</v>
      </c>
      <c r="FH434" s="23"/>
      <c r="FR434" s="4">
        <f t="shared" si="1852"/>
        <v>1</v>
      </c>
      <c r="FS434" s="4">
        <f t="shared" si="1853"/>
        <v>0.5</v>
      </c>
      <c r="FT434" s="4">
        <f t="shared" si="1854"/>
        <v>0</v>
      </c>
      <c r="FU434" s="4">
        <f t="shared" si="1855"/>
        <v>437.50565184001266</v>
      </c>
    </row>
    <row r="435" spans="2:177" ht="12" customHeight="1" x14ac:dyDescent="0.3">
      <c r="B435" s="14"/>
      <c r="C435" s="7" t="s">
        <v>583</v>
      </c>
      <c r="D435" s="38">
        <f t="shared" si="2008"/>
        <v>931.0344827586207</v>
      </c>
      <c r="E435" s="38">
        <f>14.63*25.4</f>
        <v>371.60199999999998</v>
      </c>
      <c r="F435" s="38">
        <f>5970/145</f>
        <v>41.172413793103445</v>
      </c>
      <c r="G435" s="38">
        <f t="shared" si="2009"/>
        <v>35.813999999999993</v>
      </c>
      <c r="H435" s="38">
        <f>21.5*25.4</f>
        <v>546.1</v>
      </c>
      <c r="I435" s="38">
        <f>2.6*25.4</f>
        <v>66.039999999999992</v>
      </c>
      <c r="J435" s="39">
        <f>3.5*25.4</f>
        <v>88.899999999999991</v>
      </c>
      <c r="K435" s="7">
        <f t="shared" si="1727"/>
        <v>342.39200000000005</v>
      </c>
      <c r="L435" s="38">
        <v>2</v>
      </c>
      <c r="M435" s="4">
        <f t="shared" si="1843"/>
        <v>508</v>
      </c>
      <c r="N435" s="7">
        <f t="shared" si="1947"/>
        <v>2.3439716312056742</v>
      </c>
      <c r="O435" s="7">
        <f t="shared" si="1948"/>
        <v>2.3439716312056742</v>
      </c>
      <c r="P435" s="38">
        <v>8.6</v>
      </c>
      <c r="Q435" s="4">
        <f t="shared" si="1736"/>
        <v>8.6</v>
      </c>
      <c r="R435" s="4">
        <f t="shared" si="1949"/>
        <v>9.6</v>
      </c>
      <c r="S435" s="7">
        <f t="shared" si="1950"/>
        <v>110.96562044885792</v>
      </c>
      <c r="V435" s="38">
        <f t="shared" si="1777"/>
        <v>496.55172413793105</v>
      </c>
      <c r="W435" s="4">
        <v>72</v>
      </c>
      <c r="X435" s="4">
        <f t="shared" si="1951"/>
        <v>1.0238289667935871</v>
      </c>
      <c r="Y435" s="38">
        <f t="shared" si="1994"/>
        <v>12.7</v>
      </c>
      <c r="Z435" s="38">
        <v>12</v>
      </c>
      <c r="AA435" s="39">
        <f>4*25.4</f>
        <v>101.6</v>
      </c>
      <c r="AB435" s="39">
        <v>2</v>
      </c>
      <c r="AC435" s="39">
        <f>AB435-1</f>
        <v>1</v>
      </c>
      <c r="AD435" s="7"/>
      <c r="AE435" s="4">
        <f t="shared" si="1952"/>
        <v>371.60199999999998</v>
      </c>
      <c r="AF435" s="4">
        <f t="shared" si="1953"/>
        <v>0.48986101617680572</v>
      </c>
      <c r="AG435" s="4">
        <f t="shared" si="1954"/>
        <v>228.13645720575076</v>
      </c>
      <c r="AH435" s="4">
        <f t="shared" si="1955"/>
        <v>0.74518113465481883</v>
      </c>
      <c r="AI435" s="4">
        <v>1.25</v>
      </c>
      <c r="AJ435" s="4">
        <f t="shared" si="1878"/>
        <v>2.5</v>
      </c>
      <c r="AK435" s="38">
        <f t="shared" si="1729"/>
        <v>260.24323285410298</v>
      </c>
      <c r="AL435" s="38">
        <f t="shared" si="1986"/>
        <v>260.24323285410298</v>
      </c>
      <c r="AM435" s="38">
        <f t="shared" si="1956"/>
        <v>3.5770538153249696</v>
      </c>
      <c r="AN435" s="38">
        <f t="shared" si="1893"/>
        <v>260.24323285410264</v>
      </c>
      <c r="AO435" s="38">
        <f t="shared" si="1845"/>
        <v>1.0000000000000013</v>
      </c>
      <c r="AP435" s="38">
        <f t="shared" si="1894"/>
        <v>2.1749959672351045</v>
      </c>
      <c r="AQ435" s="4">
        <f t="shared" si="1895"/>
        <v>0</v>
      </c>
      <c r="AR435" s="4" t="e">
        <f>#REF!/G435*F435^0.5/0.19</f>
        <v>#REF!</v>
      </c>
      <c r="AS435" s="4">
        <f t="shared" si="1957"/>
        <v>1</v>
      </c>
      <c r="AT435" s="38">
        <f t="shared" si="1958"/>
        <v>566.02798195789944</v>
      </c>
      <c r="AU435" s="4">
        <f t="shared" si="1959"/>
        <v>0.3</v>
      </c>
      <c r="AV435" s="4" t="e">
        <f>AU435*D435*#REF!/(D435*G435/2.75/F435^0.5)</f>
        <v>#REF!</v>
      </c>
      <c r="AW435" s="4" t="e">
        <f t="shared" si="1793"/>
        <v>#REF!</v>
      </c>
      <c r="AY435" s="4">
        <f t="shared" si="1960"/>
        <v>1.5</v>
      </c>
      <c r="AZ435" s="4" t="e">
        <f>(3*#REF!+30)*AY435*F435^0.5</f>
        <v>#REF!</v>
      </c>
      <c r="BB435" s="4">
        <f t="shared" si="1961"/>
        <v>542.89005540924711</v>
      </c>
      <c r="BC435" s="4">
        <f t="shared" si="2022"/>
        <v>0</v>
      </c>
      <c r="BD435" s="4">
        <f t="shared" si="1794"/>
        <v>0</v>
      </c>
      <c r="BL435" s="4">
        <f t="shared" si="1962"/>
        <v>66.039999999999992</v>
      </c>
      <c r="BP435" s="9"/>
      <c r="BR435" s="9"/>
      <c r="BS435" s="9"/>
      <c r="BT435" s="9">
        <f t="shared" si="1963"/>
        <v>66.039999999999992</v>
      </c>
      <c r="BU435" s="9">
        <f t="shared" si="1964"/>
        <v>171.19600000000003</v>
      </c>
      <c r="BV435" s="9">
        <f t="shared" si="1965"/>
        <v>1.5664989205143935</v>
      </c>
      <c r="BW435" s="40">
        <f t="shared" si="1738"/>
        <v>20</v>
      </c>
      <c r="BX435" s="9">
        <f t="shared" si="1966"/>
        <v>0.05</v>
      </c>
      <c r="BY435" s="9">
        <f t="shared" si="1795"/>
        <v>0.8</v>
      </c>
      <c r="BZ435" s="9">
        <f t="shared" si="1967"/>
        <v>0.89777220146327208</v>
      </c>
      <c r="CA435" s="9">
        <f t="shared" si="1968"/>
        <v>0.68</v>
      </c>
      <c r="CB435" s="9">
        <f t="shared" si="1969"/>
        <v>1.3710278453315501</v>
      </c>
      <c r="CC435" s="9">
        <f t="shared" si="1970"/>
        <v>3.2445359159722882</v>
      </c>
      <c r="CD435" s="40">
        <v>1</v>
      </c>
      <c r="CE435" s="9" t="e">
        <f>4*CC435*#REF!+60*CC435</f>
        <v>#REF!</v>
      </c>
      <c r="CG435" s="4" t="e">
        <f t="shared" si="1796"/>
        <v>#REF!</v>
      </c>
      <c r="CH435" s="4" t="e">
        <f t="shared" si="1797"/>
        <v>#REF!</v>
      </c>
      <c r="CI435" s="4" t="e">
        <f t="shared" si="1798"/>
        <v>#REF!</v>
      </c>
      <c r="CJ435" s="4" t="e">
        <f t="shared" si="1799"/>
        <v>#REF!</v>
      </c>
      <c r="CK435" s="4">
        <f t="shared" si="1800"/>
        <v>1.0238289667935871</v>
      </c>
      <c r="CL435" s="4">
        <f t="shared" si="1801"/>
        <v>1.059782127050285</v>
      </c>
      <c r="CM435" s="4">
        <f t="shared" si="1699"/>
        <v>0.99472144636362514</v>
      </c>
      <c r="CN435" s="4">
        <f t="shared" si="1739"/>
        <v>12</v>
      </c>
      <c r="CU435" s="4" t="e">
        <f t="shared" ref="CU435" si="2035">CG435</f>
        <v>#REF!</v>
      </c>
      <c r="CV435" s="4" t="e">
        <f t="shared" ref="CV435" si="2036">CH435</f>
        <v>#REF!</v>
      </c>
      <c r="CW435" s="4" t="e">
        <f t="shared" ref="CW435" si="2037">CJ435</f>
        <v>#REF!</v>
      </c>
      <c r="CX435" s="4">
        <f t="shared" ref="CX435" si="2038">CM435</f>
        <v>0.99472144636362514</v>
      </c>
      <c r="CY435" s="4">
        <f t="shared" ref="CY435" si="2039">CK435</f>
        <v>1.0238289667935871</v>
      </c>
      <c r="CZ435" s="4">
        <f t="shared" ref="CZ435" si="2040">CL435</f>
        <v>1.059782127050285</v>
      </c>
      <c r="DC435" s="4" t="e">
        <f>#REF!</f>
        <v>#REF!</v>
      </c>
      <c r="DF435" s="4">
        <f t="shared" si="1971"/>
        <v>1.9998245481905705E-5</v>
      </c>
      <c r="DG435" s="4">
        <f t="shared" si="1802"/>
        <v>6.7767896158633691</v>
      </c>
      <c r="DH435" s="4">
        <f t="shared" si="1972"/>
        <v>0.31734377791776541</v>
      </c>
      <c r="DI435" s="4">
        <f t="shared" si="1803"/>
        <v>4.2818948513947275</v>
      </c>
      <c r="DJ435" s="4">
        <f t="shared" si="1804"/>
        <v>5.668986978278669</v>
      </c>
      <c r="DK435" s="4">
        <f t="shared" si="1973"/>
        <v>6.310811171007674</v>
      </c>
      <c r="DL435" s="38">
        <f t="shared" si="1974"/>
        <v>484.99479917336646</v>
      </c>
      <c r="DM435" s="4" t="e">
        <f t="shared" si="1805"/>
        <v>#REF!</v>
      </c>
      <c r="DN435" s="4">
        <f t="shared" si="1975"/>
        <v>3.0983866769659336</v>
      </c>
      <c r="DO435" s="4">
        <f t="shared" si="1697"/>
        <v>260.24323285410264</v>
      </c>
      <c r="DS435" s="4">
        <f t="shared" si="1976"/>
        <v>0.85</v>
      </c>
      <c r="DT435" s="4">
        <f t="shared" si="1977"/>
        <v>0.91560283687943256</v>
      </c>
      <c r="DU435" s="4">
        <f t="shared" si="1978"/>
        <v>0.9995510789195714</v>
      </c>
      <c r="DV435" s="4">
        <f t="shared" si="1806"/>
        <v>0.91519180346465712</v>
      </c>
      <c r="DX435" s="4">
        <f t="shared" si="1979"/>
        <v>468.54132699896951</v>
      </c>
      <c r="DY435" s="25">
        <f t="shared" si="1870"/>
        <v>257.59572682858419</v>
      </c>
      <c r="EA435" s="4">
        <f t="shared" si="1871"/>
        <v>0.7779130329449585</v>
      </c>
      <c r="EB435" s="4">
        <f t="shared" si="1980"/>
        <v>6.7767896158633691</v>
      </c>
      <c r="EE435" s="4">
        <f t="shared" si="1981"/>
        <v>110.96562044885792</v>
      </c>
      <c r="EF435" s="4">
        <f t="shared" si="1807"/>
        <v>3.0983866769659336</v>
      </c>
      <c r="EG435" s="4">
        <f t="shared" si="1982"/>
        <v>0.11134440977625042</v>
      </c>
      <c r="EJ435" s="4">
        <f t="shared" si="1808"/>
        <v>0.11134440977625042</v>
      </c>
      <c r="EK435" s="4">
        <f t="shared" si="1983"/>
        <v>0.31681419029726077</v>
      </c>
      <c r="EL435" s="4">
        <f t="shared" si="1809"/>
        <v>4.2790351453537481</v>
      </c>
      <c r="EM435" s="4">
        <f t="shared" si="1810"/>
        <v>5.6679106328475442</v>
      </c>
      <c r="EN435" s="4" t="e">
        <f t="shared" si="1811"/>
        <v>#REF!</v>
      </c>
      <c r="EO435" s="4" t="e">
        <f t="shared" si="1812"/>
        <v>#REF!</v>
      </c>
      <c r="EP435" s="4" t="e">
        <f t="shared" si="1984"/>
        <v>#REF!</v>
      </c>
      <c r="EQ435" s="4" t="e">
        <f t="shared" si="1813"/>
        <v>#REF!</v>
      </c>
      <c r="ER435" s="4" t="e">
        <f t="shared" si="1985"/>
        <v>#REF!</v>
      </c>
      <c r="FA435" s="23" t="e">
        <f t="shared" si="1772"/>
        <v>#REF!</v>
      </c>
      <c r="FB435" s="23" t="e">
        <f t="shared" si="1773"/>
        <v>#REF!</v>
      </c>
      <c r="FC435" s="23">
        <f t="shared" si="1706"/>
        <v>1</v>
      </c>
      <c r="FD435" s="23" t="e">
        <f t="shared" si="1774"/>
        <v>#REF!</v>
      </c>
      <c r="FE435" s="23">
        <f t="shared" si="1775"/>
        <v>1.2</v>
      </c>
      <c r="FF435" s="23">
        <f t="shared" si="1776"/>
        <v>1.2</v>
      </c>
      <c r="FG435" s="23">
        <f t="shared" si="1993"/>
        <v>0</v>
      </c>
      <c r="FH435" s="23"/>
      <c r="FR435" s="4">
        <f t="shared" si="1852"/>
        <v>1</v>
      </c>
      <c r="FS435" s="4">
        <f t="shared" si="1853"/>
        <v>0.44214730608235164</v>
      </c>
      <c r="FT435" s="4">
        <f t="shared" si="1854"/>
        <v>0.25149640360142855</v>
      </c>
      <c r="FU435" s="4">
        <f t="shared" si="1855"/>
        <v>499.18670795041271</v>
      </c>
    </row>
    <row r="436" spans="2:177" ht="12" customHeight="1" x14ac:dyDescent="0.3">
      <c r="B436" s="14"/>
      <c r="C436" s="7" t="s">
        <v>584</v>
      </c>
      <c r="D436" s="38">
        <f t="shared" si="2008"/>
        <v>931.0344827586207</v>
      </c>
      <c r="E436" s="38">
        <f>14.71*25.4</f>
        <v>373.63400000000001</v>
      </c>
      <c r="F436" s="38">
        <f>6240/145</f>
        <v>43.03448275862069</v>
      </c>
      <c r="G436" s="38">
        <f t="shared" si="2009"/>
        <v>35.813999999999993</v>
      </c>
      <c r="H436" s="38">
        <f>21.3*25.4</f>
        <v>541.02</v>
      </c>
      <c r="I436" s="38">
        <f>2.55*25.4</f>
        <v>64.77</v>
      </c>
      <c r="J436" s="39">
        <f>3.1*25.4</f>
        <v>78.739999999999995</v>
      </c>
      <c r="K436" s="7">
        <f t="shared" si="1727"/>
        <v>152.01900000000001</v>
      </c>
      <c r="L436" s="38">
        <v>3</v>
      </c>
      <c r="M436" s="4">
        <f t="shared" si="1843"/>
        <v>508</v>
      </c>
      <c r="N436" s="7">
        <f t="shared" si="1947"/>
        <v>2.3085106382978724</v>
      </c>
      <c r="O436" s="7">
        <f t="shared" si="1948"/>
        <v>2.3085106382978724</v>
      </c>
      <c r="P436" s="38">
        <v>8.6</v>
      </c>
      <c r="Q436" s="4">
        <f t="shared" si="1736"/>
        <v>8.6</v>
      </c>
      <c r="R436" s="4">
        <f t="shared" si="1949"/>
        <v>9.6</v>
      </c>
      <c r="S436" s="7">
        <f t="shared" si="1950"/>
        <v>110.96562044885792</v>
      </c>
      <c r="V436" s="38">
        <f t="shared" si="1777"/>
        <v>287.58620689655174</v>
      </c>
      <c r="W436" s="4">
        <v>41.7</v>
      </c>
      <c r="X436" s="4">
        <f t="shared" si="1951"/>
        <v>0.73182258163771818</v>
      </c>
      <c r="Y436" s="38"/>
      <c r="Z436" s="38"/>
      <c r="AA436" s="39">
        <v>1</v>
      </c>
      <c r="AB436" s="39"/>
      <c r="AC436" s="39"/>
      <c r="AD436" s="7"/>
      <c r="AE436" s="4">
        <f t="shared" si="1952"/>
        <v>373.63400000000001</v>
      </c>
      <c r="AF436" s="4">
        <f t="shared" si="1953"/>
        <v>0.48266485384092445</v>
      </c>
      <c r="AG436" s="4">
        <f t="shared" si="1954"/>
        <v>156.76932308663888</v>
      </c>
      <c r="AH436" s="4">
        <f t="shared" si="1955"/>
        <v>0.74425560842963967</v>
      </c>
      <c r="AI436" s="4">
        <v>1.25</v>
      </c>
      <c r="AJ436" s="4">
        <f t="shared" si="1878"/>
        <v>2.5</v>
      </c>
      <c r="AK436" s="38">
        <f t="shared" si="1729"/>
        <v>175.98631465676814</v>
      </c>
      <c r="AL436" s="38">
        <f t="shared" si="1986"/>
        <v>175.98631465676814</v>
      </c>
      <c r="AM436" s="38">
        <f t="shared" si="1956"/>
        <v>3.684107660000056</v>
      </c>
      <c r="AN436" s="38">
        <f t="shared" si="1893"/>
        <v>175.98631465676814</v>
      </c>
      <c r="AO436" s="38">
        <f t="shared" si="1845"/>
        <v>1</v>
      </c>
      <c r="AP436" s="38">
        <f t="shared" si="1894"/>
        <v>3.3109208000229291</v>
      </c>
      <c r="AQ436" s="4">
        <f t="shared" si="1895"/>
        <v>0</v>
      </c>
      <c r="AR436" s="4" t="e">
        <f>#REF!/G436*F436^0.5/0.19</f>
        <v>#REF!</v>
      </c>
      <c r="AS436" s="4">
        <f t="shared" si="1957"/>
        <v>1</v>
      </c>
      <c r="AT436" s="38">
        <f t="shared" si="1958"/>
        <v>582.67674971647375</v>
      </c>
      <c r="AU436" s="4">
        <f t="shared" si="1959"/>
        <v>0.3</v>
      </c>
      <c r="AV436" s="4" t="e">
        <f>AU436*D436*#REF!/(D436*G436/2.75/F436^0.5)</f>
        <v>#REF!</v>
      </c>
      <c r="AW436" s="4" t="e">
        <f t="shared" si="1793"/>
        <v>#REF!</v>
      </c>
      <c r="AY436" s="4">
        <f t="shared" si="1960"/>
        <v>1.2021276595744681</v>
      </c>
      <c r="AZ436" s="4" t="e">
        <f>(3*#REF!+30)*AY436*F436^0.5</f>
        <v>#REF!</v>
      </c>
      <c r="BB436" s="4">
        <f t="shared" si="1961"/>
        <v>558.8582597013459</v>
      </c>
      <c r="BC436" s="4">
        <f t="shared" si="2022"/>
        <v>0</v>
      </c>
      <c r="BD436" s="4">
        <f t="shared" si="1794"/>
        <v>0</v>
      </c>
      <c r="BL436" s="4">
        <f t="shared" si="1962"/>
        <v>64.77</v>
      </c>
      <c r="BP436" s="9"/>
      <c r="BR436" s="9"/>
      <c r="BS436" s="9"/>
      <c r="BT436" s="9">
        <f t="shared" si="1963"/>
        <v>64.77</v>
      </c>
      <c r="BU436" s="9">
        <f t="shared" si="1964"/>
        <v>76.009500000000003</v>
      </c>
      <c r="BV436" s="9">
        <f t="shared" si="1965"/>
        <v>1.3774778709669167</v>
      </c>
      <c r="BW436" s="40">
        <f t="shared" si="1738"/>
        <v>0</v>
      </c>
      <c r="BX436" s="9">
        <f t="shared" si="1966"/>
        <v>0</v>
      </c>
      <c r="BY436" s="9">
        <f t="shared" si="1795"/>
        <v>0</v>
      </c>
      <c r="BZ436" s="9">
        <f t="shared" si="1967"/>
        <v>0.89777220146327208</v>
      </c>
      <c r="CA436" s="9">
        <f t="shared" si="1968"/>
        <v>0.68</v>
      </c>
      <c r="CB436" s="9">
        <f t="shared" si="1969"/>
        <v>1.4016881590631138</v>
      </c>
      <c r="CC436" s="9">
        <f t="shared" si="1970"/>
        <v>1.9307944211057948</v>
      </c>
      <c r="CD436" s="40">
        <v>1</v>
      </c>
      <c r="CE436" s="9" t="e">
        <f>4*CC436*#REF!+60*CC436</f>
        <v>#REF!</v>
      </c>
      <c r="CG436" s="4" t="e">
        <f t="shared" si="1796"/>
        <v>#REF!</v>
      </c>
      <c r="CH436" s="4" t="e">
        <f t="shared" si="1797"/>
        <v>#REF!</v>
      </c>
      <c r="CI436" s="4" t="e">
        <f t="shared" si="1798"/>
        <v>#REF!</v>
      </c>
      <c r="CJ436" s="4" t="e">
        <f t="shared" si="1799"/>
        <v>#REF!</v>
      </c>
      <c r="CK436" s="4">
        <f t="shared" si="1800"/>
        <v>0.73182258163771818</v>
      </c>
      <c r="CL436" s="4">
        <f t="shared" si="1801"/>
        <v>0.73718451657272832</v>
      </c>
      <c r="CM436" s="4">
        <f t="shared" si="1699"/>
        <v>0.93509962123722112</v>
      </c>
      <c r="CN436" s="4">
        <f t="shared" si="1739"/>
        <v>0</v>
      </c>
      <c r="CO436" s="4" t="e">
        <f t="shared" ref="CO436" si="2041">CG436</f>
        <v>#REF!</v>
      </c>
      <c r="CP436" s="4" t="e">
        <f t="shared" ref="CP436" si="2042">CH436</f>
        <v>#REF!</v>
      </c>
      <c r="CQ436" s="4" t="e">
        <f t="shared" ref="CQ436" si="2043">CJ436</f>
        <v>#REF!</v>
      </c>
      <c r="CR436" s="4">
        <f t="shared" ref="CR436" si="2044">CM436</f>
        <v>0.93509962123722112</v>
      </c>
      <c r="CS436" s="4">
        <f t="shared" ref="CS436" si="2045">CK436</f>
        <v>0.73182258163771818</v>
      </c>
      <c r="CT436" s="4">
        <f t="shared" ref="CT436" si="2046">CL436</f>
        <v>0.73718451657272832</v>
      </c>
      <c r="DC436" s="4" t="e">
        <f>#REF!</f>
        <v>#REF!</v>
      </c>
      <c r="DF436" s="4">
        <f t="shared" si="1971"/>
        <v>2.0354264447591749E-5</v>
      </c>
      <c r="DG436" s="4">
        <f t="shared" si="1802"/>
        <v>6.8985110700902181</v>
      </c>
      <c r="DH436" s="4">
        <f t="shared" si="1972"/>
        <v>0.20531429140864466</v>
      </c>
      <c r="DI436" s="4">
        <f t="shared" si="1803"/>
        <v>3.6620396124227161</v>
      </c>
      <c r="DJ436" s="4">
        <f t="shared" si="1804"/>
        <v>5.5247735367075226</v>
      </c>
      <c r="DK436" s="4">
        <f t="shared" si="1973"/>
        <v>6.4373532609562742</v>
      </c>
      <c r="DL436" s="38">
        <f t="shared" si="1974"/>
        <v>392.9725784806659</v>
      </c>
      <c r="DM436" s="4" t="e">
        <f t="shared" si="1805"/>
        <v>#REF!</v>
      </c>
      <c r="DN436" s="4">
        <f t="shared" si="1975"/>
        <v>3.0983866769659336</v>
      </c>
      <c r="DO436" s="4">
        <f t="shared" si="1697"/>
        <v>175.98631465676814</v>
      </c>
      <c r="DS436" s="4">
        <f t="shared" si="1976"/>
        <v>0.85</v>
      </c>
      <c r="DT436" s="4">
        <f t="shared" si="1977"/>
        <v>0.91914893617021276</v>
      </c>
      <c r="DU436" s="4">
        <f t="shared" si="1978"/>
        <v>1</v>
      </c>
      <c r="DV436" s="4">
        <f t="shared" si="1806"/>
        <v>0.91914893617021276</v>
      </c>
      <c r="DX436" s="4">
        <f t="shared" si="1979"/>
        <v>390.11427998186855</v>
      </c>
      <c r="DY436" s="25">
        <f t="shared" si="1870"/>
        <v>174.20556117117252</v>
      </c>
      <c r="EA436" s="4">
        <f t="shared" si="1871"/>
        <v>0.78127659574468078</v>
      </c>
      <c r="EB436" s="4">
        <f t="shared" si="1980"/>
        <v>6.8985110700902181</v>
      </c>
      <c r="EE436" s="4">
        <f t="shared" si="1981"/>
        <v>110.96562044885792</v>
      </c>
      <c r="EF436" s="4">
        <f t="shared" si="1807"/>
        <v>3.0983866769659336</v>
      </c>
      <c r="EG436" s="4">
        <f t="shared" si="1982"/>
        <v>7.3648302216110448E-2</v>
      </c>
      <c r="EJ436" s="4">
        <f t="shared" si="1808"/>
        <v>7.3648302216110448E-2</v>
      </c>
      <c r="EK436" s="4">
        <f t="shared" si="1983"/>
        <v>0.20497166012166579</v>
      </c>
      <c r="EL436" s="4">
        <f t="shared" si="1809"/>
        <v>3.6595938828647983</v>
      </c>
      <c r="EM436" s="4">
        <f t="shared" si="1810"/>
        <v>5.5239702322069224</v>
      </c>
      <c r="EN436" s="4" t="e">
        <f t="shared" si="1811"/>
        <v>#REF!</v>
      </c>
      <c r="EO436" s="4" t="e">
        <f t="shared" si="1812"/>
        <v>#REF!</v>
      </c>
      <c r="EP436" s="4" t="e">
        <f t="shared" si="1984"/>
        <v>#REF!</v>
      </c>
      <c r="EQ436" s="4" t="e">
        <f t="shared" si="1813"/>
        <v>#REF!</v>
      </c>
      <c r="ER436" s="4" t="e">
        <f t="shared" si="1985"/>
        <v>#REF!</v>
      </c>
      <c r="FA436" s="23" t="e">
        <f t="shared" si="1772"/>
        <v>#REF!</v>
      </c>
      <c r="FB436" s="23" t="e">
        <f t="shared" si="1773"/>
        <v>#REF!</v>
      </c>
      <c r="FC436" s="23">
        <f t="shared" si="1706"/>
        <v>1</v>
      </c>
      <c r="FD436" s="23" t="e">
        <f t="shared" si="1774"/>
        <v>#REF!</v>
      </c>
      <c r="FE436" s="23">
        <f t="shared" si="1775"/>
        <v>0.8</v>
      </c>
      <c r="FF436" s="23">
        <f t="shared" si="1776"/>
        <v>0.8</v>
      </c>
      <c r="FG436" s="23">
        <f t="shared" si="1993"/>
        <v>1</v>
      </c>
      <c r="FH436" s="23"/>
      <c r="FR436" s="4">
        <f t="shared" si="1852"/>
        <v>1</v>
      </c>
      <c r="FS436" s="4">
        <f t="shared" si="1853"/>
        <v>0.72960992907801414</v>
      </c>
      <c r="FT436" s="4">
        <f t="shared" si="1854"/>
        <v>0</v>
      </c>
      <c r="FU436" s="4">
        <f t="shared" si="1855"/>
        <v>307.54606286338696</v>
      </c>
    </row>
    <row r="437" spans="2:177" ht="12" customHeight="1" x14ac:dyDescent="0.3">
      <c r="B437" s="14"/>
      <c r="C437" s="7" t="s">
        <v>585</v>
      </c>
      <c r="D437" s="38">
        <f t="shared" si="2008"/>
        <v>931.0344827586207</v>
      </c>
      <c r="E437" s="38">
        <f>14.54*25.4</f>
        <v>369.31599999999997</v>
      </c>
      <c r="F437" s="38">
        <f>6240/145</f>
        <v>43.03448275862069</v>
      </c>
      <c r="G437" s="38">
        <f t="shared" si="2009"/>
        <v>35.813999999999993</v>
      </c>
      <c r="H437" s="38">
        <f>21.4*25.4</f>
        <v>543.55999999999995</v>
      </c>
      <c r="I437" s="38">
        <f>2.65*25.4</f>
        <v>67.309999999999988</v>
      </c>
      <c r="J437" s="39">
        <f>3.2*25.4</f>
        <v>81.28</v>
      </c>
      <c r="K437" s="7">
        <f t="shared" si="1727"/>
        <v>150.74899999999997</v>
      </c>
      <c r="L437" s="38">
        <v>3</v>
      </c>
      <c r="M437" s="4">
        <f t="shared" si="1843"/>
        <v>508</v>
      </c>
      <c r="N437" s="7">
        <f t="shared" si="1947"/>
        <v>2.3794326241134751</v>
      </c>
      <c r="O437" s="7">
        <f t="shared" si="1948"/>
        <v>2.3794326241134751</v>
      </c>
      <c r="P437" s="38">
        <v>8.6</v>
      </c>
      <c r="Q437" s="4">
        <f t="shared" si="1736"/>
        <v>8.6</v>
      </c>
      <c r="R437" s="4">
        <f t="shared" si="1949"/>
        <v>9.6</v>
      </c>
      <c r="S437" s="7">
        <f t="shared" si="1950"/>
        <v>110.96562044885792</v>
      </c>
      <c r="V437" s="38">
        <f t="shared" si="1777"/>
        <v>334.48275862068965</v>
      </c>
      <c r="W437" s="4">
        <v>48.5</v>
      </c>
      <c r="X437" s="4">
        <f t="shared" si="1951"/>
        <v>0.85256630700679548</v>
      </c>
      <c r="Y437" s="38">
        <f t="shared" si="1994"/>
        <v>12.7</v>
      </c>
      <c r="Z437" s="38">
        <v>12</v>
      </c>
      <c r="AA437" s="39">
        <f>4*25.4</f>
        <v>101.6</v>
      </c>
      <c r="AB437" s="39">
        <v>2</v>
      </c>
      <c r="AC437" s="39">
        <f>AB437-1</f>
        <v>1</v>
      </c>
      <c r="AD437" s="7"/>
      <c r="AE437" s="4">
        <f t="shared" si="1952"/>
        <v>369.31599999999997</v>
      </c>
      <c r="AF437" s="4">
        <f t="shared" si="1953"/>
        <v>0.4906006419073819</v>
      </c>
      <c r="AG437" s="4">
        <f t="shared" si="1954"/>
        <v>154.05957086781055</v>
      </c>
      <c r="AH437" s="4">
        <f t="shared" si="1955"/>
        <v>0.74614855570839056</v>
      </c>
      <c r="AI437" s="4">
        <v>1.25</v>
      </c>
      <c r="AJ437" s="4">
        <f t="shared" si="1878"/>
        <v>2.5</v>
      </c>
      <c r="AK437" s="38">
        <f t="shared" si="1729"/>
        <v>176.23498271549212</v>
      </c>
      <c r="AL437" s="38">
        <f t="shared" si="1986"/>
        <v>176.23498271549212</v>
      </c>
      <c r="AM437" s="38">
        <f t="shared" si="1956"/>
        <v>3.684107660000056</v>
      </c>
      <c r="AN437" s="38">
        <f t="shared" si="1893"/>
        <v>176.23498271549224</v>
      </c>
      <c r="AO437" s="38">
        <f t="shared" si="1845"/>
        <v>0.99999999999999933</v>
      </c>
      <c r="AP437" s="38">
        <f t="shared" si="1894"/>
        <v>3.4078235539634179</v>
      </c>
      <c r="AQ437" s="4">
        <f t="shared" si="1895"/>
        <v>0</v>
      </c>
      <c r="AR437" s="4" t="e">
        <f>#REF!/G437*F437^0.5/0.19</f>
        <v>#REF!</v>
      </c>
      <c r="AS437" s="4">
        <f t="shared" si="1957"/>
        <v>1</v>
      </c>
      <c r="AT437" s="38">
        <f t="shared" si="1958"/>
        <v>600.57772513019029</v>
      </c>
      <c r="AU437" s="4">
        <f t="shared" si="1959"/>
        <v>0.3</v>
      </c>
      <c r="AV437" s="4" t="e">
        <f>AU437*D437*#REF!/(D437*G437/2.75/F437^0.5)</f>
        <v>#REF!</v>
      </c>
      <c r="AW437" s="4" t="e">
        <f t="shared" si="1793"/>
        <v>#REF!</v>
      </c>
      <c r="AY437" s="4">
        <f t="shared" si="1960"/>
        <v>1.5</v>
      </c>
      <c r="AZ437" s="4" t="e">
        <f>(3*#REF!+30)*AY437*F437^0.5</f>
        <v>#REF!</v>
      </c>
      <c r="BB437" s="4">
        <f t="shared" si="1961"/>
        <v>576.02748426974358</v>
      </c>
      <c r="BC437" s="4">
        <f t="shared" si="2022"/>
        <v>0</v>
      </c>
      <c r="BD437" s="4">
        <f t="shared" si="1794"/>
        <v>0</v>
      </c>
      <c r="BL437" s="4">
        <f t="shared" si="1962"/>
        <v>67.309999999999988</v>
      </c>
      <c r="BP437" s="9"/>
      <c r="BR437" s="9"/>
      <c r="BS437" s="9"/>
      <c r="BT437" s="9">
        <f t="shared" si="1963"/>
        <v>67.309999999999988</v>
      </c>
      <c r="BU437" s="9">
        <f t="shared" si="1964"/>
        <v>75.374499999999983</v>
      </c>
      <c r="BV437" s="9">
        <f t="shared" si="1965"/>
        <v>1.3943927264184584</v>
      </c>
      <c r="BW437" s="40">
        <f t="shared" si="1738"/>
        <v>20</v>
      </c>
      <c r="BX437" s="9">
        <f t="shared" si="1966"/>
        <v>0.05</v>
      </c>
      <c r="BY437" s="9">
        <f t="shared" si="1795"/>
        <v>0.8</v>
      </c>
      <c r="BZ437" s="9">
        <f t="shared" si="1967"/>
        <v>0.89777220146327208</v>
      </c>
      <c r="CA437" s="9">
        <f t="shared" si="1968"/>
        <v>0.68</v>
      </c>
      <c r="CB437" s="9">
        <f t="shared" si="1969"/>
        <v>1.4016881590631138</v>
      </c>
      <c r="CC437" s="9">
        <f t="shared" si="1970"/>
        <v>3.0758543009549761</v>
      </c>
      <c r="CD437" s="40">
        <v>1</v>
      </c>
      <c r="CE437" s="9" t="e">
        <f>4*CC437*#REF!+60*CC437</f>
        <v>#REF!</v>
      </c>
      <c r="CG437" s="4" t="e">
        <f t="shared" si="1796"/>
        <v>#REF!</v>
      </c>
      <c r="CH437" s="4" t="e">
        <f t="shared" si="1797"/>
        <v>#REF!</v>
      </c>
      <c r="CI437" s="4" t="e">
        <f t="shared" si="1798"/>
        <v>#REF!</v>
      </c>
      <c r="CJ437" s="4" t="e">
        <f t="shared" si="1799"/>
        <v>#REF!</v>
      </c>
      <c r="CK437" s="4">
        <f t="shared" si="1800"/>
        <v>0.85256630700679548</v>
      </c>
      <c r="CL437" s="4">
        <f t="shared" si="1801"/>
        <v>0.85852739822939572</v>
      </c>
      <c r="CM437" s="4">
        <f t="shared" si="1699"/>
        <v>0.8900725411588033</v>
      </c>
      <c r="CN437" s="4">
        <f t="shared" si="1739"/>
        <v>12</v>
      </c>
      <c r="CU437" s="4" t="e">
        <f t="shared" ref="CU437" si="2047">CG437</f>
        <v>#REF!</v>
      </c>
      <c r="CV437" s="4" t="e">
        <f t="shared" ref="CV437" si="2048">CH437</f>
        <v>#REF!</v>
      </c>
      <c r="CW437" s="4" t="e">
        <f t="shared" ref="CW437" si="2049">CJ437</f>
        <v>#REF!</v>
      </c>
      <c r="CX437" s="4">
        <f t="shared" ref="CX437" si="2050">CM437</f>
        <v>0.8900725411588033</v>
      </c>
      <c r="CY437" s="4">
        <f t="shared" ref="CY437" si="2051">CK437</f>
        <v>0.85256630700679548</v>
      </c>
      <c r="CZ437" s="4">
        <f t="shared" ref="CZ437" si="2052">CL437</f>
        <v>0.85852739822939572</v>
      </c>
      <c r="DC437" s="4" t="e">
        <f>#REF!</f>
        <v>#REF!</v>
      </c>
      <c r="DF437" s="4">
        <f t="shared" si="1971"/>
        <v>2.0119035014818761E-5</v>
      </c>
      <c r="DG437" s="4">
        <f t="shared" si="1802"/>
        <v>6.9552766057760431</v>
      </c>
      <c r="DH437" s="4">
        <f t="shared" si="1972"/>
        <v>0.20560439979788206</v>
      </c>
      <c r="DI437" s="4">
        <f t="shared" si="1803"/>
        <v>3.6942592364830715</v>
      </c>
      <c r="DJ437" s="4">
        <f t="shared" si="1804"/>
        <v>5.5709205222766514</v>
      </c>
      <c r="DK437" s="4">
        <f t="shared" si="1973"/>
        <v>6.4977521014947346</v>
      </c>
      <c r="DL437" s="38">
        <f t="shared" si="1974"/>
        <v>392.32462727151102</v>
      </c>
      <c r="DM437" s="4" t="e">
        <f t="shared" si="1805"/>
        <v>#REF!</v>
      </c>
      <c r="DN437" s="4">
        <f t="shared" si="1975"/>
        <v>3.0983866769659336</v>
      </c>
      <c r="DO437" s="4">
        <f t="shared" si="1697"/>
        <v>176.23498271549224</v>
      </c>
      <c r="DS437" s="4">
        <f t="shared" si="1976"/>
        <v>0.85</v>
      </c>
      <c r="DT437" s="4">
        <f t="shared" si="1977"/>
        <v>0.91205673758865247</v>
      </c>
      <c r="DU437" s="4">
        <f t="shared" si="1978"/>
        <v>0.9995510789195714</v>
      </c>
      <c r="DV437" s="4">
        <f t="shared" si="1806"/>
        <v>0.91164729609260198</v>
      </c>
      <c r="DX437" s="4">
        <f t="shared" si="1979"/>
        <v>389.600564071127</v>
      </c>
      <c r="DY437" s="25">
        <f t="shared" si="1870"/>
        <v>174.4309431179702</v>
      </c>
      <c r="EA437" s="4">
        <f t="shared" si="1871"/>
        <v>0.77490020167871165</v>
      </c>
      <c r="EB437" s="4">
        <f t="shared" si="1980"/>
        <v>6.9552766057760431</v>
      </c>
      <c r="EE437" s="4">
        <f t="shared" si="1981"/>
        <v>110.96562044885792</v>
      </c>
      <c r="EF437" s="4">
        <f t="shared" si="1807"/>
        <v>3.0983866769659336</v>
      </c>
      <c r="EG437" s="4">
        <f t="shared" si="1982"/>
        <v>7.375236701442231E-2</v>
      </c>
      <c r="EJ437" s="4">
        <f t="shared" si="1808"/>
        <v>7.375236701442231E-2</v>
      </c>
      <c r="EK437" s="4">
        <f t="shared" si="1983"/>
        <v>0.2052612843740704</v>
      </c>
      <c r="EL437" s="4">
        <f t="shared" si="1809"/>
        <v>3.6917919887289439</v>
      </c>
      <c r="EM437" s="4">
        <f t="shared" si="1810"/>
        <v>5.5701097719955328</v>
      </c>
      <c r="EN437" s="4" t="e">
        <f t="shared" si="1811"/>
        <v>#REF!</v>
      </c>
      <c r="EO437" s="4" t="e">
        <f t="shared" si="1812"/>
        <v>#REF!</v>
      </c>
      <c r="EP437" s="4" t="e">
        <f t="shared" si="1984"/>
        <v>#REF!</v>
      </c>
      <c r="EQ437" s="4" t="e">
        <f t="shared" si="1813"/>
        <v>#REF!</v>
      </c>
      <c r="ER437" s="4" t="e">
        <f t="shared" si="1985"/>
        <v>#REF!</v>
      </c>
      <c r="FA437" s="23" t="e">
        <f t="shared" si="1772"/>
        <v>#REF!</v>
      </c>
      <c r="FB437" s="23" t="e">
        <f t="shared" si="1773"/>
        <v>#REF!</v>
      </c>
      <c r="FC437" s="23">
        <f t="shared" si="1706"/>
        <v>1</v>
      </c>
      <c r="FD437" s="23" t="e">
        <f t="shared" si="1774"/>
        <v>#REF!</v>
      </c>
      <c r="FE437" s="23">
        <f t="shared" si="1775"/>
        <v>1</v>
      </c>
      <c r="FF437" s="23">
        <f t="shared" si="1776"/>
        <v>1</v>
      </c>
      <c r="FG437" s="23">
        <f t="shared" si="1993"/>
        <v>0</v>
      </c>
      <c r="FH437" s="23"/>
      <c r="FR437" s="4">
        <f t="shared" si="1852"/>
        <v>1</v>
      </c>
      <c r="FS437" s="4">
        <f t="shared" si="1853"/>
        <v>0.59020693452459627</v>
      </c>
      <c r="FT437" s="4">
        <f t="shared" si="1854"/>
        <v>0.16766426906761905</v>
      </c>
      <c r="FU437" s="4">
        <f t="shared" si="1855"/>
        <v>375.79269458781397</v>
      </c>
    </row>
    <row r="438" spans="2:177" ht="12" customHeight="1" x14ac:dyDescent="0.3">
      <c r="B438" s="14" t="s">
        <v>586</v>
      </c>
      <c r="C438" s="48" t="s">
        <v>587</v>
      </c>
      <c r="D438" s="38">
        <f>115.9/0.145</f>
        <v>799.31034482758628</v>
      </c>
      <c r="E438" s="38">
        <f>17.13*25.4</f>
        <v>435.10199999999998</v>
      </c>
      <c r="F438" s="38">
        <f>10860/145</f>
        <v>74.896551724137936</v>
      </c>
      <c r="G438" s="38">
        <f t="shared" si="2009"/>
        <v>35.813999999999993</v>
      </c>
      <c r="H438" s="38">
        <f>21.9*25.4</f>
        <v>556.25999999999988</v>
      </c>
      <c r="I438" s="38">
        <f>2.8*25.4</f>
        <v>71.11999999999999</v>
      </c>
      <c r="J438" s="39">
        <f>3.9*25.4</f>
        <v>99.059999999999988</v>
      </c>
      <c r="K438" s="7">
        <f t="shared" si="1727"/>
        <v>342.39199999999994</v>
      </c>
      <c r="L438" s="38">
        <v>2</v>
      </c>
      <c r="M438" s="4">
        <f t="shared" si="1843"/>
        <v>508</v>
      </c>
      <c r="N438" s="7">
        <f t="shared" si="1947"/>
        <v>2.4858156028368796</v>
      </c>
      <c r="O438" s="7">
        <f t="shared" si="1948"/>
        <v>2.4858156028368796</v>
      </c>
      <c r="P438" s="38">
        <v>4.5</v>
      </c>
      <c r="Q438" s="4">
        <f t="shared" si="1736"/>
        <v>4.5</v>
      </c>
      <c r="R438" s="4">
        <f t="shared" si="1949"/>
        <v>5.5</v>
      </c>
      <c r="S438" s="7">
        <f t="shared" si="1950"/>
        <v>83.991275011158137</v>
      </c>
      <c r="V438" s="38">
        <f t="shared" si="1777"/>
        <v>749.65517241379314</v>
      </c>
      <c r="W438" s="4">
        <v>108.7</v>
      </c>
      <c r="X438" s="4">
        <f t="shared" si="1951"/>
        <v>0.99737956201403044</v>
      </c>
      <c r="Y438" s="38"/>
      <c r="Z438" s="38"/>
      <c r="AA438" s="39">
        <v>1</v>
      </c>
      <c r="AB438" s="39"/>
      <c r="AC438" s="39"/>
      <c r="AD438" s="7"/>
      <c r="AE438" s="4">
        <f t="shared" si="1952"/>
        <v>435.10199999999998</v>
      </c>
      <c r="AF438" s="4">
        <f t="shared" si="1953"/>
        <v>0.42615294804436654</v>
      </c>
      <c r="AG438" s="4">
        <f t="shared" si="1954"/>
        <v>389.84502406210481</v>
      </c>
      <c r="AH438" s="4">
        <f t="shared" si="1955"/>
        <v>0.74092235843549326</v>
      </c>
      <c r="AI438" s="4">
        <v>1.25</v>
      </c>
      <c r="AJ438" s="4">
        <f t="shared" si="1878"/>
        <v>2.5</v>
      </c>
      <c r="AK438" s="38">
        <f t="shared" si="1729"/>
        <v>384.66282307406311</v>
      </c>
      <c r="AL438" s="38">
        <f t="shared" si="1986"/>
        <v>384.66282307406311</v>
      </c>
      <c r="AM438" s="38">
        <f t="shared" si="1956"/>
        <v>4.7252710400583542</v>
      </c>
      <c r="AN438" s="38">
        <f t="shared" si="1893"/>
        <v>384.662823074063</v>
      </c>
      <c r="AO438" s="38">
        <f t="shared" si="1845"/>
        <v>1.0000000000000002</v>
      </c>
      <c r="AP438" s="38">
        <f t="shared" si="1894"/>
        <v>2.0534624733612792</v>
      </c>
      <c r="AQ438" s="4">
        <f t="shared" si="1895"/>
        <v>0</v>
      </c>
      <c r="AR438" s="4" t="e">
        <f>#REF!/G438*F438^0.5/0.19</f>
        <v>#REF!</v>
      </c>
      <c r="AS438" s="4">
        <f t="shared" si="1957"/>
        <v>1</v>
      </c>
      <c r="AT438" s="38">
        <f t="shared" si="1958"/>
        <v>789.89067207979758</v>
      </c>
      <c r="AU438" s="4">
        <f t="shared" si="1959"/>
        <v>0.37</v>
      </c>
      <c r="AV438" s="4" t="e">
        <f>AU438*D438*#REF!/(D438*G438/2.75/F438^0.5)</f>
        <v>#REF!</v>
      </c>
      <c r="AW438" s="4" t="e">
        <f t="shared" si="1793"/>
        <v>#REF!</v>
      </c>
      <c r="AY438" s="4">
        <f t="shared" si="1960"/>
        <v>1.2464539007092199</v>
      </c>
      <c r="AZ438" s="4" t="e">
        <f>(3*#REF!+30)*AY438*F438^0.5</f>
        <v>#REF!</v>
      </c>
      <c r="BB438" s="4">
        <f t="shared" si="1961"/>
        <v>757.60175185922924</v>
      </c>
      <c r="BC438" s="4">
        <f t="shared" si="2022"/>
        <v>0</v>
      </c>
      <c r="BD438" s="4">
        <f t="shared" si="1794"/>
        <v>0</v>
      </c>
      <c r="BL438" s="4">
        <f t="shared" si="1962"/>
        <v>71.11999999999999</v>
      </c>
      <c r="BP438" s="9"/>
      <c r="BR438" s="9"/>
      <c r="BS438" s="9"/>
      <c r="BT438" s="9">
        <f t="shared" si="1963"/>
        <v>71.11999999999999</v>
      </c>
      <c r="BU438" s="9">
        <f t="shared" si="1964"/>
        <v>171.19599999999997</v>
      </c>
      <c r="BV438" s="9">
        <f t="shared" si="1965"/>
        <v>1.6076619725091519</v>
      </c>
      <c r="BW438" s="40">
        <f t="shared" si="1738"/>
        <v>0</v>
      </c>
      <c r="BX438" s="9">
        <f t="shared" si="1966"/>
        <v>0</v>
      </c>
      <c r="BY438" s="9">
        <f t="shared" si="1795"/>
        <v>0</v>
      </c>
      <c r="BZ438" s="9">
        <f t="shared" si="1967"/>
        <v>0.89777220146327208</v>
      </c>
      <c r="CA438" s="9">
        <f t="shared" si="1968"/>
        <v>0.68048275862068963</v>
      </c>
      <c r="CB438" s="9">
        <f t="shared" si="1969"/>
        <v>1.8504707967044269</v>
      </c>
      <c r="CC438" s="9">
        <f t="shared" si="1970"/>
        <v>2.9749315311004207</v>
      </c>
      <c r="CD438" s="40">
        <v>1</v>
      </c>
      <c r="CE438" s="9" t="e">
        <f>4*CC438*#REF!+60*CC438</f>
        <v>#REF!</v>
      </c>
      <c r="CG438" s="4" t="e">
        <f t="shared" si="1796"/>
        <v>#REF!</v>
      </c>
      <c r="CH438" s="4" t="e">
        <f t="shared" si="1797"/>
        <v>#REF!</v>
      </c>
      <c r="CI438" s="4" t="e">
        <f t="shared" si="1798"/>
        <v>#REF!</v>
      </c>
      <c r="CJ438" s="4" t="e">
        <f t="shared" si="1799"/>
        <v>#REF!</v>
      </c>
      <c r="CK438" s="4">
        <f t="shared" si="1800"/>
        <v>0.99737956201403044</v>
      </c>
      <c r="CL438" s="4">
        <f t="shared" si="1801"/>
        <v>1.0416632154626597</v>
      </c>
      <c r="CM438" s="4">
        <f t="shared" si="1699"/>
        <v>1.2488912988332597</v>
      </c>
      <c r="CN438" s="4">
        <f t="shared" si="1739"/>
        <v>0</v>
      </c>
      <c r="CO438" s="4" t="e">
        <f t="shared" ref="CO438:CO439" si="2053">CG438</f>
        <v>#REF!</v>
      </c>
      <c r="CP438" s="4" t="e">
        <f t="shared" ref="CP438:CP439" si="2054">CH438</f>
        <v>#REF!</v>
      </c>
      <c r="CQ438" s="4" t="e">
        <f t="shared" ref="CQ438:CQ439" si="2055">CJ438</f>
        <v>#REF!</v>
      </c>
      <c r="CR438" s="4">
        <f t="shared" ref="CR438:CR439" si="2056">CM438</f>
        <v>1.2488912988332597</v>
      </c>
      <c r="CS438" s="4">
        <f t="shared" ref="CS438:CS439" si="2057">CK438</f>
        <v>0.99737956201403044</v>
      </c>
      <c r="CT438" s="4">
        <f t="shared" ref="CT438:CT439" si="2058">CL438</f>
        <v>1.0416632154626597</v>
      </c>
      <c r="DC438" s="4" t="e">
        <f>#REF!</f>
        <v>#REF!</v>
      </c>
      <c r="DF438" s="4">
        <f t="shared" si="1971"/>
        <v>2.8871836657560902E-5</v>
      </c>
      <c r="DG438" s="4">
        <f t="shared" si="1802"/>
        <v>9.2797747433667563</v>
      </c>
      <c r="DH438" s="4">
        <f t="shared" si="1972"/>
        <v>0.37299836532167074</v>
      </c>
      <c r="DI438" s="4">
        <f t="shared" si="1803"/>
        <v>6.2548976220947603</v>
      </c>
      <c r="DJ438" s="4">
        <f t="shared" si="1804"/>
        <v>7.9137503349969922</v>
      </c>
      <c r="DK438" s="4">
        <f t="shared" si="1973"/>
        <v>7.7449094179753031</v>
      </c>
      <c r="DL438" s="38">
        <f t="shared" si="1974"/>
        <v>751.62475848211488</v>
      </c>
      <c r="DM438" s="4" t="e">
        <f t="shared" si="1805"/>
        <v>#REF!</v>
      </c>
      <c r="DN438" s="4">
        <f t="shared" si="1975"/>
        <v>2.3452078799117149</v>
      </c>
      <c r="DO438" s="4">
        <f t="shared" ref="DO438:DO453" si="2059">MIN(DN$10*AN438)</f>
        <v>384.662823074063</v>
      </c>
      <c r="DS438" s="4">
        <f t="shared" si="1976"/>
        <v>0.85</v>
      </c>
      <c r="DT438" s="4">
        <f t="shared" si="1977"/>
        <v>0.90141843971631208</v>
      </c>
      <c r="DU438" s="4">
        <f t="shared" si="1978"/>
        <v>1</v>
      </c>
      <c r="DV438" s="4">
        <f t="shared" si="1806"/>
        <v>0.90141843971631208</v>
      </c>
      <c r="DX438" s="4">
        <f t="shared" si="1979"/>
        <v>719.67134990058207</v>
      </c>
      <c r="DY438" s="25">
        <f t="shared" si="1870"/>
        <v>381.45317680723616</v>
      </c>
      <c r="EA438" s="4">
        <f t="shared" si="1871"/>
        <v>0.76620567375886528</v>
      </c>
      <c r="EB438" s="4">
        <f t="shared" si="1980"/>
        <v>9.2797747433667563</v>
      </c>
      <c r="EE438" s="4">
        <f t="shared" si="1981"/>
        <v>83.991275011158137</v>
      </c>
      <c r="EF438" s="4">
        <f t="shared" si="1807"/>
        <v>2.3452078799117149</v>
      </c>
      <c r="EG438" s="4">
        <f t="shared" si="1982"/>
        <v>0.17651154056078713</v>
      </c>
      <c r="EJ438" s="4">
        <f t="shared" si="1808"/>
        <v>0.17651154056078713</v>
      </c>
      <c r="EK438" s="4">
        <f t="shared" si="1983"/>
        <v>0.37237590056739411</v>
      </c>
      <c r="EL438" s="4">
        <f t="shared" si="1809"/>
        <v>6.2507202265405981</v>
      </c>
      <c r="EM438" s="4">
        <f t="shared" si="1810"/>
        <v>7.9121030475986087</v>
      </c>
      <c r="EN438" s="4" t="e">
        <f t="shared" si="1811"/>
        <v>#REF!</v>
      </c>
      <c r="EO438" s="4" t="e">
        <f t="shared" si="1812"/>
        <v>#REF!</v>
      </c>
      <c r="EP438" s="4" t="e">
        <f t="shared" si="1984"/>
        <v>#REF!</v>
      </c>
      <c r="EQ438" s="4" t="e">
        <f t="shared" si="1813"/>
        <v>#REF!</v>
      </c>
      <c r="ER438" s="4" t="e">
        <f t="shared" si="1985"/>
        <v>#REF!</v>
      </c>
      <c r="EU438" s="4">
        <f>6.75*25.4</f>
        <v>171.45</v>
      </c>
      <c r="FA438" s="23" t="e">
        <f t="shared" si="1772"/>
        <v>#REF!</v>
      </c>
      <c r="FB438" s="23" t="e">
        <f t="shared" si="1773"/>
        <v>#REF!</v>
      </c>
      <c r="FC438" s="23">
        <f t="shared" si="1706"/>
        <v>1.4</v>
      </c>
      <c r="FD438" s="23" t="e">
        <f t="shared" si="1774"/>
        <v>#REF!</v>
      </c>
      <c r="FE438" s="23">
        <f t="shared" si="1775"/>
        <v>1</v>
      </c>
      <c r="FF438" s="23">
        <f t="shared" si="1776"/>
        <v>1.2</v>
      </c>
      <c r="FG438" s="23">
        <f t="shared" si="1993"/>
        <v>0</v>
      </c>
      <c r="FH438" s="23"/>
      <c r="FR438" s="4">
        <f t="shared" si="1852"/>
        <v>1</v>
      </c>
      <c r="FS438" s="4">
        <f t="shared" si="1853"/>
        <v>0.5</v>
      </c>
      <c r="FT438" s="4">
        <f t="shared" si="1854"/>
        <v>0</v>
      </c>
      <c r="FU438" s="4">
        <f t="shared" si="1855"/>
        <v>600.25654203383169</v>
      </c>
    </row>
    <row r="439" spans="2:177" ht="12" customHeight="1" x14ac:dyDescent="0.3">
      <c r="B439" s="14"/>
      <c r="C439" s="7" t="s">
        <v>588</v>
      </c>
      <c r="D439" s="38">
        <f>135/0.145</f>
        <v>931.0344827586207</v>
      </c>
      <c r="E439" s="38">
        <f>16.94*25.4</f>
        <v>430.27600000000001</v>
      </c>
      <c r="F439" s="38">
        <f>10120/145</f>
        <v>69.793103448275858</v>
      </c>
      <c r="G439" s="38">
        <f t="shared" si="2009"/>
        <v>35.813999999999993</v>
      </c>
      <c r="H439" s="38">
        <f>22.3*25.4</f>
        <v>566.41999999999996</v>
      </c>
      <c r="I439" s="38">
        <f>2.85*25.4</f>
        <v>72.39</v>
      </c>
      <c r="J439" s="39">
        <f>3.4*25.4</f>
        <v>86.36</v>
      </c>
      <c r="K439" s="7">
        <f t="shared" si="1727"/>
        <v>350.01199999999994</v>
      </c>
      <c r="L439" s="38">
        <v>2</v>
      </c>
      <c r="M439" s="4">
        <f t="shared" si="1843"/>
        <v>508</v>
      </c>
      <c r="N439" s="7">
        <f t="shared" si="1947"/>
        <v>2.5212765957446814</v>
      </c>
      <c r="O439" s="7">
        <f t="shared" si="1948"/>
        <v>2.5212765957446814</v>
      </c>
      <c r="P439" s="38">
        <v>5.5</v>
      </c>
      <c r="Q439" s="4">
        <f t="shared" si="1736"/>
        <v>5.5</v>
      </c>
      <c r="R439" s="4">
        <f t="shared" si="1949"/>
        <v>6.5</v>
      </c>
      <c r="S439" s="7">
        <f t="shared" si="1950"/>
        <v>91.308142429905971</v>
      </c>
      <c r="V439" s="38">
        <f t="shared" si="1777"/>
        <v>777.93103448275861</v>
      </c>
      <c r="W439" s="4">
        <v>112.8</v>
      </c>
      <c r="X439" s="4">
        <f t="shared" si="1951"/>
        <v>1.0728433505360115</v>
      </c>
      <c r="Y439" s="38"/>
      <c r="Z439" s="38"/>
      <c r="AA439" s="39">
        <v>1</v>
      </c>
      <c r="AB439" s="39"/>
      <c r="AC439" s="39"/>
      <c r="AD439" s="7"/>
      <c r="AE439" s="4">
        <f t="shared" si="1952"/>
        <v>430.27600000000001</v>
      </c>
      <c r="AF439" s="4">
        <f t="shared" si="1953"/>
        <v>0.43880362062180234</v>
      </c>
      <c r="AG439" s="4">
        <f t="shared" si="1954"/>
        <v>370.08493226495057</v>
      </c>
      <c r="AH439" s="4">
        <f t="shared" si="1955"/>
        <v>0.74197166469893738</v>
      </c>
      <c r="AI439" s="4">
        <v>1.25</v>
      </c>
      <c r="AJ439" s="4">
        <f t="shared" si="1878"/>
        <v>2.5</v>
      </c>
      <c r="AK439" s="38">
        <f t="shared" si="1729"/>
        <v>376.53811811168083</v>
      </c>
      <c r="AL439" s="38">
        <f t="shared" si="1986"/>
        <v>376.53811811168083</v>
      </c>
      <c r="AM439" s="38">
        <f t="shared" si="1956"/>
        <v>4.6054834550100843</v>
      </c>
      <c r="AN439" s="38">
        <f t="shared" si="1893"/>
        <v>376.53811811168123</v>
      </c>
      <c r="AO439" s="38">
        <f t="shared" si="1845"/>
        <v>0.99999999999999889</v>
      </c>
      <c r="AP439" s="38">
        <f t="shared" si="1894"/>
        <v>2.191973984270188</v>
      </c>
      <c r="AQ439" s="4">
        <f t="shared" si="1895"/>
        <v>0</v>
      </c>
      <c r="AR439" s="4" t="e">
        <f>#REF!/G439*F439^0.5/0.19</f>
        <v>#REF!</v>
      </c>
      <c r="AS439" s="4">
        <f t="shared" si="1957"/>
        <v>1</v>
      </c>
      <c r="AT439" s="38">
        <f t="shared" si="1958"/>
        <v>825.36175898686054</v>
      </c>
      <c r="AU439" s="4">
        <f t="shared" si="1959"/>
        <v>0.3</v>
      </c>
      <c r="AV439" s="4" t="e">
        <f>AU439*D439*#REF!/(D439*G439/2.75/F439^0.5)</f>
        <v>#REF!</v>
      </c>
      <c r="AW439" s="4" t="e">
        <f t="shared" si="1793"/>
        <v>#REF!</v>
      </c>
      <c r="AY439" s="4">
        <f t="shared" si="1960"/>
        <v>1.2553191489361704</v>
      </c>
      <c r="AZ439" s="4" t="e">
        <f>(3*#REF!+30)*AY439*F439^0.5</f>
        <v>#REF!</v>
      </c>
      <c r="BB439" s="4">
        <f t="shared" si="1961"/>
        <v>791.62286203436884</v>
      </c>
      <c r="BC439" s="4">
        <f t="shared" si="2022"/>
        <v>0</v>
      </c>
      <c r="BD439" s="4">
        <f t="shared" si="1794"/>
        <v>0</v>
      </c>
      <c r="BL439" s="4">
        <f t="shared" si="1962"/>
        <v>72.39</v>
      </c>
      <c r="BP439" s="9"/>
      <c r="BR439" s="9"/>
      <c r="BS439" s="9"/>
      <c r="BT439" s="9">
        <f t="shared" si="1963"/>
        <v>72.39</v>
      </c>
      <c r="BU439" s="9">
        <f t="shared" si="1964"/>
        <v>175.00599999999997</v>
      </c>
      <c r="BV439" s="9">
        <f t="shared" si="1965"/>
        <v>1.6230018989509365</v>
      </c>
      <c r="BW439" s="40">
        <f t="shared" si="1738"/>
        <v>0</v>
      </c>
      <c r="BX439" s="9">
        <f t="shared" si="1966"/>
        <v>0</v>
      </c>
      <c r="BY439" s="9">
        <f t="shared" si="1795"/>
        <v>0</v>
      </c>
      <c r="BZ439" s="9">
        <f t="shared" si="1967"/>
        <v>0.89777220146327208</v>
      </c>
      <c r="CA439" s="9">
        <f t="shared" si="1968"/>
        <v>0.68</v>
      </c>
      <c r="CB439" s="9">
        <f t="shared" si="1969"/>
        <v>1.7850458101214393</v>
      </c>
      <c r="CC439" s="9">
        <f t="shared" si="1970"/>
        <v>2.8971327395415085</v>
      </c>
      <c r="CD439" s="40">
        <v>1</v>
      </c>
      <c r="CE439" s="9" t="e">
        <f>4*CC439*#REF!+60*CC439</f>
        <v>#REF!</v>
      </c>
      <c r="CG439" s="4" t="e">
        <f t="shared" si="1796"/>
        <v>#REF!</v>
      </c>
      <c r="CH439" s="4" t="e">
        <f t="shared" si="1797"/>
        <v>#REF!</v>
      </c>
      <c r="CI439" s="4" t="e">
        <f t="shared" si="1798"/>
        <v>#REF!</v>
      </c>
      <c r="CJ439" s="4" t="e">
        <f t="shared" si="1799"/>
        <v>#REF!</v>
      </c>
      <c r="CK439" s="4">
        <f t="shared" si="1800"/>
        <v>1.0728433505360115</v>
      </c>
      <c r="CL439" s="4">
        <f t="shared" si="1801"/>
        <v>1.1153119606929831</v>
      </c>
      <c r="CM439" s="4">
        <f t="shared" ref="CM439:CM453" si="2060">V439/FU439</f>
        <v>1.3338607110128451</v>
      </c>
      <c r="CN439" s="4">
        <f t="shared" si="1739"/>
        <v>0</v>
      </c>
      <c r="CO439" s="4" t="e">
        <f t="shared" si="2053"/>
        <v>#REF!</v>
      </c>
      <c r="CP439" s="4" t="e">
        <f t="shared" si="2054"/>
        <v>#REF!</v>
      </c>
      <c r="CQ439" s="4" t="e">
        <f t="shared" si="2055"/>
        <v>#REF!</v>
      </c>
      <c r="CR439" s="4">
        <f t="shared" si="2056"/>
        <v>1.3338607110128451</v>
      </c>
      <c r="CS439" s="4">
        <f t="shared" si="2057"/>
        <v>1.0728433505360115</v>
      </c>
      <c r="CT439" s="4">
        <f t="shared" si="2058"/>
        <v>1.1153119606929831</v>
      </c>
      <c r="DC439" s="4" t="e">
        <f>#REF!</f>
        <v>#REF!</v>
      </c>
      <c r="DF439" s="4">
        <f t="shared" si="1971"/>
        <v>2.7686527188922619E-5</v>
      </c>
      <c r="DG439" s="4">
        <f t="shared" si="1802"/>
        <v>8.9934147612306088</v>
      </c>
      <c r="DH439" s="4">
        <f t="shared" si="1972"/>
        <v>0.34850589790084407</v>
      </c>
      <c r="DI439" s="4">
        <f t="shared" si="1803"/>
        <v>5.8994112997014136</v>
      </c>
      <c r="DJ439" s="4">
        <f t="shared" si="1804"/>
        <v>7.6060716291421739</v>
      </c>
      <c r="DK439" s="4">
        <f t="shared" si="1973"/>
        <v>7.6439407512249238</v>
      </c>
      <c r="DL439" s="38">
        <f t="shared" si="1974"/>
        <v>725.11148444373589</v>
      </c>
      <c r="DM439" s="4" t="e">
        <f t="shared" si="1805"/>
        <v>#REF!</v>
      </c>
      <c r="DN439" s="4">
        <f t="shared" si="1975"/>
        <v>2.5495097567963922</v>
      </c>
      <c r="DO439" s="4">
        <f t="shared" si="2059"/>
        <v>376.53811811168123</v>
      </c>
      <c r="DS439" s="4">
        <f t="shared" si="1976"/>
        <v>0.85</v>
      </c>
      <c r="DT439" s="4">
        <f t="shared" si="1977"/>
        <v>0.89787234042553188</v>
      </c>
      <c r="DU439" s="4">
        <f t="shared" si="1978"/>
        <v>1</v>
      </c>
      <c r="DV439" s="4">
        <f t="shared" si="1806"/>
        <v>0.89787234042553188</v>
      </c>
      <c r="DX439" s="4">
        <f t="shared" si="1979"/>
        <v>697.50084451654436</v>
      </c>
      <c r="DY439" s="25">
        <f t="shared" si="1870"/>
        <v>373.3552146117645</v>
      </c>
      <c r="EA439" s="4">
        <f t="shared" si="1871"/>
        <v>0.76319148936170211</v>
      </c>
      <c r="EB439" s="4">
        <f t="shared" si="1980"/>
        <v>8.9934147612306088</v>
      </c>
      <c r="EE439" s="4">
        <f t="shared" si="1981"/>
        <v>91.308142429905971</v>
      </c>
      <c r="EF439" s="4">
        <f t="shared" si="1807"/>
        <v>2.5495097567963922</v>
      </c>
      <c r="EG439" s="4">
        <f t="shared" si="1982"/>
        <v>0.1592031486457379</v>
      </c>
      <c r="EJ439" s="4">
        <f t="shared" si="1808"/>
        <v>0.1592031486457379</v>
      </c>
      <c r="EK439" s="4">
        <f t="shared" si="1983"/>
        <v>0.34792430650991729</v>
      </c>
      <c r="EL439" s="4">
        <f t="shared" si="1809"/>
        <v>5.8954713192213966</v>
      </c>
      <c r="EM439" s="4">
        <f t="shared" si="1810"/>
        <v>7.6045476887426728</v>
      </c>
      <c r="EN439" s="4" t="e">
        <f t="shared" si="1811"/>
        <v>#REF!</v>
      </c>
      <c r="EO439" s="4" t="e">
        <f t="shared" si="1812"/>
        <v>#REF!</v>
      </c>
      <c r="EP439" s="4" t="e">
        <f t="shared" si="1984"/>
        <v>#REF!</v>
      </c>
      <c r="EQ439" s="4" t="e">
        <f t="shared" si="1813"/>
        <v>#REF!</v>
      </c>
      <c r="ER439" s="4" t="e">
        <f t="shared" si="1985"/>
        <v>#REF!</v>
      </c>
      <c r="FA439" s="23" t="e">
        <f t="shared" si="1772"/>
        <v>#REF!</v>
      </c>
      <c r="FB439" s="23" t="e">
        <f t="shared" si="1773"/>
        <v>#REF!</v>
      </c>
      <c r="FC439" s="23">
        <f t="shared" ref="FC439:FC453" si="2061">IF(CM439&lt;0.6,0.6,IF(CM439&lt;0.8,0.8,IF(CM439&lt;1,1,IF(CM439&lt;1.2,1.2,IF(CM439&lt;1.4,1.4,IF(CM439&lt;1.6,1.6,IF(CM439&lt;1.8,1.8,IF(CM439&lt;2,2,2.2))))))))</f>
        <v>1.4</v>
      </c>
      <c r="FD439" s="23" t="e">
        <f t="shared" si="1774"/>
        <v>#REF!</v>
      </c>
      <c r="FE439" s="23">
        <f t="shared" si="1775"/>
        <v>1.2</v>
      </c>
      <c r="FF439" s="23">
        <f t="shared" si="1776"/>
        <v>1.2</v>
      </c>
      <c r="FG439" s="23">
        <f t="shared" si="1993"/>
        <v>0</v>
      </c>
      <c r="FH439" s="23"/>
      <c r="FR439" s="4">
        <f t="shared" si="1852"/>
        <v>1</v>
      </c>
      <c r="FS439" s="4">
        <f t="shared" si="1853"/>
        <v>0.5</v>
      </c>
      <c r="FT439" s="4">
        <f t="shared" si="1854"/>
        <v>0</v>
      </c>
      <c r="FU439" s="4">
        <f t="shared" si="1855"/>
        <v>583.21759390607554</v>
      </c>
    </row>
    <row r="440" spans="2:177" ht="12" customHeight="1" x14ac:dyDescent="0.3">
      <c r="B440" s="14"/>
      <c r="C440" s="48" t="s">
        <v>589</v>
      </c>
      <c r="D440" s="38">
        <f>115.9/0.145</f>
        <v>799.31034482758628</v>
      </c>
      <c r="E440" s="38">
        <f>16.81*25.4</f>
        <v>426.97399999999993</v>
      </c>
      <c r="F440" s="38">
        <f>10860/145</f>
        <v>74.896551724137936</v>
      </c>
      <c r="G440" s="38">
        <f t="shared" si="2009"/>
        <v>35.813999999999993</v>
      </c>
      <c r="H440" s="38">
        <f>21.7*25.4</f>
        <v>551.17999999999995</v>
      </c>
      <c r="I440" s="38">
        <f>2.65*25.4</f>
        <v>67.309999999999988</v>
      </c>
      <c r="J440" s="39">
        <f>4.2*25.4</f>
        <v>106.67999999999999</v>
      </c>
      <c r="K440" s="7">
        <f t="shared" si="1727"/>
        <v>344.93200000000002</v>
      </c>
      <c r="L440" s="38">
        <v>2</v>
      </c>
      <c r="M440" s="4">
        <f t="shared" si="1843"/>
        <v>508</v>
      </c>
      <c r="N440" s="7">
        <f t="shared" si="1947"/>
        <v>2.3794326241134751</v>
      </c>
      <c r="O440" s="7">
        <f t="shared" si="1948"/>
        <v>2.3794326241134751</v>
      </c>
      <c r="P440" s="38">
        <v>4.5</v>
      </c>
      <c r="Q440" s="4">
        <f t="shared" si="1736"/>
        <v>4.5</v>
      </c>
      <c r="R440" s="4">
        <f t="shared" si="1949"/>
        <v>5.5</v>
      </c>
      <c r="S440" s="7">
        <f t="shared" si="1950"/>
        <v>83.991275011158137</v>
      </c>
      <c r="V440" s="38">
        <f t="shared" si="1777"/>
        <v>891.0344827586207</v>
      </c>
      <c r="W440" s="4">
        <v>129.19999999999999</v>
      </c>
      <c r="X440" s="4">
        <f t="shared" si="1951"/>
        <v>1.2159686517391213</v>
      </c>
      <c r="Y440" s="38">
        <f t="shared" ref="Y440:Y441" si="2062">0.5*25.4</f>
        <v>12.7</v>
      </c>
      <c r="Z440" s="38">
        <v>12</v>
      </c>
      <c r="AA440" s="39">
        <f t="shared" ref="AA440:AA441" si="2063">4*25.4</f>
        <v>101.6</v>
      </c>
      <c r="AB440" s="39">
        <v>2</v>
      </c>
      <c r="AC440" s="39">
        <f t="shared" ref="AC440:AC441" si="2064">AB440-1</f>
        <v>1</v>
      </c>
      <c r="AD440" s="7"/>
      <c r="AE440" s="4">
        <f t="shared" si="1952"/>
        <v>426.97399999999993</v>
      </c>
      <c r="AF440" s="4">
        <f t="shared" si="1953"/>
        <v>0.43029942494546902</v>
      </c>
      <c r="AG440" s="4">
        <f t="shared" si="1954"/>
        <v>378.97234670320694</v>
      </c>
      <c r="AH440" s="4">
        <f t="shared" si="1955"/>
        <v>0.73991671624033306</v>
      </c>
      <c r="AI440" s="4">
        <v>1.25</v>
      </c>
      <c r="AJ440" s="4">
        <f t="shared" si="1878"/>
        <v>2.5</v>
      </c>
      <c r="AK440" s="38">
        <f t="shared" si="1729"/>
        <v>377.06059406058517</v>
      </c>
      <c r="AL440" s="38">
        <f t="shared" si="1986"/>
        <v>377.06059406058517</v>
      </c>
      <c r="AM440" s="38">
        <f t="shared" si="1956"/>
        <v>4.7252710400583542</v>
      </c>
      <c r="AN440" s="38">
        <f t="shared" si="1893"/>
        <v>377.06059406058517</v>
      </c>
      <c r="AO440" s="38">
        <f t="shared" si="1845"/>
        <v>1</v>
      </c>
      <c r="AP440" s="38">
        <f t="shared" si="1894"/>
        <v>2.0052122080112209</v>
      </c>
      <c r="AQ440" s="4">
        <f t="shared" si="1895"/>
        <v>0</v>
      </c>
      <c r="AR440" s="4" t="e">
        <f>#REF!/G440*F440^0.5/0.19</f>
        <v>#REF!</v>
      </c>
      <c r="AS440" s="4">
        <f t="shared" si="1957"/>
        <v>1</v>
      </c>
      <c r="AT440" s="38">
        <f t="shared" si="1958"/>
        <v>756.08650637024857</v>
      </c>
      <c r="AU440" s="4">
        <f t="shared" si="1959"/>
        <v>0.37</v>
      </c>
      <c r="AV440" s="4" t="e">
        <f>AU440*D440*#REF!/(D440*G440/2.75/F440^0.5)</f>
        <v>#REF!</v>
      </c>
      <c r="AW440" s="4" t="e">
        <f t="shared" si="1793"/>
        <v>#REF!</v>
      </c>
      <c r="AY440" s="4">
        <f t="shared" si="1960"/>
        <v>1.5</v>
      </c>
      <c r="AZ440" s="4" t="e">
        <f>(3*#REF!+30)*AY440*F440^0.5</f>
        <v>#REF!</v>
      </c>
      <c r="BB440" s="4">
        <f t="shared" si="1961"/>
        <v>725.17942296368437</v>
      </c>
      <c r="BC440" s="4">
        <f t="shared" si="2022"/>
        <v>0</v>
      </c>
      <c r="BD440" s="4">
        <f t="shared" si="1794"/>
        <v>0</v>
      </c>
      <c r="BL440" s="4">
        <f t="shared" si="1962"/>
        <v>67.309999999999988</v>
      </c>
      <c r="BP440" s="9"/>
      <c r="BR440" s="9"/>
      <c r="BS440" s="9"/>
      <c r="BT440" s="9">
        <f t="shared" si="1963"/>
        <v>67.309999999999988</v>
      </c>
      <c r="BU440" s="9">
        <f t="shared" si="1964"/>
        <v>172.46600000000001</v>
      </c>
      <c r="BV440" s="9">
        <f t="shared" si="1965"/>
        <v>1.5787267425904519</v>
      </c>
      <c r="BW440" s="40">
        <f t="shared" si="1738"/>
        <v>20</v>
      </c>
      <c r="BX440" s="9">
        <f t="shared" si="1966"/>
        <v>0.05</v>
      </c>
      <c r="BY440" s="9">
        <f t="shared" si="1795"/>
        <v>0.8</v>
      </c>
      <c r="BZ440" s="9">
        <f t="shared" si="1967"/>
        <v>0.89777220146327208</v>
      </c>
      <c r="CA440" s="9">
        <f t="shared" si="1968"/>
        <v>0.68048275862068963</v>
      </c>
      <c r="CB440" s="9">
        <f t="shared" si="1969"/>
        <v>1.8504707967044269</v>
      </c>
      <c r="CC440" s="9">
        <f t="shared" si="1970"/>
        <v>4.4017643705034795</v>
      </c>
      <c r="CD440" s="40">
        <v>1</v>
      </c>
      <c r="CE440" s="9" t="e">
        <f>4*CC440*#REF!+60*CC440</f>
        <v>#REF!</v>
      </c>
      <c r="CG440" s="4" t="e">
        <f t="shared" si="1796"/>
        <v>#REF!</v>
      </c>
      <c r="CH440" s="4" t="e">
        <f t="shared" si="1797"/>
        <v>#REF!</v>
      </c>
      <c r="CI440" s="4" t="e">
        <f t="shared" si="1798"/>
        <v>#REF!</v>
      </c>
      <c r="CJ440" s="4" t="e">
        <f t="shared" si="1799"/>
        <v>#REF!</v>
      </c>
      <c r="CK440" s="4">
        <f t="shared" si="1800"/>
        <v>1.2159686517391213</v>
      </c>
      <c r="CL440" s="4">
        <f t="shared" si="1801"/>
        <v>1.2692714892463186</v>
      </c>
      <c r="CM440" s="4">
        <f t="shared" si="2060"/>
        <v>1.3088116847320996</v>
      </c>
      <c r="CN440" s="4">
        <f t="shared" si="1739"/>
        <v>12</v>
      </c>
      <c r="CU440" s="4" t="e">
        <f t="shared" ref="CU440:CU441" si="2065">CG440</f>
        <v>#REF!</v>
      </c>
      <c r="CV440" s="4" t="e">
        <f t="shared" ref="CV440:CV441" si="2066">CH440</f>
        <v>#REF!</v>
      </c>
      <c r="CW440" s="4" t="e">
        <f t="shared" ref="CW440:CW441" si="2067">CJ440</f>
        <v>#REF!</v>
      </c>
      <c r="CX440" s="4">
        <f t="shared" ref="CX440:CX441" si="2068">CM440</f>
        <v>1.3088116847320996</v>
      </c>
      <c r="CY440" s="4">
        <f t="shared" ref="CY440:CY441" si="2069">CK440</f>
        <v>1.2159686517391213</v>
      </c>
      <c r="CZ440" s="4">
        <f t="shared" ref="CZ440:CZ441" si="2070">CL440</f>
        <v>1.2692714892463186</v>
      </c>
      <c r="DC440" s="4" t="e">
        <f>#REF!</f>
        <v>#REF!</v>
      </c>
      <c r="DF440" s="4">
        <f t="shared" si="1971"/>
        <v>2.8332491197524731E-5</v>
      </c>
      <c r="DG440" s="4">
        <f t="shared" si="1802"/>
        <v>9.175653902487765</v>
      </c>
      <c r="DH440" s="4">
        <f t="shared" si="1972"/>
        <v>0.36562666516056047</v>
      </c>
      <c r="DI440" s="4">
        <f t="shared" si="1803"/>
        <v>6.1355311948268501</v>
      </c>
      <c r="DJ440" s="4">
        <f t="shared" si="1804"/>
        <v>7.8056110225120436</v>
      </c>
      <c r="DK440" s="4">
        <f t="shared" si="1973"/>
        <v>7.7343241921128305</v>
      </c>
      <c r="DL440" s="38">
        <f t="shared" si="1974"/>
        <v>732.77751156185786</v>
      </c>
      <c r="DM440" s="4" t="e">
        <f t="shared" si="1805"/>
        <v>#REF!</v>
      </c>
      <c r="DN440" s="4">
        <f t="shared" si="1975"/>
        <v>2.3452078799117149</v>
      </c>
      <c r="DO440" s="4">
        <f t="shared" si="2059"/>
        <v>377.06059406058517</v>
      </c>
      <c r="DS440" s="4">
        <f t="shared" si="1976"/>
        <v>0.85</v>
      </c>
      <c r="DT440" s="4">
        <f t="shared" si="1977"/>
        <v>0.91205673758865247</v>
      </c>
      <c r="DU440" s="4">
        <f t="shared" si="1978"/>
        <v>0.9995510789195714</v>
      </c>
      <c r="DV440" s="4">
        <f t="shared" si="1806"/>
        <v>0.91164729609260198</v>
      </c>
      <c r="DX440" s="4">
        <f t="shared" si="1979"/>
        <v>702.00464621458445</v>
      </c>
      <c r="DY440" s="25">
        <f t="shared" si="1870"/>
        <v>373.82859919156465</v>
      </c>
      <c r="EA440" s="4">
        <f t="shared" si="1871"/>
        <v>0.77490020167871165</v>
      </c>
      <c r="EB440" s="4">
        <f t="shared" si="1980"/>
        <v>9.175653902487765</v>
      </c>
      <c r="EE440" s="4">
        <f t="shared" si="1981"/>
        <v>83.991275011158137</v>
      </c>
      <c r="EF440" s="4">
        <f t="shared" si="1807"/>
        <v>2.3452078799117149</v>
      </c>
      <c r="EG440" s="4">
        <f t="shared" si="1982"/>
        <v>0.17302307982485968</v>
      </c>
      <c r="EJ440" s="4">
        <f t="shared" si="1808"/>
        <v>0.17302307982485968</v>
      </c>
      <c r="EK440" s="4">
        <f t="shared" si="1983"/>
        <v>0.36501650239995459</v>
      </c>
      <c r="EL440" s="4">
        <f t="shared" si="1809"/>
        <v>6.1314335193277074</v>
      </c>
      <c r="EM440" s="4">
        <f t="shared" si="1810"/>
        <v>7.8040042556627496</v>
      </c>
      <c r="EN440" s="4" t="e">
        <f t="shared" si="1811"/>
        <v>#REF!</v>
      </c>
      <c r="EO440" s="4" t="e">
        <f t="shared" si="1812"/>
        <v>#REF!</v>
      </c>
      <c r="EP440" s="4" t="e">
        <f t="shared" si="1984"/>
        <v>#REF!</v>
      </c>
      <c r="EQ440" s="4" t="e">
        <f t="shared" si="1813"/>
        <v>#REF!</v>
      </c>
      <c r="ER440" s="4" t="e">
        <f t="shared" si="1985"/>
        <v>#REF!</v>
      </c>
      <c r="EU440" s="4">
        <f>6.75*25.4</f>
        <v>171.45</v>
      </c>
      <c r="FA440" s="23" t="e">
        <f t="shared" si="1772"/>
        <v>#REF!</v>
      </c>
      <c r="FB440" s="23" t="e">
        <f t="shared" si="1773"/>
        <v>#REF!</v>
      </c>
      <c r="FC440" s="23">
        <f t="shared" si="2061"/>
        <v>1.4</v>
      </c>
      <c r="FD440" s="23" t="e">
        <f t="shared" si="1774"/>
        <v>#REF!</v>
      </c>
      <c r="FE440" s="23">
        <f t="shared" si="1775"/>
        <v>1.4</v>
      </c>
      <c r="FF440" s="23">
        <f t="shared" si="1776"/>
        <v>1.4</v>
      </c>
      <c r="FG440" s="23">
        <f t="shared" si="1993"/>
        <v>0</v>
      </c>
      <c r="FH440" s="23"/>
      <c r="FR440" s="4">
        <f t="shared" si="1852"/>
        <v>1</v>
      </c>
      <c r="FS440" s="4">
        <f t="shared" si="1853"/>
        <v>0.43261334185606104</v>
      </c>
      <c r="FT440" s="4">
        <f t="shared" si="1854"/>
        <v>0.25149640360142855</v>
      </c>
      <c r="FU440" s="4">
        <f t="shared" si="1855"/>
        <v>680.79655243986178</v>
      </c>
    </row>
    <row r="441" spans="2:177" ht="12" customHeight="1" x14ac:dyDescent="0.3">
      <c r="B441" s="14"/>
      <c r="C441" s="7" t="s">
        <v>590</v>
      </c>
      <c r="D441" s="38">
        <f>135/0.145</f>
        <v>931.0344827586207</v>
      </c>
      <c r="E441" s="38">
        <f>16.81*25.4</f>
        <v>426.97399999999993</v>
      </c>
      <c r="F441" s="38">
        <f>10120/145</f>
        <v>69.793103448275858</v>
      </c>
      <c r="G441" s="38">
        <f t="shared" si="2009"/>
        <v>35.813999999999993</v>
      </c>
      <c r="H441" s="38">
        <f>22.4*25.4</f>
        <v>568.95999999999992</v>
      </c>
      <c r="I441" s="38">
        <f>2.8*25.4</f>
        <v>71.11999999999999</v>
      </c>
      <c r="J441" s="39">
        <f>3.1*25.4</f>
        <v>78.739999999999995</v>
      </c>
      <c r="K441" s="7">
        <f t="shared" si="1727"/>
        <v>355.09199999999998</v>
      </c>
      <c r="L441" s="38">
        <v>2</v>
      </c>
      <c r="M441" s="4">
        <f t="shared" si="1843"/>
        <v>508</v>
      </c>
      <c r="N441" s="7">
        <f t="shared" si="1947"/>
        <v>2.4858156028368796</v>
      </c>
      <c r="O441" s="7">
        <f t="shared" si="1948"/>
        <v>2.4858156028368796</v>
      </c>
      <c r="P441" s="38">
        <v>5.5</v>
      </c>
      <c r="Q441" s="4">
        <f t="shared" si="1736"/>
        <v>5.5</v>
      </c>
      <c r="R441" s="4">
        <f t="shared" si="1949"/>
        <v>6.5</v>
      </c>
      <c r="S441" s="7">
        <f t="shared" si="1950"/>
        <v>91.308142429905971</v>
      </c>
      <c r="V441" s="38">
        <f t="shared" si="1777"/>
        <v>872.41379310344837</v>
      </c>
      <c r="W441" s="4">
        <v>126.5</v>
      </c>
      <c r="X441" s="4">
        <f t="shared" si="1951"/>
        <v>1.2091576243153148</v>
      </c>
      <c r="Y441" s="38">
        <f t="shared" si="2062"/>
        <v>12.7</v>
      </c>
      <c r="Z441" s="38">
        <v>12</v>
      </c>
      <c r="AA441" s="39">
        <f t="shared" si="2063"/>
        <v>101.6</v>
      </c>
      <c r="AB441" s="39">
        <v>2</v>
      </c>
      <c r="AC441" s="39">
        <f t="shared" si="2064"/>
        <v>1</v>
      </c>
      <c r="AD441" s="7"/>
      <c r="AE441" s="4">
        <f t="shared" si="1952"/>
        <v>426.97399999999993</v>
      </c>
      <c r="AF441" s="4">
        <f t="shared" si="1953"/>
        <v>0.44418005155661316</v>
      </c>
      <c r="AG441" s="4">
        <f t="shared" si="1954"/>
        <v>365.83298834249337</v>
      </c>
      <c r="AH441" s="4">
        <f t="shared" si="1955"/>
        <v>0.74170136823319444</v>
      </c>
      <c r="AI441" s="4">
        <v>1.25</v>
      </c>
      <c r="AJ441" s="4">
        <f t="shared" si="1878"/>
        <v>2.5</v>
      </c>
      <c r="AK441" s="38">
        <f t="shared" si="1729"/>
        <v>376.63529565521696</v>
      </c>
      <c r="AL441" s="38">
        <f t="shared" si="1986"/>
        <v>376.63529565521696</v>
      </c>
      <c r="AM441" s="38">
        <f t="shared" si="1956"/>
        <v>4.6054834550100843</v>
      </c>
      <c r="AN441" s="38">
        <f t="shared" si="1893"/>
        <v>376.63529565521696</v>
      </c>
      <c r="AO441" s="38">
        <f t="shared" si="1845"/>
        <v>1</v>
      </c>
      <c r="AP441" s="38">
        <f t="shared" si="1894"/>
        <v>2.1605869253783649</v>
      </c>
      <c r="AQ441" s="4">
        <f t="shared" si="1895"/>
        <v>0</v>
      </c>
      <c r="AR441" s="4" t="e">
        <f>#REF!/G441*F441^0.5/0.19</f>
        <v>#REF!</v>
      </c>
      <c r="AS441" s="4">
        <f t="shared" si="1957"/>
        <v>1</v>
      </c>
      <c r="AT441" s="38">
        <f t="shared" si="1958"/>
        <v>813.75329542867667</v>
      </c>
      <c r="AU441" s="4">
        <f t="shared" si="1959"/>
        <v>0.3</v>
      </c>
      <c r="AV441" s="4" t="e">
        <f>AU441*D441*#REF!/(D441*G441/2.75/F441^0.5)</f>
        <v>#REF!</v>
      </c>
      <c r="AW441" s="4" t="e">
        <f t="shared" si="1793"/>
        <v>#REF!</v>
      </c>
      <c r="AY441" s="4">
        <f t="shared" si="1960"/>
        <v>1.5</v>
      </c>
      <c r="AZ441" s="4" t="e">
        <f>(3*#REF!+30)*AY441*F441^0.5</f>
        <v>#REF!</v>
      </c>
      <c r="BB441" s="4">
        <f t="shared" si="1961"/>
        <v>780.48892585948306</v>
      </c>
      <c r="BC441" s="4">
        <f t="shared" si="2022"/>
        <v>0</v>
      </c>
      <c r="BD441" s="4">
        <f t="shared" si="1794"/>
        <v>0</v>
      </c>
      <c r="BL441" s="4">
        <f t="shared" si="1962"/>
        <v>71.11999999999999</v>
      </c>
      <c r="BP441" s="9"/>
      <c r="BR441" s="9"/>
      <c r="BS441" s="9"/>
      <c r="BT441" s="9">
        <f t="shared" si="1963"/>
        <v>71.11999999999999</v>
      </c>
      <c r="BU441" s="9">
        <f t="shared" si="1964"/>
        <v>177.54599999999999</v>
      </c>
      <c r="BV441" s="9">
        <f t="shared" si="1965"/>
        <v>1.6164688165154646</v>
      </c>
      <c r="BW441" s="40">
        <f t="shared" si="1738"/>
        <v>20</v>
      </c>
      <c r="BX441" s="9">
        <f t="shared" si="1966"/>
        <v>0.05</v>
      </c>
      <c r="BY441" s="9">
        <f t="shared" si="1795"/>
        <v>0.8</v>
      </c>
      <c r="BZ441" s="9">
        <f t="shared" si="1967"/>
        <v>0.89777220146327208</v>
      </c>
      <c r="CA441" s="9">
        <f t="shared" si="1968"/>
        <v>0.68</v>
      </c>
      <c r="CB441" s="9">
        <f t="shared" si="1969"/>
        <v>1.7850458101214393</v>
      </c>
      <c r="CC441" s="9">
        <f t="shared" si="1970"/>
        <v>4.313507536210043</v>
      </c>
      <c r="CD441" s="40">
        <v>1</v>
      </c>
      <c r="CE441" s="9" t="e">
        <f>4*CC441*#REF!+60*CC441</f>
        <v>#REF!</v>
      </c>
      <c r="CG441" s="4" t="e">
        <f t="shared" si="1796"/>
        <v>#REF!</v>
      </c>
      <c r="CH441" s="4" t="e">
        <f t="shared" si="1797"/>
        <v>#REF!</v>
      </c>
      <c r="CI441" s="4" t="e">
        <f t="shared" si="1798"/>
        <v>#REF!</v>
      </c>
      <c r="CJ441" s="4" t="e">
        <f t="shared" si="1799"/>
        <v>#REF!</v>
      </c>
      <c r="CK441" s="4">
        <f t="shared" si="1800"/>
        <v>1.2091576243153148</v>
      </c>
      <c r="CL441" s="4">
        <f t="shared" si="1801"/>
        <v>1.2571639757274684</v>
      </c>
      <c r="CM441" s="4">
        <f t="shared" si="2060"/>
        <v>1.3330135927123574</v>
      </c>
      <c r="CN441" s="4">
        <f t="shared" si="1739"/>
        <v>12</v>
      </c>
      <c r="CU441" s="4" t="e">
        <f t="shared" si="2065"/>
        <v>#REF!</v>
      </c>
      <c r="CV441" s="4" t="e">
        <f t="shared" si="2066"/>
        <v>#REF!</v>
      </c>
      <c r="CW441" s="4" t="e">
        <f t="shared" si="2067"/>
        <v>#REF!</v>
      </c>
      <c r="CX441" s="4">
        <f t="shared" si="2068"/>
        <v>1.3330135927123574</v>
      </c>
      <c r="CY441" s="4">
        <f t="shared" si="2069"/>
        <v>1.2091576243153148</v>
      </c>
      <c r="CZ441" s="4">
        <f t="shared" si="2070"/>
        <v>1.2571639757274684</v>
      </c>
      <c r="DC441" s="4" t="e">
        <f>#REF!</f>
        <v>#REF!</v>
      </c>
      <c r="DF441" s="4">
        <f t="shared" si="1971"/>
        <v>2.7474056791368898E-5</v>
      </c>
      <c r="DG441" s="4">
        <f t="shared" si="1802"/>
        <v>8.9620587312961906</v>
      </c>
      <c r="DH441" s="4">
        <f t="shared" si="1972"/>
        <v>0.34859584084536072</v>
      </c>
      <c r="DI441" s="4">
        <f t="shared" si="1803"/>
        <v>5.8794495225591783</v>
      </c>
      <c r="DJ441" s="4">
        <f t="shared" si="1804"/>
        <v>7.5797874309844042</v>
      </c>
      <c r="DK441" s="4">
        <f t="shared" si="1973"/>
        <v>7.6423420206231123</v>
      </c>
      <c r="DL441" s="38">
        <f t="shared" si="1974"/>
        <v>721.50543118598989</v>
      </c>
      <c r="DM441" s="4" t="e">
        <f t="shared" si="1805"/>
        <v>#REF!</v>
      </c>
      <c r="DN441" s="4">
        <f t="shared" si="1975"/>
        <v>2.5495097567963922</v>
      </c>
      <c r="DO441" s="4">
        <f t="shared" si="2059"/>
        <v>376.63529565521696</v>
      </c>
      <c r="DS441" s="4">
        <f t="shared" si="1976"/>
        <v>0.85</v>
      </c>
      <c r="DT441" s="4">
        <f t="shared" si="1977"/>
        <v>0.90141843971631208</v>
      </c>
      <c r="DU441" s="4">
        <f t="shared" si="1978"/>
        <v>0.9995510789195714</v>
      </c>
      <c r="DV441" s="4">
        <f t="shared" si="1806"/>
        <v>0.90101377397643634</v>
      </c>
      <c r="DX441" s="4">
        <f t="shared" si="1979"/>
        <v>693.95385959784517</v>
      </c>
      <c r="DY441" s="25">
        <f t="shared" si="1870"/>
        <v>373.417248378507</v>
      </c>
      <c r="EA441" s="4">
        <f t="shared" si="1871"/>
        <v>0.76586170787997088</v>
      </c>
      <c r="EB441" s="4">
        <f t="shared" si="1980"/>
        <v>8.9620587312961906</v>
      </c>
      <c r="EE441" s="4">
        <f t="shared" si="1981"/>
        <v>91.308142429905971</v>
      </c>
      <c r="EF441" s="4">
        <f t="shared" si="1807"/>
        <v>2.5495097567963922</v>
      </c>
      <c r="EG441" s="4">
        <f t="shared" si="1982"/>
        <v>0.1592442360421113</v>
      </c>
      <c r="EJ441" s="4">
        <f t="shared" si="1808"/>
        <v>0.1592442360421113</v>
      </c>
      <c r="EK441" s="4">
        <f t="shared" si="1983"/>
        <v>0.34801409935642263</v>
      </c>
      <c r="EL441" s="4">
        <f t="shared" si="1809"/>
        <v>5.875522873750457</v>
      </c>
      <c r="EM441" s="4">
        <f t="shared" si="1810"/>
        <v>7.5782685345449767</v>
      </c>
      <c r="EN441" s="4" t="e">
        <f t="shared" si="1811"/>
        <v>#REF!</v>
      </c>
      <c r="EO441" s="4" t="e">
        <f t="shared" si="1812"/>
        <v>#REF!</v>
      </c>
      <c r="EP441" s="4" t="e">
        <f t="shared" si="1984"/>
        <v>#REF!</v>
      </c>
      <c r="EQ441" s="4" t="e">
        <f t="shared" si="1813"/>
        <v>#REF!</v>
      </c>
      <c r="ER441" s="4" t="e">
        <f t="shared" si="1985"/>
        <v>#REF!</v>
      </c>
      <c r="FA441" s="23" t="e">
        <f t="shared" si="1772"/>
        <v>#REF!</v>
      </c>
      <c r="FB441" s="23" t="e">
        <f t="shared" si="1773"/>
        <v>#REF!</v>
      </c>
      <c r="FC441" s="23">
        <f t="shared" si="2061"/>
        <v>1.4</v>
      </c>
      <c r="FD441" s="23" t="e">
        <f t="shared" si="1774"/>
        <v>#REF!</v>
      </c>
      <c r="FE441" s="23">
        <f t="shared" si="1775"/>
        <v>1.4</v>
      </c>
      <c r="FF441" s="23">
        <f t="shared" si="1776"/>
        <v>1.4</v>
      </c>
      <c r="FG441" s="23">
        <f t="shared" si="1993"/>
        <v>0</v>
      </c>
      <c r="FH441" s="23"/>
      <c r="FR441" s="4">
        <f t="shared" si="1852"/>
        <v>1</v>
      </c>
      <c r="FS441" s="4">
        <f t="shared" si="1853"/>
        <v>0.44214730608235164</v>
      </c>
      <c r="FT441" s="4">
        <f t="shared" si="1854"/>
        <v>0.25149640360142855</v>
      </c>
      <c r="FU441" s="4">
        <f t="shared" si="1855"/>
        <v>654.46728966078967</v>
      </c>
    </row>
    <row r="442" spans="2:177" ht="12" customHeight="1" x14ac:dyDescent="0.3">
      <c r="B442" s="14"/>
      <c r="C442" s="48" t="s">
        <v>591</v>
      </c>
      <c r="D442" s="38">
        <f>115.9/0.145</f>
        <v>799.31034482758628</v>
      </c>
      <c r="E442" s="38">
        <f>16.92*25.4</f>
        <v>429.76800000000003</v>
      </c>
      <c r="F442" s="38">
        <f>10860/145</f>
        <v>74.896551724137936</v>
      </c>
      <c r="G442" s="38">
        <f t="shared" si="2009"/>
        <v>35.813999999999993</v>
      </c>
      <c r="H442" s="38">
        <f>21.8*25.4</f>
        <v>553.72</v>
      </c>
      <c r="I442" s="38">
        <f>2.75*25.4</f>
        <v>69.849999999999994</v>
      </c>
      <c r="J442" s="39">
        <f>3.9*25.4</f>
        <v>99.059999999999988</v>
      </c>
      <c r="K442" s="7">
        <f t="shared" si="1727"/>
        <v>153.28900000000002</v>
      </c>
      <c r="L442" s="38">
        <v>3</v>
      </c>
      <c r="M442" s="4">
        <f t="shared" si="1843"/>
        <v>508</v>
      </c>
      <c r="N442" s="7">
        <f t="shared" si="1947"/>
        <v>2.4503546099290783</v>
      </c>
      <c r="O442" s="7">
        <f t="shared" si="1948"/>
        <v>2.4503546099290783</v>
      </c>
      <c r="P442" s="38">
        <v>4.5</v>
      </c>
      <c r="Q442" s="4">
        <f t="shared" si="1736"/>
        <v>4.5</v>
      </c>
      <c r="R442" s="4">
        <f t="shared" si="1949"/>
        <v>5.5</v>
      </c>
      <c r="S442" s="7">
        <f t="shared" si="1950"/>
        <v>83.991275011158137</v>
      </c>
      <c r="V442" s="38">
        <f t="shared" si="1777"/>
        <v>472.41379310344831</v>
      </c>
      <c r="W442" s="4">
        <v>68.5</v>
      </c>
      <c r="X442" s="4">
        <f t="shared" si="1951"/>
        <v>0.79048475314469613</v>
      </c>
      <c r="Y442" s="38"/>
      <c r="Z442" s="38"/>
      <c r="AA442" s="39">
        <v>1</v>
      </c>
      <c r="AB442" s="39"/>
      <c r="AC442" s="39"/>
      <c r="AD442" s="7"/>
      <c r="AE442" s="4">
        <f t="shared" si="1952"/>
        <v>429.76800000000003</v>
      </c>
      <c r="AF442" s="4">
        <f t="shared" si="1953"/>
        <v>0.42947202521670608</v>
      </c>
      <c r="AG442" s="4">
        <f t="shared" si="1954"/>
        <v>255.13217408187629</v>
      </c>
      <c r="AH442" s="4">
        <f t="shared" si="1955"/>
        <v>0.74083924349881791</v>
      </c>
      <c r="AI442" s="4">
        <v>1.25</v>
      </c>
      <c r="AJ442" s="4">
        <f t="shared" si="1878"/>
        <v>2.5</v>
      </c>
      <c r="AK442" s="38">
        <f t="shared" si="1729"/>
        <v>253.67292190521363</v>
      </c>
      <c r="AL442" s="38">
        <f t="shared" si="1986"/>
        <v>253.67292190521363</v>
      </c>
      <c r="AM442" s="38">
        <f t="shared" si="1956"/>
        <v>4.7252710400583542</v>
      </c>
      <c r="AN442" s="38">
        <f t="shared" si="1893"/>
        <v>253.67292190521368</v>
      </c>
      <c r="AO442" s="38">
        <f t="shared" si="1845"/>
        <v>0.99999999999999978</v>
      </c>
      <c r="AP442" s="38">
        <f t="shared" si="1894"/>
        <v>3.0693958621812145</v>
      </c>
      <c r="AQ442" s="4">
        <f t="shared" si="1895"/>
        <v>0</v>
      </c>
      <c r="AR442" s="4" t="e">
        <f>#REF!/G442*F442^0.5/0.19</f>
        <v>#REF!</v>
      </c>
      <c r="AS442" s="4">
        <f t="shared" si="1957"/>
        <v>1</v>
      </c>
      <c r="AT442" s="38">
        <f t="shared" si="1958"/>
        <v>778.62261684328121</v>
      </c>
      <c r="AU442" s="4">
        <f t="shared" si="1959"/>
        <v>0.37</v>
      </c>
      <c r="AV442" s="4" t="e">
        <f>AU442*D442*#REF!/(D442*G442/2.75/F442^0.5)</f>
        <v>#REF!</v>
      </c>
      <c r="AW442" s="4" t="e">
        <f t="shared" si="1793"/>
        <v>#REF!</v>
      </c>
      <c r="AY442" s="4">
        <f t="shared" si="1960"/>
        <v>1.2375886524822697</v>
      </c>
      <c r="AZ442" s="4" t="e">
        <f>(3*#REF!+30)*AY442*F442^0.5</f>
        <v>#REF!</v>
      </c>
      <c r="BB442" s="4">
        <f t="shared" si="1961"/>
        <v>746.79430889404762</v>
      </c>
      <c r="BC442" s="4">
        <f t="shared" si="2022"/>
        <v>0</v>
      </c>
      <c r="BD442" s="4">
        <f t="shared" si="1794"/>
        <v>0</v>
      </c>
      <c r="BL442" s="4">
        <f t="shared" si="1962"/>
        <v>69.849999999999994</v>
      </c>
      <c r="BP442" s="9"/>
      <c r="BR442" s="9"/>
      <c r="BS442" s="9"/>
      <c r="BT442" s="9">
        <f t="shared" si="1963"/>
        <v>69.849999999999994</v>
      </c>
      <c r="BU442" s="9">
        <f t="shared" si="1964"/>
        <v>76.644500000000008</v>
      </c>
      <c r="BV442" s="9">
        <f t="shared" si="1965"/>
        <v>1.4161327883964441</v>
      </c>
      <c r="BW442" s="40">
        <f t="shared" si="1738"/>
        <v>0</v>
      </c>
      <c r="BX442" s="9">
        <f t="shared" si="1966"/>
        <v>0</v>
      </c>
      <c r="BY442" s="9">
        <f t="shared" si="1795"/>
        <v>0</v>
      </c>
      <c r="BZ442" s="9">
        <f t="shared" si="1967"/>
        <v>0.89777220146327208</v>
      </c>
      <c r="CA442" s="9">
        <f t="shared" si="1968"/>
        <v>0.68048275862068963</v>
      </c>
      <c r="CB442" s="9">
        <f t="shared" si="1969"/>
        <v>1.8504707967044269</v>
      </c>
      <c r="CC442" s="9">
        <f t="shared" si="1970"/>
        <v>2.6205123691832295</v>
      </c>
      <c r="CD442" s="40">
        <v>1</v>
      </c>
      <c r="CE442" s="9" t="e">
        <f>4*CC442*#REF!+60*CC442</f>
        <v>#REF!</v>
      </c>
      <c r="CG442" s="4" t="e">
        <f t="shared" si="1796"/>
        <v>#REF!</v>
      </c>
      <c r="CH442" s="4" t="e">
        <f t="shared" si="1797"/>
        <v>#REF!</v>
      </c>
      <c r="CI442" s="4" t="e">
        <f t="shared" si="1798"/>
        <v>#REF!</v>
      </c>
      <c r="CJ442" s="4" t="e">
        <f t="shared" si="1799"/>
        <v>#REF!</v>
      </c>
      <c r="CK442" s="4">
        <f t="shared" si="1800"/>
        <v>0.79048475314469613</v>
      </c>
      <c r="CL442" s="4">
        <f t="shared" si="1801"/>
        <v>0.8085349544542425</v>
      </c>
      <c r="CM442" s="4">
        <f t="shared" si="2060"/>
        <v>1.1579794213606953</v>
      </c>
      <c r="CN442" s="4">
        <f t="shared" si="1739"/>
        <v>0</v>
      </c>
      <c r="CO442" s="4" t="e">
        <f t="shared" ref="CO442:CO443" si="2071">CG442</f>
        <v>#REF!</v>
      </c>
      <c r="CP442" s="4" t="e">
        <f t="shared" ref="CP442:CP443" si="2072">CH442</f>
        <v>#REF!</v>
      </c>
      <c r="CQ442" s="4" t="e">
        <f t="shared" ref="CQ442:CQ443" si="2073">CJ442</f>
        <v>#REF!</v>
      </c>
      <c r="CR442" s="4">
        <f t="shared" ref="CR442:CR443" si="2074">CM442</f>
        <v>1.1579794213606953</v>
      </c>
      <c r="CS442" s="4">
        <f t="shared" ref="CS442:CS443" si="2075">CK442</f>
        <v>0.79048475314469613</v>
      </c>
      <c r="CT442" s="4">
        <f t="shared" ref="CT442:CT443" si="2076">CL442</f>
        <v>0.8085349544542425</v>
      </c>
      <c r="DC442" s="4" t="e">
        <f>#REF!</f>
        <v>#REF!</v>
      </c>
      <c r="DF442" s="4">
        <f t="shared" si="1971"/>
        <v>2.8517891199412165E-5</v>
      </c>
      <c r="DG442" s="4">
        <f t="shared" si="1802"/>
        <v>9.2434119896701787</v>
      </c>
      <c r="DH442" s="4">
        <f t="shared" si="1972"/>
        <v>0.24598058226905511</v>
      </c>
      <c r="DI442" s="4">
        <f t="shared" si="1803"/>
        <v>5.2746377732798102</v>
      </c>
      <c r="DJ442" s="4">
        <f t="shared" si="1804"/>
        <v>7.5272346460747395</v>
      </c>
      <c r="DK442" s="4">
        <f t="shared" si="1973"/>
        <v>7.8419413222228735</v>
      </c>
      <c r="DL442" s="38">
        <f t="shared" si="1974"/>
        <v>597.62543328520621</v>
      </c>
      <c r="DM442" s="4" t="e">
        <f t="shared" si="1805"/>
        <v>#REF!</v>
      </c>
      <c r="DN442" s="4">
        <f t="shared" si="1975"/>
        <v>2.3452078799117149</v>
      </c>
      <c r="DO442" s="4">
        <f t="shared" si="2059"/>
        <v>253.67292190521368</v>
      </c>
      <c r="DS442" s="4">
        <f t="shared" si="1976"/>
        <v>0.85</v>
      </c>
      <c r="DT442" s="4">
        <f t="shared" si="1977"/>
        <v>0.90496453900709217</v>
      </c>
      <c r="DU442" s="4">
        <f t="shared" si="1978"/>
        <v>1</v>
      </c>
      <c r="DV442" s="4">
        <f t="shared" si="1806"/>
        <v>0.90496453900709217</v>
      </c>
      <c r="DX442" s="4">
        <f t="shared" si="1979"/>
        <v>584.28369794145203</v>
      </c>
      <c r="DY442" s="25">
        <f t="shared" si="1870"/>
        <v>251.52086631332557</v>
      </c>
      <c r="EA442" s="4">
        <f t="shared" si="1871"/>
        <v>0.76921985815602834</v>
      </c>
      <c r="EB442" s="4">
        <f t="shared" si="1980"/>
        <v>9.2434119896701787</v>
      </c>
      <c r="EE442" s="4">
        <f t="shared" si="1981"/>
        <v>83.991275011158137</v>
      </c>
      <c r="EF442" s="4">
        <f t="shared" si="1807"/>
        <v>2.3452078799117149</v>
      </c>
      <c r="EG442" s="4">
        <f t="shared" si="1982"/>
        <v>0.11640375819584806</v>
      </c>
      <c r="EJ442" s="4">
        <f t="shared" si="1808"/>
        <v>0.11640375819584806</v>
      </c>
      <c r="EK442" s="4">
        <f t="shared" si="1983"/>
        <v>0.24557008652179657</v>
      </c>
      <c r="EL442" s="4">
        <f t="shared" si="1809"/>
        <v>5.2711150540100196</v>
      </c>
      <c r="EM442" s="4">
        <f t="shared" si="1810"/>
        <v>7.5260080187500336</v>
      </c>
      <c r="EN442" s="4" t="e">
        <f t="shared" si="1811"/>
        <v>#REF!</v>
      </c>
      <c r="EO442" s="4" t="e">
        <f t="shared" si="1812"/>
        <v>#REF!</v>
      </c>
      <c r="EP442" s="4" t="e">
        <f t="shared" si="1984"/>
        <v>#REF!</v>
      </c>
      <c r="EQ442" s="4" t="e">
        <f t="shared" si="1813"/>
        <v>#REF!</v>
      </c>
      <c r="ER442" s="4" t="e">
        <f t="shared" si="1985"/>
        <v>#REF!</v>
      </c>
      <c r="EU442" s="4">
        <f>6.75*25.4</f>
        <v>171.45</v>
      </c>
      <c r="FA442" s="23" t="e">
        <f t="shared" si="1772"/>
        <v>#REF!</v>
      </c>
      <c r="FB442" s="23" t="e">
        <f t="shared" si="1773"/>
        <v>#REF!</v>
      </c>
      <c r="FC442" s="23">
        <f t="shared" si="2061"/>
        <v>1.2</v>
      </c>
      <c r="FD442" s="23" t="e">
        <f t="shared" si="1774"/>
        <v>#REF!</v>
      </c>
      <c r="FE442" s="23">
        <f t="shared" si="1775"/>
        <v>0.8</v>
      </c>
      <c r="FF442" s="23">
        <f t="shared" si="1776"/>
        <v>1</v>
      </c>
      <c r="FG442" s="23">
        <f t="shared" si="1993"/>
        <v>1</v>
      </c>
      <c r="FH442" s="23"/>
      <c r="FR442" s="4">
        <f t="shared" si="1852"/>
        <v>1</v>
      </c>
      <c r="FS442" s="4">
        <f t="shared" si="1853"/>
        <v>0.72665484633569721</v>
      </c>
      <c r="FT442" s="4">
        <f t="shared" si="1854"/>
        <v>0</v>
      </c>
      <c r="FU442" s="4">
        <f t="shared" si="1855"/>
        <v>407.96389330333153</v>
      </c>
    </row>
    <row r="443" spans="2:177" ht="12" customHeight="1" x14ac:dyDescent="0.3">
      <c r="B443" s="14"/>
      <c r="C443" s="7" t="s">
        <v>592</v>
      </c>
      <c r="D443" s="38">
        <f>135/0.145</f>
        <v>931.0344827586207</v>
      </c>
      <c r="E443" s="38">
        <f>16.92*25.4</f>
        <v>429.76800000000003</v>
      </c>
      <c r="F443" s="38">
        <f>10120/145</f>
        <v>69.793103448275858</v>
      </c>
      <c r="G443" s="38">
        <f t="shared" si="2009"/>
        <v>35.813999999999993</v>
      </c>
      <c r="H443" s="38">
        <f>21.9*25.4</f>
        <v>556.25999999999988</v>
      </c>
      <c r="I443" s="38">
        <f>2.8*25.4</f>
        <v>71.11999999999999</v>
      </c>
      <c r="J443" s="39">
        <f>3.5*25.4</f>
        <v>88.899999999999991</v>
      </c>
      <c r="K443" s="7">
        <f t="shared" si="1727"/>
        <v>153.28899999999993</v>
      </c>
      <c r="L443" s="38">
        <v>3</v>
      </c>
      <c r="M443" s="4">
        <f t="shared" si="1843"/>
        <v>508</v>
      </c>
      <c r="N443" s="7">
        <f t="shared" si="1947"/>
        <v>2.4858156028368796</v>
      </c>
      <c r="O443" s="7">
        <f t="shared" si="1948"/>
        <v>2.4858156028368796</v>
      </c>
      <c r="P443" s="38">
        <v>5.5</v>
      </c>
      <c r="Q443" s="4">
        <f t="shared" si="1736"/>
        <v>5.5</v>
      </c>
      <c r="R443" s="4">
        <f t="shared" si="1949"/>
        <v>6.5</v>
      </c>
      <c r="S443" s="7">
        <f t="shared" si="1950"/>
        <v>91.308142429905971</v>
      </c>
      <c r="V443" s="38">
        <f t="shared" si="1777"/>
        <v>482.06896551724145</v>
      </c>
      <c r="W443" s="4">
        <v>69.900000000000006</v>
      </c>
      <c r="X443" s="4">
        <f t="shared" si="1951"/>
        <v>0.83691102883897983</v>
      </c>
      <c r="Y443" s="38"/>
      <c r="Z443" s="38"/>
      <c r="AA443" s="39">
        <v>1</v>
      </c>
      <c r="AB443" s="39"/>
      <c r="AC443" s="39"/>
      <c r="AD443" s="7"/>
      <c r="AE443" s="4">
        <f t="shared" si="1952"/>
        <v>429.76800000000003</v>
      </c>
      <c r="AF443" s="4">
        <f t="shared" si="1953"/>
        <v>0.43144208037825049</v>
      </c>
      <c r="AG443" s="4">
        <f t="shared" si="1954"/>
        <v>246.2864810022304</v>
      </c>
      <c r="AH443" s="4">
        <f t="shared" si="1955"/>
        <v>0.7414302600472813</v>
      </c>
      <c r="AI443" s="4">
        <v>1.25</v>
      </c>
      <c r="AJ443" s="4">
        <f t="shared" si="1878"/>
        <v>2.5</v>
      </c>
      <c r="AK443" s="38">
        <f t="shared" si="1729"/>
        <v>246.19736674164787</v>
      </c>
      <c r="AL443" s="38">
        <f t="shared" si="1986"/>
        <v>246.19736674164787</v>
      </c>
      <c r="AM443" s="38">
        <f t="shared" si="1956"/>
        <v>4.6054834550100843</v>
      </c>
      <c r="AN443" s="38">
        <f t="shared" si="1893"/>
        <v>246.19736674164798</v>
      </c>
      <c r="AO443" s="38">
        <f t="shared" si="1845"/>
        <v>0.99999999999999956</v>
      </c>
      <c r="AP443" s="38">
        <f t="shared" si="1894"/>
        <v>3.3052883798006034</v>
      </c>
      <c r="AQ443" s="4">
        <f t="shared" si="1895"/>
        <v>0</v>
      </c>
      <c r="AR443" s="4" t="e">
        <f>#REF!/G443*F443^0.5/0.19</f>
        <v>#REF!</v>
      </c>
      <c r="AS443" s="4">
        <f t="shared" si="1957"/>
        <v>1</v>
      </c>
      <c r="AT443" s="38">
        <f t="shared" si="1958"/>
        <v>813.75329542867667</v>
      </c>
      <c r="AU443" s="4">
        <f t="shared" si="1959"/>
        <v>0.3</v>
      </c>
      <c r="AV443" s="4" t="e">
        <f>AU443*D443*#REF!/(D443*G443/2.75/F443^0.5)</f>
        <v>#REF!</v>
      </c>
      <c r="AW443" s="4" t="e">
        <f t="shared" si="1793"/>
        <v>#REF!</v>
      </c>
      <c r="AY443" s="4">
        <f t="shared" si="1960"/>
        <v>1.2464539007092199</v>
      </c>
      <c r="AZ443" s="4" t="e">
        <f>(3*#REF!+30)*AY443*F443^0.5</f>
        <v>#REF!</v>
      </c>
      <c r="BB443" s="4">
        <f t="shared" si="1961"/>
        <v>780.48892585948306</v>
      </c>
      <c r="BC443" s="4">
        <f t="shared" si="2022"/>
        <v>0</v>
      </c>
      <c r="BD443" s="4">
        <f t="shared" si="1794"/>
        <v>0</v>
      </c>
      <c r="BL443" s="4">
        <f t="shared" si="1962"/>
        <v>71.11999999999999</v>
      </c>
      <c r="BP443" s="9"/>
      <c r="BR443" s="9"/>
      <c r="BS443" s="9"/>
      <c r="BT443" s="9">
        <f t="shared" si="1963"/>
        <v>71.11999999999999</v>
      </c>
      <c r="BU443" s="9">
        <f t="shared" si="1964"/>
        <v>76.644499999999965</v>
      </c>
      <c r="BV443" s="9">
        <f t="shared" si="1965"/>
        <v>1.4250918174124854</v>
      </c>
      <c r="BW443" s="40">
        <f t="shared" si="1738"/>
        <v>0</v>
      </c>
      <c r="BX443" s="9">
        <f t="shared" si="1966"/>
        <v>0</v>
      </c>
      <c r="BY443" s="9">
        <f t="shared" si="1795"/>
        <v>0</v>
      </c>
      <c r="BZ443" s="9">
        <f t="shared" si="1967"/>
        <v>0.89777220146327208</v>
      </c>
      <c r="CA443" s="9">
        <f t="shared" si="1968"/>
        <v>0.68</v>
      </c>
      <c r="CB443" s="9">
        <f t="shared" si="1969"/>
        <v>1.7850458101214393</v>
      </c>
      <c r="CC443" s="9">
        <f t="shared" si="1970"/>
        <v>2.5438541777105041</v>
      </c>
      <c r="CD443" s="40">
        <v>1</v>
      </c>
      <c r="CE443" s="9" t="e">
        <f>4*CC443*#REF!+60*CC443</f>
        <v>#REF!</v>
      </c>
      <c r="CG443" s="4" t="e">
        <f t="shared" si="1796"/>
        <v>#REF!</v>
      </c>
      <c r="CH443" s="4" t="e">
        <f t="shared" si="1797"/>
        <v>#REF!</v>
      </c>
      <c r="CI443" s="4" t="e">
        <f t="shared" si="1798"/>
        <v>#REF!</v>
      </c>
      <c r="CJ443" s="4" t="e">
        <f t="shared" si="1799"/>
        <v>#REF!</v>
      </c>
      <c r="CK443" s="4">
        <f t="shared" si="1800"/>
        <v>0.83691102883897983</v>
      </c>
      <c r="CL443" s="4">
        <f t="shared" si="1801"/>
        <v>0.85080970194489203</v>
      </c>
      <c r="CM443" s="4">
        <f t="shared" si="2060"/>
        <v>1.2026791278589977</v>
      </c>
      <c r="CN443" s="4">
        <f t="shared" si="1739"/>
        <v>0</v>
      </c>
      <c r="CO443" s="4" t="e">
        <f t="shared" si="2071"/>
        <v>#REF!</v>
      </c>
      <c r="CP443" s="4" t="e">
        <f t="shared" si="2072"/>
        <v>#REF!</v>
      </c>
      <c r="CQ443" s="4" t="e">
        <f t="shared" si="2073"/>
        <v>#REF!</v>
      </c>
      <c r="CR443" s="4">
        <f t="shared" si="2074"/>
        <v>1.2026791278589977</v>
      </c>
      <c r="CS443" s="4">
        <f t="shared" si="2075"/>
        <v>0.83691102883897983</v>
      </c>
      <c r="CT443" s="4">
        <f t="shared" si="2076"/>
        <v>0.85080970194489203</v>
      </c>
      <c r="DC443" s="4" t="e">
        <f>#REF!</f>
        <v>#REF!</v>
      </c>
      <c r="DF443" s="4">
        <f t="shared" si="1971"/>
        <v>2.7653839435452814E-5</v>
      </c>
      <c r="DG443" s="4">
        <f t="shared" si="1802"/>
        <v>8.9580354742076711</v>
      </c>
      <c r="DH443" s="4">
        <f t="shared" si="1972"/>
        <v>0.22786865453997082</v>
      </c>
      <c r="DI443" s="4">
        <f t="shared" si="1803"/>
        <v>4.9577727165186403</v>
      </c>
      <c r="DJ443" s="4">
        <f t="shared" si="1804"/>
        <v>7.2418419869406607</v>
      </c>
      <c r="DK443" s="4">
        <f t="shared" si="1973"/>
        <v>7.6999302204328206</v>
      </c>
      <c r="DL443" s="38">
        <f t="shared" si="1974"/>
        <v>576.00981335614665</v>
      </c>
      <c r="DM443" s="4" t="e">
        <f t="shared" si="1805"/>
        <v>#REF!</v>
      </c>
      <c r="DN443" s="4">
        <f t="shared" si="1975"/>
        <v>2.5495097567963922</v>
      </c>
      <c r="DO443" s="4">
        <f t="shared" si="2059"/>
        <v>246.19736674164798</v>
      </c>
      <c r="DS443" s="4">
        <f t="shared" si="1976"/>
        <v>0.85</v>
      </c>
      <c r="DT443" s="4">
        <f t="shared" si="1977"/>
        <v>0.90141843971631208</v>
      </c>
      <c r="DU443" s="4">
        <f t="shared" si="1978"/>
        <v>1</v>
      </c>
      <c r="DV443" s="4">
        <f t="shared" si="1806"/>
        <v>0.90141843971631208</v>
      </c>
      <c r="DX443" s="4">
        <f t="shared" si="1979"/>
        <v>566.6002214305563</v>
      </c>
      <c r="DY443" s="25">
        <f t="shared" si="1870"/>
        <v>244.11094435908009</v>
      </c>
      <c r="EA443" s="4">
        <f t="shared" si="1871"/>
        <v>0.76620567375886528</v>
      </c>
      <c r="EB443" s="4">
        <f t="shared" si="1980"/>
        <v>8.9580354742076711</v>
      </c>
      <c r="EE443" s="4">
        <f t="shared" si="1981"/>
        <v>91.308142429905971</v>
      </c>
      <c r="EF443" s="4">
        <f t="shared" si="1807"/>
        <v>2.5495097567963922</v>
      </c>
      <c r="EG443" s="4">
        <f t="shared" si="1982"/>
        <v>0.10409409854737328</v>
      </c>
      <c r="EJ443" s="4">
        <f t="shared" si="1808"/>
        <v>0.10409409854737328</v>
      </c>
      <c r="EK443" s="4">
        <f t="shared" si="1983"/>
        <v>0.22748838422448764</v>
      </c>
      <c r="EL443" s="4">
        <f t="shared" si="1809"/>
        <v>4.9544616187268264</v>
      </c>
      <c r="EM443" s="4">
        <f t="shared" si="1810"/>
        <v>7.2407168346772508</v>
      </c>
      <c r="EN443" s="4" t="e">
        <f t="shared" si="1811"/>
        <v>#REF!</v>
      </c>
      <c r="EO443" s="4" t="e">
        <f t="shared" si="1812"/>
        <v>#REF!</v>
      </c>
      <c r="EP443" s="4" t="e">
        <f t="shared" si="1984"/>
        <v>#REF!</v>
      </c>
      <c r="EQ443" s="4" t="e">
        <f t="shared" si="1813"/>
        <v>#REF!</v>
      </c>
      <c r="ER443" s="4" t="e">
        <f t="shared" si="1985"/>
        <v>#REF!</v>
      </c>
      <c r="FA443" s="23" t="e">
        <f t="shared" si="1772"/>
        <v>#REF!</v>
      </c>
      <c r="FB443" s="23" t="e">
        <f t="shared" si="1773"/>
        <v>#REF!</v>
      </c>
      <c r="FC443" s="23">
        <f t="shared" si="2061"/>
        <v>1.4</v>
      </c>
      <c r="FD443" s="23" t="e">
        <f t="shared" si="1774"/>
        <v>#REF!</v>
      </c>
      <c r="FE443" s="23">
        <f t="shared" si="1775"/>
        <v>1</v>
      </c>
      <c r="FF443" s="23">
        <f t="shared" si="1776"/>
        <v>1</v>
      </c>
      <c r="FG443" s="23">
        <f t="shared" si="1993"/>
        <v>0</v>
      </c>
      <c r="FH443" s="23"/>
      <c r="FR443" s="4">
        <f t="shared" si="1852"/>
        <v>1</v>
      </c>
      <c r="FS443" s="4">
        <f t="shared" si="1853"/>
        <v>0.72665484633569744</v>
      </c>
      <c r="FT443" s="4">
        <f t="shared" si="1854"/>
        <v>0</v>
      </c>
      <c r="FU443" s="4">
        <f t="shared" si="1855"/>
        <v>400.82924393592646</v>
      </c>
    </row>
    <row r="444" spans="2:177" ht="12" customHeight="1" x14ac:dyDescent="0.3">
      <c r="B444" s="14"/>
      <c r="C444" s="48" t="s">
        <v>593</v>
      </c>
      <c r="D444" s="38">
        <f>115.9/0.145</f>
        <v>799.31034482758628</v>
      </c>
      <c r="E444" s="38">
        <f>17*25.4</f>
        <v>431.79999999999995</v>
      </c>
      <c r="F444" s="38">
        <f>10860/145</f>
        <v>74.896551724137936</v>
      </c>
      <c r="G444" s="38">
        <f t="shared" si="2009"/>
        <v>35.813999999999993</v>
      </c>
      <c r="H444" s="38">
        <f>21.8*25.4</f>
        <v>553.72</v>
      </c>
      <c r="I444" s="38">
        <f>2.65*25.4</f>
        <v>67.309999999999988</v>
      </c>
      <c r="J444" s="39">
        <f>3.8*25.4</f>
        <v>96.52</v>
      </c>
      <c r="K444" s="7">
        <f t="shared" ref="K444:K453" si="2077">(H444-L444*G444-2*I444)/(L444-1)</f>
        <v>155.82900000000001</v>
      </c>
      <c r="L444" s="38">
        <v>3</v>
      </c>
      <c r="M444" s="4">
        <f t="shared" si="1843"/>
        <v>508</v>
      </c>
      <c r="N444" s="7">
        <f t="shared" si="1947"/>
        <v>2.3794326241134751</v>
      </c>
      <c r="O444" s="7">
        <f t="shared" si="1948"/>
        <v>2.3794326241134751</v>
      </c>
      <c r="P444" s="38">
        <v>4.5</v>
      </c>
      <c r="Q444" s="4">
        <f t="shared" si="1736"/>
        <v>4.5</v>
      </c>
      <c r="R444" s="4">
        <f t="shared" si="1949"/>
        <v>5.5</v>
      </c>
      <c r="S444" s="7">
        <f t="shared" si="1950"/>
        <v>83.991275011158137</v>
      </c>
      <c r="V444" s="38">
        <f t="shared" si="1777"/>
        <v>600.68965517241384</v>
      </c>
      <c r="W444" s="4">
        <v>87.1</v>
      </c>
      <c r="X444" s="4">
        <f t="shared" si="1951"/>
        <v>1.006304469333855</v>
      </c>
      <c r="Y444" s="38">
        <f t="shared" ref="Y444:Y445" si="2078">0.5*25.4</f>
        <v>12.7</v>
      </c>
      <c r="Z444" s="38">
        <v>12</v>
      </c>
      <c r="AA444" s="39">
        <f t="shared" ref="AA444:AA445" si="2079">4*25.4</f>
        <v>101.6</v>
      </c>
      <c r="AB444" s="39">
        <v>2</v>
      </c>
      <c r="AC444" s="39">
        <f t="shared" ref="AC444:AC445" si="2080">AB444-1</f>
        <v>1</v>
      </c>
      <c r="AD444" s="7"/>
      <c r="AE444" s="4">
        <f t="shared" si="1952"/>
        <v>431.79999999999995</v>
      </c>
      <c r="AF444" s="4">
        <f t="shared" si="1953"/>
        <v>0.4274509803921569</v>
      </c>
      <c r="AG444" s="4">
        <f t="shared" si="1954"/>
        <v>256.94375927002261</v>
      </c>
      <c r="AH444" s="4">
        <f t="shared" si="1955"/>
        <v>0.7394705882352941</v>
      </c>
      <c r="AI444" s="4">
        <v>1.25</v>
      </c>
      <c r="AJ444" s="4">
        <f t="shared" si="1878"/>
        <v>2.5</v>
      </c>
      <c r="AK444" s="38">
        <f t="shared" ref="AK444:AK453" si="2081">AF444*AH444*AI444*AJ444*AG444</f>
        <v>253.80216245559149</v>
      </c>
      <c r="AL444" s="38">
        <f t="shared" si="1986"/>
        <v>253.80216245559149</v>
      </c>
      <c r="AM444" s="38">
        <f t="shared" si="1956"/>
        <v>4.7252710400583542</v>
      </c>
      <c r="AN444" s="38">
        <f t="shared" si="1893"/>
        <v>253.80216245559126</v>
      </c>
      <c r="AO444" s="38">
        <f t="shared" si="1845"/>
        <v>1.0000000000000009</v>
      </c>
      <c r="AP444" s="38">
        <f t="shared" si="1894"/>
        <v>2.9790388665523837</v>
      </c>
      <c r="AQ444" s="4">
        <f t="shared" si="1895"/>
        <v>0</v>
      </c>
      <c r="AR444" s="4" t="e">
        <f>#REF!/G444*F444^0.5/0.19</f>
        <v>#REF!</v>
      </c>
      <c r="AS444" s="4">
        <f t="shared" si="1957"/>
        <v>1</v>
      </c>
      <c r="AT444" s="38">
        <f t="shared" si="1958"/>
        <v>756.08650637024857</v>
      </c>
      <c r="AU444" s="4">
        <f t="shared" si="1959"/>
        <v>0.37</v>
      </c>
      <c r="AV444" s="4" t="e">
        <f>AU444*D444*#REF!/(D444*G444/2.75/F444^0.5)</f>
        <v>#REF!</v>
      </c>
      <c r="AW444" s="4" t="e">
        <f t="shared" si="1793"/>
        <v>#REF!</v>
      </c>
      <c r="AY444" s="4">
        <f t="shared" si="1960"/>
        <v>1.5</v>
      </c>
      <c r="AZ444" s="4" t="e">
        <f>(3*#REF!+30)*AY444*F444^0.5</f>
        <v>#REF!</v>
      </c>
      <c r="BB444" s="4">
        <f t="shared" si="1961"/>
        <v>725.17942296368437</v>
      </c>
      <c r="BC444" s="4">
        <f t="shared" si="2022"/>
        <v>0</v>
      </c>
      <c r="BD444" s="4">
        <f t="shared" si="1794"/>
        <v>0</v>
      </c>
      <c r="BL444" s="4">
        <f t="shared" si="1962"/>
        <v>67.309999999999988</v>
      </c>
      <c r="BP444" s="9"/>
      <c r="BR444" s="9"/>
      <c r="BS444" s="9"/>
      <c r="BT444" s="9">
        <f t="shared" si="1963"/>
        <v>67.309999999999988</v>
      </c>
      <c r="BU444" s="9">
        <f t="shared" si="1964"/>
        <v>77.914500000000004</v>
      </c>
      <c r="BV444" s="9">
        <f t="shared" si="1965"/>
        <v>1.40134215068795</v>
      </c>
      <c r="BW444" s="40">
        <f t="shared" si="1738"/>
        <v>20</v>
      </c>
      <c r="BX444" s="9">
        <f t="shared" si="1966"/>
        <v>0.05</v>
      </c>
      <c r="BY444" s="9">
        <f t="shared" si="1795"/>
        <v>0.8</v>
      </c>
      <c r="BZ444" s="9">
        <f t="shared" si="1967"/>
        <v>0.89777220146327208</v>
      </c>
      <c r="CA444" s="9">
        <f t="shared" si="1968"/>
        <v>0.68048275862068963</v>
      </c>
      <c r="CB444" s="9">
        <f t="shared" si="1969"/>
        <v>1.8504707967044269</v>
      </c>
      <c r="CC444" s="9">
        <f t="shared" si="1970"/>
        <v>4.0735193634025677</v>
      </c>
      <c r="CD444" s="40">
        <v>1</v>
      </c>
      <c r="CE444" s="9" t="e">
        <f>4*CC444*#REF!+60*CC444</f>
        <v>#REF!</v>
      </c>
      <c r="CG444" s="4" t="e">
        <f t="shared" si="1796"/>
        <v>#REF!</v>
      </c>
      <c r="CH444" s="4" t="e">
        <f t="shared" si="1797"/>
        <v>#REF!</v>
      </c>
      <c r="CI444" s="4" t="e">
        <f t="shared" si="1798"/>
        <v>#REF!</v>
      </c>
      <c r="CJ444" s="4" t="e">
        <f t="shared" si="1799"/>
        <v>#REF!</v>
      </c>
      <c r="CK444" s="4">
        <f t="shared" si="1800"/>
        <v>1.006304469333855</v>
      </c>
      <c r="CL444" s="4">
        <f t="shared" si="1801"/>
        <v>1.0293844757547645</v>
      </c>
      <c r="CM444" s="4">
        <f t="shared" si="2060"/>
        <v>1.1608850073852048</v>
      </c>
      <c r="CN444" s="4">
        <f t="shared" si="1739"/>
        <v>12</v>
      </c>
      <c r="CU444" s="4" t="e">
        <f t="shared" ref="CU444:CU445" si="2082">CG444</f>
        <v>#REF!</v>
      </c>
      <c r="CV444" s="4" t="e">
        <f t="shared" ref="CV444:CV445" si="2083">CH444</f>
        <v>#REF!</v>
      </c>
      <c r="CW444" s="4" t="e">
        <f t="shared" ref="CW444:CW445" si="2084">CJ444</f>
        <v>#REF!</v>
      </c>
      <c r="CX444" s="4">
        <f t="shared" ref="CX444:CX445" si="2085">CM444</f>
        <v>1.1608850073852048</v>
      </c>
      <c r="CY444" s="4">
        <f t="shared" ref="CY444:CY445" si="2086">CK444</f>
        <v>1.006304469333855</v>
      </c>
      <c r="CZ444" s="4">
        <f t="shared" ref="CZ444:CZ445" si="2087">CL444</f>
        <v>1.0293844757547645</v>
      </c>
      <c r="DC444" s="4" t="e">
        <f>#REF!</f>
        <v>#REF!</v>
      </c>
      <c r="DF444" s="4">
        <f t="shared" si="1971"/>
        <v>2.8652727564421202E-5</v>
      </c>
      <c r="DG444" s="4">
        <f t="shared" si="1802"/>
        <v>9.175653902487765</v>
      </c>
      <c r="DH444" s="4">
        <f t="shared" si="1972"/>
        <v>0.24610590374836747</v>
      </c>
      <c r="DI444" s="4">
        <f t="shared" si="1803"/>
        <v>5.2370393460986371</v>
      </c>
      <c r="DJ444" s="4">
        <f t="shared" si="1804"/>
        <v>7.4724284792628914</v>
      </c>
      <c r="DK444" s="4">
        <f t="shared" si="1973"/>
        <v>7.7810990756344607</v>
      </c>
      <c r="DL444" s="38">
        <f t="shared" si="1974"/>
        <v>596.92635129609766</v>
      </c>
      <c r="DM444" s="4" t="e">
        <f t="shared" si="1805"/>
        <v>#REF!</v>
      </c>
      <c r="DN444" s="4">
        <f t="shared" si="1975"/>
        <v>2.3452078799117149</v>
      </c>
      <c r="DO444" s="4">
        <f t="shared" si="2059"/>
        <v>253.80216245559126</v>
      </c>
      <c r="DS444" s="4">
        <f t="shared" si="1976"/>
        <v>0.85</v>
      </c>
      <c r="DT444" s="4">
        <f t="shared" si="1977"/>
        <v>0.91205673758865247</v>
      </c>
      <c r="DU444" s="4">
        <f t="shared" si="1978"/>
        <v>0.9995510789195714</v>
      </c>
      <c r="DV444" s="4">
        <f t="shared" si="1806"/>
        <v>0.91164729609260198</v>
      </c>
      <c r="DX444" s="4">
        <f t="shared" si="1979"/>
        <v>583.54256288154784</v>
      </c>
      <c r="DY444" s="25">
        <f t="shared" si="1870"/>
        <v>251.65720896177749</v>
      </c>
      <c r="EA444" s="4">
        <f t="shared" si="1871"/>
        <v>0.77490020167871165</v>
      </c>
      <c r="EB444" s="4">
        <f t="shared" si="1980"/>
        <v>9.175653902487765</v>
      </c>
      <c r="EE444" s="4">
        <f t="shared" si="1981"/>
        <v>83.991275011158137</v>
      </c>
      <c r="EF444" s="4">
        <f t="shared" si="1807"/>
        <v>2.3452078799117149</v>
      </c>
      <c r="EG444" s="4">
        <f t="shared" si="1982"/>
        <v>0.11646306324765357</v>
      </c>
      <c r="EJ444" s="4">
        <f t="shared" si="1808"/>
        <v>0.11646306324765357</v>
      </c>
      <c r="EK444" s="4">
        <f t="shared" si="1983"/>
        <v>0.24569519886291669</v>
      </c>
      <c r="EL444" s="4">
        <f t="shared" si="1809"/>
        <v>5.233541737312188</v>
      </c>
      <c r="EM444" s="4">
        <f t="shared" si="1810"/>
        <v>7.4712103995701256</v>
      </c>
      <c r="EN444" s="4" t="e">
        <f t="shared" si="1811"/>
        <v>#REF!</v>
      </c>
      <c r="EO444" s="4" t="e">
        <f t="shared" si="1812"/>
        <v>#REF!</v>
      </c>
      <c r="EP444" s="4" t="e">
        <f t="shared" si="1984"/>
        <v>#REF!</v>
      </c>
      <c r="EQ444" s="4" t="e">
        <f t="shared" si="1813"/>
        <v>#REF!</v>
      </c>
      <c r="ER444" s="4" t="e">
        <f t="shared" si="1985"/>
        <v>#REF!</v>
      </c>
      <c r="EU444" s="4">
        <f>6.75*25.4</f>
        <v>171.45</v>
      </c>
      <c r="FA444" s="23" t="e">
        <f t="shared" si="1772"/>
        <v>#REF!</v>
      </c>
      <c r="FB444" s="23" t="e">
        <f t="shared" si="1773"/>
        <v>#REF!</v>
      </c>
      <c r="FC444" s="23">
        <f t="shared" si="2061"/>
        <v>1.2</v>
      </c>
      <c r="FD444" s="23" t="e">
        <f t="shared" si="1774"/>
        <v>#REF!</v>
      </c>
      <c r="FE444" s="23">
        <f t="shared" si="1775"/>
        <v>1.2</v>
      </c>
      <c r="FF444" s="23">
        <f t="shared" si="1776"/>
        <v>1.2</v>
      </c>
      <c r="FG444" s="23">
        <f t="shared" si="1993"/>
        <v>0</v>
      </c>
      <c r="FH444" s="23"/>
      <c r="FR444" s="4">
        <f t="shared" si="1852"/>
        <v>1</v>
      </c>
      <c r="FS444" s="4">
        <f t="shared" si="1853"/>
        <v>0.57562217267152949</v>
      </c>
      <c r="FT444" s="4">
        <f t="shared" si="1854"/>
        <v>0.16766426906761905</v>
      </c>
      <c r="FU444" s="4">
        <f t="shared" si="1855"/>
        <v>517.4411344370933</v>
      </c>
    </row>
    <row r="445" spans="2:177" ht="12" customHeight="1" x14ac:dyDescent="0.3">
      <c r="B445" s="14"/>
      <c r="C445" s="7" t="s">
        <v>594</v>
      </c>
      <c r="D445" s="38">
        <f>135/0.145</f>
        <v>931.0344827586207</v>
      </c>
      <c r="E445" s="38">
        <f>16.75*25.4</f>
        <v>425.45</v>
      </c>
      <c r="F445" s="38">
        <f>10120/145</f>
        <v>69.793103448275858</v>
      </c>
      <c r="G445" s="38">
        <f t="shared" si="2009"/>
        <v>35.813999999999993</v>
      </c>
      <c r="H445" s="38">
        <f>21.9*25.4</f>
        <v>556.25999999999988</v>
      </c>
      <c r="I445" s="38">
        <f>2.8*25.4</f>
        <v>71.11999999999999</v>
      </c>
      <c r="J445" s="39">
        <f>3.3*25.4</f>
        <v>83.82</v>
      </c>
      <c r="K445" s="7">
        <f t="shared" si="2077"/>
        <v>153.28899999999993</v>
      </c>
      <c r="L445" s="38">
        <v>3</v>
      </c>
      <c r="M445" s="4">
        <f t="shared" si="1843"/>
        <v>508</v>
      </c>
      <c r="N445" s="7">
        <f t="shared" si="1947"/>
        <v>2.4858156028368796</v>
      </c>
      <c r="O445" s="7">
        <f t="shared" si="1948"/>
        <v>2.4858156028368796</v>
      </c>
      <c r="P445" s="38">
        <v>5.5</v>
      </c>
      <c r="Q445" s="4">
        <f t="shared" ref="Q445:Q453" si="2088">P445</f>
        <v>5.5</v>
      </c>
      <c r="R445" s="4">
        <f t="shared" si="1949"/>
        <v>6.5</v>
      </c>
      <c r="S445" s="7">
        <f t="shared" si="1950"/>
        <v>91.308142429905971</v>
      </c>
      <c r="V445" s="38">
        <f t="shared" si="1777"/>
        <v>680</v>
      </c>
      <c r="W445" s="4">
        <v>98.6</v>
      </c>
      <c r="X445" s="4">
        <f t="shared" si="1951"/>
        <v>1.189548271882735</v>
      </c>
      <c r="Y445" s="38">
        <f t="shared" si="2078"/>
        <v>12.7</v>
      </c>
      <c r="Z445" s="38">
        <v>12</v>
      </c>
      <c r="AA445" s="39">
        <f t="shared" si="2079"/>
        <v>101.6</v>
      </c>
      <c r="AB445" s="39">
        <v>2</v>
      </c>
      <c r="AC445" s="39">
        <f t="shared" si="2080"/>
        <v>1</v>
      </c>
      <c r="AD445" s="7"/>
      <c r="AE445" s="4">
        <f t="shared" si="1952"/>
        <v>425.45</v>
      </c>
      <c r="AF445" s="4">
        <f t="shared" si="1953"/>
        <v>0.43582089552238795</v>
      </c>
      <c r="AG445" s="4">
        <f t="shared" si="1954"/>
        <v>242.58405561741927</v>
      </c>
      <c r="AH445" s="4">
        <f t="shared" si="1955"/>
        <v>0.74185074626865666</v>
      </c>
      <c r="AI445" s="4">
        <v>1.25</v>
      </c>
      <c r="AJ445" s="4">
        <f t="shared" si="1878"/>
        <v>2.5</v>
      </c>
      <c r="AK445" s="38">
        <f t="shared" si="2081"/>
        <v>245.09635963739103</v>
      </c>
      <c r="AL445" s="38">
        <f t="shared" si="1986"/>
        <v>245.09635963739103</v>
      </c>
      <c r="AM445" s="38">
        <f t="shared" si="1956"/>
        <v>4.6054834550100843</v>
      </c>
      <c r="AN445" s="38">
        <f t="shared" si="1893"/>
        <v>245.0963596373912</v>
      </c>
      <c r="AO445" s="38">
        <f t="shared" si="1845"/>
        <v>0.99999999999999933</v>
      </c>
      <c r="AP445" s="38">
        <f t="shared" si="1894"/>
        <v>3.3201361971780701</v>
      </c>
      <c r="AQ445" s="4">
        <f t="shared" si="1895"/>
        <v>0</v>
      </c>
      <c r="AR445" s="4" t="e">
        <f>#REF!/G445*F445^0.5/0.19</f>
        <v>#REF!</v>
      </c>
      <c r="AS445" s="4">
        <f t="shared" si="1957"/>
        <v>1</v>
      </c>
      <c r="AT445" s="38">
        <f t="shared" si="1958"/>
        <v>813.75329542867667</v>
      </c>
      <c r="AU445" s="4">
        <f t="shared" si="1959"/>
        <v>0.3</v>
      </c>
      <c r="AV445" s="4" t="e">
        <f>AU445*D445*#REF!/(D445*G445/2.75/F445^0.5)</f>
        <v>#REF!</v>
      </c>
      <c r="AW445" s="4" t="e">
        <f t="shared" si="1793"/>
        <v>#REF!</v>
      </c>
      <c r="AY445" s="4">
        <f t="shared" si="1960"/>
        <v>1.5</v>
      </c>
      <c r="AZ445" s="4" t="e">
        <f>(3*#REF!+30)*AY445*F445^0.5</f>
        <v>#REF!</v>
      </c>
      <c r="BB445" s="4">
        <f t="shared" si="1961"/>
        <v>780.48892585948306</v>
      </c>
      <c r="BC445" s="4">
        <f t="shared" si="2022"/>
        <v>0</v>
      </c>
      <c r="BD445" s="4">
        <f t="shared" si="1794"/>
        <v>0</v>
      </c>
      <c r="BL445" s="4">
        <f t="shared" si="1962"/>
        <v>71.11999999999999</v>
      </c>
      <c r="BP445" s="9"/>
      <c r="BR445" s="9"/>
      <c r="BS445" s="9"/>
      <c r="BT445" s="9">
        <f t="shared" si="1963"/>
        <v>71.11999999999999</v>
      </c>
      <c r="BU445" s="9">
        <f t="shared" si="1964"/>
        <v>76.644499999999965</v>
      </c>
      <c r="BV445" s="9">
        <f t="shared" si="1965"/>
        <v>1.4250918174124854</v>
      </c>
      <c r="BW445" s="40">
        <f t="shared" ref="BW445:BW453" si="2089">IF(AA445&gt;1,20,0)</f>
        <v>20</v>
      </c>
      <c r="BX445" s="9">
        <f t="shared" si="1966"/>
        <v>0.05</v>
      </c>
      <c r="BY445" s="9">
        <f t="shared" si="1795"/>
        <v>0.8</v>
      </c>
      <c r="BZ445" s="9">
        <f t="shared" si="1967"/>
        <v>0.89777220146327208</v>
      </c>
      <c r="CA445" s="9">
        <f t="shared" si="1968"/>
        <v>0.68</v>
      </c>
      <c r="CB445" s="9">
        <f t="shared" si="1969"/>
        <v>1.7850458101214393</v>
      </c>
      <c r="CC445" s="9">
        <f t="shared" si="1970"/>
        <v>3.9718908258076553</v>
      </c>
      <c r="CD445" s="40">
        <v>1</v>
      </c>
      <c r="CE445" s="9" t="e">
        <f>4*CC445*#REF!+60*CC445</f>
        <v>#REF!</v>
      </c>
      <c r="CG445" s="4" t="e">
        <f t="shared" si="1796"/>
        <v>#REF!</v>
      </c>
      <c r="CH445" s="4" t="e">
        <f t="shared" si="1797"/>
        <v>#REF!</v>
      </c>
      <c r="CI445" s="4" t="e">
        <f t="shared" si="1798"/>
        <v>#REF!</v>
      </c>
      <c r="CJ445" s="4" t="e">
        <f t="shared" si="1799"/>
        <v>#REF!</v>
      </c>
      <c r="CK445" s="4">
        <f t="shared" si="1800"/>
        <v>1.189548271882735</v>
      </c>
      <c r="CL445" s="4">
        <f t="shared" si="1801"/>
        <v>1.2091353781823571</v>
      </c>
      <c r="CM445" s="4">
        <f t="shared" si="2060"/>
        <v>1.3841922978836163</v>
      </c>
      <c r="CN445" s="4">
        <f t="shared" ref="CN445:CN453" si="2090">Z445</f>
        <v>12</v>
      </c>
      <c r="CU445" s="4" t="e">
        <f t="shared" si="2082"/>
        <v>#REF!</v>
      </c>
      <c r="CV445" s="4" t="e">
        <f t="shared" si="2083"/>
        <v>#REF!</v>
      </c>
      <c r="CW445" s="4" t="e">
        <f t="shared" si="2084"/>
        <v>#REF!</v>
      </c>
      <c r="CX445" s="4">
        <f t="shared" si="2085"/>
        <v>1.3841922978836163</v>
      </c>
      <c r="CY445" s="4">
        <f t="shared" si="2086"/>
        <v>1.189548271882735</v>
      </c>
      <c r="CZ445" s="4">
        <f t="shared" si="2087"/>
        <v>1.2091353781823571</v>
      </c>
      <c r="DC445" s="4" t="e">
        <f>#REF!</f>
        <v>#REF!</v>
      </c>
      <c r="DF445" s="4">
        <f t="shared" si="1971"/>
        <v>2.737599353095949E-5</v>
      </c>
      <c r="DG445" s="4">
        <f t="shared" si="1802"/>
        <v>8.9620587312961906</v>
      </c>
      <c r="DH445" s="4">
        <f t="shared" si="1972"/>
        <v>0.22684961436579537</v>
      </c>
      <c r="DI445" s="4">
        <f t="shared" si="1803"/>
        <v>4.951114885337712</v>
      </c>
      <c r="DJ445" s="4">
        <f t="shared" si="1804"/>
        <v>7.2420767721723385</v>
      </c>
      <c r="DK445" s="4">
        <f t="shared" si="1973"/>
        <v>7.7290930335956531</v>
      </c>
      <c r="DL445" s="38">
        <f t="shared" si="1974"/>
        <v>571.64557006479686</v>
      </c>
      <c r="DM445" s="4" t="e">
        <f t="shared" si="1805"/>
        <v>#REF!</v>
      </c>
      <c r="DN445" s="4">
        <f t="shared" si="1975"/>
        <v>2.5495097567963922</v>
      </c>
      <c r="DO445" s="4">
        <f t="shared" si="2059"/>
        <v>245.0963596373912</v>
      </c>
      <c r="DS445" s="4">
        <f t="shared" si="1976"/>
        <v>0.85</v>
      </c>
      <c r="DT445" s="4">
        <f t="shared" si="1977"/>
        <v>0.90141843971631208</v>
      </c>
      <c r="DU445" s="4">
        <f t="shared" si="1978"/>
        <v>0.9995510789195714</v>
      </c>
      <c r="DV445" s="4">
        <f t="shared" si="1806"/>
        <v>0.90101377397643634</v>
      </c>
      <c r="DX445" s="4">
        <f t="shared" si="1979"/>
        <v>562.38533109685011</v>
      </c>
      <c r="DY445" s="25">
        <f t="shared" si="1870"/>
        <v>242.99281248150706</v>
      </c>
      <c r="EA445" s="4">
        <f t="shared" si="1871"/>
        <v>0.76586170787997088</v>
      </c>
      <c r="EB445" s="4">
        <f t="shared" si="1980"/>
        <v>8.9620587312961906</v>
      </c>
      <c r="EE445" s="4">
        <f t="shared" si="1981"/>
        <v>91.308142429905971</v>
      </c>
      <c r="EF445" s="4">
        <f t="shared" si="1807"/>
        <v>2.5495097567963922</v>
      </c>
      <c r="EG445" s="4">
        <f t="shared" si="1982"/>
        <v>0.10362858446195203</v>
      </c>
      <c r="EJ445" s="4">
        <f t="shared" si="1808"/>
        <v>0.10362858446195203</v>
      </c>
      <c r="EK445" s="4">
        <f t="shared" si="1983"/>
        <v>0.22647104463843967</v>
      </c>
      <c r="EL445" s="4">
        <f t="shared" si="1809"/>
        <v>4.9478082340446354</v>
      </c>
      <c r="EM445" s="4">
        <f t="shared" si="1810"/>
        <v>7.2409547526210769</v>
      </c>
      <c r="EN445" s="4" t="e">
        <f t="shared" si="1811"/>
        <v>#REF!</v>
      </c>
      <c r="EO445" s="4" t="e">
        <f t="shared" si="1812"/>
        <v>#REF!</v>
      </c>
      <c r="EP445" s="4" t="e">
        <f t="shared" si="1984"/>
        <v>#REF!</v>
      </c>
      <c r="EQ445" s="4" t="e">
        <f t="shared" si="1813"/>
        <v>#REF!</v>
      </c>
      <c r="ER445" s="4" t="e">
        <f t="shared" si="1985"/>
        <v>#REF!</v>
      </c>
      <c r="FA445" s="23" t="e">
        <f t="shared" si="1772"/>
        <v>#REF!</v>
      </c>
      <c r="FB445" s="23" t="e">
        <f t="shared" si="1773"/>
        <v>#REF!</v>
      </c>
      <c r="FC445" s="23">
        <f t="shared" si="2061"/>
        <v>1.4</v>
      </c>
      <c r="FD445" s="23" t="e">
        <f t="shared" si="1774"/>
        <v>#REF!</v>
      </c>
      <c r="FE445" s="23">
        <f t="shared" si="1775"/>
        <v>1.2</v>
      </c>
      <c r="FF445" s="23">
        <f t="shared" si="1776"/>
        <v>1.4</v>
      </c>
      <c r="FG445" s="23">
        <f t="shared" si="1993"/>
        <v>0</v>
      </c>
      <c r="FH445" s="23"/>
      <c r="FR445" s="4">
        <f t="shared" si="1852"/>
        <v>1</v>
      </c>
      <c r="FS445" s="4">
        <f t="shared" si="1853"/>
        <v>0.58693437042964436</v>
      </c>
      <c r="FT445" s="4">
        <f t="shared" si="1854"/>
        <v>0.16766426906761905</v>
      </c>
      <c r="FU445" s="4">
        <f t="shared" si="1855"/>
        <v>491.2612221869008</v>
      </c>
    </row>
    <row r="446" spans="2:177" ht="12" customHeight="1" x14ac:dyDescent="0.3">
      <c r="B446" s="14" t="s">
        <v>595</v>
      </c>
      <c r="C446" s="48" t="s">
        <v>596</v>
      </c>
      <c r="D446" s="38">
        <f>115.9/0.145</f>
        <v>799.31034482758628</v>
      </c>
      <c r="E446" s="38">
        <f>19.44*25.4</f>
        <v>493.77600000000001</v>
      </c>
      <c r="F446" s="38">
        <f>5430/145</f>
        <v>37.448275862068968</v>
      </c>
      <c r="G446" s="38">
        <f t="shared" si="2009"/>
        <v>35.813999999999993</v>
      </c>
      <c r="H446" s="38">
        <f t="shared" ref="H446" si="2091">21.9*25.4</f>
        <v>556.25999999999988</v>
      </c>
      <c r="I446" s="38">
        <f>2.7*25.4</f>
        <v>68.58</v>
      </c>
      <c r="J446" s="39">
        <f>4.1*25.4</f>
        <v>104.13999999999999</v>
      </c>
      <c r="K446" s="7">
        <f t="shared" si="2077"/>
        <v>347.47199999999987</v>
      </c>
      <c r="L446" s="38">
        <v>2</v>
      </c>
      <c r="M446" s="4">
        <f t="shared" si="1843"/>
        <v>508</v>
      </c>
      <c r="N446" s="7">
        <f t="shared" si="1947"/>
        <v>2.4148936170212769</v>
      </c>
      <c r="O446" s="7">
        <f t="shared" si="1948"/>
        <v>2.4148936170212769</v>
      </c>
      <c r="P446" s="38">
        <v>4.5</v>
      </c>
      <c r="Q446" s="4">
        <f t="shared" si="2088"/>
        <v>4.5</v>
      </c>
      <c r="R446" s="4">
        <f t="shared" si="1949"/>
        <v>5.5</v>
      </c>
      <c r="S446" s="7">
        <f t="shared" si="1950"/>
        <v>83.991275011158137</v>
      </c>
      <c r="V446" s="38">
        <f t="shared" si="1777"/>
        <v>697.93103448275872</v>
      </c>
      <c r="W446" s="4">
        <v>101.2</v>
      </c>
      <c r="X446" s="4">
        <f t="shared" si="1951"/>
        <v>1.1596127136690846</v>
      </c>
      <c r="Y446" s="38"/>
      <c r="Z446" s="38"/>
      <c r="AA446" s="39">
        <v>1</v>
      </c>
      <c r="AB446" s="39"/>
      <c r="AC446" s="39"/>
      <c r="AD446" s="7"/>
      <c r="AE446" s="4">
        <f t="shared" si="1952"/>
        <v>493.77600000000001</v>
      </c>
      <c r="AF446" s="4">
        <f t="shared" si="1953"/>
        <v>0.375514403292181</v>
      </c>
      <c r="AG446" s="4">
        <f t="shared" si="1954"/>
        <v>333.26165284168025</v>
      </c>
      <c r="AH446" s="4">
        <f t="shared" si="1955"/>
        <v>0.73503086419753083</v>
      </c>
      <c r="AI446" s="4">
        <v>1.25</v>
      </c>
      <c r="AJ446" s="4">
        <f t="shared" si="1878"/>
        <v>2.5</v>
      </c>
      <c r="AK446" s="38">
        <f t="shared" si="2081"/>
        <v>287.45346017432786</v>
      </c>
      <c r="AL446" s="38">
        <f t="shared" si="1986"/>
        <v>287.45346017432786</v>
      </c>
      <c r="AM446" s="38">
        <f t="shared" si="1956"/>
        <v>3.3579622250305636</v>
      </c>
      <c r="AN446" s="38">
        <f t="shared" si="1893"/>
        <v>287.45346017432786</v>
      </c>
      <c r="AO446" s="38">
        <f t="shared" si="1845"/>
        <v>1</v>
      </c>
      <c r="AP446" s="38">
        <f t="shared" si="1894"/>
        <v>1.3347457378690069</v>
      </c>
      <c r="AQ446" s="4">
        <f t="shared" si="1895"/>
        <v>0</v>
      </c>
      <c r="AR446" s="4" t="e">
        <f>#REF!/G446*F446^0.5/0.19</f>
        <v>#REF!</v>
      </c>
      <c r="AS446" s="4">
        <f t="shared" si="1957"/>
        <v>1</v>
      </c>
      <c r="AT446" s="38">
        <f t="shared" si="1958"/>
        <v>383.67728080338242</v>
      </c>
      <c r="AU446" s="4">
        <f t="shared" si="1959"/>
        <v>0.37</v>
      </c>
      <c r="AV446" s="4" t="e">
        <f>AU446*D446*#REF!/(D446*G446/2.75/F446^0.5)</f>
        <v>#REF!</v>
      </c>
      <c r="AW446" s="4" t="e">
        <f t="shared" si="1793"/>
        <v>#REF!</v>
      </c>
      <c r="AY446" s="4">
        <f t="shared" si="1960"/>
        <v>1.2287234042553192</v>
      </c>
      <c r="AZ446" s="4" t="e">
        <f>(3*#REF!+30)*AY446*F446^0.5</f>
        <v>#REF!</v>
      </c>
      <c r="BB446" s="4">
        <f t="shared" si="1961"/>
        <v>367.993432964433</v>
      </c>
      <c r="BC446" s="4">
        <f t="shared" si="2022"/>
        <v>0</v>
      </c>
      <c r="BD446" s="4">
        <f t="shared" si="1794"/>
        <v>0</v>
      </c>
      <c r="BL446" s="4">
        <f t="shared" si="1962"/>
        <v>68.58</v>
      </c>
      <c r="BP446" s="9"/>
      <c r="BR446" s="9"/>
      <c r="BS446" s="9"/>
      <c r="BT446" s="9">
        <f t="shared" si="1963"/>
        <v>68.58</v>
      </c>
      <c r="BU446" s="9">
        <f t="shared" si="1964"/>
        <v>173.73599999999993</v>
      </c>
      <c r="BV446" s="9">
        <f t="shared" si="1965"/>
        <v>1.5908388060545191</v>
      </c>
      <c r="BW446" s="40">
        <f t="shared" si="2089"/>
        <v>0</v>
      </c>
      <c r="BX446" s="9">
        <f t="shared" si="1966"/>
        <v>0</v>
      </c>
      <c r="BY446" s="9">
        <f t="shared" si="1795"/>
        <v>0</v>
      </c>
      <c r="BZ446" s="9">
        <f t="shared" si="1967"/>
        <v>0.89777220146327208</v>
      </c>
      <c r="CA446" s="9">
        <f t="shared" si="1968"/>
        <v>0.68048275862068963</v>
      </c>
      <c r="CB446" s="9">
        <f t="shared" si="1969"/>
        <v>1.3084804487373733</v>
      </c>
      <c r="CC446" s="9">
        <f t="shared" si="1970"/>
        <v>2.0815814748150445</v>
      </c>
      <c r="CD446" s="40">
        <v>1</v>
      </c>
      <c r="CE446" s="9" t="e">
        <f>4*CC446*#REF!+60*CC446</f>
        <v>#REF!</v>
      </c>
      <c r="CG446" s="4" t="e">
        <f t="shared" si="1796"/>
        <v>#REF!</v>
      </c>
      <c r="CH446" s="4" t="e">
        <f t="shared" si="1797"/>
        <v>#REF!</v>
      </c>
      <c r="CI446" s="4" t="e">
        <f t="shared" si="1798"/>
        <v>#REF!</v>
      </c>
      <c r="CJ446" s="4" t="e">
        <f t="shared" si="1799"/>
        <v>#REF!</v>
      </c>
      <c r="CK446" s="4">
        <f t="shared" si="1800"/>
        <v>1.1596127136690846</v>
      </c>
      <c r="CL446" s="4">
        <f t="shared" si="1801"/>
        <v>1.2582112350998493</v>
      </c>
      <c r="CM446" s="4">
        <f t="shared" si="2060"/>
        <v>1.2184121174982501</v>
      </c>
      <c r="CN446" s="4">
        <f t="shared" si="2090"/>
        <v>0</v>
      </c>
      <c r="CO446" s="4" t="e">
        <f t="shared" ref="CO446:CO447" si="2092">CG446</f>
        <v>#REF!</v>
      </c>
      <c r="CP446" s="4" t="e">
        <f t="shared" ref="CP446:CP447" si="2093">CH446</f>
        <v>#REF!</v>
      </c>
      <c r="CQ446" s="4" t="e">
        <f t="shared" ref="CQ446:CQ447" si="2094">CJ446</f>
        <v>#REF!</v>
      </c>
      <c r="CR446" s="4">
        <f t="shared" ref="CR446:CR447" si="2095">CM446</f>
        <v>1.2184121174982501</v>
      </c>
      <c r="CS446" s="4">
        <f t="shared" ref="CS446:CS447" si="2096">CK446</f>
        <v>1.1596127136690846</v>
      </c>
      <c r="CT446" s="4">
        <f t="shared" ref="CT446:CT447" si="2097">CL446</f>
        <v>1.2582112350998493</v>
      </c>
      <c r="DC446" s="4" t="e">
        <f>#REF!</f>
        <v>#REF!</v>
      </c>
      <c r="DF446" s="4">
        <f t="shared" si="1971"/>
        <v>2.5922823367202814E-5</v>
      </c>
      <c r="DG446" s="4">
        <f t="shared" si="1802"/>
        <v>6.5105676703943356</v>
      </c>
      <c r="DH446" s="4">
        <f t="shared" si="1972"/>
        <v>0.55747352912469106</v>
      </c>
      <c r="DI446" s="4">
        <f t="shared" si="1803"/>
        <v>5.1535744861924577</v>
      </c>
      <c r="DJ446" s="4">
        <f t="shared" si="1804"/>
        <v>5.8714587929856847</v>
      </c>
      <c r="DK446" s="4">
        <f t="shared" si="1973"/>
        <v>5.6786582394970564</v>
      </c>
      <c r="DL446" s="38">
        <f t="shared" si="1974"/>
        <v>601.86562828762271</v>
      </c>
      <c r="DM446" s="4" t="e">
        <f t="shared" si="1805"/>
        <v>#REF!</v>
      </c>
      <c r="DN446" s="4">
        <f t="shared" si="1975"/>
        <v>2.3452078799117149</v>
      </c>
      <c r="DO446" s="4">
        <f t="shared" si="2059"/>
        <v>287.45346017432786</v>
      </c>
      <c r="DS446" s="4">
        <f t="shared" si="1976"/>
        <v>0.85</v>
      </c>
      <c r="DT446" s="4">
        <f t="shared" si="1977"/>
        <v>0.90851063829787226</v>
      </c>
      <c r="DU446" s="4">
        <f t="shared" si="1978"/>
        <v>1</v>
      </c>
      <c r="DV446" s="4">
        <f t="shared" si="1806"/>
        <v>0.90851063829787226</v>
      </c>
      <c r="DX446" s="4">
        <f t="shared" si="1979"/>
        <v>554.70100330758225</v>
      </c>
      <c r="DY446" s="25">
        <f t="shared" si="1870"/>
        <v>285.41284264276118</v>
      </c>
      <c r="EA446" s="4">
        <f t="shared" si="1871"/>
        <v>0.77223404255319139</v>
      </c>
      <c r="EB446" s="4">
        <f t="shared" si="1980"/>
        <v>6.5105676703943356</v>
      </c>
      <c r="EE446" s="4">
        <f t="shared" si="1981"/>
        <v>83.991275011158137</v>
      </c>
      <c r="EF446" s="4">
        <f t="shared" si="1807"/>
        <v>2.3452078799117149</v>
      </c>
      <c r="EG446" s="4">
        <f t="shared" si="1982"/>
        <v>0.18654148485840832</v>
      </c>
      <c r="EJ446" s="4">
        <f t="shared" si="1808"/>
        <v>0.18654148485840832</v>
      </c>
      <c r="EK446" s="4">
        <f t="shared" si="1983"/>
        <v>0.55654320970352378</v>
      </c>
      <c r="EL446" s="4">
        <f t="shared" si="1809"/>
        <v>5.1501326202423856</v>
      </c>
      <c r="EM446" s="4">
        <f t="shared" si="1810"/>
        <v>5.8699491476777874</v>
      </c>
      <c r="EN446" s="4" t="e">
        <f t="shared" si="1811"/>
        <v>#REF!</v>
      </c>
      <c r="EO446" s="4" t="e">
        <f t="shared" si="1812"/>
        <v>#REF!</v>
      </c>
      <c r="EP446" s="4" t="e">
        <f t="shared" si="1984"/>
        <v>#REF!</v>
      </c>
      <c r="EQ446" s="4" t="e">
        <f t="shared" si="1813"/>
        <v>#REF!</v>
      </c>
      <c r="ER446" s="4" t="e">
        <f t="shared" si="1985"/>
        <v>#REF!</v>
      </c>
      <c r="EU446" s="4">
        <f>6.75*25.4</f>
        <v>171.45</v>
      </c>
      <c r="FA446" s="23" t="e">
        <f t="shared" si="1772"/>
        <v>#REF!</v>
      </c>
      <c r="FB446" s="23" t="e">
        <f t="shared" si="1773"/>
        <v>#REF!</v>
      </c>
      <c r="FC446" s="23">
        <f t="shared" si="2061"/>
        <v>1.4</v>
      </c>
      <c r="FD446" s="23" t="e">
        <f t="shared" si="1774"/>
        <v>#REF!</v>
      </c>
      <c r="FE446" s="23">
        <f t="shared" si="1775"/>
        <v>1.2</v>
      </c>
      <c r="FF446" s="23">
        <f t="shared" si="1776"/>
        <v>1.4</v>
      </c>
      <c r="FG446" s="23">
        <f t="shared" si="1993"/>
        <v>0</v>
      </c>
      <c r="FH446" s="23"/>
      <c r="FR446" s="4">
        <f t="shared" si="1852"/>
        <v>1</v>
      </c>
      <c r="FS446" s="4">
        <f t="shared" si="1853"/>
        <v>0.5</v>
      </c>
      <c r="FT446" s="4">
        <f t="shared" si="1854"/>
        <v>0</v>
      </c>
      <c r="FU446" s="4">
        <f t="shared" si="1855"/>
        <v>572.82016852870072</v>
      </c>
    </row>
    <row r="447" spans="2:177" ht="12" customHeight="1" x14ac:dyDescent="0.3">
      <c r="B447" s="14"/>
      <c r="C447" s="7" t="s">
        <v>597</v>
      </c>
      <c r="D447" s="38">
        <f>135/0.145</f>
        <v>931.0344827586207</v>
      </c>
      <c r="E447" s="38">
        <f>19.38*25.4</f>
        <v>492.25199999999995</v>
      </c>
      <c r="F447" s="38">
        <f>6320/145</f>
        <v>43.586206896551722</v>
      </c>
      <c r="G447" s="38">
        <f t="shared" si="2009"/>
        <v>35.813999999999993</v>
      </c>
      <c r="H447" s="38">
        <f>22*25.4</f>
        <v>558.79999999999995</v>
      </c>
      <c r="I447" s="38">
        <f>2.75*25.4</f>
        <v>69.849999999999994</v>
      </c>
      <c r="J447" s="39">
        <f>3.3*25.4</f>
        <v>83.82</v>
      </c>
      <c r="K447" s="7">
        <f t="shared" si="2077"/>
        <v>347.47199999999998</v>
      </c>
      <c r="L447" s="38">
        <v>2</v>
      </c>
      <c r="M447" s="4">
        <f t="shared" si="1843"/>
        <v>508</v>
      </c>
      <c r="N447" s="7">
        <f t="shared" si="1947"/>
        <v>2.4503546099290783</v>
      </c>
      <c r="O447" s="7">
        <f t="shared" si="1948"/>
        <v>2.4503546099290783</v>
      </c>
      <c r="P447" s="38">
        <v>5.5</v>
      </c>
      <c r="Q447" s="4">
        <f t="shared" si="2088"/>
        <v>5.5</v>
      </c>
      <c r="R447" s="4">
        <f t="shared" si="1949"/>
        <v>6.5</v>
      </c>
      <c r="S447" s="7">
        <f t="shared" si="1950"/>
        <v>91.308142429905971</v>
      </c>
      <c r="V447" s="38">
        <f t="shared" si="1777"/>
        <v>781.37931034482767</v>
      </c>
      <c r="W447" s="4">
        <v>113.3</v>
      </c>
      <c r="X447" s="4">
        <f t="shared" si="1951"/>
        <v>1.2217011324137843</v>
      </c>
      <c r="Y447" s="38"/>
      <c r="Z447" s="38"/>
      <c r="AA447" s="39">
        <v>1</v>
      </c>
      <c r="AB447" s="39"/>
      <c r="AC447" s="39"/>
      <c r="AD447" s="7"/>
      <c r="AE447" s="4">
        <f t="shared" si="1952"/>
        <v>492.25199999999995</v>
      </c>
      <c r="AF447" s="4">
        <f t="shared" si="1953"/>
        <v>0.37839697282421741</v>
      </c>
      <c r="AG447" s="4">
        <f t="shared" si="1954"/>
        <v>357.87407330106765</v>
      </c>
      <c r="AH447" s="4">
        <f t="shared" si="1955"/>
        <v>0.73565531475748192</v>
      </c>
      <c r="AI447" s="4">
        <v>1.25</v>
      </c>
      <c r="AJ447" s="4">
        <f t="shared" si="1878"/>
        <v>2.5</v>
      </c>
      <c r="AK447" s="38">
        <f t="shared" si="2081"/>
        <v>311.31660694188923</v>
      </c>
      <c r="AL447" s="38">
        <f t="shared" si="1986"/>
        <v>311.31660694188923</v>
      </c>
      <c r="AM447" s="38">
        <f t="shared" si="1956"/>
        <v>3.7155288579258352</v>
      </c>
      <c r="AN447" s="38">
        <f t="shared" si="1893"/>
        <v>311.31660694188946</v>
      </c>
      <c r="AO447" s="38">
        <f t="shared" si="1845"/>
        <v>0.99999999999999922</v>
      </c>
      <c r="AP447" s="38">
        <f t="shared" si="1894"/>
        <v>1.609114940007129</v>
      </c>
      <c r="AQ447" s="4">
        <f t="shared" si="1895"/>
        <v>0</v>
      </c>
      <c r="AR447" s="4" t="e">
        <f>#REF!/G447*F447^0.5/0.19</f>
        <v>#REF!</v>
      </c>
      <c r="AS447" s="4">
        <f t="shared" si="1957"/>
        <v>1</v>
      </c>
      <c r="AT447" s="38">
        <f t="shared" si="1958"/>
        <v>500.94420330252137</v>
      </c>
      <c r="AU447" s="4">
        <f t="shared" si="1959"/>
        <v>0.3</v>
      </c>
      <c r="AV447" s="4" t="e">
        <f>AU447*D447*#REF!/(D447*G447/2.75/F447^0.5)</f>
        <v>#REF!</v>
      </c>
      <c r="AW447" s="4" t="e">
        <f t="shared" si="1793"/>
        <v>#REF!</v>
      </c>
      <c r="AY447" s="4">
        <f t="shared" si="1960"/>
        <v>1.2375886524822697</v>
      </c>
      <c r="AZ447" s="4" t="e">
        <f>(3*#REF!+30)*AY447*F447^0.5</f>
        <v>#REF!</v>
      </c>
      <c r="BB447" s="4">
        <f t="shared" si="1961"/>
        <v>480.46675245125056</v>
      </c>
      <c r="BC447" s="4">
        <f t="shared" si="2022"/>
        <v>0</v>
      </c>
      <c r="BD447" s="4">
        <f t="shared" si="1794"/>
        <v>0</v>
      </c>
      <c r="BL447" s="4">
        <f t="shared" si="1962"/>
        <v>69.849999999999994</v>
      </c>
      <c r="BP447" s="9"/>
      <c r="BR447" s="9"/>
      <c r="BS447" s="9"/>
      <c r="BT447" s="9">
        <f t="shared" si="1963"/>
        <v>69.849999999999994</v>
      </c>
      <c r="BU447" s="9">
        <f t="shared" si="1964"/>
        <v>173.73599999999999</v>
      </c>
      <c r="BV447" s="9">
        <f t="shared" si="1965"/>
        <v>1.6010883658280048</v>
      </c>
      <c r="BW447" s="40">
        <f t="shared" si="2089"/>
        <v>0</v>
      </c>
      <c r="BX447" s="9">
        <f t="shared" si="1966"/>
        <v>0</v>
      </c>
      <c r="BY447" s="9">
        <f t="shared" si="1795"/>
        <v>0</v>
      </c>
      <c r="BZ447" s="9">
        <f t="shared" si="1967"/>
        <v>0.89777220146327208</v>
      </c>
      <c r="CA447" s="9">
        <f t="shared" si="1968"/>
        <v>0.68</v>
      </c>
      <c r="CB447" s="9">
        <f t="shared" si="1969"/>
        <v>1.4106447240551518</v>
      </c>
      <c r="CC447" s="9">
        <f t="shared" si="1970"/>
        <v>2.2585668560013601</v>
      </c>
      <c r="CD447" s="40">
        <v>1</v>
      </c>
      <c r="CE447" s="9" t="e">
        <f>4*CC447*#REF!+60*CC447</f>
        <v>#REF!</v>
      </c>
      <c r="CG447" s="4" t="e">
        <f t="shared" si="1796"/>
        <v>#REF!</v>
      </c>
      <c r="CH447" s="4" t="e">
        <f t="shared" si="1797"/>
        <v>#REF!</v>
      </c>
      <c r="CI447" s="4" t="e">
        <f t="shared" si="1798"/>
        <v>#REF!</v>
      </c>
      <c r="CJ447" s="4" t="e">
        <f t="shared" si="1799"/>
        <v>#REF!</v>
      </c>
      <c r="CK447" s="4">
        <f t="shared" si="1800"/>
        <v>1.2217011324137843</v>
      </c>
      <c r="CL447" s="4">
        <f t="shared" si="1801"/>
        <v>1.3026075869753657</v>
      </c>
      <c r="CM447" s="4">
        <f t="shared" si="2060"/>
        <v>1.3173670073694528</v>
      </c>
      <c r="CN447" s="4">
        <f t="shared" si="2090"/>
        <v>0</v>
      </c>
      <c r="CO447" s="4" t="e">
        <f t="shared" si="2092"/>
        <v>#REF!</v>
      </c>
      <c r="CP447" s="4" t="e">
        <f t="shared" si="2093"/>
        <v>#REF!</v>
      </c>
      <c r="CQ447" s="4" t="e">
        <f t="shared" si="2094"/>
        <v>#REF!</v>
      </c>
      <c r="CR447" s="4">
        <f t="shared" si="2095"/>
        <v>1.3173670073694528</v>
      </c>
      <c r="CS447" s="4">
        <f t="shared" si="2096"/>
        <v>1.2217011324137843</v>
      </c>
      <c r="CT447" s="4">
        <f t="shared" si="2097"/>
        <v>1.3026075869753657</v>
      </c>
      <c r="DC447" s="4" t="e">
        <f>#REF!</f>
        <v>#REF!</v>
      </c>
      <c r="DF447" s="4">
        <f t="shared" si="1971"/>
        <v>2.6912597390312449E-5</v>
      </c>
      <c r="DG447" s="4">
        <f t="shared" si="1802"/>
        <v>7.0514095095305276</v>
      </c>
      <c r="DH447" s="4">
        <f t="shared" si="1972"/>
        <v>0.46138865032032206</v>
      </c>
      <c r="DI447" s="4">
        <f t="shared" si="1803"/>
        <v>5.1749087932933691</v>
      </c>
      <c r="DJ447" s="4">
        <f t="shared" si="1804"/>
        <v>6.1849067031831817</v>
      </c>
      <c r="DK447" s="4">
        <f t="shared" si="1973"/>
        <v>6.0778212680975621</v>
      </c>
      <c r="DL447" s="38">
        <f t="shared" si="1974"/>
        <v>639.58302862584094</v>
      </c>
      <c r="DM447" s="4" t="e">
        <f t="shared" si="1805"/>
        <v>#REF!</v>
      </c>
      <c r="DN447" s="4">
        <f t="shared" si="1975"/>
        <v>2.5495097567963922</v>
      </c>
      <c r="DO447" s="4">
        <f t="shared" si="2059"/>
        <v>311.31660694188946</v>
      </c>
      <c r="DS447" s="4">
        <f t="shared" si="1976"/>
        <v>0.85</v>
      </c>
      <c r="DT447" s="4">
        <f t="shared" si="1977"/>
        <v>0.90496453900709217</v>
      </c>
      <c r="DU447" s="4">
        <f t="shared" si="1978"/>
        <v>1</v>
      </c>
      <c r="DV447" s="4">
        <f t="shared" si="1806"/>
        <v>0.90496453900709217</v>
      </c>
      <c r="DX447" s="4">
        <f t="shared" si="1979"/>
        <v>599.85779152352256</v>
      </c>
      <c r="DY447" s="25">
        <f t="shared" si="1870"/>
        <v>309.09967174756156</v>
      </c>
      <c r="EA447" s="4">
        <f t="shared" si="1871"/>
        <v>0.76921985815602834</v>
      </c>
      <c r="EB447" s="4">
        <f t="shared" si="1980"/>
        <v>7.0514095095305276</v>
      </c>
      <c r="EE447" s="4">
        <f t="shared" si="1981"/>
        <v>91.308142429905971</v>
      </c>
      <c r="EF447" s="4">
        <f t="shared" si="1807"/>
        <v>2.5495097567963922</v>
      </c>
      <c r="EG447" s="4">
        <f t="shared" si="1982"/>
        <v>0.16656230050522144</v>
      </c>
      <c r="EJ447" s="4">
        <f t="shared" si="1808"/>
        <v>0.16656230050522144</v>
      </c>
      <c r="EK447" s="4">
        <f t="shared" si="1983"/>
        <v>0.46061867865409239</v>
      </c>
      <c r="EL447" s="4">
        <f t="shared" si="1809"/>
        <v>5.1714526790142257</v>
      </c>
      <c r="EM447" s="4">
        <f t="shared" si="1810"/>
        <v>6.1834624557175362</v>
      </c>
      <c r="EN447" s="4" t="e">
        <f t="shared" si="1811"/>
        <v>#REF!</v>
      </c>
      <c r="EO447" s="4" t="e">
        <f t="shared" si="1812"/>
        <v>#REF!</v>
      </c>
      <c r="EP447" s="4" t="e">
        <f t="shared" si="1984"/>
        <v>#REF!</v>
      </c>
      <c r="EQ447" s="4" t="e">
        <f t="shared" si="1813"/>
        <v>#REF!</v>
      </c>
      <c r="ER447" s="4" t="e">
        <f t="shared" si="1985"/>
        <v>#REF!</v>
      </c>
      <c r="FA447" s="23" t="e">
        <f t="shared" si="1772"/>
        <v>#REF!</v>
      </c>
      <c r="FB447" s="23" t="e">
        <f t="shared" si="1773"/>
        <v>#REF!</v>
      </c>
      <c r="FC447" s="23">
        <f t="shared" si="2061"/>
        <v>1.4</v>
      </c>
      <c r="FD447" s="23" t="e">
        <f t="shared" si="1774"/>
        <v>#REF!</v>
      </c>
      <c r="FE447" s="23">
        <f t="shared" si="1775"/>
        <v>1.4</v>
      </c>
      <c r="FF447" s="23">
        <f t="shared" si="1776"/>
        <v>1.4</v>
      </c>
      <c r="FG447" s="23">
        <f t="shared" si="1993"/>
        <v>0</v>
      </c>
      <c r="FH447" s="23"/>
      <c r="FR447" s="4">
        <f t="shared" si="1852"/>
        <v>1</v>
      </c>
      <c r="FS447" s="4">
        <f t="shared" si="1853"/>
        <v>0.5</v>
      </c>
      <c r="FT447" s="4">
        <f t="shared" si="1854"/>
        <v>0</v>
      </c>
      <c r="FU447" s="4">
        <f t="shared" si="1855"/>
        <v>593.13714854989644</v>
      </c>
    </row>
    <row r="448" spans="2:177" ht="12" customHeight="1" x14ac:dyDescent="0.3">
      <c r="B448" s="14"/>
      <c r="C448" s="48" t="s">
        <v>598</v>
      </c>
      <c r="D448" s="38">
        <f t="shared" ref="D448" si="2098">115.9/0.145</f>
        <v>799.31034482758628</v>
      </c>
      <c r="E448" s="38">
        <f>19.63*25.4</f>
        <v>498.60199999999992</v>
      </c>
      <c r="F448" s="38">
        <f>5430/145</f>
        <v>37.448275862068968</v>
      </c>
      <c r="G448" s="38">
        <f t="shared" si="2009"/>
        <v>35.813999999999993</v>
      </c>
      <c r="H448" s="38">
        <f>21.7*25.4</f>
        <v>551.17999999999995</v>
      </c>
      <c r="I448" s="38">
        <f>2.65*25.4</f>
        <v>67.309999999999988</v>
      </c>
      <c r="J448" s="39">
        <f>3.8*25.4</f>
        <v>96.52</v>
      </c>
      <c r="K448" s="7">
        <f t="shared" si="2077"/>
        <v>344.93200000000002</v>
      </c>
      <c r="L448" s="38">
        <v>2</v>
      </c>
      <c r="M448" s="4">
        <f t="shared" si="1843"/>
        <v>508</v>
      </c>
      <c r="N448" s="7">
        <f t="shared" si="1947"/>
        <v>2.3794326241134751</v>
      </c>
      <c r="O448" s="7">
        <f t="shared" si="1948"/>
        <v>2.3794326241134751</v>
      </c>
      <c r="P448" s="38">
        <v>4.5</v>
      </c>
      <c r="Q448" s="4">
        <f t="shared" si="2088"/>
        <v>4.5</v>
      </c>
      <c r="R448" s="4">
        <f t="shared" si="1949"/>
        <v>5.5</v>
      </c>
      <c r="S448" s="7">
        <f t="shared" si="1950"/>
        <v>83.991275011158137</v>
      </c>
      <c r="V448" s="38">
        <f t="shared" si="1777"/>
        <v>802.06896551724139</v>
      </c>
      <c r="W448" s="4">
        <v>116.3</v>
      </c>
      <c r="X448" s="4">
        <f t="shared" si="1951"/>
        <v>1.3325481105008794</v>
      </c>
      <c r="Y448" s="38">
        <f t="shared" ref="Y448:Y449" si="2099">0.5*25.4</f>
        <v>12.7</v>
      </c>
      <c r="Z448" s="38">
        <v>12</v>
      </c>
      <c r="AA448" s="39">
        <f t="shared" ref="AA448:AA449" si="2100">4*25.4</f>
        <v>101.6</v>
      </c>
      <c r="AB448" s="39">
        <v>2</v>
      </c>
      <c r="AC448" s="39">
        <f t="shared" ref="AC448:AC449" si="2101">AB448-1</f>
        <v>1</v>
      </c>
      <c r="AD448" s="7"/>
      <c r="AE448" s="4">
        <f t="shared" si="1952"/>
        <v>498.60199999999992</v>
      </c>
      <c r="AF448" s="4">
        <f t="shared" si="1953"/>
        <v>0.36848361351672609</v>
      </c>
      <c r="AG448" s="4">
        <f t="shared" si="1954"/>
        <v>338.15935186284662</v>
      </c>
      <c r="AH448" s="4">
        <f t="shared" si="1955"/>
        <v>0.73418237391747321</v>
      </c>
      <c r="AI448" s="4">
        <v>1.25</v>
      </c>
      <c r="AJ448" s="4">
        <f t="shared" si="1878"/>
        <v>2.5</v>
      </c>
      <c r="AK448" s="38">
        <f t="shared" si="2081"/>
        <v>285.88644055513333</v>
      </c>
      <c r="AL448" s="38">
        <f t="shared" si="1986"/>
        <v>285.88644055513333</v>
      </c>
      <c r="AM448" s="38">
        <f t="shared" si="1956"/>
        <v>3.3579622250305636</v>
      </c>
      <c r="AN448" s="38">
        <f t="shared" si="1893"/>
        <v>285.88644055513362</v>
      </c>
      <c r="AO448" s="38">
        <f t="shared" si="1845"/>
        <v>0.999999999999999</v>
      </c>
      <c r="AP448" s="38">
        <f t="shared" si="1894"/>
        <v>1.3223546120307097</v>
      </c>
      <c r="AQ448" s="4">
        <f t="shared" si="1895"/>
        <v>0</v>
      </c>
      <c r="AR448" s="4" t="e">
        <f>#REF!/G448*F448^0.5/0.19</f>
        <v>#REF!</v>
      </c>
      <c r="AS448" s="4">
        <f t="shared" si="1957"/>
        <v>1</v>
      </c>
      <c r="AT448" s="38">
        <f t="shared" si="1958"/>
        <v>378.04325318512429</v>
      </c>
      <c r="AU448" s="4">
        <f t="shared" si="1959"/>
        <v>0.37</v>
      </c>
      <c r="AV448" s="4" t="e">
        <f>AU448*D448*#REF!/(D448*G448/2.75/F448^0.5)</f>
        <v>#REF!</v>
      </c>
      <c r="AW448" s="4" t="e">
        <f t="shared" si="1793"/>
        <v>#REF!</v>
      </c>
      <c r="AY448" s="4">
        <f t="shared" si="1960"/>
        <v>1.5</v>
      </c>
      <c r="AZ448" s="4" t="e">
        <f>(3*#REF!+30)*AY448*F448^0.5</f>
        <v>#REF!</v>
      </c>
      <c r="BB448" s="4">
        <f t="shared" si="1961"/>
        <v>362.58971148184219</v>
      </c>
      <c r="BC448" s="4">
        <f t="shared" si="2022"/>
        <v>0</v>
      </c>
      <c r="BD448" s="4">
        <f t="shared" si="1794"/>
        <v>0</v>
      </c>
      <c r="BL448" s="4">
        <f t="shared" si="1962"/>
        <v>67.309999999999988</v>
      </c>
      <c r="BP448" s="9"/>
      <c r="BR448" s="9"/>
      <c r="BS448" s="9"/>
      <c r="BT448" s="9">
        <f t="shared" si="1963"/>
        <v>67.309999999999988</v>
      </c>
      <c r="BU448" s="9">
        <f t="shared" si="1964"/>
        <v>172.46600000000001</v>
      </c>
      <c r="BV448" s="9">
        <f t="shared" si="1965"/>
        <v>1.5787267425904519</v>
      </c>
      <c r="BW448" s="40">
        <f t="shared" si="2089"/>
        <v>20</v>
      </c>
      <c r="BX448" s="9">
        <f t="shared" si="1966"/>
        <v>0.05</v>
      </c>
      <c r="BY448" s="9">
        <f t="shared" si="1795"/>
        <v>0.8</v>
      </c>
      <c r="BZ448" s="9">
        <f t="shared" si="1967"/>
        <v>0.89777220146327208</v>
      </c>
      <c r="CA448" s="9">
        <f t="shared" si="1968"/>
        <v>0.68048275862068963</v>
      </c>
      <c r="CB448" s="9">
        <f t="shared" si="1969"/>
        <v>1.3084804487373733</v>
      </c>
      <c r="CC448" s="9">
        <f t="shared" si="1970"/>
        <v>3.1125174355683445</v>
      </c>
      <c r="CD448" s="40">
        <v>1</v>
      </c>
      <c r="CE448" s="9" t="e">
        <f>4*CC448*#REF!+60*CC448</f>
        <v>#REF!</v>
      </c>
      <c r="CG448" s="4" t="e">
        <f t="shared" si="1796"/>
        <v>#REF!</v>
      </c>
      <c r="CH448" s="4" t="e">
        <f t="shared" si="1797"/>
        <v>#REF!</v>
      </c>
      <c r="CI448" s="4" t="e">
        <f t="shared" si="1798"/>
        <v>#REF!</v>
      </c>
      <c r="CJ448" s="4" t="e">
        <f t="shared" si="1799"/>
        <v>#REF!</v>
      </c>
      <c r="CK448" s="4">
        <f t="shared" si="1800"/>
        <v>1.3325481105008794</v>
      </c>
      <c r="CL448" s="4">
        <f t="shared" si="1801"/>
        <v>1.4455193526381414</v>
      </c>
      <c r="CM448" s="4">
        <f t="shared" si="2060"/>
        <v>1.1997735337343924</v>
      </c>
      <c r="CN448" s="4">
        <f t="shared" si="2090"/>
        <v>12</v>
      </c>
      <c r="CU448" s="4" t="e">
        <f t="shared" ref="CU448:CU449" si="2102">CG448</f>
        <v>#REF!</v>
      </c>
      <c r="CV448" s="4" t="e">
        <f t="shared" ref="CV448:CV449" si="2103">CH448</f>
        <v>#REF!</v>
      </c>
      <c r="CW448" s="4" t="e">
        <f t="shared" ref="CW448:CW449" si="2104">CJ448</f>
        <v>#REF!</v>
      </c>
      <c r="CX448" s="4">
        <f t="shared" ref="CX448:CX449" si="2105">CM448</f>
        <v>1.1997735337343924</v>
      </c>
      <c r="CY448" s="4">
        <f t="shared" ref="CY448:CY449" si="2106">CK448</f>
        <v>1.3325481105008794</v>
      </c>
      <c r="CZ448" s="4">
        <f t="shared" ref="CZ448:CZ449" si="2107">CL448</f>
        <v>1.4455193526381414</v>
      </c>
      <c r="DC448" s="4" t="e">
        <f>#REF!</f>
        <v>#REF!</v>
      </c>
      <c r="DF448" s="4">
        <f t="shared" si="1971"/>
        <v>2.6176184295174446E-5</v>
      </c>
      <c r="DG448" s="4">
        <f t="shared" si="1802"/>
        <v>6.4881670962699065</v>
      </c>
      <c r="DH448" s="4">
        <f t="shared" si="1972"/>
        <v>0.55443452602210153</v>
      </c>
      <c r="DI448" s="4">
        <f t="shared" si="1803"/>
        <v>5.1246254963864439</v>
      </c>
      <c r="DJ448" s="4">
        <f t="shared" si="1804"/>
        <v>5.8463394128645252</v>
      </c>
      <c r="DK448" s="4">
        <f t="shared" si="1973"/>
        <v>5.6466132783961722</v>
      </c>
      <c r="DL448" s="38">
        <f t="shared" si="1974"/>
        <v>601.90619700459365</v>
      </c>
      <c r="DM448" s="4" t="e">
        <f t="shared" si="1805"/>
        <v>#REF!</v>
      </c>
      <c r="DN448" s="4">
        <f t="shared" si="1975"/>
        <v>2.3452078799117149</v>
      </c>
      <c r="DO448" s="4">
        <f t="shared" si="2059"/>
        <v>285.88644055513362</v>
      </c>
      <c r="DS448" s="4">
        <f t="shared" si="1976"/>
        <v>0.85</v>
      </c>
      <c r="DT448" s="4">
        <f t="shared" si="1977"/>
        <v>0.91205673758865247</v>
      </c>
      <c r="DU448" s="4">
        <f t="shared" si="1978"/>
        <v>0.9995510789195714</v>
      </c>
      <c r="DV448" s="4">
        <f t="shared" si="1806"/>
        <v>0.91164729609260198</v>
      </c>
      <c r="DX448" s="4">
        <f t="shared" si="1979"/>
        <v>554.86560180147535</v>
      </c>
      <c r="DY448" s="25">
        <f t="shared" si="1870"/>
        <v>283.88109095088328</v>
      </c>
      <c r="EA448" s="4">
        <f t="shared" si="1871"/>
        <v>0.77490020167871165</v>
      </c>
      <c r="EB448" s="4">
        <f t="shared" si="1980"/>
        <v>6.4881670962699065</v>
      </c>
      <c r="EE448" s="4">
        <f t="shared" si="1981"/>
        <v>83.991275011158137</v>
      </c>
      <c r="EF448" s="4">
        <f t="shared" si="1807"/>
        <v>2.3452078799117149</v>
      </c>
      <c r="EG448" s="4">
        <f t="shared" si="1982"/>
        <v>0.1855245753162881</v>
      </c>
      <c r="EJ448" s="4">
        <f t="shared" si="1808"/>
        <v>0.1855245753162881</v>
      </c>
      <c r="EK448" s="4">
        <f t="shared" si="1983"/>
        <v>0.55350927813071948</v>
      </c>
      <c r="EL448" s="4">
        <f t="shared" si="1809"/>
        <v>5.121202964306983</v>
      </c>
      <c r="EM448" s="4">
        <f t="shared" si="1810"/>
        <v>5.8448402834818527</v>
      </c>
      <c r="EN448" s="4" t="e">
        <f t="shared" si="1811"/>
        <v>#REF!</v>
      </c>
      <c r="EO448" s="4" t="e">
        <f t="shared" si="1812"/>
        <v>#REF!</v>
      </c>
      <c r="EP448" s="4" t="e">
        <f t="shared" si="1984"/>
        <v>#REF!</v>
      </c>
      <c r="EQ448" s="4" t="e">
        <f t="shared" si="1813"/>
        <v>#REF!</v>
      </c>
      <c r="ER448" s="4" t="e">
        <f t="shared" si="1985"/>
        <v>#REF!</v>
      </c>
      <c r="EU448" s="4">
        <f>6.75*25.4</f>
        <v>171.45</v>
      </c>
      <c r="FA448" s="23" t="e">
        <f t="shared" si="1772"/>
        <v>#REF!</v>
      </c>
      <c r="FB448" s="23" t="e">
        <f t="shared" si="1773"/>
        <v>#REF!</v>
      </c>
      <c r="FC448" s="23">
        <f t="shared" si="2061"/>
        <v>1.2</v>
      </c>
      <c r="FD448" s="23" t="e">
        <f t="shared" si="1774"/>
        <v>#REF!</v>
      </c>
      <c r="FE448" s="23">
        <f t="shared" si="1775"/>
        <v>1.4</v>
      </c>
      <c r="FF448" s="23">
        <f t="shared" si="1776"/>
        <v>1.6</v>
      </c>
      <c r="FG448" s="23">
        <f t="shared" si="1993"/>
        <v>0</v>
      </c>
      <c r="FH448" s="23"/>
      <c r="FR448" s="4">
        <f t="shared" si="1852"/>
        <v>1</v>
      </c>
      <c r="FS448" s="4">
        <f t="shared" si="1853"/>
        <v>0.43261334185606104</v>
      </c>
      <c r="FT448" s="4">
        <f t="shared" si="1854"/>
        <v>0.25149640360142855</v>
      </c>
      <c r="FU448" s="4">
        <f t="shared" si="1855"/>
        <v>668.51696838213854</v>
      </c>
    </row>
    <row r="449" spans="2:177" ht="12" customHeight="1" x14ac:dyDescent="0.3">
      <c r="B449" s="14"/>
      <c r="C449" s="7" t="s">
        <v>599</v>
      </c>
      <c r="D449" s="38">
        <f t="shared" ref="D449" si="2108">135/0.145</f>
        <v>931.0344827586207</v>
      </c>
      <c r="E449" s="38">
        <f>19.13*25.4</f>
        <v>485.90199999999993</v>
      </c>
      <c r="F449" s="38">
        <f>6320/145</f>
        <v>43.586206896551722</v>
      </c>
      <c r="G449" s="38">
        <f t="shared" si="2009"/>
        <v>35.813999999999993</v>
      </c>
      <c r="H449" s="38">
        <f>22.2*25.4</f>
        <v>563.88</v>
      </c>
      <c r="I449" s="38">
        <f>2.8*25.4</f>
        <v>71.11999999999999</v>
      </c>
      <c r="J449" s="39">
        <f>3.4*25.4</f>
        <v>86.36</v>
      </c>
      <c r="K449" s="7">
        <f t="shared" si="2077"/>
        <v>350.01200000000006</v>
      </c>
      <c r="L449" s="38">
        <v>2</v>
      </c>
      <c r="M449" s="4">
        <f t="shared" si="1843"/>
        <v>508</v>
      </c>
      <c r="N449" s="7">
        <f t="shared" si="1947"/>
        <v>2.4858156028368796</v>
      </c>
      <c r="O449" s="7">
        <f t="shared" si="1948"/>
        <v>2.4858156028368796</v>
      </c>
      <c r="P449" s="38">
        <v>5.5</v>
      </c>
      <c r="Q449" s="4">
        <f t="shared" si="2088"/>
        <v>5.5</v>
      </c>
      <c r="R449" s="4">
        <f t="shared" si="1949"/>
        <v>6.5</v>
      </c>
      <c r="S449" s="7">
        <f t="shared" si="1950"/>
        <v>91.308142429905971</v>
      </c>
      <c r="V449" s="38">
        <f t="shared" si="1777"/>
        <v>837.93103448275872</v>
      </c>
      <c r="W449" s="4">
        <v>121.5</v>
      </c>
      <c r="X449" s="4">
        <f t="shared" si="1951"/>
        <v>1.3127262358757383</v>
      </c>
      <c r="Y449" s="38">
        <f t="shared" si="2099"/>
        <v>12.7</v>
      </c>
      <c r="Z449" s="38">
        <v>12</v>
      </c>
      <c r="AA449" s="39">
        <f t="shared" si="2100"/>
        <v>101.6</v>
      </c>
      <c r="AB449" s="39">
        <v>2</v>
      </c>
      <c r="AC449" s="39">
        <f t="shared" si="2101"/>
        <v>1</v>
      </c>
      <c r="AD449" s="7"/>
      <c r="AE449" s="4">
        <f t="shared" si="1952"/>
        <v>485.90199999999993</v>
      </c>
      <c r="AF449" s="4">
        <f t="shared" si="1953"/>
        <v>0.38682697334030319</v>
      </c>
      <c r="AG449" s="4">
        <f t="shared" si="1954"/>
        <v>350.9716459559333</v>
      </c>
      <c r="AH449" s="4">
        <f t="shared" si="1955"/>
        <v>0.73664401463669626</v>
      </c>
      <c r="AI449" s="4">
        <v>1.25</v>
      </c>
      <c r="AJ449" s="4">
        <f t="shared" si="1878"/>
        <v>2.5</v>
      </c>
      <c r="AK449" s="38">
        <f t="shared" si="2081"/>
        <v>312.53342280198751</v>
      </c>
      <c r="AL449" s="38">
        <f t="shared" si="1986"/>
        <v>312.53342280198751</v>
      </c>
      <c r="AM449" s="38">
        <f t="shared" si="1956"/>
        <v>3.7155288579258352</v>
      </c>
      <c r="AN449" s="38">
        <f t="shared" si="1893"/>
        <v>312.53342280198746</v>
      </c>
      <c r="AO449" s="38">
        <f t="shared" si="1845"/>
        <v>1.0000000000000002</v>
      </c>
      <c r="AP449" s="38">
        <f t="shared" si="1894"/>
        <v>1.626046113927045</v>
      </c>
      <c r="AQ449" s="4">
        <f t="shared" si="1895"/>
        <v>0</v>
      </c>
      <c r="AR449" s="4" t="e">
        <f>#REF!/G449*F449^0.5/0.19</f>
        <v>#REF!</v>
      </c>
      <c r="AS449" s="4">
        <f t="shared" si="1957"/>
        <v>1</v>
      </c>
      <c r="AT449" s="38">
        <f t="shared" si="1958"/>
        <v>508.19375761948982</v>
      </c>
      <c r="AU449" s="4">
        <f t="shared" si="1959"/>
        <v>0.3</v>
      </c>
      <c r="AV449" s="4" t="e">
        <f>AU449*D449*#REF!/(D449*G449/2.75/F449^0.5)</f>
        <v>#REF!</v>
      </c>
      <c r="AW449" s="4" t="e">
        <f t="shared" si="1793"/>
        <v>#REF!</v>
      </c>
      <c r="AY449" s="4">
        <f t="shared" si="1960"/>
        <v>1.5</v>
      </c>
      <c r="AZ449" s="4" t="e">
        <f>(3*#REF!+30)*AY449*F449^0.5</f>
        <v>#REF!</v>
      </c>
      <c r="BB449" s="4">
        <f t="shared" si="1961"/>
        <v>487.41996160394592</v>
      </c>
      <c r="BC449" s="4">
        <f t="shared" si="2022"/>
        <v>0</v>
      </c>
      <c r="BD449" s="4">
        <f t="shared" si="1794"/>
        <v>0</v>
      </c>
      <c r="BL449" s="4">
        <f t="shared" si="1962"/>
        <v>71.11999999999999</v>
      </c>
      <c r="BP449" s="9"/>
      <c r="BR449" s="9"/>
      <c r="BS449" s="9"/>
      <c r="BT449" s="9">
        <f t="shared" si="1963"/>
        <v>71.11999999999999</v>
      </c>
      <c r="BU449" s="9">
        <f t="shared" si="1964"/>
        <v>175.00600000000003</v>
      </c>
      <c r="BV449" s="9">
        <f t="shared" si="1965"/>
        <v>1.6129787205235528</v>
      </c>
      <c r="BW449" s="40">
        <f t="shared" si="2089"/>
        <v>20</v>
      </c>
      <c r="BX449" s="9">
        <f t="shared" si="1966"/>
        <v>0.05</v>
      </c>
      <c r="BY449" s="9">
        <f t="shared" si="1795"/>
        <v>0.8</v>
      </c>
      <c r="BZ449" s="9">
        <f t="shared" si="1967"/>
        <v>0.89777220146327208</v>
      </c>
      <c r="CA449" s="9">
        <f t="shared" si="1968"/>
        <v>0.68</v>
      </c>
      <c r="CB449" s="9">
        <f t="shared" si="1969"/>
        <v>1.4106447240551518</v>
      </c>
      <c r="CC449" s="9">
        <f t="shared" si="1970"/>
        <v>3.4038557013639004</v>
      </c>
      <c r="CD449" s="40">
        <v>1</v>
      </c>
      <c r="CE449" s="9" t="e">
        <f>4*CC449*#REF!+60*CC449</f>
        <v>#REF!</v>
      </c>
      <c r="CG449" s="4" t="e">
        <f t="shared" si="1796"/>
        <v>#REF!</v>
      </c>
      <c r="CH449" s="4" t="e">
        <f t="shared" si="1797"/>
        <v>#REF!</v>
      </c>
      <c r="CI449" s="4" t="e">
        <f t="shared" si="1798"/>
        <v>#REF!</v>
      </c>
      <c r="CJ449" s="4" t="e">
        <f t="shared" si="1799"/>
        <v>#REF!</v>
      </c>
      <c r="CK449" s="4">
        <f t="shared" si="1800"/>
        <v>1.3127262358757383</v>
      </c>
      <c r="CL449" s="4">
        <f t="shared" si="1801"/>
        <v>1.3999644400429421</v>
      </c>
      <c r="CM449" s="4">
        <f t="shared" si="2060"/>
        <v>1.265578045451847</v>
      </c>
      <c r="CN449" s="4">
        <f t="shared" si="2090"/>
        <v>12</v>
      </c>
      <c r="CU449" s="4" t="e">
        <f t="shared" si="2102"/>
        <v>#REF!</v>
      </c>
      <c r="CV449" s="4" t="e">
        <f t="shared" si="2103"/>
        <v>#REF!</v>
      </c>
      <c r="CW449" s="4" t="e">
        <f t="shared" si="2104"/>
        <v>#REF!</v>
      </c>
      <c r="CX449" s="4">
        <f t="shared" si="2105"/>
        <v>1.265578045451847</v>
      </c>
      <c r="CY449" s="4">
        <f t="shared" si="2106"/>
        <v>1.3127262358757383</v>
      </c>
      <c r="CZ449" s="4">
        <f t="shared" si="2107"/>
        <v>1.3999644400429421</v>
      </c>
      <c r="DC449" s="4" t="e">
        <f>#REF!</f>
        <v>#REF!</v>
      </c>
      <c r="DF449" s="4">
        <f t="shared" si="1971"/>
        <v>2.656542766133525E-5</v>
      </c>
      <c r="DG449" s="4">
        <f t="shared" si="1802"/>
        <v>7.0823285286528881</v>
      </c>
      <c r="DH449" s="4">
        <f t="shared" si="1972"/>
        <v>0.46319203958661892</v>
      </c>
      <c r="DI449" s="4">
        <f t="shared" si="1803"/>
        <v>5.2057163841338339</v>
      </c>
      <c r="DJ449" s="4">
        <f t="shared" si="1804"/>
        <v>6.215420575543555</v>
      </c>
      <c r="DK449" s="4">
        <f t="shared" si="1973"/>
        <v>6.1247184421615026</v>
      </c>
      <c r="DL449" s="38">
        <f t="shared" si="1974"/>
        <v>638.31361907973371</v>
      </c>
      <c r="DM449" s="4" t="e">
        <f t="shared" si="1805"/>
        <v>#REF!</v>
      </c>
      <c r="DN449" s="4">
        <f t="shared" si="1975"/>
        <v>2.5495097567963922</v>
      </c>
      <c r="DO449" s="4">
        <f t="shared" si="2059"/>
        <v>312.53342280198746</v>
      </c>
      <c r="DS449" s="4">
        <f t="shared" si="1976"/>
        <v>0.85</v>
      </c>
      <c r="DT449" s="4">
        <f t="shared" si="1977"/>
        <v>0.90141843971631208</v>
      </c>
      <c r="DU449" s="4">
        <f t="shared" si="1978"/>
        <v>0.9995510789195714</v>
      </c>
      <c r="DV449" s="4">
        <f t="shared" si="1806"/>
        <v>0.90101377397643634</v>
      </c>
      <c r="DX449" s="4">
        <f t="shared" si="1979"/>
        <v>598.537370318532</v>
      </c>
      <c r="DY449" s="25">
        <f t="shared" si="1870"/>
        <v>310.27153041825591</v>
      </c>
      <c r="EA449" s="4">
        <f t="shared" si="1871"/>
        <v>0.76586170787997088</v>
      </c>
      <c r="EB449" s="4">
        <f t="shared" si="1980"/>
        <v>7.0823285286528881</v>
      </c>
      <c r="EE449" s="4">
        <f t="shared" si="1981"/>
        <v>91.308142429905971</v>
      </c>
      <c r="EF449" s="4">
        <f t="shared" si="1807"/>
        <v>2.5495097567963922</v>
      </c>
      <c r="EG449" s="4">
        <f t="shared" si="1982"/>
        <v>0.16721332793013166</v>
      </c>
      <c r="EJ449" s="4">
        <f t="shared" si="1808"/>
        <v>0.16721332793013166</v>
      </c>
      <c r="EK449" s="4">
        <f t="shared" si="1983"/>
        <v>0.4624190583998099</v>
      </c>
      <c r="EL449" s="4">
        <f t="shared" si="1809"/>
        <v>5.2022396946989016</v>
      </c>
      <c r="EM449" s="4">
        <f t="shared" si="1810"/>
        <v>6.2139662348721574</v>
      </c>
      <c r="EN449" s="4" t="e">
        <f t="shared" si="1811"/>
        <v>#REF!</v>
      </c>
      <c r="EO449" s="4" t="e">
        <f t="shared" si="1812"/>
        <v>#REF!</v>
      </c>
      <c r="EP449" s="4" t="e">
        <f t="shared" si="1984"/>
        <v>#REF!</v>
      </c>
      <c r="EQ449" s="4" t="e">
        <f t="shared" si="1813"/>
        <v>#REF!</v>
      </c>
      <c r="ER449" s="4" t="e">
        <f t="shared" si="1985"/>
        <v>#REF!</v>
      </c>
      <c r="FA449" s="23" t="e">
        <f t="shared" si="1772"/>
        <v>#REF!</v>
      </c>
      <c r="FB449" s="23" t="e">
        <f t="shared" si="1773"/>
        <v>#REF!</v>
      </c>
      <c r="FC449" s="23">
        <f t="shared" si="2061"/>
        <v>1.4</v>
      </c>
      <c r="FD449" s="23" t="e">
        <f t="shared" si="1774"/>
        <v>#REF!</v>
      </c>
      <c r="FE449" s="23">
        <f t="shared" si="1775"/>
        <v>1.4</v>
      </c>
      <c r="FF449" s="23">
        <f t="shared" si="1776"/>
        <v>1.4</v>
      </c>
      <c r="FG449" s="23">
        <f t="shared" si="1993"/>
        <v>0</v>
      </c>
      <c r="FH449" s="23"/>
      <c r="FR449" s="4">
        <f t="shared" si="1852"/>
        <v>1</v>
      </c>
      <c r="FS449" s="4">
        <f t="shared" si="1853"/>
        <v>0.44214730608235164</v>
      </c>
      <c r="FT449" s="4">
        <f t="shared" si="1854"/>
        <v>0.25149640360142855</v>
      </c>
      <c r="FU449" s="4">
        <f t="shared" si="1855"/>
        <v>662.09352911427425</v>
      </c>
    </row>
    <row r="450" spans="2:177" ht="12" customHeight="1" x14ac:dyDescent="0.3">
      <c r="B450" s="14"/>
      <c r="C450" s="48" t="s">
        <v>600</v>
      </c>
      <c r="D450" s="38">
        <f t="shared" ref="D450" si="2109">115.9/0.145</f>
        <v>799.31034482758628</v>
      </c>
      <c r="E450" s="38">
        <f>19.5*25.4</f>
        <v>495.29999999999995</v>
      </c>
      <c r="F450" s="38">
        <f>5430/145</f>
        <v>37.448275862068968</v>
      </c>
      <c r="G450" s="38">
        <f t="shared" si="2009"/>
        <v>35.813999999999993</v>
      </c>
      <c r="H450" s="38">
        <f>22*25.4</f>
        <v>558.79999999999995</v>
      </c>
      <c r="I450" s="38">
        <f>2.8*25.4</f>
        <v>71.11999999999999</v>
      </c>
      <c r="J450" s="39">
        <f>3.7*25.4</f>
        <v>93.98</v>
      </c>
      <c r="K450" s="7">
        <f t="shared" si="2077"/>
        <v>154.55899999999997</v>
      </c>
      <c r="L450" s="38">
        <v>3</v>
      </c>
      <c r="M450" s="4">
        <f t="shared" si="1843"/>
        <v>508</v>
      </c>
      <c r="N450" s="7">
        <f t="shared" si="1947"/>
        <v>2.4858156028368796</v>
      </c>
      <c r="O450" s="7">
        <f t="shared" si="1948"/>
        <v>2.4858156028368796</v>
      </c>
      <c r="P450" s="38">
        <v>4.5</v>
      </c>
      <c r="Q450" s="4">
        <f t="shared" si="2088"/>
        <v>4.5</v>
      </c>
      <c r="R450" s="4">
        <f t="shared" si="1949"/>
        <v>5.5</v>
      </c>
      <c r="S450" s="7">
        <f t="shared" si="1950"/>
        <v>83.991275011158137</v>
      </c>
      <c r="V450" s="38">
        <f t="shared" si="1777"/>
        <v>568.9655172413793</v>
      </c>
      <c r="W450" s="4">
        <v>82.5</v>
      </c>
      <c r="X450" s="4">
        <f t="shared" si="1951"/>
        <v>1.1515856076091984</v>
      </c>
      <c r="Y450" s="38"/>
      <c r="Z450" s="38"/>
      <c r="AA450" s="39">
        <v>1</v>
      </c>
      <c r="AB450" s="39"/>
      <c r="AC450" s="39"/>
      <c r="AD450" s="7"/>
      <c r="AE450" s="4">
        <f t="shared" si="1952"/>
        <v>495.29999999999995</v>
      </c>
      <c r="AF450" s="4">
        <f t="shared" si="1953"/>
        <v>0.37606837606837606</v>
      </c>
      <c r="AG450" s="4">
        <f t="shared" si="1954"/>
        <v>223.2038138298075</v>
      </c>
      <c r="AH450" s="4">
        <f t="shared" si="1955"/>
        <v>0.73594871794871786</v>
      </c>
      <c r="AI450" s="4">
        <v>1.25</v>
      </c>
      <c r="AJ450" s="4">
        <f t="shared" si="1878"/>
        <v>2.5</v>
      </c>
      <c r="AK450" s="38">
        <f t="shared" si="2081"/>
        <v>193.04830843188273</v>
      </c>
      <c r="AL450" s="38">
        <f t="shared" si="1986"/>
        <v>193.04830843188273</v>
      </c>
      <c r="AM450" s="38">
        <f t="shared" si="1956"/>
        <v>3.3579622250305636</v>
      </c>
      <c r="AN450" s="38">
        <f t="shared" si="1893"/>
        <v>193.0483084318827</v>
      </c>
      <c r="AO450" s="38">
        <f t="shared" si="1845"/>
        <v>1.0000000000000002</v>
      </c>
      <c r="AP450" s="38">
        <f t="shared" si="1894"/>
        <v>2.0458368128061357</v>
      </c>
      <c r="AQ450" s="4">
        <f t="shared" si="1895"/>
        <v>0</v>
      </c>
      <c r="AR450" s="4" t="e">
        <f>#REF!/G450*F450^0.5/0.19</f>
        <v>#REF!</v>
      </c>
      <c r="AS450" s="4">
        <f t="shared" si="1957"/>
        <v>1</v>
      </c>
      <c r="AT450" s="38">
        <f t="shared" si="1958"/>
        <v>394.94533603989879</v>
      </c>
      <c r="AU450" s="4">
        <f t="shared" si="1959"/>
        <v>0.37</v>
      </c>
      <c r="AV450" s="4" t="e">
        <f>AU450*D450*#REF!/(D450*G450/2.75/F450^0.5)</f>
        <v>#REF!</v>
      </c>
      <c r="AW450" s="4" t="e">
        <f t="shared" si="1793"/>
        <v>#REF!</v>
      </c>
      <c r="AY450" s="4">
        <f t="shared" si="1960"/>
        <v>1.2464539007092199</v>
      </c>
      <c r="AZ450" s="4" t="e">
        <f>(3*#REF!+30)*AY450*F450^0.5</f>
        <v>#REF!</v>
      </c>
      <c r="BB450" s="4">
        <f t="shared" si="1961"/>
        <v>378.80087592961462</v>
      </c>
      <c r="BC450" s="4">
        <f t="shared" si="2022"/>
        <v>0</v>
      </c>
      <c r="BD450" s="4">
        <f t="shared" si="1794"/>
        <v>0</v>
      </c>
      <c r="BL450" s="4">
        <f t="shared" si="1962"/>
        <v>71.11999999999999</v>
      </c>
      <c r="BP450" s="9"/>
      <c r="BR450" s="9"/>
      <c r="BS450" s="9"/>
      <c r="BT450" s="9">
        <f t="shared" si="1963"/>
        <v>71.11999999999999</v>
      </c>
      <c r="BU450" s="9">
        <f t="shared" si="1964"/>
        <v>77.279499999999985</v>
      </c>
      <c r="BV450" s="9">
        <f t="shared" si="1965"/>
        <v>1.4268566467933428</v>
      </c>
      <c r="BW450" s="40">
        <f t="shared" si="2089"/>
        <v>0</v>
      </c>
      <c r="BX450" s="9">
        <f t="shared" si="1966"/>
        <v>0</v>
      </c>
      <c r="BY450" s="9">
        <f t="shared" si="1795"/>
        <v>0</v>
      </c>
      <c r="BZ450" s="9">
        <f t="shared" si="1967"/>
        <v>0.89777220146327208</v>
      </c>
      <c r="CA450" s="9">
        <f t="shared" si="1968"/>
        <v>0.68048275862068963</v>
      </c>
      <c r="CB450" s="9">
        <f t="shared" si="1969"/>
        <v>1.3084804487373733</v>
      </c>
      <c r="CC450" s="9">
        <f t="shared" si="1970"/>
        <v>1.8670140254800569</v>
      </c>
      <c r="CD450" s="40">
        <v>1</v>
      </c>
      <c r="CE450" s="9" t="e">
        <f>4*CC450*#REF!+60*CC450</f>
        <v>#REF!</v>
      </c>
      <c r="CG450" s="4" t="e">
        <f t="shared" si="1796"/>
        <v>#REF!</v>
      </c>
      <c r="CH450" s="4" t="e">
        <f t="shared" si="1797"/>
        <v>#REF!</v>
      </c>
      <c r="CI450" s="4" t="e">
        <f t="shared" si="1798"/>
        <v>#REF!</v>
      </c>
      <c r="CJ450" s="4" t="e">
        <f t="shared" si="1799"/>
        <v>#REF!</v>
      </c>
      <c r="CK450" s="4">
        <f t="shared" si="1800"/>
        <v>1.1515856076091984</v>
      </c>
      <c r="CL450" s="4">
        <f t="shared" si="1801"/>
        <v>1.2264020383181997</v>
      </c>
      <c r="CM450" s="4">
        <f t="shared" si="2060"/>
        <v>1.4332360429327682</v>
      </c>
      <c r="CN450" s="4">
        <f t="shared" si="2090"/>
        <v>0</v>
      </c>
      <c r="CO450" s="4" t="e">
        <f t="shared" ref="CO450:CO451" si="2110">CG450</f>
        <v>#REF!</v>
      </c>
      <c r="CP450" s="4" t="e">
        <f t="shared" ref="CP450:CP451" si="2111">CH450</f>
        <v>#REF!</v>
      </c>
      <c r="CQ450" s="4" t="e">
        <f t="shared" ref="CQ450:CQ451" si="2112">CJ450</f>
        <v>#REF!</v>
      </c>
      <c r="CR450" s="4">
        <f t="shared" ref="CR450:CR451" si="2113">CM450</f>
        <v>1.4332360429327682</v>
      </c>
      <c r="CS450" s="4">
        <f t="shared" ref="CS450:CS451" si="2114">CK450</f>
        <v>1.1515856076091984</v>
      </c>
      <c r="CT450" s="4">
        <f t="shared" ref="CT450:CT451" si="2115">CL450</f>
        <v>1.2264020383181997</v>
      </c>
      <c r="DC450" s="4" t="e">
        <f>#REF!</f>
        <v>#REF!</v>
      </c>
      <c r="DF450" s="4">
        <f t="shared" si="1971"/>
        <v>2.6002832081299119E-5</v>
      </c>
      <c r="DG450" s="4">
        <f t="shared" si="1802"/>
        <v>6.5617916489182875</v>
      </c>
      <c r="DH450" s="4">
        <f t="shared" si="1972"/>
        <v>0.374388680963545</v>
      </c>
      <c r="DI450" s="4">
        <f t="shared" si="1803"/>
        <v>4.4294675101243914</v>
      </c>
      <c r="DJ450" s="4">
        <f t="shared" si="1804"/>
        <v>5.5984659680939437</v>
      </c>
      <c r="DK450" s="4">
        <f t="shared" si="1973"/>
        <v>5.7638264156492829</v>
      </c>
      <c r="DL450" s="38">
        <f t="shared" si="1974"/>
        <v>494.07140336062901</v>
      </c>
      <c r="DM450" s="4" t="e">
        <f t="shared" si="1805"/>
        <v>#REF!</v>
      </c>
      <c r="DN450" s="4">
        <f t="shared" si="1975"/>
        <v>2.3452078799117149</v>
      </c>
      <c r="DO450" s="4">
        <f t="shared" si="2059"/>
        <v>193.0483084318827</v>
      </c>
      <c r="DS450" s="4">
        <f t="shared" si="1976"/>
        <v>0.85</v>
      </c>
      <c r="DT450" s="4">
        <f t="shared" si="1977"/>
        <v>0.90141843971631208</v>
      </c>
      <c r="DU450" s="4">
        <f t="shared" si="1978"/>
        <v>1</v>
      </c>
      <c r="DV450" s="4">
        <f t="shared" si="1806"/>
        <v>0.90141843971631208</v>
      </c>
      <c r="DX450" s="4">
        <f t="shared" si="1979"/>
        <v>463.93066829994672</v>
      </c>
      <c r="DY450" s="25">
        <f t="shared" si="1870"/>
        <v>191.6861211639752</v>
      </c>
      <c r="EA450" s="4">
        <f t="shared" si="1871"/>
        <v>0.76620567375886528</v>
      </c>
      <c r="EB450" s="4">
        <f t="shared" si="1980"/>
        <v>6.5617916489182875</v>
      </c>
      <c r="EE450" s="4">
        <f t="shared" si="1981"/>
        <v>83.991275011158137</v>
      </c>
      <c r="EF450" s="4">
        <f t="shared" si="1807"/>
        <v>2.3452078799117149</v>
      </c>
      <c r="EG450" s="4">
        <f t="shared" si="1982"/>
        <v>0.12527773394151523</v>
      </c>
      <c r="EJ450" s="4">
        <f t="shared" si="1808"/>
        <v>0.12527773394151523</v>
      </c>
      <c r="EK450" s="4">
        <f t="shared" si="1983"/>
        <v>0.37376389603158156</v>
      </c>
      <c r="EL450" s="4">
        <f t="shared" si="1809"/>
        <v>4.4265092462163222</v>
      </c>
      <c r="EM450" s="4">
        <f t="shared" si="1810"/>
        <v>5.5972982030890188</v>
      </c>
      <c r="EN450" s="4" t="e">
        <f t="shared" si="1811"/>
        <v>#REF!</v>
      </c>
      <c r="EO450" s="4" t="e">
        <f t="shared" si="1812"/>
        <v>#REF!</v>
      </c>
      <c r="EP450" s="4" t="e">
        <f t="shared" si="1984"/>
        <v>#REF!</v>
      </c>
      <c r="EQ450" s="4" t="e">
        <f t="shared" si="1813"/>
        <v>#REF!</v>
      </c>
      <c r="ER450" s="4" t="e">
        <f t="shared" si="1985"/>
        <v>#REF!</v>
      </c>
      <c r="EU450" s="4">
        <f>6.75*25.4</f>
        <v>171.45</v>
      </c>
      <c r="FA450" s="23" t="e">
        <f t="shared" si="1772"/>
        <v>#REF!</v>
      </c>
      <c r="FB450" s="23" t="e">
        <f t="shared" si="1773"/>
        <v>#REF!</v>
      </c>
      <c r="FC450" s="23">
        <f t="shared" si="2061"/>
        <v>1.6</v>
      </c>
      <c r="FD450" s="23" t="e">
        <f t="shared" si="1774"/>
        <v>#REF!</v>
      </c>
      <c r="FE450" s="23">
        <f t="shared" si="1775"/>
        <v>1.2</v>
      </c>
      <c r="FF450" s="23">
        <f t="shared" si="1776"/>
        <v>1.4</v>
      </c>
      <c r="FG450" s="23">
        <f t="shared" si="1993"/>
        <v>0</v>
      </c>
      <c r="FH450" s="23"/>
      <c r="FR450" s="4">
        <f t="shared" si="1852"/>
        <v>1</v>
      </c>
      <c r="FS450" s="4">
        <f t="shared" si="1853"/>
        <v>0.72369976359338062</v>
      </c>
      <c r="FT450" s="4">
        <f t="shared" si="1854"/>
        <v>0</v>
      </c>
      <c r="FU450" s="4">
        <f t="shared" si="1855"/>
        <v>396.9796322433603</v>
      </c>
    </row>
    <row r="451" spans="2:177" ht="12" customHeight="1" x14ac:dyDescent="0.3">
      <c r="B451" s="14"/>
      <c r="C451" s="7" t="s">
        <v>601</v>
      </c>
      <c r="D451" s="38">
        <f t="shared" ref="D451" si="2116">135/0.145</f>
        <v>931.0344827586207</v>
      </c>
      <c r="E451" s="38">
        <f>19.29*25.4</f>
        <v>489.96599999999995</v>
      </c>
      <c r="F451" s="38">
        <f>6320/145</f>
        <v>43.586206896551722</v>
      </c>
      <c r="G451" s="38">
        <f t="shared" si="2009"/>
        <v>35.813999999999993</v>
      </c>
      <c r="H451" s="38">
        <f>21.9*25.4</f>
        <v>556.25999999999988</v>
      </c>
      <c r="I451" s="38">
        <f t="shared" ref="I451" si="2117">2.8*25.4</f>
        <v>71.11999999999999</v>
      </c>
      <c r="J451" s="39">
        <f>3.45*25.4</f>
        <v>87.63</v>
      </c>
      <c r="K451" s="7">
        <f t="shared" si="2077"/>
        <v>153.28899999999993</v>
      </c>
      <c r="L451" s="38">
        <v>3</v>
      </c>
      <c r="M451" s="4">
        <f t="shared" si="1843"/>
        <v>508</v>
      </c>
      <c r="N451" s="7">
        <f t="shared" si="1947"/>
        <v>2.4858156028368796</v>
      </c>
      <c r="O451" s="7">
        <f t="shared" si="1948"/>
        <v>2.4858156028368796</v>
      </c>
      <c r="P451" s="38">
        <v>5.5</v>
      </c>
      <c r="Q451" s="4">
        <f t="shared" si="2088"/>
        <v>5.5</v>
      </c>
      <c r="R451" s="4">
        <f t="shared" si="1949"/>
        <v>6.5</v>
      </c>
      <c r="S451" s="7">
        <f t="shared" si="1950"/>
        <v>91.308142429905971</v>
      </c>
      <c r="V451" s="38">
        <f t="shared" si="1777"/>
        <v>607.58620689655174</v>
      </c>
      <c r="W451" s="4">
        <v>88.1</v>
      </c>
      <c r="X451" s="4">
        <f t="shared" si="1951"/>
        <v>1.1740740153975369</v>
      </c>
      <c r="Y451" s="38"/>
      <c r="Z451" s="38"/>
      <c r="AA451" s="39">
        <v>1</v>
      </c>
      <c r="AB451" s="39"/>
      <c r="AC451" s="39"/>
      <c r="AD451" s="7"/>
      <c r="AE451" s="4">
        <f t="shared" si="1952"/>
        <v>489.96599999999995</v>
      </c>
      <c r="AF451" s="4">
        <f t="shared" si="1953"/>
        <v>0.37843442198030064</v>
      </c>
      <c r="AG451" s="4">
        <f t="shared" si="1954"/>
        <v>236.92269264234707</v>
      </c>
      <c r="AH451" s="4">
        <f t="shared" si="1955"/>
        <v>0.73634007257646439</v>
      </c>
      <c r="AI451" s="4">
        <v>1.25</v>
      </c>
      <c r="AJ451" s="4">
        <f t="shared" si="1878"/>
        <v>2.5</v>
      </c>
      <c r="AK451" s="38">
        <f t="shared" si="2081"/>
        <v>206.31259893006796</v>
      </c>
      <c r="AL451" s="38">
        <f t="shared" si="1986"/>
        <v>206.31259893006796</v>
      </c>
      <c r="AM451" s="38">
        <f t="shared" si="1956"/>
        <v>3.7155288579258352</v>
      </c>
      <c r="AN451" s="38">
        <f t="shared" si="1893"/>
        <v>206.31259893006799</v>
      </c>
      <c r="AO451" s="38">
        <f t="shared" si="1845"/>
        <v>0.99999999999999989</v>
      </c>
      <c r="AP451" s="38">
        <f t="shared" si="1894"/>
        <v>2.4632221214553547</v>
      </c>
      <c r="AQ451" s="4">
        <f t="shared" si="1895"/>
        <v>0</v>
      </c>
      <c r="AR451" s="4" t="e">
        <f>#REF!/G451*F451^0.5/0.19</f>
        <v>#REF!</v>
      </c>
      <c r="AS451" s="4">
        <f t="shared" si="1957"/>
        <v>1</v>
      </c>
      <c r="AT451" s="38">
        <f t="shared" si="1958"/>
        <v>508.19375761948982</v>
      </c>
      <c r="AU451" s="4">
        <f t="shared" si="1959"/>
        <v>0.3</v>
      </c>
      <c r="AV451" s="4" t="e">
        <f>AU451*D451*#REF!/(D451*G451/2.75/F451^0.5)</f>
        <v>#REF!</v>
      </c>
      <c r="AW451" s="4" t="e">
        <f t="shared" si="1793"/>
        <v>#REF!</v>
      </c>
      <c r="AY451" s="4">
        <f t="shared" si="1960"/>
        <v>1.2464539007092199</v>
      </c>
      <c r="AZ451" s="4" t="e">
        <f>(3*#REF!+30)*AY451*F451^0.5</f>
        <v>#REF!</v>
      </c>
      <c r="BB451" s="4">
        <f t="shared" si="1961"/>
        <v>487.41996160394592</v>
      </c>
      <c r="BC451" s="4">
        <f t="shared" si="2022"/>
        <v>0</v>
      </c>
      <c r="BD451" s="4">
        <f t="shared" si="1794"/>
        <v>0</v>
      </c>
      <c r="BL451" s="4">
        <f t="shared" si="1962"/>
        <v>71.11999999999999</v>
      </c>
      <c r="BP451" s="9"/>
      <c r="BR451" s="9"/>
      <c r="BS451" s="9"/>
      <c r="BT451" s="9">
        <f t="shared" si="1963"/>
        <v>71.11999999999999</v>
      </c>
      <c r="BU451" s="9">
        <f t="shared" si="1964"/>
        <v>76.644499999999965</v>
      </c>
      <c r="BV451" s="9">
        <f t="shared" si="1965"/>
        <v>1.4250918174124854</v>
      </c>
      <c r="BW451" s="40">
        <f t="shared" si="2089"/>
        <v>0</v>
      </c>
      <c r="BX451" s="9">
        <f t="shared" si="1966"/>
        <v>0</v>
      </c>
      <c r="BY451" s="9">
        <f t="shared" si="1795"/>
        <v>0</v>
      </c>
      <c r="BZ451" s="9">
        <f t="shared" si="1967"/>
        <v>0.89777220146327208</v>
      </c>
      <c r="CA451" s="9">
        <f t="shared" si="1968"/>
        <v>0.68</v>
      </c>
      <c r="CB451" s="9">
        <f t="shared" si="1969"/>
        <v>1.4106447240551518</v>
      </c>
      <c r="CC451" s="9">
        <f t="shared" si="1970"/>
        <v>2.0102982535270901</v>
      </c>
      <c r="CD451" s="40">
        <v>1</v>
      </c>
      <c r="CE451" s="9" t="e">
        <f>4*CC451*#REF!+60*CC451</f>
        <v>#REF!</v>
      </c>
      <c r="CG451" s="4" t="e">
        <f t="shared" si="1796"/>
        <v>#REF!</v>
      </c>
      <c r="CH451" s="4" t="e">
        <f t="shared" si="1797"/>
        <v>#REF!</v>
      </c>
      <c r="CI451" s="4" t="e">
        <f t="shared" si="1798"/>
        <v>#REF!</v>
      </c>
      <c r="CJ451" s="4" t="e">
        <f t="shared" si="1799"/>
        <v>#REF!</v>
      </c>
      <c r="CK451" s="4">
        <f t="shared" si="1800"/>
        <v>1.1740740153975369</v>
      </c>
      <c r="CL451" s="4">
        <f t="shared" si="1801"/>
        <v>1.2265000402860071</v>
      </c>
      <c r="CM451" s="4">
        <f t="shared" si="2060"/>
        <v>1.495658681836104</v>
      </c>
      <c r="CN451" s="4">
        <f t="shared" si="2090"/>
        <v>0</v>
      </c>
      <c r="CO451" s="4" t="e">
        <f t="shared" si="2110"/>
        <v>#REF!</v>
      </c>
      <c r="CP451" s="4" t="e">
        <f t="shared" si="2111"/>
        <v>#REF!</v>
      </c>
      <c r="CQ451" s="4" t="e">
        <f t="shared" si="2112"/>
        <v>#REF!</v>
      </c>
      <c r="CR451" s="4">
        <f t="shared" si="2113"/>
        <v>1.495658681836104</v>
      </c>
      <c r="CS451" s="4">
        <f t="shared" si="2114"/>
        <v>1.1740740153975369</v>
      </c>
      <c r="CT451" s="4">
        <f t="shared" si="2115"/>
        <v>1.2265000402860071</v>
      </c>
      <c r="DC451" s="4" t="e">
        <f>#REF!</f>
        <v>#REF!</v>
      </c>
      <c r="DF451" s="4">
        <f t="shared" si="1971"/>
        <v>2.6787616287880659E-5</v>
      </c>
      <c r="DG451" s="4">
        <f t="shared" si="1802"/>
        <v>7.0791491220778546</v>
      </c>
      <c r="DH451" s="4">
        <f t="shared" si="1972"/>
        <v>0.30576682850134701</v>
      </c>
      <c r="DI451" s="4">
        <f t="shared" si="1803"/>
        <v>4.4069407164747778</v>
      </c>
      <c r="DJ451" s="4">
        <f t="shared" si="1804"/>
        <v>5.8972084710745278</v>
      </c>
      <c r="DK451" s="4">
        <f t="shared" si="1973"/>
        <v>6.1656391419605026</v>
      </c>
      <c r="DL451" s="38">
        <f t="shared" si="1974"/>
        <v>517.50247337756252</v>
      </c>
      <c r="DM451" s="4" t="e">
        <f t="shared" si="1805"/>
        <v>#REF!</v>
      </c>
      <c r="DN451" s="4">
        <f t="shared" si="1975"/>
        <v>2.5495097567963922</v>
      </c>
      <c r="DO451" s="4">
        <f t="shared" si="2059"/>
        <v>206.31259893006799</v>
      </c>
      <c r="DS451" s="4">
        <f t="shared" si="1976"/>
        <v>0.85</v>
      </c>
      <c r="DT451" s="4">
        <f t="shared" si="1977"/>
        <v>0.90141843971631208</v>
      </c>
      <c r="DU451" s="4">
        <f t="shared" si="1978"/>
        <v>1</v>
      </c>
      <c r="DV451" s="4">
        <f t="shared" si="1806"/>
        <v>0.90141843971631208</v>
      </c>
      <c r="DX451" s="4">
        <f t="shared" si="1979"/>
        <v>495.38213366456063</v>
      </c>
      <c r="DY451" s="25">
        <f t="shared" si="1870"/>
        <v>204.83577927119507</v>
      </c>
      <c r="EA451" s="4">
        <f t="shared" si="1871"/>
        <v>0.76620567375886528</v>
      </c>
      <c r="EB451" s="4">
        <f t="shared" si="1980"/>
        <v>7.0791491220778546</v>
      </c>
      <c r="EE451" s="4">
        <f t="shared" si="1981"/>
        <v>91.308142429905971</v>
      </c>
      <c r="EF451" s="4">
        <f t="shared" si="1807"/>
        <v>2.5495097567963922</v>
      </c>
      <c r="EG451" s="4">
        <f t="shared" si="1982"/>
        <v>0.11038248630089174</v>
      </c>
      <c r="EJ451" s="4">
        <f t="shared" si="1808"/>
        <v>0.11038248630089174</v>
      </c>
      <c r="EK451" s="4">
        <f t="shared" si="1983"/>
        <v>0.30525656065176843</v>
      </c>
      <c r="EL451" s="4">
        <f t="shared" si="1809"/>
        <v>4.4039974973097769</v>
      </c>
      <c r="EM451" s="4">
        <f t="shared" si="1810"/>
        <v>5.8961128342265017</v>
      </c>
      <c r="EN451" s="4" t="e">
        <f t="shared" si="1811"/>
        <v>#REF!</v>
      </c>
      <c r="EO451" s="4" t="e">
        <f t="shared" si="1812"/>
        <v>#REF!</v>
      </c>
      <c r="EP451" s="4" t="e">
        <f t="shared" si="1984"/>
        <v>#REF!</v>
      </c>
      <c r="EQ451" s="4" t="e">
        <f t="shared" si="1813"/>
        <v>#REF!</v>
      </c>
      <c r="ER451" s="4" t="e">
        <f t="shared" si="1985"/>
        <v>#REF!</v>
      </c>
      <c r="FA451" s="23" t="e">
        <f t="shared" si="1772"/>
        <v>#REF!</v>
      </c>
      <c r="FB451" s="23" t="e">
        <f t="shared" si="1773"/>
        <v>#REF!</v>
      </c>
      <c r="FC451" s="23">
        <f t="shared" si="2061"/>
        <v>1.6</v>
      </c>
      <c r="FD451" s="23" t="e">
        <f t="shared" si="1774"/>
        <v>#REF!</v>
      </c>
      <c r="FE451" s="23">
        <f t="shared" si="1775"/>
        <v>1.2</v>
      </c>
      <c r="FF451" s="23">
        <f t="shared" si="1776"/>
        <v>1.4</v>
      </c>
      <c r="FG451" s="23">
        <f t="shared" si="1993"/>
        <v>0</v>
      </c>
      <c r="FH451" s="23"/>
      <c r="FR451" s="4">
        <f t="shared" si="1852"/>
        <v>1</v>
      </c>
      <c r="FS451" s="4">
        <f t="shared" si="1853"/>
        <v>0.72665484633569744</v>
      </c>
      <c r="FT451" s="4">
        <f t="shared" si="1854"/>
        <v>0</v>
      </c>
      <c r="FU451" s="4">
        <f t="shared" si="1855"/>
        <v>406.23319630028516</v>
      </c>
    </row>
    <row r="452" spans="2:177" ht="12" customHeight="1" x14ac:dyDescent="0.3">
      <c r="B452" s="14"/>
      <c r="C452" s="48" t="s">
        <v>602</v>
      </c>
      <c r="D452" s="38">
        <f t="shared" ref="D452" si="2118">115.9/0.145</f>
        <v>799.31034482758628</v>
      </c>
      <c r="E452" s="38">
        <f>19.38*25.4</f>
        <v>492.25199999999995</v>
      </c>
      <c r="F452" s="38">
        <f>5430/145</f>
        <v>37.448275862068968</v>
      </c>
      <c r="G452" s="38">
        <f t="shared" si="2009"/>
        <v>35.813999999999993</v>
      </c>
      <c r="H452" s="38">
        <f>21.8*25.4</f>
        <v>553.72</v>
      </c>
      <c r="I452" s="38">
        <f>2.55*25.4</f>
        <v>64.77</v>
      </c>
      <c r="J452" s="39">
        <f>3.8*25.4</f>
        <v>96.52</v>
      </c>
      <c r="K452" s="7">
        <f t="shared" si="2077"/>
        <v>158.36900000000003</v>
      </c>
      <c r="L452" s="38">
        <v>3</v>
      </c>
      <c r="M452" s="4">
        <f t="shared" si="1843"/>
        <v>508</v>
      </c>
      <c r="N452" s="7">
        <f t="shared" si="1947"/>
        <v>2.3085106382978724</v>
      </c>
      <c r="O452" s="7">
        <f t="shared" si="1948"/>
        <v>2.3085106382978724</v>
      </c>
      <c r="P452" s="38">
        <v>4.5</v>
      </c>
      <c r="Q452" s="4">
        <f t="shared" si="2088"/>
        <v>4.5</v>
      </c>
      <c r="R452" s="4">
        <f t="shared" si="1949"/>
        <v>5.5</v>
      </c>
      <c r="S452" s="7">
        <f t="shared" si="1950"/>
        <v>83.991275011158137</v>
      </c>
      <c r="V452" s="38">
        <f t="shared" si="1777"/>
        <v>626.20689655172418</v>
      </c>
      <c r="W452" s="4">
        <v>90.8</v>
      </c>
      <c r="X452" s="4">
        <f t="shared" si="1951"/>
        <v>1.2956263023911716</v>
      </c>
      <c r="Y452" s="38">
        <f t="shared" ref="Y452:Y453" si="2119">0.5*25.4</f>
        <v>12.7</v>
      </c>
      <c r="Z452" s="38">
        <v>12</v>
      </c>
      <c r="AA452" s="39">
        <f t="shared" ref="AA452:AA453" si="2120">4*25.4</f>
        <v>101.6</v>
      </c>
      <c r="AB452" s="39">
        <v>2</v>
      </c>
      <c r="AC452" s="39">
        <f t="shared" ref="AC452:AC453" si="2121">AB452-1</f>
        <v>1</v>
      </c>
      <c r="AE452" s="4">
        <f t="shared" si="1952"/>
        <v>492.25199999999995</v>
      </c>
      <c r="AF452" s="4">
        <f t="shared" si="1953"/>
        <v>0.37495700034399726</v>
      </c>
      <c r="AG452" s="4">
        <f t="shared" si="1954"/>
        <v>221.14664394977936</v>
      </c>
      <c r="AH452" s="4">
        <f t="shared" si="1955"/>
        <v>0.73359133126934983</v>
      </c>
      <c r="AI452" s="4">
        <v>1.25</v>
      </c>
      <c r="AJ452" s="4">
        <f t="shared" si="1878"/>
        <v>2.5</v>
      </c>
      <c r="AK452" s="38">
        <f t="shared" si="2081"/>
        <v>190.09295926378746</v>
      </c>
      <c r="AL452" s="38">
        <f t="shared" si="1986"/>
        <v>190.09295926378746</v>
      </c>
      <c r="AM452" s="38">
        <f t="shared" si="1956"/>
        <v>3.3579622250305636</v>
      </c>
      <c r="AN452" s="38">
        <f t="shared" si="1893"/>
        <v>190.09295926378758</v>
      </c>
      <c r="AO452" s="38">
        <f t="shared" si="1845"/>
        <v>0.99999999999999944</v>
      </c>
      <c r="AP452" s="38">
        <f t="shared" si="1894"/>
        <v>1.9294517764839594</v>
      </c>
      <c r="AQ452" s="4">
        <f t="shared" si="1895"/>
        <v>0</v>
      </c>
      <c r="AR452" s="4" t="e">
        <f>#REF!/G452*F452^0.5/0.19</f>
        <v>#REF!</v>
      </c>
      <c r="AS452" s="4">
        <f t="shared" si="1957"/>
        <v>1</v>
      </c>
      <c r="AT452" s="38">
        <f t="shared" si="1958"/>
        <v>366.77519794860785</v>
      </c>
      <c r="AU452" s="4">
        <f t="shared" si="1959"/>
        <v>0.37</v>
      </c>
      <c r="AV452" s="4" t="e">
        <f>AU452*D452*#REF!/(D452*G452/2.75/F452^0.5)</f>
        <v>#REF!</v>
      </c>
      <c r="AW452" s="4" t="e">
        <f t="shared" si="1793"/>
        <v>#REF!</v>
      </c>
      <c r="AY452" s="4">
        <f t="shared" si="1960"/>
        <v>1.5</v>
      </c>
      <c r="AZ452" s="4" t="e">
        <f>(3*#REF!+30)*AY452*F452^0.5</f>
        <v>#REF!</v>
      </c>
      <c r="BB452" s="4">
        <f t="shared" si="1961"/>
        <v>351.78226851666062</v>
      </c>
      <c r="BC452" s="4">
        <f t="shared" si="2022"/>
        <v>0</v>
      </c>
      <c r="BD452" s="4">
        <f t="shared" si="1794"/>
        <v>0</v>
      </c>
      <c r="BL452" s="4">
        <f t="shared" si="1962"/>
        <v>64.77</v>
      </c>
      <c r="BP452" s="9"/>
      <c r="BR452" s="9"/>
      <c r="BS452" s="9"/>
      <c r="BT452" s="9">
        <f t="shared" si="1963"/>
        <v>64.77</v>
      </c>
      <c r="BU452" s="9">
        <f t="shared" si="1964"/>
        <v>79.184500000000014</v>
      </c>
      <c r="BV452" s="9">
        <f t="shared" si="1965"/>
        <v>1.3859592972879591</v>
      </c>
      <c r="BW452" s="40">
        <f t="shared" si="2089"/>
        <v>20</v>
      </c>
      <c r="BX452" s="9">
        <f t="shared" si="1966"/>
        <v>0.05</v>
      </c>
      <c r="BY452" s="9">
        <f t="shared" si="1795"/>
        <v>0.8</v>
      </c>
      <c r="BZ452" s="9">
        <f t="shared" si="1967"/>
        <v>0.89777220146327208</v>
      </c>
      <c r="CA452" s="9">
        <f t="shared" si="1968"/>
        <v>0.68048275862068963</v>
      </c>
      <c r="CB452" s="9">
        <f t="shared" si="1969"/>
        <v>1.3084804487373733</v>
      </c>
      <c r="CC452" s="9">
        <f t="shared" si="1970"/>
        <v>2.8602850022369819</v>
      </c>
      <c r="CD452" s="40">
        <v>1</v>
      </c>
      <c r="CE452" s="9" t="e">
        <f>4*CC452*#REF!+60*CC452</f>
        <v>#REF!</v>
      </c>
      <c r="CG452" s="4" t="e">
        <f t="shared" si="1796"/>
        <v>#REF!</v>
      </c>
      <c r="CH452" s="4" t="e">
        <f t="shared" si="1797"/>
        <v>#REF!</v>
      </c>
      <c r="CI452" s="4" t="e">
        <f t="shared" si="1798"/>
        <v>#REF!</v>
      </c>
      <c r="CJ452" s="4" t="e">
        <f t="shared" si="1799"/>
        <v>#REF!</v>
      </c>
      <c r="CK452" s="4">
        <f t="shared" si="1800"/>
        <v>1.2956263023911716</v>
      </c>
      <c r="CL452" s="4">
        <f t="shared" si="1801"/>
        <v>1.3786937883911297</v>
      </c>
      <c r="CM452" s="4">
        <f t="shared" si="2060"/>
        <v>1.255358081169357</v>
      </c>
      <c r="CN452" s="4">
        <f t="shared" si="2090"/>
        <v>12</v>
      </c>
      <c r="CU452" s="4" t="e">
        <f t="shared" ref="CU452:CU453" si="2122">CG452</f>
        <v>#REF!</v>
      </c>
      <c r="CV452" s="4" t="e">
        <f t="shared" ref="CV452:CV453" si="2123">CH452</f>
        <v>#REF!</v>
      </c>
      <c r="CW452" s="4" t="e">
        <f t="shared" ref="CW452:CW453" si="2124">CJ452</f>
        <v>#REF!</v>
      </c>
      <c r="CX452" s="4">
        <f t="shared" ref="CX452:CX453" si="2125">CM452</f>
        <v>1.255358081169357</v>
      </c>
      <c r="CY452" s="4">
        <f t="shared" ref="CY452:CY453" si="2126">CK452</f>
        <v>1.2956263023911716</v>
      </c>
      <c r="CZ452" s="4">
        <f t="shared" ref="CZ452:CZ453" si="2127">CL452</f>
        <v>1.3786937883911297</v>
      </c>
      <c r="DC452" s="4" t="e">
        <f>#REF!</f>
        <v>#REF!</v>
      </c>
      <c r="DF452" s="4">
        <f t="shared" si="1971"/>
        <v>2.584281465310651E-5</v>
      </c>
      <c r="DG452" s="4">
        <f t="shared" si="1802"/>
        <v>6.438104078551774</v>
      </c>
      <c r="DH452" s="4">
        <f t="shared" si="1972"/>
        <v>0.3686572177571722</v>
      </c>
      <c r="DI452" s="4">
        <f t="shared" si="1803"/>
        <v>4.3192375459773444</v>
      </c>
      <c r="DJ452" s="4">
        <f t="shared" si="1804"/>
        <v>5.4824032186546567</v>
      </c>
      <c r="DK452" s="4">
        <f t="shared" si="1973"/>
        <v>5.6807832669566087</v>
      </c>
      <c r="DL452" s="38">
        <f t="shared" si="1974"/>
        <v>483.32369865910744</v>
      </c>
      <c r="DM452" s="4" t="e">
        <f t="shared" si="1805"/>
        <v>#REF!</v>
      </c>
      <c r="DN452" s="4">
        <f t="shared" si="1975"/>
        <v>2.3452078799117149</v>
      </c>
      <c r="DO452" s="4">
        <f t="shared" si="2059"/>
        <v>190.09295926378758</v>
      </c>
      <c r="DS452" s="4">
        <f t="shared" si="1976"/>
        <v>0.85</v>
      </c>
      <c r="DT452" s="4">
        <f t="shared" si="1977"/>
        <v>0.91914893617021276</v>
      </c>
      <c r="DU452" s="4">
        <f t="shared" si="1978"/>
        <v>0.9995510789195714</v>
      </c>
      <c r="DV452" s="4">
        <f t="shared" si="1806"/>
        <v>0.91873631083671248</v>
      </c>
      <c r="DX452" s="4">
        <f t="shared" si="1979"/>
        <v>454.20303030630026</v>
      </c>
      <c r="DY452" s="25">
        <f t="shared" si="1870"/>
        <v>188.73397276942069</v>
      </c>
      <c r="EA452" s="4">
        <f t="shared" si="1871"/>
        <v>0.78092586421120558</v>
      </c>
      <c r="EB452" s="4">
        <f t="shared" si="1980"/>
        <v>6.438104078551774</v>
      </c>
      <c r="EE452" s="4">
        <f t="shared" si="1981"/>
        <v>83.991275011158137</v>
      </c>
      <c r="EF452" s="4">
        <f t="shared" si="1807"/>
        <v>2.3452078799117149</v>
      </c>
      <c r="EG452" s="4">
        <f t="shared" si="1982"/>
        <v>0.12335987488441015</v>
      </c>
      <c r="EJ452" s="4">
        <f t="shared" si="1808"/>
        <v>0.12335987488441015</v>
      </c>
      <c r="EK452" s="4">
        <f t="shared" si="1983"/>
        <v>0.36804199756910061</v>
      </c>
      <c r="EL452" s="4">
        <f t="shared" si="1809"/>
        <v>4.3163529002465797</v>
      </c>
      <c r="EM452" s="4">
        <f t="shared" si="1810"/>
        <v>5.4812694562858182</v>
      </c>
      <c r="EN452" s="4" t="e">
        <f t="shared" si="1811"/>
        <v>#REF!</v>
      </c>
      <c r="EO452" s="4" t="e">
        <f t="shared" si="1812"/>
        <v>#REF!</v>
      </c>
      <c r="EP452" s="4" t="e">
        <f t="shared" si="1984"/>
        <v>#REF!</v>
      </c>
      <c r="EQ452" s="4" t="e">
        <f t="shared" si="1813"/>
        <v>#REF!</v>
      </c>
      <c r="ER452" s="4" t="e">
        <f t="shared" si="1985"/>
        <v>#REF!</v>
      </c>
      <c r="EU452" s="4">
        <f>6.75*25.4</f>
        <v>171.45</v>
      </c>
      <c r="FA452" s="23" t="e">
        <f t="shared" si="1772"/>
        <v>#REF!</v>
      </c>
      <c r="FB452" s="23" t="e">
        <f t="shared" si="1773"/>
        <v>#REF!</v>
      </c>
      <c r="FC452" s="23">
        <f t="shared" si="2061"/>
        <v>1.4</v>
      </c>
      <c r="FD452" s="23" t="e">
        <f t="shared" si="1774"/>
        <v>#REF!</v>
      </c>
      <c r="FE452" s="23">
        <f t="shared" si="1775"/>
        <v>1.4</v>
      </c>
      <c r="FF452" s="23">
        <f t="shared" si="1776"/>
        <v>1.4</v>
      </c>
      <c r="FG452" s="23">
        <f t="shared" si="1993"/>
        <v>0</v>
      </c>
      <c r="FH452" s="23"/>
      <c r="FR452" s="4">
        <f t="shared" si="1852"/>
        <v>1</v>
      </c>
      <c r="FS452" s="4">
        <f t="shared" si="1853"/>
        <v>0.57239468642161906</v>
      </c>
      <c r="FT452" s="4">
        <f t="shared" si="1854"/>
        <v>0.16766426906761905</v>
      </c>
      <c r="FU452" s="4">
        <f t="shared" si="1855"/>
        <v>498.82731146193521</v>
      </c>
    </row>
    <row r="453" spans="2:177" ht="12" customHeight="1" x14ac:dyDescent="0.3">
      <c r="B453" s="14"/>
      <c r="C453" s="7" t="s">
        <v>609</v>
      </c>
      <c r="D453" s="38">
        <f t="shared" ref="D453" si="2128">135/0.145</f>
        <v>931.0344827586207</v>
      </c>
      <c r="E453" s="38">
        <f>19.25*25.4</f>
        <v>488.95</v>
      </c>
      <c r="F453" s="38">
        <f>6320/145</f>
        <v>43.586206896551722</v>
      </c>
      <c r="G453" s="38">
        <f t="shared" si="2009"/>
        <v>35.813999999999993</v>
      </c>
      <c r="H453" s="38">
        <f>21.8*25.4</f>
        <v>553.72</v>
      </c>
      <c r="I453" s="38">
        <f>2.7*25.4</f>
        <v>68.58</v>
      </c>
      <c r="J453" s="39">
        <f>3.4*25.4</f>
        <v>86.36</v>
      </c>
      <c r="K453" s="7">
        <f t="shared" si="2077"/>
        <v>154.55900000000003</v>
      </c>
      <c r="L453" s="38">
        <v>3</v>
      </c>
      <c r="M453" s="4">
        <f t="shared" si="1843"/>
        <v>508</v>
      </c>
      <c r="N453" s="7">
        <f t="shared" si="1947"/>
        <v>2.4148936170212769</v>
      </c>
      <c r="O453" s="7">
        <f t="shared" si="1948"/>
        <v>2.4148936170212769</v>
      </c>
      <c r="P453" s="38">
        <v>5.5</v>
      </c>
      <c r="Q453" s="4">
        <f t="shared" si="2088"/>
        <v>5.5</v>
      </c>
      <c r="R453" s="4">
        <f t="shared" si="1949"/>
        <v>6.5</v>
      </c>
      <c r="S453" s="7">
        <f t="shared" si="1950"/>
        <v>91.308142429905971</v>
      </c>
      <c r="V453" s="38">
        <f t="shared" si="1777"/>
        <v>675.86206896551732</v>
      </c>
      <c r="W453" s="4">
        <v>98</v>
      </c>
      <c r="X453" s="4">
        <f t="shared" si="1951"/>
        <v>1.3174526875888106</v>
      </c>
      <c r="Y453" s="38">
        <f t="shared" si="2119"/>
        <v>12.7</v>
      </c>
      <c r="Z453" s="38">
        <v>12</v>
      </c>
      <c r="AA453" s="39">
        <f t="shared" si="2120"/>
        <v>101.6</v>
      </c>
      <c r="AB453" s="39">
        <v>2</v>
      </c>
      <c r="AC453" s="39">
        <f t="shared" si="2121"/>
        <v>1</v>
      </c>
      <c r="AE453" s="4">
        <f t="shared" si="1952"/>
        <v>488.95</v>
      </c>
      <c r="AF453" s="4">
        <f t="shared" si="1953"/>
        <v>0.37748917748917754</v>
      </c>
      <c r="AG453" s="4">
        <f t="shared" si="1954"/>
        <v>236.18614574140781</v>
      </c>
      <c r="AH453" s="4">
        <f t="shared" si="1955"/>
        <v>0.73537662337662335</v>
      </c>
      <c r="AI453" s="4">
        <v>1.25</v>
      </c>
      <c r="AJ453" s="4">
        <f t="shared" si="1878"/>
        <v>2.5</v>
      </c>
      <c r="AK453" s="38">
        <f t="shared" si="2081"/>
        <v>204.88905808937724</v>
      </c>
      <c r="AL453" s="38">
        <f t="shared" si="1986"/>
        <v>204.88905808937724</v>
      </c>
      <c r="AM453" s="38">
        <f t="shared" si="1956"/>
        <v>3.7155288579258352</v>
      </c>
      <c r="AN453" s="38">
        <f t="shared" si="1893"/>
        <v>204.88905808937713</v>
      </c>
      <c r="AO453" s="38">
        <f>AK453/AN453</f>
        <v>1.0000000000000004</v>
      </c>
      <c r="AP453" s="38">
        <f t="shared" si="1894"/>
        <v>2.4095705919551471</v>
      </c>
      <c r="AQ453" s="4">
        <f t="shared" si="1895"/>
        <v>0</v>
      </c>
      <c r="AR453" s="4" t="e">
        <f>#REF!/G453*F453^0.5/0.19</f>
        <v>#REF!</v>
      </c>
      <c r="AS453" s="4">
        <f t="shared" si="1957"/>
        <v>1</v>
      </c>
      <c r="AT453" s="38">
        <f t="shared" si="1958"/>
        <v>493.69464898555299</v>
      </c>
      <c r="AU453" s="4">
        <f t="shared" si="1959"/>
        <v>0.3</v>
      </c>
      <c r="AV453" s="4" t="e">
        <f>AU453*D453*#REF!/(D453*G453/2.75/F453^0.5)</f>
        <v>#REF!</v>
      </c>
      <c r="AW453" s="4" t="e">
        <f t="shared" si="1793"/>
        <v>#REF!</v>
      </c>
      <c r="AY453" s="4">
        <f t="shared" si="1960"/>
        <v>1.5</v>
      </c>
      <c r="AZ453" s="4" t="e">
        <f>(3*#REF!+30)*AY453*F453^0.5</f>
        <v>#REF!</v>
      </c>
      <c r="BB453" s="4">
        <f t="shared" si="1961"/>
        <v>473.51354329855519</v>
      </c>
      <c r="BC453" s="4">
        <f t="shared" si="2022"/>
        <v>0</v>
      </c>
      <c r="BD453" s="4">
        <f t="shared" si="1794"/>
        <v>0</v>
      </c>
      <c r="BL453" s="4">
        <f t="shared" si="1962"/>
        <v>68.58</v>
      </c>
      <c r="BP453" s="9"/>
      <c r="BR453" s="9"/>
      <c r="BS453" s="9"/>
      <c r="BT453" s="9">
        <f t="shared" si="1963"/>
        <v>68.58</v>
      </c>
      <c r="BU453" s="9">
        <f t="shared" si="1964"/>
        <v>77.279500000000013</v>
      </c>
      <c r="BV453" s="9">
        <f t="shared" si="1965"/>
        <v>1.4088097518045952</v>
      </c>
      <c r="BW453" s="40">
        <f t="shared" si="2089"/>
        <v>20</v>
      </c>
      <c r="BX453" s="9">
        <f t="shared" si="1966"/>
        <v>0.05</v>
      </c>
      <c r="BY453" s="9">
        <f t="shared" si="1795"/>
        <v>0.8</v>
      </c>
      <c r="BZ453" s="9">
        <f t="shared" si="1967"/>
        <v>0.89777220146327208</v>
      </c>
      <c r="CA453" s="9">
        <f t="shared" si="1968"/>
        <v>0.68</v>
      </c>
      <c r="CB453" s="9">
        <f t="shared" si="1969"/>
        <v>1.4106447240551518</v>
      </c>
      <c r="CC453" s="9">
        <f t="shared" si="1970"/>
        <v>3.1158458228247214</v>
      </c>
      <c r="CD453" s="40">
        <v>1</v>
      </c>
      <c r="CE453" s="9" t="e">
        <f>4*CC453*#REF!+60*CC453</f>
        <v>#REF!</v>
      </c>
      <c r="CG453" s="4" t="e">
        <f t="shared" si="1796"/>
        <v>#REF!</v>
      </c>
      <c r="CH453" s="4" t="e">
        <f t="shared" si="1797"/>
        <v>#REF!</v>
      </c>
      <c r="CI453" s="4" t="e">
        <f t="shared" si="1798"/>
        <v>#REF!</v>
      </c>
      <c r="CJ453" s="4" t="e">
        <f t="shared" si="1799"/>
        <v>#REF!</v>
      </c>
      <c r="CK453" s="4">
        <f t="shared" si="1800"/>
        <v>1.3174526875888106</v>
      </c>
      <c r="CL453" s="4">
        <f t="shared" si="1801"/>
        <v>1.375870186901017</v>
      </c>
      <c r="CM453" s="4">
        <f t="shared" si="2060"/>
        <v>1.3428672695579413</v>
      </c>
      <c r="CN453" s="4">
        <f t="shared" si="2090"/>
        <v>12</v>
      </c>
      <c r="CU453" s="4" t="e">
        <f t="shared" si="2122"/>
        <v>#REF!</v>
      </c>
      <c r="CV453" s="4" t="e">
        <f t="shared" si="2123"/>
        <v>#REF!</v>
      </c>
      <c r="CW453" s="4" t="e">
        <f t="shared" si="2124"/>
        <v>#REF!</v>
      </c>
      <c r="CX453" s="4">
        <f t="shared" si="2125"/>
        <v>1.3428672695579413</v>
      </c>
      <c r="CY453" s="4">
        <f t="shared" si="2126"/>
        <v>1.3174526875888106</v>
      </c>
      <c r="CZ453" s="4">
        <f t="shared" si="2127"/>
        <v>1.375870186901017</v>
      </c>
      <c r="DC453" s="4" t="e">
        <f>#REF!</f>
        <v>#REF!</v>
      </c>
      <c r="DF453" s="4">
        <f t="shared" si="1971"/>
        <v>2.6732069131244309E-5</v>
      </c>
      <c r="DG453" s="4">
        <f t="shared" si="1802"/>
        <v>7.0270410303808131</v>
      </c>
      <c r="DH453" s="4">
        <f t="shared" si="1972"/>
        <v>0.30365706123382441</v>
      </c>
      <c r="DI453" s="4">
        <f t="shared" si="1803"/>
        <v>4.3624036014569079</v>
      </c>
      <c r="DJ453" s="4">
        <f t="shared" si="1804"/>
        <v>5.8493001235347482</v>
      </c>
      <c r="DK453" s="4">
        <f t="shared" si="1973"/>
        <v>6.1313891816785455</v>
      </c>
      <c r="DL453" s="38">
        <f t="shared" si="1974"/>
        <v>513.00671009482221</v>
      </c>
      <c r="DM453" s="4" t="e">
        <f t="shared" si="1805"/>
        <v>#REF!</v>
      </c>
      <c r="DN453" s="4">
        <f t="shared" si="1975"/>
        <v>2.5495097567963922</v>
      </c>
      <c r="DO453" s="4">
        <f t="shared" si="2059"/>
        <v>204.88905808937713</v>
      </c>
      <c r="DS453" s="4">
        <f t="shared" si="1976"/>
        <v>0.85</v>
      </c>
      <c r="DT453" s="4">
        <f t="shared" si="1977"/>
        <v>0.90851063829787226</v>
      </c>
      <c r="DU453" s="4">
        <f t="shared" si="1978"/>
        <v>0.9995510789195714</v>
      </c>
      <c r="DV453" s="4">
        <f t="shared" si="1806"/>
        <v>0.90810278872054673</v>
      </c>
      <c r="DX453" s="4">
        <f t="shared" si="1979"/>
        <v>491.22517182221657</v>
      </c>
      <c r="DY453" s="25">
        <f t="shared" si="1870"/>
        <v>203.41551259917256</v>
      </c>
      <c r="EA453" s="4">
        <f t="shared" si="1871"/>
        <v>0.77188737041246469</v>
      </c>
      <c r="EB453" s="4">
        <f t="shared" si="1980"/>
        <v>7.0270410303808131</v>
      </c>
      <c r="EE453" s="4">
        <f t="shared" si="1981"/>
        <v>91.308142429905971</v>
      </c>
      <c r="EF453" s="4">
        <f t="shared" si="1807"/>
        <v>2.5495097567963922</v>
      </c>
      <c r="EG453" s="4">
        <f t="shared" si="1982"/>
        <v>0.10962085575500549</v>
      </c>
      <c r="EJ453" s="4">
        <f t="shared" si="1808"/>
        <v>0.10962085575500549</v>
      </c>
      <c r="EK453" s="4">
        <f t="shared" si="1983"/>
        <v>0.30315031419260807</v>
      </c>
      <c r="EL453" s="4">
        <f t="shared" si="1809"/>
        <v>4.3594901268468966</v>
      </c>
      <c r="EM453" s="4">
        <f t="shared" si="1810"/>
        <v>5.8482177976005572</v>
      </c>
      <c r="EN453" s="4" t="e">
        <f t="shared" si="1811"/>
        <v>#REF!</v>
      </c>
      <c r="EO453" s="4" t="e">
        <f t="shared" si="1812"/>
        <v>#REF!</v>
      </c>
      <c r="EP453" s="4" t="e">
        <f t="shared" si="1984"/>
        <v>#REF!</v>
      </c>
      <c r="EQ453" s="4" t="e">
        <f t="shared" si="1813"/>
        <v>#REF!</v>
      </c>
      <c r="ER453" s="4" t="e">
        <f t="shared" si="1985"/>
        <v>#REF!</v>
      </c>
      <c r="FA453" s="23" t="e">
        <f t="shared" si="1772"/>
        <v>#REF!</v>
      </c>
      <c r="FB453" s="23" t="e">
        <f t="shared" si="1773"/>
        <v>#REF!</v>
      </c>
      <c r="FC453" s="23">
        <f t="shared" si="2061"/>
        <v>1.4</v>
      </c>
      <c r="FD453" s="23" t="e">
        <f t="shared" si="1774"/>
        <v>#REF!</v>
      </c>
      <c r="FE453" s="23">
        <f t="shared" si="1775"/>
        <v>1.4</v>
      </c>
      <c r="FF453" s="23">
        <f t="shared" si="1776"/>
        <v>1.4</v>
      </c>
      <c r="FG453" s="23">
        <f t="shared" si="1993"/>
        <v>0</v>
      </c>
      <c r="FH453" s="23"/>
      <c r="FR453" s="4">
        <f t="shared" si="1852"/>
        <v>1</v>
      </c>
      <c r="FS453" s="4">
        <f t="shared" si="1853"/>
        <v>0.58529808838216824</v>
      </c>
      <c r="FT453" s="4">
        <f t="shared" si="1854"/>
        <v>0.16766426906761905</v>
      </c>
      <c r="FU453" s="4">
        <f t="shared" si="1855"/>
        <v>503.29774527009243</v>
      </c>
    </row>
    <row r="454" spans="2:177" ht="12" customHeight="1" x14ac:dyDescent="0.3">
      <c r="B454" s="14"/>
      <c r="C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AE454" s="7"/>
      <c r="AF454" s="7"/>
      <c r="AG454" s="7"/>
      <c r="AH454" s="7"/>
      <c r="AI454" s="7"/>
      <c r="AJ454" s="7"/>
      <c r="AK454" s="39"/>
      <c r="AL454" s="39"/>
      <c r="AM454" s="39"/>
      <c r="AO454" s="39"/>
      <c r="AP454" s="39"/>
      <c r="AQ454" s="7"/>
      <c r="BP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FA454" s="23"/>
      <c r="FB454" s="23"/>
      <c r="FC454" s="23"/>
      <c r="FD454" s="23"/>
      <c r="FE454" s="23"/>
      <c r="FF454" s="23"/>
      <c r="FG454" s="23"/>
      <c r="FH454" s="23"/>
    </row>
    <row r="455" spans="2:177" ht="12" customHeight="1" x14ac:dyDescent="0.3">
      <c r="B455" s="14"/>
      <c r="C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AE455" s="7"/>
      <c r="AF455" s="7"/>
      <c r="AG455" s="7"/>
      <c r="AH455" s="7"/>
      <c r="AI455" s="7"/>
      <c r="AJ455" s="7"/>
      <c r="AK455" s="39"/>
      <c r="AL455" s="39"/>
      <c r="AM455" s="39"/>
      <c r="AO455" s="39"/>
      <c r="AP455" s="39"/>
      <c r="AQ455" s="7"/>
      <c r="BP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FA455" s="23"/>
      <c r="FB455" s="23"/>
      <c r="FC455" s="23"/>
      <c r="FD455" s="23"/>
      <c r="FE455" s="23"/>
      <c r="FF455" s="23"/>
      <c r="FG455" s="23"/>
      <c r="FH455" s="23"/>
    </row>
    <row r="456" spans="2:177" ht="12" customHeight="1" x14ac:dyDescent="0.3">
      <c r="B456" s="14"/>
      <c r="C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AE456" s="7"/>
      <c r="AF456" s="7"/>
      <c r="AG456" s="7"/>
      <c r="AH456" s="7"/>
      <c r="AI456" s="7"/>
      <c r="AJ456" s="7"/>
      <c r="AK456" s="39"/>
      <c r="AL456" s="39"/>
      <c r="AM456" s="39"/>
      <c r="AO456" s="39"/>
      <c r="AP456" s="39"/>
      <c r="AQ456" s="7"/>
      <c r="BP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FA456" s="23"/>
      <c r="FB456" s="23"/>
      <c r="FC456" s="23"/>
      <c r="FD456" s="23"/>
      <c r="FE456" s="23"/>
      <c r="FF456" s="23"/>
      <c r="FG456" s="23"/>
      <c r="FH456" s="23"/>
    </row>
    <row r="457" spans="2:177" ht="12" customHeight="1" x14ac:dyDescent="0.3">
      <c r="B457" s="14"/>
      <c r="C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AE457" s="7"/>
      <c r="AF457" s="7"/>
      <c r="AG457" s="7"/>
      <c r="AH457" s="7"/>
      <c r="AI457" s="7"/>
      <c r="AJ457" s="7"/>
      <c r="AK457" s="39"/>
      <c r="AL457" s="39"/>
      <c r="AM457" s="39"/>
      <c r="AO457" s="39"/>
      <c r="AP457" s="39"/>
      <c r="AQ457" s="7"/>
      <c r="BP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FA457" s="23"/>
      <c r="FB457" s="23"/>
      <c r="FC457" s="23"/>
      <c r="FD457" s="23"/>
      <c r="FE457" s="23"/>
      <c r="FF457" s="23"/>
      <c r="FG457" s="23"/>
      <c r="FH457" s="23"/>
    </row>
    <row r="458" spans="2:177" ht="12" customHeight="1" x14ac:dyDescent="0.3">
      <c r="B458" s="14"/>
      <c r="C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AE458" s="7"/>
      <c r="AF458" s="7"/>
      <c r="AG458" s="7"/>
      <c r="AH458" s="7"/>
      <c r="AI458" s="7"/>
      <c r="AJ458" s="7"/>
      <c r="AK458" s="39"/>
      <c r="AL458" s="39"/>
      <c r="AM458" s="39"/>
      <c r="AO458" s="39"/>
      <c r="AP458" s="39"/>
      <c r="AQ458" s="7"/>
      <c r="BP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FA458" s="23"/>
      <c r="FB458" s="23"/>
      <c r="FC458" s="23"/>
      <c r="FD458" s="23"/>
      <c r="FE458" s="23"/>
      <c r="FF458" s="23"/>
      <c r="FG458" s="23"/>
      <c r="FH458" s="23"/>
    </row>
    <row r="459" spans="2:177" ht="12" customHeight="1" x14ac:dyDescent="0.3">
      <c r="B459" s="14"/>
      <c r="C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AE459" s="7"/>
      <c r="AF459" s="7"/>
      <c r="AG459" s="7"/>
      <c r="AH459" s="7"/>
      <c r="AI459" s="7"/>
      <c r="AJ459" s="7"/>
      <c r="AK459" s="39"/>
      <c r="AL459" s="39"/>
      <c r="AM459" s="39"/>
      <c r="AO459" s="39"/>
      <c r="AP459" s="39"/>
      <c r="AQ459" s="7"/>
      <c r="BP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FA459" s="23"/>
      <c r="FB459" s="23"/>
      <c r="FC459" s="23"/>
      <c r="FD459" s="23"/>
      <c r="FE459" s="23"/>
      <c r="FF459" s="23"/>
      <c r="FG459" s="23"/>
      <c r="FH459" s="23"/>
    </row>
    <row r="460" spans="2:177" ht="12" customHeight="1" x14ac:dyDescent="0.3">
      <c r="B460" s="14"/>
      <c r="C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AE460" s="7"/>
      <c r="AF460" s="7"/>
      <c r="AG460" s="7"/>
      <c r="AH460" s="7"/>
      <c r="AI460" s="7"/>
      <c r="AJ460" s="7"/>
      <c r="AK460" s="39"/>
      <c r="AL460" s="39"/>
      <c r="AM460" s="39"/>
      <c r="AO460" s="39"/>
      <c r="AP460" s="39"/>
      <c r="AQ460" s="7"/>
      <c r="BP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FA460" s="23"/>
      <c r="FB460" s="23"/>
      <c r="FC460" s="23"/>
      <c r="FD460" s="23"/>
      <c r="FE460" s="23"/>
      <c r="FF460" s="23"/>
      <c r="FG460" s="23"/>
      <c r="FH460" s="23"/>
    </row>
    <row r="461" spans="2:177" ht="12" customHeight="1" x14ac:dyDescent="0.3">
      <c r="B461" s="14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AE461" s="7"/>
      <c r="AF461" s="7"/>
      <c r="AG461" s="7"/>
      <c r="AH461" s="7"/>
      <c r="AI461" s="7"/>
      <c r="AJ461" s="7"/>
      <c r="AK461" s="39"/>
      <c r="AL461" s="39"/>
      <c r="AM461" s="39"/>
      <c r="AO461" s="39"/>
      <c r="AP461" s="39"/>
      <c r="AQ461" s="7"/>
      <c r="BP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FA461" s="23"/>
      <c r="FB461" s="23"/>
      <c r="FC461" s="23"/>
      <c r="FD461" s="23"/>
      <c r="FE461" s="23"/>
      <c r="FF461" s="23"/>
      <c r="FG461" s="23"/>
      <c r="FH461" s="23"/>
    </row>
    <row r="462" spans="2:177" ht="12" customHeight="1" x14ac:dyDescent="0.3">
      <c r="B462" s="14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AE462" s="7"/>
      <c r="AF462" s="7"/>
      <c r="AG462" s="7"/>
      <c r="AH462" s="7"/>
      <c r="AI462" s="7"/>
      <c r="AJ462" s="7"/>
      <c r="AK462" s="39"/>
      <c r="AL462" s="39"/>
      <c r="AM462" s="39"/>
      <c r="AO462" s="39"/>
      <c r="AP462" s="39"/>
      <c r="AQ462" s="7"/>
      <c r="BP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FA462" s="23"/>
      <c r="FB462" s="23"/>
      <c r="FC462" s="23"/>
      <c r="FD462" s="23"/>
      <c r="FE462" s="23"/>
      <c r="FF462" s="23"/>
      <c r="FG462" s="23"/>
      <c r="FH462" s="23"/>
    </row>
    <row r="463" spans="2:177" ht="12" customHeight="1" x14ac:dyDescent="0.3">
      <c r="B463" s="14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AE463" s="7"/>
      <c r="AF463" s="7"/>
      <c r="AG463" s="7"/>
      <c r="AH463" s="7"/>
      <c r="AI463" s="7"/>
      <c r="AJ463" s="7"/>
      <c r="AK463" s="39"/>
      <c r="AL463" s="39"/>
      <c r="AM463" s="39"/>
      <c r="AO463" s="39"/>
      <c r="AP463" s="39"/>
      <c r="AQ463" s="7"/>
      <c r="BP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FA463" s="23"/>
      <c r="FB463" s="23"/>
      <c r="FC463" s="23"/>
      <c r="FD463" s="23"/>
      <c r="FE463" s="23"/>
      <c r="FF463" s="23"/>
      <c r="FG463" s="23"/>
      <c r="FH463" s="23"/>
    </row>
    <row r="464" spans="2:177" ht="12" customHeight="1" x14ac:dyDescent="0.3">
      <c r="B464" s="14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AE464" s="7"/>
      <c r="AF464" s="7"/>
      <c r="AG464" s="7"/>
      <c r="AH464" s="7"/>
      <c r="AI464" s="7"/>
      <c r="AJ464" s="7"/>
      <c r="AK464" s="39"/>
      <c r="AL464" s="39"/>
      <c r="AM464" s="39"/>
      <c r="AO464" s="39"/>
      <c r="AP464" s="39"/>
      <c r="AQ464" s="7"/>
      <c r="BP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FA464" s="23"/>
      <c r="FB464" s="23"/>
      <c r="FC464" s="23"/>
      <c r="FD464" s="23"/>
      <c r="FE464" s="23"/>
      <c r="FF464" s="23"/>
      <c r="FG464" s="23"/>
      <c r="FH464" s="23"/>
    </row>
    <row r="465" spans="1:177" ht="12" customHeight="1" x14ac:dyDescent="0.3">
      <c r="B465" s="14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AE465" s="7"/>
      <c r="AF465" s="7"/>
      <c r="AG465" s="7"/>
      <c r="AH465" s="7"/>
      <c r="AI465" s="7"/>
      <c r="AJ465" s="7"/>
      <c r="AK465" s="39"/>
      <c r="AL465" s="39"/>
      <c r="AM465" s="39"/>
      <c r="AO465" s="39"/>
      <c r="AP465" s="39"/>
      <c r="AQ465" s="7"/>
      <c r="BP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FA465" s="23"/>
      <c r="FB465" s="23"/>
      <c r="FC465" s="23"/>
      <c r="FD465" s="23"/>
      <c r="FE465" s="23"/>
      <c r="FF465" s="23"/>
      <c r="FG465" s="23"/>
      <c r="FH465" s="23"/>
    </row>
    <row r="466" spans="1:177" ht="12" customHeight="1" x14ac:dyDescent="0.3">
      <c r="B466" s="14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AE466" s="7"/>
      <c r="AF466" s="7"/>
      <c r="AG466" s="7"/>
      <c r="AH466" s="7"/>
      <c r="AI466" s="7"/>
      <c r="AJ466" s="7"/>
      <c r="AK466" s="39"/>
      <c r="AL466" s="39"/>
      <c r="AM466" s="39"/>
      <c r="AO466" s="39"/>
      <c r="AP466" s="39"/>
      <c r="AQ466" s="7"/>
      <c r="BP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FA466" s="23"/>
      <c r="FB466" s="23"/>
      <c r="FC466" s="23"/>
      <c r="FD466" s="23"/>
      <c r="FE466" s="23"/>
      <c r="FF466" s="23"/>
      <c r="FG466" s="23"/>
      <c r="FH466" s="23"/>
    </row>
    <row r="467" spans="1:177" ht="12" customHeight="1" x14ac:dyDescent="0.3">
      <c r="B467" s="14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AE467" s="7"/>
      <c r="AF467" s="7"/>
      <c r="AG467" s="7"/>
      <c r="AH467" s="7"/>
      <c r="AI467" s="7"/>
      <c r="AJ467" s="7"/>
      <c r="AK467" s="39"/>
      <c r="AL467" s="39"/>
      <c r="AM467" s="39"/>
      <c r="AO467" s="39"/>
      <c r="AP467" s="39"/>
      <c r="AQ467" s="7"/>
      <c r="BP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FA467" s="23"/>
      <c r="FB467" s="23"/>
      <c r="FC467" s="23"/>
      <c r="FD467" s="23"/>
      <c r="FE467" s="23"/>
      <c r="FF467" s="23"/>
      <c r="FG467" s="23"/>
      <c r="FH467" s="23"/>
    </row>
    <row r="468" spans="1:177" ht="12" customHeight="1" x14ac:dyDescent="0.3">
      <c r="B468" s="14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AE468" s="7"/>
      <c r="AF468" s="7"/>
      <c r="AG468" s="7"/>
      <c r="AH468" s="7"/>
      <c r="AI468" s="7"/>
      <c r="AJ468" s="7"/>
      <c r="AK468" s="39"/>
      <c r="AL468" s="39"/>
      <c r="AM468" s="39"/>
      <c r="AO468" s="39"/>
      <c r="AP468" s="39"/>
      <c r="AQ468" s="7"/>
      <c r="BP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FA468" s="23"/>
      <c r="FB468" s="23"/>
      <c r="FC468" s="23"/>
      <c r="FD468" s="23"/>
      <c r="FE468" s="23"/>
      <c r="FF468" s="23"/>
      <c r="FG468" s="23"/>
      <c r="FH468" s="23"/>
    </row>
    <row r="469" spans="1:177" ht="12" customHeight="1" x14ac:dyDescent="0.3">
      <c r="B469" s="14" t="s">
        <v>611</v>
      </c>
      <c r="C469" s="43" t="s">
        <v>623</v>
      </c>
      <c r="D469" s="38">
        <f t="shared" ref="D469:D500" si="2129">129/0.145</f>
        <v>889.65517241379314</v>
      </c>
      <c r="E469" s="45">
        <v>203.2</v>
      </c>
      <c r="F469" s="45">
        <v>48.551724137931032</v>
      </c>
      <c r="G469" s="7">
        <v>25.4</v>
      </c>
      <c r="H469" s="45">
        <v>1219.1999999999998</v>
      </c>
      <c r="I469" s="45">
        <v>596.9</v>
      </c>
      <c r="J469" s="45">
        <v>596.9</v>
      </c>
      <c r="K469" s="7"/>
      <c r="L469" s="38">
        <v>1</v>
      </c>
      <c r="N469" s="7">
        <f t="shared" ref="N469:N500" si="2130">MIN(I469/G469+0.5)</f>
        <v>24</v>
      </c>
      <c r="O469" s="7">
        <f t="shared" ref="O469:O500" si="2131">I469/G469+0.5</f>
        <v>24</v>
      </c>
      <c r="P469" s="45">
        <v>9.5</v>
      </c>
      <c r="Q469" s="4">
        <f t="shared" ref="Q469:Q500" si="2132">P469</f>
        <v>9.5</v>
      </c>
      <c r="R469" s="4">
        <f t="shared" ref="R469:R500" si="2133">Q469+1</f>
        <v>10.5</v>
      </c>
      <c r="S469" s="7">
        <f t="shared" ref="S469:S500" si="2134">G469*R469^0.5</f>
        <v>82.305406869779816</v>
      </c>
      <c r="V469" s="45">
        <v>572.41379310344837</v>
      </c>
      <c r="Y469" s="38">
        <f>25.4*5/8</f>
        <v>15.875</v>
      </c>
      <c r="Z469" s="38">
        <v>4</v>
      </c>
      <c r="AA469" s="39">
        <f>6*25.4</f>
        <v>152.39999999999998</v>
      </c>
      <c r="AB469" s="39">
        <v>2</v>
      </c>
      <c r="AC469" s="39"/>
      <c r="AE469" s="4">
        <f t="shared" ref="AE469:AE500" si="2135">E469</f>
        <v>203.2</v>
      </c>
      <c r="AF469" s="4">
        <f t="shared" ref="AF469:AF500" si="2136">MIN(9*E469^2,MIN(H469,3*E469)*(3*E469))/(9*E469^2)</f>
        <v>0.99999999999999989</v>
      </c>
      <c r="AG469" s="4">
        <f t="shared" ref="AG469:AG500" si="2137">MIN(10*F469^0.5*E469^1.5,100*3.9*F469^0.5*E469^(5/3))/(PI()/4*G469^2)/L469</f>
        <v>398.31858389679627</v>
      </c>
      <c r="AH469" s="4">
        <f t="shared" ref="AH469:AH500" si="2138">MIN(0.7+0.3*(I469+G469/2)/1.5/E469,1)</f>
        <v>1</v>
      </c>
      <c r="AI469" s="4">
        <v>1.25</v>
      </c>
      <c r="AJ469" s="4">
        <v>1</v>
      </c>
      <c r="AK469" s="38">
        <f t="shared" ref="AK469:AK500" si="2139">AF469*AH469*AI469*AJ469*AG469</f>
        <v>497.89822987099524</v>
      </c>
      <c r="AL469" s="38">
        <f>AM469*E469*(PI()*E469*1)*MIN(1, (300/(E469+J469))^0.25)/ (PI()/4*G469^2)/L469/1.25</f>
        <v>639.85547595156208</v>
      </c>
      <c r="AM469" s="38">
        <f t="shared" ref="AM469:AM500" si="2140">IF(F469&lt;50, 0.3*F469^(2/3), 2.12*LN(1+0.1*(F469+8)))</f>
        <v>3.9926173774513112</v>
      </c>
      <c r="AR469" s="4" t="e">
        <f>#REF!/G469*F469^0.5/0.19</f>
        <v>#REF!</v>
      </c>
      <c r="AS469" s="4">
        <f t="shared" ref="AS469:AS500" si="2141">MIN(0.6+0.4*(O469/N469),2)</f>
        <v>1</v>
      </c>
      <c r="AT469" s="38">
        <f t="shared" ref="AT469:AT500" si="2142">2*F469*N469*P469^0.5*AS469*0.7/0.7</f>
        <v>7183.0302754595714</v>
      </c>
      <c r="AU469" s="4">
        <f t="shared" ref="AU469:AU500" si="2143">MAX(1-0.7*Q469/5,0.3)</f>
        <v>0.3</v>
      </c>
      <c r="AV469" s="4" t="e">
        <f>AU469*D469*#REF!/(D469*G469/2.75/F469^0.5)</f>
        <v>#REF!</v>
      </c>
      <c r="AW469" s="4" t="e">
        <f t="shared" ref="AW469:AW500" si="2144">AT469+AV469</f>
        <v>#REF!</v>
      </c>
      <c r="AY469" s="4">
        <f t="shared" ref="AY469:AY500" si="2145">MIN(1.5, 0.75+0.25*MIN(3,MAX(1,I469/G469))+0.4*MIN(1,(40*2*PI()*Y469^2/4/AA469/L469)/G469))</f>
        <v>1.5</v>
      </c>
      <c r="AZ469" s="4" t="e">
        <f>(3*#REF!+30)*AY469*F469^0.5</f>
        <v>#REF!</v>
      </c>
      <c r="BB469" s="4">
        <f t="shared" ref="BB469:BB500" si="2146">3.4/PI()^0.5*F469*N469*Q469^0.5*AS469</f>
        <v>6889.4044615281846</v>
      </c>
      <c r="BC469" s="4">
        <f t="shared" ref="BC469:BC500" si="2147">8/3*T469*U469^2/(S469-G469-22)/G469*(S469^2-G469^2)/(S469^2-(G469+22)^2)</f>
        <v>0</v>
      </c>
      <c r="BD469" s="4">
        <f t="shared" ref="BD469:BD500" si="2148">BC469/BB469</f>
        <v>0</v>
      </c>
      <c r="BL469" s="4">
        <f t="shared" ref="BL469:BL500" si="2149">IF(K469=0,I469,MIN(K469/2,I469))</f>
        <v>596.9</v>
      </c>
      <c r="BP469" s="9"/>
      <c r="BR469" s="9"/>
      <c r="BS469" s="9"/>
      <c r="BT469" s="9">
        <f t="shared" ref="BT469:BT500" si="2150">IF(K469=0,MIN(I469,J469),MIN(K469/2,I469,J469))</f>
        <v>596.9</v>
      </c>
      <c r="BU469" s="9">
        <f t="shared" ref="BU469:BU500" si="2151">MAX(K469/2,I469)</f>
        <v>596.9</v>
      </c>
      <c r="BV469" s="9">
        <f t="shared" ref="BV469:BV500" si="2152">(BT469/G469)^0.5*(BU469/BT469)^0.15</f>
        <v>4.8476798574163293</v>
      </c>
      <c r="BW469" s="40">
        <f t="shared" ref="BW469:BW500" si="2153">IF(AA469&gt;1,20,0)</f>
        <v>20</v>
      </c>
      <c r="BX469" s="9">
        <f t="shared" ref="BX469:BX500" si="2154">MIN(PI()*Y469^2/4*Z469*2/L469/G469/MAX(0.01,AA469),0.05)</f>
        <v>0.05</v>
      </c>
      <c r="BY469" s="9">
        <f t="shared" ref="BY469:BY500" si="2155">MAX(0,BW469*(BX469-0.5/50))</f>
        <v>0.8</v>
      </c>
      <c r="BZ469" s="9">
        <f t="shared" ref="BZ469:BZ500" si="2156">MIN(1,(25/G469)^0.3)</f>
        <v>0.99524931562137331</v>
      </c>
      <c r="CA469" s="9">
        <f t="shared" ref="CA469:CA500" si="2157">IF(D469&gt;=800,0.68,IF(D469&gt;=700,0.75-(D469-700)*0.07/100,IF(D469&gt;=600,0.85-(D469-600)*0.1/100,IF(D469&gt;=500,1-(D469-500)*0.15/100,1.2-(D469-400)*0.2/100))))</f>
        <v>0.68</v>
      </c>
      <c r="CB469" s="9">
        <f t="shared" ref="CB469:CB500" si="2158">1.75*BZ469*CA469*(F469/25)^0.5</f>
        <v>1.6504834472137122</v>
      </c>
      <c r="CC469" s="9">
        <f t="shared" ref="CC469:CC500" si="2159">MIN((BV469+BY469)*CB469,2.5*CB469,F469^0.5)</f>
        <v>4.1262086180342807</v>
      </c>
      <c r="CD469" s="40">
        <v>1</v>
      </c>
      <c r="CE469" s="9" t="e">
        <f>4*CC469*#REF!+60*CC469</f>
        <v>#REF!</v>
      </c>
      <c r="DC469" s="4" t="e">
        <f>#REF!</f>
        <v>#REF!</v>
      </c>
      <c r="DF469" s="4">
        <f t="shared" ref="DF469:DF500" si="2160">E469/4/(1-0.3*(F469/30)^0.5)/200000/G469</f>
        <v>1.617201772180078E-5</v>
      </c>
      <c r="DG469" s="4">
        <f t="shared" ref="DG469:DG500" si="2161">EB469</f>
        <v>10.690419306030725</v>
      </c>
      <c r="DH469" s="4">
        <f t="shared" ref="DH469:DH500" si="2162">EK469</f>
        <v>0.44353052005319737</v>
      </c>
      <c r="DI469" s="4">
        <f t="shared" ref="DI469:DI500" si="2163">DG469*DH469^0.4</f>
        <v>7.7226107205649352</v>
      </c>
      <c r="DJ469" s="4">
        <f t="shared" ref="DJ469:DJ500" si="2164">MIN(DG469, DG469/1.4*(1-DH469^1.4)/(1-DH469))</f>
        <v>9.3256375606551067</v>
      </c>
      <c r="DK469" s="4">
        <f t="shared" ref="DK469:DK500" si="2165">MAX(DG469/2, (4-DF469*(8*S469*(DI469-DJ469)+6*E469*DJ469))/(4+DF469*E469*DG469)*DG469)</f>
        <v>10.155429056789377</v>
      </c>
      <c r="DL469" s="38">
        <f t="shared" ref="DL469:DL500" si="2166">MIN(1/G469*(4*S469*(DI469-DJ469)+(3*DJ469+DK469)*E469)+MIN(DN$10*AL469, DN$11/0.7*2.8*F469*N469*Q469^0.5*MIN(0.3+0.2*O469/N469,1)) -EV469,MAX(D469,V469))</f>
        <v>889.65517241379314</v>
      </c>
      <c r="DM469" s="4" t="e">
        <f t="shared" ref="DM469:DM500" si="2167">DL469/ER469</f>
        <v>#REF!</v>
      </c>
      <c r="DN469" s="4">
        <f t="shared" ref="DN469:DN500" si="2168">S469/G469</f>
        <v>3.2403703492039297</v>
      </c>
      <c r="DO469" s="4">
        <f t="shared" ref="DO469:DO500" si="2169">MIN(DN$10*AL469, DN$11*AT469)</f>
        <v>639.85547595156208</v>
      </c>
      <c r="DS469" s="4">
        <f t="shared" ref="DS469:DS500" si="2170">IF(J469&gt;1*G469,0.85,1)</f>
        <v>0.85</v>
      </c>
      <c r="DT469" s="4">
        <f t="shared" ref="DT469:DT500" si="2171">MIN(1,MAX(0.7,(1-0.1*(BL469-1*G469)/G469)))</f>
        <v>0.7</v>
      </c>
      <c r="DU469" s="4">
        <f t="shared" ref="DU469:DU500" si="2172">MIN(1,MAX(0.7,1-0.3*(PI()*Y469^2/4*AC469*2-0.25*PI()/4*G469^2)/(PI()/4*G469^2)))</f>
        <v>1</v>
      </c>
      <c r="DV469" s="4">
        <f t="shared" ref="DV469:DV500" si="2173">IF(DT469*DU469&lt;0.7,0.7,DT469*DU469)</f>
        <v>0.7</v>
      </c>
      <c r="DX469" s="4">
        <f t="shared" ref="DX469:DX500" si="2174">MIN(DG469/G469*(3.1*E469-0*1.4*G469)+2.8*F469*N469-EV469,MAX(D469,V469))</f>
        <v>889.65517241379314</v>
      </c>
      <c r="EB469" s="4">
        <f t="shared" ref="EB469:EB500" si="2175">IF(G469&lt;22.2,1.1*5*(F469/30)^0.5,IF(G469&gt;=31.8,0.9*5*(F469/30)^0.5,1*5*(F469/30)^0.5))/DV469/DS469</f>
        <v>10.690419306030725</v>
      </c>
      <c r="EE469" s="4">
        <f t="shared" ref="EE469:EE500" si="2176">EF469*G469</f>
        <v>82.305406869779816</v>
      </c>
      <c r="EF469" s="4">
        <f t="shared" ref="EF469:EF500" si="2177">R469^0.5</f>
        <v>3.2403703492039302</v>
      </c>
      <c r="EG469" s="4">
        <f t="shared" ref="EG469:EG500" si="2178">MIN(DO469)/(4700*F469^0.5)/Q469*EE469</f>
        <v>0.16927252226774256</v>
      </c>
      <c r="EJ469" s="4">
        <f t="shared" ref="EJ469:EJ500" si="2179">EG469</f>
        <v>0.16927252226774256</v>
      </c>
      <c r="EK469" s="4">
        <f t="shared" ref="EK469:EK500" si="2180">MIN(0.999, EJ469/(0.3*(F469/30)^0.5))</f>
        <v>0.44353052005319737</v>
      </c>
      <c r="EL469" s="4">
        <f t="shared" ref="EL469:EL500" si="2181">EB469/1*EK469^0.4</f>
        <v>7.7226107205649352</v>
      </c>
      <c r="EM469" s="4">
        <f t="shared" ref="EM469:EM500" si="2182">EB469/1.4*(1-EK469^1.4)/(1-EK469)</f>
        <v>9.3256375606551067</v>
      </c>
      <c r="EN469" s="4" t="e">
        <f t="shared" ref="EN469:EN500" si="2183">MAX(0,DC469*EN$9-EE469)</f>
        <v>#REF!</v>
      </c>
      <c r="EO469" s="4" t="e">
        <f t="shared" ref="EO469:EO500" si="2184">MAX(0,DC469-EE469-EN469)</f>
        <v>#REF!</v>
      </c>
      <c r="EP469" s="4" t="e">
        <f t="shared" ref="EP469:EP500" si="2185">EO469/(1-0.3*(F469/30)^0.5)/200000/G469</f>
        <v>#REF!</v>
      </c>
      <c r="EQ469" s="4" t="e">
        <f t="shared" ref="EQ469:EQ500" si="2186">MAX(0.5*EB469, (1-2*EP469*(EE469*EL469+EN469*EM469))/(1/EB469+EP469*EO469))</f>
        <v>#REF!</v>
      </c>
      <c r="ER469" s="4" t="e">
        <f t="shared" ref="ER469:ER500" si="2187">MIN(4/G469*(1*EL469*EE469+EM469*EN469+EO469*EQ469)+DO469,MAX(D469,V469))</f>
        <v>#REF!</v>
      </c>
      <c r="FA469" s="23"/>
      <c r="FB469" s="23"/>
      <c r="FC469" s="23"/>
      <c r="FD469" s="23"/>
      <c r="FE469" s="23"/>
      <c r="FF469" s="23"/>
      <c r="FG469" s="23"/>
      <c r="FH469" s="23"/>
      <c r="FR469" s="4">
        <f t="shared" ref="FR469:FR500" si="2188">IF(I469&gt;=2.5*25.4,1,1.25)</f>
        <v>1</v>
      </c>
      <c r="FS469" s="4">
        <f t="shared" ref="FS469:FS500" si="2189">IF(AA469&gt;1, 0.05*(18-MIN(8,(K469+G469)/G469))*(1-48000/MAX(60000,(D469*145))*(G469/25.4)^0.75*FT469), 1/12*(14-MIN(8,(K469+G469)/G469)))</f>
        <v>0.75511627906976753</v>
      </c>
      <c r="FT469" s="4">
        <f t="shared" ref="FT469:FT500" si="2190">MIN(0.3, Y469^2*PI()/4*2*AB469/(G469^2*PI()/4*L469))</f>
        <v>0.3</v>
      </c>
      <c r="FU469" s="4">
        <f t="shared" ref="FU469:FU500" si="2191">(E469/25.4)/(G469/25.4)^1.5/0.0024*(F469*145)^0.25/FR469/FS469/145</f>
        <v>278.86247321680872</v>
      </c>
    </row>
    <row r="470" spans="1:177" ht="12" customHeight="1" x14ac:dyDescent="0.3">
      <c r="B470" s="14" t="s">
        <v>622</v>
      </c>
      <c r="C470" s="43" t="s">
        <v>623</v>
      </c>
      <c r="D470" s="38">
        <f t="shared" si="2129"/>
        <v>889.65517241379314</v>
      </c>
      <c r="E470" s="45">
        <v>210.82</v>
      </c>
      <c r="F470" s="45">
        <v>48.551724137931032</v>
      </c>
      <c r="G470" s="7">
        <v>25.4</v>
      </c>
      <c r="H470" s="45">
        <v>1219.1999999999998</v>
      </c>
      <c r="I470" s="45">
        <v>596.9</v>
      </c>
      <c r="J470" s="45">
        <v>596.9</v>
      </c>
      <c r="K470" s="7"/>
      <c r="L470" s="38">
        <v>1</v>
      </c>
      <c r="N470" s="7">
        <f t="shared" si="2130"/>
        <v>24</v>
      </c>
      <c r="O470" s="7">
        <f t="shared" si="2131"/>
        <v>24</v>
      </c>
      <c r="P470" s="45">
        <v>9.5</v>
      </c>
      <c r="Q470" s="4">
        <f t="shared" si="2132"/>
        <v>9.5</v>
      </c>
      <c r="R470" s="4">
        <f t="shared" si="2133"/>
        <v>10.5</v>
      </c>
      <c r="S470" s="7">
        <f t="shared" si="2134"/>
        <v>82.305406869779816</v>
      </c>
      <c r="V470" s="45">
        <v>591.72413793103453</v>
      </c>
      <c r="Y470" s="38"/>
      <c r="Z470" s="38"/>
      <c r="AA470" s="39">
        <v>1</v>
      </c>
      <c r="AB470" s="39"/>
      <c r="AC470" s="39"/>
      <c r="AE470" s="4">
        <f t="shared" si="2135"/>
        <v>210.82</v>
      </c>
      <c r="AF470" s="4">
        <f t="shared" si="2136"/>
        <v>1</v>
      </c>
      <c r="AG470" s="4">
        <f t="shared" si="2137"/>
        <v>420.93276036185819</v>
      </c>
      <c r="AH470" s="4">
        <f t="shared" si="2138"/>
        <v>1</v>
      </c>
      <c r="AI470" s="4">
        <v>1.25</v>
      </c>
      <c r="AJ470" s="4">
        <v>1</v>
      </c>
      <c r="AK470" s="38">
        <f t="shared" si="2139"/>
        <v>526.1659504523227</v>
      </c>
      <c r="AL470" s="38">
        <f t="shared" ref="AL470:AL500" si="2192">AK470</f>
        <v>526.1659504523227</v>
      </c>
      <c r="AM470" s="38">
        <f t="shared" si="2140"/>
        <v>3.9926173774513112</v>
      </c>
      <c r="AR470" s="4" t="e">
        <f>#REF!/G470*F470^0.5/0.19</f>
        <v>#REF!</v>
      </c>
      <c r="AS470" s="4">
        <f t="shared" si="2141"/>
        <v>1</v>
      </c>
      <c r="AT470" s="38">
        <f t="shared" si="2142"/>
        <v>7183.0302754595714</v>
      </c>
      <c r="AU470" s="4">
        <f t="shared" si="2143"/>
        <v>0.3</v>
      </c>
      <c r="AV470" s="4" t="e">
        <f>AU470*D470*#REF!/(D470*G470/2.75/F470^0.5)</f>
        <v>#REF!</v>
      </c>
      <c r="AW470" s="4" t="e">
        <f t="shared" si="2144"/>
        <v>#REF!</v>
      </c>
      <c r="AY470" s="4">
        <f t="shared" si="2145"/>
        <v>1.5</v>
      </c>
      <c r="AZ470" s="4" t="e">
        <f>(3*#REF!+30)*AY470*F470^0.5</f>
        <v>#REF!</v>
      </c>
      <c r="BB470" s="4">
        <f t="shared" si="2146"/>
        <v>6889.4044615281846</v>
      </c>
      <c r="BC470" s="4">
        <f t="shared" si="2147"/>
        <v>0</v>
      </c>
      <c r="BD470" s="4">
        <f t="shared" si="2148"/>
        <v>0</v>
      </c>
      <c r="BL470" s="4">
        <f t="shared" si="2149"/>
        <v>596.9</v>
      </c>
      <c r="BP470" s="9"/>
      <c r="BR470" s="9"/>
      <c r="BS470" s="9"/>
      <c r="BT470" s="9">
        <f t="shared" si="2150"/>
        <v>596.9</v>
      </c>
      <c r="BU470" s="9">
        <f t="shared" si="2151"/>
        <v>596.9</v>
      </c>
      <c r="BV470" s="9">
        <f t="shared" si="2152"/>
        <v>4.8476798574163293</v>
      </c>
      <c r="BW470" s="40">
        <f t="shared" si="2153"/>
        <v>0</v>
      </c>
      <c r="BX470" s="9">
        <f t="shared" si="2154"/>
        <v>0</v>
      </c>
      <c r="BY470" s="9">
        <f t="shared" si="2155"/>
        <v>0</v>
      </c>
      <c r="BZ470" s="9">
        <f t="shared" si="2156"/>
        <v>0.99524931562137331</v>
      </c>
      <c r="CA470" s="9">
        <f t="shared" si="2157"/>
        <v>0.68</v>
      </c>
      <c r="CB470" s="9">
        <f t="shared" si="2158"/>
        <v>1.6504834472137122</v>
      </c>
      <c r="CC470" s="9">
        <f t="shared" si="2159"/>
        <v>4.1262086180342807</v>
      </c>
      <c r="CD470" s="40">
        <v>1</v>
      </c>
      <c r="CE470" s="9" t="e">
        <f>4*CC470*#REF!+60*CC470</f>
        <v>#REF!</v>
      </c>
      <c r="DC470" s="4" t="e">
        <f>#REF!</f>
        <v>#REF!</v>
      </c>
      <c r="DF470" s="4">
        <f t="shared" si="2160"/>
        <v>1.6778468386368307E-5</v>
      </c>
      <c r="DG470" s="4">
        <f t="shared" si="2161"/>
        <v>10.690419306030725</v>
      </c>
      <c r="DH470" s="4">
        <f t="shared" si="2162"/>
        <v>0.36472401410857042</v>
      </c>
      <c r="DI470" s="4">
        <f t="shared" si="2163"/>
        <v>7.1413527097240266</v>
      </c>
      <c r="DJ470" s="4">
        <f t="shared" si="2164"/>
        <v>9.0914327666231785</v>
      </c>
      <c r="DK470" s="4">
        <f t="shared" si="2165"/>
        <v>10.136488236253166</v>
      </c>
      <c r="DL470" s="38">
        <f t="shared" si="2166"/>
        <v>811.39955232234138</v>
      </c>
      <c r="DM470" s="4" t="e">
        <f t="shared" si="2167"/>
        <v>#REF!</v>
      </c>
      <c r="DN470" s="4">
        <f t="shared" si="2168"/>
        <v>3.2403703492039297</v>
      </c>
      <c r="DO470" s="4">
        <f t="shared" si="2169"/>
        <v>526.1659504523227</v>
      </c>
      <c r="DS470" s="4">
        <f t="shared" si="2170"/>
        <v>0.85</v>
      </c>
      <c r="DT470" s="4">
        <f t="shared" si="2171"/>
        <v>0.7</v>
      </c>
      <c r="DU470" s="4">
        <f t="shared" si="2172"/>
        <v>1</v>
      </c>
      <c r="DV470" s="4">
        <f t="shared" si="2173"/>
        <v>0.7</v>
      </c>
      <c r="DX470" s="4">
        <f t="shared" si="2174"/>
        <v>889.65517241379314</v>
      </c>
      <c r="EB470" s="4">
        <f t="shared" si="2175"/>
        <v>10.690419306030725</v>
      </c>
      <c r="EE470" s="4">
        <f t="shared" si="2176"/>
        <v>82.305406869779816</v>
      </c>
      <c r="EF470" s="4">
        <f t="shared" si="2177"/>
        <v>3.2403703492039302</v>
      </c>
      <c r="EG470" s="4">
        <f t="shared" si="2178"/>
        <v>0.13919617931223441</v>
      </c>
      <c r="EJ470" s="4">
        <f t="shared" si="2179"/>
        <v>0.13919617931223441</v>
      </c>
      <c r="EK470" s="4">
        <f t="shared" si="2180"/>
        <v>0.36472401410857042</v>
      </c>
      <c r="EL470" s="4">
        <f t="shared" si="2181"/>
        <v>7.1413527097240266</v>
      </c>
      <c r="EM470" s="4">
        <f t="shared" si="2182"/>
        <v>9.0914327666231785</v>
      </c>
      <c r="EN470" s="4" t="e">
        <f t="shared" si="2183"/>
        <v>#REF!</v>
      </c>
      <c r="EO470" s="4" t="e">
        <f t="shared" si="2184"/>
        <v>#REF!</v>
      </c>
      <c r="EP470" s="4" t="e">
        <f t="shared" si="2185"/>
        <v>#REF!</v>
      </c>
      <c r="EQ470" s="4" t="e">
        <f t="shared" si="2186"/>
        <v>#REF!</v>
      </c>
      <c r="ER470" s="4" t="e">
        <f t="shared" si="2187"/>
        <v>#REF!</v>
      </c>
      <c r="FA470" s="23"/>
      <c r="FB470" s="23"/>
      <c r="FC470" s="23"/>
      <c r="FD470" s="23"/>
      <c r="FE470" s="23"/>
      <c r="FF470" s="23"/>
      <c r="FG470" s="23"/>
      <c r="FH470" s="23"/>
      <c r="FR470" s="4">
        <f t="shared" si="2188"/>
        <v>1</v>
      </c>
      <c r="FS470" s="4">
        <f t="shared" si="2189"/>
        <v>1.0833333333333333</v>
      </c>
      <c r="FT470" s="4">
        <f t="shared" si="2190"/>
        <v>0</v>
      </c>
      <c r="FU470" s="4">
        <f t="shared" si="2191"/>
        <v>201.66471036065258</v>
      </c>
    </row>
    <row r="471" spans="1:177" ht="12" customHeight="1" x14ac:dyDescent="0.3">
      <c r="B471" s="14"/>
      <c r="C471" s="43" t="s">
        <v>624</v>
      </c>
      <c r="D471" s="38">
        <f t="shared" si="2129"/>
        <v>889.65517241379314</v>
      </c>
      <c r="E471" s="45">
        <v>215.89999999999998</v>
      </c>
      <c r="F471" s="45">
        <v>48.551724137931032</v>
      </c>
      <c r="G471" s="7">
        <v>25.4</v>
      </c>
      <c r="H471" s="45">
        <v>1219.1999999999998</v>
      </c>
      <c r="I471" s="45">
        <v>596.9</v>
      </c>
      <c r="J471" s="45">
        <v>596.9</v>
      </c>
      <c r="K471" s="7"/>
      <c r="L471" s="38">
        <v>1</v>
      </c>
      <c r="N471" s="7">
        <f t="shared" si="2130"/>
        <v>24</v>
      </c>
      <c r="O471" s="7">
        <f t="shared" si="2131"/>
        <v>24</v>
      </c>
      <c r="P471" s="45">
        <v>4</v>
      </c>
      <c r="Q471" s="4">
        <f t="shared" si="2132"/>
        <v>4</v>
      </c>
      <c r="R471" s="4">
        <f t="shared" si="2133"/>
        <v>5</v>
      </c>
      <c r="S471" s="7">
        <f t="shared" si="2134"/>
        <v>56.796126628494655</v>
      </c>
      <c r="V471" s="45">
        <v>539.31034482758628</v>
      </c>
      <c r="Y471" s="38"/>
      <c r="Z471" s="38"/>
      <c r="AA471" s="39">
        <v>1</v>
      </c>
      <c r="AB471" s="39"/>
      <c r="AC471" s="39"/>
      <c r="AE471" s="4">
        <f t="shared" si="2135"/>
        <v>215.89999999999998</v>
      </c>
      <c r="AF471" s="4">
        <f t="shared" si="2136"/>
        <v>1</v>
      </c>
      <c r="AG471" s="4">
        <f t="shared" si="2137"/>
        <v>436.23848592031243</v>
      </c>
      <c r="AH471" s="4">
        <f t="shared" si="2138"/>
        <v>1</v>
      </c>
      <c r="AI471" s="4">
        <v>1.25</v>
      </c>
      <c r="AJ471" s="4">
        <v>1</v>
      </c>
      <c r="AK471" s="38">
        <f t="shared" si="2139"/>
        <v>545.29810740039056</v>
      </c>
      <c r="AL471" s="38">
        <f t="shared" si="2192"/>
        <v>545.29810740039056</v>
      </c>
      <c r="AM471" s="38">
        <f t="shared" si="2140"/>
        <v>3.9926173774513112</v>
      </c>
      <c r="AR471" s="4" t="e">
        <f>#REF!/G471*F471^0.5/0.19</f>
        <v>#REF!</v>
      </c>
      <c r="AS471" s="4">
        <f t="shared" si="2141"/>
        <v>1</v>
      </c>
      <c r="AT471" s="38">
        <f t="shared" si="2142"/>
        <v>4660.9655172413786</v>
      </c>
      <c r="AU471" s="4">
        <f t="shared" si="2143"/>
        <v>0.44000000000000006</v>
      </c>
      <c r="AV471" s="4" t="e">
        <f>AU471*D471*#REF!/(D471*G471/2.75/F471^0.5)</f>
        <v>#REF!</v>
      </c>
      <c r="AW471" s="4" t="e">
        <f t="shared" si="2144"/>
        <v>#REF!</v>
      </c>
      <c r="AY471" s="4">
        <f t="shared" si="2145"/>
        <v>1.5</v>
      </c>
      <c r="AZ471" s="4" t="e">
        <f>(3*#REF!+30)*AY471*F471^0.5</f>
        <v>#REF!</v>
      </c>
      <c r="BB471" s="4">
        <f t="shared" si="2146"/>
        <v>4470.4359299748721</v>
      </c>
      <c r="BC471" s="4">
        <f t="shared" si="2147"/>
        <v>0</v>
      </c>
      <c r="BD471" s="4">
        <f t="shared" si="2148"/>
        <v>0</v>
      </c>
      <c r="BL471" s="4">
        <f t="shared" si="2149"/>
        <v>596.9</v>
      </c>
      <c r="BP471" s="9"/>
      <c r="BR471" s="9"/>
      <c r="BS471" s="9"/>
      <c r="BT471" s="9">
        <f t="shared" si="2150"/>
        <v>596.9</v>
      </c>
      <c r="BU471" s="9">
        <f t="shared" si="2151"/>
        <v>596.9</v>
      </c>
      <c r="BV471" s="9">
        <f t="shared" si="2152"/>
        <v>4.8476798574163293</v>
      </c>
      <c r="BW471" s="40">
        <f t="shared" si="2153"/>
        <v>0</v>
      </c>
      <c r="BX471" s="9">
        <f t="shared" si="2154"/>
        <v>0</v>
      </c>
      <c r="BY471" s="9">
        <f t="shared" si="2155"/>
        <v>0</v>
      </c>
      <c r="BZ471" s="9">
        <f t="shared" si="2156"/>
        <v>0.99524931562137331</v>
      </c>
      <c r="CA471" s="9">
        <f t="shared" si="2157"/>
        <v>0.68</v>
      </c>
      <c r="CB471" s="9">
        <f t="shared" si="2158"/>
        <v>1.6504834472137122</v>
      </c>
      <c r="CC471" s="9">
        <f t="shared" si="2159"/>
        <v>4.1262086180342807</v>
      </c>
      <c r="CD471" s="40">
        <v>1</v>
      </c>
      <c r="CE471" s="9" t="e">
        <f>4*CC471*#REF!+60*CC471</f>
        <v>#REF!</v>
      </c>
      <c r="DC471" s="4" t="e">
        <f>#REF!</f>
        <v>#REF!</v>
      </c>
      <c r="DF471" s="4">
        <f t="shared" si="2160"/>
        <v>1.7182768829413324E-5</v>
      </c>
      <c r="DG471" s="4">
        <f t="shared" si="2161"/>
        <v>10.690419306030725</v>
      </c>
      <c r="DH471" s="4">
        <f t="shared" si="2162"/>
        <v>0.61948326067862303</v>
      </c>
      <c r="DI471" s="4">
        <f t="shared" si="2163"/>
        <v>8.8268667378225558</v>
      </c>
      <c r="DJ471" s="4">
        <f t="shared" si="2164"/>
        <v>9.8030662330807399</v>
      </c>
      <c r="DK471" s="4">
        <f t="shared" si="2165"/>
        <v>10.028193756194481</v>
      </c>
      <c r="DL471" s="38">
        <f t="shared" si="2166"/>
        <v>871.78454954760934</v>
      </c>
      <c r="DM471" s="4" t="e">
        <f t="shared" si="2167"/>
        <v>#REF!</v>
      </c>
      <c r="DN471" s="4">
        <f t="shared" si="2168"/>
        <v>2.2360679774997898</v>
      </c>
      <c r="DO471" s="4">
        <f t="shared" si="2169"/>
        <v>545.29810740039056</v>
      </c>
      <c r="DS471" s="4">
        <f t="shared" si="2170"/>
        <v>0.85</v>
      </c>
      <c r="DT471" s="4">
        <f t="shared" si="2171"/>
        <v>0.7</v>
      </c>
      <c r="DU471" s="4">
        <f t="shared" si="2172"/>
        <v>1</v>
      </c>
      <c r="DV471" s="4">
        <f t="shared" si="2173"/>
        <v>0.7</v>
      </c>
      <c r="DX471" s="4">
        <f t="shared" si="2174"/>
        <v>889.65517241379314</v>
      </c>
      <c r="EB471" s="4">
        <f t="shared" si="2175"/>
        <v>10.690419306030725</v>
      </c>
      <c r="EE471" s="4">
        <f t="shared" si="2176"/>
        <v>56.796126628494655</v>
      </c>
      <c r="EF471" s="4">
        <f t="shared" si="2177"/>
        <v>2.2360679774997898</v>
      </c>
      <c r="EG471" s="4">
        <f t="shared" si="2178"/>
        <v>0.23642452840706166</v>
      </c>
      <c r="EJ471" s="4">
        <f t="shared" si="2179"/>
        <v>0.23642452840706166</v>
      </c>
      <c r="EK471" s="4">
        <f t="shared" si="2180"/>
        <v>0.61948326067862303</v>
      </c>
      <c r="EL471" s="4">
        <f t="shared" si="2181"/>
        <v>8.8268667378225558</v>
      </c>
      <c r="EM471" s="4">
        <f t="shared" si="2182"/>
        <v>9.8030662330807399</v>
      </c>
      <c r="EN471" s="4" t="e">
        <f t="shared" si="2183"/>
        <v>#REF!</v>
      </c>
      <c r="EO471" s="4" t="e">
        <f t="shared" si="2184"/>
        <v>#REF!</v>
      </c>
      <c r="EP471" s="4" t="e">
        <f t="shared" si="2185"/>
        <v>#REF!</v>
      </c>
      <c r="EQ471" s="4" t="e">
        <f t="shared" si="2186"/>
        <v>#REF!</v>
      </c>
      <c r="ER471" s="4" t="e">
        <f t="shared" si="2187"/>
        <v>#REF!</v>
      </c>
      <c r="FA471" s="23"/>
      <c r="FB471" s="23"/>
      <c r="FC471" s="23"/>
      <c r="FD471" s="23"/>
      <c r="FE471" s="23"/>
      <c r="FF471" s="23"/>
      <c r="FG471" s="23"/>
      <c r="FH471" s="23"/>
      <c r="FR471" s="4">
        <f t="shared" si="2188"/>
        <v>1</v>
      </c>
      <c r="FS471" s="4">
        <f t="shared" si="2189"/>
        <v>1.0833333333333333</v>
      </c>
      <c r="FT471" s="4">
        <f t="shared" si="2190"/>
        <v>0</v>
      </c>
      <c r="FU471" s="4">
        <f t="shared" si="2191"/>
        <v>206.52410097175263</v>
      </c>
    </row>
    <row r="472" spans="1:177" ht="12" customHeight="1" x14ac:dyDescent="0.3">
      <c r="B472" s="14"/>
      <c r="C472" s="43" t="s">
        <v>624</v>
      </c>
      <c r="D472" s="38">
        <f t="shared" si="2129"/>
        <v>889.65517241379314</v>
      </c>
      <c r="E472" s="45">
        <v>190.5</v>
      </c>
      <c r="F472" s="45">
        <v>48.551724137931032</v>
      </c>
      <c r="G472" s="7">
        <v>25.4</v>
      </c>
      <c r="H472" s="45">
        <v>1219.1999999999998</v>
      </c>
      <c r="I472" s="45">
        <v>596.9</v>
      </c>
      <c r="J472" s="45">
        <v>596.9</v>
      </c>
      <c r="K472" s="7"/>
      <c r="L472" s="38">
        <v>1</v>
      </c>
      <c r="N472" s="7">
        <f t="shared" si="2130"/>
        <v>24</v>
      </c>
      <c r="O472" s="7">
        <f t="shared" si="2131"/>
        <v>24</v>
      </c>
      <c r="P472" s="45">
        <v>4</v>
      </c>
      <c r="Q472" s="4">
        <f t="shared" si="2132"/>
        <v>4</v>
      </c>
      <c r="R472" s="4">
        <f t="shared" si="2133"/>
        <v>5</v>
      </c>
      <c r="S472" s="7">
        <f t="shared" si="2134"/>
        <v>56.796126628494655</v>
      </c>
      <c r="V472" s="45">
        <v>491.72413793103448</v>
      </c>
      <c r="Y472" s="38"/>
      <c r="Z472" s="38"/>
      <c r="AA472" s="39">
        <v>1</v>
      </c>
      <c r="AB472" s="39"/>
      <c r="AC472" s="39"/>
      <c r="AE472" s="4">
        <f t="shared" si="2135"/>
        <v>190.5</v>
      </c>
      <c r="AF472" s="4">
        <f t="shared" si="2136"/>
        <v>1</v>
      </c>
      <c r="AG472" s="4">
        <f t="shared" si="2137"/>
        <v>361.56591607434706</v>
      </c>
      <c r="AH472" s="4">
        <f t="shared" si="2138"/>
        <v>1</v>
      </c>
      <c r="AI472" s="4">
        <v>1.25</v>
      </c>
      <c r="AJ472" s="4">
        <v>1</v>
      </c>
      <c r="AK472" s="38">
        <f t="shared" si="2139"/>
        <v>451.95739509293384</v>
      </c>
      <c r="AL472" s="38">
        <f t="shared" si="2192"/>
        <v>451.95739509293384</v>
      </c>
      <c r="AM472" s="38">
        <f t="shared" si="2140"/>
        <v>3.9926173774513112</v>
      </c>
      <c r="AR472" s="4" t="e">
        <f>#REF!/G472*F472^0.5/0.19</f>
        <v>#REF!</v>
      </c>
      <c r="AS472" s="4">
        <f t="shared" si="2141"/>
        <v>1</v>
      </c>
      <c r="AT472" s="38">
        <f t="shared" si="2142"/>
        <v>4660.9655172413786</v>
      </c>
      <c r="AU472" s="4">
        <f t="shared" si="2143"/>
        <v>0.44000000000000006</v>
      </c>
      <c r="AV472" s="4" t="e">
        <f>AU472*D472*#REF!/(D472*G472/2.75/F472^0.5)</f>
        <v>#REF!</v>
      </c>
      <c r="AW472" s="4" t="e">
        <f t="shared" si="2144"/>
        <v>#REF!</v>
      </c>
      <c r="AY472" s="4">
        <f t="shared" si="2145"/>
        <v>1.5</v>
      </c>
      <c r="AZ472" s="4" t="e">
        <f>(3*#REF!+30)*AY472*F472^0.5</f>
        <v>#REF!</v>
      </c>
      <c r="BB472" s="4">
        <f t="shared" si="2146"/>
        <v>4470.4359299748721</v>
      </c>
      <c r="BC472" s="4">
        <f t="shared" si="2147"/>
        <v>0</v>
      </c>
      <c r="BD472" s="4">
        <f t="shared" si="2148"/>
        <v>0</v>
      </c>
      <c r="BL472" s="4">
        <f t="shared" si="2149"/>
        <v>596.9</v>
      </c>
      <c r="BP472" s="9"/>
      <c r="BR472" s="9"/>
      <c r="BS472" s="9"/>
      <c r="BT472" s="9">
        <f t="shared" si="2150"/>
        <v>596.9</v>
      </c>
      <c r="BU472" s="9">
        <f t="shared" si="2151"/>
        <v>596.9</v>
      </c>
      <c r="BV472" s="9">
        <f t="shared" si="2152"/>
        <v>4.8476798574163293</v>
      </c>
      <c r="BW472" s="40">
        <f t="shared" si="2153"/>
        <v>0</v>
      </c>
      <c r="BX472" s="9">
        <f t="shared" si="2154"/>
        <v>0</v>
      </c>
      <c r="BY472" s="9">
        <f t="shared" si="2155"/>
        <v>0</v>
      </c>
      <c r="BZ472" s="9">
        <f t="shared" si="2156"/>
        <v>0.99524931562137331</v>
      </c>
      <c r="CA472" s="9">
        <f t="shared" si="2157"/>
        <v>0.68</v>
      </c>
      <c r="CB472" s="9">
        <f t="shared" si="2158"/>
        <v>1.6504834472137122</v>
      </c>
      <c r="CC472" s="9">
        <f t="shared" si="2159"/>
        <v>4.1262086180342807</v>
      </c>
      <c r="CD472" s="40">
        <v>1</v>
      </c>
      <c r="CE472" s="9" t="e">
        <f>4*CC472*#REF!+60*CC472</f>
        <v>#REF!</v>
      </c>
      <c r="DC472" s="4" t="e">
        <f>#REF!</f>
        <v>#REF!</v>
      </c>
      <c r="DF472" s="4">
        <f t="shared" si="2160"/>
        <v>1.5161266614188229E-5</v>
      </c>
      <c r="DG472" s="4">
        <f t="shared" si="2161"/>
        <v>10.690419306030725</v>
      </c>
      <c r="DH472" s="4">
        <f t="shared" si="2162"/>
        <v>0.51344399879680713</v>
      </c>
      <c r="DI472" s="4">
        <f t="shared" si="2163"/>
        <v>8.1882665666777861</v>
      </c>
      <c r="DJ472" s="4">
        <f t="shared" si="2164"/>
        <v>9.5220326434042857</v>
      </c>
      <c r="DK472" s="4">
        <f t="shared" si="2165"/>
        <v>10.195269662186318</v>
      </c>
      <c r="DL472" s="38">
        <f t="shared" si="2166"/>
        <v>730.73808558135306</v>
      </c>
      <c r="DM472" s="4" t="e">
        <f t="shared" si="2167"/>
        <v>#REF!</v>
      </c>
      <c r="DN472" s="4">
        <f t="shared" si="2168"/>
        <v>2.2360679774997898</v>
      </c>
      <c r="DO472" s="4">
        <f t="shared" si="2169"/>
        <v>451.95739509293384</v>
      </c>
      <c r="DS472" s="4">
        <f t="shared" si="2170"/>
        <v>0.85</v>
      </c>
      <c r="DT472" s="4">
        <f t="shared" si="2171"/>
        <v>0.7</v>
      </c>
      <c r="DU472" s="4">
        <f t="shared" si="2172"/>
        <v>1</v>
      </c>
      <c r="DV472" s="4">
        <f t="shared" si="2173"/>
        <v>0.7</v>
      </c>
      <c r="DX472" s="4">
        <f t="shared" si="2174"/>
        <v>889.65517241379314</v>
      </c>
      <c r="EB472" s="4">
        <f t="shared" si="2175"/>
        <v>10.690419306030725</v>
      </c>
      <c r="EE472" s="4">
        <f t="shared" si="2176"/>
        <v>56.796126628494655</v>
      </c>
      <c r="EF472" s="4">
        <f t="shared" si="2177"/>
        <v>2.2360679774997898</v>
      </c>
      <c r="EG472" s="4">
        <f t="shared" si="2178"/>
        <v>0.1959548594517172</v>
      </c>
      <c r="EJ472" s="4">
        <f t="shared" si="2179"/>
        <v>0.1959548594517172</v>
      </c>
      <c r="EK472" s="4">
        <f t="shared" si="2180"/>
        <v>0.51344399879680713</v>
      </c>
      <c r="EL472" s="4">
        <f t="shared" si="2181"/>
        <v>8.1882665666777861</v>
      </c>
      <c r="EM472" s="4">
        <f t="shared" si="2182"/>
        <v>9.5220326434042857</v>
      </c>
      <c r="EN472" s="4" t="e">
        <f t="shared" si="2183"/>
        <v>#REF!</v>
      </c>
      <c r="EO472" s="4" t="e">
        <f t="shared" si="2184"/>
        <v>#REF!</v>
      </c>
      <c r="EP472" s="4" t="e">
        <f t="shared" si="2185"/>
        <v>#REF!</v>
      </c>
      <c r="EQ472" s="4" t="e">
        <f t="shared" si="2186"/>
        <v>#REF!</v>
      </c>
      <c r="ER472" s="4" t="e">
        <f t="shared" si="2187"/>
        <v>#REF!</v>
      </c>
      <c r="FA472" s="23"/>
      <c r="FB472" s="23"/>
      <c r="FC472" s="23"/>
      <c r="FD472" s="23"/>
      <c r="FE472" s="23"/>
      <c r="FF472" s="23"/>
      <c r="FG472" s="23"/>
      <c r="FH472" s="23"/>
      <c r="FR472" s="4">
        <f t="shared" si="2188"/>
        <v>1</v>
      </c>
      <c r="FS472" s="4">
        <f t="shared" si="2189"/>
        <v>1.0833333333333333</v>
      </c>
      <c r="FT472" s="4">
        <f t="shared" si="2190"/>
        <v>0</v>
      </c>
      <c r="FU472" s="4">
        <f t="shared" si="2191"/>
        <v>182.22714791625231</v>
      </c>
    </row>
    <row r="473" spans="1:177" ht="12" customHeight="1" x14ac:dyDescent="0.3">
      <c r="B473" s="14"/>
      <c r="C473" s="43" t="s">
        <v>625</v>
      </c>
      <c r="D473" s="38">
        <f t="shared" si="2129"/>
        <v>889.65517241379314</v>
      </c>
      <c r="E473" s="45">
        <v>187.96</v>
      </c>
      <c r="F473" s="45">
        <v>36</v>
      </c>
      <c r="G473" s="7">
        <v>25.4</v>
      </c>
      <c r="H473" s="45">
        <v>1219.1999999999998</v>
      </c>
      <c r="I473" s="45">
        <v>596.9</v>
      </c>
      <c r="J473" s="45">
        <v>596.9</v>
      </c>
      <c r="K473" s="7"/>
      <c r="L473" s="38">
        <v>1</v>
      </c>
      <c r="N473" s="7">
        <f t="shared" si="2130"/>
        <v>24</v>
      </c>
      <c r="O473" s="7">
        <f t="shared" si="2131"/>
        <v>24</v>
      </c>
      <c r="P473" s="45">
        <v>4.0999999999999996</v>
      </c>
      <c r="Q473" s="4">
        <f t="shared" si="2132"/>
        <v>4.0999999999999996</v>
      </c>
      <c r="R473" s="4">
        <f t="shared" si="2133"/>
        <v>5.0999999999999996</v>
      </c>
      <c r="S473" s="7">
        <f t="shared" si="2134"/>
        <v>57.361276136431961</v>
      </c>
      <c r="V473" s="45">
        <v>601.37931034482767</v>
      </c>
      <c r="Y473" s="38"/>
      <c r="Z473" s="38"/>
      <c r="AA473" s="39">
        <v>1</v>
      </c>
      <c r="AB473" s="39"/>
      <c r="AC473" s="39"/>
      <c r="AE473" s="4">
        <f t="shared" si="2135"/>
        <v>187.96</v>
      </c>
      <c r="AF473" s="4">
        <f t="shared" si="2136"/>
        <v>1</v>
      </c>
      <c r="AG473" s="4">
        <f t="shared" si="2137"/>
        <v>305.13504551575329</v>
      </c>
      <c r="AH473" s="4">
        <f t="shared" si="2138"/>
        <v>1</v>
      </c>
      <c r="AI473" s="4">
        <v>1.25</v>
      </c>
      <c r="AJ473" s="4">
        <v>1</v>
      </c>
      <c r="AK473" s="38">
        <f t="shared" si="2139"/>
        <v>381.41880689469161</v>
      </c>
      <c r="AL473" s="38">
        <f t="shared" si="2192"/>
        <v>381.41880689469161</v>
      </c>
      <c r="AM473" s="38">
        <f t="shared" si="2140"/>
        <v>3.2708170670978505</v>
      </c>
      <c r="AR473" s="4" t="e">
        <f>#REF!/G473*F473^0.5/0.19</f>
        <v>#REF!</v>
      </c>
      <c r="AS473" s="4">
        <f t="shared" si="2141"/>
        <v>1</v>
      </c>
      <c r="AT473" s="38">
        <f t="shared" si="2142"/>
        <v>3498.9333231715059</v>
      </c>
      <c r="AU473" s="4">
        <f t="shared" si="2143"/>
        <v>0.42600000000000005</v>
      </c>
      <c r="AV473" s="4" t="e">
        <f>AU473*D473*#REF!/(D473*G473/2.75/F473^0.5)</f>
        <v>#REF!</v>
      </c>
      <c r="AW473" s="4" t="e">
        <f t="shared" si="2144"/>
        <v>#REF!</v>
      </c>
      <c r="AY473" s="4">
        <f t="shared" si="2145"/>
        <v>1.5</v>
      </c>
      <c r="AZ473" s="4" t="e">
        <f>(3*#REF!+30)*AY473*F473^0.5</f>
        <v>#REF!</v>
      </c>
      <c r="BB473" s="4">
        <f t="shared" si="2146"/>
        <v>3355.904948584548</v>
      </c>
      <c r="BC473" s="4">
        <f t="shared" si="2147"/>
        <v>0</v>
      </c>
      <c r="BD473" s="4">
        <f t="shared" si="2148"/>
        <v>0</v>
      </c>
      <c r="BL473" s="4">
        <f t="shared" si="2149"/>
        <v>596.9</v>
      </c>
      <c r="BP473" s="9"/>
      <c r="BR473" s="9"/>
      <c r="BS473" s="9"/>
      <c r="BT473" s="9">
        <f t="shared" si="2150"/>
        <v>596.9</v>
      </c>
      <c r="BU473" s="9">
        <f t="shared" si="2151"/>
        <v>596.9</v>
      </c>
      <c r="BV473" s="9">
        <f t="shared" si="2152"/>
        <v>4.8476798574163293</v>
      </c>
      <c r="BW473" s="40">
        <f t="shared" si="2153"/>
        <v>0</v>
      </c>
      <c r="BX473" s="9">
        <f t="shared" si="2154"/>
        <v>0</v>
      </c>
      <c r="BY473" s="9">
        <f t="shared" si="2155"/>
        <v>0</v>
      </c>
      <c r="BZ473" s="9">
        <f t="shared" si="2156"/>
        <v>0.99524931562137331</v>
      </c>
      <c r="CA473" s="9">
        <f t="shared" si="2157"/>
        <v>0.68</v>
      </c>
      <c r="CB473" s="9">
        <f t="shared" si="2158"/>
        <v>1.4212160227073209</v>
      </c>
      <c r="CC473" s="9">
        <f t="shared" si="2159"/>
        <v>3.5530400567683023</v>
      </c>
      <c r="CD473" s="40">
        <v>1</v>
      </c>
      <c r="CE473" s="9" t="e">
        <f>4*CC473*#REF!+60*CC473</f>
        <v>#REF!</v>
      </c>
      <c r="DC473" s="4" t="e">
        <f>#REF!</f>
        <v>#REF!</v>
      </c>
      <c r="DF473" s="4">
        <f t="shared" si="2160"/>
        <v>1.377787017281802E-5</v>
      </c>
      <c r="DG473" s="4">
        <f t="shared" si="2161"/>
        <v>9.2054211345406056</v>
      </c>
      <c r="DH473" s="4">
        <f t="shared" si="2162"/>
        <v>0.57580583984844791</v>
      </c>
      <c r="DI473" s="4">
        <f t="shared" si="2163"/>
        <v>7.3816608504860692</v>
      </c>
      <c r="DJ473" s="4">
        <f t="shared" si="2164"/>
        <v>8.3435810675533659</v>
      </c>
      <c r="DK473" s="4">
        <f t="shared" si="2165"/>
        <v>8.8682086466934464</v>
      </c>
      <c r="DL473" s="38">
        <f t="shared" si="2166"/>
        <v>623.58176377795292</v>
      </c>
      <c r="DM473" s="4" t="e">
        <f t="shared" si="2167"/>
        <v>#REF!</v>
      </c>
      <c r="DN473" s="4">
        <f t="shared" si="2168"/>
        <v>2.2583179581272428</v>
      </c>
      <c r="DO473" s="4">
        <f t="shared" si="2169"/>
        <v>381.41880689469161</v>
      </c>
      <c r="DS473" s="4">
        <f t="shared" si="2170"/>
        <v>0.85</v>
      </c>
      <c r="DT473" s="4">
        <f t="shared" si="2171"/>
        <v>0.7</v>
      </c>
      <c r="DU473" s="4">
        <f t="shared" si="2172"/>
        <v>1</v>
      </c>
      <c r="DV473" s="4">
        <f t="shared" si="2173"/>
        <v>0.7</v>
      </c>
      <c r="DX473" s="4">
        <f t="shared" si="2174"/>
        <v>889.65517241379314</v>
      </c>
      <c r="EB473" s="4">
        <f t="shared" si="2175"/>
        <v>9.2054211345406056</v>
      </c>
      <c r="EE473" s="4">
        <f t="shared" si="2176"/>
        <v>57.361276136431961</v>
      </c>
      <c r="EF473" s="4">
        <f t="shared" si="2177"/>
        <v>2.2583179581272428</v>
      </c>
      <c r="EG473" s="4">
        <f t="shared" si="2178"/>
        <v>0.18922910833692116</v>
      </c>
      <c r="EJ473" s="4">
        <f t="shared" si="2179"/>
        <v>0.18922910833692116</v>
      </c>
      <c r="EK473" s="4">
        <f t="shared" si="2180"/>
        <v>0.57580583984844791</v>
      </c>
      <c r="EL473" s="4">
        <f t="shared" si="2181"/>
        <v>7.3816608504860692</v>
      </c>
      <c r="EM473" s="4">
        <f t="shared" si="2182"/>
        <v>8.3435810675533659</v>
      </c>
      <c r="EN473" s="4" t="e">
        <f t="shared" si="2183"/>
        <v>#REF!</v>
      </c>
      <c r="EO473" s="4" t="e">
        <f t="shared" si="2184"/>
        <v>#REF!</v>
      </c>
      <c r="EP473" s="4" t="e">
        <f t="shared" si="2185"/>
        <v>#REF!</v>
      </c>
      <c r="EQ473" s="4" t="e">
        <f t="shared" si="2186"/>
        <v>#REF!</v>
      </c>
      <c r="ER473" s="4" t="e">
        <f t="shared" si="2187"/>
        <v>#REF!</v>
      </c>
      <c r="FA473" s="23"/>
      <c r="FB473" s="23"/>
      <c r="FC473" s="23"/>
      <c r="FD473" s="23"/>
      <c r="FE473" s="23"/>
      <c r="FF473" s="23"/>
      <c r="FG473" s="23"/>
      <c r="FH473" s="23"/>
      <c r="FR473" s="4">
        <f t="shared" si="2188"/>
        <v>1</v>
      </c>
      <c r="FS473" s="4">
        <f t="shared" si="2189"/>
        <v>1.0833333333333333</v>
      </c>
      <c r="FT473" s="4">
        <f t="shared" si="2190"/>
        <v>0</v>
      </c>
      <c r="FU473" s="4">
        <f t="shared" si="2191"/>
        <v>166.84300191817573</v>
      </c>
    </row>
    <row r="474" spans="1:177" ht="12" customHeight="1" x14ac:dyDescent="0.3">
      <c r="B474" s="14"/>
      <c r="C474" s="43" t="s">
        <v>625</v>
      </c>
      <c r="D474" s="38">
        <f t="shared" si="2129"/>
        <v>889.65517241379314</v>
      </c>
      <c r="E474" s="45">
        <v>187.96</v>
      </c>
      <c r="F474" s="45">
        <v>36</v>
      </c>
      <c r="G474" s="7">
        <v>25.4</v>
      </c>
      <c r="H474" s="45">
        <v>1219.1999999999998</v>
      </c>
      <c r="I474" s="45">
        <v>596.9</v>
      </c>
      <c r="J474" s="45">
        <v>596.9</v>
      </c>
      <c r="K474" s="7"/>
      <c r="L474" s="38">
        <v>1</v>
      </c>
      <c r="N474" s="7">
        <f t="shared" si="2130"/>
        <v>24</v>
      </c>
      <c r="O474" s="7">
        <f t="shared" si="2131"/>
        <v>24</v>
      </c>
      <c r="P474" s="45">
        <v>4.0999999999999996</v>
      </c>
      <c r="Q474" s="4">
        <f t="shared" si="2132"/>
        <v>4.0999999999999996</v>
      </c>
      <c r="R474" s="4">
        <f t="shared" si="2133"/>
        <v>5.0999999999999996</v>
      </c>
      <c r="S474" s="7">
        <f t="shared" si="2134"/>
        <v>57.361276136431961</v>
      </c>
      <c r="V474" s="45">
        <v>562.06896551724139</v>
      </c>
      <c r="Y474" s="38"/>
      <c r="Z474" s="38"/>
      <c r="AA474" s="39">
        <v>1</v>
      </c>
      <c r="AB474" s="39"/>
      <c r="AC474" s="39"/>
      <c r="AE474" s="4">
        <f t="shared" si="2135"/>
        <v>187.96</v>
      </c>
      <c r="AF474" s="4">
        <f t="shared" si="2136"/>
        <v>1</v>
      </c>
      <c r="AG474" s="4">
        <f t="shared" si="2137"/>
        <v>305.13504551575329</v>
      </c>
      <c r="AH474" s="4">
        <f t="shared" si="2138"/>
        <v>1</v>
      </c>
      <c r="AI474" s="4">
        <v>1.25</v>
      </c>
      <c r="AJ474" s="4">
        <v>1</v>
      </c>
      <c r="AK474" s="38">
        <f t="shared" si="2139"/>
        <v>381.41880689469161</v>
      </c>
      <c r="AL474" s="38">
        <f t="shared" si="2192"/>
        <v>381.41880689469161</v>
      </c>
      <c r="AM474" s="38">
        <f t="shared" si="2140"/>
        <v>3.2708170670978505</v>
      </c>
      <c r="AR474" s="4" t="e">
        <f>#REF!/G474*F474^0.5/0.19</f>
        <v>#REF!</v>
      </c>
      <c r="AS474" s="4">
        <f t="shared" si="2141"/>
        <v>1</v>
      </c>
      <c r="AT474" s="38">
        <f t="shared" si="2142"/>
        <v>3498.9333231715059</v>
      </c>
      <c r="AU474" s="4">
        <f t="shared" si="2143"/>
        <v>0.42600000000000005</v>
      </c>
      <c r="AV474" s="4" t="e">
        <f>AU474*D474*#REF!/(D474*G474/2.75/F474^0.5)</f>
        <v>#REF!</v>
      </c>
      <c r="AW474" s="4" t="e">
        <f t="shared" si="2144"/>
        <v>#REF!</v>
      </c>
      <c r="AY474" s="4">
        <f t="shared" si="2145"/>
        <v>1.5</v>
      </c>
      <c r="AZ474" s="4" t="e">
        <f>(3*#REF!+30)*AY474*F474^0.5</f>
        <v>#REF!</v>
      </c>
      <c r="BB474" s="4">
        <f t="shared" si="2146"/>
        <v>3355.904948584548</v>
      </c>
      <c r="BC474" s="4">
        <f t="shared" si="2147"/>
        <v>0</v>
      </c>
      <c r="BD474" s="4">
        <f t="shared" si="2148"/>
        <v>0</v>
      </c>
      <c r="BL474" s="4">
        <f t="shared" si="2149"/>
        <v>596.9</v>
      </c>
      <c r="BP474" s="9"/>
      <c r="BR474" s="9"/>
      <c r="BS474" s="9"/>
      <c r="BT474" s="9">
        <f t="shared" si="2150"/>
        <v>596.9</v>
      </c>
      <c r="BU474" s="9">
        <f t="shared" si="2151"/>
        <v>596.9</v>
      </c>
      <c r="BV474" s="9">
        <f t="shared" si="2152"/>
        <v>4.8476798574163293</v>
      </c>
      <c r="BW474" s="40">
        <f t="shared" si="2153"/>
        <v>0</v>
      </c>
      <c r="BX474" s="9">
        <f t="shared" si="2154"/>
        <v>0</v>
      </c>
      <c r="BY474" s="9">
        <f t="shared" si="2155"/>
        <v>0</v>
      </c>
      <c r="BZ474" s="9">
        <f t="shared" si="2156"/>
        <v>0.99524931562137331</v>
      </c>
      <c r="CA474" s="9">
        <f t="shared" si="2157"/>
        <v>0.68</v>
      </c>
      <c r="CB474" s="9">
        <f t="shared" si="2158"/>
        <v>1.4212160227073209</v>
      </c>
      <c r="CC474" s="9">
        <f t="shared" si="2159"/>
        <v>3.5530400567683023</v>
      </c>
      <c r="CD474" s="40">
        <v>1</v>
      </c>
      <c r="CE474" s="9" t="e">
        <f>4*CC474*#REF!+60*CC474</f>
        <v>#REF!</v>
      </c>
      <c r="DC474" s="4" t="e">
        <f>#REF!</f>
        <v>#REF!</v>
      </c>
      <c r="DF474" s="4">
        <f t="shared" si="2160"/>
        <v>1.377787017281802E-5</v>
      </c>
      <c r="DG474" s="4">
        <f t="shared" si="2161"/>
        <v>9.2054211345406056</v>
      </c>
      <c r="DH474" s="4">
        <f t="shared" si="2162"/>
        <v>0.57580583984844791</v>
      </c>
      <c r="DI474" s="4">
        <f t="shared" si="2163"/>
        <v>7.3816608504860692</v>
      </c>
      <c r="DJ474" s="4">
        <f t="shared" si="2164"/>
        <v>8.3435810675533659</v>
      </c>
      <c r="DK474" s="4">
        <f t="shared" si="2165"/>
        <v>8.8682086466934464</v>
      </c>
      <c r="DL474" s="38">
        <f t="shared" si="2166"/>
        <v>623.58176377795292</v>
      </c>
      <c r="DM474" s="4" t="e">
        <f t="shared" si="2167"/>
        <v>#REF!</v>
      </c>
      <c r="DN474" s="4">
        <f t="shared" si="2168"/>
        <v>2.2583179581272428</v>
      </c>
      <c r="DO474" s="4">
        <f t="shared" si="2169"/>
        <v>381.41880689469161</v>
      </c>
      <c r="DS474" s="4">
        <f t="shared" si="2170"/>
        <v>0.85</v>
      </c>
      <c r="DT474" s="4">
        <f t="shared" si="2171"/>
        <v>0.7</v>
      </c>
      <c r="DU474" s="4">
        <f t="shared" si="2172"/>
        <v>1</v>
      </c>
      <c r="DV474" s="4">
        <f t="shared" si="2173"/>
        <v>0.7</v>
      </c>
      <c r="DX474" s="4">
        <f t="shared" si="2174"/>
        <v>889.65517241379314</v>
      </c>
      <c r="EB474" s="4">
        <f t="shared" si="2175"/>
        <v>9.2054211345406056</v>
      </c>
      <c r="EE474" s="4">
        <f t="shared" si="2176"/>
        <v>57.361276136431961</v>
      </c>
      <c r="EF474" s="4">
        <f t="shared" si="2177"/>
        <v>2.2583179581272428</v>
      </c>
      <c r="EG474" s="4">
        <f t="shared" si="2178"/>
        <v>0.18922910833692116</v>
      </c>
      <c r="EJ474" s="4">
        <f t="shared" si="2179"/>
        <v>0.18922910833692116</v>
      </c>
      <c r="EK474" s="4">
        <f t="shared" si="2180"/>
        <v>0.57580583984844791</v>
      </c>
      <c r="EL474" s="4">
        <f t="shared" si="2181"/>
        <v>7.3816608504860692</v>
      </c>
      <c r="EM474" s="4">
        <f t="shared" si="2182"/>
        <v>8.3435810675533659</v>
      </c>
      <c r="EN474" s="4" t="e">
        <f t="shared" si="2183"/>
        <v>#REF!</v>
      </c>
      <c r="EO474" s="4" t="e">
        <f t="shared" si="2184"/>
        <v>#REF!</v>
      </c>
      <c r="EP474" s="4" t="e">
        <f t="shared" si="2185"/>
        <v>#REF!</v>
      </c>
      <c r="EQ474" s="4" t="e">
        <f t="shared" si="2186"/>
        <v>#REF!</v>
      </c>
      <c r="ER474" s="4" t="e">
        <f t="shared" si="2187"/>
        <v>#REF!</v>
      </c>
      <c r="FA474" s="23"/>
      <c r="FB474" s="23"/>
      <c r="FC474" s="23"/>
      <c r="FD474" s="23"/>
      <c r="FE474" s="23"/>
      <c r="FF474" s="23"/>
      <c r="FG474" s="23"/>
      <c r="FH474" s="23"/>
      <c r="FR474" s="4">
        <f t="shared" si="2188"/>
        <v>1</v>
      </c>
      <c r="FS474" s="4">
        <f t="shared" si="2189"/>
        <v>1.0833333333333333</v>
      </c>
      <c r="FT474" s="4">
        <f t="shared" si="2190"/>
        <v>0</v>
      </c>
      <c r="FU474" s="4">
        <f t="shared" si="2191"/>
        <v>166.84300191817573</v>
      </c>
    </row>
    <row r="475" spans="1:177" ht="12" customHeight="1" x14ac:dyDescent="0.3">
      <c r="A475" s="52"/>
      <c r="B475" s="24"/>
      <c r="C475" s="43" t="s">
        <v>626</v>
      </c>
      <c r="D475" s="38">
        <f t="shared" si="2129"/>
        <v>889.65517241379314</v>
      </c>
      <c r="E475" s="45">
        <v>180.33999999999997</v>
      </c>
      <c r="F475" s="45">
        <v>36</v>
      </c>
      <c r="G475" s="7">
        <v>25.4</v>
      </c>
      <c r="H475" s="45">
        <v>1219.1999999999998</v>
      </c>
      <c r="I475" s="45">
        <v>596.9</v>
      </c>
      <c r="J475" s="45">
        <v>596.9</v>
      </c>
      <c r="K475" s="7"/>
      <c r="L475" s="38">
        <v>1</v>
      </c>
      <c r="N475" s="7">
        <f t="shared" si="2130"/>
        <v>24</v>
      </c>
      <c r="O475" s="7">
        <f t="shared" si="2131"/>
        <v>24</v>
      </c>
      <c r="P475" s="45">
        <v>9.1</v>
      </c>
      <c r="Q475" s="4">
        <f t="shared" si="2132"/>
        <v>9.1</v>
      </c>
      <c r="R475" s="4">
        <f t="shared" si="2133"/>
        <v>10.1</v>
      </c>
      <c r="S475" s="7">
        <f t="shared" si="2134"/>
        <v>80.72246279691916</v>
      </c>
      <c r="V475" s="45">
        <v>610.34482758620697</v>
      </c>
      <c r="Y475" s="38"/>
      <c r="Z475" s="38"/>
      <c r="AA475" s="39">
        <v>1</v>
      </c>
      <c r="AB475" s="39"/>
      <c r="AC475" s="39"/>
      <c r="AE475" s="4">
        <f t="shared" si="2135"/>
        <v>180.33999999999997</v>
      </c>
      <c r="AF475" s="4">
        <f t="shared" si="2136"/>
        <v>1</v>
      </c>
      <c r="AG475" s="4">
        <f t="shared" si="2137"/>
        <v>286.76888899995987</v>
      </c>
      <c r="AH475" s="4">
        <f t="shared" si="2138"/>
        <v>1</v>
      </c>
      <c r="AI475" s="4">
        <v>1.25</v>
      </c>
      <c r="AJ475" s="4">
        <v>1</v>
      </c>
      <c r="AK475" s="38">
        <f t="shared" si="2139"/>
        <v>358.46111124994985</v>
      </c>
      <c r="AL475" s="38">
        <f t="shared" si="2192"/>
        <v>358.46111124994985</v>
      </c>
      <c r="AM475" s="38">
        <f t="shared" si="2140"/>
        <v>3.2708170670978505</v>
      </c>
      <c r="AR475" s="4" t="e">
        <f>#REF!/G475*F475^0.5/0.19</f>
        <v>#REF!</v>
      </c>
      <c r="AS475" s="4">
        <f t="shared" si="2141"/>
        <v>1</v>
      </c>
      <c r="AT475" s="38">
        <f t="shared" si="2142"/>
        <v>5212.7204413818317</v>
      </c>
      <c r="AU475" s="4">
        <f t="shared" si="2143"/>
        <v>0.3</v>
      </c>
      <c r="AV475" s="4" t="e">
        <f>AU475*D475*#REF!/(D475*G475/2.75/F475^0.5)</f>
        <v>#REF!</v>
      </c>
      <c r="AW475" s="4" t="e">
        <f t="shared" si="2144"/>
        <v>#REF!</v>
      </c>
      <c r="AY475" s="4">
        <f t="shared" si="2145"/>
        <v>1.5</v>
      </c>
      <c r="AZ475" s="4" t="e">
        <f>(3*#REF!+30)*AY475*F475^0.5</f>
        <v>#REF!</v>
      </c>
      <c r="BB475" s="4">
        <f t="shared" si="2146"/>
        <v>4999.6363774559568</v>
      </c>
      <c r="BC475" s="4">
        <f t="shared" si="2147"/>
        <v>0</v>
      </c>
      <c r="BD475" s="4">
        <f t="shared" si="2148"/>
        <v>0</v>
      </c>
      <c r="BL475" s="4">
        <f t="shared" si="2149"/>
        <v>596.9</v>
      </c>
      <c r="BP475" s="9"/>
      <c r="BR475" s="9"/>
      <c r="BS475" s="9"/>
      <c r="BT475" s="9">
        <f t="shared" si="2150"/>
        <v>596.9</v>
      </c>
      <c r="BU475" s="9">
        <f t="shared" si="2151"/>
        <v>596.9</v>
      </c>
      <c r="BV475" s="9">
        <f t="shared" si="2152"/>
        <v>4.8476798574163293</v>
      </c>
      <c r="BW475" s="40">
        <f t="shared" si="2153"/>
        <v>0</v>
      </c>
      <c r="BX475" s="9">
        <f t="shared" si="2154"/>
        <v>0</v>
      </c>
      <c r="BY475" s="9">
        <f t="shared" si="2155"/>
        <v>0</v>
      </c>
      <c r="BZ475" s="9">
        <f t="shared" si="2156"/>
        <v>0.99524931562137331</v>
      </c>
      <c r="CA475" s="9">
        <f t="shared" si="2157"/>
        <v>0.68</v>
      </c>
      <c r="CB475" s="9">
        <f t="shared" si="2158"/>
        <v>1.4212160227073209</v>
      </c>
      <c r="CC475" s="9">
        <f t="shared" si="2159"/>
        <v>3.5530400567683023</v>
      </c>
      <c r="CD475" s="40">
        <v>1</v>
      </c>
      <c r="CE475" s="9" t="e">
        <f>4*CC475*#REF!+60*CC475</f>
        <v>#REF!</v>
      </c>
      <c r="DC475" s="4" t="e">
        <f>#REF!</f>
        <v>#REF!</v>
      </c>
      <c r="DF475" s="4">
        <f t="shared" si="2160"/>
        <v>1.3219307868514583E-5</v>
      </c>
      <c r="DG475" s="4">
        <f t="shared" si="2161"/>
        <v>9.2054211345406056</v>
      </c>
      <c r="DH475" s="4">
        <f t="shared" si="2162"/>
        <v>0.34311054994209239</v>
      </c>
      <c r="DI475" s="4">
        <f t="shared" si="2163"/>
        <v>6.0009124459143566</v>
      </c>
      <c r="DJ475" s="4">
        <f t="shared" si="2164"/>
        <v>7.7708713439840205</v>
      </c>
      <c r="DK475" s="4">
        <f t="shared" si="2165"/>
        <v>8.9353684179504107</v>
      </c>
      <c r="DL475" s="38">
        <f t="shared" si="2166"/>
        <v>564.92171714795745</v>
      </c>
      <c r="DM475" s="4" t="e">
        <f t="shared" si="2167"/>
        <v>#REF!</v>
      </c>
      <c r="DN475" s="4">
        <f t="shared" si="2168"/>
        <v>3.1780497164141401</v>
      </c>
      <c r="DO475" s="4">
        <f t="shared" si="2169"/>
        <v>358.46111124994985</v>
      </c>
      <c r="DS475" s="4">
        <f t="shared" si="2170"/>
        <v>0.85</v>
      </c>
      <c r="DT475" s="4">
        <f t="shared" si="2171"/>
        <v>0.7</v>
      </c>
      <c r="DU475" s="4">
        <f t="shared" si="2172"/>
        <v>1</v>
      </c>
      <c r="DV475" s="4">
        <f t="shared" si="2173"/>
        <v>0.7</v>
      </c>
      <c r="DX475" s="4">
        <f t="shared" si="2174"/>
        <v>889.65517241379314</v>
      </c>
      <c r="EB475" s="4">
        <f t="shared" si="2175"/>
        <v>9.2054211345406056</v>
      </c>
      <c r="EE475" s="4">
        <f t="shared" si="2176"/>
        <v>80.72246279691916</v>
      </c>
      <c r="EF475" s="4">
        <f t="shared" si="2177"/>
        <v>3.1780497164141406</v>
      </c>
      <c r="EG475" s="4">
        <f t="shared" si="2178"/>
        <v>0.11275763275277211</v>
      </c>
      <c r="EJ475" s="4">
        <f t="shared" si="2179"/>
        <v>0.11275763275277211</v>
      </c>
      <c r="EK475" s="4">
        <f t="shared" si="2180"/>
        <v>0.34311054994209239</v>
      </c>
      <c r="EL475" s="4">
        <f t="shared" si="2181"/>
        <v>6.0009124459143566</v>
      </c>
      <c r="EM475" s="4">
        <f t="shared" si="2182"/>
        <v>7.7708713439840205</v>
      </c>
      <c r="EN475" s="4" t="e">
        <f t="shared" si="2183"/>
        <v>#REF!</v>
      </c>
      <c r="EO475" s="4" t="e">
        <f t="shared" si="2184"/>
        <v>#REF!</v>
      </c>
      <c r="EP475" s="4" t="e">
        <f t="shared" si="2185"/>
        <v>#REF!</v>
      </c>
      <c r="EQ475" s="4" t="e">
        <f t="shared" si="2186"/>
        <v>#REF!</v>
      </c>
      <c r="ER475" s="4" t="e">
        <f t="shared" si="2187"/>
        <v>#REF!</v>
      </c>
      <c r="FA475" s="23"/>
      <c r="FB475" s="23"/>
      <c r="FC475" s="23"/>
      <c r="FD475" s="23"/>
      <c r="FE475" s="23"/>
      <c r="FF475" s="23"/>
      <c r="FG475" s="23"/>
      <c r="FH475" s="23"/>
      <c r="FR475" s="4">
        <f t="shared" si="2188"/>
        <v>1</v>
      </c>
      <c r="FS475" s="4">
        <f t="shared" si="2189"/>
        <v>1.0833333333333333</v>
      </c>
      <c r="FT475" s="4">
        <f t="shared" si="2190"/>
        <v>0</v>
      </c>
      <c r="FU475" s="4">
        <f t="shared" si="2191"/>
        <v>160.07909643500642</v>
      </c>
    </row>
    <row r="476" spans="1:177" ht="12" customHeight="1" x14ac:dyDescent="0.3">
      <c r="A476" s="52"/>
      <c r="B476" s="24"/>
      <c r="C476" s="43" t="s">
        <v>626</v>
      </c>
      <c r="D476" s="38">
        <f t="shared" si="2129"/>
        <v>889.65517241379314</v>
      </c>
      <c r="E476" s="45">
        <v>177.79999999999998</v>
      </c>
      <c r="F476" s="45">
        <v>36</v>
      </c>
      <c r="G476" s="7">
        <v>25.4</v>
      </c>
      <c r="H476" s="45">
        <v>1219.1999999999998</v>
      </c>
      <c r="I476" s="45">
        <v>596.9</v>
      </c>
      <c r="J476" s="45">
        <v>596.9</v>
      </c>
      <c r="K476" s="7"/>
      <c r="L476" s="38">
        <v>1</v>
      </c>
      <c r="N476" s="7">
        <f t="shared" si="2130"/>
        <v>24</v>
      </c>
      <c r="O476" s="7">
        <f t="shared" si="2131"/>
        <v>24</v>
      </c>
      <c r="P476" s="45">
        <v>9.1</v>
      </c>
      <c r="Q476" s="4">
        <f t="shared" si="2132"/>
        <v>9.1</v>
      </c>
      <c r="R476" s="4">
        <f t="shared" si="2133"/>
        <v>10.1</v>
      </c>
      <c r="S476" s="7">
        <f t="shared" si="2134"/>
        <v>80.72246279691916</v>
      </c>
      <c r="V476" s="45">
        <v>479.31034482758622</v>
      </c>
      <c r="Y476" s="38"/>
      <c r="Z476" s="38"/>
      <c r="AA476" s="39">
        <v>1</v>
      </c>
      <c r="AB476" s="39"/>
      <c r="AC476" s="39"/>
      <c r="AE476" s="4">
        <f t="shared" si="2135"/>
        <v>177.79999999999998</v>
      </c>
      <c r="AF476" s="4">
        <f t="shared" si="2136"/>
        <v>1</v>
      </c>
      <c r="AG476" s="4">
        <f t="shared" si="2137"/>
        <v>280.73177442647159</v>
      </c>
      <c r="AH476" s="4">
        <f t="shared" si="2138"/>
        <v>1</v>
      </c>
      <c r="AI476" s="4">
        <v>1.25</v>
      </c>
      <c r="AJ476" s="4">
        <v>1</v>
      </c>
      <c r="AK476" s="38">
        <f t="shared" si="2139"/>
        <v>350.91471803308946</v>
      </c>
      <c r="AL476" s="38">
        <f t="shared" si="2192"/>
        <v>350.91471803308946</v>
      </c>
      <c r="AM476" s="38">
        <f t="shared" si="2140"/>
        <v>3.2708170670978505</v>
      </c>
      <c r="AR476" s="4" t="e">
        <f>#REF!/G476*F476^0.5/0.19</f>
        <v>#REF!</v>
      </c>
      <c r="AS476" s="4">
        <f t="shared" si="2141"/>
        <v>1</v>
      </c>
      <c r="AT476" s="38">
        <f t="shared" si="2142"/>
        <v>5212.7204413818317</v>
      </c>
      <c r="AU476" s="4">
        <f t="shared" si="2143"/>
        <v>0.3</v>
      </c>
      <c r="AV476" s="4" t="e">
        <f>AU476*D476*#REF!/(D476*G476/2.75/F476^0.5)</f>
        <v>#REF!</v>
      </c>
      <c r="AW476" s="4" t="e">
        <f t="shared" si="2144"/>
        <v>#REF!</v>
      </c>
      <c r="AY476" s="4">
        <f t="shared" si="2145"/>
        <v>1.5</v>
      </c>
      <c r="AZ476" s="4" t="e">
        <f>(3*#REF!+30)*AY476*F476^0.5</f>
        <v>#REF!</v>
      </c>
      <c r="BB476" s="4">
        <f t="shared" si="2146"/>
        <v>4999.6363774559568</v>
      </c>
      <c r="BC476" s="4">
        <f t="shared" si="2147"/>
        <v>0</v>
      </c>
      <c r="BD476" s="4">
        <f t="shared" si="2148"/>
        <v>0</v>
      </c>
      <c r="BL476" s="4">
        <f t="shared" si="2149"/>
        <v>596.9</v>
      </c>
      <c r="BP476" s="9"/>
      <c r="BR476" s="9"/>
      <c r="BS476" s="9"/>
      <c r="BT476" s="9">
        <f t="shared" si="2150"/>
        <v>596.9</v>
      </c>
      <c r="BU476" s="9">
        <f t="shared" si="2151"/>
        <v>596.9</v>
      </c>
      <c r="BV476" s="9">
        <f t="shared" si="2152"/>
        <v>4.8476798574163293</v>
      </c>
      <c r="BW476" s="40">
        <f t="shared" si="2153"/>
        <v>0</v>
      </c>
      <c r="BX476" s="9">
        <f t="shared" si="2154"/>
        <v>0</v>
      </c>
      <c r="BY476" s="9">
        <f t="shared" si="2155"/>
        <v>0</v>
      </c>
      <c r="BZ476" s="9">
        <f t="shared" si="2156"/>
        <v>0.99524931562137331</v>
      </c>
      <c r="CA476" s="9">
        <f t="shared" si="2157"/>
        <v>0.68</v>
      </c>
      <c r="CB476" s="9">
        <f t="shared" si="2158"/>
        <v>1.4212160227073209</v>
      </c>
      <c r="CC476" s="9">
        <f t="shared" si="2159"/>
        <v>3.5530400567683023</v>
      </c>
      <c r="CD476" s="40">
        <v>1</v>
      </c>
      <c r="CE476" s="9" t="e">
        <f>4*CC476*#REF!+60*CC476</f>
        <v>#REF!</v>
      </c>
      <c r="DC476" s="4" t="e">
        <f>#REF!</f>
        <v>#REF!</v>
      </c>
      <c r="DF476" s="4">
        <f t="shared" si="2160"/>
        <v>1.3033120433746772E-5</v>
      </c>
      <c r="DG476" s="4">
        <f t="shared" si="2161"/>
        <v>9.2054211345406056</v>
      </c>
      <c r="DH476" s="4">
        <f t="shared" si="2162"/>
        <v>0.33588731973536912</v>
      </c>
      <c r="DI476" s="4">
        <f t="shared" si="2163"/>
        <v>5.9500567122923123</v>
      </c>
      <c r="DJ476" s="4">
        <f t="shared" si="2164"/>
        <v>7.7513443849227031</v>
      </c>
      <c r="DK476" s="4">
        <f t="shared" si="2165"/>
        <v>8.9445872946317113</v>
      </c>
      <c r="DL476" s="38">
        <f t="shared" si="2166"/>
        <v>553.40673407015493</v>
      </c>
      <c r="DM476" s="4" t="e">
        <f t="shared" si="2167"/>
        <v>#REF!</v>
      </c>
      <c r="DN476" s="4">
        <f t="shared" si="2168"/>
        <v>3.1780497164141401</v>
      </c>
      <c r="DO476" s="4">
        <f t="shared" si="2169"/>
        <v>350.91471803308946</v>
      </c>
      <c r="DS476" s="4">
        <f t="shared" si="2170"/>
        <v>0.85</v>
      </c>
      <c r="DT476" s="4">
        <f t="shared" si="2171"/>
        <v>0.7</v>
      </c>
      <c r="DU476" s="4">
        <f t="shared" si="2172"/>
        <v>1</v>
      </c>
      <c r="DV476" s="4">
        <f t="shared" si="2173"/>
        <v>0.7</v>
      </c>
      <c r="DX476" s="4">
        <f t="shared" si="2174"/>
        <v>889.65517241379314</v>
      </c>
      <c r="EB476" s="4">
        <f t="shared" si="2175"/>
        <v>9.2054211345406056</v>
      </c>
      <c r="EE476" s="4">
        <f t="shared" si="2176"/>
        <v>80.72246279691916</v>
      </c>
      <c r="EF476" s="4">
        <f t="shared" si="2177"/>
        <v>3.1780497164141406</v>
      </c>
      <c r="EG476" s="4">
        <f t="shared" si="2178"/>
        <v>0.11038383707940708</v>
      </c>
      <c r="EJ476" s="4">
        <f t="shared" si="2179"/>
        <v>0.11038383707940708</v>
      </c>
      <c r="EK476" s="4">
        <f t="shared" si="2180"/>
        <v>0.33588731973536912</v>
      </c>
      <c r="EL476" s="4">
        <f t="shared" si="2181"/>
        <v>5.9500567122923123</v>
      </c>
      <c r="EM476" s="4">
        <f t="shared" si="2182"/>
        <v>7.7513443849227031</v>
      </c>
      <c r="EN476" s="4" t="e">
        <f t="shared" si="2183"/>
        <v>#REF!</v>
      </c>
      <c r="EO476" s="4" t="e">
        <f t="shared" si="2184"/>
        <v>#REF!</v>
      </c>
      <c r="EP476" s="4" t="e">
        <f t="shared" si="2185"/>
        <v>#REF!</v>
      </c>
      <c r="EQ476" s="4" t="e">
        <f t="shared" si="2186"/>
        <v>#REF!</v>
      </c>
      <c r="ER476" s="4" t="e">
        <f t="shared" si="2187"/>
        <v>#REF!</v>
      </c>
      <c r="FA476" s="23"/>
      <c r="FB476" s="23"/>
      <c r="FC476" s="23"/>
      <c r="FD476" s="23"/>
      <c r="FE476" s="23"/>
      <c r="FF476" s="23"/>
      <c r="FG476" s="23"/>
      <c r="FH476" s="23"/>
      <c r="FR476" s="4">
        <f t="shared" si="2188"/>
        <v>1</v>
      </c>
      <c r="FS476" s="4">
        <f t="shared" si="2189"/>
        <v>1.0833333333333333</v>
      </c>
      <c r="FT476" s="4">
        <f t="shared" si="2190"/>
        <v>0</v>
      </c>
      <c r="FU476" s="4">
        <f t="shared" si="2191"/>
        <v>157.82446127394999</v>
      </c>
    </row>
    <row r="477" spans="1:177" ht="12" customHeight="1" x14ac:dyDescent="0.3">
      <c r="A477" s="52"/>
      <c r="B477" s="24"/>
      <c r="C477" s="43" t="s">
        <v>627</v>
      </c>
      <c r="D477" s="38">
        <f t="shared" si="2129"/>
        <v>889.65517241379314</v>
      </c>
      <c r="E477" s="45">
        <v>152.39999999999998</v>
      </c>
      <c r="F477" s="45">
        <v>50.96551724137931</v>
      </c>
      <c r="G477" s="7">
        <v>25.4</v>
      </c>
      <c r="H477" s="45">
        <v>1219.1999999999998</v>
      </c>
      <c r="I477" s="45">
        <v>596.9</v>
      </c>
      <c r="J477" s="45">
        <v>596.9</v>
      </c>
      <c r="K477" s="7"/>
      <c r="L477" s="38">
        <v>1</v>
      </c>
      <c r="N477" s="7">
        <f t="shared" si="2130"/>
        <v>24</v>
      </c>
      <c r="O477" s="7">
        <f t="shared" si="2131"/>
        <v>24</v>
      </c>
      <c r="P477" s="45">
        <v>4.0999999999999996</v>
      </c>
      <c r="Q477" s="4">
        <f t="shared" si="2132"/>
        <v>4.0999999999999996</v>
      </c>
      <c r="R477" s="4">
        <f t="shared" si="2133"/>
        <v>5.0999999999999996</v>
      </c>
      <c r="S477" s="7">
        <f t="shared" si="2134"/>
        <v>57.361276136431961</v>
      </c>
      <c r="V477" s="45">
        <v>562.06896551724139</v>
      </c>
      <c r="Y477" s="38"/>
      <c r="Z477" s="38"/>
      <c r="AA477" s="39">
        <v>1</v>
      </c>
      <c r="AB477" s="39"/>
      <c r="AC477" s="39"/>
      <c r="AE477" s="4">
        <f t="shared" si="2135"/>
        <v>152.39999999999998</v>
      </c>
      <c r="AF477" s="4">
        <f t="shared" si="2136"/>
        <v>0.99999999999999989</v>
      </c>
      <c r="AG477" s="4">
        <f t="shared" si="2137"/>
        <v>265.0686425289295</v>
      </c>
      <c r="AH477" s="4">
        <f t="shared" si="2138"/>
        <v>1</v>
      </c>
      <c r="AI477" s="4">
        <v>1.25</v>
      </c>
      <c r="AJ477" s="4">
        <v>1</v>
      </c>
      <c r="AK477" s="38">
        <f t="shared" si="2139"/>
        <v>331.33580316116183</v>
      </c>
      <c r="AL477" s="38">
        <f t="shared" si="2192"/>
        <v>331.33580316116183</v>
      </c>
      <c r="AM477" s="38">
        <f t="shared" si="2140"/>
        <v>4.093765657510513</v>
      </c>
      <c r="AR477" s="4" t="e">
        <f>#REF!/G477*F477^0.5/0.19</f>
        <v>#REF!</v>
      </c>
      <c r="AS477" s="4">
        <f t="shared" si="2141"/>
        <v>1</v>
      </c>
      <c r="AT477" s="38">
        <f t="shared" si="2142"/>
        <v>4953.4707391259444</v>
      </c>
      <c r="AU477" s="4">
        <f t="shared" si="2143"/>
        <v>0.42600000000000005</v>
      </c>
      <c r="AV477" s="4" t="e">
        <f>AU477*D477*#REF!/(D477*G477/2.75/F477^0.5)</f>
        <v>#REF!</v>
      </c>
      <c r="AW477" s="4" t="e">
        <f t="shared" si="2144"/>
        <v>#REF!</v>
      </c>
      <c r="AY477" s="4">
        <f t="shared" si="2145"/>
        <v>1.5</v>
      </c>
      <c r="AZ477" s="4" t="e">
        <f>(3*#REF!+30)*AY477*F477^0.5</f>
        <v>#REF!</v>
      </c>
      <c r="BB477" s="4">
        <f t="shared" si="2146"/>
        <v>4750.9842088198866</v>
      </c>
      <c r="BC477" s="4">
        <f t="shared" si="2147"/>
        <v>0</v>
      </c>
      <c r="BD477" s="4">
        <f t="shared" si="2148"/>
        <v>0</v>
      </c>
      <c r="BL477" s="4">
        <f t="shared" si="2149"/>
        <v>596.9</v>
      </c>
      <c r="BP477" s="9"/>
      <c r="BR477" s="9"/>
      <c r="BS477" s="9"/>
      <c r="BT477" s="9">
        <f t="shared" si="2150"/>
        <v>596.9</v>
      </c>
      <c r="BU477" s="9">
        <f t="shared" si="2151"/>
        <v>596.9</v>
      </c>
      <c r="BV477" s="9">
        <f t="shared" si="2152"/>
        <v>4.8476798574163293</v>
      </c>
      <c r="BW477" s="40">
        <f t="shared" si="2153"/>
        <v>0</v>
      </c>
      <c r="BX477" s="9">
        <f t="shared" si="2154"/>
        <v>0</v>
      </c>
      <c r="BY477" s="9">
        <f t="shared" si="2155"/>
        <v>0</v>
      </c>
      <c r="BZ477" s="9">
        <f t="shared" si="2156"/>
        <v>0.99524931562137331</v>
      </c>
      <c r="CA477" s="9">
        <f t="shared" si="2157"/>
        <v>0.68</v>
      </c>
      <c r="CB477" s="9">
        <f t="shared" si="2158"/>
        <v>1.6910134532890686</v>
      </c>
      <c r="CC477" s="9">
        <f t="shared" si="2159"/>
        <v>4.2275336332226718</v>
      </c>
      <c r="CD477" s="40">
        <v>1</v>
      </c>
      <c r="CE477" s="9" t="e">
        <f>4*CC477*#REF!+60*CC477</f>
        <v>#REF!</v>
      </c>
      <c r="DC477" s="4" t="e">
        <f>#REF!</f>
        <v>#REF!</v>
      </c>
      <c r="DF477" s="4">
        <f t="shared" si="2160"/>
        <v>1.2315673098492836E-5</v>
      </c>
      <c r="DG477" s="4">
        <f t="shared" si="2161"/>
        <v>10.952938000267244</v>
      </c>
      <c r="DH477" s="4">
        <f t="shared" si="2162"/>
        <v>0.35332013969964099</v>
      </c>
      <c r="DI477" s="4">
        <f t="shared" si="2163"/>
        <v>7.2243368340770866</v>
      </c>
      <c r="DJ477" s="4">
        <f t="shared" si="2164"/>
        <v>9.2786409214601537</v>
      </c>
      <c r="DK477" s="4">
        <f t="shared" si="2165"/>
        <v>10.643904646822243</v>
      </c>
      <c r="DL477" s="38">
        <f t="shared" si="2166"/>
        <v>543.65768038041256</v>
      </c>
      <c r="DM477" s="4" t="e">
        <f t="shared" si="2167"/>
        <v>#REF!</v>
      </c>
      <c r="DN477" s="4">
        <f t="shared" si="2168"/>
        <v>2.2583179581272428</v>
      </c>
      <c r="DO477" s="4">
        <f t="shared" si="2169"/>
        <v>331.33580316116183</v>
      </c>
      <c r="DS477" s="4">
        <f t="shared" si="2170"/>
        <v>0.85</v>
      </c>
      <c r="DT477" s="4">
        <f t="shared" si="2171"/>
        <v>0.7</v>
      </c>
      <c r="DU477" s="4">
        <f t="shared" si="2172"/>
        <v>1</v>
      </c>
      <c r="DV477" s="4">
        <f t="shared" si="2173"/>
        <v>0.7</v>
      </c>
      <c r="DX477" s="4">
        <f t="shared" si="2174"/>
        <v>889.65517241379314</v>
      </c>
      <c r="EB477" s="4">
        <f t="shared" si="2175"/>
        <v>10.952938000267244</v>
      </c>
      <c r="EE477" s="4">
        <f t="shared" si="2176"/>
        <v>57.361276136431961</v>
      </c>
      <c r="EF477" s="4">
        <f t="shared" si="2177"/>
        <v>2.2583179581272428</v>
      </c>
      <c r="EG477" s="4">
        <f t="shared" si="2178"/>
        <v>0.13815520096222064</v>
      </c>
      <c r="EJ477" s="4">
        <f t="shared" si="2179"/>
        <v>0.13815520096222064</v>
      </c>
      <c r="EK477" s="4">
        <f t="shared" si="2180"/>
        <v>0.35332013969964099</v>
      </c>
      <c r="EL477" s="4">
        <f t="shared" si="2181"/>
        <v>7.2243368340770866</v>
      </c>
      <c r="EM477" s="4">
        <f t="shared" si="2182"/>
        <v>9.2786409214601537</v>
      </c>
      <c r="EN477" s="4" t="e">
        <f t="shared" si="2183"/>
        <v>#REF!</v>
      </c>
      <c r="EO477" s="4" t="e">
        <f t="shared" si="2184"/>
        <v>#REF!</v>
      </c>
      <c r="EP477" s="4" t="e">
        <f t="shared" si="2185"/>
        <v>#REF!</v>
      </c>
      <c r="EQ477" s="4" t="e">
        <f t="shared" si="2186"/>
        <v>#REF!</v>
      </c>
      <c r="ER477" s="4" t="e">
        <f t="shared" si="2187"/>
        <v>#REF!</v>
      </c>
      <c r="FA477" s="23"/>
      <c r="FB477" s="23"/>
      <c r="FC477" s="23"/>
      <c r="FD477" s="23"/>
      <c r="FE477" s="23"/>
      <c r="FF477" s="23"/>
      <c r="FG477" s="23"/>
      <c r="FH477" s="23"/>
      <c r="FR477" s="4">
        <f t="shared" si="2188"/>
        <v>1</v>
      </c>
      <c r="FS477" s="4">
        <f t="shared" si="2189"/>
        <v>1.0833333333333333</v>
      </c>
      <c r="FT477" s="4">
        <f t="shared" si="2190"/>
        <v>0</v>
      </c>
      <c r="FU477" s="4">
        <f t="shared" si="2191"/>
        <v>147.56080295276789</v>
      </c>
    </row>
    <row r="478" spans="1:177" ht="12" customHeight="1" x14ac:dyDescent="0.3">
      <c r="A478" s="52"/>
      <c r="B478" s="24"/>
      <c r="C478" s="43" t="s">
        <v>628</v>
      </c>
      <c r="D478" s="38">
        <f t="shared" si="2129"/>
        <v>889.65517241379314</v>
      </c>
      <c r="E478" s="45">
        <v>152.39999999999998</v>
      </c>
      <c r="F478" s="45">
        <v>50.96551724137931</v>
      </c>
      <c r="G478" s="7">
        <v>25.4</v>
      </c>
      <c r="H478" s="45">
        <v>1219.1999999999998</v>
      </c>
      <c r="I478" s="45">
        <v>596.9</v>
      </c>
      <c r="J478" s="45">
        <v>596.9</v>
      </c>
      <c r="K478" s="7"/>
      <c r="L478" s="38">
        <v>1</v>
      </c>
      <c r="N478" s="7">
        <f t="shared" si="2130"/>
        <v>24</v>
      </c>
      <c r="O478" s="7">
        <f t="shared" si="2131"/>
        <v>24</v>
      </c>
      <c r="P478" s="45">
        <v>9.1</v>
      </c>
      <c r="Q478" s="4">
        <f t="shared" si="2132"/>
        <v>9.1</v>
      </c>
      <c r="R478" s="4">
        <f t="shared" si="2133"/>
        <v>10.1</v>
      </c>
      <c r="S478" s="7">
        <f t="shared" si="2134"/>
        <v>80.72246279691916</v>
      </c>
      <c r="V478" s="45">
        <v>567.58620689655174</v>
      </c>
      <c r="Y478" s="38"/>
      <c r="Z478" s="38"/>
      <c r="AA478" s="39">
        <v>1</v>
      </c>
      <c r="AB478" s="39"/>
      <c r="AC478" s="39"/>
      <c r="AE478" s="4">
        <f t="shared" si="2135"/>
        <v>152.39999999999998</v>
      </c>
      <c r="AF478" s="4">
        <f t="shared" si="2136"/>
        <v>0.99999999999999989</v>
      </c>
      <c r="AG478" s="4">
        <f t="shared" si="2137"/>
        <v>265.0686425289295</v>
      </c>
      <c r="AH478" s="4">
        <f t="shared" si="2138"/>
        <v>1</v>
      </c>
      <c r="AI478" s="4">
        <v>1.25</v>
      </c>
      <c r="AJ478" s="4">
        <v>1</v>
      </c>
      <c r="AK478" s="38">
        <f t="shared" si="2139"/>
        <v>331.33580316116183</v>
      </c>
      <c r="AL478" s="38">
        <f t="shared" si="2192"/>
        <v>331.33580316116183</v>
      </c>
      <c r="AM478" s="38">
        <f t="shared" si="2140"/>
        <v>4.093765657510513</v>
      </c>
      <c r="AR478" s="4" t="e">
        <f>#REF!/G478*F478^0.5/0.19</f>
        <v>#REF!</v>
      </c>
      <c r="AS478" s="4">
        <f t="shared" si="2141"/>
        <v>1</v>
      </c>
      <c r="AT478" s="38">
        <f t="shared" si="2142"/>
        <v>7379.6942647148926</v>
      </c>
      <c r="AU478" s="4">
        <f t="shared" si="2143"/>
        <v>0.3</v>
      </c>
      <c r="AV478" s="4" t="e">
        <f>AU478*D478*#REF!/(D478*G478/2.75/F478^0.5)</f>
        <v>#REF!</v>
      </c>
      <c r="AW478" s="4" t="e">
        <f t="shared" si="2144"/>
        <v>#REF!</v>
      </c>
      <c r="AY478" s="4">
        <f t="shared" si="2145"/>
        <v>1.5</v>
      </c>
      <c r="AZ478" s="4" t="e">
        <f>(3*#REF!+30)*AY478*F478^0.5</f>
        <v>#REF!</v>
      </c>
      <c r="BB478" s="4">
        <f t="shared" si="2146"/>
        <v>7078.029277662743</v>
      </c>
      <c r="BC478" s="4">
        <f t="shared" si="2147"/>
        <v>0</v>
      </c>
      <c r="BD478" s="4">
        <f t="shared" si="2148"/>
        <v>0</v>
      </c>
      <c r="BL478" s="4">
        <f t="shared" si="2149"/>
        <v>596.9</v>
      </c>
      <c r="BP478" s="9"/>
      <c r="BR478" s="9"/>
      <c r="BS478" s="9"/>
      <c r="BT478" s="9">
        <f t="shared" si="2150"/>
        <v>596.9</v>
      </c>
      <c r="BU478" s="9">
        <f t="shared" si="2151"/>
        <v>596.9</v>
      </c>
      <c r="BV478" s="9">
        <f t="shared" si="2152"/>
        <v>4.8476798574163293</v>
      </c>
      <c r="BW478" s="40">
        <f t="shared" si="2153"/>
        <v>0</v>
      </c>
      <c r="BX478" s="9">
        <f t="shared" si="2154"/>
        <v>0</v>
      </c>
      <c r="BY478" s="9">
        <f t="shared" si="2155"/>
        <v>0</v>
      </c>
      <c r="BZ478" s="9">
        <f t="shared" si="2156"/>
        <v>0.99524931562137331</v>
      </c>
      <c r="CA478" s="9">
        <f t="shared" si="2157"/>
        <v>0.68</v>
      </c>
      <c r="CB478" s="9">
        <f t="shared" si="2158"/>
        <v>1.6910134532890686</v>
      </c>
      <c r="CC478" s="9">
        <f t="shared" si="2159"/>
        <v>4.2275336332226718</v>
      </c>
      <c r="CD478" s="40">
        <v>1</v>
      </c>
      <c r="CE478" s="9" t="e">
        <f>4*CC478*#REF!+60*CC478</f>
        <v>#REF!</v>
      </c>
      <c r="DC478" s="4" t="e">
        <f>#REF!</f>
        <v>#REF!</v>
      </c>
      <c r="DF478" s="4">
        <f t="shared" si="2160"/>
        <v>1.2315673098492836E-5</v>
      </c>
      <c r="DG478" s="4">
        <f t="shared" si="2161"/>
        <v>10.952938000267244</v>
      </c>
      <c r="DH478" s="4">
        <f t="shared" si="2162"/>
        <v>0.2240198265930059</v>
      </c>
      <c r="DI478" s="4">
        <f t="shared" si="2163"/>
        <v>6.0206753837110494</v>
      </c>
      <c r="DJ478" s="4">
        <f t="shared" si="2164"/>
        <v>8.8406045061947474</v>
      </c>
      <c r="DK478" s="4">
        <f t="shared" si="2165"/>
        <v>10.68681250650315</v>
      </c>
      <c r="DL478" s="38">
        <f t="shared" si="2166"/>
        <v>518.74005951961703</v>
      </c>
      <c r="DM478" s="4" t="e">
        <f t="shared" si="2167"/>
        <v>#REF!</v>
      </c>
      <c r="DN478" s="4">
        <f t="shared" si="2168"/>
        <v>3.1780497164141401</v>
      </c>
      <c r="DO478" s="4">
        <f t="shared" si="2169"/>
        <v>331.33580316116183</v>
      </c>
      <c r="DS478" s="4">
        <f t="shared" si="2170"/>
        <v>0.85</v>
      </c>
      <c r="DT478" s="4">
        <f t="shared" si="2171"/>
        <v>0.7</v>
      </c>
      <c r="DU478" s="4">
        <f t="shared" si="2172"/>
        <v>1</v>
      </c>
      <c r="DV478" s="4">
        <f t="shared" si="2173"/>
        <v>0.7</v>
      </c>
      <c r="DX478" s="4">
        <f t="shared" si="2174"/>
        <v>889.65517241379314</v>
      </c>
      <c r="EB478" s="4">
        <f t="shared" si="2175"/>
        <v>10.952938000267244</v>
      </c>
      <c r="EE478" s="4">
        <f t="shared" si="2176"/>
        <v>80.72246279691916</v>
      </c>
      <c r="EF478" s="4">
        <f t="shared" si="2177"/>
        <v>3.1780497164141406</v>
      </c>
      <c r="EG478" s="4">
        <f t="shared" si="2178"/>
        <v>8.7596207192686099E-2</v>
      </c>
      <c r="EJ478" s="4">
        <f t="shared" si="2179"/>
        <v>8.7596207192686099E-2</v>
      </c>
      <c r="EK478" s="4">
        <f t="shared" si="2180"/>
        <v>0.2240198265930059</v>
      </c>
      <c r="EL478" s="4">
        <f t="shared" si="2181"/>
        <v>6.0206753837110494</v>
      </c>
      <c r="EM478" s="4">
        <f t="shared" si="2182"/>
        <v>8.8406045061947474</v>
      </c>
      <c r="EN478" s="4" t="e">
        <f t="shared" si="2183"/>
        <v>#REF!</v>
      </c>
      <c r="EO478" s="4" t="e">
        <f t="shared" si="2184"/>
        <v>#REF!</v>
      </c>
      <c r="EP478" s="4" t="e">
        <f t="shared" si="2185"/>
        <v>#REF!</v>
      </c>
      <c r="EQ478" s="4" t="e">
        <f t="shared" si="2186"/>
        <v>#REF!</v>
      </c>
      <c r="ER478" s="4" t="e">
        <f t="shared" si="2187"/>
        <v>#REF!</v>
      </c>
      <c r="FA478" s="23"/>
      <c r="FB478" s="23"/>
      <c r="FC478" s="23"/>
      <c r="FD478" s="23"/>
      <c r="FE478" s="23"/>
      <c r="FF478" s="23"/>
      <c r="FG478" s="23"/>
      <c r="FH478" s="23"/>
      <c r="FR478" s="4">
        <f t="shared" si="2188"/>
        <v>1</v>
      </c>
      <c r="FS478" s="4">
        <f t="shared" si="2189"/>
        <v>1.0833333333333333</v>
      </c>
      <c r="FT478" s="4">
        <f t="shared" si="2190"/>
        <v>0</v>
      </c>
      <c r="FU478" s="4">
        <f t="shared" si="2191"/>
        <v>147.56080295276789</v>
      </c>
    </row>
    <row r="479" spans="1:177" ht="12" customHeight="1" x14ac:dyDescent="0.3">
      <c r="A479" s="52"/>
      <c r="B479" s="24"/>
      <c r="C479" s="43" t="s">
        <v>629</v>
      </c>
      <c r="D479" s="38">
        <f t="shared" si="2129"/>
        <v>889.65517241379314</v>
      </c>
      <c r="E479" s="45">
        <v>154.93999999999997</v>
      </c>
      <c r="F479" s="45">
        <v>50.96551724137931</v>
      </c>
      <c r="G479" s="7">
        <v>25.4</v>
      </c>
      <c r="H479" s="45">
        <v>1219.1999999999998</v>
      </c>
      <c r="I479" s="45">
        <v>596.9</v>
      </c>
      <c r="J479" s="45">
        <v>596.9</v>
      </c>
      <c r="K479" s="7"/>
      <c r="L479" s="38">
        <v>1</v>
      </c>
      <c r="N479" s="7">
        <f t="shared" si="2130"/>
        <v>24</v>
      </c>
      <c r="O479" s="7">
        <f t="shared" si="2131"/>
        <v>24</v>
      </c>
      <c r="P479" s="45">
        <v>4</v>
      </c>
      <c r="Q479" s="4">
        <f t="shared" si="2132"/>
        <v>4</v>
      </c>
      <c r="R479" s="4">
        <f t="shared" si="2133"/>
        <v>5</v>
      </c>
      <c r="S479" s="7">
        <f t="shared" si="2134"/>
        <v>56.796126628494655</v>
      </c>
      <c r="V479" s="45">
        <v>528.27586206896547</v>
      </c>
      <c r="Y479" s="38"/>
      <c r="Z479" s="38"/>
      <c r="AA479" s="39">
        <v>1</v>
      </c>
      <c r="AB479" s="39"/>
      <c r="AC479" s="39"/>
      <c r="AE479" s="4">
        <f t="shared" si="2135"/>
        <v>154.93999999999997</v>
      </c>
      <c r="AF479" s="4">
        <f t="shared" si="2136"/>
        <v>1</v>
      </c>
      <c r="AG479" s="4">
        <f t="shared" si="2137"/>
        <v>271.72289368638678</v>
      </c>
      <c r="AH479" s="4">
        <f t="shared" si="2138"/>
        <v>1</v>
      </c>
      <c r="AI479" s="4">
        <v>1.25</v>
      </c>
      <c r="AJ479" s="4">
        <v>1</v>
      </c>
      <c r="AK479" s="38">
        <f t="shared" si="2139"/>
        <v>339.65361710798345</v>
      </c>
      <c r="AL479" s="38">
        <f t="shared" si="2192"/>
        <v>339.65361710798345</v>
      </c>
      <c r="AM479" s="38">
        <f t="shared" si="2140"/>
        <v>4.093765657510513</v>
      </c>
      <c r="AR479" s="4" t="e">
        <f>#REF!/G479*F479^0.5/0.19</f>
        <v>#REF!</v>
      </c>
      <c r="AS479" s="4">
        <f t="shared" si="2141"/>
        <v>1</v>
      </c>
      <c r="AT479" s="38">
        <f t="shared" si="2142"/>
        <v>4892.6896551724139</v>
      </c>
      <c r="AU479" s="4">
        <f t="shared" si="2143"/>
        <v>0.44000000000000006</v>
      </c>
      <c r="AV479" s="4" t="e">
        <f>AU479*D479*#REF!/(D479*G479/2.75/F479^0.5)</f>
        <v>#REF!</v>
      </c>
      <c r="AW479" s="4" t="e">
        <f t="shared" si="2144"/>
        <v>#REF!</v>
      </c>
      <c r="AY479" s="4">
        <f t="shared" si="2145"/>
        <v>1.5</v>
      </c>
      <c r="AZ479" s="4" t="e">
        <f>(3*#REF!+30)*AY479*F479^0.5</f>
        <v>#REF!</v>
      </c>
      <c r="BB479" s="4">
        <f t="shared" si="2146"/>
        <v>4692.6877162662367</v>
      </c>
      <c r="BC479" s="4">
        <f t="shared" si="2147"/>
        <v>0</v>
      </c>
      <c r="BD479" s="4">
        <f t="shared" si="2148"/>
        <v>0</v>
      </c>
      <c r="BL479" s="4">
        <f t="shared" si="2149"/>
        <v>596.9</v>
      </c>
      <c r="BP479" s="9"/>
      <c r="BR479" s="9"/>
      <c r="BS479" s="9"/>
      <c r="BT479" s="9">
        <f t="shared" si="2150"/>
        <v>596.9</v>
      </c>
      <c r="BU479" s="9">
        <f t="shared" si="2151"/>
        <v>596.9</v>
      </c>
      <c r="BV479" s="9">
        <f t="shared" si="2152"/>
        <v>4.8476798574163293</v>
      </c>
      <c r="BW479" s="40">
        <f t="shared" si="2153"/>
        <v>0</v>
      </c>
      <c r="BX479" s="9">
        <f t="shared" si="2154"/>
        <v>0</v>
      </c>
      <c r="BY479" s="9">
        <f t="shared" si="2155"/>
        <v>0</v>
      </c>
      <c r="BZ479" s="9">
        <f t="shared" si="2156"/>
        <v>0.99524931562137331</v>
      </c>
      <c r="CA479" s="9">
        <f t="shared" si="2157"/>
        <v>0.68</v>
      </c>
      <c r="CB479" s="9">
        <f t="shared" si="2158"/>
        <v>1.6910134532890686</v>
      </c>
      <c r="CC479" s="9">
        <f t="shared" si="2159"/>
        <v>4.2275336332226718</v>
      </c>
      <c r="CD479" s="40">
        <v>1</v>
      </c>
      <c r="CE479" s="9" t="e">
        <f>4*CC479*#REF!+60*CC479</f>
        <v>#REF!</v>
      </c>
      <c r="DC479" s="4" t="e">
        <f>#REF!</f>
        <v>#REF!</v>
      </c>
      <c r="DF479" s="4">
        <f t="shared" si="2160"/>
        <v>1.2520934316801049E-5</v>
      </c>
      <c r="DG479" s="4">
        <f t="shared" si="2161"/>
        <v>10.952938000267244</v>
      </c>
      <c r="DH479" s="4">
        <f t="shared" si="2162"/>
        <v>0.36758692053052205</v>
      </c>
      <c r="DI479" s="4">
        <f t="shared" si="2163"/>
        <v>7.3396381486517051</v>
      </c>
      <c r="DJ479" s="4">
        <f t="shared" si="2164"/>
        <v>9.3236788279505589</v>
      </c>
      <c r="DK479" s="4">
        <f t="shared" si="2165"/>
        <v>10.630203294189718</v>
      </c>
      <c r="DL479" s="38">
        <f t="shared" si="2166"/>
        <v>557.37538043788754</v>
      </c>
      <c r="DM479" s="4" t="e">
        <f t="shared" si="2167"/>
        <v>#REF!</v>
      </c>
      <c r="DN479" s="4">
        <f t="shared" si="2168"/>
        <v>2.2360679774997898</v>
      </c>
      <c r="DO479" s="4">
        <f t="shared" si="2169"/>
        <v>339.65361710798345</v>
      </c>
      <c r="DS479" s="4">
        <f t="shared" si="2170"/>
        <v>0.85</v>
      </c>
      <c r="DT479" s="4">
        <f t="shared" si="2171"/>
        <v>0.7</v>
      </c>
      <c r="DU479" s="4">
        <f t="shared" si="2172"/>
        <v>1</v>
      </c>
      <c r="DV479" s="4">
        <f t="shared" si="2173"/>
        <v>0.7</v>
      </c>
      <c r="DX479" s="4">
        <f t="shared" si="2174"/>
        <v>889.65517241379314</v>
      </c>
      <c r="EB479" s="4">
        <f t="shared" si="2175"/>
        <v>10.952938000267244</v>
      </c>
      <c r="EE479" s="4">
        <f t="shared" si="2176"/>
        <v>56.796126628494655</v>
      </c>
      <c r="EF479" s="4">
        <f t="shared" si="2177"/>
        <v>2.2360679774997898</v>
      </c>
      <c r="EG479" s="4">
        <f t="shared" si="2178"/>
        <v>0.14373379598499492</v>
      </c>
      <c r="EJ479" s="4">
        <f t="shared" si="2179"/>
        <v>0.14373379598499492</v>
      </c>
      <c r="EK479" s="4">
        <f t="shared" si="2180"/>
        <v>0.36758692053052205</v>
      </c>
      <c r="EL479" s="4">
        <f t="shared" si="2181"/>
        <v>7.3396381486517051</v>
      </c>
      <c r="EM479" s="4">
        <f t="shared" si="2182"/>
        <v>9.3236788279505589</v>
      </c>
      <c r="EN479" s="4" t="e">
        <f t="shared" si="2183"/>
        <v>#REF!</v>
      </c>
      <c r="EO479" s="4" t="e">
        <f t="shared" si="2184"/>
        <v>#REF!</v>
      </c>
      <c r="EP479" s="4" t="e">
        <f t="shared" si="2185"/>
        <v>#REF!</v>
      </c>
      <c r="EQ479" s="4" t="e">
        <f t="shared" si="2186"/>
        <v>#REF!</v>
      </c>
      <c r="ER479" s="4" t="e">
        <f t="shared" si="2187"/>
        <v>#REF!</v>
      </c>
      <c r="FA479" s="23"/>
      <c r="FB479" s="23"/>
      <c r="FC479" s="23"/>
      <c r="FD479" s="23"/>
      <c r="FE479" s="23"/>
      <c r="FF479" s="23"/>
      <c r="FG479" s="23"/>
      <c r="FH479" s="23"/>
      <c r="FR479" s="4">
        <f t="shared" si="2188"/>
        <v>1</v>
      </c>
      <c r="FS479" s="4">
        <f t="shared" si="2189"/>
        <v>1.0833333333333333</v>
      </c>
      <c r="FT479" s="4">
        <f t="shared" si="2190"/>
        <v>0</v>
      </c>
      <c r="FU479" s="4">
        <f t="shared" si="2191"/>
        <v>150.02014966864735</v>
      </c>
    </row>
    <row r="480" spans="1:177" ht="12" customHeight="1" x14ac:dyDescent="0.3">
      <c r="A480" s="52"/>
      <c r="B480" s="24"/>
      <c r="C480" s="43" t="s">
        <v>630</v>
      </c>
      <c r="D480" s="38">
        <f t="shared" si="2129"/>
        <v>889.65517241379314</v>
      </c>
      <c r="E480" s="45">
        <v>154.93999999999997</v>
      </c>
      <c r="F480" s="45">
        <v>50.96551724137931</v>
      </c>
      <c r="G480" s="7">
        <v>25.4</v>
      </c>
      <c r="H480" s="45">
        <v>1219.1999999999998</v>
      </c>
      <c r="I480" s="45">
        <v>596.9</v>
      </c>
      <c r="J480" s="45">
        <v>596.9</v>
      </c>
      <c r="K480" s="7"/>
      <c r="L480" s="38">
        <v>1</v>
      </c>
      <c r="N480" s="7">
        <f t="shared" si="2130"/>
        <v>24</v>
      </c>
      <c r="O480" s="7">
        <f t="shared" si="2131"/>
        <v>24</v>
      </c>
      <c r="P480" s="45">
        <v>9.5</v>
      </c>
      <c r="Q480" s="4">
        <f t="shared" si="2132"/>
        <v>9.5</v>
      </c>
      <c r="R480" s="4">
        <f t="shared" si="2133"/>
        <v>10.5</v>
      </c>
      <c r="S480" s="7">
        <f t="shared" si="2134"/>
        <v>82.305406869779816</v>
      </c>
      <c r="V480" s="45">
        <v>503.44827586206901</v>
      </c>
      <c r="Y480" s="38"/>
      <c r="Z480" s="38"/>
      <c r="AA480" s="39">
        <v>1</v>
      </c>
      <c r="AB480" s="39"/>
      <c r="AC480" s="39"/>
      <c r="AE480" s="4">
        <f t="shared" si="2135"/>
        <v>154.93999999999997</v>
      </c>
      <c r="AF480" s="4">
        <f t="shared" si="2136"/>
        <v>1</v>
      </c>
      <c r="AG480" s="4">
        <f t="shared" si="2137"/>
        <v>271.72289368638678</v>
      </c>
      <c r="AH480" s="4">
        <f t="shared" si="2138"/>
        <v>1</v>
      </c>
      <c r="AI480" s="4">
        <v>1.25</v>
      </c>
      <c r="AJ480" s="4">
        <v>1</v>
      </c>
      <c r="AK480" s="38">
        <f t="shared" si="2139"/>
        <v>339.65361710798345</v>
      </c>
      <c r="AL480" s="38">
        <f t="shared" si="2192"/>
        <v>339.65361710798345</v>
      </c>
      <c r="AM480" s="38">
        <f t="shared" si="2140"/>
        <v>4.093765657510513</v>
      </c>
      <c r="AR480" s="4" t="e">
        <f>#REF!/G480*F480^0.5/0.19</f>
        <v>#REF!</v>
      </c>
      <c r="AS480" s="4">
        <f t="shared" si="2141"/>
        <v>1</v>
      </c>
      <c r="AT480" s="38">
        <f t="shared" si="2142"/>
        <v>7540.1411556315707</v>
      </c>
      <c r="AU480" s="4">
        <f t="shared" si="2143"/>
        <v>0.3</v>
      </c>
      <c r="AV480" s="4" t="e">
        <f>AU480*D480*#REF!/(D480*G480/2.75/F480^0.5)</f>
        <v>#REF!</v>
      </c>
      <c r="AW480" s="4" t="e">
        <f t="shared" si="2144"/>
        <v>#REF!</v>
      </c>
      <c r="AY480" s="4">
        <f t="shared" si="2145"/>
        <v>1.5</v>
      </c>
      <c r="AZ480" s="4" t="e">
        <f>(3*#REF!+30)*AY480*F480^0.5</f>
        <v>#REF!</v>
      </c>
      <c r="BB480" s="4">
        <f t="shared" si="2146"/>
        <v>7231.9174674280239</v>
      </c>
      <c r="BC480" s="4">
        <f t="shared" si="2147"/>
        <v>0</v>
      </c>
      <c r="BD480" s="4">
        <f t="shared" si="2148"/>
        <v>0</v>
      </c>
      <c r="BL480" s="4">
        <f t="shared" si="2149"/>
        <v>596.9</v>
      </c>
      <c r="BP480" s="9"/>
      <c r="BR480" s="9"/>
      <c r="BS480" s="9"/>
      <c r="BT480" s="9">
        <f t="shared" si="2150"/>
        <v>596.9</v>
      </c>
      <c r="BU480" s="9">
        <f t="shared" si="2151"/>
        <v>596.9</v>
      </c>
      <c r="BV480" s="9">
        <f t="shared" si="2152"/>
        <v>4.8476798574163293</v>
      </c>
      <c r="BW480" s="40">
        <f t="shared" si="2153"/>
        <v>0</v>
      </c>
      <c r="BX480" s="9">
        <f t="shared" si="2154"/>
        <v>0</v>
      </c>
      <c r="BY480" s="9">
        <f t="shared" si="2155"/>
        <v>0</v>
      </c>
      <c r="BZ480" s="9">
        <f t="shared" si="2156"/>
        <v>0.99524931562137331</v>
      </c>
      <c r="CA480" s="9">
        <f t="shared" si="2157"/>
        <v>0.68</v>
      </c>
      <c r="CB480" s="9">
        <f t="shared" si="2158"/>
        <v>1.6910134532890686</v>
      </c>
      <c r="CC480" s="9">
        <f t="shared" si="2159"/>
        <v>4.2275336332226718</v>
      </c>
      <c r="CD480" s="40">
        <v>1</v>
      </c>
      <c r="CE480" s="9" t="e">
        <f>4*CC480*#REF!+60*CC480</f>
        <v>#REF!</v>
      </c>
      <c r="DC480" s="4" t="e">
        <f>#REF!</f>
        <v>#REF!</v>
      </c>
      <c r="DF480" s="4">
        <f t="shared" si="2160"/>
        <v>1.2520934316801049E-5</v>
      </c>
      <c r="DG480" s="4">
        <f t="shared" si="2161"/>
        <v>10.952938000267244</v>
      </c>
      <c r="DH480" s="4">
        <f t="shared" si="2162"/>
        <v>0.22428802325807964</v>
      </c>
      <c r="DI480" s="4">
        <f t="shared" si="2163"/>
        <v>6.0235575312584908</v>
      </c>
      <c r="DJ480" s="4">
        <f t="shared" si="2164"/>
        <v>8.841578977482591</v>
      </c>
      <c r="DK480" s="4">
        <f t="shared" si="2165"/>
        <v>10.678024043481885</v>
      </c>
      <c r="DL480" s="38">
        <f t="shared" si="2166"/>
        <v>530.0647265100929</v>
      </c>
      <c r="DM480" s="4" t="e">
        <f t="shared" si="2167"/>
        <v>#REF!</v>
      </c>
      <c r="DN480" s="4">
        <f t="shared" si="2168"/>
        <v>3.2403703492039297</v>
      </c>
      <c r="DO480" s="4">
        <f t="shared" si="2169"/>
        <v>339.65361710798345</v>
      </c>
      <c r="DS480" s="4">
        <f t="shared" si="2170"/>
        <v>0.85</v>
      </c>
      <c r="DT480" s="4">
        <f t="shared" si="2171"/>
        <v>0.7</v>
      </c>
      <c r="DU480" s="4">
        <f t="shared" si="2172"/>
        <v>1</v>
      </c>
      <c r="DV480" s="4">
        <f t="shared" si="2173"/>
        <v>0.7</v>
      </c>
      <c r="DX480" s="4">
        <f t="shared" si="2174"/>
        <v>889.65517241379314</v>
      </c>
      <c r="EB480" s="4">
        <f t="shared" si="2175"/>
        <v>10.952938000267244</v>
      </c>
      <c r="EE480" s="4">
        <f t="shared" si="2176"/>
        <v>82.305406869779816</v>
      </c>
      <c r="EF480" s="4">
        <f t="shared" si="2177"/>
        <v>3.2403703492039302</v>
      </c>
      <c r="EG480" s="4">
        <f t="shared" si="2178"/>
        <v>8.7701077422252291E-2</v>
      </c>
      <c r="EJ480" s="4">
        <f t="shared" si="2179"/>
        <v>8.7701077422252291E-2</v>
      </c>
      <c r="EK480" s="4">
        <f t="shared" si="2180"/>
        <v>0.22428802325807964</v>
      </c>
      <c r="EL480" s="4">
        <f t="shared" si="2181"/>
        <v>6.0235575312584908</v>
      </c>
      <c r="EM480" s="4">
        <f t="shared" si="2182"/>
        <v>8.841578977482591</v>
      </c>
      <c r="EN480" s="4" t="e">
        <f t="shared" si="2183"/>
        <v>#REF!</v>
      </c>
      <c r="EO480" s="4" t="e">
        <f t="shared" si="2184"/>
        <v>#REF!</v>
      </c>
      <c r="EP480" s="4" t="e">
        <f t="shared" si="2185"/>
        <v>#REF!</v>
      </c>
      <c r="EQ480" s="4" t="e">
        <f t="shared" si="2186"/>
        <v>#REF!</v>
      </c>
      <c r="ER480" s="4" t="e">
        <f t="shared" si="2187"/>
        <v>#REF!</v>
      </c>
      <c r="FA480" s="23"/>
      <c r="FB480" s="23"/>
      <c r="FC480" s="23"/>
      <c r="FD480" s="23"/>
      <c r="FE480" s="23"/>
      <c r="FF480" s="23"/>
      <c r="FG480" s="23"/>
      <c r="FH480" s="23"/>
      <c r="FR480" s="4">
        <f t="shared" si="2188"/>
        <v>1</v>
      </c>
      <c r="FS480" s="4">
        <f t="shared" si="2189"/>
        <v>1.0833333333333333</v>
      </c>
      <c r="FT480" s="4">
        <f t="shared" si="2190"/>
        <v>0</v>
      </c>
      <c r="FU480" s="4">
        <f t="shared" si="2191"/>
        <v>150.02014966864735</v>
      </c>
    </row>
    <row r="481" spans="1:178" ht="12" customHeight="1" x14ac:dyDescent="0.3">
      <c r="A481" s="52"/>
      <c r="B481" s="24"/>
      <c r="C481" s="43" t="s">
        <v>631</v>
      </c>
      <c r="D481" s="38">
        <f t="shared" si="2129"/>
        <v>889.65517241379314</v>
      </c>
      <c r="E481" s="45">
        <v>160.01999999999998</v>
      </c>
      <c r="F481" s="45">
        <v>59.448275862068968</v>
      </c>
      <c r="G481" s="7">
        <v>25.4</v>
      </c>
      <c r="H481" s="45">
        <v>1219.1999999999998</v>
      </c>
      <c r="I481" s="45">
        <v>596.9</v>
      </c>
      <c r="J481" s="45">
        <v>596.9</v>
      </c>
      <c r="K481" s="7"/>
      <c r="L481" s="38">
        <v>1</v>
      </c>
      <c r="N481" s="7">
        <f t="shared" si="2130"/>
        <v>24</v>
      </c>
      <c r="O481" s="7">
        <f t="shared" si="2131"/>
        <v>24</v>
      </c>
      <c r="P481" s="45">
        <v>12.9</v>
      </c>
      <c r="Q481" s="4">
        <f t="shared" si="2132"/>
        <v>12.9</v>
      </c>
      <c r="R481" s="4">
        <f t="shared" si="2133"/>
        <v>13.9</v>
      </c>
      <c r="S481" s="7">
        <f t="shared" si="2134"/>
        <v>94.698067562120812</v>
      </c>
      <c r="V481" s="45">
        <v>689.65517241379314</v>
      </c>
      <c r="Y481" s="38"/>
      <c r="Z481" s="38"/>
      <c r="AA481" s="39">
        <v>1</v>
      </c>
      <c r="AB481" s="39"/>
      <c r="AC481" s="39"/>
      <c r="AE481" s="4">
        <f t="shared" si="2135"/>
        <v>160.01999999999998</v>
      </c>
      <c r="AF481" s="4">
        <f t="shared" si="2136"/>
        <v>1</v>
      </c>
      <c r="AG481" s="4">
        <f t="shared" si="2137"/>
        <v>308.01631180193135</v>
      </c>
      <c r="AH481" s="4">
        <f t="shared" si="2138"/>
        <v>1</v>
      </c>
      <c r="AI481" s="4">
        <v>1.25</v>
      </c>
      <c r="AJ481" s="4">
        <v>1</v>
      </c>
      <c r="AK481" s="38">
        <f t="shared" si="2139"/>
        <v>385.02038975241419</v>
      </c>
      <c r="AL481" s="38">
        <f t="shared" si="2192"/>
        <v>385.02038975241419</v>
      </c>
      <c r="AM481" s="38">
        <f t="shared" si="2140"/>
        <v>4.3396934501138817</v>
      </c>
      <c r="AR481" s="4" t="e">
        <f>#REF!/G481*F481^0.5/0.19</f>
        <v>#REF!</v>
      </c>
      <c r="AS481" s="4">
        <f t="shared" si="2141"/>
        <v>1</v>
      </c>
      <c r="AT481" s="38">
        <f t="shared" si="2142"/>
        <v>10248.855172376669</v>
      </c>
      <c r="AU481" s="4">
        <f t="shared" si="2143"/>
        <v>0.3</v>
      </c>
      <c r="AV481" s="4" t="e">
        <f>AU481*D481*#REF!/(D481*G481/2.75/F481^0.5)</f>
        <v>#REF!</v>
      </c>
      <c r="AW481" s="4" t="e">
        <f t="shared" si="2144"/>
        <v>#REF!</v>
      </c>
      <c r="AY481" s="4">
        <f t="shared" si="2145"/>
        <v>1.5</v>
      </c>
      <c r="AZ481" s="4" t="e">
        <f>(3*#REF!+30)*AY481*F481^0.5</f>
        <v>#REF!</v>
      </c>
      <c r="BB481" s="4">
        <f t="shared" si="2146"/>
        <v>9829.9054636255823</v>
      </c>
      <c r="BC481" s="4">
        <f t="shared" si="2147"/>
        <v>0</v>
      </c>
      <c r="BD481" s="4">
        <f t="shared" si="2148"/>
        <v>0</v>
      </c>
      <c r="BL481" s="4">
        <f t="shared" si="2149"/>
        <v>596.9</v>
      </c>
      <c r="BP481" s="9"/>
      <c r="BR481" s="9"/>
      <c r="BS481" s="9"/>
      <c r="BT481" s="9">
        <f t="shared" si="2150"/>
        <v>596.9</v>
      </c>
      <c r="BU481" s="9">
        <f t="shared" si="2151"/>
        <v>596.9</v>
      </c>
      <c r="BV481" s="9">
        <f t="shared" si="2152"/>
        <v>4.8476798574163293</v>
      </c>
      <c r="BW481" s="40">
        <f t="shared" si="2153"/>
        <v>0</v>
      </c>
      <c r="BX481" s="9">
        <f t="shared" si="2154"/>
        <v>0</v>
      </c>
      <c r="BY481" s="9">
        <f t="shared" si="2155"/>
        <v>0</v>
      </c>
      <c r="BZ481" s="9">
        <f t="shared" si="2156"/>
        <v>0.99524931562137331</v>
      </c>
      <c r="CA481" s="9">
        <f t="shared" si="2157"/>
        <v>0.68</v>
      </c>
      <c r="CB481" s="9">
        <f t="shared" si="2158"/>
        <v>1.8263267342054628</v>
      </c>
      <c r="CC481" s="9">
        <f t="shared" si="2159"/>
        <v>4.5658168355136572</v>
      </c>
      <c r="CD481" s="40">
        <v>1</v>
      </c>
      <c r="CE481" s="9" t="e">
        <f>4*CC481*#REF!+60*CC481</f>
        <v>#REF!</v>
      </c>
      <c r="DC481" s="4" t="e">
        <f>#REF!</f>
        <v>#REF!</v>
      </c>
      <c r="DF481" s="4">
        <f t="shared" si="2160"/>
        <v>1.3631853306974178E-5</v>
      </c>
      <c r="DG481" s="4">
        <f t="shared" si="2161"/>
        <v>11.829381634472119</v>
      </c>
      <c r="DH481" s="4">
        <f t="shared" si="2162"/>
        <v>0.18468745080108853</v>
      </c>
      <c r="DI481" s="4">
        <f t="shared" si="2163"/>
        <v>6.0191753840793982</v>
      </c>
      <c r="DJ481" s="4">
        <f t="shared" si="2164"/>
        <v>9.3896641998498129</v>
      </c>
      <c r="DK481" s="4">
        <f t="shared" si="2165"/>
        <v>11.494727829289342</v>
      </c>
      <c r="DL481" s="38">
        <f t="shared" si="2166"/>
        <v>584.63745402997267</v>
      </c>
      <c r="DM481" s="4" t="e">
        <f t="shared" si="2167"/>
        <v>#REF!</v>
      </c>
      <c r="DN481" s="4">
        <f t="shared" si="2168"/>
        <v>3.7282703764614493</v>
      </c>
      <c r="DO481" s="4">
        <f t="shared" si="2169"/>
        <v>385.02038975241419</v>
      </c>
      <c r="DS481" s="4">
        <f t="shared" si="2170"/>
        <v>0.85</v>
      </c>
      <c r="DT481" s="4">
        <f t="shared" si="2171"/>
        <v>0.7</v>
      </c>
      <c r="DU481" s="4">
        <f t="shared" si="2172"/>
        <v>1</v>
      </c>
      <c r="DV481" s="4">
        <f t="shared" si="2173"/>
        <v>0.7</v>
      </c>
      <c r="DX481" s="4">
        <f t="shared" si="2174"/>
        <v>889.65517241379314</v>
      </c>
      <c r="EB481" s="4">
        <f t="shared" si="2175"/>
        <v>11.829381634472119</v>
      </c>
      <c r="EE481" s="4">
        <f t="shared" si="2176"/>
        <v>94.698067562120812</v>
      </c>
      <c r="EF481" s="4">
        <f t="shared" si="2177"/>
        <v>3.7282703764614498</v>
      </c>
      <c r="EG481" s="4">
        <f t="shared" si="2178"/>
        <v>7.7995158688872135E-2</v>
      </c>
      <c r="EJ481" s="4">
        <f t="shared" si="2179"/>
        <v>7.7995158688872135E-2</v>
      </c>
      <c r="EK481" s="4">
        <f t="shared" si="2180"/>
        <v>0.18468745080108853</v>
      </c>
      <c r="EL481" s="4">
        <f t="shared" si="2181"/>
        <v>6.0191753840793982</v>
      </c>
      <c r="EM481" s="4">
        <f t="shared" si="2182"/>
        <v>9.3896641998498129</v>
      </c>
      <c r="EN481" s="4" t="e">
        <f t="shared" si="2183"/>
        <v>#REF!</v>
      </c>
      <c r="EO481" s="4" t="e">
        <f t="shared" si="2184"/>
        <v>#REF!</v>
      </c>
      <c r="EP481" s="4" t="e">
        <f t="shared" si="2185"/>
        <v>#REF!</v>
      </c>
      <c r="EQ481" s="4" t="e">
        <f t="shared" si="2186"/>
        <v>#REF!</v>
      </c>
      <c r="ER481" s="4" t="e">
        <f t="shared" si="2187"/>
        <v>#REF!</v>
      </c>
      <c r="FA481" s="23"/>
      <c r="FB481" s="23"/>
      <c r="FC481" s="23"/>
      <c r="FD481" s="23"/>
      <c r="FE481" s="23"/>
      <c r="FF481" s="23"/>
      <c r="FG481" s="23"/>
      <c r="FH481" s="23"/>
      <c r="FR481" s="4">
        <f t="shared" si="2188"/>
        <v>1</v>
      </c>
      <c r="FS481" s="4">
        <f t="shared" si="2189"/>
        <v>1.0833333333333333</v>
      </c>
      <c r="FT481" s="4">
        <f t="shared" si="2190"/>
        <v>0</v>
      </c>
      <c r="FU481" s="4">
        <f t="shared" si="2191"/>
        <v>161.01858866173305</v>
      </c>
    </row>
    <row r="482" spans="1:178" ht="12" customHeight="1" x14ac:dyDescent="0.3">
      <c r="A482" s="52"/>
      <c r="B482" s="24"/>
      <c r="C482" s="43" t="s">
        <v>632</v>
      </c>
      <c r="D482" s="38">
        <f t="shared" si="2129"/>
        <v>889.65517241379314</v>
      </c>
      <c r="E482" s="45">
        <v>160.01999999999998</v>
      </c>
      <c r="F482" s="45">
        <v>59.448275862068968</v>
      </c>
      <c r="G482" s="7">
        <v>25.4</v>
      </c>
      <c r="H482" s="45">
        <v>1219.1999999999998</v>
      </c>
      <c r="I482" s="45">
        <v>596.9</v>
      </c>
      <c r="J482" s="45">
        <v>596.9</v>
      </c>
      <c r="K482" s="7"/>
      <c r="L482" s="38">
        <v>1</v>
      </c>
      <c r="N482" s="7">
        <f t="shared" si="2130"/>
        <v>24</v>
      </c>
      <c r="O482" s="7">
        <f t="shared" si="2131"/>
        <v>24</v>
      </c>
      <c r="P482" s="45">
        <v>9.1</v>
      </c>
      <c r="Q482" s="4">
        <f t="shared" si="2132"/>
        <v>9.1</v>
      </c>
      <c r="R482" s="4">
        <f t="shared" si="2133"/>
        <v>10.1</v>
      </c>
      <c r="S482" s="7">
        <f t="shared" si="2134"/>
        <v>80.72246279691916</v>
      </c>
      <c r="V482" s="45">
        <v>618.62068965517244</v>
      </c>
      <c r="Y482" s="38"/>
      <c r="Z482" s="38"/>
      <c r="AA482" s="39">
        <v>1</v>
      </c>
      <c r="AB482" s="39"/>
      <c r="AC482" s="39"/>
      <c r="AE482" s="4">
        <f t="shared" si="2135"/>
        <v>160.01999999999998</v>
      </c>
      <c r="AF482" s="4">
        <f t="shared" si="2136"/>
        <v>1</v>
      </c>
      <c r="AG482" s="4">
        <f t="shared" si="2137"/>
        <v>308.01631180193135</v>
      </c>
      <c r="AH482" s="4">
        <f t="shared" si="2138"/>
        <v>1</v>
      </c>
      <c r="AI482" s="4">
        <v>1.25</v>
      </c>
      <c r="AJ482" s="4">
        <v>1</v>
      </c>
      <c r="AK482" s="38">
        <f t="shared" si="2139"/>
        <v>385.02038975241419</v>
      </c>
      <c r="AL482" s="38">
        <f t="shared" si="2192"/>
        <v>385.02038975241419</v>
      </c>
      <c r="AM482" s="38">
        <f t="shared" si="2140"/>
        <v>4.3396934501138817</v>
      </c>
      <c r="AR482" s="4" t="e">
        <f>#REF!/G482*F482^0.5/0.19</f>
        <v>#REF!</v>
      </c>
      <c r="AS482" s="4">
        <f t="shared" si="2141"/>
        <v>1</v>
      </c>
      <c r="AT482" s="38">
        <f t="shared" si="2142"/>
        <v>8607.978966419807</v>
      </c>
      <c r="AU482" s="4">
        <f t="shared" si="2143"/>
        <v>0.3</v>
      </c>
      <c r="AV482" s="4" t="e">
        <f>AU482*D482*#REF!/(D482*G482/2.75/F482^0.5)</f>
        <v>#REF!</v>
      </c>
      <c r="AW482" s="4" t="e">
        <f t="shared" si="2144"/>
        <v>#REF!</v>
      </c>
      <c r="AY482" s="4">
        <f t="shared" si="2145"/>
        <v>1.5</v>
      </c>
      <c r="AZ482" s="4" t="e">
        <f>(3*#REF!+30)*AY482*F482^0.5</f>
        <v>#REF!</v>
      </c>
      <c r="BB482" s="4">
        <f t="shared" si="2146"/>
        <v>8256.1045160288031</v>
      </c>
      <c r="BC482" s="4">
        <f t="shared" si="2147"/>
        <v>0</v>
      </c>
      <c r="BD482" s="4">
        <f t="shared" si="2148"/>
        <v>0</v>
      </c>
      <c r="BL482" s="4">
        <f t="shared" si="2149"/>
        <v>596.9</v>
      </c>
      <c r="BP482" s="9"/>
      <c r="BR482" s="9"/>
      <c r="BS482" s="9"/>
      <c r="BT482" s="9">
        <f t="shared" si="2150"/>
        <v>596.9</v>
      </c>
      <c r="BU482" s="9">
        <f t="shared" si="2151"/>
        <v>596.9</v>
      </c>
      <c r="BV482" s="9">
        <f t="shared" si="2152"/>
        <v>4.8476798574163293</v>
      </c>
      <c r="BW482" s="40">
        <f t="shared" si="2153"/>
        <v>0</v>
      </c>
      <c r="BX482" s="9">
        <f t="shared" si="2154"/>
        <v>0</v>
      </c>
      <c r="BY482" s="9">
        <f t="shared" si="2155"/>
        <v>0</v>
      </c>
      <c r="BZ482" s="9">
        <f t="shared" si="2156"/>
        <v>0.99524931562137331</v>
      </c>
      <c r="CA482" s="9">
        <f t="shared" si="2157"/>
        <v>0.68</v>
      </c>
      <c r="CB482" s="9">
        <f t="shared" si="2158"/>
        <v>1.8263267342054628</v>
      </c>
      <c r="CC482" s="9">
        <f t="shared" si="2159"/>
        <v>4.5658168355136572</v>
      </c>
      <c r="CD482" s="40">
        <v>1</v>
      </c>
      <c r="CE482" s="9" t="e">
        <f>4*CC482*#REF!+60*CC482</f>
        <v>#REF!</v>
      </c>
      <c r="DC482" s="4" t="e">
        <f>#REF!</f>
        <v>#REF!</v>
      </c>
      <c r="DF482" s="4">
        <f t="shared" si="2160"/>
        <v>1.3631853306974178E-5</v>
      </c>
      <c r="DG482" s="4">
        <f t="shared" si="2161"/>
        <v>11.829381634472119</v>
      </c>
      <c r="DH482" s="4">
        <f t="shared" si="2162"/>
        <v>0.22317163317275795</v>
      </c>
      <c r="DI482" s="4">
        <f t="shared" si="2163"/>
        <v>6.4925849346268336</v>
      </c>
      <c r="DJ482" s="4">
        <f t="shared" si="2164"/>
        <v>9.5446904861318114</v>
      </c>
      <c r="DK482" s="4">
        <f t="shared" si="2165"/>
        <v>11.465435649076939</v>
      </c>
      <c r="DL482" s="38">
        <f t="shared" si="2166"/>
        <v>598.84831179978437</v>
      </c>
      <c r="DM482" s="4" t="e">
        <f t="shared" si="2167"/>
        <v>#REF!</v>
      </c>
      <c r="DN482" s="4">
        <f t="shared" si="2168"/>
        <v>3.1780497164141401</v>
      </c>
      <c r="DO482" s="4">
        <f t="shared" si="2169"/>
        <v>385.02038975241419</v>
      </c>
      <c r="DS482" s="4">
        <f t="shared" si="2170"/>
        <v>0.85</v>
      </c>
      <c r="DT482" s="4">
        <f t="shared" si="2171"/>
        <v>0.7</v>
      </c>
      <c r="DU482" s="4">
        <f t="shared" si="2172"/>
        <v>1</v>
      </c>
      <c r="DV482" s="4">
        <f t="shared" si="2173"/>
        <v>0.7</v>
      </c>
      <c r="DX482" s="4">
        <f t="shared" si="2174"/>
        <v>889.65517241379314</v>
      </c>
      <c r="EB482" s="4">
        <f t="shared" si="2175"/>
        <v>11.829381634472119</v>
      </c>
      <c r="EE482" s="4">
        <f t="shared" si="2176"/>
        <v>80.72246279691916</v>
      </c>
      <c r="EF482" s="4">
        <f t="shared" si="2177"/>
        <v>3.1780497164141406</v>
      </c>
      <c r="EG482" s="4">
        <f t="shared" si="2178"/>
        <v>9.4247372350766273E-2</v>
      </c>
      <c r="EJ482" s="4">
        <f t="shared" si="2179"/>
        <v>9.4247372350766273E-2</v>
      </c>
      <c r="EK482" s="4">
        <f t="shared" si="2180"/>
        <v>0.22317163317275795</v>
      </c>
      <c r="EL482" s="4">
        <f t="shared" si="2181"/>
        <v>6.4925849346268336</v>
      </c>
      <c r="EM482" s="4">
        <f t="shared" si="2182"/>
        <v>9.5446904861318114</v>
      </c>
      <c r="EN482" s="4" t="e">
        <f t="shared" si="2183"/>
        <v>#REF!</v>
      </c>
      <c r="EO482" s="4" t="e">
        <f t="shared" si="2184"/>
        <v>#REF!</v>
      </c>
      <c r="EP482" s="4" t="e">
        <f t="shared" si="2185"/>
        <v>#REF!</v>
      </c>
      <c r="EQ482" s="4" t="e">
        <f t="shared" si="2186"/>
        <v>#REF!</v>
      </c>
      <c r="ER482" s="4" t="e">
        <f t="shared" si="2187"/>
        <v>#REF!</v>
      </c>
      <c r="FA482" s="23"/>
      <c r="FB482" s="23"/>
      <c r="FC482" s="23"/>
      <c r="FD482" s="23"/>
      <c r="FE482" s="23"/>
      <c r="FF482" s="23"/>
      <c r="FG482" s="23"/>
      <c r="FH482" s="23"/>
      <c r="FR482" s="4">
        <f t="shared" si="2188"/>
        <v>1</v>
      </c>
      <c r="FS482" s="4">
        <f t="shared" si="2189"/>
        <v>1.0833333333333333</v>
      </c>
      <c r="FT482" s="4">
        <f t="shared" si="2190"/>
        <v>0</v>
      </c>
      <c r="FU482" s="4">
        <f t="shared" si="2191"/>
        <v>161.01858866173305</v>
      </c>
    </row>
    <row r="483" spans="1:178" ht="12" customHeight="1" x14ac:dyDescent="0.3">
      <c r="A483" s="52"/>
      <c r="B483" s="24"/>
      <c r="C483" s="43" t="s">
        <v>633</v>
      </c>
      <c r="D483" s="38">
        <f t="shared" si="2129"/>
        <v>889.65517241379314</v>
      </c>
      <c r="E483" s="45">
        <v>162.56</v>
      </c>
      <c r="F483" s="45">
        <v>59.448275862068968</v>
      </c>
      <c r="G483" s="7">
        <v>25.4</v>
      </c>
      <c r="H483" s="45">
        <v>1219.1999999999998</v>
      </c>
      <c r="I483" s="45">
        <v>596.9</v>
      </c>
      <c r="J483" s="45">
        <v>596.9</v>
      </c>
      <c r="K483" s="7"/>
      <c r="L483" s="38">
        <v>1</v>
      </c>
      <c r="N483" s="7">
        <f t="shared" si="2130"/>
        <v>24</v>
      </c>
      <c r="O483" s="7">
        <f t="shared" si="2131"/>
        <v>24</v>
      </c>
      <c r="P483" s="45">
        <v>6.5</v>
      </c>
      <c r="Q483" s="4">
        <f t="shared" si="2132"/>
        <v>6.5</v>
      </c>
      <c r="R483" s="4">
        <f t="shared" si="2133"/>
        <v>7.5</v>
      </c>
      <c r="S483" s="7">
        <f t="shared" si="2134"/>
        <v>69.56076480315609</v>
      </c>
      <c r="V483" s="45">
        <v>806.89655172413802</v>
      </c>
      <c r="Y483" s="38"/>
      <c r="Z483" s="38"/>
      <c r="AA483" s="39">
        <v>1</v>
      </c>
      <c r="AB483" s="39"/>
      <c r="AC483" s="39"/>
      <c r="AE483" s="4">
        <f t="shared" si="2135"/>
        <v>162.56</v>
      </c>
      <c r="AF483" s="4">
        <f t="shared" si="2136"/>
        <v>1</v>
      </c>
      <c r="AG483" s="4">
        <f t="shared" si="2137"/>
        <v>315.37905904684118</v>
      </c>
      <c r="AH483" s="4">
        <f t="shared" si="2138"/>
        <v>1</v>
      </c>
      <c r="AI483" s="4">
        <v>1.25</v>
      </c>
      <c r="AJ483" s="4">
        <v>1</v>
      </c>
      <c r="AK483" s="38">
        <f t="shared" si="2139"/>
        <v>394.22382380855146</v>
      </c>
      <c r="AL483" s="38">
        <f t="shared" si="2192"/>
        <v>394.22382380855146</v>
      </c>
      <c r="AM483" s="38">
        <f t="shared" si="2140"/>
        <v>4.3396934501138817</v>
      </c>
      <c r="AR483" s="4" t="e">
        <f>#REF!/G483*F483^0.5/0.19</f>
        <v>#REF!</v>
      </c>
      <c r="AS483" s="4">
        <f t="shared" si="2141"/>
        <v>1</v>
      </c>
      <c r="AT483" s="38">
        <f t="shared" si="2142"/>
        <v>7275.0700480832784</v>
      </c>
      <c r="AU483" s="4">
        <f t="shared" si="2143"/>
        <v>0.3</v>
      </c>
      <c r="AV483" s="4" t="e">
        <f>AU483*D483*#REF!/(D483*G483/2.75/F483^0.5)</f>
        <v>#REF!</v>
      </c>
      <c r="AW483" s="4" t="e">
        <f t="shared" si="2144"/>
        <v>#REF!</v>
      </c>
      <c r="AY483" s="4">
        <f t="shared" si="2145"/>
        <v>1.5</v>
      </c>
      <c r="AZ483" s="4" t="e">
        <f>(3*#REF!+30)*AY483*F483^0.5</f>
        <v>#REF!</v>
      </c>
      <c r="BB483" s="4">
        <f t="shared" si="2146"/>
        <v>6977.6818592050622</v>
      </c>
      <c r="BC483" s="4">
        <f t="shared" si="2147"/>
        <v>0</v>
      </c>
      <c r="BD483" s="4">
        <f t="shared" si="2148"/>
        <v>0</v>
      </c>
      <c r="BL483" s="4">
        <f t="shared" si="2149"/>
        <v>596.9</v>
      </c>
      <c r="BP483" s="9"/>
      <c r="BR483" s="9"/>
      <c r="BS483" s="9"/>
      <c r="BT483" s="9">
        <f t="shared" si="2150"/>
        <v>596.9</v>
      </c>
      <c r="BU483" s="9">
        <f t="shared" si="2151"/>
        <v>596.9</v>
      </c>
      <c r="BV483" s="9">
        <f t="shared" si="2152"/>
        <v>4.8476798574163293</v>
      </c>
      <c r="BW483" s="40">
        <f t="shared" si="2153"/>
        <v>0</v>
      </c>
      <c r="BX483" s="9">
        <f t="shared" si="2154"/>
        <v>0</v>
      </c>
      <c r="BY483" s="9">
        <f t="shared" si="2155"/>
        <v>0</v>
      </c>
      <c r="BZ483" s="9">
        <f t="shared" si="2156"/>
        <v>0.99524931562137331</v>
      </c>
      <c r="CA483" s="9">
        <f t="shared" si="2157"/>
        <v>0.68</v>
      </c>
      <c r="CB483" s="9">
        <f t="shared" si="2158"/>
        <v>1.8263267342054628</v>
      </c>
      <c r="CC483" s="9">
        <f t="shared" si="2159"/>
        <v>4.5658168355136572</v>
      </c>
      <c r="CD483" s="40">
        <v>1</v>
      </c>
      <c r="CE483" s="9" t="e">
        <f>4*CC483*#REF!+60*CC483</f>
        <v>#REF!</v>
      </c>
      <c r="DC483" s="4" t="e">
        <f>#REF!</f>
        <v>#REF!</v>
      </c>
      <c r="DF483" s="4">
        <f t="shared" si="2160"/>
        <v>1.3848231930894405E-5</v>
      </c>
      <c r="DG483" s="4">
        <f t="shared" si="2161"/>
        <v>11.829381634472119</v>
      </c>
      <c r="DH483" s="4">
        <f t="shared" si="2162"/>
        <v>0.27567419108435354</v>
      </c>
      <c r="DI483" s="4">
        <f t="shared" si="2163"/>
        <v>7.0651353558258458</v>
      </c>
      <c r="DJ483" s="4">
        <f t="shared" si="2164"/>
        <v>9.7447329036587558</v>
      </c>
      <c r="DK483" s="4">
        <f t="shared" si="2165"/>
        <v>11.425135548573715</v>
      </c>
      <c r="DL483" s="38">
        <f t="shared" si="2166"/>
        <v>625.09004262999906</v>
      </c>
      <c r="DM483" s="4" t="e">
        <f t="shared" si="2167"/>
        <v>#REF!</v>
      </c>
      <c r="DN483" s="4">
        <f t="shared" si="2168"/>
        <v>2.7386127875258306</v>
      </c>
      <c r="DO483" s="4">
        <f t="shared" si="2169"/>
        <v>394.22382380855146</v>
      </c>
      <c r="DS483" s="4">
        <f t="shared" si="2170"/>
        <v>0.85</v>
      </c>
      <c r="DT483" s="4">
        <f t="shared" si="2171"/>
        <v>0.7</v>
      </c>
      <c r="DU483" s="4">
        <f t="shared" si="2172"/>
        <v>1</v>
      </c>
      <c r="DV483" s="4">
        <f t="shared" si="2173"/>
        <v>0.7</v>
      </c>
      <c r="DX483" s="4">
        <f t="shared" si="2174"/>
        <v>889.65517241379314</v>
      </c>
      <c r="EB483" s="4">
        <f t="shared" si="2175"/>
        <v>11.829381634472119</v>
      </c>
      <c r="EE483" s="4">
        <f t="shared" si="2176"/>
        <v>69.56076480315609</v>
      </c>
      <c r="EF483" s="4">
        <f t="shared" si="2177"/>
        <v>2.7386127875258306</v>
      </c>
      <c r="EG483" s="4">
        <f t="shared" si="2178"/>
        <v>0.11641967110807015</v>
      </c>
      <c r="EJ483" s="4">
        <f t="shared" si="2179"/>
        <v>0.11641967110807015</v>
      </c>
      <c r="EK483" s="4">
        <f t="shared" si="2180"/>
        <v>0.27567419108435354</v>
      </c>
      <c r="EL483" s="4">
        <f t="shared" si="2181"/>
        <v>7.0651353558258458</v>
      </c>
      <c r="EM483" s="4">
        <f t="shared" si="2182"/>
        <v>9.7447329036587558</v>
      </c>
      <c r="EN483" s="4" t="e">
        <f t="shared" si="2183"/>
        <v>#REF!</v>
      </c>
      <c r="EO483" s="4" t="e">
        <f t="shared" si="2184"/>
        <v>#REF!</v>
      </c>
      <c r="EP483" s="4" t="e">
        <f t="shared" si="2185"/>
        <v>#REF!</v>
      </c>
      <c r="EQ483" s="4" t="e">
        <f t="shared" si="2186"/>
        <v>#REF!</v>
      </c>
      <c r="ER483" s="4" t="e">
        <f t="shared" si="2187"/>
        <v>#REF!</v>
      </c>
      <c r="FA483" s="23"/>
      <c r="FB483" s="23"/>
      <c r="FC483" s="23"/>
      <c r="FD483" s="23"/>
      <c r="FE483" s="23"/>
      <c r="FF483" s="23"/>
      <c r="FG483" s="23"/>
      <c r="FH483" s="23"/>
      <c r="FR483" s="4">
        <f t="shared" si="2188"/>
        <v>1</v>
      </c>
      <c r="FS483" s="4">
        <f t="shared" si="2189"/>
        <v>1.0833333333333333</v>
      </c>
      <c r="FT483" s="4">
        <f t="shared" si="2190"/>
        <v>0</v>
      </c>
      <c r="FU483" s="4">
        <f t="shared" si="2191"/>
        <v>163.57443927541135</v>
      </c>
    </row>
    <row r="484" spans="1:178" ht="12" customHeight="1" x14ac:dyDescent="0.3">
      <c r="A484" s="52"/>
      <c r="B484" s="24"/>
      <c r="C484" s="43" t="s">
        <v>634</v>
      </c>
      <c r="D484" s="38">
        <f t="shared" si="2129"/>
        <v>889.65517241379314</v>
      </c>
      <c r="E484" s="45">
        <v>165.1</v>
      </c>
      <c r="F484" s="45">
        <v>59.448275862068968</v>
      </c>
      <c r="G484" s="7">
        <v>25.4</v>
      </c>
      <c r="H484" s="45">
        <v>1219.1999999999998</v>
      </c>
      <c r="I484" s="45">
        <v>596.9</v>
      </c>
      <c r="J484" s="45">
        <v>596.9</v>
      </c>
      <c r="K484" s="7"/>
      <c r="L484" s="38">
        <v>1</v>
      </c>
      <c r="N484" s="7">
        <f t="shared" si="2130"/>
        <v>24</v>
      </c>
      <c r="O484" s="7">
        <f t="shared" si="2131"/>
        <v>24</v>
      </c>
      <c r="P484" s="45">
        <v>4.5</v>
      </c>
      <c r="Q484" s="4">
        <f t="shared" si="2132"/>
        <v>4.5</v>
      </c>
      <c r="R484" s="4">
        <f t="shared" si="2133"/>
        <v>5.5</v>
      </c>
      <c r="S484" s="7">
        <f t="shared" si="2134"/>
        <v>59.568280149757555</v>
      </c>
      <c r="V484" s="45">
        <v>646.20689655172418</v>
      </c>
      <c r="Y484" s="38"/>
      <c r="Z484" s="38"/>
      <c r="AA484" s="39">
        <v>1</v>
      </c>
      <c r="AB484" s="39"/>
      <c r="AC484" s="39"/>
      <c r="AE484" s="4">
        <f t="shared" si="2135"/>
        <v>165.1</v>
      </c>
      <c r="AF484" s="4">
        <f t="shared" si="2136"/>
        <v>0.99999999999999989</v>
      </c>
      <c r="AG484" s="4">
        <f t="shared" si="2137"/>
        <v>322.79955480341323</v>
      </c>
      <c r="AH484" s="4">
        <f t="shared" si="2138"/>
        <v>1</v>
      </c>
      <c r="AI484" s="4">
        <v>1.25</v>
      </c>
      <c r="AJ484" s="4">
        <v>1</v>
      </c>
      <c r="AK484" s="38">
        <f t="shared" si="2139"/>
        <v>403.49944350426648</v>
      </c>
      <c r="AL484" s="38">
        <f t="shared" si="2192"/>
        <v>403.49944350426648</v>
      </c>
      <c r="AM484" s="38">
        <f t="shared" si="2140"/>
        <v>4.3396934501138817</v>
      </c>
      <c r="AR484" s="4" t="e">
        <f>#REF!/G484*F484^0.5/0.19</f>
        <v>#REF!</v>
      </c>
      <c r="AS484" s="4">
        <f t="shared" si="2141"/>
        <v>1</v>
      </c>
      <c r="AT484" s="38">
        <f t="shared" si="2142"/>
        <v>6053.2241748361221</v>
      </c>
      <c r="AU484" s="4">
        <f t="shared" si="2143"/>
        <v>0.37</v>
      </c>
      <c r="AV484" s="4" t="e">
        <f>AU484*D484*#REF!/(D484*G484/2.75/F484^0.5)</f>
        <v>#REF!</v>
      </c>
      <c r="AW484" s="4" t="e">
        <f t="shared" si="2144"/>
        <v>#REF!</v>
      </c>
      <c r="AY484" s="4">
        <f t="shared" si="2145"/>
        <v>1.5</v>
      </c>
      <c r="AZ484" s="4" t="e">
        <f>(3*#REF!+30)*AY484*F484^0.5</f>
        <v>#REF!</v>
      </c>
      <c r="BB484" s="4">
        <f t="shared" si="2146"/>
        <v>5805.7822447474036</v>
      </c>
      <c r="BC484" s="4">
        <f t="shared" si="2147"/>
        <v>0</v>
      </c>
      <c r="BD484" s="4">
        <f t="shared" si="2148"/>
        <v>0</v>
      </c>
      <c r="BL484" s="4">
        <f t="shared" si="2149"/>
        <v>596.9</v>
      </c>
      <c r="BP484" s="9"/>
      <c r="BR484" s="9"/>
      <c r="BS484" s="9"/>
      <c r="BT484" s="9">
        <f t="shared" si="2150"/>
        <v>596.9</v>
      </c>
      <c r="BU484" s="9">
        <f t="shared" si="2151"/>
        <v>596.9</v>
      </c>
      <c r="BV484" s="9">
        <f t="shared" si="2152"/>
        <v>4.8476798574163293</v>
      </c>
      <c r="BW484" s="40">
        <f t="shared" si="2153"/>
        <v>0</v>
      </c>
      <c r="BX484" s="9">
        <f t="shared" si="2154"/>
        <v>0</v>
      </c>
      <c r="BY484" s="9">
        <f t="shared" si="2155"/>
        <v>0</v>
      </c>
      <c r="BZ484" s="9">
        <f t="shared" si="2156"/>
        <v>0.99524931562137331</v>
      </c>
      <c r="CA484" s="9">
        <f t="shared" si="2157"/>
        <v>0.68</v>
      </c>
      <c r="CB484" s="9">
        <f t="shared" si="2158"/>
        <v>1.8263267342054628</v>
      </c>
      <c r="CC484" s="9">
        <f t="shared" si="2159"/>
        <v>4.5658168355136572</v>
      </c>
      <c r="CD484" s="40">
        <v>1</v>
      </c>
      <c r="CE484" s="9" t="e">
        <f>4*CC484*#REF!+60*CC484</f>
        <v>#REF!</v>
      </c>
      <c r="DC484" s="4" t="e">
        <f>#REF!</f>
        <v>#REF!</v>
      </c>
      <c r="DF484" s="4">
        <f t="shared" si="2160"/>
        <v>1.406461055481463E-5</v>
      </c>
      <c r="DG484" s="4">
        <f t="shared" si="2161"/>
        <v>11.829381634472119</v>
      </c>
      <c r="DH484" s="4">
        <f t="shared" si="2162"/>
        <v>0.34901793030288153</v>
      </c>
      <c r="DI484" s="4">
        <f t="shared" si="2163"/>
        <v>7.7642791021983317</v>
      </c>
      <c r="DJ484" s="4">
        <f t="shared" si="2164"/>
        <v>10.006320161093534</v>
      </c>
      <c r="DK484" s="4">
        <f t="shared" si="2165"/>
        <v>11.383361078397993</v>
      </c>
      <c r="DL484" s="38">
        <f t="shared" si="2166"/>
        <v>651.58232422155083</v>
      </c>
      <c r="DM484" s="4" t="e">
        <f t="shared" si="2167"/>
        <v>#REF!</v>
      </c>
      <c r="DN484" s="4">
        <f t="shared" si="2168"/>
        <v>2.3452078799117149</v>
      </c>
      <c r="DO484" s="4">
        <f t="shared" si="2169"/>
        <v>403.49944350426648</v>
      </c>
      <c r="DS484" s="4">
        <f t="shared" si="2170"/>
        <v>0.85</v>
      </c>
      <c r="DT484" s="4">
        <f t="shared" si="2171"/>
        <v>0.7</v>
      </c>
      <c r="DU484" s="4">
        <f t="shared" si="2172"/>
        <v>1</v>
      </c>
      <c r="DV484" s="4">
        <f t="shared" si="2173"/>
        <v>0.7</v>
      </c>
      <c r="DX484" s="4">
        <f t="shared" si="2174"/>
        <v>889.65517241379314</v>
      </c>
      <c r="EB484" s="4">
        <f t="shared" si="2175"/>
        <v>11.829381634472119</v>
      </c>
      <c r="EE484" s="4">
        <f t="shared" si="2176"/>
        <v>59.568280149757555</v>
      </c>
      <c r="EF484" s="4">
        <f t="shared" si="2177"/>
        <v>2.3452078799117149</v>
      </c>
      <c r="EG484" s="4">
        <f t="shared" si="2178"/>
        <v>0.14739338672530164</v>
      </c>
      <c r="EJ484" s="4">
        <f t="shared" si="2179"/>
        <v>0.14739338672530164</v>
      </c>
      <c r="EK484" s="4">
        <f t="shared" si="2180"/>
        <v>0.34901793030288153</v>
      </c>
      <c r="EL484" s="4">
        <f t="shared" si="2181"/>
        <v>7.7642791021983317</v>
      </c>
      <c r="EM484" s="4">
        <f t="shared" si="2182"/>
        <v>10.006320161093534</v>
      </c>
      <c r="EN484" s="4" t="e">
        <f t="shared" si="2183"/>
        <v>#REF!</v>
      </c>
      <c r="EO484" s="4" t="e">
        <f t="shared" si="2184"/>
        <v>#REF!</v>
      </c>
      <c r="EP484" s="4" t="e">
        <f t="shared" si="2185"/>
        <v>#REF!</v>
      </c>
      <c r="EQ484" s="4" t="e">
        <f t="shared" si="2186"/>
        <v>#REF!</v>
      </c>
      <c r="ER484" s="4" t="e">
        <f t="shared" si="2187"/>
        <v>#REF!</v>
      </c>
      <c r="FA484" s="23"/>
      <c r="FB484" s="23"/>
      <c r="FC484" s="23"/>
      <c r="FD484" s="23"/>
      <c r="FE484" s="23"/>
      <c r="FF484" s="23"/>
      <c r="FG484" s="23"/>
      <c r="FH484" s="23"/>
      <c r="FR484" s="4">
        <f t="shared" si="2188"/>
        <v>1</v>
      </c>
      <c r="FS484" s="4">
        <f t="shared" si="2189"/>
        <v>1.0833333333333333</v>
      </c>
      <c r="FT484" s="4">
        <f t="shared" si="2190"/>
        <v>0</v>
      </c>
      <c r="FU484" s="4">
        <f t="shared" si="2191"/>
        <v>166.13028988908965</v>
      </c>
    </row>
    <row r="485" spans="1:178" ht="12" customHeight="1" x14ac:dyDescent="0.3">
      <c r="A485" s="52"/>
      <c r="B485" s="24"/>
      <c r="C485" s="43" t="s">
        <v>635</v>
      </c>
      <c r="D485" s="38">
        <f t="shared" si="2129"/>
        <v>889.65517241379314</v>
      </c>
      <c r="E485" s="45">
        <v>165.1</v>
      </c>
      <c r="F485" s="45">
        <v>28.96551724137931</v>
      </c>
      <c r="G485" s="7">
        <v>25.4</v>
      </c>
      <c r="H485" s="45">
        <v>1219.1999999999998</v>
      </c>
      <c r="I485" s="45">
        <v>596.9</v>
      </c>
      <c r="J485" s="45">
        <v>596.9</v>
      </c>
      <c r="K485" s="7"/>
      <c r="L485" s="38">
        <v>1</v>
      </c>
      <c r="N485" s="7">
        <f t="shared" si="2130"/>
        <v>24</v>
      </c>
      <c r="O485" s="7">
        <f t="shared" si="2131"/>
        <v>24</v>
      </c>
      <c r="P485" s="45">
        <v>14</v>
      </c>
      <c r="Q485" s="4">
        <f t="shared" si="2132"/>
        <v>14</v>
      </c>
      <c r="R485" s="4">
        <f t="shared" si="2133"/>
        <v>15</v>
      </c>
      <c r="S485" s="7">
        <f t="shared" si="2134"/>
        <v>98.373776993668386</v>
      </c>
      <c r="V485" s="45">
        <v>539.31034482758628</v>
      </c>
      <c r="Y485" s="38"/>
      <c r="Z485" s="38"/>
      <c r="AA485" s="39">
        <v>1</v>
      </c>
      <c r="AB485" s="39"/>
      <c r="AC485" s="39"/>
      <c r="AE485" s="4">
        <f t="shared" si="2135"/>
        <v>165.1</v>
      </c>
      <c r="AF485" s="4">
        <f t="shared" si="2136"/>
        <v>0.99999999999999989</v>
      </c>
      <c r="AG485" s="4">
        <f t="shared" si="2137"/>
        <v>225.32217739115345</v>
      </c>
      <c r="AH485" s="4">
        <f t="shared" si="2138"/>
        <v>1</v>
      </c>
      <c r="AI485" s="4">
        <v>1.25</v>
      </c>
      <c r="AJ485" s="4">
        <v>1</v>
      </c>
      <c r="AK485" s="38">
        <f t="shared" si="2139"/>
        <v>281.65272173894175</v>
      </c>
      <c r="AL485" s="38">
        <f t="shared" si="2192"/>
        <v>281.65272173894175</v>
      </c>
      <c r="AM485" s="38">
        <f t="shared" si="2140"/>
        <v>2.8294940183703567</v>
      </c>
      <c r="AR485" s="4" t="e">
        <f>#REF!/G485*F485^0.5/0.19</f>
        <v>#REF!</v>
      </c>
      <c r="AS485" s="4">
        <f t="shared" si="2141"/>
        <v>1</v>
      </c>
      <c r="AT485" s="38">
        <f t="shared" si="2142"/>
        <v>5202.1939943008729</v>
      </c>
      <c r="AU485" s="4">
        <f t="shared" si="2143"/>
        <v>0.3</v>
      </c>
      <c r="AV485" s="4" t="e">
        <f>AU485*D485*#REF!/(D485*G485/2.75/F485^0.5)</f>
        <v>#REF!</v>
      </c>
      <c r="AW485" s="4" t="e">
        <f t="shared" si="2144"/>
        <v>#REF!</v>
      </c>
      <c r="AY485" s="4">
        <f t="shared" si="2145"/>
        <v>1.5</v>
      </c>
      <c r="AZ485" s="4" t="e">
        <f>(3*#REF!+30)*AY485*F485^0.5</f>
        <v>#REF!</v>
      </c>
      <c r="BB485" s="4">
        <f t="shared" si="2146"/>
        <v>4989.5402274047219</v>
      </c>
      <c r="BC485" s="4">
        <f t="shared" si="2147"/>
        <v>0</v>
      </c>
      <c r="BD485" s="4">
        <f t="shared" si="2148"/>
        <v>0</v>
      </c>
      <c r="BL485" s="4">
        <f t="shared" si="2149"/>
        <v>596.9</v>
      </c>
      <c r="BP485" s="9"/>
      <c r="BR485" s="9"/>
      <c r="BS485" s="9"/>
      <c r="BT485" s="9">
        <f t="shared" si="2150"/>
        <v>596.9</v>
      </c>
      <c r="BU485" s="9">
        <f t="shared" si="2151"/>
        <v>596.9</v>
      </c>
      <c r="BV485" s="9">
        <f t="shared" si="2152"/>
        <v>4.8476798574163293</v>
      </c>
      <c r="BW485" s="40">
        <f t="shared" si="2153"/>
        <v>0</v>
      </c>
      <c r="BX485" s="9">
        <f t="shared" si="2154"/>
        <v>0</v>
      </c>
      <c r="BY485" s="9">
        <f t="shared" si="2155"/>
        <v>0</v>
      </c>
      <c r="BZ485" s="9">
        <f t="shared" si="2156"/>
        <v>0.99524931562137331</v>
      </c>
      <c r="CA485" s="9">
        <f t="shared" si="2157"/>
        <v>0.68</v>
      </c>
      <c r="CB485" s="9">
        <f t="shared" si="2158"/>
        <v>1.2748218213295317</v>
      </c>
      <c r="CC485" s="9">
        <f t="shared" si="2159"/>
        <v>3.1870545533238293</v>
      </c>
      <c r="CD485" s="40">
        <v>1</v>
      </c>
      <c r="CE485" s="9" t="e">
        <f>4*CC485*#REF!+60*CC485</f>
        <v>#REF!</v>
      </c>
      <c r="DC485" s="4" t="e">
        <f>#REF!</f>
        <v>#REF!</v>
      </c>
      <c r="DF485" s="4">
        <f t="shared" si="2160"/>
        <v>1.1521263534281654E-5</v>
      </c>
      <c r="DG485" s="4">
        <f t="shared" si="2161"/>
        <v>8.2572047805129003</v>
      </c>
      <c r="DH485" s="4">
        <f t="shared" si="2162"/>
        <v>0.26541501582698523</v>
      </c>
      <c r="DI485" s="4">
        <f t="shared" si="2163"/>
        <v>4.8573930946961532</v>
      </c>
      <c r="DJ485" s="4">
        <f t="shared" si="2164"/>
        <v>6.7754289501989868</v>
      </c>
      <c r="DK485" s="4">
        <f t="shared" si="2165"/>
        <v>8.1016652006466714</v>
      </c>
      <c r="DL485" s="38">
        <f t="shared" si="2166"/>
        <v>436.7203263688607</v>
      </c>
      <c r="DM485" s="4" t="e">
        <f t="shared" si="2167"/>
        <v>#REF!</v>
      </c>
      <c r="DN485" s="4">
        <f t="shared" si="2168"/>
        <v>3.872983346207417</v>
      </c>
      <c r="DO485" s="4">
        <f t="shared" si="2169"/>
        <v>281.65272173894175</v>
      </c>
      <c r="DS485" s="4">
        <f t="shared" si="2170"/>
        <v>0.85</v>
      </c>
      <c r="DT485" s="4">
        <f t="shared" si="2171"/>
        <v>0.7</v>
      </c>
      <c r="DU485" s="4">
        <f t="shared" si="2172"/>
        <v>1</v>
      </c>
      <c r="DV485" s="4">
        <f t="shared" si="2173"/>
        <v>0.7</v>
      </c>
      <c r="DX485" s="4">
        <f t="shared" si="2174"/>
        <v>889.65517241379314</v>
      </c>
      <c r="EB485" s="4">
        <f t="shared" si="2175"/>
        <v>8.2572047805129003</v>
      </c>
      <c r="EE485" s="4">
        <f t="shared" si="2176"/>
        <v>98.373776993668386</v>
      </c>
      <c r="EF485" s="4">
        <f t="shared" si="2177"/>
        <v>3.872983346207417</v>
      </c>
      <c r="EG485" s="4">
        <f t="shared" si="2178"/>
        <v>7.8239625108981664E-2</v>
      </c>
      <c r="EJ485" s="4">
        <f t="shared" si="2179"/>
        <v>7.8239625108981664E-2</v>
      </c>
      <c r="EK485" s="4">
        <f t="shared" si="2180"/>
        <v>0.26541501582698523</v>
      </c>
      <c r="EL485" s="4">
        <f t="shared" si="2181"/>
        <v>4.8573930946961532</v>
      </c>
      <c r="EM485" s="4">
        <f t="shared" si="2182"/>
        <v>6.7754289501989868</v>
      </c>
      <c r="EN485" s="4" t="e">
        <f t="shared" si="2183"/>
        <v>#REF!</v>
      </c>
      <c r="EO485" s="4" t="e">
        <f t="shared" si="2184"/>
        <v>#REF!</v>
      </c>
      <c r="EP485" s="4" t="e">
        <f t="shared" si="2185"/>
        <v>#REF!</v>
      </c>
      <c r="EQ485" s="4" t="e">
        <f t="shared" si="2186"/>
        <v>#REF!</v>
      </c>
      <c r="ER485" s="4" t="e">
        <f t="shared" si="2187"/>
        <v>#REF!</v>
      </c>
      <c r="FA485" s="23"/>
      <c r="FB485" s="23"/>
      <c r="FC485" s="23"/>
      <c r="FD485" s="23"/>
      <c r="FE485" s="23"/>
      <c r="FF485" s="23"/>
      <c r="FG485" s="23"/>
      <c r="FH485" s="23"/>
      <c r="FR485" s="4">
        <f t="shared" si="2188"/>
        <v>1</v>
      </c>
      <c r="FS485" s="4">
        <f t="shared" si="2189"/>
        <v>1.0833333333333333</v>
      </c>
      <c r="FT485" s="4">
        <f t="shared" si="2190"/>
        <v>0</v>
      </c>
      <c r="FU485" s="4">
        <f t="shared" si="2191"/>
        <v>138.79835820431603</v>
      </c>
    </row>
    <row r="486" spans="1:178" ht="12" customHeight="1" x14ac:dyDescent="0.3">
      <c r="A486" s="52"/>
      <c r="B486" s="24"/>
      <c r="C486" s="43" t="s">
        <v>636</v>
      </c>
      <c r="D486" s="38">
        <f t="shared" si="2129"/>
        <v>889.65517241379314</v>
      </c>
      <c r="E486" s="45">
        <v>165.1</v>
      </c>
      <c r="F486" s="45">
        <v>28.96551724137931</v>
      </c>
      <c r="G486" s="7">
        <v>25.4</v>
      </c>
      <c r="H486" s="45">
        <v>1219.1999999999998</v>
      </c>
      <c r="I486" s="45">
        <v>596.9</v>
      </c>
      <c r="J486" s="45">
        <v>596.9</v>
      </c>
      <c r="K486" s="7"/>
      <c r="L486" s="38">
        <v>1</v>
      </c>
      <c r="N486" s="7">
        <f t="shared" si="2130"/>
        <v>24</v>
      </c>
      <c r="O486" s="7">
        <f t="shared" si="2131"/>
        <v>24</v>
      </c>
      <c r="P486" s="45">
        <v>6.5</v>
      </c>
      <c r="Q486" s="4">
        <f t="shared" si="2132"/>
        <v>6.5</v>
      </c>
      <c r="R486" s="4">
        <f t="shared" si="2133"/>
        <v>7.5</v>
      </c>
      <c r="S486" s="7">
        <f t="shared" si="2134"/>
        <v>69.56076480315609</v>
      </c>
      <c r="V486" s="45">
        <v>429.65517241379314</v>
      </c>
      <c r="Y486" s="38"/>
      <c r="Z486" s="38"/>
      <c r="AA486" s="39">
        <v>1</v>
      </c>
      <c r="AB486" s="39"/>
      <c r="AC486" s="39"/>
      <c r="AE486" s="4">
        <f t="shared" si="2135"/>
        <v>165.1</v>
      </c>
      <c r="AF486" s="4">
        <f t="shared" si="2136"/>
        <v>0.99999999999999989</v>
      </c>
      <c r="AG486" s="4">
        <f t="shared" si="2137"/>
        <v>225.32217739115345</v>
      </c>
      <c r="AH486" s="4">
        <f t="shared" si="2138"/>
        <v>1</v>
      </c>
      <c r="AI486" s="4">
        <v>1.25</v>
      </c>
      <c r="AJ486" s="4">
        <v>1</v>
      </c>
      <c r="AK486" s="38">
        <f t="shared" si="2139"/>
        <v>281.65272173894175</v>
      </c>
      <c r="AL486" s="38">
        <f t="shared" si="2192"/>
        <v>281.65272173894175</v>
      </c>
      <c r="AM486" s="38">
        <f t="shared" si="2140"/>
        <v>2.8294940183703567</v>
      </c>
      <c r="AR486" s="4" t="e">
        <f>#REF!/G486*F486^0.5/0.19</f>
        <v>#REF!</v>
      </c>
      <c r="AS486" s="4">
        <f t="shared" si="2141"/>
        <v>1</v>
      </c>
      <c r="AT486" s="38">
        <f t="shared" si="2142"/>
        <v>3544.697703242432</v>
      </c>
      <c r="AU486" s="4">
        <f t="shared" si="2143"/>
        <v>0.3</v>
      </c>
      <c r="AV486" s="4" t="e">
        <f>AU486*D486*#REF!/(D486*G486/2.75/F486^0.5)</f>
        <v>#REF!</v>
      </c>
      <c r="AW486" s="4" t="e">
        <f t="shared" si="2144"/>
        <v>#REF!</v>
      </c>
      <c r="AY486" s="4">
        <f t="shared" si="2145"/>
        <v>1.5</v>
      </c>
      <c r="AZ486" s="4" t="e">
        <f>(3*#REF!+30)*AY486*F486^0.5</f>
        <v>#REF!</v>
      </c>
      <c r="BB486" s="4">
        <f t="shared" si="2146"/>
        <v>3399.7985856915611</v>
      </c>
      <c r="BC486" s="4">
        <f t="shared" si="2147"/>
        <v>0</v>
      </c>
      <c r="BD486" s="4">
        <f t="shared" si="2148"/>
        <v>0</v>
      </c>
      <c r="BL486" s="4">
        <f t="shared" si="2149"/>
        <v>596.9</v>
      </c>
      <c r="BP486" s="9"/>
      <c r="BR486" s="9"/>
      <c r="BS486" s="9"/>
      <c r="BT486" s="9">
        <f t="shared" si="2150"/>
        <v>596.9</v>
      </c>
      <c r="BU486" s="9">
        <f t="shared" si="2151"/>
        <v>596.9</v>
      </c>
      <c r="BV486" s="9">
        <f t="shared" si="2152"/>
        <v>4.8476798574163293</v>
      </c>
      <c r="BW486" s="40">
        <f t="shared" si="2153"/>
        <v>0</v>
      </c>
      <c r="BX486" s="9">
        <f t="shared" si="2154"/>
        <v>0</v>
      </c>
      <c r="BY486" s="9">
        <f t="shared" si="2155"/>
        <v>0</v>
      </c>
      <c r="BZ486" s="9">
        <f t="shared" si="2156"/>
        <v>0.99524931562137331</v>
      </c>
      <c r="CA486" s="9">
        <f t="shared" si="2157"/>
        <v>0.68</v>
      </c>
      <c r="CB486" s="9">
        <f t="shared" si="2158"/>
        <v>1.2748218213295317</v>
      </c>
      <c r="CC486" s="9">
        <f t="shared" si="2159"/>
        <v>3.1870545533238293</v>
      </c>
      <c r="CD486" s="40">
        <v>1</v>
      </c>
      <c r="CE486" s="9" t="e">
        <f>4*CC486*#REF!+60*CC486</f>
        <v>#REF!</v>
      </c>
      <c r="DC486" s="4" t="e">
        <f>#REF!</f>
        <v>#REF!</v>
      </c>
      <c r="DF486" s="4">
        <f t="shared" si="2160"/>
        <v>1.1521263534281654E-5</v>
      </c>
      <c r="DG486" s="4">
        <f t="shared" si="2161"/>
        <v>8.2572047805129003</v>
      </c>
      <c r="DH486" s="4">
        <f t="shared" si="2162"/>
        <v>0.40422686235076083</v>
      </c>
      <c r="DI486" s="4">
        <f t="shared" si="2163"/>
        <v>5.7475548374367609</v>
      </c>
      <c r="DJ486" s="4">
        <f t="shared" si="2164"/>
        <v>7.114271652605928</v>
      </c>
      <c r="DK486" s="4">
        <f t="shared" si="2165"/>
        <v>8.0759712771072891</v>
      </c>
      <c r="DL486" s="38">
        <f t="shared" si="2166"/>
        <v>457.90319967815924</v>
      </c>
      <c r="DM486" s="4" t="e">
        <f t="shared" si="2167"/>
        <v>#REF!</v>
      </c>
      <c r="DN486" s="4">
        <f t="shared" si="2168"/>
        <v>2.7386127875258306</v>
      </c>
      <c r="DO486" s="4">
        <f t="shared" si="2169"/>
        <v>281.65272173894175</v>
      </c>
      <c r="DS486" s="4">
        <f t="shared" si="2170"/>
        <v>0.85</v>
      </c>
      <c r="DT486" s="4">
        <f t="shared" si="2171"/>
        <v>0.7</v>
      </c>
      <c r="DU486" s="4">
        <f t="shared" si="2172"/>
        <v>1</v>
      </c>
      <c r="DV486" s="4">
        <f t="shared" si="2173"/>
        <v>0.7</v>
      </c>
      <c r="DX486" s="4">
        <f t="shared" si="2174"/>
        <v>889.65517241379314</v>
      </c>
      <c r="EB486" s="4">
        <f t="shared" si="2175"/>
        <v>8.2572047805129003</v>
      </c>
      <c r="EE486" s="4">
        <f t="shared" si="2176"/>
        <v>69.56076480315609</v>
      </c>
      <c r="EF486" s="4">
        <f t="shared" si="2177"/>
        <v>2.7386127875258306</v>
      </c>
      <c r="EG486" s="4">
        <f t="shared" si="2178"/>
        <v>0.11915888809365521</v>
      </c>
      <c r="EJ486" s="4">
        <f t="shared" si="2179"/>
        <v>0.11915888809365521</v>
      </c>
      <c r="EK486" s="4">
        <f t="shared" si="2180"/>
        <v>0.40422686235076083</v>
      </c>
      <c r="EL486" s="4">
        <f t="shared" si="2181"/>
        <v>5.7475548374367609</v>
      </c>
      <c r="EM486" s="4">
        <f t="shared" si="2182"/>
        <v>7.114271652605928</v>
      </c>
      <c r="EN486" s="4" t="e">
        <f t="shared" si="2183"/>
        <v>#REF!</v>
      </c>
      <c r="EO486" s="4" t="e">
        <f t="shared" si="2184"/>
        <v>#REF!</v>
      </c>
      <c r="EP486" s="4" t="e">
        <f t="shared" si="2185"/>
        <v>#REF!</v>
      </c>
      <c r="EQ486" s="4" t="e">
        <f t="shared" si="2186"/>
        <v>#REF!</v>
      </c>
      <c r="ER486" s="4" t="e">
        <f t="shared" si="2187"/>
        <v>#REF!</v>
      </c>
      <c r="FA486" s="23"/>
      <c r="FB486" s="23"/>
      <c r="FC486" s="23"/>
      <c r="FD486" s="23"/>
      <c r="FE486" s="23"/>
      <c r="FF486" s="23"/>
      <c r="FG486" s="23"/>
      <c r="FH486" s="23"/>
      <c r="FR486" s="4">
        <f t="shared" si="2188"/>
        <v>1</v>
      </c>
      <c r="FS486" s="4">
        <f t="shared" si="2189"/>
        <v>1.0833333333333333</v>
      </c>
      <c r="FT486" s="4">
        <f t="shared" si="2190"/>
        <v>0</v>
      </c>
      <c r="FU486" s="4">
        <f t="shared" si="2191"/>
        <v>138.79835820431603</v>
      </c>
    </row>
    <row r="487" spans="1:178" ht="12" customHeight="1" x14ac:dyDescent="0.3">
      <c r="A487" s="52"/>
      <c r="B487" s="24"/>
      <c r="C487" s="43" t="s">
        <v>637</v>
      </c>
      <c r="D487" s="38">
        <f t="shared" si="2129"/>
        <v>889.65517241379314</v>
      </c>
      <c r="E487" s="45">
        <v>167.64</v>
      </c>
      <c r="F487" s="45">
        <v>28.96551724137931</v>
      </c>
      <c r="G487" s="7">
        <v>25.4</v>
      </c>
      <c r="H487" s="45">
        <v>1219.1999999999998</v>
      </c>
      <c r="I487" s="45">
        <v>596.9</v>
      </c>
      <c r="J487" s="45">
        <v>596.9</v>
      </c>
      <c r="K487" s="7"/>
      <c r="L487" s="38">
        <v>1</v>
      </c>
      <c r="N487" s="7">
        <f t="shared" si="2130"/>
        <v>24</v>
      </c>
      <c r="O487" s="7">
        <f t="shared" si="2131"/>
        <v>24</v>
      </c>
      <c r="P487" s="45">
        <v>12.9</v>
      </c>
      <c r="Q487" s="4">
        <f t="shared" si="2132"/>
        <v>12.9</v>
      </c>
      <c r="R487" s="4">
        <f t="shared" si="2133"/>
        <v>13.9</v>
      </c>
      <c r="S487" s="7">
        <f t="shared" si="2134"/>
        <v>94.698067562120812</v>
      </c>
      <c r="V487" s="45">
        <v>457.24137931034483</v>
      </c>
      <c r="Y487" s="38"/>
      <c r="Z487" s="38"/>
      <c r="AA487" s="39">
        <v>1</v>
      </c>
      <c r="AB487" s="39"/>
      <c r="AC487" s="39"/>
      <c r="AE487" s="4">
        <f t="shared" si="2135"/>
        <v>167.64</v>
      </c>
      <c r="AF487" s="4">
        <f t="shared" si="2136"/>
        <v>1</v>
      </c>
      <c r="AG487" s="4">
        <f t="shared" si="2137"/>
        <v>230.54186797023712</v>
      </c>
      <c r="AH487" s="4">
        <f t="shared" si="2138"/>
        <v>1</v>
      </c>
      <c r="AI487" s="4">
        <v>1.25</v>
      </c>
      <c r="AJ487" s="4">
        <v>1</v>
      </c>
      <c r="AK487" s="38">
        <f t="shared" si="2139"/>
        <v>288.17733496279641</v>
      </c>
      <c r="AL487" s="38">
        <f t="shared" si="2192"/>
        <v>288.17733496279641</v>
      </c>
      <c r="AM487" s="38">
        <f t="shared" si="2140"/>
        <v>2.8294940183703567</v>
      </c>
      <c r="AR487" s="4" t="e">
        <f>#REF!/G487*F487^0.5/0.19</f>
        <v>#REF!</v>
      </c>
      <c r="AS487" s="4">
        <f t="shared" si="2141"/>
        <v>1</v>
      </c>
      <c r="AT487" s="38">
        <f t="shared" si="2142"/>
        <v>4993.6417313204183</v>
      </c>
      <c r="AU487" s="4">
        <f t="shared" si="2143"/>
        <v>0.3</v>
      </c>
      <c r="AV487" s="4" t="e">
        <f>AU487*D487*#REF!/(D487*G487/2.75/F487^0.5)</f>
        <v>#REF!</v>
      </c>
      <c r="AW487" s="4" t="e">
        <f t="shared" si="2144"/>
        <v>#REF!</v>
      </c>
      <c r="AY487" s="4">
        <f t="shared" si="2145"/>
        <v>1.5</v>
      </c>
      <c r="AZ487" s="4" t="e">
        <f>(3*#REF!+30)*AY487*F487^0.5</f>
        <v>#REF!</v>
      </c>
      <c r="BB487" s="4">
        <f t="shared" si="2146"/>
        <v>4789.5131029266167</v>
      </c>
      <c r="BC487" s="4">
        <f t="shared" si="2147"/>
        <v>0</v>
      </c>
      <c r="BD487" s="4">
        <f t="shared" si="2148"/>
        <v>0</v>
      </c>
      <c r="BL487" s="4">
        <f t="shared" si="2149"/>
        <v>596.9</v>
      </c>
      <c r="BP487" s="9"/>
      <c r="BR487" s="9"/>
      <c r="BS487" s="9"/>
      <c r="BT487" s="9">
        <f t="shared" si="2150"/>
        <v>596.9</v>
      </c>
      <c r="BU487" s="9">
        <f t="shared" si="2151"/>
        <v>596.9</v>
      </c>
      <c r="BV487" s="9">
        <f t="shared" si="2152"/>
        <v>4.8476798574163293</v>
      </c>
      <c r="BW487" s="40">
        <f t="shared" si="2153"/>
        <v>0</v>
      </c>
      <c r="BX487" s="9">
        <f t="shared" si="2154"/>
        <v>0</v>
      </c>
      <c r="BY487" s="9">
        <f t="shared" si="2155"/>
        <v>0</v>
      </c>
      <c r="BZ487" s="9">
        <f t="shared" si="2156"/>
        <v>0.99524931562137331</v>
      </c>
      <c r="CA487" s="9">
        <f t="shared" si="2157"/>
        <v>0.68</v>
      </c>
      <c r="CB487" s="9">
        <f t="shared" si="2158"/>
        <v>1.2748218213295317</v>
      </c>
      <c r="CC487" s="9">
        <f t="shared" si="2159"/>
        <v>3.1870545533238293</v>
      </c>
      <c r="CD487" s="40">
        <v>1</v>
      </c>
      <c r="CE487" s="9" t="e">
        <f>4*CC487*#REF!+60*CC487</f>
        <v>#REF!</v>
      </c>
      <c r="DC487" s="4" t="e">
        <f>#REF!</f>
        <v>#REF!</v>
      </c>
      <c r="DF487" s="4">
        <f t="shared" si="2160"/>
        <v>1.1698513742501371E-5</v>
      </c>
      <c r="DG487" s="4">
        <f t="shared" si="2161"/>
        <v>8.2572047805129003</v>
      </c>
      <c r="DH487" s="4">
        <f t="shared" si="2162"/>
        <v>0.2837079160613234</v>
      </c>
      <c r="DI487" s="4">
        <f t="shared" si="2163"/>
        <v>4.9886339367525627</v>
      </c>
      <c r="DJ487" s="4">
        <f t="shared" si="2164"/>
        <v>6.8227253695393193</v>
      </c>
      <c r="DK487" s="4">
        <f t="shared" si="2165"/>
        <v>8.0922731041582345</v>
      </c>
      <c r="DL487" s="38">
        <f t="shared" si="2166"/>
        <v>449.32434474079685</v>
      </c>
      <c r="DM487" s="4" t="e">
        <f t="shared" si="2167"/>
        <v>#REF!</v>
      </c>
      <c r="DN487" s="4">
        <f t="shared" si="2168"/>
        <v>3.7282703764614493</v>
      </c>
      <c r="DO487" s="4">
        <f t="shared" si="2169"/>
        <v>288.17733496279641</v>
      </c>
      <c r="DS487" s="4">
        <f t="shared" si="2170"/>
        <v>0.85</v>
      </c>
      <c r="DT487" s="4">
        <f t="shared" si="2171"/>
        <v>0.7</v>
      </c>
      <c r="DU487" s="4">
        <f t="shared" si="2172"/>
        <v>1</v>
      </c>
      <c r="DV487" s="4">
        <f t="shared" si="2173"/>
        <v>0.7</v>
      </c>
      <c r="DX487" s="4">
        <f t="shared" si="2174"/>
        <v>889.65517241379314</v>
      </c>
      <c r="EB487" s="4">
        <f t="shared" si="2175"/>
        <v>8.2572047805129003</v>
      </c>
      <c r="EE487" s="4">
        <f t="shared" si="2176"/>
        <v>94.698067562120812</v>
      </c>
      <c r="EF487" s="4">
        <f t="shared" si="2177"/>
        <v>3.7282703764614498</v>
      </c>
      <c r="EG487" s="4">
        <f t="shared" si="2178"/>
        <v>8.3632046679521552E-2</v>
      </c>
      <c r="EJ487" s="4">
        <f t="shared" si="2179"/>
        <v>8.3632046679521552E-2</v>
      </c>
      <c r="EK487" s="4">
        <f t="shared" si="2180"/>
        <v>0.2837079160613234</v>
      </c>
      <c r="EL487" s="4">
        <f t="shared" si="2181"/>
        <v>4.9886339367525627</v>
      </c>
      <c r="EM487" s="4">
        <f t="shared" si="2182"/>
        <v>6.8227253695393193</v>
      </c>
      <c r="EN487" s="4" t="e">
        <f t="shared" si="2183"/>
        <v>#REF!</v>
      </c>
      <c r="EO487" s="4" t="e">
        <f t="shared" si="2184"/>
        <v>#REF!</v>
      </c>
      <c r="EP487" s="4" t="e">
        <f t="shared" si="2185"/>
        <v>#REF!</v>
      </c>
      <c r="EQ487" s="4" t="e">
        <f t="shared" si="2186"/>
        <v>#REF!</v>
      </c>
      <c r="ER487" s="4" t="e">
        <f t="shared" si="2187"/>
        <v>#REF!</v>
      </c>
      <c r="FA487" s="23"/>
      <c r="FB487" s="23"/>
      <c r="FC487" s="23"/>
      <c r="FD487" s="23"/>
      <c r="FE487" s="23"/>
      <c r="FF487" s="23"/>
      <c r="FG487" s="23"/>
      <c r="FH487" s="23"/>
      <c r="FR487" s="4">
        <f t="shared" si="2188"/>
        <v>1</v>
      </c>
      <c r="FS487" s="4">
        <f t="shared" si="2189"/>
        <v>1.0833333333333333</v>
      </c>
      <c r="FT487" s="4">
        <f t="shared" si="2190"/>
        <v>0</v>
      </c>
      <c r="FU487" s="4">
        <f t="shared" si="2191"/>
        <v>140.93371756130549</v>
      </c>
    </row>
    <row r="488" spans="1:178" ht="12" customHeight="1" x14ac:dyDescent="0.3">
      <c r="A488" s="52"/>
      <c r="B488" s="24"/>
      <c r="C488" s="43" t="s">
        <v>638</v>
      </c>
      <c r="D488" s="38">
        <f t="shared" si="2129"/>
        <v>889.65517241379314</v>
      </c>
      <c r="E488" s="45">
        <v>165.1</v>
      </c>
      <c r="F488" s="45">
        <v>28.96551724137931</v>
      </c>
      <c r="G488" s="7">
        <v>25.4</v>
      </c>
      <c r="H488" s="45">
        <v>1219.1999999999998</v>
      </c>
      <c r="I488" s="45">
        <v>596.9</v>
      </c>
      <c r="J488" s="45">
        <v>596.9</v>
      </c>
      <c r="K488" s="7"/>
      <c r="L488" s="38">
        <v>1</v>
      </c>
      <c r="N488" s="7">
        <f t="shared" si="2130"/>
        <v>24</v>
      </c>
      <c r="O488" s="7">
        <f t="shared" si="2131"/>
        <v>24</v>
      </c>
      <c r="P488" s="45">
        <v>4.5</v>
      </c>
      <c r="Q488" s="4">
        <f t="shared" si="2132"/>
        <v>4.5</v>
      </c>
      <c r="R488" s="4">
        <f t="shared" si="2133"/>
        <v>5.5</v>
      </c>
      <c r="S488" s="7">
        <f t="shared" si="2134"/>
        <v>59.568280149757555</v>
      </c>
      <c r="V488" s="45">
        <v>437.24137931034483</v>
      </c>
      <c r="Y488" s="38"/>
      <c r="Z488" s="38"/>
      <c r="AA488" s="39">
        <v>1</v>
      </c>
      <c r="AB488" s="39"/>
      <c r="AC488" s="39"/>
      <c r="AE488" s="4">
        <f t="shared" si="2135"/>
        <v>165.1</v>
      </c>
      <c r="AF488" s="4">
        <f t="shared" si="2136"/>
        <v>0.99999999999999989</v>
      </c>
      <c r="AG488" s="4">
        <f t="shared" si="2137"/>
        <v>225.32217739115345</v>
      </c>
      <c r="AH488" s="4">
        <f t="shared" si="2138"/>
        <v>1</v>
      </c>
      <c r="AI488" s="4">
        <v>1.25</v>
      </c>
      <c r="AJ488" s="4">
        <v>1</v>
      </c>
      <c r="AK488" s="38">
        <f t="shared" si="2139"/>
        <v>281.65272173894175</v>
      </c>
      <c r="AL488" s="38">
        <f t="shared" si="2192"/>
        <v>281.65272173894175</v>
      </c>
      <c r="AM488" s="38">
        <f t="shared" si="2140"/>
        <v>2.8294940183703567</v>
      </c>
      <c r="AR488" s="4" t="e">
        <f>#REF!/G488*F488^0.5/0.19</f>
        <v>#REF!</v>
      </c>
      <c r="AS488" s="4">
        <f t="shared" si="2141"/>
        <v>1</v>
      </c>
      <c r="AT488" s="38">
        <f t="shared" si="2142"/>
        <v>2949.3667673215441</v>
      </c>
      <c r="AU488" s="4">
        <f t="shared" si="2143"/>
        <v>0.37</v>
      </c>
      <c r="AV488" s="4" t="e">
        <f>AU488*D488*#REF!/(D488*G488/2.75/F488^0.5)</f>
        <v>#REF!</v>
      </c>
      <c r="AW488" s="4" t="e">
        <f t="shared" si="2144"/>
        <v>#REF!</v>
      </c>
      <c r="AY488" s="4">
        <f t="shared" si="2145"/>
        <v>1.5</v>
      </c>
      <c r="AZ488" s="4" t="e">
        <f>(3*#REF!+30)*AY488*F488^0.5</f>
        <v>#REF!</v>
      </c>
      <c r="BB488" s="4">
        <f t="shared" si="2146"/>
        <v>2828.8034139140482</v>
      </c>
      <c r="BC488" s="4">
        <f t="shared" si="2147"/>
        <v>0</v>
      </c>
      <c r="BD488" s="4">
        <f t="shared" si="2148"/>
        <v>0</v>
      </c>
      <c r="BL488" s="4">
        <f t="shared" si="2149"/>
        <v>596.9</v>
      </c>
      <c r="BP488" s="9"/>
      <c r="BR488" s="9"/>
      <c r="BS488" s="9"/>
      <c r="BT488" s="9">
        <f t="shared" si="2150"/>
        <v>596.9</v>
      </c>
      <c r="BU488" s="9">
        <f t="shared" si="2151"/>
        <v>596.9</v>
      </c>
      <c r="BV488" s="9">
        <f t="shared" si="2152"/>
        <v>4.8476798574163293</v>
      </c>
      <c r="BW488" s="40">
        <f t="shared" si="2153"/>
        <v>0</v>
      </c>
      <c r="BX488" s="9">
        <f t="shared" si="2154"/>
        <v>0</v>
      </c>
      <c r="BY488" s="9">
        <f t="shared" si="2155"/>
        <v>0</v>
      </c>
      <c r="BZ488" s="9">
        <f t="shared" si="2156"/>
        <v>0.99524931562137331</v>
      </c>
      <c r="CA488" s="9">
        <f t="shared" si="2157"/>
        <v>0.68</v>
      </c>
      <c r="CB488" s="9">
        <f t="shared" si="2158"/>
        <v>1.2748218213295317</v>
      </c>
      <c r="CC488" s="9">
        <f t="shared" si="2159"/>
        <v>3.1870545533238293</v>
      </c>
      <c r="CD488" s="40">
        <v>1</v>
      </c>
      <c r="CE488" s="9" t="e">
        <f>4*CC488*#REF!+60*CC488</f>
        <v>#REF!</v>
      </c>
      <c r="DC488" s="4" t="e">
        <f>#REF!</f>
        <v>#REF!</v>
      </c>
      <c r="DF488" s="4">
        <f t="shared" si="2160"/>
        <v>1.1521263534281654E-5</v>
      </c>
      <c r="DG488" s="4">
        <f t="shared" si="2161"/>
        <v>8.2572047805129003</v>
      </c>
      <c r="DH488" s="4">
        <f t="shared" si="2162"/>
        <v>0.50000773924973707</v>
      </c>
      <c r="DI488" s="4">
        <f t="shared" si="2163"/>
        <v>6.257829783752344</v>
      </c>
      <c r="DJ488" s="4">
        <f t="shared" si="2164"/>
        <v>7.3261726234865572</v>
      </c>
      <c r="DK488" s="4">
        <f t="shared" si="2165"/>
        <v>8.0650416635962614</v>
      </c>
      <c r="DL488" s="38">
        <f t="shared" si="2166"/>
        <v>466.91391452553756</v>
      </c>
      <c r="DM488" s="4" t="e">
        <f t="shared" si="2167"/>
        <v>#REF!</v>
      </c>
      <c r="DN488" s="4">
        <f t="shared" si="2168"/>
        <v>2.3452078799117149</v>
      </c>
      <c r="DO488" s="4">
        <f t="shared" si="2169"/>
        <v>281.65272173894175</v>
      </c>
      <c r="DS488" s="4">
        <f t="shared" si="2170"/>
        <v>0.85</v>
      </c>
      <c r="DT488" s="4">
        <f t="shared" si="2171"/>
        <v>0.7</v>
      </c>
      <c r="DU488" s="4">
        <f t="shared" si="2172"/>
        <v>1</v>
      </c>
      <c r="DV488" s="4">
        <f t="shared" si="2173"/>
        <v>0.7</v>
      </c>
      <c r="DX488" s="4">
        <f t="shared" si="2174"/>
        <v>889.65517241379314</v>
      </c>
      <c r="EB488" s="4">
        <f t="shared" si="2175"/>
        <v>8.2572047805129003</v>
      </c>
      <c r="EE488" s="4">
        <f t="shared" si="2176"/>
        <v>59.568280149757555</v>
      </c>
      <c r="EF488" s="4">
        <f t="shared" si="2177"/>
        <v>2.3452078799117149</v>
      </c>
      <c r="EG488" s="4">
        <f t="shared" si="2178"/>
        <v>0.14739338672530161</v>
      </c>
      <c r="EJ488" s="4">
        <f t="shared" si="2179"/>
        <v>0.14739338672530161</v>
      </c>
      <c r="EK488" s="4">
        <f t="shared" si="2180"/>
        <v>0.50000773924973707</v>
      </c>
      <c r="EL488" s="4">
        <f t="shared" si="2181"/>
        <v>6.257829783752344</v>
      </c>
      <c r="EM488" s="4">
        <f t="shared" si="2182"/>
        <v>7.3261726234865572</v>
      </c>
      <c r="EN488" s="4" t="e">
        <f t="shared" si="2183"/>
        <v>#REF!</v>
      </c>
      <c r="EO488" s="4" t="e">
        <f t="shared" si="2184"/>
        <v>#REF!</v>
      </c>
      <c r="EP488" s="4" t="e">
        <f t="shared" si="2185"/>
        <v>#REF!</v>
      </c>
      <c r="EQ488" s="4" t="e">
        <f t="shared" si="2186"/>
        <v>#REF!</v>
      </c>
      <c r="ER488" s="4" t="e">
        <f t="shared" si="2187"/>
        <v>#REF!</v>
      </c>
      <c r="FA488" s="23"/>
      <c r="FB488" s="23"/>
      <c r="FC488" s="23"/>
      <c r="FD488" s="23"/>
      <c r="FE488" s="23"/>
      <c r="FF488" s="23"/>
      <c r="FG488" s="23"/>
      <c r="FH488" s="23"/>
      <c r="FR488" s="4">
        <f t="shared" si="2188"/>
        <v>1</v>
      </c>
      <c r="FS488" s="4">
        <f t="shared" si="2189"/>
        <v>1.0833333333333333</v>
      </c>
      <c r="FT488" s="4">
        <f t="shared" si="2190"/>
        <v>0</v>
      </c>
      <c r="FU488" s="4">
        <f t="shared" si="2191"/>
        <v>138.79835820431603</v>
      </c>
    </row>
    <row r="489" spans="1:178" ht="12" customHeight="1" x14ac:dyDescent="0.3">
      <c r="A489" s="52"/>
      <c r="B489" s="24"/>
      <c r="C489" s="43" t="s">
        <v>639</v>
      </c>
      <c r="D489" s="38">
        <f t="shared" si="2129"/>
        <v>889.65517241379314</v>
      </c>
      <c r="E489" s="45">
        <v>165.1</v>
      </c>
      <c r="F489" s="45">
        <v>28.96551724137931</v>
      </c>
      <c r="G489" s="7">
        <v>25.4</v>
      </c>
      <c r="H489" s="45">
        <v>1219.1999999999998</v>
      </c>
      <c r="I489" s="45">
        <v>596.9</v>
      </c>
      <c r="J489" s="45">
        <v>596.9</v>
      </c>
      <c r="K489" s="7"/>
      <c r="L489" s="38">
        <v>1</v>
      </c>
      <c r="N489" s="7">
        <f t="shared" si="2130"/>
        <v>24</v>
      </c>
      <c r="O489" s="7">
        <f t="shared" si="2131"/>
        <v>24</v>
      </c>
      <c r="P489" s="45">
        <v>9.5</v>
      </c>
      <c r="Q489" s="4">
        <f t="shared" si="2132"/>
        <v>9.5</v>
      </c>
      <c r="R489" s="4">
        <f t="shared" si="2133"/>
        <v>10.5</v>
      </c>
      <c r="S489" s="7">
        <f t="shared" si="2134"/>
        <v>82.305406869779816</v>
      </c>
      <c r="V489" s="45">
        <v>426.89655172413796</v>
      </c>
      <c r="Y489" s="38"/>
      <c r="Z489" s="38"/>
      <c r="AA489" s="39">
        <v>1</v>
      </c>
      <c r="AB489" s="39"/>
      <c r="AC489" s="39"/>
      <c r="AE489" s="4">
        <f t="shared" si="2135"/>
        <v>165.1</v>
      </c>
      <c r="AF489" s="4">
        <f t="shared" si="2136"/>
        <v>0.99999999999999989</v>
      </c>
      <c r="AG489" s="4">
        <f t="shared" si="2137"/>
        <v>225.32217739115345</v>
      </c>
      <c r="AH489" s="4">
        <f t="shared" si="2138"/>
        <v>1</v>
      </c>
      <c r="AI489" s="4">
        <v>1.25</v>
      </c>
      <c r="AJ489" s="4">
        <v>1</v>
      </c>
      <c r="AK489" s="38">
        <f t="shared" si="2139"/>
        <v>281.65272173894175</v>
      </c>
      <c r="AL489" s="38">
        <f t="shared" si="2192"/>
        <v>281.65272173894175</v>
      </c>
      <c r="AM489" s="38">
        <f t="shared" si="2140"/>
        <v>2.8294940183703567</v>
      </c>
      <c r="AR489" s="4" t="e">
        <f>#REF!/G489*F489^0.5/0.19</f>
        <v>#REF!</v>
      </c>
      <c r="AS489" s="4">
        <f t="shared" si="2141"/>
        <v>1</v>
      </c>
      <c r="AT489" s="38">
        <f t="shared" si="2142"/>
        <v>4285.3305620639503</v>
      </c>
      <c r="AU489" s="4">
        <f t="shared" si="2143"/>
        <v>0.3</v>
      </c>
      <c r="AV489" s="4" t="e">
        <f>AU489*D489*#REF!/(D489*G489/2.75/F489^0.5)</f>
        <v>#REF!</v>
      </c>
      <c r="AW489" s="4" t="e">
        <f t="shared" si="2144"/>
        <v>#REF!</v>
      </c>
      <c r="AY489" s="4">
        <f t="shared" si="2145"/>
        <v>1.5</v>
      </c>
      <c r="AZ489" s="4" t="e">
        <f>(3*#REF!+30)*AY489*F489^0.5</f>
        <v>#REF!</v>
      </c>
      <c r="BB489" s="4">
        <f t="shared" si="2146"/>
        <v>4110.1560707980652</v>
      </c>
      <c r="BC489" s="4">
        <f t="shared" si="2147"/>
        <v>0</v>
      </c>
      <c r="BD489" s="4">
        <f t="shared" si="2148"/>
        <v>0</v>
      </c>
      <c r="BL489" s="4">
        <f t="shared" si="2149"/>
        <v>596.9</v>
      </c>
      <c r="BP489" s="9"/>
      <c r="BR489" s="9"/>
      <c r="BS489" s="9"/>
      <c r="BT489" s="9">
        <f t="shared" si="2150"/>
        <v>596.9</v>
      </c>
      <c r="BU489" s="9">
        <f t="shared" si="2151"/>
        <v>596.9</v>
      </c>
      <c r="BV489" s="9">
        <f t="shared" si="2152"/>
        <v>4.8476798574163293</v>
      </c>
      <c r="BW489" s="40">
        <f t="shared" si="2153"/>
        <v>0</v>
      </c>
      <c r="BX489" s="9">
        <f t="shared" si="2154"/>
        <v>0</v>
      </c>
      <c r="BY489" s="9">
        <f t="shared" si="2155"/>
        <v>0</v>
      </c>
      <c r="BZ489" s="9">
        <f t="shared" si="2156"/>
        <v>0.99524931562137331</v>
      </c>
      <c r="CA489" s="9">
        <f t="shared" si="2157"/>
        <v>0.68</v>
      </c>
      <c r="CB489" s="9">
        <f t="shared" si="2158"/>
        <v>1.2748218213295317</v>
      </c>
      <c r="CC489" s="9">
        <f t="shared" si="2159"/>
        <v>3.1870545533238293</v>
      </c>
      <c r="CD489" s="40">
        <v>1</v>
      </c>
      <c r="CE489" s="9" t="e">
        <f>4*CC489*#REF!+60*CC489</f>
        <v>#REF!</v>
      </c>
      <c r="DC489" s="4" t="e">
        <f>#REF!</f>
        <v>#REF!</v>
      </c>
      <c r="DF489" s="4">
        <f t="shared" si="2160"/>
        <v>1.1521263534281654E-5</v>
      </c>
      <c r="DG489" s="4">
        <f t="shared" si="2161"/>
        <v>8.2572047805129003</v>
      </c>
      <c r="DH489" s="4">
        <f t="shared" si="2162"/>
        <v>0.32724946090324902</v>
      </c>
      <c r="DI489" s="4">
        <f t="shared" si="2163"/>
        <v>5.2818325815863334</v>
      </c>
      <c r="DJ489" s="4">
        <f t="shared" si="2164"/>
        <v>6.9318072770896242</v>
      </c>
      <c r="DK489" s="4">
        <f t="shared" si="2165"/>
        <v>8.0879729188138541</v>
      </c>
      <c r="DL489" s="38">
        <f t="shared" si="2166"/>
        <v>448.00867129349689</v>
      </c>
      <c r="DM489" s="4" t="e">
        <f t="shared" si="2167"/>
        <v>#REF!</v>
      </c>
      <c r="DN489" s="4">
        <f t="shared" si="2168"/>
        <v>3.2403703492039297</v>
      </c>
      <c r="DO489" s="4">
        <f t="shared" si="2169"/>
        <v>281.65272173894175</v>
      </c>
      <c r="DS489" s="4">
        <f t="shared" si="2170"/>
        <v>0.85</v>
      </c>
      <c r="DT489" s="4">
        <f t="shared" si="2171"/>
        <v>0.7</v>
      </c>
      <c r="DU489" s="4">
        <f t="shared" si="2172"/>
        <v>1</v>
      </c>
      <c r="DV489" s="4">
        <f t="shared" si="2173"/>
        <v>0.7</v>
      </c>
      <c r="DX489" s="4">
        <f t="shared" si="2174"/>
        <v>889.65517241379314</v>
      </c>
      <c r="EB489" s="4">
        <f t="shared" si="2175"/>
        <v>8.2572047805129003</v>
      </c>
      <c r="EE489" s="4">
        <f t="shared" si="2176"/>
        <v>82.305406869779816</v>
      </c>
      <c r="EF489" s="4">
        <f t="shared" si="2177"/>
        <v>3.2403703492039302</v>
      </c>
      <c r="EG489" s="4">
        <f t="shared" si="2178"/>
        <v>9.6467319523763598E-2</v>
      </c>
      <c r="EJ489" s="4">
        <f t="shared" si="2179"/>
        <v>9.6467319523763598E-2</v>
      </c>
      <c r="EK489" s="4">
        <f t="shared" si="2180"/>
        <v>0.32724946090324902</v>
      </c>
      <c r="EL489" s="4">
        <f t="shared" si="2181"/>
        <v>5.2818325815863334</v>
      </c>
      <c r="EM489" s="4">
        <f t="shared" si="2182"/>
        <v>6.9318072770896242</v>
      </c>
      <c r="EN489" s="4" t="e">
        <f t="shared" si="2183"/>
        <v>#REF!</v>
      </c>
      <c r="EO489" s="4" t="e">
        <f t="shared" si="2184"/>
        <v>#REF!</v>
      </c>
      <c r="EP489" s="4" t="e">
        <f t="shared" si="2185"/>
        <v>#REF!</v>
      </c>
      <c r="EQ489" s="4" t="e">
        <f t="shared" si="2186"/>
        <v>#REF!</v>
      </c>
      <c r="ER489" s="4" t="e">
        <f t="shared" si="2187"/>
        <v>#REF!</v>
      </c>
      <c r="FA489" s="23"/>
      <c r="FB489" s="23"/>
      <c r="FC489" s="23"/>
      <c r="FD489" s="23"/>
      <c r="FE489" s="23"/>
      <c r="FF489" s="23"/>
      <c r="FG489" s="23"/>
      <c r="FH489" s="23"/>
      <c r="FR489" s="4">
        <f t="shared" si="2188"/>
        <v>1</v>
      </c>
      <c r="FS489" s="4">
        <f t="shared" si="2189"/>
        <v>1.0833333333333333</v>
      </c>
      <c r="FT489" s="4">
        <f t="shared" si="2190"/>
        <v>0</v>
      </c>
      <c r="FU489" s="4">
        <f t="shared" si="2191"/>
        <v>138.79835820431603</v>
      </c>
    </row>
    <row r="490" spans="1:178" ht="12" customHeight="1" x14ac:dyDescent="0.3">
      <c r="A490" s="52"/>
      <c r="B490" s="24"/>
      <c r="C490" s="43" t="s">
        <v>639</v>
      </c>
      <c r="D490" s="38">
        <f t="shared" si="2129"/>
        <v>889.65517241379314</v>
      </c>
      <c r="E490" s="45">
        <v>162.56</v>
      </c>
      <c r="F490" s="45">
        <v>28.96551724137931</v>
      </c>
      <c r="G490" s="7">
        <v>25.4</v>
      </c>
      <c r="H490" s="45">
        <v>1219.1999999999998</v>
      </c>
      <c r="I490" s="45">
        <v>596.9</v>
      </c>
      <c r="J490" s="45">
        <v>596.9</v>
      </c>
      <c r="K490" s="7"/>
      <c r="L490" s="38">
        <v>1</v>
      </c>
      <c r="N490" s="7">
        <f t="shared" si="2130"/>
        <v>24</v>
      </c>
      <c r="O490" s="7">
        <f t="shared" si="2131"/>
        <v>24</v>
      </c>
      <c r="P490" s="45">
        <v>9.5</v>
      </c>
      <c r="Q490" s="4">
        <f t="shared" si="2132"/>
        <v>9.5</v>
      </c>
      <c r="R490" s="4">
        <f t="shared" si="2133"/>
        <v>10.5</v>
      </c>
      <c r="S490" s="7">
        <f t="shared" si="2134"/>
        <v>82.305406869779816</v>
      </c>
      <c r="V490" s="45">
        <v>475.86206896551727</v>
      </c>
      <c r="Y490" s="38"/>
      <c r="Z490" s="38"/>
      <c r="AA490" s="39">
        <v>1</v>
      </c>
      <c r="AB490" s="39"/>
      <c r="AC490" s="39"/>
      <c r="AE490" s="4">
        <f t="shared" si="2135"/>
        <v>162.56</v>
      </c>
      <c r="AF490" s="4">
        <f t="shared" si="2136"/>
        <v>1</v>
      </c>
      <c r="AG490" s="4">
        <f t="shared" si="2137"/>
        <v>220.14248542345268</v>
      </c>
      <c r="AH490" s="4">
        <f t="shared" si="2138"/>
        <v>1</v>
      </c>
      <c r="AI490" s="4">
        <v>1.25</v>
      </c>
      <c r="AJ490" s="4">
        <v>1</v>
      </c>
      <c r="AK490" s="38">
        <f t="shared" si="2139"/>
        <v>275.17810677931584</v>
      </c>
      <c r="AL490" s="38">
        <f t="shared" si="2192"/>
        <v>275.17810677931584</v>
      </c>
      <c r="AM490" s="38">
        <f t="shared" si="2140"/>
        <v>2.8294940183703567</v>
      </c>
      <c r="AR490" s="4" t="e">
        <f>#REF!/G490*F490^0.5/0.19</f>
        <v>#REF!</v>
      </c>
      <c r="AS490" s="4">
        <f t="shared" si="2141"/>
        <v>1</v>
      </c>
      <c r="AT490" s="38">
        <f t="shared" si="2142"/>
        <v>4285.3305620639503</v>
      </c>
      <c r="AU490" s="4">
        <f t="shared" si="2143"/>
        <v>0.3</v>
      </c>
      <c r="AV490" s="4" t="e">
        <f>AU490*D490*#REF!/(D490*G490/2.75/F490^0.5)</f>
        <v>#REF!</v>
      </c>
      <c r="AW490" s="4" t="e">
        <f t="shared" si="2144"/>
        <v>#REF!</v>
      </c>
      <c r="AY490" s="4">
        <f t="shared" si="2145"/>
        <v>1.5</v>
      </c>
      <c r="AZ490" s="4" t="e">
        <f>(3*#REF!+30)*AY490*F490^0.5</f>
        <v>#REF!</v>
      </c>
      <c r="BB490" s="4">
        <f t="shared" si="2146"/>
        <v>4110.1560707980652</v>
      </c>
      <c r="BC490" s="4">
        <f t="shared" si="2147"/>
        <v>0</v>
      </c>
      <c r="BD490" s="4">
        <f t="shared" si="2148"/>
        <v>0</v>
      </c>
      <c r="BL490" s="4">
        <f t="shared" si="2149"/>
        <v>596.9</v>
      </c>
      <c r="BP490" s="9"/>
      <c r="BR490" s="9"/>
      <c r="BS490" s="9"/>
      <c r="BT490" s="9">
        <f t="shared" si="2150"/>
        <v>596.9</v>
      </c>
      <c r="BU490" s="9">
        <f t="shared" si="2151"/>
        <v>596.9</v>
      </c>
      <c r="BV490" s="9">
        <f t="shared" si="2152"/>
        <v>4.8476798574163293</v>
      </c>
      <c r="BW490" s="40">
        <f t="shared" si="2153"/>
        <v>0</v>
      </c>
      <c r="BX490" s="9">
        <f t="shared" si="2154"/>
        <v>0</v>
      </c>
      <c r="BY490" s="9">
        <f t="shared" si="2155"/>
        <v>0</v>
      </c>
      <c r="BZ490" s="9">
        <f t="shared" si="2156"/>
        <v>0.99524931562137331</v>
      </c>
      <c r="CA490" s="9">
        <f t="shared" si="2157"/>
        <v>0.68</v>
      </c>
      <c r="CB490" s="9">
        <f t="shared" si="2158"/>
        <v>1.2748218213295317</v>
      </c>
      <c r="CC490" s="9">
        <f t="shared" si="2159"/>
        <v>3.1870545533238293</v>
      </c>
      <c r="CD490" s="40">
        <v>1</v>
      </c>
      <c r="CE490" s="9" t="e">
        <f>4*CC490*#REF!+60*CC490</f>
        <v>#REF!</v>
      </c>
      <c r="DC490" s="4" t="e">
        <f>#REF!</f>
        <v>#REF!</v>
      </c>
      <c r="DF490" s="4">
        <f t="shared" si="2160"/>
        <v>1.1344013326061937E-5</v>
      </c>
      <c r="DG490" s="4">
        <f t="shared" si="2161"/>
        <v>8.2572047805129003</v>
      </c>
      <c r="DH490" s="4">
        <f t="shared" si="2162"/>
        <v>0.31972667098660273</v>
      </c>
      <c r="DI490" s="4">
        <f t="shared" si="2163"/>
        <v>5.2329261002744616</v>
      </c>
      <c r="DJ490" s="4">
        <f t="shared" si="2164"/>
        <v>6.9132912758781213</v>
      </c>
      <c r="DK490" s="4">
        <f t="shared" si="2165"/>
        <v>8.0943984457206888</v>
      </c>
      <c r="DL490" s="38">
        <f t="shared" si="2166"/>
        <v>437.93742736534432</v>
      </c>
      <c r="DM490" s="4" t="e">
        <f t="shared" si="2167"/>
        <v>#REF!</v>
      </c>
      <c r="DN490" s="4">
        <f t="shared" si="2168"/>
        <v>3.2403703492039297</v>
      </c>
      <c r="DO490" s="4">
        <f t="shared" si="2169"/>
        <v>275.17810677931584</v>
      </c>
      <c r="DS490" s="4">
        <f t="shared" si="2170"/>
        <v>0.85</v>
      </c>
      <c r="DT490" s="4">
        <f t="shared" si="2171"/>
        <v>0.7</v>
      </c>
      <c r="DU490" s="4">
        <f t="shared" si="2172"/>
        <v>1</v>
      </c>
      <c r="DV490" s="4">
        <f t="shared" si="2173"/>
        <v>0.7</v>
      </c>
      <c r="DX490" s="4">
        <f t="shared" si="2174"/>
        <v>889.65517241379314</v>
      </c>
      <c r="EB490" s="4">
        <f t="shared" si="2175"/>
        <v>8.2572047805129003</v>
      </c>
      <c r="EE490" s="4">
        <f t="shared" si="2176"/>
        <v>82.305406869779816</v>
      </c>
      <c r="EF490" s="4">
        <f t="shared" si="2177"/>
        <v>3.2403703492039302</v>
      </c>
      <c r="EG490" s="4">
        <f t="shared" si="2178"/>
        <v>9.4249734881771408E-2</v>
      </c>
      <c r="EJ490" s="4">
        <f t="shared" si="2179"/>
        <v>9.4249734881771408E-2</v>
      </c>
      <c r="EK490" s="4">
        <f t="shared" si="2180"/>
        <v>0.31972667098660273</v>
      </c>
      <c r="EL490" s="4">
        <f t="shared" si="2181"/>
        <v>5.2329261002744616</v>
      </c>
      <c r="EM490" s="4">
        <f t="shared" si="2182"/>
        <v>6.9132912758781213</v>
      </c>
      <c r="EN490" s="4" t="e">
        <f t="shared" si="2183"/>
        <v>#REF!</v>
      </c>
      <c r="EO490" s="4" t="e">
        <f t="shared" si="2184"/>
        <v>#REF!</v>
      </c>
      <c r="EP490" s="4" t="e">
        <f t="shared" si="2185"/>
        <v>#REF!</v>
      </c>
      <c r="EQ490" s="4" t="e">
        <f t="shared" si="2186"/>
        <v>#REF!</v>
      </c>
      <c r="ER490" s="4" t="e">
        <f t="shared" si="2187"/>
        <v>#REF!</v>
      </c>
      <c r="FA490" s="23"/>
      <c r="FB490" s="23"/>
      <c r="FC490" s="23"/>
      <c r="FD490" s="23"/>
      <c r="FE490" s="23"/>
      <c r="FF490" s="23"/>
      <c r="FG490" s="23"/>
      <c r="FH490" s="23"/>
      <c r="FR490" s="4">
        <f t="shared" si="2188"/>
        <v>1</v>
      </c>
      <c r="FS490" s="4">
        <f t="shared" si="2189"/>
        <v>1.0833333333333333</v>
      </c>
      <c r="FT490" s="4">
        <f t="shared" si="2190"/>
        <v>0</v>
      </c>
      <c r="FU490" s="4">
        <f t="shared" si="2191"/>
        <v>136.66299884732655</v>
      </c>
    </row>
    <row r="491" spans="1:178" ht="12" customHeight="1" x14ac:dyDescent="0.3">
      <c r="A491" s="52"/>
      <c r="B491" s="24"/>
      <c r="C491" s="43" t="s">
        <v>640</v>
      </c>
      <c r="D491" s="38">
        <f t="shared" si="2129"/>
        <v>889.65517241379314</v>
      </c>
      <c r="E491" s="45">
        <v>213.35999999999999</v>
      </c>
      <c r="F491" s="45">
        <v>28.96551724137931</v>
      </c>
      <c r="G491" s="7">
        <v>25.4</v>
      </c>
      <c r="H491" s="45">
        <v>1219.1999999999998</v>
      </c>
      <c r="I491" s="45">
        <v>596.9</v>
      </c>
      <c r="J491" s="45">
        <v>596.9</v>
      </c>
      <c r="K491" s="7"/>
      <c r="L491" s="38">
        <v>1</v>
      </c>
      <c r="N491" s="7">
        <f t="shared" si="2130"/>
        <v>24</v>
      </c>
      <c r="O491" s="7">
        <f t="shared" si="2131"/>
        <v>24</v>
      </c>
      <c r="P491" s="45">
        <v>4.0999999999999996</v>
      </c>
      <c r="Q491" s="4">
        <f t="shared" si="2132"/>
        <v>4.0999999999999996</v>
      </c>
      <c r="R491" s="4">
        <f t="shared" si="2133"/>
        <v>5.0999999999999996</v>
      </c>
      <c r="S491" s="7">
        <f t="shared" si="2134"/>
        <v>57.361276136431961</v>
      </c>
      <c r="V491" s="45">
        <v>341.37931034482762</v>
      </c>
      <c r="Y491" s="38"/>
      <c r="Z491" s="38"/>
      <c r="AA491" s="39">
        <v>1</v>
      </c>
      <c r="AB491" s="39"/>
      <c r="AC491" s="39"/>
      <c r="AE491" s="4">
        <f t="shared" si="2135"/>
        <v>213.35999999999999</v>
      </c>
      <c r="AF491" s="4">
        <f t="shared" si="2136"/>
        <v>1</v>
      </c>
      <c r="AG491" s="4">
        <f t="shared" si="2137"/>
        <v>331.01893227659951</v>
      </c>
      <c r="AH491" s="4">
        <f t="shared" si="2138"/>
        <v>1</v>
      </c>
      <c r="AI491" s="4">
        <v>1.25</v>
      </c>
      <c r="AJ491" s="4">
        <v>1</v>
      </c>
      <c r="AK491" s="38">
        <f t="shared" si="2139"/>
        <v>413.77366534574941</v>
      </c>
      <c r="AL491" s="38">
        <f t="shared" si="2192"/>
        <v>413.77366534574941</v>
      </c>
      <c r="AM491" s="38">
        <f t="shared" si="2140"/>
        <v>2.8294940183703567</v>
      </c>
      <c r="AR491" s="4" t="e">
        <f>#REF!/G491*F491^0.5/0.19</f>
        <v>#REF!</v>
      </c>
      <c r="AS491" s="4">
        <f t="shared" si="2141"/>
        <v>1</v>
      </c>
      <c r="AT491" s="38">
        <f t="shared" si="2142"/>
        <v>2815.2337082989129</v>
      </c>
      <c r="AU491" s="4">
        <f t="shared" si="2143"/>
        <v>0.42600000000000005</v>
      </c>
      <c r="AV491" s="4" t="e">
        <f>AU491*D491*#REF!/(D491*G491/2.75/F491^0.5)</f>
        <v>#REF!</v>
      </c>
      <c r="AW491" s="4" t="e">
        <f t="shared" si="2144"/>
        <v>#REF!</v>
      </c>
      <c r="AY491" s="4">
        <f t="shared" si="2145"/>
        <v>1.5</v>
      </c>
      <c r="AZ491" s="4" t="e">
        <f>(3*#REF!+30)*AY491*F491^0.5</f>
        <v>#REF!</v>
      </c>
      <c r="BB491" s="4">
        <f t="shared" si="2146"/>
        <v>2700.1534069071072</v>
      </c>
      <c r="BC491" s="4">
        <f t="shared" si="2147"/>
        <v>0</v>
      </c>
      <c r="BD491" s="4">
        <f t="shared" si="2148"/>
        <v>0</v>
      </c>
      <c r="BL491" s="4">
        <f t="shared" si="2149"/>
        <v>596.9</v>
      </c>
      <c r="BP491" s="9"/>
      <c r="BR491" s="9"/>
      <c r="BS491" s="9"/>
      <c r="BT491" s="9">
        <f t="shared" si="2150"/>
        <v>596.9</v>
      </c>
      <c r="BU491" s="9">
        <f t="shared" si="2151"/>
        <v>596.9</v>
      </c>
      <c r="BV491" s="9">
        <f t="shared" si="2152"/>
        <v>4.8476798574163293</v>
      </c>
      <c r="BW491" s="40">
        <f t="shared" si="2153"/>
        <v>0</v>
      </c>
      <c r="BX491" s="9">
        <f t="shared" si="2154"/>
        <v>0</v>
      </c>
      <c r="BY491" s="9">
        <f t="shared" si="2155"/>
        <v>0</v>
      </c>
      <c r="BZ491" s="9">
        <f t="shared" si="2156"/>
        <v>0.99524931562137331</v>
      </c>
      <c r="CA491" s="9">
        <f t="shared" si="2157"/>
        <v>0.68</v>
      </c>
      <c r="CB491" s="9">
        <f t="shared" si="2158"/>
        <v>1.2748218213295317</v>
      </c>
      <c r="CC491" s="9">
        <f t="shared" si="2159"/>
        <v>3.1870545533238293</v>
      </c>
      <c r="CD491" s="40">
        <v>1</v>
      </c>
      <c r="CE491" s="9" t="e">
        <f>4*CC491*#REF!+60*CC491</f>
        <v>#REF!</v>
      </c>
      <c r="DC491" s="4" t="e">
        <f>#REF!</f>
        <v>#REF!</v>
      </c>
      <c r="DF491" s="4">
        <f t="shared" si="2160"/>
        <v>1.4889017490456289E-5</v>
      </c>
      <c r="DG491" s="4">
        <f t="shared" si="2161"/>
        <v>8.2572047805129003</v>
      </c>
      <c r="DH491" s="4">
        <f t="shared" si="2162"/>
        <v>0.77635082883803019</v>
      </c>
      <c r="DI491" s="4">
        <f t="shared" si="2163"/>
        <v>7.4620175087624512</v>
      </c>
      <c r="DJ491" s="4">
        <f t="shared" si="2164"/>
        <v>7.8696638067407143</v>
      </c>
      <c r="DK491" s="4">
        <f t="shared" si="2165"/>
        <v>7.901496818500239</v>
      </c>
      <c r="DL491" s="38">
        <f t="shared" si="2166"/>
        <v>674.77938672986375</v>
      </c>
      <c r="DM491" s="4" t="e">
        <f t="shared" si="2167"/>
        <v>#REF!</v>
      </c>
      <c r="DN491" s="4">
        <f t="shared" si="2168"/>
        <v>2.2583179581272428</v>
      </c>
      <c r="DO491" s="4">
        <f t="shared" si="2169"/>
        <v>413.77366534574941</v>
      </c>
      <c r="DS491" s="4">
        <f t="shared" si="2170"/>
        <v>0.85</v>
      </c>
      <c r="DT491" s="4">
        <f t="shared" si="2171"/>
        <v>0.7</v>
      </c>
      <c r="DU491" s="4">
        <f t="shared" si="2172"/>
        <v>1</v>
      </c>
      <c r="DV491" s="4">
        <f t="shared" si="2173"/>
        <v>0.7</v>
      </c>
      <c r="DX491" s="4">
        <f t="shared" si="2174"/>
        <v>889.65517241379314</v>
      </c>
      <c r="EB491" s="4">
        <f t="shared" si="2175"/>
        <v>8.2572047805129003</v>
      </c>
      <c r="EE491" s="4">
        <f t="shared" si="2176"/>
        <v>57.361276136431961</v>
      </c>
      <c r="EF491" s="4">
        <f t="shared" si="2177"/>
        <v>2.2583179581272428</v>
      </c>
      <c r="EG491" s="4">
        <f t="shared" si="2178"/>
        <v>0.22885441357594427</v>
      </c>
      <c r="EJ491" s="4">
        <f t="shared" si="2179"/>
        <v>0.22885441357594427</v>
      </c>
      <c r="EK491" s="4">
        <f t="shared" si="2180"/>
        <v>0.77635082883803019</v>
      </c>
      <c r="EL491" s="4">
        <f t="shared" si="2181"/>
        <v>7.4620175087624512</v>
      </c>
      <c r="EM491" s="4">
        <f t="shared" si="2182"/>
        <v>7.8696638067407143</v>
      </c>
      <c r="EN491" s="4" t="e">
        <f t="shared" si="2183"/>
        <v>#REF!</v>
      </c>
      <c r="EO491" s="4" t="e">
        <f t="shared" si="2184"/>
        <v>#REF!</v>
      </c>
      <c r="EP491" s="4" t="e">
        <f t="shared" si="2185"/>
        <v>#REF!</v>
      </c>
      <c r="EQ491" s="4" t="e">
        <f t="shared" si="2186"/>
        <v>#REF!</v>
      </c>
      <c r="ER491" s="4" t="e">
        <f t="shared" si="2187"/>
        <v>#REF!</v>
      </c>
      <c r="FA491" s="23"/>
      <c r="FB491" s="23"/>
      <c r="FC491" s="23"/>
      <c r="FD491" s="23"/>
      <c r="FE491" s="23"/>
      <c r="FF491" s="23"/>
      <c r="FG491" s="23"/>
      <c r="FH491" s="23"/>
      <c r="FR491" s="4">
        <f t="shared" si="2188"/>
        <v>1</v>
      </c>
      <c r="FS491" s="4">
        <f t="shared" si="2189"/>
        <v>1.0833333333333333</v>
      </c>
      <c r="FT491" s="4">
        <f t="shared" si="2190"/>
        <v>0</v>
      </c>
      <c r="FU491" s="4">
        <f t="shared" si="2191"/>
        <v>179.37018598711612</v>
      </c>
    </row>
    <row r="492" spans="1:178" ht="12" customHeight="1" x14ac:dyDescent="0.3">
      <c r="A492" s="52"/>
      <c r="B492" s="24"/>
      <c r="C492" s="43" t="s">
        <v>641</v>
      </c>
      <c r="D492" s="38">
        <f t="shared" si="2129"/>
        <v>889.65517241379314</v>
      </c>
      <c r="E492" s="45">
        <v>165.1</v>
      </c>
      <c r="F492" s="45">
        <v>35.724137931034484</v>
      </c>
      <c r="G492" s="7">
        <v>25.4</v>
      </c>
      <c r="H492" s="45">
        <v>1524</v>
      </c>
      <c r="I492" s="45">
        <v>769.62</v>
      </c>
      <c r="J492" s="45">
        <v>769.62</v>
      </c>
      <c r="K492" s="7"/>
      <c r="L492" s="38">
        <v>1</v>
      </c>
      <c r="N492" s="7">
        <f t="shared" si="2130"/>
        <v>30.8</v>
      </c>
      <c r="O492" s="7">
        <f t="shared" si="2131"/>
        <v>30.8</v>
      </c>
      <c r="P492" s="45">
        <v>4.0999999999999996</v>
      </c>
      <c r="Q492" s="4">
        <f t="shared" si="2132"/>
        <v>4.0999999999999996</v>
      </c>
      <c r="R492" s="4">
        <f t="shared" si="2133"/>
        <v>5.0999999999999996</v>
      </c>
      <c r="S492" s="7">
        <f t="shared" si="2134"/>
        <v>57.361276136431961</v>
      </c>
      <c r="V492" s="45">
        <v>440.68965517241384</v>
      </c>
      <c r="Y492" s="38"/>
      <c r="Z492" s="38"/>
      <c r="AA492" s="39">
        <v>1</v>
      </c>
      <c r="AB492" s="39"/>
      <c r="AC492" s="39"/>
      <c r="AE492" s="4">
        <f t="shared" si="2135"/>
        <v>165.1</v>
      </c>
      <c r="AF492" s="4">
        <f t="shared" si="2136"/>
        <v>0.99999999999999989</v>
      </c>
      <c r="AG492" s="4">
        <f t="shared" si="2137"/>
        <v>250.23276458121583</v>
      </c>
      <c r="AH492" s="4">
        <f t="shared" si="2138"/>
        <v>1</v>
      </c>
      <c r="AI492" s="4">
        <v>1.25</v>
      </c>
      <c r="AJ492" s="4">
        <v>1</v>
      </c>
      <c r="AK492" s="38">
        <f t="shared" si="2139"/>
        <v>312.79095572651971</v>
      </c>
      <c r="AL492" s="38">
        <f t="shared" si="2192"/>
        <v>312.79095572651971</v>
      </c>
      <c r="AM492" s="38">
        <f t="shared" si="2140"/>
        <v>3.2540864993004175</v>
      </c>
      <c r="AR492" s="4" t="e">
        <f>#REF!/G492*F492^0.5/0.19</f>
        <v>#REF!</v>
      </c>
      <c r="AS492" s="4">
        <f t="shared" si="2141"/>
        <v>1</v>
      </c>
      <c r="AT492" s="38">
        <f t="shared" si="2142"/>
        <v>4455.8893527464461</v>
      </c>
      <c r="AU492" s="4">
        <f t="shared" si="2143"/>
        <v>0.42600000000000005</v>
      </c>
      <c r="AV492" s="4" t="e">
        <f>AU492*D492*#REF!/(D492*G492/2.75/F492^0.5)</f>
        <v>#REF!</v>
      </c>
      <c r="AW492" s="4" t="e">
        <f t="shared" si="2144"/>
        <v>#REF!</v>
      </c>
      <c r="AY492" s="4">
        <f t="shared" si="2145"/>
        <v>1.5</v>
      </c>
      <c r="AZ492" s="4" t="e">
        <f>(3*#REF!+30)*AY492*F492^0.5</f>
        <v>#REF!</v>
      </c>
      <c r="BB492" s="4">
        <f t="shared" si="2146"/>
        <v>4273.7428090435269</v>
      </c>
      <c r="BC492" s="4">
        <f t="shared" si="2147"/>
        <v>0</v>
      </c>
      <c r="BD492" s="4">
        <f t="shared" si="2148"/>
        <v>0</v>
      </c>
      <c r="BL492" s="4">
        <f t="shared" si="2149"/>
        <v>769.62</v>
      </c>
      <c r="BP492" s="9"/>
      <c r="BR492" s="9"/>
      <c r="BS492" s="9"/>
      <c r="BT492" s="9">
        <f t="shared" si="2150"/>
        <v>769.62</v>
      </c>
      <c r="BU492" s="9">
        <f t="shared" si="2151"/>
        <v>769.62</v>
      </c>
      <c r="BV492" s="9">
        <f t="shared" si="2152"/>
        <v>5.5045435778091543</v>
      </c>
      <c r="BW492" s="40">
        <f t="shared" si="2153"/>
        <v>0</v>
      </c>
      <c r="BX492" s="9">
        <f t="shared" si="2154"/>
        <v>0</v>
      </c>
      <c r="BY492" s="9">
        <f t="shared" si="2155"/>
        <v>0</v>
      </c>
      <c r="BZ492" s="9">
        <f t="shared" si="2156"/>
        <v>0.99524931562137331</v>
      </c>
      <c r="CA492" s="9">
        <f t="shared" si="2157"/>
        <v>0.68</v>
      </c>
      <c r="CB492" s="9">
        <f t="shared" si="2158"/>
        <v>1.4157602788737922</v>
      </c>
      <c r="CC492" s="9">
        <f t="shared" si="2159"/>
        <v>3.5394006971844805</v>
      </c>
      <c r="CD492" s="40">
        <v>1</v>
      </c>
      <c r="CE492" s="9" t="e">
        <f>4*CC492*#REF!+60*CC492</f>
        <v>#REF!</v>
      </c>
      <c r="DC492" s="4" t="e">
        <f>#REF!</f>
        <v>#REF!</v>
      </c>
      <c r="DF492" s="4">
        <f t="shared" si="2160"/>
        <v>1.2079484897608146E-5</v>
      </c>
      <c r="DG492" s="4">
        <f t="shared" si="2161"/>
        <v>9.1700834949507204</v>
      </c>
      <c r="DH492" s="4">
        <f t="shared" si="2162"/>
        <v>0.47584870550152752</v>
      </c>
      <c r="DI492" s="4">
        <f t="shared" si="2163"/>
        <v>6.8133523183375004</v>
      </c>
      <c r="DJ492" s="4">
        <f t="shared" si="2164"/>
        <v>8.0783090634384216</v>
      </c>
      <c r="DK492" s="4">
        <f t="shared" si="2165"/>
        <v>8.9237531933943313</v>
      </c>
      <c r="DL492" s="38">
        <f t="shared" si="2166"/>
        <v>516.89568008576975</v>
      </c>
      <c r="DM492" s="4" t="e">
        <f t="shared" si="2167"/>
        <v>#REF!</v>
      </c>
      <c r="DN492" s="4">
        <f t="shared" si="2168"/>
        <v>2.2583179581272428</v>
      </c>
      <c r="DO492" s="4">
        <f t="shared" si="2169"/>
        <v>312.79095572651971</v>
      </c>
      <c r="DS492" s="4">
        <f t="shared" si="2170"/>
        <v>0.85</v>
      </c>
      <c r="DT492" s="4">
        <f t="shared" si="2171"/>
        <v>0.7</v>
      </c>
      <c r="DU492" s="4">
        <f t="shared" si="2172"/>
        <v>1</v>
      </c>
      <c r="DV492" s="4">
        <f t="shared" si="2173"/>
        <v>0.7</v>
      </c>
      <c r="DX492" s="4">
        <f t="shared" si="2174"/>
        <v>889.65517241379314</v>
      </c>
      <c r="EB492" s="4">
        <f t="shared" si="2175"/>
        <v>9.1700834949507204</v>
      </c>
      <c r="EE492" s="4">
        <f t="shared" si="2176"/>
        <v>57.361276136431961</v>
      </c>
      <c r="EF492" s="4">
        <f t="shared" si="2177"/>
        <v>2.2583179581272428</v>
      </c>
      <c r="EG492" s="4">
        <f t="shared" si="2178"/>
        <v>0.15577953326675206</v>
      </c>
      <c r="EJ492" s="4">
        <f t="shared" si="2179"/>
        <v>0.15577953326675206</v>
      </c>
      <c r="EK492" s="4">
        <f t="shared" si="2180"/>
        <v>0.47584870550152752</v>
      </c>
      <c r="EL492" s="4">
        <f t="shared" si="2181"/>
        <v>6.8133523183375004</v>
      </c>
      <c r="EM492" s="4">
        <f t="shared" si="2182"/>
        <v>8.0783090634384216</v>
      </c>
      <c r="EN492" s="4" t="e">
        <f t="shared" si="2183"/>
        <v>#REF!</v>
      </c>
      <c r="EO492" s="4" t="e">
        <f t="shared" si="2184"/>
        <v>#REF!</v>
      </c>
      <c r="EP492" s="4" t="e">
        <f t="shared" si="2185"/>
        <v>#REF!</v>
      </c>
      <c r="EQ492" s="4" t="e">
        <f t="shared" si="2186"/>
        <v>#REF!</v>
      </c>
      <c r="ER492" s="4" t="e">
        <f t="shared" si="2187"/>
        <v>#REF!</v>
      </c>
      <c r="FA492" s="23"/>
      <c r="FB492" s="23"/>
      <c r="FC492" s="23"/>
      <c r="FD492" s="23"/>
      <c r="FE492" s="23"/>
      <c r="FF492" s="23"/>
      <c r="FG492" s="23"/>
      <c r="FH492" s="23"/>
      <c r="FR492" s="4">
        <f t="shared" si="2188"/>
        <v>1</v>
      </c>
      <c r="FS492" s="4">
        <f t="shared" si="2189"/>
        <v>1.0833333333333333</v>
      </c>
      <c r="FT492" s="4">
        <f t="shared" si="2190"/>
        <v>0</v>
      </c>
      <c r="FU492" s="4">
        <f t="shared" si="2191"/>
        <v>146.26972550267718</v>
      </c>
    </row>
    <row r="493" spans="1:178" ht="12" customHeight="1" x14ac:dyDescent="0.3">
      <c r="A493" s="52"/>
      <c r="B493" s="24"/>
      <c r="C493" s="43" t="s">
        <v>641</v>
      </c>
      <c r="D493" s="38">
        <f t="shared" si="2129"/>
        <v>889.65517241379314</v>
      </c>
      <c r="E493" s="45">
        <v>160.01999999999998</v>
      </c>
      <c r="F493" s="45">
        <v>35.724137931034484</v>
      </c>
      <c r="G493" s="7">
        <v>25.4</v>
      </c>
      <c r="H493" s="45">
        <v>1524</v>
      </c>
      <c r="I493" s="45">
        <v>774.69999999999993</v>
      </c>
      <c r="J493" s="45">
        <v>774.69999999999993</v>
      </c>
      <c r="K493" s="7"/>
      <c r="L493" s="38">
        <v>1</v>
      </c>
      <c r="N493" s="7">
        <f t="shared" si="2130"/>
        <v>31</v>
      </c>
      <c r="O493" s="7">
        <f t="shared" si="2131"/>
        <v>31</v>
      </c>
      <c r="P493" s="45">
        <v>4.0999999999999996</v>
      </c>
      <c r="Q493" s="4">
        <f t="shared" si="2132"/>
        <v>4.0999999999999996</v>
      </c>
      <c r="R493" s="4">
        <f t="shared" si="2133"/>
        <v>5.0999999999999996</v>
      </c>
      <c r="S493" s="7">
        <f t="shared" si="2134"/>
        <v>57.361276136431961</v>
      </c>
      <c r="V493" s="45">
        <v>426.89655172413796</v>
      </c>
      <c r="Y493" s="38"/>
      <c r="Z493" s="38"/>
      <c r="AA493" s="39">
        <v>1</v>
      </c>
      <c r="AB493" s="39"/>
      <c r="AC493" s="39"/>
      <c r="AE493" s="4">
        <f t="shared" si="2135"/>
        <v>160.01999999999998</v>
      </c>
      <c r="AF493" s="4">
        <f t="shared" si="2136"/>
        <v>1</v>
      </c>
      <c r="AG493" s="4">
        <f t="shared" si="2137"/>
        <v>238.77286102592873</v>
      </c>
      <c r="AH493" s="4">
        <f t="shared" si="2138"/>
        <v>1</v>
      </c>
      <c r="AI493" s="4">
        <v>1.25</v>
      </c>
      <c r="AJ493" s="4">
        <v>1</v>
      </c>
      <c r="AK493" s="38">
        <f t="shared" si="2139"/>
        <v>298.46607628241094</v>
      </c>
      <c r="AL493" s="38">
        <f t="shared" si="2192"/>
        <v>298.46607628241094</v>
      </c>
      <c r="AM493" s="38">
        <f t="shared" si="2140"/>
        <v>3.2540864993004175</v>
      </c>
      <c r="AR493" s="4" t="e">
        <f>#REF!/G493*F493^0.5/0.19</f>
        <v>#REF!</v>
      </c>
      <c r="AS493" s="4">
        <f t="shared" si="2141"/>
        <v>1</v>
      </c>
      <c r="AT493" s="38">
        <f t="shared" si="2142"/>
        <v>4484.8236991928516</v>
      </c>
      <c r="AU493" s="4">
        <f t="shared" si="2143"/>
        <v>0.42600000000000005</v>
      </c>
      <c r="AV493" s="4" t="e">
        <f>AU493*D493*#REF!/(D493*G493/2.75/F493^0.5)</f>
        <v>#REF!</v>
      </c>
      <c r="AW493" s="4" t="e">
        <f t="shared" si="2144"/>
        <v>#REF!</v>
      </c>
      <c r="AY493" s="4">
        <f t="shared" si="2145"/>
        <v>1.5</v>
      </c>
      <c r="AZ493" s="4" t="e">
        <f>(3*#REF!+30)*AY493*F493^0.5</f>
        <v>#REF!</v>
      </c>
      <c r="BB493" s="4">
        <f t="shared" si="2146"/>
        <v>4301.4943857256276</v>
      </c>
      <c r="BC493" s="4">
        <f t="shared" si="2147"/>
        <v>0</v>
      </c>
      <c r="BD493" s="4">
        <f t="shared" si="2148"/>
        <v>0</v>
      </c>
      <c r="BL493" s="4">
        <f t="shared" si="2149"/>
        <v>774.69999999999993</v>
      </c>
      <c r="BP493" s="9"/>
      <c r="BR493" s="9"/>
      <c r="BS493" s="9"/>
      <c r="BT493" s="9">
        <f t="shared" si="2150"/>
        <v>774.69999999999993</v>
      </c>
      <c r="BU493" s="9">
        <f t="shared" si="2151"/>
        <v>774.69999999999993</v>
      </c>
      <c r="BV493" s="9">
        <f t="shared" si="2152"/>
        <v>5.5226805085936306</v>
      </c>
      <c r="BW493" s="40">
        <f t="shared" si="2153"/>
        <v>0</v>
      </c>
      <c r="BX493" s="9">
        <f t="shared" si="2154"/>
        <v>0</v>
      </c>
      <c r="BY493" s="9">
        <f t="shared" si="2155"/>
        <v>0</v>
      </c>
      <c r="BZ493" s="9">
        <f t="shared" si="2156"/>
        <v>0.99524931562137331</v>
      </c>
      <c r="CA493" s="9">
        <f t="shared" si="2157"/>
        <v>0.68</v>
      </c>
      <c r="CB493" s="9">
        <f t="shared" si="2158"/>
        <v>1.4157602788737922</v>
      </c>
      <c r="CC493" s="9">
        <f t="shared" si="2159"/>
        <v>3.5394006971844805</v>
      </c>
      <c r="CD493" s="40">
        <v>1</v>
      </c>
      <c r="CE493" s="9" t="e">
        <f>4*CC493*#REF!+60*CC493</f>
        <v>#REF!</v>
      </c>
      <c r="DC493" s="4" t="e">
        <f>#REF!</f>
        <v>#REF!</v>
      </c>
      <c r="DF493" s="4">
        <f t="shared" si="2160"/>
        <v>1.1707808439220202E-5</v>
      </c>
      <c r="DG493" s="4">
        <f t="shared" si="2161"/>
        <v>9.1700834949507204</v>
      </c>
      <c r="DH493" s="4">
        <f t="shared" si="2162"/>
        <v>0.45405627443806551</v>
      </c>
      <c r="DI493" s="4">
        <f t="shared" si="2163"/>
        <v>6.6867819668177608</v>
      </c>
      <c r="DJ493" s="4">
        <f t="shared" si="2164"/>
        <v>8.0253014837540988</v>
      </c>
      <c r="DK493" s="4">
        <f t="shared" si="2165"/>
        <v>8.9413546249557605</v>
      </c>
      <c r="DL493" s="38">
        <f t="shared" si="2166"/>
        <v>494.38359781298016</v>
      </c>
      <c r="DM493" s="4" t="e">
        <f t="shared" si="2167"/>
        <v>#REF!</v>
      </c>
      <c r="DN493" s="4">
        <f t="shared" si="2168"/>
        <v>2.2583179581272428</v>
      </c>
      <c r="DO493" s="4">
        <f t="shared" si="2169"/>
        <v>298.46607628241094</v>
      </c>
      <c r="DS493" s="4">
        <f t="shared" si="2170"/>
        <v>0.85</v>
      </c>
      <c r="DT493" s="4">
        <f t="shared" si="2171"/>
        <v>0.7</v>
      </c>
      <c r="DU493" s="4">
        <f t="shared" si="2172"/>
        <v>1</v>
      </c>
      <c r="DV493" s="4">
        <f t="shared" si="2173"/>
        <v>0.7</v>
      </c>
      <c r="DX493" s="4">
        <f t="shared" si="2174"/>
        <v>889.65517241379314</v>
      </c>
      <c r="EB493" s="4">
        <f t="shared" si="2175"/>
        <v>9.1700834949507204</v>
      </c>
      <c r="EE493" s="4">
        <f t="shared" si="2176"/>
        <v>57.361276136431961</v>
      </c>
      <c r="EF493" s="4">
        <f t="shared" si="2177"/>
        <v>2.2583179581272428</v>
      </c>
      <c r="EG493" s="4">
        <f t="shared" si="2178"/>
        <v>0.14864530194371847</v>
      </c>
      <c r="EJ493" s="4">
        <f t="shared" si="2179"/>
        <v>0.14864530194371847</v>
      </c>
      <c r="EK493" s="4">
        <f t="shared" si="2180"/>
        <v>0.45405627443806551</v>
      </c>
      <c r="EL493" s="4">
        <f t="shared" si="2181"/>
        <v>6.6867819668177608</v>
      </c>
      <c r="EM493" s="4">
        <f t="shared" si="2182"/>
        <v>8.0253014837540988</v>
      </c>
      <c r="EN493" s="4" t="e">
        <f t="shared" si="2183"/>
        <v>#REF!</v>
      </c>
      <c r="EO493" s="4" t="e">
        <f t="shared" si="2184"/>
        <v>#REF!</v>
      </c>
      <c r="EP493" s="4" t="e">
        <f t="shared" si="2185"/>
        <v>#REF!</v>
      </c>
      <c r="EQ493" s="4" t="e">
        <f t="shared" si="2186"/>
        <v>#REF!</v>
      </c>
      <c r="ER493" s="4" t="e">
        <f t="shared" si="2187"/>
        <v>#REF!</v>
      </c>
      <c r="FA493" s="23"/>
      <c r="FB493" s="23"/>
      <c r="FC493" s="23"/>
      <c r="FD493" s="23"/>
      <c r="FE493" s="23"/>
      <c r="FF493" s="23"/>
      <c r="FG493" s="23"/>
      <c r="FH493" s="23"/>
      <c r="FR493" s="4">
        <f t="shared" si="2188"/>
        <v>1</v>
      </c>
      <c r="FS493" s="4">
        <f t="shared" si="2189"/>
        <v>1.0833333333333333</v>
      </c>
      <c r="FT493" s="4">
        <f t="shared" si="2190"/>
        <v>0</v>
      </c>
      <c r="FU493" s="4">
        <f t="shared" si="2191"/>
        <v>141.76911856413327</v>
      </c>
    </row>
    <row r="494" spans="1:178" ht="12" customHeight="1" x14ac:dyDescent="0.3">
      <c r="A494" s="52"/>
      <c r="B494" s="24"/>
      <c r="C494" s="43" t="s">
        <v>642</v>
      </c>
      <c r="D494" s="38">
        <f t="shared" si="2129"/>
        <v>889.65517241379314</v>
      </c>
      <c r="E494" s="45">
        <v>172.72</v>
      </c>
      <c r="F494" s="45">
        <v>35.724137931034484</v>
      </c>
      <c r="G494" s="7">
        <v>25.4</v>
      </c>
      <c r="H494" s="45">
        <v>1524</v>
      </c>
      <c r="I494" s="45">
        <v>769.62</v>
      </c>
      <c r="J494" s="45">
        <v>769.62</v>
      </c>
      <c r="K494" s="7"/>
      <c r="L494" s="38">
        <v>1</v>
      </c>
      <c r="N494" s="7">
        <f t="shared" si="2130"/>
        <v>30.8</v>
      </c>
      <c r="O494" s="7">
        <f t="shared" si="2131"/>
        <v>30.8</v>
      </c>
      <c r="P494" s="45">
        <v>4.0999999999999996</v>
      </c>
      <c r="Q494" s="4">
        <f t="shared" si="2132"/>
        <v>4.0999999999999996</v>
      </c>
      <c r="R494" s="4">
        <f t="shared" si="2133"/>
        <v>5.0999999999999996</v>
      </c>
      <c r="S494" s="7">
        <f t="shared" si="2134"/>
        <v>57.361276136431961</v>
      </c>
      <c r="V494" s="45">
        <v>536.55172413793105</v>
      </c>
      <c r="Y494" s="38"/>
      <c r="Z494" s="38"/>
      <c r="AA494" s="39">
        <v>1</v>
      </c>
      <c r="AB494" s="39"/>
      <c r="AC494" s="39"/>
      <c r="AE494" s="4">
        <f t="shared" si="2135"/>
        <v>172.72</v>
      </c>
      <c r="AF494" s="4">
        <f t="shared" si="2136"/>
        <v>0.99999999999999978</v>
      </c>
      <c r="AG494" s="4">
        <f t="shared" si="2137"/>
        <v>267.75494983665135</v>
      </c>
      <c r="AH494" s="4">
        <f t="shared" si="2138"/>
        <v>1</v>
      </c>
      <c r="AI494" s="4">
        <v>1.25</v>
      </c>
      <c r="AJ494" s="4">
        <v>1</v>
      </c>
      <c r="AK494" s="38">
        <f t="shared" si="2139"/>
        <v>334.69368729581413</v>
      </c>
      <c r="AL494" s="38">
        <f t="shared" si="2192"/>
        <v>334.69368729581413</v>
      </c>
      <c r="AM494" s="38">
        <f t="shared" si="2140"/>
        <v>3.2540864993004175</v>
      </c>
      <c r="AR494" s="4" t="e">
        <f>#REF!/G494*F494^0.5/0.19</f>
        <v>#REF!</v>
      </c>
      <c r="AS494" s="4">
        <f t="shared" si="2141"/>
        <v>1</v>
      </c>
      <c r="AT494" s="38">
        <f t="shared" si="2142"/>
        <v>4455.8893527464461</v>
      </c>
      <c r="AU494" s="4">
        <f t="shared" si="2143"/>
        <v>0.42600000000000005</v>
      </c>
      <c r="AV494" s="4" t="e">
        <f>AU494*D494*#REF!/(D494*G494/2.75/F494^0.5)</f>
        <v>#REF!</v>
      </c>
      <c r="AW494" s="4" t="e">
        <f t="shared" si="2144"/>
        <v>#REF!</v>
      </c>
      <c r="AY494" s="4">
        <f t="shared" si="2145"/>
        <v>1.5</v>
      </c>
      <c r="AZ494" s="4" t="e">
        <f>(3*#REF!+30)*AY494*F494^0.5</f>
        <v>#REF!</v>
      </c>
      <c r="BB494" s="4">
        <f t="shared" si="2146"/>
        <v>4273.7428090435269</v>
      </c>
      <c r="BC494" s="4">
        <f t="shared" si="2147"/>
        <v>0</v>
      </c>
      <c r="BD494" s="4">
        <f t="shared" si="2148"/>
        <v>0</v>
      </c>
      <c r="BL494" s="4">
        <f t="shared" si="2149"/>
        <v>769.62</v>
      </c>
      <c r="BP494" s="9"/>
      <c r="BR494" s="9"/>
      <c r="BS494" s="9"/>
      <c r="BT494" s="9">
        <f t="shared" si="2150"/>
        <v>769.62</v>
      </c>
      <c r="BU494" s="9">
        <f t="shared" si="2151"/>
        <v>769.62</v>
      </c>
      <c r="BV494" s="9">
        <f t="shared" si="2152"/>
        <v>5.5045435778091543</v>
      </c>
      <c r="BW494" s="40">
        <f t="shared" si="2153"/>
        <v>0</v>
      </c>
      <c r="BX494" s="9">
        <f t="shared" si="2154"/>
        <v>0</v>
      </c>
      <c r="BY494" s="9">
        <f t="shared" si="2155"/>
        <v>0</v>
      </c>
      <c r="BZ494" s="9">
        <f t="shared" si="2156"/>
        <v>0.99524931562137331</v>
      </c>
      <c r="CA494" s="9">
        <f t="shared" si="2157"/>
        <v>0.68</v>
      </c>
      <c r="CB494" s="9">
        <f t="shared" si="2158"/>
        <v>1.4157602788737922</v>
      </c>
      <c r="CC494" s="9">
        <f t="shared" si="2159"/>
        <v>3.5394006971844805</v>
      </c>
      <c r="CD494" s="40">
        <v>1</v>
      </c>
      <c r="CE494" s="9" t="e">
        <f>4*CC494*#REF!+60*CC494</f>
        <v>#REF!</v>
      </c>
      <c r="DC494" s="4" t="e">
        <f>#REF!</f>
        <v>#REF!</v>
      </c>
      <c r="DF494" s="4">
        <f t="shared" si="2160"/>
        <v>1.2636999585190061E-5</v>
      </c>
      <c r="DG494" s="4">
        <f t="shared" si="2161"/>
        <v>9.1700834949507204</v>
      </c>
      <c r="DH494" s="4">
        <f t="shared" si="2162"/>
        <v>0.50916931875259841</v>
      </c>
      <c r="DI494" s="4">
        <f t="shared" si="2163"/>
        <v>7.000324634104059</v>
      </c>
      <c r="DJ494" s="4">
        <f t="shared" si="2164"/>
        <v>8.1577927613746901</v>
      </c>
      <c r="DK494" s="4">
        <f t="shared" si="2165"/>
        <v>8.8960375003236987</v>
      </c>
      <c r="DL494" s="38">
        <f t="shared" si="2166"/>
        <v>551.14999039895827</v>
      </c>
      <c r="DM494" s="4" t="e">
        <f t="shared" si="2167"/>
        <v>#REF!</v>
      </c>
      <c r="DN494" s="4">
        <f t="shared" si="2168"/>
        <v>2.2583179581272428</v>
      </c>
      <c r="DO494" s="4">
        <f t="shared" si="2169"/>
        <v>334.69368729581413</v>
      </c>
      <c r="DS494" s="4">
        <f t="shared" si="2170"/>
        <v>0.85</v>
      </c>
      <c r="DT494" s="4">
        <f t="shared" si="2171"/>
        <v>0.7</v>
      </c>
      <c r="DU494" s="4">
        <f t="shared" si="2172"/>
        <v>1</v>
      </c>
      <c r="DV494" s="4">
        <f t="shared" si="2173"/>
        <v>0.7</v>
      </c>
      <c r="DX494" s="4">
        <f t="shared" si="2174"/>
        <v>889.65517241379314</v>
      </c>
      <c r="EB494" s="4">
        <f t="shared" si="2175"/>
        <v>9.1700834949507204</v>
      </c>
      <c r="EE494" s="4">
        <f t="shared" si="2176"/>
        <v>57.361276136431961</v>
      </c>
      <c r="EF494" s="4">
        <f t="shared" si="2177"/>
        <v>2.2583179581272428</v>
      </c>
      <c r="EG494" s="4">
        <f t="shared" si="2178"/>
        <v>0.16668776842721761</v>
      </c>
      <c r="EJ494" s="4">
        <f t="shared" si="2179"/>
        <v>0.16668776842721761</v>
      </c>
      <c r="EK494" s="4">
        <f t="shared" si="2180"/>
        <v>0.50916931875259841</v>
      </c>
      <c r="EL494" s="4">
        <f t="shared" si="2181"/>
        <v>7.000324634104059</v>
      </c>
      <c r="EM494" s="4">
        <f t="shared" si="2182"/>
        <v>8.1577927613746901</v>
      </c>
      <c r="EN494" s="4" t="e">
        <f t="shared" si="2183"/>
        <v>#REF!</v>
      </c>
      <c r="EO494" s="4" t="e">
        <f t="shared" si="2184"/>
        <v>#REF!</v>
      </c>
      <c r="EP494" s="4" t="e">
        <f t="shared" si="2185"/>
        <v>#REF!</v>
      </c>
      <c r="EQ494" s="4" t="e">
        <f t="shared" si="2186"/>
        <v>#REF!</v>
      </c>
      <c r="ER494" s="4" t="e">
        <f t="shared" si="2187"/>
        <v>#REF!</v>
      </c>
      <c r="FA494" s="23"/>
      <c r="FB494" s="23"/>
      <c r="FC494" s="23"/>
      <c r="FD494" s="23"/>
      <c r="FE494" s="23"/>
      <c r="FF494" s="23"/>
      <c r="FG494" s="23"/>
      <c r="FH494" s="23"/>
      <c r="FR494" s="4">
        <f t="shared" si="2188"/>
        <v>1</v>
      </c>
      <c r="FS494" s="4">
        <f t="shared" si="2189"/>
        <v>1.0833333333333333</v>
      </c>
      <c r="FT494" s="4">
        <f t="shared" si="2190"/>
        <v>0</v>
      </c>
      <c r="FU494" s="4">
        <f t="shared" si="2191"/>
        <v>153.02063591049304</v>
      </c>
      <c r="FV494" s="4">
        <f>FU494*0.145*PI()/4</f>
        <v>17.426408328871574</v>
      </c>
    </row>
    <row r="495" spans="1:178" ht="12" customHeight="1" x14ac:dyDescent="0.3">
      <c r="A495" s="52"/>
      <c r="B495" s="24"/>
      <c r="C495" s="43" t="s">
        <v>643</v>
      </c>
      <c r="D495" s="38">
        <f t="shared" si="2129"/>
        <v>889.65517241379314</v>
      </c>
      <c r="E495" s="45">
        <v>152.39999999999998</v>
      </c>
      <c r="F495" s="45">
        <v>35.724137931034484</v>
      </c>
      <c r="G495" s="7">
        <v>25.4</v>
      </c>
      <c r="H495" s="45">
        <v>1524</v>
      </c>
      <c r="I495" s="45">
        <v>762</v>
      </c>
      <c r="J495" s="45">
        <v>762</v>
      </c>
      <c r="K495" s="7"/>
      <c r="L495" s="38">
        <v>1</v>
      </c>
      <c r="N495" s="7">
        <f t="shared" si="2130"/>
        <v>30.5</v>
      </c>
      <c r="O495" s="7">
        <f t="shared" si="2131"/>
        <v>30.5</v>
      </c>
      <c r="P495" s="45">
        <v>4.0999999999999996</v>
      </c>
      <c r="Q495" s="4">
        <f t="shared" si="2132"/>
        <v>4.0999999999999996</v>
      </c>
      <c r="R495" s="4">
        <f t="shared" si="2133"/>
        <v>5.0999999999999996</v>
      </c>
      <c r="S495" s="7">
        <f t="shared" si="2134"/>
        <v>57.361276136431961</v>
      </c>
      <c r="V495" s="45">
        <v>466.20689655172413</v>
      </c>
      <c r="Y495" s="38">
        <f t="shared" ref="Y495:Y497" si="2193">25.4*5/8</f>
        <v>15.875</v>
      </c>
      <c r="Z495" s="38">
        <v>2</v>
      </c>
      <c r="AA495" s="39">
        <v>25.4</v>
      </c>
      <c r="AB495" s="39">
        <v>2</v>
      </c>
      <c r="AC495" s="39">
        <v>2</v>
      </c>
      <c r="AE495" s="4">
        <f t="shared" si="2135"/>
        <v>152.39999999999998</v>
      </c>
      <c r="AF495" s="4">
        <f t="shared" si="2136"/>
        <v>0.99999999999999989</v>
      </c>
      <c r="AG495" s="4">
        <f t="shared" si="2137"/>
        <v>221.92233570793715</v>
      </c>
      <c r="AH495" s="4">
        <f t="shared" si="2138"/>
        <v>1</v>
      </c>
      <c r="AI495" s="4">
        <v>1.25</v>
      </c>
      <c r="AJ495" s="4">
        <v>1</v>
      </c>
      <c r="AK495" s="38">
        <f t="shared" si="2139"/>
        <v>277.40291963492137</v>
      </c>
      <c r="AL495" s="38">
        <f t="shared" si="2192"/>
        <v>277.40291963492137</v>
      </c>
      <c r="AM495" s="38">
        <f t="shared" si="2140"/>
        <v>3.2540864993004175</v>
      </c>
      <c r="AR495" s="4" t="e">
        <f>#REF!/G495*F495^0.5/0.19</f>
        <v>#REF!</v>
      </c>
      <c r="AS495" s="4">
        <f t="shared" si="2141"/>
        <v>1</v>
      </c>
      <c r="AT495" s="38">
        <f t="shared" si="2142"/>
        <v>4412.4878330768379</v>
      </c>
      <c r="AU495" s="4">
        <f t="shared" si="2143"/>
        <v>0.42600000000000005</v>
      </c>
      <c r="AV495" s="4" t="e">
        <f>AU495*D495*#REF!/(D495*G495/2.75/F495^0.5)</f>
        <v>#REF!</v>
      </c>
      <c r="AW495" s="4" t="e">
        <f t="shared" si="2144"/>
        <v>#REF!</v>
      </c>
      <c r="AY495" s="4">
        <f t="shared" si="2145"/>
        <v>1.5</v>
      </c>
      <c r="AZ495" s="4" t="e">
        <f>(3*#REF!+30)*AY495*F495^0.5</f>
        <v>#REF!</v>
      </c>
      <c r="BB495" s="4">
        <f t="shared" si="2146"/>
        <v>4232.1154440203763</v>
      </c>
      <c r="BC495" s="4">
        <f t="shared" si="2147"/>
        <v>0</v>
      </c>
      <c r="BD495" s="4">
        <f t="shared" si="2148"/>
        <v>0</v>
      </c>
      <c r="BL495" s="4">
        <f t="shared" si="2149"/>
        <v>762</v>
      </c>
      <c r="BP495" s="9"/>
      <c r="BR495" s="9"/>
      <c r="BS495" s="9"/>
      <c r="BT495" s="9">
        <f t="shared" si="2150"/>
        <v>762</v>
      </c>
      <c r="BU495" s="9">
        <f t="shared" si="2151"/>
        <v>762</v>
      </c>
      <c r="BV495" s="9">
        <f t="shared" si="2152"/>
        <v>5.4772255750516612</v>
      </c>
      <c r="BW495" s="40">
        <f t="shared" si="2153"/>
        <v>20</v>
      </c>
      <c r="BX495" s="9">
        <f t="shared" si="2154"/>
        <v>0.05</v>
      </c>
      <c r="BY495" s="9">
        <f t="shared" si="2155"/>
        <v>0.8</v>
      </c>
      <c r="BZ495" s="9">
        <f t="shared" si="2156"/>
        <v>0.99524931562137331</v>
      </c>
      <c r="CA495" s="9">
        <f t="shared" si="2157"/>
        <v>0.68</v>
      </c>
      <c r="CB495" s="9">
        <f t="shared" si="2158"/>
        <v>1.4157602788737922</v>
      </c>
      <c r="CC495" s="9">
        <f t="shared" si="2159"/>
        <v>3.5394006971844805</v>
      </c>
      <c r="CD495" s="40">
        <v>1</v>
      </c>
      <c r="CE495" s="9" t="e">
        <f>4*CC495*#REF!+60*CC495</f>
        <v>#REF!</v>
      </c>
      <c r="DC495" s="4" t="e">
        <f>#REF!</f>
        <v>#REF!</v>
      </c>
      <c r="DF495" s="4">
        <f t="shared" si="2160"/>
        <v>1.1150293751638287E-5</v>
      </c>
      <c r="DG495" s="4">
        <f t="shared" si="2161"/>
        <v>9.1700834949507204</v>
      </c>
      <c r="DH495" s="4">
        <f t="shared" si="2162"/>
        <v>0.42201290604461672</v>
      </c>
      <c r="DI495" s="4">
        <f t="shared" si="2163"/>
        <v>6.4938698928930743</v>
      </c>
      <c r="DJ495" s="4">
        <f t="shared" si="2164"/>
        <v>7.9457861568390831</v>
      </c>
      <c r="DK495" s="4">
        <f t="shared" si="2165"/>
        <v>8.9664583264786533</v>
      </c>
      <c r="DL495" s="38">
        <f t="shared" si="2166"/>
        <v>461.11026612663159</v>
      </c>
      <c r="DM495" s="4" t="e">
        <f t="shared" si="2167"/>
        <v>#REF!</v>
      </c>
      <c r="DN495" s="4">
        <f t="shared" si="2168"/>
        <v>2.2583179581272428</v>
      </c>
      <c r="DO495" s="4">
        <f t="shared" si="2169"/>
        <v>277.40291963492137</v>
      </c>
      <c r="DS495" s="4">
        <f t="shared" si="2170"/>
        <v>0.85</v>
      </c>
      <c r="DT495" s="4">
        <f t="shared" si="2171"/>
        <v>0.7</v>
      </c>
      <c r="DU495" s="4">
        <f t="shared" si="2172"/>
        <v>0.7</v>
      </c>
      <c r="DV495" s="4">
        <f t="shared" si="2173"/>
        <v>0.7</v>
      </c>
      <c r="DX495" s="4">
        <f t="shared" si="2174"/>
        <v>889.65517241379314</v>
      </c>
      <c r="EB495" s="4">
        <f t="shared" si="2175"/>
        <v>9.1700834949507204</v>
      </c>
      <c r="EE495" s="4">
        <f t="shared" si="2176"/>
        <v>57.361276136431961</v>
      </c>
      <c r="EF495" s="4">
        <f t="shared" si="2177"/>
        <v>2.2583179581272428</v>
      </c>
      <c r="EG495" s="4">
        <f t="shared" si="2178"/>
        <v>0.13815520096222064</v>
      </c>
      <c r="EJ495" s="4">
        <f t="shared" si="2179"/>
        <v>0.13815520096222064</v>
      </c>
      <c r="EK495" s="4">
        <f t="shared" si="2180"/>
        <v>0.42201290604461672</v>
      </c>
      <c r="EL495" s="4">
        <f t="shared" si="2181"/>
        <v>6.4938698928930743</v>
      </c>
      <c r="EM495" s="4">
        <f t="shared" si="2182"/>
        <v>7.9457861568390831</v>
      </c>
      <c r="EN495" s="4" t="e">
        <f t="shared" si="2183"/>
        <v>#REF!</v>
      </c>
      <c r="EO495" s="4" t="e">
        <f t="shared" si="2184"/>
        <v>#REF!</v>
      </c>
      <c r="EP495" s="4" t="e">
        <f t="shared" si="2185"/>
        <v>#REF!</v>
      </c>
      <c r="EQ495" s="4" t="e">
        <f t="shared" si="2186"/>
        <v>#REF!</v>
      </c>
      <c r="ER495" s="4" t="e">
        <f t="shared" si="2187"/>
        <v>#REF!</v>
      </c>
      <c r="FA495" s="23"/>
      <c r="FB495" s="23"/>
      <c r="FC495" s="23"/>
      <c r="FD495" s="23"/>
      <c r="FE495" s="23"/>
      <c r="FF495" s="23"/>
      <c r="FG495" s="23"/>
      <c r="FH495" s="23"/>
      <c r="FR495" s="4">
        <f t="shared" si="2188"/>
        <v>1</v>
      </c>
      <c r="FS495" s="4">
        <f t="shared" si="2189"/>
        <v>0.75511627906976753</v>
      </c>
      <c r="FT495" s="4">
        <f t="shared" si="2190"/>
        <v>0.3</v>
      </c>
      <c r="FU495" s="4">
        <f t="shared" si="2191"/>
        <v>193.70490288312646</v>
      </c>
    </row>
    <row r="496" spans="1:178" ht="12" customHeight="1" x14ac:dyDescent="0.3">
      <c r="A496" s="52"/>
      <c r="B496" s="24"/>
      <c r="C496" s="43" t="s">
        <v>643</v>
      </c>
      <c r="D496" s="38">
        <f t="shared" si="2129"/>
        <v>889.65517241379314</v>
      </c>
      <c r="E496" s="45">
        <v>154.93999999999997</v>
      </c>
      <c r="F496" s="45">
        <v>35.724137931034484</v>
      </c>
      <c r="G496" s="7">
        <v>25.4</v>
      </c>
      <c r="H496" s="45">
        <v>1524</v>
      </c>
      <c r="I496" s="45">
        <v>769.62</v>
      </c>
      <c r="J496" s="45">
        <v>769.62</v>
      </c>
      <c r="K496" s="7"/>
      <c r="L496" s="38">
        <v>1</v>
      </c>
      <c r="N496" s="7">
        <f t="shared" si="2130"/>
        <v>30.8</v>
      </c>
      <c r="O496" s="7">
        <f t="shared" si="2131"/>
        <v>30.8</v>
      </c>
      <c r="P496" s="45">
        <v>4.0999999999999996</v>
      </c>
      <c r="Q496" s="4">
        <f t="shared" si="2132"/>
        <v>4.0999999999999996</v>
      </c>
      <c r="R496" s="4">
        <f t="shared" si="2133"/>
        <v>5.0999999999999996</v>
      </c>
      <c r="S496" s="7">
        <f t="shared" si="2134"/>
        <v>57.361276136431961</v>
      </c>
      <c r="V496" s="45">
        <v>457.24137931034483</v>
      </c>
      <c r="Y496" s="38">
        <f t="shared" si="2193"/>
        <v>15.875</v>
      </c>
      <c r="Z496" s="38">
        <v>2</v>
      </c>
      <c r="AA496" s="39">
        <v>25.4</v>
      </c>
      <c r="AB496" s="39">
        <v>2</v>
      </c>
      <c r="AC496" s="39">
        <v>2</v>
      </c>
      <c r="AE496" s="4">
        <f t="shared" si="2135"/>
        <v>154.93999999999997</v>
      </c>
      <c r="AF496" s="4">
        <f t="shared" si="2136"/>
        <v>1</v>
      </c>
      <c r="AG496" s="4">
        <f t="shared" si="2137"/>
        <v>227.49344719498902</v>
      </c>
      <c r="AH496" s="4">
        <f t="shared" si="2138"/>
        <v>1</v>
      </c>
      <c r="AI496" s="4">
        <v>1.25</v>
      </c>
      <c r="AJ496" s="4">
        <v>1</v>
      </c>
      <c r="AK496" s="38">
        <f t="shared" si="2139"/>
        <v>284.3668089937363</v>
      </c>
      <c r="AL496" s="38">
        <f t="shared" si="2192"/>
        <v>284.3668089937363</v>
      </c>
      <c r="AM496" s="38">
        <f t="shared" si="2140"/>
        <v>3.2540864993004175</v>
      </c>
      <c r="AR496" s="4" t="e">
        <f>#REF!/G496*F496^0.5/0.19</f>
        <v>#REF!</v>
      </c>
      <c r="AS496" s="4">
        <f t="shared" si="2141"/>
        <v>1</v>
      </c>
      <c r="AT496" s="38">
        <f t="shared" si="2142"/>
        <v>4455.8893527464461</v>
      </c>
      <c r="AU496" s="4">
        <f t="shared" si="2143"/>
        <v>0.42600000000000005</v>
      </c>
      <c r="AV496" s="4" t="e">
        <f>AU496*D496*#REF!/(D496*G496/2.75/F496^0.5)</f>
        <v>#REF!</v>
      </c>
      <c r="AW496" s="4" t="e">
        <f t="shared" si="2144"/>
        <v>#REF!</v>
      </c>
      <c r="AY496" s="4">
        <f t="shared" si="2145"/>
        <v>1.5</v>
      </c>
      <c r="AZ496" s="4" t="e">
        <f>(3*#REF!+30)*AY496*F496^0.5</f>
        <v>#REF!</v>
      </c>
      <c r="BB496" s="4">
        <f t="shared" si="2146"/>
        <v>4273.7428090435269</v>
      </c>
      <c r="BC496" s="4">
        <f t="shared" si="2147"/>
        <v>0</v>
      </c>
      <c r="BD496" s="4">
        <f t="shared" si="2148"/>
        <v>0</v>
      </c>
      <c r="BL496" s="4">
        <f t="shared" si="2149"/>
        <v>769.62</v>
      </c>
      <c r="BP496" s="9"/>
      <c r="BR496" s="9"/>
      <c r="BS496" s="9"/>
      <c r="BT496" s="9">
        <f t="shared" si="2150"/>
        <v>769.62</v>
      </c>
      <c r="BU496" s="9">
        <f t="shared" si="2151"/>
        <v>769.62</v>
      </c>
      <c r="BV496" s="9">
        <f t="shared" si="2152"/>
        <v>5.5045435778091543</v>
      </c>
      <c r="BW496" s="40">
        <f t="shared" si="2153"/>
        <v>20</v>
      </c>
      <c r="BX496" s="9">
        <f t="shared" si="2154"/>
        <v>0.05</v>
      </c>
      <c r="BY496" s="9">
        <f t="shared" si="2155"/>
        <v>0.8</v>
      </c>
      <c r="BZ496" s="9">
        <f t="shared" si="2156"/>
        <v>0.99524931562137331</v>
      </c>
      <c r="CA496" s="9">
        <f t="shared" si="2157"/>
        <v>0.68</v>
      </c>
      <c r="CB496" s="9">
        <f t="shared" si="2158"/>
        <v>1.4157602788737922</v>
      </c>
      <c r="CC496" s="9">
        <f t="shared" si="2159"/>
        <v>3.5394006971844805</v>
      </c>
      <c r="CD496" s="40">
        <v>1</v>
      </c>
      <c r="CE496" s="9" t="e">
        <f>4*CC496*#REF!+60*CC496</f>
        <v>#REF!</v>
      </c>
      <c r="DC496" s="4" t="e">
        <f>#REF!</f>
        <v>#REF!</v>
      </c>
      <c r="DF496" s="4">
        <f t="shared" si="2160"/>
        <v>1.1336131980832258E-5</v>
      </c>
      <c r="DG496" s="4">
        <f t="shared" si="2161"/>
        <v>9.1700834949507204</v>
      </c>
      <c r="DH496" s="4">
        <f t="shared" si="2162"/>
        <v>0.43260706702011897</v>
      </c>
      <c r="DI496" s="4">
        <f t="shared" si="2163"/>
        <v>6.5585937964406824</v>
      </c>
      <c r="DJ496" s="4">
        <f t="shared" si="2164"/>
        <v>7.9722900767464155</v>
      </c>
      <c r="DK496" s="4">
        <f t="shared" si="2165"/>
        <v>8.9582625401394136</v>
      </c>
      <c r="DL496" s="38">
        <f t="shared" si="2166"/>
        <v>472.13481610443762</v>
      </c>
      <c r="DM496" s="4" t="e">
        <f t="shared" si="2167"/>
        <v>#REF!</v>
      </c>
      <c r="DN496" s="4">
        <f t="shared" si="2168"/>
        <v>2.2583179581272428</v>
      </c>
      <c r="DO496" s="4">
        <f t="shared" si="2169"/>
        <v>284.3668089937363</v>
      </c>
      <c r="DS496" s="4">
        <f t="shared" si="2170"/>
        <v>0.85</v>
      </c>
      <c r="DT496" s="4">
        <f t="shared" si="2171"/>
        <v>0.7</v>
      </c>
      <c r="DU496" s="4">
        <f t="shared" si="2172"/>
        <v>0.7</v>
      </c>
      <c r="DV496" s="4">
        <f t="shared" si="2173"/>
        <v>0.7</v>
      </c>
      <c r="DX496" s="4">
        <f t="shared" si="2174"/>
        <v>889.65517241379314</v>
      </c>
      <c r="EB496" s="4">
        <f t="shared" si="2175"/>
        <v>9.1700834949507204</v>
      </c>
      <c r="EE496" s="4">
        <f t="shared" si="2176"/>
        <v>57.361276136431961</v>
      </c>
      <c r="EF496" s="4">
        <f t="shared" si="2177"/>
        <v>2.2583179581272428</v>
      </c>
      <c r="EG496" s="4">
        <f t="shared" si="2178"/>
        <v>0.14162343242536429</v>
      </c>
      <c r="EJ496" s="4">
        <f t="shared" si="2179"/>
        <v>0.14162343242536429</v>
      </c>
      <c r="EK496" s="4">
        <f t="shared" si="2180"/>
        <v>0.43260706702011897</v>
      </c>
      <c r="EL496" s="4">
        <f t="shared" si="2181"/>
        <v>6.5585937964406824</v>
      </c>
      <c r="EM496" s="4">
        <f t="shared" si="2182"/>
        <v>7.9722900767464155</v>
      </c>
      <c r="EN496" s="4" t="e">
        <f t="shared" si="2183"/>
        <v>#REF!</v>
      </c>
      <c r="EO496" s="4" t="e">
        <f t="shared" si="2184"/>
        <v>#REF!</v>
      </c>
      <c r="EP496" s="4" t="e">
        <f t="shared" si="2185"/>
        <v>#REF!</v>
      </c>
      <c r="EQ496" s="4" t="e">
        <f t="shared" si="2186"/>
        <v>#REF!</v>
      </c>
      <c r="ER496" s="4" t="e">
        <f t="shared" si="2187"/>
        <v>#REF!</v>
      </c>
      <c r="FA496" s="23"/>
      <c r="FB496" s="23"/>
      <c r="FC496" s="23"/>
      <c r="FD496" s="23"/>
      <c r="FE496" s="23"/>
      <c r="FF496" s="23"/>
      <c r="FG496" s="23"/>
      <c r="FH496" s="23"/>
      <c r="FR496" s="4">
        <f t="shared" si="2188"/>
        <v>1</v>
      </c>
      <c r="FS496" s="4">
        <f t="shared" si="2189"/>
        <v>0.75511627906976753</v>
      </c>
      <c r="FT496" s="4">
        <f t="shared" si="2190"/>
        <v>0.3</v>
      </c>
      <c r="FU496" s="4">
        <f t="shared" si="2191"/>
        <v>196.93331793117858</v>
      </c>
    </row>
    <row r="497" spans="1:178" ht="12" customHeight="1" x14ac:dyDescent="0.3">
      <c r="A497" s="52"/>
      <c r="B497" s="24"/>
      <c r="C497" s="43" t="s">
        <v>643</v>
      </c>
      <c r="D497" s="38">
        <f t="shared" si="2129"/>
        <v>889.65517241379314</v>
      </c>
      <c r="E497" s="45">
        <v>172.72</v>
      </c>
      <c r="F497" s="45">
        <v>37.655172413793103</v>
      </c>
      <c r="G497" s="7">
        <v>25.4</v>
      </c>
      <c r="H497" s="45">
        <v>1524</v>
      </c>
      <c r="I497" s="45">
        <v>769.62</v>
      </c>
      <c r="J497" s="45">
        <v>769.62</v>
      </c>
      <c r="K497" s="7"/>
      <c r="L497" s="38">
        <v>1</v>
      </c>
      <c r="N497" s="7">
        <f t="shared" si="2130"/>
        <v>30.8</v>
      </c>
      <c r="O497" s="7">
        <f t="shared" si="2131"/>
        <v>30.8</v>
      </c>
      <c r="P497" s="45">
        <v>4.0999999999999996</v>
      </c>
      <c r="Q497" s="4">
        <f t="shared" si="2132"/>
        <v>4.0999999999999996</v>
      </c>
      <c r="R497" s="4">
        <f t="shared" si="2133"/>
        <v>5.0999999999999996</v>
      </c>
      <c r="S497" s="7">
        <f t="shared" si="2134"/>
        <v>57.361276136431961</v>
      </c>
      <c r="V497" s="45">
        <v>466.89655172413796</v>
      </c>
      <c r="Y497" s="38">
        <f t="shared" si="2193"/>
        <v>15.875</v>
      </c>
      <c r="Z497" s="38">
        <v>2</v>
      </c>
      <c r="AA497" s="39">
        <v>25.4</v>
      </c>
      <c r="AB497" s="39">
        <v>2</v>
      </c>
      <c r="AC497" s="39">
        <v>2</v>
      </c>
      <c r="AE497" s="4">
        <f t="shared" si="2135"/>
        <v>172.72</v>
      </c>
      <c r="AF497" s="4">
        <f t="shared" si="2136"/>
        <v>0.99999999999999978</v>
      </c>
      <c r="AG497" s="4">
        <f t="shared" si="2137"/>
        <v>274.89633492385769</v>
      </c>
      <c r="AH497" s="4">
        <f t="shared" si="2138"/>
        <v>1</v>
      </c>
      <c r="AI497" s="4">
        <v>1.25</v>
      </c>
      <c r="AJ497" s="4">
        <v>1</v>
      </c>
      <c r="AK497" s="38">
        <f t="shared" si="2139"/>
        <v>343.62041865482206</v>
      </c>
      <c r="AL497" s="38">
        <f t="shared" si="2192"/>
        <v>343.62041865482206</v>
      </c>
      <c r="AM497" s="38">
        <f t="shared" si="2140"/>
        <v>3.3703190491443937</v>
      </c>
      <c r="AR497" s="4" t="e">
        <f>#REF!/G497*F497^0.5/0.19</f>
        <v>#REF!</v>
      </c>
      <c r="AS497" s="4">
        <f t="shared" si="2141"/>
        <v>1</v>
      </c>
      <c r="AT497" s="38">
        <f t="shared" si="2142"/>
        <v>4696.7482366786853</v>
      </c>
      <c r="AU497" s="4">
        <f t="shared" si="2143"/>
        <v>0.42600000000000005</v>
      </c>
      <c r="AV497" s="4" t="e">
        <f>AU497*D497*#REF!/(D497*G497/2.75/F497^0.5)</f>
        <v>#REF!</v>
      </c>
      <c r="AW497" s="4" t="e">
        <f t="shared" si="2144"/>
        <v>#REF!</v>
      </c>
      <c r="AY497" s="4">
        <f t="shared" si="2145"/>
        <v>1.5</v>
      </c>
      <c r="AZ497" s="4" t="e">
        <f>(3*#REF!+30)*AY497*F497^0.5</f>
        <v>#REF!</v>
      </c>
      <c r="BB497" s="4">
        <f t="shared" si="2146"/>
        <v>4504.7559338566916</v>
      </c>
      <c r="BC497" s="4">
        <f t="shared" si="2147"/>
        <v>0</v>
      </c>
      <c r="BD497" s="4">
        <f t="shared" si="2148"/>
        <v>0</v>
      </c>
      <c r="BL497" s="4">
        <f t="shared" si="2149"/>
        <v>769.62</v>
      </c>
      <c r="BP497" s="9"/>
      <c r="BR497" s="9"/>
      <c r="BS497" s="9"/>
      <c r="BT497" s="9">
        <f t="shared" si="2150"/>
        <v>769.62</v>
      </c>
      <c r="BU497" s="9">
        <f t="shared" si="2151"/>
        <v>769.62</v>
      </c>
      <c r="BV497" s="9">
        <f t="shared" si="2152"/>
        <v>5.5045435778091543</v>
      </c>
      <c r="BW497" s="40">
        <f t="shared" si="2153"/>
        <v>20</v>
      </c>
      <c r="BX497" s="9">
        <f t="shared" si="2154"/>
        <v>0.05</v>
      </c>
      <c r="BY497" s="9">
        <f t="shared" si="2155"/>
        <v>0.8</v>
      </c>
      <c r="BZ497" s="9">
        <f t="shared" si="2156"/>
        <v>0.99524931562137331</v>
      </c>
      <c r="CA497" s="9">
        <f t="shared" si="2157"/>
        <v>0.68</v>
      </c>
      <c r="CB497" s="9">
        <f t="shared" si="2158"/>
        <v>1.4535205120600561</v>
      </c>
      <c r="CC497" s="9">
        <f t="shared" si="2159"/>
        <v>3.63380128015014</v>
      </c>
      <c r="CD497" s="40">
        <v>1</v>
      </c>
      <c r="CE497" s="9" t="e">
        <f>4*CC497*#REF!+60*CC497</f>
        <v>#REF!</v>
      </c>
      <c r="DC497" s="4" t="e">
        <f>#REF!</f>
        <v>#REF!</v>
      </c>
      <c r="DF497" s="4">
        <f t="shared" si="2160"/>
        <v>1.2803199194359958E-5</v>
      </c>
      <c r="DG497" s="4">
        <f t="shared" si="2161"/>
        <v>9.414661970751931</v>
      </c>
      <c r="DH497" s="4">
        <f t="shared" si="2162"/>
        <v>0.49594188092295277</v>
      </c>
      <c r="DI497" s="4">
        <f t="shared" si="2163"/>
        <v>7.111759235242249</v>
      </c>
      <c r="DJ497" s="4">
        <f t="shared" si="2164"/>
        <v>8.3432027494528445</v>
      </c>
      <c r="DK497" s="4">
        <f t="shared" si="2165"/>
        <v>9.1236545658066053</v>
      </c>
      <c r="DL497" s="38">
        <f t="shared" si="2166"/>
        <v>564.73864178090059</v>
      </c>
      <c r="DM497" s="4" t="e">
        <f t="shared" si="2167"/>
        <v>#REF!</v>
      </c>
      <c r="DN497" s="4">
        <f t="shared" si="2168"/>
        <v>2.2583179581272428</v>
      </c>
      <c r="DO497" s="4">
        <f t="shared" si="2169"/>
        <v>343.62041865482206</v>
      </c>
      <c r="DS497" s="4">
        <f t="shared" si="2170"/>
        <v>0.85</v>
      </c>
      <c r="DT497" s="4">
        <f t="shared" si="2171"/>
        <v>0.7</v>
      </c>
      <c r="DU497" s="4">
        <f t="shared" si="2172"/>
        <v>0.7</v>
      </c>
      <c r="DV497" s="4">
        <f t="shared" si="2173"/>
        <v>0.7</v>
      </c>
      <c r="DX497" s="4">
        <f t="shared" si="2174"/>
        <v>889.65517241379314</v>
      </c>
      <c r="EB497" s="4">
        <f t="shared" si="2175"/>
        <v>9.414661970751931</v>
      </c>
      <c r="EE497" s="4">
        <f t="shared" si="2176"/>
        <v>57.361276136431961</v>
      </c>
      <c r="EF497" s="4">
        <f t="shared" si="2177"/>
        <v>2.2583179581272428</v>
      </c>
      <c r="EG497" s="4">
        <f t="shared" si="2178"/>
        <v>0.16668776842721764</v>
      </c>
      <c r="EJ497" s="4">
        <f t="shared" si="2179"/>
        <v>0.16668776842721764</v>
      </c>
      <c r="EK497" s="4">
        <f t="shared" si="2180"/>
        <v>0.49594188092295277</v>
      </c>
      <c r="EL497" s="4">
        <f t="shared" si="2181"/>
        <v>7.111759235242249</v>
      </c>
      <c r="EM497" s="4">
        <f t="shared" si="2182"/>
        <v>8.3432027494528445</v>
      </c>
      <c r="EN497" s="4" t="e">
        <f t="shared" si="2183"/>
        <v>#REF!</v>
      </c>
      <c r="EO497" s="4" t="e">
        <f t="shared" si="2184"/>
        <v>#REF!</v>
      </c>
      <c r="EP497" s="4" t="e">
        <f t="shared" si="2185"/>
        <v>#REF!</v>
      </c>
      <c r="EQ497" s="4" t="e">
        <f t="shared" si="2186"/>
        <v>#REF!</v>
      </c>
      <c r="ER497" s="4" t="e">
        <f t="shared" si="2187"/>
        <v>#REF!</v>
      </c>
      <c r="FA497" s="23"/>
      <c r="FB497" s="23"/>
      <c r="FC497" s="23"/>
      <c r="FD497" s="23"/>
      <c r="FE497" s="23"/>
      <c r="FF497" s="23"/>
      <c r="FG497" s="23"/>
      <c r="FH497" s="23"/>
      <c r="FR497" s="4">
        <f t="shared" si="2188"/>
        <v>1</v>
      </c>
      <c r="FS497" s="4">
        <f t="shared" si="2189"/>
        <v>0.75511627906976753</v>
      </c>
      <c r="FT497" s="4">
        <f t="shared" si="2190"/>
        <v>0.3</v>
      </c>
      <c r="FU497" s="4">
        <f t="shared" si="2191"/>
        <v>222.44056852042061</v>
      </c>
    </row>
    <row r="498" spans="1:178" ht="12" customHeight="1" x14ac:dyDescent="0.3">
      <c r="A498" s="52"/>
      <c r="B498" s="24"/>
      <c r="C498" s="43" t="s">
        <v>644</v>
      </c>
      <c r="D498" s="38">
        <f t="shared" si="2129"/>
        <v>889.65517241379314</v>
      </c>
      <c r="E498" s="45">
        <v>160.01999999999998</v>
      </c>
      <c r="F498" s="45">
        <v>37.655172413793103</v>
      </c>
      <c r="G498" s="7">
        <v>25.4</v>
      </c>
      <c r="H498" s="45">
        <v>1524</v>
      </c>
      <c r="I498" s="45">
        <v>774.69999999999993</v>
      </c>
      <c r="J498" s="45">
        <v>774.69999999999993</v>
      </c>
      <c r="K498" s="7"/>
      <c r="L498" s="38">
        <v>1</v>
      </c>
      <c r="N498" s="7">
        <f t="shared" si="2130"/>
        <v>31</v>
      </c>
      <c r="O498" s="7">
        <f t="shared" si="2131"/>
        <v>31</v>
      </c>
      <c r="P498" s="45">
        <v>4.0999999999999996</v>
      </c>
      <c r="Q498" s="4">
        <f t="shared" si="2132"/>
        <v>4.0999999999999996</v>
      </c>
      <c r="R498" s="4">
        <f t="shared" si="2133"/>
        <v>5.0999999999999996</v>
      </c>
      <c r="S498" s="7">
        <f t="shared" si="2134"/>
        <v>57.361276136431961</v>
      </c>
      <c r="V498" s="45">
        <v>412.41379310344826</v>
      </c>
      <c r="Y498" s="38">
        <f t="shared" ref="Y498:Y499" si="2194">25.4*5/8</f>
        <v>15.875</v>
      </c>
      <c r="Z498" s="38">
        <v>3</v>
      </c>
      <c r="AA498" s="39">
        <v>25.4</v>
      </c>
      <c r="AB498" s="39">
        <v>3</v>
      </c>
      <c r="AC498" s="39">
        <v>1</v>
      </c>
      <c r="AE498" s="4">
        <f t="shared" si="2135"/>
        <v>160.01999999999998</v>
      </c>
      <c r="AF498" s="4">
        <f t="shared" si="2136"/>
        <v>1</v>
      </c>
      <c r="AG498" s="4">
        <f t="shared" si="2137"/>
        <v>245.14125477551366</v>
      </c>
      <c r="AH498" s="4">
        <f t="shared" si="2138"/>
        <v>1</v>
      </c>
      <c r="AI498" s="4">
        <v>1.25</v>
      </c>
      <c r="AJ498" s="4">
        <v>1</v>
      </c>
      <c r="AK498" s="38">
        <f t="shared" si="2139"/>
        <v>306.42656846939207</v>
      </c>
      <c r="AL498" s="38">
        <f t="shared" si="2192"/>
        <v>306.42656846939207</v>
      </c>
      <c r="AM498" s="38">
        <f t="shared" si="2140"/>
        <v>3.3703190491443937</v>
      </c>
      <c r="AR498" s="4" t="e">
        <f>#REF!/G498*F498^0.5/0.19</f>
        <v>#REF!</v>
      </c>
      <c r="AS498" s="4">
        <f t="shared" si="2141"/>
        <v>1</v>
      </c>
      <c r="AT498" s="38">
        <f t="shared" si="2142"/>
        <v>4727.2466018519244</v>
      </c>
      <c r="AU498" s="4">
        <f t="shared" si="2143"/>
        <v>0.42600000000000005</v>
      </c>
      <c r="AV498" s="4" t="e">
        <f>AU498*D498*#REF!/(D498*G498/2.75/F498^0.5)</f>
        <v>#REF!</v>
      </c>
      <c r="AW498" s="4" t="e">
        <f t="shared" si="2144"/>
        <v>#REF!</v>
      </c>
      <c r="AY498" s="4">
        <f t="shared" si="2145"/>
        <v>1.5</v>
      </c>
      <c r="AZ498" s="4" t="e">
        <f>(3*#REF!+30)*AY498*F498^0.5</f>
        <v>#REF!</v>
      </c>
      <c r="BB498" s="4">
        <f t="shared" si="2146"/>
        <v>4534.0075957648514</v>
      </c>
      <c r="BC498" s="4">
        <f t="shared" si="2147"/>
        <v>0</v>
      </c>
      <c r="BD498" s="4">
        <f t="shared" si="2148"/>
        <v>0</v>
      </c>
      <c r="BL498" s="4">
        <f t="shared" si="2149"/>
        <v>774.69999999999993</v>
      </c>
      <c r="BP498" s="9"/>
      <c r="BR498" s="9"/>
      <c r="BS498" s="9"/>
      <c r="BT498" s="9">
        <f t="shared" si="2150"/>
        <v>774.69999999999993</v>
      </c>
      <c r="BU498" s="9">
        <f t="shared" si="2151"/>
        <v>774.69999999999993</v>
      </c>
      <c r="BV498" s="9">
        <f t="shared" si="2152"/>
        <v>5.5226805085936306</v>
      </c>
      <c r="BW498" s="40">
        <f t="shared" si="2153"/>
        <v>20</v>
      </c>
      <c r="BX498" s="9">
        <f t="shared" si="2154"/>
        <v>0.05</v>
      </c>
      <c r="BY498" s="9">
        <f t="shared" si="2155"/>
        <v>0.8</v>
      </c>
      <c r="BZ498" s="9">
        <f t="shared" si="2156"/>
        <v>0.99524931562137331</v>
      </c>
      <c r="CA498" s="9">
        <f t="shared" si="2157"/>
        <v>0.68</v>
      </c>
      <c r="CB498" s="9">
        <f t="shared" si="2158"/>
        <v>1.4535205120600561</v>
      </c>
      <c r="CC498" s="9">
        <f t="shared" si="2159"/>
        <v>3.63380128015014</v>
      </c>
      <c r="CD498" s="40">
        <v>1</v>
      </c>
      <c r="CE498" s="9" t="e">
        <f>4*CC498*#REF!+60*CC498</f>
        <v>#REF!</v>
      </c>
      <c r="DC498" s="4" t="e">
        <f>#REF!</f>
        <v>#REF!</v>
      </c>
      <c r="DF498" s="4">
        <f t="shared" si="2160"/>
        <v>1.1861787488892311E-5</v>
      </c>
      <c r="DG498" s="4">
        <f t="shared" si="2161"/>
        <v>9.414661970751931</v>
      </c>
      <c r="DH498" s="4">
        <f t="shared" si="2162"/>
        <v>0.44226058895567227</v>
      </c>
      <c r="DI498" s="4">
        <f t="shared" si="2163"/>
        <v>6.7932254419875013</v>
      </c>
      <c r="DJ498" s="4">
        <f t="shared" si="2164"/>
        <v>8.2095252459350316</v>
      </c>
      <c r="DK498" s="4">
        <f t="shared" si="2165"/>
        <v>9.1717730741209333</v>
      </c>
      <c r="DL498" s="38">
        <f t="shared" si="2166"/>
        <v>506.57494485913878</v>
      </c>
      <c r="DM498" s="4" t="e">
        <f t="shared" si="2167"/>
        <v>#REF!</v>
      </c>
      <c r="DN498" s="4">
        <f t="shared" si="2168"/>
        <v>2.2583179581272428</v>
      </c>
      <c r="DO498" s="4">
        <f t="shared" si="2169"/>
        <v>306.42656846939207</v>
      </c>
      <c r="DS498" s="4">
        <f t="shared" si="2170"/>
        <v>0.85</v>
      </c>
      <c r="DT498" s="4">
        <f t="shared" si="2171"/>
        <v>0.7</v>
      </c>
      <c r="DU498" s="4">
        <f t="shared" si="2172"/>
        <v>0.84062499999999996</v>
      </c>
      <c r="DV498" s="4">
        <f t="shared" si="2173"/>
        <v>0.7</v>
      </c>
      <c r="DX498" s="4">
        <f t="shared" si="2174"/>
        <v>889.65517241379314</v>
      </c>
      <c r="EB498" s="4">
        <f t="shared" si="2175"/>
        <v>9.414661970751931</v>
      </c>
      <c r="EE498" s="4">
        <f t="shared" si="2176"/>
        <v>57.361276136431961</v>
      </c>
      <c r="EF498" s="4">
        <f t="shared" si="2177"/>
        <v>2.2583179581272428</v>
      </c>
      <c r="EG498" s="4">
        <f t="shared" si="2178"/>
        <v>0.14864530194371847</v>
      </c>
      <c r="EJ498" s="4">
        <f t="shared" si="2179"/>
        <v>0.14864530194371847</v>
      </c>
      <c r="EK498" s="4">
        <f t="shared" si="2180"/>
        <v>0.44226058895567227</v>
      </c>
      <c r="EL498" s="4">
        <f t="shared" si="2181"/>
        <v>6.7932254419875013</v>
      </c>
      <c r="EM498" s="4">
        <f t="shared" si="2182"/>
        <v>8.2095252459350316</v>
      </c>
      <c r="EN498" s="4" t="e">
        <f t="shared" si="2183"/>
        <v>#REF!</v>
      </c>
      <c r="EO498" s="4" t="e">
        <f t="shared" si="2184"/>
        <v>#REF!</v>
      </c>
      <c r="EP498" s="4" t="e">
        <f t="shared" si="2185"/>
        <v>#REF!</v>
      </c>
      <c r="EQ498" s="4" t="e">
        <f t="shared" si="2186"/>
        <v>#REF!</v>
      </c>
      <c r="ER498" s="4" t="e">
        <f t="shared" si="2187"/>
        <v>#REF!</v>
      </c>
      <c r="FA498" s="23"/>
      <c r="FB498" s="23"/>
      <c r="FC498" s="23"/>
      <c r="FD498" s="23"/>
      <c r="FE498" s="23"/>
      <c r="FF498" s="23"/>
      <c r="FG498" s="23"/>
      <c r="FH498" s="23"/>
      <c r="FR498" s="4">
        <f t="shared" si="2188"/>
        <v>1</v>
      </c>
      <c r="FS498" s="4">
        <f t="shared" si="2189"/>
        <v>0.75511627906976753</v>
      </c>
      <c r="FT498" s="4">
        <f t="shared" si="2190"/>
        <v>0.3</v>
      </c>
      <c r="FU498" s="4">
        <f t="shared" si="2191"/>
        <v>206.08464436450731</v>
      </c>
    </row>
    <row r="499" spans="1:178" ht="12" customHeight="1" x14ac:dyDescent="0.3">
      <c r="A499" s="52"/>
      <c r="B499" s="24"/>
      <c r="C499" s="43" t="s">
        <v>644</v>
      </c>
      <c r="D499" s="38">
        <f t="shared" si="2129"/>
        <v>889.65517241379314</v>
      </c>
      <c r="E499" s="45">
        <v>167.64</v>
      </c>
      <c r="F499" s="45">
        <v>37.655172413793103</v>
      </c>
      <c r="G499" s="7">
        <v>25.4</v>
      </c>
      <c r="H499" s="45">
        <v>1524</v>
      </c>
      <c r="I499" s="45">
        <v>762</v>
      </c>
      <c r="J499" s="45">
        <v>762</v>
      </c>
      <c r="K499" s="7"/>
      <c r="L499" s="38">
        <v>1</v>
      </c>
      <c r="N499" s="7">
        <f t="shared" si="2130"/>
        <v>30.5</v>
      </c>
      <c r="O499" s="7">
        <f t="shared" si="2131"/>
        <v>30.5</v>
      </c>
      <c r="P499" s="45">
        <v>4.0999999999999996</v>
      </c>
      <c r="Q499" s="4">
        <f t="shared" si="2132"/>
        <v>4.0999999999999996</v>
      </c>
      <c r="R499" s="4">
        <f t="shared" si="2133"/>
        <v>5.0999999999999996</v>
      </c>
      <c r="S499" s="7">
        <f t="shared" si="2134"/>
        <v>57.361276136431961</v>
      </c>
      <c r="V499" s="45">
        <v>488.27586206896552</v>
      </c>
      <c r="Y499" s="38">
        <f t="shared" si="2194"/>
        <v>15.875</v>
      </c>
      <c r="Z499" s="38">
        <v>3</v>
      </c>
      <c r="AA499" s="39">
        <v>25.4</v>
      </c>
      <c r="AB499" s="39">
        <v>3</v>
      </c>
      <c r="AC499" s="39">
        <v>1</v>
      </c>
      <c r="AE499" s="4">
        <f t="shared" si="2135"/>
        <v>167.64</v>
      </c>
      <c r="AF499" s="4">
        <f t="shared" si="2136"/>
        <v>1</v>
      </c>
      <c r="AG499" s="4">
        <f t="shared" si="2137"/>
        <v>262.85817231611441</v>
      </c>
      <c r="AH499" s="4">
        <f t="shared" si="2138"/>
        <v>1</v>
      </c>
      <c r="AI499" s="4">
        <v>1.25</v>
      </c>
      <c r="AJ499" s="4">
        <v>1</v>
      </c>
      <c r="AK499" s="38">
        <f t="shared" si="2139"/>
        <v>328.57271539514301</v>
      </c>
      <c r="AL499" s="38">
        <f t="shared" si="2192"/>
        <v>328.57271539514301</v>
      </c>
      <c r="AM499" s="38">
        <f t="shared" si="2140"/>
        <v>3.3703190491443937</v>
      </c>
      <c r="AR499" s="4" t="e">
        <f>#REF!/G499*F499^0.5/0.19</f>
        <v>#REF!</v>
      </c>
      <c r="AS499" s="4">
        <f t="shared" si="2141"/>
        <v>1</v>
      </c>
      <c r="AT499" s="38">
        <f t="shared" si="2142"/>
        <v>4651.000688918828</v>
      </c>
      <c r="AU499" s="4">
        <f t="shared" si="2143"/>
        <v>0.42600000000000005</v>
      </c>
      <c r="AV499" s="4" t="e">
        <f>AU499*D499*#REF!/(D499*G499/2.75/F499^0.5)</f>
        <v>#REF!</v>
      </c>
      <c r="AW499" s="4" t="e">
        <f t="shared" si="2144"/>
        <v>#REF!</v>
      </c>
      <c r="AY499" s="4">
        <f t="shared" si="2145"/>
        <v>1.5</v>
      </c>
      <c r="AZ499" s="4" t="e">
        <f>(3*#REF!+30)*AY499*F499^0.5</f>
        <v>#REF!</v>
      </c>
      <c r="BB499" s="4">
        <f t="shared" si="2146"/>
        <v>4460.878440994451</v>
      </c>
      <c r="BC499" s="4">
        <f t="shared" si="2147"/>
        <v>0</v>
      </c>
      <c r="BD499" s="4">
        <f t="shared" si="2148"/>
        <v>0</v>
      </c>
      <c r="BL499" s="4">
        <f t="shared" si="2149"/>
        <v>762</v>
      </c>
      <c r="BP499" s="9"/>
      <c r="BR499" s="9"/>
      <c r="BS499" s="9"/>
      <c r="BT499" s="9">
        <f t="shared" si="2150"/>
        <v>762</v>
      </c>
      <c r="BU499" s="9">
        <f t="shared" si="2151"/>
        <v>762</v>
      </c>
      <c r="BV499" s="9">
        <f t="shared" si="2152"/>
        <v>5.4772255750516612</v>
      </c>
      <c r="BW499" s="40">
        <f t="shared" si="2153"/>
        <v>20</v>
      </c>
      <c r="BX499" s="9">
        <f t="shared" si="2154"/>
        <v>0.05</v>
      </c>
      <c r="BY499" s="9">
        <f t="shared" si="2155"/>
        <v>0.8</v>
      </c>
      <c r="BZ499" s="9">
        <f t="shared" si="2156"/>
        <v>0.99524931562137331</v>
      </c>
      <c r="CA499" s="9">
        <f t="shared" si="2157"/>
        <v>0.68</v>
      </c>
      <c r="CB499" s="9">
        <f t="shared" si="2158"/>
        <v>1.4535205120600561</v>
      </c>
      <c r="CC499" s="9">
        <f t="shared" si="2159"/>
        <v>3.63380128015014</v>
      </c>
      <c r="CD499" s="40">
        <v>1</v>
      </c>
      <c r="CE499" s="9" t="e">
        <f>4*CC499*#REF!+60*CC499</f>
        <v>#REF!</v>
      </c>
      <c r="DC499" s="4" t="e">
        <f>#REF!</f>
        <v>#REF!</v>
      </c>
      <c r="DF499" s="4">
        <f t="shared" si="2160"/>
        <v>1.2426634512172898E-5</v>
      </c>
      <c r="DG499" s="4">
        <f t="shared" si="2161"/>
        <v>9.414661970751931</v>
      </c>
      <c r="DH499" s="4">
        <f t="shared" si="2162"/>
        <v>0.47422377031884377</v>
      </c>
      <c r="DI499" s="4">
        <f t="shared" si="2163"/>
        <v>6.985509041533815</v>
      </c>
      <c r="DJ499" s="4">
        <f t="shared" si="2164"/>
        <v>8.2897399950379445</v>
      </c>
      <c r="DK499" s="4">
        <f t="shared" si="2165"/>
        <v>9.1434596716302359</v>
      </c>
      <c r="DL499" s="38">
        <f t="shared" si="2166"/>
        <v>541.27492839427873</v>
      </c>
      <c r="DM499" s="4" t="e">
        <f t="shared" si="2167"/>
        <v>#REF!</v>
      </c>
      <c r="DN499" s="4">
        <f t="shared" si="2168"/>
        <v>2.2583179581272428</v>
      </c>
      <c r="DO499" s="4">
        <f t="shared" si="2169"/>
        <v>328.57271539514301</v>
      </c>
      <c r="DS499" s="4">
        <f t="shared" si="2170"/>
        <v>0.85</v>
      </c>
      <c r="DT499" s="4">
        <f t="shared" si="2171"/>
        <v>0.7</v>
      </c>
      <c r="DU499" s="4">
        <f t="shared" si="2172"/>
        <v>0.84062499999999996</v>
      </c>
      <c r="DV499" s="4">
        <f t="shared" si="2173"/>
        <v>0.7</v>
      </c>
      <c r="DX499" s="4">
        <f t="shared" si="2174"/>
        <v>889.65517241379314</v>
      </c>
      <c r="EB499" s="4">
        <f t="shared" si="2175"/>
        <v>9.414661970751931</v>
      </c>
      <c r="EE499" s="4">
        <f t="shared" si="2176"/>
        <v>57.361276136431961</v>
      </c>
      <c r="EF499" s="4">
        <f t="shared" si="2177"/>
        <v>2.2583179581272428</v>
      </c>
      <c r="EG499" s="4">
        <f t="shared" si="2178"/>
        <v>0.15938823690889276</v>
      </c>
      <c r="EJ499" s="4">
        <f t="shared" si="2179"/>
        <v>0.15938823690889276</v>
      </c>
      <c r="EK499" s="4">
        <f t="shared" si="2180"/>
        <v>0.47422377031884377</v>
      </c>
      <c r="EL499" s="4">
        <f t="shared" si="2181"/>
        <v>6.985509041533815</v>
      </c>
      <c r="EM499" s="4">
        <f t="shared" si="2182"/>
        <v>8.2897399950379445</v>
      </c>
      <c r="EN499" s="4" t="e">
        <f t="shared" si="2183"/>
        <v>#REF!</v>
      </c>
      <c r="EO499" s="4" t="e">
        <f t="shared" si="2184"/>
        <v>#REF!</v>
      </c>
      <c r="EP499" s="4" t="e">
        <f t="shared" si="2185"/>
        <v>#REF!</v>
      </c>
      <c r="EQ499" s="4" t="e">
        <f t="shared" si="2186"/>
        <v>#REF!</v>
      </c>
      <c r="ER499" s="4" t="e">
        <f t="shared" si="2187"/>
        <v>#REF!</v>
      </c>
      <c r="FA499" s="23"/>
      <c r="FB499" s="23"/>
      <c r="FC499" s="23"/>
      <c r="FD499" s="23"/>
      <c r="FE499" s="23"/>
      <c r="FF499" s="23"/>
      <c r="FG499" s="23"/>
      <c r="FH499" s="23"/>
      <c r="FR499" s="4">
        <f t="shared" si="2188"/>
        <v>1</v>
      </c>
      <c r="FS499" s="4">
        <f t="shared" si="2189"/>
        <v>0.75511627906976753</v>
      </c>
      <c r="FT499" s="4">
        <f t="shared" si="2190"/>
        <v>0.3</v>
      </c>
      <c r="FU499" s="4">
        <f t="shared" si="2191"/>
        <v>215.89819885805528</v>
      </c>
    </row>
    <row r="500" spans="1:178" ht="12" customHeight="1" x14ac:dyDescent="0.3">
      <c r="A500" s="52"/>
      <c r="B500" s="24"/>
      <c r="C500" s="43" t="s">
        <v>644</v>
      </c>
      <c r="D500" s="38">
        <f t="shared" si="2129"/>
        <v>889.65517241379314</v>
      </c>
      <c r="E500" s="45">
        <v>175.26</v>
      </c>
      <c r="F500" s="45">
        <v>37.655172413793103</v>
      </c>
      <c r="G500" s="7">
        <v>25.4</v>
      </c>
      <c r="H500" s="45">
        <v>1524</v>
      </c>
      <c r="I500" s="45">
        <v>769.62</v>
      </c>
      <c r="J500" s="45">
        <v>769.62</v>
      </c>
      <c r="K500" s="7"/>
      <c r="L500" s="38">
        <v>1</v>
      </c>
      <c r="N500" s="7">
        <f t="shared" si="2130"/>
        <v>30.8</v>
      </c>
      <c r="O500" s="7">
        <f t="shared" si="2131"/>
        <v>30.8</v>
      </c>
      <c r="P500" s="45">
        <v>4.0999999999999996</v>
      </c>
      <c r="Q500" s="4">
        <f t="shared" si="2132"/>
        <v>4.0999999999999996</v>
      </c>
      <c r="R500" s="4">
        <f t="shared" si="2133"/>
        <v>5.0999999999999996</v>
      </c>
      <c r="S500" s="7">
        <f t="shared" si="2134"/>
        <v>57.361276136431961</v>
      </c>
      <c r="V500" s="45">
        <v>459.31034482758622</v>
      </c>
      <c r="X500" s="4">
        <f>V500*0.145*PI()/4</f>
        <v>52.307517682270053</v>
      </c>
      <c r="Y500" s="38">
        <f>25.4*5/8</f>
        <v>15.875</v>
      </c>
      <c r="Z500" s="38">
        <v>3</v>
      </c>
      <c r="AA500" s="39">
        <v>25.4</v>
      </c>
      <c r="AB500" s="39">
        <v>3</v>
      </c>
      <c r="AC500" s="39">
        <v>1</v>
      </c>
      <c r="AE500" s="4">
        <f t="shared" si="2135"/>
        <v>175.26</v>
      </c>
      <c r="AF500" s="4">
        <f t="shared" si="2136"/>
        <v>1</v>
      </c>
      <c r="AG500" s="4">
        <f t="shared" si="2137"/>
        <v>280.98246403479141</v>
      </c>
      <c r="AH500" s="4">
        <f t="shared" si="2138"/>
        <v>1</v>
      </c>
      <c r="AI500" s="4">
        <v>1.25</v>
      </c>
      <c r="AJ500" s="4">
        <v>1</v>
      </c>
      <c r="AK500" s="38">
        <f t="shared" si="2139"/>
        <v>351.22808004348929</v>
      </c>
      <c r="AL500" s="38">
        <f t="shared" si="2192"/>
        <v>351.22808004348929</v>
      </c>
      <c r="AM500" s="38">
        <f t="shared" si="2140"/>
        <v>3.3703190491443937</v>
      </c>
      <c r="AR500" s="4" t="e">
        <f>#REF!/G500*F500^0.5/0.19</f>
        <v>#REF!</v>
      </c>
      <c r="AS500" s="4">
        <f t="shared" si="2141"/>
        <v>1</v>
      </c>
      <c r="AT500" s="38">
        <f t="shared" si="2142"/>
        <v>4696.7482366786853</v>
      </c>
      <c r="AU500" s="4">
        <f t="shared" si="2143"/>
        <v>0.42600000000000005</v>
      </c>
      <c r="AV500" s="4" t="e">
        <f>AU500*D500*#REF!/(D500*G500/2.75/F500^0.5)</f>
        <v>#REF!</v>
      </c>
      <c r="AW500" s="4" t="e">
        <f t="shared" si="2144"/>
        <v>#REF!</v>
      </c>
      <c r="AY500" s="4">
        <f t="shared" si="2145"/>
        <v>1.5</v>
      </c>
      <c r="AZ500" s="4" t="e">
        <f>(3*#REF!+30)*AY500*F500^0.5</f>
        <v>#REF!</v>
      </c>
      <c r="BB500" s="4">
        <f t="shared" si="2146"/>
        <v>4504.7559338566916</v>
      </c>
      <c r="BC500" s="4">
        <f t="shared" si="2147"/>
        <v>0</v>
      </c>
      <c r="BD500" s="4">
        <f t="shared" si="2148"/>
        <v>0</v>
      </c>
      <c r="BL500" s="4">
        <f t="shared" si="2149"/>
        <v>769.62</v>
      </c>
      <c r="BP500" s="9"/>
      <c r="BR500" s="9"/>
      <c r="BS500" s="9"/>
      <c r="BT500" s="9">
        <f t="shared" si="2150"/>
        <v>769.62</v>
      </c>
      <c r="BU500" s="9">
        <f t="shared" si="2151"/>
        <v>769.62</v>
      </c>
      <c r="BV500" s="9">
        <f t="shared" si="2152"/>
        <v>5.5045435778091543</v>
      </c>
      <c r="BW500" s="40">
        <f t="shared" si="2153"/>
        <v>20</v>
      </c>
      <c r="BX500" s="9">
        <f t="shared" si="2154"/>
        <v>0.05</v>
      </c>
      <c r="BY500" s="9">
        <f t="shared" si="2155"/>
        <v>0.8</v>
      </c>
      <c r="BZ500" s="9">
        <f t="shared" si="2156"/>
        <v>0.99524931562137331</v>
      </c>
      <c r="CA500" s="9">
        <f t="shared" si="2157"/>
        <v>0.68</v>
      </c>
      <c r="CB500" s="9">
        <f t="shared" si="2158"/>
        <v>1.4535205120600561</v>
      </c>
      <c r="CC500" s="9">
        <f t="shared" si="2159"/>
        <v>3.63380128015014</v>
      </c>
      <c r="CD500" s="40">
        <v>1</v>
      </c>
      <c r="CE500" s="9" t="e">
        <f>4*CC500*#REF!+60*CC500</f>
        <v>#REF!</v>
      </c>
      <c r="DC500" s="4" t="e">
        <f>#REF!</f>
        <v>#REF!</v>
      </c>
      <c r="DF500" s="4">
        <f t="shared" si="2160"/>
        <v>1.2991481535453484E-5</v>
      </c>
      <c r="DG500" s="4">
        <f t="shared" si="2161"/>
        <v>9.414661970751931</v>
      </c>
      <c r="DH500" s="4">
        <f t="shared" si="2162"/>
        <v>0.50692189751594396</v>
      </c>
      <c r="DI500" s="4">
        <f t="shared" si="2163"/>
        <v>7.1743267463293359</v>
      </c>
      <c r="DJ500" s="4">
        <f t="shared" si="2164"/>
        <v>8.3699267548594403</v>
      </c>
      <c r="DK500" s="4">
        <f t="shared" si="2165"/>
        <v>9.1134708215683489</v>
      </c>
      <c r="DL500" s="38">
        <f t="shared" si="2166"/>
        <v>576.56833265789874</v>
      </c>
      <c r="DM500" s="4" t="e">
        <f t="shared" si="2167"/>
        <v>#REF!</v>
      </c>
      <c r="DN500" s="4">
        <f t="shared" si="2168"/>
        <v>2.2583179581272428</v>
      </c>
      <c r="DO500" s="4">
        <f t="shared" si="2169"/>
        <v>351.22808004348929</v>
      </c>
      <c r="DS500" s="4">
        <f t="shared" si="2170"/>
        <v>0.85</v>
      </c>
      <c r="DT500" s="4">
        <f t="shared" si="2171"/>
        <v>0.7</v>
      </c>
      <c r="DU500" s="4">
        <f t="shared" si="2172"/>
        <v>0.84062499999999996</v>
      </c>
      <c r="DV500" s="4">
        <f t="shared" si="2173"/>
        <v>0.7</v>
      </c>
      <c r="DX500" s="4">
        <f t="shared" si="2174"/>
        <v>889.65517241379314</v>
      </c>
      <c r="EB500" s="4">
        <f t="shared" si="2175"/>
        <v>9.414661970751931</v>
      </c>
      <c r="EE500" s="4">
        <f t="shared" si="2176"/>
        <v>57.361276136431961</v>
      </c>
      <c r="EF500" s="4">
        <f t="shared" si="2177"/>
        <v>2.2583179581272428</v>
      </c>
      <c r="EG500" s="4">
        <f t="shared" si="2178"/>
        <v>0.17037818969144611</v>
      </c>
      <c r="EJ500" s="4">
        <f t="shared" si="2179"/>
        <v>0.17037818969144611</v>
      </c>
      <c r="EK500" s="4">
        <f t="shared" si="2180"/>
        <v>0.50692189751594396</v>
      </c>
      <c r="EL500" s="4">
        <f t="shared" si="2181"/>
        <v>7.1743267463293359</v>
      </c>
      <c r="EM500" s="4">
        <f t="shared" si="2182"/>
        <v>8.3699267548594403</v>
      </c>
      <c r="EN500" s="4" t="e">
        <f t="shared" si="2183"/>
        <v>#REF!</v>
      </c>
      <c r="EO500" s="4" t="e">
        <f t="shared" si="2184"/>
        <v>#REF!</v>
      </c>
      <c r="EP500" s="4" t="e">
        <f t="shared" si="2185"/>
        <v>#REF!</v>
      </c>
      <c r="EQ500" s="4" t="e">
        <f t="shared" si="2186"/>
        <v>#REF!</v>
      </c>
      <c r="ER500" s="4" t="e">
        <f t="shared" si="2187"/>
        <v>#REF!</v>
      </c>
      <c r="FA500" s="23"/>
      <c r="FB500" s="23"/>
      <c r="FC500" s="23"/>
      <c r="FD500" s="23"/>
      <c r="FE500" s="23"/>
      <c r="FF500" s="23"/>
      <c r="FG500" s="23"/>
      <c r="FH500" s="23"/>
      <c r="FR500" s="4">
        <f t="shared" si="2188"/>
        <v>1</v>
      </c>
      <c r="FS500" s="4">
        <f t="shared" si="2189"/>
        <v>0.75511627906976753</v>
      </c>
      <c r="FT500" s="4">
        <f t="shared" si="2190"/>
        <v>0.3</v>
      </c>
      <c r="FU500" s="4">
        <f t="shared" si="2191"/>
        <v>225.71175335160328</v>
      </c>
      <c r="FV500" s="4">
        <f>FU500*0.145*PI()/4</f>
        <v>25.704671498237222</v>
      </c>
    </row>
    <row r="501" spans="1:178" ht="12" customHeight="1" x14ac:dyDescent="0.3">
      <c r="A501" s="52"/>
      <c r="B501" s="24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BP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FA501" s="23"/>
      <c r="FB501" s="23"/>
      <c r="FC501" s="23"/>
      <c r="FD501" s="23"/>
      <c r="FE501" s="23"/>
      <c r="FF501" s="23"/>
      <c r="FG501" s="23"/>
      <c r="FH501" s="23"/>
    </row>
    <row r="502" spans="1:178" ht="12" customHeight="1" x14ac:dyDescent="0.3">
      <c r="A502" s="52"/>
      <c r="B502" s="24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BP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FA502" s="23"/>
      <c r="FB502" s="23"/>
      <c r="FC502" s="23"/>
      <c r="FD502" s="23"/>
      <c r="FE502" s="23"/>
      <c r="FF502" s="23"/>
      <c r="FG502" s="23"/>
      <c r="FH502" s="23"/>
    </row>
    <row r="503" spans="1:178" ht="12" customHeight="1" x14ac:dyDescent="0.3">
      <c r="A503" s="52"/>
      <c r="B503" s="24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34"/>
      <c r="Z503" s="7"/>
      <c r="AA503" s="7"/>
      <c r="AB503" s="7"/>
      <c r="AC503" s="7"/>
      <c r="AD503" s="7"/>
      <c r="BP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FA503" s="23"/>
      <c r="FB503" s="23"/>
      <c r="FC503" s="23"/>
      <c r="FD503" s="23"/>
      <c r="FE503" s="23"/>
      <c r="FF503" s="23"/>
      <c r="FG503" s="23"/>
      <c r="FH503" s="23"/>
    </row>
    <row r="504" spans="1:178" ht="12" customHeight="1" x14ac:dyDescent="0.3">
      <c r="A504" s="52"/>
      <c r="B504" s="24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34"/>
      <c r="Z504" s="7"/>
      <c r="AA504" s="7"/>
      <c r="AB504" s="7"/>
      <c r="AC504" s="7"/>
      <c r="AD504" s="7"/>
      <c r="BP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FA504" s="23"/>
      <c r="FB504" s="23"/>
      <c r="FC504" s="23"/>
      <c r="FD504" s="23"/>
      <c r="FE504" s="23"/>
      <c r="FF504" s="23"/>
      <c r="FG504" s="23"/>
      <c r="FH504" s="23"/>
    </row>
    <row r="505" spans="1:178" ht="12" customHeight="1" x14ac:dyDescent="0.3">
      <c r="A505" s="52"/>
      <c r="B505" s="24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BP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FA505" s="23"/>
      <c r="FB505" s="23"/>
      <c r="FC505" s="23"/>
      <c r="FD505" s="23"/>
      <c r="FE505" s="23"/>
      <c r="FF505" s="23"/>
      <c r="FG505" s="23"/>
      <c r="FH505" s="23"/>
    </row>
    <row r="506" spans="1:178" ht="12" customHeight="1" x14ac:dyDescent="0.3">
      <c r="A506" s="52"/>
      <c r="B506" s="24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BP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FA506" s="23"/>
      <c r="FB506" s="23"/>
      <c r="FC506" s="23"/>
      <c r="FD506" s="23"/>
      <c r="FE506" s="23"/>
      <c r="FF506" s="23"/>
      <c r="FG506" s="23"/>
      <c r="FH506" s="23"/>
    </row>
    <row r="507" spans="1:178" ht="12" customHeight="1" x14ac:dyDescent="0.3">
      <c r="A507" s="52"/>
      <c r="B507" s="24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34"/>
      <c r="Z507" s="7"/>
      <c r="AA507" s="7"/>
      <c r="AB507" s="7"/>
      <c r="AC507" s="7"/>
      <c r="AD507" s="7"/>
      <c r="BP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FA507" s="23"/>
      <c r="FB507" s="23"/>
      <c r="FC507" s="23"/>
      <c r="FD507" s="23"/>
      <c r="FE507" s="23"/>
      <c r="FF507" s="23"/>
      <c r="FG507" s="23"/>
      <c r="FH507" s="23"/>
    </row>
    <row r="508" spans="1:178" ht="12" customHeight="1" x14ac:dyDescent="0.3">
      <c r="A508" s="52"/>
      <c r="B508" s="24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34"/>
      <c r="Z508" s="7"/>
      <c r="AA508" s="7"/>
      <c r="AB508" s="7"/>
      <c r="AC508" s="7"/>
      <c r="AD508" s="7"/>
      <c r="BP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FA508" s="23"/>
      <c r="FB508" s="23"/>
      <c r="FC508" s="23"/>
      <c r="FD508" s="23"/>
      <c r="FE508" s="23"/>
      <c r="FF508" s="23"/>
      <c r="FG508" s="23"/>
      <c r="FH508" s="23"/>
    </row>
    <row r="509" spans="1:178" ht="12" customHeight="1" x14ac:dyDescent="0.3">
      <c r="A509" s="52"/>
      <c r="B509" s="24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34"/>
      <c r="Z509" s="7"/>
      <c r="AA509" s="7"/>
      <c r="AB509" s="7"/>
      <c r="AC509" s="7"/>
      <c r="AD509" s="7"/>
      <c r="BP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FA509" s="23"/>
      <c r="FB509" s="23"/>
      <c r="FC509" s="23"/>
      <c r="FD509" s="23"/>
      <c r="FE509" s="23"/>
      <c r="FF509" s="23"/>
      <c r="FG509" s="23"/>
      <c r="FH509" s="23"/>
    </row>
    <row r="510" spans="1:178" ht="12" customHeight="1" x14ac:dyDescent="0.3">
      <c r="A510" s="52"/>
      <c r="B510" s="24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34"/>
      <c r="Z510" s="7"/>
      <c r="AA510" s="7"/>
      <c r="AB510" s="7"/>
      <c r="AC510" s="7"/>
      <c r="AD510" s="7"/>
      <c r="BP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FA510" s="23"/>
      <c r="FB510" s="23"/>
      <c r="FC510" s="23"/>
      <c r="FD510" s="23"/>
      <c r="FE510" s="23"/>
      <c r="FF510" s="23"/>
      <c r="FG510" s="23"/>
      <c r="FH510" s="23"/>
    </row>
    <row r="511" spans="1:178" ht="12" customHeight="1" x14ac:dyDescent="0.3">
      <c r="A511" s="52"/>
      <c r="B511" s="24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34"/>
      <c r="Z511" s="7"/>
      <c r="AA511" s="7"/>
      <c r="AB511" s="7"/>
      <c r="AC511" s="7"/>
      <c r="AD511" s="7"/>
      <c r="BP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FA511" s="23"/>
      <c r="FB511" s="23"/>
      <c r="FC511" s="23"/>
      <c r="FD511" s="23"/>
      <c r="FE511" s="23"/>
      <c r="FF511" s="23"/>
      <c r="FG511" s="23"/>
      <c r="FH511" s="23"/>
    </row>
    <row r="512" spans="1:178" ht="12" customHeight="1" x14ac:dyDescent="0.3">
      <c r="A512" s="52"/>
      <c r="B512" s="24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34"/>
      <c r="Z512" s="7"/>
      <c r="AA512" s="7"/>
      <c r="AB512" s="7"/>
      <c r="AC512" s="7"/>
      <c r="AD512" s="7"/>
      <c r="BP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FA512" s="23"/>
      <c r="FB512" s="23"/>
      <c r="FC512" s="23"/>
      <c r="FD512" s="23"/>
      <c r="FE512" s="23"/>
      <c r="FF512" s="23"/>
      <c r="FG512" s="23"/>
      <c r="FH512" s="23"/>
    </row>
    <row r="513" spans="1:164" ht="12" customHeight="1" x14ac:dyDescent="0.3">
      <c r="A513" s="52"/>
      <c r="B513" s="24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BP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FA513" s="23"/>
      <c r="FB513" s="23"/>
      <c r="FC513" s="23"/>
      <c r="FD513" s="23"/>
      <c r="FE513" s="23"/>
      <c r="FF513" s="23"/>
      <c r="FG513" s="23"/>
      <c r="FH513" s="23"/>
    </row>
    <row r="514" spans="1:164" ht="12" customHeight="1" x14ac:dyDescent="0.3">
      <c r="A514" s="52"/>
      <c r="B514" s="24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BP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FA514" s="23"/>
      <c r="FB514" s="23"/>
      <c r="FC514" s="23"/>
      <c r="FD514" s="23"/>
      <c r="FE514" s="23"/>
      <c r="FF514" s="23"/>
      <c r="FG514" s="23"/>
      <c r="FH514" s="23"/>
    </row>
    <row r="515" spans="1:164" ht="12" customHeight="1" x14ac:dyDescent="0.3">
      <c r="A515" s="52"/>
      <c r="B515" s="24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BP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FA515" s="23"/>
      <c r="FB515" s="23"/>
      <c r="FC515" s="23"/>
      <c r="FD515" s="23"/>
      <c r="FE515" s="23"/>
      <c r="FF515" s="23"/>
      <c r="FG515" s="23"/>
      <c r="FH515" s="23"/>
    </row>
    <row r="516" spans="1:164" ht="12" customHeight="1" x14ac:dyDescent="0.3">
      <c r="A516" s="52"/>
      <c r="B516" s="24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BP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FA516" s="23"/>
      <c r="FB516" s="23"/>
      <c r="FC516" s="23"/>
      <c r="FD516" s="23"/>
      <c r="FE516" s="23"/>
      <c r="FF516" s="23"/>
      <c r="FG516" s="23"/>
      <c r="FH516" s="23"/>
    </row>
    <row r="517" spans="1:164" ht="12" customHeight="1" x14ac:dyDescent="0.3">
      <c r="A517" s="52"/>
      <c r="B517" s="24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BP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FA517" s="23"/>
      <c r="FB517" s="23"/>
      <c r="FC517" s="23"/>
      <c r="FD517" s="23"/>
      <c r="FE517" s="23"/>
      <c r="FF517" s="23"/>
      <c r="FG517" s="23"/>
      <c r="FH517" s="23"/>
    </row>
    <row r="518" spans="1:164" ht="12" customHeight="1" x14ac:dyDescent="0.3">
      <c r="A518" s="52"/>
      <c r="B518" s="24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BP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FA518" s="23"/>
      <c r="FB518" s="23"/>
      <c r="FC518" s="23"/>
      <c r="FD518" s="23"/>
      <c r="FE518" s="23"/>
      <c r="FF518" s="23"/>
      <c r="FG518" s="23"/>
      <c r="FH518" s="23"/>
    </row>
    <row r="519" spans="1:164" ht="12" customHeight="1" x14ac:dyDescent="0.3">
      <c r="A519" s="52"/>
      <c r="B519" s="24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BP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FA519" s="23"/>
      <c r="FB519" s="23"/>
      <c r="FC519" s="23"/>
      <c r="FD519" s="23"/>
      <c r="FE519" s="23"/>
      <c r="FF519" s="23"/>
      <c r="FG519" s="23"/>
      <c r="FH519" s="23"/>
    </row>
    <row r="520" spans="1:164" ht="12" customHeight="1" x14ac:dyDescent="0.3">
      <c r="A520" s="52"/>
      <c r="B520" s="24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BP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FA520" s="23"/>
      <c r="FB520" s="23"/>
      <c r="FC520" s="23"/>
      <c r="FD520" s="23"/>
      <c r="FE520" s="23"/>
      <c r="FF520" s="23"/>
      <c r="FG520" s="23"/>
      <c r="FH520" s="23"/>
    </row>
    <row r="521" spans="1:164" ht="12" customHeight="1" x14ac:dyDescent="0.3">
      <c r="A521" s="52"/>
      <c r="B521" s="24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BP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FA521" s="23"/>
      <c r="FB521" s="23"/>
      <c r="FC521" s="23"/>
      <c r="FD521" s="23"/>
      <c r="FE521" s="23"/>
      <c r="FF521" s="23"/>
      <c r="FG521" s="23"/>
      <c r="FH521" s="23"/>
    </row>
    <row r="522" spans="1:164" ht="12" customHeight="1" x14ac:dyDescent="0.3">
      <c r="A522" s="52"/>
      <c r="B522" s="24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BP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FA522" s="23"/>
      <c r="FB522" s="23"/>
      <c r="FC522" s="23"/>
      <c r="FD522" s="23"/>
      <c r="FE522" s="23"/>
      <c r="FF522" s="23"/>
      <c r="FG522" s="23"/>
      <c r="FH522" s="23"/>
    </row>
    <row r="523" spans="1:164" ht="12" customHeight="1" x14ac:dyDescent="0.3">
      <c r="A523" s="52"/>
      <c r="B523" s="24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BP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FA523" s="23"/>
      <c r="FB523" s="23"/>
      <c r="FC523" s="23"/>
      <c r="FD523" s="23"/>
      <c r="FE523" s="23"/>
      <c r="FF523" s="23"/>
      <c r="FG523" s="23"/>
      <c r="FH523" s="23"/>
    </row>
    <row r="524" spans="1:164" ht="12" customHeight="1" x14ac:dyDescent="0.3">
      <c r="A524" s="52"/>
      <c r="B524" s="24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BP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FA524" s="23"/>
      <c r="FB524" s="23"/>
      <c r="FC524" s="23"/>
      <c r="FD524" s="23"/>
      <c r="FE524" s="23"/>
      <c r="FF524" s="23"/>
      <c r="FG524" s="23"/>
      <c r="FH524" s="23"/>
    </row>
    <row r="525" spans="1:164" ht="12" customHeight="1" x14ac:dyDescent="0.3">
      <c r="B525" s="14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BP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FA525" s="23"/>
      <c r="FB525" s="23"/>
      <c r="FC525" s="23"/>
      <c r="FD525" s="23"/>
      <c r="FE525" s="23"/>
      <c r="FF525" s="23"/>
      <c r="FG525" s="23"/>
      <c r="FH525" s="23"/>
    </row>
    <row r="526" spans="1:164" ht="12" customHeight="1" x14ac:dyDescent="0.3">
      <c r="B526" s="14"/>
      <c r="C526" s="7"/>
      <c r="D526" s="7"/>
      <c r="E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Y526" s="7"/>
      <c r="Z526" s="7"/>
      <c r="AA526" s="7"/>
      <c r="AB526" s="7"/>
      <c r="AC526" s="7"/>
      <c r="AD526" s="7"/>
      <c r="BP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FA526" s="23"/>
      <c r="FB526" s="23"/>
      <c r="FC526" s="23"/>
      <c r="FD526" s="23"/>
      <c r="FE526" s="23"/>
      <c r="FF526" s="23"/>
      <c r="FG526" s="23"/>
      <c r="FH526" s="23"/>
    </row>
    <row r="527" spans="1:164" ht="12" customHeight="1" x14ac:dyDescent="0.3">
      <c r="B527" s="14"/>
      <c r="C527" s="7"/>
      <c r="D527" s="7"/>
      <c r="E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Y527" s="7"/>
      <c r="Z527" s="7"/>
      <c r="AA527" s="7"/>
      <c r="AB527" s="7"/>
      <c r="AC527" s="7"/>
      <c r="AD527" s="7"/>
      <c r="BP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FA527" s="23"/>
      <c r="FB527" s="23"/>
      <c r="FC527" s="23"/>
      <c r="FD527" s="23"/>
      <c r="FE527" s="23"/>
      <c r="FF527" s="23"/>
      <c r="FG527" s="23"/>
      <c r="FH527" s="23"/>
    </row>
    <row r="528" spans="1:164" ht="12" customHeight="1" x14ac:dyDescent="0.3">
      <c r="B528" s="14"/>
      <c r="C528" s="7"/>
      <c r="D528" s="7"/>
      <c r="E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Y528" s="7"/>
      <c r="Z528" s="7"/>
      <c r="AA528" s="7"/>
      <c r="AB528" s="7"/>
      <c r="AC528" s="7"/>
      <c r="AD528" s="7"/>
      <c r="BP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FA528" s="23"/>
      <c r="FB528" s="23"/>
      <c r="FC528" s="23"/>
      <c r="FD528" s="23"/>
      <c r="FE528" s="23"/>
      <c r="FF528" s="23"/>
      <c r="FG528" s="23"/>
      <c r="FH528" s="23"/>
    </row>
    <row r="529" spans="2:164" ht="12" customHeight="1" x14ac:dyDescent="0.3">
      <c r="B529" s="14"/>
      <c r="C529" s="7"/>
      <c r="D529" s="7"/>
      <c r="E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Y529" s="7"/>
      <c r="Z529" s="7"/>
      <c r="AA529" s="7"/>
      <c r="AB529" s="7"/>
      <c r="AC529" s="7"/>
      <c r="AD529" s="7"/>
      <c r="BP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FA529" s="23"/>
      <c r="FB529" s="23"/>
      <c r="FC529" s="23"/>
      <c r="FD529" s="23"/>
      <c r="FE529" s="23"/>
      <c r="FF529" s="23"/>
      <c r="FG529" s="23"/>
      <c r="FH529" s="23"/>
    </row>
    <row r="530" spans="2:164" ht="12" customHeight="1" x14ac:dyDescent="0.3">
      <c r="B530" s="14"/>
      <c r="C530" s="7"/>
      <c r="D530" s="7"/>
      <c r="E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Y530" s="7"/>
      <c r="Z530" s="7"/>
      <c r="AA530" s="7"/>
      <c r="AB530" s="7"/>
      <c r="AC530" s="7"/>
      <c r="AD530" s="7"/>
      <c r="BP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FA530" s="23"/>
      <c r="FB530" s="23"/>
      <c r="FC530" s="23"/>
      <c r="FD530" s="23"/>
      <c r="FE530" s="23"/>
      <c r="FF530" s="23"/>
      <c r="FG530" s="23"/>
      <c r="FH530" s="23"/>
    </row>
    <row r="531" spans="2:164" ht="12" customHeight="1" x14ac:dyDescent="0.3">
      <c r="B531" s="14"/>
      <c r="C531" s="7"/>
      <c r="D531" s="7"/>
      <c r="E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Y531" s="7"/>
      <c r="Z531" s="7"/>
      <c r="AA531" s="7"/>
      <c r="AB531" s="7"/>
      <c r="AC531" s="7"/>
      <c r="AD531" s="7"/>
      <c r="BP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FA531" s="23"/>
      <c r="FB531" s="23"/>
      <c r="FC531" s="23"/>
      <c r="FD531" s="23"/>
      <c r="FE531" s="23"/>
      <c r="FF531" s="23"/>
      <c r="FG531" s="23"/>
      <c r="FH531" s="23"/>
    </row>
    <row r="532" spans="2:164" ht="12" customHeight="1" x14ac:dyDescent="0.3">
      <c r="B532" s="14"/>
      <c r="C532" s="7"/>
      <c r="D532" s="7"/>
      <c r="E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Y532" s="7"/>
      <c r="Z532" s="7"/>
      <c r="AA532" s="7"/>
      <c r="AB532" s="7"/>
      <c r="AC532" s="7"/>
      <c r="AD532" s="7"/>
      <c r="BP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FA532" s="23"/>
      <c r="FB532" s="23"/>
      <c r="FC532" s="23"/>
      <c r="FD532" s="23"/>
      <c r="FE532" s="23"/>
      <c r="FF532" s="23"/>
      <c r="FG532" s="23"/>
      <c r="FH532" s="23"/>
    </row>
    <row r="533" spans="2:164" ht="12" customHeight="1" x14ac:dyDescent="0.3">
      <c r="B533" s="14"/>
      <c r="C533" s="7"/>
      <c r="D533" s="7"/>
      <c r="E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Y533" s="7"/>
      <c r="Z533" s="7"/>
      <c r="AA533" s="7"/>
      <c r="AB533" s="7"/>
      <c r="AC533" s="7"/>
      <c r="AD533" s="7"/>
      <c r="BP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FA533" s="23"/>
      <c r="FB533" s="23"/>
      <c r="FC533" s="23"/>
      <c r="FD533" s="23"/>
      <c r="FE533" s="23"/>
      <c r="FF533" s="23"/>
      <c r="FG533" s="23"/>
      <c r="FH533" s="23"/>
    </row>
    <row r="534" spans="2:164" ht="12" customHeight="1" x14ac:dyDescent="0.3">
      <c r="B534" s="14"/>
      <c r="C534" s="7"/>
      <c r="D534" s="7"/>
      <c r="E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Y534" s="7"/>
      <c r="Z534" s="7"/>
      <c r="AA534" s="7"/>
      <c r="AB534" s="7"/>
      <c r="AC534" s="7"/>
      <c r="AD534" s="7"/>
      <c r="BP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FA534" s="23"/>
      <c r="FB534" s="23"/>
      <c r="FC534" s="23"/>
      <c r="FD534" s="23"/>
      <c r="FE534" s="23"/>
      <c r="FF534" s="23"/>
      <c r="FG534" s="23"/>
      <c r="FH534" s="23"/>
    </row>
    <row r="535" spans="2:164" ht="12" customHeight="1" x14ac:dyDescent="0.3">
      <c r="B535" s="14"/>
      <c r="C535" s="7"/>
      <c r="D535" s="7"/>
      <c r="E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Y535" s="7"/>
      <c r="Z535" s="7"/>
      <c r="AA535" s="7"/>
      <c r="AB535" s="7"/>
      <c r="AC535" s="7"/>
      <c r="AD535" s="7"/>
      <c r="BP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FA535" s="23"/>
      <c r="FB535" s="23"/>
      <c r="FC535" s="23"/>
      <c r="FD535" s="23"/>
      <c r="FE535" s="23"/>
      <c r="FF535" s="23"/>
      <c r="FG535" s="23"/>
      <c r="FH535" s="23"/>
    </row>
    <row r="536" spans="2:164" ht="12" customHeight="1" x14ac:dyDescent="0.3">
      <c r="B536" s="14"/>
      <c r="C536" s="7"/>
      <c r="D536" s="7"/>
      <c r="E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Y536" s="7"/>
      <c r="Z536" s="7"/>
      <c r="AA536" s="7"/>
      <c r="AB536" s="7"/>
      <c r="AC536" s="7"/>
      <c r="AD536" s="7"/>
      <c r="BP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FA536" s="23"/>
      <c r="FB536" s="23"/>
      <c r="FC536" s="23"/>
      <c r="FD536" s="23"/>
      <c r="FE536" s="23"/>
      <c r="FF536" s="23"/>
      <c r="FG536" s="23"/>
      <c r="FH536" s="23"/>
    </row>
    <row r="537" spans="2:164" ht="12" customHeight="1" x14ac:dyDescent="0.3">
      <c r="B537" s="14"/>
      <c r="C537" s="7"/>
      <c r="D537" s="7"/>
      <c r="E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Y537" s="7"/>
      <c r="Z537" s="7"/>
      <c r="AA537" s="7"/>
      <c r="AB537" s="7"/>
      <c r="AC537" s="7"/>
      <c r="AD537" s="7"/>
      <c r="BP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FA537" s="23"/>
      <c r="FB537" s="23"/>
      <c r="FC537" s="23"/>
      <c r="FD537" s="23"/>
      <c r="FE537" s="23"/>
      <c r="FF537" s="23"/>
      <c r="FG537" s="23"/>
      <c r="FH537" s="23"/>
    </row>
    <row r="538" spans="2:164" ht="12" customHeight="1" x14ac:dyDescent="0.3">
      <c r="FA538" s="23"/>
      <c r="FB538" s="23"/>
      <c r="FC538" s="23"/>
      <c r="FD538" s="23"/>
      <c r="FE538" s="23"/>
      <c r="FF538" s="23"/>
    </row>
    <row r="539" spans="2:164" ht="12" customHeight="1" x14ac:dyDescent="0.3">
      <c r="FA539" s="23"/>
      <c r="FB539" s="23"/>
      <c r="FC539" s="23"/>
      <c r="FD539" s="23"/>
      <c r="FE539" s="23"/>
      <c r="FF539" s="23"/>
    </row>
    <row r="540" spans="2:164" ht="12" customHeight="1" x14ac:dyDescent="0.3">
      <c r="FA540" s="23"/>
      <c r="FB540" s="23"/>
      <c r="FC540" s="23"/>
      <c r="FD540" s="23"/>
      <c r="FE540" s="23"/>
      <c r="FF540" s="23"/>
    </row>
    <row r="541" spans="2:164" ht="12" customHeight="1" x14ac:dyDescent="0.3">
      <c r="B541" s="24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X541" s="7"/>
      <c r="Y541" s="7"/>
      <c r="Z541" s="7"/>
      <c r="AA541" s="7"/>
      <c r="AB541" s="7"/>
      <c r="AC541" s="7"/>
      <c r="AD541" s="7"/>
      <c r="BP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FA541" s="23"/>
      <c r="FB541" s="23"/>
      <c r="FC541" s="23"/>
      <c r="FD541" s="23"/>
      <c r="FE541" s="23"/>
      <c r="FF541" s="23"/>
      <c r="FG541" s="23"/>
      <c r="FH541" s="23"/>
    </row>
    <row r="542" spans="2:164" ht="12" customHeight="1" x14ac:dyDescent="0.3">
      <c r="B542" s="24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X542" s="7"/>
      <c r="Y542" s="7"/>
      <c r="Z542" s="7"/>
      <c r="AA542" s="7"/>
      <c r="AB542" s="7"/>
      <c r="AC542" s="7"/>
      <c r="AD542" s="7"/>
      <c r="BP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FA542" s="23"/>
      <c r="FB542" s="23"/>
      <c r="FC542" s="23"/>
      <c r="FD542" s="23"/>
      <c r="FE542" s="23"/>
      <c r="FF542" s="23"/>
      <c r="FG542" s="23"/>
      <c r="FH542" s="23"/>
    </row>
    <row r="543" spans="2:164" ht="12" customHeight="1" x14ac:dyDescent="0.3">
      <c r="B543" s="24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X543" s="7"/>
      <c r="Y543" s="7"/>
      <c r="Z543" s="7"/>
      <c r="AA543" s="7"/>
      <c r="AB543" s="7"/>
      <c r="AC543" s="7"/>
      <c r="AD543" s="7"/>
      <c r="BP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FA543" s="23"/>
      <c r="FB543" s="23"/>
      <c r="FC543" s="23"/>
      <c r="FD543" s="23"/>
      <c r="FE543" s="23"/>
      <c r="FF543" s="23"/>
      <c r="FG543" s="23"/>
      <c r="FH543" s="23"/>
    </row>
    <row r="544" spans="2:164" ht="12" customHeight="1" x14ac:dyDescent="0.3">
      <c r="B544" s="24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X544" s="7"/>
      <c r="Y544" s="7"/>
      <c r="Z544" s="7"/>
      <c r="AA544" s="7"/>
      <c r="AB544" s="7"/>
      <c r="AC544" s="7"/>
      <c r="AD544" s="7"/>
      <c r="AE544" s="35"/>
      <c r="AF544" s="35"/>
      <c r="AG544" s="35"/>
      <c r="AH544" s="35"/>
      <c r="AI544" s="35"/>
      <c r="AJ544" s="35"/>
      <c r="AK544" s="42"/>
      <c r="AL544" s="42"/>
      <c r="AM544" s="42"/>
      <c r="AN544" s="42"/>
      <c r="AO544" s="42"/>
      <c r="AP544" s="42"/>
      <c r="AQ544" s="35"/>
      <c r="BP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FA544" s="23"/>
      <c r="FB544" s="23"/>
      <c r="FC544" s="23"/>
      <c r="FD544" s="23"/>
      <c r="FE544" s="23"/>
      <c r="FF544" s="23"/>
      <c r="FG544" s="23"/>
      <c r="FH544" s="23"/>
    </row>
    <row r="545" spans="2:164" ht="12" customHeight="1" x14ac:dyDescent="0.3">
      <c r="B545" s="24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X545" s="7"/>
      <c r="Y545" s="7"/>
      <c r="Z545" s="7"/>
      <c r="AA545" s="7"/>
      <c r="AB545" s="7"/>
      <c r="AC545" s="7"/>
      <c r="AD545" s="7"/>
      <c r="AE545" s="35"/>
      <c r="AF545" s="35"/>
      <c r="AG545" s="35"/>
      <c r="AH545" s="35"/>
      <c r="AI545" s="35"/>
      <c r="AJ545" s="35"/>
      <c r="AK545" s="42"/>
      <c r="AL545" s="42"/>
      <c r="AM545" s="42"/>
      <c r="AN545" s="42"/>
      <c r="AO545" s="42"/>
      <c r="AP545" s="42"/>
      <c r="AQ545" s="35"/>
      <c r="BP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FA545" s="23"/>
      <c r="FB545" s="23"/>
      <c r="FC545" s="23"/>
      <c r="FD545" s="23"/>
      <c r="FE545" s="23"/>
      <c r="FF545" s="23"/>
      <c r="FG545" s="23"/>
      <c r="FH545" s="23"/>
    </row>
    <row r="546" spans="2:164" ht="12" customHeight="1" x14ac:dyDescent="0.3">
      <c r="B546" s="24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X546" s="7"/>
      <c r="Y546" s="7"/>
      <c r="Z546" s="7"/>
      <c r="AA546" s="7"/>
      <c r="AB546" s="7"/>
      <c r="AC546" s="7"/>
      <c r="AD546" s="7"/>
      <c r="AE546" s="35"/>
      <c r="AF546" s="35"/>
      <c r="AG546" s="35"/>
      <c r="AH546" s="35"/>
      <c r="AI546" s="35"/>
      <c r="AJ546" s="35"/>
      <c r="AK546" s="42"/>
      <c r="AL546" s="42"/>
      <c r="AM546" s="42"/>
      <c r="AN546" s="42"/>
      <c r="AO546" s="42"/>
      <c r="AP546" s="42"/>
      <c r="AQ546" s="35"/>
      <c r="BP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FA546" s="23"/>
      <c r="FB546" s="23"/>
      <c r="FC546" s="23"/>
      <c r="FD546" s="23"/>
      <c r="FE546" s="23"/>
      <c r="FF546" s="23"/>
      <c r="FG546" s="23"/>
      <c r="FH546" s="23"/>
    </row>
    <row r="547" spans="2:164" ht="12" customHeight="1" x14ac:dyDescent="0.3">
      <c r="B547" s="24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X547" s="7"/>
      <c r="Y547" s="7"/>
      <c r="Z547" s="7"/>
      <c r="AA547" s="7"/>
      <c r="AB547" s="7"/>
      <c r="AC547" s="7"/>
      <c r="AD547" s="7"/>
      <c r="AE547" s="35"/>
      <c r="AF547" s="35"/>
      <c r="AG547" s="35"/>
      <c r="AH547" s="35"/>
      <c r="AI547" s="35"/>
      <c r="AJ547" s="35"/>
      <c r="AK547" s="42"/>
      <c r="AL547" s="42"/>
      <c r="AM547" s="42"/>
      <c r="AN547" s="42"/>
      <c r="AO547" s="42"/>
      <c r="AP547" s="42"/>
      <c r="AQ547" s="35"/>
      <c r="BP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FA547" s="23"/>
      <c r="FB547" s="23"/>
      <c r="FC547" s="23"/>
      <c r="FD547" s="23"/>
      <c r="FE547" s="23"/>
      <c r="FF547" s="23"/>
      <c r="FG547" s="23"/>
      <c r="FH547" s="23"/>
    </row>
    <row r="548" spans="2:164" ht="12" customHeight="1" x14ac:dyDescent="0.3">
      <c r="B548" s="24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X548" s="7"/>
      <c r="Y548" s="7"/>
      <c r="Z548" s="7"/>
      <c r="AA548" s="7"/>
      <c r="AB548" s="7"/>
      <c r="AC548" s="7"/>
      <c r="AD548" s="7"/>
      <c r="AE548" s="35"/>
      <c r="AF548" s="35"/>
      <c r="AG548" s="35"/>
      <c r="AH548" s="35"/>
      <c r="AI548" s="35"/>
      <c r="AJ548" s="35"/>
      <c r="AK548" s="42"/>
      <c r="AL548" s="42"/>
      <c r="AM548" s="42"/>
      <c r="AN548" s="42"/>
      <c r="AO548" s="42"/>
      <c r="AP548" s="42"/>
      <c r="AQ548" s="35"/>
      <c r="BP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FA548" s="23"/>
      <c r="FB548" s="23"/>
      <c r="FC548" s="23"/>
      <c r="FD548" s="23"/>
      <c r="FE548" s="23"/>
      <c r="FF548" s="23"/>
      <c r="FG548" s="23"/>
      <c r="FH548" s="23"/>
    </row>
    <row r="549" spans="2:164" ht="12" customHeight="1" x14ac:dyDescent="0.3">
      <c r="B549" s="24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X549" s="7"/>
      <c r="Y549" s="7"/>
      <c r="Z549" s="7"/>
      <c r="AA549" s="7"/>
      <c r="AB549" s="7"/>
      <c r="AC549" s="7"/>
      <c r="AD549" s="7"/>
      <c r="AE549" s="35"/>
      <c r="AF549" s="35"/>
      <c r="AG549" s="35"/>
      <c r="AH549" s="35"/>
      <c r="AI549" s="35"/>
      <c r="AJ549" s="35"/>
      <c r="AK549" s="42"/>
      <c r="AL549" s="42"/>
      <c r="AM549" s="42"/>
      <c r="AN549" s="42"/>
      <c r="AO549" s="42"/>
      <c r="AP549" s="42"/>
      <c r="AQ549" s="35"/>
      <c r="BP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FA549" s="23"/>
      <c r="FB549" s="23"/>
      <c r="FC549" s="23"/>
      <c r="FD549" s="23"/>
      <c r="FE549" s="23"/>
      <c r="FF549" s="23"/>
      <c r="FG549" s="23"/>
      <c r="FH549" s="23"/>
    </row>
    <row r="550" spans="2:164" ht="12" customHeight="1" x14ac:dyDescent="0.3">
      <c r="B550" s="24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X550" s="7"/>
      <c r="Y550" s="7"/>
      <c r="Z550" s="7"/>
      <c r="AA550" s="7"/>
      <c r="AB550" s="7"/>
      <c r="AC550" s="7"/>
      <c r="AD550" s="7"/>
      <c r="AE550" s="35"/>
      <c r="AF550" s="35"/>
      <c r="AG550" s="35"/>
      <c r="AH550" s="35"/>
      <c r="AI550" s="35"/>
      <c r="AJ550" s="35"/>
      <c r="AK550" s="42"/>
      <c r="AL550" s="42"/>
      <c r="AM550" s="42"/>
      <c r="AN550" s="42"/>
      <c r="AO550" s="42"/>
      <c r="AP550" s="42"/>
      <c r="AQ550" s="35"/>
      <c r="BP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FA550" s="23"/>
      <c r="FB550" s="23"/>
      <c r="FC550" s="23"/>
      <c r="FD550" s="23"/>
      <c r="FE550" s="23"/>
      <c r="FF550" s="23"/>
      <c r="FG550" s="23"/>
      <c r="FH550" s="23"/>
    </row>
    <row r="551" spans="2:164" ht="12" customHeight="1" x14ac:dyDescent="0.3">
      <c r="B551" s="24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X551" s="7"/>
      <c r="Y551" s="7"/>
      <c r="Z551" s="7"/>
      <c r="AA551" s="7"/>
      <c r="AB551" s="7"/>
      <c r="AC551" s="7"/>
      <c r="AD551" s="7"/>
      <c r="AE551" s="35"/>
      <c r="AF551" s="35"/>
      <c r="AG551" s="35"/>
      <c r="AH551" s="35"/>
      <c r="AI551" s="35"/>
      <c r="AJ551" s="35"/>
      <c r="AK551" s="42"/>
      <c r="AL551" s="42"/>
      <c r="AM551" s="42"/>
      <c r="AN551" s="42"/>
      <c r="AO551" s="42"/>
      <c r="AP551" s="42"/>
      <c r="AQ551" s="35"/>
      <c r="BP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FA551" s="23"/>
      <c r="FB551" s="23"/>
      <c r="FC551" s="23"/>
      <c r="FD551" s="23"/>
      <c r="FE551" s="23"/>
      <c r="FF551" s="23"/>
      <c r="FG551" s="23"/>
      <c r="FH551" s="23"/>
    </row>
    <row r="552" spans="2:164" ht="12" customHeight="1" x14ac:dyDescent="0.3">
      <c r="B552" s="24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X552" s="7"/>
      <c r="Y552" s="7"/>
      <c r="Z552" s="7"/>
      <c r="AA552" s="7"/>
      <c r="AB552" s="7"/>
      <c r="AC552" s="7"/>
      <c r="AD552" s="7"/>
      <c r="AE552" s="35"/>
      <c r="AF552" s="35"/>
      <c r="AG552" s="35"/>
      <c r="AH552" s="35"/>
      <c r="AI552" s="35"/>
      <c r="AJ552" s="35"/>
      <c r="AK552" s="42"/>
      <c r="AL552" s="42"/>
      <c r="AM552" s="42"/>
      <c r="AN552" s="42"/>
      <c r="AO552" s="42"/>
      <c r="AP552" s="42"/>
      <c r="AQ552" s="35"/>
      <c r="BP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FA552" s="23"/>
      <c r="FB552" s="23"/>
      <c r="FC552" s="23"/>
      <c r="FD552" s="23"/>
      <c r="FE552" s="23"/>
      <c r="FF552" s="23"/>
      <c r="FG552" s="23"/>
      <c r="FH552" s="23"/>
    </row>
    <row r="553" spans="2:164" ht="12" customHeight="1" x14ac:dyDescent="0.3">
      <c r="B553" s="24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X553" s="7"/>
      <c r="Y553" s="7"/>
      <c r="Z553" s="7"/>
      <c r="AA553" s="7"/>
      <c r="AB553" s="7"/>
      <c r="AC553" s="7"/>
      <c r="AD553" s="7"/>
      <c r="AE553" s="35"/>
      <c r="AF553" s="35"/>
      <c r="AG553" s="35"/>
      <c r="AH553" s="35"/>
      <c r="AI553" s="35"/>
      <c r="AJ553" s="35"/>
      <c r="AK553" s="42"/>
      <c r="AL553" s="42"/>
      <c r="AM553" s="42"/>
      <c r="AN553" s="42"/>
      <c r="AO553" s="42"/>
      <c r="AP553" s="42"/>
      <c r="AQ553" s="35"/>
      <c r="BP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FA553" s="23"/>
      <c r="FB553" s="23"/>
      <c r="FC553" s="23"/>
      <c r="FD553" s="23"/>
      <c r="FE553" s="23"/>
      <c r="FF553" s="23"/>
      <c r="FG553" s="23"/>
      <c r="FH553" s="23"/>
    </row>
    <row r="554" spans="2:164" ht="12" customHeight="1" x14ac:dyDescent="0.3">
      <c r="B554" s="24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X554" s="7"/>
      <c r="Y554" s="7"/>
      <c r="Z554" s="7"/>
      <c r="AA554" s="7"/>
      <c r="AB554" s="7"/>
      <c r="AC554" s="7"/>
      <c r="AD554" s="7"/>
      <c r="AE554" s="35"/>
      <c r="AF554" s="35"/>
      <c r="AG554" s="35"/>
      <c r="AH554" s="35"/>
      <c r="AI554" s="35"/>
      <c r="AJ554" s="35"/>
      <c r="AK554" s="42"/>
      <c r="AL554" s="42"/>
      <c r="AM554" s="42"/>
      <c r="AN554" s="42"/>
      <c r="AO554" s="42"/>
      <c r="AP554" s="42"/>
      <c r="AQ554" s="35"/>
      <c r="BP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FA554" s="23"/>
      <c r="FB554" s="23"/>
      <c r="FC554" s="23"/>
      <c r="FD554" s="23"/>
      <c r="FE554" s="23"/>
      <c r="FF554" s="23"/>
      <c r="FG554" s="23"/>
      <c r="FH554" s="23"/>
    </row>
    <row r="555" spans="2:164" ht="12" customHeight="1" x14ac:dyDescent="0.3">
      <c r="B555" s="24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X555" s="7"/>
      <c r="Y555" s="7"/>
      <c r="Z555" s="7"/>
      <c r="AA555" s="7"/>
      <c r="AB555" s="7"/>
      <c r="AC555" s="7"/>
      <c r="AD555" s="7"/>
      <c r="AE555" s="35"/>
      <c r="AF555" s="35"/>
      <c r="AG555" s="35"/>
      <c r="AH555" s="35"/>
      <c r="AI555" s="35"/>
      <c r="AJ555" s="35"/>
      <c r="AK555" s="42"/>
      <c r="AL555" s="42"/>
      <c r="AM555" s="42"/>
      <c r="AN555" s="42"/>
      <c r="AO555" s="42"/>
      <c r="AP555" s="42"/>
      <c r="AQ555" s="35"/>
      <c r="BP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FA555" s="23"/>
      <c r="FB555" s="23"/>
      <c r="FC555" s="23"/>
      <c r="FD555" s="23"/>
      <c r="FE555" s="23"/>
      <c r="FF555" s="23"/>
      <c r="FG555" s="23"/>
      <c r="FH555" s="23"/>
    </row>
    <row r="556" spans="2:164" ht="12" customHeight="1" x14ac:dyDescent="0.3">
      <c r="B556" s="24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X556" s="7"/>
      <c r="Y556" s="7"/>
      <c r="Z556" s="7"/>
      <c r="AA556" s="7"/>
      <c r="AB556" s="7"/>
      <c r="AC556" s="7"/>
      <c r="AD556" s="7"/>
      <c r="AE556" s="35"/>
      <c r="AF556" s="35"/>
      <c r="AG556" s="35"/>
      <c r="AH556" s="35"/>
      <c r="AI556" s="35"/>
      <c r="AJ556" s="35"/>
      <c r="AK556" s="42"/>
      <c r="AL556" s="42"/>
      <c r="AM556" s="42"/>
      <c r="AN556" s="42"/>
      <c r="AO556" s="42"/>
      <c r="AP556" s="42"/>
      <c r="AQ556" s="35"/>
      <c r="BP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FA556" s="23"/>
      <c r="FB556" s="23"/>
      <c r="FC556" s="23"/>
      <c r="FD556" s="23"/>
      <c r="FE556" s="23"/>
      <c r="FF556" s="23"/>
      <c r="FG556" s="23"/>
      <c r="FH556" s="23"/>
    </row>
    <row r="557" spans="2:164" ht="12" customHeight="1" x14ac:dyDescent="0.3">
      <c r="B557" s="24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X557" s="7"/>
      <c r="Y557" s="7"/>
      <c r="Z557" s="7"/>
      <c r="AA557" s="7"/>
      <c r="AB557" s="7"/>
      <c r="AC557" s="7"/>
      <c r="AD557" s="7"/>
      <c r="AE557" s="35"/>
      <c r="AF557" s="35"/>
      <c r="AG557" s="35"/>
      <c r="AH557" s="35"/>
      <c r="AI557" s="35"/>
      <c r="AJ557" s="35"/>
      <c r="AK557" s="42"/>
      <c r="AL557" s="42"/>
      <c r="AM557" s="42"/>
      <c r="AN557" s="42"/>
      <c r="AO557" s="42"/>
      <c r="AP557" s="42"/>
      <c r="AQ557" s="35"/>
      <c r="BP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FA557" s="23"/>
      <c r="FB557" s="23"/>
      <c r="FC557" s="23"/>
      <c r="FD557" s="23"/>
      <c r="FE557" s="23"/>
      <c r="FF557" s="23"/>
      <c r="FG557" s="23"/>
      <c r="FH557" s="23"/>
    </row>
    <row r="558" spans="2:164" ht="12" customHeight="1" x14ac:dyDescent="0.3">
      <c r="B558" s="24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X558" s="7"/>
      <c r="Y558" s="7"/>
      <c r="Z558" s="7"/>
      <c r="AA558" s="7"/>
      <c r="AB558" s="7"/>
      <c r="AC558" s="7"/>
      <c r="AD558" s="7"/>
      <c r="AE558" s="35"/>
      <c r="AF558" s="35"/>
      <c r="AG558" s="35"/>
      <c r="AH558" s="35"/>
      <c r="AI558" s="35"/>
      <c r="AJ558" s="35"/>
      <c r="AK558" s="42"/>
      <c r="AL558" s="42"/>
      <c r="AM558" s="42"/>
      <c r="AN558" s="42"/>
      <c r="AO558" s="42"/>
      <c r="AP558" s="42"/>
      <c r="AQ558" s="35"/>
      <c r="BP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FA558" s="23"/>
      <c r="FB558" s="23"/>
      <c r="FC558" s="23"/>
      <c r="FD558" s="23"/>
      <c r="FE558" s="23"/>
      <c r="FF558" s="23"/>
      <c r="FG558" s="23"/>
      <c r="FH558" s="23"/>
    </row>
    <row r="559" spans="2:164" ht="12" customHeight="1" x14ac:dyDescent="0.3">
      <c r="B559" s="24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X559" s="7"/>
      <c r="Y559" s="7"/>
      <c r="Z559" s="7"/>
      <c r="AA559" s="7"/>
      <c r="AB559" s="7"/>
      <c r="AC559" s="7"/>
      <c r="AD559" s="7"/>
      <c r="AE559" s="35"/>
      <c r="AF559" s="35"/>
      <c r="AG559" s="35"/>
      <c r="AH559" s="35"/>
      <c r="AI559" s="35"/>
      <c r="AJ559" s="35"/>
      <c r="AK559" s="42"/>
      <c r="AL559" s="42"/>
      <c r="AM559" s="42"/>
      <c r="AN559" s="42"/>
      <c r="AO559" s="42"/>
      <c r="AP559" s="42"/>
      <c r="AQ559" s="35"/>
      <c r="BP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FA559" s="23"/>
      <c r="FB559" s="23"/>
      <c r="FC559" s="23"/>
      <c r="FD559" s="23"/>
      <c r="FE559" s="23"/>
      <c r="FF559" s="23"/>
      <c r="FG559" s="23"/>
      <c r="FH559" s="23"/>
    </row>
    <row r="560" spans="2:164" ht="12" customHeight="1" x14ac:dyDescent="0.3">
      <c r="B560" s="24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X560" s="7"/>
      <c r="Y560" s="7"/>
      <c r="Z560" s="7"/>
      <c r="AA560" s="7"/>
      <c r="AB560" s="7"/>
      <c r="AC560" s="7"/>
      <c r="AD560" s="7"/>
      <c r="AE560" s="35"/>
      <c r="AF560" s="35"/>
      <c r="AG560" s="35"/>
      <c r="AH560" s="35"/>
      <c r="AI560" s="35"/>
      <c r="AJ560" s="35"/>
      <c r="AK560" s="42"/>
      <c r="AL560" s="42"/>
      <c r="AM560" s="42"/>
      <c r="AN560" s="42"/>
      <c r="AO560" s="42"/>
      <c r="AP560" s="42"/>
      <c r="AQ560" s="35"/>
      <c r="BP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FA560" s="23"/>
      <c r="FB560" s="23"/>
      <c r="FC560" s="23"/>
      <c r="FD560" s="23"/>
      <c r="FE560" s="23"/>
      <c r="FF560" s="23"/>
      <c r="FG560" s="23"/>
      <c r="FH560" s="23"/>
    </row>
    <row r="561" spans="2:164" ht="12" customHeight="1" x14ac:dyDescent="0.3">
      <c r="B561" s="24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X561" s="7"/>
      <c r="Y561" s="7"/>
      <c r="Z561" s="7"/>
      <c r="AA561" s="7"/>
      <c r="AB561" s="7"/>
      <c r="AC561" s="7"/>
      <c r="AD561" s="7"/>
      <c r="AE561" s="35"/>
      <c r="AF561" s="35"/>
      <c r="AG561" s="35"/>
      <c r="AH561" s="35"/>
      <c r="AI561" s="35"/>
      <c r="AJ561" s="35"/>
      <c r="AK561" s="42"/>
      <c r="AL561" s="42"/>
      <c r="AM561" s="42"/>
      <c r="AN561" s="42"/>
      <c r="AO561" s="42"/>
      <c r="AP561" s="42"/>
      <c r="AQ561" s="35"/>
      <c r="BP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FA561" s="23"/>
      <c r="FB561" s="23"/>
      <c r="FC561" s="23"/>
      <c r="FD561" s="23"/>
      <c r="FE561" s="23"/>
      <c r="FF561" s="23"/>
      <c r="FG561" s="23"/>
      <c r="FH561" s="23"/>
    </row>
    <row r="562" spans="2:164" ht="12" customHeight="1" x14ac:dyDescent="0.3">
      <c r="B562" s="24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X562" s="7"/>
      <c r="Y562" s="7"/>
      <c r="Z562" s="7"/>
      <c r="AA562" s="7"/>
      <c r="AB562" s="7"/>
      <c r="AC562" s="7"/>
      <c r="AD562" s="7"/>
      <c r="AE562" s="35"/>
      <c r="AF562" s="35"/>
      <c r="AG562" s="35"/>
      <c r="AH562" s="35"/>
      <c r="AI562" s="35"/>
      <c r="AJ562" s="35"/>
      <c r="AK562" s="42"/>
      <c r="AL562" s="42"/>
      <c r="AM562" s="42"/>
      <c r="AN562" s="42"/>
      <c r="AO562" s="42"/>
      <c r="AP562" s="42"/>
      <c r="AQ562" s="35"/>
      <c r="BP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FA562" s="23"/>
      <c r="FB562" s="23"/>
      <c r="FC562" s="23"/>
      <c r="FD562" s="23"/>
      <c r="FE562" s="23"/>
      <c r="FF562" s="23"/>
      <c r="FG562" s="23"/>
      <c r="FH562" s="23"/>
    </row>
    <row r="563" spans="2:164" ht="12" customHeight="1" x14ac:dyDescent="0.3">
      <c r="B563" s="24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X563" s="7"/>
      <c r="Y563" s="7"/>
      <c r="Z563" s="7"/>
      <c r="AA563" s="7"/>
      <c r="AB563" s="7"/>
      <c r="AC563" s="7"/>
      <c r="AD563" s="7"/>
      <c r="AE563" s="35"/>
      <c r="AF563" s="35"/>
      <c r="AG563" s="35"/>
      <c r="AH563" s="35"/>
      <c r="AI563" s="35"/>
      <c r="AJ563" s="35"/>
      <c r="AK563" s="42"/>
      <c r="AL563" s="42"/>
      <c r="AM563" s="42"/>
      <c r="AN563" s="42"/>
      <c r="AO563" s="42"/>
      <c r="AP563" s="42"/>
      <c r="AQ563" s="35"/>
      <c r="BP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FA563" s="23"/>
      <c r="FB563" s="23"/>
      <c r="FC563" s="23"/>
      <c r="FD563" s="23"/>
      <c r="FE563" s="23"/>
      <c r="FF563" s="23"/>
      <c r="FG563" s="23"/>
      <c r="FH563" s="23"/>
    </row>
    <row r="564" spans="2:164" ht="12" customHeight="1" x14ac:dyDescent="0.3">
      <c r="B564" s="24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X564" s="7"/>
      <c r="Y564" s="7"/>
      <c r="Z564" s="7"/>
      <c r="AA564" s="7"/>
      <c r="AB564" s="7"/>
      <c r="AC564" s="7"/>
      <c r="AD564" s="7"/>
      <c r="AE564" s="35"/>
      <c r="AF564" s="35"/>
      <c r="AG564" s="35"/>
      <c r="AH564" s="35"/>
      <c r="AI564" s="35"/>
      <c r="AJ564" s="35"/>
      <c r="AK564" s="42"/>
      <c r="AL564" s="42"/>
      <c r="AM564" s="42"/>
      <c r="AN564" s="42"/>
      <c r="AO564" s="42"/>
      <c r="AP564" s="42"/>
      <c r="AQ564" s="35"/>
      <c r="BP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FA564" s="23"/>
      <c r="FB564" s="23"/>
      <c r="FC564" s="23"/>
      <c r="FD564" s="23"/>
      <c r="FE564" s="23"/>
      <c r="FF564" s="23"/>
      <c r="FG564" s="23"/>
      <c r="FH564" s="23"/>
    </row>
    <row r="565" spans="2:164" ht="12" customHeight="1" x14ac:dyDescent="0.3">
      <c r="B565" s="24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X565" s="7"/>
      <c r="Y565" s="7"/>
      <c r="Z565" s="7"/>
      <c r="AA565" s="7"/>
      <c r="AB565" s="7"/>
      <c r="AC565" s="7"/>
      <c r="AD565" s="7"/>
      <c r="AE565" s="35"/>
      <c r="AF565" s="35"/>
      <c r="AG565" s="35"/>
      <c r="AH565" s="35"/>
      <c r="AI565" s="35"/>
      <c r="AJ565" s="35"/>
      <c r="AK565" s="42"/>
      <c r="AL565" s="42"/>
      <c r="AM565" s="42"/>
      <c r="AN565" s="42"/>
      <c r="AO565" s="42"/>
      <c r="AP565" s="42"/>
      <c r="AQ565" s="35"/>
      <c r="BP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FA565" s="23"/>
      <c r="FB565" s="23"/>
      <c r="FC565" s="23"/>
      <c r="FD565" s="23"/>
      <c r="FE565" s="23"/>
      <c r="FF565" s="23"/>
      <c r="FG565" s="23"/>
      <c r="FH565" s="23"/>
    </row>
    <row r="566" spans="2:164" ht="12" customHeight="1" x14ac:dyDescent="0.3">
      <c r="B566" s="24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X566" s="7"/>
      <c r="Y566" s="7"/>
      <c r="Z566" s="7"/>
      <c r="AA566" s="7"/>
      <c r="AB566" s="7"/>
      <c r="AC566" s="7"/>
      <c r="AD566" s="7"/>
      <c r="AE566" s="35"/>
      <c r="AF566" s="35"/>
      <c r="AG566" s="35"/>
      <c r="AH566" s="35"/>
      <c r="AI566" s="35"/>
      <c r="AJ566" s="35"/>
      <c r="AK566" s="42"/>
      <c r="AL566" s="42"/>
      <c r="AM566" s="42"/>
      <c r="AN566" s="42"/>
      <c r="AO566" s="42"/>
      <c r="AP566" s="42"/>
      <c r="AQ566" s="35"/>
      <c r="BP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FA566" s="23"/>
      <c r="FB566" s="23"/>
      <c r="FC566" s="23"/>
      <c r="FD566" s="23"/>
      <c r="FE566" s="23"/>
      <c r="FF566" s="23"/>
      <c r="FG566" s="23"/>
      <c r="FH566" s="23"/>
    </row>
    <row r="567" spans="2:164" ht="12" customHeight="1" x14ac:dyDescent="0.3">
      <c r="B567" s="24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X567" s="7"/>
      <c r="Y567" s="7"/>
      <c r="Z567" s="7"/>
      <c r="AA567" s="7"/>
      <c r="AB567" s="7"/>
      <c r="AC567" s="7"/>
      <c r="AD567" s="7"/>
      <c r="AE567" s="35"/>
      <c r="AF567" s="35"/>
      <c r="AG567" s="35"/>
      <c r="AH567" s="35"/>
      <c r="AI567" s="35"/>
      <c r="AJ567" s="35"/>
      <c r="AK567" s="42"/>
      <c r="AL567" s="42"/>
      <c r="AM567" s="42"/>
      <c r="AN567" s="42"/>
      <c r="AO567" s="42"/>
      <c r="AP567" s="42"/>
      <c r="AQ567" s="35"/>
      <c r="BP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FA567" s="23"/>
      <c r="FB567" s="23"/>
      <c r="FC567" s="23"/>
      <c r="FD567" s="23"/>
      <c r="FE567" s="23"/>
      <c r="FF567" s="23"/>
      <c r="FG567" s="23"/>
      <c r="FH567" s="23"/>
    </row>
    <row r="568" spans="2:164" ht="12" customHeight="1" x14ac:dyDescent="0.3">
      <c r="B568" s="24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X568" s="7"/>
      <c r="Y568" s="7"/>
      <c r="Z568" s="7"/>
      <c r="AA568" s="7"/>
      <c r="AB568" s="7"/>
      <c r="AC568" s="7"/>
      <c r="AD568" s="7"/>
      <c r="AE568" s="35"/>
      <c r="AF568" s="35"/>
      <c r="AG568" s="35"/>
      <c r="AH568" s="35"/>
      <c r="AI568" s="35"/>
      <c r="AJ568" s="35"/>
      <c r="AK568" s="42"/>
      <c r="AL568" s="42"/>
      <c r="AM568" s="42"/>
      <c r="AN568" s="42"/>
      <c r="AO568" s="42"/>
      <c r="AP568" s="42"/>
      <c r="AQ568" s="35"/>
      <c r="BP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FA568" s="23"/>
      <c r="FB568" s="23"/>
      <c r="FC568" s="23"/>
      <c r="FD568" s="23"/>
      <c r="FE568" s="23"/>
      <c r="FF568" s="23"/>
      <c r="FG568" s="23"/>
      <c r="FH568" s="23"/>
    </row>
    <row r="569" spans="2:164" ht="12" customHeight="1" x14ac:dyDescent="0.3">
      <c r="B569" s="24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X569" s="7"/>
      <c r="Y569" s="7"/>
      <c r="Z569" s="7"/>
      <c r="AA569" s="7"/>
      <c r="AB569" s="7"/>
      <c r="AC569" s="7"/>
      <c r="AD569" s="7"/>
      <c r="AE569" s="35"/>
      <c r="AF569" s="35"/>
      <c r="AG569" s="35"/>
      <c r="AH569" s="35"/>
      <c r="AI569" s="35"/>
      <c r="AJ569" s="35"/>
      <c r="AK569" s="42"/>
      <c r="AL569" s="42"/>
      <c r="AM569" s="42"/>
      <c r="AN569" s="42"/>
      <c r="AO569" s="42"/>
      <c r="AP569" s="42"/>
      <c r="AQ569" s="35"/>
      <c r="BP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FA569" s="23"/>
      <c r="FB569" s="23"/>
      <c r="FC569" s="23"/>
      <c r="FD569" s="23"/>
      <c r="FE569" s="23"/>
      <c r="FF569" s="23"/>
      <c r="FG569" s="23"/>
      <c r="FH569" s="23"/>
    </row>
    <row r="570" spans="2:164" ht="12" customHeight="1" x14ac:dyDescent="0.3">
      <c r="B570" s="24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X570" s="7"/>
      <c r="Y570" s="7"/>
      <c r="Z570" s="7"/>
      <c r="AA570" s="7"/>
      <c r="AB570" s="7"/>
      <c r="AC570" s="7"/>
      <c r="AD570" s="7"/>
      <c r="AE570" s="35"/>
      <c r="AF570" s="35"/>
      <c r="AG570" s="35"/>
      <c r="AH570" s="35"/>
      <c r="AI570" s="35"/>
      <c r="AJ570" s="35"/>
      <c r="AK570" s="42"/>
      <c r="AL570" s="42"/>
      <c r="AM570" s="42"/>
      <c r="AN570" s="42"/>
      <c r="AO570" s="42"/>
      <c r="AP570" s="42"/>
      <c r="AQ570" s="35"/>
      <c r="BP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FA570" s="23"/>
      <c r="FB570" s="23"/>
      <c r="FC570" s="23"/>
      <c r="FD570" s="23"/>
      <c r="FE570" s="23"/>
      <c r="FF570" s="23"/>
      <c r="FG570" s="23"/>
      <c r="FH570" s="23"/>
    </row>
    <row r="571" spans="2:164" ht="12" customHeight="1" x14ac:dyDescent="0.3">
      <c r="B571" s="24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X571" s="7"/>
      <c r="Y571" s="7"/>
      <c r="Z571" s="7"/>
      <c r="AA571" s="7"/>
      <c r="AB571" s="7"/>
      <c r="AC571" s="7"/>
      <c r="AD571" s="7"/>
      <c r="AE571" s="35"/>
      <c r="AF571" s="35"/>
      <c r="AG571" s="35"/>
      <c r="AH571" s="35"/>
      <c r="AI571" s="35"/>
      <c r="AJ571" s="35"/>
      <c r="AK571" s="42"/>
      <c r="AL571" s="42"/>
      <c r="AM571" s="42"/>
      <c r="AN571" s="42"/>
      <c r="AO571" s="42"/>
      <c r="AP571" s="42"/>
      <c r="AQ571" s="35"/>
      <c r="BP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FA571" s="23"/>
      <c r="FB571" s="23"/>
      <c r="FC571" s="23"/>
      <c r="FD571" s="23"/>
      <c r="FE571" s="23"/>
      <c r="FF571" s="23"/>
      <c r="FG571" s="23"/>
      <c r="FH571" s="23"/>
    </row>
    <row r="572" spans="2:164" ht="12" customHeight="1" x14ac:dyDescent="0.3">
      <c r="B572" s="24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X572" s="7"/>
      <c r="Y572" s="7"/>
      <c r="Z572" s="7"/>
      <c r="AA572" s="7"/>
      <c r="AB572" s="7"/>
      <c r="AC572" s="7"/>
      <c r="AD572" s="7"/>
      <c r="AE572" s="35"/>
      <c r="AF572" s="35"/>
      <c r="AG572" s="35"/>
      <c r="AH572" s="35"/>
      <c r="AI572" s="35"/>
      <c r="AJ572" s="35"/>
      <c r="AK572" s="42"/>
      <c r="AL572" s="42"/>
      <c r="AM572" s="42"/>
      <c r="AN572" s="42"/>
      <c r="AO572" s="42"/>
      <c r="AP572" s="42"/>
      <c r="AQ572" s="35"/>
      <c r="BP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FA572" s="23"/>
      <c r="FB572" s="23"/>
      <c r="FC572" s="23"/>
      <c r="FD572" s="23"/>
      <c r="FE572" s="23"/>
      <c r="FF572" s="23"/>
      <c r="FG572" s="23"/>
      <c r="FH572" s="23"/>
    </row>
    <row r="573" spans="2:164" ht="12" customHeight="1" x14ac:dyDescent="0.3">
      <c r="B573" s="24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X573" s="7"/>
      <c r="Y573" s="7"/>
      <c r="Z573" s="7"/>
      <c r="AA573" s="7"/>
      <c r="AB573" s="7"/>
      <c r="AC573" s="7"/>
      <c r="AD573" s="7"/>
      <c r="AE573" s="35"/>
      <c r="AF573" s="35"/>
      <c r="AG573" s="35"/>
      <c r="AH573" s="35"/>
      <c r="AI573" s="35"/>
      <c r="AJ573" s="35"/>
      <c r="AK573" s="42"/>
      <c r="AL573" s="42"/>
      <c r="AM573" s="42"/>
      <c r="AN573" s="42"/>
      <c r="AO573" s="42"/>
      <c r="AP573" s="42"/>
      <c r="AQ573" s="35"/>
      <c r="BP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FA573" s="23"/>
      <c r="FB573" s="23"/>
      <c r="FC573" s="23"/>
      <c r="FD573" s="23"/>
      <c r="FE573" s="23"/>
      <c r="FF573" s="23"/>
      <c r="FG573" s="23"/>
      <c r="FH573" s="23"/>
    </row>
    <row r="574" spans="2:164" ht="12" customHeight="1" x14ac:dyDescent="0.3">
      <c r="B574" s="24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X574" s="7"/>
      <c r="Y574" s="7"/>
      <c r="Z574" s="7"/>
      <c r="AA574" s="7"/>
      <c r="AB574" s="7"/>
      <c r="AC574" s="7"/>
      <c r="AD574" s="7"/>
      <c r="AE574" s="35"/>
      <c r="AF574" s="35"/>
      <c r="AG574" s="35"/>
      <c r="AH574" s="35"/>
      <c r="AI574" s="35"/>
      <c r="AJ574" s="35"/>
      <c r="AK574" s="42"/>
      <c r="AL574" s="42"/>
      <c r="AM574" s="42"/>
      <c r="AN574" s="42"/>
      <c r="AO574" s="42"/>
      <c r="AP574" s="42"/>
      <c r="AQ574" s="35"/>
      <c r="BP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FA574" s="23"/>
      <c r="FB574" s="23"/>
      <c r="FC574" s="23"/>
      <c r="FD574" s="23"/>
      <c r="FE574" s="23"/>
      <c r="FF574" s="23"/>
      <c r="FG574" s="23"/>
      <c r="FH574" s="23"/>
    </row>
    <row r="575" spans="2:164" ht="12" customHeight="1" x14ac:dyDescent="0.3">
      <c r="B575" s="24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X575" s="7"/>
      <c r="Y575" s="7"/>
      <c r="Z575" s="7"/>
      <c r="AA575" s="7"/>
      <c r="AB575" s="7"/>
      <c r="AC575" s="7"/>
      <c r="AD575" s="7"/>
      <c r="AE575" s="35"/>
      <c r="AF575" s="35"/>
      <c r="AG575" s="35"/>
      <c r="AH575" s="35"/>
      <c r="AI575" s="35"/>
      <c r="AJ575" s="35"/>
      <c r="AK575" s="42"/>
      <c r="AL575" s="42"/>
      <c r="AM575" s="42"/>
      <c r="AN575" s="42"/>
      <c r="AO575" s="42"/>
      <c r="AP575" s="42"/>
      <c r="AQ575" s="35"/>
      <c r="BP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FA575" s="23"/>
      <c r="FB575" s="23"/>
      <c r="FC575" s="23"/>
      <c r="FD575" s="23"/>
      <c r="FE575" s="23"/>
      <c r="FF575" s="23"/>
      <c r="FG575" s="23"/>
      <c r="FH575" s="23"/>
    </row>
    <row r="576" spans="2:164" ht="12" customHeight="1" x14ac:dyDescent="0.3">
      <c r="B576" s="24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X576" s="7"/>
      <c r="Y576" s="7"/>
      <c r="Z576" s="7"/>
      <c r="AA576" s="7"/>
      <c r="AB576" s="7"/>
      <c r="AC576" s="7"/>
      <c r="AD576" s="7"/>
      <c r="AE576" s="35"/>
      <c r="AF576" s="35"/>
      <c r="AG576" s="35"/>
      <c r="AH576" s="35"/>
      <c r="AI576" s="35"/>
      <c r="AJ576" s="35"/>
      <c r="AK576" s="42"/>
      <c r="AL576" s="42"/>
      <c r="AM576" s="42"/>
      <c r="AN576" s="42"/>
      <c r="AO576" s="42"/>
      <c r="AP576" s="42"/>
      <c r="AQ576" s="35"/>
      <c r="BP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FA576" s="23"/>
      <c r="FB576" s="23"/>
      <c r="FC576" s="23"/>
      <c r="FD576" s="23"/>
      <c r="FE576" s="23"/>
      <c r="FF576" s="23"/>
      <c r="FG576" s="23"/>
      <c r="FH576" s="23"/>
    </row>
    <row r="577" spans="2:164" ht="12" customHeight="1" x14ac:dyDescent="0.3">
      <c r="B577" s="24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X577" s="7"/>
      <c r="Y577" s="7"/>
      <c r="Z577" s="7"/>
      <c r="AA577" s="7"/>
      <c r="AB577" s="7"/>
      <c r="AC577" s="7"/>
      <c r="AD577" s="7"/>
      <c r="AE577" s="35"/>
      <c r="AF577" s="35"/>
      <c r="AG577" s="35"/>
      <c r="AH577" s="35"/>
      <c r="AI577" s="35"/>
      <c r="AJ577" s="35"/>
      <c r="AK577" s="42"/>
      <c r="AL577" s="42"/>
      <c r="AM577" s="42"/>
      <c r="AN577" s="42"/>
      <c r="AO577" s="42"/>
      <c r="AP577" s="42"/>
      <c r="AQ577" s="35"/>
      <c r="BP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FA577" s="23"/>
      <c r="FB577" s="23"/>
      <c r="FC577" s="23"/>
      <c r="FD577" s="23"/>
      <c r="FE577" s="23"/>
      <c r="FF577" s="23"/>
      <c r="FG577" s="23"/>
      <c r="FH577" s="23"/>
    </row>
    <row r="578" spans="2:164" ht="12" customHeight="1" x14ac:dyDescent="0.3">
      <c r="B578" s="24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X578" s="7"/>
      <c r="Y578" s="7"/>
      <c r="Z578" s="7"/>
      <c r="AA578" s="7"/>
      <c r="AB578" s="7"/>
      <c r="AC578" s="7"/>
      <c r="AD578" s="7"/>
      <c r="AE578" s="35"/>
      <c r="AF578" s="35"/>
      <c r="AG578" s="35"/>
      <c r="AH578" s="35"/>
      <c r="AI578" s="35"/>
      <c r="AJ578" s="35"/>
      <c r="AK578" s="42"/>
      <c r="AL578" s="42"/>
      <c r="AM578" s="42"/>
      <c r="AN578" s="42"/>
      <c r="AO578" s="42"/>
      <c r="AP578" s="42"/>
      <c r="AQ578" s="35"/>
      <c r="BP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FA578" s="23"/>
      <c r="FB578" s="23"/>
      <c r="FC578" s="23"/>
      <c r="FD578" s="23"/>
      <c r="FE578" s="23"/>
      <c r="FF578" s="23"/>
      <c r="FG578" s="23"/>
      <c r="FH578" s="23"/>
    </row>
    <row r="579" spans="2:164" ht="12" customHeight="1" x14ac:dyDescent="0.3">
      <c r="B579" s="24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X579" s="7"/>
      <c r="Y579" s="7"/>
      <c r="Z579" s="7"/>
      <c r="AA579" s="7"/>
      <c r="AB579" s="7"/>
      <c r="AC579" s="7"/>
      <c r="AD579" s="7"/>
      <c r="AE579" s="35"/>
      <c r="AF579" s="35"/>
      <c r="AG579" s="35"/>
      <c r="AH579" s="35"/>
      <c r="AI579" s="35"/>
      <c r="AJ579" s="35"/>
      <c r="AK579" s="42"/>
      <c r="AL579" s="42"/>
      <c r="AM579" s="42"/>
      <c r="AN579" s="42"/>
      <c r="AO579" s="42"/>
      <c r="AP579" s="42"/>
      <c r="AQ579" s="35"/>
      <c r="BP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FA579" s="23"/>
      <c r="FB579" s="23"/>
      <c r="FC579" s="23"/>
      <c r="FD579" s="23"/>
      <c r="FE579" s="23"/>
      <c r="FF579" s="23"/>
      <c r="FG579" s="23"/>
      <c r="FH579" s="23"/>
    </row>
    <row r="580" spans="2:164" ht="12" customHeight="1" x14ac:dyDescent="0.3">
      <c r="B580" s="24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X580" s="7"/>
      <c r="Y580" s="7"/>
      <c r="Z580" s="7"/>
      <c r="AA580" s="7"/>
      <c r="AB580" s="7"/>
      <c r="AC580" s="7"/>
      <c r="AD580" s="7"/>
      <c r="AE580" s="35"/>
      <c r="AF580" s="35"/>
      <c r="AG580" s="35"/>
      <c r="AH580" s="35"/>
      <c r="AI580" s="35"/>
      <c r="AJ580" s="35"/>
      <c r="AK580" s="42"/>
      <c r="AL580" s="42"/>
      <c r="AM580" s="42"/>
      <c r="AN580" s="42"/>
      <c r="AO580" s="42"/>
      <c r="AP580" s="42"/>
      <c r="AQ580" s="35"/>
      <c r="BP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FA580" s="23"/>
      <c r="FB580" s="23"/>
      <c r="FC580" s="23"/>
      <c r="FD580" s="23"/>
      <c r="FE580" s="23"/>
      <c r="FF580" s="23"/>
      <c r="FG580" s="23"/>
      <c r="FH580" s="23"/>
    </row>
    <row r="581" spans="2:164" ht="12" customHeight="1" x14ac:dyDescent="0.3">
      <c r="B581" s="24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X581" s="7"/>
      <c r="Y581" s="7"/>
      <c r="Z581" s="7"/>
      <c r="AA581" s="7"/>
      <c r="AB581" s="7"/>
      <c r="AC581" s="7"/>
      <c r="AD581" s="7"/>
      <c r="AE581" s="35"/>
      <c r="AF581" s="35"/>
      <c r="AG581" s="35"/>
      <c r="AH581" s="35"/>
      <c r="AI581" s="35"/>
      <c r="AJ581" s="35"/>
      <c r="AK581" s="42"/>
      <c r="AL581" s="42"/>
      <c r="AM581" s="42"/>
      <c r="AN581" s="42"/>
      <c r="AO581" s="42"/>
      <c r="AP581" s="42"/>
      <c r="AQ581" s="35"/>
      <c r="BP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FA581" s="23"/>
      <c r="FB581" s="23"/>
      <c r="FC581" s="23"/>
      <c r="FD581" s="23"/>
      <c r="FE581" s="23"/>
      <c r="FF581" s="23"/>
      <c r="FG581" s="23"/>
      <c r="FH581" s="23"/>
    </row>
    <row r="582" spans="2:164" ht="12" customHeight="1" x14ac:dyDescent="0.3">
      <c r="B582" s="24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X582" s="7"/>
      <c r="Y582" s="7"/>
      <c r="Z582" s="7"/>
      <c r="AA582" s="7"/>
      <c r="AB582" s="7"/>
      <c r="AC582" s="7"/>
      <c r="AD582" s="7"/>
      <c r="AE582" s="35"/>
      <c r="AF582" s="35"/>
      <c r="AG582" s="35"/>
      <c r="AH582" s="35"/>
      <c r="AI582" s="35"/>
      <c r="AJ582" s="35"/>
      <c r="AK582" s="42"/>
      <c r="AL582" s="42"/>
      <c r="AM582" s="42"/>
      <c r="AN582" s="42"/>
      <c r="AO582" s="42"/>
      <c r="AP582" s="42"/>
      <c r="AQ582" s="35"/>
      <c r="BP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FA582" s="23"/>
      <c r="FB582" s="23"/>
      <c r="FC582" s="23"/>
      <c r="FD582" s="23"/>
      <c r="FE582" s="23"/>
      <c r="FF582" s="23"/>
      <c r="FG582" s="23"/>
      <c r="FH582" s="23"/>
    </row>
    <row r="583" spans="2:164" ht="12" customHeight="1" x14ac:dyDescent="0.3">
      <c r="B583" s="24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X583" s="7"/>
      <c r="Y583" s="7"/>
      <c r="Z583" s="7"/>
      <c r="AA583" s="7"/>
      <c r="AB583" s="7"/>
      <c r="AC583" s="7"/>
      <c r="AD583" s="7"/>
      <c r="AE583" s="35"/>
      <c r="AF583" s="35"/>
      <c r="AG583" s="35"/>
      <c r="AH583" s="35"/>
      <c r="AI583" s="35"/>
      <c r="AJ583" s="35"/>
      <c r="AK583" s="42"/>
      <c r="AL583" s="42"/>
      <c r="AM583" s="42"/>
      <c r="AN583" s="42"/>
      <c r="AO583" s="42"/>
      <c r="AP583" s="42"/>
      <c r="AQ583" s="35"/>
      <c r="BP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FA583" s="23"/>
      <c r="FB583" s="23"/>
      <c r="FC583" s="23"/>
      <c r="FD583" s="23"/>
      <c r="FE583" s="23"/>
      <c r="FF583" s="23"/>
      <c r="FG583" s="23"/>
      <c r="FH583" s="23"/>
    </row>
    <row r="584" spans="2:164" ht="12" customHeight="1" x14ac:dyDescent="0.3">
      <c r="B584" s="24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X584" s="7"/>
      <c r="Y584" s="7"/>
      <c r="Z584" s="7"/>
      <c r="AA584" s="7"/>
      <c r="AB584" s="7"/>
      <c r="AC584" s="7"/>
      <c r="AD584" s="7"/>
      <c r="AE584" s="35"/>
      <c r="AF584" s="35"/>
      <c r="AG584" s="35"/>
      <c r="AH584" s="35"/>
      <c r="AI584" s="35"/>
      <c r="AJ584" s="35"/>
      <c r="AK584" s="42"/>
      <c r="AL584" s="42"/>
      <c r="AM584" s="42"/>
      <c r="AN584" s="42"/>
      <c r="AO584" s="42"/>
      <c r="AP584" s="42"/>
      <c r="AQ584" s="35"/>
      <c r="BP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FA584" s="23"/>
      <c r="FB584" s="23"/>
      <c r="FC584" s="23"/>
      <c r="FD584" s="23"/>
      <c r="FE584" s="23"/>
      <c r="FF584" s="23"/>
      <c r="FG584" s="23"/>
      <c r="FH584" s="23"/>
    </row>
    <row r="585" spans="2:164" ht="12" customHeight="1" x14ac:dyDescent="0.3">
      <c r="B585" s="24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X585" s="7"/>
      <c r="Y585" s="7"/>
      <c r="Z585" s="7"/>
      <c r="AA585" s="7"/>
      <c r="AB585" s="7"/>
      <c r="AC585" s="7"/>
      <c r="AD585" s="7"/>
      <c r="AE585" s="35"/>
      <c r="AF585" s="35"/>
      <c r="AG585" s="35"/>
      <c r="AH585" s="35"/>
      <c r="AI585" s="35"/>
      <c r="AJ585" s="35"/>
      <c r="AK585" s="42"/>
      <c r="AL585" s="42"/>
      <c r="AM585" s="42"/>
      <c r="AN585" s="42"/>
      <c r="AO585" s="42"/>
      <c r="AP585" s="42"/>
      <c r="AQ585" s="35"/>
      <c r="BP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FA585" s="23"/>
      <c r="FB585" s="23"/>
      <c r="FC585" s="23"/>
      <c r="FD585" s="23"/>
      <c r="FE585" s="23"/>
      <c r="FF585" s="23"/>
      <c r="FG585" s="23"/>
      <c r="FH585" s="23"/>
    </row>
    <row r="586" spans="2:164" ht="12" customHeight="1" x14ac:dyDescent="0.3">
      <c r="B586" s="24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X586" s="7"/>
      <c r="Y586" s="7"/>
      <c r="Z586" s="7"/>
      <c r="AA586" s="7"/>
      <c r="AB586" s="7"/>
      <c r="AC586" s="7"/>
      <c r="AD586" s="7"/>
      <c r="AE586" s="35"/>
      <c r="AF586" s="35"/>
      <c r="AG586" s="35"/>
      <c r="AH586" s="35"/>
      <c r="AI586" s="35"/>
      <c r="AJ586" s="35"/>
      <c r="AK586" s="42"/>
      <c r="AL586" s="42"/>
      <c r="AM586" s="42"/>
      <c r="AN586" s="42"/>
      <c r="AO586" s="42"/>
      <c r="AP586" s="42"/>
      <c r="AQ586" s="35"/>
      <c r="BP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FA586" s="23"/>
      <c r="FB586" s="23"/>
      <c r="FC586" s="23"/>
      <c r="FD586" s="23"/>
      <c r="FE586" s="23"/>
      <c r="FF586" s="23"/>
      <c r="FG586" s="23"/>
      <c r="FH586" s="23"/>
    </row>
    <row r="587" spans="2:164" ht="12" customHeight="1" x14ac:dyDescent="0.3">
      <c r="B587" s="24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X587" s="7"/>
      <c r="Y587" s="7"/>
      <c r="Z587" s="7"/>
      <c r="AA587" s="7"/>
      <c r="AB587" s="7"/>
      <c r="AC587" s="7"/>
      <c r="AD587" s="7"/>
      <c r="AE587" s="35"/>
      <c r="AF587" s="35"/>
      <c r="AG587" s="35"/>
      <c r="AH587" s="35"/>
      <c r="AI587" s="35"/>
      <c r="AJ587" s="35"/>
      <c r="AK587" s="42"/>
      <c r="AL587" s="42"/>
      <c r="AM587" s="42"/>
      <c r="AN587" s="42"/>
      <c r="AO587" s="42"/>
      <c r="AP587" s="42"/>
      <c r="AQ587" s="35"/>
      <c r="BP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FA587" s="23"/>
      <c r="FB587" s="23"/>
      <c r="FC587" s="23"/>
      <c r="FD587" s="23"/>
      <c r="FE587" s="23"/>
      <c r="FF587" s="23"/>
      <c r="FG587" s="23"/>
      <c r="FH587" s="23"/>
    </row>
    <row r="588" spans="2:164" ht="12" customHeight="1" x14ac:dyDescent="0.3">
      <c r="B588" s="24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X588" s="7"/>
      <c r="Y588" s="7"/>
      <c r="Z588" s="7"/>
      <c r="AA588" s="7"/>
      <c r="AB588" s="7"/>
      <c r="AC588" s="7"/>
      <c r="AD588" s="7"/>
      <c r="AE588" s="35"/>
      <c r="AF588" s="35"/>
      <c r="AG588" s="35"/>
      <c r="AH588" s="35"/>
      <c r="AI588" s="35"/>
      <c r="AJ588" s="35"/>
      <c r="AK588" s="42"/>
      <c r="AL588" s="42"/>
      <c r="AM588" s="42"/>
      <c r="AN588" s="42"/>
      <c r="AO588" s="42"/>
      <c r="AP588" s="42"/>
      <c r="AQ588" s="35"/>
      <c r="BP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FA588" s="23"/>
      <c r="FB588" s="23"/>
      <c r="FC588" s="23"/>
      <c r="FD588" s="23"/>
      <c r="FE588" s="23"/>
      <c r="FF588" s="23"/>
      <c r="FG588" s="23"/>
      <c r="FH588" s="23"/>
    </row>
    <row r="589" spans="2:164" ht="12" customHeight="1" x14ac:dyDescent="0.3">
      <c r="B589" s="24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X589" s="7"/>
      <c r="Y589" s="7"/>
      <c r="Z589" s="7"/>
      <c r="AA589" s="7"/>
      <c r="AB589" s="7"/>
      <c r="AC589" s="7"/>
      <c r="AD589" s="7"/>
      <c r="AE589" s="35"/>
      <c r="AF589" s="35"/>
      <c r="AG589" s="35"/>
      <c r="AH589" s="35"/>
      <c r="AI589" s="35"/>
      <c r="AJ589" s="35"/>
      <c r="AK589" s="42"/>
      <c r="AL589" s="42"/>
      <c r="AM589" s="42"/>
      <c r="AN589" s="42"/>
      <c r="AO589" s="42"/>
      <c r="AP589" s="42"/>
      <c r="AQ589" s="35"/>
      <c r="BP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FA589" s="23"/>
      <c r="FB589" s="23"/>
      <c r="FC589" s="23"/>
      <c r="FD589" s="23"/>
      <c r="FE589" s="23"/>
      <c r="FF589" s="23"/>
      <c r="FG589" s="23"/>
      <c r="FH589" s="23"/>
    </row>
    <row r="590" spans="2:164" ht="12" customHeight="1" x14ac:dyDescent="0.3">
      <c r="B590" s="24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X590" s="7"/>
      <c r="Y590" s="7"/>
      <c r="Z590" s="7"/>
      <c r="AA590" s="7"/>
      <c r="AB590" s="7"/>
      <c r="AC590" s="7"/>
      <c r="AD590" s="7"/>
      <c r="AE590" s="35"/>
      <c r="AF590" s="35"/>
      <c r="AG590" s="35"/>
      <c r="AH590" s="35"/>
      <c r="AI590" s="35"/>
      <c r="AJ590" s="35"/>
      <c r="AK590" s="42"/>
      <c r="AL590" s="42"/>
      <c r="AM590" s="42"/>
      <c r="AN590" s="42"/>
      <c r="AO590" s="42"/>
      <c r="AP590" s="42"/>
      <c r="AQ590" s="35"/>
      <c r="BP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FA590" s="23"/>
      <c r="FB590" s="23"/>
      <c r="FC590" s="23"/>
      <c r="FD590" s="23"/>
      <c r="FE590" s="23"/>
      <c r="FF590" s="23"/>
      <c r="FG590" s="23"/>
      <c r="FH590" s="23"/>
    </row>
    <row r="591" spans="2:164" ht="12" customHeight="1" x14ac:dyDescent="0.3">
      <c r="B591" s="24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X591" s="7"/>
      <c r="Y591" s="7"/>
      <c r="Z591" s="7"/>
      <c r="AA591" s="7"/>
      <c r="AB591" s="7"/>
      <c r="AC591" s="7"/>
      <c r="AD591" s="7"/>
      <c r="AE591" s="35"/>
      <c r="AF591" s="35"/>
      <c r="AG591" s="35"/>
      <c r="AH591" s="35"/>
      <c r="AI591" s="35"/>
      <c r="AJ591" s="35"/>
      <c r="AK591" s="42"/>
      <c r="AL591" s="42"/>
      <c r="AM591" s="42"/>
      <c r="AN591" s="42"/>
      <c r="AO591" s="42"/>
      <c r="AP591" s="42"/>
      <c r="AQ591" s="35"/>
      <c r="BP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FA591" s="23"/>
      <c r="FB591" s="23"/>
      <c r="FC591" s="23"/>
      <c r="FD591" s="23"/>
      <c r="FE591" s="23"/>
      <c r="FF591" s="23"/>
      <c r="FG591" s="23"/>
      <c r="FH591" s="23"/>
    </row>
    <row r="592" spans="2:164" ht="12" customHeight="1" x14ac:dyDescent="0.3">
      <c r="B592" s="24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X592" s="7"/>
      <c r="Y592" s="7"/>
      <c r="Z592" s="7"/>
      <c r="AA592" s="7"/>
      <c r="AB592" s="7"/>
      <c r="AC592" s="7"/>
      <c r="AD592" s="7"/>
      <c r="AE592" s="35"/>
      <c r="AF592" s="35"/>
      <c r="AG592" s="35"/>
      <c r="AH592" s="35"/>
      <c r="AI592" s="35"/>
      <c r="AJ592" s="35"/>
      <c r="AK592" s="42"/>
      <c r="AL592" s="42"/>
      <c r="AM592" s="42"/>
      <c r="AN592" s="42"/>
      <c r="AO592" s="42"/>
      <c r="AP592" s="42"/>
      <c r="AQ592" s="35"/>
      <c r="BP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FA592" s="23"/>
      <c r="FB592" s="23"/>
      <c r="FC592" s="23"/>
      <c r="FD592" s="23"/>
      <c r="FE592" s="23"/>
      <c r="FF592" s="23"/>
      <c r="FG592" s="23"/>
      <c r="FH592" s="23"/>
    </row>
    <row r="593" spans="2:164" ht="12" customHeight="1" x14ac:dyDescent="0.3">
      <c r="B593" s="24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X593" s="7"/>
      <c r="Y593" s="7"/>
      <c r="Z593" s="7"/>
      <c r="AA593" s="7"/>
      <c r="AB593" s="7"/>
      <c r="AC593" s="7"/>
      <c r="AD593" s="7"/>
      <c r="AE593" s="35"/>
      <c r="AF593" s="35"/>
      <c r="AG593" s="35"/>
      <c r="AH593" s="35"/>
      <c r="AI593" s="35"/>
      <c r="AJ593" s="35"/>
      <c r="AK593" s="42"/>
      <c r="AL593" s="42"/>
      <c r="AM593" s="42"/>
      <c r="AN593" s="42"/>
      <c r="AO593" s="42"/>
      <c r="AP593" s="42"/>
      <c r="AQ593" s="35"/>
      <c r="BP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FA593" s="23"/>
      <c r="FB593" s="23"/>
      <c r="FC593" s="23"/>
      <c r="FD593" s="23"/>
      <c r="FE593" s="23"/>
      <c r="FF593" s="23"/>
      <c r="FG593" s="23"/>
      <c r="FH593" s="23"/>
    </row>
    <row r="594" spans="2:164" ht="12" customHeight="1" x14ac:dyDescent="0.3">
      <c r="B594" s="24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X594" s="7"/>
      <c r="Y594" s="7"/>
      <c r="Z594" s="7"/>
      <c r="AA594" s="7"/>
      <c r="AB594" s="7"/>
      <c r="AC594" s="7"/>
      <c r="AD594" s="7"/>
      <c r="AE594" s="35"/>
      <c r="AF594" s="35"/>
      <c r="AG594" s="35"/>
      <c r="AH594" s="35"/>
      <c r="AI594" s="35"/>
      <c r="AJ594" s="35"/>
      <c r="AK594" s="42"/>
      <c r="AL594" s="42"/>
      <c r="AM594" s="42"/>
      <c r="AN594" s="42"/>
      <c r="AO594" s="42"/>
      <c r="AP594" s="42"/>
      <c r="AQ594" s="35"/>
      <c r="BP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FA594" s="23"/>
      <c r="FB594" s="23"/>
      <c r="FC594" s="23"/>
      <c r="FD594" s="23"/>
      <c r="FE594" s="23"/>
      <c r="FF594" s="23"/>
      <c r="FG594" s="23"/>
      <c r="FH594" s="23"/>
    </row>
    <row r="595" spans="2:164" ht="12" customHeight="1" x14ac:dyDescent="0.3">
      <c r="B595" s="24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X595" s="7"/>
      <c r="Y595" s="7"/>
      <c r="Z595" s="7"/>
      <c r="AA595" s="7"/>
      <c r="AB595" s="7"/>
      <c r="AC595" s="7"/>
      <c r="AD595" s="7"/>
      <c r="AE595" s="35"/>
      <c r="AF595" s="35"/>
      <c r="AG595" s="35"/>
      <c r="AH595" s="35"/>
      <c r="AI595" s="35"/>
      <c r="AJ595" s="35"/>
      <c r="AK595" s="42"/>
      <c r="AL595" s="42"/>
      <c r="AM595" s="42"/>
      <c r="AN595" s="42"/>
      <c r="AO595" s="42"/>
      <c r="AP595" s="42"/>
      <c r="AQ595" s="35"/>
      <c r="BP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FA595" s="23"/>
      <c r="FB595" s="23"/>
      <c r="FC595" s="23"/>
      <c r="FD595" s="23"/>
      <c r="FE595" s="23"/>
      <c r="FF595" s="23"/>
      <c r="FG595" s="23"/>
      <c r="FH595" s="23"/>
    </row>
    <row r="596" spans="2:164" ht="12" customHeight="1" x14ac:dyDescent="0.3">
      <c r="B596" s="24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X596" s="7"/>
      <c r="Y596" s="7"/>
      <c r="Z596" s="7"/>
      <c r="AA596" s="7"/>
      <c r="AB596" s="7"/>
      <c r="AC596" s="7"/>
      <c r="AD596" s="7"/>
      <c r="AE596" s="35"/>
      <c r="AF596" s="35"/>
      <c r="AG596" s="35"/>
      <c r="AH596" s="35"/>
      <c r="AI596" s="35"/>
      <c r="AJ596" s="35"/>
      <c r="AK596" s="42"/>
      <c r="AL596" s="42"/>
      <c r="AM596" s="42"/>
      <c r="AN596" s="42"/>
      <c r="AO596" s="42"/>
      <c r="AP596" s="42"/>
      <c r="AQ596" s="35"/>
      <c r="BP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FA596" s="23"/>
      <c r="FB596" s="23"/>
      <c r="FC596" s="23"/>
      <c r="FD596" s="23"/>
      <c r="FE596" s="23"/>
      <c r="FF596" s="23"/>
      <c r="FG596" s="23"/>
      <c r="FH596" s="23"/>
    </row>
    <row r="597" spans="2:164" ht="12" customHeight="1" x14ac:dyDescent="0.3">
      <c r="B597" s="24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X597" s="7"/>
      <c r="Y597" s="7"/>
      <c r="Z597" s="7"/>
      <c r="AA597" s="7"/>
      <c r="AB597" s="7"/>
      <c r="AC597" s="7"/>
      <c r="AD597" s="7"/>
      <c r="AE597" s="35"/>
      <c r="AF597" s="35"/>
      <c r="AG597" s="35"/>
      <c r="AH597" s="35"/>
      <c r="AI597" s="35"/>
      <c r="AJ597" s="35"/>
      <c r="AK597" s="42"/>
      <c r="AL597" s="42"/>
      <c r="AM597" s="42"/>
      <c r="AN597" s="42"/>
      <c r="AO597" s="42"/>
      <c r="AP597" s="42"/>
      <c r="AQ597" s="35"/>
      <c r="BP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FA597" s="23"/>
      <c r="FB597" s="23"/>
      <c r="FC597" s="23"/>
      <c r="FD597" s="23"/>
      <c r="FE597" s="23"/>
      <c r="FF597" s="23"/>
      <c r="FG597" s="23"/>
      <c r="FH597" s="23"/>
    </row>
    <row r="598" spans="2:164" ht="12" customHeight="1" x14ac:dyDescent="0.3">
      <c r="B598" s="24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X598" s="7"/>
      <c r="Y598" s="7"/>
      <c r="Z598" s="7"/>
      <c r="AA598" s="7"/>
      <c r="AB598" s="7"/>
      <c r="AC598" s="7"/>
      <c r="AD598" s="7"/>
      <c r="AE598" s="35"/>
      <c r="AF598" s="35"/>
      <c r="AG598" s="35"/>
      <c r="AH598" s="35"/>
      <c r="AI598" s="35"/>
      <c r="AJ598" s="35"/>
      <c r="AK598" s="42"/>
      <c r="AL598" s="42"/>
      <c r="AM598" s="42"/>
      <c r="AN598" s="42"/>
      <c r="AO598" s="42"/>
      <c r="AP598" s="42"/>
      <c r="AQ598" s="35"/>
      <c r="BP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FA598" s="23"/>
      <c r="FB598" s="23"/>
      <c r="FC598" s="23"/>
      <c r="FD598" s="23"/>
      <c r="FE598" s="23"/>
      <c r="FF598" s="23"/>
      <c r="FG598" s="23"/>
      <c r="FH598" s="23"/>
    </row>
    <row r="599" spans="2:164" ht="12" customHeight="1" x14ac:dyDescent="0.3">
      <c r="B599" s="24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X599" s="7"/>
      <c r="Y599" s="7"/>
      <c r="Z599" s="7"/>
      <c r="AA599" s="7"/>
      <c r="AB599" s="7"/>
      <c r="AC599" s="7"/>
      <c r="AD599" s="7"/>
      <c r="AE599" s="35"/>
      <c r="AF599" s="35"/>
      <c r="AG599" s="35"/>
      <c r="AH599" s="35"/>
      <c r="AI599" s="35"/>
      <c r="AJ599" s="35"/>
      <c r="AK599" s="42"/>
      <c r="AL599" s="42"/>
      <c r="AM599" s="42"/>
      <c r="AN599" s="42"/>
      <c r="AO599" s="42"/>
      <c r="AP599" s="42"/>
      <c r="AQ599" s="35"/>
      <c r="BP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FA599" s="23"/>
      <c r="FB599" s="23"/>
      <c r="FC599" s="23"/>
      <c r="FD599" s="23"/>
      <c r="FE599" s="23"/>
      <c r="FF599" s="23"/>
      <c r="FG599" s="23"/>
      <c r="FH599" s="23"/>
    </row>
    <row r="600" spans="2:164" ht="12" customHeight="1" x14ac:dyDescent="0.3">
      <c r="B600" s="24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X600" s="7"/>
      <c r="Y600" s="7"/>
      <c r="Z600" s="7"/>
      <c r="AA600" s="7"/>
      <c r="AB600" s="7"/>
      <c r="AC600" s="7"/>
      <c r="AD600" s="7"/>
      <c r="AE600" s="35"/>
      <c r="AF600" s="35"/>
      <c r="AG600" s="35"/>
      <c r="AH600" s="35"/>
      <c r="AI600" s="35"/>
      <c r="AJ600" s="35"/>
      <c r="AK600" s="42"/>
      <c r="AL600" s="42"/>
      <c r="AM600" s="42"/>
      <c r="AN600" s="42"/>
      <c r="AO600" s="42"/>
      <c r="AP600" s="42"/>
      <c r="AQ600" s="35"/>
      <c r="BP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FA600" s="23"/>
      <c r="FB600" s="23"/>
      <c r="FC600" s="23"/>
      <c r="FD600" s="23"/>
      <c r="FE600" s="23"/>
      <c r="FF600" s="23"/>
      <c r="FG600" s="23"/>
      <c r="FH600" s="23"/>
    </row>
    <row r="601" spans="2:164" ht="12" customHeight="1" x14ac:dyDescent="0.3">
      <c r="B601" s="24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X601" s="7"/>
      <c r="Y601" s="7"/>
      <c r="Z601" s="7"/>
      <c r="AA601" s="7"/>
      <c r="AB601" s="7"/>
      <c r="AC601" s="7"/>
      <c r="AD601" s="7"/>
      <c r="AE601" s="35"/>
      <c r="AF601" s="35"/>
      <c r="AG601" s="35"/>
      <c r="AH601" s="35"/>
      <c r="AI601" s="35"/>
      <c r="AJ601" s="35"/>
      <c r="AK601" s="42"/>
      <c r="AL601" s="42"/>
      <c r="AM601" s="42"/>
      <c r="AN601" s="42"/>
      <c r="AO601" s="42"/>
      <c r="AP601" s="42"/>
      <c r="AQ601" s="35"/>
      <c r="BP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FA601" s="23"/>
      <c r="FB601" s="23"/>
      <c r="FC601" s="23"/>
      <c r="FD601" s="23"/>
      <c r="FE601" s="23"/>
      <c r="FF601" s="23"/>
      <c r="FG601" s="23"/>
      <c r="FH601" s="23"/>
    </row>
    <row r="602" spans="2:164" ht="12" customHeight="1" x14ac:dyDescent="0.3">
      <c r="B602" s="24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X602" s="7"/>
      <c r="Y602" s="7"/>
      <c r="Z602" s="7"/>
      <c r="AA602" s="7"/>
      <c r="AB602" s="7"/>
      <c r="AC602" s="7"/>
      <c r="AD602" s="7"/>
      <c r="AE602" s="35"/>
      <c r="AF602" s="35"/>
      <c r="AG602" s="35"/>
      <c r="AH602" s="35"/>
      <c r="AI602" s="35"/>
      <c r="AJ602" s="35"/>
      <c r="AK602" s="42"/>
      <c r="AL602" s="42"/>
      <c r="AM602" s="42"/>
      <c r="AN602" s="42"/>
      <c r="AO602" s="42"/>
      <c r="AP602" s="42"/>
      <c r="AQ602" s="35"/>
      <c r="BP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FA602" s="23"/>
      <c r="FB602" s="23"/>
      <c r="FC602" s="23"/>
      <c r="FD602" s="23"/>
      <c r="FE602" s="23"/>
      <c r="FF602" s="23"/>
      <c r="FG602" s="23"/>
      <c r="FH602" s="23"/>
    </row>
    <row r="603" spans="2:164" ht="12" customHeight="1" x14ac:dyDescent="0.3">
      <c r="B603" s="24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X603" s="7"/>
      <c r="Y603" s="7"/>
      <c r="Z603" s="7"/>
      <c r="AA603" s="7"/>
      <c r="AB603" s="7"/>
      <c r="AC603" s="7"/>
      <c r="AD603" s="7"/>
      <c r="AE603" s="35"/>
      <c r="AF603" s="35"/>
      <c r="AG603" s="35"/>
      <c r="AH603" s="35"/>
      <c r="AI603" s="35"/>
      <c r="AJ603" s="35"/>
      <c r="AK603" s="42"/>
      <c r="AL603" s="42"/>
      <c r="AM603" s="42"/>
      <c r="AN603" s="42"/>
      <c r="AO603" s="42"/>
      <c r="AP603" s="42"/>
      <c r="AQ603" s="35"/>
      <c r="BP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FA603" s="23"/>
      <c r="FB603" s="23"/>
      <c r="FC603" s="23"/>
      <c r="FD603" s="23"/>
      <c r="FE603" s="23"/>
      <c r="FF603" s="23"/>
      <c r="FG603" s="23"/>
      <c r="FH603" s="23"/>
    </row>
    <row r="604" spans="2:164" ht="12" customHeight="1" x14ac:dyDescent="0.3">
      <c r="B604" s="14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Y604" s="7"/>
      <c r="Z604" s="7"/>
      <c r="AA604" s="7"/>
      <c r="AB604" s="7"/>
      <c r="AC604" s="7"/>
      <c r="AD604" s="7"/>
      <c r="BP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FA604" s="23"/>
      <c r="FB604" s="23"/>
      <c r="FC604" s="23"/>
      <c r="FD604" s="23"/>
      <c r="FE604" s="23"/>
      <c r="FF604" s="23"/>
      <c r="FG604" s="23"/>
      <c r="FH604" s="23"/>
    </row>
    <row r="605" spans="2:164" ht="12" customHeight="1" x14ac:dyDescent="0.3">
      <c r="B605" s="14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Y605" s="7"/>
      <c r="Z605" s="7"/>
      <c r="AA605" s="7"/>
      <c r="AB605" s="7"/>
      <c r="AC605" s="7"/>
      <c r="AD605" s="7"/>
      <c r="BP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FA605" s="23"/>
      <c r="FB605" s="23"/>
      <c r="FC605" s="23"/>
      <c r="FD605" s="23"/>
      <c r="FE605" s="23"/>
      <c r="FF605" s="23"/>
      <c r="FG605" s="23"/>
      <c r="FH605" s="23"/>
    </row>
    <row r="606" spans="2:164" ht="12" customHeight="1" x14ac:dyDescent="0.3">
      <c r="B606" s="14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39"/>
      <c r="AL606" s="39"/>
      <c r="AM606" s="39"/>
      <c r="AN606" s="39"/>
      <c r="AO606" s="39"/>
      <c r="AP606" s="39"/>
      <c r="AQ606" s="7"/>
      <c r="BP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FA606" s="23"/>
      <c r="FB606" s="23"/>
      <c r="FC606" s="23"/>
      <c r="FD606" s="23"/>
      <c r="FE606" s="23"/>
      <c r="FF606" s="23"/>
      <c r="FG606" s="23"/>
      <c r="FH606" s="23"/>
    </row>
    <row r="607" spans="2:164" ht="12" customHeight="1" x14ac:dyDescent="0.3">
      <c r="B607" s="14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39"/>
      <c r="AL607" s="39"/>
      <c r="AM607" s="39"/>
      <c r="AN607" s="39"/>
      <c r="AO607" s="39"/>
      <c r="AP607" s="39"/>
      <c r="AQ607" s="7"/>
      <c r="BP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FA607" s="23"/>
      <c r="FB607" s="23"/>
      <c r="FC607" s="23"/>
      <c r="FD607" s="23"/>
      <c r="FE607" s="23"/>
      <c r="FF607" s="23"/>
      <c r="FG607" s="23"/>
      <c r="FH607" s="23"/>
    </row>
    <row r="608" spans="2:164" ht="12" customHeight="1" x14ac:dyDescent="0.3">
      <c r="B608" s="14"/>
      <c r="C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39"/>
      <c r="AL608" s="39"/>
      <c r="AM608" s="39"/>
      <c r="AN608" s="39"/>
      <c r="AO608" s="39"/>
      <c r="AP608" s="39"/>
      <c r="AQ608" s="7"/>
      <c r="BP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FA608" s="23"/>
      <c r="FB608" s="23"/>
      <c r="FC608" s="23"/>
      <c r="FD608" s="23"/>
      <c r="FE608" s="23"/>
      <c r="FF608" s="23"/>
      <c r="FG608" s="23"/>
      <c r="FH608" s="23"/>
    </row>
    <row r="609" spans="2:164" ht="12" customHeight="1" x14ac:dyDescent="0.3">
      <c r="B609" s="14"/>
      <c r="C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AE609" s="7"/>
      <c r="AF609" s="7"/>
      <c r="AG609" s="7"/>
      <c r="AH609" s="7"/>
      <c r="AI609" s="7"/>
      <c r="AJ609" s="7"/>
      <c r="AK609" s="39"/>
      <c r="AL609" s="39"/>
      <c r="AM609" s="39"/>
      <c r="AN609" s="39"/>
      <c r="AO609" s="39"/>
      <c r="AP609" s="39"/>
      <c r="AQ609" s="7"/>
      <c r="BP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FA609" s="23"/>
      <c r="FB609" s="23"/>
      <c r="FC609" s="23"/>
      <c r="FD609" s="23"/>
      <c r="FE609" s="23"/>
      <c r="FF609" s="23"/>
      <c r="FG609" s="23"/>
      <c r="FH609" s="23"/>
    </row>
    <row r="610" spans="2:164" ht="12" customHeight="1" x14ac:dyDescent="0.3">
      <c r="B610" s="24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X610" s="7"/>
      <c r="Y610" s="7"/>
      <c r="Z610" s="7"/>
      <c r="AA610" s="7"/>
      <c r="AB610" s="7"/>
      <c r="AC610" s="7"/>
      <c r="AD610" s="7"/>
      <c r="BP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FA610" s="23"/>
      <c r="FB610" s="23"/>
      <c r="FC610" s="23"/>
      <c r="FD610" s="23"/>
      <c r="FE610" s="23"/>
      <c r="FF610" s="23"/>
      <c r="FG610" s="23"/>
      <c r="FH610" s="23"/>
    </row>
    <row r="611" spans="2:164" ht="12" customHeight="1" x14ac:dyDescent="0.3">
      <c r="B611" s="24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X611" s="7"/>
      <c r="Y611" s="7"/>
      <c r="Z611" s="7"/>
      <c r="AA611" s="7"/>
      <c r="AB611" s="7"/>
      <c r="AC611" s="7"/>
      <c r="AD611" s="7"/>
      <c r="BP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FA611" s="23"/>
      <c r="FB611" s="23"/>
      <c r="FC611" s="23"/>
      <c r="FD611" s="23"/>
      <c r="FE611" s="23"/>
      <c r="FF611" s="23"/>
      <c r="FG611" s="23"/>
      <c r="FH611" s="23"/>
    </row>
    <row r="612" spans="2:164" ht="12" customHeight="1" x14ac:dyDescent="0.3">
      <c r="B612" s="24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X612" s="7"/>
      <c r="Y612" s="34"/>
      <c r="Z612" s="7"/>
      <c r="AA612" s="7"/>
      <c r="AB612" s="7"/>
      <c r="AC612" s="7"/>
      <c r="AD612" s="7"/>
      <c r="BP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FA612" s="23"/>
      <c r="FB612" s="23"/>
      <c r="FC612" s="23"/>
      <c r="FD612" s="23"/>
      <c r="FE612" s="23"/>
      <c r="FF612" s="23"/>
      <c r="FG612" s="23"/>
      <c r="FH612" s="23"/>
    </row>
    <row r="613" spans="2:164" ht="12" customHeight="1" x14ac:dyDescent="0.3">
      <c r="B613" s="24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X613" s="7"/>
      <c r="Y613" s="34"/>
      <c r="Z613" s="7"/>
      <c r="AA613" s="7"/>
      <c r="AB613" s="7"/>
      <c r="AC613" s="7"/>
      <c r="AD613" s="7"/>
      <c r="BP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FA613" s="23"/>
      <c r="FB613" s="23"/>
      <c r="FC613" s="23"/>
      <c r="FD613" s="23"/>
      <c r="FE613" s="23"/>
      <c r="FF613" s="23"/>
      <c r="FG613" s="23"/>
      <c r="FH613" s="23"/>
    </row>
    <row r="614" spans="2:164" ht="12" customHeight="1" x14ac:dyDescent="0.3">
      <c r="B614" s="24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X614" s="7"/>
      <c r="Y614" s="7"/>
      <c r="Z614" s="7"/>
      <c r="AA614" s="7"/>
      <c r="AB614" s="7"/>
      <c r="AC614" s="7"/>
      <c r="AD614" s="7"/>
      <c r="BP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FA614" s="23"/>
      <c r="FB614" s="23"/>
      <c r="FC614" s="23"/>
      <c r="FD614" s="23"/>
      <c r="FE614" s="23"/>
      <c r="FF614" s="23"/>
      <c r="FG614" s="23"/>
      <c r="FH614" s="23"/>
    </row>
    <row r="615" spans="2:164" ht="12" customHeight="1" x14ac:dyDescent="0.3">
      <c r="B615" s="24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X615" s="7"/>
      <c r="Y615" s="7"/>
      <c r="Z615" s="7"/>
      <c r="AA615" s="7"/>
      <c r="AB615" s="7"/>
      <c r="AC615" s="7"/>
      <c r="AD615" s="7"/>
      <c r="BP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FA615" s="23"/>
      <c r="FB615" s="23"/>
      <c r="FC615" s="23"/>
      <c r="FD615" s="23"/>
      <c r="FE615" s="23"/>
      <c r="FF615" s="23"/>
      <c r="FG615" s="23"/>
      <c r="FH615" s="23"/>
    </row>
    <row r="616" spans="2:164" ht="12" customHeight="1" x14ac:dyDescent="0.3">
      <c r="B616" s="24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X616" s="7"/>
      <c r="Y616" s="34"/>
      <c r="Z616" s="7"/>
      <c r="AA616" s="7"/>
      <c r="AB616" s="7"/>
      <c r="AC616" s="7"/>
      <c r="AD616" s="7"/>
      <c r="BP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FA616" s="23"/>
      <c r="FB616" s="23"/>
      <c r="FC616" s="23"/>
      <c r="FD616" s="23"/>
      <c r="FE616" s="23"/>
      <c r="FF616" s="23"/>
      <c r="FG616" s="23"/>
      <c r="FH616" s="23"/>
    </row>
    <row r="617" spans="2:164" ht="12" customHeight="1" x14ac:dyDescent="0.3">
      <c r="B617" s="24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X617" s="7"/>
      <c r="Y617" s="34"/>
      <c r="Z617" s="7"/>
      <c r="AA617" s="7"/>
      <c r="AB617" s="7"/>
      <c r="AC617" s="7"/>
      <c r="AD617" s="7"/>
      <c r="BP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FA617" s="23"/>
      <c r="FB617" s="23"/>
      <c r="FC617" s="23"/>
      <c r="FD617" s="23"/>
      <c r="FE617" s="23"/>
      <c r="FF617" s="23"/>
      <c r="FG617" s="23"/>
      <c r="FH617" s="23"/>
    </row>
    <row r="618" spans="2:164" ht="12" customHeight="1" x14ac:dyDescent="0.3">
      <c r="B618" s="24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X618" s="7"/>
      <c r="Y618" s="7"/>
      <c r="Z618" s="7"/>
      <c r="AA618" s="7"/>
      <c r="AB618" s="7"/>
      <c r="AC618" s="7"/>
      <c r="AD618" s="7"/>
      <c r="BP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FA618" s="23"/>
      <c r="FB618" s="23"/>
      <c r="FC618" s="23"/>
      <c r="FD618" s="23"/>
      <c r="FE618" s="23"/>
      <c r="FF618" s="23"/>
      <c r="FG618" s="23"/>
      <c r="FH618" s="23"/>
    </row>
    <row r="619" spans="2:164" ht="12" customHeight="1" x14ac:dyDescent="0.3">
      <c r="B619" s="24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X619" s="7"/>
      <c r="Y619" s="7"/>
      <c r="Z619" s="7"/>
      <c r="AA619" s="7"/>
      <c r="AB619" s="7"/>
      <c r="AC619" s="7"/>
      <c r="AD619" s="7"/>
      <c r="BP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FA619" s="23"/>
      <c r="FB619" s="23"/>
      <c r="FC619" s="23"/>
      <c r="FD619" s="23"/>
      <c r="FE619" s="23"/>
      <c r="FF619" s="23"/>
      <c r="FG619" s="23"/>
      <c r="FH619" s="23"/>
    </row>
    <row r="620" spans="2:164" ht="12" customHeight="1" x14ac:dyDescent="0.3">
      <c r="B620" s="24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X620" s="7"/>
      <c r="Y620" s="7"/>
      <c r="Z620" s="7"/>
      <c r="AA620" s="7"/>
      <c r="AB620" s="7"/>
      <c r="AC620" s="7"/>
      <c r="AD620" s="7"/>
      <c r="BP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FA620" s="23"/>
      <c r="FB620" s="23"/>
      <c r="FC620" s="23"/>
      <c r="FD620" s="23"/>
      <c r="FE620" s="23"/>
      <c r="FF620" s="23"/>
      <c r="FG620" s="23"/>
      <c r="FH620" s="23"/>
    </row>
    <row r="621" spans="2:164" ht="12" customHeight="1" x14ac:dyDescent="0.3">
      <c r="B621" s="24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X621" s="7"/>
      <c r="Y621" s="7"/>
      <c r="Z621" s="7"/>
      <c r="AA621" s="7"/>
      <c r="AB621" s="7"/>
      <c r="AC621" s="7"/>
      <c r="AD621" s="7"/>
      <c r="BP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FA621" s="23"/>
      <c r="FB621" s="23"/>
      <c r="FC621" s="23"/>
      <c r="FD621" s="23"/>
      <c r="FE621" s="23"/>
      <c r="FF621" s="23"/>
      <c r="FG621" s="23"/>
      <c r="FH621" s="23"/>
    </row>
    <row r="622" spans="2:164" ht="12" customHeight="1" x14ac:dyDescent="0.3">
      <c r="B622" s="24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X622" s="7"/>
      <c r="Y622" s="34"/>
      <c r="Z622" s="7"/>
      <c r="AA622" s="7"/>
      <c r="AB622" s="7"/>
      <c r="AC622" s="7"/>
      <c r="AD622" s="7"/>
      <c r="BP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FA622" s="23"/>
      <c r="FB622" s="23"/>
      <c r="FC622" s="23"/>
      <c r="FD622" s="23"/>
      <c r="FE622" s="23"/>
      <c r="FF622" s="23"/>
      <c r="FG622" s="23"/>
      <c r="FH622" s="23"/>
    </row>
    <row r="623" spans="2:164" ht="12" customHeight="1" x14ac:dyDescent="0.3">
      <c r="B623" s="24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X623" s="7"/>
      <c r="Y623" s="34"/>
      <c r="Z623" s="7"/>
      <c r="AA623" s="7"/>
      <c r="AB623" s="7"/>
      <c r="AC623" s="7"/>
      <c r="AD623" s="7"/>
      <c r="BP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FA623" s="23"/>
      <c r="FB623" s="23"/>
      <c r="FC623" s="23"/>
      <c r="FD623" s="23"/>
      <c r="FE623" s="23"/>
      <c r="FF623" s="23"/>
      <c r="FG623" s="23"/>
      <c r="FH623" s="23"/>
    </row>
    <row r="624" spans="2:164" ht="12" customHeight="1" x14ac:dyDescent="0.3">
      <c r="FA624" s="23"/>
      <c r="FB624" s="23"/>
      <c r="FC624" s="23"/>
      <c r="FD624" s="23"/>
      <c r="FE624" s="23"/>
      <c r="FF624" s="23"/>
    </row>
  </sheetData>
  <mergeCells count="5">
    <mergeCell ref="DX9:DZ9"/>
    <mergeCell ref="DF9:DL9"/>
    <mergeCell ref="BL2:BS2"/>
    <mergeCell ref="BE2:BJ2"/>
    <mergeCell ref="A475:A524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DAAA5-7140-4D5B-87F4-D60DD4D685C5}">
  <sheetPr>
    <pageSetUpPr autoPageBreaks="0"/>
  </sheetPr>
  <dimension ref="A1:GF620"/>
  <sheetViews>
    <sheetView zoomScale="80" zoomScaleNormal="80" workbookViewId="0">
      <pane xSplit="6" ySplit="18" topLeftCell="G19" activePane="bottomRight" state="frozen"/>
      <selection pane="topRight" activeCell="E1" sqref="E1"/>
      <selection pane="bottomLeft" activeCell="A3" sqref="A3"/>
      <selection pane="bottomRight" activeCell="F19" sqref="F19"/>
    </sheetView>
  </sheetViews>
  <sheetFormatPr defaultColWidth="9" defaultRowHeight="12" customHeight="1" x14ac:dyDescent="0.3"/>
  <cols>
    <col min="1" max="1" width="3.75" style="4" bestFit="1" customWidth="1"/>
    <col min="2" max="2" width="8.375" style="4" bestFit="1" customWidth="1"/>
    <col min="3" max="5" width="8.375" style="4" customWidth="1"/>
    <col min="6" max="6" width="28.75" style="4" bestFit="1" customWidth="1"/>
    <col min="7" max="19" width="5" style="4" customWidth="1"/>
    <col min="20" max="20" width="5.25" style="4" customWidth="1"/>
    <col min="21" max="28" width="5" style="4" customWidth="1"/>
    <col min="29" max="29" width="4" style="4" customWidth="1"/>
    <col min="30" max="30" width="5.37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125" style="4" customWidth="1"/>
    <col min="43" max="44" width="6.25" style="38" customWidth="1"/>
    <col min="45" max="47" width="4.25" style="38" customWidth="1"/>
    <col min="48" max="48" width="4.75" style="38" customWidth="1"/>
    <col min="49" max="49" width="2.875" style="4" customWidth="1"/>
    <col min="50" max="51" width="5.625" style="4" customWidth="1"/>
    <col min="52" max="52" width="5.625" style="38" customWidth="1"/>
    <col min="53" max="62" width="5.625" style="4" customWidth="1"/>
    <col min="63" max="67" width="4.625" style="4" customWidth="1"/>
    <col min="68" max="68" width="7.25" style="4" customWidth="1"/>
    <col min="69" max="69" width="4.625" style="4" customWidth="1"/>
    <col min="70" max="97" width="6.5" style="4" customWidth="1"/>
    <col min="98" max="98" width="2.625" style="4" customWidth="1"/>
    <col min="99" max="110" width="4.375" style="4" customWidth="1"/>
    <col min="111" max="111" width="9" style="4"/>
    <col min="112" max="112" width="6.1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625" style="4" customWidth="1"/>
    <col min="138" max="139" width="9" style="4"/>
    <col min="140" max="140" width="4.125" style="4" customWidth="1"/>
    <col min="141" max="177" width="6.25" style="4" customWidth="1"/>
    <col min="178" max="179" width="9" style="4"/>
    <col min="180" max="183" width="4.875" style="4" customWidth="1"/>
    <col min="184" max="16384" width="9" style="4"/>
  </cols>
  <sheetData>
    <row r="1" spans="7:173" ht="12" customHeight="1" x14ac:dyDescent="0.3">
      <c r="R1" s="4" t="str">
        <f>CK1</f>
        <v>Total</v>
      </c>
      <c r="S1" s="4" t="str">
        <f>CL1</f>
        <v>avg</v>
      </c>
      <c r="T1" s="4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5" t="s">
        <v>27</v>
      </c>
      <c r="CM1" s="5">
        <f t="shared" ref="CM1:CS1" si="1">AVERAGE(CM19:CM1247)</f>
        <v>1.6782626178573583</v>
      </c>
      <c r="CN1" s="5">
        <f t="shared" si="1"/>
        <v>0.95300717452398231</v>
      </c>
      <c r="CO1" s="5">
        <f t="shared" si="1"/>
        <v>1.2156305950114661</v>
      </c>
      <c r="CP1" s="5">
        <f t="shared" si="1"/>
        <v>1.8817218178144222</v>
      </c>
      <c r="CQ1" s="5">
        <f t="shared" si="1"/>
        <v>1.056096550409896</v>
      </c>
      <c r="CR1" s="5">
        <f t="shared" si="1"/>
        <v>1.1033176043872563</v>
      </c>
      <c r="CS1" s="5">
        <f t="shared" si="1"/>
        <v>1.4338215823432034</v>
      </c>
      <c r="CT1" s="5"/>
      <c r="CU1" s="5">
        <f t="shared" ref="CU1:DF1" si="2">AVERAGE(CU19:CU1247)</f>
        <v>1.6264688144681267</v>
      </c>
      <c r="CV1" s="5">
        <f t="shared" si="2"/>
        <v>0.92871449891049684</v>
      </c>
      <c r="CW1" s="5">
        <f t="shared" si="2"/>
        <v>2.029709456924492</v>
      </c>
      <c r="CX1" s="5">
        <f t="shared" si="2"/>
        <v>1.5162001782155048</v>
      </c>
      <c r="CY1" s="5">
        <f t="shared" si="2"/>
        <v>1.0534566143088782</v>
      </c>
      <c r="CZ1" s="5">
        <f t="shared" si="2"/>
        <v>1.1081129801433647</v>
      </c>
      <c r="DA1" s="5">
        <f t="shared" si="2"/>
        <v>1.7478815613740522</v>
      </c>
      <c r="DB1" s="5">
        <f t="shared" si="2"/>
        <v>0.98566031642002905</v>
      </c>
      <c r="DC1" s="5">
        <f t="shared" si="2"/>
        <v>1.6828033678417915</v>
      </c>
      <c r="DD1" s="5">
        <f t="shared" si="2"/>
        <v>1.3230919112680954</v>
      </c>
      <c r="DE1" s="5">
        <f t="shared" si="2"/>
        <v>1.059645035948277</v>
      </c>
      <c r="DF1" s="5">
        <f t="shared" si="2"/>
        <v>1.0968718720397586</v>
      </c>
      <c r="DI1" s="4" t="e">
        <f>FC1</f>
        <v>#DIV/0!</v>
      </c>
      <c r="DN1" s="6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3">
      <c r="S2" s="4" t="str">
        <f>CL2</f>
        <v>cov</v>
      </c>
      <c r="T2" s="4">
        <f>CQ2</f>
        <v>0.20738367794348314</v>
      </c>
      <c r="AY2" s="4" t="s">
        <v>214</v>
      </c>
      <c r="BK2" s="52" t="s">
        <v>215</v>
      </c>
      <c r="BL2" s="52"/>
      <c r="BM2" s="52"/>
      <c r="BN2" s="52"/>
      <c r="BO2" s="52"/>
      <c r="BP2" s="52"/>
      <c r="BR2" s="52" t="s">
        <v>216</v>
      </c>
      <c r="BS2" s="52"/>
      <c r="BT2" s="52"/>
      <c r="BU2" s="52"/>
      <c r="BV2" s="52"/>
      <c r="BW2" s="52"/>
      <c r="BX2" s="52"/>
      <c r="BY2" s="52"/>
      <c r="BZ2" s="7" t="s">
        <v>40</v>
      </c>
      <c r="CA2" s="7"/>
      <c r="CB2" s="7"/>
      <c r="CC2" s="7"/>
      <c r="CD2" s="7">
        <f t="shared" ref="CD2:CI2" si="3">STDEVP(CM19:CM633)/CM1</f>
        <v>0.38591498806886199</v>
      </c>
      <c r="CE2" s="7">
        <f t="shared" si="3"/>
        <v>0.3786238886999081</v>
      </c>
      <c r="CF2" s="7">
        <f t="shared" si="3"/>
        <v>0.47257792553020578</v>
      </c>
      <c r="CG2" s="7">
        <f t="shared" si="3"/>
        <v>0.28230105625285867</v>
      </c>
      <c r="CH2" s="7">
        <f t="shared" si="3"/>
        <v>0.20738367794348314</v>
      </c>
      <c r="CI2" s="7">
        <f t="shared" si="3"/>
        <v>0.2245803838061915</v>
      </c>
      <c r="CJ2" s="7"/>
      <c r="CK2" s="7"/>
      <c r="CL2" s="8" t="s">
        <v>217</v>
      </c>
      <c r="CM2" s="5">
        <f t="shared" ref="CM2:CS2" si="4">STDEVP(CM19:CM1247)/CM1</f>
        <v>0.38591498806886199</v>
      </c>
      <c r="CN2" s="5">
        <f t="shared" si="4"/>
        <v>0.3786238886999081</v>
      </c>
      <c r="CO2" s="5">
        <f t="shared" si="4"/>
        <v>0.47257792553020578</v>
      </c>
      <c r="CP2" s="5">
        <f t="shared" si="4"/>
        <v>0.28230105625285867</v>
      </c>
      <c r="CQ2" s="5">
        <f t="shared" si="4"/>
        <v>0.20738367794348314</v>
      </c>
      <c r="CR2" s="5">
        <f t="shared" si="4"/>
        <v>0.2245803838061915</v>
      </c>
      <c r="CS2" s="5">
        <f t="shared" si="4"/>
        <v>0.36644451539729217</v>
      </c>
      <c r="CT2" s="5"/>
      <c r="CU2" s="5">
        <f t="shared" ref="CU2:DF2" si="5">STDEVP(CU19:CU1247)/CU1</f>
        <v>0.40152484677778294</v>
      </c>
      <c r="CV2" s="5">
        <f t="shared" si="5"/>
        <v>0.38055189275349616</v>
      </c>
      <c r="CW2" s="5">
        <f t="shared" si="5"/>
        <v>0.25927404713422825</v>
      </c>
      <c r="CX2" s="5">
        <f t="shared" si="5"/>
        <v>0.40140677437367722</v>
      </c>
      <c r="CY2" s="5">
        <f t="shared" si="5"/>
        <v>0.22212324371066888</v>
      </c>
      <c r="CZ2" s="5">
        <f t="shared" si="5"/>
        <v>0.24363584087003703</v>
      </c>
      <c r="DA2" s="5">
        <f t="shared" si="5"/>
        <v>0.36255356727067367</v>
      </c>
      <c r="DB2" s="5">
        <f t="shared" si="5"/>
        <v>0.3733912807304916</v>
      </c>
      <c r="DC2" s="5">
        <f t="shared" si="5"/>
        <v>0.27887315563098203</v>
      </c>
      <c r="DD2" s="5">
        <f t="shared" si="5"/>
        <v>0.27025839617561165</v>
      </c>
      <c r="DE2" s="5">
        <f t="shared" si="5"/>
        <v>0.18594941660962594</v>
      </c>
      <c r="DF2" s="5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3">
      <c r="T3" s="4">
        <f>CQ3</f>
        <v>1.7054171816068107</v>
      </c>
      <c r="AX3" s="7"/>
      <c r="AY3" s="7"/>
      <c r="AZ3" s="39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>
        <f t="shared" ref="CD3:CI3" si="8">MAX(CM19:CM633)</f>
        <v>3.9007223111414722</v>
      </c>
      <c r="CE3" s="7">
        <f t="shared" si="8"/>
        <v>2.2796227071273441</v>
      </c>
      <c r="CF3" s="7">
        <f t="shared" si="8"/>
        <v>3.8981849746145723</v>
      </c>
      <c r="CG3" s="7">
        <f t="shared" si="8"/>
        <v>4.1928664127323829</v>
      </c>
      <c r="CH3" s="7">
        <f t="shared" si="8"/>
        <v>1.7054171816068107</v>
      </c>
      <c r="CI3" s="7">
        <f t="shared" si="8"/>
        <v>1.8118062019953518</v>
      </c>
      <c r="CJ3" s="7"/>
      <c r="CK3" s="7"/>
      <c r="CL3" s="7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3">
      <c r="J4" s="4">
        <f>500*0.145</f>
        <v>72.5</v>
      </c>
      <c r="M4" s="4">
        <f>43/25.4</f>
        <v>1.6929133858267718</v>
      </c>
      <c r="T4" s="4">
        <f>CQ4</f>
        <v>0.47564989032534455</v>
      </c>
      <c r="AX4" s="7"/>
      <c r="AY4" s="7"/>
      <c r="AZ4" s="39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>
        <f t="shared" ref="CD4:CI4" si="11">MIN(CM19:CM633)</f>
        <v>0.44463766638918378</v>
      </c>
      <c r="CE4" s="7">
        <f t="shared" si="11"/>
        <v>0.23714039746372731</v>
      </c>
      <c r="CF4" s="7">
        <f t="shared" si="11"/>
        <v>0.39567942283543261</v>
      </c>
      <c r="CG4" s="7">
        <f t="shared" si="11"/>
        <v>0.86666480781610633</v>
      </c>
      <c r="CH4" s="7">
        <f t="shared" si="11"/>
        <v>0.47564989032534455</v>
      </c>
      <c r="CI4" s="7">
        <f t="shared" si="11"/>
        <v>0.49532268932934714</v>
      </c>
      <c r="CJ4" s="7"/>
      <c r="CK4" s="7"/>
      <c r="CL4" s="7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0.69730791094744238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0.69730791094744238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3">
      <c r="J5" s="4">
        <f>28.7/25.4</f>
        <v>1.1299212598425197</v>
      </c>
      <c r="M5" s="4">
        <f>57.3/25.4</f>
        <v>2.2559055118110236</v>
      </c>
      <c r="AX5" s="7"/>
      <c r="AY5" s="7"/>
      <c r="AZ5" s="39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3">
      <c r="G6" s="9"/>
      <c r="H6" s="9"/>
      <c r="J6" s="4">
        <f>130*0.145</f>
        <v>18.849999999999998</v>
      </c>
      <c r="R6" s="4" t="str">
        <f>CK6</f>
        <v>CCT</v>
      </c>
      <c r="S6" s="4" t="str">
        <f>CL6</f>
        <v>avg</v>
      </c>
      <c r="T6" s="4">
        <f t="shared" ref="T6:T17" si="14">CQ6</f>
        <v>1.2833475794749885</v>
      </c>
      <c r="AX6" s="7"/>
      <c r="AY6" s="7"/>
      <c r="AZ6" s="39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 t="s">
        <v>55</v>
      </c>
      <c r="CL6" s="5" t="s">
        <v>27</v>
      </c>
      <c r="CM6" s="5">
        <f t="shared" ref="CM6:CS6" si="15">AVERAGE(CM19:CM103)</f>
        <v>2.2817899242208832</v>
      </c>
      <c r="CN6" s="5">
        <f t="shared" si="15"/>
        <v>1.2446302262494444</v>
      </c>
      <c r="CO6" s="5">
        <f t="shared" si="15"/>
        <v>2.3962790075813931</v>
      </c>
      <c r="CP6" s="5">
        <f t="shared" si="15"/>
        <v>2.1440962859626134</v>
      </c>
      <c r="CQ6" s="5">
        <f t="shared" si="15"/>
        <v>1.2833475794749885</v>
      </c>
      <c r="CR6" s="5">
        <f t="shared" si="15"/>
        <v>1.4097758472861859</v>
      </c>
      <c r="CS6" s="5">
        <f t="shared" si="15"/>
        <v>1.7000387287419887</v>
      </c>
      <c r="CT6" s="5"/>
      <c r="CU6" s="5">
        <f t="shared" ref="CU6:DF6" si="16">AVERAGE(CU19:CU103)</f>
        <v>2.2769445009017959</v>
      </c>
      <c r="CV6" s="5">
        <f t="shared" si="16"/>
        <v>1.2514609999841295</v>
      </c>
      <c r="CW6" s="5">
        <f t="shared" si="16"/>
        <v>2.1831657646810618</v>
      </c>
      <c r="CX6" s="5">
        <f t="shared" si="16"/>
        <v>1.7335735354059274</v>
      </c>
      <c r="CY6" s="5">
        <f t="shared" si="16"/>
        <v>1.2864455584321524</v>
      </c>
      <c r="CZ6" s="5">
        <f t="shared" si="16"/>
        <v>1.4115094025178012</v>
      </c>
      <c r="DA6" s="5">
        <f t="shared" si="16"/>
        <v>2.3980800838789804</v>
      </c>
      <c r="DB6" s="5">
        <f t="shared" si="16"/>
        <v>1.0806916566170006</v>
      </c>
      <c r="DC6" s="5">
        <f t="shared" si="16"/>
        <v>1.2064287967198433</v>
      </c>
      <c r="DD6" s="5">
        <f t="shared" si="16"/>
        <v>0.89520336880745377</v>
      </c>
      <c r="DE6" s="5">
        <f t="shared" si="16"/>
        <v>1.2089960845030583</v>
      </c>
      <c r="DF6" s="5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3">
      <c r="G7" s="9"/>
      <c r="H7" s="9"/>
      <c r="J7" s="4">
        <f>226*0.145</f>
        <v>32.769999999999996</v>
      </c>
      <c r="S7" s="4" t="str">
        <f>CL7</f>
        <v>cov</v>
      </c>
      <c r="T7" s="4">
        <f t="shared" si="14"/>
        <v>0.14427891700440762</v>
      </c>
      <c r="AX7" s="7"/>
      <c r="AY7" s="7"/>
      <c r="AZ7" s="39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8" t="s">
        <v>217</v>
      </c>
      <c r="CM7" s="5">
        <f t="shared" ref="CM7:CS7" si="17">STDEVP(CM19:CM103)/CM6</f>
        <v>0.11214664336210099</v>
      </c>
      <c r="CN7" s="5">
        <f t="shared" si="17"/>
        <v>0.25926576533104256</v>
      </c>
      <c r="CO7" s="5">
        <f t="shared" si="17"/>
        <v>0.19110733671463734</v>
      </c>
      <c r="CP7" s="5">
        <f t="shared" si="17"/>
        <v>0.34157126164590873</v>
      </c>
      <c r="CQ7" s="5">
        <f t="shared" si="17"/>
        <v>0.14427891700440762</v>
      </c>
      <c r="CR7" s="5">
        <f t="shared" si="17"/>
        <v>0.14762196597760932</v>
      </c>
      <c r="CS7" s="5">
        <f t="shared" si="17"/>
        <v>0.2785268190443011</v>
      </c>
      <c r="CT7" s="5"/>
      <c r="CU7" s="5">
        <f t="shared" ref="CU7:DF7" si="18">STDEVP(CU19:CU103)/CU6</f>
        <v>0.11413613135489725</v>
      </c>
      <c r="CV7" s="5">
        <f t="shared" si="18"/>
        <v>0.26172765716051666</v>
      </c>
      <c r="CW7" s="5">
        <f t="shared" si="18"/>
        <v>0.33046980749033161</v>
      </c>
      <c r="CX7" s="5">
        <f t="shared" si="18"/>
        <v>0.26144668984660624</v>
      </c>
      <c r="CY7" s="5">
        <f t="shared" si="18"/>
        <v>0.1464041129891939</v>
      </c>
      <c r="CZ7" s="5">
        <f t="shared" si="18"/>
        <v>0.15035535689457027</v>
      </c>
      <c r="DA7" s="5">
        <f t="shared" si="18"/>
        <v>1.8867924528301862E-2</v>
      </c>
      <c r="DB7" s="5">
        <f t="shared" si="18"/>
        <v>1.8867924528301862E-2</v>
      </c>
      <c r="DC7" s="5">
        <f t="shared" si="18"/>
        <v>1.8867924528301865E-2</v>
      </c>
      <c r="DD7" s="5">
        <f t="shared" si="18"/>
        <v>1.88679245283019E-2</v>
      </c>
      <c r="DE7" s="5">
        <f t="shared" si="18"/>
        <v>2.8516451327094939E-3</v>
      </c>
      <c r="DF7" s="5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3">
      <c r="T8" s="4">
        <f t="shared" si="14"/>
        <v>1.6794082019601415</v>
      </c>
      <c r="AX8" s="7"/>
      <c r="AY8" s="7"/>
      <c r="AZ8" s="39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>
        <f>500*0.154</f>
        <v>77</v>
      </c>
      <c r="CK8" s="7"/>
      <c r="CL8" s="7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2.3452641252972923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2.3452641252972923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3">
      <c r="T9" s="4">
        <f t="shared" si="14"/>
        <v>0.88170720161183924</v>
      </c>
      <c r="AX9" s="7"/>
      <c r="AY9" s="7"/>
      <c r="AZ9" s="39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0.778335876421405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0.778335876421405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53" t="s">
        <v>219</v>
      </c>
      <c r="DM9" s="53"/>
      <c r="DN9" s="53"/>
      <c r="DO9" s="53"/>
      <c r="DP9" s="53"/>
      <c r="DQ9" s="53"/>
      <c r="DR9" s="53"/>
      <c r="DZ9" s="4" t="e">
        <f>MIN(1,MAX(0.85,(1-0.2*(BR9-2*#REF!)/#REF!)*IF(P9&gt;=2,0.7,1)))</f>
        <v>#REF!</v>
      </c>
      <c r="ED9" s="53" t="s">
        <v>51</v>
      </c>
      <c r="EE9" s="53"/>
      <c r="EF9" s="53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4" t="e">
        <f>EQ9^0.4</f>
        <v>#DIV/0!</v>
      </c>
      <c r="ES9" s="4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3">
      <c r="R10" s="4" t="str">
        <f>CK10</f>
        <v>Splice</v>
      </c>
      <c r="S10" s="4" t="str">
        <f>CL10</f>
        <v>avg</v>
      </c>
      <c r="T10" s="4">
        <f t="shared" si="14"/>
        <v>1.0300130388436419</v>
      </c>
      <c r="AX10" s="7"/>
      <c r="AY10" s="7"/>
      <c r="AZ10" s="39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 t="s">
        <v>199</v>
      </c>
      <c r="CL10" s="5" t="s">
        <v>27</v>
      </c>
      <c r="CM10" s="5">
        <f t="shared" ref="CM10:CS10" si="23">AVERAGE(CM104:CM152)</f>
        <v>0.98633113248028081</v>
      </c>
      <c r="CN10" s="5">
        <f t="shared" si="23"/>
        <v>1.1543090513133545</v>
      </c>
      <c r="CO10" s="5">
        <f t="shared" si="23"/>
        <v>1.2417841640681262</v>
      </c>
      <c r="CP10" s="5">
        <f t="shared" si="23"/>
        <v>1.8189278742084238</v>
      </c>
      <c r="CQ10" s="5">
        <f t="shared" si="23"/>
        <v>1.0300130388436419</v>
      </c>
      <c r="CR10" s="5">
        <f t="shared" si="23"/>
        <v>1.0676176870118286</v>
      </c>
      <c r="CS10" s="5">
        <f t="shared" si="23"/>
        <v>1.0662582187882401</v>
      </c>
      <c r="CT10" s="5"/>
      <c r="CU10" s="5">
        <f t="shared" ref="CU10:DF10" si="24">AVERAGE(CU104:CU152)</f>
        <v>0.79949301278601104</v>
      </c>
      <c r="CV10" s="5">
        <f t="shared" si="24"/>
        <v>1.0194457866935724</v>
      </c>
      <c r="CW10" s="5">
        <f t="shared" si="24"/>
        <v>1.753104988483839</v>
      </c>
      <c r="CX10" s="5">
        <f t="shared" si="24"/>
        <v>0.97069743080401749</v>
      </c>
      <c r="CY10" s="5">
        <f t="shared" si="24"/>
        <v>1.0713177337312305</v>
      </c>
      <c r="CZ10" s="5">
        <f t="shared" si="24"/>
        <v>1.1131878473096661</v>
      </c>
      <c r="DA10" s="5">
        <f t="shared" si="24"/>
        <v>1.1928364226686854</v>
      </c>
      <c r="DB10" s="5">
        <f t="shared" si="24"/>
        <v>1.3033684490510089</v>
      </c>
      <c r="DC10" s="5">
        <f t="shared" si="24"/>
        <v>1.8916794847461227</v>
      </c>
      <c r="DD10" s="5">
        <f t="shared" si="24"/>
        <v>1.1718780370865911</v>
      </c>
      <c r="DE10" s="5">
        <f t="shared" si="24"/>
        <v>0.98436048133630683</v>
      </c>
      <c r="DF10" s="5">
        <f t="shared" si="24"/>
        <v>1.0172506677352713</v>
      </c>
      <c r="DI10" s="4">
        <f>1/3.1</f>
        <v>0.32258064516129031</v>
      </c>
      <c r="DL10" s="10"/>
      <c r="DM10" s="10"/>
      <c r="DN10" s="10"/>
      <c r="DO10" s="10"/>
      <c r="DP10" s="10"/>
      <c r="DQ10" s="10"/>
      <c r="DR10" s="10"/>
      <c r="DT10" s="4">
        <v>1</v>
      </c>
      <c r="ED10" s="10"/>
      <c r="EE10" s="10"/>
      <c r="EF10" s="10"/>
    </row>
    <row r="11" spans="7:173" ht="12" customHeight="1" x14ac:dyDescent="0.3">
      <c r="S11" s="4" t="str">
        <f>CL11</f>
        <v>cov</v>
      </c>
      <c r="T11" s="4">
        <f t="shared" si="14"/>
        <v>0.15934382407073391</v>
      </c>
      <c r="AX11" s="7"/>
      <c r="AY11" s="7"/>
      <c r="AZ11" s="39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8" t="s">
        <v>217</v>
      </c>
      <c r="CM11" s="5">
        <f t="shared" ref="CM11:CS11" si="25">STDEVP(CM104:CM152)/CM10</f>
        <v>0.55207244761722296</v>
      </c>
      <c r="CN11" s="5">
        <f t="shared" si="25"/>
        <v>0.2430018890487293</v>
      </c>
      <c r="CO11" s="5">
        <f t="shared" si="25"/>
        <v>0.26423267654880483</v>
      </c>
      <c r="CP11" s="5">
        <f t="shared" si="25"/>
        <v>0.30043336407413007</v>
      </c>
      <c r="CQ11" s="5">
        <f t="shared" si="25"/>
        <v>0.15934382407073391</v>
      </c>
      <c r="CR11" s="5">
        <f t="shared" si="25"/>
        <v>0.14982983429619767</v>
      </c>
      <c r="CS11" s="5">
        <f t="shared" si="25"/>
        <v>0.20381858053625176</v>
      </c>
      <c r="CT11" s="5"/>
      <c r="CU11" s="5">
        <f t="shared" ref="CU11:DF11" si="26">STDEVP(CU104:CU152)/CU10</f>
        <v>0.57931133326434092</v>
      </c>
      <c r="CV11" s="5">
        <f t="shared" si="26"/>
        <v>0.15886659523565255</v>
      </c>
      <c r="CW11" s="5">
        <f t="shared" si="26"/>
        <v>0.19216965788990065</v>
      </c>
      <c r="CX11" s="5">
        <f t="shared" si="26"/>
        <v>0.16038080646605674</v>
      </c>
      <c r="CY11" s="5">
        <f t="shared" si="26"/>
        <v>0.14171909034808791</v>
      </c>
      <c r="CZ11" s="5">
        <f t="shared" si="26"/>
        <v>0.13222150845223379</v>
      </c>
      <c r="DA11" s="5">
        <f t="shared" si="26"/>
        <v>0.46367622315518181</v>
      </c>
      <c r="DB11" s="5">
        <f t="shared" si="26"/>
        <v>0.23564435910799594</v>
      </c>
      <c r="DC11" s="5">
        <f t="shared" si="26"/>
        <v>0.37123279914485935</v>
      </c>
      <c r="DD11" s="5">
        <f t="shared" si="26"/>
        <v>0.19345180345513405</v>
      </c>
      <c r="DE11" s="5">
        <f t="shared" si="26"/>
        <v>0.16773814683173383</v>
      </c>
      <c r="DF11" s="5">
        <f t="shared" si="26"/>
        <v>0.15571776093937953</v>
      </c>
      <c r="DI11" s="4">
        <f>2.8/3.1</f>
        <v>0.90322580645161277</v>
      </c>
      <c r="DL11" s="10"/>
      <c r="DM11" s="10"/>
      <c r="DN11" s="10"/>
      <c r="DO11" s="10"/>
      <c r="DP11" s="10"/>
      <c r="DQ11" s="10"/>
      <c r="DR11" s="10"/>
      <c r="DT11" s="4">
        <v>1</v>
      </c>
      <c r="ED11" s="10"/>
      <c r="EE11" s="10"/>
      <c r="EF11" s="10"/>
    </row>
    <row r="12" spans="7:173" ht="12" customHeight="1" x14ac:dyDescent="0.3">
      <c r="T12" s="4">
        <f t="shared" si="14"/>
        <v>1.3945416640120281</v>
      </c>
      <c r="AX12" s="7"/>
      <c r="AY12" s="7"/>
      <c r="AZ12" s="39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1.5946717872855112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1.2506633936616351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1.5946717872855112</v>
      </c>
      <c r="DE12" s="4">
        <f t="shared" si="28"/>
        <v>1.3945416640120281</v>
      </c>
      <c r="DF12" s="4">
        <f t="shared" si="28"/>
        <v>1.4007274122258497</v>
      </c>
      <c r="DL12" s="10"/>
      <c r="DM12" s="10"/>
      <c r="DN12" s="10"/>
      <c r="DO12" s="10"/>
      <c r="DP12" s="10"/>
      <c r="DQ12" s="10"/>
      <c r="DR12" s="10"/>
      <c r="ED12" s="10"/>
      <c r="EE12" s="10"/>
      <c r="EF12" s="10"/>
      <c r="EG12" s="4">
        <f>MIN(EG248:EG449)</f>
        <v>0.59499999999999997</v>
      </c>
    </row>
    <row r="13" spans="7:173" ht="12" customHeight="1" x14ac:dyDescent="0.3">
      <c r="T13" s="4">
        <f t="shared" si="14"/>
        <v>0.69659629554846381</v>
      </c>
      <c r="AX13" s="7"/>
      <c r="AY13" s="7"/>
      <c r="AZ13" s="39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0.70688457473746746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0.70688457473746746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10"/>
      <c r="DM13" s="10"/>
      <c r="DN13" s="10"/>
      <c r="DO13" s="10"/>
      <c r="DP13" s="10"/>
      <c r="DQ13" s="10"/>
      <c r="DR13" s="10"/>
      <c r="DT13" s="4">
        <f>DT14/2</f>
        <v>4.4708269225635169</v>
      </c>
      <c r="ED13" s="10"/>
      <c r="EE13" s="10"/>
      <c r="EF13" s="10"/>
      <c r="EG13" s="4">
        <f>MAX(EG248:EG449)</f>
        <v>0.85</v>
      </c>
    </row>
    <row r="14" spans="7:173" ht="12" customHeight="1" x14ac:dyDescent="0.3">
      <c r="R14" s="4" t="str">
        <f>CK14</f>
        <v>Joint</v>
      </c>
      <c r="S14" s="4" t="str">
        <f>CL14</f>
        <v>avg</v>
      </c>
      <c r="T14" s="4">
        <f t="shared" si="14"/>
        <v>1.0180182810718719</v>
      </c>
      <c r="V14" s="4">
        <f>MIN(V52:V449)</f>
        <v>1.1000000000000001</v>
      </c>
      <c r="AX14" s="7"/>
      <c r="AY14" s="7"/>
      <c r="AZ14" s="39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 t="s">
        <v>200</v>
      </c>
      <c r="CL14" s="5" t="s">
        <v>27</v>
      </c>
      <c r="CM14" s="5">
        <f t="shared" ref="CM14:CS14" si="31">AVERAGE(CM153:CM1250)</f>
        <v>1.669040824857015</v>
      </c>
      <c r="CN14" s="5">
        <f t="shared" si="31"/>
        <v>0.86948972929207036</v>
      </c>
      <c r="CO14" s="5">
        <f t="shared" si="31"/>
        <v>0.99393847917839173</v>
      </c>
      <c r="CP14" s="5">
        <f t="shared" si="31"/>
        <v>1.8425817231163766</v>
      </c>
      <c r="CQ14" s="5">
        <f t="shared" si="31"/>
        <v>1.0180182810718719</v>
      </c>
      <c r="CR14" s="5">
        <f t="shared" si="31"/>
        <v>1.0520448536495079</v>
      </c>
      <c r="CS14" s="5">
        <f t="shared" si="31"/>
        <v>1.4389569226467425</v>
      </c>
      <c r="CT14" s="5"/>
      <c r="CU14" s="5">
        <f t="shared" ref="CU14:DF14" si="32">AVERAGE(CU153:CU250)</f>
        <v>1.7380213993724096</v>
      </c>
      <c r="CV14" s="5">
        <f t="shared" si="32"/>
        <v>0.96528440360240864</v>
      </c>
      <c r="CW14" s="5">
        <f t="shared" si="32"/>
        <v>2.0760603347966615</v>
      </c>
      <c r="CX14" s="5">
        <f t="shared" si="32"/>
        <v>2.0679009828844626</v>
      </c>
      <c r="CY14" s="5">
        <f t="shared" si="32"/>
        <v>1.1124209478300024</v>
      </c>
      <c r="CZ14" s="5">
        <f t="shared" si="32"/>
        <v>1.1577133888431765</v>
      </c>
      <c r="DA14" s="5">
        <f t="shared" si="32"/>
        <v>1.7807708572615539</v>
      </c>
      <c r="DB14" s="5">
        <f t="shared" si="32"/>
        <v>1.2751613219537503</v>
      </c>
      <c r="DC14" s="5">
        <f t="shared" si="32"/>
        <v>1.6023782214677935</v>
      </c>
      <c r="DD14" s="5">
        <f t="shared" si="32"/>
        <v>1.5458349786497587</v>
      </c>
      <c r="DE14" s="5">
        <f t="shared" si="32"/>
        <v>1.1967439817282877</v>
      </c>
      <c r="DF14" s="5">
        <f t="shared" si="32"/>
        <v>1.2573647713056622</v>
      </c>
      <c r="DL14" s="10"/>
      <c r="DM14" s="10"/>
      <c r="DN14" s="10"/>
      <c r="DO14" s="10"/>
      <c r="DP14" s="10"/>
      <c r="DQ14" s="10"/>
      <c r="DR14" s="10"/>
      <c r="DT14" s="4">
        <f>4*SQRT(DT16-1)</f>
        <v>8.9416538451270338</v>
      </c>
      <c r="ED14" s="10"/>
      <c r="EE14" s="10"/>
      <c r="EF14" s="10"/>
      <c r="FA14" s="4">
        <f>CQ14</f>
        <v>1.0180182810718719</v>
      </c>
    </row>
    <row r="15" spans="7:173" ht="12" customHeight="1" x14ac:dyDescent="0.3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4">
        <f t="shared" si="14"/>
        <v>0.20255153606460594</v>
      </c>
      <c r="V15" s="4">
        <f>MAX(V52:V449)</f>
        <v>14.9</v>
      </c>
      <c r="AX15" s="7"/>
      <c r="AY15" s="7"/>
      <c r="AZ15" s="39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8" t="s">
        <v>217</v>
      </c>
      <c r="CM15" s="5">
        <f t="shared" ref="CM15:CS15" si="34">STDEVP(CM153:CM1250)/CM14</f>
        <v>0.36196459445130136</v>
      </c>
      <c r="CN15" s="5">
        <f t="shared" si="34"/>
        <v>0.38826128710075614</v>
      </c>
      <c r="CO15" s="5">
        <f t="shared" si="34"/>
        <v>0.28209464377030802</v>
      </c>
      <c r="CP15" s="5">
        <f t="shared" si="34"/>
        <v>0.25342623023887761</v>
      </c>
      <c r="CQ15" s="5">
        <f t="shared" si="34"/>
        <v>0.20255153606460594</v>
      </c>
      <c r="CR15" s="5">
        <f t="shared" si="34"/>
        <v>0.21227716493069995</v>
      </c>
      <c r="CS15" s="5">
        <f t="shared" si="34"/>
        <v>0.37188573220880466</v>
      </c>
      <c r="CT15" s="5"/>
      <c r="CU15" s="5">
        <f t="shared" ref="CU15:DF15" si="35">STDEVP(CU153:CU250)/CU14</f>
        <v>0.38544619722563678</v>
      </c>
      <c r="CV15" s="5">
        <f t="shared" si="35"/>
        <v>0.26123251548085896</v>
      </c>
      <c r="CW15" s="5">
        <f t="shared" si="35"/>
        <v>0.15907989993243515</v>
      </c>
      <c r="CX15" s="5">
        <f t="shared" si="35"/>
        <v>0.36758877623706776</v>
      </c>
      <c r="CY15" s="5">
        <f t="shared" si="35"/>
        <v>0.1561058888850923</v>
      </c>
      <c r="CZ15" s="5">
        <f t="shared" si="35"/>
        <v>0.16287841064143715</v>
      </c>
      <c r="DA15" s="5">
        <f t="shared" si="35"/>
        <v>0.36482030465642928</v>
      </c>
      <c r="DB15" s="5">
        <f t="shared" si="35"/>
        <v>0.20384204654847091</v>
      </c>
      <c r="DC15" s="5">
        <f t="shared" si="35"/>
        <v>0.20100269345354277</v>
      </c>
      <c r="DD15" s="5">
        <f t="shared" si="35"/>
        <v>0.42698748516502844</v>
      </c>
      <c r="DE15" s="5">
        <f t="shared" si="35"/>
        <v>0.18877140626779254</v>
      </c>
      <c r="DF15" s="5">
        <f t="shared" si="35"/>
        <v>0.20559257407560289</v>
      </c>
      <c r="DL15" s="10"/>
      <c r="DM15" s="10"/>
      <c r="DN15" s="10"/>
      <c r="DO15" s="10"/>
      <c r="DP15" s="10"/>
      <c r="DQ15" s="10"/>
      <c r="DR15" s="10"/>
      <c r="ED15" s="10"/>
      <c r="EE15" s="10"/>
      <c r="EF15" s="10"/>
      <c r="FA15" s="4">
        <f t="shared" ref="FA15:FA17" si="36">CQ15</f>
        <v>0.20255153606460594</v>
      </c>
    </row>
    <row r="16" spans="7:173" ht="12" customHeight="1" x14ac:dyDescent="0.3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4">
        <f t="shared" si="14"/>
        <v>1.7054171816068107</v>
      </c>
      <c r="AU16" s="4"/>
      <c r="AV16" s="4">
        <f>MIN(AV19:AV449)</f>
        <v>0.77786069301609739</v>
      </c>
      <c r="AX16" s="7"/>
      <c r="AY16" s="7"/>
      <c r="AZ16" s="39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 t="s">
        <v>378</v>
      </c>
      <c r="CI16" s="7"/>
      <c r="CJ16" s="7"/>
      <c r="CK16" s="7"/>
      <c r="CL16" s="7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10"/>
      <c r="DM16" s="10"/>
      <c r="DO16" s="4">
        <f>(DO17-DP17)*4*DT17</f>
        <v>-1.87987201748873</v>
      </c>
      <c r="DP16" s="4">
        <f>3*DP17+0.5</f>
        <v>3.0331702057417442</v>
      </c>
      <c r="DQ16" s="10"/>
      <c r="DR16" s="10"/>
      <c r="DT16" s="4">
        <f>DT17^2</f>
        <v>5.9970733428796921</v>
      </c>
      <c r="ED16" s="10"/>
      <c r="EE16" s="10"/>
      <c r="EF16" s="10"/>
      <c r="FA16" s="4">
        <f t="shared" si="36"/>
        <v>1.7054171816068107</v>
      </c>
    </row>
    <row r="17" spans="1:184" ht="12" customHeight="1" x14ac:dyDescent="0.3">
      <c r="T17" s="4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7"/>
      <c r="AY17" s="7"/>
      <c r="AZ17" s="39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0.69730791094744238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10"/>
      <c r="DM17" s="10"/>
      <c r="DN17" s="4">
        <f>AVERAGE(DN19:DN449)</f>
        <v>0.34388828740873584</v>
      </c>
      <c r="DO17" s="4">
        <f>DN17^0.4</f>
        <v>0.65247962384151792</v>
      </c>
      <c r="DP17" s="4">
        <f>1/1.4*(1-DN17^1.4)/(1-DN17)</f>
        <v>0.84439006858058141</v>
      </c>
      <c r="DQ17" s="10"/>
      <c r="DR17" s="10"/>
      <c r="DT17" s="4">
        <f>AVERAGE(DT52:DT449)</f>
        <v>2.4488922685327936</v>
      </c>
      <c r="ED17" s="10"/>
      <c r="EE17" s="10"/>
      <c r="EF17" s="10"/>
      <c r="FA17" s="4">
        <f t="shared" si="36"/>
        <v>0.47564989032534455</v>
      </c>
    </row>
    <row r="18" spans="1:184" ht="80.25" customHeight="1" x14ac:dyDescent="0.3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0" t="s">
        <v>0</v>
      </c>
      <c r="G18" s="50" t="s">
        <v>4</v>
      </c>
      <c r="H18" s="50" t="s">
        <v>220</v>
      </c>
      <c r="I18" s="11" t="s">
        <v>74</v>
      </c>
      <c r="J18" s="50" t="s">
        <v>221</v>
      </c>
      <c r="K18" s="50" t="s">
        <v>52</v>
      </c>
      <c r="L18" s="11" t="s">
        <v>76</v>
      </c>
      <c r="M18" s="11" t="s">
        <v>75</v>
      </c>
      <c r="N18" s="50" t="s">
        <v>222</v>
      </c>
      <c r="O18" s="50" t="s">
        <v>223</v>
      </c>
      <c r="P18" s="50" t="s">
        <v>224</v>
      </c>
      <c r="Q18" s="49" t="s">
        <v>53</v>
      </c>
      <c r="R18" s="49" t="s">
        <v>225</v>
      </c>
      <c r="S18" s="49" t="s">
        <v>58</v>
      </c>
      <c r="T18" s="12" t="s">
        <v>59</v>
      </c>
      <c r="U18" s="12" t="s">
        <v>60</v>
      </c>
      <c r="V18" s="12" t="s">
        <v>56</v>
      </c>
      <c r="W18" s="12" t="s">
        <v>377</v>
      </c>
      <c r="X18" s="49" t="s">
        <v>57</v>
      </c>
      <c r="Y18" s="12" t="s">
        <v>65</v>
      </c>
      <c r="Z18" s="12" t="s">
        <v>187</v>
      </c>
      <c r="AA18" s="12" t="s">
        <v>186</v>
      </c>
      <c r="AB18" s="50" t="s">
        <v>78</v>
      </c>
      <c r="AC18" s="13"/>
      <c r="AD18" s="13" t="s">
        <v>226</v>
      </c>
      <c r="AE18" s="49" t="s">
        <v>227</v>
      </c>
      <c r="AF18" s="49" t="s">
        <v>228</v>
      </c>
      <c r="AG18" s="49" t="s">
        <v>73</v>
      </c>
      <c r="AH18" s="49" t="s">
        <v>228</v>
      </c>
      <c r="AI18" s="49" t="s">
        <v>228</v>
      </c>
      <c r="AJ18" s="12"/>
      <c r="AK18" s="12" t="s">
        <v>125</v>
      </c>
      <c r="AL18" s="12" t="s">
        <v>126</v>
      </c>
      <c r="AM18" s="12" t="s">
        <v>124</v>
      </c>
      <c r="AP18" s="14" t="s">
        <v>652</v>
      </c>
      <c r="AQ18" s="38" t="s">
        <v>229</v>
      </c>
      <c r="AR18" s="38" t="s">
        <v>603</v>
      </c>
      <c r="AS18" s="38" t="s">
        <v>604</v>
      </c>
      <c r="AX18" s="14" t="s">
        <v>1</v>
      </c>
      <c r="AY18" s="14" t="s">
        <v>61</v>
      </c>
      <c r="AZ18" s="41" t="s">
        <v>62</v>
      </c>
      <c r="BA18" s="14" t="s">
        <v>63</v>
      </c>
      <c r="BB18" s="14" t="s">
        <v>64</v>
      </c>
      <c r="BC18" s="14" t="s">
        <v>39</v>
      </c>
      <c r="BD18" s="14"/>
      <c r="BE18" s="14" t="s">
        <v>61</v>
      </c>
      <c r="BF18" s="14" t="s">
        <v>39</v>
      </c>
      <c r="BG18" s="14"/>
      <c r="BH18" s="15" t="s">
        <v>184</v>
      </c>
      <c r="BI18" s="15" t="s">
        <v>185</v>
      </c>
      <c r="BJ18" s="15"/>
      <c r="BK18" s="14" t="s">
        <v>190</v>
      </c>
      <c r="BL18" s="14" t="s">
        <v>191</v>
      </c>
      <c r="BM18" s="14" t="s">
        <v>192</v>
      </c>
      <c r="BN18" s="14" t="s">
        <v>193</v>
      </c>
      <c r="BO18" s="14" t="s">
        <v>194</v>
      </c>
      <c r="BP18" s="14" t="s">
        <v>195</v>
      </c>
      <c r="BQ18" s="14"/>
      <c r="BR18" s="14" t="s">
        <v>230</v>
      </c>
      <c r="BS18" s="14" t="s">
        <v>8</v>
      </c>
      <c r="BT18" s="14" t="s">
        <v>9</v>
      </c>
      <c r="BU18" s="14" t="s">
        <v>231</v>
      </c>
      <c r="BV18" s="14" t="s">
        <v>13</v>
      </c>
      <c r="BW18" s="4" t="s">
        <v>10</v>
      </c>
      <c r="BX18" s="9" t="s">
        <v>11</v>
      </c>
      <c r="BY18" s="9" t="s">
        <v>12</v>
      </c>
      <c r="BZ18" s="9" t="s">
        <v>14</v>
      </c>
      <c r="CA18" s="9" t="s">
        <v>15</v>
      </c>
      <c r="CB18" s="9" t="s">
        <v>16</v>
      </c>
      <c r="CC18" s="9" t="s">
        <v>208</v>
      </c>
      <c r="CD18" s="9" t="s">
        <v>209</v>
      </c>
      <c r="CE18" s="9" t="s">
        <v>210</v>
      </c>
      <c r="CF18" s="9" t="s">
        <v>211</v>
      </c>
      <c r="CG18" s="9" t="s">
        <v>212</v>
      </c>
      <c r="CH18" s="9" t="s">
        <v>17</v>
      </c>
      <c r="CI18" s="9" t="s">
        <v>18</v>
      </c>
      <c r="CJ18" s="9" t="s">
        <v>8</v>
      </c>
      <c r="CK18" s="9" t="s">
        <v>19</v>
      </c>
      <c r="CL18" s="14"/>
      <c r="CM18" s="4" t="s">
        <v>6</v>
      </c>
      <c r="CN18" s="9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14" t="s">
        <v>240</v>
      </c>
      <c r="CV18" s="14" t="s">
        <v>241</v>
      </c>
      <c r="CW18" s="14" t="s">
        <v>242</v>
      </c>
      <c r="CX18" s="14" t="s">
        <v>655</v>
      </c>
      <c r="CY18" s="14" t="s">
        <v>243</v>
      </c>
      <c r="CZ18" s="14" t="s">
        <v>244</v>
      </c>
      <c r="DA18" s="14" t="s">
        <v>201</v>
      </c>
      <c r="DB18" s="14" t="s">
        <v>202</v>
      </c>
      <c r="DC18" s="14" t="s">
        <v>366</v>
      </c>
      <c r="DD18" s="14" t="s">
        <v>656</v>
      </c>
      <c r="DE18" s="14" t="s">
        <v>203</v>
      </c>
      <c r="DF18" s="14" t="s">
        <v>204</v>
      </c>
      <c r="DG18" s="14"/>
      <c r="DH18" s="14"/>
      <c r="DI18" s="14" t="s">
        <v>7</v>
      </c>
      <c r="DJ18" s="14"/>
      <c r="DK18" s="14" t="s">
        <v>26</v>
      </c>
      <c r="DL18" s="4" t="s">
        <v>21</v>
      </c>
      <c r="DM18" s="16" t="s">
        <v>248</v>
      </c>
      <c r="DN18" s="17" t="s">
        <v>37</v>
      </c>
      <c r="DO18" s="9" t="s">
        <v>22</v>
      </c>
      <c r="DP18" s="9" t="s">
        <v>23</v>
      </c>
      <c r="DQ18" s="9" t="s">
        <v>251</v>
      </c>
      <c r="DR18" s="9" t="s">
        <v>24</v>
      </c>
      <c r="DS18" s="9"/>
      <c r="DT18" s="18" t="s">
        <v>369</v>
      </c>
      <c r="DU18" s="18" t="s">
        <v>368</v>
      </c>
      <c r="DV18" s="9" t="s">
        <v>24</v>
      </c>
      <c r="DW18" s="9" t="s">
        <v>252</v>
      </c>
      <c r="DX18" s="9"/>
      <c r="DY18" s="9" t="s">
        <v>8</v>
      </c>
      <c r="DZ18" s="9" t="s">
        <v>9</v>
      </c>
      <c r="EA18" s="9" t="s">
        <v>231</v>
      </c>
      <c r="EB18" s="14" t="s">
        <v>13</v>
      </c>
      <c r="EC18" s="14"/>
      <c r="ED18" s="9" t="s">
        <v>24</v>
      </c>
      <c r="EE18" s="9" t="s">
        <v>653</v>
      </c>
      <c r="EF18" s="9"/>
      <c r="EG18" s="14"/>
      <c r="EH18" s="16" t="s">
        <v>248</v>
      </c>
      <c r="EI18" s="16"/>
      <c r="EJ18" s="17" t="s">
        <v>30</v>
      </c>
      <c r="EK18" s="17" t="s">
        <v>31</v>
      </c>
      <c r="EL18" s="17"/>
      <c r="EM18" s="17" t="s">
        <v>34</v>
      </c>
      <c r="EN18" s="17" t="s">
        <v>35</v>
      </c>
      <c r="EO18" s="17" t="s">
        <v>36</v>
      </c>
      <c r="EP18" s="17" t="s">
        <v>261</v>
      </c>
      <c r="EQ18" s="17" t="s">
        <v>37</v>
      </c>
      <c r="ER18" s="17" t="s">
        <v>262</v>
      </c>
      <c r="ES18" s="17" t="s">
        <v>38</v>
      </c>
      <c r="ET18" s="17" t="s">
        <v>32</v>
      </c>
      <c r="EU18" s="17" t="s">
        <v>33</v>
      </c>
      <c r="EV18" s="17" t="s">
        <v>21</v>
      </c>
      <c r="EW18" s="17" t="s">
        <v>251</v>
      </c>
      <c r="EX18" s="16" t="s">
        <v>39</v>
      </c>
      <c r="EY18" s="17" t="s">
        <v>189</v>
      </c>
      <c r="EZ18" s="17" t="s">
        <v>188</v>
      </c>
      <c r="FA18" s="17"/>
      <c r="FB18" s="9" t="s">
        <v>367</v>
      </c>
      <c r="FC18" s="9" t="s">
        <v>252</v>
      </c>
      <c r="FD18" s="9" t="s">
        <v>255</v>
      </c>
      <c r="FE18" s="9"/>
      <c r="FF18" s="9"/>
      <c r="FG18" s="9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9">
        <f>SUM(FM19:FM619)</f>
        <v>45</v>
      </c>
      <c r="FN18" s="9"/>
      <c r="FO18" s="9"/>
      <c r="FQ18" s="1" t="s">
        <v>606</v>
      </c>
      <c r="FR18" s="1" t="s">
        <v>3</v>
      </c>
      <c r="FS18" s="1"/>
      <c r="FT18" s="2" t="s">
        <v>5</v>
      </c>
      <c r="FX18" s="1" t="s">
        <v>606</v>
      </c>
      <c r="FY18" s="1" t="s">
        <v>3</v>
      </c>
      <c r="FZ18" s="1"/>
      <c r="GA18" s="2" t="s">
        <v>5</v>
      </c>
    </row>
    <row r="19" spans="1:184" s="25" customFormat="1" ht="12" customHeight="1" x14ac:dyDescent="0.3">
      <c r="A19" s="25">
        <v>1</v>
      </c>
      <c r="B19" s="26" t="s">
        <v>81</v>
      </c>
      <c r="C19" s="26"/>
      <c r="D19" s="26" t="s">
        <v>82</v>
      </c>
      <c r="E19" s="26"/>
      <c r="F19" s="27" t="s">
        <v>299</v>
      </c>
      <c r="G19" s="28">
        <f>75*6.9</f>
        <v>517.5</v>
      </c>
      <c r="H19" s="28">
        <f>0.5*25.4</f>
        <v>12.7</v>
      </c>
      <c r="I19" s="28">
        <f>H19</f>
        <v>12.7</v>
      </c>
      <c r="J19" s="28">
        <v>28.46</v>
      </c>
      <c r="K19" s="28">
        <v>25.4</v>
      </c>
      <c r="L19" s="28">
        <f>H19/K19</f>
        <v>0.5</v>
      </c>
      <c r="M19" s="28">
        <f>I19/K19</f>
        <v>0.5</v>
      </c>
      <c r="N19" s="28">
        <v>229</v>
      </c>
      <c r="O19" s="28">
        <f>(N19-K19)/2</f>
        <v>101.8</v>
      </c>
      <c r="P19" s="28">
        <v>305</v>
      </c>
      <c r="Q19" s="28">
        <v>0</v>
      </c>
      <c r="R19" s="28">
        <v>1</v>
      </c>
      <c r="S19" s="28">
        <v>45.47</v>
      </c>
      <c r="T19" s="7">
        <f t="shared" ref="T19:T82" si="42">MIN(N19/2/K19, (S19+K19/2)/K19)</f>
        <v>2.2901574803149609</v>
      </c>
      <c r="U19" s="28">
        <f>T19</f>
        <v>2.2901574803149609</v>
      </c>
      <c r="V19" s="28">
        <f>(44+25)^2/(PI()/4*K19^2)-1</f>
        <v>8.3959536742577185</v>
      </c>
      <c r="W19" s="7">
        <f t="shared" ref="W19:W51" si="43">MIN(W$16,V19)</f>
        <v>8.3959536742577185</v>
      </c>
      <c r="X19" s="28">
        <f t="shared" ref="X19:X82" si="44">W19+1</f>
        <v>9.3959536742577185</v>
      </c>
      <c r="Y19" s="28">
        <f t="shared" ref="Y19:Y59" si="45">K19*X19^0.5</f>
        <v>77.858162529590359</v>
      </c>
      <c r="Z19" s="28"/>
      <c r="AA19" s="28"/>
      <c r="AB19" s="28">
        <f>190.6/(PI()/4*K19^2)*1000</f>
        <v>376.15391100893112</v>
      </c>
      <c r="AC19" s="28"/>
      <c r="AD19" s="28"/>
      <c r="AE19" s="28"/>
      <c r="AF19" s="28"/>
      <c r="AG19" s="28">
        <v>1</v>
      </c>
      <c r="AH19" s="28"/>
      <c r="AI19" s="28"/>
      <c r="AJ19" s="28"/>
      <c r="AK19" s="4">
        <v>35</v>
      </c>
      <c r="AL19" s="25">
        <f>MIN(9*AK19^2,N19*(1.5*AK19+S19+K19/2))/(9*AK19^2)</f>
        <v>1</v>
      </c>
      <c r="AM19" s="25">
        <f>MIN(10*J19^0.5*AK19^1.5,100*3.9*J19^0.5*AK19^(5/3))/(PI()/4*K19^2)/R19</f>
        <v>21.800286431765276</v>
      </c>
      <c r="AN19" s="4">
        <f>MIN(0.7+0.3*(MIN(O19,S19)+0.5*K19)/1.5/H19,1)</f>
        <v>1</v>
      </c>
      <c r="AO19" s="25">
        <v>1.25</v>
      </c>
      <c r="AP19" s="25">
        <v>5</v>
      </c>
      <c r="AQ19" s="38">
        <f>AL19*AN19*AO19*AP19*AM19</f>
        <v>136.25179019853297</v>
      </c>
      <c r="AR19" s="38">
        <f>AQ19</f>
        <v>136.25179019853297</v>
      </c>
      <c r="AS19" s="38"/>
      <c r="AT19" s="38">
        <f t="shared" ref="AT19:AT49" si="46">AP19* (J19^0.5/AK19^0.5)/(PI()/4*K19^2)/R19/0.72 *(0.7+(MIN(O19,S19)+0.5*K19)/5/H19) *(N19*MIN(S19+0.5*K19+1.5*H19,1000))</f>
        <v>353.17274725274638</v>
      </c>
      <c r="AU19" s="38">
        <f t="shared" ref="AU19:AU82" si="47">AQ19/AT19</f>
        <v>0.38579361306444476</v>
      </c>
      <c r="AV19" s="38"/>
      <c r="AX19" s="25">
        <f t="shared" ref="AX19:AX51" si="48">I19/K19*J19^0.5/0.19</f>
        <v>14.038924914051726</v>
      </c>
      <c r="AY19" s="25">
        <f t="shared" ref="AY19:AY59" si="49">MIN(0.6+0.4*(U19/T19),2)</f>
        <v>1</v>
      </c>
      <c r="AZ19" s="38">
        <f>2*J19*T19*V19^0.5*AY19*0.7/0.7</f>
        <v>377.71589001257809</v>
      </c>
      <c r="BA19" s="25">
        <f t="shared" ref="BA19:BA59" si="50">MAX(1-0.7*W19/5,0.3)</f>
        <v>0.3</v>
      </c>
      <c r="BB19" s="25">
        <f t="shared" ref="BB19:BB82" si="51">BA19*G19*I19/(G19*K19/2.75/J19^0.5)</f>
        <v>2.2006014802776082</v>
      </c>
      <c r="BC19" s="25">
        <f t="shared" ref="BC19:BC82" si="52">AZ19+BB19</f>
        <v>379.9164914928557</v>
      </c>
      <c r="BE19" s="36">
        <f t="shared" ref="BE19:BE82" si="53">MAX(1, (0.9+0.1*MIN(2,T19-0.5))*(0.9+0.1*MIN(3.5,O19/O19))+0.45*MIN(2.5,(40*2*PI()*AE19^2/4/AG19/R19)/K19))</f>
        <v>1.0790157480314961</v>
      </c>
      <c r="BF19" s="36">
        <f t="shared" ref="BF19:BF82" si="54">(1.6*M19+22)*BE19*J19^0.5</f>
        <v>131.24418733049674</v>
      </c>
      <c r="BK19" s="25">
        <f t="shared" ref="BK19:BK51" si="55">IF(R19=1,O19,MIN(O19,Q19/2+6.4))</f>
        <v>101.8</v>
      </c>
      <c r="BL19" s="25">
        <f t="shared" ref="BL19:BL51" si="56">MIN(S19,BK19)</f>
        <v>45.47</v>
      </c>
      <c r="BM19" s="25">
        <f t="shared" ref="BM19:BM51" si="57">MAX(S19,BK19)</f>
        <v>101.8</v>
      </c>
      <c r="BN19" s="25">
        <f t="shared" ref="BN19:BN51" si="58">BL19+K19/2</f>
        <v>58.17</v>
      </c>
      <c r="BO19" s="25">
        <f t="shared" ref="BO19:BO51" si="59">MIN(1.25, 0.1*BM19/BL19+0.9)</f>
        <v>1.1238838794809765</v>
      </c>
      <c r="BP19" s="25">
        <f>MIN(4, (BN19*BO19+(6*J19^0.5*(0.03*K19+0.22)*(AE19^2/4*PI())*2/AG19/R19))/K19)</f>
        <v>2.573871073598756</v>
      </c>
      <c r="BR19" s="25">
        <f t="shared" ref="BR19:BR51" si="60">IF(Q19=0,O19,MIN(Q19/2,O19))</f>
        <v>101.8</v>
      </c>
      <c r="BV19" s="29"/>
      <c r="BX19" s="29"/>
      <c r="BY19" s="29"/>
      <c r="BZ19" s="29">
        <f t="shared" ref="BZ19:BZ51" si="61">IF(Q19=0,MIN(O19,P19),MIN(Q19/2,O19,P19))</f>
        <v>101.8</v>
      </c>
      <c r="CA19" s="29">
        <f t="shared" ref="CA19:CA51" si="62">MAX(Q19/2,O19)</f>
        <v>101.8</v>
      </c>
      <c r="CB19" s="29">
        <f t="shared" ref="CB19:CB82" si="63">(BZ19/K19)^0.5*(CA19/BZ19)^0.15</f>
        <v>2.001967536137395</v>
      </c>
      <c r="CC19" s="29">
        <v>0</v>
      </c>
      <c r="CD19" s="29">
        <f t="shared" ref="CD19:CD37" si="64">MIN(PI()*AE19^2/4*AF19*2/R19/K19/MAX(0.01,AG19),0.05)</f>
        <v>0</v>
      </c>
      <c r="CE19" s="29">
        <f t="shared" ref="CE19:CE82" si="65">MAX(0,CC19*(CD19-0.5/50))</f>
        <v>0</v>
      </c>
      <c r="CF19" s="29">
        <f t="shared" ref="CF19:CF51" si="66">MIN(1,(25/K19)^0.3)</f>
        <v>0.99524931562137331</v>
      </c>
      <c r="CG19" s="29">
        <f t="shared" ref="CG19:CG51" si="67">IF(G19&gt;=800,0.68,IF(G19&gt;=700,0.75-(G19-700)*0.07/100,IF(G19&gt;=600,0.85-(G19-600)*0.1/100,IF(G19&gt;=500,1-(G19-500)*0.15/100,1.2-(G19-400)*0.2/100))))</f>
        <v>0.97375</v>
      </c>
      <c r="CH19" s="29">
        <f t="shared" ref="CH19:CH82" si="68">1.75*CF19*CG19*(J19/25)^0.5</f>
        <v>1.8095260954698043</v>
      </c>
      <c r="CI19" s="29">
        <f t="shared" ref="CI19:CI82" si="69">MIN((CB19+CE19)*CH19,2.5*CH19,J19^0.5)</f>
        <v>3.6226124989240045</v>
      </c>
      <c r="CJ19" s="29">
        <v>1</v>
      </c>
      <c r="CK19" s="2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25">
        <f t="shared" ref="DI19:DI51" si="72">H19</f>
        <v>12.7</v>
      </c>
      <c r="DJ19" s="25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3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4"/>
      <c r="DU19" s="4">
        <f>MIN(DT$10*AT19)</f>
        <v>353.17274725274638</v>
      </c>
      <c r="DY19" s="25">
        <f t="shared" ref="DY19:DY51" si="80">IF(P19&gt;1*K19,0.85,1)</f>
        <v>0.85</v>
      </c>
      <c r="DZ19" s="25">
        <f t="shared" ref="DZ19:DZ82" si="81">MIN(1,MAX(0.7,(1-0.1*(BR19-1*K19)/K19)))</f>
        <v>0.7</v>
      </c>
      <c r="EA19" s="25">
        <f t="shared" ref="EA19:EA82" si="82">MIN(1,MAX(0.7,1-0.3*(PI()*AE19^2/4*AF19*2-0.25*PI()/4*K19^2)/(PI()/4*K19^2)))</f>
        <v>1</v>
      </c>
      <c r="EB19" s="25">
        <f t="shared" ref="EB19:EB82" si="83">IF(DZ19*EA19&lt;0.7,0.7,DZ19*EA19)</f>
        <v>0.7</v>
      </c>
      <c r="ED19" s="4">
        <f>MIN(DM19/K19*3*H19+EE19-FB19,MAX(G19,AB19))</f>
        <v>517.5</v>
      </c>
      <c r="EE19" s="25">
        <f>8.8*N19*508*J19^0.5/R19/K19^2/H19^0.5*(0.7+MIN(S19,O19)/5/H19)</f>
        <v>3363.6638970811728</v>
      </c>
      <c r="EH19" s="4">
        <f t="shared" ref="EH19:EH82" si="84">IF(K19&lt;22.2,1.1*5*(J19/30)^0.5,IF(K19&gt;=31.8,0.9*5*(J19/30)^0.5,1*5*(J19/30)^0.5))/DY19/EB19</f>
        <v>8.1848336869692275</v>
      </c>
      <c r="EI19" s="25">
        <f t="shared" ref="EI19:EI51" si="85">IF(K19&lt;22.2,1.1*5*(J19/30)^0.5,IF(K19&gt;=31.8,0.9*5*(J19/30)^0.5,1*5*(J19/30)^0.5))*BP19/2.5</f>
        <v>5.0138761872474067</v>
      </c>
      <c r="EK19" s="4">
        <f t="shared" ref="EK19:EK51" si="86">EL19*K19</f>
        <v>77.858162529590359</v>
      </c>
      <c r="EL19" s="4">
        <f t="shared" ref="EL19:EL51" si="87">X19^0.5</f>
        <v>3.0652819893539514</v>
      </c>
      <c r="EM19" s="4">
        <f t="shared" ref="EM19:EM51" si="88">MIN(DU19)/(4700*J19^0.5)/W19*EK19</f>
        <v>0.130618891639665</v>
      </c>
      <c r="EP19" s="25">
        <f t="shared" ref="EP19:EP51" si="89">EM19</f>
        <v>0.130618891639665</v>
      </c>
      <c r="EQ19" s="25">
        <f t="shared" ref="EQ19:EQ51" si="90">MIN(0.999, EP19/(0.3*(J19/30)^0.5))</f>
        <v>0.44702099307513243</v>
      </c>
      <c r="ER19" s="4">
        <f t="shared" ref="ER19:ER51" si="91">EH19/1*EQ19^0.4</f>
        <v>5.9311789414130152</v>
      </c>
      <c r="ES19" s="25">
        <f t="shared" ref="ES19:ES51" si="92">EH19/1.4*(1-EQ19^1.4)/(1-EQ19)</f>
        <v>7.1476133518602776</v>
      </c>
      <c r="ET19" s="4">
        <f t="shared" ref="ET19:ET51" si="93">MAX(0,DI19*ET$9-EK19)</f>
        <v>0</v>
      </c>
      <c r="EU19" s="4">
        <f t="shared" ref="EU19:EU51" si="94">MAX(0,DI19-EK19-ET19)</f>
        <v>0</v>
      </c>
      <c r="EV19" s="25">
        <f t="shared" ref="EV19:EV82" si="95">EU19/(1-0.3*(J19/30)^0.5)/200000/K19</f>
        <v>0</v>
      </c>
      <c r="EW19" s="25">
        <f t="shared" ref="EW19:EW51" si="96">MAX(0.5*EH19, (1-2*EV19*(EK19*ER19+ET19*ES19))/(1/EH19+EV19*EU19))</f>
        <v>8.1848336869692275</v>
      </c>
      <c r="EX19" s="4">
        <f t="shared" ref="EX19:EX51" si="97">MIN(4/K19*(1*ER19*EK19+ES19*EY19+EZ19*EW19)+DU19,MAX(G19,AB19))</f>
        <v>425.89569119174138</v>
      </c>
      <c r="EY19" s="4">
        <f t="shared" ref="EY19:EY51" si="98">IF(DJ19&lt;=ET$9, MAX(0,DI19*DJ19-EK19), MAX(0,DI19*ET$9-EK19))</f>
        <v>0</v>
      </c>
      <c r="EZ19" s="4">
        <f t="shared" ref="EZ19:EZ51" si="99">MAX(0, DI19*DJ19-EY19-EK19)</f>
        <v>0</v>
      </c>
      <c r="FB19" s="4">
        <f t="shared" ref="FB19:FB82" si="100">4/K19*(1*ER19*EK19+ES19*ET19+EU19*EW19)+DU19 - (4/K19*(1*ER19*EK19+ES19*EY19+EZ19*EW19)+DU19)</f>
        <v>0</v>
      </c>
      <c r="FG19" s="23"/>
      <c r="FH19" s="23"/>
      <c r="FI19" s="23"/>
      <c r="FJ19" s="23"/>
      <c r="FK19" s="23"/>
      <c r="FL19" s="23"/>
      <c r="FM19" s="30"/>
      <c r="FN19" s="3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1.0833333333333333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10.629904887340729</v>
      </c>
      <c r="GB19" s="4"/>
    </row>
    <row r="20" spans="1:184" s="25" customFormat="1" ht="12" customHeight="1" x14ac:dyDescent="0.3">
      <c r="A20" s="25">
        <v>2</v>
      </c>
      <c r="B20" s="26" t="s">
        <v>81</v>
      </c>
      <c r="C20" s="26"/>
      <c r="D20" s="26" t="s">
        <v>82</v>
      </c>
      <c r="E20" s="26"/>
      <c r="F20" s="28" t="s">
        <v>300</v>
      </c>
      <c r="G20" s="28">
        <f t="shared" ref="G20:G51" si="105">75*6.9</f>
        <v>517.5</v>
      </c>
      <c r="H20" s="28">
        <f>0.5*25.4</f>
        <v>12.7</v>
      </c>
      <c r="I20" s="28">
        <f>H20</f>
        <v>12.7</v>
      </c>
      <c r="J20" s="28">
        <v>28.46</v>
      </c>
      <c r="K20" s="28">
        <v>25.4</v>
      </c>
      <c r="L20" s="28">
        <f t="shared" ref="L20:L51" si="106">H20/K20</f>
        <v>0.5</v>
      </c>
      <c r="M20" s="28">
        <f t="shared" ref="M20:M51" si="107">I20/K20</f>
        <v>0.5</v>
      </c>
      <c r="N20" s="28">
        <v>229</v>
      </c>
      <c r="O20" s="28">
        <f t="shared" ref="O20:O83" si="108">(N20-K20)/2</f>
        <v>101.8</v>
      </c>
      <c r="P20" s="28">
        <v>305</v>
      </c>
      <c r="Q20" s="28">
        <v>0</v>
      </c>
      <c r="R20" s="28">
        <v>1</v>
      </c>
      <c r="S20" s="28">
        <v>45.39</v>
      </c>
      <c r="T20" s="7">
        <f t="shared" si="42"/>
        <v>2.2870078740157482</v>
      </c>
      <c r="U20" s="28">
        <f t="shared" ref="U20:U51" si="109">T20</f>
        <v>2.2870078740157482</v>
      </c>
      <c r="V20" s="28">
        <f t="shared" ref="V20:V51" si="110">(44+25)^2/(PI()/4*K20^2)-1</f>
        <v>8.3959536742577185</v>
      </c>
      <c r="W20" s="7">
        <f t="shared" si="43"/>
        <v>8.3959536742577185</v>
      </c>
      <c r="X20" s="28">
        <f t="shared" si="44"/>
        <v>9.3959536742577185</v>
      </c>
      <c r="Y20" s="28">
        <f t="shared" si="45"/>
        <v>77.858162529590359</v>
      </c>
      <c r="Z20" s="28"/>
      <c r="AA20" s="28"/>
      <c r="AB20" s="28">
        <f>196.74/(PI()/4*K20^2)*1000</f>
        <v>388.27135599106572</v>
      </c>
      <c r="AC20" s="28"/>
      <c r="AD20" s="28"/>
      <c r="AE20" s="28"/>
      <c r="AF20" s="28"/>
      <c r="AG20" s="28">
        <v>1</v>
      </c>
      <c r="AH20" s="28"/>
      <c r="AI20" s="28"/>
      <c r="AJ20" s="28"/>
      <c r="AK20" s="4">
        <v>1</v>
      </c>
      <c r="AL20" s="25">
        <f t="shared" ref="AL20:AL51" si="111">MIN(9*AK20^2,N20*(1.5*AK20+S20+K20/2))/(9*AK20^2)</f>
        <v>1</v>
      </c>
      <c r="AM20" s="25">
        <f t="shared" ref="AM20:AM83" si="112">MIN(10*J20^0.5*AK20^1.5,100*3.9*J20^0.5*AK20^(5/3))/(PI()/4*K20^2)/R20</f>
        <v>0.10528345618346728</v>
      </c>
      <c r="AN20" s="4">
        <f t="shared" ref="AN20:AN83" si="113">MIN(0.7+0.3*(MIN(O20,S20)+0.5*K20)/1.5/H20,1)</f>
        <v>1</v>
      </c>
      <c r="AO20" s="25">
        <v>1.25</v>
      </c>
      <c r="AP20" s="25">
        <f t="shared" ref="AP20:AP83" si="114">AP19</f>
        <v>5</v>
      </c>
      <c r="AQ20" s="38">
        <f t="shared" ref="AQ20:AQ83" si="115">AL20*AN20*AO20*AP20*AM20</f>
        <v>0.65802160114667052</v>
      </c>
      <c r="AR20" s="38">
        <f t="shared" ref="AR20:AR83" si="116">AQ20</f>
        <v>0.65802160114667052</v>
      </c>
      <c r="AS20" s="38"/>
      <c r="AT20" s="38">
        <f t="shared" si="46"/>
        <v>2085.6063759609842</v>
      </c>
      <c r="AU20" s="38">
        <f t="shared" si="47"/>
        <v>3.155061322841776E-4</v>
      </c>
      <c r="AV20" s="38"/>
      <c r="AX20" s="25">
        <f t="shared" si="48"/>
        <v>14.038924914051726</v>
      </c>
      <c r="AY20" s="25">
        <f t="shared" si="49"/>
        <v>1</v>
      </c>
      <c r="AZ20" s="38">
        <f t="shared" ref="AZ20:AZ83" si="117">2*J20*T20*V20^0.5*AY20*0.7/0.7</f>
        <v>377.19642514751001</v>
      </c>
      <c r="BA20" s="25">
        <f t="shared" si="50"/>
        <v>0.3</v>
      </c>
      <c r="BB20" s="25">
        <f t="shared" si="51"/>
        <v>2.2006014802776082</v>
      </c>
      <c r="BC20" s="25">
        <f t="shared" si="52"/>
        <v>379.39702662778762</v>
      </c>
      <c r="BE20" s="36">
        <f t="shared" si="53"/>
        <v>1.0787007874015748</v>
      </c>
      <c r="BF20" s="36">
        <f t="shared" si="54"/>
        <v>131.20587764688875</v>
      </c>
      <c r="BK20" s="25">
        <f t="shared" si="55"/>
        <v>101.8</v>
      </c>
      <c r="BL20" s="25">
        <f t="shared" si="56"/>
        <v>45.39</v>
      </c>
      <c r="BM20" s="25">
        <f t="shared" si="57"/>
        <v>101.8</v>
      </c>
      <c r="BN20" s="25">
        <f t="shared" si="58"/>
        <v>58.09</v>
      </c>
      <c r="BO20" s="25">
        <f t="shared" si="59"/>
        <v>1.1242784754351178</v>
      </c>
      <c r="BP20" s="25">
        <f t="shared" ref="BP20:BP83" si="118">MIN(4, (BN20*BO20+(6*J20^0.5*(0.03*K20+0.22)*(AE20^2/4*PI())*2/AG20/R20))/K20)</f>
        <v>2.5712337259065356</v>
      </c>
      <c r="BR20" s="25">
        <f t="shared" si="60"/>
        <v>101.8</v>
      </c>
      <c r="BV20" s="29"/>
      <c r="BX20" s="29"/>
      <c r="BY20" s="29"/>
      <c r="BZ20" s="29">
        <f t="shared" si="61"/>
        <v>101.8</v>
      </c>
      <c r="CA20" s="29">
        <f t="shared" si="62"/>
        <v>101.8</v>
      </c>
      <c r="CB20" s="29">
        <f t="shared" si="63"/>
        <v>2.001967536137395</v>
      </c>
      <c r="CC20" s="29">
        <v>0</v>
      </c>
      <c r="CD20" s="29">
        <f t="shared" si="64"/>
        <v>0</v>
      </c>
      <c r="CE20" s="29">
        <f t="shared" si="65"/>
        <v>0</v>
      </c>
      <c r="CF20" s="29">
        <f t="shared" si="66"/>
        <v>0.99524931562137331</v>
      </c>
      <c r="CG20" s="29">
        <f t="shared" si="67"/>
        <v>0.97375</v>
      </c>
      <c r="CH20" s="29">
        <f t="shared" si="68"/>
        <v>1.8095260954698043</v>
      </c>
      <c r="CI20" s="29">
        <f t="shared" si="69"/>
        <v>3.6226124989240045</v>
      </c>
      <c r="CJ20" s="29">
        <v>1</v>
      </c>
      <c r="CK20" s="2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25">
        <f t="shared" si="72"/>
        <v>12.7</v>
      </c>
      <c r="DJ20" s="25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38">
        <f t="shared" ref="DR20:DR83" si="119">MIN(1/K20*(4*Y20*(DO20-DP20)+(3*DP20+DQ20)*H20)+DU20 -FB20,MAX(G20,AB20))</f>
        <v>517.5</v>
      </c>
      <c r="DS20" s="4">
        <f t="shared" si="79"/>
        <v>1</v>
      </c>
      <c r="DT20" s="4"/>
      <c r="DU20" s="4">
        <f t="shared" ref="DU20:DU83" si="120">MIN(DT$10*AT20)</f>
        <v>2085.6063759609842</v>
      </c>
      <c r="DY20" s="25">
        <f t="shared" si="80"/>
        <v>0.85</v>
      </c>
      <c r="DZ20" s="25">
        <f t="shared" si="81"/>
        <v>0.7</v>
      </c>
      <c r="EA20" s="25">
        <f t="shared" si="82"/>
        <v>1</v>
      </c>
      <c r="EB20" s="25">
        <f t="shared" si="83"/>
        <v>0.7</v>
      </c>
      <c r="ED20" s="4">
        <f t="shared" ref="ED20:ED83" si="121">MIN(DM20/K20*3*H20+EE20-FB20,MAX(G20,AB20))</f>
        <v>517.5</v>
      </c>
      <c r="EE20" s="25">
        <f t="shared" ref="EE20:EE83" si="122">8.8*N20*508*J20^0.5/R20/K20^2/H20^0.5*(0.7+MIN(S20,O20)/5/H20)</f>
        <v>3360.6713135428445</v>
      </c>
      <c r="EH20" s="4">
        <f t="shared" si="84"/>
        <v>8.1848336869692275</v>
      </c>
      <c r="EI20" s="25">
        <f t="shared" si="85"/>
        <v>5.0087386592153482</v>
      </c>
      <c r="EK20" s="4">
        <f t="shared" si="86"/>
        <v>77.858162529590359</v>
      </c>
      <c r="EL20" s="4">
        <f t="shared" si="87"/>
        <v>3.0652819893539514</v>
      </c>
      <c r="EM20" s="4">
        <f t="shared" si="88"/>
        <v>0.77134941850336602</v>
      </c>
      <c r="EP20" s="25">
        <f t="shared" si="89"/>
        <v>0.77134941850336602</v>
      </c>
      <c r="EQ20" s="25">
        <f t="shared" si="90"/>
        <v>0.999</v>
      </c>
      <c r="ER20" s="4">
        <f t="shared" si="91"/>
        <v>8.1815587707902271</v>
      </c>
      <c r="ES20" s="25">
        <f t="shared" si="92"/>
        <v>8.1831963927074298</v>
      </c>
      <c r="ET20" s="4">
        <f t="shared" si="93"/>
        <v>0</v>
      </c>
      <c r="EU20" s="4">
        <f t="shared" si="94"/>
        <v>0</v>
      </c>
      <c r="EV20" s="25">
        <f t="shared" si="95"/>
        <v>0</v>
      </c>
      <c r="EW20" s="25">
        <f t="shared" si="96"/>
        <v>8.1848336869692275</v>
      </c>
      <c r="EX20" s="4">
        <f t="shared" si="97"/>
        <v>517.5</v>
      </c>
      <c r="EY20" s="4">
        <f t="shared" si="98"/>
        <v>0</v>
      </c>
      <c r="EZ20" s="4">
        <f t="shared" si="99"/>
        <v>0</v>
      </c>
      <c r="FB20" s="4">
        <f t="shared" si="100"/>
        <v>0</v>
      </c>
      <c r="FG20" s="23"/>
      <c r="FH20" s="23"/>
      <c r="FI20" s="23"/>
      <c r="FJ20" s="23"/>
      <c r="FK20" s="23"/>
      <c r="FL20" s="23"/>
      <c r="FM20" s="30"/>
      <c r="FN20" s="30"/>
      <c r="FX20" s="4">
        <f t="shared" si="101"/>
        <v>1</v>
      </c>
      <c r="FY20" s="4">
        <f t="shared" si="102"/>
        <v>1.0833333333333333</v>
      </c>
      <c r="FZ20" s="4">
        <f t="shared" si="103"/>
        <v>0</v>
      </c>
      <c r="GA20" s="4">
        <f t="shared" si="104"/>
        <v>10.629904887340729</v>
      </c>
      <c r="GB20" s="4"/>
    </row>
    <row r="21" spans="1:184" s="25" customFormat="1" ht="12" customHeight="1" x14ac:dyDescent="0.3">
      <c r="A21" s="25">
        <v>3</v>
      </c>
      <c r="B21" s="26" t="s">
        <v>81</v>
      </c>
      <c r="C21" s="26"/>
      <c r="D21" s="26" t="s">
        <v>82</v>
      </c>
      <c r="E21" s="26"/>
      <c r="F21" s="28" t="s">
        <v>301</v>
      </c>
      <c r="G21" s="28">
        <f t="shared" si="105"/>
        <v>517.5</v>
      </c>
      <c r="H21" s="28">
        <f>0.5*25.4</f>
        <v>12.7</v>
      </c>
      <c r="I21" s="28">
        <f t="shared" ref="I21:I51" si="123">H21</f>
        <v>12.7</v>
      </c>
      <c r="J21" s="28">
        <v>28.46</v>
      </c>
      <c r="K21" s="28">
        <v>25.4</v>
      </c>
      <c r="L21" s="28">
        <f t="shared" si="106"/>
        <v>0.5</v>
      </c>
      <c r="M21" s="28">
        <f t="shared" si="107"/>
        <v>0.5</v>
      </c>
      <c r="N21" s="28">
        <v>229</v>
      </c>
      <c r="O21" s="28">
        <f t="shared" si="108"/>
        <v>101.8</v>
      </c>
      <c r="P21" s="28">
        <v>305</v>
      </c>
      <c r="Q21" s="28">
        <v>0</v>
      </c>
      <c r="R21" s="28">
        <v>1</v>
      </c>
      <c r="S21" s="28">
        <v>47.12</v>
      </c>
      <c r="T21" s="7">
        <f t="shared" si="42"/>
        <v>2.3551181102362202</v>
      </c>
      <c r="U21" s="28">
        <f t="shared" si="109"/>
        <v>2.3551181102362202</v>
      </c>
      <c r="V21" s="28">
        <f t="shared" si="110"/>
        <v>8.3959536742577185</v>
      </c>
      <c r="W21" s="7">
        <f t="shared" si="43"/>
        <v>8.3959536742577185</v>
      </c>
      <c r="X21" s="28">
        <f t="shared" si="44"/>
        <v>9.3959536742577185</v>
      </c>
      <c r="Y21" s="28">
        <f t="shared" si="45"/>
        <v>77.858162529590359</v>
      </c>
      <c r="Z21" s="28"/>
      <c r="AA21" s="28"/>
      <c r="AB21" s="28">
        <f>184.68/(PI()/4*K21^2)*1000</f>
        <v>364.47064157990252</v>
      </c>
      <c r="AC21" s="28"/>
      <c r="AD21" s="28"/>
      <c r="AE21" s="28"/>
      <c r="AF21" s="28"/>
      <c r="AG21" s="28">
        <v>1</v>
      </c>
      <c r="AH21" s="28"/>
      <c r="AI21" s="28"/>
      <c r="AJ21" s="28"/>
      <c r="AK21" s="4">
        <v>1</v>
      </c>
      <c r="AL21" s="25">
        <f t="shared" si="111"/>
        <v>1</v>
      </c>
      <c r="AM21" s="25">
        <f t="shared" si="112"/>
        <v>0.10528345618346728</v>
      </c>
      <c r="AN21" s="4">
        <f t="shared" si="113"/>
        <v>1</v>
      </c>
      <c r="AO21" s="25">
        <v>1.25</v>
      </c>
      <c r="AP21" s="25">
        <f t="shared" si="114"/>
        <v>5</v>
      </c>
      <c r="AQ21" s="38">
        <f t="shared" si="115"/>
        <v>0.65802160114667052</v>
      </c>
      <c r="AR21" s="38">
        <f t="shared" si="116"/>
        <v>0.65802160114667052</v>
      </c>
      <c r="AS21" s="38"/>
      <c r="AT21" s="38">
        <f t="shared" si="46"/>
        <v>2168.3561324959337</v>
      </c>
      <c r="AU21" s="38">
        <f t="shared" si="47"/>
        <v>3.0346564906256443E-4</v>
      </c>
      <c r="AV21" s="38"/>
      <c r="AX21" s="25">
        <f t="shared" si="48"/>
        <v>14.038924914051726</v>
      </c>
      <c r="AY21" s="25">
        <f t="shared" si="49"/>
        <v>1</v>
      </c>
      <c r="AZ21" s="38">
        <f t="shared" si="117"/>
        <v>388.42985285460571</v>
      </c>
      <c r="BA21" s="25">
        <f t="shared" si="50"/>
        <v>0.3</v>
      </c>
      <c r="BB21" s="25">
        <f t="shared" si="51"/>
        <v>2.2006014802776082</v>
      </c>
      <c r="BC21" s="25">
        <f t="shared" si="52"/>
        <v>390.63045433488332</v>
      </c>
      <c r="BE21" s="36">
        <f t="shared" si="53"/>
        <v>1.0855118110236219</v>
      </c>
      <c r="BF21" s="36">
        <f t="shared" si="54"/>
        <v>132.03432455491136</v>
      </c>
      <c r="BK21" s="25">
        <f t="shared" si="55"/>
        <v>101.8</v>
      </c>
      <c r="BL21" s="25">
        <f t="shared" si="56"/>
        <v>47.12</v>
      </c>
      <c r="BM21" s="25">
        <f t="shared" si="57"/>
        <v>101.8</v>
      </c>
      <c r="BN21" s="25">
        <f t="shared" si="58"/>
        <v>59.819999999999993</v>
      </c>
      <c r="BO21" s="25">
        <f t="shared" si="59"/>
        <v>1.1160441426146011</v>
      </c>
      <c r="BP21" s="25">
        <f t="shared" si="118"/>
        <v>2.6284157720947023</v>
      </c>
      <c r="BR21" s="25">
        <f t="shared" si="60"/>
        <v>101.8</v>
      </c>
      <c r="BV21" s="29"/>
      <c r="BX21" s="29"/>
      <c r="BY21" s="29"/>
      <c r="BZ21" s="29">
        <f t="shared" si="61"/>
        <v>101.8</v>
      </c>
      <c r="CA21" s="29">
        <f t="shared" si="62"/>
        <v>101.8</v>
      </c>
      <c r="CB21" s="29">
        <f t="shared" si="63"/>
        <v>2.001967536137395</v>
      </c>
      <c r="CC21" s="29">
        <v>0</v>
      </c>
      <c r="CD21" s="29">
        <f t="shared" si="64"/>
        <v>0</v>
      </c>
      <c r="CE21" s="29">
        <f t="shared" si="65"/>
        <v>0</v>
      </c>
      <c r="CF21" s="29">
        <f t="shared" si="66"/>
        <v>0.99524931562137331</v>
      </c>
      <c r="CG21" s="29">
        <f t="shared" si="67"/>
        <v>0.97375</v>
      </c>
      <c r="CH21" s="29">
        <f t="shared" si="68"/>
        <v>1.8095260954698043</v>
      </c>
      <c r="CI21" s="29">
        <f t="shared" si="69"/>
        <v>3.6226124989240045</v>
      </c>
      <c r="CJ21" s="29">
        <v>1</v>
      </c>
      <c r="CK21" s="2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25">
        <f t="shared" si="72"/>
        <v>12.7</v>
      </c>
      <c r="DJ21" s="25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38">
        <f t="shared" si="119"/>
        <v>517.5</v>
      </c>
      <c r="DS21" s="4">
        <f t="shared" si="79"/>
        <v>1</v>
      </c>
      <c r="DT21" s="4"/>
      <c r="DU21" s="4">
        <f t="shared" si="120"/>
        <v>2168.3561324959337</v>
      </c>
      <c r="DY21" s="25">
        <f t="shared" si="80"/>
        <v>0.85</v>
      </c>
      <c r="DZ21" s="25">
        <f t="shared" si="81"/>
        <v>0.7</v>
      </c>
      <c r="EA21" s="25">
        <f t="shared" si="82"/>
        <v>1</v>
      </c>
      <c r="EB21" s="25">
        <f t="shared" si="83"/>
        <v>0.7</v>
      </c>
      <c r="ED21" s="4">
        <f t="shared" si="121"/>
        <v>517.5</v>
      </c>
      <c r="EE21" s="25">
        <f t="shared" si="122"/>
        <v>3425.3859325591975</v>
      </c>
      <c r="EH21" s="4">
        <f t="shared" si="84"/>
        <v>8.1848336869692275</v>
      </c>
      <c r="EI21" s="25">
        <f t="shared" si="85"/>
        <v>5.1201287372428643</v>
      </c>
      <c r="EK21" s="4">
        <f t="shared" si="86"/>
        <v>77.858162529590359</v>
      </c>
      <c r="EL21" s="4">
        <f t="shared" si="87"/>
        <v>3.0652819893539514</v>
      </c>
      <c r="EM21" s="4">
        <f t="shared" si="88"/>
        <v>0.80195393588508823</v>
      </c>
      <c r="EP21" s="25">
        <f t="shared" si="89"/>
        <v>0.80195393588508823</v>
      </c>
      <c r="EQ21" s="25">
        <f t="shared" si="90"/>
        <v>0.999</v>
      </c>
      <c r="ER21" s="4">
        <f t="shared" si="91"/>
        <v>8.1815587707902271</v>
      </c>
      <c r="ES21" s="25">
        <f t="shared" si="92"/>
        <v>8.1831963927074298</v>
      </c>
      <c r="ET21" s="4">
        <f t="shared" si="93"/>
        <v>0</v>
      </c>
      <c r="EU21" s="4">
        <f t="shared" si="94"/>
        <v>0</v>
      </c>
      <c r="EV21" s="25">
        <f t="shared" si="95"/>
        <v>0</v>
      </c>
      <c r="EW21" s="25">
        <f t="shared" si="96"/>
        <v>8.1848336869692275</v>
      </c>
      <c r="EX21" s="4">
        <f t="shared" si="97"/>
        <v>517.5</v>
      </c>
      <c r="EY21" s="4">
        <f t="shared" si="98"/>
        <v>0</v>
      </c>
      <c r="EZ21" s="4">
        <f t="shared" si="99"/>
        <v>0</v>
      </c>
      <c r="FB21" s="4">
        <f t="shared" si="100"/>
        <v>0</v>
      </c>
      <c r="FG21" s="23"/>
      <c r="FH21" s="23"/>
      <c r="FI21" s="23"/>
      <c r="FJ21" s="23"/>
      <c r="FK21" s="23"/>
      <c r="FL21" s="23"/>
      <c r="FM21" s="30"/>
      <c r="FN21" s="30"/>
      <c r="FX21" s="4">
        <f t="shared" si="101"/>
        <v>1</v>
      </c>
      <c r="FY21" s="4">
        <f t="shared" si="102"/>
        <v>1.0833333333333333</v>
      </c>
      <c r="FZ21" s="4">
        <f t="shared" si="103"/>
        <v>0</v>
      </c>
      <c r="GA21" s="4">
        <f t="shared" si="104"/>
        <v>10.629904887340729</v>
      </c>
      <c r="GB21" s="4"/>
    </row>
    <row r="22" spans="1:184" ht="12" customHeight="1" x14ac:dyDescent="0.3">
      <c r="A22" s="25">
        <v>4</v>
      </c>
      <c r="B22" s="26" t="s">
        <v>81</v>
      </c>
      <c r="C22" s="26"/>
      <c r="D22" s="26" t="s">
        <v>82</v>
      </c>
      <c r="E22" s="26"/>
      <c r="F22" s="7" t="s">
        <v>84</v>
      </c>
      <c r="G22" s="28">
        <f t="shared" si="105"/>
        <v>517.5</v>
      </c>
      <c r="H22" s="7">
        <f t="shared" ref="H22:H23" si="124">11.25*25.4</f>
        <v>285.75</v>
      </c>
      <c r="I22" s="7">
        <f t="shared" si="123"/>
        <v>285.75</v>
      </c>
      <c r="J22" s="7">
        <v>33.630000000000003</v>
      </c>
      <c r="K22" s="7">
        <v>25.4</v>
      </c>
      <c r="L22" s="7">
        <f t="shared" si="106"/>
        <v>11.25</v>
      </c>
      <c r="M22" s="7">
        <f t="shared" si="107"/>
        <v>11.25</v>
      </c>
      <c r="N22" s="7">
        <v>229</v>
      </c>
      <c r="O22" s="7">
        <f t="shared" si="108"/>
        <v>101.8</v>
      </c>
      <c r="P22" s="7">
        <v>305</v>
      </c>
      <c r="Q22" s="7">
        <v>0</v>
      </c>
      <c r="R22" s="7">
        <v>1</v>
      </c>
      <c r="S22" s="7">
        <v>47.96</v>
      </c>
      <c r="T22" s="7">
        <f t="shared" si="42"/>
        <v>2.3881889763779527</v>
      </c>
      <c r="U22" s="28">
        <f t="shared" si="109"/>
        <v>2.3881889763779527</v>
      </c>
      <c r="V22" s="28">
        <f t="shared" si="110"/>
        <v>8.3959536742577185</v>
      </c>
      <c r="W22" s="7">
        <f t="shared" si="43"/>
        <v>8.3959536742577185</v>
      </c>
      <c r="X22" s="7">
        <f t="shared" si="44"/>
        <v>9.3959536742577185</v>
      </c>
      <c r="Y22" s="7">
        <f t="shared" si="45"/>
        <v>77.858162529590359</v>
      </c>
      <c r="Z22" s="7"/>
      <c r="AA22" s="7"/>
      <c r="AB22" s="7">
        <f>244.28/(PI()/4*K22^2)*1000</f>
        <v>482.09274596674555</v>
      </c>
      <c r="AC22" s="7"/>
      <c r="AD22" s="7"/>
      <c r="AE22" s="7">
        <v>9.5</v>
      </c>
      <c r="AF22" s="7">
        <v>3</v>
      </c>
      <c r="AG22" s="7">
        <v>127</v>
      </c>
      <c r="AH22" s="7">
        <v>3</v>
      </c>
      <c r="AI22" s="7"/>
      <c r="AJ22" s="7"/>
      <c r="AK22" s="4">
        <f t="shared" ref="AK22:AK85" si="125">H22</f>
        <v>285.75</v>
      </c>
      <c r="AL22" s="4">
        <f t="shared" si="111"/>
        <v>0.15246929654353136</v>
      </c>
      <c r="AM22" s="25">
        <f t="shared" si="112"/>
        <v>552.82220346472604</v>
      </c>
      <c r="AN22" s="4">
        <f t="shared" si="113"/>
        <v>0.74245669291338579</v>
      </c>
      <c r="AO22" s="4">
        <v>1.25</v>
      </c>
      <c r="AP22" s="25">
        <f t="shared" si="114"/>
        <v>5</v>
      </c>
      <c r="AQ22" s="38">
        <f t="shared" si="115"/>
        <v>391.12809986115502</v>
      </c>
      <c r="AR22" s="38">
        <f t="shared" si="116"/>
        <v>391.12809986115502</v>
      </c>
      <c r="AT22" s="38">
        <f t="shared" si="46"/>
        <v>391.12809986115491</v>
      </c>
      <c r="AU22" s="3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38">
        <f t="shared" si="117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36">
        <f t="shared" si="53"/>
        <v>1.8798656559235878</v>
      </c>
      <c r="BF22" s="36">
        <f t="shared" si="54"/>
        <v>436.06400440250223</v>
      </c>
      <c r="BK22" s="4">
        <f t="shared" si="55"/>
        <v>101.8</v>
      </c>
      <c r="BL22" s="4">
        <f t="shared" si="56"/>
        <v>47.96</v>
      </c>
      <c r="BM22" s="4">
        <f t="shared" si="57"/>
        <v>101.8</v>
      </c>
      <c r="BN22" s="4">
        <f t="shared" si="58"/>
        <v>60.66</v>
      </c>
      <c r="BO22" s="4">
        <f t="shared" si="59"/>
        <v>1.1122602168473728</v>
      </c>
      <c r="BP22" s="25">
        <f t="shared" si="118"/>
        <v>4</v>
      </c>
      <c r="BR22" s="4">
        <f t="shared" si="60"/>
        <v>101.8</v>
      </c>
      <c r="BV22" s="9"/>
      <c r="BX22" s="9"/>
      <c r="BY22" s="9"/>
      <c r="BZ22" s="9">
        <f t="shared" si="61"/>
        <v>101.8</v>
      </c>
      <c r="CA22" s="9">
        <f t="shared" si="62"/>
        <v>101.8</v>
      </c>
      <c r="CB22" s="9">
        <f t="shared" si="63"/>
        <v>2.001967536137395</v>
      </c>
      <c r="CC22" s="9">
        <v>20</v>
      </c>
      <c r="CD22" s="9">
        <f t="shared" si="64"/>
        <v>0.05</v>
      </c>
      <c r="CE22" s="9">
        <f t="shared" si="65"/>
        <v>0.8</v>
      </c>
      <c r="CF22" s="9">
        <f t="shared" si="66"/>
        <v>0.99524931562137331</v>
      </c>
      <c r="CG22" s="9">
        <f t="shared" si="67"/>
        <v>0.97375</v>
      </c>
      <c r="CH22" s="9">
        <f t="shared" si="68"/>
        <v>1.9670293329614872</v>
      </c>
      <c r="CI22" s="9">
        <f t="shared" si="69"/>
        <v>4.9175733324037179</v>
      </c>
      <c r="CJ22" s="9">
        <v>1</v>
      </c>
      <c r="CK22" s="9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38">
        <f t="shared" si="119"/>
        <v>517.5</v>
      </c>
      <c r="DS22" s="4">
        <f t="shared" si="79"/>
        <v>1</v>
      </c>
      <c r="DU22" s="4">
        <f t="shared" si="120"/>
        <v>391.12809986115491</v>
      </c>
      <c r="DY22" s="4">
        <f t="shared" si="80"/>
        <v>0.85</v>
      </c>
      <c r="DZ22" s="4">
        <f t="shared" si="81"/>
        <v>0.7</v>
      </c>
      <c r="EA22" s="4">
        <f t="shared" si="82"/>
        <v>0.82320199640399283</v>
      </c>
      <c r="EB22" s="4">
        <f t="shared" si="83"/>
        <v>0.7</v>
      </c>
      <c r="ED22" s="4">
        <f t="shared" si="121"/>
        <v>517.5</v>
      </c>
      <c r="EE22" s="25">
        <f t="shared" si="122"/>
        <v>399.32362943258647</v>
      </c>
      <c r="EH22" s="4">
        <f t="shared" si="84"/>
        <v>8.8972510471034791</v>
      </c>
      <c r="EI22" s="4">
        <f t="shared" si="85"/>
        <v>8.470182996842512</v>
      </c>
      <c r="EK22" s="4">
        <f t="shared" si="86"/>
        <v>77.858162529590359</v>
      </c>
      <c r="EL22" s="4">
        <f t="shared" si="87"/>
        <v>3.0652819893539514</v>
      </c>
      <c r="EM22" s="4">
        <f t="shared" si="88"/>
        <v>0.13307358072180214</v>
      </c>
      <c r="EP22" s="4">
        <f t="shared" si="89"/>
        <v>0.13307358072180214</v>
      </c>
      <c r="EQ22" s="4">
        <f t="shared" si="90"/>
        <v>0.41895538981517921</v>
      </c>
      <c r="ER22" s="4">
        <f t="shared" si="91"/>
        <v>6.2823620020062467</v>
      </c>
      <c r="ES22" s="4">
        <f t="shared" si="92"/>
        <v>7.7019186230321308</v>
      </c>
      <c r="ET22" s="4">
        <f t="shared" si="93"/>
        <v>136.45433747040965</v>
      </c>
      <c r="EU22" s="4">
        <f t="shared" si="94"/>
        <v>71.4375</v>
      </c>
      <c r="EV22" s="4">
        <f t="shared" si="95"/>
        <v>2.0608377244988005E-5</v>
      </c>
      <c r="EW22" s="4">
        <f t="shared" si="96"/>
        <v>8.2247416076663136</v>
      </c>
      <c r="EX22" s="4">
        <f t="shared" si="97"/>
        <v>517.5</v>
      </c>
      <c r="EY22" s="4">
        <f t="shared" si="98"/>
        <v>136.45433747040965</v>
      </c>
      <c r="EZ22" s="4">
        <f t="shared" si="99"/>
        <v>71.437499999999986</v>
      </c>
      <c r="FB22" s="4">
        <f t="shared" si="100"/>
        <v>0</v>
      </c>
      <c r="FG22" s="23"/>
      <c r="FH22" s="23"/>
      <c r="FI22" s="23"/>
      <c r="FJ22" s="23"/>
      <c r="FK22" s="23"/>
      <c r="FL22" s="23"/>
      <c r="FM22" s="23"/>
      <c r="FN22" s="23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customHeight="1" x14ac:dyDescent="0.3">
      <c r="A23" s="25">
        <v>5</v>
      </c>
      <c r="B23" s="26" t="s">
        <v>81</v>
      </c>
      <c r="C23" s="26"/>
      <c r="D23" s="26" t="s">
        <v>82</v>
      </c>
      <c r="E23" s="26"/>
      <c r="F23" s="7" t="s">
        <v>303</v>
      </c>
      <c r="G23" s="28">
        <f t="shared" si="105"/>
        <v>517.5</v>
      </c>
      <c r="H23" s="7">
        <f t="shared" si="124"/>
        <v>285.75</v>
      </c>
      <c r="I23" s="7">
        <f t="shared" si="123"/>
        <v>285.75</v>
      </c>
      <c r="J23" s="7">
        <v>33.630000000000003</v>
      </c>
      <c r="K23" s="7">
        <v>25.4</v>
      </c>
      <c r="L23" s="7">
        <f t="shared" si="106"/>
        <v>11.25</v>
      </c>
      <c r="M23" s="7">
        <f t="shared" si="107"/>
        <v>11.25</v>
      </c>
      <c r="N23" s="7">
        <v>229</v>
      </c>
      <c r="O23" s="7">
        <f t="shared" si="108"/>
        <v>101.8</v>
      </c>
      <c r="P23" s="7">
        <v>305</v>
      </c>
      <c r="Q23" s="7">
        <v>0</v>
      </c>
      <c r="R23" s="7">
        <v>1</v>
      </c>
      <c r="S23" s="7">
        <v>50.8</v>
      </c>
      <c r="T23" s="7">
        <f t="shared" si="42"/>
        <v>2.5</v>
      </c>
      <c r="U23" s="28">
        <f t="shared" si="109"/>
        <v>2.5</v>
      </c>
      <c r="V23" s="28">
        <f t="shared" si="110"/>
        <v>8.3959536742577185</v>
      </c>
      <c r="W23" s="7">
        <f t="shared" si="43"/>
        <v>8.3959536742577185</v>
      </c>
      <c r="X23" s="7">
        <f t="shared" si="44"/>
        <v>9.3959536742577185</v>
      </c>
      <c r="Y23" s="7">
        <f t="shared" si="45"/>
        <v>77.858162529590359</v>
      </c>
      <c r="Z23" s="7"/>
      <c r="AA23" s="7"/>
      <c r="AB23" s="7">
        <f>234.45/(PI()/4*K23^2)*1000</f>
        <v>462.692992843882</v>
      </c>
      <c r="AC23" s="7"/>
      <c r="AD23" s="7"/>
      <c r="AE23" s="7">
        <v>9.5</v>
      </c>
      <c r="AF23" s="7">
        <v>3</v>
      </c>
      <c r="AG23" s="7">
        <v>127</v>
      </c>
      <c r="AH23" s="7">
        <v>3</v>
      </c>
      <c r="AI23" s="7"/>
      <c r="AJ23" s="7"/>
      <c r="AK23" s="4">
        <f t="shared" si="125"/>
        <v>285.75</v>
      </c>
      <c r="AL23" s="4">
        <f t="shared" si="111"/>
        <v>0.15335428750418542</v>
      </c>
      <c r="AM23" s="25">
        <f t="shared" si="112"/>
        <v>552.82220346472604</v>
      </c>
      <c r="AN23" s="4">
        <f t="shared" si="113"/>
        <v>0.74444444444444435</v>
      </c>
      <c r="AO23" s="4">
        <v>1.25</v>
      </c>
      <c r="AP23" s="25">
        <f t="shared" si="114"/>
        <v>5</v>
      </c>
      <c r="AQ23" s="38">
        <f t="shared" si="115"/>
        <v>394.45158983551403</v>
      </c>
      <c r="AR23" s="38">
        <f t="shared" si="116"/>
        <v>394.45158983551403</v>
      </c>
      <c r="AT23" s="38">
        <f t="shared" si="46"/>
        <v>394.45158983551386</v>
      </c>
      <c r="AU23" s="3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38">
        <f t="shared" si="117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36">
        <f t="shared" si="53"/>
        <v>1.8910467582857926</v>
      </c>
      <c r="BF23" s="36">
        <f t="shared" si="54"/>
        <v>438.65763456662262</v>
      </c>
      <c r="BK23" s="4">
        <f t="shared" si="55"/>
        <v>101.8</v>
      </c>
      <c r="BL23" s="4">
        <f t="shared" si="56"/>
        <v>50.8</v>
      </c>
      <c r="BM23" s="4">
        <f t="shared" si="57"/>
        <v>101.8</v>
      </c>
      <c r="BN23" s="4">
        <f t="shared" si="58"/>
        <v>63.5</v>
      </c>
      <c r="BO23" s="4">
        <f t="shared" si="59"/>
        <v>1.1003937007874016</v>
      </c>
      <c r="BP23" s="25">
        <f t="shared" si="118"/>
        <v>4</v>
      </c>
      <c r="BR23" s="4">
        <f t="shared" si="60"/>
        <v>101.8</v>
      </c>
      <c r="BV23" s="9"/>
      <c r="BX23" s="9"/>
      <c r="BY23" s="9"/>
      <c r="BZ23" s="9">
        <f t="shared" si="61"/>
        <v>101.8</v>
      </c>
      <c r="CA23" s="9">
        <f t="shared" si="62"/>
        <v>101.8</v>
      </c>
      <c r="CB23" s="9">
        <f t="shared" si="63"/>
        <v>2.001967536137395</v>
      </c>
      <c r="CC23" s="9">
        <v>20</v>
      </c>
      <c r="CD23" s="9">
        <f t="shared" si="64"/>
        <v>0.05</v>
      </c>
      <c r="CE23" s="9">
        <f t="shared" si="65"/>
        <v>0.8</v>
      </c>
      <c r="CF23" s="9">
        <f t="shared" si="66"/>
        <v>0.99524931562137331</v>
      </c>
      <c r="CG23" s="9">
        <f t="shared" si="67"/>
        <v>0.97375</v>
      </c>
      <c r="CH23" s="9">
        <f t="shared" si="68"/>
        <v>1.9670293329614872</v>
      </c>
      <c r="CI23" s="9">
        <f t="shared" si="69"/>
        <v>4.9175733324037179</v>
      </c>
      <c r="CJ23" s="9">
        <v>1</v>
      </c>
      <c r="CK23" s="9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38">
        <f t="shared" si="119"/>
        <v>517.5</v>
      </c>
      <c r="DS23" s="4">
        <f t="shared" si="79"/>
        <v>1</v>
      </c>
      <c r="DU23" s="4">
        <f t="shared" si="120"/>
        <v>394.45158983551386</v>
      </c>
      <c r="DY23" s="4">
        <f t="shared" si="80"/>
        <v>0.85</v>
      </c>
      <c r="DZ23" s="4">
        <f t="shared" si="81"/>
        <v>0.7</v>
      </c>
      <c r="EA23" s="4">
        <f t="shared" si="82"/>
        <v>0.82320199640399283</v>
      </c>
      <c r="EB23" s="4">
        <f t="shared" si="83"/>
        <v>0.7</v>
      </c>
      <c r="ED23" s="4">
        <f t="shared" si="121"/>
        <v>517.5</v>
      </c>
      <c r="EE23" s="25">
        <f t="shared" si="122"/>
        <v>400.40567822403813</v>
      </c>
      <c r="EH23" s="4">
        <f t="shared" si="84"/>
        <v>8.8972510471034791</v>
      </c>
      <c r="EI23" s="4">
        <f t="shared" si="85"/>
        <v>8.470182996842512</v>
      </c>
      <c r="EK23" s="4">
        <f t="shared" si="86"/>
        <v>77.858162529590359</v>
      </c>
      <c r="EL23" s="4">
        <f t="shared" si="87"/>
        <v>3.0652819893539514</v>
      </c>
      <c r="EM23" s="4">
        <f t="shared" si="88"/>
        <v>0.13420433228769058</v>
      </c>
      <c r="EP23" s="4">
        <f t="shared" si="89"/>
        <v>0.13420433228769058</v>
      </c>
      <c r="EQ23" s="4">
        <f t="shared" si="90"/>
        <v>0.42251533357337173</v>
      </c>
      <c r="ER23" s="4">
        <f t="shared" si="91"/>
        <v>6.3036607859393676</v>
      </c>
      <c r="ES23" s="4">
        <f t="shared" si="92"/>
        <v>7.7106038725457431</v>
      </c>
      <c r="ET23" s="4">
        <f t="shared" si="93"/>
        <v>136.45433747040965</v>
      </c>
      <c r="EU23" s="4">
        <f t="shared" si="94"/>
        <v>71.4375</v>
      </c>
      <c r="EV23" s="4">
        <f t="shared" si="95"/>
        <v>2.0608377244988005E-5</v>
      </c>
      <c r="EW23" s="4">
        <f t="shared" si="96"/>
        <v>8.2237123607947922</v>
      </c>
      <c r="EX23" s="4">
        <f t="shared" si="97"/>
        <v>517.5</v>
      </c>
      <c r="EY23" s="4">
        <f t="shared" si="98"/>
        <v>136.45433747040965</v>
      </c>
      <c r="EZ23" s="4">
        <f t="shared" si="99"/>
        <v>71.437499999999986</v>
      </c>
      <c r="FB23" s="4">
        <f t="shared" si="100"/>
        <v>0</v>
      </c>
      <c r="FG23" s="23"/>
      <c r="FH23" s="23"/>
      <c r="FI23" s="23"/>
      <c r="FJ23" s="23"/>
      <c r="FK23" s="23"/>
      <c r="FL23" s="23"/>
      <c r="FM23" s="23"/>
      <c r="FN23" s="23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customHeight="1" x14ac:dyDescent="0.3">
      <c r="A24" s="25">
        <v>6</v>
      </c>
      <c r="B24" s="26" t="s">
        <v>81</v>
      </c>
      <c r="C24" s="26"/>
      <c r="D24" s="26" t="s">
        <v>82</v>
      </c>
      <c r="E24" s="26"/>
      <c r="F24" s="7" t="s">
        <v>83</v>
      </c>
      <c r="G24" s="28">
        <f t="shared" si="105"/>
        <v>517.5</v>
      </c>
      <c r="H24" s="7">
        <f>11.5*25.4</f>
        <v>292.09999999999997</v>
      </c>
      <c r="I24" s="7">
        <f t="shared" si="123"/>
        <v>292.09999999999997</v>
      </c>
      <c r="J24" s="7">
        <v>33.630000000000003</v>
      </c>
      <c r="K24" s="7">
        <v>25.4</v>
      </c>
      <c r="L24" s="7">
        <f t="shared" si="106"/>
        <v>11.5</v>
      </c>
      <c r="M24" s="7">
        <f t="shared" si="107"/>
        <v>11.5</v>
      </c>
      <c r="N24" s="7">
        <v>229</v>
      </c>
      <c r="O24" s="7">
        <f t="shared" si="108"/>
        <v>101.8</v>
      </c>
      <c r="P24" s="7">
        <v>305</v>
      </c>
      <c r="Q24" s="7">
        <v>0</v>
      </c>
      <c r="R24" s="7">
        <v>1</v>
      </c>
      <c r="S24" s="7">
        <v>47.73</v>
      </c>
      <c r="T24" s="7">
        <f t="shared" si="42"/>
        <v>2.3791338582677164</v>
      </c>
      <c r="U24" s="28">
        <f t="shared" si="109"/>
        <v>2.3791338582677164</v>
      </c>
      <c r="V24" s="28">
        <f t="shared" si="110"/>
        <v>8.3959536742577185</v>
      </c>
      <c r="W24" s="7">
        <f t="shared" si="43"/>
        <v>8.3959536742577185</v>
      </c>
      <c r="X24" s="7">
        <f t="shared" si="44"/>
        <v>9.3959536742577185</v>
      </c>
      <c r="Y24" s="7">
        <f t="shared" si="45"/>
        <v>77.858162529590359</v>
      </c>
      <c r="Z24" s="7"/>
      <c r="AA24" s="7"/>
      <c r="AB24" s="7">
        <f>229.78/(PI()/4*K24^2)*1000</f>
        <v>453.47662996659079</v>
      </c>
      <c r="AC24" s="7"/>
      <c r="AD24" s="7"/>
      <c r="AE24" s="7">
        <v>9.5</v>
      </c>
      <c r="AF24" s="7">
        <v>3</v>
      </c>
      <c r="AG24" s="7">
        <v>127</v>
      </c>
      <c r="AH24" s="7">
        <v>3</v>
      </c>
      <c r="AI24" s="7"/>
      <c r="AJ24" s="7"/>
      <c r="AK24" s="4">
        <f t="shared" si="125"/>
        <v>292.09999999999997</v>
      </c>
      <c r="AL24" s="4">
        <f t="shared" si="111"/>
        <v>0.14868416294278508</v>
      </c>
      <c r="AM24" s="25">
        <f t="shared" si="112"/>
        <v>571.35160868930427</v>
      </c>
      <c r="AN24" s="4">
        <f t="shared" si="113"/>
        <v>0.74137624101335153</v>
      </c>
      <c r="AO24" s="4">
        <v>1.25</v>
      </c>
      <c r="AP24" s="25">
        <f t="shared" si="114"/>
        <v>5</v>
      </c>
      <c r="AQ24" s="38">
        <f t="shared" si="115"/>
        <v>393.62878354973896</v>
      </c>
      <c r="AR24" s="38">
        <f t="shared" si="116"/>
        <v>393.62878354973896</v>
      </c>
      <c r="AT24" s="38">
        <f t="shared" si="46"/>
        <v>393.62878354973918</v>
      </c>
      <c r="AU24" s="3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38">
        <f t="shared" si="117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36">
        <f t="shared" si="53"/>
        <v>1.8789601441125643</v>
      </c>
      <c r="BF24" s="36">
        <f t="shared" si="54"/>
        <v>440.21249645810303</v>
      </c>
      <c r="BK24" s="4">
        <f t="shared" si="55"/>
        <v>101.8</v>
      </c>
      <c r="BL24" s="4">
        <f t="shared" si="56"/>
        <v>47.73</v>
      </c>
      <c r="BM24" s="4">
        <f t="shared" si="57"/>
        <v>101.8</v>
      </c>
      <c r="BN24" s="4">
        <f t="shared" si="58"/>
        <v>60.429999999999993</v>
      </c>
      <c r="BO24" s="4">
        <f t="shared" si="59"/>
        <v>1.1132830504923528</v>
      </c>
      <c r="BP24" s="25">
        <f t="shared" si="118"/>
        <v>4</v>
      </c>
      <c r="BR24" s="4">
        <f t="shared" si="60"/>
        <v>101.8</v>
      </c>
      <c r="BV24" s="9"/>
      <c r="BX24" s="9"/>
      <c r="BY24" s="9"/>
      <c r="BZ24" s="9">
        <f t="shared" si="61"/>
        <v>101.8</v>
      </c>
      <c r="CA24" s="9">
        <f t="shared" si="62"/>
        <v>101.8</v>
      </c>
      <c r="CB24" s="9">
        <f t="shared" si="63"/>
        <v>2.001967536137395</v>
      </c>
      <c r="CC24" s="9">
        <v>20</v>
      </c>
      <c r="CD24" s="9">
        <f t="shared" si="64"/>
        <v>0.05</v>
      </c>
      <c r="CE24" s="9">
        <f t="shared" si="65"/>
        <v>0.8</v>
      </c>
      <c r="CF24" s="9">
        <f t="shared" si="66"/>
        <v>0.99524931562137331</v>
      </c>
      <c r="CG24" s="9">
        <f t="shared" si="67"/>
        <v>0.97375</v>
      </c>
      <c r="CH24" s="9">
        <f t="shared" si="68"/>
        <v>1.9670293329614872</v>
      </c>
      <c r="CI24" s="9">
        <f t="shared" si="69"/>
        <v>4.9175733324037179</v>
      </c>
      <c r="CJ24" s="9">
        <v>1</v>
      </c>
      <c r="CK24" s="9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38">
        <f t="shared" si="119"/>
        <v>517.5</v>
      </c>
      <c r="DS24" s="4">
        <f t="shared" si="79"/>
        <v>1</v>
      </c>
      <c r="DU24" s="4">
        <f t="shared" si="120"/>
        <v>393.62878354973918</v>
      </c>
      <c r="DY24" s="4">
        <f t="shared" si="80"/>
        <v>0.85</v>
      </c>
      <c r="DZ24" s="4">
        <f t="shared" si="81"/>
        <v>0.7</v>
      </c>
      <c r="EA24" s="4">
        <f t="shared" si="82"/>
        <v>0.82320199640399283</v>
      </c>
      <c r="EB24" s="4">
        <f t="shared" si="83"/>
        <v>0.7</v>
      </c>
      <c r="ED24" s="4">
        <f t="shared" si="121"/>
        <v>517.5</v>
      </c>
      <c r="EE24" s="25">
        <f t="shared" si="122"/>
        <v>394.48162132390439</v>
      </c>
      <c r="EH24" s="4">
        <f t="shared" si="84"/>
        <v>8.8972510471034791</v>
      </c>
      <c r="EI24" s="4">
        <f t="shared" si="85"/>
        <v>8.470182996842512</v>
      </c>
      <c r="EK24" s="4">
        <f t="shared" si="86"/>
        <v>77.858162529590359</v>
      </c>
      <c r="EL24" s="4">
        <f t="shared" si="87"/>
        <v>3.0652819893539514</v>
      </c>
      <c r="EM24" s="4">
        <f t="shared" si="88"/>
        <v>0.13392438876349141</v>
      </c>
      <c r="EP24" s="4">
        <f t="shared" si="89"/>
        <v>0.13392438876349141</v>
      </c>
      <c r="EQ24" s="4">
        <f t="shared" si="90"/>
        <v>0.42163398772191918</v>
      </c>
      <c r="ER24" s="4">
        <f t="shared" si="91"/>
        <v>6.2983978424284564</v>
      </c>
      <c r="ES24" s="4">
        <f t="shared" si="92"/>
        <v>7.7084558863593733</v>
      </c>
      <c r="ET24" s="4">
        <f t="shared" si="93"/>
        <v>141.21683747040964</v>
      </c>
      <c r="EU24" s="4">
        <f t="shared" si="94"/>
        <v>73.024999999999977</v>
      </c>
      <c r="EV24" s="4">
        <f t="shared" si="95"/>
        <v>2.1066341183765513E-5</v>
      </c>
      <c r="EW24" s="4">
        <f t="shared" si="96"/>
        <v>8.1932168886722874</v>
      </c>
      <c r="EX24" s="4">
        <f t="shared" si="97"/>
        <v>517.5</v>
      </c>
      <c r="EY24" s="4">
        <f t="shared" si="98"/>
        <v>141.21683747040964</v>
      </c>
      <c r="EZ24" s="4">
        <f t="shared" si="99"/>
        <v>73.024999999999963</v>
      </c>
      <c r="FB24" s="4">
        <f t="shared" si="100"/>
        <v>0</v>
      </c>
      <c r="FG24" s="23"/>
      <c r="FH24" s="23"/>
      <c r="FI24" s="23"/>
      <c r="FJ24" s="23"/>
      <c r="FK24" s="23"/>
      <c r="FL24" s="23"/>
      <c r="FM24" s="23"/>
      <c r="FN24" s="23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25" customFormat="1" ht="12" customHeight="1" x14ac:dyDescent="0.3">
      <c r="A25" s="25">
        <v>7</v>
      </c>
      <c r="B25" s="26" t="s">
        <v>81</v>
      </c>
      <c r="C25" s="26"/>
      <c r="D25" s="26" t="s">
        <v>82</v>
      </c>
      <c r="E25" s="26"/>
      <c r="F25" s="28" t="s">
        <v>85</v>
      </c>
      <c r="G25" s="28">
        <f t="shared" si="105"/>
        <v>517.5</v>
      </c>
      <c r="H25" s="28">
        <f>11.38*25.4</f>
        <v>289.05200000000002</v>
      </c>
      <c r="I25" s="28">
        <f t="shared" si="123"/>
        <v>289.05200000000002</v>
      </c>
      <c r="J25" s="28">
        <v>33.630000000000003</v>
      </c>
      <c r="K25" s="28">
        <v>25.4</v>
      </c>
      <c r="L25" s="28">
        <f t="shared" si="106"/>
        <v>11.38</v>
      </c>
      <c r="M25" s="28">
        <f t="shared" si="107"/>
        <v>11.38</v>
      </c>
      <c r="N25" s="28">
        <v>229</v>
      </c>
      <c r="O25" s="28">
        <f t="shared" si="108"/>
        <v>101.8</v>
      </c>
      <c r="P25" s="28">
        <v>305</v>
      </c>
      <c r="Q25" s="28">
        <v>0</v>
      </c>
      <c r="R25" s="28">
        <v>1</v>
      </c>
      <c r="S25" s="28">
        <v>47.68</v>
      </c>
      <c r="T25" s="7">
        <f t="shared" si="42"/>
        <v>2.3771653543307085</v>
      </c>
      <c r="U25" s="28">
        <f t="shared" si="109"/>
        <v>2.3771653543307085</v>
      </c>
      <c r="V25" s="28">
        <f t="shared" si="110"/>
        <v>8.3959536742577185</v>
      </c>
      <c r="W25" s="7">
        <f t="shared" si="43"/>
        <v>8.3959536742577185</v>
      </c>
      <c r="X25" s="28">
        <f t="shared" si="44"/>
        <v>9.3959536742577185</v>
      </c>
      <c r="Y25" s="28">
        <f t="shared" si="45"/>
        <v>77.858162529590359</v>
      </c>
      <c r="Z25" s="28"/>
      <c r="AA25" s="28"/>
      <c r="AB25" s="28">
        <f>148.74/(PI()/4*K25^2)*1000</f>
        <v>293.5421444043464</v>
      </c>
      <c r="AC25" s="28"/>
      <c r="AD25" s="28"/>
      <c r="AE25" s="28"/>
      <c r="AF25" s="28"/>
      <c r="AG25" s="28">
        <v>1</v>
      </c>
      <c r="AH25" s="28"/>
      <c r="AI25" s="28"/>
      <c r="AJ25" s="28"/>
      <c r="AK25" s="4">
        <f t="shared" si="125"/>
        <v>289.05200000000002</v>
      </c>
      <c r="AL25" s="25">
        <f t="shared" si="111"/>
        <v>0.15042881662835439</v>
      </c>
      <c r="AM25" s="25">
        <f t="shared" si="112"/>
        <v>562.43208396751641</v>
      </c>
      <c r="AN25" s="4">
        <f t="shared" si="113"/>
        <v>0.74177794998823732</v>
      </c>
      <c r="AO25" s="25">
        <v>1.25</v>
      </c>
      <c r="AP25" s="25">
        <f t="shared" si="114"/>
        <v>5</v>
      </c>
      <c r="AQ25" s="38">
        <f t="shared" si="115"/>
        <v>392.24287446554456</v>
      </c>
      <c r="AR25" s="38">
        <f t="shared" si="116"/>
        <v>392.24287446554456</v>
      </c>
      <c r="AS25" s="38"/>
      <c r="AT25" s="38">
        <f t="shared" si="46"/>
        <v>392.24287446554479</v>
      </c>
      <c r="AU25" s="38">
        <f t="shared" si="47"/>
        <v>0.99999999999999944</v>
      </c>
      <c r="AV25" s="38"/>
      <c r="AX25" s="25">
        <f t="shared" si="48"/>
        <v>347.33783645260843</v>
      </c>
      <c r="AY25" s="25">
        <f t="shared" si="49"/>
        <v>1</v>
      </c>
      <c r="AZ25" s="38">
        <f t="shared" si="117"/>
        <v>463.2882352560103</v>
      </c>
      <c r="BA25" s="25">
        <f t="shared" si="50"/>
        <v>0.3</v>
      </c>
      <c r="BB25" s="25">
        <f t="shared" si="51"/>
        <v>54.44520586394637</v>
      </c>
      <c r="BC25" s="25">
        <f t="shared" si="52"/>
        <v>517.73344111995664</v>
      </c>
      <c r="BE25" s="36">
        <f t="shared" si="53"/>
        <v>1.0877165354330709</v>
      </c>
      <c r="BF25" s="36">
        <f t="shared" si="54"/>
        <v>253.62475214092589</v>
      </c>
      <c r="BK25" s="25">
        <f t="shared" si="55"/>
        <v>101.8</v>
      </c>
      <c r="BL25" s="25">
        <f t="shared" si="56"/>
        <v>47.68</v>
      </c>
      <c r="BM25" s="25">
        <f t="shared" si="57"/>
        <v>101.8</v>
      </c>
      <c r="BN25" s="25">
        <f t="shared" si="58"/>
        <v>60.379999999999995</v>
      </c>
      <c r="BO25" s="25">
        <f t="shared" si="59"/>
        <v>1.1135067114093959</v>
      </c>
      <c r="BP25" s="25">
        <f t="shared" si="118"/>
        <v>2.6469895761771389</v>
      </c>
      <c r="BR25" s="25">
        <f t="shared" si="60"/>
        <v>101.8</v>
      </c>
      <c r="BV25" s="29"/>
      <c r="BX25" s="29"/>
      <c r="BY25" s="29"/>
      <c r="BZ25" s="29">
        <f t="shared" si="61"/>
        <v>101.8</v>
      </c>
      <c r="CA25" s="29">
        <f t="shared" si="62"/>
        <v>101.8</v>
      </c>
      <c r="CB25" s="29">
        <f t="shared" si="63"/>
        <v>2.001967536137395</v>
      </c>
      <c r="CC25" s="29">
        <v>0</v>
      </c>
      <c r="CD25" s="29">
        <f t="shared" si="64"/>
        <v>0</v>
      </c>
      <c r="CE25" s="29">
        <f t="shared" si="65"/>
        <v>0</v>
      </c>
      <c r="CF25" s="29">
        <f t="shared" si="66"/>
        <v>0.99524931562137331</v>
      </c>
      <c r="CG25" s="29">
        <f t="shared" si="67"/>
        <v>0.97375</v>
      </c>
      <c r="CH25" s="29">
        <f t="shared" si="68"/>
        <v>1.9670293329614872</v>
      </c>
      <c r="CI25" s="29">
        <f t="shared" si="69"/>
        <v>3.9379288672188921</v>
      </c>
      <c r="CJ25" s="29">
        <v>1</v>
      </c>
      <c r="CK25" s="2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25">
        <f t="shared" si="72"/>
        <v>289.05200000000002</v>
      </c>
      <c r="DJ25" s="25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38">
        <f t="shared" si="119"/>
        <v>517.5</v>
      </c>
      <c r="DS25" s="4">
        <f t="shared" si="79"/>
        <v>1</v>
      </c>
      <c r="DT25" s="4"/>
      <c r="DU25" s="4">
        <f t="shared" si="120"/>
        <v>392.24287446554479</v>
      </c>
      <c r="DY25" s="25">
        <f t="shared" si="80"/>
        <v>0.85</v>
      </c>
      <c r="DZ25" s="25">
        <f t="shared" si="81"/>
        <v>0.7</v>
      </c>
      <c r="EA25" s="25">
        <f t="shared" si="82"/>
        <v>1</v>
      </c>
      <c r="EB25" s="25">
        <f t="shared" si="83"/>
        <v>0.7</v>
      </c>
      <c r="ED25" s="4">
        <f t="shared" si="121"/>
        <v>517.5</v>
      </c>
      <c r="EE25" s="25">
        <f t="shared" si="122"/>
        <v>396.72382751434384</v>
      </c>
      <c r="EH25" s="4">
        <f t="shared" si="84"/>
        <v>8.8972510471034791</v>
      </c>
      <c r="EI25" s="25">
        <f t="shared" si="85"/>
        <v>5.6051215252387419</v>
      </c>
      <c r="EK25" s="4">
        <f t="shared" si="86"/>
        <v>77.858162529590359</v>
      </c>
      <c r="EL25" s="4">
        <f t="shared" si="87"/>
        <v>3.0652819893539514</v>
      </c>
      <c r="EM25" s="4">
        <f t="shared" si="88"/>
        <v>0.13345286067728618</v>
      </c>
      <c r="EP25" s="25">
        <f t="shared" si="89"/>
        <v>0.13345286067728618</v>
      </c>
      <c r="EQ25" s="25">
        <f t="shared" si="90"/>
        <v>0.42014947643054645</v>
      </c>
      <c r="ER25" s="4">
        <f t="shared" si="91"/>
        <v>6.2895181623147547</v>
      </c>
      <c r="ES25" s="25">
        <f t="shared" si="92"/>
        <v>7.7048345465996162</v>
      </c>
      <c r="ET25" s="4">
        <f t="shared" si="93"/>
        <v>138.93083747040964</v>
      </c>
      <c r="EU25" s="4">
        <f t="shared" si="94"/>
        <v>72.263000000000034</v>
      </c>
      <c r="EV25" s="25">
        <f t="shared" si="95"/>
        <v>2.0846518493152323E-5</v>
      </c>
      <c r="EW25" s="25">
        <f t="shared" si="96"/>
        <v>8.2084963735849374</v>
      </c>
      <c r="EX25" s="4">
        <f t="shared" si="97"/>
        <v>517.5</v>
      </c>
      <c r="EY25" s="4">
        <f t="shared" si="98"/>
        <v>138.93083747040964</v>
      </c>
      <c r="EZ25" s="4">
        <f t="shared" si="99"/>
        <v>72.263000000000019</v>
      </c>
      <c r="FB25" s="4">
        <f t="shared" si="100"/>
        <v>0</v>
      </c>
      <c r="FG25" s="23"/>
      <c r="FH25" s="23"/>
      <c r="FI25" s="23"/>
      <c r="FJ25" s="23"/>
      <c r="FK25" s="23"/>
      <c r="FL25" s="23"/>
      <c r="FM25" s="30"/>
      <c r="FN25" s="30"/>
      <c r="FX25" s="4">
        <f t="shared" si="101"/>
        <v>1</v>
      </c>
      <c r="FY25" s="4">
        <f t="shared" si="102"/>
        <v>1.0833333333333333</v>
      </c>
      <c r="FZ25" s="4">
        <f t="shared" si="103"/>
        <v>0</v>
      </c>
      <c r="GA25" s="4">
        <f t="shared" si="104"/>
        <v>252.24619812719015</v>
      </c>
      <c r="GB25" s="4"/>
    </row>
    <row r="26" spans="1:184" s="25" customFormat="1" ht="12" customHeight="1" x14ac:dyDescent="0.3">
      <c r="A26" s="25">
        <v>8</v>
      </c>
      <c r="B26" s="26" t="s">
        <v>81</v>
      </c>
      <c r="C26" s="26"/>
      <c r="D26" s="26" t="s">
        <v>82</v>
      </c>
      <c r="E26" s="26"/>
      <c r="F26" s="28" t="s">
        <v>86</v>
      </c>
      <c r="G26" s="28">
        <f t="shared" si="105"/>
        <v>517.5</v>
      </c>
      <c r="H26" s="28">
        <f>11.38*25.4</f>
        <v>289.05200000000002</v>
      </c>
      <c r="I26" s="28">
        <f t="shared" si="123"/>
        <v>289.05200000000002</v>
      </c>
      <c r="J26" s="28">
        <v>33.630000000000003</v>
      </c>
      <c r="K26" s="28">
        <v>25.4</v>
      </c>
      <c r="L26" s="28">
        <f t="shared" si="106"/>
        <v>11.38</v>
      </c>
      <c r="M26" s="28">
        <f t="shared" si="107"/>
        <v>11.38</v>
      </c>
      <c r="N26" s="28">
        <v>229</v>
      </c>
      <c r="O26" s="28">
        <f t="shared" si="108"/>
        <v>101.8</v>
      </c>
      <c r="P26" s="28">
        <v>305</v>
      </c>
      <c r="Q26" s="28">
        <v>0</v>
      </c>
      <c r="R26" s="28">
        <v>1</v>
      </c>
      <c r="S26" s="28">
        <v>47.68</v>
      </c>
      <c r="T26" s="7">
        <f t="shared" si="42"/>
        <v>2.3771653543307085</v>
      </c>
      <c r="U26" s="28">
        <f t="shared" si="109"/>
        <v>2.3771653543307085</v>
      </c>
      <c r="V26" s="28">
        <f t="shared" si="110"/>
        <v>8.3959536742577185</v>
      </c>
      <c r="W26" s="7">
        <f t="shared" si="43"/>
        <v>8.3959536742577185</v>
      </c>
      <c r="X26" s="28">
        <f t="shared" si="44"/>
        <v>9.3959536742577185</v>
      </c>
      <c r="Y26" s="28">
        <f t="shared" si="45"/>
        <v>77.858162529590359</v>
      </c>
      <c r="Z26" s="28"/>
      <c r="AA26" s="28"/>
      <c r="AB26" s="28">
        <f>155.72/(PI()/4*K26^2)*1000</f>
        <v>307.31735058924846</v>
      </c>
      <c r="AC26" s="28"/>
      <c r="AD26" s="28"/>
      <c r="AE26" s="28"/>
      <c r="AF26" s="28"/>
      <c r="AG26" s="28">
        <v>1</v>
      </c>
      <c r="AH26" s="28"/>
      <c r="AI26" s="28"/>
      <c r="AJ26" s="28"/>
      <c r="AK26" s="4">
        <f t="shared" si="125"/>
        <v>289.05200000000002</v>
      </c>
      <c r="AL26" s="25">
        <f t="shared" si="111"/>
        <v>0.15042881662835439</v>
      </c>
      <c r="AM26" s="25">
        <f t="shared" si="112"/>
        <v>562.43208396751641</v>
      </c>
      <c r="AN26" s="4">
        <f t="shared" si="113"/>
        <v>0.74177794998823732</v>
      </c>
      <c r="AO26" s="25">
        <v>1.25</v>
      </c>
      <c r="AP26" s="25">
        <f t="shared" si="114"/>
        <v>5</v>
      </c>
      <c r="AQ26" s="38">
        <f t="shared" si="115"/>
        <v>392.24287446554456</v>
      </c>
      <c r="AR26" s="38">
        <f t="shared" si="116"/>
        <v>392.24287446554456</v>
      </c>
      <c r="AS26" s="38"/>
      <c r="AT26" s="38">
        <f t="shared" si="46"/>
        <v>392.24287446554479</v>
      </c>
      <c r="AU26" s="38">
        <f t="shared" si="47"/>
        <v>0.99999999999999944</v>
      </c>
      <c r="AV26" s="38"/>
      <c r="AX26" s="25">
        <f t="shared" si="48"/>
        <v>347.33783645260843</v>
      </c>
      <c r="AY26" s="25">
        <f t="shared" si="49"/>
        <v>1</v>
      </c>
      <c r="AZ26" s="38">
        <f t="shared" si="117"/>
        <v>463.2882352560103</v>
      </c>
      <c r="BA26" s="25">
        <f t="shared" si="50"/>
        <v>0.3</v>
      </c>
      <c r="BB26" s="25">
        <f t="shared" si="51"/>
        <v>54.44520586394637</v>
      </c>
      <c r="BC26" s="25">
        <f t="shared" si="52"/>
        <v>517.73344111995664</v>
      </c>
      <c r="BE26" s="36">
        <f t="shared" si="53"/>
        <v>1.0877165354330709</v>
      </c>
      <c r="BF26" s="36">
        <f t="shared" si="54"/>
        <v>253.62475214092589</v>
      </c>
      <c r="BK26" s="25">
        <f t="shared" si="55"/>
        <v>101.8</v>
      </c>
      <c r="BL26" s="25">
        <f t="shared" si="56"/>
        <v>47.68</v>
      </c>
      <c r="BM26" s="25">
        <f t="shared" si="57"/>
        <v>101.8</v>
      </c>
      <c r="BN26" s="25">
        <f t="shared" si="58"/>
        <v>60.379999999999995</v>
      </c>
      <c r="BO26" s="25">
        <f t="shared" si="59"/>
        <v>1.1135067114093959</v>
      </c>
      <c r="BP26" s="25">
        <f t="shared" si="118"/>
        <v>2.6469895761771389</v>
      </c>
      <c r="BR26" s="25">
        <f t="shared" si="60"/>
        <v>101.8</v>
      </c>
      <c r="BV26" s="29"/>
      <c r="BX26" s="29"/>
      <c r="BY26" s="29"/>
      <c r="BZ26" s="29">
        <f t="shared" si="61"/>
        <v>101.8</v>
      </c>
      <c r="CA26" s="29">
        <f t="shared" si="62"/>
        <v>101.8</v>
      </c>
      <c r="CB26" s="29">
        <f t="shared" si="63"/>
        <v>2.001967536137395</v>
      </c>
      <c r="CC26" s="29">
        <v>0</v>
      </c>
      <c r="CD26" s="29">
        <f t="shared" si="64"/>
        <v>0</v>
      </c>
      <c r="CE26" s="29">
        <f t="shared" si="65"/>
        <v>0</v>
      </c>
      <c r="CF26" s="29">
        <f t="shared" si="66"/>
        <v>0.99524931562137331</v>
      </c>
      <c r="CG26" s="29">
        <f t="shared" si="67"/>
        <v>0.97375</v>
      </c>
      <c r="CH26" s="29">
        <f t="shared" si="68"/>
        <v>1.9670293329614872</v>
      </c>
      <c r="CI26" s="29">
        <f t="shared" si="69"/>
        <v>3.9379288672188921</v>
      </c>
      <c r="CJ26" s="29">
        <v>1</v>
      </c>
      <c r="CK26" s="2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25">
        <f t="shared" si="72"/>
        <v>289.05200000000002</v>
      </c>
      <c r="DJ26" s="25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38">
        <f t="shared" si="119"/>
        <v>517.5</v>
      </c>
      <c r="DS26" s="4">
        <f t="shared" si="79"/>
        <v>1</v>
      </c>
      <c r="DT26" s="4"/>
      <c r="DU26" s="4">
        <f t="shared" si="120"/>
        <v>392.24287446554479</v>
      </c>
      <c r="DY26" s="25">
        <f t="shared" si="80"/>
        <v>0.85</v>
      </c>
      <c r="DZ26" s="25">
        <f t="shared" si="81"/>
        <v>0.7</v>
      </c>
      <c r="EA26" s="25">
        <f t="shared" si="82"/>
        <v>1</v>
      </c>
      <c r="EB26" s="25">
        <f t="shared" si="83"/>
        <v>0.7</v>
      </c>
      <c r="ED26" s="4">
        <f t="shared" si="121"/>
        <v>517.5</v>
      </c>
      <c r="EE26" s="25">
        <f t="shared" si="122"/>
        <v>396.72382751434384</v>
      </c>
      <c r="EH26" s="4">
        <f t="shared" si="84"/>
        <v>8.8972510471034791</v>
      </c>
      <c r="EI26" s="25">
        <f t="shared" si="85"/>
        <v>5.6051215252387419</v>
      </c>
      <c r="EK26" s="4">
        <f t="shared" si="86"/>
        <v>77.858162529590359</v>
      </c>
      <c r="EL26" s="4">
        <f t="shared" si="87"/>
        <v>3.0652819893539514</v>
      </c>
      <c r="EM26" s="4">
        <f t="shared" si="88"/>
        <v>0.13345286067728618</v>
      </c>
      <c r="EP26" s="25">
        <f t="shared" si="89"/>
        <v>0.13345286067728618</v>
      </c>
      <c r="EQ26" s="25">
        <f t="shared" si="90"/>
        <v>0.42014947643054645</v>
      </c>
      <c r="ER26" s="4">
        <f t="shared" si="91"/>
        <v>6.2895181623147547</v>
      </c>
      <c r="ES26" s="25">
        <f t="shared" si="92"/>
        <v>7.7048345465996162</v>
      </c>
      <c r="ET26" s="4">
        <f t="shared" si="93"/>
        <v>138.93083747040964</v>
      </c>
      <c r="EU26" s="4">
        <f t="shared" si="94"/>
        <v>72.263000000000034</v>
      </c>
      <c r="EV26" s="25">
        <f t="shared" si="95"/>
        <v>2.0846518493152323E-5</v>
      </c>
      <c r="EW26" s="25">
        <f t="shared" si="96"/>
        <v>8.2084963735849374</v>
      </c>
      <c r="EX26" s="4">
        <f t="shared" si="97"/>
        <v>517.5</v>
      </c>
      <c r="EY26" s="4">
        <f t="shared" si="98"/>
        <v>138.93083747040964</v>
      </c>
      <c r="EZ26" s="4">
        <f t="shared" si="99"/>
        <v>72.263000000000019</v>
      </c>
      <c r="FB26" s="4">
        <f t="shared" si="100"/>
        <v>0</v>
      </c>
      <c r="FG26" s="23"/>
      <c r="FH26" s="23"/>
      <c r="FI26" s="23"/>
      <c r="FJ26" s="23"/>
      <c r="FK26" s="23"/>
      <c r="FL26" s="23"/>
      <c r="FM26" s="30"/>
      <c r="FN26" s="30"/>
      <c r="FX26" s="4">
        <f t="shared" si="101"/>
        <v>1</v>
      </c>
      <c r="FY26" s="4">
        <f t="shared" si="102"/>
        <v>1.0833333333333333</v>
      </c>
      <c r="FZ26" s="4">
        <f t="shared" si="103"/>
        <v>0</v>
      </c>
      <c r="GA26" s="4">
        <f t="shared" si="104"/>
        <v>252.24619812719015</v>
      </c>
      <c r="GB26" s="4"/>
    </row>
    <row r="27" spans="1:184" s="25" customFormat="1" ht="12" customHeight="1" x14ac:dyDescent="0.3">
      <c r="A27" s="25">
        <v>9</v>
      </c>
      <c r="B27" s="26" t="s">
        <v>81</v>
      </c>
      <c r="C27" s="26"/>
      <c r="D27" s="26" t="s">
        <v>82</v>
      </c>
      <c r="E27" s="26"/>
      <c r="F27" s="28" t="s">
        <v>87</v>
      </c>
      <c r="G27" s="28">
        <f t="shared" si="105"/>
        <v>517.5</v>
      </c>
      <c r="H27" s="28">
        <f>11.38*25.4</f>
        <v>289.05200000000002</v>
      </c>
      <c r="I27" s="28">
        <f t="shared" si="123"/>
        <v>289.05200000000002</v>
      </c>
      <c r="J27" s="28">
        <v>33.630000000000003</v>
      </c>
      <c r="K27" s="28">
        <v>25.4</v>
      </c>
      <c r="L27" s="28">
        <f t="shared" si="106"/>
        <v>11.38</v>
      </c>
      <c r="M27" s="28">
        <f t="shared" si="107"/>
        <v>11.38</v>
      </c>
      <c r="N27" s="28">
        <v>229</v>
      </c>
      <c r="O27" s="28">
        <f t="shared" si="108"/>
        <v>101.8</v>
      </c>
      <c r="P27" s="28">
        <v>305</v>
      </c>
      <c r="Q27" s="28">
        <v>0</v>
      </c>
      <c r="R27" s="28">
        <v>1</v>
      </c>
      <c r="S27" s="28">
        <v>49.48</v>
      </c>
      <c r="T27" s="7">
        <f t="shared" si="42"/>
        <v>2.4480314960629919</v>
      </c>
      <c r="U27" s="28">
        <f t="shared" si="109"/>
        <v>2.4480314960629919</v>
      </c>
      <c r="V27" s="28">
        <f t="shared" si="110"/>
        <v>8.3959536742577185</v>
      </c>
      <c r="W27" s="7">
        <f t="shared" si="43"/>
        <v>8.3959536742577185</v>
      </c>
      <c r="X27" s="28">
        <f t="shared" si="44"/>
        <v>9.3959536742577185</v>
      </c>
      <c r="Y27" s="28">
        <f t="shared" si="45"/>
        <v>77.858162529590359</v>
      </c>
      <c r="Z27" s="28"/>
      <c r="AA27" s="28"/>
      <c r="AB27" s="28">
        <f>167.51/(PI()/4*K27^2)*1000</f>
        <v>330.5852131852364</v>
      </c>
      <c r="AC27" s="28"/>
      <c r="AD27" s="28"/>
      <c r="AE27" s="28"/>
      <c r="AF27" s="28"/>
      <c r="AG27" s="28">
        <v>1</v>
      </c>
      <c r="AH27" s="28"/>
      <c r="AI27" s="28"/>
      <c r="AJ27" s="28"/>
      <c r="AK27" s="4">
        <f t="shared" si="125"/>
        <v>289.05200000000002</v>
      </c>
      <c r="AL27" s="25">
        <f t="shared" si="111"/>
        <v>0.15097698442790625</v>
      </c>
      <c r="AM27" s="25">
        <f t="shared" si="112"/>
        <v>562.43208396751641</v>
      </c>
      <c r="AN27" s="4">
        <f t="shared" si="113"/>
        <v>0.74302340063379591</v>
      </c>
      <c r="AO27" s="25">
        <v>1.25</v>
      </c>
      <c r="AP27" s="25">
        <f t="shared" si="114"/>
        <v>5</v>
      </c>
      <c r="AQ27" s="38">
        <f t="shared" si="115"/>
        <v>394.33319959841521</v>
      </c>
      <c r="AR27" s="38">
        <f t="shared" si="116"/>
        <v>394.33319959841521</v>
      </c>
      <c r="AS27" s="38"/>
      <c r="AT27" s="38">
        <f t="shared" si="46"/>
        <v>394.33319959841538</v>
      </c>
      <c r="AU27" s="38">
        <f t="shared" si="47"/>
        <v>0.99999999999999956</v>
      </c>
      <c r="AV27" s="38"/>
      <c r="AX27" s="25">
        <f t="shared" si="48"/>
        <v>347.33783645260843</v>
      </c>
      <c r="AY27" s="25">
        <f t="shared" si="49"/>
        <v>1</v>
      </c>
      <c r="AZ27" s="38">
        <f t="shared" si="117"/>
        <v>477.09941153061794</v>
      </c>
      <c r="BA27" s="25">
        <f t="shared" si="50"/>
        <v>0.3</v>
      </c>
      <c r="BB27" s="25">
        <f t="shared" si="51"/>
        <v>54.44520586394637</v>
      </c>
      <c r="BC27" s="25">
        <f t="shared" si="52"/>
        <v>531.54461739456428</v>
      </c>
      <c r="BE27" s="36">
        <f t="shared" si="53"/>
        <v>1.0948031496062991</v>
      </c>
      <c r="BF27" s="36">
        <f t="shared" si="54"/>
        <v>255.27715026548674</v>
      </c>
      <c r="BK27" s="25">
        <f t="shared" si="55"/>
        <v>101.8</v>
      </c>
      <c r="BL27" s="25">
        <f t="shared" si="56"/>
        <v>49.48</v>
      </c>
      <c r="BM27" s="25">
        <f t="shared" si="57"/>
        <v>101.8</v>
      </c>
      <c r="BN27" s="25">
        <f t="shared" si="58"/>
        <v>62.179999999999993</v>
      </c>
      <c r="BO27" s="25">
        <f t="shared" si="59"/>
        <v>1.1057396928051739</v>
      </c>
      <c r="BP27" s="25">
        <f t="shared" si="118"/>
        <v>2.7068855944340835</v>
      </c>
      <c r="BR27" s="25">
        <f t="shared" si="60"/>
        <v>101.8</v>
      </c>
      <c r="BV27" s="29"/>
      <c r="BX27" s="29"/>
      <c r="BY27" s="29"/>
      <c r="BZ27" s="29">
        <f t="shared" si="61"/>
        <v>101.8</v>
      </c>
      <c r="CA27" s="29">
        <f t="shared" si="62"/>
        <v>101.8</v>
      </c>
      <c r="CB27" s="29">
        <f t="shared" si="63"/>
        <v>2.001967536137395</v>
      </c>
      <c r="CC27" s="29">
        <v>0</v>
      </c>
      <c r="CD27" s="29">
        <f t="shared" si="64"/>
        <v>0</v>
      </c>
      <c r="CE27" s="29">
        <f t="shared" si="65"/>
        <v>0</v>
      </c>
      <c r="CF27" s="29">
        <f t="shared" si="66"/>
        <v>0.99524931562137331</v>
      </c>
      <c r="CG27" s="29">
        <f t="shared" si="67"/>
        <v>0.97375</v>
      </c>
      <c r="CH27" s="29">
        <f t="shared" si="68"/>
        <v>1.9670293329614872</v>
      </c>
      <c r="CI27" s="29">
        <f t="shared" si="69"/>
        <v>3.9379288672188921</v>
      </c>
      <c r="CJ27" s="29">
        <v>1</v>
      </c>
      <c r="CK27" s="2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25">
        <f t="shared" si="72"/>
        <v>289.05200000000002</v>
      </c>
      <c r="DJ27" s="25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38">
        <f t="shared" si="119"/>
        <v>517.5</v>
      </c>
      <c r="DS27" s="4">
        <f t="shared" si="79"/>
        <v>1</v>
      </c>
      <c r="DT27" s="4"/>
      <c r="DU27" s="4">
        <f t="shared" si="120"/>
        <v>394.33319959841538</v>
      </c>
      <c r="DY27" s="25">
        <f t="shared" si="80"/>
        <v>0.85</v>
      </c>
      <c r="DZ27" s="25">
        <f t="shared" si="81"/>
        <v>0.7</v>
      </c>
      <c r="EA27" s="25">
        <f t="shared" si="82"/>
        <v>1</v>
      </c>
      <c r="EB27" s="25">
        <f t="shared" si="83"/>
        <v>0.7</v>
      </c>
      <c r="ED27" s="4">
        <f t="shared" si="121"/>
        <v>517.5</v>
      </c>
      <c r="EE27" s="25">
        <f t="shared" si="122"/>
        <v>397.39791521007561</v>
      </c>
      <c r="EH27" s="4">
        <f t="shared" si="84"/>
        <v>8.8972510471034791</v>
      </c>
      <c r="EI27" s="25">
        <f t="shared" si="85"/>
        <v>5.7319540840933767</v>
      </c>
      <c r="EK27" s="4">
        <f t="shared" si="86"/>
        <v>77.858162529590359</v>
      </c>
      <c r="EL27" s="4">
        <f t="shared" si="87"/>
        <v>3.0652819893539514</v>
      </c>
      <c r="EM27" s="4">
        <f t="shared" si="88"/>
        <v>0.13416405235694975</v>
      </c>
      <c r="EP27" s="25">
        <f t="shared" si="89"/>
        <v>0.13416405235694975</v>
      </c>
      <c r="EQ27" s="25">
        <f t="shared" si="90"/>
        <v>0.42238852031717383</v>
      </c>
      <c r="ER27" s="4">
        <f t="shared" si="91"/>
        <v>6.3029039284467085</v>
      </c>
      <c r="ES27" s="25">
        <f t="shared" si="92"/>
        <v>7.7102948983845332</v>
      </c>
      <c r="ET27" s="4">
        <f t="shared" si="93"/>
        <v>138.93083747040964</v>
      </c>
      <c r="EU27" s="4">
        <f t="shared" si="94"/>
        <v>72.263000000000034</v>
      </c>
      <c r="EV27" s="25">
        <f t="shared" si="95"/>
        <v>2.0846518493152323E-5</v>
      </c>
      <c r="EW27" s="25">
        <f t="shared" si="96"/>
        <v>8.20783719482192</v>
      </c>
      <c r="EX27" s="4">
        <f t="shared" si="97"/>
        <v>517.5</v>
      </c>
      <c r="EY27" s="4">
        <f t="shared" si="98"/>
        <v>138.93083747040964</v>
      </c>
      <c r="EZ27" s="4">
        <f t="shared" si="99"/>
        <v>72.263000000000019</v>
      </c>
      <c r="FB27" s="4">
        <f t="shared" si="100"/>
        <v>0</v>
      </c>
      <c r="FG27" s="23"/>
      <c r="FH27" s="23"/>
      <c r="FI27" s="23"/>
      <c r="FJ27" s="23"/>
      <c r="FK27" s="23"/>
      <c r="FL27" s="23"/>
      <c r="FM27" s="30"/>
      <c r="FN27" s="30"/>
      <c r="FX27" s="4">
        <f t="shared" si="101"/>
        <v>1</v>
      </c>
      <c r="FY27" s="4">
        <f t="shared" si="102"/>
        <v>1.0833333333333333</v>
      </c>
      <c r="FZ27" s="4">
        <f t="shared" si="103"/>
        <v>0</v>
      </c>
      <c r="GA27" s="4">
        <f t="shared" si="104"/>
        <v>252.24619812719015</v>
      </c>
      <c r="GB27" s="4"/>
    </row>
    <row r="28" spans="1:184" ht="12" customHeight="1" x14ac:dyDescent="0.3">
      <c r="A28" s="25">
        <v>10</v>
      </c>
      <c r="B28" s="26" t="s">
        <v>81</v>
      </c>
      <c r="C28" s="26"/>
      <c r="D28" s="26" t="s">
        <v>82</v>
      </c>
      <c r="E28" s="26"/>
      <c r="F28" s="7" t="s">
        <v>88</v>
      </c>
      <c r="G28" s="28">
        <f t="shared" si="105"/>
        <v>517.5</v>
      </c>
      <c r="H28" s="7">
        <f t="shared" ref="H28:H33" si="126">11.25*25.4</f>
        <v>285.75</v>
      </c>
      <c r="I28" s="7">
        <f t="shared" si="123"/>
        <v>285.75</v>
      </c>
      <c r="J28" s="7">
        <v>33.44</v>
      </c>
      <c r="K28" s="7">
        <v>25.4</v>
      </c>
      <c r="L28" s="7">
        <f t="shared" si="106"/>
        <v>11.25</v>
      </c>
      <c r="M28" s="7">
        <f t="shared" si="107"/>
        <v>11.25</v>
      </c>
      <c r="N28" s="7">
        <v>229</v>
      </c>
      <c r="O28" s="7">
        <f t="shared" si="108"/>
        <v>101.8</v>
      </c>
      <c r="P28" s="7">
        <v>305</v>
      </c>
      <c r="Q28" s="7">
        <v>0</v>
      </c>
      <c r="R28" s="7">
        <v>1</v>
      </c>
      <c r="S28" s="7">
        <v>82.19</v>
      </c>
      <c r="T28" s="7">
        <f t="shared" si="42"/>
        <v>3.7358267716535436</v>
      </c>
      <c r="U28" s="28">
        <f t="shared" si="109"/>
        <v>3.7358267716535436</v>
      </c>
      <c r="V28" s="28">
        <f t="shared" si="110"/>
        <v>8.3959536742577185</v>
      </c>
      <c r="W28" s="7">
        <f t="shared" si="43"/>
        <v>8.3959536742577185</v>
      </c>
      <c r="X28" s="7">
        <f t="shared" si="44"/>
        <v>9.3959536742577185</v>
      </c>
      <c r="Y28" s="7">
        <f t="shared" si="45"/>
        <v>77.858162529590359</v>
      </c>
      <c r="Z28" s="7"/>
      <c r="AA28" s="7"/>
      <c r="AB28" s="7">
        <f>243.35/(PI()/4*K28^2)*1000</f>
        <v>480.25736749225291</v>
      </c>
      <c r="AC28" s="7"/>
      <c r="AD28" s="7"/>
      <c r="AE28" s="7">
        <v>9.5</v>
      </c>
      <c r="AF28" s="7">
        <v>3</v>
      </c>
      <c r="AG28" s="7">
        <v>76</v>
      </c>
      <c r="AH28" s="7">
        <v>3</v>
      </c>
      <c r="AI28" s="7"/>
      <c r="AJ28" s="7"/>
      <c r="AK28" s="4">
        <f t="shared" si="125"/>
        <v>285.75</v>
      </c>
      <c r="AL28" s="4">
        <f t="shared" si="111"/>
        <v>0.16313593055169648</v>
      </c>
      <c r="AM28" s="25">
        <f t="shared" si="112"/>
        <v>551.25834685648249</v>
      </c>
      <c r="AN28" s="4">
        <f t="shared" si="113"/>
        <v>0.76641469816272956</v>
      </c>
      <c r="AO28" s="4">
        <v>1.25</v>
      </c>
      <c r="AP28" s="25">
        <f t="shared" si="114"/>
        <v>5</v>
      </c>
      <c r="AQ28" s="38">
        <f t="shared" si="115"/>
        <v>430.77316912253309</v>
      </c>
      <c r="AR28" s="38">
        <f t="shared" si="116"/>
        <v>430.77316912253309</v>
      </c>
      <c r="AT28" s="38">
        <f t="shared" si="46"/>
        <v>430.77316912253286</v>
      </c>
      <c r="AU28" s="3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38">
        <f t="shared" si="117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36">
        <f t="shared" si="53"/>
        <v>2.2250000000000001</v>
      </c>
      <c r="BF28" s="36">
        <f t="shared" si="54"/>
        <v>514.66322969491421</v>
      </c>
      <c r="BK28" s="4">
        <f t="shared" si="55"/>
        <v>101.8</v>
      </c>
      <c r="BL28" s="4">
        <f t="shared" si="56"/>
        <v>82.19</v>
      </c>
      <c r="BM28" s="4">
        <f t="shared" si="57"/>
        <v>101.8</v>
      </c>
      <c r="BN28" s="4">
        <f t="shared" si="58"/>
        <v>94.89</v>
      </c>
      <c r="BO28" s="4">
        <f t="shared" si="59"/>
        <v>1.0238593502859228</v>
      </c>
      <c r="BP28" s="25">
        <f t="shared" si="118"/>
        <v>4</v>
      </c>
      <c r="BR28" s="4">
        <f t="shared" si="60"/>
        <v>101.8</v>
      </c>
      <c r="BV28" s="9"/>
      <c r="BX28" s="9"/>
      <c r="BY28" s="9"/>
      <c r="BZ28" s="9">
        <f t="shared" si="61"/>
        <v>101.8</v>
      </c>
      <c r="CA28" s="9">
        <f t="shared" si="62"/>
        <v>101.8</v>
      </c>
      <c r="CB28" s="9">
        <f t="shared" si="63"/>
        <v>2.001967536137395</v>
      </c>
      <c r="CC28" s="9">
        <v>20</v>
      </c>
      <c r="CD28" s="9">
        <f t="shared" si="64"/>
        <v>0.05</v>
      </c>
      <c r="CE28" s="9">
        <f t="shared" si="65"/>
        <v>0.8</v>
      </c>
      <c r="CF28" s="9">
        <f t="shared" si="66"/>
        <v>0.99524931562137331</v>
      </c>
      <c r="CG28" s="9">
        <f t="shared" si="67"/>
        <v>0.97375</v>
      </c>
      <c r="CH28" s="9">
        <f t="shared" si="68"/>
        <v>1.961464882399115</v>
      </c>
      <c r="CI28" s="9">
        <f t="shared" si="69"/>
        <v>4.9036622059977875</v>
      </c>
      <c r="CJ28" s="9">
        <v>1</v>
      </c>
      <c r="CK28" s="9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38">
        <f t="shared" si="119"/>
        <v>517.5</v>
      </c>
      <c r="DS28" s="4">
        <f t="shared" si="79"/>
        <v>1</v>
      </c>
      <c r="DU28" s="4">
        <f t="shared" si="120"/>
        <v>430.77316912253286</v>
      </c>
      <c r="DY28" s="4">
        <f t="shared" si="80"/>
        <v>0.85</v>
      </c>
      <c r="DZ28" s="4">
        <f t="shared" si="81"/>
        <v>0.7</v>
      </c>
      <c r="EA28" s="4">
        <f t="shared" si="82"/>
        <v>0.82320199640399283</v>
      </c>
      <c r="EB28" s="4">
        <f t="shared" si="83"/>
        <v>0.7</v>
      </c>
      <c r="ED28" s="4">
        <f t="shared" si="121"/>
        <v>517.5</v>
      </c>
      <c r="EE28" s="25">
        <f t="shared" si="122"/>
        <v>411.19884151443893</v>
      </c>
      <c r="EH28" s="4">
        <f t="shared" si="84"/>
        <v>8.8720819696713296</v>
      </c>
      <c r="EI28" s="4">
        <f t="shared" si="85"/>
        <v>8.4462220351271053</v>
      </c>
      <c r="EK28" s="4">
        <f t="shared" si="86"/>
        <v>77.858162529590359</v>
      </c>
      <c r="EL28" s="4">
        <f t="shared" si="87"/>
        <v>3.0652819893539514</v>
      </c>
      <c r="EM28" s="4">
        <f t="shared" si="88"/>
        <v>0.14697780910112584</v>
      </c>
      <c r="EP28" s="4">
        <f t="shared" si="89"/>
        <v>0.14697780910112584</v>
      </c>
      <c r="EQ28" s="4">
        <f t="shared" si="90"/>
        <v>0.46404276686028506</v>
      </c>
      <c r="ER28" s="4">
        <f t="shared" si="91"/>
        <v>6.526025233208558</v>
      </c>
      <c r="ES28" s="4">
        <f t="shared" si="92"/>
        <v>7.7881042986793609</v>
      </c>
      <c r="ET28" s="4">
        <f t="shared" si="93"/>
        <v>136.45433747040965</v>
      </c>
      <c r="EU28" s="4">
        <f t="shared" si="94"/>
        <v>71.4375</v>
      </c>
      <c r="EV28" s="4">
        <f t="shared" si="95"/>
        <v>2.058127601073333E-5</v>
      </c>
      <c r="EW28" s="4">
        <f t="shared" si="96"/>
        <v>8.1915665048717425</v>
      </c>
      <c r="EX28" s="4">
        <f t="shared" si="97"/>
        <v>517.5</v>
      </c>
      <c r="EY28" s="4">
        <f t="shared" si="98"/>
        <v>136.45433747040965</v>
      </c>
      <c r="EZ28" s="4">
        <f t="shared" si="99"/>
        <v>71.437499999999986</v>
      </c>
      <c r="FB28" s="4">
        <f t="shared" si="100"/>
        <v>0</v>
      </c>
      <c r="FG28" s="23"/>
      <c r="FH28" s="23"/>
      <c r="FI28" s="23"/>
      <c r="FJ28" s="23"/>
      <c r="FK28" s="23"/>
      <c r="FL28" s="23"/>
      <c r="FM28" s="23"/>
      <c r="FN28" s="23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customHeight="1" x14ac:dyDescent="0.3">
      <c r="A29" s="25">
        <v>11</v>
      </c>
      <c r="B29" s="26" t="s">
        <v>81</v>
      </c>
      <c r="C29" s="26"/>
      <c r="D29" s="26" t="s">
        <v>82</v>
      </c>
      <c r="E29" s="26"/>
      <c r="F29" s="7" t="s">
        <v>89</v>
      </c>
      <c r="G29" s="28">
        <f t="shared" si="105"/>
        <v>517.5</v>
      </c>
      <c r="H29" s="7">
        <f t="shared" si="126"/>
        <v>285.75</v>
      </c>
      <c r="I29" s="7">
        <f t="shared" si="123"/>
        <v>285.75</v>
      </c>
      <c r="J29" s="7">
        <v>33.44</v>
      </c>
      <c r="K29" s="7">
        <v>25.4</v>
      </c>
      <c r="L29" s="7">
        <f t="shared" si="106"/>
        <v>11.25</v>
      </c>
      <c r="M29" s="7">
        <f t="shared" si="107"/>
        <v>11.25</v>
      </c>
      <c r="N29" s="7">
        <v>229</v>
      </c>
      <c r="O29" s="7">
        <f t="shared" si="108"/>
        <v>101.8</v>
      </c>
      <c r="P29" s="7">
        <v>305</v>
      </c>
      <c r="Q29" s="7">
        <v>0</v>
      </c>
      <c r="R29" s="7">
        <v>1</v>
      </c>
      <c r="S29" s="7">
        <v>83.24</v>
      </c>
      <c r="T29" s="7">
        <f t="shared" si="42"/>
        <v>3.7771653543307089</v>
      </c>
      <c r="U29" s="28">
        <f t="shared" si="109"/>
        <v>3.7771653543307089</v>
      </c>
      <c r="V29" s="28">
        <f t="shared" si="110"/>
        <v>8.3959536742577185</v>
      </c>
      <c r="W29" s="7">
        <f t="shared" si="43"/>
        <v>8.3959536742577185</v>
      </c>
      <c r="X29" s="7">
        <f t="shared" si="44"/>
        <v>9.3959536742577185</v>
      </c>
      <c r="Y29" s="7">
        <f t="shared" si="45"/>
        <v>77.858162529590359</v>
      </c>
      <c r="Z29" s="7"/>
      <c r="AA29" s="7"/>
      <c r="AB29" s="7">
        <f>246.33/(PI()/4*K29^2)*1000</f>
        <v>486.13847271159506</v>
      </c>
      <c r="AC29" s="7"/>
      <c r="AD29" s="7"/>
      <c r="AE29" s="7">
        <v>9.5</v>
      </c>
      <c r="AF29" s="7">
        <v>3</v>
      </c>
      <c r="AG29" s="7">
        <v>76</v>
      </c>
      <c r="AH29" s="7">
        <v>3</v>
      </c>
      <c r="AI29" s="7"/>
      <c r="AJ29" s="7"/>
      <c r="AK29" s="4">
        <f t="shared" si="125"/>
        <v>285.75</v>
      </c>
      <c r="AL29" s="4">
        <f t="shared" si="111"/>
        <v>0.16346312791391016</v>
      </c>
      <c r="AM29" s="25">
        <f t="shared" si="112"/>
        <v>551.25834685648249</v>
      </c>
      <c r="AN29" s="4">
        <f t="shared" si="113"/>
        <v>0.76714960629921258</v>
      </c>
      <c r="AO29" s="4">
        <v>1.25</v>
      </c>
      <c r="AP29" s="25">
        <f t="shared" si="114"/>
        <v>5</v>
      </c>
      <c r="AQ29" s="38">
        <f t="shared" si="115"/>
        <v>432.05105229491716</v>
      </c>
      <c r="AR29" s="38">
        <f t="shared" si="116"/>
        <v>432.05105229491716</v>
      </c>
      <c r="AT29" s="38">
        <f t="shared" si="46"/>
        <v>432.05105229491693</v>
      </c>
      <c r="AU29" s="3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38">
        <f t="shared" si="117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36">
        <f t="shared" si="53"/>
        <v>2.2250000000000001</v>
      </c>
      <c r="BF29" s="36">
        <f t="shared" si="54"/>
        <v>514.66322969491421</v>
      </c>
      <c r="BK29" s="4">
        <f t="shared" si="55"/>
        <v>101.8</v>
      </c>
      <c r="BL29" s="4">
        <f t="shared" si="56"/>
        <v>83.24</v>
      </c>
      <c r="BM29" s="4">
        <f t="shared" si="57"/>
        <v>101.8</v>
      </c>
      <c r="BN29" s="4">
        <f t="shared" si="58"/>
        <v>95.94</v>
      </c>
      <c r="BO29" s="4">
        <f t="shared" si="59"/>
        <v>1.0222969726093225</v>
      </c>
      <c r="BP29" s="25">
        <f t="shared" si="118"/>
        <v>4</v>
      </c>
      <c r="BR29" s="4">
        <f t="shared" si="60"/>
        <v>101.8</v>
      </c>
      <c r="BV29" s="9"/>
      <c r="BX29" s="9"/>
      <c r="BY29" s="9"/>
      <c r="BZ29" s="9">
        <f t="shared" si="61"/>
        <v>101.8</v>
      </c>
      <c r="CA29" s="9">
        <f t="shared" si="62"/>
        <v>101.8</v>
      </c>
      <c r="CB29" s="9">
        <f t="shared" si="63"/>
        <v>2.001967536137395</v>
      </c>
      <c r="CC29" s="9">
        <v>20</v>
      </c>
      <c r="CD29" s="9">
        <f t="shared" si="64"/>
        <v>0.05</v>
      </c>
      <c r="CE29" s="9">
        <f t="shared" si="65"/>
        <v>0.8</v>
      </c>
      <c r="CF29" s="9">
        <f t="shared" si="66"/>
        <v>0.99524931562137331</v>
      </c>
      <c r="CG29" s="9">
        <f t="shared" si="67"/>
        <v>0.97375</v>
      </c>
      <c r="CH29" s="9">
        <f t="shared" si="68"/>
        <v>1.961464882399115</v>
      </c>
      <c r="CI29" s="9">
        <f t="shared" si="69"/>
        <v>4.9036622059977875</v>
      </c>
      <c r="CJ29" s="9">
        <v>1</v>
      </c>
      <c r="CK29" s="9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38">
        <f t="shared" si="119"/>
        <v>517.5</v>
      </c>
      <c r="DS29" s="4">
        <f t="shared" si="79"/>
        <v>1</v>
      </c>
      <c r="DU29" s="4">
        <f t="shared" si="120"/>
        <v>432.05105229491693</v>
      </c>
      <c r="DY29" s="4">
        <f t="shared" si="80"/>
        <v>0.85</v>
      </c>
      <c r="DZ29" s="4">
        <f t="shared" si="81"/>
        <v>0.7</v>
      </c>
      <c r="EA29" s="4">
        <f t="shared" si="82"/>
        <v>0.82320199640399283</v>
      </c>
      <c r="EB29" s="4">
        <f t="shared" si="83"/>
        <v>0.7</v>
      </c>
      <c r="ED29" s="4">
        <f t="shared" si="121"/>
        <v>517.5</v>
      </c>
      <c r="EE29" s="25">
        <f t="shared" si="122"/>
        <v>411.59776307016909</v>
      </c>
      <c r="EH29" s="4">
        <f t="shared" si="84"/>
        <v>8.8720819696713296</v>
      </c>
      <c r="EI29" s="4">
        <f t="shared" si="85"/>
        <v>8.4462220351271053</v>
      </c>
      <c r="EK29" s="4">
        <f t="shared" si="86"/>
        <v>77.858162529590359</v>
      </c>
      <c r="EL29" s="4">
        <f t="shared" si="87"/>
        <v>3.0652819893539514</v>
      </c>
      <c r="EM29" s="4">
        <f t="shared" si="88"/>
        <v>0.14741381691783081</v>
      </c>
      <c r="EP29" s="4">
        <f t="shared" si="89"/>
        <v>0.14741381691783081</v>
      </c>
      <c r="EQ29" s="4">
        <f t="shared" si="90"/>
        <v>0.46541934387469186</v>
      </c>
      <c r="ER29" s="4">
        <f t="shared" si="91"/>
        <v>6.5337621011847986</v>
      </c>
      <c r="ES29" s="4">
        <f t="shared" si="92"/>
        <v>7.7913442630090861</v>
      </c>
      <c r="ET29" s="4">
        <f t="shared" si="93"/>
        <v>136.45433747040965</v>
      </c>
      <c r="EU29" s="4">
        <f t="shared" si="94"/>
        <v>71.4375</v>
      </c>
      <c r="EV29" s="4">
        <f t="shared" si="95"/>
        <v>2.058127601073333E-5</v>
      </c>
      <c r="EW29" s="4">
        <f t="shared" si="96"/>
        <v>8.1911899729698998</v>
      </c>
      <c r="EX29" s="4">
        <f t="shared" si="97"/>
        <v>517.5</v>
      </c>
      <c r="EY29" s="4">
        <f t="shared" si="98"/>
        <v>136.45433747040965</v>
      </c>
      <c r="EZ29" s="4">
        <f t="shared" si="99"/>
        <v>71.437499999999986</v>
      </c>
      <c r="FB29" s="4">
        <f t="shared" si="100"/>
        <v>0</v>
      </c>
      <c r="FG29" s="23"/>
      <c r="FH29" s="23"/>
      <c r="FI29" s="23"/>
      <c r="FJ29" s="23"/>
      <c r="FK29" s="23"/>
      <c r="FL29" s="23"/>
      <c r="FM29" s="23"/>
      <c r="FN29" s="23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customHeight="1" x14ac:dyDescent="0.3">
      <c r="A30" s="25">
        <v>12</v>
      </c>
      <c r="B30" s="26" t="s">
        <v>81</v>
      </c>
      <c r="C30" s="26"/>
      <c r="D30" s="26" t="s">
        <v>82</v>
      </c>
      <c r="E30" s="26"/>
      <c r="F30" s="7" t="s">
        <v>90</v>
      </c>
      <c r="G30" s="28">
        <f t="shared" si="105"/>
        <v>517.5</v>
      </c>
      <c r="H30" s="7">
        <f t="shared" si="126"/>
        <v>285.75</v>
      </c>
      <c r="I30" s="7">
        <f t="shared" si="123"/>
        <v>285.75</v>
      </c>
      <c r="J30" s="7">
        <v>33.44</v>
      </c>
      <c r="K30" s="7">
        <v>25.4</v>
      </c>
      <c r="L30" s="7">
        <f t="shared" si="106"/>
        <v>11.25</v>
      </c>
      <c r="M30" s="7">
        <f t="shared" si="107"/>
        <v>11.25</v>
      </c>
      <c r="N30" s="7">
        <v>229</v>
      </c>
      <c r="O30" s="7">
        <f t="shared" si="108"/>
        <v>101.8</v>
      </c>
      <c r="P30" s="7">
        <v>305</v>
      </c>
      <c r="Q30" s="7">
        <v>0</v>
      </c>
      <c r="R30" s="7">
        <v>1</v>
      </c>
      <c r="S30" s="7">
        <v>81.69</v>
      </c>
      <c r="T30" s="7">
        <f t="shared" si="42"/>
        <v>3.7161417322834649</v>
      </c>
      <c r="U30" s="28">
        <f t="shared" si="109"/>
        <v>3.7161417322834649</v>
      </c>
      <c r="V30" s="28">
        <f t="shared" si="110"/>
        <v>8.3959536742577185</v>
      </c>
      <c r="W30" s="7">
        <f t="shared" si="43"/>
        <v>8.3959536742577185</v>
      </c>
      <c r="X30" s="7">
        <f t="shared" si="44"/>
        <v>9.3959536742577185</v>
      </c>
      <c r="Y30" s="7">
        <f t="shared" si="45"/>
        <v>77.858162529590359</v>
      </c>
      <c r="Z30" s="7"/>
      <c r="AA30" s="7"/>
      <c r="AB30" s="7">
        <f>225.65/(PI()/4*K30^2)*1000</f>
        <v>445.32597071965017</v>
      </c>
      <c r="AC30" s="7"/>
      <c r="AD30" s="7"/>
      <c r="AE30" s="7">
        <v>9.5</v>
      </c>
      <c r="AF30" s="7">
        <v>3</v>
      </c>
      <c r="AG30" s="7">
        <v>76</v>
      </c>
      <c r="AH30" s="7">
        <v>3</v>
      </c>
      <c r="AI30" s="7"/>
      <c r="AJ30" s="7"/>
      <c r="AK30" s="4">
        <f t="shared" si="125"/>
        <v>285.75</v>
      </c>
      <c r="AL30" s="4">
        <f t="shared" si="111"/>
        <v>0.16298012228397571</v>
      </c>
      <c r="AM30" s="25">
        <f t="shared" si="112"/>
        <v>551.25834685648249</v>
      </c>
      <c r="AN30" s="4">
        <f t="shared" si="113"/>
        <v>0.76606474190726159</v>
      </c>
      <c r="AO30" s="4">
        <v>1.25</v>
      </c>
      <c r="AP30" s="25">
        <f t="shared" si="114"/>
        <v>5</v>
      </c>
      <c r="AQ30" s="38">
        <f t="shared" si="115"/>
        <v>430.16523569904933</v>
      </c>
      <c r="AR30" s="38">
        <f t="shared" si="116"/>
        <v>430.16523569904933</v>
      </c>
      <c r="AT30" s="38">
        <f t="shared" si="46"/>
        <v>430.16523569904911</v>
      </c>
      <c r="AU30" s="3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38">
        <f t="shared" si="117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36">
        <f t="shared" si="53"/>
        <v>2.2250000000000001</v>
      </c>
      <c r="BF30" s="36">
        <f t="shared" si="54"/>
        <v>514.66322969491421</v>
      </c>
      <c r="BK30" s="4">
        <f t="shared" si="55"/>
        <v>101.8</v>
      </c>
      <c r="BL30" s="4">
        <f t="shared" si="56"/>
        <v>81.69</v>
      </c>
      <c r="BM30" s="4">
        <f t="shared" si="57"/>
        <v>101.8</v>
      </c>
      <c r="BN30" s="4">
        <f t="shared" si="58"/>
        <v>94.39</v>
      </c>
      <c r="BO30" s="4">
        <f t="shared" si="59"/>
        <v>1.0246174562369936</v>
      </c>
      <c r="BP30" s="25">
        <f t="shared" si="118"/>
        <v>4</v>
      </c>
      <c r="BR30" s="4">
        <f t="shared" si="60"/>
        <v>101.8</v>
      </c>
      <c r="BV30" s="9"/>
      <c r="BX30" s="9"/>
      <c r="BY30" s="9"/>
      <c r="BZ30" s="9">
        <f t="shared" si="61"/>
        <v>101.8</v>
      </c>
      <c r="CA30" s="9">
        <f t="shared" si="62"/>
        <v>101.8</v>
      </c>
      <c r="CB30" s="9">
        <f t="shared" si="63"/>
        <v>2.001967536137395</v>
      </c>
      <c r="CC30" s="9">
        <v>20</v>
      </c>
      <c r="CD30" s="9">
        <f t="shared" si="64"/>
        <v>0.05</v>
      </c>
      <c r="CE30" s="9">
        <f t="shared" si="65"/>
        <v>0.8</v>
      </c>
      <c r="CF30" s="9">
        <f t="shared" si="66"/>
        <v>0.99524931562137331</v>
      </c>
      <c r="CG30" s="9">
        <f t="shared" si="67"/>
        <v>0.97375</v>
      </c>
      <c r="CH30" s="9">
        <f t="shared" si="68"/>
        <v>1.961464882399115</v>
      </c>
      <c r="CI30" s="9">
        <f t="shared" si="69"/>
        <v>4.9036622059977875</v>
      </c>
      <c r="CJ30" s="9">
        <v>1</v>
      </c>
      <c r="CK30" s="9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38">
        <f t="shared" si="119"/>
        <v>517.5</v>
      </c>
      <c r="DS30" s="4">
        <f t="shared" si="79"/>
        <v>1</v>
      </c>
      <c r="DU30" s="4">
        <f t="shared" si="120"/>
        <v>430.16523569904911</v>
      </c>
      <c r="DY30" s="4">
        <f t="shared" si="80"/>
        <v>0.85</v>
      </c>
      <c r="DZ30" s="4">
        <f t="shared" si="81"/>
        <v>0.7</v>
      </c>
      <c r="EA30" s="4">
        <f t="shared" si="82"/>
        <v>0.82320199640399283</v>
      </c>
      <c r="EB30" s="4">
        <f t="shared" si="83"/>
        <v>0.7</v>
      </c>
      <c r="ED30" s="4">
        <f t="shared" si="121"/>
        <v>517.5</v>
      </c>
      <c r="EE30" s="25">
        <f t="shared" si="122"/>
        <v>411.00887886885306</v>
      </c>
      <c r="EH30" s="4">
        <f t="shared" si="84"/>
        <v>8.8720819696713296</v>
      </c>
      <c r="EI30" s="4">
        <f t="shared" si="85"/>
        <v>8.4462220351271053</v>
      </c>
      <c r="EK30" s="4">
        <f t="shared" si="86"/>
        <v>77.858162529590359</v>
      </c>
      <c r="EL30" s="4">
        <f t="shared" si="87"/>
        <v>3.0652819893539514</v>
      </c>
      <c r="EM30" s="4">
        <f t="shared" si="88"/>
        <v>0.14677038503419751</v>
      </c>
      <c r="EP30" s="4">
        <f t="shared" si="89"/>
        <v>0.14677038503419751</v>
      </c>
      <c r="EQ30" s="4">
        <f t="shared" si="90"/>
        <v>0.46338788134716236</v>
      </c>
      <c r="ER30" s="4">
        <f t="shared" si="91"/>
        <v>6.5223397020583498</v>
      </c>
      <c r="ES30" s="4">
        <f t="shared" si="92"/>
        <v>7.7865617991761473</v>
      </c>
      <c r="ET30" s="4">
        <f t="shared" si="93"/>
        <v>136.45433747040965</v>
      </c>
      <c r="EU30" s="4">
        <f t="shared" si="94"/>
        <v>71.4375</v>
      </c>
      <c r="EV30" s="4">
        <f t="shared" si="95"/>
        <v>2.058127601073333E-5</v>
      </c>
      <c r="EW30" s="4">
        <f t="shared" si="96"/>
        <v>8.1917458257410534</v>
      </c>
      <c r="EX30" s="4">
        <f t="shared" si="97"/>
        <v>517.5</v>
      </c>
      <c r="EY30" s="4">
        <f t="shared" si="98"/>
        <v>136.45433747040965</v>
      </c>
      <c r="EZ30" s="4">
        <f t="shared" si="99"/>
        <v>71.437499999999986</v>
      </c>
      <c r="FB30" s="4">
        <f t="shared" si="100"/>
        <v>0</v>
      </c>
      <c r="FG30" s="23"/>
      <c r="FH30" s="23"/>
      <c r="FI30" s="23"/>
      <c r="FJ30" s="23"/>
      <c r="FK30" s="23"/>
      <c r="FL30" s="23"/>
      <c r="FM30" s="23"/>
      <c r="FN30" s="23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customHeight="1" x14ac:dyDescent="0.3">
      <c r="A31" s="25">
        <v>13</v>
      </c>
      <c r="B31" s="26" t="s">
        <v>81</v>
      </c>
      <c r="C31" s="26"/>
      <c r="D31" s="26" t="s">
        <v>82</v>
      </c>
      <c r="E31" s="26"/>
      <c r="F31" s="7" t="s">
        <v>91</v>
      </c>
      <c r="G31" s="28">
        <f t="shared" si="105"/>
        <v>517.5</v>
      </c>
      <c r="H31" s="7">
        <f t="shared" si="126"/>
        <v>285.75</v>
      </c>
      <c r="I31" s="7">
        <f t="shared" si="123"/>
        <v>285.75</v>
      </c>
      <c r="J31" s="7">
        <v>33.44</v>
      </c>
      <c r="K31" s="7">
        <v>25.4</v>
      </c>
      <c r="L31" s="7">
        <f t="shared" si="106"/>
        <v>11.25</v>
      </c>
      <c r="M31" s="7">
        <f t="shared" si="107"/>
        <v>11.25</v>
      </c>
      <c r="N31" s="7">
        <v>229</v>
      </c>
      <c r="O31" s="7">
        <f t="shared" si="108"/>
        <v>101.8</v>
      </c>
      <c r="P31" s="7">
        <v>305</v>
      </c>
      <c r="Q31" s="7">
        <v>0</v>
      </c>
      <c r="R31" s="7">
        <v>1</v>
      </c>
      <c r="S31" s="7">
        <v>53.72</v>
      </c>
      <c r="T31" s="7">
        <f t="shared" si="42"/>
        <v>2.61496062992126</v>
      </c>
      <c r="U31" s="28">
        <f t="shared" si="109"/>
        <v>2.61496062992126</v>
      </c>
      <c r="V31" s="28">
        <f t="shared" si="110"/>
        <v>8.3959536742577185</v>
      </c>
      <c r="W31" s="7">
        <f t="shared" si="43"/>
        <v>8.3959536742577185</v>
      </c>
      <c r="X31" s="7">
        <f t="shared" si="44"/>
        <v>9.3959536742577185</v>
      </c>
      <c r="Y31" s="7">
        <f t="shared" si="45"/>
        <v>77.858162529590359</v>
      </c>
      <c r="Z31" s="7"/>
      <c r="AA31" s="7"/>
      <c r="AB31" s="7">
        <f>228.81/(PI()/4*K31^2)*1000</f>
        <v>451.56231048244251</v>
      </c>
      <c r="AC31" s="7"/>
      <c r="AD31" s="7"/>
      <c r="AE31" s="7">
        <v>9.5</v>
      </c>
      <c r="AF31" s="7">
        <v>3</v>
      </c>
      <c r="AG31" s="7">
        <v>76</v>
      </c>
      <c r="AH31" s="7">
        <v>3</v>
      </c>
      <c r="AI31" s="7"/>
      <c r="AJ31" s="7"/>
      <c r="AK31" s="4">
        <f t="shared" si="125"/>
        <v>285.75</v>
      </c>
      <c r="AL31" s="4">
        <f t="shared" si="111"/>
        <v>0.15426420778767486</v>
      </c>
      <c r="AM31" s="25">
        <f t="shared" si="112"/>
        <v>551.25834685648249</v>
      </c>
      <c r="AN31" s="4">
        <f t="shared" si="113"/>
        <v>0.74648818897637792</v>
      </c>
      <c r="AO31" s="4">
        <v>1.25</v>
      </c>
      <c r="AP31" s="25">
        <f t="shared" si="114"/>
        <v>5</v>
      </c>
      <c r="AQ31" s="38">
        <f t="shared" si="115"/>
        <v>396.7558231737641</v>
      </c>
      <c r="AR31" s="38">
        <f t="shared" si="116"/>
        <v>396.7558231737641</v>
      </c>
      <c r="AT31" s="38">
        <f t="shared" si="46"/>
        <v>396.75582317376393</v>
      </c>
      <c r="AU31" s="3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38">
        <f t="shared" si="117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36">
        <f t="shared" si="53"/>
        <v>2.2250000000000001</v>
      </c>
      <c r="BF31" s="36">
        <f t="shared" si="54"/>
        <v>514.66322969491421</v>
      </c>
      <c r="BK31" s="4">
        <f t="shared" si="55"/>
        <v>101.8</v>
      </c>
      <c r="BL31" s="4">
        <f t="shared" si="56"/>
        <v>53.72</v>
      </c>
      <c r="BM31" s="4">
        <f t="shared" si="57"/>
        <v>101.8</v>
      </c>
      <c r="BN31" s="4">
        <f t="shared" si="58"/>
        <v>66.42</v>
      </c>
      <c r="BO31" s="4">
        <f t="shared" si="59"/>
        <v>1.0895011169024573</v>
      </c>
      <c r="BP31" s="25">
        <f t="shared" si="118"/>
        <v>4</v>
      </c>
      <c r="BR31" s="4">
        <f t="shared" si="60"/>
        <v>101.8</v>
      </c>
      <c r="BV31" s="9"/>
      <c r="BX31" s="9"/>
      <c r="BY31" s="9"/>
      <c r="BZ31" s="9">
        <f t="shared" si="61"/>
        <v>101.8</v>
      </c>
      <c r="CA31" s="9">
        <f t="shared" si="62"/>
        <v>101.8</v>
      </c>
      <c r="CB31" s="9">
        <f t="shared" si="63"/>
        <v>2.001967536137395</v>
      </c>
      <c r="CC31" s="9">
        <v>20</v>
      </c>
      <c r="CD31" s="9">
        <f t="shared" si="64"/>
        <v>0.05</v>
      </c>
      <c r="CE31" s="9">
        <f t="shared" si="65"/>
        <v>0.8</v>
      </c>
      <c r="CF31" s="9">
        <f t="shared" si="66"/>
        <v>0.99524931562137331</v>
      </c>
      <c r="CG31" s="9">
        <f t="shared" si="67"/>
        <v>0.97375</v>
      </c>
      <c r="CH31" s="9">
        <f t="shared" si="68"/>
        <v>1.961464882399115</v>
      </c>
      <c r="CI31" s="9">
        <f t="shared" si="69"/>
        <v>4.9036622059977875</v>
      </c>
      <c r="CJ31" s="9">
        <v>1</v>
      </c>
      <c r="CK31" s="9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38">
        <f t="shared" si="119"/>
        <v>517.5</v>
      </c>
      <c r="DS31" s="4">
        <f t="shared" si="79"/>
        <v>1</v>
      </c>
      <c r="DU31" s="4">
        <f t="shared" si="120"/>
        <v>396.75582317376393</v>
      </c>
      <c r="DY31" s="4">
        <f t="shared" si="80"/>
        <v>0.85</v>
      </c>
      <c r="DZ31" s="4">
        <f t="shared" si="81"/>
        <v>0.7</v>
      </c>
      <c r="EA31" s="4">
        <f t="shared" si="82"/>
        <v>0.82320199640399283</v>
      </c>
      <c r="EB31" s="4">
        <f t="shared" si="83"/>
        <v>0.7</v>
      </c>
      <c r="ED31" s="4">
        <f t="shared" si="121"/>
        <v>517.5</v>
      </c>
      <c r="EE31" s="25">
        <f t="shared" si="122"/>
        <v>400.38236847478214</v>
      </c>
      <c r="EH31" s="4">
        <f t="shared" si="84"/>
        <v>8.8720819696713296</v>
      </c>
      <c r="EI31" s="4">
        <f t="shared" si="85"/>
        <v>8.4462220351271053</v>
      </c>
      <c r="EK31" s="4">
        <f t="shared" si="86"/>
        <v>77.858162529590359</v>
      </c>
      <c r="EL31" s="4">
        <f t="shared" si="87"/>
        <v>3.0652819893539514</v>
      </c>
      <c r="EM31" s="4">
        <f t="shared" si="88"/>
        <v>0.13537124829983568</v>
      </c>
      <c r="EP31" s="4">
        <f t="shared" si="89"/>
        <v>0.13537124829983568</v>
      </c>
      <c r="EQ31" s="4">
        <f t="shared" si="90"/>
        <v>0.42739818343029867</v>
      </c>
      <c r="ER31" s="4">
        <f t="shared" si="91"/>
        <v>6.3147856649016321</v>
      </c>
      <c r="ES31" s="4">
        <f t="shared" si="92"/>
        <v>7.7006317842330088</v>
      </c>
      <c r="ET31" s="4">
        <f t="shared" si="93"/>
        <v>136.45433747040965</v>
      </c>
      <c r="EU31" s="4">
        <f t="shared" si="94"/>
        <v>71.4375</v>
      </c>
      <c r="EV31" s="4">
        <f t="shared" si="95"/>
        <v>2.058127601073333E-5</v>
      </c>
      <c r="EW31" s="4">
        <f t="shared" si="96"/>
        <v>8.2017983392923259</v>
      </c>
      <c r="EX31" s="4">
        <f t="shared" si="97"/>
        <v>517.5</v>
      </c>
      <c r="EY31" s="4">
        <f t="shared" si="98"/>
        <v>136.45433747040965</v>
      </c>
      <c r="EZ31" s="4">
        <f t="shared" si="99"/>
        <v>71.437499999999986</v>
      </c>
      <c r="FB31" s="4">
        <f t="shared" si="100"/>
        <v>0</v>
      </c>
      <c r="FG31" s="23"/>
      <c r="FH31" s="23"/>
      <c r="FI31" s="23"/>
      <c r="FJ31" s="23"/>
      <c r="FK31" s="23"/>
      <c r="FL31" s="23"/>
      <c r="FM31" s="23"/>
      <c r="FN31" s="23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customHeight="1" x14ac:dyDescent="0.3">
      <c r="A32" s="25">
        <v>14</v>
      </c>
      <c r="B32" s="26" t="s">
        <v>81</v>
      </c>
      <c r="C32" s="26"/>
      <c r="D32" s="26" t="s">
        <v>82</v>
      </c>
      <c r="E32" s="26"/>
      <c r="F32" s="7" t="s">
        <v>92</v>
      </c>
      <c r="G32" s="28">
        <f t="shared" si="105"/>
        <v>517.5</v>
      </c>
      <c r="H32" s="7">
        <f t="shared" si="126"/>
        <v>285.75</v>
      </c>
      <c r="I32" s="7">
        <f t="shared" si="123"/>
        <v>285.75</v>
      </c>
      <c r="J32" s="7">
        <v>33.44</v>
      </c>
      <c r="K32" s="7">
        <v>25.4</v>
      </c>
      <c r="L32" s="7">
        <f t="shared" si="106"/>
        <v>11.25</v>
      </c>
      <c r="M32" s="7">
        <f t="shared" si="107"/>
        <v>11.25</v>
      </c>
      <c r="N32" s="7">
        <v>229</v>
      </c>
      <c r="O32" s="7">
        <f t="shared" si="108"/>
        <v>101.8</v>
      </c>
      <c r="P32" s="7">
        <v>305</v>
      </c>
      <c r="Q32" s="7">
        <v>0</v>
      </c>
      <c r="R32" s="7">
        <v>1</v>
      </c>
      <c r="S32" s="7">
        <v>51.33</v>
      </c>
      <c r="T32" s="7">
        <f t="shared" si="42"/>
        <v>2.5208661417322835</v>
      </c>
      <c r="U32" s="28">
        <f t="shared" si="109"/>
        <v>2.5208661417322835</v>
      </c>
      <c r="V32" s="28">
        <f t="shared" si="110"/>
        <v>8.3959536742577185</v>
      </c>
      <c r="W32" s="7">
        <f t="shared" si="43"/>
        <v>8.3959536742577185</v>
      </c>
      <c r="X32" s="7">
        <f t="shared" si="44"/>
        <v>9.3959536742577185</v>
      </c>
      <c r="Y32" s="7">
        <f t="shared" si="45"/>
        <v>77.858162529590359</v>
      </c>
      <c r="Z32" s="7"/>
      <c r="AA32" s="7"/>
      <c r="AB32" s="7">
        <f>226.27/(PI()/4*K32^2)*1000</f>
        <v>446.54955636931197</v>
      </c>
      <c r="AC32" s="7"/>
      <c r="AD32" s="7"/>
      <c r="AE32" s="7">
        <v>9.5</v>
      </c>
      <c r="AF32" s="7">
        <v>3</v>
      </c>
      <c r="AG32" s="7">
        <v>76</v>
      </c>
      <c r="AH32" s="7">
        <v>3</v>
      </c>
      <c r="AI32" s="7"/>
      <c r="AJ32" s="7"/>
      <c r="AK32" s="4">
        <f t="shared" si="125"/>
        <v>285.75</v>
      </c>
      <c r="AL32" s="4">
        <f t="shared" si="111"/>
        <v>0.15351944426796946</v>
      </c>
      <c r="AM32" s="25">
        <f t="shared" si="112"/>
        <v>551.25834685648249</v>
      </c>
      <c r="AN32" s="4">
        <f t="shared" si="113"/>
        <v>0.74481539807524055</v>
      </c>
      <c r="AO32" s="4">
        <v>1.25</v>
      </c>
      <c r="AP32" s="25">
        <f t="shared" si="114"/>
        <v>5</v>
      </c>
      <c r="AQ32" s="38">
        <f t="shared" si="115"/>
        <v>393.95555790376119</v>
      </c>
      <c r="AR32" s="38">
        <f t="shared" si="116"/>
        <v>393.95555790376119</v>
      </c>
      <c r="AT32" s="38">
        <f t="shared" si="46"/>
        <v>393.95555790376096</v>
      </c>
      <c r="AU32" s="3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38">
        <f t="shared" si="117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36">
        <f t="shared" si="53"/>
        <v>2.2250000000000001</v>
      </c>
      <c r="BF32" s="36">
        <f t="shared" si="54"/>
        <v>514.66322969491421</v>
      </c>
      <c r="BK32" s="4">
        <f t="shared" si="55"/>
        <v>101.8</v>
      </c>
      <c r="BL32" s="4">
        <f t="shared" si="56"/>
        <v>51.33</v>
      </c>
      <c r="BM32" s="4">
        <f t="shared" si="57"/>
        <v>101.8</v>
      </c>
      <c r="BN32" s="4">
        <f t="shared" si="58"/>
        <v>64.03</v>
      </c>
      <c r="BO32" s="4">
        <f t="shared" si="59"/>
        <v>1.0983245665302941</v>
      </c>
      <c r="BP32" s="25">
        <f t="shared" si="118"/>
        <v>4</v>
      </c>
      <c r="BR32" s="4">
        <f t="shared" si="60"/>
        <v>101.8</v>
      </c>
      <c r="BV32" s="9"/>
      <c r="BX32" s="9"/>
      <c r="BY32" s="9"/>
      <c r="BZ32" s="9">
        <f t="shared" si="61"/>
        <v>101.8</v>
      </c>
      <c r="CA32" s="9">
        <f t="shared" si="62"/>
        <v>101.8</v>
      </c>
      <c r="CB32" s="9">
        <f t="shared" si="63"/>
        <v>2.001967536137395</v>
      </c>
      <c r="CC32" s="9">
        <v>20</v>
      </c>
      <c r="CD32" s="9">
        <f t="shared" si="64"/>
        <v>0.05</v>
      </c>
      <c r="CE32" s="9">
        <f t="shared" si="65"/>
        <v>0.8</v>
      </c>
      <c r="CF32" s="9">
        <f t="shared" si="66"/>
        <v>0.99524931562137331</v>
      </c>
      <c r="CG32" s="9">
        <f t="shared" si="67"/>
        <v>0.97375</v>
      </c>
      <c r="CH32" s="9">
        <f t="shared" si="68"/>
        <v>1.961464882399115</v>
      </c>
      <c r="CI32" s="9">
        <f t="shared" si="69"/>
        <v>4.9036622059977875</v>
      </c>
      <c r="CJ32" s="9">
        <v>1</v>
      </c>
      <c r="CK32" s="9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38">
        <f t="shared" si="119"/>
        <v>517.5</v>
      </c>
      <c r="DS32" s="4">
        <f t="shared" si="79"/>
        <v>1</v>
      </c>
      <c r="DU32" s="4">
        <f t="shared" si="120"/>
        <v>393.95555790376096</v>
      </c>
      <c r="DY32" s="4">
        <f t="shared" si="80"/>
        <v>0.85</v>
      </c>
      <c r="DZ32" s="4">
        <f t="shared" si="81"/>
        <v>0.7</v>
      </c>
      <c r="EA32" s="4">
        <f t="shared" si="82"/>
        <v>0.82320199640399283</v>
      </c>
      <c r="EB32" s="4">
        <f t="shared" si="83"/>
        <v>0.7</v>
      </c>
      <c r="ED32" s="4">
        <f t="shared" si="121"/>
        <v>517.5</v>
      </c>
      <c r="EE32" s="25">
        <f t="shared" si="122"/>
        <v>399.47434702888194</v>
      </c>
      <c r="EH32" s="4">
        <f t="shared" si="84"/>
        <v>8.8720819696713296</v>
      </c>
      <c r="EI32" s="4">
        <f t="shared" si="85"/>
        <v>8.4462220351271053</v>
      </c>
      <c r="EK32" s="4">
        <f t="shared" si="86"/>
        <v>77.858162529590359</v>
      </c>
      <c r="EL32" s="4">
        <f t="shared" si="87"/>
        <v>3.0652819893539514</v>
      </c>
      <c r="EM32" s="4">
        <f t="shared" si="88"/>
        <v>0.13441581076614395</v>
      </c>
      <c r="EP32" s="4">
        <f t="shared" si="89"/>
        <v>0.13441581076614395</v>
      </c>
      <c r="EQ32" s="4">
        <f t="shared" si="90"/>
        <v>0.42438164726468319</v>
      </c>
      <c r="ER32" s="4">
        <f t="shared" si="91"/>
        <v>6.2969201091294611</v>
      </c>
      <c r="ES32" s="4">
        <f t="shared" si="92"/>
        <v>7.6933224587384004</v>
      </c>
      <c r="ET32" s="4">
        <f t="shared" si="93"/>
        <v>136.45433747040965</v>
      </c>
      <c r="EU32" s="4">
        <f t="shared" si="94"/>
        <v>71.4375</v>
      </c>
      <c r="EV32" s="4">
        <f t="shared" si="95"/>
        <v>2.058127601073333E-5</v>
      </c>
      <c r="EW32" s="4">
        <f t="shared" si="96"/>
        <v>8.2026593344228811</v>
      </c>
      <c r="EX32" s="4">
        <f t="shared" si="97"/>
        <v>517.5</v>
      </c>
      <c r="EY32" s="4">
        <f t="shared" si="98"/>
        <v>136.45433747040965</v>
      </c>
      <c r="EZ32" s="4">
        <f t="shared" si="99"/>
        <v>71.437499999999986</v>
      </c>
      <c r="FB32" s="4">
        <f t="shared" si="100"/>
        <v>0</v>
      </c>
      <c r="FG32" s="23"/>
      <c r="FH32" s="23"/>
      <c r="FI32" s="23"/>
      <c r="FJ32" s="23"/>
      <c r="FK32" s="23"/>
      <c r="FL32" s="23"/>
      <c r="FM32" s="23"/>
      <c r="FN32" s="23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customHeight="1" x14ac:dyDescent="0.3">
      <c r="A33" s="25">
        <v>15</v>
      </c>
      <c r="B33" s="26" t="s">
        <v>81</v>
      </c>
      <c r="C33" s="26"/>
      <c r="D33" s="26" t="s">
        <v>82</v>
      </c>
      <c r="E33" s="26"/>
      <c r="F33" s="7" t="s">
        <v>93</v>
      </c>
      <c r="G33" s="28">
        <f t="shared" si="105"/>
        <v>517.5</v>
      </c>
      <c r="H33" s="7">
        <f t="shared" si="126"/>
        <v>285.75</v>
      </c>
      <c r="I33" s="7">
        <f t="shared" si="123"/>
        <v>285.75</v>
      </c>
      <c r="J33" s="7">
        <v>33.44</v>
      </c>
      <c r="K33" s="7">
        <v>25.4</v>
      </c>
      <c r="L33" s="7">
        <f t="shared" si="106"/>
        <v>11.25</v>
      </c>
      <c r="M33" s="7">
        <f t="shared" si="107"/>
        <v>11.25</v>
      </c>
      <c r="N33" s="7">
        <v>229</v>
      </c>
      <c r="O33" s="7">
        <f t="shared" si="108"/>
        <v>101.8</v>
      </c>
      <c r="P33" s="7">
        <v>305</v>
      </c>
      <c r="Q33" s="7">
        <v>0</v>
      </c>
      <c r="R33" s="7">
        <v>1</v>
      </c>
      <c r="S33" s="7">
        <v>52.65</v>
      </c>
      <c r="T33" s="7">
        <f t="shared" si="42"/>
        <v>2.5728346456692912</v>
      </c>
      <c r="U33" s="28">
        <f t="shared" si="109"/>
        <v>2.5728346456692912</v>
      </c>
      <c r="V33" s="28">
        <f t="shared" si="110"/>
        <v>8.3959536742577185</v>
      </c>
      <c r="W33" s="7">
        <f t="shared" si="43"/>
        <v>8.3959536742577185</v>
      </c>
      <c r="X33" s="7">
        <f t="shared" si="44"/>
        <v>9.3959536742577185</v>
      </c>
      <c r="Y33" s="7">
        <f t="shared" si="45"/>
        <v>77.858162529590359</v>
      </c>
      <c r="Z33" s="7"/>
      <c r="AA33" s="7"/>
      <c r="AB33" s="7">
        <f>226.71/(PI()/4*K33^2)*1000</f>
        <v>447.41790747552358</v>
      </c>
      <c r="AC33" s="7"/>
      <c r="AD33" s="7"/>
      <c r="AE33" s="7">
        <v>9.5</v>
      </c>
      <c r="AF33" s="7">
        <v>3</v>
      </c>
      <c r="AG33" s="7">
        <v>76</v>
      </c>
      <c r="AH33" s="7">
        <v>3</v>
      </c>
      <c r="AI33" s="7"/>
      <c r="AJ33" s="7"/>
      <c r="AK33" s="4">
        <f t="shared" si="125"/>
        <v>285.75</v>
      </c>
      <c r="AL33" s="4">
        <f t="shared" si="111"/>
        <v>0.15393077809475234</v>
      </c>
      <c r="AM33" s="25">
        <f t="shared" si="112"/>
        <v>551.25834685648249</v>
      </c>
      <c r="AN33" s="4">
        <f t="shared" si="113"/>
        <v>0.74573928258967626</v>
      </c>
      <c r="AO33" s="4">
        <v>1.25</v>
      </c>
      <c r="AP33" s="25">
        <f t="shared" si="114"/>
        <v>5</v>
      </c>
      <c r="AQ33" s="38">
        <f t="shared" si="115"/>
        <v>395.50108658094928</v>
      </c>
      <c r="AR33" s="38">
        <f t="shared" si="116"/>
        <v>395.50108658094928</v>
      </c>
      <c r="AT33" s="38">
        <f t="shared" si="46"/>
        <v>395.50108658094916</v>
      </c>
      <c r="AU33" s="3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38">
        <f t="shared" si="117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36">
        <f t="shared" si="53"/>
        <v>2.2250000000000001</v>
      </c>
      <c r="BF33" s="36">
        <f t="shared" si="54"/>
        <v>514.66322969491421</v>
      </c>
      <c r="BK33" s="4">
        <f t="shared" si="55"/>
        <v>101.8</v>
      </c>
      <c r="BL33" s="4">
        <f t="shared" si="56"/>
        <v>52.65</v>
      </c>
      <c r="BM33" s="4">
        <f t="shared" si="57"/>
        <v>101.8</v>
      </c>
      <c r="BN33" s="4">
        <f t="shared" si="58"/>
        <v>65.349999999999994</v>
      </c>
      <c r="BO33" s="4">
        <f t="shared" si="59"/>
        <v>1.09335232668566</v>
      </c>
      <c r="BP33" s="25">
        <f t="shared" si="118"/>
        <v>4</v>
      </c>
      <c r="BR33" s="4">
        <f t="shared" si="60"/>
        <v>101.8</v>
      </c>
      <c r="BV33" s="9"/>
      <c r="BX33" s="9"/>
      <c r="BY33" s="9"/>
      <c r="BZ33" s="9">
        <f t="shared" si="61"/>
        <v>101.8</v>
      </c>
      <c r="CA33" s="9">
        <f t="shared" si="62"/>
        <v>101.8</v>
      </c>
      <c r="CB33" s="9">
        <f t="shared" si="63"/>
        <v>2.001967536137395</v>
      </c>
      <c r="CC33" s="9">
        <v>20</v>
      </c>
      <c r="CD33" s="9">
        <f t="shared" si="64"/>
        <v>0.05</v>
      </c>
      <c r="CE33" s="9">
        <f t="shared" si="65"/>
        <v>0.8</v>
      </c>
      <c r="CF33" s="9">
        <f t="shared" si="66"/>
        <v>0.99524931562137331</v>
      </c>
      <c r="CG33" s="9">
        <f t="shared" si="67"/>
        <v>0.97375</v>
      </c>
      <c r="CH33" s="9">
        <f t="shared" si="68"/>
        <v>1.961464882399115</v>
      </c>
      <c r="CI33" s="9">
        <f t="shared" si="69"/>
        <v>4.9036622059977875</v>
      </c>
      <c r="CJ33" s="9">
        <v>1</v>
      </c>
      <c r="CK33" s="9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38">
        <f t="shared" si="119"/>
        <v>517.5</v>
      </c>
      <c r="DS33" s="4">
        <f t="shared" si="79"/>
        <v>1</v>
      </c>
      <c r="DU33" s="4">
        <f t="shared" si="120"/>
        <v>395.50108658094916</v>
      </c>
      <c r="DY33" s="4">
        <f t="shared" si="80"/>
        <v>0.85</v>
      </c>
      <c r="DZ33" s="4">
        <f t="shared" si="81"/>
        <v>0.7</v>
      </c>
      <c r="EA33" s="4">
        <f t="shared" si="82"/>
        <v>0.82320199640399283</v>
      </c>
      <c r="EB33" s="4">
        <f t="shared" si="83"/>
        <v>0.7</v>
      </c>
      <c r="ED33" s="4">
        <f t="shared" si="121"/>
        <v>517.5</v>
      </c>
      <c r="EE33" s="25">
        <f t="shared" si="122"/>
        <v>399.9758484132285</v>
      </c>
      <c r="EH33" s="4">
        <f t="shared" si="84"/>
        <v>8.8720819696713296</v>
      </c>
      <c r="EI33" s="4">
        <f t="shared" si="85"/>
        <v>8.4462220351271053</v>
      </c>
      <c r="EK33" s="4">
        <f t="shared" si="86"/>
        <v>77.858162529590359</v>
      </c>
      <c r="EL33" s="4">
        <f t="shared" si="87"/>
        <v>3.0652819893539514</v>
      </c>
      <c r="EM33" s="4">
        <f t="shared" si="88"/>
        <v>0.13494313798881846</v>
      </c>
      <c r="EP33" s="4">
        <f t="shared" si="89"/>
        <v>0.13494313798881846</v>
      </c>
      <c r="EQ33" s="4">
        <f t="shared" si="90"/>
        <v>0.42604654065877551</v>
      </c>
      <c r="ER33" s="4">
        <f t="shared" si="91"/>
        <v>6.3067898930054849</v>
      </c>
      <c r="ES33" s="4">
        <f t="shared" si="92"/>
        <v>7.6973587472627116</v>
      </c>
      <c r="ET33" s="4">
        <f t="shared" si="93"/>
        <v>136.45433747040965</v>
      </c>
      <c r="EU33" s="4">
        <f t="shared" si="94"/>
        <v>71.4375</v>
      </c>
      <c r="EV33" s="4">
        <f t="shared" si="95"/>
        <v>2.058127601073333E-5</v>
      </c>
      <c r="EW33" s="4">
        <f t="shared" si="96"/>
        <v>8.2021837648564127</v>
      </c>
      <c r="EX33" s="4">
        <f t="shared" si="97"/>
        <v>517.5</v>
      </c>
      <c r="EY33" s="4">
        <f t="shared" si="98"/>
        <v>136.45433747040965</v>
      </c>
      <c r="EZ33" s="4">
        <f t="shared" si="99"/>
        <v>71.437499999999986</v>
      </c>
      <c r="FB33" s="4">
        <f t="shared" si="100"/>
        <v>0</v>
      </c>
      <c r="FG33" s="23"/>
      <c r="FH33" s="23"/>
      <c r="FI33" s="23"/>
      <c r="FJ33" s="23"/>
      <c r="FK33" s="23"/>
      <c r="FL33" s="23"/>
      <c r="FM33" s="23"/>
      <c r="FN33" s="23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25" customFormat="1" ht="12" customHeight="1" x14ac:dyDescent="0.3">
      <c r="A34" s="25">
        <v>16</v>
      </c>
      <c r="B34" s="26" t="s">
        <v>81</v>
      </c>
      <c r="C34" s="26"/>
      <c r="D34" s="26" t="s">
        <v>82</v>
      </c>
      <c r="E34" s="26"/>
      <c r="F34" s="28" t="s">
        <v>94</v>
      </c>
      <c r="G34" s="28">
        <f t="shared" si="105"/>
        <v>517.5</v>
      </c>
      <c r="H34" s="28">
        <f t="shared" ref="H34:H36" si="127">0.5*25.4</f>
        <v>12.7</v>
      </c>
      <c r="I34" s="28">
        <f t="shared" si="123"/>
        <v>12.7</v>
      </c>
      <c r="J34" s="28">
        <v>34.659999999999997</v>
      </c>
      <c r="K34" s="28">
        <v>25.4</v>
      </c>
      <c r="L34" s="28">
        <f t="shared" si="106"/>
        <v>0.5</v>
      </c>
      <c r="M34" s="28">
        <f t="shared" si="107"/>
        <v>0.5</v>
      </c>
      <c r="N34" s="28">
        <v>229</v>
      </c>
      <c r="O34" s="28">
        <f t="shared" si="108"/>
        <v>101.8</v>
      </c>
      <c r="P34" s="28">
        <v>305</v>
      </c>
      <c r="Q34" s="28">
        <v>0</v>
      </c>
      <c r="R34" s="28">
        <v>1</v>
      </c>
      <c r="S34" s="28">
        <v>73.459999999999994</v>
      </c>
      <c r="T34" s="7">
        <f t="shared" si="42"/>
        <v>3.3921259842519684</v>
      </c>
      <c r="U34" s="28">
        <f t="shared" si="109"/>
        <v>3.3921259842519684</v>
      </c>
      <c r="V34" s="28">
        <f t="shared" si="110"/>
        <v>8.3959536742577185</v>
      </c>
      <c r="W34" s="7">
        <f t="shared" si="43"/>
        <v>8.3959536742577185</v>
      </c>
      <c r="X34" s="28">
        <f t="shared" si="44"/>
        <v>9.3959536742577185</v>
      </c>
      <c r="Y34" s="28">
        <f t="shared" si="45"/>
        <v>77.858162529590359</v>
      </c>
      <c r="Z34" s="28"/>
      <c r="AA34" s="28"/>
      <c r="AB34" s="28">
        <f>270.13/(PI()/4*K34^2)*1000</f>
        <v>533.10837345667676</v>
      </c>
      <c r="AC34" s="28"/>
      <c r="AD34" s="28"/>
      <c r="AE34" s="28"/>
      <c r="AF34" s="28"/>
      <c r="AG34" s="28">
        <v>1</v>
      </c>
      <c r="AH34" s="28"/>
      <c r="AI34" s="28"/>
      <c r="AJ34" s="28"/>
      <c r="AK34" s="4">
        <f t="shared" si="125"/>
        <v>12.7</v>
      </c>
      <c r="AL34" s="25">
        <f t="shared" si="111"/>
        <v>1</v>
      </c>
      <c r="AM34" s="25">
        <f t="shared" si="112"/>
        <v>5.2585080853609538</v>
      </c>
      <c r="AN34" s="4">
        <f t="shared" si="113"/>
        <v>1</v>
      </c>
      <c r="AO34" s="25">
        <v>1.25</v>
      </c>
      <c r="AP34" s="25">
        <f t="shared" si="114"/>
        <v>5</v>
      </c>
      <c r="AQ34" s="38">
        <f t="shared" si="115"/>
        <v>32.865675533505964</v>
      </c>
      <c r="AR34" s="38">
        <f t="shared" si="116"/>
        <v>32.865675533505964</v>
      </c>
      <c r="AS34" s="38"/>
      <c r="AT34" s="38">
        <f t="shared" si="46"/>
        <v>1121.9869848998135</v>
      </c>
      <c r="AU34" s="38">
        <f t="shared" si="47"/>
        <v>2.929238571910945E-2</v>
      </c>
      <c r="AV34" s="38"/>
      <c r="AX34" s="25">
        <f t="shared" si="48"/>
        <v>15.492827399510553</v>
      </c>
      <c r="AY34" s="25">
        <f t="shared" si="49"/>
        <v>1</v>
      </c>
      <c r="AZ34" s="38">
        <f t="shared" si="117"/>
        <v>681.34260170232233</v>
      </c>
      <c r="BA34" s="25">
        <f t="shared" si="50"/>
        <v>0.3</v>
      </c>
      <c r="BB34" s="25">
        <f t="shared" si="51"/>
        <v>2.428500694873279</v>
      </c>
      <c r="BC34" s="25">
        <f t="shared" si="52"/>
        <v>683.77110239719559</v>
      </c>
      <c r="BE34" s="36">
        <f t="shared" si="53"/>
        <v>1.1000000000000001</v>
      </c>
      <c r="BF34" s="36">
        <f t="shared" si="54"/>
        <v>147.65284224829537</v>
      </c>
      <c r="BK34" s="25">
        <f t="shared" si="55"/>
        <v>101.8</v>
      </c>
      <c r="BL34" s="25">
        <f t="shared" si="56"/>
        <v>73.459999999999994</v>
      </c>
      <c r="BM34" s="25">
        <f t="shared" si="57"/>
        <v>101.8</v>
      </c>
      <c r="BN34" s="25">
        <f t="shared" si="58"/>
        <v>86.16</v>
      </c>
      <c r="BO34" s="25">
        <f t="shared" si="59"/>
        <v>1.0385788184045739</v>
      </c>
      <c r="BP34" s="25">
        <f t="shared" si="118"/>
        <v>3.5229901966038617</v>
      </c>
      <c r="BR34" s="25">
        <f t="shared" si="60"/>
        <v>101.8</v>
      </c>
      <c r="BV34" s="29"/>
      <c r="BX34" s="29"/>
      <c r="BY34" s="29"/>
      <c r="BZ34" s="29">
        <f t="shared" si="61"/>
        <v>101.8</v>
      </c>
      <c r="CA34" s="29">
        <f t="shared" si="62"/>
        <v>101.8</v>
      </c>
      <c r="CB34" s="29">
        <f t="shared" si="63"/>
        <v>2.001967536137395</v>
      </c>
      <c r="CC34" s="29">
        <v>0</v>
      </c>
      <c r="CD34" s="29">
        <f t="shared" si="64"/>
        <v>0</v>
      </c>
      <c r="CE34" s="29">
        <f t="shared" si="65"/>
        <v>0</v>
      </c>
      <c r="CF34" s="29">
        <f t="shared" si="66"/>
        <v>0.99524931562137331</v>
      </c>
      <c r="CG34" s="29">
        <f t="shared" si="67"/>
        <v>0.97375</v>
      </c>
      <c r="CH34" s="29">
        <f t="shared" si="68"/>
        <v>1.9969246679255115</v>
      </c>
      <c r="CI34" s="29">
        <f t="shared" si="69"/>
        <v>3.9977783572988219</v>
      </c>
      <c r="CJ34" s="29">
        <v>1</v>
      </c>
      <c r="CK34" s="2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25">
        <f t="shared" si="72"/>
        <v>12.7</v>
      </c>
      <c r="DJ34" s="25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38">
        <f t="shared" si="119"/>
        <v>533.10837345667676</v>
      </c>
      <c r="DS34" s="4">
        <f t="shared" si="79"/>
        <v>1</v>
      </c>
      <c r="DT34" s="4"/>
      <c r="DU34" s="4">
        <f t="shared" si="120"/>
        <v>1121.9869848998135</v>
      </c>
      <c r="DY34" s="25">
        <f t="shared" si="80"/>
        <v>0.85</v>
      </c>
      <c r="DZ34" s="25">
        <f t="shared" si="81"/>
        <v>0.7</v>
      </c>
      <c r="EA34" s="25">
        <f t="shared" si="82"/>
        <v>1</v>
      </c>
      <c r="EB34" s="25">
        <f t="shared" si="83"/>
        <v>0.7</v>
      </c>
      <c r="ED34" s="4">
        <f t="shared" si="121"/>
        <v>533.10837345667676</v>
      </c>
      <c r="EE34" s="25">
        <f t="shared" si="122"/>
        <v>4867.4754115107617</v>
      </c>
      <c r="EH34" s="4">
        <f t="shared" si="84"/>
        <v>9.0324733825588019</v>
      </c>
      <c r="EI34" s="25">
        <f t="shared" si="85"/>
        <v>7.5734730123259153</v>
      </c>
      <c r="EK34" s="4">
        <f t="shared" si="86"/>
        <v>77.858162529590359</v>
      </c>
      <c r="EL34" s="4">
        <f t="shared" si="87"/>
        <v>3.0652819893539514</v>
      </c>
      <c r="EM34" s="4">
        <f t="shared" si="88"/>
        <v>0.37601900718293008</v>
      </c>
      <c r="EP34" s="25">
        <f t="shared" si="89"/>
        <v>0.37601900718293008</v>
      </c>
      <c r="EQ34" s="25">
        <f t="shared" si="90"/>
        <v>0.999</v>
      </c>
      <c r="ER34" s="4">
        <f t="shared" si="91"/>
        <v>9.0288593087305173</v>
      </c>
      <c r="ES34" s="25">
        <f t="shared" si="92"/>
        <v>9.0306665264387256</v>
      </c>
      <c r="ET34" s="4">
        <f t="shared" si="93"/>
        <v>0</v>
      </c>
      <c r="EU34" s="4">
        <f t="shared" si="94"/>
        <v>0</v>
      </c>
      <c r="EV34" s="25">
        <f t="shared" si="95"/>
        <v>0</v>
      </c>
      <c r="EW34" s="25">
        <f t="shared" si="96"/>
        <v>9.0324733825588019</v>
      </c>
      <c r="EX34" s="4">
        <f t="shared" si="97"/>
        <v>533.10837345667676</v>
      </c>
      <c r="EY34" s="4">
        <f t="shared" si="98"/>
        <v>0</v>
      </c>
      <c r="EZ34" s="4">
        <f t="shared" si="99"/>
        <v>0</v>
      </c>
      <c r="FB34" s="4">
        <f t="shared" si="100"/>
        <v>0</v>
      </c>
      <c r="FG34" s="23"/>
      <c r="FH34" s="23"/>
      <c r="FI34" s="23"/>
      <c r="FJ34" s="23"/>
      <c r="FK34" s="23"/>
      <c r="FL34" s="23"/>
      <c r="FM34" s="30"/>
      <c r="FN34" s="30"/>
      <c r="FX34" s="4">
        <f t="shared" si="101"/>
        <v>1</v>
      </c>
      <c r="FY34" s="4">
        <f t="shared" si="102"/>
        <v>1.0833333333333333</v>
      </c>
      <c r="FZ34" s="4">
        <f t="shared" si="103"/>
        <v>0</v>
      </c>
      <c r="GA34" s="4">
        <f t="shared" si="104"/>
        <v>11.166775737485116</v>
      </c>
      <c r="GB34" s="4"/>
    </row>
    <row r="35" spans="1:184" s="25" customFormat="1" ht="12" customHeight="1" x14ac:dyDescent="0.3">
      <c r="A35" s="25">
        <v>17</v>
      </c>
      <c r="B35" s="26" t="s">
        <v>81</v>
      </c>
      <c r="C35" s="26"/>
      <c r="D35" s="26" t="s">
        <v>82</v>
      </c>
      <c r="E35" s="26"/>
      <c r="F35" s="28" t="s">
        <v>95</v>
      </c>
      <c r="G35" s="28">
        <f t="shared" si="105"/>
        <v>517.5</v>
      </c>
      <c r="H35" s="28">
        <f t="shared" si="127"/>
        <v>12.7</v>
      </c>
      <c r="I35" s="28">
        <f t="shared" si="123"/>
        <v>12.7</v>
      </c>
      <c r="J35" s="28">
        <v>34.659999999999997</v>
      </c>
      <c r="K35" s="28">
        <v>25.4</v>
      </c>
      <c r="L35" s="28">
        <f t="shared" si="106"/>
        <v>0.5</v>
      </c>
      <c r="M35" s="28">
        <f t="shared" si="107"/>
        <v>0.5</v>
      </c>
      <c r="N35" s="28">
        <v>229</v>
      </c>
      <c r="O35" s="28">
        <f t="shared" si="108"/>
        <v>101.8</v>
      </c>
      <c r="P35" s="28">
        <v>305</v>
      </c>
      <c r="Q35" s="28">
        <v>0</v>
      </c>
      <c r="R35" s="28">
        <v>1</v>
      </c>
      <c r="S35" s="28">
        <v>68.86</v>
      </c>
      <c r="T35" s="7">
        <f t="shared" si="42"/>
        <v>3.2110236220472443</v>
      </c>
      <c r="U35" s="28">
        <f t="shared" si="109"/>
        <v>3.2110236220472443</v>
      </c>
      <c r="V35" s="28">
        <f t="shared" si="110"/>
        <v>8.3959536742577185</v>
      </c>
      <c r="W35" s="7">
        <f t="shared" si="43"/>
        <v>8.3959536742577185</v>
      </c>
      <c r="X35" s="28">
        <f t="shared" si="44"/>
        <v>9.3959536742577185</v>
      </c>
      <c r="Y35" s="28">
        <f t="shared" si="45"/>
        <v>77.858162529590359</v>
      </c>
      <c r="Z35" s="28"/>
      <c r="AA35" s="28"/>
      <c r="AB35" s="28">
        <f>262.79/(PI()/4*K35^2)*1000</f>
        <v>518.62269818487425</v>
      </c>
      <c r="AC35" s="28"/>
      <c r="AD35" s="28"/>
      <c r="AE35" s="28"/>
      <c r="AF35" s="28"/>
      <c r="AG35" s="28">
        <v>1</v>
      </c>
      <c r="AH35" s="28"/>
      <c r="AI35" s="28"/>
      <c r="AJ35" s="28"/>
      <c r="AK35" s="4">
        <f t="shared" si="125"/>
        <v>12.7</v>
      </c>
      <c r="AL35" s="25">
        <f t="shared" si="111"/>
        <v>1</v>
      </c>
      <c r="AM35" s="25">
        <f t="shared" si="112"/>
        <v>5.2585080853609538</v>
      </c>
      <c r="AN35" s="4">
        <f t="shared" si="113"/>
        <v>1</v>
      </c>
      <c r="AO35" s="25">
        <v>1.25</v>
      </c>
      <c r="AP35" s="25">
        <f t="shared" si="114"/>
        <v>5</v>
      </c>
      <c r="AQ35" s="38">
        <f t="shared" si="115"/>
        <v>32.865675533505964</v>
      </c>
      <c r="AR35" s="38">
        <f t="shared" si="116"/>
        <v>32.865675533505964</v>
      </c>
      <c r="AS35" s="38"/>
      <c r="AT35" s="38">
        <f t="shared" si="46"/>
        <v>1035.1434290393081</v>
      </c>
      <c r="AU35" s="38">
        <f t="shared" si="47"/>
        <v>3.1749876018638122E-2</v>
      </c>
      <c r="AV35" s="38"/>
      <c r="AX35" s="25">
        <f t="shared" si="48"/>
        <v>15.492827399510553</v>
      </c>
      <c r="AY35" s="25">
        <f t="shared" si="49"/>
        <v>1</v>
      </c>
      <c r="AZ35" s="38">
        <f t="shared" si="117"/>
        <v>644.96637180642313</v>
      </c>
      <c r="BA35" s="25">
        <f t="shared" si="50"/>
        <v>0.3</v>
      </c>
      <c r="BB35" s="25">
        <f t="shared" si="51"/>
        <v>2.428500694873279</v>
      </c>
      <c r="BC35" s="25">
        <f t="shared" si="52"/>
        <v>647.39487250129639</v>
      </c>
      <c r="BE35" s="36">
        <f t="shared" si="53"/>
        <v>1.1000000000000001</v>
      </c>
      <c r="BF35" s="36">
        <f t="shared" si="54"/>
        <v>147.65284224829537</v>
      </c>
      <c r="BK35" s="25">
        <f t="shared" si="55"/>
        <v>101.8</v>
      </c>
      <c r="BL35" s="25">
        <f t="shared" si="56"/>
        <v>68.86</v>
      </c>
      <c r="BM35" s="25">
        <f t="shared" si="57"/>
        <v>101.8</v>
      </c>
      <c r="BN35" s="25">
        <f t="shared" si="58"/>
        <v>81.56</v>
      </c>
      <c r="BO35" s="25">
        <f t="shared" si="59"/>
        <v>1.0478361893697357</v>
      </c>
      <c r="BP35" s="25">
        <f t="shared" si="118"/>
        <v>3.364626756102191</v>
      </c>
      <c r="BR35" s="25">
        <f t="shared" si="60"/>
        <v>101.8</v>
      </c>
      <c r="BV35" s="29"/>
      <c r="BX35" s="29"/>
      <c r="BY35" s="29"/>
      <c r="BZ35" s="29">
        <f t="shared" si="61"/>
        <v>101.8</v>
      </c>
      <c r="CA35" s="29">
        <f t="shared" si="62"/>
        <v>101.8</v>
      </c>
      <c r="CB35" s="29">
        <f t="shared" si="63"/>
        <v>2.001967536137395</v>
      </c>
      <c r="CC35" s="29">
        <v>0</v>
      </c>
      <c r="CD35" s="29">
        <f t="shared" si="64"/>
        <v>0</v>
      </c>
      <c r="CE35" s="29">
        <f t="shared" si="65"/>
        <v>0</v>
      </c>
      <c r="CF35" s="29">
        <f t="shared" si="66"/>
        <v>0.99524931562137331</v>
      </c>
      <c r="CG35" s="29">
        <f t="shared" si="67"/>
        <v>0.97375</v>
      </c>
      <c r="CH35" s="29">
        <f t="shared" si="68"/>
        <v>1.9969246679255115</v>
      </c>
      <c r="CI35" s="29">
        <f t="shared" si="69"/>
        <v>3.9977783572988219</v>
      </c>
      <c r="CJ35" s="29">
        <v>1</v>
      </c>
      <c r="CK35" s="2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25">
        <f t="shared" si="72"/>
        <v>12.7</v>
      </c>
      <c r="DJ35" s="25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38">
        <f t="shared" si="119"/>
        <v>518.62269818487425</v>
      </c>
      <c r="DS35" s="4">
        <f t="shared" si="79"/>
        <v>1</v>
      </c>
      <c r="DT35" s="4"/>
      <c r="DU35" s="4">
        <f t="shared" si="120"/>
        <v>1035.1434290393081</v>
      </c>
      <c r="DY35" s="25">
        <f t="shared" si="80"/>
        <v>0.85</v>
      </c>
      <c r="DZ35" s="25">
        <f t="shared" si="81"/>
        <v>0.7</v>
      </c>
      <c r="EA35" s="25">
        <f t="shared" si="82"/>
        <v>1</v>
      </c>
      <c r="EB35" s="25">
        <f t="shared" si="83"/>
        <v>0.7</v>
      </c>
      <c r="ED35" s="4">
        <f t="shared" si="121"/>
        <v>518.62269818487425</v>
      </c>
      <c r="EE35" s="25">
        <f t="shared" si="122"/>
        <v>4677.5815357330548</v>
      </c>
      <c r="EH35" s="4">
        <f t="shared" si="84"/>
        <v>9.0324733825588019</v>
      </c>
      <c r="EI35" s="25">
        <f t="shared" si="85"/>
        <v>7.2330345847836925</v>
      </c>
      <c r="EK35" s="4">
        <f t="shared" si="86"/>
        <v>77.858162529590359</v>
      </c>
      <c r="EL35" s="4">
        <f t="shared" si="87"/>
        <v>3.0652819893539514</v>
      </c>
      <c r="EM35" s="4">
        <f t="shared" si="88"/>
        <v>0.34691454510414893</v>
      </c>
      <c r="EP35" s="25">
        <f t="shared" si="89"/>
        <v>0.34691454510414893</v>
      </c>
      <c r="EQ35" s="25">
        <f t="shared" si="90"/>
        <v>0.999</v>
      </c>
      <c r="ER35" s="4">
        <f t="shared" si="91"/>
        <v>9.0288593087305173</v>
      </c>
      <c r="ES35" s="25">
        <f t="shared" si="92"/>
        <v>9.0306665264387256</v>
      </c>
      <c r="ET35" s="4">
        <f t="shared" si="93"/>
        <v>0</v>
      </c>
      <c r="EU35" s="4">
        <f t="shared" si="94"/>
        <v>0</v>
      </c>
      <c r="EV35" s="25">
        <f t="shared" si="95"/>
        <v>0</v>
      </c>
      <c r="EW35" s="25">
        <f t="shared" si="96"/>
        <v>9.0324733825588019</v>
      </c>
      <c r="EX35" s="4">
        <f t="shared" si="97"/>
        <v>518.62269818487425</v>
      </c>
      <c r="EY35" s="4">
        <f t="shared" si="98"/>
        <v>0</v>
      </c>
      <c r="EZ35" s="4">
        <f t="shared" si="99"/>
        <v>0</v>
      </c>
      <c r="FB35" s="4">
        <f t="shared" si="100"/>
        <v>0</v>
      </c>
      <c r="FG35" s="23"/>
      <c r="FH35" s="23"/>
      <c r="FI35" s="23"/>
      <c r="FJ35" s="23"/>
      <c r="FK35" s="23"/>
      <c r="FL35" s="23"/>
      <c r="FM35" s="30"/>
      <c r="FN35" s="30"/>
      <c r="FX35" s="4">
        <f t="shared" si="101"/>
        <v>1</v>
      </c>
      <c r="FY35" s="4">
        <f t="shared" si="102"/>
        <v>1.0833333333333333</v>
      </c>
      <c r="FZ35" s="4">
        <f t="shared" si="103"/>
        <v>0</v>
      </c>
      <c r="GA35" s="4">
        <f t="shared" si="104"/>
        <v>11.166775737485116</v>
      </c>
      <c r="GB35" s="4"/>
    </row>
    <row r="36" spans="1:184" s="25" customFormat="1" ht="12" customHeight="1" x14ac:dyDescent="0.3">
      <c r="A36" s="25">
        <v>18</v>
      </c>
      <c r="B36" s="26" t="s">
        <v>81</v>
      </c>
      <c r="C36" s="26"/>
      <c r="D36" s="26" t="s">
        <v>82</v>
      </c>
      <c r="E36" s="26"/>
      <c r="F36" s="27" t="s">
        <v>96</v>
      </c>
      <c r="G36" s="28">
        <f t="shared" si="105"/>
        <v>517.5</v>
      </c>
      <c r="H36" s="28">
        <f t="shared" si="127"/>
        <v>12.7</v>
      </c>
      <c r="I36" s="28">
        <f t="shared" si="123"/>
        <v>12.7</v>
      </c>
      <c r="J36" s="28">
        <v>34.659999999999997</v>
      </c>
      <c r="K36" s="28">
        <v>25.4</v>
      </c>
      <c r="L36" s="28">
        <f t="shared" si="106"/>
        <v>0.5</v>
      </c>
      <c r="M36" s="28">
        <f t="shared" si="107"/>
        <v>0.5</v>
      </c>
      <c r="N36" s="28">
        <v>229</v>
      </c>
      <c r="O36" s="28">
        <f t="shared" si="108"/>
        <v>101.8</v>
      </c>
      <c r="P36" s="28">
        <v>305</v>
      </c>
      <c r="Q36" s="28">
        <v>0</v>
      </c>
      <c r="R36" s="28">
        <v>1</v>
      </c>
      <c r="S36" s="28">
        <v>69.16</v>
      </c>
      <c r="T36" s="7">
        <f t="shared" si="42"/>
        <v>3.2228346456692916</v>
      </c>
      <c r="U36" s="28">
        <f t="shared" si="109"/>
        <v>3.2228346456692916</v>
      </c>
      <c r="V36" s="28">
        <f t="shared" si="110"/>
        <v>8.3959536742577185</v>
      </c>
      <c r="W36" s="7">
        <f t="shared" si="43"/>
        <v>8.3959536742577185</v>
      </c>
      <c r="X36" s="28">
        <f t="shared" si="44"/>
        <v>9.3959536742577185</v>
      </c>
      <c r="Y36" s="28">
        <f t="shared" si="45"/>
        <v>77.858162529590359</v>
      </c>
      <c r="Z36" s="28"/>
      <c r="AA36" s="28"/>
      <c r="AB36" s="28">
        <f>262.08/(PI()/4*K36^2)*1000</f>
        <v>517.22149526348721</v>
      </c>
      <c r="AC36" s="28"/>
      <c r="AD36" s="28"/>
      <c r="AE36" s="28"/>
      <c r="AF36" s="28"/>
      <c r="AG36" s="28">
        <v>1</v>
      </c>
      <c r="AH36" s="28"/>
      <c r="AI36" s="28"/>
      <c r="AJ36" s="28"/>
      <c r="AK36" s="4">
        <f t="shared" si="125"/>
        <v>12.7</v>
      </c>
      <c r="AL36" s="25">
        <f t="shared" si="111"/>
        <v>1</v>
      </c>
      <c r="AM36" s="25">
        <f t="shared" si="112"/>
        <v>5.2585080853609538</v>
      </c>
      <c r="AN36" s="4">
        <f t="shared" si="113"/>
        <v>1</v>
      </c>
      <c r="AO36" s="25">
        <v>1.25</v>
      </c>
      <c r="AP36" s="25">
        <f t="shared" si="114"/>
        <v>5</v>
      </c>
      <c r="AQ36" s="38">
        <f t="shared" si="115"/>
        <v>32.865675533505964</v>
      </c>
      <c r="AR36" s="38">
        <f t="shared" si="116"/>
        <v>32.865675533505964</v>
      </c>
      <c r="AS36" s="38"/>
      <c r="AT36" s="38">
        <f t="shared" si="46"/>
        <v>1040.7018111455272</v>
      </c>
      <c r="AU36" s="38">
        <f t="shared" si="47"/>
        <v>3.158030012202042E-2</v>
      </c>
      <c r="AV36" s="38"/>
      <c r="AX36" s="25">
        <f t="shared" si="48"/>
        <v>15.492827399510553</v>
      </c>
      <c r="AY36" s="25">
        <f t="shared" si="49"/>
        <v>1</v>
      </c>
      <c r="AZ36" s="38">
        <f t="shared" si="117"/>
        <v>647.33873462572092</v>
      </c>
      <c r="BA36" s="25">
        <f t="shared" si="50"/>
        <v>0.3</v>
      </c>
      <c r="BB36" s="25">
        <f t="shared" si="51"/>
        <v>2.428500694873279</v>
      </c>
      <c r="BC36" s="25">
        <f t="shared" si="52"/>
        <v>649.76723532059418</v>
      </c>
      <c r="BE36" s="36">
        <f t="shared" si="53"/>
        <v>1.1000000000000001</v>
      </c>
      <c r="BF36" s="36">
        <f t="shared" si="54"/>
        <v>147.65284224829537</v>
      </c>
      <c r="BK36" s="25">
        <f t="shared" si="55"/>
        <v>101.8</v>
      </c>
      <c r="BL36" s="25">
        <f t="shared" si="56"/>
        <v>69.16</v>
      </c>
      <c r="BM36" s="25">
        <f t="shared" si="57"/>
        <v>101.8</v>
      </c>
      <c r="BN36" s="25">
        <f t="shared" si="58"/>
        <v>81.86</v>
      </c>
      <c r="BO36" s="25">
        <f t="shared" si="59"/>
        <v>1.0471949103528051</v>
      </c>
      <c r="BP36" s="25">
        <f t="shared" si="118"/>
        <v>3.3749360378535678</v>
      </c>
      <c r="BR36" s="25">
        <f t="shared" si="60"/>
        <v>101.8</v>
      </c>
      <c r="BV36" s="29"/>
      <c r="BX36" s="29"/>
      <c r="BY36" s="29"/>
      <c r="BZ36" s="29">
        <f t="shared" si="61"/>
        <v>101.8</v>
      </c>
      <c r="CA36" s="29">
        <f t="shared" si="62"/>
        <v>101.8</v>
      </c>
      <c r="CB36" s="29">
        <f t="shared" si="63"/>
        <v>2.001967536137395</v>
      </c>
      <c r="CC36" s="29">
        <v>0</v>
      </c>
      <c r="CD36" s="29">
        <f t="shared" si="64"/>
        <v>0</v>
      </c>
      <c r="CE36" s="29">
        <f t="shared" si="65"/>
        <v>0</v>
      </c>
      <c r="CF36" s="29">
        <f t="shared" si="66"/>
        <v>0.99524931562137331</v>
      </c>
      <c r="CG36" s="29">
        <f t="shared" si="67"/>
        <v>0.97375</v>
      </c>
      <c r="CH36" s="29">
        <f t="shared" si="68"/>
        <v>1.9969246679255115</v>
      </c>
      <c r="CI36" s="29">
        <f t="shared" si="69"/>
        <v>3.9977783572988219</v>
      </c>
      <c r="CJ36" s="29">
        <v>1</v>
      </c>
      <c r="CK36" s="2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25">
        <f t="shared" si="72"/>
        <v>12.7</v>
      </c>
      <c r="DJ36" s="25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38">
        <f t="shared" si="119"/>
        <v>517.5</v>
      </c>
      <c r="DS36" s="4">
        <f t="shared" si="79"/>
        <v>1</v>
      </c>
      <c r="DT36" s="4"/>
      <c r="DU36" s="4">
        <f t="shared" si="120"/>
        <v>1040.7018111455272</v>
      </c>
      <c r="DY36" s="25">
        <f t="shared" si="80"/>
        <v>0.85</v>
      </c>
      <c r="DZ36" s="25">
        <f t="shared" si="81"/>
        <v>0.7</v>
      </c>
      <c r="EA36" s="25">
        <f t="shared" si="82"/>
        <v>1</v>
      </c>
      <c r="EB36" s="25">
        <f t="shared" si="83"/>
        <v>0.7</v>
      </c>
      <c r="ED36" s="4">
        <f t="shared" si="121"/>
        <v>517.5</v>
      </c>
      <c r="EE36" s="25">
        <f t="shared" si="122"/>
        <v>4689.9659189359481</v>
      </c>
      <c r="EH36" s="4">
        <f t="shared" si="84"/>
        <v>9.0324733825588019</v>
      </c>
      <c r="EI36" s="25">
        <f t="shared" si="85"/>
        <v>7.2551967432806936</v>
      </c>
      <c r="EK36" s="4">
        <f t="shared" si="86"/>
        <v>77.858162529590359</v>
      </c>
      <c r="EL36" s="4">
        <f t="shared" si="87"/>
        <v>3.0652819893539514</v>
      </c>
      <c r="EM36" s="4">
        <f t="shared" si="88"/>
        <v>0.34877736289905453</v>
      </c>
      <c r="EP36" s="25">
        <f t="shared" si="89"/>
        <v>0.34877736289905453</v>
      </c>
      <c r="EQ36" s="25">
        <f t="shared" si="90"/>
        <v>0.999</v>
      </c>
      <c r="ER36" s="4">
        <f t="shared" si="91"/>
        <v>9.0288593087305173</v>
      </c>
      <c r="ES36" s="25">
        <f t="shared" si="92"/>
        <v>9.0306665264387256</v>
      </c>
      <c r="ET36" s="4">
        <f t="shared" si="93"/>
        <v>0</v>
      </c>
      <c r="EU36" s="4">
        <f t="shared" si="94"/>
        <v>0</v>
      </c>
      <c r="EV36" s="25">
        <f t="shared" si="95"/>
        <v>0</v>
      </c>
      <c r="EW36" s="25">
        <f t="shared" si="96"/>
        <v>9.0324733825588019</v>
      </c>
      <c r="EX36" s="4">
        <f t="shared" si="97"/>
        <v>517.5</v>
      </c>
      <c r="EY36" s="4">
        <f t="shared" si="98"/>
        <v>0</v>
      </c>
      <c r="EZ36" s="4">
        <f t="shared" si="99"/>
        <v>0</v>
      </c>
      <c r="FB36" s="4">
        <f t="shared" si="100"/>
        <v>0</v>
      </c>
      <c r="FG36" s="23"/>
      <c r="FH36" s="23"/>
      <c r="FI36" s="23"/>
      <c r="FJ36" s="23"/>
      <c r="FK36" s="23"/>
      <c r="FL36" s="23"/>
      <c r="FM36" s="30"/>
      <c r="FN36" s="30"/>
      <c r="FX36" s="4">
        <f t="shared" si="101"/>
        <v>1</v>
      </c>
      <c r="FY36" s="4">
        <f t="shared" si="102"/>
        <v>1.0833333333333333</v>
      </c>
      <c r="FZ36" s="4">
        <f t="shared" si="103"/>
        <v>0</v>
      </c>
      <c r="GA36" s="4">
        <f t="shared" si="104"/>
        <v>11.166775737485116</v>
      </c>
      <c r="GB36" s="4"/>
    </row>
    <row r="37" spans="1:184" ht="12" customHeight="1" x14ac:dyDescent="0.3">
      <c r="A37" s="25">
        <v>19</v>
      </c>
      <c r="B37" s="26" t="s">
        <v>81</v>
      </c>
      <c r="C37" s="26"/>
      <c r="D37" s="26" t="s">
        <v>82</v>
      </c>
      <c r="E37" s="26"/>
      <c r="F37" s="7" t="s">
        <v>97</v>
      </c>
      <c r="G37" s="28">
        <f t="shared" si="105"/>
        <v>517.5</v>
      </c>
      <c r="H37" s="7">
        <f t="shared" ref="H37:H51" si="128">11.25*25.4</f>
        <v>285.75</v>
      </c>
      <c r="I37" s="7">
        <f t="shared" si="123"/>
        <v>285.75</v>
      </c>
      <c r="J37" s="7">
        <v>34.49</v>
      </c>
      <c r="K37" s="7">
        <v>25.4</v>
      </c>
      <c r="L37" s="7">
        <f t="shared" si="106"/>
        <v>11.25</v>
      </c>
      <c r="M37" s="7">
        <f t="shared" si="107"/>
        <v>11.25</v>
      </c>
      <c r="N37" s="7">
        <v>229</v>
      </c>
      <c r="O37" s="7">
        <f t="shared" si="108"/>
        <v>101.8</v>
      </c>
      <c r="P37" s="7">
        <v>305</v>
      </c>
      <c r="Q37" s="7">
        <v>0</v>
      </c>
      <c r="R37" s="7">
        <v>1</v>
      </c>
      <c r="S37" s="7">
        <v>81.97</v>
      </c>
      <c r="T37" s="7">
        <f t="shared" si="42"/>
        <v>3.7271653543307091</v>
      </c>
      <c r="U37" s="28">
        <f t="shared" si="109"/>
        <v>3.7271653543307091</v>
      </c>
      <c r="V37" s="28">
        <f t="shared" si="110"/>
        <v>8.3959536742577185</v>
      </c>
      <c r="W37" s="7">
        <f t="shared" si="43"/>
        <v>8.3959536742577185</v>
      </c>
      <c r="X37" s="7">
        <f t="shared" si="44"/>
        <v>9.3959536742577185</v>
      </c>
      <c r="Y37" s="7">
        <f t="shared" si="45"/>
        <v>77.858162529590359</v>
      </c>
      <c r="Z37" s="7"/>
      <c r="AA37" s="7"/>
      <c r="AB37" s="7">
        <f>265.95/(PI()/4*K37^2)*1000</f>
        <v>524.85903794766648</v>
      </c>
      <c r="AC37" s="7"/>
      <c r="AD37" s="7"/>
      <c r="AE37" s="7">
        <v>9.5</v>
      </c>
      <c r="AF37" s="7">
        <v>3</v>
      </c>
      <c r="AG37" s="7">
        <v>127</v>
      </c>
      <c r="AH37" s="7">
        <v>3</v>
      </c>
      <c r="AI37" s="7"/>
      <c r="AJ37" s="7"/>
      <c r="AK37" s="4">
        <f t="shared" si="125"/>
        <v>285.75</v>
      </c>
      <c r="AL37" s="4">
        <f t="shared" si="111"/>
        <v>0.16306737491389939</v>
      </c>
      <c r="AM37" s="25">
        <f t="shared" si="112"/>
        <v>559.8460793819969</v>
      </c>
      <c r="AN37" s="4">
        <f t="shared" si="113"/>
        <v>0.76626071741032364</v>
      </c>
      <c r="AO37" s="4">
        <v>1.25</v>
      </c>
      <c r="AP37" s="25">
        <f t="shared" si="114"/>
        <v>5</v>
      </c>
      <c r="AQ37" s="38">
        <f t="shared" si="115"/>
        <v>437.21222848148204</v>
      </c>
      <c r="AR37" s="38">
        <f t="shared" si="116"/>
        <v>437.21222848148204</v>
      </c>
      <c r="AT37" s="38">
        <f t="shared" si="46"/>
        <v>437.2122284814817</v>
      </c>
      <c r="AU37" s="3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38">
        <f t="shared" si="117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36">
        <f t="shared" si="53"/>
        <v>1.8910467582857926</v>
      </c>
      <c r="BF37" s="36">
        <f t="shared" si="54"/>
        <v>444.23099391443697</v>
      </c>
      <c r="BK37" s="4">
        <f t="shared" si="55"/>
        <v>101.8</v>
      </c>
      <c r="BL37" s="4">
        <f t="shared" si="56"/>
        <v>81.97</v>
      </c>
      <c r="BM37" s="4">
        <f t="shared" si="57"/>
        <v>101.8</v>
      </c>
      <c r="BN37" s="4">
        <f t="shared" si="58"/>
        <v>94.67</v>
      </c>
      <c r="BO37" s="4">
        <f t="shared" si="59"/>
        <v>1.0241917774795657</v>
      </c>
      <c r="BP37" s="25">
        <f t="shared" si="118"/>
        <v>4</v>
      </c>
      <c r="BR37" s="4">
        <f t="shared" si="60"/>
        <v>101.8</v>
      </c>
      <c r="BV37" s="9"/>
      <c r="BX37" s="9"/>
      <c r="BY37" s="9"/>
      <c r="BZ37" s="9">
        <f t="shared" si="61"/>
        <v>101.8</v>
      </c>
      <c r="CA37" s="9">
        <f t="shared" si="62"/>
        <v>101.8</v>
      </c>
      <c r="CB37" s="9">
        <f t="shared" si="63"/>
        <v>2.001967536137395</v>
      </c>
      <c r="CC37" s="9">
        <v>20</v>
      </c>
      <c r="CD37" s="9">
        <f t="shared" si="64"/>
        <v>0.05</v>
      </c>
      <c r="CE37" s="9">
        <f t="shared" si="65"/>
        <v>0.8</v>
      </c>
      <c r="CF37" s="9">
        <f t="shared" si="66"/>
        <v>0.99524931562137331</v>
      </c>
      <c r="CG37" s="9">
        <f t="shared" si="67"/>
        <v>0.97375</v>
      </c>
      <c r="CH37" s="9">
        <f t="shared" si="68"/>
        <v>1.9920214007072519</v>
      </c>
      <c r="CI37" s="9">
        <f t="shared" si="69"/>
        <v>4.98005350176813</v>
      </c>
      <c r="CJ37" s="9">
        <v>1</v>
      </c>
      <c r="CK37" s="9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38">
        <f t="shared" si="119"/>
        <v>524.85903794766648</v>
      </c>
      <c r="DS37" s="4">
        <f t="shared" si="79"/>
        <v>1</v>
      </c>
      <c r="DU37" s="4">
        <f t="shared" si="120"/>
        <v>437.2122284814817</v>
      </c>
      <c r="DY37" s="4">
        <f t="shared" si="80"/>
        <v>0.85</v>
      </c>
      <c r="DZ37" s="4">
        <f t="shared" si="81"/>
        <v>0.7</v>
      </c>
      <c r="EA37" s="4">
        <f t="shared" si="82"/>
        <v>0.82320199640399283</v>
      </c>
      <c r="EB37" s="4">
        <f t="shared" si="83"/>
        <v>0.7</v>
      </c>
      <c r="ED37" s="4">
        <f t="shared" si="121"/>
        <v>524.85903794766648</v>
      </c>
      <c r="EE37" s="25">
        <f t="shared" si="122"/>
        <v>417.51978296586339</v>
      </c>
      <c r="EH37" s="4">
        <f t="shared" si="84"/>
        <v>9.0102949642399413</v>
      </c>
      <c r="EI37" s="4">
        <f t="shared" si="85"/>
        <v>8.5778008059564232</v>
      </c>
      <c r="EK37" s="4">
        <f t="shared" si="86"/>
        <v>77.858162529590359</v>
      </c>
      <c r="EL37" s="4">
        <f t="shared" si="87"/>
        <v>3.0652819893539514</v>
      </c>
      <c r="EM37" s="4">
        <f t="shared" si="88"/>
        <v>0.14688652671799926</v>
      </c>
      <c r="EN37" s="4">
        <f>DI37</f>
        <v>285.75</v>
      </c>
      <c r="EO37" s="4">
        <f>EK37+EY37+EZ37</f>
        <v>285.75</v>
      </c>
      <c r="EP37" s="4">
        <f t="shared" si="89"/>
        <v>0.14688652671799926</v>
      </c>
      <c r="EQ37" s="4">
        <f t="shared" si="90"/>
        <v>0.45664082606037759</v>
      </c>
      <c r="ER37" s="4">
        <f t="shared" si="91"/>
        <v>6.58519899538069</v>
      </c>
      <c r="ES37" s="4">
        <f t="shared" si="92"/>
        <v>7.8916811030629992</v>
      </c>
      <c r="ET37" s="4">
        <f t="shared" si="93"/>
        <v>136.45433747040965</v>
      </c>
      <c r="EU37" s="4">
        <f t="shared" si="94"/>
        <v>71.4375</v>
      </c>
      <c r="EV37" s="4">
        <f t="shared" si="95"/>
        <v>2.0730984622674179E-5</v>
      </c>
      <c r="EW37" s="4">
        <f t="shared" si="96"/>
        <v>8.305627695351431</v>
      </c>
      <c r="EX37" s="4">
        <f t="shared" si="97"/>
        <v>524.85903794766648</v>
      </c>
      <c r="EY37" s="4">
        <f t="shared" si="98"/>
        <v>136.45433747040965</v>
      </c>
      <c r="EZ37" s="4">
        <f t="shared" si="99"/>
        <v>71.437499999999986</v>
      </c>
      <c r="FB37" s="4">
        <f t="shared" si="100"/>
        <v>0</v>
      </c>
      <c r="FG37" s="23"/>
      <c r="FH37" s="23"/>
      <c r="FI37" s="23"/>
      <c r="FJ37" s="23"/>
      <c r="FK37" s="23"/>
      <c r="FL37" s="23"/>
      <c r="FM37" s="23"/>
      <c r="FN37" s="23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customHeight="1" x14ac:dyDescent="0.3">
      <c r="A38" s="25">
        <v>20</v>
      </c>
      <c r="B38" s="26" t="s">
        <v>81</v>
      </c>
      <c r="C38" s="26"/>
      <c r="D38" s="26" t="s">
        <v>82</v>
      </c>
      <c r="E38" s="26"/>
      <c r="F38" s="7" t="s">
        <v>98</v>
      </c>
      <c r="G38" s="28">
        <f t="shared" si="105"/>
        <v>517.5</v>
      </c>
      <c r="H38" s="7">
        <f t="shared" si="128"/>
        <v>285.75</v>
      </c>
      <c r="I38" s="7">
        <f t="shared" si="123"/>
        <v>285.75</v>
      </c>
      <c r="J38" s="7">
        <v>34.49</v>
      </c>
      <c r="K38" s="7">
        <v>25.4</v>
      </c>
      <c r="L38" s="7">
        <f t="shared" si="106"/>
        <v>11.25</v>
      </c>
      <c r="M38" s="7">
        <f t="shared" si="107"/>
        <v>11.25</v>
      </c>
      <c r="N38" s="7">
        <v>229</v>
      </c>
      <c r="O38" s="7">
        <f t="shared" si="108"/>
        <v>101.8</v>
      </c>
      <c r="P38" s="7">
        <v>305</v>
      </c>
      <c r="Q38" s="7">
        <v>0</v>
      </c>
      <c r="R38" s="7">
        <v>1</v>
      </c>
      <c r="S38" s="7">
        <v>80.06</v>
      </c>
      <c r="T38" s="7">
        <f t="shared" si="42"/>
        <v>3.6519685039370082</v>
      </c>
      <c r="U38" s="28">
        <f t="shared" si="109"/>
        <v>3.6519685039370082</v>
      </c>
      <c r="V38" s="28">
        <f t="shared" si="110"/>
        <v>8.3959536742577185</v>
      </c>
      <c r="W38" s="7">
        <f t="shared" si="43"/>
        <v>8.3959536742577185</v>
      </c>
      <c r="X38" s="7">
        <f t="shared" si="44"/>
        <v>9.3959536742577185</v>
      </c>
      <c r="Y38" s="7">
        <f t="shared" si="45"/>
        <v>77.858162529590359</v>
      </c>
      <c r="Z38" s="7"/>
      <c r="AA38" s="7"/>
      <c r="AB38" s="7">
        <f>255.8/(PI()/4*K38^2)*1000</f>
        <v>504.82775674755823</v>
      </c>
      <c r="AC38" s="7"/>
      <c r="AD38" s="7"/>
      <c r="AE38" s="7">
        <v>9.5</v>
      </c>
      <c r="AF38" s="7">
        <v>3</v>
      </c>
      <c r="AG38" s="7">
        <v>127</v>
      </c>
      <c r="AH38" s="7">
        <v>3</v>
      </c>
      <c r="AI38" s="7"/>
      <c r="AJ38" s="7"/>
      <c r="AK38" s="4">
        <f t="shared" si="125"/>
        <v>285.75</v>
      </c>
      <c r="AL38" s="4">
        <f t="shared" si="111"/>
        <v>0.16247218733120594</v>
      </c>
      <c r="AM38" s="25">
        <f t="shared" si="112"/>
        <v>559.8460793819969</v>
      </c>
      <c r="AN38" s="4">
        <f t="shared" si="113"/>
        <v>0.7649238845144356</v>
      </c>
      <c r="AO38" s="4">
        <v>1.25</v>
      </c>
      <c r="AP38" s="25">
        <f t="shared" si="114"/>
        <v>5</v>
      </c>
      <c r="AQ38" s="38">
        <f t="shared" si="115"/>
        <v>434.85644156616553</v>
      </c>
      <c r="AR38" s="38">
        <f t="shared" si="116"/>
        <v>434.85644156616553</v>
      </c>
      <c r="AT38" s="38">
        <f t="shared" si="46"/>
        <v>434.85644156616524</v>
      </c>
      <c r="AU38" s="3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38">
        <f t="shared" si="117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36">
        <f t="shared" si="53"/>
        <v>1.8910467582857926</v>
      </c>
      <c r="BF38" s="36">
        <f t="shared" si="54"/>
        <v>444.23099391443697</v>
      </c>
      <c r="BK38" s="4">
        <f t="shared" si="55"/>
        <v>101.8</v>
      </c>
      <c r="BL38" s="4">
        <f t="shared" si="56"/>
        <v>80.06</v>
      </c>
      <c r="BM38" s="4">
        <f t="shared" si="57"/>
        <v>101.8</v>
      </c>
      <c r="BN38" s="4">
        <f t="shared" si="58"/>
        <v>92.76</v>
      </c>
      <c r="BO38" s="4">
        <f t="shared" si="59"/>
        <v>1.0271546340244817</v>
      </c>
      <c r="BP38" s="25">
        <f t="shared" si="118"/>
        <v>4</v>
      </c>
      <c r="BR38" s="4">
        <f t="shared" si="60"/>
        <v>101.8</v>
      </c>
      <c r="BV38" s="9"/>
      <c r="BX38" s="9"/>
      <c r="BY38" s="9"/>
      <c r="BZ38" s="9">
        <f t="shared" si="61"/>
        <v>101.8</v>
      </c>
      <c r="CA38" s="9">
        <f t="shared" si="62"/>
        <v>101.8</v>
      </c>
      <c r="CB38" s="9">
        <f t="shared" si="63"/>
        <v>2.001967536137395</v>
      </c>
      <c r="CC38" s="9">
        <v>20</v>
      </c>
      <c r="CD38" s="9">
        <f>MIN(PI()*AE38^2/4*AF38*2/R38/K38/MAX(0.01,AG38),0.05)</f>
        <v>0.05</v>
      </c>
      <c r="CE38" s="9">
        <f t="shared" si="65"/>
        <v>0.8</v>
      </c>
      <c r="CF38" s="9">
        <f t="shared" si="66"/>
        <v>0.99524931562137331</v>
      </c>
      <c r="CG38" s="9">
        <f t="shared" si="67"/>
        <v>0.97375</v>
      </c>
      <c r="CH38" s="9">
        <f t="shared" si="68"/>
        <v>1.9920214007072519</v>
      </c>
      <c r="CI38" s="9">
        <f t="shared" si="69"/>
        <v>4.98005350176813</v>
      </c>
      <c r="CJ38" s="9">
        <v>1</v>
      </c>
      <c r="CK38" s="9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38">
        <f t="shared" si="119"/>
        <v>517.5</v>
      </c>
      <c r="DS38" s="4">
        <f t="shared" si="79"/>
        <v>1</v>
      </c>
      <c r="DU38" s="4">
        <f t="shared" si="120"/>
        <v>434.85644156616524</v>
      </c>
      <c r="DY38" s="4">
        <f t="shared" si="80"/>
        <v>0.85</v>
      </c>
      <c r="DZ38" s="4">
        <f t="shared" si="81"/>
        <v>0.7</v>
      </c>
      <c r="EA38" s="4">
        <f t="shared" si="82"/>
        <v>0.82320199640399283</v>
      </c>
      <c r="EB38" s="4">
        <f t="shared" si="83"/>
        <v>0.7</v>
      </c>
      <c r="ED38" s="4">
        <f t="shared" si="121"/>
        <v>517.5</v>
      </c>
      <c r="EE38" s="25">
        <f t="shared" si="122"/>
        <v>416.78282106744894</v>
      </c>
      <c r="EH38" s="4">
        <f t="shared" si="84"/>
        <v>9.0102949642399413</v>
      </c>
      <c r="EI38" s="4">
        <f t="shared" si="85"/>
        <v>8.5778008059564232</v>
      </c>
      <c r="EK38" s="4">
        <f t="shared" si="86"/>
        <v>77.858162529590359</v>
      </c>
      <c r="EL38" s="4">
        <f t="shared" si="87"/>
        <v>3.0652819893539514</v>
      </c>
      <c r="EM38" s="4">
        <f t="shared" si="88"/>
        <v>0.14609507273950373</v>
      </c>
      <c r="EP38" s="4">
        <f t="shared" si="89"/>
        <v>0.14609507273950373</v>
      </c>
      <c r="EQ38" s="4">
        <f t="shared" si="90"/>
        <v>0.45418035397621681</v>
      </c>
      <c r="ER38" s="4">
        <f t="shared" si="91"/>
        <v>6.5709830392821145</v>
      </c>
      <c r="ES38" s="4">
        <f t="shared" si="92"/>
        <v>7.8857596557302916</v>
      </c>
      <c r="ET38" s="4">
        <f t="shared" si="93"/>
        <v>136.45433747040965</v>
      </c>
      <c r="EU38" s="4">
        <f t="shared" si="94"/>
        <v>71.4375</v>
      </c>
      <c r="EV38" s="4">
        <f t="shared" si="95"/>
        <v>2.0730984622674179E-5</v>
      </c>
      <c r="EW38" s="4">
        <f t="shared" si="96"/>
        <v>8.3063336283618412</v>
      </c>
      <c r="EX38" s="4">
        <f t="shared" si="97"/>
        <v>517.5</v>
      </c>
      <c r="EY38" s="4">
        <f t="shared" si="98"/>
        <v>136.45433747040965</v>
      </c>
      <c r="EZ38" s="4">
        <f t="shared" si="99"/>
        <v>71.437499999999986</v>
      </c>
      <c r="FB38" s="4">
        <f t="shared" si="100"/>
        <v>0</v>
      </c>
      <c r="FG38" s="23"/>
      <c r="FH38" s="23"/>
      <c r="FI38" s="23"/>
      <c r="FJ38" s="23"/>
      <c r="FK38" s="23"/>
      <c r="FL38" s="23"/>
      <c r="FM38" s="23"/>
      <c r="FN38" s="23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customHeight="1" x14ac:dyDescent="0.3">
      <c r="A39" s="25">
        <v>21</v>
      </c>
      <c r="B39" s="26" t="s">
        <v>81</v>
      </c>
      <c r="C39" s="26"/>
      <c r="D39" s="26" t="s">
        <v>82</v>
      </c>
      <c r="E39" s="26"/>
      <c r="F39" s="7" t="s">
        <v>99</v>
      </c>
      <c r="G39" s="28">
        <f t="shared" si="105"/>
        <v>517.5</v>
      </c>
      <c r="H39" s="7">
        <f t="shared" si="128"/>
        <v>285.75</v>
      </c>
      <c r="I39" s="7">
        <f t="shared" si="123"/>
        <v>285.75</v>
      </c>
      <c r="J39" s="7">
        <v>34.49</v>
      </c>
      <c r="K39" s="7">
        <v>25.4</v>
      </c>
      <c r="L39" s="7">
        <f t="shared" si="106"/>
        <v>11.25</v>
      </c>
      <c r="M39" s="7">
        <f t="shared" si="107"/>
        <v>11.25</v>
      </c>
      <c r="N39" s="7">
        <v>229</v>
      </c>
      <c r="O39" s="7">
        <f t="shared" si="108"/>
        <v>101.8</v>
      </c>
      <c r="P39" s="7">
        <v>305</v>
      </c>
      <c r="Q39" s="7">
        <v>0</v>
      </c>
      <c r="R39" s="7">
        <v>1</v>
      </c>
      <c r="S39" s="7">
        <v>82.4</v>
      </c>
      <c r="T39" s="7">
        <f t="shared" si="42"/>
        <v>3.7440944881889768</v>
      </c>
      <c r="U39" s="28">
        <f t="shared" si="109"/>
        <v>3.7440944881889768</v>
      </c>
      <c r="V39" s="28">
        <f t="shared" si="110"/>
        <v>8.3959536742577185</v>
      </c>
      <c r="W39" s="7">
        <f t="shared" si="43"/>
        <v>8.3959536742577185</v>
      </c>
      <c r="X39" s="7">
        <f t="shared" si="44"/>
        <v>9.3959536742577185</v>
      </c>
      <c r="Y39" s="7">
        <f t="shared" si="45"/>
        <v>77.858162529590359</v>
      </c>
      <c r="Z39" s="7"/>
      <c r="AA39" s="7"/>
      <c r="AB39" s="7">
        <f>246.02/(PI()/4*K39^2)*1000</f>
        <v>485.52667988676416</v>
      </c>
      <c r="AC39" s="7"/>
      <c r="AD39" s="7"/>
      <c r="AE39" s="7">
        <v>9.5</v>
      </c>
      <c r="AF39" s="7">
        <v>3</v>
      </c>
      <c r="AG39" s="7">
        <v>127</v>
      </c>
      <c r="AH39" s="7">
        <v>3</v>
      </c>
      <c r="AI39" s="7"/>
      <c r="AJ39" s="7"/>
      <c r="AK39" s="4">
        <f t="shared" si="125"/>
        <v>285.75</v>
      </c>
      <c r="AL39" s="4">
        <f t="shared" si="111"/>
        <v>0.16320137002413923</v>
      </c>
      <c r="AM39" s="25">
        <f t="shared" si="112"/>
        <v>559.8460793819969</v>
      </c>
      <c r="AN39" s="4">
        <f t="shared" si="113"/>
        <v>0.76656167979002621</v>
      </c>
      <c r="AO39" s="4">
        <v>1.25</v>
      </c>
      <c r="AP39" s="25">
        <f t="shared" si="114"/>
        <v>5</v>
      </c>
      <c r="AQ39" s="38">
        <f t="shared" si="115"/>
        <v>437.74335677333755</v>
      </c>
      <c r="AR39" s="38">
        <f t="shared" si="116"/>
        <v>437.74335677333755</v>
      </c>
      <c r="AT39" s="38">
        <f t="shared" si="46"/>
        <v>437.74335677333738</v>
      </c>
      <c r="AU39" s="3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38">
        <f t="shared" si="117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36">
        <f t="shared" si="53"/>
        <v>1.8910467582857926</v>
      </c>
      <c r="BF39" s="36">
        <f t="shared" si="54"/>
        <v>444.23099391443697</v>
      </c>
      <c r="BK39" s="4">
        <f t="shared" si="55"/>
        <v>101.8</v>
      </c>
      <c r="BL39" s="4">
        <f t="shared" si="56"/>
        <v>82.4</v>
      </c>
      <c r="BM39" s="4">
        <f t="shared" si="57"/>
        <v>101.8</v>
      </c>
      <c r="BN39" s="4">
        <f t="shared" si="58"/>
        <v>95.100000000000009</v>
      </c>
      <c r="BO39" s="4">
        <f t="shared" si="59"/>
        <v>1.0235436893203884</v>
      </c>
      <c r="BP39" s="25">
        <f t="shared" si="118"/>
        <v>4</v>
      </c>
      <c r="BR39" s="4">
        <f t="shared" si="60"/>
        <v>101.8</v>
      </c>
      <c r="BV39" s="9"/>
      <c r="BX39" s="9"/>
      <c r="BY39" s="9"/>
      <c r="BZ39" s="9">
        <f t="shared" si="61"/>
        <v>101.8</v>
      </c>
      <c r="CA39" s="9">
        <f t="shared" si="62"/>
        <v>101.8</v>
      </c>
      <c r="CB39" s="9">
        <f t="shared" si="63"/>
        <v>2.001967536137395</v>
      </c>
      <c r="CC39" s="9">
        <v>20</v>
      </c>
      <c r="CD39" s="9">
        <f t="shared" ref="CD39:CD102" si="129">MIN(PI()*AE39^2/4*AF39*2/R39/K39/MAX(0.01,AG39),0.05)</f>
        <v>0.05</v>
      </c>
      <c r="CE39" s="9">
        <f t="shared" si="65"/>
        <v>0.8</v>
      </c>
      <c r="CF39" s="9">
        <f t="shared" si="66"/>
        <v>0.99524931562137331</v>
      </c>
      <c r="CG39" s="9">
        <f t="shared" si="67"/>
        <v>0.97375</v>
      </c>
      <c r="CH39" s="9">
        <f t="shared" si="68"/>
        <v>1.9920214007072519</v>
      </c>
      <c r="CI39" s="9">
        <f t="shared" si="69"/>
        <v>4.98005350176813</v>
      </c>
      <c r="CJ39" s="9">
        <v>1</v>
      </c>
      <c r="CK39" s="9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38">
        <f t="shared" si="119"/>
        <v>517.5</v>
      </c>
      <c r="DS39" s="4">
        <f t="shared" si="79"/>
        <v>1</v>
      </c>
      <c r="DU39" s="4">
        <f t="shared" si="120"/>
        <v>437.74335677333738</v>
      </c>
      <c r="DY39" s="4">
        <f t="shared" si="80"/>
        <v>0.85</v>
      </c>
      <c r="DZ39" s="4">
        <f t="shared" si="81"/>
        <v>0.7</v>
      </c>
      <c r="EA39" s="4">
        <f t="shared" si="82"/>
        <v>0.82320199640399283</v>
      </c>
      <c r="EB39" s="4">
        <f t="shared" si="83"/>
        <v>0.7</v>
      </c>
      <c r="ED39" s="4">
        <f t="shared" si="121"/>
        <v>517.5</v>
      </c>
      <c r="EE39" s="25">
        <f t="shared" si="122"/>
        <v>417.68569585398814</v>
      </c>
      <c r="EH39" s="4">
        <f t="shared" si="84"/>
        <v>9.0102949642399413</v>
      </c>
      <c r="EI39" s="4">
        <f t="shared" si="85"/>
        <v>8.5778008059564232</v>
      </c>
      <c r="EK39" s="4">
        <f t="shared" si="86"/>
        <v>77.858162529590359</v>
      </c>
      <c r="EL39" s="4">
        <f t="shared" si="87"/>
        <v>3.0652819893539514</v>
      </c>
      <c r="EM39" s="4">
        <f t="shared" si="88"/>
        <v>0.14706496543711581</v>
      </c>
      <c r="EP39" s="4">
        <f t="shared" si="89"/>
        <v>0.14706496543711581</v>
      </c>
      <c r="EQ39" s="4">
        <f t="shared" si="90"/>
        <v>0.45719555634040504</v>
      </c>
      <c r="ER39" s="4">
        <f t="shared" si="91"/>
        <v>6.5883977271859084</v>
      </c>
      <c r="ES39" s="4">
        <f t="shared" si="92"/>
        <v>7.8930146548964295</v>
      </c>
      <c r="ET39" s="4">
        <f t="shared" si="93"/>
        <v>136.45433747040965</v>
      </c>
      <c r="EU39" s="4">
        <f t="shared" si="94"/>
        <v>71.4375</v>
      </c>
      <c r="EV39" s="4">
        <f t="shared" si="95"/>
        <v>2.0730984622674179E-5</v>
      </c>
      <c r="EW39" s="4">
        <f t="shared" si="96"/>
        <v>8.3054687946729437</v>
      </c>
      <c r="EX39" s="4">
        <f t="shared" si="97"/>
        <v>517.5</v>
      </c>
      <c r="EY39" s="4">
        <f t="shared" si="98"/>
        <v>136.45433747040965</v>
      </c>
      <c r="EZ39" s="4">
        <f t="shared" si="99"/>
        <v>71.437499999999986</v>
      </c>
      <c r="FB39" s="4">
        <f t="shared" si="100"/>
        <v>0</v>
      </c>
      <c r="FG39" s="23"/>
      <c r="FH39" s="23"/>
      <c r="FI39" s="23"/>
      <c r="FJ39" s="23"/>
      <c r="FK39" s="23"/>
      <c r="FL39" s="23"/>
      <c r="FM39" s="23"/>
      <c r="FN39" s="23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customHeight="1" x14ac:dyDescent="0.3">
      <c r="A40" s="25">
        <v>22</v>
      </c>
      <c r="B40" s="26" t="s">
        <v>81</v>
      </c>
      <c r="C40" s="26"/>
      <c r="D40" s="26" t="s">
        <v>82</v>
      </c>
      <c r="E40" s="26"/>
      <c r="F40" s="7" t="s">
        <v>100</v>
      </c>
      <c r="G40" s="28">
        <f t="shared" si="105"/>
        <v>517.5</v>
      </c>
      <c r="H40" s="7">
        <f t="shared" si="128"/>
        <v>285.75</v>
      </c>
      <c r="I40" s="7">
        <f t="shared" si="123"/>
        <v>285.75</v>
      </c>
      <c r="J40" s="7">
        <v>34.659999999999997</v>
      </c>
      <c r="K40" s="7">
        <v>25.4</v>
      </c>
      <c r="L40" s="7">
        <f t="shared" si="106"/>
        <v>11.25</v>
      </c>
      <c r="M40" s="7">
        <f t="shared" si="107"/>
        <v>11.25</v>
      </c>
      <c r="N40" s="7">
        <v>229</v>
      </c>
      <c r="O40" s="7">
        <f t="shared" si="108"/>
        <v>101.8</v>
      </c>
      <c r="P40" s="7">
        <v>305</v>
      </c>
      <c r="Q40" s="7">
        <v>0</v>
      </c>
      <c r="R40" s="7">
        <v>1</v>
      </c>
      <c r="S40" s="7">
        <v>76.86</v>
      </c>
      <c r="T40" s="7">
        <f t="shared" si="42"/>
        <v>3.5259842519685041</v>
      </c>
      <c r="U40" s="28">
        <f t="shared" si="109"/>
        <v>3.5259842519685041</v>
      </c>
      <c r="V40" s="28">
        <f t="shared" si="110"/>
        <v>8.3959536742577185</v>
      </c>
      <c r="W40" s="7">
        <f t="shared" si="43"/>
        <v>8.3959536742577185</v>
      </c>
      <c r="X40" s="7">
        <f t="shared" si="44"/>
        <v>9.3959536742577185</v>
      </c>
      <c r="Y40" s="7">
        <f t="shared" si="45"/>
        <v>77.858162529590359</v>
      </c>
      <c r="Z40" s="7"/>
      <c r="AA40" s="7"/>
      <c r="AB40" s="7">
        <f>258.56/(PI()/4*K40^2)*1000</f>
        <v>510.2746864137946</v>
      </c>
      <c r="AC40" s="7"/>
      <c r="AD40" s="7"/>
      <c r="AE40" s="7">
        <v>9.5</v>
      </c>
      <c r="AF40" s="7">
        <v>4</v>
      </c>
      <c r="AG40" s="7">
        <v>76</v>
      </c>
      <c r="AH40" s="7">
        <v>4</v>
      </c>
      <c r="AI40" s="7"/>
      <c r="AJ40" s="7"/>
      <c r="AK40" s="4">
        <f t="shared" si="125"/>
        <v>285.75</v>
      </c>
      <c r="AL40" s="4">
        <f t="shared" si="111"/>
        <v>0.16147501441779291</v>
      </c>
      <c r="AM40" s="25">
        <f t="shared" si="112"/>
        <v>561.22411424012159</v>
      </c>
      <c r="AN40" s="4">
        <f t="shared" si="113"/>
        <v>0.76268416447943999</v>
      </c>
      <c r="AO40" s="4">
        <v>1.25</v>
      </c>
      <c r="AP40" s="25">
        <f t="shared" si="114"/>
        <v>5</v>
      </c>
      <c r="AQ40" s="38">
        <f t="shared" si="115"/>
        <v>431.98274696563578</v>
      </c>
      <c r="AR40" s="38">
        <f t="shared" si="116"/>
        <v>431.98274696563578</v>
      </c>
      <c r="AT40" s="38">
        <f t="shared" si="46"/>
        <v>431.9827469656355</v>
      </c>
      <c r="AU40" s="3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38">
        <f t="shared" si="117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36">
        <f t="shared" si="53"/>
        <v>2.2250000000000001</v>
      </c>
      <c r="BF40" s="36">
        <f t="shared" si="54"/>
        <v>523.9674226514469</v>
      </c>
      <c r="BK40" s="4">
        <f t="shared" si="55"/>
        <v>101.8</v>
      </c>
      <c r="BL40" s="4">
        <f t="shared" si="56"/>
        <v>76.86</v>
      </c>
      <c r="BM40" s="4">
        <f t="shared" si="57"/>
        <v>101.8</v>
      </c>
      <c r="BN40" s="4">
        <f t="shared" si="58"/>
        <v>89.56</v>
      </c>
      <c r="BO40" s="4">
        <f t="shared" si="59"/>
        <v>1.0324486078584441</v>
      </c>
      <c r="BP40" s="25">
        <f t="shared" si="118"/>
        <v>4</v>
      </c>
      <c r="BR40" s="4">
        <f t="shared" si="60"/>
        <v>101.8</v>
      </c>
      <c r="BV40" s="9"/>
      <c r="BX40" s="9"/>
      <c r="BY40" s="9"/>
      <c r="BZ40" s="9">
        <f t="shared" si="61"/>
        <v>101.8</v>
      </c>
      <c r="CA40" s="9">
        <f t="shared" si="62"/>
        <v>101.8</v>
      </c>
      <c r="CB40" s="9">
        <f t="shared" si="63"/>
        <v>2.001967536137395</v>
      </c>
      <c r="CC40" s="9">
        <v>20</v>
      </c>
      <c r="CD40" s="9">
        <f t="shared" si="129"/>
        <v>0.05</v>
      </c>
      <c r="CE40" s="9">
        <f t="shared" si="65"/>
        <v>0.8</v>
      </c>
      <c r="CF40" s="9">
        <f t="shared" si="66"/>
        <v>0.99524931562137331</v>
      </c>
      <c r="CG40" s="9">
        <f t="shared" si="67"/>
        <v>0.97375</v>
      </c>
      <c r="CH40" s="9">
        <f t="shared" si="68"/>
        <v>1.9969246679255115</v>
      </c>
      <c r="CI40" s="9">
        <f t="shared" si="69"/>
        <v>4.9923116698137786</v>
      </c>
      <c r="CJ40" s="9">
        <v>1</v>
      </c>
      <c r="CK40" s="9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38">
        <f t="shared" si="119"/>
        <v>517.5</v>
      </c>
      <c r="DS40" s="4">
        <f t="shared" si="79"/>
        <v>1</v>
      </c>
      <c r="DU40" s="4">
        <f t="shared" si="120"/>
        <v>431.9827469656355</v>
      </c>
      <c r="DY40" s="4">
        <f t="shared" si="80"/>
        <v>0.85</v>
      </c>
      <c r="DZ40" s="4">
        <f t="shared" si="81"/>
        <v>0.7</v>
      </c>
      <c r="EA40" s="4">
        <f t="shared" si="82"/>
        <v>0.73926932853865712</v>
      </c>
      <c r="EB40" s="4">
        <f t="shared" si="83"/>
        <v>0.7</v>
      </c>
      <c r="ED40" s="4">
        <f t="shared" si="121"/>
        <v>517.5</v>
      </c>
      <c r="EE40" s="25">
        <f t="shared" si="122"/>
        <v>416.57097270702945</v>
      </c>
      <c r="EH40" s="4">
        <f t="shared" si="84"/>
        <v>9.0324733825588019</v>
      </c>
      <c r="EI40" s="4">
        <f t="shared" si="85"/>
        <v>8.5989146601959785</v>
      </c>
      <c r="EK40" s="4">
        <f t="shared" si="86"/>
        <v>77.858162529590359</v>
      </c>
      <c r="EL40" s="4">
        <f t="shared" si="87"/>
        <v>3.0652819893539514</v>
      </c>
      <c r="EM40" s="4">
        <f t="shared" si="88"/>
        <v>0.14477326904881829</v>
      </c>
      <c r="EP40" s="4">
        <f t="shared" si="89"/>
        <v>0.14477326904881829</v>
      </c>
      <c r="EQ40" s="4">
        <f t="shared" si="90"/>
        <v>0.4489660219375291</v>
      </c>
      <c r="ER40" s="4">
        <f t="shared" si="91"/>
        <v>6.556802166961301</v>
      </c>
      <c r="ES40" s="4">
        <f t="shared" si="92"/>
        <v>7.8925545162461042</v>
      </c>
      <c r="ET40" s="4">
        <f t="shared" si="93"/>
        <v>136.45433747040965</v>
      </c>
      <c r="EU40" s="4">
        <f t="shared" si="94"/>
        <v>71.4375</v>
      </c>
      <c r="EV40" s="4">
        <f t="shared" si="95"/>
        <v>2.0755210712749404E-5</v>
      </c>
      <c r="EW40" s="4">
        <f t="shared" si="96"/>
        <v>8.3257607628853858</v>
      </c>
      <c r="EX40" s="4">
        <f t="shared" si="97"/>
        <v>517.5</v>
      </c>
      <c r="EY40" s="4">
        <f t="shared" si="98"/>
        <v>136.45433747040965</v>
      </c>
      <c r="EZ40" s="4">
        <f t="shared" si="99"/>
        <v>71.437499999999986</v>
      </c>
      <c r="FB40" s="4">
        <f t="shared" si="100"/>
        <v>0</v>
      </c>
      <c r="FG40" s="23"/>
      <c r="FH40" s="23"/>
      <c r="FI40" s="23"/>
      <c r="FJ40" s="23"/>
      <c r="FK40" s="23"/>
      <c r="FL40" s="23"/>
      <c r="FM40" s="23"/>
      <c r="FN40" s="23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customHeight="1" x14ac:dyDescent="0.3">
      <c r="A41" s="25">
        <v>23</v>
      </c>
      <c r="B41" s="26" t="s">
        <v>81</v>
      </c>
      <c r="C41" s="26"/>
      <c r="D41" s="26" t="s">
        <v>82</v>
      </c>
      <c r="E41" s="26"/>
      <c r="F41" s="7" t="s">
        <v>101</v>
      </c>
      <c r="G41" s="28">
        <f t="shared" si="105"/>
        <v>517.5</v>
      </c>
      <c r="H41" s="7">
        <f t="shared" si="128"/>
        <v>285.75</v>
      </c>
      <c r="I41" s="7">
        <f t="shared" si="123"/>
        <v>285.75</v>
      </c>
      <c r="J41" s="7">
        <v>34.659999999999997</v>
      </c>
      <c r="K41" s="7">
        <v>25.4</v>
      </c>
      <c r="L41" s="7">
        <f t="shared" si="106"/>
        <v>11.25</v>
      </c>
      <c r="M41" s="7">
        <f t="shared" si="107"/>
        <v>11.25</v>
      </c>
      <c r="N41" s="7">
        <v>229</v>
      </c>
      <c r="O41" s="7">
        <f t="shared" si="108"/>
        <v>101.8</v>
      </c>
      <c r="P41" s="7">
        <v>305</v>
      </c>
      <c r="Q41" s="7">
        <v>0</v>
      </c>
      <c r="R41" s="7">
        <v>1</v>
      </c>
      <c r="S41" s="7">
        <v>80.19</v>
      </c>
      <c r="T41" s="7">
        <f t="shared" si="42"/>
        <v>3.6570866141732288</v>
      </c>
      <c r="U41" s="28">
        <f t="shared" si="109"/>
        <v>3.6570866141732288</v>
      </c>
      <c r="V41" s="28">
        <f t="shared" si="110"/>
        <v>8.3959536742577185</v>
      </c>
      <c r="W41" s="7">
        <f t="shared" si="43"/>
        <v>8.3959536742577185</v>
      </c>
      <c r="X41" s="7">
        <f t="shared" si="44"/>
        <v>9.3959536742577185</v>
      </c>
      <c r="Y41" s="7">
        <f t="shared" si="45"/>
        <v>77.858162529590359</v>
      </c>
      <c r="Z41" s="7"/>
      <c r="AA41" s="7"/>
      <c r="AB41" s="7">
        <f>253.27/(PI()/4*K41^2)*1000</f>
        <v>499.83473788684159</v>
      </c>
      <c r="AC41" s="7"/>
      <c r="AD41" s="7"/>
      <c r="AE41" s="7">
        <v>9.5</v>
      </c>
      <c r="AF41" s="7">
        <v>4</v>
      </c>
      <c r="AG41" s="7">
        <v>76</v>
      </c>
      <c r="AH41" s="7">
        <v>4</v>
      </c>
      <c r="AI41" s="7"/>
      <c r="AJ41" s="7"/>
      <c r="AK41" s="4">
        <f t="shared" si="125"/>
        <v>285.75</v>
      </c>
      <c r="AL41" s="4">
        <f t="shared" si="111"/>
        <v>0.16251269748081335</v>
      </c>
      <c r="AM41" s="25">
        <f t="shared" si="112"/>
        <v>561.22411424012159</v>
      </c>
      <c r="AN41" s="4">
        <f t="shared" si="113"/>
        <v>0.76501487314085737</v>
      </c>
      <c r="AO41" s="4">
        <v>1.25</v>
      </c>
      <c r="AP41" s="25">
        <f t="shared" si="114"/>
        <v>5</v>
      </c>
      <c r="AQ41" s="38">
        <f t="shared" si="115"/>
        <v>436.0873794570511</v>
      </c>
      <c r="AR41" s="38">
        <f t="shared" si="116"/>
        <v>436.0873794570511</v>
      </c>
      <c r="AT41" s="38">
        <f t="shared" si="46"/>
        <v>436.08737945705087</v>
      </c>
      <c r="AU41" s="3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38">
        <f t="shared" si="117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36">
        <f t="shared" si="53"/>
        <v>2.2250000000000001</v>
      </c>
      <c r="BF41" s="36">
        <f t="shared" si="54"/>
        <v>523.9674226514469</v>
      </c>
      <c r="BK41" s="4">
        <f t="shared" si="55"/>
        <v>101.8</v>
      </c>
      <c r="BL41" s="4">
        <f t="shared" si="56"/>
        <v>80.19</v>
      </c>
      <c r="BM41" s="4">
        <f t="shared" si="57"/>
        <v>101.8</v>
      </c>
      <c r="BN41" s="4">
        <f t="shared" si="58"/>
        <v>92.89</v>
      </c>
      <c r="BO41" s="4">
        <f t="shared" si="59"/>
        <v>1.0269484973188676</v>
      </c>
      <c r="BP41" s="25">
        <f t="shared" si="118"/>
        <v>4</v>
      </c>
      <c r="BR41" s="4">
        <f t="shared" si="60"/>
        <v>101.8</v>
      </c>
      <c r="BV41" s="9"/>
      <c r="BX41" s="9"/>
      <c r="BY41" s="9"/>
      <c r="BZ41" s="9">
        <f t="shared" si="61"/>
        <v>101.8</v>
      </c>
      <c r="CA41" s="9">
        <f t="shared" si="62"/>
        <v>101.8</v>
      </c>
      <c r="CB41" s="9">
        <f t="shared" si="63"/>
        <v>2.001967536137395</v>
      </c>
      <c r="CC41" s="9">
        <v>20</v>
      </c>
      <c r="CD41" s="9">
        <f t="shared" si="129"/>
        <v>0.05</v>
      </c>
      <c r="CE41" s="9">
        <f t="shared" si="65"/>
        <v>0.8</v>
      </c>
      <c r="CF41" s="9">
        <f t="shared" si="66"/>
        <v>0.99524931562137331</v>
      </c>
      <c r="CG41" s="9">
        <f t="shared" si="67"/>
        <v>0.97375</v>
      </c>
      <c r="CH41" s="9">
        <f t="shared" si="68"/>
        <v>1.9969246679255115</v>
      </c>
      <c r="CI41" s="9">
        <f t="shared" si="69"/>
        <v>4.9923116698137786</v>
      </c>
      <c r="CJ41" s="9">
        <v>1</v>
      </c>
      <c r="CK41" s="9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38">
        <f t="shared" si="119"/>
        <v>517.5</v>
      </c>
      <c r="DS41" s="4">
        <f t="shared" si="79"/>
        <v>1</v>
      </c>
      <c r="DU41" s="4">
        <f t="shared" si="120"/>
        <v>436.08737945705087</v>
      </c>
      <c r="DY41" s="4">
        <f t="shared" si="80"/>
        <v>0.85</v>
      </c>
      <c r="DZ41" s="4">
        <f t="shared" si="81"/>
        <v>0.7</v>
      </c>
      <c r="EA41" s="4">
        <f t="shared" si="82"/>
        <v>0.73926932853865712</v>
      </c>
      <c r="EB41" s="4">
        <f t="shared" si="83"/>
        <v>0.7</v>
      </c>
      <c r="ED41" s="4">
        <f t="shared" si="121"/>
        <v>517.5</v>
      </c>
      <c r="EE41" s="25">
        <f t="shared" si="122"/>
        <v>417.85899560346201</v>
      </c>
      <c r="EH41" s="4">
        <f t="shared" si="84"/>
        <v>9.0324733825588019</v>
      </c>
      <c r="EI41" s="4">
        <f t="shared" si="85"/>
        <v>8.5989146601959785</v>
      </c>
      <c r="EK41" s="4">
        <f t="shared" si="86"/>
        <v>77.858162529590359</v>
      </c>
      <c r="EL41" s="4">
        <f t="shared" si="87"/>
        <v>3.0652819893539514</v>
      </c>
      <c r="EM41" s="4">
        <f t="shared" si="88"/>
        <v>0.14614888200604936</v>
      </c>
      <c r="EP41" s="4">
        <f t="shared" si="89"/>
        <v>0.14614888200604936</v>
      </c>
      <c r="EQ41" s="4">
        <f t="shared" si="90"/>
        <v>0.45323202685122277</v>
      </c>
      <c r="ER41" s="4">
        <f t="shared" si="91"/>
        <v>6.5816521704497388</v>
      </c>
      <c r="ES41" s="4">
        <f t="shared" si="92"/>
        <v>7.9028793178392709</v>
      </c>
      <c r="ET41" s="4">
        <f t="shared" si="93"/>
        <v>136.45433747040965</v>
      </c>
      <c r="EU41" s="4">
        <f t="shared" si="94"/>
        <v>71.4375</v>
      </c>
      <c r="EV41" s="4">
        <f t="shared" si="95"/>
        <v>2.0755210712749404E-5</v>
      </c>
      <c r="EW41" s="4">
        <f t="shared" si="96"/>
        <v>8.3245236605571389</v>
      </c>
      <c r="EX41" s="4">
        <f t="shared" si="97"/>
        <v>517.5</v>
      </c>
      <c r="EY41" s="4">
        <f t="shared" si="98"/>
        <v>136.45433747040965</v>
      </c>
      <c r="EZ41" s="4">
        <f t="shared" si="99"/>
        <v>71.437499999999986</v>
      </c>
      <c r="FB41" s="4">
        <f t="shared" si="100"/>
        <v>0</v>
      </c>
      <c r="FG41" s="23"/>
      <c r="FH41" s="23"/>
      <c r="FI41" s="23"/>
      <c r="FJ41" s="23"/>
      <c r="FK41" s="23"/>
      <c r="FL41" s="23"/>
      <c r="FM41" s="23"/>
      <c r="FN41" s="23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customHeight="1" x14ac:dyDescent="0.3">
      <c r="A42" s="25">
        <v>24</v>
      </c>
      <c r="B42" s="26" t="s">
        <v>81</v>
      </c>
      <c r="C42" s="26"/>
      <c r="D42" s="26" t="s">
        <v>82</v>
      </c>
      <c r="E42" s="26"/>
      <c r="F42" s="7" t="s">
        <v>102</v>
      </c>
      <c r="G42" s="28">
        <f t="shared" si="105"/>
        <v>517.5</v>
      </c>
      <c r="H42" s="7">
        <f t="shared" si="128"/>
        <v>285.75</v>
      </c>
      <c r="I42" s="7">
        <f t="shared" si="123"/>
        <v>285.75</v>
      </c>
      <c r="J42" s="7">
        <v>34.659999999999997</v>
      </c>
      <c r="K42" s="7">
        <v>25.4</v>
      </c>
      <c r="L42" s="7">
        <f t="shared" si="106"/>
        <v>11.25</v>
      </c>
      <c r="M42" s="7">
        <f t="shared" si="107"/>
        <v>11.25</v>
      </c>
      <c r="N42" s="7">
        <v>229</v>
      </c>
      <c r="O42" s="7">
        <f t="shared" si="108"/>
        <v>101.8</v>
      </c>
      <c r="P42" s="7">
        <v>305</v>
      </c>
      <c r="Q42" s="7">
        <v>0</v>
      </c>
      <c r="R42" s="7">
        <v>1</v>
      </c>
      <c r="S42" s="7">
        <v>82.22</v>
      </c>
      <c r="T42" s="7">
        <f t="shared" si="42"/>
        <v>3.7370078740157484</v>
      </c>
      <c r="U42" s="28">
        <f t="shared" si="109"/>
        <v>3.7370078740157484</v>
      </c>
      <c r="V42" s="28">
        <f t="shared" si="110"/>
        <v>8.3959536742577185</v>
      </c>
      <c r="W42" s="7">
        <f t="shared" si="43"/>
        <v>8.3959536742577185</v>
      </c>
      <c r="X42" s="7">
        <f t="shared" si="44"/>
        <v>9.3959536742577185</v>
      </c>
      <c r="Y42" s="7">
        <f t="shared" si="45"/>
        <v>77.858162529590359</v>
      </c>
      <c r="Z42" s="7"/>
      <c r="AA42" s="7"/>
      <c r="AB42" s="7">
        <f>248.6/(PI()/4*K42^2)*1000</f>
        <v>490.61837500955028</v>
      </c>
      <c r="AC42" s="7"/>
      <c r="AD42" s="7"/>
      <c r="AE42" s="7">
        <v>9.5</v>
      </c>
      <c r="AF42" s="7">
        <v>4</v>
      </c>
      <c r="AG42" s="7">
        <v>76</v>
      </c>
      <c r="AH42" s="7">
        <v>4</v>
      </c>
      <c r="AI42" s="7"/>
      <c r="AJ42" s="7"/>
      <c r="AK42" s="4">
        <f t="shared" si="125"/>
        <v>285.75</v>
      </c>
      <c r="AL42" s="4">
        <f t="shared" si="111"/>
        <v>0.16314527904775977</v>
      </c>
      <c r="AM42" s="25">
        <f t="shared" si="112"/>
        <v>561.22411424012159</v>
      </c>
      <c r="AN42" s="4">
        <f t="shared" si="113"/>
        <v>0.76643569553805768</v>
      </c>
      <c r="AO42" s="4">
        <v>1.25</v>
      </c>
      <c r="AP42" s="25">
        <f t="shared" si="114"/>
        <v>5</v>
      </c>
      <c r="AQ42" s="38">
        <f t="shared" si="115"/>
        <v>438.5979270469054</v>
      </c>
      <c r="AR42" s="38">
        <f t="shared" si="116"/>
        <v>438.5979270469054</v>
      </c>
      <c r="AT42" s="38">
        <f t="shared" si="46"/>
        <v>438.59792704690506</v>
      </c>
      <c r="AU42" s="3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38">
        <f t="shared" si="117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36">
        <f t="shared" si="53"/>
        <v>2.2250000000000001</v>
      </c>
      <c r="BF42" s="36">
        <f t="shared" si="54"/>
        <v>523.9674226514469</v>
      </c>
      <c r="BK42" s="4">
        <f t="shared" si="55"/>
        <v>101.8</v>
      </c>
      <c r="BL42" s="4">
        <f t="shared" si="56"/>
        <v>82.22</v>
      </c>
      <c r="BM42" s="4">
        <f t="shared" si="57"/>
        <v>101.8</v>
      </c>
      <c r="BN42" s="4">
        <f t="shared" si="58"/>
        <v>94.92</v>
      </c>
      <c r="BO42" s="4">
        <f t="shared" si="59"/>
        <v>1.0238141571393822</v>
      </c>
      <c r="BP42" s="25">
        <f t="shared" si="118"/>
        <v>4</v>
      </c>
      <c r="BR42" s="4">
        <f t="shared" si="60"/>
        <v>101.8</v>
      </c>
      <c r="BV42" s="9"/>
      <c r="BX42" s="9"/>
      <c r="BY42" s="9"/>
      <c r="BZ42" s="9">
        <f t="shared" si="61"/>
        <v>101.8</v>
      </c>
      <c r="CA42" s="9">
        <f t="shared" si="62"/>
        <v>101.8</v>
      </c>
      <c r="CB42" s="9">
        <f t="shared" si="63"/>
        <v>2.001967536137395</v>
      </c>
      <c r="CC42" s="9">
        <v>20</v>
      </c>
      <c r="CD42" s="9">
        <f t="shared" si="129"/>
        <v>0.05</v>
      </c>
      <c r="CE42" s="9">
        <f t="shared" si="65"/>
        <v>0.8</v>
      </c>
      <c r="CF42" s="9">
        <f t="shared" si="66"/>
        <v>0.99524931562137331</v>
      </c>
      <c r="CG42" s="9">
        <f t="shared" si="67"/>
        <v>0.97375</v>
      </c>
      <c r="CH42" s="9">
        <f t="shared" si="68"/>
        <v>1.9969246679255115</v>
      </c>
      <c r="CI42" s="9">
        <f t="shared" si="69"/>
        <v>4.9923116698137786</v>
      </c>
      <c r="CJ42" s="9">
        <v>1</v>
      </c>
      <c r="CK42" s="9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38">
        <f t="shared" si="119"/>
        <v>517.5</v>
      </c>
      <c r="DS42" s="4">
        <f t="shared" si="79"/>
        <v>1</v>
      </c>
      <c r="DU42" s="4">
        <f t="shared" si="120"/>
        <v>438.59792704690506</v>
      </c>
      <c r="DY42" s="4">
        <f t="shared" si="80"/>
        <v>0.85</v>
      </c>
      <c r="DZ42" s="4">
        <f t="shared" si="81"/>
        <v>0.7</v>
      </c>
      <c r="EA42" s="4">
        <f t="shared" si="82"/>
        <v>0.73926932853865712</v>
      </c>
      <c r="EB42" s="4">
        <f t="shared" si="83"/>
        <v>0.7</v>
      </c>
      <c r="ED42" s="4">
        <f t="shared" si="121"/>
        <v>517.5</v>
      </c>
      <c r="EE42" s="25">
        <f t="shared" si="122"/>
        <v>418.64418673852452</v>
      </c>
      <c r="EH42" s="4">
        <f t="shared" si="84"/>
        <v>9.0324733825588019</v>
      </c>
      <c r="EI42" s="4">
        <f t="shared" si="85"/>
        <v>8.5989146601959785</v>
      </c>
      <c r="EK42" s="4">
        <f t="shared" si="86"/>
        <v>77.858162529590359</v>
      </c>
      <c r="EL42" s="4">
        <f t="shared" si="87"/>
        <v>3.0652819893539514</v>
      </c>
      <c r="EM42" s="4">
        <f t="shared" si="88"/>
        <v>0.14699025862175652</v>
      </c>
      <c r="EP42" s="4">
        <f t="shared" si="89"/>
        <v>0.14699025862175652</v>
      </c>
      <c r="EQ42" s="4">
        <f t="shared" si="90"/>
        <v>0.45584127588308598</v>
      </c>
      <c r="ER42" s="4">
        <f t="shared" si="91"/>
        <v>6.5967822579745006</v>
      </c>
      <c r="ES42" s="4">
        <f t="shared" si="92"/>
        <v>7.9091783259944446</v>
      </c>
      <c r="ET42" s="4">
        <f t="shared" si="93"/>
        <v>136.45433747040965</v>
      </c>
      <c r="EU42" s="4">
        <f t="shared" si="94"/>
        <v>71.4375</v>
      </c>
      <c r="EV42" s="4">
        <f t="shared" si="95"/>
        <v>2.0755210712749404E-5</v>
      </c>
      <c r="EW42" s="4">
        <f t="shared" si="96"/>
        <v>8.3237698022751303</v>
      </c>
      <c r="EX42" s="4">
        <f t="shared" si="97"/>
        <v>517.5</v>
      </c>
      <c r="EY42" s="4">
        <f t="shared" si="98"/>
        <v>136.45433747040965</v>
      </c>
      <c r="EZ42" s="4">
        <f t="shared" si="99"/>
        <v>71.437499999999986</v>
      </c>
      <c r="FB42" s="4">
        <f t="shared" si="100"/>
        <v>0</v>
      </c>
      <c r="FG42" s="23"/>
      <c r="FH42" s="23"/>
      <c r="FI42" s="23"/>
      <c r="FJ42" s="23"/>
      <c r="FK42" s="23"/>
      <c r="FL42" s="23"/>
      <c r="FM42" s="23"/>
      <c r="FN42" s="23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customHeight="1" x14ac:dyDescent="0.3">
      <c r="A43" s="25">
        <v>25</v>
      </c>
      <c r="B43" s="26" t="s">
        <v>81</v>
      </c>
      <c r="C43" s="26"/>
      <c r="D43" s="26" t="s">
        <v>82</v>
      </c>
      <c r="E43" s="26"/>
      <c r="F43" s="7" t="s">
        <v>103</v>
      </c>
      <c r="G43" s="28">
        <f t="shared" si="105"/>
        <v>517.5</v>
      </c>
      <c r="H43" s="7">
        <f t="shared" si="128"/>
        <v>285.75</v>
      </c>
      <c r="I43" s="7">
        <f t="shared" si="123"/>
        <v>285.75</v>
      </c>
      <c r="J43" s="7">
        <v>34.659999999999997</v>
      </c>
      <c r="K43" s="7">
        <v>25.4</v>
      </c>
      <c r="L43" s="7">
        <f t="shared" si="106"/>
        <v>11.25</v>
      </c>
      <c r="M43" s="7">
        <f t="shared" si="107"/>
        <v>11.25</v>
      </c>
      <c r="N43" s="7">
        <v>229</v>
      </c>
      <c r="O43" s="7">
        <f t="shared" si="108"/>
        <v>101.8</v>
      </c>
      <c r="P43" s="7">
        <v>305</v>
      </c>
      <c r="Q43" s="7">
        <v>0</v>
      </c>
      <c r="R43" s="7">
        <v>1</v>
      </c>
      <c r="S43" s="7">
        <v>55.45</v>
      </c>
      <c r="T43" s="7">
        <f t="shared" si="42"/>
        <v>2.6830708661417328</v>
      </c>
      <c r="U43" s="28">
        <f t="shared" si="109"/>
        <v>2.6830708661417328</v>
      </c>
      <c r="V43" s="28">
        <f t="shared" si="110"/>
        <v>8.3959536742577185</v>
      </c>
      <c r="W43" s="7">
        <f t="shared" si="43"/>
        <v>8.3959536742577185</v>
      </c>
      <c r="X43" s="7">
        <f t="shared" si="44"/>
        <v>9.3959536742577185</v>
      </c>
      <c r="Y43" s="7">
        <f t="shared" si="45"/>
        <v>77.858162529590359</v>
      </c>
      <c r="Z43" s="7"/>
      <c r="AA43" s="7"/>
      <c r="AB43" s="7">
        <f>249.62/(PI()/4*K43^2)*1000</f>
        <v>492.6313707557681</v>
      </c>
      <c r="AC43" s="7"/>
      <c r="AD43" s="7"/>
      <c r="AE43" s="7">
        <v>9.5</v>
      </c>
      <c r="AF43" s="7">
        <v>4</v>
      </c>
      <c r="AG43" s="7">
        <v>76</v>
      </c>
      <c r="AH43" s="7">
        <v>4</v>
      </c>
      <c r="AI43" s="7"/>
      <c r="AJ43" s="7"/>
      <c r="AK43" s="4">
        <f t="shared" si="125"/>
        <v>285.75</v>
      </c>
      <c r="AL43" s="4">
        <f t="shared" si="111"/>
        <v>0.15480330439398876</v>
      </c>
      <c r="AM43" s="25">
        <f t="shared" si="112"/>
        <v>561.22411424012159</v>
      </c>
      <c r="AN43" s="4">
        <f t="shared" si="113"/>
        <v>0.74769903762029744</v>
      </c>
      <c r="AO43" s="4">
        <v>1.25</v>
      </c>
      <c r="AP43" s="25">
        <f t="shared" si="114"/>
        <v>5</v>
      </c>
      <c r="AQ43" s="38">
        <f t="shared" si="115"/>
        <v>405.99752770345503</v>
      </c>
      <c r="AR43" s="38">
        <f t="shared" si="116"/>
        <v>405.99752770345503</v>
      </c>
      <c r="AT43" s="38">
        <f t="shared" si="46"/>
        <v>405.99752770345469</v>
      </c>
      <c r="AU43" s="3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38">
        <f t="shared" si="117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36">
        <f t="shared" si="53"/>
        <v>2.2250000000000001</v>
      </c>
      <c r="BF43" s="36">
        <f t="shared" si="54"/>
        <v>523.9674226514469</v>
      </c>
      <c r="BK43" s="4">
        <f t="shared" si="55"/>
        <v>101.8</v>
      </c>
      <c r="BL43" s="4">
        <f t="shared" si="56"/>
        <v>55.45</v>
      </c>
      <c r="BM43" s="4">
        <f t="shared" si="57"/>
        <v>101.8</v>
      </c>
      <c r="BN43" s="4">
        <f t="shared" si="58"/>
        <v>68.150000000000006</v>
      </c>
      <c r="BO43" s="4">
        <f t="shared" si="59"/>
        <v>1.0835888187556357</v>
      </c>
      <c r="BP43" s="25">
        <f t="shared" si="118"/>
        <v>4</v>
      </c>
      <c r="BR43" s="4">
        <f t="shared" si="60"/>
        <v>101.8</v>
      </c>
      <c r="BV43" s="9"/>
      <c r="BX43" s="9"/>
      <c r="BY43" s="9"/>
      <c r="BZ43" s="9">
        <f t="shared" si="61"/>
        <v>101.8</v>
      </c>
      <c r="CA43" s="9">
        <f t="shared" si="62"/>
        <v>101.8</v>
      </c>
      <c r="CB43" s="9">
        <f t="shared" si="63"/>
        <v>2.001967536137395</v>
      </c>
      <c r="CC43" s="9">
        <v>20</v>
      </c>
      <c r="CD43" s="9">
        <f t="shared" si="129"/>
        <v>0.05</v>
      </c>
      <c r="CE43" s="9">
        <f t="shared" si="65"/>
        <v>0.8</v>
      </c>
      <c r="CF43" s="9">
        <f t="shared" si="66"/>
        <v>0.99524931562137331</v>
      </c>
      <c r="CG43" s="9">
        <f t="shared" si="67"/>
        <v>0.97375</v>
      </c>
      <c r="CH43" s="9">
        <f t="shared" si="68"/>
        <v>1.9969246679255115</v>
      </c>
      <c r="CI43" s="9">
        <f t="shared" si="69"/>
        <v>4.9923116698137786</v>
      </c>
      <c r="CJ43" s="9">
        <v>1</v>
      </c>
      <c r="CK43" s="9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38">
        <f t="shared" si="119"/>
        <v>517.5</v>
      </c>
      <c r="DS43" s="4">
        <f t="shared" si="79"/>
        <v>1</v>
      </c>
      <c r="DU43" s="4">
        <f t="shared" si="120"/>
        <v>405.99752770345469</v>
      </c>
      <c r="DY43" s="4">
        <f t="shared" si="80"/>
        <v>0.85</v>
      </c>
      <c r="DZ43" s="4">
        <f t="shared" si="81"/>
        <v>0.7</v>
      </c>
      <c r="EA43" s="4">
        <f t="shared" si="82"/>
        <v>0.73926932853865712</v>
      </c>
      <c r="EB43" s="4">
        <f t="shared" si="83"/>
        <v>0.7</v>
      </c>
      <c r="ED43" s="4">
        <f t="shared" si="121"/>
        <v>517.5</v>
      </c>
      <c r="EE43" s="25">
        <f t="shared" si="122"/>
        <v>408.28972039092707</v>
      </c>
      <c r="EH43" s="4">
        <f t="shared" si="84"/>
        <v>9.0324733825588019</v>
      </c>
      <c r="EI43" s="4">
        <f t="shared" si="85"/>
        <v>8.5989146601959785</v>
      </c>
      <c r="EK43" s="4">
        <f t="shared" si="86"/>
        <v>77.858162529590359</v>
      </c>
      <c r="EL43" s="4">
        <f t="shared" si="87"/>
        <v>3.0652819893539514</v>
      </c>
      <c r="EM43" s="4">
        <f t="shared" si="88"/>
        <v>0.13606466861058017</v>
      </c>
      <c r="EP43" s="4">
        <f t="shared" si="89"/>
        <v>0.13606466861058017</v>
      </c>
      <c r="EQ43" s="4">
        <f t="shared" si="90"/>
        <v>0.42195920140299542</v>
      </c>
      <c r="ER43" s="4">
        <f t="shared" si="91"/>
        <v>6.3960945508971907</v>
      </c>
      <c r="ES43" s="4">
        <f t="shared" si="92"/>
        <v>7.8264154773661634</v>
      </c>
      <c r="ET43" s="4">
        <f t="shared" si="93"/>
        <v>136.45433747040965</v>
      </c>
      <c r="EU43" s="4">
        <f t="shared" si="94"/>
        <v>71.4375</v>
      </c>
      <c r="EV43" s="4">
        <f t="shared" si="95"/>
        <v>2.0755210712749404E-5</v>
      </c>
      <c r="EW43" s="4">
        <f t="shared" si="96"/>
        <v>8.3337293000677306</v>
      </c>
      <c r="EX43" s="4">
        <f t="shared" si="97"/>
        <v>517.5</v>
      </c>
      <c r="EY43" s="4">
        <f t="shared" si="98"/>
        <v>136.45433747040965</v>
      </c>
      <c r="EZ43" s="4">
        <f t="shared" si="99"/>
        <v>71.437499999999986</v>
      </c>
      <c r="FB43" s="4">
        <f t="shared" si="100"/>
        <v>0</v>
      </c>
      <c r="FG43" s="23"/>
      <c r="FH43" s="23"/>
      <c r="FI43" s="23"/>
      <c r="FJ43" s="23"/>
      <c r="FK43" s="23"/>
      <c r="FL43" s="23"/>
      <c r="FM43" s="23"/>
      <c r="FN43" s="23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customHeight="1" x14ac:dyDescent="0.3">
      <c r="A44" s="25">
        <v>26</v>
      </c>
      <c r="B44" s="26" t="s">
        <v>81</v>
      </c>
      <c r="C44" s="26"/>
      <c r="D44" s="26" t="s">
        <v>82</v>
      </c>
      <c r="E44" s="26"/>
      <c r="F44" s="7" t="s">
        <v>104</v>
      </c>
      <c r="G44" s="28">
        <f t="shared" si="105"/>
        <v>517.5</v>
      </c>
      <c r="H44" s="7">
        <f t="shared" si="128"/>
        <v>285.75</v>
      </c>
      <c r="I44" s="7">
        <f t="shared" si="123"/>
        <v>285.75</v>
      </c>
      <c r="J44" s="7">
        <v>34.659999999999997</v>
      </c>
      <c r="K44" s="7">
        <v>25.4</v>
      </c>
      <c r="L44" s="7">
        <f t="shared" si="106"/>
        <v>11.25</v>
      </c>
      <c r="M44" s="7">
        <f t="shared" si="107"/>
        <v>11.25</v>
      </c>
      <c r="N44" s="7">
        <v>229</v>
      </c>
      <c r="O44" s="7">
        <f t="shared" si="108"/>
        <v>101.8</v>
      </c>
      <c r="P44" s="7">
        <v>305</v>
      </c>
      <c r="Q44" s="7">
        <v>0</v>
      </c>
      <c r="R44" s="7">
        <v>1</v>
      </c>
      <c r="S44" s="7">
        <v>55.7</v>
      </c>
      <c r="T44" s="7">
        <f t="shared" si="42"/>
        <v>2.6929133858267722</v>
      </c>
      <c r="U44" s="28">
        <f t="shared" si="109"/>
        <v>2.6929133858267722</v>
      </c>
      <c r="V44" s="28">
        <f t="shared" si="110"/>
        <v>8.3959536742577185</v>
      </c>
      <c r="W44" s="7">
        <f t="shared" si="43"/>
        <v>8.3959536742577185</v>
      </c>
      <c r="X44" s="7">
        <f t="shared" si="44"/>
        <v>9.3959536742577185</v>
      </c>
      <c r="Y44" s="7">
        <f t="shared" si="45"/>
        <v>77.858162529590359</v>
      </c>
      <c r="Z44" s="7"/>
      <c r="AA44" s="7"/>
      <c r="AB44" s="7">
        <f>231.87/(PI()/4*K44^2)*1000</f>
        <v>457.60129772109588</v>
      </c>
      <c r="AC44" s="7"/>
      <c r="AD44" s="7"/>
      <c r="AE44" s="7">
        <v>9.5</v>
      </c>
      <c r="AF44" s="7">
        <v>4</v>
      </c>
      <c r="AG44" s="7">
        <v>76</v>
      </c>
      <c r="AH44" s="7">
        <v>4</v>
      </c>
      <c r="AI44" s="7"/>
      <c r="AJ44" s="7"/>
      <c r="AK44" s="4">
        <f t="shared" si="125"/>
        <v>285.75</v>
      </c>
      <c r="AL44" s="4">
        <f t="shared" si="111"/>
        <v>0.15488120852784915</v>
      </c>
      <c r="AM44" s="25">
        <f t="shared" si="112"/>
        <v>561.22411424012159</v>
      </c>
      <c r="AN44" s="4">
        <f t="shared" si="113"/>
        <v>0.74787401574803147</v>
      </c>
      <c r="AO44" s="4">
        <v>1.25</v>
      </c>
      <c r="AP44" s="25">
        <f t="shared" si="114"/>
        <v>5</v>
      </c>
      <c r="AQ44" s="38">
        <f t="shared" si="115"/>
        <v>406.29690453368073</v>
      </c>
      <c r="AR44" s="38">
        <f t="shared" si="116"/>
        <v>406.29690453368073</v>
      </c>
      <c r="AT44" s="38">
        <f t="shared" si="46"/>
        <v>406.29690453368045</v>
      </c>
      <c r="AU44" s="3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38">
        <f t="shared" si="117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36">
        <f t="shared" si="53"/>
        <v>2.2250000000000001</v>
      </c>
      <c r="BF44" s="36">
        <f t="shared" si="54"/>
        <v>523.9674226514469</v>
      </c>
      <c r="BK44" s="4">
        <f t="shared" si="55"/>
        <v>101.8</v>
      </c>
      <c r="BL44" s="4">
        <f t="shared" si="56"/>
        <v>55.7</v>
      </c>
      <c r="BM44" s="4">
        <f t="shared" si="57"/>
        <v>101.8</v>
      </c>
      <c r="BN44" s="4">
        <f t="shared" si="58"/>
        <v>68.400000000000006</v>
      </c>
      <c r="BO44" s="4">
        <f t="shared" si="59"/>
        <v>1.0827648114901256</v>
      </c>
      <c r="BP44" s="25">
        <f t="shared" si="118"/>
        <v>4</v>
      </c>
      <c r="BR44" s="4">
        <f t="shared" si="60"/>
        <v>101.8</v>
      </c>
      <c r="BV44" s="9"/>
      <c r="BX44" s="9"/>
      <c r="BY44" s="9"/>
      <c r="BZ44" s="9">
        <f t="shared" si="61"/>
        <v>101.8</v>
      </c>
      <c r="CA44" s="9">
        <f t="shared" si="62"/>
        <v>101.8</v>
      </c>
      <c r="CB44" s="9">
        <f t="shared" si="63"/>
        <v>2.001967536137395</v>
      </c>
      <c r="CC44" s="9">
        <v>20</v>
      </c>
      <c r="CD44" s="9">
        <f t="shared" si="129"/>
        <v>0.05</v>
      </c>
      <c r="CE44" s="9">
        <f t="shared" si="65"/>
        <v>0.8</v>
      </c>
      <c r="CF44" s="9">
        <f t="shared" si="66"/>
        <v>0.99524931562137331</v>
      </c>
      <c r="CG44" s="9">
        <f t="shared" si="67"/>
        <v>0.97375</v>
      </c>
      <c r="CH44" s="9">
        <f t="shared" si="68"/>
        <v>1.9969246679255115</v>
      </c>
      <c r="CI44" s="9">
        <f t="shared" si="69"/>
        <v>4.9923116698137786</v>
      </c>
      <c r="CJ44" s="9">
        <v>1</v>
      </c>
      <c r="CK44" s="9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38">
        <f t="shared" si="119"/>
        <v>517.5</v>
      </c>
      <c r="DS44" s="4">
        <f t="shared" si="79"/>
        <v>1</v>
      </c>
      <c r="DU44" s="4">
        <f t="shared" si="120"/>
        <v>406.29690453368045</v>
      </c>
      <c r="DY44" s="4">
        <f t="shared" si="80"/>
        <v>0.85</v>
      </c>
      <c r="DZ44" s="4">
        <f t="shared" si="81"/>
        <v>0.7</v>
      </c>
      <c r="EA44" s="4">
        <f t="shared" si="82"/>
        <v>0.73926932853865712</v>
      </c>
      <c r="EB44" s="4">
        <f t="shared" si="83"/>
        <v>0.7</v>
      </c>
      <c r="ED44" s="4">
        <f t="shared" si="121"/>
        <v>517.5</v>
      </c>
      <c r="EE44" s="25">
        <f t="shared" si="122"/>
        <v>408.38641880657519</v>
      </c>
      <c r="EH44" s="4">
        <f t="shared" si="84"/>
        <v>9.0324733825588019</v>
      </c>
      <c r="EI44" s="4">
        <f t="shared" si="85"/>
        <v>8.5989146601959785</v>
      </c>
      <c r="EK44" s="4">
        <f t="shared" si="86"/>
        <v>77.858162529590359</v>
      </c>
      <c r="EL44" s="4">
        <f t="shared" si="87"/>
        <v>3.0652819893539514</v>
      </c>
      <c r="EM44" s="4">
        <f t="shared" si="88"/>
        <v>0.13616500077128266</v>
      </c>
      <c r="EP44" s="4">
        <f t="shared" si="89"/>
        <v>0.13616500077128266</v>
      </c>
      <c r="EQ44" s="4">
        <f t="shared" si="90"/>
        <v>0.42227034814547731</v>
      </c>
      <c r="ER44" s="4">
        <f t="shared" si="91"/>
        <v>6.3979806895606242</v>
      </c>
      <c r="ES44" s="4">
        <f t="shared" si="92"/>
        <v>7.8271852945998246</v>
      </c>
      <c r="ET44" s="4">
        <f t="shared" si="93"/>
        <v>136.45433747040965</v>
      </c>
      <c r="EU44" s="4">
        <f t="shared" si="94"/>
        <v>71.4375</v>
      </c>
      <c r="EV44" s="4">
        <f t="shared" si="95"/>
        <v>2.0755210712749404E-5</v>
      </c>
      <c r="EW44" s="4">
        <f t="shared" si="96"/>
        <v>8.3336361018153582</v>
      </c>
      <c r="EX44" s="4">
        <f t="shared" si="97"/>
        <v>517.5</v>
      </c>
      <c r="EY44" s="4">
        <f t="shared" si="98"/>
        <v>136.45433747040965</v>
      </c>
      <c r="EZ44" s="4">
        <f t="shared" si="99"/>
        <v>71.437499999999986</v>
      </c>
      <c r="FB44" s="4">
        <f t="shared" si="100"/>
        <v>0</v>
      </c>
      <c r="FG44" s="23"/>
      <c r="FH44" s="23"/>
      <c r="FI44" s="23"/>
      <c r="FJ44" s="23"/>
      <c r="FK44" s="23"/>
      <c r="FL44" s="23"/>
      <c r="FM44" s="23"/>
      <c r="FN44" s="23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customHeight="1" x14ac:dyDescent="0.3">
      <c r="A45" s="25">
        <v>27</v>
      </c>
      <c r="B45" s="26" t="s">
        <v>81</v>
      </c>
      <c r="C45" s="26"/>
      <c r="D45" s="26" t="s">
        <v>82</v>
      </c>
      <c r="E45" s="26"/>
      <c r="F45" s="7" t="s">
        <v>105</v>
      </c>
      <c r="G45" s="28">
        <f t="shared" si="105"/>
        <v>517.5</v>
      </c>
      <c r="H45" s="7">
        <f t="shared" si="128"/>
        <v>285.75</v>
      </c>
      <c r="I45" s="7">
        <f t="shared" si="123"/>
        <v>285.75</v>
      </c>
      <c r="J45" s="7">
        <v>34.659999999999997</v>
      </c>
      <c r="K45" s="7">
        <v>25.4</v>
      </c>
      <c r="L45" s="7">
        <f t="shared" si="106"/>
        <v>11.25</v>
      </c>
      <c r="M45" s="7">
        <f t="shared" si="107"/>
        <v>11.25</v>
      </c>
      <c r="N45" s="7">
        <v>229</v>
      </c>
      <c r="O45" s="7">
        <f t="shared" si="108"/>
        <v>101.8</v>
      </c>
      <c r="P45" s="7">
        <v>305</v>
      </c>
      <c r="Q45" s="7">
        <v>0</v>
      </c>
      <c r="R45" s="7">
        <v>1</v>
      </c>
      <c r="S45" s="7">
        <v>56.57</v>
      </c>
      <c r="T45" s="7">
        <f t="shared" si="42"/>
        <v>2.7271653543307086</v>
      </c>
      <c r="U45" s="28">
        <f t="shared" si="109"/>
        <v>2.7271653543307086</v>
      </c>
      <c r="V45" s="28">
        <f t="shared" si="110"/>
        <v>8.3959536742577185</v>
      </c>
      <c r="W45" s="7">
        <f t="shared" si="43"/>
        <v>8.3959536742577185</v>
      </c>
      <c r="X45" s="7">
        <f t="shared" si="44"/>
        <v>9.3959536742577185</v>
      </c>
      <c r="Y45" s="7">
        <f t="shared" si="45"/>
        <v>77.858162529590359</v>
      </c>
      <c r="Z45" s="7"/>
      <c r="AA45" s="7"/>
      <c r="AB45" s="7">
        <f>257.14/(PI()/4*K45^2)*1000</f>
        <v>507.4722805710208</v>
      </c>
      <c r="AC45" s="7"/>
      <c r="AD45" s="7"/>
      <c r="AE45" s="7">
        <v>9.5</v>
      </c>
      <c r="AF45" s="7">
        <v>4</v>
      </c>
      <c r="AG45" s="7">
        <v>76</v>
      </c>
      <c r="AH45" s="7">
        <v>4</v>
      </c>
      <c r="AI45" s="7"/>
      <c r="AJ45" s="7"/>
      <c r="AK45" s="4">
        <f t="shared" si="125"/>
        <v>285.75</v>
      </c>
      <c r="AL45" s="4">
        <f t="shared" si="111"/>
        <v>0.15515231491368334</v>
      </c>
      <c r="AM45" s="25">
        <f t="shared" si="112"/>
        <v>561.22411424012159</v>
      </c>
      <c r="AN45" s="4">
        <f t="shared" si="113"/>
        <v>0.74848293963254586</v>
      </c>
      <c r="AO45" s="4">
        <v>1.25</v>
      </c>
      <c r="AP45" s="25">
        <f t="shared" si="114"/>
        <v>5</v>
      </c>
      <c r="AQ45" s="38">
        <f t="shared" si="115"/>
        <v>407.33948135174751</v>
      </c>
      <c r="AR45" s="38">
        <f t="shared" si="116"/>
        <v>407.33948135174751</v>
      </c>
      <c r="AT45" s="38">
        <f t="shared" si="46"/>
        <v>407.33948135174728</v>
      </c>
      <c r="AU45" s="3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38">
        <f t="shared" si="117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36">
        <f t="shared" si="53"/>
        <v>2.2250000000000001</v>
      </c>
      <c r="BF45" s="36">
        <f t="shared" si="54"/>
        <v>523.9674226514469</v>
      </c>
      <c r="BK45" s="4">
        <f t="shared" si="55"/>
        <v>101.8</v>
      </c>
      <c r="BL45" s="4">
        <f t="shared" si="56"/>
        <v>56.57</v>
      </c>
      <c r="BM45" s="4">
        <f t="shared" si="57"/>
        <v>101.8</v>
      </c>
      <c r="BN45" s="4">
        <f t="shared" si="58"/>
        <v>69.27</v>
      </c>
      <c r="BO45" s="4">
        <f t="shared" si="59"/>
        <v>1.0799540392434153</v>
      </c>
      <c r="BP45" s="25">
        <f t="shared" si="118"/>
        <v>4</v>
      </c>
      <c r="BR45" s="4">
        <f t="shared" si="60"/>
        <v>101.8</v>
      </c>
      <c r="BV45" s="9"/>
      <c r="BX45" s="9"/>
      <c r="BY45" s="9"/>
      <c r="BZ45" s="9">
        <f t="shared" si="61"/>
        <v>101.8</v>
      </c>
      <c r="CA45" s="9">
        <f t="shared" si="62"/>
        <v>101.8</v>
      </c>
      <c r="CB45" s="9">
        <f t="shared" si="63"/>
        <v>2.001967536137395</v>
      </c>
      <c r="CC45" s="9">
        <v>20</v>
      </c>
      <c r="CD45" s="9">
        <f t="shared" si="129"/>
        <v>0.05</v>
      </c>
      <c r="CE45" s="9">
        <f t="shared" si="65"/>
        <v>0.8</v>
      </c>
      <c r="CF45" s="9">
        <f t="shared" si="66"/>
        <v>0.99524931562137331</v>
      </c>
      <c r="CG45" s="9">
        <f t="shared" si="67"/>
        <v>0.97375</v>
      </c>
      <c r="CH45" s="9">
        <f t="shared" si="68"/>
        <v>1.9969246679255115</v>
      </c>
      <c r="CI45" s="9">
        <f t="shared" si="69"/>
        <v>4.9923116698137786</v>
      </c>
      <c r="CJ45" s="9">
        <v>1</v>
      </c>
      <c r="CK45" s="9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38">
        <f t="shared" si="119"/>
        <v>517.5</v>
      </c>
      <c r="DS45" s="4">
        <f t="shared" si="79"/>
        <v>1</v>
      </c>
      <c r="DU45" s="4">
        <f t="shared" si="120"/>
        <v>407.33948135174728</v>
      </c>
      <c r="DY45" s="4">
        <f t="shared" si="80"/>
        <v>0.85</v>
      </c>
      <c r="DZ45" s="4">
        <f t="shared" si="81"/>
        <v>0.7</v>
      </c>
      <c r="EA45" s="4">
        <f t="shared" si="82"/>
        <v>0.73926932853865712</v>
      </c>
      <c r="EB45" s="4">
        <f t="shared" si="83"/>
        <v>0.7</v>
      </c>
      <c r="ED45" s="4">
        <f t="shared" si="121"/>
        <v>517.5</v>
      </c>
      <c r="EE45" s="25">
        <f t="shared" si="122"/>
        <v>408.72292929303057</v>
      </c>
      <c r="EH45" s="4">
        <f t="shared" si="84"/>
        <v>9.0324733825588019</v>
      </c>
      <c r="EI45" s="4">
        <f t="shared" si="85"/>
        <v>8.5989146601959785</v>
      </c>
      <c r="EK45" s="4">
        <f t="shared" si="86"/>
        <v>77.858162529590359</v>
      </c>
      <c r="EL45" s="4">
        <f t="shared" si="87"/>
        <v>3.0652819893539514</v>
      </c>
      <c r="EM45" s="4">
        <f t="shared" si="88"/>
        <v>0.13651440651779981</v>
      </c>
      <c r="EP45" s="4">
        <f t="shared" si="89"/>
        <v>0.13651440651779981</v>
      </c>
      <c r="EQ45" s="4">
        <f t="shared" si="90"/>
        <v>0.42335391356529956</v>
      </c>
      <c r="ER45" s="4">
        <f t="shared" si="91"/>
        <v>6.4045426479058536</v>
      </c>
      <c r="ES45" s="4">
        <f t="shared" si="92"/>
        <v>7.8298647207808791</v>
      </c>
      <c r="ET45" s="4">
        <f t="shared" si="93"/>
        <v>136.45433747040965</v>
      </c>
      <c r="EU45" s="4">
        <f t="shared" si="94"/>
        <v>71.4375</v>
      </c>
      <c r="EV45" s="4">
        <f t="shared" si="95"/>
        <v>2.0755210712749404E-5</v>
      </c>
      <c r="EW45" s="4">
        <f t="shared" si="96"/>
        <v>8.3333118005347053</v>
      </c>
      <c r="EX45" s="4">
        <f t="shared" si="97"/>
        <v>517.5</v>
      </c>
      <c r="EY45" s="4">
        <f t="shared" si="98"/>
        <v>136.45433747040965</v>
      </c>
      <c r="EZ45" s="4">
        <f t="shared" si="99"/>
        <v>71.437499999999986</v>
      </c>
      <c r="FB45" s="4">
        <f t="shared" si="100"/>
        <v>0</v>
      </c>
      <c r="FG45" s="23"/>
      <c r="FH45" s="23"/>
      <c r="FI45" s="23"/>
      <c r="FJ45" s="23"/>
      <c r="FK45" s="23"/>
      <c r="FL45" s="23"/>
      <c r="FM45" s="23"/>
      <c r="FN45" s="23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customHeight="1" x14ac:dyDescent="0.3">
      <c r="A46" s="25">
        <v>28</v>
      </c>
      <c r="B46" s="26" t="s">
        <v>81</v>
      </c>
      <c r="C46" s="26"/>
      <c r="D46" s="26" t="s">
        <v>82</v>
      </c>
      <c r="E46" s="26"/>
      <c r="F46" s="7" t="s">
        <v>106</v>
      </c>
      <c r="G46" s="28">
        <f t="shared" si="105"/>
        <v>517.5</v>
      </c>
      <c r="H46" s="7">
        <f t="shared" si="128"/>
        <v>285.75</v>
      </c>
      <c r="I46" s="7">
        <f t="shared" si="123"/>
        <v>285.75</v>
      </c>
      <c r="J46" s="7">
        <v>34.659999999999997</v>
      </c>
      <c r="K46" s="7">
        <v>25.4</v>
      </c>
      <c r="L46" s="7">
        <f t="shared" si="106"/>
        <v>11.25</v>
      </c>
      <c r="M46" s="7">
        <f t="shared" si="107"/>
        <v>11.25</v>
      </c>
      <c r="N46" s="7">
        <v>229</v>
      </c>
      <c r="O46" s="7">
        <f t="shared" si="108"/>
        <v>101.8</v>
      </c>
      <c r="P46" s="7">
        <v>305</v>
      </c>
      <c r="Q46" s="7">
        <v>0</v>
      </c>
      <c r="R46" s="7">
        <v>1</v>
      </c>
      <c r="S46" s="7">
        <v>78.97</v>
      </c>
      <c r="T46" s="7">
        <f t="shared" si="42"/>
        <v>3.6090551181102364</v>
      </c>
      <c r="U46" s="28">
        <f t="shared" si="109"/>
        <v>3.6090551181102364</v>
      </c>
      <c r="V46" s="28">
        <f t="shared" si="110"/>
        <v>8.3959536742577185</v>
      </c>
      <c r="W46" s="7">
        <f t="shared" si="43"/>
        <v>8.3959536742577185</v>
      </c>
      <c r="X46" s="7">
        <f t="shared" si="44"/>
        <v>9.3959536742577185</v>
      </c>
      <c r="Y46" s="7">
        <f t="shared" si="45"/>
        <v>77.858162529590359</v>
      </c>
      <c r="Z46" s="7"/>
      <c r="AA46" s="7"/>
      <c r="AB46" s="7">
        <f>261.45/(PI()/4*K46^2)*1000</f>
        <v>515.97817436141156</v>
      </c>
      <c r="AC46" s="7"/>
      <c r="AD46" s="7"/>
      <c r="AE46" s="7">
        <v>9.5</v>
      </c>
      <c r="AF46" s="7">
        <v>5</v>
      </c>
      <c r="AG46" s="7">
        <v>64</v>
      </c>
      <c r="AH46" s="7">
        <v>5</v>
      </c>
      <c r="AI46" s="7"/>
      <c r="AJ46" s="7"/>
      <c r="AK46" s="4">
        <f t="shared" si="125"/>
        <v>285.75</v>
      </c>
      <c r="AL46" s="4">
        <f t="shared" si="111"/>
        <v>0.16213252530757466</v>
      </c>
      <c r="AM46" s="25">
        <f t="shared" si="112"/>
        <v>561.22411424012159</v>
      </c>
      <c r="AN46" s="4">
        <f t="shared" si="113"/>
        <v>0.7641609798775153</v>
      </c>
      <c r="AO46" s="4">
        <v>1.25</v>
      </c>
      <c r="AP46" s="25">
        <f t="shared" si="114"/>
        <v>5</v>
      </c>
      <c r="AQ46" s="38">
        <f t="shared" si="115"/>
        <v>434.58161081603589</v>
      </c>
      <c r="AR46" s="38">
        <f t="shared" si="116"/>
        <v>434.58161081603589</v>
      </c>
      <c r="AT46" s="38">
        <f t="shared" si="46"/>
        <v>434.58161081603555</v>
      </c>
      <c r="AU46" s="3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38">
        <f t="shared" si="117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36">
        <f t="shared" si="53"/>
        <v>2.2250000000000001</v>
      </c>
      <c r="BF46" s="36">
        <f t="shared" si="54"/>
        <v>523.9674226514469</v>
      </c>
      <c r="BK46" s="4">
        <f t="shared" si="55"/>
        <v>101.8</v>
      </c>
      <c r="BL46" s="4">
        <f t="shared" si="56"/>
        <v>78.97</v>
      </c>
      <c r="BM46" s="4">
        <f t="shared" si="57"/>
        <v>101.8</v>
      </c>
      <c r="BN46" s="4">
        <f t="shared" si="58"/>
        <v>91.67</v>
      </c>
      <c r="BO46" s="4">
        <f t="shared" si="59"/>
        <v>1.0289097125490694</v>
      </c>
      <c r="BP46" s="25">
        <f t="shared" si="118"/>
        <v>4</v>
      </c>
      <c r="BR46" s="4">
        <f t="shared" si="60"/>
        <v>101.8</v>
      </c>
      <c r="BV46" s="9"/>
      <c r="BX46" s="9"/>
      <c r="BY46" s="9"/>
      <c r="BZ46" s="9">
        <f t="shared" si="61"/>
        <v>101.8</v>
      </c>
      <c r="CA46" s="9">
        <f t="shared" si="62"/>
        <v>101.8</v>
      </c>
      <c r="CB46" s="9">
        <f t="shared" si="63"/>
        <v>2.001967536137395</v>
      </c>
      <c r="CC46" s="9">
        <v>20</v>
      </c>
      <c r="CD46" s="9">
        <f t="shared" si="129"/>
        <v>0.05</v>
      </c>
      <c r="CE46" s="9">
        <f t="shared" si="65"/>
        <v>0.8</v>
      </c>
      <c r="CF46" s="9">
        <f t="shared" si="66"/>
        <v>0.99524931562137331</v>
      </c>
      <c r="CG46" s="9">
        <f t="shared" si="67"/>
        <v>0.97375</v>
      </c>
      <c r="CH46" s="9">
        <f t="shared" si="68"/>
        <v>1.9969246679255115</v>
      </c>
      <c r="CI46" s="9">
        <f t="shared" si="69"/>
        <v>4.9923116698137786</v>
      </c>
      <c r="CJ46" s="9">
        <v>1</v>
      </c>
      <c r="CK46" s="9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38">
        <f t="shared" si="119"/>
        <v>517.5</v>
      </c>
      <c r="DS46" s="4">
        <f t="shared" si="79"/>
        <v>1</v>
      </c>
      <c r="DU46" s="4">
        <f t="shared" si="120"/>
        <v>434.58161081603555</v>
      </c>
      <c r="DY46" s="4">
        <f>IF(P46&gt;1*K46,0.85,1)</f>
        <v>0.85</v>
      </c>
      <c r="DZ46" s="4">
        <f t="shared" si="81"/>
        <v>0.7</v>
      </c>
      <c r="EA46" s="4">
        <f t="shared" si="82"/>
        <v>0.7</v>
      </c>
      <c r="EB46" s="4">
        <f t="shared" si="83"/>
        <v>0.7</v>
      </c>
      <c r="ED46" s="4">
        <f t="shared" si="121"/>
        <v>517.5</v>
      </c>
      <c r="EE46" s="25">
        <f t="shared" si="122"/>
        <v>417.38710733509936</v>
      </c>
      <c r="EH46" s="4">
        <f t="shared" si="84"/>
        <v>9.0324733825588019</v>
      </c>
      <c r="EI46" s="4">
        <f t="shared" si="85"/>
        <v>8.5989146601959785</v>
      </c>
      <c r="EK46" s="4">
        <f t="shared" si="86"/>
        <v>77.858162529590359</v>
      </c>
      <c r="EL46" s="4">
        <f t="shared" si="87"/>
        <v>3.0652819893539514</v>
      </c>
      <c r="EM46" s="4">
        <f t="shared" si="88"/>
        <v>0.14564424368398154</v>
      </c>
      <c r="EP46" s="4">
        <f t="shared" si="89"/>
        <v>0.14564424368398154</v>
      </c>
      <c r="EQ46" s="4">
        <f t="shared" si="90"/>
        <v>0.45166705935781332</v>
      </c>
      <c r="ER46" s="4">
        <f t="shared" si="91"/>
        <v>6.5725524066777705</v>
      </c>
      <c r="ES46" s="4">
        <f t="shared" si="92"/>
        <v>7.8990954935645004</v>
      </c>
      <c r="ET46" s="4">
        <f t="shared" si="93"/>
        <v>136.45433747040965</v>
      </c>
      <c r="EU46" s="4">
        <f t="shared" si="94"/>
        <v>71.4375</v>
      </c>
      <c r="EV46" s="4">
        <f t="shared" si="95"/>
        <v>2.0755210712749404E-5</v>
      </c>
      <c r="EW46" s="4">
        <f t="shared" si="96"/>
        <v>8.324976824069628</v>
      </c>
      <c r="EX46" s="4">
        <f t="shared" si="97"/>
        <v>517.5</v>
      </c>
      <c r="EY46" s="4">
        <f t="shared" si="98"/>
        <v>136.45433747040965</v>
      </c>
      <c r="EZ46" s="4">
        <f t="shared" si="99"/>
        <v>71.437499999999986</v>
      </c>
      <c r="FB46" s="4">
        <f t="shared" si="100"/>
        <v>0</v>
      </c>
      <c r="FG46" s="23"/>
      <c r="FH46" s="23"/>
      <c r="FI46" s="23"/>
      <c r="FJ46" s="23"/>
      <c r="FK46" s="23"/>
      <c r="FL46" s="23"/>
      <c r="FM46" s="23"/>
      <c r="FN46" s="23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customHeight="1" x14ac:dyDescent="0.3">
      <c r="A47" s="25">
        <v>29</v>
      </c>
      <c r="B47" s="26" t="s">
        <v>81</v>
      </c>
      <c r="C47" s="26"/>
      <c r="D47" s="26" t="s">
        <v>82</v>
      </c>
      <c r="E47" s="26"/>
      <c r="F47" s="31" t="s">
        <v>110</v>
      </c>
      <c r="G47" s="28">
        <f t="shared" si="105"/>
        <v>517.5</v>
      </c>
      <c r="H47" s="7">
        <f t="shared" si="128"/>
        <v>285.75</v>
      </c>
      <c r="I47" s="7">
        <f t="shared" si="123"/>
        <v>285.75</v>
      </c>
      <c r="J47" s="7">
        <v>34.659999999999997</v>
      </c>
      <c r="K47" s="7">
        <v>25.4</v>
      </c>
      <c r="L47" s="7">
        <f t="shared" si="106"/>
        <v>11.25</v>
      </c>
      <c r="M47" s="7">
        <f t="shared" si="107"/>
        <v>11.25</v>
      </c>
      <c r="N47" s="7">
        <v>229</v>
      </c>
      <c r="O47" s="7">
        <f t="shared" si="108"/>
        <v>101.8</v>
      </c>
      <c r="P47" s="7">
        <v>305</v>
      </c>
      <c r="Q47" s="7">
        <v>0</v>
      </c>
      <c r="R47" s="7">
        <v>1</v>
      </c>
      <c r="S47" s="7">
        <v>78.790000000000006</v>
      </c>
      <c r="T47" s="7">
        <f t="shared" si="42"/>
        <v>3.6019685039370084</v>
      </c>
      <c r="U47" s="28">
        <f t="shared" si="109"/>
        <v>3.6019685039370084</v>
      </c>
      <c r="V47" s="28">
        <f t="shared" si="110"/>
        <v>8.3959536742577185</v>
      </c>
      <c r="W47" s="7">
        <f t="shared" si="43"/>
        <v>8.3959536742577185</v>
      </c>
      <c r="X47" s="7">
        <f t="shared" si="44"/>
        <v>9.3959536742577185</v>
      </c>
      <c r="Y47" s="7">
        <f t="shared" si="45"/>
        <v>77.858162529590359</v>
      </c>
      <c r="Z47" s="7"/>
      <c r="AA47" s="7"/>
      <c r="AB47" s="7">
        <f>263.9/(PI()/4*K47^2)*1000</f>
        <v>520.81331120281709</v>
      </c>
      <c r="AC47" s="7"/>
      <c r="AD47" s="7"/>
      <c r="AE47" s="7">
        <v>9.5</v>
      </c>
      <c r="AF47" s="7">
        <v>5</v>
      </c>
      <c r="AG47" s="7">
        <v>64</v>
      </c>
      <c r="AH47" s="7">
        <v>5</v>
      </c>
      <c r="AI47" s="7"/>
      <c r="AJ47" s="7"/>
      <c r="AK47" s="4">
        <f t="shared" si="125"/>
        <v>285.75</v>
      </c>
      <c r="AL47" s="4">
        <f t="shared" si="111"/>
        <v>0.16207643433119515</v>
      </c>
      <c r="AM47" s="25">
        <f t="shared" si="112"/>
        <v>561.22411424012159</v>
      </c>
      <c r="AN47" s="4">
        <f t="shared" si="113"/>
        <v>0.76403499562554678</v>
      </c>
      <c r="AO47" s="4">
        <v>1.25</v>
      </c>
      <c r="AP47" s="25">
        <f t="shared" si="114"/>
        <v>5</v>
      </c>
      <c r="AQ47" s="38">
        <f t="shared" si="115"/>
        <v>434.35964101816023</v>
      </c>
      <c r="AR47" s="38">
        <f t="shared" si="116"/>
        <v>434.35964101816023</v>
      </c>
      <c r="AT47" s="38">
        <f t="shared" si="46"/>
        <v>434.35964101816</v>
      </c>
      <c r="AU47" s="3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38">
        <f t="shared" si="117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36">
        <f t="shared" si="53"/>
        <v>2.2250000000000001</v>
      </c>
      <c r="BF47" s="36">
        <f t="shared" si="54"/>
        <v>523.9674226514469</v>
      </c>
      <c r="BK47" s="4">
        <f t="shared" si="55"/>
        <v>101.8</v>
      </c>
      <c r="BL47" s="4">
        <f t="shared" si="56"/>
        <v>78.790000000000006</v>
      </c>
      <c r="BM47" s="4">
        <f t="shared" si="57"/>
        <v>101.8</v>
      </c>
      <c r="BN47" s="4">
        <f t="shared" si="58"/>
        <v>91.490000000000009</v>
      </c>
      <c r="BO47" s="4">
        <f t="shared" si="59"/>
        <v>1.0292042137327071</v>
      </c>
      <c r="BP47" s="25">
        <f t="shared" si="118"/>
        <v>4</v>
      </c>
      <c r="BR47" s="4">
        <f t="shared" si="60"/>
        <v>101.8</v>
      </c>
      <c r="BV47" s="9"/>
      <c r="BX47" s="9"/>
      <c r="BY47" s="9"/>
      <c r="BZ47" s="9">
        <f t="shared" si="61"/>
        <v>101.8</v>
      </c>
      <c r="CA47" s="9">
        <f t="shared" si="62"/>
        <v>101.8</v>
      </c>
      <c r="CB47" s="9">
        <f t="shared" si="63"/>
        <v>2.001967536137395</v>
      </c>
      <c r="CC47" s="9">
        <v>20</v>
      </c>
      <c r="CD47" s="9">
        <f t="shared" si="129"/>
        <v>0.05</v>
      </c>
      <c r="CE47" s="9">
        <f t="shared" si="65"/>
        <v>0.8</v>
      </c>
      <c r="CF47" s="9">
        <f t="shared" si="66"/>
        <v>0.99524931562137331</v>
      </c>
      <c r="CG47" s="9">
        <f t="shared" si="67"/>
        <v>0.97375</v>
      </c>
      <c r="CH47" s="9">
        <f t="shared" si="68"/>
        <v>1.9969246679255115</v>
      </c>
      <c r="CI47" s="9">
        <f t="shared" si="69"/>
        <v>4.9923116698137786</v>
      </c>
      <c r="CJ47" s="9">
        <v>1</v>
      </c>
      <c r="CK47" s="9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38">
        <f t="shared" si="119"/>
        <v>520.81331120281709</v>
      </c>
      <c r="DS47" s="4">
        <f t="shared" si="79"/>
        <v>1</v>
      </c>
      <c r="DU47" s="4">
        <f t="shared" si="120"/>
        <v>434.35964101816</v>
      </c>
      <c r="DY47" s="4">
        <f t="shared" si="80"/>
        <v>0.85</v>
      </c>
      <c r="DZ47" s="4">
        <f t="shared" si="81"/>
        <v>0.7</v>
      </c>
      <c r="EA47" s="4">
        <f t="shared" si="82"/>
        <v>0.7</v>
      </c>
      <c r="EB47" s="4">
        <f t="shared" si="83"/>
        <v>0.7</v>
      </c>
      <c r="ED47" s="4">
        <f t="shared" si="121"/>
        <v>520.81331120281709</v>
      </c>
      <c r="EE47" s="25">
        <f t="shared" si="122"/>
        <v>417.31748447583271</v>
      </c>
      <c r="EH47" s="4">
        <f t="shared" si="84"/>
        <v>9.0324733825588019</v>
      </c>
      <c r="EI47" s="4">
        <f t="shared" si="85"/>
        <v>8.5989146601959785</v>
      </c>
      <c r="EK47" s="4">
        <f t="shared" si="86"/>
        <v>77.858162529590359</v>
      </c>
      <c r="EL47" s="4">
        <f t="shared" si="87"/>
        <v>3.0652819893539514</v>
      </c>
      <c r="EM47" s="4">
        <f t="shared" si="88"/>
        <v>0.14556985346007961</v>
      </c>
      <c r="EP47" s="4">
        <f t="shared" si="89"/>
        <v>0.14556985346007961</v>
      </c>
      <c r="EQ47" s="4">
        <f t="shared" si="90"/>
        <v>0.45143636288245065</v>
      </c>
      <c r="ER47" s="4">
        <f t="shared" si="91"/>
        <v>6.5712093846056652</v>
      </c>
      <c r="ES47" s="4">
        <f t="shared" si="92"/>
        <v>7.8985373382272543</v>
      </c>
      <c r="ET47" s="4">
        <f t="shared" si="93"/>
        <v>136.45433747040965</v>
      </c>
      <c r="EU47" s="4">
        <f t="shared" si="94"/>
        <v>71.4375</v>
      </c>
      <c r="EV47" s="4">
        <f t="shared" si="95"/>
        <v>2.0755210712749404E-5</v>
      </c>
      <c r="EW47" s="4">
        <f t="shared" si="96"/>
        <v>8.3250436910150292</v>
      </c>
      <c r="EX47" s="4">
        <f t="shared" si="97"/>
        <v>520.81331120281709</v>
      </c>
      <c r="EY47" s="4">
        <f t="shared" si="98"/>
        <v>136.45433747040965</v>
      </c>
      <c r="EZ47" s="4">
        <f t="shared" si="99"/>
        <v>71.437499999999986</v>
      </c>
      <c r="FB47" s="4">
        <f t="shared" si="100"/>
        <v>0</v>
      </c>
      <c r="FG47" s="23"/>
      <c r="FH47" s="23"/>
      <c r="FI47" s="23"/>
      <c r="FJ47" s="23"/>
      <c r="FK47" s="23"/>
      <c r="FL47" s="23"/>
      <c r="FM47" s="23"/>
      <c r="FN47" s="23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customHeight="1" x14ac:dyDescent="0.3">
      <c r="A48" s="25">
        <v>30</v>
      </c>
      <c r="B48" s="26" t="s">
        <v>81</v>
      </c>
      <c r="C48" s="26"/>
      <c r="D48" s="26" t="s">
        <v>82</v>
      </c>
      <c r="E48" s="26"/>
      <c r="F48" s="7" t="s">
        <v>107</v>
      </c>
      <c r="G48" s="28">
        <f t="shared" si="105"/>
        <v>517.5</v>
      </c>
      <c r="H48" s="7">
        <f t="shared" si="128"/>
        <v>285.75</v>
      </c>
      <c r="I48" s="7">
        <f t="shared" si="123"/>
        <v>285.75</v>
      </c>
      <c r="J48" s="7">
        <v>34.659999999999997</v>
      </c>
      <c r="K48" s="7">
        <v>25.4</v>
      </c>
      <c r="L48" s="7">
        <f t="shared" si="106"/>
        <v>11.25</v>
      </c>
      <c r="M48" s="7">
        <f t="shared" si="107"/>
        <v>11.25</v>
      </c>
      <c r="N48" s="7">
        <v>229</v>
      </c>
      <c r="O48" s="7">
        <f t="shared" si="108"/>
        <v>101.8</v>
      </c>
      <c r="P48" s="7">
        <v>305</v>
      </c>
      <c r="Q48" s="7">
        <v>0</v>
      </c>
      <c r="R48" s="7">
        <v>1</v>
      </c>
      <c r="S48" s="7">
        <v>79.319999999999993</v>
      </c>
      <c r="T48" s="7">
        <f t="shared" si="42"/>
        <v>3.6228346456692915</v>
      </c>
      <c r="U48" s="28">
        <f t="shared" si="109"/>
        <v>3.6228346456692915</v>
      </c>
      <c r="V48" s="28">
        <f t="shared" si="110"/>
        <v>8.3959536742577185</v>
      </c>
      <c r="W48" s="7">
        <f t="shared" si="43"/>
        <v>8.3959536742577185</v>
      </c>
      <c r="X48" s="7">
        <f t="shared" si="44"/>
        <v>9.3959536742577185</v>
      </c>
      <c r="Y48" s="7">
        <f t="shared" si="45"/>
        <v>77.858162529590359</v>
      </c>
      <c r="Z48" s="7"/>
      <c r="AA48" s="7"/>
      <c r="AB48" s="7">
        <f>267.24/(PI()/4*K48^2)*1000</f>
        <v>527.40488550905957</v>
      </c>
      <c r="AC48" s="7"/>
      <c r="AD48" s="7"/>
      <c r="AE48" s="7">
        <v>9.5</v>
      </c>
      <c r="AF48" s="7">
        <v>5</v>
      </c>
      <c r="AG48" s="7">
        <v>64</v>
      </c>
      <c r="AH48" s="7">
        <v>5</v>
      </c>
      <c r="AI48" s="7"/>
      <c r="AJ48" s="7"/>
      <c r="AK48" s="4">
        <f t="shared" si="125"/>
        <v>285.75</v>
      </c>
      <c r="AL48" s="4">
        <f t="shared" si="111"/>
        <v>0.16224159109497918</v>
      </c>
      <c r="AM48" s="25">
        <f t="shared" si="112"/>
        <v>561.22411424012159</v>
      </c>
      <c r="AN48" s="4">
        <f t="shared" si="113"/>
        <v>0.76440594925634286</v>
      </c>
      <c r="AO48" s="4">
        <v>1.25</v>
      </c>
      <c r="AP48" s="25">
        <f t="shared" si="114"/>
        <v>5</v>
      </c>
      <c r="AQ48" s="38">
        <f t="shared" si="115"/>
        <v>435.01336067010908</v>
      </c>
      <c r="AR48" s="38">
        <f t="shared" si="116"/>
        <v>435.01336067010908</v>
      </c>
      <c r="AT48" s="38">
        <f t="shared" si="46"/>
        <v>435.01336067010885</v>
      </c>
      <c r="AU48" s="3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38">
        <f t="shared" si="117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36">
        <f t="shared" si="53"/>
        <v>2.2250000000000001</v>
      </c>
      <c r="BF48" s="36">
        <f t="shared" si="54"/>
        <v>523.9674226514469</v>
      </c>
      <c r="BK48" s="4">
        <f t="shared" si="55"/>
        <v>101.8</v>
      </c>
      <c r="BL48" s="4">
        <f t="shared" si="56"/>
        <v>79.319999999999993</v>
      </c>
      <c r="BM48" s="4">
        <f t="shared" si="57"/>
        <v>101.8</v>
      </c>
      <c r="BN48" s="4">
        <f t="shared" si="58"/>
        <v>92.02</v>
      </c>
      <c r="BO48" s="4">
        <f t="shared" si="59"/>
        <v>1.0283408976298538</v>
      </c>
      <c r="BP48" s="25">
        <f t="shared" si="118"/>
        <v>4</v>
      </c>
      <c r="BR48" s="4">
        <f t="shared" si="60"/>
        <v>101.8</v>
      </c>
      <c r="BV48" s="9"/>
      <c r="BX48" s="9"/>
      <c r="BY48" s="9"/>
      <c r="BZ48" s="9">
        <f t="shared" si="61"/>
        <v>101.8</v>
      </c>
      <c r="CA48" s="9">
        <f t="shared" si="62"/>
        <v>101.8</v>
      </c>
      <c r="CB48" s="9">
        <f t="shared" si="63"/>
        <v>2.001967536137395</v>
      </c>
      <c r="CC48" s="9">
        <v>20</v>
      </c>
      <c r="CD48" s="9">
        <f t="shared" si="129"/>
        <v>0.05</v>
      </c>
      <c r="CE48" s="9">
        <f t="shared" si="65"/>
        <v>0.8</v>
      </c>
      <c r="CF48" s="9">
        <f t="shared" si="66"/>
        <v>0.99524931562137331</v>
      </c>
      <c r="CG48" s="9">
        <f t="shared" si="67"/>
        <v>0.97375</v>
      </c>
      <c r="CH48" s="9">
        <f t="shared" si="68"/>
        <v>1.9969246679255115</v>
      </c>
      <c r="CI48" s="9">
        <f t="shared" si="69"/>
        <v>4.9923116698137786</v>
      </c>
      <c r="CJ48" s="9">
        <v>1</v>
      </c>
      <c r="CK48" s="9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38">
        <f t="shared" si="119"/>
        <v>527.40488550905957</v>
      </c>
      <c r="DS48" s="4">
        <f t="shared" si="79"/>
        <v>1</v>
      </c>
      <c r="DU48" s="4">
        <f t="shared" si="120"/>
        <v>435.01336067010885</v>
      </c>
      <c r="DY48" s="4">
        <f t="shared" si="80"/>
        <v>0.85</v>
      </c>
      <c r="DZ48" s="4">
        <f t="shared" si="81"/>
        <v>0.7</v>
      </c>
      <c r="EA48" s="4">
        <f t="shared" si="82"/>
        <v>0.7</v>
      </c>
      <c r="EB48" s="4">
        <f t="shared" si="83"/>
        <v>0.7</v>
      </c>
      <c r="ED48" s="4">
        <f t="shared" si="121"/>
        <v>527.40488550905957</v>
      </c>
      <c r="EE48" s="25">
        <f t="shared" si="122"/>
        <v>417.52248511700668</v>
      </c>
      <c r="EH48" s="4">
        <f t="shared" si="84"/>
        <v>9.0324733825588019</v>
      </c>
      <c r="EI48" s="4">
        <f t="shared" si="85"/>
        <v>8.5989146601959785</v>
      </c>
      <c r="EK48" s="4">
        <f t="shared" si="86"/>
        <v>77.858162529590359</v>
      </c>
      <c r="EL48" s="4">
        <f t="shared" si="87"/>
        <v>3.0652819893539514</v>
      </c>
      <c r="EM48" s="4">
        <f t="shared" si="88"/>
        <v>0.14578893890207673</v>
      </c>
      <c r="EP48" s="4">
        <f t="shared" si="89"/>
        <v>0.14578893890207673</v>
      </c>
      <c r="EQ48" s="4">
        <f t="shared" si="90"/>
        <v>0.45211578333074282</v>
      </c>
      <c r="ER48" s="4">
        <f t="shared" si="91"/>
        <v>6.5751635187518467</v>
      </c>
      <c r="ES48" s="4">
        <f t="shared" si="92"/>
        <v>7.9001808794428525</v>
      </c>
      <c r="ET48" s="4">
        <f t="shared" si="93"/>
        <v>136.45433747040965</v>
      </c>
      <c r="EU48" s="4">
        <f t="shared" si="94"/>
        <v>71.4375</v>
      </c>
      <c r="EV48" s="4">
        <f t="shared" si="95"/>
        <v>2.0755210712749404E-5</v>
      </c>
      <c r="EW48" s="4">
        <f t="shared" si="96"/>
        <v>8.3248468099870543</v>
      </c>
      <c r="EX48" s="4">
        <f t="shared" si="97"/>
        <v>527.40488550905957</v>
      </c>
      <c r="EY48" s="4">
        <f t="shared" si="98"/>
        <v>136.45433747040965</v>
      </c>
      <c r="EZ48" s="4">
        <f t="shared" si="99"/>
        <v>71.437499999999986</v>
      </c>
      <c r="FB48" s="4">
        <f t="shared" si="100"/>
        <v>0</v>
      </c>
      <c r="FG48" s="23"/>
      <c r="FH48" s="23"/>
      <c r="FI48" s="23"/>
      <c r="FJ48" s="23"/>
      <c r="FK48" s="23"/>
      <c r="FL48" s="23"/>
      <c r="FM48" s="23"/>
      <c r="FN48" s="23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customHeight="1" x14ac:dyDescent="0.3">
      <c r="A49" s="25">
        <v>31</v>
      </c>
      <c r="B49" s="26" t="s">
        <v>81</v>
      </c>
      <c r="C49" s="26"/>
      <c r="D49" s="26" t="s">
        <v>82</v>
      </c>
      <c r="E49" s="26"/>
      <c r="F49" s="31" t="s">
        <v>111</v>
      </c>
      <c r="G49" s="28">
        <f t="shared" si="105"/>
        <v>517.5</v>
      </c>
      <c r="H49" s="7">
        <f t="shared" si="128"/>
        <v>285.75</v>
      </c>
      <c r="I49" s="7">
        <f t="shared" si="123"/>
        <v>285.75</v>
      </c>
      <c r="J49" s="7">
        <v>34.659999999999997</v>
      </c>
      <c r="K49" s="7">
        <v>25.4</v>
      </c>
      <c r="L49" s="7">
        <f t="shared" si="106"/>
        <v>11.25</v>
      </c>
      <c r="M49" s="7">
        <f t="shared" si="107"/>
        <v>11.25</v>
      </c>
      <c r="N49" s="7">
        <v>229</v>
      </c>
      <c r="O49" s="7">
        <f t="shared" si="108"/>
        <v>101.8</v>
      </c>
      <c r="P49" s="7">
        <v>305</v>
      </c>
      <c r="Q49" s="7">
        <v>0</v>
      </c>
      <c r="R49" s="7">
        <v>1</v>
      </c>
      <c r="S49" s="7">
        <v>49.56</v>
      </c>
      <c r="T49" s="7">
        <f t="shared" si="42"/>
        <v>2.451181102362205</v>
      </c>
      <c r="U49" s="28">
        <f t="shared" si="109"/>
        <v>2.451181102362205</v>
      </c>
      <c r="V49" s="28">
        <f t="shared" si="110"/>
        <v>8.3959536742577185</v>
      </c>
      <c r="W49" s="7">
        <f t="shared" si="43"/>
        <v>8.3959536742577185</v>
      </c>
      <c r="X49" s="7">
        <f t="shared" si="44"/>
        <v>9.3959536742577185</v>
      </c>
      <c r="Y49" s="7">
        <f t="shared" si="45"/>
        <v>77.858162529590359</v>
      </c>
      <c r="Z49" s="7"/>
      <c r="AA49" s="7"/>
      <c r="AB49" s="7">
        <f>248.64/(PI()/4*K49^2)*1000</f>
        <v>490.69731601920591</v>
      </c>
      <c r="AC49" s="7"/>
      <c r="AD49" s="7"/>
      <c r="AE49" s="7">
        <v>9.5</v>
      </c>
      <c r="AF49" s="7">
        <v>5</v>
      </c>
      <c r="AG49" s="7">
        <v>64</v>
      </c>
      <c r="AH49" s="7">
        <v>5</v>
      </c>
      <c r="AI49" s="7"/>
      <c r="AJ49" s="7"/>
      <c r="AK49" s="4">
        <f t="shared" si="125"/>
        <v>285.75</v>
      </c>
      <c r="AL49" s="4">
        <f t="shared" si="111"/>
        <v>0.15296788300023786</v>
      </c>
      <c r="AM49" s="25">
        <f t="shared" si="112"/>
        <v>561.22411424012159</v>
      </c>
      <c r="AN49" s="4">
        <f t="shared" si="113"/>
        <v>0.74357655293088354</v>
      </c>
      <c r="AO49" s="4">
        <v>1.25</v>
      </c>
      <c r="AP49" s="25">
        <f t="shared" si="114"/>
        <v>5</v>
      </c>
      <c r="AQ49" s="38">
        <f t="shared" si="115"/>
        <v>398.97187672270633</v>
      </c>
      <c r="AR49" s="38">
        <f t="shared" si="116"/>
        <v>398.97187672270633</v>
      </c>
      <c r="AT49" s="38">
        <f t="shared" si="46"/>
        <v>398.97187672270616</v>
      </c>
      <c r="AU49" s="3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38">
        <f t="shared" si="117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36">
        <f t="shared" si="53"/>
        <v>2.2201181102362204</v>
      </c>
      <c r="BF49" s="36">
        <f t="shared" si="54"/>
        <v>522.81778166394304</v>
      </c>
      <c r="BK49" s="4">
        <f t="shared" si="55"/>
        <v>101.8</v>
      </c>
      <c r="BL49" s="4">
        <f t="shared" si="56"/>
        <v>49.56</v>
      </c>
      <c r="BM49" s="4">
        <f t="shared" si="57"/>
        <v>101.8</v>
      </c>
      <c r="BN49" s="4">
        <f t="shared" si="58"/>
        <v>62.260000000000005</v>
      </c>
      <c r="BO49" s="4">
        <f t="shared" si="59"/>
        <v>1.1054075867635189</v>
      </c>
      <c r="BP49" s="25">
        <f t="shared" si="118"/>
        <v>4</v>
      </c>
      <c r="BR49" s="4">
        <f t="shared" si="60"/>
        <v>101.8</v>
      </c>
      <c r="BV49" s="9"/>
      <c r="BX49" s="9"/>
      <c r="BY49" s="9"/>
      <c r="BZ49" s="9">
        <f t="shared" si="61"/>
        <v>101.8</v>
      </c>
      <c r="CA49" s="9">
        <f t="shared" si="62"/>
        <v>101.8</v>
      </c>
      <c r="CB49" s="9">
        <f t="shared" si="63"/>
        <v>2.001967536137395</v>
      </c>
      <c r="CC49" s="9">
        <v>20</v>
      </c>
      <c r="CD49" s="9">
        <f t="shared" si="129"/>
        <v>0.05</v>
      </c>
      <c r="CE49" s="9">
        <f t="shared" si="65"/>
        <v>0.8</v>
      </c>
      <c r="CF49" s="9">
        <f t="shared" si="66"/>
        <v>0.99524931562137331</v>
      </c>
      <c r="CG49" s="9">
        <f t="shared" si="67"/>
        <v>0.97375</v>
      </c>
      <c r="CH49" s="9">
        <f t="shared" si="68"/>
        <v>1.9969246679255115</v>
      </c>
      <c r="CI49" s="9">
        <f t="shared" si="69"/>
        <v>4.9923116698137786</v>
      </c>
      <c r="CJ49" s="9">
        <v>1</v>
      </c>
      <c r="CK49" s="9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38">
        <f t="shared" si="119"/>
        <v>517.5</v>
      </c>
      <c r="DS49" s="4">
        <f t="shared" si="79"/>
        <v>1</v>
      </c>
      <c r="DU49" s="4">
        <f t="shared" si="120"/>
        <v>398.97187672270616</v>
      </c>
      <c r="DY49" s="4">
        <f t="shared" si="80"/>
        <v>0.85</v>
      </c>
      <c r="DZ49" s="4">
        <f t="shared" si="81"/>
        <v>0.7</v>
      </c>
      <c r="EA49" s="4">
        <f t="shared" si="82"/>
        <v>0.7</v>
      </c>
      <c r="EB49" s="4">
        <f t="shared" si="83"/>
        <v>0.7</v>
      </c>
      <c r="ED49" s="4">
        <f t="shared" si="121"/>
        <v>517.5</v>
      </c>
      <c r="EE49" s="25">
        <f t="shared" si="122"/>
        <v>406.01150571825815</v>
      </c>
      <c r="EH49" s="4">
        <f t="shared" si="84"/>
        <v>9.0324733825588019</v>
      </c>
      <c r="EI49" s="4">
        <f t="shared" si="85"/>
        <v>8.5989146601959785</v>
      </c>
      <c r="EK49" s="4">
        <f t="shared" si="86"/>
        <v>77.858162529590359</v>
      </c>
      <c r="EL49" s="4">
        <f t="shared" si="87"/>
        <v>3.0652819893539514</v>
      </c>
      <c r="EM49" s="4">
        <f t="shared" si="88"/>
        <v>0.1337101151780101</v>
      </c>
      <c r="EP49" s="4">
        <f t="shared" si="89"/>
        <v>0.1337101151780101</v>
      </c>
      <c r="EQ49" s="4">
        <f t="shared" si="90"/>
        <v>0.4146573390149611</v>
      </c>
      <c r="ER49" s="4">
        <f t="shared" si="91"/>
        <v>6.3515896592037286</v>
      </c>
      <c r="ES49" s="4">
        <f t="shared" si="92"/>
        <v>7.8082958220823215</v>
      </c>
      <c r="ET49" s="4">
        <f t="shared" si="93"/>
        <v>136.45433747040965</v>
      </c>
      <c r="EU49" s="4">
        <f t="shared" si="94"/>
        <v>71.4375</v>
      </c>
      <c r="EV49" s="4">
        <f t="shared" si="95"/>
        <v>2.0755210712749404E-5</v>
      </c>
      <c r="EW49" s="4">
        <f t="shared" si="96"/>
        <v>8.3359261239969022</v>
      </c>
      <c r="EX49" s="4">
        <f t="shared" si="97"/>
        <v>517.5</v>
      </c>
      <c r="EY49" s="4">
        <f t="shared" si="98"/>
        <v>136.45433747040965</v>
      </c>
      <c r="EZ49" s="4">
        <f t="shared" si="99"/>
        <v>71.437499999999986</v>
      </c>
      <c r="FB49" s="4">
        <f t="shared" si="100"/>
        <v>0</v>
      </c>
      <c r="FG49" s="23"/>
      <c r="FH49" s="23"/>
      <c r="FI49" s="23"/>
      <c r="FJ49" s="23"/>
      <c r="FK49" s="23"/>
      <c r="FL49" s="23"/>
      <c r="FM49" s="23"/>
      <c r="FN49" s="23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customHeight="1" x14ac:dyDescent="0.3">
      <c r="A50" s="25">
        <v>32</v>
      </c>
      <c r="B50" s="26" t="s">
        <v>81</v>
      </c>
      <c r="C50" s="26"/>
      <c r="D50" s="26" t="s">
        <v>82</v>
      </c>
      <c r="E50" s="26"/>
      <c r="F50" s="7" t="s">
        <v>108</v>
      </c>
      <c r="G50" s="28">
        <f t="shared" si="105"/>
        <v>517.5</v>
      </c>
      <c r="H50" s="7">
        <f t="shared" si="128"/>
        <v>285.75</v>
      </c>
      <c r="I50" s="7">
        <f t="shared" si="123"/>
        <v>285.75</v>
      </c>
      <c r="J50" s="7">
        <v>34.659999999999997</v>
      </c>
      <c r="K50" s="7">
        <v>25.4</v>
      </c>
      <c r="L50" s="7">
        <f t="shared" si="106"/>
        <v>11.25</v>
      </c>
      <c r="M50" s="7">
        <f t="shared" si="107"/>
        <v>11.25</v>
      </c>
      <c r="N50" s="7">
        <v>229</v>
      </c>
      <c r="O50" s="7">
        <f t="shared" si="108"/>
        <v>101.8</v>
      </c>
      <c r="P50" s="7">
        <v>305</v>
      </c>
      <c r="Q50" s="7">
        <v>0</v>
      </c>
      <c r="R50" s="7">
        <v>1</v>
      </c>
      <c r="S50" s="7">
        <v>55.37</v>
      </c>
      <c r="T50" s="7">
        <f t="shared" si="42"/>
        <v>2.6799212598425197</v>
      </c>
      <c r="U50" s="28">
        <f t="shared" si="109"/>
        <v>2.6799212598425197</v>
      </c>
      <c r="V50" s="28">
        <f t="shared" si="110"/>
        <v>8.3959536742577185</v>
      </c>
      <c r="W50" s="7">
        <f t="shared" si="43"/>
        <v>8.3959536742577185</v>
      </c>
      <c r="X50" s="7">
        <f t="shared" si="44"/>
        <v>9.3959536742577185</v>
      </c>
      <c r="Y50" s="7">
        <f t="shared" si="45"/>
        <v>77.858162529590359</v>
      </c>
      <c r="Z50" s="7"/>
      <c r="AA50" s="7"/>
      <c r="AB50" s="7">
        <f>254.51/(PI()/4*K50^2)*1000</f>
        <v>502.28190918616514</v>
      </c>
      <c r="AC50" s="7"/>
      <c r="AD50" s="7"/>
      <c r="AE50" s="7">
        <v>9.5</v>
      </c>
      <c r="AF50" s="7">
        <v>5</v>
      </c>
      <c r="AG50" s="7">
        <v>64</v>
      </c>
      <c r="AH50" s="7">
        <v>5</v>
      </c>
      <c r="AI50" s="7"/>
      <c r="AJ50" s="7"/>
      <c r="AK50" s="4">
        <f t="shared" si="125"/>
        <v>285.75</v>
      </c>
      <c r="AL50" s="4">
        <f t="shared" si="111"/>
        <v>0.15477837507115344</v>
      </c>
      <c r="AM50" s="25">
        <f t="shared" si="112"/>
        <v>561.22411424012159</v>
      </c>
      <c r="AN50" s="4">
        <f t="shared" si="113"/>
        <v>0.74764304461942255</v>
      </c>
      <c r="AO50" s="4">
        <v>1.25</v>
      </c>
      <c r="AP50" s="25">
        <f t="shared" si="114"/>
        <v>5</v>
      </c>
      <c r="AQ50" s="38">
        <f t="shared" si="115"/>
        <v>405.90174731467357</v>
      </c>
      <c r="AR50" s="38">
        <f t="shared" si="116"/>
        <v>405.90174731467357</v>
      </c>
      <c r="AT50" s="38">
        <f t="shared" ref="AT50:AT92" si="130">AP50* (J50^0.5/AK50^0.5)/(PI()/4*K50^2)/R50/0.72 *(0.7+(MIN(O50,S50)+0.5*K50)/5/H50) *(N50*MIN(S50+0.5*K50+1.5*H50,508))</f>
        <v>405.90174731467334</v>
      </c>
      <c r="AU50" s="3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38">
        <f t="shared" si="117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36">
        <f t="shared" si="53"/>
        <v>2.2250000000000001</v>
      </c>
      <c r="BF50" s="36">
        <f t="shared" si="54"/>
        <v>523.9674226514469</v>
      </c>
      <c r="BK50" s="4">
        <f t="shared" si="55"/>
        <v>101.8</v>
      </c>
      <c r="BL50" s="4">
        <f t="shared" si="56"/>
        <v>55.37</v>
      </c>
      <c r="BM50" s="4">
        <f t="shared" si="57"/>
        <v>101.8</v>
      </c>
      <c r="BN50" s="4">
        <f t="shared" si="58"/>
        <v>68.069999999999993</v>
      </c>
      <c r="BO50" s="4">
        <f t="shared" si="59"/>
        <v>1.0838540726024923</v>
      </c>
      <c r="BP50" s="25">
        <f t="shared" si="118"/>
        <v>4</v>
      </c>
      <c r="BR50" s="4">
        <f t="shared" si="60"/>
        <v>101.8</v>
      </c>
      <c r="BV50" s="9"/>
      <c r="BX50" s="9"/>
      <c r="BY50" s="9"/>
      <c r="BZ50" s="9">
        <f t="shared" si="61"/>
        <v>101.8</v>
      </c>
      <c r="CA50" s="9">
        <f t="shared" si="62"/>
        <v>101.8</v>
      </c>
      <c r="CB50" s="9">
        <f t="shared" si="63"/>
        <v>2.001967536137395</v>
      </c>
      <c r="CC50" s="9">
        <v>20</v>
      </c>
      <c r="CD50" s="9">
        <f t="shared" si="129"/>
        <v>0.05</v>
      </c>
      <c r="CE50" s="9">
        <f t="shared" si="65"/>
        <v>0.8</v>
      </c>
      <c r="CF50" s="9">
        <f t="shared" si="66"/>
        <v>0.99524931562137331</v>
      </c>
      <c r="CG50" s="9">
        <f t="shared" si="67"/>
        <v>0.97375</v>
      </c>
      <c r="CH50" s="9">
        <f t="shared" si="68"/>
        <v>1.9969246679255115</v>
      </c>
      <c r="CI50" s="9">
        <f t="shared" si="69"/>
        <v>4.9923116698137786</v>
      </c>
      <c r="CJ50" s="9">
        <v>1</v>
      </c>
      <c r="CK50" s="9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38">
        <f t="shared" si="119"/>
        <v>517.5</v>
      </c>
      <c r="DS50" s="4">
        <f t="shared" si="79"/>
        <v>1</v>
      </c>
      <c r="DU50" s="4">
        <f t="shared" si="120"/>
        <v>405.90174731467334</v>
      </c>
      <c r="DY50" s="4">
        <f t="shared" si="80"/>
        <v>0.85</v>
      </c>
      <c r="DZ50" s="4">
        <f t="shared" si="81"/>
        <v>0.7</v>
      </c>
      <c r="EA50" s="4">
        <f t="shared" si="82"/>
        <v>0.7</v>
      </c>
      <c r="EB50" s="4">
        <f t="shared" si="83"/>
        <v>0.7</v>
      </c>
      <c r="ED50" s="4">
        <f t="shared" si="121"/>
        <v>517.5</v>
      </c>
      <c r="EE50" s="25">
        <f t="shared" si="122"/>
        <v>408.25877689791969</v>
      </c>
      <c r="EH50" s="4">
        <f t="shared" si="84"/>
        <v>9.0324733825588019</v>
      </c>
      <c r="EI50" s="4">
        <f t="shared" si="85"/>
        <v>8.5989146601959785</v>
      </c>
      <c r="EK50" s="4">
        <f t="shared" si="86"/>
        <v>77.858162529590359</v>
      </c>
      <c r="EL50" s="4">
        <f t="shared" si="87"/>
        <v>3.0652819893539514</v>
      </c>
      <c r="EM50" s="4">
        <f t="shared" si="88"/>
        <v>0.13603256908787462</v>
      </c>
      <c r="EP50" s="4">
        <f t="shared" si="89"/>
        <v>0.13603256908787462</v>
      </c>
      <c r="EQ50" s="4">
        <f t="shared" si="90"/>
        <v>0.42185965543632703</v>
      </c>
      <c r="ER50" s="4">
        <f t="shared" si="91"/>
        <v>6.3954909375802735</v>
      </c>
      <c r="ES50" s="4">
        <f t="shared" si="92"/>
        <v>7.8261691483847384</v>
      </c>
      <c r="ET50" s="4">
        <f t="shared" si="93"/>
        <v>136.45433747040965</v>
      </c>
      <c r="EU50" s="4">
        <f t="shared" si="94"/>
        <v>71.4375</v>
      </c>
      <c r="EV50" s="4">
        <f t="shared" si="95"/>
        <v>2.0755210712749404E-5</v>
      </c>
      <c r="EW50" s="4">
        <f t="shared" si="96"/>
        <v>8.3337591242856508</v>
      </c>
      <c r="EX50" s="4">
        <f t="shared" si="97"/>
        <v>517.5</v>
      </c>
      <c r="EY50" s="4">
        <f t="shared" si="98"/>
        <v>136.45433747040965</v>
      </c>
      <c r="EZ50" s="4">
        <f t="shared" si="99"/>
        <v>71.437499999999986</v>
      </c>
      <c r="FB50" s="4">
        <f t="shared" si="100"/>
        <v>0</v>
      </c>
      <c r="FG50" s="23"/>
      <c r="FH50" s="23"/>
      <c r="FI50" s="23"/>
      <c r="FJ50" s="23"/>
      <c r="FK50" s="23"/>
      <c r="FL50" s="23"/>
      <c r="FM50" s="23"/>
      <c r="FN50" s="23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customHeight="1" x14ac:dyDescent="0.3">
      <c r="A51" s="25">
        <v>33</v>
      </c>
      <c r="B51" s="26" t="s">
        <v>81</v>
      </c>
      <c r="C51" s="26"/>
      <c r="D51" s="26" t="s">
        <v>82</v>
      </c>
      <c r="E51" s="26"/>
      <c r="F51" s="7" t="s">
        <v>109</v>
      </c>
      <c r="G51" s="28">
        <f t="shared" si="105"/>
        <v>517.5</v>
      </c>
      <c r="H51" s="7">
        <f t="shared" si="128"/>
        <v>285.75</v>
      </c>
      <c r="I51" s="7">
        <f t="shared" si="123"/>
        <v>285.75</v>
      </c>
      <c r="J51" s="7">
        <v>34.659999999999997</v>
      </c>
      <c r="K51" s="7">
        <v>25.4</v>
      </c>
      <c r="L51" s="7">
        <f t="shared" si="106"/>
        <v>11.25</v>
      </c>
      <c r="M51" s="7">
        <f t="shared" si="107"/>
        <v>11.25</v>
      </c>
      <c r="N51" s="7">
        <v>229</v>
      </c>
      <c r="O51" s="7">
        <f t="shared" si="108"/>
        <v>101.8</v>
      </c>
      <c r="P51" s="7">
        <v>305</v>
      </c>
      <c r="Q51" s="7">
        <v>0</v>
      </c>
      <c r="R51" s="7">
        <v>1</v>
      </c>
      <c r="S51" s="7">
        <v>51.69</v>
      </c>
      <c r="T51" s="7">
        <f t="shared" si="42"/>
        <v>2.5350393700787404</v>
      </c>
      <c r="U51" s="28">
        <f t="shared" si="109"/>
        <v>2.5350393700787404</v>
      </c>
      <c r="V51" s="28">
        <f t="shared" si="110"/>
        <v>8.3959536742577185</v>
      </c>
      <c r="W51" s="7">
        <f t="shared" si="43"/>
        <v>8.3959536742577185</v>
      </c>
      <c r="X51" s="7">
        <f t="shared" si="44"/>
        <v>9.3959536742577185</v>
      </c>
      <c r="Y51" s="7">
        <f t="shared" si="45"/>
        <v>77.858162529590359</v>
      </c>
      <c r="Z51" s="7"/>
      <c r="AA51" s="7"/>
      <c r="AB51" s="7">
        <f>265.15/(PI()/4*K51^2)*1000</f>
        <v>523.28021775455443</v>
      </c>
      <c r="AC51" s="7"/>
      <c r="AD51" s="7"/>
      <c r="AE51" s="7">
        <v>9.5</v>
      </c>
      <c r="AF51" s="7">
        <v>5</v>
      </c>
      <c r="AG51" s="7">
        <v>64</v>
      </c>
      <c r="AH51" s="7">
        <v>5</v>
      </c>
      <c r="AI51" s="7"/>
      <c r="AJ51" s="7"/>
      <c r="AK51" s="4">
        <f t="shared" si="125"/>
        <v>285.75</v>
      </c>
      <c r="AL51" s="4">
        <f t="shared" si="111"/>
        <v>0.15363162622072843</v>
      </c>
      <c r="AM51" s="25">
        <f t="shared" si="112"/>
        <v>561.22411424012159</v>
      </c>
      <c r="AN51" s="4">
        <f t="shared" si="113"/>
        <v>0.7450673665791776</v>
      </c>
      <c r="AO51" s="4">
        <v>1.25</v>
      </c>
      <c r="AP51" s="25">
        <f t="shared" si="114"/>
        <v>5</v>
      </c>
      <c r="AQ51" s="38">
        <f t="shared" si="115"/>
        <v>401.50643504965132</v>
      </c>
      <c r="AR51" s="38">
        <f t="shared" si="116"/>
        <v>401.50643504965132</v>
      </c>
      <c r="AT51" s="38">
        <f t="shared" si="130"/>
        <v>401.50643504965109</v>
      </c>
      <c r="AU51" s="3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38">
        <f t="shared" si="117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36">
        <f t="shared" si="53"/>
        <v>2.2250000000000001</v>
      </c>
      <c r="BF51" s="36">
        <f t="shared" si="54"/>
        <v>523.9674226514469</v>
      </c>
      <c r="BK51" s="4">
        <f t="shared" si="55"/>
        <v>101.8</v>
      </c>
      <c r="BL51" s="4">
        <f t="shared" si="56"/>
        <v>51.69</v>
      </c>
      <c r="BM51" s="4">
        <f t="shared" si="57"/>
        <v>101.8</v>
      </c>
      <c r="BN51" s="4">
        <f t="shared" si="58"/>
        <v>64.39</v>
      </c>
      <c r="BO51" s="4">
        <f t="shared" si="59"/>
        <v>1.0969433159218418</v>
      </c>
      <c r="BP51" s="25">
        <f t="shared" si="118"/>
        <v>4</v>
      </c>
      <c r="BR51" s="4">
        <f t="shared" si="60"/>
        <v>101.8</v>
      </c>
      <c r="BV51" s="9"/>
      <c r="BX51" s="9"/>
      <c r="BY51" s="9"/>
      <c r="BZ51" s="9">
        <f t="shared" si="61"/>
        <v>101.8</v>
      </c>
      <c r="CA51" s="9">
        <f t="shared" si="62"/>
        <v>101.8</v>
      </c>
      <c r="CB51" s="9">
        <f t="shared" si="63"/>
        <v>2.001967536137395</v>
      </c>
      <c r="CC51" s="9">
        <v>20</v>
      </c>
      <c r="CD51" s="9">
        <f t="shared" si="129"/>
        <v>0.05</v>
      </c>
      <c r="CE51" s="9">
        <f t="shared" si="65"/>
        <v>0.8</v>
      </c>
      <c r="CF51" s="9">
        <f t="shared" si="66"/>
        <v>0.99524931562137331</v>
      </c>
      <c r="CG51" s="9">
        <f t="shared" si="67"/>
        <v>0.97375</v>
      </c>
      <c r="CH51" s="9">
        <f t="shared" si="68"/>
        <v>1.9969246679255115</v>
      </c>
      <c r="CI51" s="9">
        <f t="shared" si="69"/>
        <v>4.9923116698137786</v>
      </c>
      <c r="CJ51" s="9">
        <v>1</v>
      </c>
      <c r="CK51" s="9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38">
        <f t="shared" si="119"/>
        <v>523.28021775455443</v>
      </c>
      <c r="DS51" s="4">
        <f t="shared" si="79"/>
        <v>1</v>
      </c>
      <c r="DU51" s="4">
        <f t="shared" si="120"/>
        <v>401.50643504965109</v>
      </c>
      <c r="DY51" s="4">
        <f t="shared" si="80"/>
        <v>0.85</v>
      </c>
      <c r="DZ51" s="4">
        <f t="shared" si="81"/>
        <v>0.7</v>
      </c>
      <c r="EA51" s="4">
        <f t="shared" si="82"/>
        <v>0.7</v>
      </c>
      <c r="EB51" s="4">
        <f t="shared" si="83"/>
        <v>0.7</v>
      </c>
      <c r="ED51" s="4">
        <f t="shared" si="121"/>
        <v>523.28021775455443</v>
      </c>
      <c r="EE51" s="25">
        <f t="shared" si="122"/>
        <v>406.83537621957981</v>
      </c>
      <c r="EH51" s="4">
        <f t="shared" si="84"/>
        <v>9.0324733825588019</v>
      </c>
      <c r="EI51" s="4">
        <f t="shared" si="85"/>
        <v>8.5989146601959785</v>
      </c>
      <c r="EK51" s="4">
        <f t="shared" si="86"/>
        <v>77.858162529590359</v>
      </c>
      <c r="EL51" s="4">
        <f t="shared" si="87"/>
        <v>3.0652819893539514</v>
      </c>
      <c r="EM51" s="4">
        <f t="shared" si="88"/>
        <v>0.13455953867273107</v>
      </c>
      <c r="EP51" s="4">
        <f t="shared" si="89"/>
        <v>0.13455953867273107</v>
      </c>
      <c r="EQ51" s="4">
        <f t="shared" si="90"/>
        <v>0.41729154275900004</v>
      </c>
      <c r="ER51" s="4">
        <f t="shared" si="91"/>
        <v>6.3676989623094746</v>
      </c>
      <c r="ES51" s="4">
        <f t="shared" si="92"/>
        <v>7.8148446026109291</v>
      </c>
      <c r="ET51" s="4">
        <f t="shared" si="93"/>
        <v>136.45433747040965</v>
      </c>
      <c r="EU51" s="4">
        <f t="shared" si="94"/>
        <v>71.4375</v>
      </c>
      <c r="EV51" s="4">
        <f t="shared" si="95"/>
        <v>2.0755210712749404E-5</v>
      </c>
      <c r="EW51" s="4">
        <f t="shared" si="96"/>
        <v>8.3351314478706442</v>
      </c>
      <c r="EX51" s="4">
        <f t="shared" si="97"/>
        <v>523.28021775455443</v>
      </c>
      <c r="EY51" s="4">
        <f t="shared" si="98"/>
        <v>136.45433747040965</v>
      </c>
      <c r="EZ51" s="4">
        <f t="shared" si="99"/>
        <v>71.437499999999986</v>
      </c>
      <c r="FB51" s="4">
        <f t="shared" si="100"/>
        <v>0</v>
      </c>
      <c r="FG51" s="23"/>
      <c r="FH51" s="23"/>
      <c r="FI51" s="23"/>
      <c r="FJ51" s="23"/>
      <c r="FK51" s="23"/>
      <c r="FL51" s="23"/>
      <c r="FM51" s="23"/>
      <c r="FN51" s="23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customHeight="1" x14ac:dyDescent="0.3">
      <c r="A52" s="25">
        <v>34</v>
      </c>
      <c r="B52" s="20" t="s">
        <v>54</v>
      </c>
      <c r="C52" s="20">
        <v>2006</v>
      </c>
      <c r="D52" s="24" t="s">
        <v>55</v>
      </c>
      <c r="E52" s="24"/>
      <c r="F52" s="7" t="s">
        <v>77</v>
      </c>
      <c r="G52" s="7">
        <v>472</v>
      </c>
      <c r="H52" s="7">
        <f>10*25.4</f>
        <v>254</v>
      </c>
      <c r="I52" s="7">
        <f t="shared" ref="I52:I115" si="131">K52*M52</f>
        <v>177.79999999999998</v>
      </c>
      <c r="J52" s="7">
        <v>27</v>
      </c>
      <c r="K52" s="7">
        <v>25.4</v>
      </c>
      <c r="L52" s="7">
        <f>H52/K52</f>
        <v>10</v>
      </c>
      <c r="M52" s="7">
        <v>7</v>
      </c>
      <c r="N52" s="7">
        <f t="shared" ref="N52:N78" si="132">6*25.4</f>
        <v>152.39999999999998</v>
      </c>
      <c r="O52" s="7">
        <f t="shared" si="108"/>
        <v>63.499999999999986</v>
      </c>
      <c r="P52" s="7">
        <f t="shared" ref="P52:P103" si="133">2*25.4</f>
        <v>50.8</v>
      </c>
      <c r="Q52" s="7">
        <v>0</v>
      </c>
      <c r="R52" s="7">
        <v>1</v>
      </c>
      <c r="S52" s="7">
        <f t="shared" ref="S52:S93" si="134">4*25.4-K52/2</f>
        <v>88.899999999999991</v>
      </c>
      <c r="T52" s="7">
        <f t="shared" si="42"/>
        <v>2.9999999999999996</v>
      </c>
      <c r="U52" s="7">
        <f t="shared" ref="U52:U92" si="135">MAX(N52/2/K52, (S52+K52/2)/K52)</f>
        <v>4</v>
      </c>
      <c r="V52" s="7">
        <v>1.18</v>
      </c>
      <c r="W52" s="7">
        <f>MIN(W$16,V52)</f>
        <v>1.18</v>
      </c>
      <c r="X52" s="7">
        <f t="shared" si="44"/>
        <v>2.1799999999999997</v>
      </c>
      <c r="Y52" s="7">
        <f t="shared" si="45"/>
        <v>37.502650572992827</v>
      </c>
      <c r="Z52" s="7"/>
      <c r="AA52" s="7"/>
      <c r="AB52" s="7">
        <v>426</v>
      </c>
      <c r="AC52" s="7"/>
      <c r="AD52" s="7"/>
      <c r="AE52" s="7"/>
      <c r="AF52" s="7"/>
      <c r="AG52" s="7">
        <v>1</v>
      </c>
      <c r="AH52" s="7"/>
      <c r="AI52" s="7"/>
      <c r="AJ52" s="7"/>
      <c r="AK52" s="4">
        <f t="shared" si="125"/>
        <v>254</v>
      </c>
      <c r="AL52" s="44">
        <f>MIN(N52)*(MIN(508-S52-0.5*K52,1.5*AK52)+S52+K52/2)/(3*H52)^2</f>
        <v>0.12666666666666665</v>
      </c>
      <c r="AM52" s="25">
        <f t="shared" si="112"/>
        <v>415.1214191673746</v>
      </c>
      <c r="AN52" s="4">
        <f t="shared" si="113"/>
        <v>0.7599999999999999</v>
      </c>
      <c r="AO52" s="4">
        <v>1.25</v>
      </c>
      <c r="AP52" s="25">
        <f t="shared" si="114"/>
        <v>5</v>
      </c>
      <c r="AQ52" s="38">
        <f t="shared" si="115"/>
        <v>249.76472053237029</v>
      </c>
      <c r="AR52" s="38">
        <f t="shared" si="116"/>
        <v>249.76472053237029</v>
      </c>
      <c r="AT52" s="38">
        <f t="shared" si="130"/>
        <v>249.76472053237032</v>
      </c>
      <c r="AU52" s="38">
        <f t="shared" si="47"/>
        <v>0.99999999999999989</v>
      </c>
      <c r="AV52" s="38">
        <f t="shared" ref="AV52:AV115" si="136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38">
        <f t="shared" si="117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36">
        <f t="shared" si="53"/>
        <v>1.1000000000000001</v>
      </c>
      <c r="BF52" s="36">
        <f t="shared" si="54"/>
        <v>189.7634864772462</v>
      </c>
      <c r="BK52" s="4">
        <f>IF(R52=1,O52,MIN(O52,Q52/2+6.4))</f>
        <v>63.499999999999986</v>
      </c>
      <c r="BL52" s="4">
        <f>MIN(S52,BK52)</f>
        <v>63.499999999999986</v>
      </c>
      <c r="BM52" s="4">
        <f>MAX(S52,BK52)</f>
        <v>88.899999999999991</v>
      </c>
      <c r="BN52" s="4">
        <f>BL52+K52/2</f>
        <v>76.199999999999989</v>
      </c>
      <c r="BO52" s="4">
        <f>MIN(1.25, 0.1*BM52/BL52+0.9)</f>
        <v>1.04</v>
      </c>
      <c r="BP52" s="25">
        <f t="shared" si="118"/>
        <v>3.1199999999999997</v>
      </c>
      <c r="BR52" s="4">
        <f>IF(Q52=0,O52,MIN(Q52/2,O52))</f>
        <v>63.499999999999986</v>
      </c>
      <c r="BV52" s="9"/>
      <c r="BX52" s="9"/>
      <c r="BY52" s="9"/>
      <c r="BZ52" s="9">
        <f>IF(Q52=0,MIN(O52,P52),MIN(Q52/2,O52,P52))</f>
        <v>50.8</v>
      </c>
      <c r="CA52" s="9">
        <f>MAX(Q52/2,O52)</f>
        <v>63.499999999999986</v>
      </c>
      <c r="CB52" s="9">
        <f t="shared" si="63"/>
        <v>1.4623505735569622</v>
      </c>
      <c r="CC52" s="9">
        <v>0</v>
      </c>
      <c r="CD52" s="9">
        <f t="shared" si="129"/>
        <v>0</v>
      </c>
      <c r="CE52" s="9">
        <f t="shared" si="65"/>
        <v>0</v>
      </c>
      <c r="CF52" s="9">
        <f>MIN(1,(25/K52)^0.3)</f>
        <v>0.99524931562137331</v>
      </c>
      <c r="CG52" s="9">
        <f>IF(G52&gt;=800,0.68,IF(G52&gt;=700,0.75-(G52-700)*0.07/100,IF(G52&gt;=600,0.85-(G52-600)*0.1/100,IF(G52&gt;=500,1-(G52-500)*0.15/100,1.2-(G52-400)*0.2/100))))</f>
        <v>1.056</v>
      </c>
      <c r="CH52" s="9">
        <f t="shared" si="68"/>
        <v>1.911374255891328</v>
      </c>
      <c r="CI52" s="9">
        <f t="shared" si="69"/>
        <v>2.7950992393846952</v>
      </c>
      <c r="CJ52" s="9">
        <v>1</v>
      </c>
      <c r="CK52" s="9">
        <f t="shared" si="70"/>
        <v>245.96873306585317</v>
      </c>
      <c r="CM52" s="4">
        <f t="shared" ref="CM52:CM61" si="137">AB52/AX52</f>
        <v>2.2252728946765861</v>
      </c>
      <c r="CN52" s="4">
        <f t="shared" ref="CN52:CN61" si="138">AB52/BC52</f>
        <v>1.5056073289427092</v>
      </c>
      <c r="CO52" s="4">
        <f t="shared" ref="CO52:CO61" si="139">AB52/BF52</f>
        <v>2.2448997323364419</v>
      </c>
      <c r="CP52" s="4">
        <f t="shared" ref="CP52:CP61" si="140">AB52/CK52</f>
        <v>1.7319274474042483</v>
      </c>
      <c r="CQ52" s="4">
        <f t="shared" ref="CQ52:CQ61" si="141">AB52/DR52</f>
        <v>0.97772168955200822</v>
      </c>
      <c r="CR52" s="4">
        <f t="shared" ref="CR52:CR61" si="142">AB52/ED52</f>
        <v>1.121877261169794</v>
      </c>
      <c r="CS52" s="4">
        <f t="shared" ref="CS52:CS115" si="143">AB52/GA52</f>
        <v>2.0303364325354463</v>
      </c>
      <c r="CU52" s="4">
        <f t="shared" ref="CU52:CV61" si="144">CM52</f>
        <v>2.2252728946765861</v>
      </c>
      <c r="CV52" s="4">
        <f t="shared" si="144"/>
        <v>1.5056073289427092</v>
      </c>
      <c r="CW52" s="4">
        <f t="shared" ref="CW52:CW61" si="145">CP52</f>
        <v>1.7319274474042483</v>
      </c>
      <c r="CX52" s="4">
        <f>CS52</f>
        <v>2.0303364325354463</v>
      </c>
      <c r="CY52" s="4">
        <f t="shared" ref="CY52:CZ61" si="146">CQ52</f>
        <v>0.97772168955200822</v>
      </c>
      <c r="CZ52" s="4">
        <f t="shared" si="146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38">
        <f t="shared" si="119"/>
        <v>435.70681161342861</v>
      </c>
      <c r="DS52" s="4">
        <f t="shared" si="79"/>
        <v>1.0049791856082171</v>
      </c>
      <c r="DT52" s="4">
        <f t="shared" ref="DT52:DT115" si="147">Y52/K52</f>
        <v>1.4764823060233399</v>
      </c>
      <c r="DU52" s="4">
        <f t="shared" si="120"/>
        <v>249.76472053237032</v>
      </c>
      <c r="DY52" s="4">
        <f>IF(P52&gt;1*K52,0.85,1)</f>
        <v>0.85</v>
      </c>
      <c r="DZ52" s="4">
        <f t="shared" si="81"/>
        <v>0.85000000000000009</v>
      </c>
      <c r="EA52" s="4">
        <f t="shared" si="82"/>
        <v>1</v>
      </c>
      <c r="EB52" s="4">
        <f t="shared" si="83"/>
        <v>0.85000000000000009</v>
      </c>
      <c r="ED52" s="4">
        <f t="shared" si="121"/>
        <v>379.72068313052802</v>
      </c>
      <c r="EE52" s="25">
        <f t="shared" si="122"/>
        <v>258.22019535919065</v>
      </c>
      <c r="EG52" s="4">
        <f t="shared" ref="EG52:EG92" si="148">DY52*EB52</f>
        <v>0.72250000000000003</v>
      </c>
      <c r="EH52" s="4">
        <f t="shared" si="84"/>
        <v>6.5652823394499222</v>
      </c>
      <c r="EI52" s="4">
        <f>IF(K52&lt;22.2,1.1*5*(J52/30)^0.5,IF(K52&gt;=31.8,0.9*5*(J52/30)^0.5,1*5*(J52/30)^0.5))*BP52/2.5</f>
        <v>5.9197837798352051</v>
      </c>
      <c r="EK52" s="4">
        <f>EL52*K52</f>
        <v>37.502650572992827</v>
      </c>
      <c r="EL52" s="4">
        <f>X52^0.5</f>
        <v>1.4764823060233399</v>
      </c>
      <c r="EM52" s="4">
        <f>MIN(DU52)/(4700*J52^0.5)/W52*EK52</f>
        <v>0.32503588417846324</v>
      </c>
      <c r="EN52" s="4">
        <f>DI52</f>
        <v>254</v>
      </c>
      <c r="EO52" s="4">
        <f>EK52+ET52+EU52</f>
        <v>254</v>
      </c>
      <c r="EP52" s="4">
        <f>EM52</f>
        <v>0.32503588417846324</v>
      </c>
      <c r="EQ52" s="4">
        <f>MIN(0.999, EP52/(0.3*(J52/30)^0.5))</f>
        <v>0.999</v>
      </c>
      <c r="ER52" s="4">
        <f>EH52/1*EQ52^0.4</f>
        <v>6.5626554382598101</v>
      </c>
      <c r="ES52" s="4">
        <f>EH52/1.4*(1-EQ52^1.4)/(1-EQ52)</f>
        <v>6.5639690202656151</v>
      </c>
      <c r="ET52" s="4">
        <f>MAX(0,DI52*ET$9-EK52)</f>
        <v>152.99734942700718</v>
      </c>
      <c r="EU52" s="4">
        <f>MAX(0,DI52-EK52-ET52)</f>
        <v>63.5</v>
      </c>
      <c r="EV52" s="4">
        <f t="shared" si="95"/>
        <v>1.7472864382687078E-5</v>
      </c>
      <c r="EW52" s="4">
        <f>MAX(0.5*EH52, (1-2*EV52*(EK52*ER52+ET52*ES52))/(1/EH52+EV52*EU52))</f>
        <v>6.2330044371629034</v>
      </c>
      <c r="EX52" s="4">
        <f>MIN(4/K52*(1*ER52*EK52+ES52*EY52+EZ52*EW52)+DU52,MAX(G52,AB52))</f>
        <v>433.54809517745116</v>
      </c>
      <c r="EY52" s="4">
        <f>IF(DJ52&lt;=ET$9, MAX(0,DI52*DJ52-EK52), MAX(0,DI52*ET$9-EK52))</f>
        <v>140.29734942700716</v>
      </c>
      <c r="EZ52" s="4">
        <f>MAX(0, DI52*DJ52-EY52-EK52)</f>
        <v>0</v>
      </c>
      <c r="FB52" s="4">
        <f t="shared" si="100"/>
        <v>75.457982412160277</v>
      </c>
      <c r="FG52" s="23">
        <f>IF(CM52&lt;0.6,0.6,IF(CM52&lt;0.8,0.8,IF(CM52&lt;1,1,IF(CM52&lt;1.2,1.2,IF(CM52&lt;1.4,1.4,IF(CM52&lt;1.6,1.6,IF(CM52&lt;1.8,1.8,IF(CM52&lt;2,2,2.2))))))))</f>
        <v>2.2000000000000002</v>
      </c>
      <c r="FH52" s="23">
        <f>IF(CN52&lt;0.6,0.6,IF(CN52&lt;0.8,0.8,IF(CN52&lt;1,1,IF(CN52&lt;1.2,1.2,IF(CN52&lt;1.4,1.4,IF(CN52&lt;1.6,1.6,IF(CN52&lt;1.8,1.8,IF(CN52&lt;2,2,2.2))))))))</f>
        <v>1.6</v>
      </c>
      <c r="FI52" s="23">
        <f>IF(CS52&lt;0.6,0.6,IF(CS52&lt;0.8,0.8,IF(CS52&lt;1,1,IF(CS52&lt;1.2,1.2,IF(CS52&lt;1.4,1.4,IF(CS52&lt;1.6,1.6,IF(CS52&lt;1.8,1.8,IF(CS52&lt;2,2,2.2))))))))</f>
        <v>2.2000000000000002</v>
      </c>
      <c r="FJ52" s="23">
        <f>IF(CP52&lt;0.6,0.6,IF(CP52&lt;0.8,0.8,IF(CP52&lt;1,1,IF(CP52&lt;1.2,1.2,IF(CP52&lt;1.4,1.4,IF(CP52&lt;1.6,1.6,IF(CP52&lt;1.8,1.8,IF(CP52&lt;2,2,2.2))))))))</f>
        <v>1.8</v>
      </c>
      <c r="FK52" s="23">
        <f t="shared" ref="FK52:FL61" si="149">IF(CQ52&lt;0.6,0.6,IF(CQ52&lt;0.8,0.8,IF(CQ52&lt;1,1,IF(CQ52&lt;1.2,1.2,IF(CQ52&lt;1.4,1.4,IF(CQ52&lt;1.6,1.6,IF(CQ52&lt;1.8,1.8,IF(CQ52&lt;2,2,2.2))))))))</f>
        <v>1</v>
      </c>
      <c r="FL52" s="23">
        <f t="shared" si="149"/>
        <v>1.2</v>
      </c>
      <c r="FM52" s="23">
        <f>IF(FK52&lt;1,1,0)</f>
        <v>0</v>
      </c>
      <c r="FN52" s="23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1.0833333333333333</v>
      </c>
      <c r="FZ52" s="4">
        <f t="shared" si="103"/>
        <v>0</v>
      </c>
      <c r="GA52" s="4">
        <f t="shared" si="104"/>
        <v>209.81744363815565</v>
      </c>
    </row>
    <row r="53" spans="1:183" ht="12" customHeight="1" x14ac:dyDescent="0.3">
      <c r="A53" s="25">
        <v>35</v>
      </c>
      <c r="B53" s="20" t="s">
        <v>54</v>
      </c>
      <c r="C53" s="20">
        <v>2006</v>
      </c>
      <c r="D53" s="24" t="s">
        <v>55</v>
      </c>
      <c r="E53" s="24"/>
      <c r="F53" s="7" t="s">
        <v>69</v>
      </c>
      <c r="G53" s="7">
        <v>472</v>
      </c>
      <c r="H53" s="7">
        <f t="shared" ref="H53:H61" si="150">10*25.4</f>
        <v>254</v>
      </c>
      <c r="I53" s="7">
        <f t="shared" si="131"/>
        <v>177.79999999999998</v>
      </c>
      <c r="J53" s="7">
        <v>27</v>
      </c>
      <c r="K53" s="7">
        <v>25.4</v>
      </c>
      <c r="L53" s="7">
        <f t="shared" ref="L53:L93" si="151">H53/K53</f>
        <v>10</v>
      </c>
      <c r="M53" s="7">
        <v>7</v>
      </c>
      <c r="N53" s="7">
        <f t="shared" si="132"/>
        <v>152.39999999999998</v>
      </c>
      <c r="O53" s="7">
        <f t="shared" si="108"/>
        <v>63.499999999999986</v>
      </c>
      <c r="P53" s="7">
        <f t="shared" si="133"/>
        <v>50.8</v>
      </c>
      <c r="Q53" s="7">
        <v>0</v>
      </c>
      <c r="R53" s="7">
        <v>1</v>
      </c>
      <c r="S53" s="7">
        <f t="shared" si="134"/>
        <v>88.899999999999991</v>
      </c>
      <c r="T53" s="7">
        <f t="shared" si="42"/>
        <v>2.9999999999999996</v>
      </c>
      <c r="U53" s="7">
        <f t="shared" si="135"/>
        <v>4</v>
      </c>
      <c r="V53" s="7">
        <v>1.85</v>
      </c>
      <c r="W53" s="7">
        <f t="shared" ref="W53:W126" si="152">MIN(W$16,V53)</f>
        <v>1.85</v>
      </c>
      <c r="X53" s="7">
        <f t="shared" si="44"/>
        <v>2.85</v>
      </c>
      <c r="Y53" s="7">
        <f t="shared" si="45"/>
        <v>42.880135260980694</v>
      </c>
      <c r="Z53" s="7"/>
      <c r="AA53" s="7"/>
      <c r="AB53" s="7">
        <v>456</v>
      </c>
      <c r="AC53" s="7"/>
      <c r="AD53" s="7"/>
      <c r="AE53" s="7"/>
      <c r="AF53" s="7"/>
      <c r="AG53" s="7">
        <v>1</v>
      </c>
      <c r="AH53" s="7"/>
      <c r="AI53" s="7"/>
      <c r="AJ53" s="7"/>
      <c r="AK53" s="4">
        <f t="shared" si="125"/>
        <v>254</v>
      </c>
      <c r="AL53" s="44">
        <f t="shared" ref="AL53:AL93" si="153">MIN(N53)*(MIN(508-S53-0.5*K53,1.5*AK53)+S53+K53/2)/(3*H53)^2</f>
        <v>0.12666666666666665</v>
      </c>
      <c r="AM53" s="25">
        <f t="shared" si="112"/>
        <v>415.1214191673746</v>
      </c>
      <c r="AN53" s="4">
        <f t="shared" si="113"/>
        <v>0.7599999999999999</v>
      </c>
      <c r="AO53" s="4">
        <v>1.25</v>
      </c>
      <c r="AP53" s="25">
        <f t="shared" si="114"/>
        <v>5</v>
      </c>
      <c r="AQ53" s="38">
        <f t="shared" si="115"/>
        <v>249.76472053237029</v>
      </c>
      <c r="AR53" s="38">
        <f t="shared" si="116"/>
        <v>249.76472053237029</v>
      </c>
      <c r="AT53" s="38">
        <f t="shared" si="130"/>
        <v>249.76472053237032</v>
      </c>
      <c r="AU53" s="38">
        <f t="shared" si="47"/>
        <v>0.99999999999999989</v>
      </c>
      <c r="AV53" s="38">
        <f t="shared" si="136"/>
        <v>0.99983295482284784</v>
      </c>
      <c r="AW53" s="4">
        <f t="shared" ref="AW53:AW103" si="154">IF(AV53&lt;1,1,0)</f>
        <v>1</v>
      </c>
      <c r="AX53" s="4">
        <f t="shared" ref="AX53:AX59" si="155">I53/K53*J53^0.5/0.19</f>
        <v>191.43719452077065</v>
      </c>
      <c r="AY53" s="4">
        <f t="shared" si="49"/>
        <v>1.1333333333333333</v>
      </c>
      <c r="AZ53" s="38">
        <f t="shared" si="117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36">
        <f t="shared" si="53"/>
        <v>1.1000000000000001</v>
      </c>
      <c r="BF53" s="36">
        <f t="shared" si="54"/>
        <v>189.7634864772462</v>
      </c>
      <c r="BK53" s="4">
        <f t="shared" ref="BK53:BK126" si="156">IF(R53=1,O53,MIN(O53,Q53/2+6.4))</f>
        <v>63.499999999999986</v>
      </c>
      <c r="BL53" s="4">
        <f t="shared" ref="BL53:BL126" si="157">MIN(S53,BK53)</f>
        <v>63.499999999999986</v>
      </c>
      <c r="BM53" s="4">
        <f t="shared" ref="BM53:BM126" si="158">MAX(S53,BK53)</f>
        <v>88.899999999999991</v>
      </c>
      <c r="BN53" s="4">
        <f t="shared" ref="BN53:BN126" si="159">BL53+K53/2</f>
        <v>76.199999999999989</v>
      </c>
      <c r="BO53" s="4">
        <f t="shared" ref="BO53:BO126" si="160">MIN(1.25, 0.1*BM53/BL53+0.9)</f>
        <v>1.04</v>
      </c>
      <c r="BP53" s="25">
        <f t="shared" si="118"/>
        <v>3.1199999999999997</v>
      </c>
      <c r="BR53" s="4">
        <f t="shared" ref="BR53:BR116" si="161">IF(Q53=0,O53,MIN(Q53/2,O53))</f>
        <v>63.499999999999986</v>
      </c>
      <c r="BV53" s="9"/>
      <c r="BX53" s="9"/>
      <c r="BY53" s="9"/>
      <c r="BZ53" s="9">
        <f t="shared" ref="BZ53:BZ61" si="162">IF(Q53=0,MIN(O53,P53),MIN(Q53/2,O53,P53))</f>
        <v>50.8</v>
      </c>
      <c r="CA53" s="9">
        <f t="shared" ref="CA53:CA61" si="163">MAX(Q53/2,O53)</f>
        <v>63.499999999999986</v>
      </c>
      <c r="CB53" s="9">
        <f t="shared" si="63"/>
        <v>1.4623505735569622</v>
      </c>
      <c r="CC53" s="9">
        <v>0</v>
      </c>
      <c r="CD53" s="9">
        <f t="shared" si="129"/>
        <v>0</v>
      </c>
      <c r="CE53" s="9">
        <f t="shared" si="65"/>
        <v>0</v>
      </c>
      <c r="CF53" s="9">
        <f t="shared" ref="CF53:CF61" si="164">MIN(1,(25/K53)^0.3)</f>
        <v>0.99524931562137331</v>
      </c>
      <c r="CG53" s="9">
        <f t="shared" ref="CG53:CG61" si="165">IF(G53&gt;=800,0.68,IF(G53&gt;=700,0.75-(G53-700)*0.07/100,IF(G53&gt;=600,0.85-(G53-600)*0.1/100,IF(G53&gt;=500,1-(G53-500)*0.15/100,1.2-(G53-400)*0.2/100))))</f>
        <v>1.056</v>
      </c>
      <c r="CH53" s="9">
        <f t="shared" si="68"/>
        <v>1.911374255891328</v>
      </c>
      <c r="CI53" s="9">
        <f t="shared" si="69"/>
        <v>2.7950992393846952</v>
      </c>
      <c r="CJ53" s="9">
        <v>1</v>
      </c>
      <c r="CK53" s="9">
        <f t="shared" si="70"/>
        <v>245.96873306585317</v>
      </c>
      <c r="CM53" s="4">
        <f t="shared" si="137"/>
        <v>2.3819822534566275</v>
      </c>
      <c r="CN53" s="4">
        <f t="shared" si="138"/>
        <v>1.4080931325265225</v>
      </c>
      <c r="CO53" s="4">
        <f t="shared" si="139"/>
        <v>2.4029912627826699</v>
      </c>
      <c r="CP53" s="4">
        <f t="shared" si="140"/>
        <v>1.8538941690524346</v>
      </c>
      <c r="CQ53" s="4">
        <f t="shared" si="141"/>
        <v>1.0711542892578541</v>
      </c>
      <c r="CR53" s="4">
        <f t="shared" si="142"/>
        <v>1.1998368896021039</v>
      </c>
      <c r="CS53" s="4">
        <f t="shared" si="143"/>
        <v>2.1733178714463932</v>
      </c>
      <c r="CU53" s="4">
        <f t="shared" si="144"/>
        <v>2.3819822534566275</v>
      </c>
      <c r="CV53" s="4">
        <f t="shared" si="144"/>
        <v>1.4080931325265225</v>
      </c>
      <c r="CW53" s="4">
        <f t="shared" si="145"/>
        <v>1.8538941690524346</v>
      </c>
      <c r="CX53" s="4">
        <f t="shared" ref="CX53:CX61" si="166">CS53</f>
        <v>2.1733178714463932</v>
      </c>
      <c r="CY53" s="4">
        <f t="shared" si="146"/>
        <v>1.0711542892578541</v>
      </c>
      <c r="CZ53" s="4">
        <f t="shared" si="146"/>
        <v>1.1998368896021039</v>
      </c>
      <c r="DH53" s="4">
        <f t="shared" ref="DH53:DH126" si="167">AF53</f>
        <v>0</v>
      </c>
      <c r="DI53" s="4">
        <f t="shared" ref="DI53:DI126" si="168">H53</f>
        <v>254</v>
      </c>
      <c r="DJ53" s="4">
        <f t="shared" ref="DJ53:DJ126" si="169">I53/H53</f>
        <v>0.7</v>
      </c>
      <c r="DL53" s="4">
        <f t="shared" ref="DL53:DL126" si="170">H53/4/(1-0.3*(J53/30)^0.5)/200000/K53</f>
        <v>1.7472864382687078E-5</v>
      </c>
      <c r="DM53" s="4">
        <f t="shared" ref="DM53:DM126" si="171">EH53</f>
        <v>6.5652823394499222</v>
      </c>
      <c r="DN53" s="4">
        <f t="shared" ref="DN53:DN103" si="172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38">
        <f t="shared" si="119"/>
        <v>425.70898009094299</v>
      </c>
      <c r="DS53" s="4">
        <f t="shared" si="79"/>
        <v>1.0001694595504687</v>
      </c>
      <c r="DT53" s="4">
        <f t="shared" si="147"/>
        <v>1.6881943016134133</v>
      </c>
      <c r="DU53" s="4">
        <f t="shared" si="120"/>
        <v>249.76472053237032</v>
      </c>
      <c r="DY53" s="4">
        <f t="shared" ref="DY53:DY61" si="173">IF(P53&gt;1*K53,0.85,1)</f>
        <v>0.85</v>
      </c>
      <c r="DZ53" s="4">
        <f t="shared" si="81"/>
        <v>0.85000000000000009</v>
      </c>
      <c r="EA53" s="4">
        <f t="shared" si="82"/>
        <v>1</v>
      </c>
      <c r="EB53" s="4">
        <f t="shared" si="83"/>
        <v>0.85000000000000009</v>
      </c>
      <c r="ED53" s="4">
        <f t="shared" si="121"/>
        <v>380.05165864771925</v>
      </c>
      <c r="EE53" s="25">
        <f t="shared" si="122"/>
        <v>258.22019535919065</v>
      </c>
      <c r="EG53" s="4">
        <f t="shared" si="148"/>
        <v>0.72250000000000003</v>
      </c>
      <c r="EH53" s="4">
        <f t="shared" si="84"/>
        <v>6.5652823394499222</v>
      </c>
      <c r="EI53" s="4">
        <f t="shared" ref="EI53:EI126" si="174">IF(K53&lt;22.2,1.1*5*(J53/30)^0.5,IF(K53&gt;=31.8,0.9*5*(J53/30)^0.5,1*5*(J53/30)^0.5))*BP53/2.5</f>
        <v>5.9197837798352051</v>
      </c>
      <c r="EK53" s="4">
        <f t="shared" ref="EK53:EK126" si="175">EL53*K53</f>
        <v>42.880135260980694</v>
      </c>
      <c r="EL53" s="4">
        <f t="shared" ref="EL53:EL126" si="176">X53^0.5</f>
        <v>1.6881943016134133</v>
      </c>
      <c r="EM53" s="4">
        <f t="shared" ref="EM53:EM126" si="177">MIN(DU53)/(4700*J53^0.5)/W53*EK53</f>
        <v>0.23704771434421898</v>
      </c>
      <c r="EP53" s="4">
        <f t="shared" ref="EP53:EP116" si="178">EM53</f>
        <v>0.23704771434421898</v>
      </c>
      <c r="EQ53" s="4">
        <f t="shared" ref="EQ53:EQ116" si="179">MIN(0.999, EP53/(0.3*(J53/30)^0.5))</f>
        <v>0.83290076829411031</v>
      </c>
      <c r="ER53" s="4">
        <f t="shared" ref="ER53:ER126" si="180">EH53/1*EQ53^0.4</f>
        <v>6.102260069503922</v>
      </c>
      <c r="ES53" s="4">
        <f t="shared" ref="ES53:ES61" si="181">EH53/1.4*(1-EQ53^1.4)/(1-EQ53)</f>
        <v>6.3380014382255325</v>
      </c>
      <c r="ET53" s="4">
        <f t="shared" ref="ET53:ET126" si="182">MAX(0,DI53*ET$9-EK53)</f>
        <v>147.61986473901931</v>
      </c>
      <c r="EU53" s="4">
        <f t="shared" ref="EU53:EU126" si="183">MAX(0,DI53-EK53-ET53)</f>
        <v>63.5</v>
      </c>
      <c r="EV53" s="4">
        <f t="shared" si="95"/>
        <v>1.7472864382687078E-5</v>
      </c>
      <c r="EW53" s="4">
        <f t="shared" ref="EW53:EW61" si="184">MAX(0.5*EH53, (1-2*EV53*(EK53*ER53+ET53*ES53))/(1/EH53+EV53*EU53))</f>
        <v>6.2451004018517979</v>
      </c>
      <c r="EX53" s="4">
        <f t="shared" ref="EX53:EX126" si="185">MIN(4/K53*(1*ER53*EK53+ES53*EY53+EZ53*EW53)+DU53,MAX(G53,AB53))</f>
        <v>425.63685186136371</v>
      </c>
      <c r="EY53" s="4">
        <f t="shared" ref="EY53:EY126" si="186">IF(DJ53&lt;=ET$9, MAX(0,DI53*DJ53-EK53), MAX(0,DI53*ET$9-EK53))</f>
        <v>134.91986473901929</v>
      </c>
      <c r="EZ53" s="4">
        <f t="shared" ref="EZ53:EZ126" si="187">MAX(0, DI53*DJ53-EY53-EK53)</f>
        <v>0</v>
      </c>
      <c r="FB53" s="4">
        <f t="shared" si="100"/>
        <v>75.127006894969043</v>
      </c>
      <c r="FG53" s="23">
        <f t="shared" ref="FG53:FH61" si="188">IF(CM53&lt;0.6,0.6,IF(CM53&lt;0.8,0.8,IF(CM53&lt;1,1,IF(CM53&lt;1.2,1.2,IF(CM53&lt;1.4,1.4,IF(CM53&lt;1.6,1.6,IF(CM53&lt;1.8,1.8,IF(CM53&lt;2,2,2.2))))))))</f>
        <v>2.2000000000000002</v>
      </c>
      <c r="FH53" s="23">
        <f t="shared" si="188"/>
        <v>1.6</v>
      </c>
      <c r="FI53" s="23">
        <f t="shared" ref="FI53:FI61" si="189">IF(CS53&lt;0.6,0.6,IF(CS53&lt;0.8,0.8,IF(CS53&lt;1,1,IF(CS53&lt;1.2,1.2,IF(CS53&lt;1.4,1.4,IF(CS53&lt;1.6,1.6,IF(CS53&lt;1.8,1.8,IF(CS53&lt;2,2,2.2))))))))</f>
        <v>2.2000000000000002</v>
      </c>
      <c r="FJ53" s="23">
        <f t="shared" ref="FJ53:FJ61" si="190">IF(CP53&lt;0.6,0.6,IF(CP53&lt;0.8,0.8,IF(CP53&lt;1,1,IF(CP53&lt;1.2,1.2,IF(CP53&lt;1.4,1.4,IF(CP53&lt;1.6,1.6,IF(CP53&lt;1.8,1.8,IF(CP53&lt;2,2,2.2))))))))</f>
        <v>2</v>
      </c>
      <c r="FK53" s="23">
        <f t="shared" si="149"/>
        <v>1.2</v>
      </c>
      <c r="FL53" s="23">
        <f t="shared" si="149"/>
        <v>1.2</v>
      </c>
      <c r="FM53" s="23">
        <f t="shared" ref="FM53:FM61" si="191">IF(FK53&lt;1,1,0)</f>
        <v>0</v>
      </c>
      <c r="FN53" s="23"/>
      <c r="FO53" s="1" t="s">
        <v>42</v>
      </c>
      <c r="FP53">
        <f t="shared" ref="FP53:FU53" si="192">COUNTIF(FG19:FG570,0.6)</f>
        <v>12</v>
      </c>
      <c r="FQ53">
        <f t="shared" si="192"/>
        <v>67</v>
      </c>
      <c r="FR53">
        <f t="shared" si="192"/>
        <v>0</v>
      </c>
      <c r="FS53">
        <f t="shared" si="192"/>
        <v>0</v>
      </c>
      <c r="FT53">
        <f t="shared" si="192"/>
        <v>2</v>
      </c>
      <c r="FU53">
        <f t="shared" si="192"/>
        <v>1</v>
      </c>
      <c r="FX53" s="4">
        <f t="shared" si="101"/>
        <v>1</v>
      </c>
      <c r="FY53" s="4">
        <f t="shared" si="102"/>
        <v>1.0833333333333333</v>
      </c>
      <c r="FZ53" s="4">
        <f t="shared" si="103"/>
        <v>0</v>
      </c>
      <c r="GA53" s="4">
        <f t="shared" si="104"/>
        <v>209.81744363815565</v>
      </c>
    </row>
    <row r="54" spans="1:183" ht="12" customHeight="1" x14ac:dyDescent="0.3">
      <c r="A54" s="25">
        <v>36</v>
      </c>
      <c r="B54" s="20" t="s">
        <v>54</v>
      </c>
      <c r="C54" s="20">
        <v>2006</v>
      </c>
      <c r="D54" s="24" t="s">
        <v>55</v>
      </c>
      <c r="E54" s="24"/>
      <c r="F54" s="7" t="s">
        <v>67</v>
      </c>
      <c r="G54" s="7">
        <v>472</v>
      </c>
      <c r="H54" s="7">
        <f t="shared" si="150"/>
        <v>254</v>
      </c>
      <c r="I54" s="7">
        <f t="shared" si="131"/>
        <v>177.79999999999998</v>
      </c>
      <c r="J54" s="7">
        <v>27</v>
      </c>
      <c r="K54" s="7">
        <v>25.4</v>
      </c>
      <c r="L54" s="7">
        <f t="shared" si="151"/>
        <v>10</v>
      </c>
      <c r="M54" s="7">
        <v>7</v>
      </c>
      <c r="N54" s="7">
        <f t="shared" si="132"/>
        <v>152.39999999999998</v>
      </c>
      <c r="O54" s="7">
        <f t="shared" si="108"/>
        <v>63.499999999999986</v>
      </c>
      <c r="P54" s="7">
        <f t="shared" si="133"/>
        <v>50.8</v>
      </c>
      <c r="Q54" s="7">
        <v>0</v>
      </c>
      <c r="R54" s="7">
        <v>1</v>
      </c>
      <c r="S54" s="7">
        <f t="shared" si="134"/>
        <v>88.899999999999991</v>
      </c>
      <c r="T54" s="7">
        <f t="shared" si="42"/>
        <v>2.9999999999999996</v>
      </c>
      <c r="U54" s="7">
        <f t="shared" si="135"/>
        <v>4</v>
      </c>
      <c r="V54" s="7">
        <v>2.8</v>
      </c>
      <c r="W54" s="7">
        <f t="shared" si="152"/>
        <v>2.8</v>
      </c>
      <c r="X54" s="7">
        <f t="shared" si="44"/>
        <v>3.8</v>
      </c>
      <c r="Y54" s="7">
        <f t="shared" si="45"/>
        <v>49.513715271629529</v>
      </c>
      <c r="Z54" s="7"/>
      <c r="AA54" s="7"/>
      <c r="AB54" s="7">
        <v>471</v>
      </c>
      <c r="AC54" s="7"/>
      <c r="AD54" s="7"/>
      <c r="AE54" s="7"/>
      <c r="AF54" s="7"/>
      <c r="AG54" s="7">
        <v>1</v>
      </c>
      <c r="AH54" s="7"/>
      <c r="AI54" s="7"/>
      <c r="AJ54" s="7"/>
      <c r="AK54" s="4">
        <f t="shared" si="125"/>
        <v>254</v>
      </c>
      <c r="AL54" s="44">
        <f t="shared" si="153"/>
        <v>0.12666666666666665</v>
      </c>
      <c r="AM54" s="25">
        <f t="shared" si="112"/>
        <v>415.1214191673746</v>
      </c>
      <c r="AN54" s="4">
        <f t="shared" si="113"/>
        <v>0.7599999999999999</v>
      </c>
      <c r="AO54" s="4">
        <v>1.25</v>
      </c>
      <c r="AP54" s="25">
        <f t="shared" si="114"/>
        <v>5</v>
      </c>
      <c r="AQ54" s="38">
        <f t="shared" si="115"/>
        <v>249.76472053237029</v>
      </c>
      <c r="AR54" s="38">
        <f t="shared" si="116"/>
        <v>249.76472053237029</v>
      </c>
      <c r="AT54" s="38">
        <f t="shared" si="130"/>
        <v>249.76472053237032</v>
      </c>
      <c r="AU54" s="38">
        <f t="shared" si="47"/>
        <v>0.99999999999999989</v>
      </c>
      <c r="AV54" s="38">
        <f t="shared" si="136"/>
        <v>1.2300438632344617</v>
      </c>
      <c r="AW54" s="4">
        <f t="shared" si="154"/>
        <v>0</v>
      </c>
      <c r="AX54" s="4">
        <f t="shared" si="155"/>
        <v>191.43719452077065</v>
      </c>
      <c r="AY54" s="4">
        <f t="shared" si="49"/>
        <v>1.1333333333333333</v>
      </c>
      <c r="AZ54" s="38">
        <f t="shared" si="117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36">
        <f t="shared" si="53"/>
        <v>1.1000000000000001</v>
      </c>
      <c r="BF54" s="36">
        <f t="shared" si="54"/>
        <v>189.7634864772462</v>
      </c>
      <c r="BK54" s="4">
        <f t="shared" si="156"/>
        <v>63.499999999999986</v>
      </c>
      <c r="BL54" s="4">
        <f t="shared" si="157"/>
        <v>63.499999999999986</v>
      </c>
      <c r="BM54" s="4">
        <f t="shared" si="158"/>
        <v>88.899999999999991</v>
      </c>
      <c r="BN54" s="4">
        <f t="shared" si="159"/>
        <v>76.199999999999989</v>
      </c>
      <c r="BO54" s="4">
        <f t="shared" si="160"/>
        <v>1.04</v>
      </c>
      <c r="BP54" s="25">
        <f t="shared" si="118"/>
        <v>3.1199999999999997</v>
      </c>
      <c r="BR54" s="4">
        <f t="shared" si="161"/>
        <v>63.499999999999986</v>
      </c>
      <c r="BV54" s="9"/>
      <c r="BX54" s="9"/>
      <c r="BY54" s="9"/>
      <c r="BZ54" s="9">
        <f t="shared" si="162"/>
        <v>50.8</v>
      </c>
      <c r="CA54" s="9">
        <f t="shared" si="163"/>
        <v>63.499999999999986</v>
      </c>
      <c r="CB54" s="9">
        <f t="shared" si="63"/>
        <v>1.4623505735569622</v>
      </c>
      <c r="CC54" s="9">
        <v>0</v>
      </c>
      <c r="CD54" s="9">
        <f t="shared" si="129"/>
        <v>0</v>
      </c>
      <c r="CE54" s="9">
        <f t="shared" si="65"/>
        <v>0</v>
      </c>
      <c r="CF54" s="9">
        <f t="shared" si="164"/>
        <v>0.99524931562137331</v>
      </c>
      <c r="CG54" s="9">
        <f t="shared" si="165"/>
        <v>1.056</v>
      </c>
      <c r="CH54" s="9">
        <f t="shared" si="68"/>
        <v>1.911374255891328</v>
      </c>
      <c r="CI54" s="9">
        <f t="shared" si="69"/>
        <v>2.7950992393846952</v>
      </c>
      <c r="CJ54" s="9">
        <v>1</v>
      </c>
      <c r="CK54" s="9">
        <f t="shared" si="70"/>
        <v>245.96873306585317</v>
      </c>
      <c r="CM54" s="4">
        <f t="shared" si="137"/>
        <v>2.4603369328466482</v>
      </c>
      <c r="CN54" s="4">
        <f t="shared" si="138"/>
        <v>1.2797614861123718</v>
      </c>
      <c r="CO54" s="4">
        <f t="shared" si="139"/>
        <v>2.4820370280057844</v>
      </c>
      <c r="CP54" s="4">
        <f t="shared" si="140"/>
        <v>1.9148775298765279</v>
      </c>
      <c r="CQ54" s="4">
        <f t="shared" si="141"/>
        <v>1.1358656375632361</v>
      </c>
      <c r="CR54" s="4">
        <f t="shared" si="142"/>
        <v>1.2379464417646227</v>
      </c>
      <c r="CS54" s="4">
        <f t="shared" si="143"/>
        <v>2.2448085909018665</v>
      </c>
      <c r="CU54" s="4">
        <f t="shared" si="144"/>
        <v>2.4603369328466482</v>
      </c>
      <c r="CV54" s="4">
        <f t="shared" si="144"/>
        <v>1.2797614861123718</v>
      </c>
      <c r="CW54" s="4">
        <f t="shared" si="145"/>
        <v>1.9148775298765279</v>
      </c>
      <c r="CX54" s="4">
        <f t="shared" si="166"/>
        <v>2.2448085909018665</v>
      </c>
      <c r="CY54" s="4">
        <f t="shared" si="146"/>
        <v>1.1358656375632361</v>
      </c>
      <c r="CZ54" s="4">
        <f t="shared" si="146"/>
        <v>1.2379464417646227</v>
      </c>
      <c r="DH54" s="4">
        <f t="shared" si="167"/>
        <v>0</v>
      </c>
      <c r="DI54" s="4">
        <f t="shared" si="168"/>
        <v>254</v>
      </c>
      <c r="DJ54" s="4">
        <f t="shared" si="169"/>
        <v>0.7</v>
      </c>
      <c r="DL54" s="4">
        <f t="shared" si="170"/>
        <v>1.7472864382687078E-5</v>
      </c>
      <c r="DM54" s="4">
        <f t="shared" si="171"/>
        <v>6.5652823394499222</v>
      </c>
      <c r="DN54" s="4">
        <f t="shared" si="172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38">
        <f t="shared" si="119"/>
        <v>414.66172091483702</v>
      </c>
      <c r="DS54" s="4">
        <f t="shared" si="79"/>
        <v>1.0001553245307295</v>
      </c>
      <c r="DT54" s="4">
        <f t="shared" si="147"/>
        <v>1.9493588689617927</v>
      </c>
      <c r="DU54" s="4">
        <f t="shared" si="120"/>
        <v>249.76472053237032</v>
      </c>
      <c r="DY54" s="4">
        <f t="shared" si="173"/>
        <v>0.85</v>
      </c>
      <c r="DZ54" s="4">
        <f t="shared" si="81"/>
        <v>0.85000000000000009</v>
      </c>
      <c r="EA54" s="4">
        <f t="shared" si="82"/>
        <v>1</v>
      </c>
      <c r="EB54" s="4">
        <f t="shared" si="83"/>
        <v>0.85000000000000009</v>
      </c>
      <c r="ED54" s="4">
        <f t="shared" si="121"/>
        <v>380.46880229213804</v>
      </c>
      <c r="EE54" s="25">
        <f t="shared" si="122"/>
        <v>258.22019535919065</v>
      </c>
      <c r="EG54" s="4">
        <f t="shared" si="148"/>
        <v>0.72250000000000003</v>
      </c>
      <c r="EH54" s="4">
        <f t="shared" si="84"/>
        <v>6.5652823394499222</v>
      </c>
      <c r="EI54" s="4">
        <f t="shared" si="174"/>
        <v>5.9197837798352051</v>
      </c>
      <c r="EK54" s="4">
        <f t="shared" si="175"/>
        <v>49.513715271629529</v>
      </c>
      <c r="EL54" s="4">
        <f t="shared" si="176"/>
        <v>1.9493588689617927</v>
      </c>
      <c r="EM54" s="4">
        <f t="shared" si="177"/>
        <v>0.18085013508694833</v>
      </c>
      <c r="EP54" s="4">
        <f t="shared" si="178"/>
        <v>0.18085013508694833</v>
      </c>
      <c r="EQ54" s="4">
        <f t="shared" si="179"/>
        <v>0.63544260224876703</v>
      </c>
      <c r="ER54" s="4">
        <f t="shared" si="180"/>
        <v>5.4762584819800804</v>
      </c>
      <c r="ES54" s="4">
        <f t="shared" si="181"/>
        <v>6.0453627528027827</v>
      </c>
      <c r="ET54" s="4">
        <f t="shared" si="182"/>
        <v>140.98628472837046</v>
      </c>
      <c r="EU54" s="4">
        <f t="shared" si="183"/>
        <v>63.5</v>
      </c>
      <c r="EV54" s="4">
        <f t="shared" si="95"/>
        <v>1.7472864382687078E-5</v>
      </c>
      <c r="EW54" s="4">
        <f t="shared" si="184"/>
        <v>6.2619137744944693</v>
      </c>
      <c r="EX54" s="4">
        <f t="shared" si="185"/>
        <v>414.59732378007914</v>
      </c>
      <c r="EY54" s="4">
        <f t="shared" si="186"/>
        <v>128.28628472837045</v>
      </c>
      <c r="EZ54" s="4">
        <f t="shared" si="187"/>
        <v>7.1054273576010019E-15</v>
      </c>
      <c r="FB54" s="4">
        <f t="shared" si="100"/>
        <v>74.709863250550256</v>
      </c>
      <c r="FG54" s="23">
        <f t="shared" si="188"/>
        <v>2.2000000000000002</v>
      </c>
      <c r="FH54" s="23">
        <f t="shared" si="188"/>
        <v>1.4</v>
      </c>
      <c r="FI54" s="23">
        <f t="shared" si="189"/>
        <v>2.2000000000000002</v>
      </c>
      <c r="FJ54" s="23">
        <f t="shared" si="190"/>
        <v>2</v>
      </c>
      <c r="FK54" s="23">
        <f t="shared" si="149"/>
        <v>1.2</v>
      </c>
      <c r="FL54" s="23">
        <f t="shared" si="149"/>
        <v>1.4</v>
      </c>
      <c r="FM54" s="23">
        <f t="shared" si="191"/>
        <v>0</v>
      </c>
      <c r="FN54" s="23"/>
      <c r="FO54" s="1" t="s">
        <v>43</v>
      </c>
      <c r="FP54">
        <f t="shared" ref="FP54:FU54" si="193">COUNTIF(FG19:FG570,0.8)</f>
        <v>14</v>
      </c>
      <c r="FQ54">
        <f t="shared" si="193"/>
        <v>64</v>
      </c>
      <c r="FR54">
        <f t="shared" si="193"/>
        <v>12</v>
      </c>
      <c r="FS54">
        <f t="shared" si="193"/>
        <v>0</v>
      </c>
      <c r="FT54">
        <f t="shared" si="193"/>
        <v>43</v>
      </c>
      <c r="FU54">
        <f t="shared" si="193"/>
        <v>40</v>
      </c>
      <c r="FX54" s="4">
        <f t="shared" si="101"/>
        <v>1</v>
      </c>
      <c r="FY54" s="4">
        <f t="shared" si="102"/>
        <v>1.0833333333333333</v>
      </c>
      <c r="FZ54" s="4">
        <f t="shared" si="103"/>
        <v>0</v>
      </c>
      <c r="GA54" s="4">
        <f t="shared" si="104"/>
        <v>209.81744363815565</v>
      </c>
    </row>
    <row r="55" spans="1:183" ht="12" customHeight="1" x14ac:dyDescent="0.3">
      <c r="A55" s="25">
        <v>37</v>
      </c>
      <c r="B55" s="20" t="s">
        <v>54</v>
      </c>
      <c r="C55" s="20">
        <v>2006</v>
      </c>
      <c r="D55" s="24" t="s">
        <v>55</v>
      </c>
      <c r="E55" s="24"/>
      <c r="F55" s="7" t="s">
        <v>277</v>
      </c>
      <c r="G55" s="7">
        <v>472</v>
      </c>
      <c r="H55" s="7">
        <f t="shared" si="150"/>
        <v>254</v>
      </c>
      <c r="I55" s="7">
        <f t="shared" si="131"/>
        <v>177.79999999999998</v>
      </c>
      <c r="J55" s="7">
        <v>27</v>
      </c>
      <c r="K55" s="7">
        <v>25.4</v>
      </c>
      <c r="L55" s="7">
        <f t="shared" si="151"/>
        <v>10</v>
      </c>
      <c r="M55" s="7">
        <v>7</v>
      </c>
      <c r="N55" s="7">
        <f t="shared" si="132"/>
        <v>152.39999999999998</v>
      </c>
      <c r="O55" s="7">
        <f t="shared" si="108"/>
        <v>63.499999999999986</v>
      </c>
      <c r="P55" s="7">
        <f t="shared" si="133"/>
        <v>50.8</v>
      </c>
      <c r="Q55" s="7">
        <v>0</v>
      </c>
      <c r="R55" s="7">
        <v>1</v>
      </c>
      <c r="S55" s="7">
        <f t="shared" si="134"/>
        <v>88.899999999999991</v>
      </c>
      <c r="T55" s="7">
        <f t="shared" si="42"/>
        <v>2.9999999999999996</v>
      </c>
      <c r="U55" s="7">
        <f t="shared" si="135"/>
        <v>4</v>
      </c>
      <c r="V55" s="7">
        <v>2.8</v>
      </c>
      <c r="W55" s="7">
        <f t="shared" si="152"/>
        <v>2.8</v>
      </c>
      <c r="X55" s="7">
        <f t="shared" si="44"/>
        <v>3.8</v>
      </c>
      <c r="Y55" s="7">
        <f t="shared" si="45"/>
        <v>49.513715271629529</v>
      </c>
      <c r="Z55" s="7"/>
      <c r="AA55" s="7"/>
      <c r="AB55" s="7">
        <v>451</v>
      </c>
      <c r="AC55" s="7"/>
      <c r="AD55" s="7"/>
      <c r="AE55" s="7"/>
      <c r="AF55" s="7"/>
      <c r="AG55" s="7">
        <v>1</v>
      </c>
      <c r="AH55" s="7"/>
      <c r="AI55" s="7"/>
      <c r="AJ55" s="7"/>
      <c r="AK55" s="4">
        <f t="shared" si="125"/>
        <v>254</v>
      </c>
      <c r="AL55" s="44">
        <f t="shared" si="153"/>
        <v>0.12666666666666665</v>
      </c>
      <c r="AM55" s="25">
        <f t="shared" si="112"/>
        <v>415.1214191673746</v>
      </c>
      <c r="AN55" s="4">
        <f t="shared" si="113"/>
        <v>0.7599999999999999</v>
      </c>
      <c r="AO55" s="4">
        <v>1.25</v>
      </c>
      <c r="AP55" s="25">
        <f t="shared" si="114"/>
        <v>5</v>
      </c>
      <c r="AQ55" s="38">
        <f t="shared" si="115"/>
        <v>249.76472053237029</v>
      </c>
      <c r="AR55" s="38">
        <f t="shared" si="116"/>
        <v>249.76472053237029</v>
      </c>
      <c r="AT55" s="38">
        <f t="shared" si="130"/>
        <v>249.76472053237032</v>
      </c>
      <c r="AU55" s="38">
        <f t="shared" si="47"/>
        <v>0.99999999999999989</v>
      </c>
      <c r="AV55" s="38">
        <f t="shared" si="136"/>
        <v>1.2300438632344617</v>
      </c>
      <c r="AW55" s="4">
        <f t="shared" si="154"/>
        <v>0</v>
      </c>
      <c r="AX55" s="4">
        <f t="shared" si="155"/>
        <v>191.43719452077065</v>
      </c>
      <c r="AY55" s="4">
        <f t="shared" si="49"/>
        <v>1.1333333333333333</v>
      </c>
      <c r="AZ55" s="38">
        <f t="shared" si="117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36">
        <f t="shared" si="53"/>
        <v>1.1000000000000001</v>
      </c>
      <c r="BF55" s="36">
        <f t="shared" si="54"/>
        <v>189.7634864772462</v>
      </c>
      <c r="BK55" s="4">
        <f t="shared" si="156"/>
        <v>63.499999999999986</v>
      </c>
      <c r="BL55" s="4">
        <f t="shared" si="157"/>
        <v>63.499999999999986</v>
      </c>
      <c r="BM55" s="4">
        <f t="shared" si="158"/>
        <v>88.899999999999991</v>
      </c>
      <c r="BN55" s="4">
        <f t="shared" si="159"/>
        <v>76.199999999999989</v>
      </c>
      <c r="BO55" s="4">
        <f t="shared" si="160"/>
        <v>1.04</v>
      </c>
      <c r="BP55" s="25">
        <f t="shared" si="118"/>
        <v>3.1199999999999997</v>
      </c>
      <c r="BR55" s="4">
        <f t="shared" si="161"/>
        <v>63.499999999999986</v>
      </c>
      <c r="BV55" s="9"/>
      <c r="BX55" s="9"/>
      <c r="BY55" s="9"/>
      <c r="BZ55" s="9">
        <f t="shared" si="162"/>
        <v>50.8</v>
      </c>
      <c r="CA55" s="9">
        <f t="shared" si="163"/>
        <v>63.499999999999986</v>
      </c>
      <c r="CB55" s="9">
        <f t="shared" si="63"/>
        <v>1.4623505735569622</v>
      </c>
      <c r="CC55" s="9">
        <v>0</v>
      </c>
      <c r="CD55" s="9">
        <f t="shared" si="129"/>
        <v>0</v>
      </c>
      <c r="CE55" s="9">
        <f t="shared" si="65"/>
        <v>0</v>
      </c>
      <c r="CF55" s="9">
        <f t="shared" si="164"/>
        <v>0.99524931562137331</v>
      </c>
      <c r="CG55" s="9">
        <f t="shared" si="165"/>
        <v>1.056</v>
      </c>
      <c r="CH55" s="9">
        <f t="shared" si="68"/>
        <v>1.911374255891328</v>
      </c>
      <c r="CI55" s="9">
        <f t="shared" si="69"/>
        <v>2.7950992393846952</v>
      </c>
      <c r="CJ55" s="9">
        <v>1</v>
      </c>
      <c r="CK55" s="9">
        <f t="shared" si="70"/>
        <v>245.96873306585317</v>
      </c>
      <c r="CM55" s="4">
        <f t="shared" si="137"/>
        <v>2.3558640269932871</v>
      </c>
      <c r="CN55" s="4">
        <f t="shared" si="138"/>
        <v>1.2254191724770269</v>
      </c>
      <c r="CO55" s="4">
        <f t="shared" si="139"/>
        <v>2.3766426743749656</v>
      </c>
      <c r="CP55" s="4">
        <f t="shared" si="140"/>
        <v>1.8335663821110704</v>
      </c>
      <c r="CQ55" s="4">
        <f t="shared" si="141"/>
        <v>1.0876335510425041</v>
      </c>
      <c r="CR55" s="4">
        <f t="shared" si="142"/>
        <v>1.1853797138765283</v>
      </c>
      <c r="CS55" s="4">
        <f t="shared" si="143"/>
        <v>2.1494876316279021</v>
      </c>
      <c r="CU55" s="4">
        <f t="shared" si="144"/>
        <v>2.3558640269932871</v>
      </c>
      <c r="CV55" s="4">
        <f t="shared" si="144"/>
        <v>1.2254191724770269</v>
      </c>
      <c r="CW55" s="4">
        <f t="shared" si="145"/>
        <v>1.8335663821110704</v>
      </c>
      <c r="CX55" s="4">
        <f t="shared" si="166"/>
        <v>2.1494876316279021</v>
      </c>
      <c r="CY55" s="4">
        <f t="shared" si="146"/>
        <v>1.0876335510425041</v>
      </c>
      <c r="CZ55" s="4">
        <f t="shared" si="146"/>
        <v>1.1853797138765283</v>
      </c>
      <c r="DH55" s="4">
        <f t="shared" si="167"/>
        <v>0</v>
      </c>
      <c r="DI55" s="4">
        <f t="shared" si="168"/>
        <v>254</v>
      </c>
      <c r="DJ55" s="4">
        <f t="shared" si="169"/>
        <v>0.7</v>
      </c>
      <c r="DL55" s="4">
        <f t="shared" si="170"/>
        <v>1.7472864382687078E-5</v>
      </c>
      <c r="DM55" s="4">
        <f t="shared" si="171"/>
        <v>6.5652823394499222</v>
      </c>
      <c r="DN55" s="4">
        <f t="shared" si="172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38">
        <f t="shared" si="119"/>
        <v>414.66172091483702</v>
      </c>
      <c r="DS55" s="4">
        <f t="shared" si="79"/>
        <v>1.0001553245307295</v>
      </c>
      <c r="DT55" s="4">
        <f t="shared" si="147"/>
        <v>1.9493588689617927</v>
      </c>
      <c r="DU55" s="4">
        <f t="shared" si="120"/>
        <v>249.76472053237032</v>
      </c>
      <c r="DY55" s="4">
        <f t="shared" si="173"/>
        <v>0.85</v>
      </c>
      <c r="DZ55" s="4">
        <f t="shared" si="81"/>
        <v>0.85000000000000009</v>
      </c>
      <c r="EA55" s="4">
        <f t="shared" si="82"/>
        <v>1</v>
      </c>
      <c r="EB55" s="4">
        <f t="shared" si="83"/>
        <v>0.85000000000000009</v>
      </c>
      <c r="ED55" s="4">
        <f t="shared" si="121"/>
        <v>380.46880229213804</v>
      </c>
      <c r="EE55" s="25">
        <f t="shared" si="122"/>
        <v>258.22019535919065</v>
      </c>
      <c r="EG55" s="4">
        <f t="shared" si="148"/>
        <v>0.72250000000000003</v>
      </c>
      <c r="EH55" s="4">
        <f t="shared" si="84"/>
        <v>6.5652823394499222</v>
      </c>
      <c r="EI55" s="4">
        <f t="shared" si="174"/>
        <v>5.9197837798352051</v>
      </c>
      <c r="EK55" s="4">
        <f t="shared" si="175"/>
        <v>49.513715271629529</v>
      </c>
      <c r="EL55" s="4">
        <f t="shared" si="176"/>
        <v>1.9493588689617927</v>
      </c>
      <c r="EM55" s="4">
        <f t="shared" si="177"/>
        <v>0.18085013508694833</v>
      </c>
      <c r="EP55" s="4">
        <f t="shared" si="178"/>
        <v>0.18085013508694833</v>
      </c>
      <c r="EQ55" s="4">
        <f t="shared" si="179"/>
        <v>0.63544260224876703</v>
      </c>
      <c r="ER55" s="4">
        <f t="shared" si="180"/>
        <v>5.4762584819800804</v>
      </c>
      <c r="ES55" s="4">
        <f t="shared" si="181"/>
        <v>6.0453627528027827</v>
      </c>
      <c r="ET55" s="4">
        <f t="shared" si="182"/>
        <v>140.98628472837046</v>
      </c>
      <c r="EU55" s="4">
        <f t="shared" si="183"/>
        <v>63.5</v>
      </c>
      <c r="EV55" s="4">
        <f t="shared" si="95"/>
        <v>1.7472864382687078E-5</v>
      </c>
      <c r="EW55" s="4">
        <f t="shared" si="184"/>
        <v>6.2619137744944693</v>
      </c>
      <c r="EX55" s="4">
        <f t="shared" si="185"/>
        <v>414.59732378007914</v>
      </c>
      <c r="EY55" s="4">
        <f t="shared" si="186"/>
        <v>128.28628472837045</v>
      </c>
      <c r="EZ55" s="4">
        <f t="shared" si="187"/>
        <v>7.1054273576010019E-15</v>
      </c>
      <c r="FB55" s="4">
        <f t="shared" si="100"/>
        <v>74.709863250550256</v>
      </c>
      <c r="FG55" s="23">
        <f t="shared" si="188"/>
        <v>2.2000000000000002</v>
      </c>
      <c r="FH55" s="23">
        <f t="shared" si="188"/>
        <v>1.4</v>
      </c>
      <c r="FI55" s="23">
        <f t="shared" si="189"/>
        <v>2.2000000000000002</v>
      </c>
      <c r="FJ55" s="23">
        <f t="shared" si="190"/>
        <v>2</v>
      </c>
      <c r="FK55" s="23">
        <f t="shared" si="149"/>
        <v>1.2</v>
      </c>
      <c r="FL55" s="23">
        <f t="shared" si="149"/>
        <v>1.2</v>
      </c>
      <c r="FM55" s="23">
        <f t="shared" si="191"/>
        <v>0</v>
      </c>
      <c r="FN55" s="23"/>
      <c r="FO55" s="1" t="s">
        <v>44</v>
      </c>
      <c r="FP55">
        <f t="shared" ref="FP55:FU55" si="194">COUNTIF(FG19:FG569,1)</f>
        <v>22</v>
      </c>
      <c r="FQ55">
        <f t="shared" si="194"/>
        <v>72</v>
      </c>
      <c r="FR55">
        <f t="shared" si="194"/>
        <v>43</v>
      </c>
      <c r="FS55">
        <f t="shared" si="194"/>
        <v>6</v>
      </c>
      <c r="FT55">
        <f t="shared" si="194"/>
        <v>99</v>
      </c>
      <c r="FU55">
        <f t="shared" si="194"/>
        <v>79</v>
      </c>
      <c r="FX55" s="4">
        <f t="shared" si="101"/>
        <v>1</v>
      </c>
      <c r="FY55" s="4">
        <f t="shared" si="102"/>
        <v>1.0833333333333333</v>
      </c>
      <c r="FZ55" s="4">
        <f t="shared" si="103"/>
        <v>0</v>
      </c>
      <c r="GA55" s="4">
        <f t="shared" si="104"/>
        <v>209.81744363815565</v>
      </c>
    </row>
    <row r="56" spans="1:183" ht="12" customHeight="1" x14ac:dyDescent="0.3">
      <c r="A56" s="25">
        <v>38</v>
      </c>
      <c r="B56" s="20" t="s">
        <v>54</v>
      </c>
      <c r="C56" s="20">
        <v>2006</v>
      </c>
      <c r="D56" s="24" t="s">
        <v>55</v>
      </c>
      <c r="E56" s="24"/>
      <c r="F56" s="7" t="s">
        <v>68</v>
      </c>
      <c r="G56" s="7">
        <v>472</v>
      </c>
      <c r="H56" s="7">
        <f t="shared" si="150"/>
        <v>254</v>
      </c>
      <c r="I56" s="7">
        <f t="shared" si="131"/>
        <v>177.79999999999998</v>
      </c>
      <c r="J56" s="7">
        <v>21</v>
      </c>
      <c r="K56" s="7">
        <v>25.4</v>
      </c>
      <c r="L56" s="7">
        <f t="shared" si="151"/>
        <v>10</v>
      </c>
      <c r="M56" s="7">
        <v>7</v>
      </c>
      <c r="N56" s="7">
        <f t="shared" si="132"/>
        <v>152.39999999999998</v>
      </c>
      <c r="O56" s="7">
        <f t="shared" si="108"/>
        <v>63.499999999999986</v>
      </c>
      <c r="P56" s="7">
        <f t="shared" si="133"/>
        <v>50.8</v>
      </c>
      <c r="Q56" s="7">
        <v>0</v>
      </c>
      <c r="R56" s="7">
        <v>1</v>
      </c>
      <c r="S56" s="7">
        <f t="shared" si="134"/>
        <v>88.899999999999991</v>
      </c>
      <c r="T56" s="7">
        <f t="shared" si="42"/>
        <v>2.9999999999999996</v>
      </c>
      <c r="U56" s="7">
        <f t="shared" si="135"/>
        <v>4</v>
      </c>
      <c r="V56" s="7">
        <v>4.04</v>
      </c>
      <c r="W56" s="7">
        <f t="shared" si="152"/>
        <v>4.04</v>
      </c>
      <c r="X56" s="7">
        <f t="shared" si="44"/>
        <v>5.04</v>
      </c>
      <c r="Y56" s="7">
        <f t="shared" si="45"/>
        <v>57.022858574434863</v>
      </c>
      <c r="Z56" s="7"/>
      <c r="AA56" s="7"/>
      <c r="AB56" s="7">
        <v>319</v>
      </c>
      <c r="AC56" s="7"/>
      <c r="AD56" s="7"/>
      <c r="AE56" s="7"/>
      <c r="AF56" s="7"/>
      <c r="AG56" s="7">
        <v>1</v>
      </c>
      <c r="AH56" s="7"/>
      <c r="AI56" s="7"/>
      <c r="AJ56" s="7"/>
      <c r="AK56" s="4">
        <f t="shared" si="125"/>
        <v>254</v>
      </c>
      <c r="AL56" s="44">
        <f t="shared" si="153"/>
        <v>0.12666666666666665</v>
      </c>
      <c r="AM56" s="25">
        <f t="shared" si="112"/>
        <v>366.10267967102493</v>
      </c>
      <c r="AN56" s="4">
        <f t="shared" si="113"/>
        <v>0.7599999999999999</v>
      </c>
      <c r="AO56" s="4">
        <v>1.25</v>
      </c>
      <c r="AP56" s="25">
        <f t="shared" si="114"/>
        <v>5</v>
      </c>
      <c r="AQ56" s="38">
        <f t="shared" si="115"/>
        <v>220.27177893539994</v>
      </c>
      <c r="AR56" s="38">
        <f t="shared" si="116"/>
        <v>220.27177893539994</v>
      </c>
      <c r="AT56" s="38">
        <f t="shared" si="130"/>
        <v>220.27177893539994</v>
      </c>
      <c r="AU56" s="38">
        <f t="shared" si="47"/>
        <v>1</v>
      </c>
      <c r="AV56" s="38">
        <f t="shared" si="136"/>
        <v>1.3030468502430785</v>
      </c>
      <c r="AW56" s="4">
        <f t="shared" si="154"/>
        <v>0</v>
      </c>
      <c r="AX56" s="4">
        <f t="shared" si="155"/>
        <v>168.83173612995199</v>
      </c>
      <c r="AY56" s="4">
        <f t="shared" si="49"/>
        <v>1.1333333333333333</v>
      </c>
      <c r="AZ56" s="38">
        <f t="shared" si="117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36">
        <f t="shared" si="53"/>
        <v>1.1000000000000001</v>
      </c>
      <c r="BF56" s="36">
        <f t="shared" si="54"/>
        <v>167.35566437978727</v>
      </c>
      <c r="BK56" s="4">
        <f t="shared" si="156"/>
        <v>63.499999999999986</v>
      </c>
      <c r="BL56" s="4">
        <f t="shared" si="157"/>
        <v>63.499999999999986</v>
      </c>
      <c r="BM56" s="4">
        <f t="shared" si="158"/>
        <v>88.899999999999991</v>
      </c>
      <c r="BN56" s="4">
        <f t="shared" si="159"/>
        <v>76.199999999999989</v>
      </c>
      <c r="BO56" s="4">
        <f t="shared" si="160"/>
        <v>1.04</v>
      </c>
      <c r="BP56" s="25">
        <f t="shared" si="118"/>
        <v>3.1199999999999997</v>
      </c>
      <c r="BR56" s="4">
        <f t="shared" si="161"/>
        <v>63.499999999999986</v>
      </c>
      <c r="BV56" s="9"/>
      <c r="BX56" s="9"/>
      <c r="BY56" s="9"/>
      <c r="BZ56" s="9">
        <f t="shared" si="162"/>
        <v>50.8</v>
      </c>
      <c r="CA56" s="9">
        <f t="shared" si="163"/>
        <v>63.499999999999986</v>
      </c>
      <c r="CB56" s="9">
        <f t="shared" si="63"/>
        <v>1.4623505735569622</v>
      </c>
      <c r="CC56" s="9">
        <v>0</v>
      </c>
      <c r="CD56" s="9">
        <f t="shared" si="129"/>
        <v>0</v>
      </c>
      <c r="CE56" s="9">
        <f t="shared" si="65"/>
        <v>0</v>
      </c>
      <c r="CF56" s="9">
        <f t="shared" si="164"/>
        <v>0.99524931562137331</v>
      </c>
      <c r="CG56" s="9">
        <f t="shared" si="165"/>
        <v>1.056</v>
      </c>
      <c r="CH56" s="9">
        <f t="shared" si="68"/>
        <v>1.6856736478198622</v>
      </c>
      <c r="CI56" s="9">
        <f t="shared" si="69"/>
        <v>2.465045825719232</v>
      </c>
      <c r="CJ56" s="9">
        <v>1</v>
      </c>
      <c r="CK56" s="9">
        <f t="shared" si="70"/>
        <v>216.92403266329242</v>
      </c>
      <c r="CM56" s="4">
        <f t="shared" si="137"/>
        <v>1.8894551896004999</v>
      </c>
      <c r="CN56" s="4">
        <f t="shared" si="138"/>
        <v>0.98049804084083481</v>
      </c>
      <c r="CO56" s="4">
        <f t="shared" si="139"/>
        <v>1.9061201255553553</v>
      </c>
      <c r="CP56" s="4">
        <f t="shared" si="140"/>
        <v>1.4705608967501955</v>
      </c>
      <c r="CQ56" s="4">
        <f t="shared" si="141"/>
        <v>0.88170720161183924</v>
      </c>
      <c r="CR56" s="4">
        <f t="shared" si="142"/>
        <v>0.95155081061725866</v>
      </c>
      <c r="CS56" s="4">
        <f t="shared" si="143"/>
        <v>1.6189566089937328</v>
      </c>
      <c r="CU56" s="4">
        <f t="shared" si="144"/>
        <v>1.8894551896004999</v>
      </c>
      <c r="CV56" s="4">
        <f t="shared" si="144"/>
        <v>0.98049804084083481</v>
      </c>
      <c r="CW56" s="4">
        <f t="shared" si="145"/>
        <v>1.4705608967501955</v>
      </c>
      <c r="CX56" s="4">
        <f t="shared" si="166"/>
        <v>1.6189566089937328</v>
      </c>
      <c r="CY56" s="4">
        <f t="shared" si="146"/>
        <v>0.88170720161183924</v>
      </c>
      <c r="CZ56" s="4">
        <f t="shared" si="146"/>
        <v>0.95155081061725866</v>
      </c>
      <c r="DH56" s="4">
        <f t="shared" si="167"/>
        <v>0</v>
      </c>
      <c r="DI56" s="4">
        <f t="shared" si="168"/>
        <v>254</v>
      </c>
      <c r="DJ56" s="4">
        <f t="shared" si="169"/>
        <v>0.7</v>
      </c>
      <c r="DL56" s="4">
        <f t="shared" si="170"/>
        <v>1.668887417236156E-5</v>
      </c>
      <c r="DM56" s="4">
        <f t="shared" si="171"/>
        <v>5.7900347857029448</v>
      </c>
      <c r="DN56" s="4">
        <f t="shared" si="172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38">
        <f t="shared" si="119"/>
        <v>361.79811100197389</v>
      </c>
      <c r="DS56" s="4">
        <f t="shared" si="79"/>
        <v>1.0001547654350216</v>
      </c>
      <c r="DT56" s="4">
        <f t="shared" si="147"/>
        <v>2.2449944320643649</v>
      </c>
      <c r="DU56" s="4">
        <f t="shared" si="120"/>
        <v>220.27177893539994</v>
      </c>
      <c r="DY56" s="4">
        <f t="shared" si="173"/>
        <v>0.85</v>
      </c>
      <c r="DZ56" s="4">
        <f t="shared" si="81"/>
        <v>0.85000000000000009</v>
      </c>
      <c r="EA56" s="4">
        <f t="shared" si="82"/>
        <v>1</v>
      </c>
      <c r="EB56" s="4">
        <f t="shared" si="83"/>
        <v>0.85000000000000009</v>
      </c>
      <c r="ED56" s="4">
        <f t="shared" si="121"/>
        <v>335.24221349049014</v>
      </c>
      <c r="EE56" s="25">
        <f t="shared" si="122"/>
        <v>227.72880680497778</v>
      </c>
      <c r="EG56" s="4">
        <f t="shared" si="148"/>
        <v>0.72250000000000003</v>
      </c>
      <c r="EH56" s="4">
        <f t="shared" si="84"/>
        <v>5.7900347857029448</v>
      </c>
      <c r="EI56" s="4">
        <f t="shared" si="174"/>
        <v>5.2207585655726314</v>
      </c>
      <c r="EK56" s="4">
        <f t="shared" si="175"/>
        <v>57.022858574434863</v>
      </c>
      <c r="EL56" s="4">
        <f t="shared" si="176"/>
        <v>2.2449944320643649</v>
      </c>
      <c r="EM56" s="4">
        <f t="shared" si="177"/>
        <v>0.14435072638953436</v>
      </c>
      <c r="EP56" s="4">
        <f t="shared" si="178"/>
        <v>0.14435072638953436</v>
      </c>
      <c r="EQ56" s="4">
        <f t="shared" si="179"/>
        <v>0.5751070598632424</v>
      </c>
      <c r="ER56" s="4">
        <f t="shared" si="180"/>
        <v>4.6406696348475087</v>
      </c>
      <c r="ES56" s="4">
        <f t="shared" si="181"/>
        <v>5.2469568909096118</v>
      </c>
      <c r="ET56" s="4">
        <f t="shared" si="182"/>
        <v>133.47714142556515</v>
      </c>
      <c r="EU56" s="4">
        <f t="shared" si="183"/>
        <v>63.5</v>
      </c>
      <c r="EV56" s="4">
        <f t="shared" si="95"/>
        <v>1.668887417236156E-5</v>
      </c>
      <c r="EW56" s="4">
        <f t="shared" si="184"/>
        <v>5.5693723103756767</v>
      </c>
      <c r="EX56" s="4">
        <f t="shared" si="185"/>
        <v>361.74212582450502</v>
      </c>
      <c r="EY56" s="4">
        <f t="shared" si="186"/>
        <v>120.77714142556512</v>
      </c>
      <c r="EZ56" s="4">
        <f t="shared" si="187"/>
        <v>0</v>
      </c>
      <c r="FB56" s="4">
        <f t="shared" si="100"/>
        <v>66.187636885576012</v>
      </c>
      <c r="FG56" s="23">
        <f t="shared" si="188"/>
        <v>2</v>
      </c>
      <c r="FH56" s="23">
        <f t="shared" si="188"/>
        <v>1</v>
      </c>
      <c r="FI56" s="23">
        <f t="shared" si="189"/>
        <v>1.8</v>
      </c>
      <c r="FJ56" s="23">
        <f t="shared" si="190"/>
        <v>1.6</v>
      </c>
      <c r="FK56" s="23">
        <f t="shared" si="149"/>
        <v>1</v>
      </c>
      <c r="FL56" s="23">
        <f t="shared" si="149"/>
        <v>1</v>
      </c>
      <c r="FM56" s="23">
        <f t="shared" si="191"/>
        <v>0</v>
      </c>
      <c r="FN56" s="23"/>
      <c r="FO56" s="1" t="s">
        <v>45</v>
      </c>
      <c r="FP56">
        <f t="shared" ref="FP56:FU56" si="195">COUNTIF(FG19:FG572,1.2)</f>
        <v>42</v>
      </c>
      <c r="FQ56">
        <f t="shared" si="195"/>
        <v>67</v>
      </c>
      <c r="FR56">
        <f t="shared" si="195"/>
        <v>64</v>
      </c>
      <c r="FS56">
        <f t="shared" si="195"/>
        <v>18</v>
      </c>
      <c r="FT56">
        <f t="shared" si="195"/>
        <v>131</v>
      </c>
      <c r="FU56">
        <f t="shared" si="195"/>
        <v>132</v>
      </c>
      <c r="FX56" s="4">
        <f t="shared" si="101"/>
        <v>1</v>
      </c>
      <c r="FY56" s="4">
        <f t="shared" si="102"/>
        <v>1.0833333333333333</v>
      </c>
      <c r="FZ56" s="4">
        <f t="shared" si="103"/>
        <v>0</v>
      </c>
      <c r="GA56" s="4">
        <f t="shared" si="104"/>
        <v>197.04048782275603</v>
      </c>
    </row>
    <row r="57" spans="1:183" ht="12" customHeight="1" x14ac:dyDescent="0.3">
      <c r="A57" s="25">
        <v>39</v>
      </c>
      <c r="B57" s="20" t="s">
        <v>54</v>
      </c>
      <c r="C57" s="20">
        <v>2006</v>
      </c>
      <c r="D57" s="24" t="s">
        <v>55</v>
      </c>
      <c r="E57" s="24"/>
      <c r="F57" s="7" t="s">
        <v>279</v>
      </c>
      <c r="G57" s="7">
        <v>472</v>
      </c>
      <c r="H57" s="7">
        <f t="shared" si="150"/>
        <v>254</v>
      </c>
      <c r="I57" s="7">
        <f t="shared" si="131"/>
        <v>177.79999999999998</v>
      </c>
      <c r="J57" s="7">
        <v>21</v>
      </c>
      <c r="K57" s="7">
        <v>25.4</v>
      </c>
      <c r="L57" s="7">
        <f t="shared" si="151"/>
        <v>10</v>
      </c>
      <c r="M57" s="7">
        <v>7</v>
      </c>
      <c r="N57" s="7">
        <f t="shared" si="132"/>
        <v>152.39999999999998</v>
      </c>
      <c r="O57" s="7">
        <f t="shared" si="108"/>
        <v>63.499999999999986</v>
      </c>
      <c r="P57" s="7">
        <f t="shared" si="133"/>
        <v>50.8</v>
      </c>
      <c r="Q57" s="7">
        <v>0</v>
      </c>
      <c r="R57" s="7">
        <v>1</v>
      </c>
      <c r="S57" s="7">
        <f t="shared" si="134"/>
        <v>88.899999999999991</v>
      </c>
      <c r="T57" s="7">
        <f t="shared" si="42"/>
        <v>2.9999999999999996</v>
      </c>
      <c r="U57" s="7">
        <f t="shared" si="135"/>
        <v>4</v>
      </c>
      <c r="V57" s="7">
        <v>4.0599999999999996</v>
      </c>
      <c r="W57" s="7">
        <f t="shared" si="152"/>
        <v>4.0599999999999996</v>
      </c>
      <c r="X57" s="7">
        <f t="shared" si="44"/>
        <v>5.0599999999999996</v>
      </c>
      <c r="Y57" s="7">
        <f t="shared" si="45"/>
        <v>57.135887146346114</v>
      </c>
      <c r="Z57" s="7"/>
      <c r="AA57" s="7"/>
      <c r="AB57" s="7">
        <v>386</v>
      </c>
      <c r="AC57" s="7"/>
      <c r="AD57" s="7"/>
      <c r="AE57" s="7"/>
      <c r="AF57" s="7"/>
      <c r="AG57" s="7">
        <v>1</v>
      </c>
      <c r="AH57" s="7"/>
      <c r="AI57" s="7"/>
      <c r="AJ57" s="7"/>
      <c r="AK57" s="4">
        <f t="shared" si="125"/>
        <v>254</v>
      </c>
      <c r="AL57" s="44">
        <f t="shared" si="153"/>
        <v>0.12666666666666665</v>
      </c>
      <c r="AM57" s="25">
        <f t="shared" si="112"/>
        <v>366.10267967102493</v>
      </c>
      <c r="AN57" s="4">
        <f t="shared" si="113"/>
        <v>0.7599999999999999</v>
      </c>
      <c r="AO57" s="4">
        <v>1.25</v>
      </c>
      <c r="AP57" s="25">
        <f t="shared" si="114"/>
        <v>5</v>
      </c>
      <c r="AQ57" s="38">
        <f t="shared" si="115"/>
        <v>220.27177893539994</v>
      </c>
      <c r="AR57" s="38">
        <f t="shared" si="116"/>
        <v>220.27177893539994</v>
      </c>
      <c r="AT57" s="38">
        <f t="shared" si="130"/>
        <v>220.27177893539994</v>
      </c>
      <c r="AU57" s="38">
        <f t="shared" si="47"/>
        <v>1</v>
      </c>
      <c r="AV57" s="38">
        <f t="shared" si="136"/>
        <v>1.3062682317974748</v>
      </c>
      <c r="AW57" s="4">
        <f t="shared" si="154"/>
        <v>0</v>
      </c>
      <c r="AX57" s="4">
        <f t="shared" si="155"/>
        <v>168.83173612995199</v>
      </c>
      <c r="AY57" s="4">
        <f t="shared" si="49"/>
        <v>1.1333333333333333</v>
      </c>
      <c r="AZ57" s="38">
        <f t="shared" si="117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36">
        <f t="shared" si="53"/>
        <v>1.1000000000000001</v>
      </c>
      <c r="BF57" s="36">
        <f t="shared" si="54"/>
        <v>167.35566437978727</v>
      </c>
      <c r="BK57" s="4">
        <f t="shared" si="156"/>
        <v>63.499999999999986</v>
      </c>
      <c r="BL57" s="4">
        <f t="shared" si="157"/>
        <v>63.499999999999986</v>
      </c>
      <c r="BM57" s="4">
        <f t="shared" si="158"/>
        <v>88.899999999999991</v>
      </c>
      <c r="BN57" s="4">
        <f t="shared" si="159"/>
        <v>76.199999999999989</v>
      </c>
      <c r="BO57" s="4">
        <f t="shared" si="160"/>
        <v>1.04</v>
      </c>
      <c r="BP57" s="25">
        <f t="shared" si="118"/>
        <v>3.1199999999999997</v>
      </c>
      <c r="BR57" s="4">
        <f t="shared" si="161"/>
        <v>63.499999999999986</v>
      </c>
      <c r="BV57" s="9"/>
      <c r="BX57" s="9"/>
      <c r="BY57" s="9"/>
      <c r="BZ57" s="9">
        <f t="shared" si="162"/>
        <v>50.8</v>
      </c>
      <c r="CA57" s="9">
        <f t="shared" si="163"/>
        <v>63.499999999999986</v>
      </c>
      <c r="CB57" s="9">
        <f t="shared" si="63"/>
        <v>1.4623505735569622</v>
      </c>
      <c r="CC57" s="9">
        <v>0</v>
      </c>
      <c r="CD57" s="9">
        <f t="shared" si="129"/>
        <v>0</v>
      </c>
      <c r="CE57" s="9">
        <f t="shared" si="65"/>
        <v>0</v>
      </c>
      <c r="CF57" s="9">
        <f t="shared" si="164"/>
        <v>0.99524931562137331</v>
      </c>
      <c r="CG57" s="9">
        <f t="shared" si="165"/>
        <v>1.056</v>
      </c>
      <c r="CH57" s="9">
        <f t="shared" si="68"/>
        <v>1.6856736478198622</v>
      </c>
      <c r="CI57" s="9">
        <f t="shared" si="69"/>
        <v>2.465045825719232</v>
      </c>
      <c r="CJ57" s="9">
        <v>1</v>
      </c>
      <c r="CK57" s="9">
        <f t="shared" si="70"/>
        <v>216.92403266329242</v>
      </c>
      <c r="CM57" s="4">
        <f t="shared" si="137"/>
        <v>2.2863000099868116</v>
      </c>
      <c r="CN57" s="4">
        <f t="shared" si="138"/>
        <v>1.1847488780956026</v>
      </c>
      <c r="CO57" s="4">
        <f t="shared" si="139"/>
        <v>2.3064651049039719</v>
      </c>
      <c r="CP57" s="4">
        <f t="shared" si="140"/>
        <v>1.7794247841554089</v>
      </c>
      <c r="CQ57" s="4">
        <f t="shared" si="141"/>
        <v>1.0672069378723441</v>
      </c>
      <c r="CR57" s="4">
        <f t="shared" si="142"/>
        <v>1.1513943056540974</v>
      </c>
      <c r="CS57" s="4">
        <f t="shared" si="143"/>
        <v>1.9589882478732941</v>
      </c>
      <c r="CU57" s="4">
        <f t="shared" si="144"/>
        <v>2.2863000099868116</v>
      </c>
      <c r="CV57" s="4">
        <f t="shared" si="144"/>
        <v>1.1847488780956026</v>
      </c>
      <c r="CW57" s="4">
        <f t="shared" si="145"/>
        <v>1.7794247841554089</v>
      </c>
      <c r="CX57" s="4">
        <f t="shared" si="166"/>
        <v>1.9589882478732941</v>
      </c>
      <c r="CY57" s="4">
        <f t="shared" si="146"/>
        <v>1.0672069378723441</v>
      </c>
      <c r="CZ57" s="4">
        <f t="shared" si="146"/>
        <v>1.1513943056540974</v>
      </c>
      <c r="DH57" s="4">
        <f t="shared" si="167"/>
        <v>0</v>
      </c>
      <c r="DI57" s="4">
        <f t="shared" si="168"/>
        <v>254</v>
      </c>
      <c r="DJ57" s="4">
        <f t="shared" si="169"/>
        <v>0.7</v>
      </c>
      <c r="DL57" s="4">
        <f t="shared" si="170"/>
        <v>1.668887417236156E-5</v>
      </c>
      <c r="DM57" s="4">
        <f t="shared" si="171"/>
        <v>5.7900347857029448</v>
      </c>
      <c r="DN57" s="4">
        <f t="shared" si="172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38">
        <f t="shared" si="119"/>
        <v>361.69180156339286</v>
      </c>
      <c r="DS57" s="4">
        <f t="shared" si="79"/>
        <v>1.0001546548260865</v>
      </c>
      <c r="DT57" s="4">
        <f t="shared" si="147"/>
        <v>2.2494443758403984</v>
      </c>
      <c r="DU57" s="4">
        <f t="shared" si="120"/>
        <v>220.27177893539994</v>
      </c>
      <c r="DY57" s="4">
        <f t="shared" si="173"/>
        <v>0.85</v>
      </c>
      <c r="DZ57" s="4">
        <f t="shared" si="81"/>
        <v>0.85000000000000009</v>
      </c>
      <c r="EA57" s="4">
        <f t="shared" si="82"/>
        <v>1</v>
      </c>
      <c r="EB57" s="4">
        <f t="shared" si="83"/>
        <v>0.85000000000000009</v>
      </c>
      <c r="ED57" s="4">
        <f t="shared" si="121"/>
        <v>335.24570870681583</v>
      </c>
      <c r="EE57" s="25">
        <f t="shared" si="122"/>
        <v>227.72880680497778</v>
      </c>
      <c r="EG57" s="4">
        <f t="shared" si="148"/>
        <v>0.72250000000000003</v>
      </c>
      <c r="EH57" s="4">
        <f t="shared" si="84"/>
        <v>5.7900347857029448</v>
      </c>
      <c r="EI57" s="4">
        <f t="shared" si="174"/>
        <v>5.2207585655726314</v>
      </c>
      <c r="EK57" s="4">
        <f t="shared" si="175"/>
        <v>57.135887146346114</v>
      </c>
      <c r="EL57" s="4">
        <f t="shared" si="176"/>
        <v>2.2494443758403984</v>
      </c>
      <c r="EM57" s="4">
        <f t="shared" si="177"/>
        <v>0.14392435617349697</v>
      </c>
      <c r="EP57" s="4">
        <f t="shared" si="178"/>
        <v>0.14392435617349697</v>
      </c>
      <c r="EQ57" s="4">
        <f t="shared" si="179"/>
        <v>0.57340836026198916</v>
      </c>
      <c r="ER57" s="4">
        <f t="shared" si="180"/>
        <v>4.6351818913956864</v>
      </c>
      <c r="ES57" s="4">
        <f t="shared" si="181"/>
        <v>5.2445317154987805</v>
      </c>
      <c r="ET57" s="4">
        <f t="shared" si="182"/>
        <v>133.36411285365389</v>
      </c>
      <c r="EU57" s="4">
        <f t="shared" si="183"/>
        <v>63.5</v>
      </c>
      <c r="EV57" s="4">
        <f t="shared" si="95"/>
        <v>1.668887417236156E-5</v>
      </c>
      <c r="EW57" s="4">
        <f t="shared" si="184"/>
        <v>5.5695078238252744</v>
      </c>
      <c r="EX57" s="4">
        <f t="shared" si="185"/>
        <v>361.63587283037361</v>
      </c>
      <c r="EY57" s="4">
        <f t="shared" si="186"/>
        <v>120.66411285365388</v>
      </c>
      <c r="EZ57" s="4">
        <f t="shared" si="187"/>
        <v>0</v>
      </c>
      <c r="FB57" s="4">
        <f t="shared" si="100"/>
        <v>66.184141669250323</v>
      </c>
      <c r="FG57" s="23">
        <f t="shared" si="188"/>
        <v>2.2000000000000002</v>
      </c>
      <c r="FH57" s="23">
        <f t="shared" si="188"/>
        <v>1.2</v>
      </c>
      <c r="FI57" s="23">
        <f t="shared" si="189"/>
        <v>2</v>
      </c>
      <c r="FJ57" s="23">
        <f t="shared" si="190"/>
        <v>1.8</v>
      </c>
      <c r="FK57" s="23">
        <f t="shared" si="149"/>
        <v>1.2</v>
      </c>
      <c r="FL57" s="23">
        <f t="shared" si="149"/>
        <v>1.2</v>
      </c>
      <c r="FM57" s="23">
        <f t="shared" si="191"/>
        <v>0</v>
      </c>
      <c r="FN57" s="23"/>
      <c r="FO57" s="1" t="s">
        <v>46</v>
      </c>
      <c r="FP57">
        <f t="shared" ref="FP57:FU57" si="196">COUNTIF(FG19:FG570,1.4)</f>
        <v>50</v>
      </c>
      <c r="FQ57">
        <f t="shared" si="196"/>
        <v>47</v>
      </c>
      <c r="FR57">
        <f t="shared" si="196"/>
        <v>98</v>
      </c>
      <c r="FS57">
        <f t="shared" si="196"/>
        <v>37</v>
      </c>
      <c r="FT57">
        <f t="shared" si="196"/>
        <v>61</v>
      </c>
      <c r="FU57">
        <f t="shared" si="196"/>
        <v>59</v>
      </c>
      <c r="FX57" s="4">
        <f t="shared" si="101"/>
        <v>1</v>
      </c>
      <c r="FY57" s="4">
        <f t="shared" si="102"/>
        <v>1.0833333333333333</v>
      </c>
      <c r="FZ57" s="4">
        <f t="shared" si="103"/>
        <v>0</v>
      </c>
      <c r="GA57" s="4">
        <f t="shared" si="104"/>
        <v>197.04048782275603</v>
      </c>
    </row>
    <row r="58" spans="1:183" ht="12" customHeight="1" x14ac:dyDescent="0.3">
      <c r="A58" s="25">
        <v>40</v>
      </c>
      <c r="B58" s="20" t="s">
        <v>54</v>
      </c>
      <c r="C58" s="20">
        <v>2006</v>
      </c>
      <c r="D58" s="24" t="s">
        <v>55</v>
      </c>
      <c r="E58" s="24"/>
      <c r="F58" s="7" t="s">
        <v>66</v>
      </c>
      <c r="G58" s="7">
        <v>472</v>
      </c>
      <c r="H58" s="7">
        <f t="shared" si="150"/>
        <v>254</v>
      </c>
      <c r="I58" s="7">
        <f t="shared" si="131"/>
        <v>177.79999999999998</v>
      </c>
      <c r="J58" s="7">
        <v>28</v>
      </c>
      <c r="K58" s="7">
        <v>25.4</v>
      </c>
      <c r="L58" s="7">
        <f t="shared" si="151"/>
        <v>10</v>
      </c>
      <c r="M58" s="7">
        <v>7</v>
      </c>
      <c r="N58" s="7">
        <f t="shared" si="132"/>
        <v>152.39999999999998</v>
      </c>
      <c r="O58" s="7">
        <f t="shared" si="108"/>
        <v>63.499999999999986</v>
      </c>
      <c r="P58" s="7">
        <f t="shared" si="133"/>
        <v>50.8</v>
      </c>
      <c r="Q58" s="7">
        <v>0</v>
      </c>
      <c r="R58" s="7">
        <v>1</v>
      </c>
      <c r="S58" s="7">
        <f t="shared" si="134"/>
        <v>88.899999999999991</v>
      </c>
      <c r="T58" s="7">
        <f t="shared" si="42"/>
        <v>2.9999999999999996</v>
      </c>
      <c r="U58" s="7">
        <f t="shared" si="135"/>
        <v>4</v>
      </c>
      <c r="V58" s="7">
        <v>4.7</v>
      </c>
      <c r="W58" s="7">
        <f t="shared" si="152"/>
        <v>4.7</v>
      </c>
      <c r="X58" s="7">
        <f t="shared" si="44"/>
        <v>5.7</v>
      </c>
      <c r="Y58" s="7">
        <f t="shared" si="45"/>
        <v>60.641668842471674</v>
      </c>
      <c r="Z58" s="7"/>
      <c r="AA58" s="7"/>
      <c r="AB58" s="7">
        <v>458</v>
      </c>
      <c r="AC58" s="7"/>
      <c r="AD58" s="7"/>
      <c r="AE58" s="7"/>
      <c r="AF58" s="7"/>
      <c r="AG58" s="7">
        <v>1</v>
      </c>
      <c r="AH58" s="7"/>
      <c r="AI58" s="7"/>
      <c r="AJ58" s="7"/>
      <c r="AK58" s="4">
        <f t="shared" si="125"/>
        <v>254</v>
      </c>
      <c r="AL58" s="44">
        <f t="shared" si="153"/>
        <v>0.12666666666666665</v>
      </c>
      <c r="AM58" s="25">
        <f t="shared" si="112"/>
        <v>422.7389613182192</v>
      </c>
      <c r="AN58" s="4">
        <f t="shared" si="113"/>
        <v>0.7599999999999999</v>
      </c>
      <c r="AO58" s="4">
        <v>1.25</v>
      </c>
      <c r="AP58" s="25">
        <f t="shared" si="114"/>
        <v>5</v>
      </c>
      <c r="AQ58" s="38">
        <f t="shared" si="115"/>
        <v>254.34794172646178</v>
      </c>
      <c r="AR58" s="38">
        <f t="shared" si="116"/>
        <v>254.34794172646178</v>
      </c>
      <c r="AT58" s="38">
        <f t="shared" si="130"/>
        <v>254.34794172646181</v>
      </c>
      <c r="AU58" s="38">
        <f t="shared" si="47"/>
        <v>0.99999999999999989</v>
      </c>
      <c r="AV58" s="38">
        <f t="shared" si="136"/>
        <v>1.6228846237897425</v>
      </c>
      <c r="AW58" s="4">
        <f t="shared" si="154"/>
        <v>0</v>
      </c>
      <c r="AX58" s="4">
        <f t="shared" si="155"/>
        <v>194.95009660475932</v>
      </c>
      <c r="AY58" s="4">
        <f t="shared" si="49"/>
        <v>1.1333333333333333</v>
      </c>
      <c r="AZ58" s="38">
        <f t="shared" si="117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36">
        <f t="shared" si="53"/>
        <v>1.1000000000000001</v>
      </c>
      <c r="BF58" s="36">
        <f t="shared" si="54"/>
        <v>193.24567576015772</v>
      </c>
      <c r="BK58" s="4">
        <f t="shared" si="156"/>
        <v>63.499999999999986</v>
      </c>
      <c r="BL58" s="4">
        <f t="shared" si="157"/>
        <v>63.499999999999986</v>
      </c>
      <c r="BM58" s="4">
        <f t="shared" si="158"/>
        <v>88.899999999999991</v>
      </c>
      <c r="BN58" s="4">
        <f t="shared" si="159"/>
        <v>76.199999999999989</v>
      </c>
      <c r="BO58" s="4">
        <f t="shared" si="160"/>
        <v>1.04</v>
      </c>
      <c r="BP58" s="25">
        <f t="shared" si="118"/>
        <v>3.1199999999999997</v>
      </c>
      <c r="BR58" s="4">
        <f t="shared" si="161"/>
        <v>63.499999999999986</v>
      </c>
      <c r="BV58" s="9"/>
      <c r="BX58" s="9"/>
      <c r="BY58" s="9"/>
      <c r="BZ58" s="9">
        <f t="shared" si="162"/>
        <v>50.8</v>
      </c>
      <c r="CA58" s="9">
        <f t="shared" si="163"/>
        <v>63.499999999999986</v>
      </c>
      <c r="CB58" s="9">
        <f t="shared" si="63"/>
        <v>1.4623505735569622</v>
      </c>
      <c r="CC58" s="9">
        <v>0</v>
      </c>
      <c r="CD58" s="9">
        <f t="shared" si="129"/>
        <v>0</v>
      </c>
      <c r="CE58" s="9">
        <f t="shared" si="65"/>
        <v>0</v>
      </c>
      <c r="CF58" s="9">
        <f t="shared" si="164"/>
        <v>0.99524931562137331</v>
      </c>
      <c r="CG58" s="9">
        <f t="shared" si="165"/>
        <v>1.056</v>
      </c>
      <c r="CH58" s="9">
        <f t="shared" si="68"/>
        <v>1.9464482686693119</v>
      </c>
      <c r="CI58" s="9">
        <f t="shared" si="69"/>
        <v>2.8463897420875242</v>
      </c>
      <c r="CJ58" s="9">
        <v>1</v>
      </c>
      <c r="CK58" s="9">
        <f t="shared" si="70"/>
        <v>250.48229730370213</v>
      </c>
      <c r="CM58" s="4">
        <f t="shared" si="137"/>
        <v>2.3493191743759252</v>
      </c>
      <c r="CN58" s="4">
        <f t="shared" si="138"/>
        <v>1.0232030933667093</v>
      </c>
      <c r="CO58" s="4">
        <f t="shared" si="139"/>
        <v>2.3700400963612549</v>
      </c>
      <c r="CP58" s="4">
        <f t="shared" si="140"/>
        <v>1.8284725305145577</v>
      </c>
      <c r="CQ58" s="4">
        <f t="shared" si="141"/>
        <v>1.1197809722276568</v>
      </c>
      <c r="CR58" s="4">
        <f t="shared" si="142"/>
        <v>1.1806252210562127</v>
      </c>
      <c r="CS58" s="4">
        <f t="shared" si="143"/>
        <v>2.1630936371420115</v>
      </c>
      <c r="CU58" s="4">
        <f t="shared" si="144"/>
        <v>2.3493191743759252</v>
      </c>
      <c r="CV58" s="4">
        <f t="shared" si="144"/>
        <v>1.0232030933667093</v>
      </c>
      <c r="CW58" s="4">
        <f t="shared" si="145"/>
        <v>1.8284725305145577</v>
      </c>
      <c r="CX58" s="4">
        <f t="shared" si="166"/>
        <v>2.1630936371420115</v>
      </c>
      <c r="CY58" s="4">
        <f t="shared" si="146"/>
        <v>1.1197809722276568</v>
      </c>
      <c r="CZ58" s="4">
        <f t="shared" si="146"/>
        <v>1.1806252210562127</v>
      </c>
      <c r="DH58" s="4">
        <f t="shared" si="167"/>
        <v>0</v>
      </c>
      <c r="DI58" s="4">
        <f t="shared" si="168"/>
        <v>254</v>
      </c>
      <c r="DJ58" s="4">
        <f t="shared" si="169"/>
        <v>0.7</v>
      </c>
      <c r="DL58" s="4">
        <f t="shared" si="170"/>
        <v>1.7601358282256944E-5</v>
      </c>
      <c r="DM58" s="4">
        <f t="shared" si="171"/>
        <v>6.6857562842857838</v>
      </c>
      <c r="DN58" s="4">
        <f t="shared" si="172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38">
        <f t="shared" si="119"/>
        <v>409.00855735105887</v>
      </c>
      <c r="DS58" s="4">
        <f t="shared" si="79"/>
        <v>1.0001419780087477</v>
      </c>
      <c r="DT58" s="4">
        <f t="shared" si="147"/>
        <v>2.3874672772626644</v>
      </c>
      <c r="DU58" s="4">
        <f t="shared" si="120"/>
        <v>254.34794172646181</v>
      </c>
      <c r="DY58" s="4">
        <f t="shared" si="173"/>
        <v>0.85</v>
      </c>
      <c r="DZ58" s="4">
        <f t="shared" si="81"/>
        <v>0.85000000000000009</v>
      </c>
      <c r="EA58" s="4">
        <f t="shared" si="82"/>
        <v>1</v>
      </c>
      <c r="EB58" s="4">
        <f t="shared" si="83"/>
        <v>0.85000000000000009</v>
      </c>
      <c r="ED58" s="4">
        <f t="shared" si="121"/>
        <v>387.93004912283965</v>
      </c>
      <c r="EE58" s="25">
        <f t="shared" si="122"/>
        <v>262.95857582217241</v>
      </c>
      <c r="EG58" s="4">
        <f t="shared" si="148"/>
        <v>0.72250000000000003</v>
      </c>
      <c r="EH58" s="4">
        <f t="shared" si="84"/>
        <v>6.6857562842857838</v>
      </c>
      <c r="EI58" s="4">
        <f t="shared" si="174"/>
        <v>6.028412726414806</v>
      </c>
      <c r="EK58" s="4">
        <f t="shared" si="175"/>
        <v>60.641668842471674</v>
      </c>
      <c r="EL58" s="4">
        <f t="shared" si="176"/>
        <v>2.3874672772626644</v>
      </c>
      <c r="EM58" s="4">
        <f t="shared" si="177"/>
        <v>0.13195463217595851</v>
      </c>
      <c r="EP58" s="4">
        <f t="shared" si="178"/>
        <v>0.13195463217595851</v>
      </c>
      <c r="EQ58" s="4">
        <f t="shared" si="179"/>
        <v>0.45528673530158714</v>
      </c>
      <c r="ER58" s="4">
        <f t="shared" si="180"/>
        <v>4.8805025068076127</v>
      </c>
      <c r="ES58" s="4">
        <f t="shared" si="181"/>
        <v>5.8533131368817264</v>
      </c>
      <c r="ET58" s="4">
        <f t="shared" si="182"/>
        <v>129.85833115752831</v>
      </c>
      <c r="EU58" s="4">
        <f t="shared" si="183"/>
        <v>63.5</v>
      </c>
      <c r="EV58" s="4">
        <f t="shared" si="95"/>
        <v>1.7601358282256944E-5</v>
      </c>
      <c r="EW58" s="4">
        <f t="shared" si="184"/>
        <v>6.3894588954142764</v>
      </c>
      <c r="EX58" s="4">
        <f t="shared" si="185"/>
        <v>408.95049537404924</v>
      </c>
      <c r="EY58" s="4">
        <f t="shared" si="186"/>
        <v>117.15833115752831</v>
      </c>
      <c r="EZ58" s="4">
        <f t="shared" si="187"/>
        <v>0</v>
      </c>
      <c r="FB58" s="4">
        <f t="shared" si="100"/>
        <v>75.601215227906266</v>
      </c>
      <c r="FG58" s="23">
        <f t="shared" si="188"/>
        <v>2.2000000000000002</v>
      </c>
      <c r="FH58" s="23">
        <f t="shared" si="188"/>
        <v>1.2</v>
      </c>
      <c r="FI58" s="23">
        <f t="shared" si="189"/>
        <v>2.2000000000000002</v>
      </c>
      <c r="FJ58" s="23">
        <f t="shared" si="190"/>
        <v>2</v>
      </c>
      <c r="FK58" s="23">
        <f t="shared" si="149"/>
        <v>1.2</v>
      </c>
      <c r="FL58" s="23">
        <f t="shared" si="149"/>
        <v>1.2</v>
      </c>
      <c r="FM58" s="23">
        <f t="shared" si="191"/>
        <v>0</v>
      </c>
      <c r="FN58" s="23"/>
      <c r="FO58" s="1" t="s">
        <v>47</v>
      </c>
      <c r="FP58">
        <f t="shared" ref="FP58:FU58" si="197">COUNTIF(FG19:FG570,1.6)</f>
        <v>39</v>
      </c>
      <c r="FQ58">
        <f t="shared" si="197"/>
        <v>29</v>
      </c>
      <c r="FR58">
        <f t="shared" si="197"/>
        <v>58</v>
      </c>
      <c r="FS58">
        <f t="shared" si="197"/>
        <v>48</v>
      </c>
      <c r="FT58">
        <f t="shared" si="197"/>
        <v>20</v>
      </c>
      <c r="FU58">
        <f t="shared" si="197"/>
        <v>33</v>
      </c>
      <c r="FX58" s="4">
        <f t="shared" si="101"/>
        <v>1</v>
      </c>
      <c r="FY58" s="4">
        <f t="shared" si="102"/>
        <v>1.0833333333333333</v>
      </c>
      <c r="FZ58" s="4">
        <f t="shared" si="103"/>
        <v>0</v>
      </c>
      <c r="GA58" s="4">
        <f t="shared" si="104"/>
        <v>211.73378356617641</v>
      </c>
    </row>
    <row r="59" spans="1:183" ht="12" customHeight="1" x14ac:dyDescent="0.3">
      <c r="A59" s="25">
        <v>41</v>
      </c>
      <c r="B59" s="20" t="s">
        <v>54</v>
      </c>
      <c r="C59" s="20">
        <v>2006</v>
      </c>
      <c r="D59" s="24" t="s">
        <v>55</v>
      </c>
      <c r="E59" s="24"/>
      <c r="F59" s="7" t="s">
        <v>66</v>
      </c>
      <c r="G59" s="7">
        <v>472</v>
      </c>
      <c r="H59" s="7">
        <f t="shared" si="150"/>
        <v>254</v>
      </c>
      <c r="I59" s="7">
        <f t="shared" si="131"/>
        <v>177.79999999999998</v>
      </c>
      <c r="J59" s="7">
        <v>21</v>
      </c>
      <c r="K59" s="7">
        <v>25.4</v>
      </c>
      <c r="L59" s="7">
        <f t="shared" si="151"/>
        <v>10</v>
      </c>
      <c r="M59" s="7">
        <v>7</v>
      </c>
      <c r="N59" s="7">
        <f t="shared" si="132"/>
        <v>152.39999999999998</v>
      </c>
      <c r="O59" s="7">
        <f t="shared" si="108"/>
        <v>63.499999999999986</v>
      </c>
      <c r="P59" s="7">
        <f t="shared" si="133"/>
        <v>50.8</v>
      </c>
      <c r="Q59" s="7">
        <v>0</v>
      </c>
      <c r="R59" s="7">
        <v>1</v>
      </c>
      <c r="S59" s="7">
        <f t="shared" si="134"/>
        <v>88.899999999999991</v>
      </c>
      <c r="T59" s="7">
        <f t="shared" si="42"/>
        <v>2.9999999999999996</v>
      </c>
      <c r="U59" s="7">
        <f t="shared" si="135"/>
        <v>4</v>
      </c>
      <c r="V59" s="7">
        <v>4.7</v>
      </c>
      <c r="W59" s="7">
        <f t="shared" si="152"/>
        <v>4.7</v>
      </c>
      <c r="X59" s="7">
        <f t="shared" si="44"/>
        <v>5.7</v>
      </c>
      <c r="Y59" s="7">
        <f t="shared" si="45"/>
        <v>60.641668842471674</v>
      </c>
      <c r="Z59" s="7"/>
      <c r="AA59" s="7"/>
      <c r="AB59" s="7">
        <v>458</v>
      </c>
      <c r="AC59" s="7"/>
      <c r="AD59" s="7"/>
      <c r="AE59" s="7"/>
      <c r="AF59" s="7"/>
      <c r="AG59" s="7">
        <v>1</v>
      </c>
      <c r="AH59" s="7"/>
      <c r="AI59" s="7"/>
      <c r="AJ59" s="7"/>
      <c r="AK59" s="4">
        <f t="shared" si="125"/>
        <v>254</v>
      </c>
      <c r="AL59" s="44">
        <f t="shared" si="153"/>
        <v>0.12666666666666665</v>
      </c>
      <c r="AM59" s="25">
        <f t="shared" si="112"/>
        <v>366.10267967102493</v>
      </c>
      <c r="AN59" s="4">
        <f t="shared" si="113"/>
        <v>0.7599999999999999</v>
      </c>
      <c r="AO59" s="4">
        <v>1.25</v>
      </c>
      <c r="AP59" s="25">
        <f t="shared" si="114"/>
        <v>5</v>
      </c>
      <c r="AQ59" s="38">
        <f t="shared" si="115"/>
        <v>220.27177893539994</v>
      </c>
      <c r="AR59" s="38">
        <f t="shared" si="116"/>
        <v>220.27177893539994</v>
      </c>
      <c r="AT59" s="38">
        <f t="shared" si="130"/>
        <v>220.27177893539994</v>
      </c>
      <c r="AU59" s="38">
        <f t="shared" si="47"/>
        <v>1</v>
      </c>
      <c r="AV59" s="38">
        <f t="shared" si="136"/>
        <v>1.4054593116130687</v>
      </c>
      <c r="AW59" s="4">
        <f t="shared" si="154"/>
        <v>0</v>
      </c>
      <c r="AX59" s="4">
        <f t="shared" si="155"/>
        <v>168.83173612995199</v>
      </c>
      <c r="AY59" s="4">
        <f t="shared" si="49"/>
        <v>1.1333333333333333</v>
      </c>
      <c r="AZ59" s="38">
        <f t="shared" si="117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36">
        <f t="shared" si="53"/>
        <v>1.1000000000000001</v>
      </c>
      <c r="BF59" s="36">
        <f t="shared" si="54"/>
        <v>167.35566437978727</v>
      </c>
      <c r="BK59" s="4">
        <f t="shared" si="156"/>
        <v>63.499999999999986</v>
      </c>
      <c r="BL59" s="4">
        <f t="shared" si="157"/>
        <v>63.499999999999986</v>
      </c>
      <c r="BM59" s="4">
        <f t="shared" si="158"/>
        <v>88.899999999999991</v>
      </c>
      <c r="BN59" s="4">
        <f t="shared" si="159"/>
        <v>76.199999999999989</v>
      </c>
      <c r="BO59" s="4">
        <f t="shared" si="160"/>
        <v>1.04</v>
      </c>
      <c r="BP59" s="25">
        <f t="shared" si="118"/>
        <v>3.1199999999999997</v>
      </c>
      <c r="BR59" s="4">
        <f t="shared" si="161"/>
        <v>63.499999999999986</v>
      </c>
      <c r="BV59" s="9"/>
      <c r="BX59" s="9"/>
      <c r="BY59" s="9"/>
      <c r="BZ59" s="9">
        <f t="shared" si="162"/>
        <v>50.8</v>
      </c>
      <c r="CA59" s="9">
        <f t="shared" si="163"/>
        <v>63.499999999999986</v>
      </c>
      <c r="CB59" s="9">
        <f t="shared" si="63"/>
        <v>1.4623505735569622</v>
      </c>
      <c r="CC59" s="9">
        <v>0</v>
      </c>
      <c r="CD59" s="9">
        <f t="shared" si="129"/>
        <v>0</v>
      </c>
      <c r="CE59" s="9">
        <f t="shared" si="65"/>
        <v>0</v>
      </c>
      <c r="CF59" s="9">
        <f t="shared" si="164"/>
        <v>0.99524931562137331</v>
      </c>
      <c r="CG59" s="9">
        <f t="shared" si="165"/>
        <v>1.056</v>
      </c>
      <c r="CH59" s="9">
        <f t="shared" si="68"/>
        <v>1.6856736478198622</v>
      </c>
      <c r="CI59" s="9">
        <f t="shared" si="69"/>
        <v>2.465045825719232</v>
      </c>
      <c r="CJ59" s="9">
        <v>1</v>
      </c>
      <c r="CK59" s="9">
        <f t="shared" si="70"/>
        <v>216.92403266329242</v>
      </c>
      <c r="CM59" s="4">
        <f t="shared" si="137"/>
        <v>2.7127601154765797</v>
      </c>
      <c r="CN59" s="4">
        <f t="shared" si="138"/>
        <v>1.3480404750163797</v>
      </c>
      <c r="CO59" s="4">
        <f t="shared" si="139"/>
        <v>2.7366865752487546</v>
      </c>
      <c r="CP59" s="4">
        <f t="shared" si="140"/>
        <v>2.1113382153968323</v>
      </c>
      <c r="CQ59" s="4">
        <f t="shared" si="141"/>
        <v>1.2773071017135704</v>
      </c>
      <c r="CR59" s="4">
        <f t="shared" si="142"/>
        <v>1.3657607623619461</v>
      </c>
      <c r="CS59" s="4">
        <f t="shared" si="143"/>
        <v>2.324395382191629</v>
      </c>
      <c r="CU59" s="4">
        <f t="shared" si="144"/>
        <v>2.7127601154765797</v>
      </c>
      <c r="CV59" s="4">
        <f t="shared" si="144"/>
        <v>1.3480404750163797</v>
      </c>
      <c r="CW59" s="4">
        <f t="shared" si="145"/>
        <v>2.1113382153968323</v>
      </c>
      <c r="CX59" s="4">
        <f t="shared" si="166"/>
        <v>2.324395382191629</v>
      </c>
      <c r="CY59" s="4">
        <f t="shared" si="146"/>
        <v>1.2773071017135704</v>
      </c>
      <c r="CZ59" s="4">
        <f t="shared" si="146"/>
        <v>1.3657607623619461</v>
      </c>
      <c r="DH59" s="4">
        <f t="shared" si="167"/>
        <v>0</v>
      </c>
      <c r="DI59" s="4">
        <f t="shared" si="168"/>
        <v>254</v>
      </c>
      <c r="DJ59" s="4">
        <f t="shared" si="169"/>
        <v>0.7</v>
      </c>
      <c r="DL59" s="4">
        <f t="shared" si="170"/>
        <v>1.668887417236156E-5</v>
      </c>
      <c r="DM59" s="4">
        <f t="shared" si="171"/>
        <v>5.7900347857029448</v>
      </c>
      <c r="DN59" s="4">
        <f t="shared" si="172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38">
        <f t="shared" si="119"/>
        <v>358.56686257014496</v>
      </c>
      <c r="DS59" s="4">
        <f t="shared" si="79"/>
        <v>1.000151622901764</v>
      </c>
      <c r="DT59" s="4">
        <f t="shared" si="147"/>
        <v>2.3874672772626644</v>
      </c>
      <c r="DU59" s="4">
        <f t="shared" si="120"/>
        <v>220.27177893539994</v>
      </c>
      <c r="DY59" s="4">
        <f t="shared" si="173"/>
        <v>0.85</v>
      </c>
      <c r="DZ59" s="4">
        <f t="shared" si="81"/>
        <v>0.85000000000000009</v>
      </c>
      <c r="EA59" s="4">
        <f t="shared" si="82"/>
        <v>1</v>
      </c>
      <c r="EB59" s="4">
        <f t="shared" si="83"/>
        <v>0.85000000000000009</v>
      </c>
      <c r="ED59" s="4">
        <f t="shared" si="121"/>
        <v>335.34423642976458</v>
      </c>
      <c r="EE59" s="25">
        <f t="shared" si="122"/>
        <v>227.72880680497778</v>
      </c>
      <c r="EG59" s="4">
        <f t="shared" si="148"/>
        <v>0.72250000000000003</v>
      </c>
      <c r="EH59" s="4">
        <f t="shared" si="84"/>
        <v>5.7900347857029448</v>
      </c>
      <c r="EI59" s="4">
        <f t="shared" si="174"/>
        <v>5.2207585655726314</v>
      </c>
      <c r="EK59" s="4">
        <f t="shared" si="175"/>
        <v>60.641668842471674</v>
      </c>
      <c r="EL59" s="4">
        <f t="shared" si="176"/>
        <v>2.3874672772626644</v>
      </c>
      <c r="EM59" s="4">
        <f t="shared" si="177"/>
        <v>0.13195463217595851</v>
      </c>
      <c r="EP59" s="4">
        <f t="shared" si="178"/>
        <v>0.13195463217595851</v>
      </c>
      <c r="EQ59" s="4">
        <f t="shared" si="179"/>
        <v>0.52571983836967451</v>
      </c>
      <c r="ER59" s="4">
        <f t="shared" si="180"/>
        <v>4.4769569595638528</v>
      </c>
      <c r="ES59" s="4">
        <f t="shared" si="181"/>
        <v>5.1753763982640848</v>
      </c>
      <c r="ET59" s="4">
        <f t="shared" si="182"/>
        <v>129.85833115752831</v>
      </c>
      <c r="EU59" s="4">
        <f t="shared" si="183"/>
        <v>63.5</v>
      </c>
      <c r="EV59" s="4">
        <f t="shared" si="95"/>
        <v>1.668887417236156E-5</v>
      </c>
      <c r="EW59" s="4">
        <f t="shared" si="184"/>
        <v>5.5734861149773431</v>
      </c>
      <c r="EX59" s="4">
        <f t="shared" si="185"/>
        <v>358.51250386399045</v>
      </c>
      <c r="EY59" s="4">
        <f t="shared" si="186"/>
        <v>117.15833115752831</v>
      </c>
      <c r="EZ59" s="4">
        <f t="shared" si="187"/>
        <v>0</v>
      </c>
      <c r="FB59" s="4">
        <f t="shared" si="100"/>
        <v>66.085613946301578</v>
      </c>
      <c r="FG59" s="23">
        <f t="shared" si="188"/>
        <v>2.2000000000000002</v>
      </c>
      <c r="FH59" s="23">
        <f t="shared" si="188"/>
        <v>1.4</v>
      </c>
      <c r="FI59" s="23">
        <f t="shared" si="189"/>
        <v>2.2000000000000002</v>
      </c>
      <c r="FJ59" s="23">
        <f t="shared" si="190"/>
        <v>2.2000000000000002</v>
      </c>
      <c r="FK59" s="23">
        <f t="shared" si="149"/>
        <v>1.4</v>
      </c>
      <c r="FL59" s="23">
        <f t="shared" si="149"/>
        <v>1.4</v>
      </c>
      <c r="FM59" s="23">
        <f t="shared" si="191"/>
        <v>0</v>
      </c>
      <c r="FN59" s="23"/>
      <c r="FO59" s="1" t="s">
        <v>48</v>
      </c>
      <c r="FP59">
        <f t="shared" ref="FP59:FU59" si="198">COUNTIF(FG19:FG570,1.8)</f>
        <v>36</v>
      </c>
      <c r="FQ59">
        <f t="shared" si="198"/>
        <v>11</v>
      </c>
      <c r="FR59">
        <f t="shared" si="198"/>
        <v>26</v>
      </c>
      <c r="FS59">
        <f t="shared" si="198"/>
        <v>59</v>
      </c>
      <c r="FT59">
        <f t="shared" si="198"/>
        <v>5</v>
      </c>
      <c r="FU59">
        <f t="shared" si="198"/>
        <v>16</v>
      </c>
      <c r="FX59" s="4">
        <f t="shared" si="101"/>
        <v>1</v>
      </c>
      <c r="FY59" s="4">
        <f t="shared" si="102"/>
        <v>1.0833333333333333</v>
      </c>
      <c r="FZ59" s="4">
        <f t="shared" si="103"/>
        <v>0</v>
      </c>
      <c r="GA59" s="4">
        <f t="shared" si="104"/>
        <v>197.04048782275603</v>
      </c>
    </row>
    <row r="60" spans="1:183" ht="12" customHeight="1" x14ac:dyDescent="0.3">
      <c r="A60" s="25">
        <v>42</v>
      </c>
      <c r="B60" s="20" t="s">
        <v>54</v>
      </c>
      <c r="C60" s="20">
        <v>2006</v>
      </c>
      <c r="D60" s="24" t="s">
        <v>55</v>
      </c>
      <c r="E60" s="24"/>
      <c r="F60" s="7" t="s">
        <v>281</v>
      </c>
      <c r="G60" s="7">
        <v>472</v>
      </c>
      <c r="H60" s="7">
        <f t="shared" si="150"/>
        <v>254</v>
      </c>
      <c r="I60" s="7">
        <f t="shared" si="131"/>
        <v>177.79999999999998</v>
      </c>
      <c r="J60" s="7">
        <v>27</v>
      </c>
      <c r="K60" s="7">
        <v>25.4</v>
      </c>
      <c r="L60" s="7">
        <f t="shared" si="151"/>
        <v>10</v>
      </c>
      <c r="M60" s="7">
        <v>7</v>
      </c>
      <c r="N60" s="7">
        <f t="shared" si="132"/>
        <v>152.39999999999998</v>
      </c>
      <c r="O60" s="7">
        <f t="shared" si="108"/>
        <v>63.499999999999986</v>
      </c>
      <c r="P60" s="7">
        <f t="shared" si="133"/>
        <v>50.8</v>
      </c>
      <c r="Q60" s="7">
        <v>0</v>
      </c>
      <c r="R60" s="7">
        <v>1</v>
      </c>
      <c r="S60" s="7">
        <f t="shared" si="134"/>
        <v>88.899999999999991</v>
      </c>
      <c r="T60" s="7">
        <f t="shared" si="42"/>
        <v>2.9999999999999996</v>
      </c>
      <c r="U60" s="7">
        <f t="shared" si="135"/>
        <v>4</v>
      </c>
      <c r="V60" s="7">
        <v>4.7</v>
      </c>
      <c r="W60" s="7">
        <f t="shared" si="152"/>
        <v>4.7</v>
      </c>
      <c r="X60" s="7">
        <f t="shared" si="44"/>
        <v>5.7</v>
      </c>
      <c r="Y60" s="7">
        <f>K60*X60^0.5</f>
        <v>60.641668842471674</v>
      </c>
      <c r="Z60" s="7"/>
      <c r="AA60" s="7"/>
      <c r="AB60" s="7">
        <v>472</v>
      </c>
      <c r="AC60" s="7"/>
      <c r="AD60" s="7"/>
      <c r="AE60" s="7"/>
      <c r="AF60" s="7"/>
      <c r="AG60" s="7">
        <v>1</v>
      </c>
      <c r="AH60" s="7"/>
      <c r="AI60" s="7"/>
      <c r="AJ60" s="7"/>
      <c r="AK60" s="4">
        <f t="shared" si="125"/>
        <v>254</v>
      </c>
      <c r="AL60" s="44">
        <f t="shared" si="153"/>
        <v>0.12666666666666665</v>
      </c>
      <c r="AM60" s="25">
        <f t="shared" si="112"/>
        <v>415.1214191673746</v>
      </c>
      <c r="AN60" s="4">
        <f t="shared" si="113"/>
        <v>0.7599999999999999</v>
      </c>
      <c r="AO60" s="4">
        <v>1.25</v>
      </c>
      <c r="AP60" s="25">
        <f t="shared" si="114"/>
        <v>5</v>
      </c>
      <c r="AQ60" s="38">
        <f t="shared" si="115"/>
        <v>249.76472053237029</v>
      </c>
      <c r="AR60" s="38">
        <f t="shared" si="116"/>
        <v>249.76472053237029</v>
      </c>
      <c r="AT60" s="38">
        <f t="shared" si="130"/>
        <v>249.76472053237032</v>
      </c>
      <c r="AU60" s="38">
        <f t="shared" si="47"/>
        <v>0.99999999999999989</v>
      </c>
      <c r="AV60" s="38">
        <f t="shared" si="136"/>
        <v>1.5936410641492338</v>
      </c>
      <c r="AW60" s="4">
        <f t="shared" si="154"/>
        <v>0</v>
      </c>
      <c r="AX60" s="4">
        <f>I60/K60*J60^0.5/0.19</f>
        <v>191.43719452077065</v>
      </c>
      <c r="AY60" s="4">
        <f>MIN(0.6+0.4*(U60/T60),2)</f>
        <v>1.1333333333333333</v>
      </c>
      <c r="AZ60" s="38">
        <f t="shared" si="117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36">
        <f t="shared" si="53"/>
        <v>1.1000000000000001</v>
      </c>
      <c r="BF60" s="36">
        <f t="shared" si="54"/>
        <v>189.7634864772462</v>
      </c>
      <c r="BK60" s="4">
        <f t="shared" si="156"/>
        <v>63.499999999999986</v>
      </c>
      <c r="BL60" s="4">
        <f t="shared" si="157"/>
        <v>63.499999999999986</v>
      </c>
      <c r="BM60" s="4">
        <f t="shared" si="158"/>
        <v>88.899999999999991</v>
      </c>
      <c r="BN60" s="4">
        <f t="shared" si="159"/>
        <v>76.199999999999989</v>
      </c>
      <c r="BO60" s="4">
        <f t="shared" si="160"/>
        <v>1.04</v>
      </c>
      <c r="BP60" s="25">
        <f t="shared" si="118"/>
        <v>3.1199999999999997</v>
      </c>
      <c r="BR60" s="4">
        <f t="shared" si="161"/>
        <v>63.499999999999986</v>
      </c>
      <c r="BV60" s="9"/>
      <c r="BX60" s="9"/>
      <c r="BY60" s="9"/>
      <c r="BZ60" s="9">
        <f t="shared" si="162"/>
        <v>50.8</v>
      </c>
      <c r="CA60" s="9">
        <f t="shared" si="163"/>
        <v>63.499999999999986</v>
      </c>
      <c r="CB60" s="9">
        <f t="shared" si="63"/>
        <v>1.4623505735569622</v>
      </c>
      <c r="CC60" s="9">
        <v>0</v>
      </c>
      <c r="CD60" s="9">
        <f t="shared" si="129"/>
        <v>0</v>
      </c>
      <c r="CE60" s="9">
        <f t="shared" si="65"/>
        <v>0</v>
      </c>
      <c r="CF60" s="9">
        <f t="shared" si="164"/>
        <v>0.99524931562137331</v>
      </c>
      <c r="CG60" s="9">
        <f t="shared" si="165"/>
        <v>1.056</v>
      </c>
      <c r="CH60" s="9">
        <f t="shared" si="68"/>
        <v>1.911374255891328</v>
      </c>
      <c r="CI60" s="9">
        <f t="shared" si="69"/>
        <v>2.7950992393846952</v>
      </c>
      <c r="CJ60" s="9">
        <v>1</v>
      </c>
      <c r="CK60" s="9">
        <f t="shared" si="70"/>
        <v>245.96873306585317</v>
      </c>
      <c r="CM60" s="4">
        <f t="shared" si="137"/>
        <v>2.465560578139316</v>
      </c>
      <c r="CN60" s="4">
        <f t="shared" si="138"/>
        <v>1.0919753623886943</v>
      </c>
      <c r="CO60" s="4">
        <f t="shared" si="139"/>
        <v>2.487306745687325</v>
      </c>
      <c r="CP60" s="4">
        <f t="shared" si="140"/>
        <v>1.9189430872648008</v>
      </c>
      <c r="CQ60" s="4">
        <f t="shared" si="141"/>
        <v>1.1734211874058873</v>
      </c>
      <c r="CR60" s="4">
        <f t="shared" si="142"/>
        <v>1.2393430683283218</v>
      </c>
      <c r="CS60" s="4">
        <f t="shared" si="143"/>
        <v>2.2495746388655649</v>
      </c>
      <c r="CU60" s="4">
        <f t="shared" si="144"/>
        <v>2.465560578139316</v>
      </c>
      <c r="CV60" s="4">
        <f t="shared" si="144"/>
        <v>1.0919753623886943</v>
      </c>
      <c r="CW60" s="4">
        <f t="shared" si="145"/>
        <v>1.9189430872648008</v>
      </c>
      <c r="CX60" s="4">
        <f t="shared" si="166"/>
        <v>2.2495746388655649</v>
      </c>
      <c r="CY60" s="4">
        <f t="shared" si="146"/>
        <v>1.1734211874058873</v>
      </c>
      <c r="CZ60" s="4">
        <f t="shared" si="146"/>
        <v>1.2393430683283218</v>
      </c>
      <c r="DH60" s="4">
        <f t="shared" si="167"/>
        <v>0</v>
      </c>
      <c r="DI60" s="4">
        <f t="shared" si="168"/>
        <v>254</v>
      </c>
      <c r="DJ60" s="4">
        <f t="shared" si="169"/>
        <v>0.7</v>
      </c>
      <c r="DL60" s="4">
        <f t="shared" si="170"/>
        <v>1.7472864382687078E-5</v>
      </c>
      <c r="DM60" s="4">
        <f t="shared" si="171"/>
        <v>6.5652823394499222</v>
      </c>
      <c r="DN60" s="4">
        <f t="shared" si="172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38">
        <f t="shared" si="119"/>
        <v>402.24260910395071</v>
      </c>
      <c r="DS60" s="4">
        <f t="shared" si="79"/>
        <v>1.0001431777712819</v>
      </c>
      <c r="DT60" s="4">
        <f t="shared" si="147"/>
        <v>2.3874672772626644</v>
      </c>
      <c r="DU60" s="4">
        <f t="shared" si="120"/>
        <v>249.76472053237032</v>
      </c>
      <c r="DY60" s="4">
        <f t="shared" si="173"/>
        <v>0.85</v>
      </c>
      <c r="DZ60" s="4">
        <f t="shared" si="81"/>
        <v>0.85000000000000009</v>
      </c>
      <c r="EA60" s="4">
        <f t="shared" si="82"/>
        <v>1</v>
      </c>
      <c r="EB60" s="4">
        <f t="shared" si="83"/>
        <v>0.85000000000000009</v>
      </c>
      <c r="ED60" s="4">
        <f t="shared" si="121"/>
        <v>380.84692774911269</v>
      </c>
      <c r="EE60" s="25">
        <f t="shared" si="122"/>
        <v>258.22019535919065</v>
      </c>
      <c r="EG60" s="4">
        <f t="shared" si="148"/>
        <v>0.72250000000000003</v>
      </c>
      <c r="EH60" s="4">
        <f t="shared" si="84"/>
        <v>6.5652823394499222</v>
      </c>
      <c r="EI60" s="4">
        <f t="shared" si="174"/>
        <v>5.9197837798352051</v>
      </c>
      <c r="EK60" s="4">
        <f t="shared" si="175"/>
        <v>60.641668842471674</v>
      </c>
      <c r="EL60" s="4">
        <f t="shared" si="176"/>
        <v>2.3874672772626644</v>
      </c>
      <c r="EM60" s="4">
        <f t="shared" si="177"/>
        <v>0.13195463217595849</v>
      </c>
      <c r="EP60" s="4">
        <f t="shared" si="178"/>
        <v>0.13195463217595849</v>
      </c>
      <c r="EQ60" s="4">
        <f t="shared" si="179"/>
        <v>0.46364131720641022</v>
      </c>
      <c r="ER60" s="4">
        <f t="shared" si="180"/>
        <v>4.8275442138190625</v>
      </c>
      <c r="ES60" s="4">
        <f t="shared" si="181"/>
        <v>5.7624463416714153</v>
      </c>
      <c r="ET60" s="4">
        <f t="shared" si="182"/>
        <v>129.85833115752831</v>
      </c>
      <c r="EU60" s="4">
        <f t="shared" si="183"/>
        <v>63.5</v>
      </c>
      <c r="EV60" s="4">
        <f t="shared" si="95"/>
        <v>1.7472864382687078E-5</v>
      </c>
      <c r="EW60" s="4">
        <f t="shared" si="184"/>
        <v>6.2806845110232778</v>
      </c>
      <c r="EX60" s="4">
        <f t="shared" si="185"/>
        <v>402.18502514840702</v>
      </c>
      <c r="EY60" s="4">
        <f t="shared" si="186"/>
        <v>117.15833115752831</v>
      </c>
      <c r="EZ60" s="4">
        <f t="shared" si="187"/>
        <v>0</v>
      </c>
      <c r="FB60" s="4">
        <f t="shared" si="100"/>
        <v>74.331737793575599</v>
      </c>
      <c r="FG60" s="23">
        <f t="shared" si="188"/>
        <v>2.2000000000000002</v>
      </c>
      <c r="FH60" s="23">
        <f t="shared" si="188"/>
        <v>1.2</v>
      </c>
      <c r="FI60" s="23">
        <f t="shared" si="189"/>
        <v>2.2000000000000002</v>
      </c>
      <c r="FJ60" s="23">
        <f t="shared" si="190"/>
        <v>2</v>
      </c>
      <c r="FK60" s="23">
        <f t="shared" si="149"/>
        <v>1.2</v>
      </c>
      <c r="FL60" s="23">
        <f t="shared" si="149"/>
        <v>1.4</v>
      </c>
      <c r="FM60" s="23">
        <f t="shared" si="191"/>
        <v>0</v>
      </c>
      <c r="FN60" s="23"/>
      <c r="FO60" s="1" t="s">
        <v>49</v>
      </c>
      <c r="FP60">
        <f t="shared" ref="FP60:FU60" si="199">COUNTIF(FG19:FG570,2)</f>
        <v>38</v>
      </c>
      <c r="FQ60">
        <f t="shared" si="199"/>
        <v>3</v>
      </c>
      <c r="FR60">
        <f t="shared" si="199"/>
        <v>17</v>
      </c>
      <c r="FS60">
        <f t="shared" si="199"/>
        <v>70</v>
      </c>
      <c r="FT60">
        <f t="shared" si="199"/>
        <v>0</v>
      </c>
      <c r="FU60">
        <f t="shared" si="199"/>
        <v>1</v>
      </c>
      <c r="FX60" s="4">
        <f t="shared" si="101"/>
        <v>1</v>
      </c>
      <c r="FY60" s="4">
        <f t="shared" si="102"/>
        <v>1.0833333333333333</v>
      </c>
      <c r="FZ60" s="4">
        <f t="shared" si="103"/>
        <v>0</v>
      </c>
      <c r="GA60" s="4">
        <f t="shared" si="104"/>
        <v>209.81744363815565</v>
      </c>
    </row>
    <row r="61" spans="1:183" ht="12" customHeight="1" x14ac:dyDescent="0.3">
      <c r="A61" s="25">
        <v>43</v>
      </c>
      <c r="B61" s="20" t="s">
        <v>54</v>
      </c>
      <c r="C61" s="20">
        <v>2006</v>
      </c>
      <c r="D61" s="24" t="s">
        <v>55</v>
      </c>
      <c r="E61" s="24"/>
      <c r="F61" s="7" t="s">
        <v>282</v>
      </c>
      <c r="G61" s="7">
        <v>472</v>
      </c>
      <c r="H61" s="7">
        <f t="shared" si="150"/>
        <v>254</v>
      </c>
      <c r="I61" s="7">
        <f t="shared" si="131"/>
        <v>177.79999999999998</v>
      </c>
      <c r="J61" s="7">
        <v>28</v>
      </c>
      <c r="K61" s="7">
        <v>25.4</v>
      </c>
      <c r="L61" s="7">
        <f t="shared" si="151"/>
        <v>10</v>
      </c>
      <c r="M61" s="7">
        <v>7</v>
      </c>
      <c r="N61" s="7">
        <f t="shared" si="132"/>
        <v>152.39999999999998</v>
      </c>
      <c r="O61" s="7">
        <f t="shared" si="108"/>
        <v>63.499999999999986</v>
      </c>
      <c r="P61" s="7">
        <f t="shared" si="133"/>
        <v>50.8</v>
      </c>
      <c r="Q61" s="7">
        <v>0</v>
      </c>
      <c r="R61" s="7">
        <v>1</v>
      </c>
      <c r="S61" s="7">
        <f t="shared" si="134"/>
        <v>88.899999999999991</v>
      </c>
      <c r="T61" s="7">
        <f t="shared" si="42"/>
        <v>2.9999999999999996</v>
      </c>
      <c r="U61" s="7">
        <f t="shared" si="135"/>
        <v>4</v>
      </c>
      <c r="V61" s="7">
        <v>10.39</v>
      </c>
      <c r="W61" s="7">
        <f t="shared" si="152"/>
        <v>10.39</v>
      </c>
      <c r="X61" s="7">
        <f t="shared" si="44"/>
        <v>11.39</v>
      </c>
      <c r="Y61" s="7">
        <f t="shared" ref="Y61:Y124" si="200">K61*X61^0.5</f>
        <v>85.722648115885917</v>
      </c>
      <c r="Z61" s="7"/>
      <c r="AA61" s="7"/>
      <c r="AB61" s="7">
        <v>472</v>
      </c>
      <c r="AC61" s="7"/>
      <c r="AD61" s="7"/>
      <c r="AE61" s="7"/>
      <c r="AF61" s="7"/>
      <c r="AG61" s="7">
        <v>1</v>
      </c>
      <c r="AH61" s="7"/>
      <c r="AI61" s="7"/>
      <c r="AJ61" s="7"/>
      <c r="AK61" s="4">
        <f t="shared" si="125"/>
        <v>254</v>
      </c>
      <c r="AL61" s="44">
        <f t="shared" si="153"/>
        <v>0.12666666666666665</v>
      </c>
      <c r="AM61" s="25">
        <f t="shared" si="112"/>
        <v>422.7389613182192</v>
      </c>
      <c r="AN61" s="4">
        <f t="shared" si="113"/>
        <v>0.7599999999999999</v>
      </c>
      <c r="AO61" s="4">
        <v>1.25</v>
      </c>
      <c r="AP61" s="25">
        <f t="shared" si="114"/>
        <v>5</v>
      </c>
      <c r="AQ61" s="38">
        <f t="shared" si="115"/>
        <v>254.34794172646178</v>
      </c>
      <c r="AR61" s="38">
        <f t="shared" si="116"/>
        <v>254.34794172646178</v>
      </c>
      <c r="AT61" s="38">
        <f t="shared" si="130"/>
        <v>254.34794172646181</v>
      </c>
      <c r="AU61" s="38">
        <f t="shared" si="47"/>
        <v>0.99999999999999989</v>
      </c>
      <c r="AV61" s="38">
        <f t="shared" si="136"/>
        <v>2.4129398188950528</v>
      </c>
      <c r="AW61" s="4">
        <f t="shared" si="154"/>
        <v>0</v>
      </c>
      <c r="AX61" s="4">
        <f t="shared" ref="AX61" si="201">I61/K61*J61^0.5/0.19</f>
        <v>194.95009660475932</v>
      </c>
      <c r="AY61" s="4">
        <f t="shared" ref="AY61" si="202">MIN(0.6+0.4*(U61/T61),2)</f>
        <v>1.1333333333333333</v>
      </c>
      <c r="AZ61" s="38">
        <f t="shared" si="117"/>
        <v>613.72627644577824</v>
      </c>
      <c r="BA61" s="4">
        <f t="shared" ref="BA61" si="203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36">
        <f t="shared" si="53"/>
        <v>1.1000000000000001</v>
      </c>
      <c r="BF61" s="36">
        <f t="shared" si="54"/>
        <v>193.24567576015772</v>
      </c>
      <c r="BK61" s="4">
        <f t="shared" si="156"/>
        <v>63.499999999999986</v>
      </c>
      <c r="BL61" s="4">
        <f t="shared" si="157"/>
        <v>63.499999999999986</v>
      </c>
      <c r="BM61" s="4">
        <f t="shared" si="158"/>
        <v>88.899999999999991</v>
      </c>
      <c r="BN61" s="4">
        <f t="shared" si="159"/>
        <v>76.199999999999989</v>
      </c>
      <c r="BO61" s="4">
        <f t="shared" si="160"/>
        <v>1.04</v>
      </c>
      <c r="BP61" s="25">
        <f t="shared" si="118"/>
        <v>3.1199999999999997</v>
      </c>
      <c r="BR61" s="4">
        <f t="shared" si="161"/>
        <v>63.499999999999986</v>
      </c>
      <c r="BV61" s="9"/>
      <c r="BX61" s="9"/>
      <c r="BY61" s="9"/>
      <c r="BZ61" s="9">
        <f t="shared" si="162"/>
        <v>50.8</v>
      </c>
      <c r="CA61" s="9">
        <f t="shared" si="163"/>
        <v>63.499999999999986</v>
      </c>
      <c r="CB61" s="9">
        <f t="shared" si="63"/>
        <v>1.4623505735569622</v>
      </c>
      <c r="CC61" s="9">
        <v>0</v>
      </c>
      <c r="CD61" s="9">
        <f t="shared" si="129"/>
        <v>0</v>
      </c>
      <c r="CE61" s="9">
        <f t="shared" si="65"/>
        <v>0</v>
      </c>
      <c r="CF61" s="9">
        <f t="shared" si="164"/>
        <v>0.99524931562137331</v>
      </c>
      <c r="CG61" s="9">
        <f t="shared" si="165"/>
        <v>1.056</v>
      </c>
      <c r="CH61" s="9">
        <f t="shared" si="68"/>
        <v>1.9464482686693119</v>
      </c>
      <c r="CI61" s="9">
        <f t="shared" si="69"/>
        <v>2.8463897420875242</v>
      </c>
      <c r="CJ61" s="9">
        <v>1</v>
      </c>
      <c r="CK61" s="9">
        <f t="shared" si="70"/>
        <v>250.48229730370213</v>
      </c>
      <c r="CM61" s="4">
        <f t="shared" si="137"/>
        <v>2.4211324242476784</v>
      </c>
      <c r="CN61" s="4">
        <f t="shared" si="138"/>
        <v>0.7325953836940865</v>
      </c>
      <c r="CO61" s="4">
        <f t="shared" si="139"/>
        <v>2.4424867368613805</v>
      </c>
      <c r="CP61" s="4">
        <f t="shared" si="140"/>
        <v>1.8843647039364</v>
      </c>
      <c r="CQ61" s="4">
        <f t="shared" si="141"/>
        <v>1.2108105529790076</v>
      </c>
      <c r="CR61" s="4">
        <f t="shared" si="142"/>
        <v>1.2156689397553775</v>
      </c>
      <c r="CS61" s="4">
        <f t="shared" si="143"/>
        <v>2.2292144033428589</v>
      </c>
      <c r="CU61" s="4">
        <f t="shared" si="144"/>
        <v>2.4211324242476784</v>
      </c>
      <c r="CV61" s="4">
        <f t="shared" si="144"/>
        <v>0.7325953836940865</v>
      </c>
      <c r="CW61" s="4">
        <f t="shared" si="145"/>
        <v>1.8843647039364</v>
      </c>
      <c r="CX61" s="4">
        <f t="shared" si="166"/>
        <v>2.2292144033428589</v>
      </c>
      <c r="CY61" s="4">
        <f t="shared" si="146"/>
        <v>1.2108105529790076</v>
      </c>
      <c r="CZ61" s="4">
        <f t="shared" si="146"/>
        <v>1.2156689397553775</v>
      </c>
      <c r="DH61" s="4">
        <f t="shared" si="167"/>
        <v>0</v>
      </c>
      <c r="DI61" s="4">
        <f t="shared" si="168"/>
        <v>254</v>
      </c>
      <c r="DJ61" s="4">
        <f t="shared" si="169"/>
        <v>0.7</v>
      </c>
      <c r="DL61" s="4">
        <f t="shared" si="170"/>
        <v>1.7601358282256944E-5</v>
      </c>
      <c r="DM61" s="4">
        <f t="shared" si="171"/>
        <v>6.6857562842857838</v>
      </c>
      <c r="DN61" s="4">
        <f t="shared" si="172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38">
        <f t="shared" si="119"/>
        <v>389.82151158058434</v>
      </c>
      <c r="DS61" s="4">
        <f t="shared" si="79"/>
        <v>1.0001348124900087</v>
      </c>
      <c r="DT61" s="4">
        <f t="shared" si="147"/>
        <v>3.3749074061372411</v>
      </c>
      <c r="DU61" s="4">
        <f t="shared" si="120"/>
        <v>254.34794172646181</v>
      </c>
      <c r="DY61" s="4">
        <f t="shared" si="173"/>
        <v>0.85</v>
      </c>
      <c r="DZ61" s="4">
        <f t="shared" si="81"/>
        <v>0.85000000000000009</v>
      </c>
      <c r="EA61" s="4">
        <f t="shared" si="82"/>
        <v>1</v>
      </c>
      <c r="EB61" s="4">
        <f t="shared" si="83"/>
        <v>0.85000000000000009</v>
      </c>
      <c r="ED61" s="4">
        <f t="shared" si="121"/>
        <v>388.26360085746535</v>
      </c>
      <c r="EE61" s="25">
        <f t="shared" si="122"/>
        <v>262.95857582217241</v>
      </c>
      <c r="EG61" s="4">
        <f t="shared" si="148"/>
        <v>0.72250000000000003</v>
      </c>
      <c r="EH61" s="4">
        <f t="shared" si="84"/>
        <v>6.6857562842857838</v>
      </c>
      <c r="EI61" s="4">
        <f t="shared" si="174"/>
        <v>6.028412726414806</v>
      </c>
      <c r="EK61" s="4">
        <f t="shared" si="175"/>
        <v>85.722648115885917</v>
      </c>
      <c r="EL61" s="4">
        <f t="shared" si="176"/>
        <v>3.3749074061372411</v>
      </c>
      <c r="EM61" s="4">
        <f t="shared" si="177"/>
        <v>8.437841924754759E-2</v>
      </c>
      <c r="EP61" s="4">
        <f t="shared" si="178"/>
        <v>8.437841924754759E-2</v>
      </c>
      <c r="EQ61" s="4">
        <f t="shared" si="179"/>
        <v>0.291133205372413</v>
      </c>
      <c r="ER61" s="4">
        <f t="shared" si="180"/>
        <v>4.0811939860169337</v>
      </c>
      <c r="ES61" s="4">
        <f t="shared" si="181"/>
        <v>5.5396113900741408</v>
      </c>
      <c r="ET61" s="4">
        <f t="shared" si="182"/>
        <v>104.77735188411408</v>
      </c>
      <c r="EU61" s="4">
        <f t="shared" si="183"/>
        <v>63.499999999999986</v>
      </c>
      <c r="EV61" s="4">
        <f t="shared" si="95"/>
        <v>1.760135828225694E-5</v>
      </c>
      <c r="EW61" s="4">
        <f t="shared" si="184"/>
        <v>6.4188440713132247</v>
      </c>
      <c r="EX61" s="4">
        <f t="shared" si="185"/>
        <v>389.76896585576924</v>
      </c>
      <c r="EY61" s="4">
        <f t="shared" si="186"/>
        <v>92.077351884114066</v>
      </c>
      <c r="EZ61" s="4">
        <f t="shared" si="187"/>
        <v>0</v>
      </c>
      <c r="FB61" s="4">
        <f t="shared" si="100"/>
        <v>75.267663493280565</v>
      </c>
      <c r="FG61" s="23">
        <f t="shared" si="188"/>
        <v>2.2000000000000002</v>
      </c>
      <c r="FH61" s="23">
        <f t="shared" si="188"/>
        <v>0.8</v>
      </c>
      <c r="FI61" s="23">
        <f t="shared" si="189"/>
        <v>2.2000000000000002</v>
      </c>
      <c r="FJ61" s="23">
        <f t="shared" si="190"/>
        <v>2</v>
      </c>
      <c r="FK61" s="23">
        <f t="shared" si="149"/>
        <v>1.4</v>
      </c>
      <c r="FL61" s="23">
        <f t="shared" si="149"/>
        <v>1.4</v>
      </c>
      <c r="FM61" s="23">
        <f t="shared" si="191"/>
        <v>0</v>
      </c>
      <c r="FN61" s="23"/>
      <c r="FO61" s="1" t="s">
        <v>50</v>
      </c>
      <c r="FP61">
        <f t="shared" ref="FP61:FU61" si="204">COUNTIF(FG19:FG570,2.2)</f>
        <v>108</v>
      </c>
      <c r="FQ61">
        <f t="shared" si="204"/>
        <v>1</v>
      </c>
      <c r="FR61">
        <f t="shared" si="204"/>
        <v>43</v>
      </c>
      <c r="FS61">
        <f t="shared" si="204"/>
        <v>123</v>
      </c>
      <c r="FT61">
        <f t="shared" si="204"/>
        <v>0</v>
      </c>
      <c r="FU61">
        <f t="shared" si="204"/>
        <v>0</v>
      </c>
      <c r="FX61" s="4">
        <f t="shared" si="101"/>
        <v>1</v>
      </c>
      <c r="FY61" s="4">
        <f t="shared" si="102"/>
        <v>1.0833333333333333</v>
      </c>
      <c r="FZ61" s="4">
        <f t="shared" si="103"/>
        <v>0</v>
      </c>
      <c r="GA61" s="4">
        <f t="shared" si="104"/>
        <v>211.73378356617641</v>
      </c>
    </row>
    <row r="62" spans="1:183" ht="12" customHeight="1" x14ac:dyDescent="0.3">
      <c r="A62" s="25">
        <v>44</v>
      </c>
      <c r="B62" s="20" t="s">
        <v>54</v>
      </c>
      <c r="C62" s="20">
        <v>2006</v>
      </c>
      <c r="D62" s="24" t="s">
        <v>55</v>
      </c>
      <c r="E62" s="24"/>
      <c r="F62" s="7" t="s">
        <v>77</v>
      </c>
      <c r="G62" s="7">
        <v>472</v>
      </c>
      <c r="H62" s="7">
        <f>15*25.4</f>
        <v>381</v>
      </c>
      <c r="I62" s="7">
        <f t="shared" si="131"/>
        <v>177.79999999999998</v>
      </c>
      <c r="J62" s="7">
        <v>28</v>
      </c>
      <c r="K62" s="7">
        <v>25.4</v>
      </c>
      <c r="L62" s="7">
        <f t="shared" si="151"/>
        <v>15</v>
      </c>
      <c r="M62" s="7">
        <v>7</v>
      </c>
      <c r="N62" s="7">
        <f t="shared" si="132"/>
        <v>152.39999999999998</v>
      </c>
      <c r="O62" s="7">
        <f t="shared" si="108"/>
        <v>63.499999999999986</v>
      </c>
      <c r="P62" s="7">
        <f t="shared" si="133"/>
        <v>50.8</v>
      </c>
      <c r="Q62" s="7">
        <v>0</v>
      </c>
      <c r="R62" s="7">
        <v>1</v>
      </c>
      <c r="S62" s="7">
        <f t="shared" si="134"/>
        <v>88.899999999999991</v>
      </c>
      <c r="T62" s="7">
        <f t="shared" si="42"/>
        <v>2.9999999999999996</v>
      </c>
      <c r="U62" s="7">
        <f t="shared" si="135"/>
        <v>4</v>
      </c>
      <c r="V62" s="7">
        <v>1.18</v>
      </c>
      <c r="W62" s="7">
        <f t="shared" si="152"/>
        <v>1.18</v>
      </c>
      <c r="X62" s="7">
        <f t="shared" si="44"/>
        <v>2.1799999999999997</v>
      </c>
      <c r="Y62" s="7">
        <f t="shared" si="200"/>
        <v>37.502650572992827</v>
      </c>
      <c r="Z62" s="7"/>
      <c r="AA62" s="7"/>
      <c r="AB62" s="7">
        <v>0</v>
      </c>
      <c r="AC62" s="7"/>
      <c r="AD62" s="7"/>
      <c r="AE62" s="7"/>
      <c r="AF62" s="7"/>
      <c r="AG62" s="7">
        <v>1</v>
      </c>
      <c r="AH62" s="7"/>
      <c r="AI62" s="7"/>
      <c r="AJ62" s="7"/>
      <c r="AK62" s="4">
        <f t="shared" si="125"/>
        <v>381</v>
      </c>
      <c r="AL62" s="44">
        <f t="shared" si="153"/>
        <v>5.9259259259259248E-2</v>
      </c>
      <c r="AM62" s="25">
        <f t="shared" si="112"/>
        <v>776.62106221784506</v>
      </c>
      <c r="AN62" s="4">
        <f t="shared" si="113"/>
        <v>0.74</v>
      </c>
      <c r="AO62" s="4">
        <v>1.25</v>
      </c>
      <c r="AP62" s="25">
        <f t="shared" si="114"/>
        <v>5</v>
      </c>
      <c r="AQ62" s="38">
        <f t="shared" si="115"/>
        <v>212.85169853377971</v>
      </c>
      <c r="AR62" s="38">
        <f t="shared" si="116"/>
        <v>212.85169853377971</v>
      </c>
      <c r="AT62" s="38">
        <f t="shared" si="130"/>
        <v>212.85169853377948</v>
      </c>
      <c r="AU62" s="38">
        <f t="shared" si="47"/>
        <v>1.0000000000000011</v>
      </c>
      <c r="AV62" s="38">
        <f t="shared" si="136"/>
        <v>0.9716969231496575</v>
      </c>
      <c r="AW62" s="4">
        <f t="shared" si="154"/>
        <v>1</v>
      </c>
      <c r="AX62" s="4">
        <f>I62/K62*J62^0.5/0.19</f>
        <v>194.95009660475932</v>
      </c>
      <c r="AY62" s="4">
        <f>MIN(0.6+0.4*(U62/T62),2)</f>
        <v>1.1333333333333333</v>
      </c>
      <c r="AZ62" s="38">
        <f t="shared" si="117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36">
        <f t="shared" si="53"/>
        <v>1.1000000000000001</v>
      </c>
      <c r="BF62" s="36">
        <f t="shared" si="54"/>
        <v>193.24567576015772</v>
      </c>
      <c r="BK62" s="4">
        <f t="shared" si="156"/>
        <v>63.499999999999986</v>
      </c>
      <c r="BL62" s="4">
        <f t="shared" si="157"/>
        <v>63.499999999999986</v>
      </c>
      <c r="BM62" s="4">
        <f t="shared" si="158"/>
        <v>88.899999999999991</v>
      </c>
      <c r="BN62" s="4">
        <f t="shared" si="159"/>
        <v>76.199999999999989</v>
      </c>
      <c r="BO62" s="4">
        <f t="shared" si="160"/>
        <v>1.04</v>
      </c>
      <c r="BP62" s="25">
        <f t="shared" si="118"/>
        <v>3.1199999999999997</v>
      </c>
      <c r="BR62" s="4">
        <f t="shared" si="161"/>
        <v>63.499999999999986</v>
      </c>
      <c r="BV62" s="9"/>
      <c r="BX62" s="9"/>
      <c r="BY62" s="9"/>
      <c r="BZ62" s="9">
        <f>IF(Q62=0,MIN(O62,P62),MIN(Q62/2,O62,P62))</f>
        <v>50.8</v>
      </c>
      <c r="CA62" s="9">
        <f>MAX(Q62/2,O62)</f>
        <v>63.499999999999986</v>
      </c>
      <c r="CB62" s="9">
        <f t="shared" si="63"/>
        <v>1.4623505735569622</v>
      </c>
      <c r="CC62" s="9">
        <v>0</v>
      </c>
      <c r="CD62" s="9">
        <f t="shared" si="129"/>
        <v>0</v>
      </c>
      <c r="CE62" s="9">
        <f t="shared" si="65"/>
        <v>0</v>
      </c>
      <c r="CF62" s="9">
        <f>MIN(1,(25/K62)^0.3)</f>
        <v>0.99524931562137331</v>
      </c>
      <c r="CG62" s="9">
        <f>IF(G62&gt;=800,0.68,IF(G62&gt;=700,0.75-(G62-700)*0.07/100,IF(G62&gt;=600,0.85-(G62-600)*0.1/100,IF(G62&gt;=500,1-(G62-500)*0.15/100,1.2-(G62-400)*0.2/100))))</f>
        <v>1.056</v>
      </c>
      <c r="CH62" s="9">
        <f t="shared" si="68"/>
        <v>1.9464482686693119</v>
      </c>
      <c r="CI62" s="9">
        <f t="shared" si="69"/>
        <v>2.8463897420875242</v>
      </c>
      <c r="CJ62" s="9">
        <v>1</v>
      </c>
      <c r="CK62" s="9">
        <f t="shared" si="70"/>
        <v>250.48229730370213</v>
      </c>
      <c r="DH62" s="4">
        <f t="shared" si="167"/>
        <v>0</v>
      </c>
      <c r="DI62" s="4">
        <f t="shared" si="168"/>
        <v>381</v>
      </c>
      <c r="DJ62" s="4">
        <f t="shared" si="169"/>
        <v>0.46666666666666662</v>
      </c>
      <c r="DL62" s="4">
        <f t="shared" si="170"/>
        <v>2.6402037423385414E-5</v>
      </c>
      <c r="DM62" s="4">
        <f t="shared" si="171"/>
        <v>6.6857562842857838</v>
      </c>
      <c r="DN62" s="4">
        <f t="shared" si="172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38">
        <f t="shared" si="119"/>
        <v>397.32998405897229</v>
      </c>
      <c r="DS62" s="4">
        <f t="shared" si="79"/>
        <v>1.0002672863210411</v>
      </c>
      <c r="DT62" s="4">
        <f t="shared" si="147"/>
        <v>1.4764823060233399</v>
      </c>
      <c r="DU62" s="4">
        <f t="shared" si="120"/>
        <v>212.85169853377948</v>
      </c>
      <c r="DY62" s="4">
        <f>IF(P62&gt;1*K62,0.85,1)</f>
        <v>0.85</v>
      </c>
      <c r="DZ62" s="4">
        <f t="shared" si="81"/>
        <v>0.85000000000000009</v>
      </c>
      <c r="EA62" s="4">
        <f t="shared" si="82"/>
        <v>1</v>
      </c>
      <c r="EB62" s="4">
        <f t="shared" si="83"/>
        <v>0.85000000000000009</v>
      </c>
      <c r="ED62" s="4">
        <f t="shared" si="121"/>
        <v>309.73118092328752</v>
      </c>
      <c r="EE62" s="25">
        <f t="shared" si="122"/>
        <v>209.93356079366291</v>
      </c>
      <c r="EG62" s="4">
        <f t="shared" si="148"/>
        <v>0.72250000000000003</v>
      </c>
      <c r="EH62" s="4">
        <f t="shared" si="84"/>
        <v>6.6857562842857838</v>
      </c>
      <c r="EI62" s="4">
        <f t="shared" si="174"/>
        <v>6.028412726414806</v>
      </c>
      <c r="EK62" s="4">
        <f t="shared" si="175"/>
        <v>37.502650572992827</v>
      </c>
      <c r="EL62" s="4">
        <f t="shared" si="176"/>
        <v>1.4764823060233399</v>
      </c>
      <c r="EM62" s="4">
        <f t="shared" si="177"/>
        <v>0.27200707645678157</v>
      </c>
      <c r="EP62" s="4">
        <f t="shared" si="178"/>
        <v>0.27200707645678157</v>
      </c>
      <c r="EQ62" s="4">
        <f t="shared" si="179"/>
        <v>0.93851357680113745</v>
      </c>
      <c r="ER62" s="4">
        <f t="shared" si="180"/>
        <v>6.5181862391466634</v>
      </c>
      <c r="ES62" s="4">
        <f>EH62/1.4*(1-EQ62^1.4)/(1-EQ62)</f>
        <v>6.602502902959194</v>
      </c>
      <c r="ET62" s="4">
        <f t="shared" si="182"/>
        <v>248.24734942700718</v>
      </c>
      <c r="EU62" s="4">
        <f t="shared" si="183"/>
        <v>95.25</v>
      </c>
      <c r="EV62" s="4">
        <f t="shared" si="95"/>
        <v>2.6402037423385414E-5</v>
      </c>
      <c r="EW62" s="4">
        <f>MAX(0.5*EH62, (1-2*EV62*(EK62*ER62+ET62*ES62))/(1/EH62+EV62*EU62))</f>
        <v>5.9212575541952805</v>
      </c>
      <c r="EX62" s="4">
        <f t="shared" si="185"/>
        <v>397.22381156774838</v>
      </c>
      <c r="EY62" s="4">
        <f t="shared" si="186"/>
        <v>140.29734942700716</v>
      </c>
      <c r="EZ62" s="4">
        <f t="shared" si="187"/>
        <v>0</v>
      </c>
      <c r="FB62" s="4">
        <f t="shared" si="100"/>
        <v>201.06141266323561</v>
      </c>
      <c r="FG62" s="23"/>
      <c r="FH62" s="23"/>
      <c r="FI62" s="23"/>
      <c r="FJ62" s="23"/>
      <c r="FK62" s="23"/>
      <c r="FL62" s="23"/>
      <c r="FM62" s="23"/>
      <c r="FN62" s="23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1.0833333333333333</v>
      </c>
      <c r="FZ62" s="4">
        <f t="shared" si="103"/>
        <v>0</v>
      </c>
      <c r="GA62" s="4">
        <f t="shared" si="104"/>
        <v>317.60067534926469</v>
      </c>
    </row>
    <row r="63" spans="1:183" ht="12" customHeight="1" x14ac:dyDescent="0.3">
      <c r="A63" s="25">
        <v>45</v>
      </c>
      <c r="B63" s="20" t="s">
        <v>54</v>
      </c>
      <c r="C63" s="20">
        <v>2006</v>
      </c>
      <c r="D63" s="24" t="s">
        <v>55</v>
      </c>
      <c r="E63" s="24"/>
      <c r="F63" s="7" t="s">
        <v>69</v>
      </c>
      <c r="G63" s="7">
        <v>472</v>
      </c>
      <c r="H63" s="7">
        <f t="shared" ref="H63:H73" si="205">15*25.4</f>
        <v>381</v>
      </c>
      <c r="I63" s="7">
        <f t="shared" si="131"/>
        <v>177.79999999999998</v>
      </c>
      <c r="J63" s="7">
        <v>28</v>
      </c>
      <c r="K63" s="7">
        <v>25.4</v>
      </c>
      <c r="L63" s="7">
        <f t="shared" si="151"/>
        <v>15</v>
      </c>
      <c r="M63" s="7">
        <v>7</v>
      </c>
      <c r="N63" s="7">
        <f t="shared" si="132"/>
        <v>152.39999999999998</v>
      </c>
      <c r="O63" s="7">
        <f t="shared" si="108"/>
        <v>63.499999999999986</v>
      </c>
      <c r="P63" s="7">
        <f t="shared" si="133"/>
        <v>50.8</v>
      </c>
      <c r="Q63" s="7">
        <v>0</v>
      </c>
      <c r="R63" s="7">
        <v>1</v>
      </c>
      <c r="S63" s="7">
        <f t="shared" si="134"/>
        <v>88.899999999999991</v>
      </c>
      <c r="T63" s="7">
        <f t="shared" si="42"/>
        <v>2.9999999999999996</v>
      </c>
      <c r="U63" s="7">
        <f t="shared" si="135"/>
        <v>4</v>
      </c>
      <c r="V63" s="7">
        <v>1.85</v>
      </c>
      <c r="W63" s="7">
        <f t="shared" si="152"/>
        <v>1.85</v>
      </c>
      <c r="X63" s="7">
        <f t="shared" si="44"/>
        <v>2.85</v>
      </c>
      <c r="Y63" s="7">
        <f t="shared" si="200"/>
        <v>42.880135260980694</v>
      </c>
      <c r="Z63" s="7"/>
      <c r="AA63" s="7"/>
      <c r="AB63" s="7">
        <v>0</v>
      </c>
      <c r="AC63" s="7"/>
      <c r="AD63" s="7"/>
      <c r="AE63" s="7"/>
      <c r="AF63" s="7"/>
      <c r="AG63" s="7">
        <v>1</v>
      </c>
      <c r="AH63" s="7"/>
      <c r="AI63" s="7"/>
      <c r="AJ63" s="7"/>
      <c r="AK63" s="4">
        <f t="shared" si="125"/>
        <v>381</v>
      </c>
      <c r="AL63" s="44">
        <f t="shared" si="153"/>
        <v>5.9259259259259248E-2</v>
      </c>
      <c r="AM63" s="25">
        <f t="shared" si="112"/>
        <v>776.62106221784506</v>
      </c>
      <c r="AN63" s="4">
        <f t="shared" si="113"/>
        <v>0.74</v>
      </c>
      <c r="AO63" s="4">
        <v>1.25</v>
      </c>
      <c r="AP63" s="25">
        <f t="shared" si="114"/>
        <v>5</v>
      </c>
      <c r="AQ63" s="38">
        <f t="shared" si="115"/>
        <v>212.85169853377971</v>
      </c>
      <c r="AR63" s="38">
        <f t="shared" si="116"/>
        <v>212.85169853377971</v>
      </c>
      <c r="AT63" s="38">
        <f t="shared" si="130"/>
        <v>212.85169853377948</v>
      </c>
      <c r="AU63" s="38">
        <f t="shared" si="47"/>
        <v>1.0000000000000011</v>
      </c>
      <c r="AV63" s="38">
        <f t="shared" si="136"/>
        <v>1.2166780921657716</v>
      </c>
      <c r="AW63" s="4">
        <f t="shared" si="154"/>
        <v>0</v>
      </c>
      <c r="AX63" s="4">
        <f>I63/K63*J63^0.5/0.19</f>
        <v>194.95009660475932</v>
      </c>
      <c r="AY63" s="4">
        <f>MIN(0.6+0.4*(U63/T63),2)</f>
        <v>1.1333333333333333</v>
      </c>
      <c r="AZ63" s="38">
        <f t="shared" si="117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36">
        <f t="shared" si="53"/>
        <v>1.1000000000000001</v>
      </c>
      <c r="BF63" s="36">
        <f t="shared" si="54"/>
        <v>193.24567576015772</v>
      </c>
      <c r="BK63" s="4">
        <f t="shared" si="156"/>
        <v>63.499999999999986</v>
      </c>
      <c r="BL63" s="4">
        <f t="shared" si="157"/>
        <v>63.499999999999986</v>
      </c>
      <c r="BM63" s="4">
        <f t="shared" si="158"/>
        <v>88.899999999999991</v>
      </c>
      <c r="BN63" s="4">
        <f t="shared" si="159"/>
        <v>76.199999999999989</v>
      </c>
      <c r="BO63" s="4">
        <f t="shared" si="160"/>
        <v>1.04</v>
      </c>
      <c r="BP63" s="25">
        <f t="shared" si="118"/>
        <v>3.1199999999999997</v>
      </c>
      <c r="BR63" s="4">
        <f t="shared" si="161"/>
        <v>63.499999999999986</v>
      </c>
      <c r="BV63" s="9"/>
      <c r="BX63" s="9"/>
      <c r="BY63" s="9"/>
      <c r="BZ63" s="9">
        <f>IF(Q63=0,MIN(O63,P63),MIN(Q63/2,O63,P63))</f>
        <v>50.8</v>
      </c>
      <c r="CA63" s="9">
        <f>MAX(Q63/2,O63)</f>
        <v>63.499999999999986</v>
      </c>
      <c r="CB63" s="9">
        <f t="shared" si="63"/>
        <v>1.4623505735569622</v>
      </c>
      <c r="CC63" s="9">
        <v>0</v>
      </c>
      <c r="CD63" s="9">
        <f t="shared" si="129"/>
        <v>0</v>
      </c>
      <c r="CE63" s="9">
        <f t="shared" si="65"/>
        <v>0</v>
      </c>
      <c r="CF63" s="9">
        <f>MIN(1,(25/K63)^0.3)</f>
        <v>0.99524931562137331</v>
      </c>
      <c r="CG63" s="9">
        <f>IF(G63&gt;=800,0.68,IF(G63&gt;=700,0.75-(G63-700)*0.07/100,IF(G63&gt;=600,0.85-(G63-600)*0.1/100,IF(G63&gt;=500,1-(G63-500)*0.15/100,1.2-(G63-400)*0.2/100))))</f>
        <v>1.056</v>
      </c>
      <c r="CH63" s="9">
        <f t="shared" si="68"/>
        <v>1.9464482686693119</v>
      </c>
      <c r="CI63" s="9">
        <f t="shared" si="69"/>
        <v>2.8463897420875242</v>
      </c>
      <c r="CJ63" s="9">
        <v>1</v>
      </c>
      <c r="CK63" s="9">
        <f t="shared" si="70"/>
        <v>250.48229730370213</v>
      </c>
      <c r="DH63" s="4">
        <f t="shared" si="167"/>
        <v>0</v>
      </c>
      <c r="DI63" s="4">
        <f t="shared" si="168"/>
        <v>381</v>
      </c>
      <c r="DJ63" s="4">
        <f t="shared" si="169"/>
        <v>0.46666666666666662</v>
      </c>
      <c r="DL63" s="4">
        <f t="shared" si="170"/>
        <v>2.6402037423385414E-5</v>
      </c>
      <c r="DM63" s="4">
        <f t="shared" si="171"/>
        <v>6.6857562842857838</v>
      </c>
      <c r="DN63" s="4">
        <f t="shared" si="172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38">
        <f t="shared" si="119"/>
        <v>384.17396911408935</v>
      </c>
      <c r="DS63" s="4">
        <f t="shared" si="79"/>
        <v>1.0002356530690875</v>
      </c>
      <c r="DT63" s="4">
        <f t="shared" si="147"/>
        <v>1.6881943016134133</v>
      </c>
      <c r="DU63" s="4">
        <f t="shared" si="120"/>
        <v>212.85169853377948</v>
      </c>
      <c r="DY63" s="4">
        <f>IF(P63&gt;1*K63,0.85,1)</f>
        <v>0.85</v>
      </c>
      <c r="DZ63" s="4">
        <f t="shared" si="81"/>
        <v>0.85000000000000009</v>
      </c>
      <c r="EA63" s="4">
        <f t="shared" si="82"/>
        <v>1</v>
      </c>
      <c r="EB63" s="4">
        <f t="shared" si="83"/>
        <v>0.85000000000000009</v>
      </c>
      <c r="ED63" s="4">
        <f t="shared" si="121"/>
        <v>315.36792408353995</v>
      </c>
      <c r="EE63" s="25">
        <f t="shared" si="122"/>
        <v>209.93356079366291</v>
      </c>
      <c r="EG63" s="4">
        <f t="shared" si="148"/>
        <v>0.72250000000000003</v>
      </c>
      <c r="EH63" s="4">
        <f t="shared" si="84"/>
        <v>6.6857562842857838</v>
      </c>
      <c r="EI63" s="4">
        <f t="shared" si="174"/>
        <v>6.028412726414806</v>
      </c>
      <c r="EK63" s="4">
        <f t="shared" si="175"/>
        <v>42.880135260980694</v>
      </c>
      <c r="EL63" s="4">
        <f t="shared" si="176"/>
        <v>1.6881943016134133</v>
      </c>
      <c r="EM63" s="4">
        <f t="shared" si="177"/>
        <v>0.19837396083975403</v>
      </c>
      <c r="EP63" s="4">
        <f t="shared" si="178"/>
        <v>0.19837396083975403</v>
      </c>
      <c r="EQ63" s="4">
        <f t="shared" si="179"/>
        <v>0.68445519122921572</v>
      </c>
      <c r="ER63" s="4">
        <f t="shared" si="180"/>
        <v>5.7449803809063837</v>
      </c>
      <c r="ES63" s="4">
        <f>EH63/1.4*(1-EQ63^1.4)/(1-EQ63)</f>
        <v>6.2331528620769934</v>
      </c>
      <c r="ET63" s="4">
        <f t="shared" si="182"/>
        <v>242.86986473901931</v>
      </c>
      <c r="EU63" s="4">
        <f t="shared" si="183"/>
        <v>95.25</v>
      </c>
      <c r="EV63" s="4">
        <f t="shared" si="95"/>
        <v>2.6402037423385414E-5</v>
      </c>
      <c r="EW63" s="4">
        <f>MAX(0.5*EH63, (1-2*EV63*(EK63*ER63+ET63*ES63))/(1/EH63+EV63*EU63))</f>
        <v>5.9640713898449462</v>
      </c>
      <c r="EX63" s="4">
        <f t="shared" si="185"/>
        <v>384.08345866826846</v>
      </c>
      <c r="EY63" s="4">
        <f t="shared" si="186"/>
        <v>134.91986473901929</v>
      </c>
      <c r="EZ63" s="4">
        <f t="shared" si="187"/>
        <v>0</v>
      </c>
      <c r="FB63" s="4">
        <f t="shared" si="100"/>
        <v>195.42466950298319</v>
      </c>
      <c r="FG63" s="23"/>
      <c r="FH63" s="23"/>
      <c r="FI63" s="23"/>
      <c r="FJ63" s="23"/>
      <c r="FK63" s="23"/>
      <c r="FL63" s="23"/>
      <c r="FM63" s="23"/>
      <c r="FN63" s="23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1.0833333333333333</v>
      </c>
      <c r="FZ63" s="4">
        <f t="shared" si="103"/>
        <v>0</v>
      </c>
      <c r="GA63" s="4">
        <f t="shared" si="104"/>
        <v>317.60067534926469</v>
      </c>
    </row>
    <row r="64" spans="1:183" ht="12" customHeight="1" x14ac:dyDescent="0.3">
      <c r="A64" s="25">
        <v>46</v>
      </c>
      <c r="B64" s="20" t="s">
        <v>54</v>
      </c>
      <c r="C64" s="20">
        <v>2006</v>
      </c>
      <c r="D64" s="24" t="s">
        <v>55</v>
      </c>
      <c r="E64" s="24"/>
      <c r="F64" s="7" t="s">
        <v>69</v>
      </c>
      <c r="G64" s="7">
        <v>472</v>
      </c>
      <c r="H64" s="7">
        <f t="shared" si="205"/>
        <v>381</v>
      </c>
      <c r="I64" s="7">
        <f t="shared" si="131"/>
        <v>177.79999999999998</v>
      </c>
      <c r="J64" s="7">
        <v>21</v>
      </c>
      <c r="K64" s="7">
        <v>25.4</v>
      </c>
      <c r="L64" s="7">
        <f t="shared" si="151"/>
        <v>15</v>
      </c>
      <c r="M64" s="7">
        <v>7</v>
      </c>
      <c r="N64" s="7">
        <f t="shared" si="132"/>
        <v>152.39999999999998</v>
      </c>
      <c r="O64" s="7">
        <f t="shared" si="108"/>
        <v>63.499999999999986</v>
      </c>
      <c r="P64" s="7">
        <f t="shared" si="133"/>
        <v>50.8</v>
      </c>
      <c r="Q64" s="7">
        <v>0</v>
      </c>
      <c r="R64" s="7">
        <v>1</v>
      </c>
      <c r="S64" s="7">
        <f t="shared" si="134"/>
        <v>88.899999999999991</v>
      </c>
      <c r="T64" s="7">
        <f t="shared" si="42"/>
        <v>2.9999999999999996</v>
      </c>
      <c r="U64" s="7">
        <f t="shared" si="135"/>
        <v>4</v>
      </c>
      <c r="V64" s="7">
        <v>1.85</v>
      </c>
      <c r="W64" s="7">
        <f t="shared" si="152"/>
        <v>1.85</v>
      </c>
      <c r="X64" s="7">
        <f t="shared" si="44"/>
        <v>2.85</v>
      </c>
      <c r="Y64" s="7">
        <f t="shared" si="200"/>
        <v>42.880135260980694</v>
      </c>
      <c r="Z64" s="7"/>
      <c r="AA64" s="7"/>
      <c r="AB64" s="7">
        <v>420</v>
      </c>
      <c r="AC64" s="7"/>
      <c r="AD64" s="7"/>
      <c r="AE64" s="7"/>
      <c r="AF64" s="7"/>
      <c r="AG64" s="7">
        <v>1</v>
      </c>
      <c r="AH64" s="7"/>
      <c r="AI64" s="7"/>
      <c r="AJ64" s="7"/>
      <c r="AK64" s="4">
        <f t="shared" si="125"/>
        <v>381</v>
      </c>
      <c r="AL64" s="44">
        <f t="shared" si="153"/>
        <v>5.9259259259259248E-2</v>
      </c>
      <c r="AM64" s="25">
        <f t="shared" si="112"/>
        <v>672.57356899470892</v>
      </c>
      <c r="AN64" s="4">
        <f t="shared" si="113"/>
        <v>0.74</v>
      </c>
      <c r="AO64" s="4">
        <v>1.25</v>
      </c>
      <c r="AP64" s="25">
        <f t="shared" si="114"/>
        <v>5</v>
      </c>
      <c r="AQ64" s="38">
        <f t="shared" si="115"/>
        <v>184.3349781689202</v>
      </c>
      <c r="AR64" s="38">
        <f t="shared" si="116"/>
        <v>184.3349781689202</v>
      </c>
      <c r="AT64" s="38">
        <f t="shared" si="130"/>
        <v>184.33497816892</v>
      </c>
      <c r="AU64" s="38">
        <f t="shared" si="47"/>
        <v>1.0000000000000011</v>
      </c>
      <c r="AV64" s="38">
        <f t="shared" si="136"/>
        <v>1.0536741360435427</v>
      </c>
      <c r="AW64" s="4">
        <f t="shared" si="154"/>
        <v>0</v>
      </c>
      <c r="AX64" s="4">
        <f>I64/K64*J64^0.5/0.19</f>
        <v>168.83173612995199</v>
      </c>
      <c r="AY64" s="4">
        <f>MIN(0.6+0.4*(U64/T64),2)</f>
        <v>1.1333333333333333</v>
      </c>
      <c r="AZ64" s="38">
        <f t="shared" si="117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36">
        <f t="shared" si="53"/>
        <v>1.1000000000000001</v>
      </c>
      <c r="BF64" s="36">
        <f t="shared" si="54"/>
        <v>167.35566437978727</v>
      </c>
      <c r="BK64" s="4">
        <f t="shared" si="156"/>
        <v>63.499999999999986</v>
      </c>
      <c r="BL64" s="4">
        <f t="shared" si="157"/>
        <v>63.499999999999986</v>
      </c>
      <c r="BM64" s="4">
        <f t="shared" si="158"/>
        <v>88.899999999999991</v>
      </c>
      <c r="BN64" s="4">
        <f t="shared" si="159"/>
        <v>76.199999999999989</v>
      </c>
      <c r="BO64" s="4">
        <f t="shared" si="160"/>
        <v>1.04</v>
      </c>
      <c r="BP64" s="25">
        <f t="shared" si="118"/>
        <v>3.1199999999999997</v>
      </c>
      <c r="BR64" s="4">
        <f t="shared" si="161"/>
        <v>63.499999999999986</v>
      </c>
      <c r="BV64" s="9"/>
      <c r="BX64" s="9"/>
      <c r="BY64" s="9"/>
      <c r="BZ64" s="9">
        <f>IF(Q64=0,MIN(O64,P64),MIN(Q64/2,O64,P64))</f>
        <v>50.8</v>
      </c>
      <c r="CA64" s="9">
        <f>MAX(Q64/2,O64)</f>
        <v>63.499999999999986</v>
      </c>
      <c r="CB64" s="9">
        <f t="shared" si="63"/>
        <v>1.4623505735569622</v>
      </c>
      <c r="CC64" s="9">
        <v>0</v>
      </c>
      <c r="CD64" s="9">
        <f t="shared" si="129"/>
        <v>0</v>
      </c>
      <c r="CE64" s="9">
        <f t="shared" si="65"/>
        <v>0</v>
      </c>
      <c r="CF64" s="9">
        <f>MIN(1,(25/K64)^0.3)</f>
        <v>0.99524931562137331</v>
      </c>
      <c r="CG64" s="9">
        <f>IF(G64&gt;=800,0.68,IF(G64&gt;=700,0.75-(G64-700)*0.07/100,IF(G64&gt;=600,0.85-(G64-600)*0.1/100,IF(G64&gt;=500,1-(G64-500)*0.15/100,1.2-(G64-400)*0.2/100))))</f>
        <v>1.056</v>
      </c>
      <c r="CH64" s="9">
        <f t="shared" si="68"/>
        <v>1.6856736478198622</v>
      </c>
      <c r="CI64" s="9">
        <f t="shared" si="69"/>
        <v>2.465045825719232</v>
      </c>
      <c r="CJ64" s="9">
        <v>1</v>
      </c>
      <c r="CK64" s="9">
        <f t="shared" si="70"/>
        <v>216.92403266329242</v>
      </c>
      <c r="CM64" s="4">
        <f t="shared" ref="CM64:CM116" si="206">AB64/AX64</f>
        <v>2.4876839486903131</v>
      </c>
      <c r="CN64" s="4">
        <f t="shared" ref="CN64:CN103" si="207">AB64/BC64</f>
        <v>1.6178985545617635</v>
      </c>
      <c r="CO64" s="4">
        <f t="shared" ref="CO64:CO137" si="208">AB64/BF64</f>
        <v>2.5096252436778972</v>
      </c>
      <c r="CP64" s="4">
        <f t="shared" ref="CP64:CP116" si="209">AB64/CK64</f>
        <v>1.9361616822416368</v>
      </c>
      <c r="CQ64" s="4">
        <f t="shared" ref="CQ64:CQ137" si="210">AB64/DR64</f>
        <v>1.2439497251559821</v>
      </c>
      <c r="CR64" s="4">
        <f t="shared" ref="CR64:CR137" si="211">AB64/ED64</f>
        <v>1.5595184773545239</v>
      </c>
      <c r="CS64" s="4">
        <f t="shared" si="143"/>
        <v>1.4210277445713013</v>
      </c>
      <c r="CU64" s="4">
        <f t="shared" ref="CU64:CV126" si="212">CM64</f>
        <v>2.4876839486903131</v>
      </c>
      <c r="CV64" s="4">
        <f t="shared" si="212"/>
        <v>1.6178985545617635</v>
      </c>
      <c r="CW64" s="4">
        <f t="shared" ref="CW64:CW127" si="213">CP64</f>
        <v>1.9361616822416368</v>
      </c>
      <c r="CX64" s="4">
        <f t="shared" ref="CX64:CX88" si="214">CS64</f>
        <v>1.4210277445713013</v>
      </c>
      <c r="CY64" s="4">
        <f t="shared" ref="CY64:CZ126" si="215">CQ64</f>
        <v>1.2439497251559821</v>
      </c>
      <c r="CZ64" s="4">
        <f t="shared" si="215"/>
        <v>1.5595184773545239</v>
      </c>
      <c r="DH64" s="4">
        <f t="shared" si="167"/>
        <v>0</v>
      </c>
      <c r="DI64" s="4">
        <f t="shared" si="168"/>
        <v>381</v>
      </c>
      <c r="DJ64" s="4">
        <f t="shared" si="169"/>
        <v>0.46666666666666662</v>
      </c>
      <c r="DL64" s="4">
        <f t="shared" si="170"/>
        <v>2.5033311258542346E-5</v>
      </c>
      <c r="DM64" s="4">
        <f t="shared" si="171"/>
        <v>5.7900347857029448</v>
      </c>
      <c r="DN64" s="4">
        <f t="shared" si="172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38">
        <f t="shared" si="119"/>
        <v>337.63422388098127</v>
      </c>
      <c r="DS64" s="4">
        <f t="shared" si="79"/>
        <v>1.0002533360754802</v>
      </c>
      <c r="DT64" s="4">
        <f t="shared" si="147"/>
        <v>1.6881943016134133</v>
      </c>
      <c r="DU64" s="4">
        <f t="shared" si="120"/>
        <v>184.33497816892</v>
      </c>
      <c r="DY64" s="4">
        <f>IF(P64&gt;1*K64,0.85,1)</f>
        <v>0.85</v>
      </c>
      <c r="DZ64" s="4">
        <f t="shared" si="81"/>
        <v>0.85000000000000009</v>
      </c>
      <c r="EA64" s="4">
        <f t="shared" si="82"/>
        <v>1</v>
      </c>
      <c r="EB64" s="4">
        <f t="shared" si="83"/>
        <v>0.85000000000000009</v>
      </c>
      <c r="ED64" s="4">
        <f t="shared" si="121"/>
        <v>269.31389791063168</v>
      </c>
      <c r="EE64" s="25">
        <f t="shared" si="122"/>
        <v>181.80779675423688</v>
      </c>
      <c r="EG64" s="4">
        <f t="shared" si="148"/>
        <v>0.72250000000000003</v>
      </c>
      <c r="EH64" s="4">
        <f t="shared" si="84"/>
        <v>5.7900347857029448</v>
      </c>
      <c r="EI64" s="4">
        <f t="shared" si="174"/>
        <v>5.2207585655726314</v>
      </c>
      <c r="EK64" s="4">
        <f t="shared" si="175"/>
        <v>42.880135260980694</v>
      </c>
      <c r="EL64" s="4">
        <f t="shared" si="176"/>
        <v>1.6881943016134133</v>
      </c>
      <c r="EM64" s="4">
        <f t="shared" si="177"/>
        <v>0.19837396083975409</v>
      </c>
      <c r="EP64" s="4">
        <f t="shared" si="178"/>
        <v>0.19837396083975409</v>
      </c>
      <c r="EQ64" s="4">
        <f t="shared" si="179"/>
        <v>0.79034077780884915</v>
      </c>
      <c r="ER64" s="4">
        <f t="shared" si="180"/>
        <v>5.2699552685365516</v>
      </c>
      <c r="ES64" s="4">
        <f>EH64/1.4*(1-EQ64^1.4)/(1-EQ64)</f>
        <v>5.5361069902159068</v>
      </c>
      <c r="ET64" s="4">
        <f t="shared" si="182"/>
        <v>242.86986473901931</v>
      </c>
      <c r="EU64" s="4">
        <f t="shared" si="183"/>
        <v>95.25</v>
      </c>
      <c r="EV64" s="4">
        <f t="shared" si="95"/>
        <v>2.5033311258542346E-5</v>
      </c>
      <c r="EW64" s="4">
        <f>MAX(0.5*EH64, (1-2*EV64*(EK64*ER64+ET64*ES64))/(1/EH64+EV64*EU64))</f>
        <v>5.2621096911044809</v>
      </c>
      <c r="EX64" s="4">
        <f t="shared" si="185"/>
        <v>337.54871061535061</v>
      </c>
      <c r="EY64" s="4">
        <f t="shared" si="186"/>
        <v>134.91986473901929</v>
      </c>
      <c r="EZ64" s="4">
        <f t="shared" si="187"/>
        <v>0</v>
      </c>
      <c r="FB64" s="4">
        <f t="shared" si="100"/>
        <v>173.04546420023769</v>
      </c>
      <c r="FG64" s="23">
        <f t="shared" ref="FG64:FH116" si="216">IF(CM64&lt;0.6,0.6,IF(CM64&lt;0.8,0.8,IF(CM64&lt;1,1,IF(CM64&lt;1.2,1.2,IF(CM64&lt;1.4,1.4,IF(CM64&lt;1.6,1.6,IF(CM64&lt;1.8,1.8,IF(CM64&lt;2,2,2.2))))))))</f>
        <v>2.2000000000000002</v>
      </c>
      <c r="FH64" s="23">
        <f t="shared" si="216"/>
        <v>1.8</v>
      </c>
      <c r="FI64" s="23">
        <f>IF(CS64&lt;0.6,0.6,IF(CS64&lt;0.8,0.8,IF(CS64&lt;1,1,IF(CS64&lt;1.2,1.2,IF(CS64&lt;1.4,1.4,IF(CS64&lt;1.6,1.6,IF(CS64&lt;1.8,1.8,IF(CS64&lt;2,2,2.2))))))))</f>
        <v>1.6</v>
      </c>
      <c r="FJ64" s="23">
        <f t="shared" ref="FJ64:FL116" si="217">IF(CP64&lt;0.6,0.6,IF(CP64&lt;0.8,0.8,IF(CP64&lt;1,1,IF(CP64&lt;1.2,1.2,IF(CP64&lt;1.4,1.4,IF(CP64&lt;1.6,1.6,IF(CP64&lt;1.8,1.8,IF(CP64&lt;2,2,2.2))))))))</f>
        <v>2</v>
      </c>
      <c r="FK64" s="23">
        <f t="shared" si="217"/>
        <v>1.4</v>
      </c>
      <c r="FL64" s="23">
        <f t="shared" si="217"/>
        <v>1.6</v>
      </c>
      <c r="FM64" s="23">
        <f t="shared" ref="FM64:FM137" si="218">IF(FK64&lt;1,1,0)</f>
        <v>0</v>
      </c>
      <c r="FN64" s="23"/>
      <c r="FO64"/>
      <c r="FP64">
        <f t="shared" ref="FP64:FU64" si="219">SUM(FP53:FP63)</f>
        <v>361</v>
      </c>
      <c r="FQ64">
        <f t="shared" si="219"/>
        <v>361</v>
      </c>
      <c r="FR64">
        <f t="shared" si="219"/>
        <v>361</v>
      </c>
      <c r="FS64">
        <f t="shared" si="219"/>
        <v>361</v>
      </c>
      <c r="FT64">
        <f t="shared" si="219"/>
        <v>361</v>
      </c>
      <c r="FU64">
        <f t="shared" si="219"/>
        <v>361</v>
      </c>
      <c r="FV64" s="4">
        <f>40+42+69</f>
        <v>151</v>
      </c>
      <c r="FX64" s="4">
        <f t="shared" si="101"/>
        <v>1</v>
      </c>
      <c r="FY64" s="4">
        <f t="shared" si="102"/>
        <v>1.0833333333333333</v>
      </c>
      <c r="FZ64" s="4">
        <f t="shared" si="103"/>
        <v>0</v>
      </c>
      <c r="GA64" s="4">
        <f t="shared" si="104"/>
        <v>295.56073173413409</v>
      </c>
    </row>
    <row r="65" spans="1:185" ht="12" customHeight="1" x14ac:dyDescent="0.3">
      <c r="A65" s="25">
        <v>47</v>
      </c>
      <c r="B65" s="20" t="s">
        <v>54</v>
      </c>
      <c r="C65" s="20">
        <v>2006</v>
      </c>
      <c r="D65" s="24" t="s">
        <v>55</v>
      </c>
      <c r="E65" s="24"/>
      <c r="F65" s="7" t="s">
        <v>67</v>
      </c>
      <c r="G65" s="7">
        <v>472</v>
      </c>
      <c r="H65" s="7">
        <f t="shared" si="205"/>
        <v>381</v>
      </c>
      <c r="I65" s="7">
        <f t="shared" si="131"/>
        <v>177.79999999999998</v>
      </c>
      <c r="J65" s="7">
        <v>28</v>
      </c>
      <c r="K65" s="7">
        <v>25.4</v>
      </c>
      <c r="L65" s="7">
        <f t="shared" si="151"/>
        <v>15</v>
      </c>
      <c r="M65" s="7">
        <v>7</v>
      </c>
      <c r="N65" s="7">
        <f t="shared" si="132"/>
        <v>152.39999999999998</v>
      </c>
      <c r="O65" s="7">
        <f t="shared" si="108"/>
        <v>63.499999999999986</v>
      </c>
      <c r="P65" s="7">
        <f t="shared" si="133"/>
        <v>50.8</v>
      </c>
      <c r="Q65" s="7">
        <v>0</v>
      </c>
      <c r="R65" s="7">
        <v>1</v>
      </c>
      <c r="S65" s="7">
        <f t="shared" si="134"/>
        <v>88.899999999999991</v>
      </c>
      <c r="T65" s="7">
        <f t="shared" si="42"/>
        <v>2.9999999999999996</v>
      </c>
      <c r="U65" s="7">
        <f t="shared" si="135"/>
        <v>4</v>
      </c>
      <c r="V65" s="7">
        <v>2.8</v>
      </c>
      <c r="W65" s="7">
        <f t="shared" si="152"/>
        <v>2.8</v>
      </c>
      <c r="X65" s="7">
        <f t="shared" si="44"/>
        <v>3.8</v>
      </c>
      <c r="Y65" s="7">
        <f t="shared" si="200"/>
        <v>49.513715271629529</v>
      </c>
      <c r="Z65" s="7"/>
      <c r="AA65" s="7"/>
      <c r="AB65" s="7">
        <v>472</v>
      </c>
      <c r="AC65" s="7"/>
      <c r="AD65" s="7"/>
      <c r="AE65" s="7"/>
      <c r="AF65" s="7"/>
      <c r="AG65" s="7">
        <v>1</v>
      </c>
      <c r="AH65" s="7"/>
      <c r="AI65" s="7"/>
      <c r="AJ65" s="7"/>
      <c r="AK65" s="4">
        <f t="shared" si="125"/>
        <v>381</v>
      </c>
      <c r="AL65" s="44">
        <f t="shared" si="153"/>
        <v>5.9259259259259248E-2</v>
      </c>
      <c r="AM65" s="25">
        <f t="shared" si="112"/>
        <v>776.62106221784506</v>
      </c>
      <c r="AN65" s="4">
        <f t="shared" si="113"/>
        <v>0.74</v>
      </c>
      <c r="AO65" s="4">
        <v>1.25</v>
      </c>
      <c r="AP65" s="25">
        <f t="shared" si="114"/>
        <v>5</v>
      </c>
      <c r="AQ65" s="38">
        <f t="shared" si="115"/>
        <v>212.85169853377971</v>
      </c>
      <c r="AR65" s="38">
        <f t="shared" si="116"/>
        <v>212.85169853377971</v>
      </c>
      <c r="AT65" s="38">
        <f t="shared" si="130"/>
        <v>212.85169853377948</v>
      </c>
      <c r="AU65" s="38">
        <f t="shared" si="47"/>
        <v>1.0000000000000011</v>
      </c>
      <c r="AV65" s="38">
        <f t="shared" si="136"/>
        <v>1.4968174569375785</v>
      </c>
      <c r="AW65" s="4">
        <f t="shared" si="154"/>
        <v>0</v>
      </c>
      <c r="AX65" s="4">
        <f t="shared" ref="AX65:AX128" si="220">I65/K65*J65^0.5/0.19</f>
        <v>194.95009660475932</v>
      </c>
      <c r="AY65" s="4">
        <f t="shared" ref="AY65:AY128" si="221">MIN(0.6+0.4*(U65/T65),2)</f>
        <v>1.1333333333333333</v>
      </c>
      <c r="AZ65" s="38">
        <f t="shared" si="117"/>
        <v>318.60013810417593</v>
      </c>
      <c r="BA65" s="4">
        <f t="shared" ref="BA65:BA128" si="222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36">
        <f t="shared" si="53"/>
        <v>1.1000000000000001</v>
      </c>
      <c r="BF65" s="36">
        <f t="shared" si="54"/>
        <v>193.24567576015772</v>
      </c>
      <c r="BK65" s="4">
        <f t="shared" si="156"/>
        <v>63.499999999999986</v>
      </c>
      <c r="BL65" s="4">
        <f t="shared" si="157"/>
        <v>63.499999999999986</v>
      </c>
      <c r="BM65" s="4">
        <f t="shared" si="158"/>
        <v>88.899999999999991</v>
      </c>
      <c r="BN65" s="4">
        <f t="shared" si="159"/>
        <v>76.199999999999989</v>
      </c>
      <c r="BO65" s="4">
        <f t="shared" si="160"/>
        <v>1.04</v>
      </c>
      <c r="BP65" s="25">
        <f t="shared" si="118"/>
        <v>3.1199999999999997</v>
      </c>
      <c r="BR65" s="4">
        <f t="shared" si="161"/>
        <v>63.499999999999986</v>
      </c>
      <c r="BV65" s="9"/>
      <c r="BX65" s="9"/>
      <c r="BY65" s="9"/>
      <c r="BZ65" s="9">
        <f t="shared" ref="BZ65" si="223">IF(Q65=0,MIN(O65,P65),MIN(Q65/2,O65,P65))</f>
        <v>50.8</v>
      </c>
      <c r="CA65" s="9">
        <f t="shared" ref="CA65" si="224">MAX(Q65/2,O65)</f>
        <v>63.499999999999986</v>
      </c>
      <c r="CB65" s="9">
        <f t="shared" si="63"/>
        <v>1.4623505735569622</v>
      </c>
      <c r="CC65" s="9">
        <v>0</v>
      </c>
      <c r="CD65" s="9">
        <f t="shared" si="129"/>
        <v>0</v>
      </c>
      <c r="CE65" s="9">
        <f t="shared" si="65"/>
        <v>0</v>
      </c>
      <c r="CF65" s="9">
        <f t="shared" ref="CF65" si="225">MIN(1,(25/K65)^0.3)</f>
        <v>0.99524931562137331</v>
      </c>
      <c r="CG65" s="9">
        <f t="shared" ref="CG65" si="226">IF(G65&gt;=800,0.68,IF(G65&gt;=700,0.75-(G65-700)*0.07/100,IF(G65&gt;=600,0.85-(G65-600)*0.1/100,IF(G65&gt;=500,1-(G65-500)*0.15/100,1.2-(G65-400)*0.2/100))))</f>
        <v>1.056</v>
      </c>
      <c r="CH65" s="9">
        <f t="shared" si="68"/>
        <v>1.9464482686693119</v>
      </c>
      <c r="CI65" s="9">
        <f t="shared" si="69"/>
        <v>2.8463897420875242</v>
      </c>
      <c r="CJ65" s="9">
        <v>1</v>
      </c>
      <c r="CK65" s="9">
        <f t="shared" si="70"/>
        <v>250.48229730370213</v>
      </c>
      <c r="CM65" s="4">
        <f t="shared" si="206"/>
        <v>2.4211324242476784</v>
      </c>
      <c r="CN65" s="4">
        <f t="shared" si="207"/>
        <v>1.2403691224351465</v>
      </c>
      <c r="CO65" s="4">
        <f t="shared" si="208"/>
        <v>2.4424867368613805</v>
      </c>
      <c r="CP65" s="4">
        <f t="shared" si="209"/>
        <v>1.8843647039364</v>
      </c>
      <c r="CQ65" s="4">
        <f t="shared" si="210"/>
        <v>1.2629060562532859</v>
      </c>
      <c r="CR65" s="4">
        <f t="shared" si="211"/>
        <v>1.4780071547414189</v>
      </c>
      <c r="CS65" s="4">
        <f t="shared" si="143"/>
        <v>1.4861429355619056</v>
      </c>
      <c r="CU65" s="4">
        <f t="shared" si="212"/>
        <v>2.4211324242476784</v>
      </c>
      <c r="CV65" s="4">
        <f t="shared" si="212"/>
        <v>1.2403691224351465</v>
      </c>
      <c r="CW65" s="4">
        <f t="shared" si="213"/>
        <v>1.8843647039364</v>
      </c>
      <c r="CX65" s="4">
        <f t="shared" si="214"/>
        <v>1.4861429355619056</v>
      </c>
      <c r="CY65" s="4">
        <f t="shared" si="215"/>
        <v>1.2629060562532859</v>
      </c>
      <c r="CZ65" s="4">
        <f t="shared" si="215"/>
        <v>1.4780071547414189</v>
      </c>
      <c r="DH65" s="4">
        <f t="shared" si="167"/>
        <v>0</v>
      </c>
      <c r="DI65" s="4">
        <f t="shared" si="168"/>
        <v>381</v>
      </c>
      <c r="DJ65" s="4">
        <f t="shared" si="169"/>
        <v>0.46666666666666662</v>
      </c>
      <c r="DL65" s="4">
        <f t="shared" si="170"/>
        <v>2.6402037423385414E-5</v>
      </c>
      <c r="DM65" s="4">
        <f t="shared" si="171"/>
        <v>6.6857562842857838</v>
      </c>
      <c r="DN65" s="4">
        <f t="shared" si="172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38">
        <f t="shared" si="119"/>
        <v>373.7411802428926</v>
      </c>
      <c r="DS65" s="4">
        <f t="shared" si="79"/>
        <v>1.0002127051142102</v>
      </c>
      <c r="DT65" s="4">
        <f t="shared" si="147"/>
        <v>1.9493588689617927</v>
      </c>
      <c r="DU65" s="4">
        <f t="shared" si="120"/>
        <v>212.85169853377948</v>
      </c>
      <c r="DY65" s="4">
        <f t="shared" ref="DY65" si="227">IF(P65&gt;1*K65,0.85,1)</f>
        <v>0.85</v>
      </c>
      <c r="DZ65" s="4">
        <f t="shared" si="81"/>
        <v>0.85000000000000009</v>
      </c>
      <c r="EA65" s="4">
        <f t="shared" si="82"/>
        <v>1</v>
      </c>
      <c r="EB65" s="4">
        <f t="shared" si="83"/>
        <v>0.85000000000000009</v>
      </c>
      <c r="ED65" s="4">
        <f t="shared" si="121"/>
        <v>319.34892770027056</v>
      </c>
      <c r="EE65" s="25">
        <f t="shared" si="122"/>
        <v>209.93356079366291</v>
      </c>
      <c r="EG65" s="4">
        <f t="shared" si="148"/>
        <v>0.72250000000000003</v>
      </c>
      <c r="EH65" s="4">
        <f t="shared" si="84"/>
        <v>6.6857562842857838</v>
      </c>
      <c r="EI65" s="4">
        <f t="shared" si="174"/>
        <v>6.028412726414806</v>
      </c>
      <c r="EK65" s="4">
        <f t="shared" si="175"/>
        <v>49.513715271629529</v>
      </c>
      <c r="EL65" s="4">
        <f t="shared" si="176"/>
        <v>1.9493588689617927</v>
      </c>
      <c r="EM65" s="4">
        <f t="shared" si="177"/>
        <v>0.15134487887745135</v>
      </c>
      <c r="EP65" s="4">
        <f t="shared" si="178"/>
        <v>0.15134487887745135</v>
      </c>
      <c r="EQ65" s="4">
        <f t="shared" si="179"/>
        <v>0.52218944248084664</v>
      </c>
      <c r="ER65" s="4">
        <f t="shared" si="180"/>
        <v>5.1556304027378701</v>
      </c>
      <c r="ES65" s="4">
        <f t="shared" ref="ES65" si="228">EH65/1.4*(1-EQ65^1.4)/(1-EQ65)</f>
        <v>5.9699998189624841</v>
      </c>
      <c r="ET65" s="4">
        <f t="shared" si="182"/>
        <v>236.23628472837046</v>
      </c>
      <c r="EU65" s="4">
        <f t="shared" si="183"/>
        <v>95.250000000000028</v>
      </c>
      <c r="EV65" s="4">
        <f t="shared" si="95"/>
        <v>2.6402037423385424E-5</v>
      </c>
      <c r="EW65" s="4">
        <f t="shared" ref="EW65" si="229">MAX(0.5*EH65, (1-2*EV65*(EK65*ER65+ET65*ES65))/(1/EH65+EV65*EU65))</f>
        <v>5.9969112642593512</v>
      </c>
      <c r="EX65" s="4">
        <f t="shared" si="185"/>
        <v>373.66170048821425</v>
      </c>
      <c r="EY65" s="4">
        <f t="shared" si="186"/>
        <v>128.28628472837045</v>
      </c>
      <c r="EZ65" s="4">
        <f t="shared" si="187"/>
        <v>7.1054273576010019E-15</v>
      </c>
      <c r="FB65" s="4">
        <f t="shared" si="100"/>
        <v>191.44366588625257</v>
      </c>
      <c r="FG65" s="23">
        <f t="shared" si="216"/>
        <v>2.2000000000000002</v>
      </c>
      <c r="FH65" s="23">
        <f t="shared" si="216"/>
        <v>1.4</v>
      </c>
      <c r="FI65" s="23">
        <f t="shared" ref="FI65:FI128" si="230">IF(CS65&lt;0.6,0.6,IF(CS65&lt;0.8,0.8,IF(CS65&lt;1,1,IF(CS65&lt;1.2,1.2,IF(CS65&lt;1.4,1.4,IF(CS65&lt;1.6,1.6,IF(CS65&lt;1.8,1.8,IF(CS65&lt;2,2,2.2))))))))</f>
        <v>1.6</v>
      </c>
      <c r="FJ65" s="23">
        <f t="shared" si="217"/>
        <v>2</v>
      </c>
      <c r="FK65" s="23">
        <f t="shared" si="217"/>
        <v>1.4</v>
      </c>
      <c r="FL65" s="23">
        <f t="shared" si="217"/>
        <v>1.6</v>
      </c>
      <c r="FM65" s="23">
        <f t="shared" si="218"/>
        <v>0</v>
      </c>
      <c r="FN65" s="23"/>
      <c r="FX65" s="4">
        <f t="shared" si="101"/>
        <v>1</v>
      </c>
      <c r="FY65" s="4">
        <f t="shared" si="102"/>
        <v>1.0833333333333333</v>
      </c>
      <c r="FZ65" s="4">
        <f t="shared" si="103"/>
        <v>0</v>
      </c>
      <c r="GA65" s="4">
        <f t="shared" si="104"/>
        <v>317.60067534926469</v>
      </c>
    </row>
    <row r="66" spans="1:185" ht="12" customHeight="1" x14ac:dyDescent="0.3">
      <c r="A66" s="25">
        <v>48</v>
      </c>
      <c r="B66" s="20" t="s">
        <v>54</v>
      </c>
      <c r="C66" s="20">
        <v>2006</v>
      </c>
      <c r="D66" s="24" t="s">
        <v>55</v>
      </c>
      <c r="E66" s="24"/>
      <c r="F66" s="7" t="s">
        <v>67</v>
      </c>
      <c r="G66" s="7">
        <v>472</v>
      </c>
      <c r="H66" s="7">
        <f t="shared" si="205"/>
        <v>381</v>
      </c>
      <c r="I66" s="7">
        <f t="shared" si="131"/>
        <v>177.79999999999998</v>
      </c>
      <c r="J66" s="7">
        <v>21</v>
      </c>
      <c r="K66" s="7">
        <v>25.4</v>
      </c>
      <c r="L66" s="7">
        <f t="shared" si="151"/>
        <v>15</v>
      </c>
      <c r="M66" s="7">
        <v>7</v>
      </c>
      <c r="N66" s="7">
        <f t="shared" si="132"/>
        <v>152.39999999999998</v>
      </c>
      <c r="O66" s="7">
        <f t="shared" si="108"/>
        <v>63.499999999999986</v>
      </c>
      <c r="P66" s="7">
        <f t="shared" si="133"/>
        <v>50.8</v>
      </c>
      <c r="Q66" s="7">
        <v>0</v>
      </c>
      <c r="R66" s="7">
        <v>1</v>
      </c>
      <c r="S66" s="7">
        <f t="shared" si="134"/>
        <v>88.899999999999991</v>
      </c>
      <c r="T66" s="7">
        <f t="shared" si="42"/>
        <v>2.9999999999999996</v>
      </c>
      <c r="U66" s="7">
        <f t="shared" si="135"/>
        <v>4</v>
      </c>
      <c r="V66" s="7">
        <v>2.8</v>
      </c>
      <c r="W66" s="7">
        <f t="shared" si="152"/>
        <v>2.8</v>
      </c>
      <c r="X66" s="7">
        <f t="shared" si="44"/>
        <v>3.8</v>
      </c>
      <c r="Y66" s="7">
        <f t="shared" si="200"/>
        <v>49.513715271629529</v>
      </c>
      <c r="Z66" s="7"/>
      <c r="AA66" s="7"/>
      <c r="AB66" s="7">
        <v>413</v>
      </c>
      <c r="AC66" s="7"/>
      <c r="AD66" s="7"/>
      <c r="AE66" s="7"/>
      <c r="AF66" s="7"/>
      <c r="AG66" s="7">
        <v>1</v>
      </c>
      <c r="AH66" s="7"/>
      <c r="AI66" s="7"/>
      <c r="AJ66" s="7"/>
      <c r="AK66" s="4">
        <f t="shared" si="125"/>
        <v>381</v>
      </c>
      <c r="AL66" s="44">
        <f t="shared" si="153"/>
        <v>5.9259259259259248E-2</v>
      </c>
      <c r="AM66" s="25">
        <f t="shared" si="112"/>
        <v>672.57356899470892</v>
      </c>
      <c r="AN66" s="4">
        <f t="shared" si="113"/>
        <v>0.74</v>
      </c>
      <c r="AO66" s="4">
        <v>1.25</v>
      </c>
      <c r="AP66" s="25">
        <f t="shared" si="114"/>
        <v>5</v>
      </c>
      <c r="AQ66" s="38">
        <f t="shared" si="115"/>
        <v>184.3349781689202</v>
      </c>
      <c r="AR66" s="38">
        <f t="shared" si="116"/>
        <v>184.3349781689202</v>
      </c>
      <c r="AT66" s="38">
        <f t="shared" si="130"/>
        <v>184.33497816892</v>
      </c>
      <c r="AU66" s="38">
        <f t="shared" si="47"/>
        <v>1.0000000000000011</v>
      </c>
      <c r="AV66" s="38">
        <f t="shared" si="136"/>
        <v>1.2962819425359629</v>
      </c>
      <c r="AW66" s="4">
        <f t="shared" si="154"/>
        <v>0</v>
      </c>
      <c r="AX66" s="4">
        <f t="shared" si="220"/>
        <v>168.83173612995199</v>
      </c>
      <c r="AY66" s="4">
        <f t="shared" si="221"/>
        <v>1.1333333333333333</v>
      </c>
      <c r="AZ66" s="38">
        <f t="shared" si="117"/>
        <v>238.95010357813194</v>
      </c>
      <c r="BA66" s="4">
        <f t="shared" si="222"/>
        <v>0.6080000000000001</v>
      </c>
      <c r="BB66" s="4">
        <f t="shared" si="51"/>
        <v>53.63446593376316</v>
      </c>
      <c r="BC66" s="4">
        <f t="shared" si="52"/>
        <v>292.5845695118951</v>
      </c>
      <c r="BE66" s="36">
        <f t="shared" si="53"/>
        <v>1.1000000000000001</v>
      </c>
      <c r="BF66" s="36">
        <f t="shared" si="54"/>
        <v>167.35566437978727</v>
      </c>
      <c r="BK66" s="4">
        <f t="shared" si="156"/>
        <v>63.499999999999986</v>
      </c>
      <c r="BL66" s="4">
        <f t="shared" si="157"/>
        <v>63.499999999999986</v>
      </c>
      <c r="BM66" s="4">
        <f t="shared" si="158"/>
        <v>88.899999999999991</v>
      </c>
      <c r="BN66" s="4">
        <f t="shared" si="159"/>
        <v>76.199999999999989</v>
      </c>
      <c r="BO66" s="4">
        <f t="shared" si="160"/>
        <v>1.04</v>
      </c>
      <c r="BP66" s="25">
        <f t="shared" si="118"/>
        <v>3.1199999999999997</v>
      </c>
      <c r="BR66" s="4">
        <f t="shared" si="161"/>
        <v>63.499999999999986</v>
      </c>
      <c r="BV66" s="9"/>
      <c r="BX66" s="9"/>
      <c r="BY66" s="9"/>
      <c r="BZ66" s="9">
        <f>IF(Q66=0,MIN(O66,P66),MIN(Q66/2,O66,P66))</f>
        <v>50.8</v>
      </c>
      <c r="CA66" s="9">
        <f>MAX(Q66/2,O66)</f>
        <v>63.499999999999986</v>
      </c>
      <c r="CB66" s="9">
        <f t="shared" si="63"/>
        <v>1.4623505735569622</v>
      </c>
      <c r="CC66" s="9">
        <v>0</v>
      </c>
      <c r="CD66" s="9">
        <f t="shared" si="129"/>
        <v>0</v>
      </c>
      <c r="CE66" s="9">
        <f t="shared" si="65"/>
        <v>0</v>
      </c>
      <c r="CF66" s="9">
        <f>MIN(1,(25/K66)^0.3)</f>
        <v>0.99524931562137331</v>
      </c>
      <c r="CG66" s="9">
        <f>IF(G66&gt;=800,0.68,IF(G66&gt;=700,0.75-(G66-700)*0.07/100,IF(G66&gt;=600,0.85-(G66-600)*0.1/100,IF(G66&gt;=500,1-(G66-500)*0.15/100,1.2-(G66-400)*0.2/100))))</f>
        <v>1.056</v>
      </c>
      <c r="CH66" s="9">
        <f t="shared" si="68"/>
        <v>1.6856736478198622</v>
      </c>
      <c r="CI66" s="9">
        <f t="shared" si="69"/>
        <v>2.465045825719232</v>
      </c>
      <c r="CJ66" s="9">
        <v>1</v>
      </c>
      <c r="CK66" s="9">
        <f t="shared" si="70"/>
        <v>216.92403266329242</v>
      </c>
      <c r="CM66" s="4">
        <f t="shared" si="206"/>
        <v>2.4462225495454746</v>
      </c>
      <c r="CN66" s="4">
        <f t="shared" si="207"/>
        <v>1.4115576931790634</v>
      </c>
      <c r="CO66" s="4">
        <f t="shared" si="208"/>
        <v>2.4677981562832656</v>
      </c>
      <c r="CP66" s="4">
        <f t="shared" si="209"/>
        <v>1.9038923208709428</v>
      </c>
      <c r="CQ66" s="4">
        <f t="shared" si="210"/>
        <v>1.2588189822404476</v>
      </c>
      <c r="CR66" s="4">
        <f t="shared" si="211"/>
        <v>1.5118027134906338</v>
      </c>
      <c r="CS66" s="4">
        <f t="shared" si="143"/>
        <v>1.3973439488284463</v>
      </c>
      <c r="CU66" s="4">
        <f t="shared" si="212"/>
        <v>2.4462225495454746</v>
      </c>
      <c r="CV66" s="4">
        <f t="shared" si="212"/>
        <v>1.4115576931790634</v>
      </c>
      <c r="CW66" s="4">
        <f t="shared" si="213"/>
        <v>1.9038923208709428</v>
      </c>
      <c r="CX66" s="4">
        <f t="shared" si="214"/>
        <v>1.3973439488284463</v>
      </c>
      <c r="CY66" s="4">
        <f t="shared" si="215"/>
        <v>1.2588189822404476</v>
      </c>
      <c r="CZ66" s="4">
        <f t="shared" si="215"/>
        <v>1.5118027134906338</v>
      </c>
      <c r="DH66" s="4">
        <f t="shared" si="167"/>
        <v>0</v>
      </c>
      <c r="DI66" s="4">
        <f t="shared" si="168"/>
        <v>381</v>
      </c>
      <c r="DJ66" s="4">
        <f t="shared" si="169"/>
        <v>0.46666666666666662</v>
      </c>
      <c r="DL66" s="4">
        <f t="shared" si="170"/>
        <v>2.5033311258542346E-5</v>
      </c>
      <c r="DM66" s="4">
        <f t="shared" si="171"/>
        <v>5.7900347857029448</v>
      </c>
      <c r="DN66" s="4">
        <f t="shared" si="172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38">
        <f t="shared" si="119"/>
        <v>328.08529727200494</v>
      </c>
      <c r="DS66" s="4">
        <f t="shared" si="79"/>
        <v>1.0002290668671658</v>
      </c>
      <c r="DT66" s="4">
        <f t="shared" si="147"/>
        <v>1.9493588689617927</v>
      </c>
      <c r="DU66" s="4">
        <f t="shared" si="120"/>
        <v>184.33497816892</v>
      </c>
      <c r="DY66" s="4">
        <f>IF(P66&gt;1*K66,0.85,1)</f>
        <v>0.85</v>
      </c>
      <c r="DZ66" s="4">
        <f t="shared" si="81"/>
        <v>0.85000000000000009</v>
      </c>
      <c r="EA66" s="4">
        <f t="shared" si="82"/>
        <v>1</v>
      </c>
      <c r="EB66" s="4">
        <f t="shared" si="83"/>
        <v>0.85000000000000009</v>
      </c>
      <c r="ED66" s="4">
        <f t="shared" si="121"/>
        <v>273.18379330489188</v>
      </c>
      <c r="EE66" s="25">
        <f t="shared" si="122"/>
        <v>181.80779675423688</v>
      </c>
      <c r="EG66" s="4">
        <f t="shared" si="148"/>
        <v>0.72250000000000003</v>
      </c>
      <c r="EH66" s="4">
        <f t="shared" si="84"/>
        <v>5.7900347857029448</v>
      </c>
      <c r="EI66" s="4">
        <f t="shared" si="174"/>
        <v>5.2207585655726314</v>
      </c>
      <c r="EK66" s="4">
        <f t="shared" si="175"/>
        <v>49.513715271629529</v>
      </c>
      <c r="EL66" s="4">
        <f t="shared" si="176"/>
        <v>1.9493588689617927</v>
      </c>
      <c r="EM66" s="4">
        <f t="shared" si="177"/>
        <v>0.15134487887745141</v>
      </c>
      <c r="EP66" s="4">
        <f t="shared" si="178"/>
        <v>0.15134487887745141</v>
      </c>
      <c r="EQ66" s="4">
        <f t="shared" si="179"/>
        <v>0.60297243036859505</v>
      </c>
      <c r="ER66" s="4">
        <f t="shared" si="180"/>
        <v>4.7293358379143973</v>
      </c>
      <c r="ES66" s="4">
        <f>EH66/1.4*(1-EQ66^1.4)/(1-EQ66)</f>
        <v>5.2863829082527172</v>
      </c>
      <c r="ET66" s="4">
        <f t="shared" si="182"/>
        <v>236.23628472837046</v>
      </c>
      <c r="EU66" s="4">
        <f t="shared" si="183"/>
        <v>95.250000000000028</v>
      </c>
      <c r="EV66" s="4">
        <f t="shared" si="95"/>
        <v>2.503331125854235E-5</v>
      </c>
      <c r="EW66" s="4">
        <f>MAX(0.5*EH66, (1-2*EV66*(EK66*ER66+ET66*ES66))/(1/EH66+EV66*EU66))</f>
        <v>5.2871372910454193</v>
      </c>
      <c r="EX66" s="4">
        <f t="shared" si="185"/>
        <v>328.01016101202333</v>
      </c>
      <c r="EY66" s="4">
        <f t="shared" si="186"/>
        <v>128.28628472837045</v>
      </c>
      <c r="EZ66" s="4">
        <f t="shared" si="187"/>
        <v>7.1054273576010019E-15</v>
      </c>
      <c r="FB66" s="4">
        <f t="shared" si="100"/>
        <v>169.17556880597749</v>
      </c>
      <c r="FG66" s="23">
        <f t="shared" si="216"/>
        <v>2.2000000000000002</v>
      </c>
      <c r="FH66" s="23">
        <f t="shared" si="216"/>
        <v>1.6</v>
      </c>
      <c r="FI66" s="23">
        <f t="shared" si="230"/>
        <v>1.4</v>
      </c>
      <c r="FJ66" s="23">
        <f t="shared" si="217"/>
        <v>2</v>
      </c>
      <c r="FK66" s="23">
        <f t="shared" si="217"/>
        <v>1.4</v>
      </c>
      <c r="FL66" s="23">
        <f t="shared" si="217"/>
        <v>1.6</v>
      </c>
      <c r="FM66" s="23">
        <f t="shared" si="218"/>
        <v>0</v>
      </c>
      <c r="FN66" s="23"/>
      <c r="FX66" s="4">
        <f t="shared" si="101"/>
        <v>1</v>
      </c>
      <c r="FY66" s="4">
        <f t="shared" si="102"/>
        <v>1.0833333333333333</v>
      </c>
      <c r="FZ66" s="4">
        <f t="shared" si="103"/>
        <v>0</v>
      </c>
      <c r="GA66" s="4">
        <f t="shared" si="104"/>
        <v>295.56073173413409</v>
      </c>
    </row>
    <row r="67" spans="1:185" ht="12" customHeight="1" x14ac:dyDescent="0.3">
      <c r="A67" s="25">
        <v>49</v>
      </c>
      <c r="B67" s="20" t="s">
        <v>54</v>
      </c>
      <c r="C67" s="20">
        <v>2006</v>
      </c>
      <c r="D67" s="24" t="s">
        <v>55</v>
      </c>
      <c r="E67" s="24"/>
      <c r="F67" s="7" t="s">
        <v>277</v>
      </c>
      <c r="G67" s="7">
        <v>472</v>
      </c>
      <c r="H67" s="7">
        <f t="shared" si="205"/>
        <v>381</v>
      </c>
      <c r="I67" s="7">
        <f t="shared" si="131"/>
        <v>177.79999999999998</v>
      </c>
      <c r="J67" s="7">
        <v>27</v>
      </c>
      <c r="K67" s="7">
        <v>25.4</v>
      </c>
      <c r="L67" s="7">
        <f t="shared" si="151"/>
        <v>15</v>
      </c>
      <c r="M67" s="7">
        <v>7</v>
      </c>
      <c r="N67" s="7">
        <f t="shared" si="132"/>
        <v>152.39999999999998</v>
      </c>
      <c r="O67" s="7">
        <f t="shared" si="108"/>
        <v>63.499999999999986</v>
      </c>
      <c r="P67" s="7">
        <f t="shared" si="133"/>
        <v>50.8</v>
      </c>
      <c r="Q67" s="7">
        <v>0</v>
      </c>
      <c r="R67" s="7">
        <v>1</v>
      </c>
      <c r="S67" s="7">
        <f t="shared" si="134"/>
        <v>88.899999999999991</v>
      </c>
      <c r="T67" s="7">
        <f t="shared" si="42"/>
        <v>2.9999999999999996</v>
      </c>
      <c r="U67" s="7">
        <f t="shared" si="135"/>
        <v>4</v>
      </c>
      <c r="V67" s="7">
        <v>2.8</v>
      </c>
      <c r="W67" s="7">
        <f t="shared" si="152"/>
        <v>2.8</v>
      </c>
      <c r="X67" s="7">
        <f t="shared" si="44"/>
        <v>3.8</v>
      </c>
      <c r="Y67" s="7">
        <f t="shared" si="200"/>
        <v>49.513715271629529</v>
      </c>
      <c r="Z67" s="7"/>
      <c r="AA67" s="7"/>
      <c r="AB67" s="7">
        <v>458</v>
      </c>
      <c r="AC67" s="7"/>
      <c r="AD67" s="7"/>
      <c r="AE67" s="7"/>
      <c r="AF67" s="7"/>
      <c r="AG67" s="7">
        <v>1</v>
      </c>
      <c r="AH67" s="7"/>
      <c r="AI67" s="7"/>
      <c r="AJ67" s="7"/>
      <c r="AK67" s="4">
        <f t="shared" si="125"/>
        <v>381</v>
      </c>
      <c r="AL67" s="44">
        <f t="shared" si="153"/>
        <v>5.9259259259259248E-2</v>
      </c>
      <c r="AM67" s="25">
        <f t="shared" si="112"/>
        <v>762.62674369506078</v>
      </c>
      <c r="AN67" s="4">
        <f t="shared" si="113"/>
        <v>0.74</v>
      </c>
      <c r="AO67" s="4">
        <v>1.25</v>
      </c>
      <c r="AP67" s="25">
        <f t="shared" si="114"/>
        <v>5</v>
      </c>
      <c r="AQ67" s="38">
        <f t="shared" si="115"/>
        <v>209.01621864234997</v>
      </c>
      <c r="AR67" s="38">
        <f t="shared" si="116"/>
        <v>209.01621864234997</v>
      </c>
      <c r="AT67" s="38">
        <f t="shared" si="130"/>
        <v>209.0162186423498</v>
      </c>
      <c r="AU67" s="38">
        <f t="shared" si="47"/>
        <v>1.0000000000000009</v>
      </c>
      <c r="AV67" s="38">
        <f t="shared" si="136"/>
        <v>1.4698455638459473</v>
      </c>
      <c r="AW67" s="4">
        <f t="shared" si="154"/>
        <v>0</v>
      </c>
      <c r="AX67" s="4">
        <f t="shared" si="220"/>
        <v>191.43719452077065</v>
      </c>
      <c r="AY67" s="4">
        <f t="shared" si="221"/>
        <v>1.1333333333333333</v>
      </c>
      <c r="AZ67" s="38">
        <f t="shared" si="117"/>
        <v>307.22156174331246</v>
      </c>
      <c r="BA67" s="4">
        <f t="shared" si="222"/>
        <v>0.6080000000000001</v>
      </c>
      <c r="BB67" s="4">
        <f t="shared" si="51"/>
        <v>60.815767955358432</v>
      </c>
      <c r="BC67" s="4">
        <f t="shared" si="52"/>
        <v>368.03732969867087</v>
      </c>
      <c r="BE67" s="36">
        <f t="shared" si="53"/>
        <v>1.1000000000000001</v>
      </c>
      <c r="BF67" s="36">
        <f t="shared" si="54"/>
        <v>189.7634864772462</v>
      </c>
      <c r="BK67" s="4">
        <f t="shared" si="156"/>
        <v>63.499999999999986</v>
      </c>
      <c r="BL67" s="4">
        <f t="shared" si="157"/>
        <v>63.499999999999986</v>
      </c>
      <c r="BM67" s="4">
        <f t="shared" si="158"/>
        <v>88.899999999999991</v>
      </c>
      <c r="BN67" s="4">
        <f t="shared" si="159"/>
        <v>76.199999999999989</v>
      </c>
      <c r="BO67" s="4">
        <f t="shared" si="160"/>
        <v>1.04</v>
      </c>
      <c r="BP67" s="25">
        <f t="shared" si="118"/>
        <v>3.1199999999999997</v>
      </c>
      <c r="BR67" s="4">
        <f t="shared" si="161"/>
        <v>63.499999999999986</v>
      </c>
      <c r="BV67" s="9"/>
      <c r="BX67" s="9"/>
      <c r="BY67" s="9"/>
      <c r="BZ67" s="9">
        <f>IF(Q67=0,MIN(O67,P67),MIN(Q67/2,O67,P67))</f>
        <v>50.8</v>
      </c>
      <c r="CA67" s="9">
        <f>MAX(Q67/2,O67)</f>
        <v>63.499999999999986</v>
      </c>
      <c r="CB67" s="9">
        <f t="shared" si="63"/>
        <v>1.4623505735569622</v>
      </c>
      <c r="CC67" s="9">
        <v>0</v>
      </c>
      <c r="CD67" s="9">
        <f t="shared" si="129"/>
        <v>0</v>
      </c>
      <c r="CE67" s="9">
        <f t="shared" si="65"/>
        <v>0</v>
      </c>
      <c r="CF67" s="9">
        <f>MIN(1,(25/K67)^0.3)</f>
        <v>0.99524931562137331</v>
      </c>
      <c r="CG67" s="9">
        <f>IF(G67&gt;=800,0.68,IF(G67&gt;=700,0.75-(G67-700)*0.07/100,IF(G67&gt;=600,0.85-(G67-600)*0.1/100,IF(G67&gt;=500,1-(G67-500)*0.15/100,1.2-(G67-400)*0.2/100))))</f>
        <v>1.056</v>
      </c>
      <c r="CH67" s="9">
        <f t="shared" si="68"/>
        <v>1.911374255891328</v>
      </c>
      <c r="CI67" s="9">
        <f t="shared" si="69"/>
        <v>2.7950992393846952</v>
      </c>
      <c r="CJ67" s="9">
        <v>1</v>
      </c>
      <c r="CK67" s="9">
        <f t="shared" si="70"/>
        <v>245.96873306585317</v>
      </c>
      <c r="CM67" s="4">
        <f t="shared" si="206"/>
        <v>2.3924295440419634</v>
      </c>
      <c r="CN67" s="4">
        <f t="shared" si="207"/>
        <v>1.2444389822493978</v>
      </c>
      <c r="CO67" s="4">
        <f t="shared" si="208"/>
        <v>2.4135306981457521</v>
      </c>
      <c r="CP67" s="4">
        <f t="shared" si="209"/>
        <v>1.8620252838289806</v>
      </c>
      <c r="CQ67" s="4">
        <f t="shared" si="210"/>
        <v>1.245856482021686</v>
      </c>
      <c r="CR67" s="4">
        <f t="shared" si="211"/>
        <v>1.462792979371798</v>
      </c>
      <c r="CS67" s="4">
        <f t="shared" si="143"/>
        <v>1.4552333115825267</v>
      </c>
      <c r="CU67" s="4">
        <f t="shared" si="212"/>
        <v>2.3924295440419634</v>
      </c>
      <c r="CV67" s="4">
        <f t="shared" si="212"/>
        <v>1.2444389822493978</v>
      </c>
      <c r="CW67" s="4">
        <f t="shared" si="213"/>
        <v>1.8620252838289806</v>
      </c>
      <c r="CX67" s="4">
        <f t="shared" si="214"/>
        <v>1.4552333115825267</v>
      </c>
      <c r="CY67" s="4">
        <f t="shared" si="215"/>
        <v>1.245856482021686</v>
      </c>
      <c r="CZ67" s="4">
        <f t="shared" si="215"/>
        <v>1.462792979371798</v>
      </c>
      <c r="DH67" s="4">
        <f t="shared" si="167"/>
        <v>0</v>
      </c>
      <c r="DI67" s="4">
        <f t="shared" si="168"/>
        <v>381</v>
      </c>
      <c r="DJ67" s="4">
        <f t="shared" si="169"/>
        <v>0.46666666666666662</v>
      </c>
      <c r="DL67" s="4">
        <f t="shared" si="170"/>
        <v>2.6209296574030622E-5</v>
      </c>
      <c r="DM67" s="4">
        <f t="shared" si="171"/>
        <v>6.5652823394499222</v>
      </c>
      <c r="DN67" s="4">
        <f t="shared" si="172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38">
        <f t="shared" si="119"/>
        <v>367.61858738077973</v>
      </c>
      <c r="DS67" s="4">
        <f t="shared" si="79"/>
        <v>1.0002147463510491</v>
      </c>
      <c r="DT67" s="4">
        <f t="shared" si="147"/>
        <v>1.9493588689617927</v>
      </c>
      <c r="DU67" s="4">
        <f t="shared" si="120"/>
        <v>209.0162186423498</v>
      </c>
      <c r="DY67" s="4">
        <f>IF(P67&gt;1*K67,0.85,1)</f>
        <v>0.85</v>
      </c>
      <c r="DZ67" s="4">
        <f t="shared" si="81"/>
        <v>0.85000000000000009</v>
      </c>
      <c r="EA67" s="4">
        <f t="shared" si="82"/>
        <v>1</v>
      </c>
      <c r="EB67" s="4">
        <f t="shared" si="83"/>
        <v>0.85000000000000009</v>
      </c>
      <c r="ED67" s="4">
        <f t="shared" si="121"/>
        <v>313.09967060184402</v>
      </c>
      <c r="EE67" s="25">
        <f t="shared" si="122"/>
        <v>206.15066426755152</v>
      </c>
      <c r="EG67" s="4">
        <f t="shared" si="148"/>
        <v>0.72250000000000003</v>
      </c>
      <c r="EH67" s="4">
        <f t="shared" si="84"/>
        <v>6.5652823394499222</v>
      </c>
      <c r="EI67" s="4">
        <f t="shared" si="174"/>
        <v>5.9197837798352051</v>
      </c>
      <c r="EK67" s="4">
        <f t="shared" si="175"/>
        <v>49.513715271629529</v>
      </c>
      <c r="EL67" s="4">
        <f t="shared" si="176"/>
        <v>1.9493588689617927</v>
      </c>
      <c r="EM67" s="4">
        <f t="shared" si="177"/>
        <v>0.15134487887745141</v>
      </c>
      <c r="EP67" s="4">
        <f t="shared" si="178"/>
        <v>0.15134487887745141</v>
      </c>
      <c r="EQ67" s="4">
        <f t="shared" si="179"/>
        <v>0.5317716993945043</v>
      </c>
      <c r="ER67" s="4">
        <f t="shared" si="180"/>
        <v>5.0996866991893075</v>
      </c>
      <c r="ES67" s="4">
        <f>EH67/1.4*(1-EQ67^1.4)/(1-EQ67)</f>
        <v>5.8784102786418222</v>
      </c>
      <c r="ET67" s="4">
        <f t="shared" si="182"/>
        <v>236.23628472837046</v>
      </c>
      <c r="EU67" s="4">
        <f t="shared" si="183"/>
        <v>95.250000000000028</v>
      </c>
      <c r="EV67" s="4">
        <f t="shared" si="95"/>
        <v>2.6209296574030629E-5</v>
      </c>
      <c r="EW67" s="4">
        <f>MAX(0.5*EH67, (1-2*EV67*(EK67*ER67+ET67*ES67))/(1/EH67+EV67*EU67))</f>
        <v>5.9037149469361943</v>
      </c>
      <c r="EX67" s="4">
        <f t="shared" si="185"/>
        <v>367.53965958001908</v>
      </c>
      <c r="EY67" s="4">
        <f t="shared" si="186"/>
        <v>128.28628472837045</v>
      </c>
      <c r="EZ67" s="4">
        <f t="shared" si="187"/>
        <v>7.1054273576010019E-15</v>
      </c>
      <c r="FB67" s="4">
        <f t="shared" si="100"/>
        <v>188.48869894095395</v>
      </c>
      <c r="FG67" s="23">
        <f t="shared" si="216"/>
        <v>2.2000000000000002</v>
      </c>
      <c r="FH67" s="23">
        <f t="shared" si="216"/>
        <v>1.4</v>
      </c>
      <c r="FI67" s="23">
        <f t="shared" si="230"/>
        <v>1.6</v>
      </c>
      <c r="FJ67" s="23">
        <f t="shared" si="217"/>
        <v>2</v>
      </c>
      <c r="FK67" s="23">
        <f t="shared" si="217"/>
        <v>1.4</v>
      </c>
      <c r="FL67" s="23">
        <f t="shared" si="217"/>
        <v>1.6</v>
      </c>
      <c r="FM67" s="23">
        <f t="shared" si="218"/>
        <v>0</v>
      </c>
      <c r="FN67" s="23"/>
      <c r="FX67" s="4">
        <f t="shared" si="101"/>
        <v>1</v>
      </c>
      <c r="FY67" s="4">
        <f t="shared" si="102"/>
        <v>1.0833333333333333</v>
      </c>
      <c r="FZ67" s="4">
        <f t="shared" si="103"/>
        <v>0</v>
      </c>
      <c r="GA67" s="4">
        <f t="shared" si="104"/>
        <v>314.72616545723344</v>
      </c>
    </row>
    <row r="68" spans="1:185" ht="12" customHeight="1" x14ac:dyDescent="0.3">
      <c r="A68" s="25">
        <v>50</v>
      </c>
      <c r="B68" s="20" t="s">
        <v>54</v>
      </c>
      <c r="C68" s="20">
        <v>2006</v>
      </c>
      <c r="D68" s="24" t="s">
        <v>55</v>
      </c>
      <c r="E68" s="24"/>
      <c r="F68" s="7" t="s">
        <v>68</v>
      </c>
      <c r="G68" s="7">
        <v>472</v>
      </c>
      <c r="H68" s="7">
        <f t="shared" si="205"/>
        <v>381</v>
      </c>
      <c r="I68" s="7">
        <f t="shared" si="131"/>
        <v>177.79999999999998</v>
      </c>
      <c r="J68" s="7">
        <v>28</v>
      </c>
      <c r="K68" s="7">
        <v>25.4</v>
      </c>
      <c r="L68" s="7">
        <f t="shared" si="151"/>
        <v>15</v>
      </c>
      <c r="M68" s="7">
        <v>7</v>
      </c>
      <c r="N68" s="7">
        <f t="shared" si="132"/>
        <v>152.39999999999998</v>
      </c>
      <c r="O68" s="7">
        <f t="shared" si="108"/>
        <v>63.499999999999986</v>
      </c>
      <c r="P68" s="7">
        <f t="shared" si="133"/>
        <v>50.8</v>
      </c>
      <c r="Q68" s="7">
        <v>0</v>
      </c>
      <c r="R68" s="7">
        <v>1</v>
      </c>
      <c r="S68" s="7">
        <f t="shared" si="134"/>
        <v>88.899999999999991</v>
      </c>
      <c r="T68" s="7">
        <f t="shared" si="42"/>
        <v>2.9999999999999996</v>
      </c>
      <c r="U68" s="7">
        <f t="shared" si="135"/>
        <v>4</v>
      </c>
      <c r="V68" s="7">
        <v>4.04</v>
      </c>
      <c r="W68" s="7">
        <f t="shared" si="152"/>
        <v>4.04</v>
      </c>
      <c r="X68" s="7">
        <f t="shared" si="44"/>
        <v>5.04</v>
      </c>
      <c r="Y68" s="7">
        <f t="shared" si="200"/>
        <v>57.022858574434863</v>
      </c>
      <c r="Z68" s="7"/>
      <c r="AA68" s="7"/>
      <c r="AB68" s="7">
        <v>421</v>
      </c>
      <c r="AC68" s="7"/>
      <c r="AD68" s="7"/>
      <c r="AE68" s="7"/>
      <c r="AF68" s="7"/>
      <c r="AG68" s="7">
        <v>1</v>
      </c>
      <c r="AH68" s="7"/>
      <c r="AI68" s="7"/>
      <c r="AJ68" s="7"/>
      <c r="AK68" s="4">
        <f t="shared" si="125"/>
        <v>381</v>
      </c>
      <c r="AL68" s="44">
        <f t="shared" si="153"/>
        <v>5.9259259259259248E-2</v>
      </c>
      <c r="AM68" s="25">
        <f t="shared" si="112"/>
        <v>776.62106221784506</v>
      </c>
      <c r="AN68" s="4">
        <f t="shared" si="113"/>
        <v>0.74</v>
      </c>
      <c r="AO68" s="4">
        <v>1.25</v>
      </c>
      <c r="AP68" s="25">
        <f t="shared" si="114"/>
        <v>5</v>
      </c>
      <c r="AQ68" s="38">
        <f t="shared" si="115"/>
        <v>212.85169853377971</v>
      </c>
      <c r="AR68" s="38">
        <f t="shared" si="116"/>
        <v>212.85169853377971</v>
      </c>
      <c r="AT68" s="38">
        <f t="shared" si="130"/>
        <v>212.85169853377948</v>
      </c>
      <c r="AU68" s="38">
        <f t="shared" si="47"/>
        <v>1.0000000000000011</v>
      </c>
      <c r="AV68" s="38">
        <f t="shared" si="136"/>
        <v>1.7979619908532192</v>
      </c>
      <c r="AW68" s="4">
        <f t="shared" si="154"/>
        <v>0</v>
      </c>
      <c r="AX68" s="4">
        <f t="shared" si="220"/>
        <v>194.95009660475932</v>
      </c>
      <c r="AY68" s="4">
        <f t="shared" si="221"/>
        <v>1.1333333333333333</v>
      </c>
      <c r="AZ68" s="38">
        <f t="shared" si="117"/>
        <v>382.69926365228338</v>
      </c>
      <c r="BA68" s="4">
        <f t="shared" si="222"/>
        <v>0.43440000000000001</v>
      </c>
      <c r="BB68" s="4">
        <f t="shared" si="51"/>
        <v>44.248603226768637</v>
      </c>
      <c r="BC68" s="4">
        <f t="shared" si="52"/>
        <v>426.94786687905201</v>
      </c>
      <c r="BE68" s="36">
        <f t="shared" si="53"/>
        <v>1.1000000000000001</v>
      </c>
      <c r="BF68" s="36">
        <f t="shared" si="54"/>
        <v>193.24567576015772</v>
      </c>
      <c r="BK68" s="4">
        <f t="shared" si="156"/>
        <v>63.499999999999986</v>
      </c>
      <c r="BL68" s="4">
        <f t="shared" si="157"/>
        <v>63.499999999999986</v>
      </c>
      <c r="BM68" s="4">
        <f t="shared" si="158"/>
        <v>88.899999999999991</v>
      </c>
      <c r="BN68" s="4">
        <f t="shared" si="159"/>
        <v>76.199999999999989</v>
      </c>
      <c r="BO68" s="4">
        <f t="shared" si="160"/>
        <v>1.04</v>
      </c>
      <c r="BP68" s="25">
        <f t="shared" si="118"/>
        <v>3.1199999999999997</v>
      </c>
      <c r="BR68" s="4">
        <f t="shared" si="161"/>
        <v>63.499999999999986</v>
      </c>
      <c r="BV68" s="9"/>
      <c r="BX68" s="9"/>
      <c r="BY68" s="9"/>
      <c r="BZ68" s="9">
        <f t="shared" ref="BZ68:BZ131" si="231">IF(Q68=0,MIN(O68,P68),MIN(Q68/2,O68,P68))</f>
        <v>50.8</v>
      </c>
      <c r="CA68" s="9">
        <f t="shared" ref="CA68:CA131" si="232">MAX(Q68/2,O68)</f>
        <v>63.499999999999986</v>
      </c>
      <c r="CB68" s="9">
        <f t="shared" si="63"/>
        <v>1.4623505735569622</v>
      </c>
      <c r="CC68" s="9">
        <v>0</v>
      </c>
      <c r="CD68" s="9">
        <f t="shared" si="129"/>
        <v>0</v>
      </c>
      <c r="CE68" s="9">
        <f t="shared" si="65"/>
        <v>0</v>
      </c>
      <c r="CF68" s="9">
        <f t="shared" ref="CF68:CF131" si="233">MIN(1,(25/K68)^0.3)</f>
        <v>0.99524931562137331</v>
      </c>
      <c r="CG68" s="9">
        <f t="shared" ref="CG68:CG131" si="234">IF(G68&gt;=800,0.68,IF(G68&gt;=700,0.75-(G68-700)*0.07/100,IF(G68&gt;=600,0.85-(G68-600)*0.1/100,IF(G68&gt;=500,1-(G68-500)*0.15/100,1.2-(G68-400)*0.2/100))))</f>
        <v>1.056</v>
      </c>
      <c r="CH68" s="9">
        <f t="shared" si="68"/>
        <v>1.9464482686693119</v>
      </c>
      <c r="CI68" s="9">
        <f t="shared" si="69"/>
        <v>2.8463897420875242</v>
      </c>
      <c r="CJ68" s="9">
        <v>1</v>
      </c>
      <c r="CK68" s="9">
        <f t="shared" si="70"/>
        <v>250.48229730370213</v>
      </c>
      <c r="CM68" s="4">
        <f t="shared" si="206"/>
        <v>2.1595270140005773</v>
      </c>
      <c r="CN68" s="4">
        <f t="shared" si="207"/>
        <v>0.98606886849551367</v>
      </c>
      <c r="CO68" s="4">
        <f t="shared" si="208"/>
        <v>2.1785739750394941</v>
      </c>
      <c r="CP68" s="4">
        <f t="shared" si="209"/>
        <v>1.6807575007568314</v>
      </c>
      <c r="CQ68" s="4">
        <f t="shared" si="210"/>
        <v>1.1526891216084647</v>
      </c>
      <c r="CR68" s="4">
        <f t="shared" si="211"/>
        <v>1.3069168110853688</v>
      </c>
      <c r="CS68" s="4">
        <f t="shared" si="143"/>
        <v>1.325563931931276</v>
      </c>
      <c r="CU68" s="4">
        <f t="shared" si="212"/>
        <v>2.1595270140005773</v>
      </c>
      <c r="CV68" s="4">
        <f t="shared" si="212"/>
        <v>0.98606886849551367</v>
      </c>
      <c r="CW68" s="4">
        <f t="shared" si="213"/>
        <v>1.6807575007568314</v>
      </c>
      <c r="CX68" s="4">
        <f t="shared" si="214"/>
        <v>1.325563931931276</v>
      </c>
      <c r="CY68" s="4">
        <f t="shared" si="215"/>
        <v>1.1526891216084647</v>
      </c>
      <c r="CZ68" s="4">
        <f t="shared" si="215"/>
        <v>1.3069168110853688</v>
      </c>
      <c r="DH68" s="4">
        <f t="shared" si="167"/>
        <v>0</v>
      </c>
      <c r="DI68" s="4">
        <f t="shared" si="168"/>
        <v>381</v>
      </c>
      <c r="DJ68" s="4">
        <f t="shared" si="169"/>
        <v>0.46666666666666662</v>
      </c>
      <c r="DL68" s="4">
        <f t="shared" si="170"/>
        <v>2.6402037423385414E-5</v>
      </c>
      <c r="DM68" s="4">
        <f t="shared" si="171"/>
        <v>6.6857562842857838</v>
      </c>
      <c r="DN68" s="4">
        <f t="shared" si="172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38">
        <f t="shared" si="119"/>
        <v>365.23290808239409</v>
      </c>
      <c r="DS68" s="4">
        <f t="shared" si="79"/>
        <v>1.000197037064424</v>
      </c>
      <c r="DT68" s="4">
        <f t="shared" si="147"/>
        <v>2.2449944320643649</v>
      </c>
      <c r="DU68" s="4">
        <f t="shared" si="120"/>
        <v>212.85169853377948</v>
      </c>
      <c r="DY68" s="4">
        <f t="shared" ref="DY68:DY131" si="235">IF(P68&gt;1*K68,0.85,1)</f>
        <v>0.85</v>
      </c>
      <c r="DZ68" s="4">
        <f t="shared" si="81"/>
        <v>0.85000000000000009</v>
      </c>
      <c r="EA68" s="4">
        <f t="shared" si="82"/>
        <v>1</v>
      </c>
      <c r="EB68" s="4">
        <f t="shared" si="83"/>
        <v>0.85000000000000009</v>
      </c>
      <c r="ED68" s="4">
        <f t="shared" si="121"/>
        <v>322.13220950946965</v>
      </c>
      <c r="EE68" s="25">
        <f t="shared" si="122"/>
        <v>209.93356079366291</v>
      </c>
      <c r="EG68" s="4">
        <f t="shared" si="148"/>
        <v>0.72250000000000003</v>
      </c>
      <c r="EH68" s="4">
        <f t="shared" si="84"/>
        <v>6.6857562842857838</v>
      </c>
      <c r="EI68" s="4">
        <f t="shared" si="174"/>
        <v>6.028412726414806</v>
      </c>
      <c r="EK68" s="4">
        <f t="shared" si="175"/>
        <v>57.022858574434863</v>
      </c>
      <c r="EL68" s="4">
        <f t="shared" si="176"/>
        <v>2.2449944320643649</v>
      </c>
      <c r="EM68" s="4">
        <f t="shared" si="177"/>
        <v>0.12080025923559758</v>
      </c>
      <c r="EP68" s="4">
        <f t="shared" si="178"/>
        <v>0.12080025923559758</v>
      </c>
      <c r="EQ68" s="4">
        <f t="shared" si="179"/>
        <v>0.41680049229057015</v>
      </c>
      <c r="ER68" s="4">
        <f t="shared" si="180"/>
        <v>4.7110946590672214</v>
      </c>
      <c r="ES68" s="4">
        <f t="shared" ref="ES68:ES131" si="236">EH68/1.4*(1-EQ68^1.4)/(1-EQ68)</f>
        <v>5.7835754669295278</v>
      </c>
      <c r="ET68" s="4">
        <f t="shared" si="182"/>
        <v>228.72714142556515</v>
      </c>
      <c r="EU68" s="4">
        <f t="shared" si="183"/>
        <v>95.25</v>
      </c>
      <c r="EV68" s="4">
        <f t="shared" si="95"/>
        <v>2.6402037423385414E-5</v>
      </c>
      <c r="EW68" s="4">
        <f t="shared" ref="EW68:EW131" si="237">MAX(0.5*EH68, (1-2*EV68*(EK68*ER68+ET68*ES68))/(1/EH68+EV68*EU68))</f>
        <v>6.0226400759500986</v>
      </c>
      <c r="EX68" s="4">
        <f t="shared" si="185"/>
        <v>365.16095783921918</v>
      </c>
      <c r="EY68" s="4">
        <f t="shared" si="186"/>
        <v>120.77714142556512</v>
      </c>
      <c r="EZ68" s="4">
        <f t="shared" si="187"/>
        <v>0</v>
      </c>
      <c r="FB68" s="4">
        <f t="shared" si="100"/>
        <v>188.66038407705349</v>
      </c>
      <c r="FG68" s="23">
        <f t="shared" si="216"/>
        <v>2.2000000000000002</v>
      </c>
      <c r="FH68" s="23">
        <f t="shared" si="216"/>
        <v>1</v>
      </c>
      <c r="FI68" s="23">
        <f t="shared" si="230"/>
        <v>1.4</v>
      </c>
      <c r="FJ68" s="23">
        <f t="shared" si="217"/>
        <v>1.8</v>
      </c>
      <c r="FK68" s="23">
        <f t="shared" si="217"/>
        <v>1.2</v>
      </c>
      <c r="FL68" s="23">
        <f t="shared" si="217"/>
        <v>1.4</v>
      </c>
      <c r="FM68" s="23">
        <f t="shared" si="218"/>
        <v>0</v>
      </c>
      <c r="FN68" s="23"/>
      <c r="FX68" s="4">
        <f t="shared" si="101"/>
        <v>1</v>
      </c>
      <c r="FY68" s="4">
        <f t="shared" si="102"/>
        <v>1.0833333333333333</v>
      </c>
      <c r="FZ68" s="4">
        <f t="shared" si="103"/>
        <v>0</v>
      </c>
      <c r="GA68" s="4">
        <f t="shared" si="104"/>
        <v>317.60067534926469</v>
      </c>
    </row>
    <row r="69" spans="1:185" ht="12" customHeight="1" x14ac:dyDescent="0.3">
      <c r="A69" s="25">
        <v>51</v>
      </c>
      <c r="B69" s="20" t="s">
        <v>54</v>
      </c>
      <c r="C69" s="20">
        <v>2006</v>
      </c>
      <c r="D69" s="24" t="s">
        <v>55</v>
      </c>
      <c r="E69" s="24"/>
      <c r="F69" s="7" t="s">
        <v>279</v>
      </c>
      <c r="G69" s="7">
        <v>472</v>
      </c>
      <c r="H69" s="7">
        <f t="shared" si="205"/>
        <v>381</v>
      </c>
      <c r="I69" s="7">
        <f t="shared" si="131"/>
        <v>177.79999999999998</v>
      </c>
      <c r="J69" s="7">
        <v>21</v>
      </c>
      <c r="K69" s="7">
        <v>25.4</v>
      </c>
      <c r="L69" s="7">
        <f t="shared" si="151"/>
        <v>15</v>
      </c>
      <c r="M69" s="7">
        <v>7</v>
      </c>
      <c r="N69" s="7">
        <f t="shared" si="132"/>
        <v>152.39999999999998</v>
      </c>
      <c r="O69" s="7">
        <f t="shared" si="108"/>
        <v>63.499999999999986</v>
      </c>
      <c r="P69" s="7">
        <f t="shared" si="133"/>
        <v>50.8</v>
      </c>
      <c r="Q69" s="7">
        <v>0</v>
      </c>
      <c r="R69" s="7">
        <v>1</v>
      </c>
      <c r="S69" s="7">
        <f t="shared" si="134"/>
        <v>88.899999999999991</v>
      </c>
      <c r="T69" s="7">
        <f t="shared" si="42"/>
        <v>2.9999999999999996</v>
      </c>
      <c r="U69" s="7">
        <f t="shared" si="135"/>
        <v>4</v>
      </c>
      <c r="V69" s="7">
        <v>4.0599999999999996</v>
      </c>
      <c r="W69" s="7">
        <f t="shared" si="152"/>
        <v>4.0599999999999996</v>
      </c>
      <c r="X69" s="7">
        <f t="shared" si="44"/>
        <v>5.0599999999999996</v>
      </c>
      <c r="Y69" s="7">
        <f t="shared" si="200"/>
        <v>57.135887146346114</v>
      </c>
      <c r="Z69" s="7"/>
      <c r="AA69" s="7"/>
      <c r="AB69" s="7">
        <v>459</v>
      </c>
      <c r="AC69" s="7"/>
      <c r="AD69" s="7"/>
      <c r="AE69" s="7"/>
      <c r="AF69" s="7"/>
      <c r="AG69" s="7">
        <v>1</v>
      </c>
      <c r="AH69" s="7"/>
      <c r="AI69" s="7"/>
      <c r="AJ69" s="7"/>
      <c r="AK69" s="4">
        <f t="shared" si="125"/>
        <v>381</v>
      </c>
      <c r="AL69" s="44">
        <f t="shared" si="153"/>
        <v>5.9259259259259248E-2</v>
      </c>
      <c r="AM69" s="25">
        <f t="shared" si="112"/>
        <v>672.57356899470892</v>
      </c>
      <c r="AN69" s="4">
        <f t="shared" si="113"/>
        <v>0.74</v>
      </c>
      <c r="AO69" s="4">
        <v>1.25</v>
      </c>
      <c r="AP69" s="25">
        <f t="shared" si="114"/>
        <v>5</v>
      </c>
      <c r="AQ69" s="38">
        <f t="shared" si="115"/>
        <v>184.3349781689202</v>
      </c>
      <c r="AR69" s="38">
        <f t="shared" si="116"/>
        <v>184.3349781689202</v>
      </c>
      <c r="AT69" s="38">
        <f t="shared" si="130"/>
        <v>184.33497816892</v>
      </c>
      <c r="AU69" s="38">
        <f t="shared" si="47"/>
        <v>1.0000000000000011</v>
      </c>
      <c r="AV69" s="38">
        <f t="shared" si="136"/>
        <v>1.5609301611827398</v>
      </c>
      <c r="AW69" s="4">
        <f t="shared" si="154"/>
        <v>0</v>
      </c>
      <c r="AX69" s="4">
        <f t="shared" si="220"/>
        <v>168.83173612995199</v>
      </c>
      <c r="AY69" s="4">
        <f t="shared" si="221"/>
        <v>1.1333333333333333</v>
      </c>
      <c r="AZ69" s="38">
        <f t="shared" si="117"/>
        <v>287.73402718482913</v>
      </c>
      <c r="BA69" s="4">
        <f t="shared" si="222"/>
        <v>0.43160000000000009</v>
      </c>
      <c r="BB69" s="4">
        <f t="shared" si="51"/>
        <v>38.073413646401619</v>
      </c>
      <c r="BC69" s="4">
        <f t="shared" si="52"/>
        <v>325.80744083123074</v>
      </c>
      <c r="BE69" s="36">
        <f t="shared" si="53"/>
        <v>1.1000000000000001</v>
      </c>
      <c r="BF69" s="36">
        <f t="shared" si="54"/>
        <v>167.35566437978727</v>
      </c>
      <c r="BK69" s="4">
        <f t="shared" si="156"/>
        <v>63.499999999999986</v>
      </c>
      <c r="BL69" s="4">
        <f t="shared" si="157"/>
        <v>63.499999999999986</v>
      </c>
      <c r="BM69" s="4">
        <f t="shared" si="158"/>
        <v>88.899999999999991</v>
      </c>
      <c r="BN69" s="4">
        <f t="shared" si="159"/>
        <v>76.199999999999989</v>
      </c>
      <c r="BO69" s="4">
        <f t="shared" si="160"/>
        <v>1.04</v>
      </c>
      <c r="BP69" s="25">
        <f t="shared" si="118"/>
        <v>3.1199999999999997</v>
      </c>
      <c r="BR69" s="4">
        <f t="shared" si="161"/>
        <v>63.499999999999986</v>
      </c>
      <c r="BV69" s="9"/>
      <c r="BX69" s="9"/>
      <c r="BY69" s="9"/>
      <c r="BZ69" s="9">
        <f t="shared" si="231"/>
        <v>50.8</v>
      </c>
      <c r="CA69" s="9">
        <f t="shared" si="232"/>
        <v>63.499999999999986</v>
      </c>
      <c r="CB69" s="9">
        <f t="shared" si="63"/>
        <v>1.4623505735569622</v>
      </c>
      <c r="CC69" s="9">
        <v>0</v>
      </c>
      <c r="CD69" s="9">
        <f t="shared" si="129"/>
        <v>0</v>
      </c>
      <c r="CE69" s="9">
        <f t="shared" si="65"/>
        <v>0</v>
      </c>
      <c r="CF69" s="9">
        <f t="shared" si="233"/>
        <v>0.99524931562137331</v>
      </c>
      <c r="CG69" s="9">
        <f t="shared" si="234"/>
        <v>1.056</v>
      </c>
      <c r="CH69" s="9">
        <f t="shared" si="68"/>
        <v>1.6856736478198622</v>
      </c>
      <c r="CI69" s="9">
        <f t="shared" si="69"/>
        <v>2.465045825719232</v>
      </c>
      <c r="CJ69" s="9">
        <v>1</v>
      </c>
      <c r="CK69" s="9">
        <f t="shared" si="70"/>
        <v>216.92403266329242</v>
      </c>
      <c r="CM69" s="4">
        <f t="shared" si="206"/>
        <v>2.7186831724972711</v>
      </c>
      <c r="CN69" s="4">
        <f t="shared" si="207"/>
        <v>1.408807603745807</v>
      </c>
      <c r="CO69" s="4">
        <f t="shared" si="208"/>
        <v>2.7426618734479877</v>
      </c>
      <c r="CP69" s="4">
        <f t="shared" si="209"/>
        <v>2.1159481241640745</v>
      </c>
      <c r="CQ69" s="4">
        <f t="shared" si="210"/>
        <v>1.4331139899777334</v>
      </c>
      <c r="CR69" s="4">
        <f t="shared" si="211"/>
        <v>1.6633962074813795</v>
      </c>
      <c r="CS69" s="4">
        <f t="shared" si="143"/>
        <v>1.552980320852922</v>
      </c>
      <c r="CU69" s="4">
        <f t="shared" si="212"/>
        <v>2.7186831724972711</v>
      </c>
      <c r="CV69" s="4">
        <f t="shared" si="212"/>
        <v>1.408807603745807</v>
      </c>
      <c r="CW69" s="4">
        <f t="shared" si="213"/>
        <v>2.1159481241640745</v>
      </c>
      <c r="CX69" s="4">
        <f t="shared" si="214"/>
        <v>1.552980320852922</v>
      </c>
      <c r="CY69" s="4">
        <f t="shared" si="215"/>
        <v>1.4331139899777334</v>
      </c>
      <c r="CZ69" s="4">
        <f t="shared" si="215"/>
        <v>1.6633962074813795</v>
      </c>
      <c r="DH69" s="4">
        <f t="shared" si="167"/>
        <v>0</v>
      </c>
      <c r="DI69" s="4">
        <f t="shared" si="168"/>
        <v>381</v>
      </c>
      <c r="DJ69" s="4">
        <f t="shared" si="169"/>
        <v>0.46666666666666662</v>
      </c>
      <c r="DL69" s="4">
        <f t="shared" si="170"/>
        <v>2.5033311258542346E-5</v>
      </c>
      <c r="DM69" s="4">
        <f t="shared" si="171"/>
        <v>5.7900347857029448</v>
      </c>
      <c r="DN69" s="4">
        <f t="shared" si="172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38">
        <f t="shared" si="119"/>
        <v>320.28157090779052</v>
      </c>
      <c r="DS69" s="4">
        <f t="shared" si="79"/>
        <v>1.0002121140175244</v>
      </c>
      <c r="DT69" s="4">
        <f t="shared" si="147"/>
        <v>2.2494443758403984</v>
      </c>
      <c r="DU69" s="4">
        <f t="shared" si="120"/>
        <v>184.33497816892</v>
      </c>
      <c r="DY69" s="4">
        <f t="shared" si="235"/>
        <v>0.85</v>
      </c>
      <c r="DZ69" s="4">
        <f t="shared" si="81"/>
        <v>0.85000000000000009</v>
      </c>
      <c r="EA69" s="4">
        <f t="shared" si="82"/>
        <v>1</v>
      </c>
      <c r="EB69" s="4">
        <f t="shared" si="83"/>
        <v>0.85000000000000009</v>
      </c>
      <c r="ED69" s="4">
        <f t="shared" si="121"/>
        <v>275.94147319536808</v>
      </c>
      <c r="EE69" s="25">
        <f t="shared" si="122"/>
        <v>181.80779675423688</v>
      </c>
      <c r="EG69" s="4">
        <f t="shared" si="148"/>
        <v>0.72250000000000003</v>
      </c>
      <c r="EH69" s="4">
        <f t="shared" si="84"/>
        <v>5.7900347857029448</v>
      </c>
      <c r="EI69" s="4">
        <f t="shared" si="174"/>
        <v>5.2207585655726314</v>
      </c>
      <c r="EK69" s="4">
        <f t="shared" si="175"/>
        <v>57.135887146346114</v>
      </c>
      <c r="EL69" s="4">
        <f t="shared" si="176"/>
        <v>2.2494443758403984</v>
      </c>
      <c r="EM69" s="4">
        <f t="shared" si="177"/>
        <v>0.1204434502751171</v>
      </c>
      <c r="EP69" s="4">
        <f t="shared" si="178"/>
        <v>0.1204434502751171</v>
      </c>
      <c r="EQ69" s="4">
        <f t="shared" si="179"/>
        <v>0.47985819191921475</v>
      </c>
      <c r="ER69" s="4">
        <f t="shared" si="180"/>
        <v>4.3164462593677309</v>
      </c>
      <c r="ES69" s="4">
        <f t="shared" si="236"/>
        <v>5.1067841093562398</v>
      </c>
      <c r="ET69" s="4">
        <f t="shared" si="182"/>
        <v>228.61411285365389</v>
      </c>
      <c r="EU69" s="4">
        <f t="shared" si="183"/>
        <v>95.249999999999972</v>
      </c>
      <c r="EV69" s="4">
        <f t="shared" si="95"/>
        <v>2.5033311258542336E-5</v>
      </c>
      <c r="EW69" s="4">
        <f t="shared" si="237"/>
        <v>5.3068372704296802</v>
      </c>
      <c r="EX69" s="4">
        <f t="shared" si="185"/>
        <v>320.21364910421289</v>
      </c>
      <c r="EY69" s="4">
        <f t="shared" si="186"/>
        <v>120.66411285365388</v>
      </c>
      <c r="EZ69" s="4">
        <f t="shared" si="187"/>
        <v>0</v>
      </c>
      <c r="FB69" s="4">
        <f t="shared" si="100"/>
        <v>166.41788891550129</v>
      </c>
      <c r="FG69" s="23">
        <f t="shared" si="216"/>
        <v>2.2000000000000002</v>
      </c>
      <c r="FH69" s="23">
        <f t="shared" si="216"/>
        <v>1.6</v>
      </c>
      <c r="FI69" s="23">
        <f t="shared" si="230"/>
        <v>1.6</v>
      </c>
      <c r="FJ69" s="23">
        <f t="shared" si="217"/>
        <v>2.2000000000000002</v>
      </c>
      <c r="FK69" s="23">
        <f t="shared" si="217"/>
        <v>1.6</v>
      </c>
      <c r="FL69" s="23">
        <f t="shared" si="217"/>
        <v>1.8</v>
      </c>
      <c r="FM69" s="23">
        <f t="shared" si="218"/>
        <v>0</v>
      </c>
      <c r="FN69" s="23"/>
      <c r="FX69" s="4">
        <f t="shared" si="101"/>
        <v>1</v>
      </c>
      <c r="FY69" s="4">
        <f t="shared" si="102"/>
        <v>1.0833333333333333</v>
      </c>
      <c r="FZ69" s="4">
        <f t="shared" si="103"/>
        <v>0</v>
      </c>
      <c r="GA69" s="4">
        <f t="shared" si="104"/>
        <v>295.56073173413409</v>
      </c>
    </row>
    <row r="70" spans="1:185" ht="12" customHeight="1" x14ac:dyDescent="0.3">
      <c r="A70" s="25">
        <v>52</v>
      </c>
      <c r="B70" s="20" t="s">
        <v>54</v>
      </c>
      <c r="C70" s="20">
        <v>2006</v>
      </c>
      <c r="D70" s="24" t="s">
        <v>55</v>
      </c>
      <c r="E70" s="24"/>
      <c r="F70" s="7" t="s">
        <v>66</v>
      </c>
      <c r="G70" s="7">
        <v>472</v>
      </c>
      <c r="H70" s="7">
        <f t="shared" si="205"/>
        <v>381</v>
      </c>
      <c r="I70" s="7">
        <f t="shared" si="131"/>
        <v>177.79999999999998</v>
      </c>
      <c r="J70" s="7">
        <v>21</v>
      </c>
      <c r="K70" s="7">
        <v>25.4</v>
      </c>
      <c r="L70" s="7">
        <f t="shared" si="151"/>
        <v>15</v>
      </c>
      <c r="M70" s="7">
        <v>7</v>
      </c>
      <c r="N70" s="7">
        <f t="shared" si="132"/>
        <v>152.39999999999998</v>
      </c>
      <c r="O70" s="7">
        <f t="shared" si="108"/>
        <v>63.499999999999986</v>
      </c>
      <c r="P70" s="7">
        <f t="shared" si="133"/>
        <v>50.8</v>
      </c>
      <c r="Q70" s="7">
        <v>0</v>
      </c>
      <c r="R70" s="7">
        <v>1</v>
      </c>
      <c r="S70" s="7">
        <f t="shared" si="134"/>
        <v>88.899999999999991</v>
      </c>
      <c r="T70" s="7">
        <f t="shared" si="42"/>
        <v>2.9999999999999996</v>
      </c>
      <c r="U70" s="7">
        <f t="shared" si="135"/>
        <v>4</v>
      </c>
      <c r="V70" s="7">
        <v>4.7</v>
      </c>
      <c r="W70" s="7">
        <f t="shared" si="152"/>
        <v>4.7</v>
      </c>
      <c r="X70" s="7">
        <f t="shared" si="44"/>
        <v>5.7</v>
      </c>
      <c r="Y70" s="7">
        <f t="shared" si="200"/>
        <v>60.641668842471674</v>
      </c>
      <c r="Z70" s="7"/>
      <c r="AA70" s="7"/>
      <c r="AB70" s="7">
        <v>413</v>
      </c>
      <c r="AC70" s="7"/>
      <c r="AD70" s="7"/>
      <c r="AE70" s="7"/>
      <c r="AF70" s="7"/>
      <c r="AG70" s="7">
        <v>1</v>
      </c>
      <c r="AH70" s="7"/>
      <c r="AI70" s="7"/>
      <c r="AJ70" s="7"/>
      <c r="AK70" s="4">
        <f t="shared" si="125"/>
        <v>381</v>
      </c>
      <c r="AL70" s="44">
        <f t="shared" si="153"/>
        <v>5.9259259259259248E-2</v>
      </c>
      <c r="AM70" s="25">
        <f t="shared" si="112"/>
        <v>672.57356899470892</v>
      </c>
      <c r="AN70" s="4">
        <f t="shared" si="113"/>
        <v>0.74</v>
      </c>
      <c r="AO70" s="4">
        <v>1.25</v>
      </c>
      <c r="AP70" s="25">
        <f t="shared" si="114"/>
        <v>5</v>
      </c>
      <c r="AQ70" s="38">
        <f t="shared" si="115"/>
        <v>184.3349781689202</v>
      </c>
      <c r="AR70" s="38">
        <f t="shared" si="116"/>
        <v>184.3349781689202</v>
      </c>
      <c r="AT70" s="38">
        <f t="shared" si="130"/>
        <v>184.33497816892</v>
      </c>
      <c r="AU70" s="38">
        <f t="shared" si="47"/>
        <v>1.0000000000000011</v>
      </c>
      <c r="AV70" s="38">
        <f t="shared" si="136"/>
        <v>1.6794589169432566</v>
      </c>
      <c r="AW70" s="4">
        <f t="shared" si="154"/>
        <v>0</v>
      </c>
      <c r="AX70" s="4">
        <f t="shared" si="220"/>
        <v>168.83173612995199</v>
      </c>
      <c r="AY70" s="4">
        <f t="shared" si="221"/>
        <v>1.1333333333333333</v>
      </c>
      <c r="AZ70" s="38">
        <f t="shared" si="117"/>
        <v>309.58302279033325</v>
      </c>
      <c r="BA70" s="4">
        <f t="shared" si="222"/>
        <v>0.34199999999999997</v>
      </c>
      <c r="BB70" s="4">
        <f t="shared" si="51"/>
        <v>30.169387087741768</v>
      </c>
      <c r="BC70" s="4">
        <f t="shared" si="52"/>
        <v>339.75240987807501</v>
      </c>
      <c r="BE70" s="36">
        <f t="shared" si="53"/>
        <v>1.1000000000000001</v>
      </c>
      <c r="BF70" s="36">
        <f t="shared" si="54"/>
        <v>167.35566437978727</v>
      </c>
      <c r="BK70" s="4">
        <f t="shared" si="156"/>
        <v>63.499999999999986</v>
      </c>
      <c r="BL70" s="4">
        <f t="shared" si="157"/>
        <v>63.499999999999986</v>
      </c>
      <c r="BM70" s="4">
        <f t="shared" si="158"/>
        <v>88.899999999999991</v>
      </c>
      <c r="BN70" s="4">
        <f t="shared" si="159"/>
        <v>76.199999999999989</v>
      </c>
      <c r="BO70" s="4">
        <f t="shared" si="160"/>
        <v>1.04</v>
      </c>
      <c r="BP70" s="25">
        <f t="shared" si="118"/>
        <v>3.1199999999999997</v>
      </c>
      <c r="BR70" s="4">
        <f t="shared" si="161"/>
        <v>63.499999999999986</v>
      </c>
      <c r="BV70" s="9"/>
      <c r="BX70" s="9"/>
      <c r="BY70" s="9"/>
      <c r="BZ70" s="9">
        <f t="shared" si="231"/>
        <v>50.8</v>
      </c>
      <c r="CA70" s="9">
        <f t="shared" si="232"/>
        <v>63.499999999999986</v>
      </c>
      <c r="CB70" s="9">
        <f t="shared" si="63"/>
        <v>1.4623505735569622</v>
      </c>
      <c r="CC70" s="9">
        <v>0</v>
      </c>
      <c r="CD70" s="9">
        <f t="shared" si="129"/>
        <v>0</v>
      </c>
      <c r="CE70" s="9">
        <f t="shared" si="65"/>
        <v>0</v>
      </c>
      <c r="CF70" s="9">
        <f t="shared" si="233"/>
        <v>0.99524931562137331</v>
      </c>
      <c r="CG70" s="9">
        <f t="shared" si="234"/>
        <v>1.056</v>
      </c>
      <c r="CH70" s="9">
        <f t="shared" si="68"/>
        <v>1.6856736478198622</v>
      </c>
      <c r="CI70" s="9">
        <f t="shared" si="69"/>
        <v>2.465045825719232</v>
      </c>
      <c r="CJ70" s="9">
        <v>1</v>
      </c>
      <c r="CK70" s="9">
        <f t="shared" si="70"/>
        <v>216.92403266329242</v>
      </c>
      <c r="CM70" s="4">
        <f t="shared" si="206"/>
        <v>2.4462225495454746</v>
      </c>
      <c r="CN70" s="4">
        <f t="shared" si="207"/>
        <v>1.2155910833662988</v>
      </c>
      <c r="CO70" s="4">
        <f t="shared" si="208"/>
        <v>2.4677981562832656</v>
      </c>
      <c r="CP70" s="4">
        <f t="shared" si="209"/>
        <v>1.9038923208709428</v>
      </c>
      <c r="CQ70" s="4">
        <f t="shared" si="210"/>
        <v>1.3016046889462036</v>
      </c>
      <c r="CR70" s="4">
        <f t="shared" si="211"/>
        <v>1.4916330668423277</v>
      </c>
      <c r="CS70" s="4">
        <f t="shared" si="143"/>
        <v>1.3973439488284463</v>
      </c>
      <c r="CU70" s="4">
        <f t="shared" si="212"/>
        <v>2.4462225495454746</v>
      </c>
      <c r="CV70" s="4">
        <f t="shared" si="212"/>
        <v>1.2155910833662988</v>
      </c>
      <c r="CW70" s="4">
        <f t="shared" si="213"/>
        <v>1.9038923208709428</v>
      </c>
      <c r="CX70" s="4">
        <f t="shared" si="214"/>
        <v>1.3973439488284463</v>
      </c>
      <c r="CY70" s="4">
        <f t="shared" si="215"/>
        <v>1.3016046889462036</v>
      </c>
      <c r="CZ70" s="4">
        <f t="shared" si="215"/>
        <v>1.4916330668423277</v>
      </c>
      <c r="DH70" s="4">
        <f t="shared" si="167"/>
        <v>0</v>
      </c>
      <c r="DI70" s="4">
        <f t="shared" si="168"/>
        <v>381</v>
      </c>
      <c r="DJ70" s="4">
        <f t="shared" si="169"/>
        <v>0.46666666666666662</v>
      </c>
      <c r="DL70" s="4">
        <f t="shared" si="170"/>
        <v>2.5033311258542346E-5</v>
      </c>
      <c r="DM70" s="4">
        <f t="shared" si="171"/>
        <v>5.7900347857029448</v>
      </c>
      <c r="DN70" s="4">
        <f t="shared" si="172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38">
        <f t="shared" si="119"/>
        <v>317.30063936260882</v>
      </c>
      <c r="DS70" s="4">
        <f t="shared" si="79"/>
        <v>1.0002066216475634</v>
      </c>
      <c r="DT70" s="4">
        <f t="shared" si="147"/>
        <v>2.3874672772626644</v>
      </c>
      <c r="DU70" s="4">
        <f t="shared" si="120"/>
        <v>184.33497816892</v>
      </c>
      <c r="DY70" s="4">
        <f t="shared" si="235"/>
        <v>0.85</v>
      </c>
      <c r="DZ70" s="4">
        <f t="shared" si="81"/>
        <v>0.85000000000000009</v>
      </c>
      <c r="EA70" s="4">
        <f t="shared" si="82"/>
        <v>1</v>
      </c>
      <c r="EB70" s="4">
        <f t="shared" si="83"/>
        <v>0.85000000000000009</v>
      </c>
      <c r="ED70" s="4">
        <f t="shared" si="121"/>
        <v>276.87774505716021</v>
      </c>
      <c r="EE70" s="25">
        <f t="shared" si="122"/>
        <v>181.80779675423688</v>
      </c>
      <c r="EG70" s="4">
        <f t="shared" si="148"/>
        <v>0.72250000000000003</v>
      </c>
      <c r="EH70" s="4">
        <f t="shared" si="84"/>
        <v>5.7900347857029448</v>
      </c>
      <c r="EI70" s="4">
        <f t="shared" si="174"/>
        <v>5.2207585655726314</v>
      </c>
      <c r="EK70" s="4">
        <f t="shared" si="175"/>
        <v>60.641668842471674</v>
      </c>
      <c r="EL70" s="4">
        <f t="shared" si="176"/>
        <v>2.3874672772626644</v>
      </c>
      <c r="EM70" s="4">
        <f t="shared" si="177"/>
        <v>0.11042655740559822</v>
      </c>
      <c r="EP70" s="4">
        <f t="shared" si="178"/>
        <v>0.11042655740559822</v>
      </c>
      <c r="EQ70" s="4">
        <f t="shared" si="179"/>
        <v>0.4399499354715925</v>
      </c>
      <c r="ER70" s="4">
        <f t="shared" si="180"/>
        <v>4.1691015744887965</v>
      </c>
      <c r="ES70" s="4">
        <f t="shared" si="236"/>
        <v>5.0452617256677321</v>
      </c>
      <c r="ET70" s="4">
        <f t="shared" si="182"/>
        <v>225.10833115752831</v>
      </c>
      <c r="EU70" s="4">
        <f t="shared" si="183"/>
        <v>95.25</v>
      </c>
      <c r="EV70" s="4">
        <f t="shared" si="95"/>
        <v>2.5033311258542346E-5</v>
      </c>
      <c r="EW70" s="4">
        <f t="shared" si="237"/>
        <v>5.3141445144905157</v>
      </c>
      <c r="EX70" s="4">
        <f t="shared" si="185"/>
        <v>317.23509172529162</v>
      </c>
      <c r="EY70" s="4">
        <f t="shared" si="186"/>
        <v>117.15833115752831</v>
      </c>
      <c r="EZ70" s="4">
        <f t="shared" si="187"/>
        <v>0</v>
      </c>
      <c r="FB70" s="4">
        <f t="shared" si="100"/>
        <v>165.48161705370916</v>
      </c>
      <c r="FG70" s="23">
        <f t="shared" si="216"/>
        <v>2.2000000000000002</v>
      </c>
      <c r="FH70" s="23">
        <f t="shared" si="216"/>
        <v>1.4</v>
      </c>
      <c r="FI70" s="23">
        <f t="shared" si="230"/>
        <v>1.4</v>
      </c>
      <c r="FJ70" s="23">
        <f t="shared" si="217"/>
        <v>2</v>
      </c>
      <c r="FK70" s="23">
        <f t="shared" si="217"/>
        <v>1.4</v>
      </c>
      <c r="FL70" s="23">
        <f t="shared" si="217"/>
        <v>1.6</v>
      </c>
      <c r="FM70" s="23">
        <f t="shared" si="218"/>
        <v>0</v>
      </c>
      <c r="FN70" s="23"/>
      <c r="FX70" s="4">
        <f t="shared" si="101"/>
        <v>1</v>
      </c>
      <c r="FY70" s="4">
        <f t="shared" si="102"/>
        <v>1.0833333333333333</v>
      </c>
      <c r="FZ70" s="4">
        <f t="shared" si="103"/>
        <v>0</v>
      </c>
      <c r="GA70" s="4">
        <f t="shared" si="104"/>
        <v>295.56073173413409</v>
      </c>
    </row>
    <row r="71" spans="1:185" ht="12" customHeight="1" x14ac:dyDescent="0.3">
      <c r="A71" s="25">
        <v>53</v>
      </c>
      <c r="B71" s="20" t="s">
        <v>54</v>
      </c>
      <c r="C71" s="20">
        <v>2006</v>
      </c>
      <c r="D71" s="24" t="s">
        <v>55</v>
      </c>
      <c r="E71" s="24"/>
      <c r="F71" s="7" t="s">
        <v>281</v>
      </c>
      <c r="G71" s="7">
        <v>472</v>
      </c>
      <c r="H71" s="7">
        <f t="shared" si="205"/>
        <v>381</v>
      </c>
      <c r="I71" s="7">
        <f t="shared" si="131"/>
        <v>177.79999999999998</v>
      </c>
      <c r="J71" s="7">
        <v>27</v>
      </c>
      <c r="K71" s="7">
        <v>25.4</v>
      </c>
      <c r="L71" s="7">
        <f t="shared" si="151"/>
        <v>15</v>
      </c>
      <c r="M71" s="7">
        <v>7</v>
      </c>
      <c r="N71" s="7">
        <f t="shared" si="132"/>
        <v>152.39999999999998</v>
      </c>
      <c r="O71" s="7">
        <f t="shared" si="108"/>
        <v>63.499999999999986</v>
      </c>
      <c r="P71" s="7">
        <f t="shared" si="133"/>
        <v>50.8</v>
      </c>
      <c r="Q71" s="7">
        <v>0</v>
      </c>
      <c r="R71" s="7">
        <v>1</v>
      </c>
      <c r="S71" s="7">
        <f t="shared" si="134"/>
        <v>88.899999999999991</v>
      </c>
      <c r="T71" s="7">
        <f t="shared" si="42"/>
        <v>2.9999999999999996</v>
      </c>
      <c r="U71" s="7">
        <f t="shared" si="135"/>
        <v>4</v>
      </c>
      <c r="V71" s="7">
        <v>4.7</v>
      </c>
      <c r="W71" s="7">
        <f t="shared" si="152"/>
        <v>4.7</v>
      </c>
      <c r="X71" s="7">
        <f t="shared" si="44"/>
        <v>5.7</v>
      </c>
      <c r="Y71" s="7">
        <f t="shared" si="200"/>
        <v>60.641668842471674</v>
      </c>
      <c r="Z71" s="7"/>
      <c r="AA71" s="7"/>
      <c r="AB71" s="7">
        <v>471</v>
      </c>
      <c r="AC71" s="7"/>
      <c r="AD71" s="7"/>
      <c r="AE71" s="7"/>
      <c r="AF71" s="7"/>
      <c r="AG71" s="7">
        <v>1</v>
      </c>
      <c r="AH71" s="7"/>
      <c r="AI71" s="7"/>
      <c r="AJ71" s="7"/>
      <c r="AK71" s="4">
        <f t="shared" si="125"/>
        <v>381</v>
      </c>
      <c r="AL71" s="44">
        <f t="shared" si="153"/>
        <v>5.9259259259259248E-2</v>
      </c>
      <c r="AM71" s="25">
        <f t="shared" si="112"/>
        <v>762.62674369506078</v>
      </c>
      <c r="AN71" s="4">
        <f t="shared" si="113"/>
        <v>0.74</v>
      </c>
      <c r="AO71" s="4">
        <v>1.25</v>
      </c>
      <c r="AP71" s="25">
        <f t="shared" si="114"/>
        <v>5</v>
      </c>
      <c r="AQ71" s="38">
        <f t="shared" si="115"/>
        <v>209.01621864234997</v>
      </c>
      <c r="AR71" s="38">
        <f t="shared" si="116"/>
        <v>209.01621864234997</v>
      </c>
      <c r="AT71" s="38">
        <f t="shared" si="130"/>
        <v>209.0162186423498</v>
      </c>
      <c r="AU71" s="38">
        <f t="shared" si="47"/>
        <v>1.0000000000000009</v>
      </c>
      <c r="AV71" s="38">
        <f t="shared" si="136"/>
        <v>1.9043274134493156</v>
      </c>
      <c r="AW71" s="4">
        <f t="shared" si="154"/>
        <v>0</v>
      </c>
      <c r="AX71" s="4">
        <f t="shared" si="220"/>
        <v>191.43719452077065</v>
      </c>
      <c r="AY71" s="4">
        <f t="shared" si="221"/>
        <v>1.1333333333333333</v>
      </c>
      <c r="AZ71" s="38">
        <f t="shared" si="117"/>
        <v>398.03531501614259</v>
      </c>
      <c r="BA71" s="4">
        <f t="shared" si="222"/>
        <v>0.34199999999999997</v>
      </c>
      <c r="BB71" s="4">
        <f t="shared" si="51"/>
        <v>34.208869474889106</v>
      </c>
      <c r="BC71" s="4">
        <f t="shared" si="52"/>
        <v>432.24418449103172</v>
      </c>
      <c r="BE71" s="36">
        <f t="shared" si="53"/>
        <v>1.1000000000000001</v>
      </c>
      <c r="BF71" s="36">
        <f t="shared" si="54"/>
        <v>189.7634864772462</v>
      </c>
      <c r="BK71" s="4">
        <f t="shared" si="156"/>
        <v>63.499999999999986</v>
      </c>
      <c r="BL71" s="4">
        <f t="shared" si="157"/>
        <v>63.499999999999986</v>
      </c>
      <c r="BM71" s="4">
        <f t="shared" si="158"/>
        <v>88.899999999999991</v>
      </c>
      <c r="BN71" s="4">
        <f t="shared" si="159"/>
        <v>76.199999999999989</v>
      </c>
      <c r="BO71" s="4">
        <f t="shared" si="160"/>
        <v>1.04</v>
      </c>
      <c r="BP71" s="25">
        <f t="shared" si="118"/>
        <v>3.1199999999999997</v>
      </c>
      <c r="BR71" s="4">
        <f t="shared" si="161"/>
        <v>63.499999999999986</v>
      </c>
      <c r="BV71" s="9"/>
      <c r="BX71" s="9"/>
      <c r="BY71" s="9"/>
      <c r="BZ71" s="9">
        <f t="shared" si="231"/>
        <v>50.8</v>
      </c>
      <c r="CA71" s="9">
        <f t="shared" si="232"/>
        <v>63.499999999999986</v>
      </c>
      <c r="CB71" s="9">
        <f t="shared" si="63"/>
        <v>1.4623505735569622</v>
      </c>
      <c r="CC71" s="9">
        <v>0</v>
      </c>
      <c r="CD71" s="9">
        <f t="shared" si="129"/>
        <v>0</v>
      </c>
      <c r="CE71" s="9">
        <f t="shared" si="65"/>
        <v>0</v>
      </c>
      <c r="CF71" s="9">
        <f t="shared" si="233"/>
        <v>0.99524931562137331</v>
      </c>
      <c r="CG71" s="9">
        <f t="shared" si="234"/>
        <v>1.056</v>
      </c>
      <c r="CH71" s="9">
        <f t="shared" si="68"/>
        <v>1.911374255891328</v>
      </c>
      <c r="CI71" s="9">
        <f t="shared" si="69"/>
        <v>2.7950992393846952</v>
      </c>
      <c r="CJ71" s="9">
        <v>1</v>
      </c>
      <c r="CK71" s="9">
        <f t="shared" si="70"/>
        <v>245.96873306585317</v>
      </c>
      <c r="CM71" s="4">
        <f t="shared" si="206"/>
        <v>2.4603369328466482</v>
      </c>
      <c r="CN71" s="4">
        <f t="shared" si="207"/>
        <v>1.0896618552649895</v>
      </c>
      <c r="CO71" s="4">
        <f t="shared" si="208"/>
        <v>2.4820370280057844</v>
      </c>
      <c r="CP71" s="4">
        <f t="shared" si="209"/>
        <v>1.9148775298765279</v>
      </c>
      <c r="CQ71" s="4">
        <f t="shared" si="210"/>
        <v>1.3236602712925347</v>
      </c>
      <c r="CR71" s="4">
        <f t="shared" si="211"/>
        <v>1.4864600348804182</v>
      </c>
      <c r="CS71" s="4">
        <f t="shared" si="143"/>
        <v>1.4965390606012445</v>
      </c>
      <c r="CU71" s="4">
        <f t="shared" si="212"/>
        <v>2.4603369328466482</v>
      </c>
      <c r="CV71" s="4">
        <f t="shared" si="212"/>
        <v>1.0896618552649895</v>
      </c>
      <c r="CW71" s="4">
        <f t="shared" si="213"/>
        <v>1.9148775298765279</v>
      </c>
      <c r="CX71" s="4">
        <f t="shared" si="214"/>
        <v>1.4965390606012445</v>
      </c>
      <c r="CY71" s="4">
        <f t="shared" si="215"/>
        <v>1.3236602712925347</v>
      </c>
      <c r="CZ71" s="4">
        <f t="shared" si="215"/>
        <v>1.4864600348804182</v>
      </c>
      <c r="DH71" s="4">
        <f t="shared" si="167"/>
        <v>0</v>
      </c>
      <c r="DI71" s="4">
        <f t="shared" si="168"/>
        <v>381</v>
      </c>
      <c r="DJ71" s="4">
        <f t="shared" si="169"/>
        <v>0.46666666666666662</v>
      </c>
      <c r="DL71" s="4">
        <f t="shared" si="170"/>
        <v>2.6209296574030622E-5</v>
      </c>
      <c r="DM71" s="4">
        <f t="shared" si="171"/>
        <v>6.5652823394499222</v>
      </c>
      <c r="DN71" s="4">
        <f t="shared" si="172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38">
        <f t="shared" si="119"/>
        <v>355.83148502302288</v>
      </c>
      <c r="DS71" s="4">
        <f t="shared" si="79"/>
        <v>1.0001936169023238</v>
      </c>
      <c r="DT71" s="4">
        <f t="shared" si="147"/>
        <v>2.3874672772626644</v>
      </c>
      <c r="DU71" s="4">
        <f t="shared" si="120"/>
        <v>209.0162186423498</v>
      </c>
      <c r="DY71" s="4">
        <f t="shared" si="235"/>
        <v>0.85</v>
      </c>
      <c r="DZ71" s="4">
        <f t="shared" si="81"/>
        <v>0.85000000000000009</v>
      </c>
      <c r="EA71" s="4">
        <f t="shared" si="82"/>
        <v>1</v>
      </c>
      <c r="EB71" s="4">
        <f t="shared" si="83"/>
        <v>0.85000000000000009</v>
      </c>
      <c r="ED71" s="4">
        <f t="shared" si="121"/>
        <v>316.86018389178605</v>
      </c>
      <c r="EE71" s="25">
        <f t="shared" si="122"/>
        <v>206.15066426755152</v>
      </c>
      <c r="EG71" s="4">
        <f t="shared" si="148"/>
        <v>0.72250000000000003</v>
      </c>
      <c r="EH71" s="4">
        <f t="shared" si="84"/>
        <v>6.5652823394499222</v>
      </c>
      <c r="EI71" s="4">
        <f t="shared" si="174"/>
        <v>5.9197837798352051</v>
      </c>
      <c r="EK71" s="4">
        <f t="shared" si="175"/>
        <v>60.641668842471674</v>
      </c>
      <c r="EL71" s="4">
        <f t="shared" si="176"/>
        <v>2.3874672772626644</v>
      </c>
      <c r="EM71" s="4">
        <f t="shared" si="177"/>
        <v>0.11042655740559822</v>
      </c>
      <c r="EP71" s="4">
        <f t="shared" si="178"/>
        <v>0.11042655740559822</v>
      </c>
      <c r="EQ71" s="4">
        <f t="shared" si="179"/>
        <v>0.387999372858916</v>
      </c>
      <c r="ER71" s="4">
        <f t="shared" si="180"/>
        <v>4.4955808966964188</v>
      </c>
      <c r="ES71" s="4">
        <f t="shared" si="236"/>
        <v>5.6267446669320007</v>
      </c>
      <c r="ET71" s="4">
        <f t="shared" si="182"/>
        <v>225.10833115752831</v>
      </c>
      <c r="EU71" s="4">
        <f t="shared" si="183"/>
        <v>95.25</v>
      </c>
      <c r="EV71" s="4">
        <f t="shared" si="95"/>
        <v>2.6209296574030622E-5</v>
      </c>
      <c r="EW71" s="4">
        <f t="shared" si="237"/>
        <v>5.9382350875445296</v>
      </c>
      <c r="EX71" s="4">
        <f t="shared" si="185"/>
        <v>355.76260336979578</v>
      </c>
      <c r="EY71" s="4">
        <f t="shared" si="186"/>
        <v>117.15833115752831</v>
      </c>
      <c r="EZ71" s="4">
        <f t="shared" si="187"/>
        <v>0</v>
      </c>
      <c r="FB71" s="4">
        <f t="shared" si="100"/>
        <v>184.72818565101193</v>
      </c>
      <c r="FG71" s="23">
        <f t="shared" si="216"/>
        <v>2.2000000000000002</v>
      </c>
      <c r="FH71" s="23">
        <f t="shared" si="216"/>
        <v>1.2</v>
      </c>
      <c r="FI71" s="23">
        <f t="shared" si="230"/>
        <v>1.6</v>
      </c>
      <c r="FJ71" s="23">
        <f t="shared" si="217"/>
        <v>2</v>
      </c>
      <c r="FK71" s="23">
        <f t="shared" si="217"/>
        <v>1.4</v>
      </c>
      <c r="FL71" s="23">
        <f t="shared" si="217"/>
        <v>1.6</v>
      </c>
      <c r="FM71" s="23">
        <f t="shared" si="218"/>
        <v>0</v>
      </c>
      <c r="FN71" s="23"/>
      <c r="FX71" s="4">
        <f t="shared" si="101"/>
        <v>1</v>
      </c>
      <c r="FY71" s="4">
        <f t="shared" si="102"/>
        <v>1.0833333333333333</v>
      </c>
      <c r="FZ71" s="4">
        <f t="shared" si="103"/>
        <v>0</v>
      </c>
      <c r="GA71" s="4">
        <f t="shared" si="104"/>
        <v>314.72616545723344</v>
      </c>
    </row>
    <row r="72" spans="1:185" ht="12" customHeight="1" x14ac:dyDescent="0.3">
      <c r="A72" s="25">
        <v>54</v>
      </c>
      <c r="B72" s="20" t="s">
        <v>54</v>
      </c>
      <c r="C72" s="20">
        <v>2006</v>
      </c>
      <c r="D72" s="24" t="s">
        <v>55</v>
      </c>
      <c r="E72" s="24"/>
      <c r="F72" s="7" t="s">
        <v>282</v>
      </c>
      <c r="G72" s="7">
        <v>472</v>
      </c>
      <c r="H72" s="7">
        <f t="shared" si="205"/>
        <v>381</v>
      </c>
      <c r="I72" s="7">
        <f t="shared" si="131"/>
        <v>177.79999999999998</v>
      </c>
      <c r="J72" s="7">
        <v>21</v>
      </c>
      <c r="K72" s="7">
        <v>25.4</v>
      </c>
      <c r="L72" s="7">
        <f t="shared" si="151"/>
        <v>15</v>
      </c>
      <c r="M72" s="7">
        <v>7</v>
      </c>
      <c r="N72" s="7">
        <f t="shared" si="132"/>
        <v>152.39999999999998</v>
      </c>
      <c r="O72" s="7">
        <f t="shared" si="108"/>
        <v>63.499999999999986</v>
      </c>
      <c r="P72" s="7">
        <f t="shared" si="133"/>
        <v>50.8</v>
      </c>
      <c r="Q72" s="7">
        <v>0</v>
      </c>
      <c r="R72" s="7">
        <v>1</v>
      </c>
      <c r="S72" s="7">
        <f t="shared" si="134"/>
        <v>88.899999999999991</v>
      </c>
      <c r="T72" s="7">
        <f t="shared" si="42"/>
        <v>2.9999999999999996</v>
      </c>
      <c r="U72" s="7">
        <f t="shared" si="135"/>
        <v>4</v>
      </c>
      <c r="V72" s="7">
        <v>10.39</v>
      </c>
      <c r="W72" s="7">
        <f t="shared" si="152"/>
        <v>10.39</v>
      </c>
      <c r="X72" s="7">
        <f t="shared" si="44"/>
        <v>11.39</v>
      </c>
      <c r="Y72" s="7">
        <f t="shared" si="200"/>
        <v>85.722648115885917</v>
      </c>
      <c r="Z72" s="7"/>
      <c r="AA72" s="7"/>
      <c r="AB72" s="7">
        <v>376</v>
      </c>
      <c r="AC72" s="7"/>
      <c r="AD72" s="7"/>
      <c r="AE72" s="7"/>
      <c r="AF72" s="7"/>
      <c r="AG72" s="7">
        <v>1</v>
      </c>
      <c r="AH72" s="7"/>
      <c r="AI72" s="7"/>
      <c r="AJ72" s="7"/>
      <c r="AK72" s="4">
        <f t="shared" si="125"/>
        <v>381</v>
      </c>
      <c r="AL72" s="44">
        <f t="shared" si="153"/>
        <v>5.9259259259259248E-2</v>
      </c>
      <c r="AM72" s="25">
        <f t="shared" si="112"/>
        <v>672.57356899470892</v>
      </c>
      <c r="AN72" s="4">
        <f t="shared" si="113"/>
        <v>0.74</v>
      </c>
      <c r="AO72" s="4">
        <v>1.25</v>
      </c>
      <c r="AP72" s="25">
        <f t="shared" si="114"/>
        <v>5</v>
      </c>
      <c r="AQ72" s="38">
        <f t="shared" si="115"/>
        <v>184.3349781689202</v>
      </c>
      <c r="AR72" s="38">
        <f t="shared" si="116"/>
        <v>184.3349781689202</v>
      </c>
      <c r="AT72" s="38">
        <f t="shared" si="130"/>
        <v>184.33497816892</v>
      </c>
      <c r="AU72" s="38">
        <f t="shared" si="47"/>
        <v>1.0000000000000011</v>
      </c>
      <c r="AV72" s="38">
        <f t="shared" si="136"/>
        <v>2.4970556966813486</v>
      </c>
      <c r="AW72" s="4">
        <f t="shared" si="154"/>
        <v>0</v>
      </c>
      <c r="AX72" s="4">
        <f t="shared" si="220"/>
        <v>168.83173612995199</v>
      </c>
      <c r="AY72" s="4">
        <f t="shared" si="221"/>
        <v>1.1333333333333333</v>
      </c>
      <c r="AZ72" s="38">
        <f t="shared" si="117"/>
        <v>460.29470733433374</v>
      </c>
      <c r="BA72" s="4">
        <f t="shared" si="222"/>
        <v>0.3</v>
      </c>
      <c r="BB72" s="4">
        <f t="shared" si="51"/>
        <v>26.464374638369975</v>
      </c>
      <c r="BC72" s="4">
        <f t="shared" si="52"/>
        <v>486.75908197270371</v>
      </c>
      <c r="BE72" s="36">
        <f t="shared" si="53"/>
        <v>1.1000000000000001</v>
      </c>
      <c r="BF72" s="36">
        <f t="shared" si="54"/>
        <v>167.35566437978727</v>
      </c>
      <c r="BK72" s="4">
        <f t="shared" si="156"/>
        <v>63.499999999999986</v>
      </c>
      <c r="BL72" s="4">
        <f t="shared" si="157"/>
        <v>63.499999999999986</v>
      </c>
      <c r="BM72" s="4">
        <f t="shared" si="158"/>
        <v>88.899999999999991</v>
      </c>
      <c r="BN72" s="4">
        <f t="shared" si="159"/>
        <v>76.199999999999989</v>
      </c>
      <c r="BO72" s="4">
        <f t="shared" si="160"/>
        <v>1.04</v>
      </c>
      <c r="BP72" s="25">
        <f t="shared" si="118"/>
        <v>3.1199999999999997</v>
      </c>
      <c r="BR72" s="4">
        <f t="shared" si="161"/>
        <v>63.499999999999986</v>
      </c>
      <c r="BV72" s="9"/>
      <c r="BX72" s="9"/>
      <c r="BY72" s="9"/>
      <c r="BZ72" s="9">
        <f t="shared" si="231"/>
        <v>50.8</v>
      </c>
      <c r="CA72" s="9">
        <f t="shared" si="232"/>
        <v>63.499999999999986</v>
      </c>
      <c r="CB72" s="9">
        <f t="shared" si="63"/>
        <v>1.4623505735569622</v>
      </c>
      <c r="CC72" s="9">
        <v>0</v>
      </c>
      <c r="CD72" s="9">
        <f t="shared" si="129"/>
        <v>0</v>
      </c>
      <c r="CE72" s="9">
        <f t="shared" si="65"/>
        <v>0</v>
      </c>
      <c r="CF72" s="9">
        <f t="shared" si="233"/>
        <v>0.99524931562137331</v>
      </c>
      <c r="CG72" s="9">
        <f t="shared" si="234"/>
        <v>1.056</v>
      </c>
      <c r="CH72" s="9">
        <f t="shared" si="68"/>
        <v>1.6856736478198622</v>
      </c>
      <c r="CI72" s="9">
        <f t="shared" si="69"/>
        <v>2.465045825719232</v>
      </c>
      <c r="CJ72" s="9">
        <v>1</v>
      </c>
      <c r="CK72" s="9">
        <f t="shared" si="70"/>
        <v>216.92403266329242</v>
      </c>
      <c r="CM72" s="4">
        <f t="shared" si="206"/>
        <v>2.2270694397798994</v>
      </c>
      <c r="CN72" s="4">
        <f t="shared" si="207"/>
        <v>0.772456054597221</v>
      </c>
      <c r="CO72" s="4">
        <f t="shared" si="208"/>
        <v>2.2467121229116414</v>
      </c>
      <c r="CP72" s="4">
        <f t="shared" si="209"/>
        <v>1.7333256964829891</v>
      </c>
      <c r="CQ72" s="4">
        <f t="shared" si="210"/>
        <v>1.2501439525632614</v>
      </c>
      <c r="CR72" s="4">
        <f t="shared" si="211"/>
        <v>1.3389539545467144</v>
      </c>
      <c r="CS72" s="4">
        <f t="shared" si="143"/>
        <v>1.2721581713304984</v>
      </c>
      <c r="CU72" s="4">
        <f t="shared" si="212"/>
        <v>2.2270694397798994</v>
      </c>
      <c r="CV72" s="4">
        <f t="shared" si="212"/>
        <v>0.772456054597221</v>
      </c>
      <c r="CW72" s="4">
        <f t="shared" si="213"/>
        <v>1.7333256964829891</v>
      </c>
      <c r="CX72" s="4">
        <f t="shared" si="214"/>
        <v>1.2721581713304984</v>
      </c>
      <c r="CY72" s="4">
        <f t="shared" si="215"/>
        <v>1.2501439525632614</v>
      </c>
      <c r="CZ72" s="4">
        <f t="shared" si="215"/>
        <v>1.3389539545467144</v>
      </c>
      <c r="DH72" s="4">
        <f t="shared" si="167"/>
        <v>0</v>
      </c>
      <c r="DI72" s="4">
        <f t="shared" si="168"/>
        <v>381</v>
      </c>
      <c r="DJ72" s="4">
        <f t="shared" si="169"/>
        <v>0.46666666666666662</v>
      </c>
      <c r="DL72" s="4">
        <f t="shared" si="170"/>
        <v>2.5033311258542346E-5</v>
      </c>
      <c r="DM72" s="4">
        <f t="shared" si="171"/>
        <v>5.7900347857029448</v>
      </c>
      <c r="DN72" s="4">
        <f t="shared" si="172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38">
        <f t="shared" si="119"/>
        <v>300.76536324401661</v>
      </c>
      <c r="DS72" s="4">
        <f t="shared" si="79"/>
        <v>1.0001879806537954</v>
      </c>
      <c r="DT72" s="4">
        <f t="shared" si="147"/>
        <v>3.3749074061372411</v>
      </c>
      <c r="DU72" s="4">
        <f t="shared" si="120"/>
        <v>184.33497816892</v>
      </c>
      <c r="DY72" s="4">
        <f t="shared" si="235"/>
        <v>0.85</v>
      </c>
      <c r="DZ72" s="4">
        <f t="shared" si="81"/>
        <v>0.85000000000000009</v>
      </c>
      <c r="EA72" s="4">
        <f t="shared" si="82"/>
        <v>1</v>
      </c>
      <c r="EB72" s="4">
        <f t="shared" si="83"/>
        <v>0.85000000000000009</v>
      </c>
      <c r="ED72" s="4">
        <f t="shared" si="121"/>
        <v>280.81622876067456</v>
      </c>
      <c r="EE72" s="25">
        <f t="shared" si="122"/>
        <v>181.80779675423688</v>
      </c>
      <c r="EG72" s="4">
        <f t="shared" si="148"/>
        <v>0.72250000000000003</v>
      </c>
      <c r="EH72" s="4">
        <f t="shared" si="84"/>
        <v>5.7900347857029448</v>
      </c>
      <c r="EI72" s="4">
        <f t="shared" si="174"/>
        <v>5.2207585655726314</v>
      </c>
      <c r="EK72" s="4">
        <f t="shared" si="175"/>
        <v>85.722648115885917</v>
      </c>
      <c r="EL72" s="4">
        <f t="shared" si="176"/>
        <v>3.3749074061372411</v>
      </c>
      <c r="EM72" s="4">
        <f t="shared" si="177"/>
        <v>7.0612286989729281E-2</v>
      </c>
      <c r="EP72" s="4">
        <f t="shared" si="178"/>
        <v>7.0612286989729281E-2</v>
      </c>
      <c r="EQ72" s="4">
        <f t="shared" si="179"/>
        <v>0.28132608526885078</v>
      </c>
      <c r="ER72" s="4">
        <f t="shared" si="180"/>
        <v>3.4863033569113027</v>
      </c>
      <c r="ES72" s="4">
        <f t="shared" si="236"/>
        <v>4.7798816002491602</v>
      </c>
      <c r="ET72" s="4">
        <f t="shared" si="182"/>
        <v>200.02735188411407</v>
      </c>
      <c r="EU72" s="4">
        <f t="shared" si="183"/>
        <v>95.25</v>
      </c>
      <c r="EV72" s="4">
        <f t="shared" si="95"/>
        <v>2.5033311258542346E-5</v>
      </c>
      <c r="EW72" s="4">
        <f t="shared" si="237"/>
        <v>5.3523430763972728</v>
      </c>
      <c r="EX72" s="4">
        <f t="shared" si="185"/>
        <v>300.70883580046075</v>
      </c>
      <c r="EY72" s="4">
        <f t="shared" si="186"/>
        <v>92.077351884114066</v>
      </c>
      <c r="EZ72" s="4">
        <f t="shared" si="187"/>
        <v>0</v>
      </c>
      <c r="FB72" s="4">
        <f t="shared" si="100"/>
        <v>161.54313335019481</v>
      </c>
      <c r="FG72" s="23">
        <f t="shared" si="216"/>
        <v>2.2000000000000002</v>
      </c>
      <c r="FH72" s="23">
        <f t="shared" si="216"/>
        <v>0.8</v>
      </c>
      <c r="FI72" s="23">
        <f t="shared" si="230"/>
        <v>1.4</v>
      </c>
      <c r="FJ72" s="23">
        <f t="shared" si="217"/>
        <v>1.8</v>
      </c>
      <c r="FK72" s="23">
        <f t="shared" si="217"/>
        <v>1.4</v>
      </c>
      <c r="FL72" s="23">
        <f t="shared" si="217"/>
        <v>1.4</v>
      </c>
      <c r="FM72" s="23">
        <f t="shared" si="218"/>
        <v>0</v>
      </c>
      <c r="FN72" s="23"/>
      <c r="FX72" s="4">
        <f t="shared" si="101"/>
        <v>1</v>
      </c>
      <c r="FY72" s="4">
        <f t="shared" si="102"/>
        <v>1.0833333333333333</v>
      </c>
      <c r="FZ72" s="4">
        <f t="shared" si="103"/>
        <v>0</v>
      </c>
      <c r="GA72" s="4">
        <f t="shared" si="104"/>
        <v>295.56073173413409</v>
      </c>
    </row>
    <row r="73" spans="1:185" ht="12" customHeight="1" x14ac:dyDescent="0.3">
      <c r="A73" s="25">
        <v>55</v>
      </c>
      <c r="B73" s="20" t="s">
        <v>54</v>
      </c>
      <c r="C73" s="20">
        <v>2006</v>
      </c>
      <c r="D73" s="24" t="s">
        <v>55</v>
      </c>
      <c r="E73" s="24"/>
      <c r="F73" s="7" t="s">
        <v>282</v>
      </c>
      <c r="G73" s="7">
        <v>472</v>
      </c>
      <c r="H73" s="7">
        <f t="shared" si="205"/>
        <v>381</v>
      </c>
      <c r="I73" s="7">
        <f t="shared" si="131"/>
        <v>177.79999999999998</v>
      </c>
      <c r="J73" s="7">
        <v>26</v>
      </c>
      <c r="K73" s="7">
        <v>25.4</v>
      </c>
      <c r="L73" s="7">
        <f t="shared" si="151"/>
        <v>15</v>
      </c>
      <c r="M73" s="7">
        <v>7</v>
      </c>
      <c r="N73" s="7">
        <f t="shared" si="132"/>
        <v>152.39999999999998</v>
      </c>
      <c r="O73" s="7">
        <f t="shared" si="108"/>
        <v>63.499999999999986</v>
      </c>
      <c r="P73" s="7">
        <f t="shared" si="133"/>
        <v>50.8</v>
      </c>
      <c r="Q73" s="7">
        <v>0</v>
      </c>
      <c r="R73" s="7">
        <v>1</v>
      </c>
      <c r="S73" s="7">
        <f t="shared" si="134"/>
        <v>88.899999999999991</v>
      </c>
      <c r="T73" s="7">
        <f t="shared" si="42"/>
        <v>2.9999999999999996</v>
      </c>
      <c r="U73" s="7">
        <f t="shared" si="135"/>
        <v>4</v>
      </c>
      <c r="V73" s="7">
        <v>10.39</v>
      </c>
      <c r="W73" s="7">
        <f t="shared" si="152"/>
        <v>10.39</v>
      </c>
      <c r="X73" s="7">
        <f t="shared" si="44"/>
        <v>11.39</v>
      </c>
      <c r="Y73" s="7">
        <f t="shared" si="200"/>
        <v>85.722648115885917</v>
      </c>
      <c r="Z73" s="7"/>
      <c r="AA73" s="7"/>
      <c r="AB73" s="7">
        <v>460</v>
      </c>
      <c r="AC73" s="7"/>
      <c r="AD73" s="7"/>
      <c r="AE73" s="7"/>
      <c r="AF73" s="7"/>
      <c r="AG73" s="7">
        <v>1</v>
      </c>
      <c r="AH73" s="7"/>
      <c r="AI73" s="7"/>
      <c r="AJ73" s="7"/>
      <c r="AK73" s="4">
        <f t="shared" si="125"/>
        <v>381</v>
      </c>
      <c r="AL73" s="44">
        <f t="shared" si="153"/>
        <v>5.9259259259259248E-2</v>
      </c>
      <c r="AM73" s="25">
        <f t="shared" si="112"/>
        <v>748.37078117567501</v>
      </c>
      <c r="AN73" s="4">
        <f t="shared" si="113"/>
        <v>0.74</v>
      </c>
      <c r="AO73" s="4">
        <v>1.25</v>
      </c>
      <c r="AP73" s="25">
        <f t="shared" si="114"/>
        <v>5</v>
      </c>
      <c r="AQ73" s="38">
        <f t="shared" si="115"/>
        <v>205.10902891481459</v>
      </c>
      <c r="AR73" s="38">
        <f t="shared" si="116"/>
        <v>205.10902891481459</v>
      </c>
      <c r="AT73" s="38">
        <f t="shared" si="130"/>
        <v>205.10902891481439</v>
      </c>
      <c r="AU73" s="38">
        <f t="shared" si="47"/>
        <v>1.0000000000000009</v>
      </c>
      <c r="AV73" s="38">
        <f t="shared" si="136"/>
        <v>2.7784670830252196</v>
      </c>
      <c r="AW73" s="4">
        <f t="shared" si="154"/>
        <v>0</v>
      </c>
      <c r="AX73" s="4">
        <f t="shared" si="220"/>
        <v>187.85861365868152</v>
      </c>
      <c r="AY73" s="4">
        <f t="shared" si="221"/>
        <v>1.1333333333333333</v>
      </c>
      <c r="AZ73" s="38">
        <f t="shared" si="117"/>
        <v>569.88868527107979</v>
      </c>
      <c r="BA73" s="4">
        <f t="shared" si="222"/>
        <v>0.3</v>
      </c>
      <c r="BB73" s="4">
        <f t="shared" si="51"/>
        <v>29.446837690998329</v>
      </c>
      <c r="BC73" s="4">
        <f t="shared" si="52"/>
        <v>599.33552296207813</v>
      </c>
      <c r="BE73" s="36">
        <f t="shared" si="53"/>
        <v>1.1000000000000001</v>
      </c>
      <c r="BF73" s="36">
        <f t="shared" si="54"/>
        <v>186.21619263640849</v>
      </c>
      <c r="BK73" s="4">
        <f t="shared" si="156"/>
        <v>63.499999999999986</v>
      </c>
      <c r="BL73" s="4">
        <f t="shared" si="157"/>
        <v>63.499999999999986</v>
      </c>
      <c r="BM73" s="4">
        <f t="shared" si="158"/>
        <v>88.899999999999991</v>
      </c>
      <c r="BN73" s="4">
        <f t="shared" si="159"/>
        <v>76.199999999999989</v>
      </c>
      <c r="BO73" s="4">
        <f t="shared" si="160"/>
        <v>1.04</v>
      </c>
      <c r="BP73" s="25">
        <f t="shared" si="118"/>
        <v>3.1199999999999997</v>
      </c>
      <c r="BR73" s="4">
        <f t="shared" si="161"/>
        <v>63.499999999999986</v>
      </c>
      <c r="BV73" s="9"/>
      <c r="BX73" s="9"/>
      <c r="BY73" s="9"/>
      <c r="BZ73" s="9">
        <f t="shared" si="231"/>
        <v>50.8</v>
      </c>
      <c r="CA73" s="9">
        <f t="shared" si="232"/>
        <v>63.499999999999986</v>
      </c>
      <c r="CB73" s="9">
        <f t="shared" si="63"/>
        <v>1.4623505735569622</v>
      </c>
      <c r="CC73" s="9">
        <v>0</v>
      </c>
      <c r="CD73" s="9">
        <f t="shared" si="129"/>
        <v>0</v>
      </c>
      <c r="CE73" s="9">
        <f t="shared" si="65"/>
        <v>0</v>
      </c>
      <c r="CF73" s="9">
        <f t="shared" si="233"/>
        <v>0.99524931562137331</v>
      </c>
      <c r="CG73" s="9">
        <f t="shared" si="234"/>
        <v>1.056</v>
      </c>
      <c r="CH73" s="9">
        <f t="shared" si="68"/>
        <v>1.8756444837875041</v>
      </c>
      <c r="CI73" s="9">
        <f t="shared" si="69"/>
        <v>2.7428497866556087</v>
      </c>
      <c r="CJ73" s="9">
        <v>1</v>
      </c>
      <c r="CK73" s="9">
        <f t="shared" si="70"/>
        <v>241.37078122569358</v>
      </c>
      <c r="CM73" s="4">
        <f t="shared" si="206"/>
        <v>2.4486500301538983</v>
      </c>
      <c r="CN73" s="4">
        <f t="shared" si="207"/>
        <v>0.76751666199686563</v>
      </c>
      <c r="CO73" s="4">
        <f t="shared" si="208"/>
        <v>2.4702470471950893</v>
      </c>
      <c r="CP73" s="4">
        <f t="shared" si="209"/>
        <v>1.9057816263596434</v>
      </c>
      <c r="CQ73" s="4">
        <f t="shared" si="210"/>
        <v>1.3871008429046237</v>
      </c>
      <c r="CR73" s="4">
        <f t="shared" si="211"/>
        <v>1.462886612654708</v>
      </c>
      <c r="CS73" s="4">
        <f t="shared" si="143"/>
        <v>1.4754435061569753</v>
      </c>
      <c r="CU73" s="4">
        <f t="shared" si="212"/>
        <v>2.4486500301538983</v>
      </c>
      <c r="CV73" s="4">
        <f t="shared" si="212"/>
        <v>0.76751666199686563</v>
      </c>
      <c r="CW73" s="4">
        <f t="shared" si="213"/>
        <v>1.9057816263596434</v>
      </c>
      <c r="CX73" s="4">
        <f t="shared" si="214"/>
        <v>1.4754435061569753</v>
      </c>
      <c r="CY73" s="4">
        <f t="shared" si="215"/>
        <v>1.3871008429046237</v>
      </c>
      <c r="CZ73" s="4">
        <f t="shared" si="215"/>
        <v>1.462886612654708</v>
      </c>
      <c r="DH73" s="4">
        <f t="shared" si="167"/>
        <v>0</v>
      </c>
      <c r="DI73" s="4">
        <f t="shared" si="168"/>
        <v>381</v>
      </c>
      <c r="DJ73" s="4">
        <f t="shared" si="169"/>
        <v>0.46666666666666662</v>
      </c>
      <c r="DL73" s="4">
        <f t="shared" si="170"/>
        <v>2.6015824312812745E-5</v>
      </c>
      <c r="DM73" s="4">
        <f t="shared" si="171"/>
        <v>6.4425559602163514</v>
      </c>
      <c r="DN73" s="4">
        <f t="shared" si="172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38">
        <f t="shared" si="119"/>
        <v>331.62693422977708</v>
      </c>
      <c r="DS73" s="4">
        <f t="shared" si="79"/>
        <v>1.000178286690298</v>
      </c>
      <c r="DT73" s="4">
        <f t="shared" si="147"/>
        <v>3.3749074061372411</v>
      </c>
      <c r="DU73" s="4">
        <f t="shared" si="120"/>
        <v>205.10902891481439</v>
      </c>
      <c r="DY73" s="4">
        <f t="shared" si="235"/>
        <v>0.85</v>
      </c>
      <c r="DZ73" s="4">
        <f t="shared" si="81"/>
        <v>0.85000000000000009</v>
      </c>
      <c r="EA73" s="4">
        <f t="shared" si="82"/>
        <v>1</v>
      </c>
      <c r="EB73" s="4">
        <f t="shared" si="83"/>
        <v>0.85000000000000009</v>
      </c>
      <c r="ED73" s="4">
        <f t="shared" si="121"/>
        <v>314.44679035324248</v>
      </c>
      <c r="EE73" s="25">
        <f t="shared" si="122"/>
        <v>202.29704102729465</v>
      </c>
      <c r="EG73" s="4">
        <f t="shared" si="148"/>
        <v>0.72250000000000003</v>
      </c>
      <c r="EH73" s="4">
        <f t="shared" si="84"/>
        <v>6.4425559602163514</v>
      </c>
      <c r="EI73" s="4">
        <f t="shared" si="174"/>
        <v>5.8091238582078786</v>
      </c>
      <c r="EK73" s="4">
        <f t="shared" si="175"/>
        <v>85.722648115885917</v>
      </c>
      <c r="EL73" s="4">
        <f t="shared" si="176"/>
        <v>3.3749074061372411</v>
      </c>
      <c r="EM73" s="4">
        <f t="shared" si="177"/>
        <v>7.0612286989729267E-2</v>
      </c>
      <c r="EP73" s="4">
        <f t="shared" si="178"/>
        <v>7.0612286989729267E-2</v>
      </c>
      <c r="EQ73" s="4">
        <f t="shared" si="179"/>
        <v>0.25283254501643132</v>
      </c>
      <c r="ER73" s="4">
        <f t="shared" si="180"/>
        <v>3.7169899774024113</v>
      </c>
      <c r="ES73" s="4">
        <f t="shared" si="236"/>
        <v>5.2606106739009268</v>
      </c>
      <c r="ET73" s="4">
        <f t="shared" si="182"/>
        <v>200.02735188411407</v>
      </c>
      <c r="EU73" s="4">
        <f t="shared" si="183"/>
        <v>95.25</v>
      </c>
      <c r="EV73" s="4">
        <f t="shared" si="95"/>
        <v>2.6015824312812745E-5</v>
      </c>
      <c r="EW73" s="4">
        <f t="shared" si="237"/>
        <v>5.8889924951648212</v>
      </c>
      <c r="EX73" s="4">
        <f t="shared" si="185"/>
        <v>331.56782010052206</v>
      </c>
      <c r="EY73" s="4">
        <f t="shared" si="186"/>
        <v>92.077351884114066</v>
      </c>
      <c r="EZ73" s="4">
        <f t="shared" si="187"/>
        <v>0</v>
      </c>
      <c r="FB73" s="4">
        <f t="shared" si="100"/>
        <v>177.765268883788</v>
      </c>
      <c r="FG73" s="23">
        <f t="shared" si="216"/>
        <v>2.2000000000000002</v>
      </c>
      <c r="FH73" s="23">
        <f t="shared" si="216"/>
        <v>0.8</v>
      </c>
      <c r="FI73" s="23">
        <f t="shared" si="230"/>
        <v>1.6</v>
      </c>
      <c r="FJ73" s="23">
        <f t="shared" si="217"/>
        <v>2</v>
      </c>
      <c r="FK73" s="23">
        <f t="shared" si="217"/>
        <v>1.4</v>
      </c>
      <c r="FL73" s="23">
        <f t="shared" si="217"/>
        <v>1.6</v>
      </c>
      <c r="FM73" s="23">
        <f t="shared" si="218"/>
        <v>0</v>
      </c>
      <c r="FN73" s="23"/>
      <c r="FX73" s="4">
        <f t="shared" si="101"/>
        <v>1</v>
      </c>
      <c r="FY73" s="4">
        <f t="shared" si="102"/>
        <v>1.0833333333333333</v>
      </c>
      <c r="FZ73" s="4">
        <f t="shared" si="103"/>
        <v>0</v>
      </c>
      <c r="GA73" s="4">
        <f t="shared" si="104"/>
        <v>311.77066290944771</v>
      </c>
      <c r="GC73" s="4">
        <f>60000/145</f>
        <v>413.79310344827587</v>
      </c>
    </row>
    <row r="74" spans="1:185" ht="12" customHeight="1" x14ac:dyDescent="0.3">
      <c r="A74" s="25">
        <v>56</v>
      </c>
      <c r="B74" s="20" t="s">
        <v>54</v>
      </c>
      <c r="C74" s="20">
        <v>2006</v>
      </c>
      <c r="D74" s="24" t="s">
        <v>55</v>
      </c>
      <c r="E74" s="24"/>
      <c r="F74" s="7" t="s">
        <v>77</v>
      </c>
      <c r="G74" s="7">
        <v>472</v>
      </c>
      <c r="H74" s="7">
        <f>25*25.4</f>
        <v>635</v>
      </c>
      <c r="I74" s="7">
        <f t="shared" si="131"/>
        <v>177.79999999999998</v>
      </c>
      <c r="J74" s="7">
        <v>28</v>
      </c>
      <c r="K74" s="7">
        <v>25.4</v>
      </c>
      <c r="L74" s="7">
        <f t="shared" si="151"/>
        <v>25</v>
      </c>
      <c r="M74" s="7">
        <v>7</v>
      </c>
      <c r="N74" s="7">
        <f t="shared" si="132"/>
        <v>152.39999999999998</v>
      </c>
      <c r="O74" s="7">
        <f t="shared" si="108"/>
        <v>63.499999999999986</v>
      </c>
      <c r="P74" s="7">
        <f t="shared" si="133"/>
        <v>50.8</v>
      </c>
      <c r="Q74" s="7">
        <v>0</v>
      </c>
      <c r="R74" s="7">
        <v>1</v>
      </c>
      <c r="S74" s="7">
        <f t="shared" si="134"/>
        <v>88.899999999999991</v>
      </c>
      <c r="T74" s="7">
        <f t="shared" si="42"/>
        <v>2.9999999999999996</v>
      </c>
      <c r="U74" s="7">
        <f t="shared" si="135"/>
        <v>4</v>
      </c>
      <c r="V74" s="7">
        <v>1.18</v>
      </c>
      <c r="W74" s="7">
        <f t="shared" si="152"/>
        <v>1.18</v>
      </c>
      <c r="X74" s="7">
        <f t="shared" si="44"/>
        <v>2.1799999999999997</v>
      </c>
      <c r="Y74" s="7">
        <f t="shared" si="200"/>
        <v>37.502650572992827</v>
      </c>
      <c r="Z74" s="7"/>
      <c r="AA74" s="7"/>
      <c r="AB74" s="7">
        <v>412</v>
      </c>
      <c r="AC74" s="7"/>
      <c r="AD74" s="7"/>
      <c r="AE74" s="7"/>
      <c r="AF74" s="7"/>
      <c r="AG74" s="7">
        <v>1</v>
      </c>
      <c r="AH74" s="7"/>
      <c r="AI74" s="7"/>
      <c r="AJ74" s="7"/>
      <c r="AK74" s="4">
        <f t="shared" si="125"/>
        <v>635</v>
      </c>
      <c r="AL74" s="44">
        <f t="shared" si="153"/>
        <v>2.1333333333333329E-2</v>
      </c>
      <c r="AM74" s="25">
        <f t="shared" si="112"/>
        <v>1671.0224668242358</v>
      </c>
      <c r="AN74" s="4">
        <f t="shared" si="113"/>
        <v>0.72399999999999998</v>
      </c>
      <c r="AO74" s="4">
        <v>1.25</v>
      </c>
      <c r="AP74" s="25">
        <f t="shared" si="114"/>
        <v>5</v>
      </c>
      <c r="AQ74" s="38">
        <f t="shared" si="115"/>
        <v>161.30936879743288</v>
      </c>
      <c r="AR74" s="38">
        <f t="shared" si="116"/>
        <v>161.30936879743288</v>
      </c>
      <c r="AT74" s="38">
        <f t="shared" si="130"/>
        <v>161.30936879743294</v>
      </c>
      <c r="AU74" s="38">
        <f t="shared" si="47"/>
        <v>0.99999999999999967</v>
      </c>
      <c r="AV74" s="38">
        <f t="shared" si="136"/>
        <v>1.2821781034440662</v>
      </c>
      <c r="AW74" s="4">
        <f t="shared" si="154"/>
        <v>0</v>
      </c>
      <c r="AX74" s="4">
        <f t="shared" si="220"/>
        <v>194.95009660475932</v>
      </c>
      <c r="AY74" s="4">
        <f t="shared" si="221"/>
        <v>1.1333333333333333</v>
      </c>
      <c r="AZ74" s="38">
        <f t="shared" si="117"/>
        <v>206.827340552452</v>
      </c>
      <c r="BA74" s="4">
        <f t="shared" si="222"/>
        <v>0.83479999999999999</v>
      </c>
      <c r="BB74" s="4">
        <f t="shared" si="51"/>
        <v>85.033917987353718</v>
      </c>
      <c r="BC74" s="4">
        <f t="shared" si="52"/>
        <v>291.8612585398057</v>
      </c>
      <c r="BE74" s="36">
        <f t="shared" si="53"/>
        <v>1.1000000000000001</v>
      </c>
      <c r="BF74" s="36">
        <f t="shared" si="54"/>
        <v>193.24567576015772</v>
      </c>
      <c r="BK74" s="4">
        <f t="shared" si="156"/>
        <v>63.499999999999986</v>
      </c>
      <c r="BL74" s="4">
        <f t="shared" si="157"/>
        <v>63.499999999999986</v>
      </c>
      <c r="BM74" s="4">
        <f t="shared" si="158"/>
        <v>88.899999999999991</v>
      </c>
      <c r="BN74" s="4">
        <f t="shared" si="159"/>
        <v>76.199999999999989</v>
      </c>
      <c r="BO74" s="4">
        <f t="shared" si="160"/>
        <v>1.04</v>
      </c>
      <c r="BP74" s="25">
        <f t="shared" si="118"/>
        <v>3.1199999999999997</v>
      </c>
      <c r="BR74" s="4">
        <f t="shared" si="161"/>
        <v>63.499999999999986</v>
      </c>
      <c r="BV74" s="9"/>
      <c r="BX74" s="9"/>
      <c r="BY74" s="9"/>
      <c r="BZ74" s="9">
        <f t="shared" si="231"/>
        <v>50.8</v>
      </c>
      <c r="CA74" s="9">
        <f t="shared" si="232"/>
        <v>63.499999999999986</v>
      </c>
      <c r="CB74" s="9">
        <f t="shared" si="63"/>
        <v>1.4623505735569622</v>
      </c>
      <c r="CC74" s="9">
        <v>0</v>
      </c>
      <c r="CD74" s="9">
        <f t="shared" si="129"/>
        <v>0</v>
      </c>
      <c r="CE74" s="9">
        <f t="shared" si="65"/>
        <v>0</v>
      </c>
      <c r="CF74" s="9">
        <f t="shared" si="233"/>
        <v>0.99524931562137331</v>
      </c>
      <c r="CG74" s="9">
        <f t="shared" si="234"/>
        <v>1.056</v>
      </c>
      <c r="CH74" s="9">
        <f t="shared" si="68"/>
        <v>1.9464482686693119</v>
      </c>
      <c r="CI74" s="9">
        <f t="shared" si="69"/>
        <v>2.8463897420875242</v>
      </c>
      <c r="CJ74" s="9">
        <v>1</v>
      </c>
      <c r="CK74" s="9">
        <f t="shared" si="70"/>
        <v>250.48229730370213</v>
      </c>
      <c r="CM74" s="4">
        <f t="shared" si="206"/>
        <v>2.1133613533687359</v>
      </c>
      <c r="CN74" s="4">
        <f t="shared" si="207"/>
        <v>1.4116296286161909</v>
      </c>
      <c r="CO74" s="4">
        <f t="shared" si="208"/>
        <v>2.1320011347179846</v>
      </c>
      <c r="CP74" s="4">
        <f t="shared" si="209"/>
        <v>1.6448268178427898</v>
      </c>
      <c r="CQ74" s="4">
        <f t="shared" si="210"/>
        <v>1.2315999827566606</v>
      </c>
      <c r="CR74" s="4">
        <f t="shared" si="211"/>
        <v>1.6594714708343867</v>
      </c>
      <c r="CS74" s="4">
        <f t="shared" si="143"/>
        <v>0.778335876421405</v>
      </c>
      <c r="CU74" s="4">
        <f t="shared" si="212"/>
        <v>2.1133613533687359</v>
      </c>
      <c r="CV74" s="4">
        <f t="shared" si="212"/>
        <v>1.4116296286161909</v>
      </c>
      <c r="CW74" s="4">
        <f t="shared" si="213"/>
        <v>1.6448268178427898</v>
      </c>
      <c r="CX74" s="4">
        <f t="shared" si="214"/>
        <v>0.778335876421405</v>
      </c>
      <c r="CY74" s="4">
        <f t="shared" si="215"/>
        <v>1.2315999827566606</v>
      </c>
      <c r="CZ74" s="4">
        <f t="shared" si="215"/>
        <v>1.6594714708343867</v>
      </c>
      <c r="DH74" s="4">
        <f t="shared" si="167"/>
        <v>0</v>
      </c>
      <c r="DI74" s="4">
        <f t="shared" si="168"/>
        <v>635</v>
      </c>
      <c r="DJ74" s="4">
        <f t="shared" si="169"/>
        <v>0.27999999999999997</v>
      </c>
      <c r="DL74" s="4">
        <f t="shared" si="170"/>
        <v>4.4003395705642358E-5</v>
      </c>
      <c r="DM74" s="4">
        <f t="shared" si="171"/>
        <v>6.6857562842857838</v>
      </c>
      <c r="DN74" s="4">
        <f t="shared" si="172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38">
        <f t="shared" si="119"/>
        <v>334.52420085118086</v>
      </c>
      <c r="DS74" s="4">
        <f t="shared" si="79"/>
        <v>1.0004038645523856</v>
      </c>
      <c r="DT74" s="4">
        <f t="shared" si="147"/>
        <v>1.4764823060233399</v>
      </c>
      <c r="DU74" s="4">
        <f t="shared" si="120"/>
        <v>161.30936879743294</v>
      </c>
      <c r="DY74" s="4">
        <f t="shared" si="235"/>
        <v>0.85</v>
      </c>
      <c r="DZ74" s="4">
        <f t="shared" si="81"/>
        <v>0.85000000000000009</v>
      </c>
      <c r="EA74" s="4">
        <f t="shared" si="82"/>
        <v>1</v>
      </c>
      <c r="EB74" s="4">
        <f t="shared" si="83"/>
        <v>0.85000000000000009</v>
      </c>
      <c r="ED74" s="4">
        <f t="shared" si="121"/>
        <v>248.27181861273294</v>
      </c>
      <c r="EE74" s="25">
        <f t="shared" si="122"/>
        <v>159.65722173545257</v>
      </c>
      <c r="EG74" s="4">
        <f t="shared" si="148"/>
        <v>0.72250000000000003</v>
      </c>
      <c r="EH74" s="4">
        <f t="shared" si="84"/>
        <v>6.6857562842857838</v>
      </c>
      <c r="EI74" s="4">
        <f t="shared" si="174"/>
        <v>6.028412726414806</v>
      </c>
      <c r="EK74" s="4">
        <f t="shared" si="175"/>
        <v>37.502650572992827</v>
      </c>
      <c r="EL74" s="4">
        <f t="shared" si="176"/>
        <v>1.4764823060233399</v>
      </c>
      <c r="EM74" s="4">
        <f t="shared" si="177"/>
        <v>0.20614019109983853</v>
      </c>
      <c r="EP74" s="4">
        <f t="shared" si="178"/>
        <v>0.20614019109983853</v>
      </c>
      <c r="EQ74" s="4">
        <f t="shared" si="179"/>
        <v>0.71125123137124935</v>
      </c>
      <c r="ER74" s="4">
        <f t="shared" si="180"/>
        <v>5.8339103865656092</v>
      </c>
      <c r="ES74" s="4">
        <f t="shared" si="236"/>
        <v>6.2743133074683879</v>
      </c>
      <c r="ET74" s="4">
        <f t="shared" si="182"/>
        <v>438.74734942700718</v>
      </c>
      <c r="EU74" s="4">
        <f t="shared" si="183"/>
        <v>158.75</v>
      </c>
      <c r="EV74" s="4">
        <f t="shared" si="95"/>
        <v>4.4003395705642358E-5</v>
      </c>
      <c r="EW74" s="4">
        <f t="shared" si="237"/>
        <v>4.7169759597255663</v>
      </c>
      <c r="EX74" s="4">
        <f t="shared" si="185"/>
        <v>334.389152925612</v>
      </c>
      <c r="EY74" s="4">
        <f t="shared" si="186"/>
        <v>140.29734942700716</v>
      </c>
      <c r="EZ74" s="4">
        <f t="shared" si="187"/>
        <v>0</v>
      </c>
      <c r="FB74" s="4">
        <f t="shared" si="100"/>
        <v>412.81712444415342</v>
      </c>
      <c r="FG74" s="23">
        <f t="shared" si="216"/>
        <v>2.2000000000000002</v>
      </c>
      <c r="FH74" s="23">
        <f t="shared" si="216"/>
        <v>1.6</v>
      </c>
      <c r="FI74" s="23">
        <f t="shared" si="230"/>
        <v>0.8</v>
      </c>
      <c r="FJ74" s="23">
        <f t="shared" si="217"/>
        <v>1.8</v>
      </c>
      <c r="FK74" s="23">
        <f t="shared" si="217"/>
        <v>1.4</v>
      </c>
      <c r="FL74" s="23">
        <f t="shared" si="217"/>
        <v>1.8</v>
      </c>
      <c r="FM74" s="23">
        <f t="shared" si="218"/>
        <v>0</v>
      </c>
      <c r="FN74" s="23"/>
      <c r="FX74" s="4">
        <f t="shared" si="101"/>
        <v>1</v>
      </c>
      <c r="FY74" s="4">
        <f t="shared" si="102"/>
        <v>1.0833333333333333</v>
      </c>
      <c r="FZ74" s="4">
        <f t="shared" si="103"/>
        <v>0</v>
      </c>
      <c r="GA74" s="4">
        <f t="shared" si="104"/>
        <v>529.33445891544102</v>
      </c>
    </row>
    <row r="75" spans="1:185" ht="12" customHeight="1" x14ac:dyDescent="0.3">
      <c r="A75" s="25">
        <v>57</v>
      </c>
      <c r="B75" s="20" t="s">
        <v>54</v>
      </c>
      <c r="C75" s="20">
        <v>2006</v>
      </c>
      <c r="D75" s="24" t="s">
        <v>55</v>
      </c>
      <c r="E75" s="24"/>
      <c r="F75" s="7" t="s">
        <v>69</v>
      </c>
      <c r="G75" s="7">
        <v>472</v>
      </c>
      <c r="H75" s="7">
        <f t="shared" ref="H75:H78" si="238">25*25.4</f>
        <v>635</v>
      </c>
      <c r="I75" s="7">
        <f t="shared" si="131"/>
        <v>177.79999999999998</v>
      </c>
      <c r="J75" s="7">
        <v>28</v>
      </c>
      <c r="K75" s="7">
        <v>25.4</v>
      </c>
      <c r="L75" s="7">
        <f t="shared" si="151"/>
        <v>25</v>
      </c>
      <c r="M75" s="7">
        <v>7</v>
      </c>
      <c r="N75" s="7">
        <f t="shared" si="132"/>
        <v>152.39999999999998</v>
      </c>
      <c r="O75" s="7">
        <f t="shared" si="108"/>
        <v>63.499999999999986</v>
      </c>
      <c r="P75" s="7">
        <f t="shared" si="133"/>
        <v>50.8</v>
      </c>
      <c r="Q75" s="7">
        <v>0</v>
      </c>
      <c r="R75" s="7">
        <v>1</v>
      </c>
      <c r="S75" s="7">
        <f t="shared" si="134"/>
        <v>88.899999999999991</v>
      </c>
      <c r="T75" s="7">
        <f t="shared" si="42"/>
        <v>2.9999999999999996</v>
      </c>
      <c r="U75" s="7">
        <f t="shared" si="135"/>
        <v>4</v>
      </c>
      <c r="V75" s="7">
        <v>1.85</v>
      </c>
      <c r="W75" s="7">
        <f t="shared" si="152"/>
        <v>1.85</v>
      </c>
      <c r="X75" s="7">
        <f t="shared" si="44"/>
        <v>2.85</v>
      </c>
      <c r="Y75" s="7">
        <f t="shared" si="200"/>
        <v>42.880135260980694</v>
      </c>
      <c r="Z75" s="7"/>
      <c r="AA75" s="7"/>
      <c r="AB75" s="7">
        <v>472</v>
      </c>
      <c r="AC75" s="7"/>
      <c r="AD75" s="7"/>
      <c r="AE75" s="7"/>
      <c r="AF75" s="7"/>
      <c r="AG75" s="7">
        <v>1</v>
      </c>
      <c r="AH75" s="7"/>
      <c r="AI75" s="7"/>
      <c r="AJ75" s="7"/>
      <c r="AK75" s="4">
        <f t="shared" si="125"/>
        <v>635</v>
      </c>
      <c r="AL75" s="44">
        <f t="shared" si="153"/>
        <v>2.1333333333333329E-2</v>
      </c>
      <c r="AM75" s="25">
        <f t="shared" si="112"/>
        <v>1671.0224668242358</v>
      </c>
      <c r="AN75" s="4">
        <f t="shared" si="113"/>
        <v>0.72399999999999998</v>
      </c>
      <c r="AO75" s="4">
        <v>1.25</v>
      </c>
      <c r="AP75" s="25">
        <f t="shared" si="114"/>
        <v>5</v>
      </c>
      <c r="AQ75" s="38">
        <f t="shared" si="115"/>
        <v>161.30936879743288</v>
      </c>
      <c r="AR75" s="38">
        <f t="shared" si="116"/>
        <v>161.30936879743288</v>
      </c>
      <c r="AT75" s="38">
        <f t="shared" si="130"/>
        <v>161.30936879743294</v>
      </c>
      <c r="AU75" s="38">
        <f t="shared" si="47"/>
        <v>0.99999999999999967</v>
      </c>
      <c r="AV75" s="38">
        <f t="shared" si="136"/>
        <v>1.6054368101305474</v>
      </c>
      <c r="AW75" s="4">
        <f t="shared" si="154"/>
        <v>0</v>
      </c>
      <c r="AX75" s="4">
        <f t="shared" si="220"/>
        <v>194.95009660475932</v>
      </c>
      <c r="AY75" s="4">
        <f t="shared" si="221"/>
        <v>1.1333333333333333</v>
      </c>
      <c r="AZ75" s="38">
        <f t="shared" si="117"/>
        <v>258.97199848632278</v>
      </c>
      <c r="BA75" s="4">
        <f t="shared" si="222"/>
        <v>0.74099999999999999</v>
      </c>
      <c r="BB75" s="4">
        <f t="shared" si="51"/>
        <v>75.479316277706175</v>
      </c>
      <c r="BC75" s="4">
        <f t="shared" si="52"/>
        <v>334.45131476402895</v>
      </c>
      <c r="BE75" s="36">
        <f t="shared" si="53"/>
        <v>1.1000000000000001</v>
      </c>
      <c r="BF75" s="36">
        <f t="shared" si="54"/>
        <v>193.24567576015772</v>
      </c>
      <c r="BK75" s="4">
        <f t="shared" si="156"/>
        <v>63.499999999999986</v>
      </c>
      <c r="BL75" s="4">
        <f t="shared" si="157"/>
        <v>63.499999999999986</v>
      </c>
      <c r="BM75" s="4">
        <f t="shared" si="158"/>
        <v>88.899999999999991</v>
      </c>
      <c r="BN75" s="4">
        <f t="shared" si="159"/>
        <v>76.199999999999989</v>
      </c>
      <c r="BO75" s="4">
        <f t="shared" si="160"/>
        <v>1.04</v>
      </c>
      <c r="BP75" s="25">
        <f t="shared" si="118"/>
        <v>3.1199999999999997</v>
      </c>
      <c r="BR75" s="4">
        <f t="shared" si="161"/>
        <v>63.499999999999986</v>
      </c>
      <c r="BV75" s="9"/>
      <c r="BX75" s="9"/>
      <c r="BY75" s="9"/>
      <c r="BZ75" s="9">
        <f t="shared" si="231"/>
        <v>50.8</v>
      </c>
      <c r="CA75" s="9">
        <f t="shared" si="232"/>
        <v>63.499999999999986</v>
      </c>
      <c r="CB75" s="9">
        <f t="shared" si="63"/>
        <v>1.4623505735569622</v>
      </c>
      <c r="CC75" s="9">
        <v>0</v>
      </c>
      <c r="CD75" s="9">
        <f t="shared" si="129"/>
        <v>0</v>
      </c>
      <c r="CE75" s="9">
        <f t="shared" si="65"/>
        <v>0</v>
      </c>
      <c r="CF75" s="9">
        <f t="shared" si="233"/>
        <v>0.99524931562137331</v>
      </c>
      <c r="CG75" s="9">
        <f t="shared" si="234"/>
        <v>1.056</v>
      </c>
      <c r="CH75" s="9">
        <f t="shared" si="68"/>
        <v>1.9464482686693119</v>
      </c>
      <c r="CI75" s="9">
        <f t="shared" si="69"/>
        <v>2.8463897420875242</v>
      </c>
      <c r="CJ75" s="9">
        <v>1</v>
      </c>
      <c r="CK75" s="9">
        <f t="shared" si="70"/>
        <v>250.48229730370213</v>
      </c>
      <c r="CM75" s="4">
        <f t="shared" si="206"/>
        <v>2.4211324242476784</v>
      </c>
      <c r="CN75" s="4">
        <f t="shared" si="207"/>
        <v>1.4112666901399926</v>
      </c>
      <c r="CO75" s="4">
        <f t="shared" si="208"/>
        <v>2.4424867368613805</v>
      </c>
      <c r="CP75" s="4">
        <f t="shared" si="209"/>
        <v>1.8843647039364</v>
      </c>
      <c r="CQ75" s="4">
        <f t="shared" si="210"/>
        <v>1.4619141424540527</v>
      </c>
      <c r="CR75" s="4">
        <f t="shared" si="211"/>
        <v>1.8118062019953518</v>
      </c>
      <c r="CS75" s="4">
        <f t="shared" si="143"/>
        <v>0.89168576133714361</v>
      </c>
      <c r="CU75" s="4">
        <f t="shared" si="212"/>
        <v>2.4211324242476784</v>
      </c>
      <c r="CV75" s="4">
        <f t="shared" si="212"/>
        <v>1.4112666901399926</v>
      </c>
      <c r="CW75" s="4">
        <f t="shared" si="213"/>
        <v>1.8843647039364</v>
      </c>
      <c r="CX75" s="4">
        <f t="shared" si="214"/>
        <v>0.89168576133714361</v>
      </c>
      <c r="CY75" s="4">
        <f t="shared" si="215"/>
        <v>1.4619141424540527</v>
      </c>
      <c r="CZ75" s="4">
        <f t="shared" si="215"/>
        <v>1.8118062019953518</v>
      </c>
      <c r="DH75" s="4">
        <f t="shared" si="167"/>
        <v>0</v>
      </c>
      <c r="DI75" s="4">
        <f t="shared" si="168"/>
        <v>635</v>
      </c>
      <c r="DJ75" s="4">
        <f t="shared" si="169"/>
        <v>0.27999999999999997</v>
      </c>
      <c r="DL75" s="4">
        <f t="shared" si="170"/>
        <v>4.4003395705642358E-5</v>
      </c>
      <c r="DM75" s="4">
        <f t="shared" si="171"/>
        <v>6.6857562842857838</v>
      </c>
      <c r="DN75" s="4">
        <f t="shared" si="172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38">
        <f t="shared" si="119"/>
        <v>322.86437779969333</v>
      </c>
      <c r="DS75" s="4">
        <f t="shared" si="79"/>
        <v>1.0003506660726607</v>
      </c>
      <c r="DT75" s="4">
        <f t="shared" si="147"/>
        <v>1.6881943016134133</v>
      </c>
      <c r="DU75" s="4">
        <f t="shared" si="120"/>
        <v>161.30936879743294</v>
      </c>
      <c r="DY75" s="4">
        <f t="shared" si="235"/>
        <v>0.85</v>
      </c>
      <c r="DZ75" s="4">
        <f t="shared" si="81"/>
        <v>0.85000000000000009</v>
      </c>
      <c r="EA75" s="4">
        <f t="shared" si="82"/>
        <v>1</v>
      </c>
      <c r="EB75" s="4">
        <f t="shared" si="83"/>
        <v>0.85000000000000009</v>
      </c>
      <c r="ED75" s="4">
        <f t="shared" si="121"/>
        <v>260.51351379644461</v>
      </c>
      <c r="EE75" s="25">
        <f t="shared" si="122"/>
        <v>159.65722173545257</v>
      </c>
      <c r="EG75" s="4">
        <f t="shared" si="148"/>
        <v>0.72250000000000003</v>
      </c>
      <c r="EH75" s="4">
        <f t="shared" si="84"/>
        <v>6.6857562842857838</v>
      </c>
      <c r="EI75" s="4">
        <f t="shared" si="174"/>
        <v>6.028412726414806</v>
      </c>
      <c r="EK75" s="4">
        <f t="shared" si="175"/>
        <v>42.880135260980694</v>
      </c>
      <c r="EL75" s="4">
        <f t="shared" si="176"/>
        <v>1.6881943016134133</v>
      </c>
      <c r="EM75" s="4">
        <f t="shared" si="177"/>
        <v>0.15033743507491476</v>
      </c>
      <c r="EP75" s="4">
        <f t="shared" si="178"/>
        <v>0.15033743507491476</v>
      </c>
      <c r="EQ75" s="4">
        <f t="shared" si="179"/>
        <v>0.51871343112532964</v>
      </c>
      <c r="ER75" s="4">
        <f t="shared" si="180"/>
        <v>5.1418752832648664</v>
      </c>
      <c r="ES75" s="4">
        <f t="shared" si="236"/>
        <v>5.9640685338779997</v>
      </c>
      <c r="ET75" s="4">
        <f t="shared" si="182"/>
        <v>433.36986473901931</v>
      </c>
      <c r="EU75" s="4">
        <f t="shared" si="183"/>
        <v>158.74999999999994</v>
      </c>
      <c r="EV75" s="4">
        <f t="shared" si="95"/>
        <v>4.4003395705642344E-5</v>
      </c>
      <c r="EW75" s="4">
        <f t="shared" si="237"/>
        <v>4.8105683267270267</v>
      </c>
      <c r="EX75" s="4">
        <f t="shared" si="185"/>
        <v>322.7511999039765</v>
      </c>
      <c r="EY75" s="4">
        <f t="shared" si="186"/>
        <v>134.91986473901929</v>
      </c>
      <c r="EZ75" s="4">
        <f t="shared" si="187"/>
        <v>0</v>
      </c>
      <c r="FB75" s="4">
        <f t="shared" si="100"/>
        <v>400.57542926044175</v>
      </c>
      <c r="FG75" s="23">
        <f t="shared" si="216"/>
        <v>2.2000000000000002</v>
      </c>
      <c r="FH75" s="23">
        <f t="shared" si="216"/>
        <v>1.6</v>
      </c>
      <c r="FI75" s="23">
        <f t="shared" si="230"/>
        <v>1</v>
      </c>
      <c r="FJ75" s="23">
        <f t="shared" si="217"/>
        <v>2</v>
      </c>
      <c r="FK75" s="23">
        <f t="shared" si="217"/>
        <v>1.6</v>
      </c>
      <c r="FL75" s="23">
        <f t="shared" si="217"/>
        <v>2</v>
      </c>
      <c r="FM75" s="23">
        <f t="shared" si="218"/>
        <v>0</v>
      </c>
      <c r="FN75" s="23"/>
      <c r="FX75" s="4">
        <f t="shared" si="101"/>
        <v>1</v>
      </c>
      <c r="FY75" s="4">
        <f t="shared" si="102"/>
        <v>1.0833333333333333</v>
      </c>
      <c r="FZ75" s="4">
        <f t="shared" si="103"/>
        <v>0</v>
      </c>
      <c r="GA75" s="4">
        <f t="shared" si="104"/>
        <v>529.33445891544102</v>
      </c>
    </row>
    <row r="76" spans="1:185" ht="12" customHeight="1" x14ac:dyDescent="0.3">
      <c r="A76" s="25">
        <v>58</v>
      </c>
      <c r="B76" s="20" t="s">
        <v>54</v>
      </c>
      <c r="C76" s="20">
        <v>2006</v>
      </c>
      <c r="D76" s="24" t="s">
        <v>55</v>
      </c>
      <c r="E76" s="24"/>
      <c r="F76" s="7" t="s">
        <v>68</v>
      </c>
      <c r="G76" s="7">
        <v>472</v>
      </c>
      <c r="H76" s="7">
        <f t="shared" si="238"/>
        <v>635</v>
      </c>
      <c r="I76" s="7">
        <f t="shared" si="131"/>
        <v>177.79999999999998</v>
      </c>
      <c r="J76" s="7">
        <v>28</v>
      </c>
      <c r="K76" s="7">
        <v>25.4</v>
      </c>
      <c r="L76" s="7">
        <f t="shared" si="151"/>
        <v>25</v>
      </c>
      <c r="M76" s="7">
        <v>7</v>
      </c>
      <c r="N76" s="7">
        <f t="shared" si="132"/>
        <v>152.39999999999998</v>
      </c>
      <c r="O76" s="7">
        <f t="shared" si="108"/>
        <v>63.499999999999986</v>
      </c>
      <c r="P76" s="7">
        <f t="shared" si="133"/>
        <v>50.8</v>
      </c>
      <c r="Q76" s="7">
        <v>0</v>
      </c>
      <c r="R76" s="7">
        <v>1</v>
      </c>
      <c r="S76" s="7">
        <f t="shared" si="134"/>
        <v>88.899999999999991</v>
      </c>
      <c r="T76" s="7">
        <f t="shared" si="42"/>
        <v>2.9999999999999996</v>
      </c>
      <c r="U76" s="7">
        <f t="shared" si="135"/>
        <v>4</v>
      </c>
      <c r="V76" s="7">
        <v>4.04</v>
      </c>
      <c r="W76" s="7">
        <f t="shared" si="152"/>
        <v>4.04</v>
      </c>
      <c r="X76" s="7">
        <f t="shared" si="44"/>
        <v>5.04</v>
      </c>
      <c r="Y76" s="7">
        <f t="shared" si="200"/>
        <v>57.022858574434863</v>
      </c>
      <c r="Z76" s="7"/>
      <c r="AA76" s="7"/>
      <c r="AB76" s="7">
        <v>421</v>
      </c>
      <c r="AC76" s="7"/>
      <c r="AD76" s="7"/>
      <c r="AE76" s="7"/>
      <c r="AF76" s="7"/>
      <c r="AG76" s="7">
        <v>1</v>
      </c>
      <c r="AH76" s="7"/>
      <c r="AI76" s="7"/>
      <c r="AJ76" s="7"/>
      <c r="AK76" s="4">
        <f t="shared" si="125"/>
        <v>635</v>
      </c>
      <c r="AL76" s="44">
        <f t="shared" si="153"/>
        <v>2.1333333333333329E-2</v>
      </c>
      <c r="AM76" s="25">
        <f t="shared" si="112"/>
        <v>1671.0224668242358</v>
      </c>
      <c r="AN76" s="4">
        <f t="shared" si="113"/>
        <v>0.72399999999999998</v>
      </c>
      <c r="AO76" s="4">
        <v>1.25</v>
      </c>
      <c r="AP76" s="25">
        <f t="shared" si="114"/>
        <v>5</v>
      </c>
      <c r="AQ76" s="38">
        <f t="shared" si="115"/>
        <v>161.30936879743288</v>
      </c>
      <c r="AR76" s="38">
        <f t="shared" si="116"/>
        <v>161.30936879743288</v>
      </c>
      <c r="AT76" s="38">
        <f t="shared" si="130"/>
        <v>161.30936879743294</v>
      </c>
      <c r="AU76" s="38">
        <f t="shared" si="47"/>
        <v>0.99999999999999967</v>
      </c>
      <c r="AV76" s="38">
        <f t="shared" si="136"/>
        <v>2.3724552795991949</v>
      </c>
      <c r="AW76" s="4">
        <f t="shared" si="154"/>
        <v>0</v>
      </c>
      <c r="AX76" s="4">
        <f t="shared" si="220"/>
        <v>194.95009660475932</v>
      </c>
      <c r="AY76" s="4">
        <f t="shared" si="221"/>
        <v>1.1333333333333333</v>
      </c>
      <c r="AZ76" s="38">
        <f t="shared" si="117"/>
        <v>382.69926365228338</v>
      </c>
      <c r="BA76" s="4">
        <f t="shared" si="222"/>
        <v>0.43440000000000001</v>
      </c>
      <c r="BB76" s="4">
        <f t="shared" si="51"/>
        <v>44.248603226768637</v>
      </c>
      <c r="BC76" s="4">
        <f t="shared" si="52"/>
        <v>426.94786687905201</v>
      </c>
      <c r="BE76" s="36">
        <f t="shared" si="53"/>
        <v>1.1000000000000001</v>
      </c>
      <c r="BF76" s="36">
        <f t="shared" si="54"/>
        <v>193.24567576015772</v>
      </c>
      <c r="BK76" s="4">
        <f t="shared" si="156"/>
        <v>63.499999999999986</v>
      </c>
      <c r="BL76" s="4">
        <f t="shared" si="157"/>
        <v>63.499999999999986</v>
      </c>
      <c r="BM76" s="4">
        <f t="shared" si="158"/>
        <v>88.899999999999991</v>
      </c>
      <c r="BN76" s="4">
        <f t="shared" si="159"/>
        <v>76.199999999999989</v>
      </c>
      <c r="BO76" s="4">
        <f t="shared" si="160"/>
        <v>1.04</v>
      </c>
      <c r="BP76" s="25">
        <f t="shared" si="118"/>
        <v>3.1199999999999997</v>
      </c>
      <c r="BR76" s="4">
        <f t="shared" si="161"/>
        <v>63.499999999999986</v>
      </c>
      <c r="BV76" s="9"/>
      <c r="BX76" s="9"/>
      <c r="BY76" s="9"/>
      <c r="BZ76" s="9">
        <f t="shared" si="231"/>
        <v>50.8</v>
      </c>
      <c r="CA76" s="9">
        <f t="shared" si="232"/>
        <v>63.499999999999986</v>
      </c>
      <c r="CB76" s="9">
        <f t="shared" si="63"/>
        <v>1.4623505735569622</v>
      </c>
      <c r="CC76" s="9">
        <v>0</v>
      </c>
      <c r="CD76" s="9">
        <f t="shared" si="129"/>
        <v>0</v>
      </c>
      <c r="CE76" s="9">
        <f t="shared" si="65"/>
        <v>0</v>
      </c>
      <c r="CF76" s="9">
        <f t="shared" si="233"/>
        <v>0.99524931562137331</v>
      </c>
      <c r="CG76" s="9">
        <f t="shared" si="234"/>
        <v>1.056</v>
      </c>
      <c r="CH76" s="9">
        <f t="shared" si="68"/>
        <v>1.9464482686693119</v>
      </c>
      <c r="CI76" s="9">
        <f t="shared" si="69"/>
        <v>2.8463897420875242</v>
      </c>
      <c r="CJ76" s="9">
        <v>1</v>
      </c>
      <c r="CK76" s="9">
        <f t="shared" si="70"/>
        <v>250.48229730370213</v>
      </c>
      <c r="CM76" s="4">
        <f t="shared" si="206"/>
        <v>2.1595270140005773</v>
      </c>
      <c r="CN76" s="4">
        <f t="shared" si="207"/>
        <v>0.98606886849551367</v>
      </c>
      <c r="CO76" s="4">
        <f t="shared" si="208"/>
        <v>2.1785739750394941</v>
      </c>
      <c r="CP76" s="4">
        <f t="shared" si="209"/>
        <v>1.6807575007568314</v>
      </c>
      <c r="CQ76" s="4">
        <f t="shared" si="210"/>
        <v>1.3777074136323781</v>
      </c>
      <c r="CR76" s="4">
        <f t="shared" si="211"/>
        <v>1.5309604404548034</v>
      </c>
      <c r="CS76" s="4">
        <f t="shared" si="143"/>
        <v>0.79533835915876583</v>
      </c>
      <c r="CU76" s="4">
        <f t="shared" si="212"/>
        <v>2.1595270140005773</v>
      </c>
      <c r="CV76" s="4">
        <f t="shared" si="212"/>
        <v>0.98606886849551367</v>
      </c>
      <c r="CW76" s="4">
        <f t="shared" si="213"/>
        <v>1.6807575007568314</v>
      </c>
      <c r="CX76" s="4">
        <f t="shared" si="214"/>
        <v>0.79533835915876583</v>
      </c>
      <c r="CY76" s="4">
        <f t="shared" si="215"/>
        <v>1.3777074136323781</v>
      </c>
      <c r="CZ76" s="4">
        <f t="shared" si="215"/>
        <v>1.5309604404548034</v>
      </c>
      <c r="DH76" s="4">
        <f t="shared" si="167"/>
        <v>0</v>
      </c>
      <c r="DI76" s="4">
        <f t="shared" si="168"/>
        <v>635</v>
      </c>
      <c r="DJ76" s="4">
        <f t="shared" si="169"/>
        <v>0.27999999999999997</v>
      </c>
      <c r="DL76" s="4">
        <f t="shared" si="170"/>
        <v>4.4003395705642358E-5</v>
      </c>
      <c r="DM76" s="4">
        <f t="shared" si="171"/>
        <v>6.6857562842857838</v>
      </c>
      <c r="DN76" s="4">
        <f t="shared" si="172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38">
        <f t="shared" si="119"/>
        <v>305.58012233527688</v>
      </c>
      <c r="DS76" s="4">
        <f t="shared" si="79"/>
        <v>1.0002840135222777</v>
      </c>
      <c r="DT76" s="4">
        <f t="shared" si="147"/>
        <v>2.2449944320643649</v>
      </c>
      <c r="DU76" s="4">
        <f t="shared" si="120"/>
        <v>161.30936879743294</v>
      </c>
      <c r="DY76" s="4">
        <f t="shared" si="235"/>
        <v>0.85</v>
      </c>
      <c r="DZ76" s="4">
        <f t="shared" si="81"/>
        <v>0.85000000000000009</v>
      </c>
      <c r="EA76" s="4">
        <f t="shared" si="82"/>
        <v>1</v>
      </c>
      <c r="EB76" s="4">
        <f t="shared" si="83"/>
        <v>0.85000000000000009</v>
      </c>
      <c r="ED76" s="4">
        <f t="shared" si="121"/>
        <v>274.99077629656665</v>
      </c>
      <c r="EE76" s="25">
        <f t="shared" si="122"/>
        <v>159.65722173545257</v>
      </c>
      <c r="EG76" s="4">
        <f t="shared" si="148"/>
        <v>0.72250000000000003</v>
      </c>
      <c r="EH76" s="4">
        <f t="shared" si="84"/>
        <v>6.6857562842857838</v>
      </c>
      <c r="EI76" s="4">
        <f t="shared" si="174"/>
        <v>6.028412726414806</v>
      </c>
      <c r="EK76" s="4">
        <f t="shared" si="175"/>
        <v>57.022858574434863</v>
      </c>
      <c r="EL76" s="4">
        <f t="shared" si="176"/>
        <v>2.2449944320643649</v>
      </c>
      <c r="EM76" s="4">
        <f t="shared" si="177"/>
        <v>9.1548311345836214E-2</v>
      </c>
      <c r="EP76" s="4">
        <f t="shared" si="178"/>
        <v>9.1548311345836214E-2</v>
      </c>
      <c r="EQ76" s="4">
        <f t="shared" si="179"/>
        <v>0.31587168337856231</v>
      </c>
      <c r="ER76" s="4">
        <f t="shared" si="180"/>
        <v>4.2165263549180425</v>
      </c>
      <c r="ES76" s="4">
        <f t="shared" si="236"/>
        <v>5.5898818106728223</v>
      </c>
      <c r="ET76" s="4">
        <f t="shared" si="182"/>
        <v>419.22714142556515</v>
      </c>
      <c r="EU76" s="4">
        <f t="shared" si="183"/>
        <v>158.75</v>
      </c>
      <c r="EV76" s="4">
        <f t="shared" si="95"/>
        <v>4.4003395705642358E-5</v>
      </c>
      <c r="EW76" s="4">
        <f t="shared" si="237"/>
        <v>4.9349488663478827</v>
      </c>
      <c r="EX76" s="4">
        <f t="shared" si="185"/>
        <v>305.49335809061313</v>
      </c>
      <c r="EY76" s="4">
        <f t="shared" si="186"/>
        <v>120.77714142556512</v>
      </c>
      <c r="EZ76" s="4">
        <f t="shared" si="187"/>
        <v>0</v>
      </c>
      <c r="FB76" s="4">
        <f t="shared" si="100"/>
        <v>386.09816676031971</v>
      </c>
      <c r="FG76" s="23">
        <f t="shared" si="216"/>
        <v>2.2000000000000002</v>
      </c>
      <c r="FH76" s="23">
        <f t="shared" si="216"/>
        <v>1</v>
      </c>
      <c r="FI76" s="23">
        <f t="shared" si="230"/>
        <v>0.8</v>
      </c>
      <c r="FJ76" s="23">
        <f t="shared" si="217"/>
        <v>1.8</v>
      </c>
      <c r="FK76" s="23">
        <f t="shared" si="217"/>
        <v>1.4</v>
      </c>
      <c r="FL76" s="23">
        <f t="shared" si="217"/>
        <v>1.6</v>
      </c>
      <c r="FM76" s="23">
        <f t="shared" si="218"/>
        <v>0</v>
      </c>
      <c r="FN76" s="23"/>
      <c r="FX76" s="4">
        <f t="shared" si="101"/>
        <v>1</v>
      </c>
      <c r="FY76" s="4">
        <f t="shared" si="102"/>
        <v>1.0833333333333333</v>
      </c>
      <c r="FZ76" s="4">
        <f t="shared" si="103"/>
        <v>0</v>
      </c>
      <c r="GA76" s="4">
        <f t="shared" si="104"/>
        <v>529.33445891544102</v>
      </c>
    </row>
    <row r="77" spans="1:185" ht="12" customHeight="1" x14ac:dyDescent="0.3">
      <c r="A77" s="25">
        <v>59</v>
      </c>
      <c r="B77" s="20" t="s">
        <v>54</v>
      </c>
      <c r="C77" s="20">
        <v>2006</v>
      </c>
      <c r="D77" s="24" t="s">
        <v>55</v>
      </c>
      <c r="E77" s="24"/>
      <c r="F77" s="7" t="s">
        <v>279</v>
      </c>
      <c r="G77" s="7">
        <v>472</v>
      </c>
      <c r="H77" s="7">
        <f t="shared" si="238"/>
        <v>635</v>
      </c>
      <c r="I77" s="7">
        <f t="shared" si="131"/>
        <v>177.79999999999998</v>
      </c>
      <c r="J77" s="7">
        <v>28</v>
      </c>
      <c r="K77" s="7">
        <v>25.4</v>
      </c>
      <c r="L77" s="7">
        <f t="shared" si="151"/>
        <v>25</v>
      </c>
      <c r="M77" s="7">
        <v>7</v>
      </c>
      <c r="N77" s="7">
        <f t="shared" si="132"/>
        <v>152.39999999999998</v>
      </c>
      <c r="O77" s="7">
        <f t="shared" si="108"/>
        <v>63.499999999999986</v>
      </c>
      <c r="P77" s="7">
        <f t="shared" si="133"/>
        <v>50.8</v>
      </c>
      <c r="Q77" s="7">
        <v>0</v>
      </c>
      <c r="R77" s="7">
        <v>1</v>
      </c>
      <c r="S77" s="7">
        <f t="shared" si="134"/>
        <v>88.899999999999991</v>
      </c>
      <c r="T77" s="7">
        <f t="shared" si="42"/>
        <v>2.9999999999999996</v>
      </c>
      <c r="U77" s="7">
        <f t="shared" si="135"/>
        <v>4</v>
      </c>
      <c r="V77" s="7">
        <v>4.0599999999999996</v>
      </c>
      <c r="W77" s="7">
        <f t="shared" si="152"/>
        <v>4.0599999999999996</v>
      </c>
      <c r="X77" s="7">
        <f t="shared" si="44"/>
        <v>5.0599999999999996</v>
      </c>
      <c r="Y77" s="7">
        <f t="shared" si="200"/>
        <v>57.135887146346114</v>
      </c>
      <c r="Z77" s="7"/>
      <c r="AA77" s="7"/>
      <c r="AB77" s="7">
        <v>472</v>
      </c>
      <c r="AC77" s="7"/>
      <c r="AD77" s="7"/>
      <c r="AE77" s="7"/>
      <c r="AF77" s="7"/>
      <c r="AG77" s="7">
        <v>1</v>
      </c>
      <c r="AH77" s="7"/>
      <c r="AI77" s="7"/>
      <c r="AJ77" s="7"/>
      <c r="AK77" s="4">
        <f t="shared" si="125"/>
        <v>635</v>
      </c>
      <c r="AL77" s="44">
        <f t="shared" si="153"/>
        <v>2.1333333333333329E-2</v>
      </c>
      <c r="AM77" s="25">
        <f t="shared" si="112"/>
        <v>1671.0224668242358</v>
      </c>
      <c r="AN77" s="4">
        <f t="shared" si="113"/>
        <v>0.72399999999999998</v>
      </c>
      <c r="AO77" s="4">
        <v>1.25</v>
      </c>
      <c r="AP77" s="25">
        <f t="shared" si="114"/>
        <v>5</v>
      </c>
      <c r="AQ77" s="38">
        <f t="shared" si="115"/>
        <v>161.30936879743288</v>
      </c>
      <c r="AR77" s="38">
        <f t="shared" si="116"/>
        <v>161.30936879743288</v>
      </c>
      <c r="AT77" s="38">
        <f t="shared" si="130"/>
        <v>161.30936879743294</v>
      </c>
      <c r="AU77" s="38">
        <f t="shared" si="47"/>
        <v>0.99999999999999967</v>
      </c>
      <c r="AV77" s="38">
        <f t="shared" si="136"/>
        <v>2.3783204437526595</v>
      </c>
      <c r="AW77" s="4">
        <f t="shared" si="154"/>
        <v>0</v>
      </c>
      <c r="AX77" s="4">
        <f t="shared" si="220"/>
        <v>194.95009660475932</v>
      </c>
      <c r="AY77" s="4">
        <f t="shared" si="221"/>
        <v>1.1333333333333333</v>
      </c>
      <c r="AZ77" s="38">
        <f t="shared" si="117"/>
        <v>383.64536957977214</v>
      </c>
      <c r="BA77" s="4">
        <f t="shared" si="222"/>
        <v>0.43160000000000009</v>
      </c>
      <c r="BB77" s="4">
        <f t="shared" si="51"/>
        <v>43.963391235435886</v>
      </c>
      <c r="BC77" s="4">
        <f t="shared" si="52"/>
        <v>427.60876081520803</v>
      </c>
      <c r="BE77" s="36">
        <f t="shared" si="53"/>
        <v>1.1000000000000001</v>
      </c>
      <c r="BF77" s="36">
        <f t="shared" si="54"/>
        <v>193.24567576015772</v>
      </c>
      <c r="BK77" s="4">
        <f t="shared" si="156"/>
        <v>63.499999999999986</v>
      </c>
      <c r="BL77" s="4">
        <f t="shared" si="157"/>
        <v>63.499999999999986</v>
      </c>
      <c r="BM77" s="4">
        <f t="shared" si="158"/>
        <v>88.899999999999991</v>
      </c>
      <c r="BN77" s="4">
        <f t="shared" si="159"/>
        <v>76.199999999999989</v>
      </c>
      <c r="BO77" s="4">
        <f t="shared" si="160"/>
        <v>1.04</v>
      </c>
      <c r="BP77" s="25">
        <f t="shared" si="118"/>
        <v>3.1199999999999997</v>
      </c>
      <c r="BR77" s="4">
        <f t="shared" si="161"/>
        <v>63.499999999999986</v>
      </c>
      <c r="BV77" s="9"/>
      <c r="BX77" s="9"/>
      <c r="BY77" s="9"/>
      <c r="BZ77" s="9">
        <f t="shared" si="231"/>
        <v>50.8</v>
      </c>
      <c r="CA77" s="9">
        <f t="shared" si="232"/>
        <v>63.499999999999986</v>
      </c>
      <c r="CB77" s="9">
        <f t="shared" si="63"/>
        <v>1.4623505735569622</v>
      </c>
      <c r="CC77" s="9">
        <v>0</v>
      </c>
      <c r="CD77" s="9">
        <f t="shared" si="129"/>
        <v>0</v>
      </c>
      <c r="CE77" s="9">
        <f t="shared" si="65"/>
        <v>0</v>
      </c>
      <c r="CF77" s="9">
        <f t="shared" si="233"/>
        <v>0.99524931562137331</v>
      </c>
      <c r="CG77" s="9">
        <f t="shared" si="234"/>
        <v>1.056</v>
      </c>
      <c r="CH77" s="9">
        <f t="shared" si="68"/>
        <v>1.9464482686693119</v>
      </c>
      <c r="CI77" s="9">
        <f t="shared" si="69"/>
        <v>2.8463897420875242</v>
      </c>
      <c r="CJ77" s="9">
        <v>1</v>
      </c>
      <c r="CK77" s="9">
        <f t="shared" si="70"/>
        <v>250.48229730370213</v>
      </c>
      <c r="CM77" s="4">
        <f t="shared" si="206"/>
        <v>2.4211324242476784</v>
      </c>
      <c r="CN77" s="4">
        <f t="shared" si="207"/>
        <v>1.1038127448562163</v>
      </c>
      <c r="CO77" s="4">
        <f t="shared" si="208"/>
        <v>2.4424867368613805</v>
      </c>
      <c r="CP77" s="4">
        <f t="shared" si="209"/>
        <v>1.8843647039364</v>
      </c>
      <c r="CQ77" s="4">
        <f t="shared" si="210"/>
        <v>1.5451342388757128</v>
      </c>
      <c r="CR77" s="4">
        <f t="shared" si="211"/>
        <v>1.7159791174041488</v>
      </c>
      <c r="CS77" s="4">
        <f t="shared" si="143"/>
        <v>0.89168576133714361</v>
      </c>
      <c r="CU77" s="4">
        <f t="shared" si="212"/>
        <v>2.4211324242476784</v>
      </c>
      <c r="CV77" s="4">
        <f t="shared" si="212"/>
        <v>1.1038127448562163</v>
      </c>
      <c r="CW77" s="4">
        <f t="shared" si="213"/>
        <v>1.8843647039364</v>
      </c>
      <c r="CX77" s="4">
        <f t="shared" si="214"/>
        <v>0.89168576133714361</v>
      </c>
      <c r="CY77" s="4">
        <f t="shared" si="215"/>
        <v>1.5451342388757128</v>
      </c>
      <c r="CZ77" s="4">
        <f t="shared" si="215"/>
        <v>1.7159791174041488</v>
      </c>
      <c r="DH77" s="4">
        <f t="shared" si="167"/>
        <v>0</v>
      </c>
      <c r="DI77" s="4">
        <f t="shared" si="168"/>
        <v>635</v>
      </c>
      <c r="DJ77" s="4">
        <f t="shared" si="169"/>
        <v>0.27999999999999997</v>
      </c>
      <c r="DL77" s="4">
        <f t="shared" si="170"/>
        <v>4.4003395705642358E-5</v>
      </c>
      <c r="DM77" s="4">
        <f t="shared" si="171"/>
        <v>6.6857562842857838</v>
      </c>
      <c r="DN77" s="4">
        <f t="shared" si="172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38">
        <f t="shared" si="119"/>
        <v>305.47507661434111</v>
      </c>
      <c r="DS77" s="4">
        <f t="shared" si="79"/>
        <v>1.0002836863845934</v>
      </c>
      <c r="DT77" s="4">
        <f t="shared" si="147"/>
        <v>2.2494443758403984</v>
      </c>
      <c r="DU77" s="4">
        <f t="shared" si="120"/>
        <v>161.30936879743294</v>
      </c>
      <c r="DY77" s="4">
        <f t="shared" si="235"/>
        <v>0.85</v>
      </c>
      <c r="DZ77" s="4">
        <f t="shared" si="81"/>
        <v>0.85000000000000009</v>
      </c>
      <c r="EA77" s="4">
        <f t="shared" si="82"/>
        <v>1</v>
      </c>
      <c r="EB77" s="4">
        <f t="shared" si="83"/>
        <v>0.85000000000000009</v>
      </c>
      <c r="ED77" s="4">
        <f t="shared" si="121"/>
        <v>275.06162237802698</v>
      </c>
      <c r="EE77" s="25">
        <f t="shared" si="122"/>
        <v>159.65722173545257</v>
      </c>
      <c r="EG77" s="4">
        <f t="shared" si="148"/>
        <v>0.72250000000000003</v>
      </c>
      <c r="EH77" s="4">
        <f t="shared" si="84"/>
        <v>6.6857562842857838</v>
      </c>
      <c r="EI77" s="4">
        <f t="shared" si="174"/>
        <v>6.028412726414806</v>
      </c>
      <c r="EK77" s="4">
        <f t="shared" si="175"/>
        <v>57.135887146346114</v>
      </c>
      <c r="EL77" s="4">
        <f t="shared" si="176"/>
        <v>2.2494443758403984</v>
      </c>
      <c r="EM77" s="4">
        <f t="shared" si="177"/>
        <v>9.127790416284047E-2</v>
      </c>
      <c r="EP77" s="4">
        <f t="shared" si="178"/>
        <v>9.127790416284047E-2</v>
      </c>
      <c r="EQ77" s="4">
        <f t="shared" si="179"/>
        <v>0.31493868995864155</v>
      </c>
      <c r="ER77" s="4">
        <f t="shared" si="180"/>
        <v>4.2115401747513097</v>
      </c>
      <c r="ES77" s="4">
        <f t="shared" si="236"/>
        <v>5.5880080266286809</v>
      </c>
      <c r="ET77" s="4">
        <f t="shared" si="182"/>
        <v>419.11411285365386</v>
      </c>
      <c r="EU77" s="4">
        <f t="shared" si="183"/>
        <v>158.75</v>
      </c>
      <c r="EV77" s="4">
        <f t="shared" si="95"/>
        <v>4.4003395705642358E-5</v>
      </c>
      <c r="EW77" s="4">
        <f t="shared" si="237"/>
        <v>4.9356377370924536</v>
      </c>
      <c r="EX77" s="4">
        <f t="shared" si="185"/>
        <v>305.38844207131331</v>
      </c>
      <c r="EY77" s="4">
        <f t="shared" si="186"/>
        <v>120.66411285365388</v>
      </c>
      <c r="EZ77" s="4">
        <f t="shared" si="187"/>
        <v>0</v>
      </c>
      <c r="FB77" s="4">
        <f t="shared" si="100"/>
        <v>386.02732067885938</v>
      </c>
      <c r="FG77" s="23">
        <f t="shared" si="216"/>
        <v>2.2000000000000002</v>
      </c>
      <c r="FH77" s="23">
        <f t="shared" si="216"/>
        <v>1.2</v>
      </c>
      <c r="FI77" s="23">
        <f t="shared" si="230"/>
        <v>1</v>
      </c>
      <c r="FJ77" s="23">
        <f t="shared" si="217"/>
        <v>2</v>
      </c>
      <c r="FK77" s="23">
        <f t="shared" si="217"/>
        <v>1.6</v>
      </c>
      <c r="FL77" s="23">
        <f t="shared" si="217"/>
        <v>1.8</v>
      </c>
      <c r="FM77" s="23">
        <f t="shared" si="218"/>
        <v>0</v>
      </c>
      <c r="FN77" s="23"/>
      <c r="FX77" s="4">
        <f t="shared" si="101"/>
        <v>1</v>
      </c>
      <c r="FY77" s="4">
        <f t="shared" si="102"/>
        <v>1.0833333333333333</v>
      </c>
      <c r="FZ77" s="4">
        <f t="shared" si="103"/>
        <v>0</v>
      </c>
      <c r="GA77" s="4">
        <f t="shared" si="104"/>
        <v>529.33445891544102</v>
      </c>
    </row>
    <row r="78" spans="1:185" ht="12" customHeight="1" x14ac:dyDescent="0.3">
      <c r="A78" s="25">
        <v>60</v>
      </c>
      <c r="B78" s="20" t="s">
        <v>54</v>
      </c>
      <c r="C78" s="20">
        <v>2006</v>
      </c>
      <c r="D78" s="24" t="s">
        <v>55</v>
      </c>
      <c r="E78" s="24"/>
      <c r="F78" s="7" t="s">
        <v>282</v>
      </c>
      <c r="G78" s="7">
        <v>472</v>
      </c>
      <c r="H78" s="7">
        <f t="shared" si="238"/>
        <v>635</v>
      </c>
      <c r="I78" s="7">
        <f t="shared" si="131"/>
        <v>177.79999999999998</v>
      </c>
      <c r="J78" s="7">
        <v>28</v>
      </c>
      <c r="K78" s="7">
        <v>25.4</v>
      </c>
      <c r="L78" s="7">
        <f t="shared" si="151"/>
        <v>25</v>
      </c>
      <c r="M78" s="7">
        <v>7</v>
      </c>
      <c r="N78" s="7">
        <f t="shared" si="132"/>
        <v>152.39999999999998</v>
      </c>
      <c r="O78" s="7">
        <f t="shared" si="108"/>
        <v>63.499999999999986</v>
      </c>
      <c r="P78" s="7">
        <f t="shared" si="133"/>
        <v>50.8</v>
      </c>
      <c r="Q78" s="7">
        <v>0</v>
      </c>
      <c r="R78" s="7">
        <v>1</v>
      </c>
      <c r="S78" s="7">
        <f t="shared" si="134"/>
        <v>88.899999999999991</v>
      </c>
      <c r="T78" s="7">
        <f t="shared" si="42"/>
        <v>2.9999999999999996</v>
      </c>
      <c r="U78" s="7">
        <f t="shared" si="135"/>
        <v>4</v>
      </c>
      <c r="V78" s="7">
        <v>10.39</v>
      </c>
      <c r="W78" s="7">
        <f t="shared" si="152"/>
        <v>10.39</v>
      </c>
      <c r="X78" s="7">
        <f t="shared" si="44"/>
        <v>11.39</v>
      </c>
      <c r="Y78" s="7">
        <f t="shared" si="200"/>
        <v>85.722648115885917</v>
      </c>
      <c r="Z78" s="7"/>
      <c r="AA78" s="7"/>
      <c r="AB78" s="7">
        <v>472</v>
      </c>
      <c r="AC78" s="7"/>
      <c r="AD78" s="7"/>
      <c r="AE78" s="7"/>
      <c r="AF78" s="7"/>
      <c r="AG78" s="7">
        <v>1</v>
      </c>
      <c r="AH78" s="7"/>
      <c r="AI78" s="7"/>
      <c r="AJ78" s="7"/>
      <c r="AK78" s="4">
        <f t="shared" si="125"/>
        <v>635</v>
      </c>
      <c r="AL78" s="44">
        <f t="shared" si="153"/>
        <v>2.1333333333333329E-2</v>
      </c>
      <c r="AM78" s="25">
        <f t="shared" si="112"/>
        <v>1671.0224668242358</v>
      </c>
      <c r="AN78" s="4">
        <f t="shared" si="113"/>
        <v>0.72399999999999998</v>
      </c>
      <c r="AO78" s="4">
        <v>1.25</v>
      </c>
      <c r="AP78" s="25">
        <f t="shared" si="114"/>
        <v>5</v>
      </c>
      <c r="AQ78" s="38">
        <f t="shared" si="115"/>
        <v>161.30936879743288</v>
      </c>
      <c r="AR78" s="38">
        <f t="shared" si="116"/>
        <v>161.30936879743288</v>
      </c>
      <c r="AT78" s="38">
        <f t="shared" si="130"/>
        <v>161.30936879743294</v>
      </c>
      <c r="AU78" s="38">
        <f t="shared" si="47"/>
        <v>0.99999999999999967</v>
      </c>
      <c r="AV78" s="38">
        <f t="shared" si="136"/>
        <v>3.8046536355645637</v>
      </c>
      <c r="AW78" s="4">
        <f t="shared" si="154"/>
        <v>0</v>
      </c>
      <c r="AX78" s="4">
        <f t="shared" si="220"/>
        <v>194.95009660475932</v>
      </c>
      <c r="AY78" s="4">
        <f t="shared" si="221"/>
        <v>1.1333333333333333</v>
      </c>
      <c r="AZ78" s="38">
        <f t="shared" si="117"/>
        <v>613.72627644577824</v>
      </c>
      <c r="BA78" s="4">
        <f t="shared" si="222"/>
        <v>0.3</v>
      </c>
      <c r="BB78" s="4">
        <f t="shared" si="51"/>
        <v>30.558427642796019</v>
      </c>
      <c r="BC78" s="4">
        <f t="shared" si="52"/>
        <v>644.28470408857424</v>
      </c>
      <c r="BE78" s="36">
        <f t="shared" si="53"/>
        <v>1.1000000000000001</v>
      </c>
      <c r="BF78" s="36">
        <f t="shared" si="54"/>
        <v>193.24567576015772</v>
      </c>
      <c r="BK78" s="4">
        <f t="shared" si="156"/>
        <v>63.499999999999986</v>
      </c>
      <c r="BL78" s="4">
        <f t="shared" si="157"/>
        <v>63.499999999999986</v>
      </c>
      <c r="BM78" s="4">
        <f t="shared" si="158"/>
        <v>88.899999999999991</v>
      </c>
      <c r="BN78" s="4">
        <f t="shared" si="159"/>
        <v>76.199999999999989</v>
      </c>
      <c r="BO78" s="4">
        <f t="shared" si="160"/>
        <v>1.04</v>
      </c>
      <c r="BP78" s="25">
        <f t="shared" si="118"/>
        <v>3.1199999999999997</v>
      </c>
      <c r="BR78" s="4">
        <f t="shared" si="161"/>
        <v>63.499999999999986</v>
      </c>
      <c r="BV78" s="9"/>
      <c r="BX78" s="9"/>
      <c r="BY78" s="9"/>
      <c r="BZ78" s="9">
        <f t="shared" si="231"/>
        <v>50.8</v>
      </c>
      <c r="CA78" s="9">
        <f t="shared" si="232"/>
        <v>63.499999999999986</v>
      </c>
      <c r="CB78" s="9">
        <f t="shared" si="63"/>
        <v>1.4623505735569622</v>
      </c>
      <c r="CC78" s="9">
        <v>0</v>
      </c>
      <c r="CD78" s="9">
        <f t="shared" si="129"/>
        <v>0</v>
      </c>
      <c r="CE78" s="9">
        <f t="shared" si="65"/>
        <v>0</v>
      </c>
      <c r="CF78" s="9">
        <f t="shared" si="233"/>
        <v>0.99524931562137331</v>
      </c>
      <c r="CG78" s="9">
        <f t="shared" si="234"/>
        <v>1.056</v>
      </c>
      <c r="CH78" s="9">
        <f t="shared" si="68"/>
        <v>1.9464482686693119</v>
      </c>
      <c r="CI78" s="9">
        <f t="shared" si="69"/>
        <v>2.8463897420875242</v>
      </c>
      <c r="CJ78" s="9">
        <v>1</v>
      </c>
      <c r="CK78" s="9">
        <f t="shared" si="70"/>
        <v>250.48229730370213</v>
      </c>
      <c r="CM78" s="4">
        <f t="shared" si="206"/>
        <v>2.4211324242476784</v>
      </c>
      <c r="CN78" s="4">
        <f t="shared" si="207"/>
        <v>0.7325953836940865</v>
      </c>
      <c r="CO78" s="4">
        <f t="shared" si="208"/>
        <v>2.4424867368613805</v>
      </c>
      <c r="CP78" s="4">
        <f t="shared" si="209"/>
        <v>1.8843647039364</v>
      </c>
      <c r="CQ78" s="4">
        <f t="shared" si="210"/>
        <v>1.6605239427889933</v>
      </c>
      <c r="CR78" s="4">
        <f t="shared" si="211"/>
        <v>1.6549322135268125</v>
      </c>
      <c r="CS78" s="4">
        <f t="shared" si="143"/>
        <v>0.89168576133714361</v>
      </c>
      <c r="CU78" s="4">
        <f t="shared" si="212"/>
        <v>2.4211324242476784</v>
      </c>
      <c r="CV78" s="4">
        <f t="shared" si="212"/>
        <v>0.7325953836940865</v>
      </c>
      <c r="CW78" s="4">
        <f t="shared" si="213"/>
        <v>1.8843647039364</v>
      </c>
      <c r="CX78" s="4">
        <f t="shared" si="214"/>
        <v>0.89168576133714361</v>
      </c>
      <c r="CY78" s="4">
        <f t="shared" si="215"/>
        <v>1.6605239427889933</v>
      </c>
      <c r="CZ78" s="4">
        <f t="shared" si="215"/>
        <v>1.6549322135268125</v>
      </c>
      <c r="DH78" s="4">
        <f t="shared" si="167"/>
        <v>0</v>
      </c>
      <c r="DI78" s="4">
        <f t="shared" si="168"/>
        <v>635</v>
      </c>
      <c r="DJ78" s="4">
        <f t="shared" si="169"/>
        <v>0.27999999999999997</v>
      </c>
      <c r="DL78" s="4">
        <f t="shared" si="170"/>
        <v>4.4003395705642358E-5</v>
      </c>
      <c r="DM78" s="4">
        <f t="shared" si="171"/>
        <v>6.6857562842857838</v>
      </c>
      <c r="DN78" s="4">
        <f t="shared" si="172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38">
        <f t="shared" si="119"/>
        <v>284.24763283282459</v>
      </c>
      <c r="DS78" s="4">
        <f t="shared" si="79"/>
        <v>1.0002404677277599</v>
      </c>
      <c r="DT78" s="4">
        <f t="shared" si="147"/>
        <v>3.3749074061372411</v>
      </c>
      <c r="DU78" s="4">
        <f t="shared" si="120"/>
        <v>161.30936879743294</v>
      </c>
      <c r="DY78" s="4">
        <f t="shared" si="235"/>
        <v>0.85</v>
      </c>
      <c r="DZ78" s="4">
        <f t="shared" si="81"/>
        <v>0.85000000000000009</v>
      </c>
      <c r="EA78" s="4">
        <f t="shared" si="82"/>
        <v>1</v>
      </c>
      <c r="EB78" s="4">
        <f t="shared" si="83"/>
        <v>0.85000000000000009</v>
      </c>
      <c r="ED78" s="4">
        <f t="shared" si="121"/>
        <v>285.20805634336205</v>
      </c>
      <c r="EE78" s="25">
        <f t="shared" si="122"/>
        <v>159.65722173545257</v>
      </c>
      <c r="EG78" s="4">
        <f t="shared" si="148"/>
        <v>0.72250000000000003</v>
      </c>
      <c r="EH78" s="4">
        <f t="shared" si="84"/>
        <v>6.6857562842857838</v>
      </c>
      <c r="EI78" s="4">
        <f t="shared" si="174"/>
        <v>6.028412726414806</v>
      </c>
      <c r="EK78" s="4">
        <f t="shared" si="175"/>
        <v>85.722648115885917</v>
      </c>
      <c r="EL78" s="4">
        <f t="shared" si="176"/>
        <v>3.3749074061372411</v>
      </c>
      <c r="EM78" s="4">
        <f t="shared" si="177"/>
        <v>5.3513425178746021E-2</v>
      </c>
      <c r="EP78" s="4">
        <f t="shared" si="178"/>
        <v>5.3513425178746021E-2</v>
      </c>
      <c r="EQ78" s="4">
        <f t="shared" si="179"/>
        <v>0.18463885839148297</v>
      </c>
      <c r="ER78" s="4">
        <f t="shared" si="180"/>
        <v>3.4015729066792599</v>
      </c>
      <c r="ES78" s="4">
        <f t="shared" si="236"/>
        <v>5.3067578077039173</v>
      </c>
      <c r="ET78" s="4">
        <f t="shared" si="182"/>
        <v>390.52735188411407</v>
      </c>
      <c r="EU78" s="4">
        <f t="shared" si="183"/>
        <v>158.75</v>
      </c>
      <c r="EV78" s="4">
        <f t="shared" si="95"/>
        <v>4.4003395705642358E-5</v>
      </c>
      <c r="EW78" s="4">
        <f t="shared" si="237"/>
        <v>5.0585307900576097</v>
      </c>
      <c r="EX78" s="4">
        <f t="shared" si="185"/>
        <v>284.17929688302672</v>
      </c>
      <c r="EY78" s="4">
        <f t="shared" si="186"/>
        <v>92.077351884114066</v>
      </c>
      <c r="EZ78" s="4">
        <f t="shared" si="187"/>
        <v>0</v>
      </c>
      <c r="FB78" s="4">
        <f t="shared" si="100"/>
        <v>375.88088671352432</v>
      </c>
      <c r="FG78" s="23">
        <f t="shared" si="216"/>
        <v>2.2000000000000002</v>
      </c>
      <c r="FH78" s="23">
        <f t="shared" si="216"/>
        <v>0.8</v>
      </c>
      <c r="FI78" s="23">
        <f t="shared" si="230"/>
        <v>1</v>
      </c>
      <c r="FJ78" s="23">
        <f t="shared" si="217"/>
        <v>2</v>
      </c>
      <c r="FK78" s="23">
        <f t="shared" si="217"/>
        <v>1.8</v>
      </c>
      <c r="FL78" s="23">
        <f t="shared" si="217"/>
        <v>1.8</v>
      </c>
      <c r="FM78" s="23">
        <f t="shared" si="218"/>
        <v>0</v>
      </c>
      <c r="FN78" s="23"/>
      <c r="FX78" s="4">
        <f t="shared" si="101"/>
        <v>1</v>
      </c>
      <c r="FY78" s="4">
        <f t="shared" si="102"/>
        <v>1.0833333333333333</v>
      </c>
      <c r="FZ78" s="4">
        <f t="shared" si="103"/>
        <v>0</v>
      </c>
      <c r="GA78" s="4">
        <f t="shared" si="104"/>
        <v>529.33445891544102</v>
      </c>
    </row>
    <row r="79" spans="1:185" ht="12" customHeight="1" x14ac:dyDescent="0.3">
      <c r="A79" s="25">
        <v>61</v>
      </c>
      <c r="B79" s="20" t="s">
        <v>54</v>
      </c>
      <c r="C79" s="20">
        <v>2006</v>
      </c>
      <c r="D79" s="24" t="s">
        <v>55</v>
      </c>
      <c r="E79" s="24"/>
      <c r="F79" s="7" t="s">
        <v>283</v>
      </c>
      <c r="G79" s="7">
        <v>433</v>
      </c>
      <c r="H79" s="7">
        <f>15*25.4</f>
        <v>381</v>
      </c>
      <c r="I79" s="7">
        <f t="shared" si="131"/>
        <v>252</v>
      </c>
      <c r="J79" s="7">
        <v>28</v>
      </c>
      <c r="K79" s="7">
        <v>36</v>
      </c>
      <c r="L79" s="7">
        <f t="shared" si="151"/>
        <v>10.583333333333334</v>
      </c>
      <c r="M79" s="7">
        <v>7</v>
      </c>
      <c r="N79" s="7">
        <f t="shared" ref="N79:N89" si="239">8.5*25.4</f>
        <v>215.89999999999998</v>
      </c>
      <c r="O79" s="7">
        <f t="shared" si="108"/>
        <v>89.949999999999989</v>
      </c>
      <c r="P79" s="7">
        <f t="shared" si="133"/>
        <v>50.8</v>
      </c>
      <c r="Q79" s="7">
        <v>0</v>
      </c>
      <c r="R79" s="7">
        <v>1</v>
      </c>
      <c r="S79" s="7">
        <f t="shared" si="134"/>
        <v>83.6</v>
      </c>
      <c r="T79" s="7">
        <f t="shared" si="42"/>
        <v>2.822222222222222</v>
      </c>
      <c r="U79" s="7">
        <f t="shared" si="135"/>
        <v>2.9986111111111109</v>
      </c>
      <c r="V79" s="7">
        <v>1.1000000000000001</v>
      </c>
      <c r="W79" s="7">
        <f t="shared" si="152"/>
        <v>1.1000000000000001</v>
      </c>
      <c r="X79" s="7">
        <f t="shared" si="44"/>
        <v>2.1</v>
      </c>
      <c r="Y79" s="7">
        <f t="shared" si="200"/>
        <v>52.168956286281983</v>
      </c>
      <c r="Z79" s="7"/>
      <c r="AA79" s="7"/>
      <c r="AB79" s="7">
        <v>354</v>
      </c>
      <c r="AC79" s="7"/>
      <c r="AD79" s="7"/>
      <c r="AE79" s="7"/>
      <c r="AF79" s="7"/>
      <c r="AG79" s="7">
        <v>1</v>
      </c>
      <c r="AH79" s="7"/>
      <c r="AI79" s="7"/>
      <c r="AJ79" s="7"/>
      <c r="AK79" s="4">
        <f t="shared" si="125"/>
        <v>381</v>
      </c>
      <c r="AL79" s="44">
        <f t="shared" si="153"/>
        <v>8.3950617283950604E-2</v>
      </c>
      <c r="AM79" s="25">
        <f t="shared" si="112"/>
        <v>386.60867631208708</v>
      </c>
      <c r="AN79" s="4">
        <f t="shared" si="113"/>
        <v>0.7533333333333333</v>
      </c>
      <c r="AO79" s="4">
        <v>1.25</v>
      </c>
      <c r="AP79" s="25">
        <f t="shared" si="114"/>
        <v>5</v>
      </c>
      <c r="AQ79" s="38">
        <f t="shared" si="115"/>
        <v>152.81384098673232</v>
      </c>
      <c r="AR79" s="38">
        <f t="shared" si="116"/>
        <v>152.81384098673232</v>
      </c>
      <c r="AT79" s="38">
        <f t="shared" si="130"/>
        <v>152.8138409867322</v>
      </c>
      <c r="AU79" s="38">
        <f t="shared" si="47"/>
        <v>1.0000000000000007</v>
      </c>
      <c r="AV79" s="38">
        <f t="shared" si="136"/>
        <v>1.111825806705935</v>
      </c>
      <c r="AW79" s="4">
        <f t="shared" si="154"/>
        <v>0</v>
      </c>
      <c r="AX79" s="4">
        <f t="shared" si="220"/>
        <v>194.95009660475932</v>
      </c>
      <c r="AY79" s="4">
        <f t="shared" si="221"/>
        <v>1.0249999999999999</v>
      </c>
      <c r="AZ79" s="38">
        <f t="shared" si="117"/>
        <v>169.90237203090601</v>
      </c>
      <c r="BA79" s="4">
        <f t="shared" si="222"/>
        <v>0.84599999999999997</v>
      </c>
      <c r="BB79" s="4">
        <f t="shared" si="51"/>
        <v>86.17476595268478</v>
      </c>
      <c r="BC79" s="4">
        <f t="shared" si="52"/>
        <v>256.07713798359077</v>
      </c>
      <c r="BE79" s="36">
        <f t="shared" si="53"/>
        <v>1.1000000000000001</v>
      </c>
      <c r="BF79" s="36">
        <f t="shared" si="54"/>
        <v>193.24567576015772</v>
      </c>
      <c r="BK79" s="4">
        <f t="shared" si="156"/>
        <v>89.949999999999989</v>
      </c>
      <c r="BL79" s="4">
        <f t="shared" si="157"/>
        <v>83.6</v>
      </c>
      <c r="BM79" s="4">
        <f t="shared" si="158"/>
        <v>89.949999999999989</v>
      </c>
      <c r="BN79" s="4">
        <f t="shared" si="159"/>
        <v>101.6</v>
      </c>
      <c r="BO79" s="4">
        <f t="shared" si="160"/>
        <v>1.0075956937799044</v>
      </c>
      <c r="BP79" s="25">
        <f t="shared" si="118"/>
        <v>2.8436589580010634</v>
      </c>
      <c r="BR79" s="4">
        <f t="shared" si="161"/>
        <v>89.949999999999989</v>
      </c>
      <c r="BV79" s="9"/>
      <c r="BX79" s="9"/>
      <c r="BY79" s="9"/>
      <c r="BZ79" s="9">
        <f t="shared" si="231"/>
        <v>50.8</v>
      </c>
      <c r="CA79" s="9">
        <f t="shared" si="232"/>
        <v>89.949999999999989</v>
      </c>
      <c r="CB79" s="9">
        <f t="shared" si="63"/>
        <v>1.2941994891728255</v>
      </c>
      <c r="CC79" s="9">
        <v>0</v>
      </c>
      <c r="CD79" s="9">
        <f t="shared" si="129"/>
        <v>0</v>
      </c>
      <c r="CE79" s="9">
        <f t="shared" si="65"/>
        <v>0</v>
      </c>
      <c r="CF79" s="9">
        <f t="shared" si="233"/>
        <v>0.89637813077714179</v>
      </c>
      <c r="CG79" s="9">
        <f t="shared" si="234"/>
        <v>1.1339999999999999</v>
      </c>
      <c r="CH79" s="9">
        <f t="shared" si="68"/>
        <v>1.8825710113593779</v>
      </c>
      <c r="CI79" s="9">
        <f t="shared" si="69"/>
        <v>2.4364224412328763</v>
      </c>
      <c r="CJ79" s="9">
        <v>1</v>
      </c>
      <c r="CK79" s="9">
        <f t="shared" si="70"/>
        <v>214.4051748284931</v>
      </c>
      <c r="CM79" s="4">
        <f t="shared" si="206"/>
        <v>1.8158493181857587</v>
      </c>
      <c r="CN79" s="4">
        <f t="shared" si="207"/>
        <v>1.3823959561071166</v>
      </c>
      <c r="CO79" s="4">
        <f t="shared" si="208"/>
        <v>1.8318650526460354</v>
      </c>
      <c r="CP79" s="4">
        <f t="shared" si="209"/>
        <v>1.6510795519892256</v>
      </c>
      <c r="CQ79" s="4">
        <f t="shared" si="210"/>
        <v>1.1015400381976519</v>
      </c>
      <c r="CR79" s="4">
        <f t="shared" si="211"/>
        <v>1.3632451207336602</v>
      </c>
      <c r="CS79" s="4">
        <f t="shared" si="143"/>
        <v>1.8807238023462929</v>
      </c>
      <c r="CU79" s="4">
        <f t="shared" si="212"/>
        <v>1.8158493181857587</v>
      </c>
      <c r="CV79" s="4">
        <f t="shared" si="212"/>
        <v>1.3823959561071166</v>
      </c>
      <c r="CW79" s="4">
        <f t="shared" si="213"/>
        <v>1.6510795519892256</v>
      </c>
      <c r="CX79" s="4">
        <f t="shared" si="214"/>
        <v>1.8807238023462929</v>
      </c>
      <c r="CY79" s="4">
        <f t="shared" si="215"/>
        <v>1.1015400381976519</v>
      </c>
      <c r="CZ79" s="4">
        <f t="shared" si="215"/>
        <v>1.3632451207336602</v>
      </c>
      <c r="DH79" s="4">
        <f t="shared" si="167"/>
        <v>0</v>
      </c>
      <c r="DI79" s="4">
        <f t="shared" si="168"/>
        <v>381</v>
      </c>
      <c r="DJ79" s="4">
        <f t="shared" si="169"/>
        <v>0.66141732283464572</v>
      </c>
      <c r="DL79" s="4">
        <f t="shared" si="170"/>
        <v>1.8628104182055264E-5</v>
      </c>
      <c r="DM79" s="4">
        <f t="shared" si="171"/>
        <v>6.0161976170308948</v>
      </c>
      <c r="DN79" s="4">
        <f t="shared" si="172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38">
        <f t="shared" si="119"/>
        <v>321.3682551014827</v>
      </c>
      <c r="DS79" s="4">
        <f t="shared" si="79"/>
        <v>1.0004406723229435</v>
      </c>
      <c r="DT79" s="4">
        <f t="shared" si="147"/>
        <v>1.4491376746189439</v>
      </c>
      <c r="DU79" s="4">
        <f t="shared" si="120"/>
        <v>152.8138409867322</v>
      </c>
      <c r="DY79" s="4">
        <f t="shared" si="235"/>
        <v>0.85</v>
      </c>
      <c r="DZ79" s="4">
        <f t="shared" si="81"/>
        <v>0.85013888888888889</v>
      </c>
      <c r="EA79" s="4">
        <f t="shared" si="82"/>
        <v>1</v>
      </c>
      <c r="EB79" s="4">
        <f t="shared" si="83"/>
        <v>0.85013888888888889</v>
      </c>
      <c r="ED79" s="4">
        <f t="shared" si="121"/>
        <v>259.674503591465</v>
      </c>
      <c r="EE79" s="25">
        <f t="shared" si="122"/>
        <v>150.18137322121927</v>
      </c>
      <c r="EG79" s="4">
        <f t="shared" si="148"/>
        <v>0.72261805555555558</v>
      </c>
      <c r="EH79" s="4">
        <f t="shared" si="84"/>
        <v>6.0161976170308948</v>
      </c>
      <c r="EI79" s="4">
        <f t="shared" si="174"/>
        <v>4.9450239957683877</v>
      </c>
      <c r="EK79" s="4">
        <f t="shared" si="175"/>
        <v>52.168956286281983</v>
      </c>
      <c r="EL79" s="4">
        <f t="shared" si="176"/>
        <v>1.4491376746189439</v>
      </c>
      <c r="EM79" s="4">
        <f t="shared" si="177"/>
        <v>0.29141055716323655</v>
      </c>
      <c r="EP79" s="4">
        <f t="shared" si="178"/>
        <v>0.29141055716323655</v>
      </c>
      <c r="EQ79" s="4">
        <f t="shared" si="179"/>
        <v>0.999</v>
      </c>
      <c r="ER79" s="4">
        <f t="shared" si="180"/>
        <v>6.0137904156550812</v>
      </c>
      <c r="ES79" s="4">
        <f t="shared" si="236"/>
        <v>6.0149941367632529</v>
      </c>
      <c r="ET79" s="4">
        <f t="shared" si="182"/>
        <v>233.58104371371803</v>
      </c>
      <c r="EU79" s="4">
        <f t="shared" si="183"/>
        <v>95.25</v>
      </c>
      <c r="EV79" s="4">
        <f t="shared" si="95"/>
        <v>1.8628104182055264E-5</v>
      </c>
      <c r="EW79" s="4">
        <f t="shared" si="237"/>
        <v>5.5714881219801278</v>
      </c>
      <c r="EX79" s="4">
        <f t="shared" si="185"/>
        <v>321.22669938567293</v>
      </c>
      <c r="EY79" s="4">
        <f t="shared" si="186"/>
        <v>199.83104371371803</v>
      </c>
      <c r="EZ79" s="4">
        <f t="shared" si="187"/>
        <v>1.4210854715202004E-14</v>
      </c>
      <c r="FB79" s="4">
        <f t="shared" si="100"/>
        <v>81.521143970485184</v>
      </c>
      <c r="FG79" s="23">
        <f t="shared" si="216"/>
        <v>2</v>
      </c>
      <c r="FH79" s="23">
        <f t="shared" si="216"/>
        <v>1.4</v>
      </c>
      <c r="FI79" s="23">
        <f t="shared" si="230"/>
        <v>2</v>
      </c>
      <c r="FJ79" s="23">
        <f t="shared" si="217"/>
        <v>1.8</v>
      </c>
      <c r="FK79" s="23">
        <f t="shared" si="217"/>
        <v>1.2</v>
      </c>
      <c r="FL79" s="23">
        <f t="shared" si="217"/>
        <v>1.4</v>
      </c>
      <c r="FM79" s="23">
        <f t="shared" si="218"/>
        <v>0</v>
      </c>
      <c r="FN79" s="23"/>
      <c r="FX79" s="4">
        <f t="shared" si="101"/>
        <v>1</v>
      </c>
      <c r="FY79" s="4">
        <f t="shared" si="102"/>
        <v>1.0833333333333333</v>
      </c>
      <c r="FZ79" s="4">
        <f t="shared" si="103"/>
        <v>0</v>
      </c>
      <c r="GA79" s="4">
        <f t="shared" si="104"/>
        <v>188.22540532446502</v>
      </c>
    </row>
    <row r="80" spans="1:185" ht="12" customHeight="1" x14ac:dyDescent="0.3">
      <c r="A80" s="25">
        <v>62</v>
      </c>
      <c r="B80" s="20" t="s">
        <v>54</v>
      </c>
      <c r="C80" s="20">
        <v>2006</v>
      </c>
      <c r="D80" s="24" t="s">
        <v>55</v>
      </c>
      <c r="E80" s="24"/>
      <c r="F80" s="7" t="s">
        <v>279</v>
      </c>
      <c r="G80" s="7">
        <v>433</v>
      </c>
      <c r="H80" s="7">
        <f t="shared" ref="H80:H93" si="240">15*25.4</f>
        <v>381</v>
      </c>
      <c r="I80" s="7">
        <f t="shared" si="131"/>
        <v>252</v>
      </c>
      <c r="J80" s="7">
        <v>28</v>
      </c>
      <c r="K80" s="7">
        <v>36</v>
      </c>
      <c r="L80" s="7">
        <f t="shared" si="151"/>
        <v>10.583333333333334</v>
      </c>
      <c r="M80" s="7">
        <v>7</v>
      </c>
      <c r="N80" s="7">
        <f t="shared" si="239"/>
        <v>215.89999999999998</v>
      </c>
      <c r="O80" s="7">
        <f t="shared" si="108"/>
        <v>89.949999999999989</v>
      </c>
      <c r="P80" s="7">
        <f t="shared" si="133"/>
        <v>50.8</v>
      </c>
      <c r="Q80" s="7">
        <v>0</v>
      </c>
      <c r="R80" s="7">
        <v>1</v>
      </c>
      <c r="S80" s="7">
        <f t="shared" si="134"/>
        <v>83.6</v>
      </c>
      <c r="T80" s="7">
        <f t="shared" si="42"/>
        <v>2.822222222222222</v>
      </c>
      <c r="U80" s="7">
        <f t="shared" si="135"/>
        <v>2.9986111111111109</v>
      </c>
      <c r="V80" s="7">
        <v>1.56</v>
      </c>
      <c r="W80" s="7">
        <f t="shared" si="152"/>
        <v>1.56</v>
      </c>
      <c r="X80" s="7">
        <f t="shared" si="44"/>
        <v>2.56</v>
      </c>
      <c r="Y80" s="7">
        <f t="shared" si="200"/>
        <v>57.6</v>
      </c>
      <c r="Z80" s="7"/>
      <c r="AA80" s="7"/>
      <c r="AB80" s="7">
        <v>370</v>
      </c>
      <c r="AC80" s="7"/>
      <c r="AD80" s="7"/>
      <c r="AE80" s="7"/>
      <c r="AF80" s="7"/>
      <c r="AG80" s="7">
        <v>1</v>
      </c>
      <c r="AH80" s="7"/>
      <c r="AI80" s="7"/>
      <c r="AJ80" s="7"/>
      <c r="AK80" s="4">
        <f t="shared" si="125"/>
        <v>381</v>
      </c>
      <c r="AL80" s="44">
        <f t="shared" si="153"/>
        <v>8.3950617283950604E-2</v>
      </c>
      <c r="AM80" s="25">
        <f t="shared" si="112"/>
        <v>386.60867631208708</v>
      </c>
      <c r="AN80" s="4">
        <f t="shared" si="113"/>
        <v>0.7533333333333333</v>
      </c>
      <c r="AO80" s="4">
        <v>1.25</v>
      </c>
      <c r="AP80" s="25">
        <f t="shared" si="114"/>
        <v>5</v>
      </c>
      <c r="AQ80" s="38">
        <f t="shared" si="115"/>
        <v>152.81384098673232</v>
      </c>
      <c r="AR80" s="38">
        <f t="shared" si="116"/>
        <v>152.81384098673232</v>
      </c>
      <c r="AT80" s="38">
        <f t="shared" si="130"/>
        <v>152.8138409867322</v>
      </c>
      <c r="AU80" s="38">
        <f t="shared" si="47"/>
        <v>1.0000000000000007</v>
      </c>
      <c r="AV80" s="38">
        <f t="shared" si="136"/>
        <v>1.3240448818791442</v>
      </c>
      <c r="AW80" s="4">
        <f t="shared" si="154"/>
        <v>0</v>
      </c>
      <c r="AX80" s="4">
        <f t="shared" si="220"/>
        <v>194.95009660475932</v>
      </c>
      <c r="AY80" s="4">
        <f t="shared" si="221"/>
        <v>1.0249999999999999</v>
      </c>
      <c r="AZ80" s="38">
        <f t="shared" si="117"/>
        <v>202.33238403877615</v>
      </c>
      <c r="BA80" s="4">
        <f t="shared" si="222"/>
        <v>0.78160000000000007</v>
      </c>
      <c r="BB80" s="4">
        <f t="shared" si="51"/>
        <v>79.614890152031251</v>
      </c>
      <c r="BC80" s="4">
        <f t="shared" si="52"/>
        <v>281.94727419080743</v>
      </c>
      <c r="BE80" s="36">
        <f t="shared" si="53"/>
        <v>1.1000000000000001</v>
      </c>
      <c r="BF80" s="36">
        <f t="shared" si="54"/>
        <v>193.24567576015772</v>
      </c>
      <c r="BK80" s="4">
        <f t="shared" si="156"/>
        <v>89.949999999999989</v>
      </c>
      <c r="BL80" s="4">
        <f t="shared" si="157"/>
        <v>83.6</v>
      </c>
      <c r="BM80" s="4">
        <f t="shared" si="158"/>
        <v>89.949999999999989</v>
      </c>
      <c r="BN80" s="4">
        <f t="shared" si="159"/>
        <v>101.6</v>
      </c>
      <c r="BO80" s="4">
        <f t="shared" si="160"/>
        <v>1.0075956937799044</v>
      </c>
      <c r="BP80" s="25">
        <f t="shared" si="118"/>
        <v>2.8436589580010634</v>
      </c>
      <c r="BR80" s="4">
        <f t="shared" si="161"/>
        <v>89.949999999999989</v>
      </c>
      <c r="BV80" s="9"/>
      <c r="BX80" s="9"/>
      <c r="BY80" s="9"/>
      <c r="BZ80" s="9">
        <f t="shared" si="231"/>
        <v>50.8</v>
      </c>
      <c r="CA80" s="9">
        <f t="shared" si="232"/>
        <v>89.949999999999989</v>
      </c>
      <c r="CB80" s="9">
        <f t="shared" si="63"/>
        <v>1.2941994891728255</v>
      </c>
      <c r="CC80" s="9">
        <v>0</v>
      </c>
      <c r="CD80" s="9">
        <f t="shared" si="129"/>
        <v>0</v>
      </c>
      <c r="CE80" s="9">
        <f t="shared" si="65"/>
        <v>0</v>
      </c>
      <c r="CF80" s="9">
        <f t="shared" si="233"/>
        <v>0.89637813077714179</v>
      </c>
      <c r="CG80" s="9">
        <f t="shared" si="234"/>
        <v>1.1339999999999999</v>
      </c>
      <c r="CH80" s="9">
        <f t="shared" si="68"/>
        <v>1.8825710113593779</v>
      </c>
      <c r="CI80" s="9">
        <f t="shared" si="69"/>
        <v>2.4364224412328763</v>
      </c>
      <c r="CJ80" s="9">
        <v>1</v>
      </c>
      <c r="CK80" s="9">
        <f t="shared" si="70"/>
        <v>214.4051748284931</v>
      </c>
      <c r="CM80" s="4">
        <f t="shared" si="206"/>
        <v>1.8979216037534765</v>
      </c>
      <c r="CN80" s="4">
        <f t="shared" si="207"/>
        <v>1.312302099964985</v>
      </c>
      <c r="CO80" s="4">
        <f t="shared" si="208"/>
        <v>1.9146612132176075</v>
      </c>
      <c r="CP80" s="4">
        <f t="shared" si="209"/>
        <v>1.7257046164859138</v>
      </c>
      <c r="CQ80" s="4">
        <f t="shared" si="210"/>
        <v>1.1865605272060056</v>
      </c>
      <c r="CR80" s="4">
        <f t="shared" si="211"/>
        <v>1.4204803422427006</v>
      </c>
      <c r="CS80" s="4">
        <f t="shared" si="143"/>
        <v>1.9657282679890631</v>
      </c>
      <c r="CU80" s="4">
        <f t="shared" si="212"/>
        <v>1.8979216037534765</v>
      </c>
      <c r="CV80" s="4">
        <f t="shared" si="212"/>
        <v>1.312302099964985</v>
      </c>
      <c r="CW80" s="4">
        <f t="shared" si="213"/>
        <v>1.7257046164859138</v>
      </c>
      <c r="CX80" s="4">
        <f t="shared" si="214"/>
        <v>1.9657282679890631</v>
      </c>
      <c r="CY80" s="4">
        <f t="shared" si="215"/>
        <v>1.1865605272060056</v>
      </c>
      <c r="CZ80" s="4">
        <f t="shared" si="215"/>
        <v>1.4204803422427006</v>
      </c>
      <c r="DH80" s="4">
        <f t="shared" si="167"/>
        <v>0</v>
      </c>
      <c r="DI80" s="4">
        <f t="shared" si="168"/>
        <v>381</v>
      </c>
      <c r="DJ80" s="4">
        <f t="shared" si="169"/>
        <v>0.66141732283464572</v>
      </c>
      <c r="DL80" s="4">
        <f t="shared" si="170"/>
        <v>1.8628104182055264E-5</v>
      </c>
      <c r="DM80" s="4">
        <f t="shared" si="171"/>
        <v>6.0161976170308948</v>
      </c>
      <c r="DN80" s="4">
        <f t="shared" si="172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38">
        <f t="shared" si="119"/>
        <v>311.82564354406691</v>
      </c>
      <c r="DS80" s="4">
        <f t="shared" si="79"/>
        <v>1.0002110936527455</v>
      </c>
      <c r="DT80" s="4">
        <f t="shared" si="147"/>
        <v>1.6</v>
      </c>
      <c r="DU80" s="4">
        <f t="shared" si="120"/>
        <v>152.8138409867322</v>
      </c>
      <c r="DY80" s="4">
        <f t="shared" si="235"/>
        <v>0.85</v>
      </c>
      <c r="DZ80" s="4">
        <f t="shared" si="81"/>
        <v>0.85013888888888889</v>
      </c>
      <c r="EA80" s="4">
        <f t="shared" si="82"/>
        <v>1</v>
      </c>
      <c r="EB80" s="4">
        <f t="shared" si="83"/>
        <v>0.85013888888888889</v>
      </c>
      <c r="ED80" s="4">
        <f t="shared" si="121"/>
        <v>260.4752695245553</v>
      </c>
      <c r="EE80" s="25">
        <f t="shared" si="122"/>
        <v>150.18137322121927</v>
      </c>
      <c r="EG80" s="4">
        <f t="shared" si="148"/>
        <v>0.72261805555555558</v>
      </c>
      <c r="EH80" s="4">
        <f t="shared" si="84"/>
        <v>6.0161976170308948</v>
      </c>
      <c r="EI80" s="4">
        <f t="shared" si="174"/>
        <v>4.9450239957683877</v>
      </c>
      <c r="EK80" s="4">
        <f t="shared" si="175"/>
        <v>57.6</v>
      </c>
      <c r="EL80" s="4">
        <f t="shared" si="176"/>
        <v>1.6</v>
      </c>
      <c r="EM80" s="4">
        <f t="shared" si="177"/>
        <v>0.22687346465623337</v>
      </c>
      <c r="EP80" s="4">
        <f t="shared" si="178"/>
        <v>0.22687346465623337</v>
      </c>
      <c r="EQ80" s="4">
        <f t="shared" si="179"/>
        <v>0.7827878214397076</v>
      </c>
      <c r="ER80" s="4">
        <f t="shared" si="180"/>
        <v>5.4548111232940046</v>
      </c>
      <c r="ES80" s="4">
        <f t="shared" si="236"/>
        <v>5.7423704095518984</v>
      </c>
      <c r="ET80" s="4">
        <f t="shared" si="182"/>
        <v>228.15</v>
      </c>
      <c r="EU80" s="4">
        <f t="shared" si="183"/>
        <v>95.249999999999972</v>
      </c>
      <c r="EV80" s="4">
        <f t="shared" si="95"/>
        <v>1.8628104182055258E-5</v>
      </c>
      <c r="EW80" s="4">
        <f t="shared" si="237"/>
        <v>5.5924241576291642</v>
      </c>
      <c r="EX80" s="4">
        <f t="shared" si="185"/>
        <v>311.7598330221349</v>
      </c>
      <c r="EY80" s="4">
        <f t="shared" si="186"/>
        <v>194.40000000000003</v>
      </c>
      <c r="EZ80" s="4">
        <f t="shared" si="187"/>
        <v>0</v>
      </c>
      <c r="FB80" s="4">
        <f t="shared" si="100"/>
        <v>80.72037803739488</v>
      </c>
      <c r="FG80" s="23">
        <f t="shared" si="216"/>
        <v>2</v>
      </c>
      <c r="FH80" s="23">
        <f t="shared" si="216"/>
        <v>1.4</v>
      </c>
      <c r="FI80" s="23">
        <f t="shared" si="230"/>
        <v>2</v>
      </c>
      <c r="FJ80" s="23">
        <f t="shared" si="217"/>
        <v>1.8</v>
      </c>
      <c r="FK80" s="23">
        <f t="shared" si="217"/>
        <v>1.2</v>
      </c>
      <c r="FL80" s="23">
        <f t="shared" si="217"/>
        <v>1.6</v>
      </c>
      <c r="FM80" s="23">
        <f t="shared" si="218"/>
        <v>0</v>
      </c>
      <c r="FN80" s="23"/>
      <c r="FX80" s="4">
        <f t="shared" si="101"/>
        <v>1</v>
      </c>
      <c r="FY80" s="4">
        <f t="shared" si="102"/>
        <v>1.0833333333333333</v>
      </c>
      <c r="FZ80" s="4">
        <f t="shared" si="103"/>
        <v>0</v>
      </c>
      <c r="GA80" s="4">
        <f t="shared" si="104"/>
        <v>188.22540532446502</v>
      </c>
    </row>
    <row r="81" spans="1:184" ht="12" customHeight="1" x14ac:dyDescent="0.3">
      <c r="A81" s="25">
        <v>63</v>
      </c>
      <c r="B81" s="20" t="s">
        <v>54</v>
      </c>
      <c r="C81" s="20">
        <v>2006</v>
      </c>
      <c r="D81" s="24" t="s">
        <v>55</v>
      </c>
      <c r="E81" s="24"/>
      <c r="F81" s="7" t="s">
        <v>284</v>
      </c>
      <c r="G81" s="7">
        <v>433</v>
      </c>
      <c r="H81" s="7">
        <f t="shared" si="240"/>
        <v>381</v>
      </c>
      <c r="I81" s="7">
        <f t="shared" si="131"/>
        <v>252</v>
      </c>
      <c r="J81" s="7">
        <v>28</v>
      </c>
      <c r="K81" s="7">
        <v>36</v>
      </c>
      <c r="L81" s="7">
        <f t="shared" si="151"/>
        <v>10.583333333333334</v>
      </c>
      <c r="M81" s="7">
        <v>7</v>
      </c>
      <c r="N81" s="7">
        <f t="shared" si="239"/>
        <v>215.89999999999998</v>
      </c>
      <c r="O81" s="7">
        <f t="shared" si="108"/>
        <v>89.949999999999989</v>
      </c>
      <c r="P81" s="7">
        <f t="shared" si="133"/>
        <v>50.8</v>
      </c>
      <c r="Q81" s="7">
        <v>0</v>
      </c>
      <c r="R81" s="7">
        <v>1</v>
      </c>
      <c r="S81" s="7">
        <f t="shared" si="134"/>
        <v>83.6</v>
      </c>
      <c r="T81" s="7">
        <f t="shared" si="42"/>
        <v>2.822222222222222</v>
      </c>
      <c r="U81" s="7">
        <f t="shared" si="135"/>
        <v>2.9986111111111109</v>
      </c>
      <c r="V81" s="7">
        <v>2.85</v>
      </c>
      <c r="W81" s="7">
        <f t="shared" si="152"/>
        <v>2.85</v>
      </c>
      <c r="X81" s="7">
        <f t="shared" si="44"/>
        <v>3.85</v>
      </c>
      <c r="Y81" s="7">
        <f t="shared" si="200"/>
        <v>70.637100733254911</v>
      </c>
      <c r="Z81" s="7"/>
      <c r="AA81" s="7"/>
      <c r="AB81" s="7">
        <v>345</v>
      </c>
      <c r="AC81" s="7"/>
      <c r="AD81" s="7"/>
      <c r="AE81" s="7"/>
      <c r="AF81" s="7"/>
      <c r="AG81" s="7">
        <v>1</v>
      </c>
      <c r="AH81" s="7"/>
      <c r="AI81" s="7"/>
      <c r="AJ81" s="7"/>
      <c r="AK81" s="4">
        <f t="shared" si="125"/>
        <v>381</v>
      </c>
      <c r="AL81" s="44">
        <f t="shared" si="153"/>
        <v>8.3950617283950604E-2</v>
      </c>
      <c r="AM81" s="25">
        <f t="shared" si="112"/>
        <v>386.60867631208708</v>
      </c>
      <c r="AN81" s="4">
        <f t="shared" si="113"/>
        <v>0.7533333333333333</v>
      </c>
      <c r="AO81" s="4">
        <v>1.25</v>
      </c>
      <c r="AP81" s="25">
        <f t="shared" si="114"/>
        <v>5</v>
      </c>
      <c r="AQ81" s="38">
        <f t="shared" si="115"/>
        <v>152.81384098673232</v>
      </c>
      <c r="AR81" s="38">
        <f t="shared" si="116"/>
        <v>152.81384098673232</v>
      </c>
      <c r="AT81" s="38">
        <f t="shared" si="130"/>
        <v>152.8138409867322</v>
      </c>
      <c r="AU81" s="38">
        <f t="shared" si="47"/>
        <v>1.0000000000000007</v>
      </c>
      <c r="AV81" s="38">
        <f t="shared" si="136"/>
        <v>1.7896282955110878</v>
      </c>
      <c r="AW81" s="4">
        <f t="shared" si="154"/>
        <v>0</v>
      </c>
      <c r="AX81" s="4">
        <f t="shared" si="220"/>
        <v>194.95009660475932</v>
      </c>
      <c r="AY81" s="4">
        <f t="shared" si="221"/>
        <v>1.0249999999999999</v>
      </c>
      <c r="AZ81" s="38">
        <f t="shared" si="117"/>
        <v>273.47997377558795</v>
      </c>
      <c r="BA81" s="4">
        <f t="shared" si="222"/>
        <v>0.60099999999999998</v>
      </c>
      <c r="BB81" s="4">
        <f t="shared" si="51"/>
        <v>61.218716711068033</v>
      </c>
      <c r="BC81" s="4">
        <f t="shared" si="52"/>
        <v>334.69869048665601</v>
      </c>
      <c r="BE81" s="36">
        <f t="shared" si="53"/>
        <v>1.1000000000000001</v>
      </c>
      <c r="BF81" s="36">
        <f t="shared" si="54"/>
        <v>193.24567576015772</v>
      </c>
      <c r="BK81" s="4">
        <f t="shared" si="156"/>
        <v>89.949999999999989</v>
      </c>
      <c r="BL81" s="4">
        <f t="shared" si="157"/>
        <v>83.6</v>
      </c>
      <c r="BM81" s="4">
        <f t="shared" si="158"/>
        <v>89.949999999999989</v>
      </c>
      <c r="BN81" s="4">
        <f t="shared" si="159"/>
        <v>101.6</v>
      </c>
      <c r="BO81" s="4">
        <f t="shared" si="160"/>
        <v>1.0075956937799044</v>
      </c>
      <c r="BP81" s="25">
        <f t="shared" si="118"/>
        <v>2.8436589580010634</v>
      </c>
      <c r="BR81" s="4">
        <f t="shared" si="161"/>
        <v>89.949999999999989</v>
      </c>
      <c r="BV81" s="9"/>
      <c r="BX81" s="9"/>
      <c r="BY81" s="9"/>
      <c r="BZ81" s="9">
        <f t="shared" si="231"/>
        <v>50.8</v>
      </c>
      <c r="CA81" s="9">
        <f t="shared" si="232"/>
        <v>89.949999999999989</v>
      </c>
      <c r="CB81" s="9">
        <f t="shared" si="63"/>
        <v>1.2941994891728255</v>
      </c>
      <c r="CC81" s="9">
        <v>0</v>
      </c>
      <c r="CD81" s="9">
        <f t="shared" si="129"/>
        <v>0</v>
      </c>
      <c r="CE81" s="9">
        <f t="shared" si="65"/>
        <v>0</v>
      </c>
      <c r="CF81" s="9">
        <f t="shared" si="233"/>
        <v>0.89637813077714179</v>
      </c>
      <c r="CG81" s="9">
        <f t="shared" si="234"/>
        <v>1.1339999999999999</v>
      </c>
      <c r="CH81" s="9">
        <f t="shared" si="68"/>
        <v>1.8825710113593779</v>
      </c>
      <c r="CI81" s="9">
        <f t="shared" si="69"/>
        <v>2.4364224412328763</v>
      </c>
      <c r="CJ81" s="9">
        <v>1</v>
      </c>
      <c r="CK81" s="9">
        <f t="shared" si="70"/>
        <v>214.4051748284931</v>
      </c>
      <c r="CM81" s="4">
        <f t="shared" si="206"/>
        <v>1.7696836575539174</v>
      </c>
      <c r="CN81" s="4">
        <f t="shared" si="207"/>
        <v>1.0307778602251647</v>
      </c>
      <c r="CO81" s="4">
        <f t="shared" si="208"/>
        <v>1.7852922123245258</v>
      </c>
      <c r="CP81" s="4">
        <f t="shared" si="209"/>
        <v>1.6091029532098386</v>
      </c>
      <c r="CQ81" s="4">
        <f t="shared" si="210"/>
        <v>1.1587731438285154</v>
      </c>
      <c r="CR81" s="4">
        <f t="shared" si="211"/>
        <v>1.3192185620272767</v>
      </c>
      <c r="CS81" s="4">
        <f t="shared" si="143"/>
        <v>1.8329087904222345</v>
      </c>
      <c r="CU81" s="4">
        <f t="shared" si="212"/>
        <v>1.7696836575539174</v>
      </c>
      <c r="CV81" s="4">
        <f t="shared" si="212"/>
        <v>1.0307778602251647</v>
      </c>
      <c r="CW81" s="4">
        <f t="shared" si="213"/>
        <v>1.6091029532098386</v>
      </c>
      <c r="CX81" s="4">
        <f t="shared" si="214"/>
        <v>1.8329087904222345</v>
      </c>
      <c r="CY81" s="4">
        <f t="shared" si="215"/>
        <v>1.1587731438285154</v>
      </c>
      <c r="CZ81" s="4">
        <f t="shared" si="215"/>
        <v>1.3192185620272767</v>
      </c>
      <c r="DH81" s="4">
        <f t="shared" si="167"/>
        <v>0</v>
      </c>
      <c r="DI81" s="4">
        <f t="shared" si="168"/>
        <v>381</v>
      </c>
      <c r="DJ81" s="4">
        <f t="shared" si="169"/>
        <v>0.66141732283464572</v>
      </c>
      <c r="DL81" s="4">
        <f t="shared" si="170"/>
        <v>1.8628104182055264E-5</v>
      </c>
      <c r="DM81" s="4">
        <f t="shared" si="171"/>
        <v>6.0161976170308948</v>
      </c>
      <c r="DN81" s="4">
        <f t="shared" si="172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38">
        <f t="shared" si="119"/>
        <v>297.7286812672765</v>
      </c>
      <c r="DS81" s="4">
        <f t="shared" si="79"/>
        <v>1.0001858426308585</v>
      </c>
      <c r="DT81" s="4">
        <f t="shared" si="147"/>
        <v>1.9621416870348587</v>
      </c>
      <c r="DU81" s="4">
        <f t="shared" si="120"/>
        <v>152.8138409867322</v>
      </c>
      <c r="DY81" s="4">
        <f t="shared" si="235"/>
        <v>0.85</v>
      </c>
      <c r="DZ81" s="4">
        <f t="shared" si="81"/>
        <v>0.85013888888888889</v>
      </c>
      <c r="EA81" s="4">
        <f t="shared" si="82"/>
        <v>1</v>
      </c>
      <c r="EB81" s="4">
        <f t="shared" si="83"/>
        <v>0.85013888888888889</v>
      </c>
      <c r="ED81" s="4">
        <f t="shared" si="121"/>
        <v>261.51845488728549</v>
      </c>
      <c r="EE81" s="25">
        <f t="shared" si="122"/>
        <v>150.18137322121927</v>
      </c>
      <c r="EG81" s="4">
        <f t="shared" si="148"/>
        <v>0.72261805555555558</v>
      </c>
      <c r="EH81" s="4">
        <f t="shared" si="84"/>
        <v>6.0161976170308948</v>
      </c>
      <c r="EI81" s="4">
        <f t="shared" si="174"/>
        <v>4.9450239957683877</v>
      </c>
      <c r="EK81" s="4">
        <f t="shared" si="175"/>
        <v>70.637100733254911</v>
      </c>
      <c r="EL81" s="4">
        <f t="shared" si="176"/>
        <v>1.9621416870348585</v>
      </c>
      <c r="EM81" s="4">
        <f t="shared" si="177"/>
        <v>0.15229085460242964</v>
      </c>
      <c r="EP81" s="4">
        <f t="shared" si="178"/>
        <v>0.15229085460242964</v>
      </c>
      <c r="EQ81" s="4">
        <f t="shared" si="179"/>
        <v>0.5254533688197538</v>
      </c>
      <c r="ER81" s="4">
        <f t="shared" si="180"/>
        <v>4.6508867620253334</v>
      </c>
      <c r="ES81" s="4">
        <f t="shared" si="236"/>
        <v>5.3771224773913264</v>
      </c>
      <c r="ET81" s="4">
        <f t="shared" si="182"/>
        <v>215.1128992667451</v>
      </c>
      <c r="EU81" s="4">
        <f t="shared" si="183"/>
        <v>95.25</v>
      </c>
      <c r="EV81" s="4">
        <f t="shared" si="95"/>
        <v>1.8628104182055264E-5</v>
      </c>
      <c r="EW81" s="4">
        <f t="shared" si="237"/>
        <v>5.6232740205776892</v>
      </c>
      <c r="EX81" s="4">
        <f t="shared" si="185"/>
        <v>297.67336086675652</v>
      </c>
      <c r="EY81" s="4">
        <f t="shared" si="186"/>
        <v>181.3628992667451</v>
      </c>
      <c r="EZ81" s="4">
        <f t="shared" si="187"/>
        <v>1.4210854715202004E-14</v>
      </c>
      <c r="FB81" s="4">
        <f t="shared" si="100"/>
        <v>79.677192674664695</v>
      </c>
      <c r="FG81" s="23">
        <f t="shared" si="216"/>
        <v>1.8</v>
      </c>
      <c r="FH81" s="23">
        <f t="shared" si="216"/>
        <v>1.2</v>
      </c>
      <c r="FI81" s="23">
        <f t="shared" si="230"/>
        <v>2</v>
      </c>
      <c r="FJ81" s="23">
        <f t="shared" si="217"/>
        <v>1.8</v>
      </c>
      <c r="FK81" s="23">
        <f t="shared" si="217"/>
        <v>1.2</v>
      </c>
      <c r="FL81" s="23">
        <f t="shared" si="217"/>
        <v>1.4</v>
      </c>
      <c r="FM81" s="23">
        <f t="shared" si="218"/>
        <v>0</v>
      </c>
      <c r="FN81" s="23"/>
      <c r="FX81" s="4">
        <f t="shared" si="101"/>
        <v>1</v>
      </c>
      <c r="FY81" s="4">
        <f t="shared" si="102"/>
        <v>1.0833333333333333</v>
      </c>
      <c r="FZ81" s="4">
        <f t="shared" si="103"/>
        <v>0</v>
      </c>
      <c r="GA81" s="4">
        <f t="shared" si="104"/>
        <v>188.22540532446502</v>
      </c>
    </row>
    <row r="82" spans="1:184" ht="12" customHeight="1" x14ac:dyDescent="0.3">
      <c r="A82" s="25">
        <v>64</v>
      </c>
      <c r="B82" s="20" t="s">
        <v>54</v>
      </c>
      <c r="C82" s="20">
        <v>2006</v>
      </c>
      <c r="D82" s="24" t="s">
        <v>55</v>
      </c>
      <c r="E82" s="24"/>
      <c r="F82" s="7" t="s">
        <v>285</v>
      </c>
      <c r="G82" s="7">
        <v>433</v>
      </c>
      <c r="H82" s="7">
        <f t="shared" si="240"/>
        <v>381</v>
      </c>
      <c r="I82" s="7">
        <f t="shared" si="131"/>
        <v>252</v>
      </c>
      <c r="J82" s="7">
        <v>28</v>
      </c>
      <c r="K82" s="7">
        <v>36</v>
      </c>
      <c r="L82" s="7">
        <f t="shared" si="151"/>
        <v>10.583333333333334</v>
      </c>
      <c r="M82" s="7">
        <v>7</v>
      </c>
      <c r="N82" s="7">
        <f t="shared" si="239"/>
        <v>215.89999999999998</v>
      </c>
      <c r="O82" s="7">
        <f t="shared" si="108"/>
        <v>89.949999999999989</v>
      </c>
      <c r="P82" s="7">
        <f t="shared" si="133"/>
        <v>50.8</v>
      </c>
      <c r="Q82" s="7">
        <v>0</v>
      </c>
      <c r="R82" s="7">
        <v>1</v>
      </c>
      <c r="S82" s="7">
        <f t="shared" si="134"/>
        <v>83.6</v>
      </c>
      <c r="T82" s="7">
        <f t="shared" si="42"/>
        <v>2.822222222222222</v>
      </c>
      <c r="U82" s="7">
        <f t="shared" si="135"/>
        <v>2.9986111111111109</v>
      </c>
      <c r="V82" s="7">
        <v>2.85</v>
      </c>
      <c r="W82" s="7">
        <f t="shared" si="152"/>
        <v>2.85</v>
      </c>
      <c r="X82" s="7">
        <f t="shared" si="44"/>
        <v>3.85</v>
      </c>
      <c r="Y82" s="7">
        <f t="shared" si="200"/>
        <v>70.637100733254911</v>
      </c>
      <c r="Z82" s="7"/>
      <c r="AA82" s="7"/>
      <c r="AB82" s="7">
        <v>375</v>
      </c>
      <c r="AC82" s="7"/>
      <c r="AD82" s="7"/>
      <c r="AE82" s="7"/>
      <c r="AF82" s="7"/>
      <c r="AG82" s="7">
        <v>1</v>
      </c>
      <c r="AH82" s="7"/>
      <c r="AI82" s="7"/>
      <c r="AJ82" s="7"/>
      <c r="AK82" s="4">
        <f t="shared" si="125"/>
        <v>381</v>
      </c>
      <c r="AL82" s="44">
        <f t="shared" si="153"/>
        <v>8.3950617283950604E-2</v>
      </c>
      <c r="AM82" s="25">
        <f t="shared" si="112"/>
        <v>386.60867631208708</v>
      </c>
      <c r="AN82" s="4">
        <f t="shared" si="113"/>
        <v>0.7533333333333333</v>
      </c>
      <c r="AO82" s="4">
        <v>1.25</v>
      </c>
      <c r="AP82" s="25">
        <f t="shared" si="114"/>
        <v>5</v>
      </c>
      <c r="AQ82" s="38">
        <f t="shared" si="115"/>
        <v>152.81384098673232</v>
      </c>
      <c r="AR82" s="38">
        <f t="shared" si="116"/>
        <v>152.81384098673232</v>
      </c>
      <c r="AT82" s="38">
        <f t="shared" si="130"/>
        <v>152.8138409867322</v>
      </c>
      <c r="AU82" s="38">
        <f t="shared" si="47"/>
        <v>1.0000000000000007</v>
      </c>
      <c r="AV82" s="38">
        <f t="shared" si="136"/>
        <v>1.7896282955110878</v>
      </c>
      <c r="AW82" s="4">
        <f t="shared" si="154"/>
        <v>0</v>
      </c>
      <c r="AX82" s="4">
        <f t="shared" si="220"/>
        <v>194.95009660475932</v>
      </c>
      <c r="AY82" s="4">
        <f t="shared" si="221"/>
        <v>1.0249999999999999</v>
      </c>
      <c r="AZ82" s="38">
        <f t="shared" si="117"/>
        <v>273.47997377558795</v>
      </c>
      <c r="BA82" s="4">
        <f t="shared" si="222"/>
        <v>0.60099999999999998</v>
      </c>
      <c r="BB82" s="4">
        <f t="shared" si="51"/>
        <v>61.218716711068033</v>
      </c>
      <c r="BC82" s="4">
        <f t="shared" si="52"/>
        <v>334.69869048665601</v>
      </c>
      <c r="BE82" s="36">
        <f t="shared" si="53"/>
        <v>1.1000000000000001</v>
      </c>
      <c r="BF82" s="36">
        <f t="shared" si="54"/>
        <v>193.24567576015772</v>
      </c>
      <c r="BK82" s="4">
        <f t="shared" si="156"/>
        <v>89.949999999999989</v>
      </c>
      <c r="BL82" s="4">
        <f t="shared" si="157"/>
        <v>83.6</v>
      </c>
      <c r="BM82" s="4">
        <f t="shared" si="158"/>
        <v>89.949999999999989</v>
      </c>
      <c r="BN82" s="4">
        <f t="shared" si="159"/>
        <v>101.6</v>
      </c>
      <c r="BO82" s="4">
        <f t="shared" si="160"/>
        <v>1.0075956937799044</v>
      </c>
      <c r="BP82" s="25">
        <f t="shared" si="118"/>
        <v>2.8436589580010634</v>
      </c>
      <c r="BR82" s="4">
        <f t="shared" si="161"/>
        <v>89.949999999999989</v>
      </c>
      <c r="BV82" s="9"/>
      <c r="BX82" s="9"/>
      <c r="BY82" s="9"/>
      <c r="BZ82" s="9">
        <f t="shared" si="231"/>
        <v>50.8</v>
      </c>
      <c r="CA82" s="9">
        <f t="shared" si="232"/>
        <v>89.949999999999989</v>
      </c>
      <c r="CB82" s="9">
        <f t="shared" si="63"/>
        <v>1.2941994891728255</v>
      </c>
      <c r="CC82" s="9">
        <v>0</v>
      </c>
      <c r="CD82" s="9">
        <f t="shared" si="129"/>
        <v>0</v>
      </c>
      <c r="CE82" s="9">
        <f t="shared" si="65"/>
        <v>0</v>
      </c>
      <c r="CF82" s="9">
        <f t="shared" si="233"/>
        <v>0.89637813077714179</v>
      </c>
      <c r="CG82" s="9">
        <f t="shared" si="234"/>
        <v>1.1339999999999999</v>
      </c>
      <c r="CH82" s="9">
        <f t="shared" si="68"/>
        <v>1.8825710113593779</v>
      </c>
      <c r="CI82" s="9">
        <f t="shared" si="69"/>
        <v>2.4364224412328763</v>
      </c>
      <c r="CJ82" s="9">
        <v>1</v>
      </c>
      <c r="CK82" s="9">
        <f t="shared" si="70"/>
        <v>214.4051748284931</v>
      </c>
      <c r="CM82" s="4">
        <f t="shared" si="206"/>
        <v>1.9235691929933885</v>
      </c>
      <c r="CN82" s="4">
        <f t="shared" si="207"/>
        <v>1.1204107176360487</v>
      </c>
      <c r="CO82" s="4">
        <f t="shared" si="208"/>
        <v>1.9405350133962238</v>
      </c>
      <c r="CP82" s="4">
        <f t="shared" si="209"/>
        <v>1.7490249491411289</v>
      </c>
      <c r="CQ82" s="4">
        <f t="shared" si="210"/>
        <v>1.2595360259005601</v>
      </c>
      <c r="CR82" s="4">
        <f t="shared" si="211"/>
        <v>1.433933219594866</v>
      </c>
      <c r="CS82" s="4">
        <f t="shared" si="143"/>
        <v>1.9922921635024289</v>
      </c>
      <c r="CU82" s="4">
        <f t="shared" si="212"/>
        <v>1.9235691929933885</v>
      </c>
      <c r="CV82" s="4">
        <f t="shared" si="212"/>
        <v>1.1204107176360487</v>
      </c>
      <c r="CW82" s="4">
        <f t="shared" si="213"/>
        <v>1.7490249491411289</v>
      </c>
      <c r="CX82" s="4">
        <f t="shared" si="214"/>
        <v>1.9922921635024289</v>
      </c>
      <c r="CY82" s="4">
        <f t="shared" si="215"/>
        <v>1.2595360259005601</v>
      </c>
      <c r="CZ82" s="4">
        <f t="shared" si="215"/>
        <v>1.433933219594866</v>
      </c>
      <c r="DH82" s="4">
        <f t="shared" si="167"/>
        <v>0</v>
      </c>
      <c r="DI82" s="4">
        <f t="shared" si="168"/>
        <v>381</v>
      </c>
      <c r="DJ82" s="4">
        <f t="shared" si="169"/>
        <v>0.66141732283464572</v>
      </c>
      <c r="DL82" s="4">
        <f t="shared" si="170"/>
        <v>1.8628104182055264E-5</v>
      </c>
      <c r="DM82" s="4">
        <f t="shared" si="171"/>
        <v>6.0161976170308948</v>
      </c>
      <c r="DN82" s="4">
        <f t="shared" si="172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38">
        <f t="shared" si="119"/>
        <v>297.7286812672765</v>
      </c>
      <c r="DS82" s="4">
        <f t="shared" si="79"/>
        <v>1.0001858426308585</v>
      </c>
      <c r="DT82" s="4">
        <f t="shared" si="147"/>
        <v>1.9621416870348587</v>
      </c>
      <c r="DU82" s="4">
        <f t="shared" si="120"/>
        <v>152.8138409867322</v>
      </c>
      <c r="DY82" s="4">
        <f t="shared" si="235"/>
        <v>0.85</v>
      </c>
      <c r="DZ82" s="4">
        <f t="shared" si="81"/>
        <v>0.85013888888888889</v>
      </c>
      <c r="EA82" s="4">
        <f t="shared" si="82"/>
        <v>1</v>
      </c>
      <c r="EB82" s="4">
        <f t="shared" si="83"/>
        <v>0.85013888888888889</v>
      </c>
      <c r="ED82" s="4">
        <f t="shared" si="121"/>
        <v>261.51845488728549</v>
      </c>
      <c r="EE82" s="25">
        <f t="shared" si="122"/>
        <v>150.18137322121927</v>
      </c>
      <c r="EG82" s="4">
        <f t="shared" si="148"/>
        <v>0.72261805555555558</v>
      </c>
      <c r="EH82" s="4">
        <f t="shared" si="84"/>
        <v>6.0161976170308948</v>
      </c>
      <c r="EI82" s="4">
        <f t="shared" si="174"/>
        <v>4.9450239957683877</v>
      </c>
      <c r="EK82" s="4">
        <f t="shared" si="175"/>
        <v>70.637100733254911</v>
      </c>
      <c r="EL82" s="4">
        <f t="shared" si="176"/>
        <v>1.9621416870348585</v>
      </c>
      <c r="EM82" s="4">
        <f t="shared" si="177"/>
        <v>0.15229085460242964</v>
      </c>
      <c r="EP82" s="4">
        <f t="shared" si="178"/>
        <v>0.15229085460242964</v>
      </c>
      <c r="EQ82" s="4">
        <f t="shared" si="179"/>
        <v>0.5254533688197538</v>
      </c>
      <c r="ER82" s="4">
        <f t="shared" si="180"/>
        <v>4.6508867620253334</v>
      </c>
      <c r="ES82" s="4">
        <f t="shared" si="236"/>
        <v>5.3771224773913264</v>
      </c>
      <c r="ET82" s="4">
        <f t="shared" si="182"/>
        <v>215.1128992667451</v>
      </c>
      <c r="EU82" s="4">
        <f t="shared" si="183"/>
        <v>95.25</v>
      </c>
      <c r="EV82" s="4">
        <f t="shared" si="95"/>
        <v>1.8628104182055264E-5</v>
      </c>
      <c r="EW82" s="4">
        <f t="shared" si="237"/>
        <v>5.6232740205776892</v>
      </c>
      <c r="EX82" s="4">
        <f t="shared" si="185"/>
        <v>297.67336086675652</v>
      </c>
      <c r="EY82" s="4">
        <f t="shared" si="186"/>
        <v>181.3628992667451</v>
      </c>
      <c r="EZ82" s="4">
        <f t="shared" si="187"/>
        <v>1.4210854715202004E-14</v>
      </c>
      <c r="FB82" s="4">
        <f t="shared" si="100"/>
        <v>79.677192674664695</v>
      </c>
      <c r="FG82" s="23">
        <f t="shared" si="216"/>
        <v>2</v>
      </c>
      <c r="FH82" s="23">
        <f t="shared" si="216"/>
        <v>1.2</v>
      </c>
      <c r="FI82" s="23">
        <f t="shared" si="230"/>
        <v>2</v>
      </c>
      <c r="FJ82" s="23">
        <f t="shared" si="217"/>
        <v>1.8</v>
      </c>
      <c r="FK82" s="23">
        <f t="shared" si="217"/>
        <v>1.4</v>
      </c>
      <c r="FL82" s="23">
        <f t="shared" si="217"/>
        <v>1.6</v>
      </c>
      <c r="FM82" s="23">
        <f t="shared" si="218"/>
        <v>0</v>
      </c>
      <c r="FN82" s="23"/>
      <c r="FX82" s="4">
        <f t="shared" si="101"/>
        <v>1</v>
      </c>
      <c r="FY82" s="4">
        <f t="shared" si="102"/>
        <v>1.0833333333333333</v>
      </c>
      <c r="FZ82" s="4">
        <f t="shared" si="103"/>
        <v>0</v>
      </c>
      <c r="GA82" s="4">
        <f t="shared" si="104"/>
        <v>188.22540532446502</v>
      </c>
    </row>
    <row r="83" spans="1:184" ht="12" customHeight="1" x14ac:dyDescent="0.3">
      <c r="A83" s="25">
        <v>65</v>
      </c>
      <c r="B83" s="20" t="s">
        <v>54</v>
      </c>
      <c r="C83" s="20">
        <v>2006</v>
      </c>
      <c r="D83" s="24" t="s">
        <v>55</v>
      </c>
      <c r="E83" s="24"/>
      <c r="F83" s="7" t="s">
        <v>286</v>
      </c>
      <c r="G83" s="7">
        <v>433</v>
      </c>
      <c r="H83" s="7">
        <f t="shared" si="240"/>
        <v>381</v>
      </c>
      <c r="I83" s="7">
        <f t="shared" si="131"/>
        <v>252</v>
      </c>
      <c r="J83" s="7">
        <v>28</v>
      </c>
      <c r="K83" s="7">
        <v>36</v>
      </c>
      <c r="L83" s="7">
        <f t="shared" si="151"/>
        <v>10.583333333333334</v>
      </c>
      <c r="M83" s="7">
        <v>7</v>
      </c>
      <c r="N83" s="7">
        <f t="shared" si="239"/>
        <v>215.89999999999998</v>
      </c>
      <c r="O83" s="7">
        <f t="shared" si="108"/>
        <v>89.949999999999989</v>
      </c>
      <c r="P83" s="7">
        <f t="shared" si="133"/>
        <v>50.8</v>
      </c>
      <c r="Q83" s="7">
        <v>0</v>
      </c>
      <c r="R83" s="7">
        <v>1</v>
      </c>
      <c r="S83" s="7">
        <f t="shared" si="134"/>
        <v>83.6</v>
      </c>
      <c r="T83" s="7">
        <f t="shared" ref="T83:T93" si="241">MIN(N83/2/K83, (S83+K83/2)/K83)</f>
        <v>2.822222222222222</v>
      </c>
      <c r="U83" s="7">
        <f t="shared" si="135"/>
        <v>2.9986111111111109</v>
      </c>
      <c r="V83" s="7">
        <v>3.53</v>
      </c>
      <c r="W83" s="7">
        <f t="shared" si="152"/>
        <v>3.53</v>
      </c>
      <c r="X83" s="7">
        <f t="shared" ref="X83:X122" si="242">W83+1</f>
        <v>4.5299999999999994</v>
      </c>
      <c r="Y83" s="7">
        <f t="shared" si="200"/>
        <v>76.62166795365394</v>
      </c>
      <c r="Z83" s="7"/>
      <c r="AA83" s="7"/>
      <c r="AB83" s="7">
        <v>387</v>
      </c>
      <c r="AC83" s="7"/>
      <c r="AD83" s="7"/>
      <c r="AE83" s="7"/>
      <c r="AF83" s="7"/>
      <c r="AG83" s="7">
        <v>1</v>
      </c>
      <c r="AH83" s="7"/>
      <c r="AI83" s="7"/>
      <c r="AJ83" s="7"/>
      <c r="AK83" s="4">
        <f t="shared" si="125"/>
        <v>381</v>
      </c>
      <c r="AL83" s="44">
        <f t="shared" si="153"/>
        <v>8.3950617283950604E-2</v>
      </c>
      <c r="AM83" s="25">
        <f t="shared" si="112"/>
        <v>386.60867631208708</v>
      </c>
      <c r="AN83" s="4">
        <f t="shared" si="113"/>
        <v>0.7533333333333333</v>
      </c>
      <c r="AO83" s="4">
        <v>1.25</v>
      </c>
      <c r="AP83" s="25">
        <f t="shared" si="114"/>
        <v>5</v>
      </c>
      <c r="AQ83" s="38">
        <f t="shared" si="115"/>
        <v>152.81384098673232</v>
      </c>
      <c r="AR83" s="38">
        <f t="shared" si="116"/>
        <v>152.81384098673232</v>
      </c>
      <c r="AT83" s="38">
        <f t="shared" si="130"/>
        <v>152.8138409867322</v>
      </c>
      <c r="AU83" s="38">
        <f t="shared" ref="AU83:AU146" si="243">AQ83/AT83</f>
        <v>1.0000000000000007</v>
      </c>
      <c r="AV83" s="38">
        <f t="shared" si="136"/>
        <v>1.9917175968892866</v>
      </c>
      <c r="AW83" s="4">
        <f t="shared" si="154"/>
        <v>0</v>
      </c>
      <c r="AX83" s="4">
        <f t="shared" si="220"/>
        <v>194.95009660475932</v>
      </c>
      <c r="AY83" s="4">
        <f t="shared" si="221"/>
        <v>1.0249999999999999</v>
      </c>
      <c r="AZ83" s="38">
        <f t="shared" si="117"/>
        <v>304.36201614151582</v>
      </c>
      <c r="BA83" s="4">
        <f t="shared" si="222"/>
        <v>0.50580000000000003</v>
      </c>
      <c r="BB83" s="4">
        <f t="shared" ref="BB83:BB146" si="244">BA83*G83*I83/(G83*K83/2.75/J83^0.5)</f>
        <v>51.521509005754098</v>
      </c>
      <c r="BC83" s="4">
        <f t="shared" ref="BC83:BC146" si="245">AZ83+BB83</f>
        <v>355.88352514726989</v>
      </c>
      <c r="BE83" s="36">
        <f t="shared" ref="BE83:BE92" si="246">MAX(1, (0.9+0.1*MIN(2,T83-0.5))*(0.9+0.1*MIN(3.5,O83/O83))+0.45*MIN(2.5,(40*2*PI()*AE83^2/4/AG83/R83)/K83))</f>
        <v>1.1000000000000001</v>
      </c>
      <c r="BF83" s="36">
        <f t="shared" ref="BF83:BF92" si="247">(1.6*M83+22)*BE83*J83^0.5</f>
        <v>193.24567576015772</v>
      </c>
      <c r="BK83" s="4">
        <f t="shared" si="156"/>
        <v>89.949999999999989</v>
      </c>
      <c r="BL83" s="4">
        <f t="shared" si="157"/>
        <v>83.6</v>
      </c>
      <c r="BM83" s="4">
        <f t="shared" si="158"/>
        <v>89.949999999999989</v>
      </c>
      <c r="BN83" s="4">
        <f t="shared" si="159"/>
        <v>101.6</v>
      </c>
      <c r="BO83" s="4">
        <f t="shared" si="160"/>
        <v>1.0075956937799044</v>
      </c>
      <c r="BP83" s="25">
        <f t="shared" si="118"/>
        <v>2.8436589580010634</v>
      </c>
      <c r="BR83" s="4">
        <f t="shared" si="161"/>
        <v>89.949999999999989</v>
      </c>
      <c r="BV83" s="9"/>
      <c r="BX83" s="9"/>
      <c r="BY83" s="9"/>
      <c r="BZ83" s="9">
        <f t="shared" si="231"/>
        <v>50.8</v>
      </c>
      <c r="CA83" s="9">
        <f t="shared" si="232"/>
        <v>89.949999999999989</v>
      </c>
      <c r="CB83" s="9">
        <f t="shared" ref="CB83:CB146" si="248">(BZ83/K83)^0.5*(CA83/BZ83)^0.15</f>
        <v>1.2941994891728255</v>
      </c>
      <c r="CC83" s="9">
        <v>0</v>
      </c>
      <c r="CD83" s="9">
        <f t="shared" si="129"/>
        <v>0</v>
      </c>
      <c r="CE83" s="9">
        <f t="shared" ref="CE83:CE146" si="249">MAX(0,CC83*(CD83-0.5/50))</f>
        <v>0</v>
      </c>
      <c r="CF83" s="9">
        <f t="shared" si="233"/>
        <v>0.89637813077714179</v>
      </c>
      <c r="CG83" s="9">
        <f t="shared" si="234"/>
        <v>1.1339999999999999</v>
      </c>
      <c r="CH83" s="9">
        <f t="shared" ref="CH83:CH146" si="250">1.75*CF83*CG83*(J83/25)^0.5</f>
        <v>1.8825710113593779</v>
      </c>
      <c r="CI83" s="9">
        <f t="shared" ref="CI83:CI146" si="251">MIN((CB83+CE83)*CH83,2.5*CH83,J83^0.5)</f>
        <v>2.4364224412328763</v>
      </c>
      <c r="CJ83" s="9">
        <v>1</v>
      </c>
      <c r="CK83" s="9">
        <f t="shared" ref="CK83:CK146" si="252">4*CI83*M83+60*CI83</f>
        <v>214.4051748284931</v>
      </c>
      <c r="CM83" s="4">
        <f t="shared" si="206"/>
        <v>1.9851234071691768</v>
      </c>
      <c r="CN83" s="4">
        <f t="shared" si="207"/>
        <v>1.0874344347349421</v>
      </c>
      <c r="CO83" s="4">
        <f t="shared" si="208"/>
        <v>2.0026321338249029</v>
      </c>
      <c r="CP83" s="4">
        <f t="shared" si="209"/>
        <v>1.8049937475136451</v>
      </c>
      <c r="CQ83" s="4">
        <f t="shared" si="210"/>
        <v>1.3198908746235813</v>
      </c>
      <c r="CR83" s="4">
        <f t="shared" si="211"/>
        <v>1.4782390424361687</v>
      </c>
      <c r="CS83" s="4">
        <f t="shared" si="143"/>
        <v>2.0560455127345065</v>
      </c>
      <c r="CU83" s="4">
        <f t="shared" si="212"/>
        <v>1.9851234071691768</v>
      </c>
      <c r="CV83" s="4">
        <f t="shared" si="212"/>
        <v>1.0874344347349421</v>
      </c>
      <c r="CW83" s="4">
        <f t="shared" si="213"/>
        <v>1.8049937475136451</v>
      </c>
      <c r="CX83" s="4">
        <f t="shared" si="214"/>
        <v>2.0560455127345065</v>
      </c>
      <c r="CY83" s="4">
        <f t="shared" si="215"/>
        <v>1.3198908746235813</v>
      </c>
      <c r="CZ83" s="4">
        <f t="shared" si="215"/>
        <v>1.4782390424361687</v>
      </c>
      <c r="DH83" s="4">
        <f t="shared" si="167"/>
        <v>0</v>
      </c>
      <c r="DI83" s="4">
        <f t="shared" si="168"/>
        <v>381</v>
      </c>
      <c r="DJ83" s="4">
        <f t="shared" si="169"/>
        <v>0.66141732283464572</v>
      </c>
      <c r="DL83" s="4">
        <f t="shared" si="170"/>
        <v>1.8628104182055264E-5</v>
      </c>
      <c r="DM83" s="4">
        <f t="shared" si="171"/>
        <v>6.0161976170308948</v>
      </c>
      <c r="DN83" s="4">
        <f t="shared" si="172"/>
        <v>0.4609442837619841</v>
      </c>
      <c r="DO83" s="4">
        <f t="shared" ref="DO83:DO146" si="253">DM83*DN83^0.4</f>
        <v>4.4134830878635238</v>
      </c>
      <c r="DP83" s="4">
        <f t="shared" ref="DP83:DP146" si="254">MIN(DM83, DM83/1.4*(1-DN83^1.4)/(1-DN83))</f>
        <v>5.2761943527954989</v>
      </c>
      <c r="DQ83" s="4">
        <f t="shared" ref="DQ83:DQ146" si="255">MAX(DM83/2, (4-DL83*(8*Y83*(DO83-DP83)+6*H83*DP83))/(4+DL83*H83*DM83)*DM83)</f>
        <v>5.6329529640118547</v>
      </c>
      <c r="DR83" s="38">
        <f t="shared" si="119"/>
        <v>293.20605774349963</v>
      </c>
      <c r="DS83" s="4">
        <f t="shared" ref="DS83:DS146" si="256">DR83/EX83</f>
        <v>1.0001793392708846</v>
      </c>
      <c r="DT83" s="4">
        <f t="shared" si="147"/>
        <v>2.1283796653792759</v>
      </c>
      <c r="DU83" s="4">
        <f t="shared" si="120"/>
        <v>152.8138409867322</v>
      </c>
      <c r="DY83" s="4">
        <f t="shared" si="235"/>
        <v>0.85</v>
      </c>
      <c r="DZ83" s="4">
        <f t="shared" ref="DZ83:DZ146" si="257">MIN(1,MAX(0.7,(1-0.1*(BR83-1*K83)/K83)))</f>
        <v>0.85013888888888889</v>
      </c>
      <c r="EA83" s="4">
        <f t="shared" ref="EA83:EA146" si="258">MIN(1,MAX(0.7,1-0.3*(PI()*AE83^2/4*AF83*2-0.25*PI()/4*K83^2)/(PI()/4*K83^2)))</f>
        <v>1</v>
      </c>
      <c r="EB83" s="4">
        <f t="shared" ref="EB83:EB146" si="259">IF(DZ83*EA83&lt;0.7,0.7,DZ83*EA83)</f>
        <v>0.85013888888888889</v>
      </c>
      <c r="ED83" s="4">
        <f t="shared" si="121"/>
        <v>261.79798320183448</v>
      </c>
      <c r="EE83" s="25">
        <f t="shared" si="122"/>
        <v>150.18137322121927</v>
      </c>
      <c r="EG83" s="4">
        <f t="shared" si="148"/>
        <v>0.72261805555555558</v>
      </c>
      <c r="EH83" s="4">
        <f t="shared" ref="EH83:EH103" si="260">IF(K83&lt;22.2,1.1*5*(J83/30)^0.5,IF(K83&gt;=31.8,0.9*5*(J83/30)^0.5,1*5*(J83/30)^0.5))/DY83/EB83</f>
        <v>6.0161976170308948</v>
      </c>
      <c r="EI83" s="4">
        <f t="shared" si="174"/>
        <v>4.9450239957683877</v>
      </c>
      <c r="EK83" s="4">
        <f t="shared" si="175"/>
        <v>76.62166795365394</v>
      </c>
      <c r="EL83" s="4">
        <f t="shared" si="176"/>
        <v>2.1283796653792759</v>
      </c>
      <c r="EM83" s="4">
        <f t="shared" si="177"/>
        <v>0.13337140143590914</v>
      </c>
      <c r="EP83" s="4">
        <f t="shared" si="178"/>
        <v>0.13337140143590914</v>
      </c>
      <c r="EQ83" s="4">
        <f t="shared" si="179"/>
        <v>0.46017505366072153</v>
      </c>
      <c r="ER83" s="4">
        <f t="shared" si="180"/>
        <v>4.4105354993107566</v>
      </c>
      <c r="ES83" s="4">
        <f t="shared" si="236"/>
        <v>5.2749629221701388</v>
      </c>
      <c r="ET83" s="4">
        <f t="shared" si="182"/>
        <v>209.12833204634606</v>
      </c>
      <c r="EU83" s="4">
        <f t="shared" si="183"/>
        <v>95.249999999999972</v>
      </c>
      <c r="EV83" s="4">
        <f t="shared" ref="EV83:EV146" si="261">EU83/(1-0.3*(J83/30)^0.5)/200000/K83</f>
        <v>1.8628104182055258E-5</v>
      </c>
      <c r="EW83" s="4">
        <f t="shared" si="237"/>
        <v>5.6330601639663991</v>
      </c>
      <c r="EX83" s="4">
        <f t="shared" si="185"/>
        <v>293.1534838114556</v>
      </c>
      <c r="EY83" s="4">
        <f t="shared" si="186"/>
        <v>175.37833204634609</v>
      </c>
      <c r="EZ83" s="4">
        <f t="shared" si="187"/>
        <v>0</v>
      </c>
      <c r="FB83" s="4">
        <f t="shared" ref="FB83:FB116" si="262">4/K83*(1*ER83*EK83+ES83*ET83+EU83*EW83)+DU83 - (4/K83*(1*ER83*EK83+ES83*EY83+EZ83*EW83)+DU83)</f>
        <v>79.397664360115698</v>
      </c>
      <c r="FG83" s="23">
        <f t="shared" si="216"/>
        <v>2</v>
      </c>
      <c r="FH83" s="23">
        <f t="shared" si="216"/>
        <v>1.2</v>
      </c>
      <c r="FI83" s="23">
        <f t="shared" si="230"/>
        <v>2.2000000000000002</v>
      </c>
      <c r="FJ83" s="23">
        <f t="shared" si="217"/>
        <v>2</v>
      </c>
      <c r="FK83" s="23">
        <f t="shared" si="217"/>
        <v>1.4</v>
      </c>
      <c r="FL83" s="23">
        <f t="shared" si="217"/>
        <v>1.6</v>
      </c>
      <c r="FM83" s="23">
        <f t="shared" si="218"/>
        <v>0</v>
      </c>
      <c r="FN83" s="23"/>
      <c r="FX83" s="4">
        <f t="shared" ref="FX83:FX146" si="263">IF(O83&gt;=2.5*25.4,1,1.25)</f>
        <v>1</v>
      </c>
      <c r="FY83" s="4">
        <f t="shared" ref="FY83:FY93" si="264">IF(AG83&gt;1, 0.05*(18-MIN(8,(Q83+K83)/K83))*(1-48000/MAX(60000,(G83*145))*(K83/25.4)^0.75*FZ83), 1/12*(14-MIN(8,(Q83+K83)/K83)))</f>
        <v>1.0833333333333333</v>
      </c>
      <c r="FZ83" s="4">
        <f t="shared" ref="FZ83:FZ146" si="265">MIN(0.3, AE83^2*PI()/4*2*AH83/(K83^2*PI()/4*R83))</f>
        <v>0</v>
      </c>
      <c r="GA83" s="4">
        <f t="shared" ref="GA83:GA146" si="266">(H83/25.4)/(K83/25.4)^1.5/0.0024*(J83*145)^0.25/FX83/FY83/145</f>
        <v>188.22540532446502</v>
      </c>
    </row>
    <row r="84" spans="1:184" ht="12" customHeight="1" x14ac:dyDescent="0.3">
      <c r="A84" s="25">
        <v>66</v>
      </c>
      <c r="B84" s="20" t="s">
        <v>54</v>
      </c>
      <c r="C84" s="20">
        <v>2006</v>
      </c>
      <c r="D84" s="24" t="s">
        <v>55</v>
      </c>
      <c r="E84" s="24"/>
      <c r="F84" s="7" t="s">
        <v>287</v>
      </c>
      <c r="G84" s="7">
        <v>433</v>
      </c>
      <c r="H84" s="7">
        <f t="shared" si="240"/>
        <v>381</v>
      </c>
      <c r="I84" s="7">
        <f t="shared" si="131"/>
        <v>252</v>
      </c>
      <c r="J84" s="7">
        <v>28</v>
      </c>
      <c r="K84" s="7">
        <v>36</v>
      </c>
      <c r="L84" s="7">
        <f t="shared" si="151"/>
        <v>10.583333333333334</v>
      </c>
      <c r="M84" s="7">
        <v>7</v>
      </c>
      <c r="N84" s="7">
        <f t="shared" si="239"/>
        <v>215.89999999999998</v>
      </c>
      <c r="O84" s="7">
        <f t="shared" ref="O84:O93" si="267">(N84-K84)/2</f>
        <v>89.949999999999989</v>
      </c>
      <c r="P84" s="7">
        <f t="shared" si="133"/>
        <v>50.8</v>
      </c>
      <c r="Q84" s="7">
        <v>0</v>
      </c>
      <c r="R84" s="7">
        <v>1</v>
      </c>
      <c r="S84" s="7">
        <f t="shared" si="134"/>
        <v>83.6</v>
      </c>
      <c r="T84" s="7">
        <f t="shared" si="241"/>
        <v>2.822222222222222</v>
      </c>
      <c r="U84" s="7">
        <f t="shared" si="135"/>
        <v>2.9986111111111109</v>
      </c>
      <c r="V84" s="7">
        <v>4.13</v>
      </c>
      <c r="W84" s="7">
        <f t="shared" si="152"/>
        <v>4.13</v>
      </c>
      <c r="X84" s="7">
        <f t="shared" si="242"/>
        <v>5.13</v>
      </c>
      <c r="Y84" s="7">
        <f t="shared" si="200"/>
        <v>81.538211900924097</v>
      </c>
      <c r="Z84" s="7"/>
      <c r="AA84" s="7"/>
      <c r="AB84" s="7">
        <v>427</v>
      </c>
      <c r="AC84" s="7"/>
      <c r="AD84" s="7"/>
      <c r="AE84" s="7"/>
      <c r="AF84" s="7"/>
      <c r="AG84" s="7">
        <v>1</v>
      </c>
      <c r="AH84" s="7"/>
      <c r="AI84" s="7"/>
      <c r="AJ84" s="7"/>
      <c r="AK84" s="4">
        <f t="shared" si="125"/>
        <v>381</v>
      </c>
      <c r="AL84" s="44">
        <f t="shared" si="153"/>
        <v>8.3950617283950604E-2</v>
      </c>
      <c r="AM84" s="25">
        <f t="shared" ref="AM84:AM147" si="268">MIN(10*J84^0.5*AK84^1.5,100*3.9*J84^0.5*AK84^(5/3))/(PI()/4*K84^2)/R84</f>
        <v>386.60867631208708</v>
      </c>
      <c r="AN84" s="4">
        <f t="shared" ref="AN84:AN147" si="269">MIN(0.7+0.3*(MIN(O84,S84)+0.5*K84)/1.5/H84,1)</f>
        <v>0.7533333333333333</v>
      </c>
      <c r="AO84" s="4">
        <v>1.25</v>
      </c>
      <c r="AP84" s="25">
        <f t="shared" ref="AP84:AP102" si="270">AP83</f>
        <v>5</v>
      </c>
      <c r="AQ84" s="38">
        <f t="shared" ref="AQ84:AQ145" si="271">AL84*AN84*AO84*AP84*AM84</f>
        <v>152.81384098673232</v>
      </c>
      <c r="AR84" s="38">
        <f t="shared" ref="AR84:AR147" si="272">AQ84</f>
        <v>152.81384098673232</v>
      </c>
      <c r="AT84" s="38">
        <f t="shared" si="130"/>
        <v>152.8138409867322</v>
      </c>
      <c r="AU84" s="38">
        <f t="shared" si="243"/>
        <v>1.0000000000000007</v>
      </c>
      <c r="AV84" s="38">
        <f t="shared" si="136"/>
        <v>2.1543458950369176</v>
      </c>
      <c r="AW84" s="4">
        <f t="shared" si="154"/>
        <v>0</v>
      </c>
      <c r="AX84" s="4">
        <f t="shared" si="220"/>
        <v>194.95009660475932</v>
      </c>
      <c r="AY84" s="4">
        <f t="shared" si="221"/>
        <v>1.0249999999999999</v>
      </c>
      <c r="AZ84" s="38">
        <f t="shared" ref="AZ84:AZ147" si="273">2*J84*T84*V84^0.5*AY84*0.7/0.7</f>
        <v>329.2138710345908</v>
      </c>
      <c r="BA84" s="4">
        <f t="shared" si="222"/>
        <v>0.42180000000000006</v>
      </c>
      <c r="BB84" s="4">
        <f t="shared" si="244"/>
        <v>42.96514926577121</v>
      </c>
      <c r="BC84" s="4">
        <f t="shared" si="245"/>
        <v>372.17902030036203</v>
      </c>
      <c r="BE84" s="36">
        <f t="shared" si="246"/>
        <v>1.1000000000000001</v>
      </c>
      <c r="BF84" s="36">
        <f t="shared" si="247"/>
        <v>193.24567576015772</v>
      </c>
      <c r="BK84" s="4">
        <f t="shared" si="156"/>
        <v>89.949999999999989</v>
      </c>
      <c r="BL84" s="4">
        <f t="shared" si="157"/>
        <v>83.6</v>
      </c>
      <c r="BM84" s="4">
        <f t="shared" si="158"/>
        <v>89.949999999999989</v>
      </c>
      <c r="BN84" s="4">
        <f t="shared" si="159"/>
        <v>101.6</v>
      </c>
      <c r="BO84" s="4">
        <f t="shared" si="160"/>
        <v>1.0075956937799044</v>
      </c>
      <c r="BP84" s="25">
        <f t="shared" ref="BP84:BP147" si="274">MIN(4, (BN84*BO84+(6*J84^0.5*(0.03*K84+0.22)*(AE84^2/4*PI())*2/AG84/R84))/K84)</f>
        <v>2.8436589580010634</v>
      </c>
      <c r="BR84" s="4">
        <f t="shared" si="161"/>
        <v>89.949999999999989</v>
      </c>
      <c r="BV84" s="9"/>
      <c r="BX84" s="9"/>
      <c r="BY84" s="9"/>
      <c r="BZ84" s="9">
        <f t="shared" si="231"/>
        <v>50.8</v>
      </c>
      <c r="CA84" s="9">
        <f t="shared" si="232"/>
        <v>89.949999999999989</v>
      </c>
      <c r="CB84" s="9">
        <f t="shared" si="248"/>
        <v>1.2941994891728255</v>
      </c>
      <c r="CC84" s="9">
        <v>0</v>
      </c>
      <c r="CD84" s="9">
        <f t="shared" si="129"/>
        <v>0</v>
      </c>
      <c r="CE84" s="9">
        <f t="shared" si="249"/>
        <v>0</v>
      </c>
      <c r="CF84" s="9">
        <f t="shared" si="233"/>
        <v>0.89637813077714179</v>
      </c>
      <c r="CG84" s="9">
        <f t="shared" si="234"/>
        <v>1.1339999999999999</v>
      </c>
      <c r="CH84" s="9">
        <f t="shared" si="250"/>
        <v>1.8825710113593779</v>
      </c>
      <c r="CI84" s="9">
        <f t="shared" si="251"/>
        <v>2.4364224412328763</v>
      </c>
      <c r="CJ84" s="9">
        <v>1</v>
      </c>
      <c r="CK84" s="9">
        <f t="shared" si="252"/>
        <v>214.4051748284931</v>
      </c>
      <c r="CM84" s="4">
        <f t="shared" si="206"/>
        <v>2.1903041210884715</v>
      </c>
      <c r="CN84" s="4">
        <f t="shared" si="207"/>
        <v>1.1472973400150159</v>
      </c>
      <c r="CO84" s="4">
        <f t="shared" si="208"/>
        <v>2.2096225352538337</v>
      </c>
      <c r="CP84" s="4">
        <f t="shared" si="209"/>
        <v>1.9915564087553654</v>
      </c>
      <c r="CQ84" s="4">
        <f t="shared" si="210"/>
        <v>1.4725994513297929</v>
      </c>
      <c r="CR84" s="4">
        <f t="shared" si="211"/>
        <v>1.6299079458025423</v>
      </c>
      <c r="CS84" s="4">
        <f t="shared" si="143"/>
        <v>2.2685566768414325</v>
      </c>
      <c r="CU84" s="4">
        <f t="shared" si="212"/>
        <v>2.1903041210884715</v>
      </c>
      <c r="CV84" s="4">
        <f t="shared" si="212"/>
        <v>1.1472973400150159</v>
      </c>
      <c r="CW84" s="4">
        <f t="shared" si="213"/>
        <v>1.9915564087553654</v>
      </c>
      <c r="CX84" s="4">
        <f t="shared" si="214"/>
        <v>2.2685566768414325</v>
      </c>
      <c r="CY84" s="4">
        <f t="shared" si="215"/>
        <v>1.4725994513297929</v>
      </c>
      <c r="CZ84" s="4">
        <f t="shared" si="215"/>
        <v>1.6299079458025423</v>
      </c>
      <c r="DH84" s="4">
        <f t="shared" si="167"/>
        <v>0</v>
      </c>
      <c r="DI84" s="4">
        <f t="shared" si="168"/>
        <v>381</v>
      </c>
      <c r="DJ84" s="4">
        <f t="shared" si="169"/>
        <v>0.66141732283464572</v>
      </c>
      <c r="DL84" s="4">
        <f t="shared" si="170"/>
        <v>1.8628104182055264E-5</v>
      </c>
      <c r="DM84" s="4">
        <f t="shared" si="171"/>
        <v>6.0161976170308948</v>
      </c>
      <c r="DN84" s="4">
        <f t="shared" si="172"/>
        <v>0.4192592652284054</v>
      </c>
      <c r="DO84" s="4">
        <f t="shared" si="253"/>
        <v>4.2492781569476614</v>
      </c>
      <c r="DP84" s="4">
        <f t="shared" si="254"/>
        <v>5.2084323712436884</v>
      </c>
      <c r="DQ84" s="4">
        <f t="shared" si="255"/>
        <v>5.6399318008403121</v>
      </c>
      <c r="DR84" s="38">
        <f t="shared" ref="DR84:DR147" si="275">MIN(1/K84*(4*Y84*(DO84-DP84)+(3*DP84+DQ84)*H84)+DU84 -FB84,MAX(G84,AB84))</f>
        <v>289.96343820066528</v>
      </c>
      <c r="DS84" s="4">
        <f t="shared" si="256"/>
        <v>1.0001753673247638</v>
      </c>
      <c r="DT84" s="4">
        <f t="shared" si="147"/>
        <v>2.2649503305812249</v>
      </c>
      <c r="DU84" s="4">
        <f t="shared" ref="DU84:DU147" si="276">MIN(DT$10*AT84)</f>
        <v>152.8138409867322</v>
      </c>
      <c r="DY84" s="4">
        <f t="shared" si="235"/>
        <v>0.85</v>
      </c>
      <c r="DZ84" s="4">
        <f t="shared" si="257"/>
        <v>0.85013888888888889</v>
      </c>
      <c r="EA84" s="4">
        <f t="shared" si="258"/>
        <v>1</v>
      </c>
      <c r="EB84" s="4">
        <f t="shared" si="259"/>
        <v>0.85013888888888889</v>
      </c>
      <c r="ED84" s="4">
        <f t="shared" ref="ED84:ED147" si="277">MIN(DM84/K84*3*H84+EE84-FB84,MAX(G84,AB84))</f>
        <v>261.97798538232882</v>
      </c>
      <c r="EE84" s="25">
        <f t="shared" ref="EE84:EE92" si="278">8.8*N84*508*J84^0.5/R84/K84^2/H84^0.5*(0.7+MIN(S84,O84)/5/H84)</f>
        <v>150.18137322121927</v>
      </c>
      <c r="EG84" s="4">
        <f t="shared" si="148"/>
        <v>0.72261805555555558</v>
      </c>
      <c r="EH84" s="4">
        <f t="shared" si="260"/>
        <v>6.0161976170308948</v>
      </c>
      <c r="EI84" s="4">
        <f t="shared" si="174"/>
        <v>4.9450239957683877</v>
      </c>
      <c r="EK84" s="4">
        <f t="shared" si="175"/>
        <v>81.538211900924097</v>
      </c>
      <c r="EL84" s="4">
        <f t="shared" si="176"/>
        <v>2.2649503305812249</v>
      </c>
      <c r="EM84" s="4">
        <f t="shared" si="177"/>
        <v>0.12131009698641951</v>
      </c>
      <c r="EP84" s="4">
        <f t="shared" si="178"/>
        <v>0.12131009698641951</v>
      </c>
      <c r="EQ84" s="4">
        <f t="shared" si="179"/>
        <v>0.4185595996540441</v>
      </c>
      <c r="ER84" s="4">
        <f t="shared" si="180"/>
        <v>4.2464402342902972</v>
      </c>
      <c r="ES84" s="4">
        <f t="shared" si="236"/>
        <v>5.2072764835268703</v>
      </c>
      <c r="ET84" s="4">
        <f t="shared" si="182"/>
        <v>204.2117880990759</v>
      </c>
      <c r="EU84" s="4">
        <f t="shared" si="183"/>
        <v>95.249999999999972</v>
      </c>
      <c r="EV84" s="4">
        <f t="shared" si="261"/>
        <v>1.8628104182055258E-5</v>
      </c>
      <c r="EW84" s="4">
        <f t="shared" si="237"/>
        <v>5.6400354676909252</v>
      </c>
      <c r="EX84" s="4">
        <f t="shared" si="185"/>
        <v>289.91259700411337</v>
      </c>
      <c r="EY84" s="4">
        <f t="shared" si="186"/>
        <v>170.46178809907593</v>
      </c>
      <c r="EZ84" s="4">
        <f t="shared" si="187"/>
        <v>0</v>
      </c>
      <c r="FB84" s="4">
        <f t="shared" si="262"/>
        <v>79.217662179621357</v>
      </c>
      <c r="FG84" s="23">
        <f t="shared" si="216"/>
        <v>2.2000000000000002</v>
      </c>
      <c r="FH84" s="23">
        <f t="shared" si="216"/>
        <v>1.2</v>
      </c>
      <c r="FI84" s="23">
        <f t="shared" si="230"/>
        <v>2.2000000000000002</v>
      </c>
      <c r="FJ84" s="23">
        <f t="shared" si="217"/>
        <v>2</v>
      </c>
      <c r="FK84" s="23">
        <f t="shared" si="217"/>
        <v>1.6</v>
      </c>
      <c r="FL84" s="23">
        <f t="shared" si="217"/>
        <v>1.8</v>
      </c>
      <c r="FM84" s="23">
        <f t="shared" si="218"/>
        <v>0</v>
      </c>
      <c r="FN84" s="23"/>
      <c r="FX84" s="4">
        <f t="shared" si="263"/>
        <v>1</v>
      </c>
      <c r="FY84" s="4">
        <f t="shared" si="264"/>
        <v>1.0833333333333333</v>
      </c>
      <c r="FZ84" s="4">
        <f t="shared" si="265"/>
        <v>0</v>
      </c>
      <c r="GA84" s="4">
        <f t="shared" si="266"/>
        <v>188.22540532446502</v>
      </c>
    </row>
    <row r="85" spans="1:184" ht="12" customHeight="1" x14ac:dyDescent="0.3">
      <c r="A85" s="25">
        <v>67</v>
      </c>
      <c r="B85" s="20" t="s">
        <v>54</v>
      </c>
      <c r="C85" s="20">
        <v>2006</v>
      </c>
      <c r="D85" s="24" t="s">
        <v>55</v>
      </c>
      <c r="E85" s="24"/>
      <c r="F85" s="7" t="s">
        <v>288</v>
      </c>
      <c r="G85" s="7">
        <v>433</v>
      </c>
      <c r="H85" s="7">
        <f t="shared" si="240"/>
        <v>381</v>
      </c>
      <c r="I85" s="7">
        <f t="shared" si="131"/>
        <v>252</v>
      </c>
      <c r="J85" s="7">
        <v>28</v>
      </c>
      <c r="K85" s="7">
        <v>36</v>
      </c>
      <c r="L85" s="7">
        <f t="shared" si="151"/>
        <v>10.583333333333334</v>
      </c>
      <c r="M85" s="7">
        <v>7</v>
      </c>
      <c r="N85" s="7">
        <f t="shared" si="239"/>
        <v>215.89999999999998</v>
      </c>
      <c r="O85" s="7">
        <f t="shared" si="267"/>
        <v>89.949999999999989</v>
      </c>
      <c r="P85" s="7">
        <f t="shared" si="133"/>
        <v>50.8</v>
      </c>
      <c r="Q85" s="7">
        <v>0</v>
      </c>
      <c r="R85" s="7">
        <v>1</v>
      </c>
      <c r="S85" s="7">
        <f t="shared" si="134"/>
        <v>83.6</v>
      </c>
      <c r="T85" s="7">
        <f t="shared" si="241"/>
        <v>2.822222222222222</v>
      </c>
      <c r="U85" s="7">
        <f t="shared" si="135"/>
        <v>2.9986111111111109</v>
      </c>
      <c r="V85" s="7">
        <v>4.13</v>
      </c>
      <c r="W85" s="7">
        <f t="shared" si="152"/>
        <v>4.13</v>
      </c>
      <c r="X85" s="7">
        <f t="shared" si="242"/>
        <v>5.13</v>
      </c>
      <c r="Y85" s="7">
        <f t="shared" si="200"/>
        <v>81.538211900924097</v>
      </c>
      <c r="Z85" s="7"/>
      <c r="AA85" s="7"/>
      <c r="AB85" s="7">
        <v>393</v>
      </c>
      <c r="AC85" s="7"/>
      <c r="AD85" s="7"/>
      <c r="AE85" s="7"/>
      <c r="AF85" s="7"/>
      <c r="AG85" s="7">
        <v>1</v>
      </c>
      <c r="AH85" s="7"/>
      <c r="AI85" s="7"/>
      <c r="AJ85" s="7"/>
      <c r="AK85" s="4">
        <f t="shared" si="125"/>
        <v>381</v>
      </c>
      <c r="AL85" s="44">
        <f t="shared" si="153"/>
        <v>8.3950617283950604E-2</v>
      </c>
      <c r="AM85" s="25">
        <f t="shared" si="268"/>
        <v>386.60867631208708</v>
      </c>
      <c r="AN85" s="4">
        <f t="shared" si="269"/>
        <v>0.7533333333333333</v>
      </c>
      <c r="AO85" s="4">
        <v>1.25</v>
      </c>
      <c r="AP85" s="25">
        <f t="shared" si="270"/>
        <v>5</v>
      </c>
      <c r="AQ85" s="38">
        <f t="shared" si="271"/>
        <v>152.81384098673232</v>
      </c>
      <c r="AR85" s="38">
        <f t="shared" si="272"/>
        <v>152.81384098673232</v>
      </c>
      <c r="AT85" s="38">
        <f t="shared" si="130"/>
        <v>152.8138409867322</v>
      </c>
      <c r="AU85" s="38">
        <f t="shared" si="243"/>
        <v>1.0000000000000007</v>
      </c>
      <c r="AV85" s="38">
        <f t="shared" si="136"/>
        <v>2.1543458950369176</v>
      </c>
      <c r="AW85" s="4">
        <f t="shared" si="154"/>
        <v>0</v>
      </c>
      <c r="AX85" s="4">
        <f t="shared" si="220"/>
        <v>194.95009660475932</v>
      </c>
      <c r="AY85" s="4">
        <f t="shared" si="221"/>
        <v>1.0249999999999999</v>
      </c>
      <c r="AZ85" s="38">
        <f t="shared" si="273"/>
        <v>329.2138710345908</v>
      </c>
      <c r="BA85" s="4">
        <f t="shared" si="222"/>
        <v>0.42180000000000006</v>
      </c>
      <c r="BB85" s="4">
        <f t="shared" si="244"/>
        <v>42.96514926577121</v>
      </c>
      <c r="BC85" s="4">
        <f t="shared" si="245"/>
        <v>372.17902030036203</v>
      </c>
      <c r="BE85" s="36">
        <f t="shared" si="246"/>
        <v>1.1000000000000001</v>
      </c>
      <c r="BF85" s="36">
        <f t="shared" si="247"/>
        <v>193.24567576015772</v>
      </c>
      <c r="BK85" s="4">
        <f t="shared" si="156"/>
        <v>89.949999999999989</v>
      </c>
      <c r="BL85" s="4">
        <f t="shared" si="157"/>
        <v>83.6</v>
      </c>
      <c r="BM85" s="4">
        <f t="shared" si="158"/>
        <v>89.949999999999989</v>
      </c>
      <c r="BN85" s="4">
        <f t="shared" si="159"/>
        <v>101.6</v>
      </c>
      <c r="BO85" s="4">
        <f t="shared" si="160"/>
        <v>1.0075956937799044</v>
      </c>
      <c r="BP85" s="25">
        <f t="shared" si="274"/>
        <v>2.8436589580010634</v>
      </c>
      <c r="BR85" s="4">
        <f t="shared" si="161"/>
        <v>89.949999999999989</v>
      </c>
      <c r="BV85" s="9"/>
      <c r="BX85" s="9"/>
      <c r="BY85" s="9"/>
      <c r="BZ85" s="9">
        <f t="shared" si="231"/>
        <v>50.8</v>
      </c>
      <c r="CA85" s="9">
        <f t="shared" si="232"/>
        <v>89.949999999999989</v>
      </c>
      <c r="CB85" s="9">
        <f t="shared" si="248"/>
        <v>1.2941994891728255</v>
      </c>
      <c r="CC85" s="9">
        <v>0</v>
      </c>
      <c r="CD85" s="9">
        <f t="shared" si="129"/>
        <v>0</v>
      </c>
      <c r="CE85" s="9">
        <f t="shared" si="249"/>
        <v>0</v>
      </c>
      <c r="CF85" s="9">
        <f t="shared" si="233"/>
        <v>0.89637813077714179</v>
      </c>
      <c r="CG85" s="9">
        <f t="shared" si="234"/>
        <v>1.1339999999999999</v>
      </c>
      <c r="CH85" s="9">
        <f t="shared" si="250"/>
        <v>1.8825710113593779</v>
      </c>
      <c r="CI85" s="9">
        <f t="shared" si="251"/>
        <v>2.4364224412328763</v>
      </c>
      <c r="CJ85" s="9">
        <v>1</v>
      </c>
      <c r="CK85" s="9">
        <f t="shared" si="252"/>
        <v>214.4051748284931</v>
      </c>
      <c r="CM85" s="4">
        <f t="shared" si="206"/>
        <v>2.015900514257071</v>
      </c>
      <c r="CN85" s="4">
        <f t="shared" si="207"/>
        <v>1.0559434534564434</v>
      </c>
      <c r="CO85" s="4">
        <f t="shared" si="208"/>
        <v>2.0336806940392425</v>
      </c>
      <c r="CP85" s="4">
        <f t="shared" si="209"/>
        <v>1.8329781466999031</v>
      </c>
      <c r="CQ85" s="4">
        <f t="shared" si="210"/>
        <v>1.3553432889288257</v>
      </c>
      <c r="CR85" s="4">
        <f t="shared" si="211"/>
        <v>1.5001260484786865</v>
      </c>
      <c r="CS85" s="4">
        <f t="shared" si="143"/>
        <v>2.0879221873505456</v>
      </c>
      <c r="CU85" s="4">
        <f t="shared" si="212"/>
        <v>2.015900514257071</v>
      </c>
      <c r="CV85" s="4">
        <f t="shared" si="212"/>
        <v>1.0559434534564434</v>
      </c>
      <c r="CW85" s="4">
        <f t="shared" si="213"/>
        <v>1.8329781466999031</v>
      </c>
      <c r="CX85" s="4">
        <f t="shared" si="214"/>
        <v>2.0879221873505456</v>
      </c>
      <c r="CY85" s="4">
        <f t="shared" si="215"/>
        <v>1.3553432889288257</v>
      </c>
      <c r="CZ85" s="4">
        <f t="shared" si="215"/>
        <v>1.5001260484786865</v>
      </c>
      <c r="DH85" s="4">
        <f t="shared" si="167"/>
        <v>0</v>
      </c>
      <c r="DI85" s="4">
        <f t="shared" si="168"/>
        <v>381</v>
      </c>
      <c r="DJ85" s="4">
        <f t="shared" si="169"/>
        <v>0.66141732283464572</v>
      </c>
      <c r="DL85" s="4">
        <f t="shared" si="170"/>
        <v>1.8628104182055264E-5</v>
      </c>
      <c r="DM85" s="4">
        <f t="shared" si="171"/>
        <v>6.0161976170308948</v>
      </c>
      <c r="DN85" s="4">
        <f t="shared" si="172"/>
        <v>0.4192592652284054</v>
      </c>
      <c r="DO85" s="4">
        <f t="shared" si="253"/>
        <v>4.2492781569476614</v>
      </c>
      <c r="DP85" s="4">
        <f t="shared" si="254"/>
        <v>5.2084323712436884</v>
      </c>
      <c r="DQ85" s="4">
        <f t="shared" si="255"/>
        <v>5.6399318008403121</v>
      </c>
      <c r="DR85" s="38">
        <f t="shared" si="275"/>
        <v>289.96343820066528</v>
      </c>
      <c r="DS85" s="4">
        <f t="shared" si="256"/>
        <v>1.0001753673247638</v>
      </c>
      <c r="DT85" s="4">
        <f t="shared" si="147"/>
        <v>2.2649503305812249</v>
      </c>
      <c r="DU85" s="4">
        <f t="shared" si="276"/>
        <v>152.8138409867322</v>
      </c>
      <c r="DY85" s="4">
        <f t="shared" si="235"/>
        <v>0.85</v>
      </c>
      <c r="DZ85" s="4">
        <f t="shared" si="257"/>
        <v>0.85013888888888889</v>
      </c>
      <c r="EA85" s="4">
        <f t="shared" si="258"/>
        <v>1</v>
      </c>
      <c r="EB85" s="4">
        <f t="shared" si="259"/>
        <v>0.85013888888888889</v>
      </c>
      <c r="ED85" s="4">
        <f t="shared" si="277"/>
        <v>261.97798538232882</v>
      </c>
      <c r="EE85" s="25">
        <f t="shared" si="278"/>
        <v>150.18137322121927</v>
      </c>
      <c r="EG85" s="4">
        <f t="shared" si="148"/>
        <v>0.72261805555555558</v>
      </c>
      <c r="EH85" s="4">
        <f t="shared" si="260"/>
        <v>6.0161976170308948</v>
      </c>
      <c r="EI85" s="4">
        <f t="shared" si="174"/>
        <v>4.9450239957683877</v>
      </c>
      <c r="EK85" s="4">
        <f t="shared" si="175"/>
        <v>81.538211900924097</v>
      </c>
      <c r="EL85" s="4">
        <f t="shared" si="176"/>
        <v>2.2649503305812249</v>
      </c>
      <c r="EM85" s="4">
        <f t="shared" si="177"/>
        <v>0.12131009698641951</v>
      </c>
      <c r="EP85" s="4">
        <f t="shared" si="178"/>
        <v>0.12131009698641951</v>
      </c>
      <c r="EQ85" s="4">
        <f t="shared" si="179"/>
        <v>0.4185595996540441</v>
      </c>
      <c r="ER85" s="4">
        <f t="shared" si="180"/>
        <v>4.2464402342902972</v>
      </c>
      <c r="ES85" s="4">
        <f t="shared" si="236"/>
        <v>5.2072764835268703</v>
      </c>
      <c r="ET85" s="4">
        <f t="shared" si="182"/>
        <v>204.2117880990759</v>
      </c>
      <c r="EU85" s="4">
        <f t="shared" si="183"/>
        <v>95.249999999999972</v>
      </c>
      <c r="EV85" s="4">
        <f t="shared" si="261"/>
        <v>1.8628104182055258E-5</v>
      </c>
      <c r="EW85" s="4">
        <f t="shared" si="237"/>
        <v>5.6400354676909252</v>
      </c>
      <c r="EX85" s="4">
        <f t="shared" si="185"/>
        <v>289.91259700411337</v>
      </c>
      <c r="EY85" s="4">
        <f t="shared" si="186"/>
        <v>170.46178809907593</v>
      </c>
      <c r="EZ85" s="4">
        <f t="shared" si="187"/>
        <v>0</v>
      </c>
      <c r="FB85" s="4">
        <f t="shared" si="262"/>
        <v>79.217662179621357</v>
      </c>
      <c r="FG85" s="23">
        <f t="shared" si="216"/>
        <v>2.2000000000000002</v>
      </c>
      <c r="FH85" s="23">
        <f t="shared" si="216"/>
        <v>1.2</v>
      </c>
      <c r="FI85" s="23">
        <f t="shared" si="230"/>
        <v>2.2000000000000002</v>
      </c>
      <c r="FJ85" s="23">
        <f t="shared" si="217"/>
        <v>2</v>
      </c>
      <c r="FK85" s="23">
        <f t="shared" si="217"/>
        <v>1.4</v>
      </c>
      <c r="FL85" s="23">
        <f t="shared" si="217"/>
        <v>1.6</v>
      </c>
      <c r="FM85" s="23">
        <f t="shared" si="218"/>
        <v>0</v>
      </c>
      <c r="FN85" s="23"/>
      <c r="FX85" s="4">
        <f t="shared" si="263"/>
        <v>1</v>
      </c>
      <c r="FY85" s="4">
        <f t="shared" si="264"/>
        <v>1.0833333333333333</v>
      </c>
      <c r="FZ85" s="4">
        <f t="shared" si="265"/>
        <v>0</v>
      </c>
      <c r="GA85" s="4">
        <f t="shared" si="266"/>
        <v>188.22540532446502</v>
      </c>
    </row>
    <row r="86" spans="1:184" ht="12" customHeight="1" x14ac:dyDescent="0.3">
      <c r="A86" s="25">
        <v>68</v>
      </c>
      <c r="B86" s="20" t="s">
        <v>54</v>
      </c>
      <c r="C86" s="20">
        <v>2006</v>
      </c>
      <c r="D86" s="24" t="s">
        <v>55</v>
      </c>
      <c r="E86" s="24"/>
      <c r="F86" s="7" t="s">
        <v>282</v>
      </c>
      <c r="G86" s="7">
        <v>433</v>
      </c>
      <c r="H86" s="7">
        <f t="shared" si="240"/>
        <v>381</v>
      </c>
      <c r="I86" s="7">
        <f t="shared" si="131"/>
        <v>252</v>
      </c>
      <c r="J86" s="7">
        <v>28</v>
      </c>
      <c r="K86" s="7">
        <v>36</v>
      </c>
      <c r="L86" s="7">
        <f t="shared" si="151"/>
        <v>10.583333333333334</v>
      </c>
      <c r="M86" s="7">
        <v>7</v>
      </c>
      <c r="N86" s="7">
        <f t="shared" si="239"/>
        <v>215.89999999999998</v>
      </c>
      <c r="O86" s="7">
        <f t="shared" si="267"/>
        <v>89.949999999999989</v>
      </c>
      <c r="P86" s="7">
        <f t="shared" si="133"/>
        <v>50.8</v>
      </c>
      <c r="Q86" s="7">
        <v>0</v>
      </c>
      <c r="R86" s="7">
        <v>1</v>
      </c>
      <c r="S86" s="7">
        <f t="shared" si="134"/>
        <v>83.6</v>
      </c>
      <c r="T86" s="7">
        <f t="shared" si="241"/>
        <v>2.822222222222222</v>
      </c>
      <c r="U86" s="7">
        <f t="shared" si="135"/>
        <v>2.9986111111111109</v>
      </c>
      <c r="V86" s="7">
        <v>4.7699999999999996</v>
      </c>
      <c r="W86" s="7">
        <f t="shared" si="152"/>
        <v>4.7699999999999996</v>
      </c>
      <c r="X86" s="7">
        <f t="shared" si="242"/>
        <v>5.77</v>
      </c>
      <c r="Y86" s="7">
        <f t="shared" si="200"/>
        <v>86.474967476143064</v>
      </c>
      <c r="Z86" s="7"/>
      <c r="AA86" s="7"/>
      <c r="AB86" s="7">
        <v>392</v>
      </c>
      <c r="AC86" s="7"/>
      <c r="AD86" s="7"/>
      <c r="AE86" s="7"/>
      <c r="AF86" s="7"/>
      <c r="AG86" s="7">
        <v>1</v>
      </c>
      <c r="AH86" s="7"/>
      <c r="AI86" s="7"/>
      <c r="AJ86" s="7"/>
      <c r="AK86" s="4">
        <f t="shared" ref="AK86:AK149" si="279">H86</f>
        <v>381</v>
      </c>
      <c r="AL86" s="44">
        <f t="shared" si="153"/>
        <v>8.3950617283950604E-2</v>
      </c>
      <c r="AM86" s="25">
        <f t="shared" si="268"/>
        <v>386.60867631208708</v>
      </c>
      <c r="AN86" s="4">
        <f t="shared" si="269"/>
        <v>0.7533333333333333</v>
      </c>
      <c r="AO86" s="4">
        <v>1.25</v>
      </c>
      <c r="AP86" s="25">
        <f t="shared" si="270"/>
        <v>5</v>
      </c>
      <c r="AQ86" s="38">
        <f t="shared" si="271"/>
        <v>152.81384098673232</v>
      </c>
      <c r="AR86" s="38">
        <f t="shared" si="272"/>
        <v>152.81384098673232</v>
      </c>
      <c r="AT86" s="38">
        <f t="shared" si="130"/>
        <v>152.8138409867322</v>
      </c>
      <c r="AU86" s="38">
        <f t="shared" si="243"/>
        <v>1.0000000000000007</v>
      </c>
      <c r="AV86" s="38">
        <f t="shared" si="136"/>
        <v>2.3152590859656867</v>
      </c>
      <c r="AW86" s="4">
        <f t="shared" si="154"/>
        <v>0</v>
      </c>
      <c r="AX86" s="4">
        <f t="shared" si="220"/>
        <v>194.95009660475932</v>
      </c>
      <c r="AY86" s="4">
        <f t="shared" si="221"/>
        <v>1.0249999999999999</v>
      </c>
      <c r="AZ86" s="38">
        <f t="shared" si="273"/>
        <v>353.80363380584743</v>
      </c>
      <c r="BA86" s="4">
        <f t="shared" si="222"/>
        <v>0.33220000000000005</v>
      </c>
      <c r="BB86" s="4">
        <f t="shared" si="244"/>
        <v>33.838365543122805</v>
      </c>
      <c r="BC86" s="4">
        <f t="shared" si="245"/>
        <v>387.64199934897022</v>
      </c>
      <c r="BE86" s="36">
        <f t="shared" si="246"/>
        <v>1.1000000000000001</v>
      </c>
      <c r="BF86" s="36">
        <f t="shared" si="247"/>
        <v>193.24567576015772</v>
      </c>
      <c r="BK86" s="4">
        <f t="shared" si="156"/>
        <v>89.949999999999989</v>
      </c>
      <c r="BL86" s="4">
        <f t="shared" si="157"/>
        <v>83.6</v>
      </c>
      <c r="BM86" s="4">
        <f t="shared" si="158"/>
        <v>89.949999999999989</v>
      </c>
      <c r="BN86" s="4">
        <f t="shared" si="159"/>
        <v>101.6</v>
      </c>
      <c r="BO86" s="4">
        <f t="shared" si="160"/>
        <v>1.0075956937799044</v>
      </c>
      <c r="BP86" s="25">
        <f t="shared" si="274"/>
        <v>2.8436589580010634</v>
      </c>
      <c r="BR86" s="4">
        <f t="shared" si="161"/>
        <v>89.949999999999989</v>
      </c>
      <c r="BV86" s="9"/>
      <c r="BX86" s="9"/>
      <c r="BY86" s="9"/>
      <c r="BZ86" s="9">
        <f t="shared" si="231"/>
        <v>50.8</v>
      </c>
      <c r="CA86" s="9">
        <f t="shared" si="232"/>
        <v>89.949999999999989</v>
      </c>
      <c r="CB86" s="9">
        <f t="shared" si="248"/>
        <v>1.2941994891728255</v>
      </c>
      <c r="CC86" s="9">
        <v>0</v>
      </c>
      <c r="CD86" s="9">
        <f t="shared" si="129"/>
        <v>0</v>
      </c>
      <c r="CE86" s="9">
        <f t="shared" si="249"/>
        <v>0</v>
      </c>
      <c r="CF86" s="9">
        <f t="shared" si="233"/>
        <v>0.89637813077714179</v>
      </c>
      <c r="CG86" s="9">
        <f t="shared" si="234"/>
        <v>1.1339999999999999</v>
      </c>
      <c r="CH86" s="9">
        <f t="shared" si="250"/>
        <v>1.8825710113593779</v>
      </c>
      <c r="CI86" s="9">
        <f t="shared" si="251"/>
        <v>2.4364224412328763</v>
      </c>
      <c r="CJ86" s="9">
        <v>1</v>
      </c>
      <c r="CK86" s="9">
        <f t="shared" si="252"/>
        <v>214.4051748284931</v>
      </c>
      <c r="CM86" s="4">
        <f t="shared" si="206"/>
        <v>2.0107709964090885</v>
      </c>
      <c r="CN86" s="4">
        <f t="shared" si="207"/>
        <v>1.0112423335406093</v>
      </c>
      <c r="CO86" s="4">
        <f t="shared" si="208"/>
        <v>2.0285059340035194</v>
      </c>
      <c r="CP86" s="4">
        <f t="shared" si="209"/>
        <v>1.82831408016886</v>
      </c>
      <c r="CQ86" s="4">
        <f t="shared" si="210"/>
        <v>1.3657953537061176</v>
      </c>
      <c r="CR86" s="4">
        <f t="shared" si="211"/>
        <v>1.4954634150959114</v>
      </c>
      <c r="CS86" s="4">
        <f t="shared" si="143"/>
        <v>2.0826094082478721</v>
      </c>
      <c r="CU86" s="4">
        <f t="shared" si="212"/>
        <v>2.0107709964090885</v>
      </c>
      <c r="CV86" s="4">
        <f t="shared" si="212"/>
        <v>1.0112423335406093</v>
      </c>
      <c r="CW86" s="4">
        <f t="shared" si="213"/>
        <v>1.82831408016886</v>
      </c>
      <c r="CX86" s="4">
        <f t="shared" si="214"/>
        <v>2.0826094082478721</v>
      </c>
      <c r="CY86" s="4">
        <f t="shared" si="215"/>
        <v>1.3657953537061176</v>
      </c>
      <c r="CZ86" s="4">
        <f t="shared" si="215"/>
        <v>1.4954634150959114</v>
      </c>
      <c r="DH86" s="4">
        <f t="shared" si="167"/>
        <v>0</v>
      </c>
      <c r="DI86" s="4">
        <f t="shared" si="168"/>
        <v>381</v>
      </c>
      <c r="DJ86" s="4">
        <f t="shared" si="169"/>
        <v>0.66141732283464572</v>
      </c>
      <c r="DL86" s="4">
        <f t="shared" si="170"/>
        <v>1.8628104182055264E-5</v>
      </c>
      <c r="DM86" s="4">
        <f t="shared" si="171"/>
        <v>6.0161976170308948</v>
      </c>
      <c r="DN86" s="4">
        <f t="shared" si="172"/>
        <v>0.38498478450152734</v>
      </c>
      <c r="DO86" s="4">
        <f t="shared" si="253"/>
        <v>4.1067618551540557</v>
      </c>
      <c r="DP86" s="4">
        <f t="shared" si="254"/>
        <v>5.1510418853512236</v>
      </c>
      <c r="DQ86" s="4">
        <f t="shared" si="255"/>
        <v>5.6462513861654875</v>
      </c>
      <c r="DR86" s="38">
        <f t="shared" si="275"/>
        <v>287.01225182550144</v>
      </c>
      <c r="DS86" s="4">
        <f t="shared" si="256"/>
        <v>1.0001723108511535</v>
      </c>
      <c r="DT86" s="4">
        <f t="shared" si="147"/>
        <v>2.4020824298928627</v>
      </c>
      <c r="DU86" s="4">
        <f t="shared" si="276"/>
        <v>152.8138409867322</v>
      </c>
      <c r="DY86" s="4">
        <f t="shared" si="235"/>
        <v>0.85</v>
      </c>
      <c r="DZ86" s="4">
        <f t="shared" si="257"/>
        <v>0.85013888888888889</v>
      </c>
      <c r="EA86" s="4">
        <f t="shared" si="258"/>
        <v>1</v>
      </c>
      <c r="EB86" s="4">
        <f t="shared" si="259"/>
        <v>0.85013888888888889</v>
      </c>
      <c r="ED86" s="4">
        <f t="shared" si="277"/>
        <v>262.12610488693173</v>
      </c>
      <c r="EE86" s="25">
        <f t="shared" si="278"/>
        <v>150.18137322121927</v>
      </c>
      <c r="EG86" s="4">
        <f t="shared" si="148"/>
        <v>0.72261805555555558</v>
      </c>
      <c r="EH86" s="4">
        <f t="shared" si="260"/>
        <v>6.0161976170308948</v>
      </c>
      <c r="EI86" s="4">
        <f t="shared" si="174"/>
        <v>4.9450239957683877</v>
      </c>
      <c r="EK86" s="4">
        <f t="shared" si="175"/>
        <v>86.474967476143064</v>
      </c>
      <c r="EL86" s="4">
        <f t="shared" si="176"/>
        <v>2.4020824298928627</v>
      </c>
      <c r="EM86" s="4">
        <f t="shared" si="177"/>
        <v>0.11139298620087341</v>
      </c>
      <c r="EP86" s="4">
        <f t="shared" si="178"/>
        <v>0.11139298620087341</v>
      </c>
      <c r="EQ86" s="4">
        <f t="shared" si="179"/>
        <v>0.38434231664760432</v>
      </c>
      <c r="ER86" s="4">
        <f t="shared" si="180"/>
        <v>4.1040191134255366</v>
      </c>
      <c r="ES86" s="4">
        <f t="shared" si="236"/>
        <v>5.1499506989945818</v>
      </c>
      <c r="ET86" s="4">
        <f t="shared" si="182"/>
        <v>199.27503252385694</v>
      </c>
      <c r="EU86" s="4">
        <f t="shared" si="183"/>
        <v>95.249999999999972</v>
      </c>
      <c r="EV86" s="4">
        <f t="shared" si="261"/>
        <v>1.8628104182055258E-5</v>
      </c>
      <c r="EW86" s="4">
        <f t="shared" si="237"/>
        <v>5.646352209806822</v>
      </c>
      <c r="EX86" s="4">
        <f t="shared" si="185"/>
        <v>286.96280502031897</v>
      </c>
      <c r="EY86" s="4">
        <f t="shared" si="186"/>
        <v>165.52503252385696</v>
      </c>
      <c r="EZ86" s="4">
        <f t="shared" si="187"/>
        <v>0</v>
      </c>
      <c r="FB86" s="4">
        <f t="shared" si="262"/>
        <v>79.069542675018454</v>
      </c>
      <c r="FG86" s="23">
        <f t="shared" si="216"/>
        <v>2.2000000000000002</v>
      </c>
      <c r="FH86" s="23">
        <f t="shared" si="216"/>
        <v>1.2</v>
      </c>
      <c r="FI86" s="23">
        <f t="shared" si="230"/>
        <v>2.2000000000000002</v>
      </c>
      <c r="FJ86" s="23">
        <f t="shared" si="217"/>
        <v>2</v>
      </c>
      <c r="FK86" s="23">
        <f t="shared" si="217"/>
        <v>1.4</v>
      </c>
      <c r="FL86" s="23">
        <f t="shared" si="217"/>
        <v>1.6</v>
      </c>
      <c r="FM86" s="23">
        <f t="shared" si="218"/>
        <v>0</v>
      </c>
      <c r="FN86" s="23"/>
      <c r="FX86" s="4">
        <f t="shared" si="263"/>
        <v>1</v>
      </c>
      <c r="FY86" s="4">
        <f t="shared" si="264"/>
        <v>1.0833333333333333</v>
      </c>
      <c r="FZ86" s="4">
        <f t="shared" si="265"/>
        <v>0</v>
      </c>
      <c r="GA86" s="4">
        <f t="shared" si="266"/>
        <v>188.22540532446502</v>
      </c>
    </row>
    <row r="87" spans="1:184" ht="12" customHeight="1" x14ac:dyDescent="0.3">
      <c r="A87" s="25">
        <v>69</v>
      </c>
      <c r="B87" s="20" t="s">
        <v>54</v>
      </c>
      <c r="C87" s="20">
        <v>2006</v>
      </c>
      <c r="D87" s="24" t="s">
        <v>55</v>
      </c>
      <c r="E87" s="24"/>
      <c r="F87" s="7" t="s">
        <v>70</v>
      </c>
      <c r="G87" s="7">
        <v>433</v>
      </c>
      <c r="H87" s="7">
        <f t="shared" si="240"/>
        <v>381</v>
      </c>
      <c r="I87" s="7">
        <f t="shared" si="131"/>
        <v>252</v>
      </c>
      <c r="J87" s="7">
        <v>28</v>
      </c>
      <c r="K87" s="7">
        <v>36</v>
      </c>
      <c r="L87" s="7">
        <f t="shared" si="151"/>
        <v>10.583333333333334</v>
      </c>
      <c r="M87" s="7">
        <v>7</v>
      </c>
      <c r="N87" s="7">
        <f t="shared" si="239"/>
        <v>215.89999999999998</v>
      </c>
      <c r="O87" s="7">
        <f t="shared" si="267"/>
        <v>89.949999999999989</v>
      </c>
      <c r="P87" s="7">
        <f t="shared" si="133"/>
        <v>50.8</v>
      </c>
      <c r="Q87" s="7">
        <v>0</v>
      </c>
      <c r="R87" s="7">
        <v>1</v>
      </c>
      <c r="S87" s="7">
        <f t="shared" si="134"/>
        <v>83.6</v>
      </c>
      <c r="T87" s="7">
        <f t="shared" si="241"/>
        <v>2.822222222222222</v>
      </c>
      <c r="U87" s="7">
        <f t="shared" si="135"/>
        <v>2.9986111111111109</v>
      </c>
      <c r="V87" s="7">
        <v>6.69</v>
      </c>
      <c r="W87" s="7">
        <f t="shared" si="152"/>
        <v>6.69</v>
      </c>
      <c r="X87" s="7">
        <f t="shared" si="242"/>
        <v>7.69</v>
      </c>
      <c r="Y87" s="7">
        <f t="shared" si="200"/>
        <v>99.831057291806744</v>
      </c>
      <c r="Z87" s="7"/>
      <c r="AA87" s="7"/>
      <c r="AB87" s="7">
        <v>433</v>
      </c>
      <c r="AC87" s="7"/>
      <c r="AD87" s="7"/>
      <c r="AE87" s="7"/>
      <c r="AF87" s="7"/>
      <c r="AG87" s="7">
        <v>1</v>
      </c>
      <c r="AH87" s="7"/>
      <c r="AI87" s="7"/>
      <c r="AJ87" s="7"/>
      <c r="AK87" s="4">
        <f t="shared" si="279"/>
        <v>381</v>
      </c>
      <c r="AL87" s="44">
        <f t="shared" si="153"/>
        <v>8.3950617283950604E-2</v>
      </c>
      <c r="AM87" s="25">
        <f t="shared" si="268"/>
        <v>386.60867631208708</v>
      </c>
      <c r="AN87" s="4">
        <f t="shared" si="269"/>
        <v>0.7533333333333333</v>
      </c>
      <c r="AO87" s="4">
        <v>1.25</v>
      </c>
      <c r="AP87" s="25">
        <f t="shared" si="270"/>
        <v>5</v>
      </c>
      <c r="AQ87" s="38">
        <f t="shared" si="271"/>
        <v>152.81384098673232</v>
      </c>
      <c r="AR87" s="38">
        <f t="shared" si="272"/>
        <v>152.81384098673232</v>
      </c>
      <c r="AT87" s="38">
        <f t="shared" si="130"/>
        <v>152.8138409867322</v>
      </c>
      <c r="AU87" s="38">
        <f t="shared" si="243"/>
        <v>1.0000000000000007</v>
      </c>
      <c r="AV87" s="38">
        <f t="shared" si="136"/>
        <v>2.7419117115982075</v>
      </c>
      <c r="AW87" s="4">
        <f t="shared" si="154"/>
        <v>0</v>
      </c>
      <c r="AX87" s="4">
        <f t="shared" si="220"/>
        <v>194.95009660475932</v>
      </c>
      <c r="AY87" s="4">
        <f t="shared" si="221"/>
        <v>1.0249999999999999</v>
      </c>
      <c r="AZ87" s="38">
        <f t="shared" si="273"/>
        <v>419.00206029582722</v>
      </c>
      <c r="BA87" s="4">
        <f t="shared" si="222"/>
        <v>0.3</v>
      </c>
      <c r="BB87" s="4">
        <f t="shared" si="244"/>
        <v>30.558427642796026</v>
      </c>
      <c r="BC87" s="4">
        <f t="shared" si="245"/>
        <v>449.56048793862323</v>
      </c>
      <c r="BE87" s="36">
        <f t="shared" si="246"/>
        <v>1.1000000000000001</v>
      </c>
      <c r="BF87" s="36">
        <f t="shared" si="247"/>
        <v>193.24567576015772</v>
      </c>
      <c r="BK87" s="4">
        <f t="shared" si="156"/>
        <v>89.949999999999989</v>
      </c>
      <c r="BL87" s="4">
        <f t="shared" si="157"/>
        <v>83.6</v>
      </c>
      <c r="BM87" s="4">
        <f t="shared" si="158"/>
        <v>89.949999999999989</v>
      </c>
      <c r="BN87" s="4">
        <f t="shared" si="159"/>
        <v>101.6</v>
      </c>
      <c r="BO87" s="4">
        <f t="shared" si="160"/>
        <v>1.0075956937799044</v>
      </c>
      <c r="BP87" s="25">
        <f t="shared" si="274"/>
        <v>2.8436589580010634</v>
      </c>
      <c r="BR87" s="4">
        <f t="shared" si="161"/>
        <v>89.949999999999989</v>
      </c>
      <c r="BV87" s="9"/>
      <c r="BX87" s="9"/>
      <c r="BY87" s="9"/>
      <c r="BZ87" s="9">
        <f t="shared" si="231"/>
        <v>50.8</v>
      </c>
      <c r="CA87" s="9">
        <f t="shared" si="232"/>
        <v>89.949999999999989</v>
      </c>
      <c r="CB87" s="9">
        <f t="shared" si="248"/>
        <v>1.2941994891728255</v>
      </c>
      <c r="CC87" s="9">
        <v>0</v>
      </c>
      <c r="CD87" s="9">
        <f t="shared" si="129"/>
        <v>0</v>
      </c>
      <c r="CE87" s="9">
        <f t="shared" si="249"/>
        <v>0</v>
      </c>
      <c r="CF87" s="9">
        <f t="shared" si="233"/>
        <v>0.89637813077714179</v>
      </c>
      <c r="CG87" s="9">
        <f t="shared" si="234"/>
        <v>1.1339999999999999</v>
      </c>
      <c r="CH87" s="9">
        <f t="shared" si="250"/>
        <v>1.8825710113593779</v>
      </c>
      <c r="CI87" s="9">
        <f t="shared" si="251"/>
        <v>2.4364224412328763</v>
      </c>
      <c r="CJ87" s="9">
        <v>1</v>
      </c>
      <c r="CK87" s="9">
        <f t="shared" si="252"/>
        <v>214.4051748284931</v>
      </c>
      <c r="CM87" s="4">
        <f t="shared" si="206"/>
        <v>2.2210812281763657</v>
      </c>
      <c r="CN87" s="4">
        <f t="shared" si="207"/>
        <v>0.96316293717324164</v>
      </c>
      <c r="CO87" s="4">
        <f t="shared" si="208"/>
        <v>2.2406710954681732</v>
      </c>
      <c r="CP87" s="4">
        <f t="shared" si="209"/>
        <v>2.0195408079416235</v>
      </c>
      <c r="CQ87" s="4">
        <f t="shared" si="210"/>
        <v>1.5462310523396727</v>
      </c>
      <c r="CR87" s="4">
        <f t="shared" si="211"/>
        <v>1.6500544563540349</v>
      </c>
      <c r="CS87" s="4">
        <f t="shared" si="143"/>
        <v>2.3004333514574711</v>
      </c>
      <c r="CU87" s="4">
        <f t="shared" si="212"/>
        <v>2.2210812281763657</v>
      </c>
      <c r="CV87" s="4">
        <f t="shared" si="212"/>
        <v>0.96316293717324164</v>
      </c>
      <c r="CW87" s="4">
        <f t="shared" si="213"/>
        <v>2.0195408079416235</v>
      </c>
      <c r="CX87" s="4">
        <f t="shared" si="214"/>
        <v>2.3004333514574711</v>
      </c>
      <c r="CY87" s="4">
        <f t="shared" si="215"/>
        <v>1.5462310523396727</v>
      </c>
      <c r="CZ87" s="4">
        <f t="shared" si="215"/>
        <v>1.6500544563540349</v>
      </c>
      <c r="DH87" s="4">
        <f t="shared" si="167"/>
        <v>0</v>
      </c>
      <c r="DI87" s="4">
        <f t="shared" si="168"/>
        <v>381</v>
      </c>
      <c r="DJ87" s="4">
        <f t="shared" si="169"/>
        <v>0.66141732283464572</v>
      </c>
      <c r="DL87" s="4">
        <f t="shared" si="170"/>
        <v>1.8628104182055264E-5</v>
      </c>
      <c r="DM87" s="4">
        <f t="shared" si="171"/>
        <v>6.0161976170308948</v>
      </c>
      <c r="DN87" s="4">
        <f t="shared" si="172"/>
        <v>0.31689186474065706</v>
      </c>
      <c r="DO87" s="4">
        <f t="shared" si="253"/>
        <v>3.7991507734546111</v>
      </c>
      <c r="DP87" s="4">
        <f t="shared" si="254"/>
        <v>5.0319136852040129</v>
      </c>
      <c r="DQ87" s="4">
        <f t="shared" si="255"/>
        <v>5.6610669161628726</v>
      </c>
      <c r="DR87" s="38">
        <f t="shared" si="275"/>
        <v>280.03576784000552</v>
      </c>
      <c r="DS87" s="4">
        <f t="shared" si="256"/>
        <v>1.0001673396150337</v>
      </c>
      <c r="DT87" s="4">
        <f t="shared" si="147"/>
        <v>2.7730849247724096</v>
      </c>
      <c r="DU87" s="4">
        <f t="shared" si="276"/>
        <v>152.8138409867322</v>
      </c>
      <c r="DY87" s="4">
        <f t="shared" si="235"/>
        <v>0.85</v>
      </c>
      <c r="DZ87" s="4">
        <f t="shared" si="257"/>
        <v>0.85013888888888889</v>
      </c>
      <c r="EA87" s="4">
        <f t="shared" si="258"/>
        <v>1</v>
      </c>
      <c r="EB87" s="4">
        <f t="shared" si="259"/>
        <v>0.85013888888888889</v>
      </c>
      <c r="ED87" s="4">
        <f t="shared" si="277"/>
        <v>262.41558169950224</v>
      </c>
      <c r="EE87" s="25">
        <f t="shared" si="278"/>
        <v>150.18137322121927</v>
      </c>
      <c r="EG87" s="4">
        <f t="shared" si="148"/>
        <v>0.72261805555555558</v>
      </c>
      <c r="EH87" s="4">
        <f t="shared" si="260"/>
        <v>6.0161976170308948</v>
      </c>
      <c r="EI87" s="4">
        <f t="shared" si="174"/>
        <v>4.9450239957683877</v>
      </c>
      <c r="EK87" s="4">
        <f t="shared" si="175"/>
        <v>99.831057291806744</v>
      </c>
      <c r="EL87" s="4">
        <f t="shared" si="176"/>
        <v>2.7730849247724096</v>
      </c>
      <c r="EM87" s="4">
        <f t="shared" si="177"/>
        <v>9.1690717496615795E-2</v>
      </c>
      <c r="EP87" s="4">
        <f t="shared" si="178"/>
        <v>9.1690717496615795E-2</v>
      </c>
      <c r="EQ87" s="4">
        <f t="shared" si="179"/>
        <v>0.31636303127901982</v>
      </c>
      <c r="ER87" s="4">
        <f t="shared" si="180"/>
        <v>3.796613472844836</v>
      </c>
      <c r="ES87" s="4">
        <f t="shared" si="236"/>
        <v>5.0309590892700076</v>
      </c>
      <c r="ET87" s="4">
        <f t="shared" si="182"/>
        <v>185.91894270819324</v>
      </c>
      <c r="EU87" s="4">
        <f t="shared" si="183"/>
        <v>95.25</v>
      </c>
      <c r="EV87" s="4">
        <f t="shared" si="261"/>
        <v>1.8628104182055264E-5</v>
      </c>
      <c r="EW87" s="4">
        <f t="shared" si="237"/>
        <v>5.6611624514348415</v>
      </c>
      <c r="EX87" s="4">
        <f t="shared" si="185"/>
        <v>279.98891460282221</v>
      </c>
      <c r="EY87" s="4">
        <f t="shared" si="186"/>
        <v>152.1689427081933</v>
      </c>
      <c r="EZ87" s="4">
        <f t="shared" si="187"/>
        <v>0</v>
      </c>
      <c r="FB87" s="4">
        <f t="shared" si="262"/>
        <v>78.780065862447941</v>
      </c>
      <c r="FG87" s="23">
        <f t="shared" si="216"/>
        <v>2.2000000000000002</v>
      </c>
      <c r="FH87" s="23">
        <f t="shared" si="216"/>
        <v>1</v>
      </c>
      <c r="FI87" s="23">
        <f t="shared" si="230"/>
        <v>2.2000000000000002</v>
      </c>
      <c r="FJ87" s="23">
        <f t="shared" si="217"/>
        <v>2.2000000000000002</v>
      </c>
      <c r="FK87" s="23">
        <f t="shared" si="217"/>
        <v>1.6</v>
      </c>
      <c r="FL87" s="23">
        <f t="shared" si="217"/>
        <v>1.8</v>
      </c>
      <c r="FM87" s="23">
        <f t="shared" si="218"/>
        <v>0</v>
      </c>
      <c r="FN87" s="23"/>
      <c r="FX87" s="4">
        <f t="shared" si="263"/>
        <v>1</v>
      </c>
      <c r="FY87" s="4">
        <f t="shared" si="264"/>
        <v>1.0833333333333333</v>
      </c>
      <c r="FZ87" s="4">
        <f t="shared" si="265"/>
        <v>0</v>
      </c>
      <c r="GA87" s="4">
        <f t="shared" si="266"/>
        <v>188.22540532446502</v>
      </c>
    </row>
    <row r="88" spans="1:184" ht="12" customHeight="1" x14ac:dyDescent="0.3">
      <c r="A88" s="25">
        <v>70</v>
      </c>
      <c r="B88" s="20" t="s">
        <v>54</v>
      </c>
      <c r="C88" s="20">
        <v>2006</v>
      </c>
      <c r="D88" s="24" t="s">
        <v>55</v>
      </c>
      <c r="E88" s="24"/>
      <c r="F88" s="7" t="s">
        <v>71</v>
      </c>
      <c r="G88" s="7">
        <v>433</v>
      </c>
      <c r="H88" s="7">
        <f t="shared" si="240"/>
        <v>381</v>
      </c>
      <c r="I88" s="7">
        <f t="shared" si="131"/>
        <v>252</v>
      </c>
      <c r="J88" s="7">
        <v>28</v>
      </c>
      <c r="K88" s="7">
        <v>36</v>
      </c>
      <c r="L88" s="7">
        <f t="shared" si="151"/>
        <v>10.583333333333334</v>
      </c>
      <c r="M88" s="7">
        <v>7</v>
      </c>
      <c r="N88" s="7">
        <f t="shared" si="239"/>
        <v>215.89999999999998</v>
      </c>
      <c r="O88" s="7">
        <f t="shared" si="267"/>
        <v>89.949999999999989</v>
      </c>
      <c r="P88" s="7">
        <f t="shared" si="133"/>
        <v>50.8</v>
      </c>
      <c r="Q88" s="7">
        <v>0</v>
      </c>
      <c r="R88" s="7">
        <v>1</v>
      </c>
      <c r="S88" s="7">
        <f t="shared" si="134"/>
        <v>83.6</v>
      </c>
      <c r="T88" s="7">
        <f t="shared" si="241"/>
        <v>2.822222222222222</v>
      </c>
      <c r="U88" s="7">
        <f t="shared" si="135"/>
        <v>2.9986111111111109</v>
      </c>
      <c r="V88" s="7">
        <v>6.69</v>
      </c>
      <c r="W88" s="7">
        <f t="shared" si="152"/>
        <v>6.69</v>
      </c>
      <c r="X88" s="7">
        <f t="shared" si="242"/>
        <v>7.69</v>
      </c>
      <c r="Y88" s="7">
        <f t="shared" si="200"/>
        <v>99.831057291806744</v>
      </c>
      <c r="Z88" s="7"/>
      <c r="AA88" s="7"/>
      <c r="AB88" s="7">
        <v>433</v>
      </c>
      <c r="AC88" s="7"/>
      <c r="AD88" s="7"/>
      <c r="AE88" s="7"/>
      <c r="AF88" s="7"/>
      <c r="AG88" s="7">
        <v>1</v>
      </c>
      <c r="AH88" s="7"/>
      <c r="AI88" s="7"/>
      <c r="AJ88" s="7"/>
      <c r="AK88" s="4">
        <f t="shared" si="279"/>
        <v>381</v>
      </c>
      <c r="AL88" s="44">
        <f t="shared" si="153"/>
        <v>8.3950617283950604E-2</v>
      </c>
      <c r="AM88" s="25">
        <f t="shared" si="268"/>
        <v>386.60867631208708</v>
      </c>
      <c r="AN88" s="4">
        <f t="shared" si="269"/>
        <v>0.7533333333333333</v>
      </c>
      <c r="AO88" s="4">
        <v>1.25</v>
      </c>
      <c r="AP88" s="25">
        <f t="shared" si="270"/>
        <v>5</v>
      </c>
      <c r="AQ88" s="38">
        <f t="shared" si="271"/>
        <v>152.81384098673232</v>
      </c>
      <c r="AR88" s="38">
        <f t="shared" si="272"/>
        <v>152.81384098673232</v>
      </c>
      <c r="AT88" s="38">
        <f t="shared" si="130"/>
        <v>152.8138409867322</v>
      </c>
      <c r="AU88" s="38">
        <f t="shared" si="243"/>
        <v>1.0000000000000007</v>
      </c>
      <c r="AV88" s="38">
        <f t="shared" si="136"/>
        <v>2.7419117115982075</v>
      </c>
      <c r="AW88" s="4">
        <f t="shared" si="154"/>
        <v>0</v>
      </c>
      <c r="AX88" s="4">
        <f t="shared" si="220"/>
        <v>194.95009660475932</v>
      </c>
      <c r="AY88" s="4">
        <f t="shared" si="221"/>
        <v>1.0249999999999999</v>
      </c>
      <c r="AZ88" s="38">
        <f t="shared" si="273"/>
        <v>419.00206029582722</v>
      </c>
      <c r="BA88" s="4">
        <f t="shared" si="222"/>
        <v>0.3</v>
      </c>
      <c r="BB88" s="4">
        <f t="shared" si="244"/>
        <v>30.558427642796026</v>
      </c>
      <c r="BC88" s="4">
        <f t="shared" si="245"/>
        <v>449.56048793862323</v>
      </c>
      <c r="BE88" s="36">
        <f t="shared" si="246"/>
        <v>1.1000000000000001</v>
      </c>
      <c r="BF88" s="36">
        <f t="shared" si="247"/>
        <v>193.24567576015772</v>
      </c>
      <c r="BK88" s="4">
        <f t="shared" si="156"/>
        <v>89.949999999999989</v>
      </c>
      <c r="BL88" s="4">
        <f t="shared" si="157"/>
        <v>83.6</v>
      </c>
      <c r="BM88" s="4">
        <f t="shared" si="158"/>
        <v>89.949999999999989</v>
      </c>
      <c r="BN88" s="4">
        <f t="shared" si="159"/>
        <v>101.6</v>
      </c>
      <c r="BO88" s="4">
        <f t="shared" si="160"/>
        <v>1.0075956937799044</v>
      </c>
      <c r="BP88" s="25">
        <f t="shared" si="274"/>
        <v>2.8436589580010634</v>
      </c>
      <c r="BR88" s="4">
        <f t="shared" si="161"/>
        <v>89.949999999999989</v>
      </c>
      <c r="BV88" s="9"/>
      <c r="BX88" s="9"/>
      <c r="BY88" s="9"/>
      <c r="BZ88" s="9">
        <f t="shared" si="231"/>
        <v>50.8</v>
      </c>
      <c r="CA88" s="9">
        <f t="shared" si="232"/>
        <v>89.949999999999989</v>
      </c>
      <c r="CB88" s="9">
        <f t="shared" si="248"/>
        <v>1.2941994891728255</v>
      </c>
      <c r="CC88" s="9">
        <v>0</v>
      </c>
      <c r="CD88" s="9">
        <f t="shared" si="129"/>
        <v>0</v>
      </c>
      <c r="CE88" s="9">
        <f t="shared" si="249"/>
        <v>0</v>
      </c>
      <c r="CF88" s="9">
        <f t="shared" si="233"/>
        <v>0.89637813077714179</v>
      </c>
      <c r="CG88" s="9">
        <f t="shared" si="234"/>
        <v>1.1339999999999999</v>
      </c>
      <c r="CH88" s="9">
        <f t="shared" si="250"/>
        <v>1.8825710113593779</v>
      </c>
      <c r="CI88" s="9">
        <f t="shared" si="251"/>
        <v>2.4364224412328763</v>
      </c>
      <c r="CJ88" s="9">
        <v>1</v>
      </c>
      <c r="CK88" s="9">
        <f t="shared" si="252"/>
        <v>214.4051748284931</v>
      </c>
      <c r="CM88" s="4">
        <f t="shared" si="206"/>
        <v>2.2210812281763657</v>
      </c>
      <c r="CN88" s="4">
        <f t="shared" si="207"/>
        <v>0.96316293717324164</v>
      </c>
      <c r="CO88" s="4">
        <f t="shared" si="208"/>
        <v>2.2406710954681732</v>
      </c>
      <c r="CP88" s="4">
        <f t="shared" si="209"/>
        <v>2.0195408079416235</v>
      </c>
      <c r="CQ88" s="4">
        <f t="shared" si="210"/>
        <v>1.5462310523396727</v>
      </c>
      <c r="CR88" s="4">
        <f t="shared" si="211"/>
        <v>1.6500544563540349</v>
      </c>
      <c r="CS88" s="4">
        <f t="shared" si="143"/>
        <v>2.3004333514574711</v>
      </c>
      <c r="CU88" s="4">
        <f t="shared" si="212"/>
        <v>2.2210812281763657</v>
      </c>
      <c r="CV88" s="4">
        <f t="shared" si="212"/>
        <v>0.96316293717324164</v>
      </c>
      <c r="CW88" s="4">
        <f t="shared" si="213"/>
        <v>2.0195408079416235</v>
      </c>
      <c r="CX88" s="4">
        <f t="shared" si="214"/>
        <v>2.3004333514574711</v>
      </c>
      <c r="CY88" s="4">
        <f t="shared" si="215"/>
        <v>1.5462310523396727</v>
      </c>
      <c r="CZ88" s="4">
        <f t="shared" si="215"/>
        <v>1.6500544563540349</v>
      </c>
      <c r="DH88" s="4">
        <f t="shared" si="167"/>
        <v>0</v>
      </c>
      <c r="DI88" s="4">
        <f t="shared" si="168"/>
        <v>381</v>
      </c>
      <c r="DJ88" s="4">
        <f t="shared" si="169"/>
        <v>0.66141732283464572</v>
      </c>
      <c r="DL88" s="4">
        <f t="shared" si="170"/>
        <v>1.8628104182055264E-5</v>
      </c>
      <c r="DM88" s="4">
        <f t="shared" si="171"/>
        <v>6.0161976170308948</v>
      </c>
      <c r="DN88" s="4">
        <f t="shared" si="172"/>
        <v>0.31689186474065706</v>
      </c>
      <c r="DO88" s="4">
        <f t="shared" si="253"/>
        <v>3.7991507734546111</v>
      </c>
      <c r="DP88" s="4">
        <f t="shared" si="254"/>
        <v>5.0319136852040129</v>
      </c>
      <c r="DQ88" s="4">
        <f t="shared" si="255"/>
        <v>5.6610669161628726</v>
      </c>
      <c r="DR88" s="38">
        <f t="shared" si="275"/>
        <v>280.03576784000552</v>
      </c>
      <c r="DS88" s="4">
        <f t="shared" si="256"/>
        <v>1.0001673396150337</v>
      </c>
      <c r="DT88" s="4">
        <f t="shared" si="147"/>
        <v>2.7730849247724096</v>
      </c>
      <c r="DU88" s="4">
        <f t="shared" si="276"/>
        <v>152.8138409867322</v>
      </c>
      <c r="DY88" s="4">
        <f t="shared" si="235"/>
        <v>0.85</v>
      </c>
      <c r="DZ88" s="4">
        <f t="shared" si="257"/>
        <v>0.85013888888888889</v>
      </c>
      <c r="EA88" s="4">
        <f t="shared" si="258"/>
        <v>1</v>
      </c>
      <c r="EB88" s="4">
        <f t="shared" si="259"/>
        <v>0.85013888888888889</v>
      </c>
      <c r="ED88" s="4">
        <f t="shared" si="277"/>
        <v>262.41558169950224</v>
      </c>
      <c r="EE88" s="25">
        <f t="shared" si="278"/>
        <v>150.18137322121927</v>
      </c>
      <c r="EG88" s="4">
        <f t="shared" si="148"/>
        <v>0.72261805555555558</v>
      </c>
      <c r="EH88" s="4">
        <f t="shared" si="260"/>
        <v>6.0161976170308948</v>
      </c>
      <c r="EI88" s="4">
        <f>IF(K88&lt;22.2,1.1*5*(J88/30)^0.5,IF(K88&gt;=31.8,0.9*5*(J88/30)^0.5,1*5*(J88/30)^0.5))*BP88/2.5</f>
        <v>4.9450239957683877</v>
      </c>
      <c r="EK88" s="4">
        <f t="shared" si="175"/>
        <v>99.831057291806744</v>
      </c>
      <c r="EL88" s="4">
        <f t="shared" si="176"/>
        <v>2.7730849247724096</v>
      </c>
      <c r="EM88" s="4">
        <f t="shared" si="177"/>
        <v>9.1690717496615795E-2</v>
      </c>
      <c r="EP88" s="4">
        <f t="shared" si="178"/>
        <v>9.1690717496615795E-2</v>
      </c>
      <c r="EQ88" s="4">
        <f t="shared" si="179"/>
        <v>0.31636303127901982</v>
      </c>
      <c r="ER88" s="4">
        <f t="shared" si="180"/>
        <v>3.796613472844836</v>
      </c>
      <c r="ES88" s="4">
        <f t="shared" si="236"/>
        <v>5.0309590892700076</v>
      </c>
      <c r="ET88" s="4">
        <f t="shared" si="182"/>
        <v>185.91894270819324</v>
      </c>
      <c r="EU88" s="4">
        <f t="shared" si="183"/>
        <v>95.25</v>
      </c>
      <c r="EV88" s="4">
        <f t="shared" si="261"/>
        <v>1.8628104182055264E-5</v>
      </c>
      <c r="EW88" s="4">
        <f t="shared" si="237"/>
        <v>5.6611624514348415</v>
      </c>
      <c r="EX88" s="4">
        <f t="shared" si="185"/>
        <v>279.98891460282221</v>
      </c>
      <c r="EY88" s="4">
        <f t="shared" si="186"/>
        <v>152.1689427081933</v>
      </c>
      <c r="EZ88" s="4">
        <f t="shared" si="187"/>
        <v>0</v>
      </c>
      <c r="FB88" s="4">
        <f t="shared" si="262"/>
        <v>78.780065862447941</v>
      </c>
      <c r="FG88" s="23">
        <f t="shared" si="216"/>
        <v>2.2000000000000002</v>
      </c>
      <c r="FH88" s="23">
        <f t="shared" si="216"/>
        <v>1</v>
      </c>
      <c r="FI88" s="23">
        <f t="shared" si="230"/>
        <v>2.2000000000000002</v>
      </c>
      <c r="FJ88" s="23">
        <f t="shared" si="217"/>
        <v>2.2000000000000002</v>
      </c>
      <c r="FK88" s="23">
        <f t="shared" si="217"/>
        <v>1.6</v>
      </c>
      <c r="FL88" s="23">
        <f t="shared" si="217"/>
        <v>1.8</v>
      </c>
      <c r="FM88" s="23">
        <f t="shared" si="218"/>
        <v>0</v>
      </c>
      <c r="FN88" s="23"/>
      <c r="FX88" s="4">
        <f t="shared" si="263"/>
        <v>1</v>
      </c>
      <c r="FY88" s="4">
        <f t="shared" si="264"/>
        <v>1.0833333333333333</v>
      </c>
      <c r="FZ88" s="4">
        <f t="shared" si="265"/>
        <v>0</v>
      </c>
      <c r="GA88" s="4">
        <f t="shared" si="266"/>
        <v>188.22540532446502</v>
      </c>
    </row>
    <row r="89" spans="1:184" ht="12" customHeight="1" x14ac:dyDescent="0.3">
      <c r="A89" s="25">
        <v>71</v>
      </c>
      <c r="B89" s="20" t="s">
        <v>54</v>
      </c>
      <c r="C89" s="20">
        <v>2006</v>
      </c>
      <c r="D89" s="24" t="s">
        <v>55</v>
      </c>
      <c r="E89" s="24"/>
      <c r="F89" s="7" t="s">
        <v>291</v>
      </c>
      <c r="G89" s="7">
        <v>433</v>
      </c>
      <c r="H89" s="7">
        <f t="shared" si="240"/>
        <v>381</v>
      </c>
      <c r="I89" s="7">
        <f t="shared" si="131"/>
        <v>252</v>
      </c>
      <c r="J89" s="7">
        <v>28</v>
      </c>
      <c r="K89" s="7">
        <v>36</v>
      </c>
      <c r="L89" s="7">
        <f t="shared" si="151"/>
        <v>10.583333333333334</v>
      </c>
      <c r="M89" s="7">
        <v>7</v>
      </c>
      <c r="N89" s="7">
        <f t="shared" si="239"/>
        <v>215.89999999999998</v>
      </c>
      <c r="O89" s="7">
        <f t="shared" si="267"/>
        <v>89.949999999999989</v>
      </c>
      <c r="P89" s="7">
        <f t="shared" si="133"/>
        <v>50.8</v>
      </c>
      <c r="Q89" s="7">
        <v>0</v>
      </c>
      <c r="R89" s="7">
        <v>1</v>
      </c>
      <c r="S89" s="7">
        <f t="shared" si="134"/>
        <v>83.6</v>
      </c>
      <c r="T89" s="7">
        <f t="shared" si="241"/>
        <v>2.822222222222222</v>
      </c>
      <c r="U89" s="7">
        <f t="shared" si="135"/>
        <v>2.9986111111111109</v>
      </c>
      <c r="V89" s="7">
        <v>9.26</v>
      </c>
      <c r="W89" s="7">
        <f t="shared" si="152"/>
        <v>9.26</v>
      </c>
      <c r="X89" s="7">
        <f t="shared" si="242"/>
        <v>10.26</v>
      </c>
      <c r="Y89" s="7">
        <f t="shared" si="200"/>
        <v>115.31244512193817</v>
      </c>
      <c r="Z89" s="7"/>
      <c r="AA89" s="7"/>
      <c r="AB89" s="7">
        <v>433</v>
      </c>
      <c r="AC89" s="7"/>
      <c r="AD89" s="7"/>
      <c r="AE89" s="7"/>
      <c r="AF89" s="7"/>
      <c r="AG89" s="7">
        <v>1</v>
      </c>
      <c r="AH89" s="7"/>
      <c r="AI89" s="7"/>
      <c r="AJ89" s="7"/>
      <c r="AK89" s="4">
        <f t="shared" si="279"/>
        <v>381</v>
      </c>
      <c r="AL89" s="44">
        <f t="shared" si="153"/>
        <v>8.3950617283950604E-2</v>
      </c>
      <c r="AM89" s="25">
        <f t="shared" si="268"/>
        <v>386.60867631208708</v>
      </c>
      <c r="AN89" s="4">
        <f t="shared" si="269"/>
        <v>0.7533333333333333</v>
      </c>
      <c r="AO89" s="4">
        <v>1.25</v>
      </c>
      <c r="AP89" s="25">
        <f t="shared" si="270"/>
        <v>5</v>
      </c>
      <c r="AQ89" s="38">
        <f t="shared" si="271"/>
        <v>152.81384098673232</v>
      </c>
      <c r="AR89" s="38">
        <f t="shared" si="272"/>
        <v>152.81384098673232</v>
      </c>
      <c r="AT89" s="38">
        <f t="shared" si="130"/>
        <v>152.8138409867322</v>
      </c>
      <c r="AU89" s="38">
        <f t="shared" si="243"/>
        <v>1.0000000000000007</v>
      </c>
      <c r="AV89" s="38">
        <f t="shared" si="136"/>
        <v>3.2258628644800567</v>
      </c>
      <c r="AW89" s="4">
        <f t="shared" si="154"/>
        <v>0</v>
      </c>
      <c r="AX89" s="4">
        <f t="shared" si="220"/>
        <v>194.95009660475932</v>
      </c>
      <c r="AY89" s="4">
        <f t="shared" si="221"/>
        <v>1.0249999999999999</v>
      </c>
      <c r="AZ89" s="38">
        <f t="shared" si="273"/>
        <v>492.9564948176598</v>
      </c>
      <c r="BA89" s="4">
        <f t="shared" si="222"/>
        <v>0.3</v>
      </c>
      <c r="BB89" s="4">
        <f t="shared" si="244"/>
        <v>30.558427642796026</v>
      </c>
      <c r="BC89" s="4">
        <f t="shared" si="245"/>
        <v>523.51492246045586</v>
      </c>
      <c r="BE89" s="36">
        <f t="shared" si="246"/>
        <v>1.1000000000000001</v>
      </c>
      <c r="BF89" s="36">
        <f t="shared" si="247"/>
        <v>193.24567576015772</v>
      </c>
      <c r="BK89" s="4">
        <f t="shared" si="156"/>
        <v>89.949999999999989</v>
      </c>
      <c r="BL89" s="4">
        <f t="shared" si="157"/>
        <v>83.6</v>
      </c>
      <c r="BM89" s="4">
        <f t="shared" si="158"/>
        <v>89.949999999999989</v>
      </c>
      <c r="BN89" s="4">
        <f t="shared" si="159"/>
        <v>101.6</v>
      </c>
      <c r="BO89" s="4">
        <f t="shared" si="160"/>
        <v>1.0075956937799044</v>
      </c>
      <c r="BP89" s="25">
        <f t="shared" si="274"/>
        <v>2.8436589580010634</v>
      </c>
      <c r="BR89" s="4">
        <f t="shared" si="161"/>
        <v>89.949999999999989</v>
      </c>
      <c r="BV89" s="9"/>
      <c r="BX89" s="9"/>
      <c r="BY89" s="9"/>
      <c r="BZ89" s="9">
        <f t="shared" si="231"/>
        <v>50.8</v>
      </c>
      <c r="CA89" s="9">
        <f t="shared" si="232"/>
        <v>89.949999999999989</v>
      </c>
      <c r="CB89" s="9">
        <f t="shared" si="248"/>
        <v>1.2941994891728255</v>
      </c>
      <c r="CC89" s="9">
        <v>0</v>
      </c>
      <c r="CD89" s="9">
        <f t="shared" si="129"/>
        <v>0</v>
      </c>
      <c r="CE89" s="9">
        <f t="shared" si="249"/>
        <v>0</v>
      </c>
      <c r="CF89" s="9">
        <f t="shared" si="233"/>
        <v>0.89637813077714179</v>
      </c>
      <c r="CG89" s="9">
        <f t="shared" si="234"/>
        <v>1.1339999999999999</v>
      </c>
      <c r="CH89" s="9">
        <f t="shared" si="250"/>
        <v>1.8825710113593779</v>
      </c>
      <c r="CI89" s="9">
        <f t="shared" si="251"/>
        <v>2.4364224412328763</v>
      </c>
      <c r="CJ89" s="9">
        <v>1</v>
      </c>
      <c r="CK89" s="9">
        <f t="shared" si="252"/>
        <v>214.4051748284931</v>
      </c>
      <c r="CM89" s="4">
        <f t="shared" si="206"/>
        <v>2.2210812281763657</v>
      </c>
      <c r="CN89" s="4">
        <f t="shared" si="207"/>
        <v>0.82710154271238945</v>
      </c>
      <c r="CO89" s="4">
        <f t="shared" si="208"/>
        <v>2.2406710954681732</v>
      </c>
      <c r="CP89" s="4">
        <f t="shared" si="209"/>
        <v>2.0195408079416235</v>
      </c>
      <c r="CQ89" s="4">
        <f t="shared" si="210"/>
        <v>1.5858446483348607</v>
      </c>
      <c r="CR89" s="4">
        <f t="shared" si="211"/>
        <v>1.6487439106558772</v>
      </c>
      <c r="CS89" s="4">
        <f t="shared" si="143"/>
        <v>2.3004333514574711</v>
      </c>
      <c r="CU89" s="4">
        <f t="shared" si="212"/>
        <v>2.2210812281763657</v>
      </c>
      <c r="CV89" s="4">
        <f t="shared" si="212"/>
        <v>0.82710154271238945</v>
      </c>
      <c r="CW89" s="4">
        <f t="shared" si="213"/>
        <v>2.0195408079416235</v>
      </c>
      <c r="CX89" s="4">
        <f>CS89</f>
        <v>2.3004333514574711</v>
      </c>
      <c r="CY89" s="4">
        <f t="shared" si="215"/>
        <v>1.5858446483348607</v>
      </c>
      <c r="CZ89" s="4">
        <f t="shared" si="215"/>
        <v>1.6487439106558772</v>
      </c>
      <c r="DH89" s="4">
        <f t="shared" si="167"/>
        <v>0</v>
      </c>
      <c r="DI89" s="4">
        <f t="shared" si="168"/>
        <v>381</v>
      </c>
      <c r="DJ89" s="4">
        <f t="shared" si="169"/>
        <v>0.66141732283464572</v>
      </c>
      <c r="DL89" s="4">
        <f t="shared" si="170"/>
        <v>1.8628104182055264E-5</v>
      </c>
      <c r="DM89" s="4">
        <f t="shared" si="171"/>
        <v>6.0161976170308948</v>
      </c>
      <c r="DN89" s="4">
        <f t="shared" si="172"/>
        <v>0.26444583522906207</v>
      </c>
      <c r="DO89" s="4">
        <f t="shared" si="253"/>
        <v>3.533920587061155</v>
      </c>
      <c r="DP89" s="4">
        <f t="shared" si="254"/>
        <v>4.9347313117653027</v>
      </c>
      <c r="DQ89" s="4">
        <f t="shared" si="255"/>
        <v>5.6757555744502399</v>
      </c>
      <c r="DR89" s="38">
        <f t="shared" si="275"/>
        <v>273.04061621335399</v>
      </c>
      <c r="DS89" s="4">
        <f t="shared" si="256"/>
        <v>1.0001655130606142</v>
      </c>
      <c r="DT89" s="4">
        <f t="shared" si="147"/>
        <v>3.2031234756093934</v>
      </c>
      <c r="DU89" s="4">
        <f t="shared" si="276"/>
        <v>152.8138409867322</v>
      </c>
      <c r="DY89" s="4">
        <f t="shared" si="235"/>
        <v>0.85</v>
      </c>
      <c r="DZ89" s="4">
        <f t="shared" si="257"/>
        <v>0.85013888888888889</v>
      </c>
      <c r="EA89" s="4">
        <f t="shared" si="258"/>
        <v>1</v>
      </c>
      <c r="EB89" s="4">
        <f t="shared" si="259"/>
        <v>0.85013888888888889</v>
      </c>
      <c r="ED89" s="4">
        <f t="shared" si="277"/>
        <v>262.62416934583297</v>
      </c>
      <c r="EE89" s="25">
        <f t="shared" si="278"/>
        <v>150.18137322121927</v>
      </c>
      <c r="EG89" s="4">
        <f t="shared" si="148"/>
        <v>0.72261805555555558</v>
      </c>
      <c r="EH89" s="4">
        <f t="shared" si="260"/>
        <v>6.0161976170308948</v>
      </c>
      <c r="EI89" s="4">
        <f t="shared" si="174"/>
        <v>4.9450239957683877</v>
      </c>
      <c r="EK89" s="4">
        <f t="shared" si="175"/>
        <v>115.31244512193817</v>
      </c>
      <c r="EL89" s="4">
        <f t="shared" si="176"/>
        <v>3.2031234756093934</v>
      </c>
      <c r="EM89" s="4">
        <f t="shared" si="177"/>
        <v>7.6515780520236359E-2</v>
      </c>
      <c r="EP89" s="4">
        <f t="shared" si="178"/>
        <v>7.6515780520236359E-2</v>
      </c>
      <c r="EQ89" s="4">
        <f t="shared" si="179"/>
        <v>0.26400452441606859</v>
      </c>
      <c r="ER89" s="4">
        <f t="shared" si="180"/>
        <v>3.5315604230679014</v>
      </c>
      <c r="ES89" s="4">
        <f t="shared" si="236"/>
        <v>4.9338906630979427</v>
      </c>
      <c r="ET89" s="4">
        <f t="shared" si="182"/>
        <v>170.43755487806183</v>
      </c>
      <c r="EU89" s="4">
        <f t="shared" si="183"/>
        <v>95.250000000000028</v>
      </c>
      <c r="EV89" s="4">
        <f t="shared" si="261"/>
        <v>1.8628104182055271E-5</v>
      </c>
      <c r="EW89" s="4">
        <f t="shared" si="237"/>
        <v>5.6758477067244071</v>
      </c>
      <c r="EX89" s="4">
        <f t="shared" si="185"/>
        <v>272.9954319038859</v>
      </c>
      <c r="EY89" s="4">
        <f t="shared" si="186"/>
        <v>136.68755487806186</v>
      </c>
      <c r="EZ89" s="4">
        <f t="shared" si="187"/>
        <v>0</v>
      </c>
      <c r="FB89" s="4">
        <f t="shared" si="262"/>
        <v>78.571478216117214</v>
      </c>
      <c r="FG89" s="23">
        <f t="shared" si="216"/>
        <v>2.2000000000000002</v>
      </c>
      <c r="FH89" s="23">
        <f t="shared" si="216"/>
        <v>1</v>
      </c>
      <c r="FI89" s="23">
        <f t="shared" si="230"/>
        <v>2.2000000000000002</v>
      </c>
      <c r="FJ89" s="23">
        <f t="shared" si="217"/>
        <v>2.2000000000000002</v>
      </c>
      <c r="FK89" s="23">
        <f t="shared" si="217"/>
        <v>1.6</v>
      </c>
      <c r="FL89" s="23">
        <f t="shared" si="217"/>
        <v>1.8</v>
      </c>
      <c r="FM89" s="23">
        <f t="shared" si="218"/>
        <v>0</v>
      </c>
      <c r="FN89" s="23"/>
      <c r="FX89" s="4">
        <f t="shared" si="263"/>
        <v>1</v>
      </c>
      <c r="FY89" s="4">
        <f t="shared" si="264"/>
        <v>1.0833333333333333</v>
      </c>
      <c r="FZ89" s="4">
        <f t="shared" si="265"/>
        <v>0</v>
      </c>
      <c r="GA89" s="4">
        <f t="shared" si="266"/>
        <v>188.22540532446502</v>
      </c>
    </row>
    <row r="90" spans="1:184" ht="12" customHeight="1" x14ac:dyDescent="0.3">
      <c r="A90" s="25">
        <v>72</v>
      </c>
      <c r="B90" s="20" t="s">
        <v>54</v>
      </c>
      <c r="C90" s="20">
        <v>2006</v>
      </c>
      <c r="D90" s="24" t="s">
        <v>55</v>
      </c>
      <c r="E90" s="24" t="s">
        <v>72</v>
      </c>
      <c r="F90" s="7" t="s">
        <v>281</v>
      </c>
      <c r="G90" s="7">
        <v>472</v>
      </c>
      <c r="H90" s="7">
        <f t="shared" si="240"/>
        <v>381</v>
      </c>
      <c r="I90" s="7">
        <f t="shared" si="131"/>
        <v>177.79999999999998</v>
      </c>
      <c r="J90" s="7">
        <v>26</v>
      </c>
      <c r="K90" s="7">
        <v>25.4</v>
      </c>
      <c r="L90" s="7">
        <f t="shared" si="151"/>
        <v>15</v>
      </c>
      <c r="M90" s="7">
        <v>7</v>
      </c>
      <c r="N90" s="7">
        <f t="shared" ref="N90:N93" si="280">6*25.4</f>
        <v>152.39999999999998</v>
      </c>
      <c r="O90" s="7">
        <f t="shared" si="267"/>
        <v>63.499999999999986</v>
      </c>
      <c r="P90" s="7">
        <f t="shared" si="133"/>
        <v>50.8</v>
      </c>
      <c r="Q90" s="7">
        <v>0</v>
      </c>
      <c r="R90" s="7">
        <v>1</v>
      </c>
      <c r="S90" s="7">
        <f t="shared" si="134"/>
        <v>88.899999999999991</v>
      </c>
      <c r="T90" s="7">
        <f t="shared" si="241"/>
        <v>2.9999999999999996</v>
      </c>
      <c r="U90" s="7">
        <f t="shared" si="135"/>
        <v>4</v>
      </c>
      <c r="V90" s="7">
        <v>4.7</v>
      </c>
      <c r="W90" s="7">
        <f t="shared" si="152"/>
        <v>4.7</v>
      </c>
      <c r="X90" s="7">
        <f t="shared" si="242"/>
        <v>5.7</v>
      </c>
      <c r="Y90" s="7">
        <f t="shared" si="200"/>
        <v>60.641668842471674</v>
      </c>
      <c r="Z90" s="7"/>
      <c r="AA90" s="7"/>
      <c r="AB90" s="7">
        <v>442</v>
      </c>
      <c r="AC90" s="7"/>
      <c r="AD90" s="7"/>
      <c r="AE90" s="7">
        <v>9.5</v>
      </c>
      <c r="AF90" s="7">
        <v>2</v>
      </c>
      <c r="AG90" s="7">
        <v>152</v>
      </c>
      <c r="AH90" s="7">
        <v>2</v>
      </c>
      <c r="AI90" s="7">
        <v>2</v>
      </c>
      <c r="AJ90" s="7"/>
      <c r="AK90" s="4">
        <f t="shared" si="279"/>
        <v>381</v>
      </c>
      <c r="AL90" s="44">
        <f t="shared" si="153"/>
        <v>5.9259259259259248E-2</v>
      </c>
      <c r="AM90" s="25">
        <f t="shared" si="268"/>
        <v>748.37078117567501</v>
      </c>
      <c r="AN90" s="4">
        <f t="shared" si="269"/>
        <v>0.74</v>
      </c>
      <c r="AO90" s="4">
        <v>1.25</v>
      </c>
      <c r="AP90" s="25">
        <f t="shared" si="270"/>
        <v>5</v>
      </c>
      <c r="AQ90" s="38">
        <f t="shared" si="271"/>
        <v>205.10902891481459</v>
      </c>
      <c r="AR90" s="38">
        <f t="shared" si="272"/>
        <v>205.10902891481459</v>
      </c>
      <c r="AT90" s="38">
        <f t="shared" si="130"/>
        <v>205.10902891481439</v>
      </c>
      <c r="AU90" s="38">
        <f t="shared" si="243"/>
        <v>1.0000000000000009</v>
      </c>
      <c r="AV90" s="38">
        <f t="shared" si="136"/>
        <v>1.868729369641889</v>
      </c>
      <c r="AW90" s="4">
        <f t="shared" si="154"/>
        <v>0</v>
      </c>
      <c r="AX90" s="4">
        <f t="shared" si="220"/>
        <v>187.85861365868152</v>
      </c>
      <c r="AY90" s="4">
        <f t="shared" si="221"/>
        <v>1.1333333333333333</v>
      </c>
      <c r="AZ90" s="38">
        <f t="shared" si="273"/>
        <v>383.29326631184108</v>
      </c>
      <c r="BA90" s="4">
        <f t="shared" si="222"/>
        <v>0.34199999999999997</v>
      </c>
      <c r="BB90" s="4">
        <f t="shared" si="244"/>
        <v>33.569394967738091</v>
      </c>
      <c r="BC90" s="4">
        <f t="shared" si="245"/>
        <v>416.86266127957919</v>
      </c>
      <c r="BE90" s="36">
        <f t="shared" si="246"/>
        <v>1.7609403835677346</v>
      </c>
      <c r="BF90" s="36">
        <f t="shared" si="247"/>
        <v>298.10510335243669</v>
      </c>
      <c r="BK90" s="4">
        <f t="shared" si="156"/>
        <v>63.499999999999986</v>
      </c>
      <c r="BL90" s="4">
        <f t="shared" si="157"/>
        <v>63.499999999999986</v>
      </c>
      <c r="BM90" s="4">
        <f t="shared" si="158"/>
        <v>88.899999999999991</v>
      </c>
      <c r="BN90" s="4">
        <f t="shared" si="159"/>
        <v>76.199999999999989</v>
      </c>
      <c r="BO90" s="4">
        <f t="shared" si="160"/>
        <v>1.04</v>
      </c>
      <c r="BP90" s="25">
        <f t="shared" si="274"/>
        <v>4</v>
      </c>
      <c r="BR90" s="4">
        <f t="shared" si="161"/>
        <v>63.499999999999986</v>
      </c>
      <c r="BV90" s="9"/>
      <c r="BX90" s="9"/>
      <c r="BY90" s="9"/>
      <c r="BZ90" s="9">
        <f t="shared" si="231"/>
        <v>50.8</v>
      </c>
      <c r="CA90" s="9">
        <f t="shared" si="232"/>
        <v>63.499999999999986</v>
      </c>
      <c r="CB90" s="9">
        <f t="shared" si="248"/>
        <v>1.4623505735569622</v>
      </c>
      <c r="CC90" s="9">
        <v>20</v>
      </c>
      <c r="CD90" s="9">
        <f t="shared" si="129"/>
        <v>0.05</v>
      </c>
      <c r="CE90" s="9">
        <f t="shared" si="249"/>
        <v>0.8</v>
      </c>
      <c r="CF90" s="9">
        <f t="shared" si="233"/>
        <v>0.99524931562137331</v>
      </c>
      <c r="CG90" s="9">
        <f t="shared" si="234"/>
        <v>1.056</v>
      </c>
      <c r="CH90" s="9">
        <f t="shared" si="250"/>
        <v>1.8756444837875041</v>
      </c>
      <c r="CI90" s="9">
        <f t="shared" si="251"/>
        <v>4.243365373685613</v>
      </c>
      <c r="CJ90" s="9">
        <v>1</v>
      </c>
      <c r="CK90" s="9">
        <f t="shared" si="252"/>
        <v>373.41615288433394</v>
      </c>
      <c r="CM90" s="4">
        <f t="shared" si="206"/>
        <v>2.3528332898435282</v>
      </c>
      <c r="CN90" s="4">
        <f t="shared" si="207"/>
        <v>1.0603012480015854</v>
      </c>
      <c r="CO90" s="4">
        <f t="shared" si="208"/>
        <v>1.4826985349440416</v>
      </c>
      <c r="CP90" s="4">
        <f t="shared" si="209"/>
        <v>1.1836659892345631</v>
      </c>
      <c r="CQ90" s="4">
        <f t="shared" si="210"/>
        <v>1.2124437123028964</v>
      </c>
      <c r="CR90" s="4">
        <f t="shared" si="211"/>
        <v>1.3702187218050508</v>
      </c>
      <c r="CS90" s="4">
        <f t="shared" si="143"/>
        <v>0.87831273920731312</v>
      </c>
      <c r="DA90" s="4">
        <f t="shared" ref="DA90:DB122" si="281">CM90</f>
        <v>2.3528332898435282</v>
      </c>
      <c r="DB90" s="4">
        <f t="shared" si="281"/>
        <v>1.0603012480015854</v>
      </c>
      <c r="DC90" s="4">
        <f t="shared" ref="DC90:DC122" si="282">CP90</f>
        <v>1.1836659892345631</v>
      </c>
      <c r="DD90" s="4">
        <f t="shared" ref="DD90:DD91" si="283">CS90</f>
        <v>0.87831273920731312</v>
      </c>
      <c r="DE90" s="4">
        <f t="shared" ref="DE90:DF122" si="284">CQ90</f>
        <v>1.2124437123028964</v>
      </c>
      <c r="DF90" s="4">
        <f t="shared" si="284"/>
        <v>1.3702187218050508</v>
      </c>
      <c r="DH90" s="4">
        <f t="shared" si="167"/>
        <v>2</v>
      </c>
      <c r="DI90" s="4">
        <f t="shared" si="168"/>
        <v>381</v>
      </c>
      <c r="DJ90" s="4">
        <f t="shared" si="169"/>
        <v>0.46666666666666662</v>
      </c>
      <c r="DL90" s="4">
        <f t="shared" si="170"/>
        <v>2.6015824312812745E-5</v>
      </c>
      <c r="DM90" s="4">
        <f t="shared" si="171"/>
        <v>7.1020943350297925</v>
      </c>
      <c r="DN90" s="4">
        <f t="shared" si="172"/>
        <v>0.3960514372704414</v>
      </c>
      <c r="DO90" s="4">
        <f t="shared" si="253"/>
        <v>4.9032842891802595</v>
      </c>
      <c r="DP90" s="4">
        <f t="shared" si="254"/>
        <v>6.1028630858810287</v>
      </c>
      <c r="DQ90" s="4">
        <f t="shared" si="255"/>
        <v>6.3724004838122834</v>
      </c>
      <c r="DR90" s="38">
        <f t="shared" si="275"/>
        <v>364.55300606118215</v>
      </c>
      <c r="DS90" s="4">
        <f t="shared" si="256"/>
        <v>1.0002061347589606</v>
      </c>
      <c r="DT90" s="4">
        <f t="shared" si="147"/>
        <v>2.3874672772626644</v>
      </c>
      <c r="DU90" s="4">
        <f t="shared" si="276"/>
        <v>205.10902891481439</v>
      </c>
      <c r="DY90" s="4">
        <f t="shared" si="235"/>
        <v>0.85</v>
      </c>
      <c r="DZ90" s="4">
        <f t="shared" si="257"/>
        <v>0.85000000000000009</v>
      </c>
      <c r="EA90" s="4">
        <f t="shared" si="258"/>
        <v>0.90713466426932854</v>
      </c>
      <c r="EB90" s="4">
        <f t="shared" si="259"/>
        <v>0.7710644646289293</v>
      </c>
      <c r="ED90" s="4">
        <f t="shared" si="277"/>
        <v>322.57623762265746</v>
      </c>
      <c r="EE90" s="25">
        <f t="shared" si="278"/>
        <v>202.29704102729465</v>
      </c>
      <c r="EG90" s="4">
        <f t="shared" si="148"/>
        <v>0.65540479493458992</v>
      </c>
      <c r="EH90" s="4">
        <f t="shared" si="260"/>
        <v>7.1020943350297925</v>
      </c>
      <c r="EI90" s="4">
        <f t="shared" si="174"/>
        <v>7.447594690010102</v>
      </c>
      <c r="EK90" s="4">
        <f t="shared" si="175"/>
        <v>60.641668842471674</v>
      </c>
      <c r="EL90" s="4">
        <f t="shared" si="176"/>
        <v>2.3874672772626644</v>
      </c>
      <c r="EM90" s="4">
        <f t="shared" si="177"/>
        <v>0.11042655740559819</v>
      </c>
      <c r="EP90" s="4">
        <f t="shared" si="178"/>
        <v>0.11042655740559819</v>
      </c>
      <c r="EQ90" s="4">
        <f t="shared" si="179"/>
        <v>0.39539050123559077</v>
      </c>
      <c r="ER90" s="4">
        <f t="shared" si="180"/>
        <v>4.9000095820262892</v>
      </c>
      <c r="ES90" s="4">
        <f t="shared" si="236"/>
        <v>6.1015499625175389</v>
      </c>
      <c r="ET90" s="4">
        <f t="shared" si="182"/>
        <v>225.10833115752831</v>
      </c>
      <c r="EU90" s="4">
        <f t="shared" si="183"/>
        <v>95.25</v>
      </c>
      <c r="EV90" s="4">
        <f t="shared" si="261"/>
        <v>2.6015824312812745E-5</v>
      </c>
      <c r="EW90" s="4">
        <f t="shared" si="237"/>
        <v>6.3725799412119812</v>
      </c>
      <c r="EX90" s="4">
        <f t="shared" si="185"/>
        <v>364.47787450237513</v>
      </c>
      <c r="EY90" s="4">
        <f t="shared" si="186"/>
        <v>117.15833115752831</v>
      </c>
      <c r="EZ90" s="4">
        <f t="shared" si="187"/>
        <v>0</v>
      </c>
      <c r="FB90" s="4">
        <f t="shared" si="262"/>
        <v>199.31504848097791</v>
      </c>
      <c r="FG90" s="23">
        <f t="shared" si="216"/>
        <v>2.2000000000000002</v>
      </c>
      <c r="FH90" s="23">
        <f t="shared" si="216"/>
        <v>1.2</v>
      </c>
      <c r="FI90" s="23">
        <f t="shared" si="230"/>
        <v>1</v>
      </c>
      <c r="FJ90" s="23">
        <f t="shared" si="217"/>
        <v>1.2</v>
      </c>
      <c r="FK90" s="23">
        <f t="shared" si="217"/>
        <v>1.4</v>
      </c>
      <c r="FL90" s="23">
        <f t="shared" si="217"/>
        <v>1.4</v>
      </c>
      <c r="FM90" s="23">
        <f t="shared" si="218"/>
        <v>0</v>
      </c>
      <c r="FN90" s="23"/>
      <c r="FX90" s="4">
        <f t="shared" si="263"/>
        <v>1</v>
      </c>
      <c r="FY90" s="4">
        <f t="shared" si="264"/>
        <v>0.6711572180011689</v>
      </c>
      <c r="FZ90" s="4">
        <f t="shared" si="265"/>
        <v>0.3</v>
      </c>
      <c r="GA90" s="4">
        <f t="shared" si="266"/>
        <v>503.23760577457847</v>
      </c>
    </row>
    <row r="91" spans="1:184" ht="12" customHeight="1" x14ac:dyDescent="0.3">
      <c r="A91" s="25">
        <v>73</v>
      </c>
      <c r="B91" s="20" t="s">
        <v>54</v>
      </c>
      <c r="C91" s="20">
        <v>2006</v>
      </c>
      <c r="D91" s="24" t="s">
        <v>55</v>
      </c>
      <c r="E91" s="24"/>
      <c r="F91" s="7" t="s">
        <v>281</v>
      </c>
      <c r="G91" s="7">
        <v>472</v>
      </c>
      <c r="H91" s="7">
        <f t="shared" si="240"/>
        <v>381</v>
      </c>
      <c r="I91" s="7">
        <f t="shared" si="131"/>
        <v>177.79999999999998</v>
      </c>
      <c r="J91" s="7">
        <v>26</v>
      </c>
      <c r="K91" s="7">
        <v>25.4</v>
      </c>
      <c r="L91" s="7">
        <f t="shared" si="151"/>
        <v>15</v>
      </c>
      <c r="M91" s="7">
        <v>7</v>
      </c>
      <c r="N91" s="7">
        <f t="shared" si="280"/>
        <v>152.39999999999998</v>
      </c>
      <c r="O91" s="7">
        <f t="shared" si="267"/>
        <v>63.499999999999986</v>
      </c>
      <c r="P91" s="7">
        <f t="shared" si="133"/>
        <v>50.8</v>
      </c>
      <c r="Q91" s="7">
        <v>0</v>
      </c>
      <c r="R91" s="7">
        <v>1</v>
      </c>
      <c r="S91" s="7">
        <f t="shared" si="134"/>
        <v>88.899999999999991</v>
      </c>
      <c r="T91" s="7">
        <f t="shared" si="241"/>
        <v>2.9999999999999996</v>
      </c>
      <c r="U91" s="7">
        <f t="shared" si="135"/>
        <v>4</v>
      </c>
      <c r="V91" s="7">
        <v>4.7</v>
      </c>
      <c r="W91" s="7">
        <f t="shared" si="152"/>
        <v>4.7</v>
      </c>
      <c r="X91" s="7">
        <f t="shared" si="242"/>
        <v>5.7</v>
      </c>
      <c r="Y91" s="7">
        <f t="shared" si="200"/>
        <v>60.641668842471674</v>
      </c>
      <c r="Z91" s="7"/>
      <c r="AA91" s="7"/>
      <c r="AB91" s="7">
        <v>459</v>
      </c>
      <c r="AC91" s="7"/>
      <c r="AD91" s="7"/>
      <c r="AE91" s="7">
        <v>9.5</v>
      </c>
      <c r="AF91" s="7">
        <v>3</v>
      </c>
      <c r="AG91" s="7">
        <v>76</v>
      </c>
      <c r="AH91" s="7">
        <v>3</v>
      </c>
      <c r="AI91" s="7">
        <v>3</v>
      </c>
      <c r="AJ91" s="7"/>
      <c r="AK91" s="4">
        <f t="shared" si="279"/>
        <v>381</v>
      </c>
      <c r="AL91" s="44">
        <f t="shared" si="153"/>
        <v>5.9259259259259248E-2</v>
      </c>
      <c r="AM91" s="25">
        <f t="shared" si="268"/>
        <v>748.37078117567501</v>
      </c>
      <c r="AN91" s="4">
        <f t="shared" si="269"/>
        <v>0.74</v>
      </c>
      <c r="AO91" s="4">
        <v>1.25</v>
      </c>
      <c r="AP91" s="25">
        <f t="shared" si="270"/>
        <v>5</v>
      </c>
      <c r="AQ91" s="38">
        <f t="shared" si="271"/>
        <v>205.10902891481459</v>
      </c>
      <c r="AR91" s="38">
        <f t="shared" si="272"/>
        <v>205.10902891481459</v>
      </c>
      <c r="AT91" s="38">
        <f t="shared" si="130"/>
        <v>205.10902891481439</v>
      </c>
      <c r="AU91" s="38">
        <f t="shared" si="243"/>
        <v>1.0000000000000009</v>
      </c>
      <c r="AV91" s="38">
        <f t="shared" si="136"/>
        <v>1.868729369641889</v>
      </c>
      <c r="AW91" s="4">
        <f t="shared" si="154"/>
        <v>0</v>
      </c>
      <c r="AX91" s="4">
        <f t="shared" si="220"/>
        <v>187.85861365868152</v>
      </c>
      <c r="AY91" s="4">
        <f t="shared" si="221"/>
        <v>1.1333333333333333</v>
      </c>
      <c r="AZ91" s="38">
        <f t="shared" si="273"/>
        <v>383.29326631184108</v>
      </c>
      <c r="BA91" s="4">
        <f t="shared" si="222"/>
        <v>0.34199999999999997</v>
      </c>
      <c r="BB91" s="4">
        <f t="shared" si="244"/>
        <v>33.569394967738091</v>
      </c>
      <c r="BC91" s="4">
        <f t="shared" si="245"/>
        <v>416.86266127957919</v>
      </c>
      <c r="BE91" s="36">
        <f t="shared" si="246"/>
        <v>2.2250000000000001</v>
      </c>
      <c r="BF91" s="36">
        <f t="shared" si="247"/>
        <v>376.66457146909903</v>
      </c>
      <c r="BK91" s="4">
        <f t="shared" si="156"/>
        <v>63.499999999999986</v>
      </c>
      <c r="BL91" s="4">
        <f t="shared" si="157"/>
        <v>63.499999999999986</v>
      </c>
      <c r="BM91" s="4">
        <f t="shared" si="158"/>
        <v>88.899999999999991</v>
      </c>
      <c r="BN91" s="4">
        <f t="shared" si="159"/>
        <v>76.199999999999989</v>
      </c>
      <c r="BO91" s="4">
        <f t="shared" si="160"/>
        <v>1.04</v>
      </c>
      <c r="BP91" s="25">
        <f t="shared" si="274"/>
        <v>4</v>
      </c>
      <c r="BR91" s="4">
        <f t="shared" si="161"/>
        <v>63.499999999999986</v>
      </c>
      <c r="BV91" s="9"/>
      <c r="BX91" s="9"/>
      <c r="BY91" s="9"/>
      <c r="BZ91" s="9">
        <f t="shared" si="231"/>
        <v>50.8</v>
      </c>
      <c r="CA91" s="9">
        <f t="shared" si="232"/>
        <v>63.499999999999986</v>
      </c>
      <c r="CB91" s="9">
        <f t="shared" si="248"/>
        <v>1.4623505735569622</v>
      </c>
      <c r="CC91" s="9">
        <v>20</v>
      </c>
      <c r="CD91" s="9">
        <f t="shared" si="129"/>
        <v>0.05</v>
      </c>
      <c r="CE91" s="9">
        <f t="shared" si="249"/>
        <v>0.8</v>
      </c>
      <c r="CF91" s="9">
        <f t="shared" si="233"/>
        <v>0.99524931562137331</v>
      </c>
      <c r="CG91" s="9">
        <f t="shared" si="234"/>
        <v>1.056</v>
      </c>
      <c r="CH91" s="9">
        <f t="shared" si="250"/>
        <v>1.8756444837875041</v>
      </c>
      <c r="CI91" s="9">
        <f t="shared" si="251"/>
        <v>4.243365373685613</v>
      </c>
      <c r="CJ91" s="9">
        <v>1</v>
      </c>
      <c r="CK91" s="9">
        <f t="shared" si="252"/>
        <v>373.41615288433394</v>
      </c>
      <c r="CM91" s="4">
        <f t="shared" si="206"/>
        <v>2.443326877914433</v>
      </c>
      <c r="CN91" s="4">
        <f t="shared" si="207"/>
        <v>1.1010820652324156</v>
      </c>
      <c r="CO91" s="4">
        <f t="shared" si="208"/>
        <v>1.2185908491732296</v>
      </c>
      <c r="CP91" s="4">
        <f t="shared" si="209"/>
        <v>1.2291916042051232</v>
      </c>
      <c r="CQ91" s="4">
        <f t="shared" si="210"/>
        <v>1.2055484567032204</v>
      </c>
      <c r="CR91" s="4">
        <f t="shared" si="211"/>
        <v>1.3661223216497842</v>
      </c>
      <c r="CS91" s="4">
        <f t="shared" si="143"/>
        <v>0.91209399840759442</v>
      </c>
      <c r="DA91" s="4">
        <f t="shared" si="281"/>
        <v>2.443326877914433</v>
      </c>
      <c r="DB91" s="4">
        <f t="shared" si="281"/>
        <v>1.1010820652324156</v>
      </c>
      <c r="DC91" s="4">
        <f t="shared" si="282"/>
        <v>1.2291916042051232</v>
      </c>
      <c r="DD91" s="4">
        <f t="shared" si="283"/>
        <v>0.91209399840759442</v>
      </c>
      <c r="DE91" s="4">
        <f t="shared" si="284"/>
        <v>1.2055484567032204</v>
      </c>
      <c r="DF91" s="4">
        <f t="shared" si="284"/>
        <v>1.3661223216497842</v>
      </c>
      <c r="DH91" s="4">
        <f t="shared" si="167"/>
        <v>3</v>
      </c>
      <c r="DI91" s="4">
        <f t="shared" si="168"/>
        <v>381</v>
      </c>
      <c r="DJ91" s="4">
        <f t="shared" si="169"/>
        <v>0.46666666666666662</v>
      </c>
      <c r="DL91" s="4">
        <f t="shared" si="170"/>
        <v>2.6015824312812745E-5</v>
      </c>
      <c r="DM91" s="4">
        <f t="shared" si="171"/>
        <v>7.8231036659769986</v>
      </c>
      <c r="DN91" s="4">
        <f t="shared" si="172"/>
        <v>0.3960514372704414</v>
      </c>
      <c r="DO91" s="4">
        <f t="shared" si="253"/>
        <v>5.4010689648003103</v>
      </c>
      <c r="DP91" s="4">
        <f t="shared" si="254"/>
        <v>6.7224297971693012</v>
      </c>
      <c r="DQ91" s="4">
        <f t="shared" si="255"/>
        <v>6.9392830395578722</v>
      </c>
      <c r="DR91" s="38">
        <f t="shared" si="275"/>
        <v>380.73956915445314</v>
      </c>
      <c r="DS91" s="4">
        <f t="shared" si="256"/>
        <v>1.0002166350368193</v>
      </c>
      <c r="DT91" s="4">
        <f t="shared" si="147"/>
        <v>2.3874672772626644</v>
      </c>
      <c r="DU91" s="4">
        <f t="shared" si="276"/>
        <v>205.10902891481439</v>
      </c>
      <c r="DY91" s="4">
        <f t="shared" si="235"/>
        <v>0.85</v>
      </c>
      <c r="DZ91" s="4">
        <f t="shared" si="257"/>
        <v>0.85000000000000009</v>
      </c>
      <c r="EA91" s="4">
        <f t="shared" si="258"/>
        <v>0.82320199640399283</v>
      </c>
      <c r="EB91" s="4">
        <f t="shared" si="259"/>
        <v>0.7</v>
      </c>
      <c r="ED91" s="4">
        <f t="shared" si="277"/>
        <v>335.98748276486191</v>
      </c>
      <c r="EE91" s="25">
        <f t="shared" si="278"/>
        <v>202.29704102729465</v>
      </c>
      <c r="EG91" s="4">
        <f t="shared" si="148"/>
        <v>0.59499999999999997</v>
      </c>
      <c r="EH91" s="4">
        <f t="shared" si="260"/>
        <v>7.8231036659769986</v>
      </c>
      <c r="EI91" s="4">
        <f t="shared" si="174"/>
        <v>7.447594690010102</v>
      </c>
      <c r="EK91" s="4">
        <f t="shared" si="175"/>
        <v>60.641668842471674</v>
      </c>
      <c r="EL91" s="4">
        <f t="shared" si="176"/>
        <v>2.3874672772626644</v>
      </c>
      <c r="EM91" s="4">
        <f t="shared" si="177"/>
        <v>0.11042655740559819</v>
      </c>
      <c r="EP91" s="4">
        <f t="shared" si="178"/>
        <v>0.11042655740559819</v>
      </c>
      <c r="EQ91" s="4">
        <f t="shared" si="179"/>
        <v>0.39539050123559077</v>
      </c>
      <c r="ER91" s="4">
        <f t="shared" si="180"/>
        <v>5.3974618072024638</v>
      </c>
      <c r="ES91" s="4">
        <f t="shared" si="236"/>
        <v>6.7209833646503565</v>
      </c>
      <c r="ET91" s="4">
        <f t="shared" si="182"/>
        <v>225.10833115752831</v>
      </c>
      <c r="EU91" s="4">
        <f t="shared" si="183"/>
        <v>95.25</v>
      </c>
      <c r="EV91" s="4">
        <f t="shared" si="261"/>
        <v>2.6015824312812745E-5</v>
      </c>
      <c r="EW91" s="4">
        <f t="shared" si="237"/>
        <v>6.9395004021561064</v>
      </c>
      <c r="EX91" s="4">
        <f t="shared" si="185"/>
        <v>380.65710548839007</v>
      </c>
      <c r="EY91" s="4">
        <f t="shared" si="186"/>
        <v>117.15833115752831</v>
      </c>
      <c r="EZ91" s="4">
        <f t="shared" si="187"/>
        <v>0</v>
      </c>
      <c r="FB91" s="4">
        <f t="shared" si="262"/>
        <v>218.34922323139773</v>
      </c>
      <c r="FG91" s="23">
        <f t="shared" si="216"/>
        <v>2.2000000000000002</v>
      </c>
      <c r="FH91" s="23">
        <f t="shared" si="216"/>
        <v>1.2</v>
      </c>
      <c r="FI91" s="23">
        <f t="shared" si="230"/>
        <v>1</v>
      </c>
      <c r="FJ91" s="23">
        <f t="shared" si="217"/>
        <v>1.4</v>
      </c>
      <c r="FK91" s="23">
        <f t="shared" si="217"/>
        <v>1.4</v>
      </c>
      <c r="FL91" s="23">
        <f t="shared" si="217"/>
        <v>1.4</v>
      </c>
      <c r="FM91" s="23">
        <f t="shared" si="218"/>
        <v>0</v>
      </c>
      <c r="FN91" s="23"/>
      <c r="FX91" s="4">
        <f t="shared" si="263"/>
        <v>1</v>
      </c>
      <c r="FY91" s="4">
        <f t="shared" si="264"/>
        <v>0.6711572180011689</v>
      </c>
      <c r="FZ91" s="4">
        <f t="shared" si="265"/>
        <v>0.3</v>
      </c>
      <c r="GA91" s="4">
        <f t="shared" si="266"/>
        <v>503.23760577457847</v>
      </c>
    </row>
    <row r="92" spans="1:184" ht="12" customHeight="1" x14ac:dyDescent="0.3">
      <c r="A92" s="25">
        <v>74</v>
      </c>
      <c r="B92" s="20" t="s">
        <v>54</v>
      </c>
      <c r="C92" s="20">
        <v>2006</v>
      </c>
      <c r="D92" s="24" t="s">
        <v>55</v>
      </c>
      <c r="E92" s="24"/>
      <c r="F92" s="7" t="s">
        <v>281</v>
      </c>
      <c r="G92" s="7">
        <v>472</v>
      </c>
      <c r="H92" s="7">
        <f t="shared" si="240"/>
        <v>381</v>
      </c>
      <c r="I92" s="7">
        <f t="shared" si="131"/>
        <v>177.79999999999998</v>
      </c>
      <c r="J92" s="7">
        <v>28</v>
      </c>
      <c r="K92" s="7">
        <v>25.4</v>
      </c>
      <c r="L92" s="7">
        <f t="shared" si="151"/>
        <v>15</v>
      </c>
      <c r="M92" s="7">
        <v>7</v>
      </c>
      <c r="N92" s="7">
        <f t="shared" si="280"/>
        <v>152.39999999999998</v>
      </c>
      <c r="O92" s="7">
        <f t="shared" si="267"/>
        <v>63.499999999999986</v>
      </c>
      <c r="P92" s="7">
        <f t="shared" si="133"/>
        <v>50.8</v>
      </c>
      <c r="Q92" s="7">
        <v>0</v>
      </c>
      <c r="R92" s="7">
        <v>1</v>
      </c>
      <c r="S92" s="7">
        <f t="shared" si="134"/>
        <v>88.899999999999991</v>
      </c>
      <c r="T92" s="7">
        <f>MIN(N92/2/K92, (S92+K92/2)/K92)</f>
        <v>2.9999999999999996</v>
      </c>
      <c r="U92" s="7">
        <f t="shared" si="135"/>
        <v>4</v>
      </c>
      <c r="V92" s="7">
        <v>4.7</v>
      </c>
      <c r="W92" s="7">
        <f t="shared" si="152"/>
        <v>4.7</v>
      </c>
      <c r="X92" s="7">
        <f t="shared" si="242"/>
        <v>5.7</v>
      </c>
      <c r="Y92" s="7">
        <f t="shared" si="200"/>
        <v>60.641668842471674</v>
      </c>
      <c r="Z92" s="7"/>
      <c r="AA92" s="7"/>
      <c r="AB92" s="7">
        <v>400</v>
      </c>
      <c r="AC92" s="7"/>
      <c r="AD92" s="7"/>
      <c r="AE92" s="7"/>
      <c r="AF92" s="7"/>
      <c r="AG92" s="7">
        <v>1</v>
      </c>
      <c r="AH92" s="7"/>
      <c r="AI92" s="7"/>
      <c r="AJ92" s="7"/>
      <c r="AK92" s="4">
        <f t="shared" si="279"/>
        <v>381</v>
      </c>
      <c r="AL92" s="44">
        <f t="shared" si="153"/>
        <v>5.9259259259259248E-2</v>
      </c>
      <c r="AM92" s="25">
        <f t="shared" si="268"/>
        <v>776.62106221784506</v>
      </c>
      <c r="AN92" s="4">
        <f t="shared" si="269"/>
        <v>0.74</v>
      </c>
      <c r="AO92" s="4">
        <v>1.25</v>
      </c>
      <c r="AP92" s="25">
        <f t="shared" si="270"/>
        <v>5</v>
      </c>
      <c r="AQ92" s="38">
        <f t="shared" si="271"/>
        <v>212.85169853377971</v>
      </c>
      <c r="AR92" s="38">
        <f t="shared" si="272"/>
        <v>212.85169853377971</v>
      </c>
      <c r="AT92" s="38">
        <f t="shared" si="130"/>
        <v>212.85169853377948</v>
      </c>
      <c r="AU92" s="38">
        <f t="shared" si="243"/>
        <v>1.0000000000000011</v>
      </c>
      <c r="AV92" s="38">
        <f t="shared" si="136"/>
        <v>1.9392721155802133</v>
      </c>
      <c r="AW92" s="4">
        <f t="shared" si="154"/>
        <v>0</v>
      </c>
      <c r="AX92" s="4">
        <f t="shared" si="220"/>
        <v>194.95009660475932</v>
      </c>
      <c r="AY92" s="4">
        <f t="shared" si="221"/>
        <v>1.1333333333333333</v>
      </c>
      <c r="AZ92" s="38">
        <f t="shared" si="273"/>
        <v>412.77736372044433</v>
      </c>
      <c r="BA92" s="4">
        <f t="shared" si="222"/>
        <v>0.34199999999999997</v>
      </c>
      <c r="BB92" s="4">
        <f t="shared" si="244"/>
        <v>34.836607512787459</v>
      </c>
      <c r="BC92" s="4">
        <f t="shared" si="245"/>
        <v>447.61397123323178</v>
      </c>
      <c r="BE92" s="36">
        <f t="shared" si="246"/>
        <v>1.1000000000000001</v>
      </c>
      <c r="BF92" s="36">
        <f t="shared" si="247"/>
        <v>193.24567576015772</v>
      </c>
      <c r="BK92" s="4">
        <f t="shared" si="156"/>
        <v>63.499999999999986</v>
      </c>
      <c r="BL92" s="4">
        <f t="shared" si="157"/>
        <v>63.499999999999986</v>
      </c>
      <c r="BM92" s="4">
        <f t="shared" si="158"/>
        <v>88.899999999999991</v>
      </c>
      <c r="BN92" s="4">
        <f t="shared" si="159"/>
        <v>76.199999999999989</v>
      </c>
      <c r="BO92" s="4">
        <f t="shared" si="160"/>
        <v>1.04</v>
      </c>
      <c r="BP92" s="25">
        <f t="shared" si="274"/>
        <v>3.1199999999999997</v>
      </c>
      <c r="BR92" s="4">
        <f t="shared" si="161"/>
        <v>63.499999999999986</v>
      </c>
      <c r="BV92" s="9"/>
      <c r="BX92" s="9"/>
      <c r="BY92" s="9"/>
      <c r="BZ92" s="9">
        <f t="shared" si="231"/>
        <v>50.8</v>
      </c>
      <c r="CA92" s="9">
        <f t="shared" si="232"/>
        <v>63.499999999999986</v>
      </c>
      <c r="CB92" s="9">
        <f t="shared" si="248"/>
        <v>1.4623505735569622</v>
      </c>
      <c r="CC92" s="9">
        <v>0</v>
      </c>
      <c r="CD92" s="9">
        <f t="shared" si="129"/>
        <v>0</v>
      </c>
      <c r="CE92" s="9">
        <f t="shared" si="249"/>
        <v>0</v>
      </c>
      <c r="CF92" s="9">
        <f t="shared" si="233"/>
        <v>0.99524931562137331</v>
      </c>
      <c r="CG92" s="9">
        <f t="shared" si="234"/>
        <v>1.056</v>
      </c>
      <c r="CH92" s="9">
        <f t="shared" si="250"/>
        <v>1.9464482686693119</v>
      </c>
      <c r="CI92" s="9">
        <f t="shared" si="251"/>
        <v>2.8463897420875242</v>
      </c>
      <c r="CJ92" s="9">
        <v>1</v>
      </c>
      <c r="CK92" s="9">
        <f t="shared" si="252"/>
        <v>250.48229730370213</v>
      </c>
      <c r="CM92" s="4">
        <f t="shared" si="206"/>
        <v>2.0518071391929475</v>
      </c>
      <c r="CN92" s="4">
        <f t="shared" si="207"/>
        <v>0.89362715577878549</v>
      </c>
      <c r="CO92" s="4">
        <f t="shared" si="208"/>
        <v>2.0699040142893055</v>
      </c>
      <c r="CP92" s="4">
        <f t="shared" si="209"/>
        <v>1.5969192406240678</v>
      </c>
      <c r="CQ92" s="4">
        <f t="shared" si="210"/>
        <v>1.1055834412003578</v>
      </c>
      <c r="CR92" s="4">
        <f t="shared" si="211"/>
        <v>1.2379438411590769</v>
      </c>
      <c r="CS92" s="4">
        <f t="shared" si="143"/>
        <v>1.2594431657304286</v>
      </c>
      <c r="CU92" s="4">
        <f t="shared" si="212"/>
        <v>2.0518071391929475</v>
      </c>
      <c r="CV92" s="4">
        <f t="shared" si="212"/>
        <v>0.89362715577878549</v>
      </c>
      <c r="CW92" s="4">
        <f t="shared" si="213"/>
        <v>1.5969192406240678</v>
      </c>
      <c r="CX92" s="4">
        <f>CS92</f>
        <v>1.2594431657304286</v>
      </c>
      <c r="CY92" s="4">
        <f t="shared" si="215"/>
        <v>1.1055834412003578</v>
      </c>
      <c r="CZ92" s="4">
        <f t="shared" si="215"/>
        <v>1.2379438411590769</v>
      </c>
      <c r="DH92" s="4">
        <f t="shared" si="167"/>
        <v>0</v>
      </c>
      <c r="DI92" s="4">
        <f t="shared" si="168"/>
        <v>381</v>
      </c>
      <c r="DJ92" s="4">
        <f t="shared" si="169"/>
        <v>0.46666666666666662</v>
      </c>
      <c r="DL92" s="4">
        <f t="shared" si="170"/>
        <v>2.6402037423385414E-5</v>
      </c>
      <c r="DM92" s="4">
        <f t="shared" si="171"/>
        <v>6.6857562842857838</v>
      </c>
      <c r="DN92" s="4">
        <f t="shared" si="172"/>
        <v>0.38164471441117015</v>
      </c>
      <c r="DO92" s="4">
        <f t="shared" si="253"/>
        <v>4.5479349265027409</v>
      </c>
      <c r="DP92" s="4">
        <f t="shared" si="254"/>
        <v>5.718003726364846</v>
      </c>
      <c r="DQ92" s="4">
        <f t="shared" si="255"/>
        <v>6.0325477522062965</v>
      </c>
      <c r="DR92" s="38">
        <f t="shared" si="275"/>
        <v>361.7999194757391</v>
      </c>
      <c r="DS92" s="4">
        <f t="shared" si="256"/>
        <v>1.0001917675827809</v>
      </c>
      <c r="DT92" s="4">
        <f t="shared" si="147"/>
        <v>2.3874672772626644</v>
      </c>
      <c r="DU92" s="4">
        <f t="shared" si="276"/>
        <v>212.85169853377948</v>
      </c>
      <c r="DY92" s="4">
        <f t="shared" si="235"/>
        <v>0.85</v>
      </c>
      <c r="DZ92" s="4">
        <f t="shared" si="257"/>
        <v>0.85000000000000009</v>
      </c>
      <c r="EA92" s="4">
        <f t="shared" si="258"/>
        <v>1</v>
      </c>
      <c r="EB92" s="4">
        <f t="shared" si="259"/>
        <v>0.85000000000000009</v>
      </c>
      <c r="ED92" s="4">
        <f t="shared" si="277"/>
        <v>323.11643444623724</v>
      </c>
      <c r="EE92" s="25">
        <f t="shared" si="278"/>
        <v>209.93356079366291</v>
      </c>
      <c r="EG92" s="4">
        <f t="shared" si="148"/>
        <v>0.72250000000000003</v>
      </c>
      <c r="EH92" s="4">
        <f t="shared" si="260"/>
        <v>6.6857562842857838</v>
      </c>
      <c r="EI92" s="4">
        <f t="shared" si="174"/>
        <v>6.028412726414806</v>
      </c>
      <c r="EK92" s="4">
        <f t="shared" si="175"/>
        <v>60.641668842471674</v>
      </c>
      <c r="EL92" s="4">
        <f t="shared" si="176"/>
        <v>2.3874672772626644</v>
      </c>
      <c r="EM92" s="4">
        <f t="shared" si="177"/>
        <v>0.11042655740559816</v>
      </c>
      <c r="EP92" s="4">
        <f t="shared" si="178"/>
        <v>0.11042655740559816</v>
      </c>
      <c r="EQ92" s="4">
        <f t="shared" si="179"/>
        <v>0.38100782051172344</v>
      </c>
      <c r="ER92" s="4">
        <f t="shared" si="180"/>
        <v>4.5448975429530103</v>
      </c>
      <c r="ES92" s="4">
        <f t="shared" si="236"/>
        <v>5.7167982559416854</v>
      </c>
      <c r="ET92" s="4">
        <f t="shared" si="182"/>
        <v>225.10833115752831</v>
      </c>
      <c r="EU92" s="4">
        <f t="shared" si="183"/>
        <v>95.25</v>
      </c>
      <c r="EV92" s="4">
        <f t="shared" si="261"/>
        <v>2.6402037423385414E-5</v>
      </c>
      <c r="EW92" s="4">
        <f t="shared" si="237"/>
        <v>6.0327059192851493</v>
      </c>
      <c r="EX92" s="4">
        <f t="shared" si="185"/>
        <v>361.73055128230169</v>
      </c>
      <c r="EY92" s="4">
        <f t="shared" si="186"/>
        <v>117.15833115752831</v>
      </c>
      <c r="EZ92" s="4">
        <f t="shared" si="187"/>
        <v>0</v>
      </c>
      <c r="FB92" s="4">
        <f t="shared" si="262"/>
        <v>187.6761591402859</v>
      </c>
      <c r="FG92" s="23">
        <f t="shared" si="216"/>
        <v>2.2000000000000002</v>
      </c>
      <c r="FH92" s="23">
        <f t="shared" si="216"/>
        <v>1</v>
      </c>
      <c r="FI92" s="23">
        <f t="shared" si="230"/>
        <v>1.4</v>
      </c>
      <c r="FJ92" s="23">
        <f t="shared" si="217"/>
        <v>1.6</v>
      </c>
      <c r="FK92" s="23">
        <f t="shared" si="217"/>
        <v>1.2</v>
      </c>
      <c r="FL92" s="23">
        <f t="shared" si="217"/>
        <v>1.4</v>
      </c>
      <c r="FM92" s="23">
        <f t="shared" si="218"/>
        <v>0</v>
      </c>
      <c r="FN92" s="23"/>
      <c r="FX92" s="4">
        <f t="shared" si="263"/>
        <v>1</v>
      </c>
      <c r="FY92" s="4">
        <f t="shared" si="264"/>
        <v>1.0833333333333333</v>
      </c>
      <c r="FZ92" s="4">
        <f t="shared" si="265"/>
        <v>0</v>
      </c>
      <c r="GA92" s="4">
        <f t="shared" si="266"/>
        <v>317.60067534926469</v>
      </c>
    </row>
    <row r="93" spans="1:184" ht="12" customHeight="1" x14ac:dyDescent="0.3">
      <c r="A93" s="25">
        <v>75</v>
      </c>
      <c r="B93" s="20" t="s">
        <v>54</v>
      </c>
      <c r="C93" s="20">
        <v>2006</v>
      </c>
      <c r="D93" s="24" t="s">
        <v>55</v>
      </c>
      <c r="E93" s="24"/>
      <c r="F93" s="7" t="s">
        <v>66</v>
      </c>
      <c r="G93" s="7">
        <v>472</v>
      </c>
      <c r="H93" s="7">
        <f t="shared" si="240"/>
        <v>381</v>
      </c>
      <c r="I93" s="7">
        <f t="shared" si="131"/>
        <v>177.79999999999998</v>
      </c>
      <c r="J93" s="7">
        <v>26</v>
      </c>
      <c r="K93" s="7">
        <v>25.4</v>
      </c>
      <c r="L93" s="7">
        <f t="shared" si="151"/>
        <v>15</v>
      </c>
      <c r="M93" s="7">
        <v>7</v>
      </c>
      <c r="N93" s="7">
        <f t="shared" si="280"/>
        <v>152.39999999999998</v>
      </c>
      <c r="O93" s="7">
        <f t="shared" si="267"/>
        <v>63.499999999999986</v>
      </c>
      <c r="P93" s="7">
        <f t="shared" si="133"/>
        <v>50.8</v>
      </c>
      <c r="Q93" s="7">
        <v>0</v>
      </c>
      <c r="R93" s="7">
        <v>1</v>
      </c>
      <c r="S93" s="7">
        <f t="shared" si="134"/>
        <v>88.899999999999991</v>
      </c>
      <c r="T93" s="7">
        <f t="shared" si="241"/>
        <v>2.9999999999999996</v>
      </c>
      <c r="U93" s="7">
        <f>MAX(N93/2/K93, (S93+K93/2)/K93)</f>
        <v>4</v>
      </c>
      <c r="V93" s="7">
        <v>4.7</v>
      </c>
      <c r="W93" s="7">
        <f t="shared" si="152"/>
        <v>4.7</v>
      </c>
      <c r="X93" s="7">
        <f t="shared" si="242"/>
        <v>5.7</v>
      </c>
      <c r="Y93" s="7">
        <f t="shared" si="200"/>
        <v>60.641668842471674</v>
      </c>
      <c r="Z93" s="7"/>
      <c r="AA93" s="7"/>
      <c r="AB93" s="7">
        <v>455</v>
      </c>
      <c r="AC93" s="7"/>
      <c r="AD93" s="7"/>
      <c r="AE93" s="7"/>
      <c r="AF93" s="7"/>
      <c r="AG93" s="7">
        <v>1</v>
      </c>
      <c r="AH93" s="7"/>
      <c r="AI93" s="7"/>
      <c r="AJ93" s="7"/>
      <c r="AK93" s="4">
        <f t="shared" si="279"/>
        <v>381</v>
      </c>
      <c r="AL93" s="44">
        <f t="shared" si="153"/>
        <v>5.9259259259259248E-2</v>
      </c>
      <c r="AM93" s="25">
        <f t="shared" si="268"/>
        <v>748.37078117567501</v>
      </c>
      <c r="AN93" s="4">
        <f t="shared" si="269"/>
        <v>0.74</v>
      </c>
      <c r="AO93" s="4">
        <v>1.25</v>
      </c>
      <c r="AP93" s="25">
        <f t="shared" si="270"/>
        <v>5</v>
      </c>
      <c r="AQ93" s="38">
        <f t="shared" si="271"/>
        <v>205.10902891481459</v>
      </c>
      <c r="AR93" s="38">
        <f t="shared" si="272"/>
        <v>205.10902891481459</v>
      </c>
      <c r="AT93" s="38">
        <f>AP93* (J93^0.5/AK93^0.5)/(PI()/4*K93^2)/R93/0.72 *(0.7+(MIN(O93,S93)+0.5*K93)/5/H93) *(N93*MIN(S93+0.5*K93+1.5*H93,508))</f>
        <v>205.10902891481439</v>
      </c>
      <c r="AU93" s="38">
        <f t="shared" si="243"/>
        <v>1.0000000000000009</v>
      </c>
      <c r="AV93" s="38">
        <f t="shared" si="136"/>
        <v>1.868729369641889</v>
      </c>
      <c r="AW93" s="4">
        <f t="shared" si="154"/>
        <v>0</v>
      </c>
      <c r="AX93" s="4">
        <f t="shared" si="220"/>
        <v>187.85861365868152</v>
      </c>
      <c r="AY93" s="4">
        <f t="shared" si="221"/>
        <v>1.1333333333333333</v>
      </c>
      <c r="AZ93" s="38">
        <f t="shared" si="273"/>
        <v>383.29326631184108</v>
      </c>
      <c r="BA93" s="4">
        <f t="shared" si="222"/>
        <v>0.34199999999999997</v>
      </c>
      <c r="BB93" s="4">
        <f t="shared" si="244"/>
        <v>33.569394967738091</v>
      </c>
      <c r="BC93" s="4">
        <f t="shared" si="245"/>
        <v>416.86266127957919</v>
      </c>
      <c r="BE93" s="36">
        <f>MAX(1, (0.9+0.1*MIN(2,T93-0.5))*(0.9+0.1*MIN(3.5,O93/O93))+0.45*MIN(2.5,(40*2*PI()*AE93^2/4/AG93/R93)/K93))</f>
        <v>1.1000000000000001</v>
      </c>
      <c r="BF93" s="36">
        <f>(1.6*M93+22)*BE93*J93^0.5</f>
        <v>186.21619263640849</v>
      </c>
      <c r="BK93" s="4">
        <f t="shared" si="156"/>
        <v>63.499999999999986</v>
      </c>
      <c r="BL93" s="4">
        <f t="shared" si="157"/>
        <v>63.499999999999986</v>
      </c>
      <c r="BM93" s="4">
        <f t="shared" si="158"/>
        <v>88.899999999999991</v>
      </c>
      <c r="BN93" s="4">
        <f t="shared" si="159"/>
        <v>76.199999999999989</v>
      </c>
      <c r="BO93" s="4">
        <f t="shared" si="160"/>
        <v>1.04</v>
      </c>
      <c r="BP93" s="25">
        <f t="shared" si="274"/>
        <v>3.1199999999999997</v>
      </c>
      <c r="BR93" s="4">
        <f t="shared" si="161"/>
        <v>63.499999999999986</v>
      </c>
      <c r="BV93" s="9"/>
      <c r="BX93" s="9"/>
      <c r="BY93" s="9"/>
      <c r="BZ93" s="9">
        <f t="shared" si="231"/>
        <v>50.8</v>
      </c>
      <c r="CA93" s="9">
        <f t="shared" si="232"/>
        <v>63.499999999999986</v>
      </c>
      <c r="CB93" s="9">
        <f t="shared" si="248"/>
        <v>1.4623505735569622</v>
      </c>
      <c r="CC93" s="9">
        <v>0</v>
      </c>
      <c r="CD93" s="9">
        <f t="shared" si="129"/>
        <v>0</v>
      </c>
      <c r="CE93" s="9">
        <f t="shared" si="249"/>
        <v>0</v>
      </c>
      <c r="CF93" s="9">
        <f t="shared" si="233"/>
        <v>0.99524931562137331</v>
      </c>
      <c r="CG93" s="9">
        <f t="shared" si="234"/>
        <v>1.056</v>
      </c>
      <c r="CH93" s="9">
        <f t="shared" si="250"/>
        <v>1.8756444837875041</v>
      </c>
      <c r="CI93" s="9">
        <f t="shared" si="251"/>
        <v>2.7428497866556087</v>
      </c>
      <c r="CJ93" s="9">
        <v>1</v>
      </c>
      <c r="CK93" s="9">
        <f t="shared" si="252"/>
        <v>241.37078122569358</v>
      </c>
      <c r="CM93" s="4">
        <f t="shared" si="206"/>
        <v>2.422034268956573</v>
      </c>
      <c r="CN93" s="4">
        <f t="shared" si="207"/>
        <v>1.0914865788251615</v>
      </c>
      <c r="CO93" s="4">
        <f t="shared" si="208"/>
        <v>2.4433965358125338</v>
      </c>
      <c r="CP93" s="4">
        <f t="shared" si="209"/>
        <v>1.8850666086818213</v>
      </c>
      <c r="CQ93" s="4">
        <f t="shared" si="210"/>
        <v>1.300942585699558</v>
      </c>
      <c r="CR93" s="4">
        <f t="shared" si="211"/>
        <v>1.4653825476444258</v>
      </c>
      <c r="CS93" s="4">
        <f t="shared" si="143"/>
        <v>1.4594060767422257</v>
      </c>
      <c r="CU93" s="4">
        <f t="shared" si="212"/>
        <v>2.422034268956573</v>
      </c>
      <c r="CV93" s="4">
        <f t="shared" si="212"/>
        <v>1.0914865788251615</v>
      </c>
      <c r="CW93" s="4">
        <f t="shared" si="213"/>
        <v>1.8850666086818213</v>
      </c>
      <c r="CX93" s="4">
        <f t="shared" ref="CX93:CX103" si="285">CS93</f>
        <v>1.4594060767422257</v>
      </c>
      <c r="CY93" s="4">
        <f t="shared" si="215"/>
        <v>1.300942585699558</v>
      </c>
      <c r="CZ93" s="4">
        <f t="shared" si="215"/>
        <v>1.4653825476444258</v>
      </c>
      <c r="DH93" s="4">
        <f t="shared" si="167"/>
        <v>0</v>
      </c>
      <c r="DI93" s="4">
        <f t="shared" si="168"/>
        <v>381</v>
      </c>
      <c r="DJ93" s="4">
        <f t="shared" si="169"/>
        <v>0.46666666666666662</v>
      </c>
      <c r="DL93" s="4">
        <f t="shared" si="170"/>
        <v>2.6015824312812745E-5</v>
      </c>
      <c r="DM93" s="4">
        <f t="shared" si="171"/>
        <v>6.4425559602163514</v>
      </c>
      <c r="DN93" s="4">
        <f t="shared" si="172"/>
        <v>0.3960514372704414</v>
      </c>
      <c r="DO93" s="4">
        <f t="shared" si="253"/>
        <v>4.4479391474826082</v>
      </c>
      <c r="DP93" s="4">
        <f t="shared" si="254"/>
        <v>5.5361186564923655</v>
      </c>
      <c r="DQ93" s="4">
        <f t="shared" si="255"/>
        <v>5.841129843893162</v>
      </c>
      <c r="DR93" s="38">
        <f t="shared" si="275"/>
        <v>349.74641079593232</v>
      </c>
      <c r="DS93" s="4">
        <f t="shared" si="256"/>
        <v>1.000195544579793</v>
      </c>
      <c r="DT93" s="4">
        <f t="shared" si="147"/>
        <v>2.3874672772626644</v>
      </c>
      <c r="DU93" s="4">
        <f t="shared" si="276"/>
        <v>205.10902891481439</v>
      </c>
      <c r="DY93" s="4">
        <f t="shared" si="235"/>
        <v>0.85</v>
      </c>
      <c r="DZ93" s="4">
        <f t="shared" si="257"/>
        <v>0.85000000000000009</v>
      </c>
      <c r="EA93" s="4">
        <f t="shared" si="258"/>
        <v>1</v>
      </c>
      <c r="EB93" s="4">
        <f t="shared" si="259"/>
        <v>0.85000000000000009</v>
      </c>
      <c r="ED93" s="4">
        <f t="shared" si="277"/>
        <v>310.49912579578876</v>
      </c>
      <c r="EE93" s="25">
        <f>8.8*N93*508*J93^0.5/R93/K93^2/H93^0.5*(0.7+MIN(S93,O93)/5/H93)</f>
        <v>202.29704102729465</v>
      </c>
      <c r="EG93" s="4">
        <f>DY93*EB93</f>
        <v>0.72250000000000003</v>
      </c>
      <c r="EH93" s="4">
        <f t="shared" si="260"/>
        <v>6.4425559602163514</v>
      </c>
      <c r="EI93" s="4">
        <f t="shared" si="174"/>
        <v>5.8091238582078786</v>
      </c>
      <c r="EK93" s="4">
        <f t="shared" si="175"/>
        <v>60.641668842471674</v>
      </c>
      <c r="EL93" s="4">
        <f t="shared" si="176"/>
        <v>2.3874672772626644</v>
      </c>
      <c r="EM93" s="4">
        <f t="shared" si="177"/>
        <v>0.11042655740559819</v>
      </c>
      <c r="EP93" s="4">
        <f t="shared" si="178"/>
        <v>0.11042655740559819</v>
      </c>
      <c r="EQ93" s="4">
        <f t="shared" si="179"/>
        <v>0.39539050123559077</v>
      </c>
      <c r="ER93" s="4">
        <f t="shared" si="180"/>
        <v>4.4449685471079112</v>
      </c>
      <c r="ES93" s="4">
        <f t="shared" si="236"/>
        <v>5.534927476770882</v>
      </c>
      <c r="ET93" s="4">
        <f t="shared" si="182"/>
        <v>225.10833115752831</v>
      </c>
      <c r="EU93" s="4">
        <f t="shared" si="183"/>
        <v>95.25</v>
      </c>
      <c r="EV93" s="4">
        <f t="shared" si="261"/>
        <v>2.6015824312812745E-5</v>
      </c>
      <c r="EW93" s="4">
        <f t="shared" si="237"/>
        <v>5.8412777557424471</v>
      </c>
      <c r="EX93" s="4">
        <f t="shared" si="185"/>
        <v>349.67803315187678</v>
      </c>
      <c r="EY93" s="4">
        <f t="shared" si="186"/>
        <v>117.15833115752831</v>
      </c>
      <c r="EZ93" s="4">
        <f t="shared" si="187"/>
        <v>0</v>
      </c>
      <c r="FB93" s="4">
        <f t="shared" si="262"/>
        <v>181.71293344124172</v>
      </c>
      <c r="FG93" s="23">
        <f t="shared" si="216"/>
        <v>2.2000000000000002</v>
      </c>
      <c r="FH93" s="23">
        <f t="shared" si="216"/>
        <v>1.2</v>
      </c>
      <c r="FI93" s="23">
        <f t="shared" si="230"/>
        <v>1.6</v>
      </c>
      <c r="FJ93" s="23">
        <f t="shared" si="217"/>
        <v>2</v>
      </c>
      <c r="FK93" s="23">
        <f t="shared" si="217"/>
        <v>1.4</v>
      </c>
      <c r="FL93" s="23">
        <f t="shared" si="217"/>
        <v>1.6</v>
      </c>
      <c r="FM93" s="23">
        <f t="shared" si="218"/>
        <v>0</v>
      </c>
      <c r="FN93" s="23"/>
      <c r="FX93" s="4">
        <f t="shared" si="263"/>
        <v>1</v>
      </c>
      <c r="FY93" s="4">
        <f t="shared" si="264"/>
        <v>1.0833333333333333</v>
      </c>
      <c r="FZ93" s="4">
        <f t="shared" si="265"/>
        <v>0</v>
      </c>
      <c r="GA93" s="4">
        <f t="shared" si="266"/>
        <v>311.77066290944771</v>
      </c>
    </row>
    <row r="94" spans="1:184" ht="12" customHeight="1" x14ac:dyDescent="0.3">
      <c r="A94" s="25">
        <v>76</v>
      </c>
      <c r="B94" s="24" t="s">
        <v>605</v>
      </c>
      <c r="C94" s="24">
        <v>2016</v>
      </c>
      <c r="D94" s="24" t="s">
        <v>55</v>
      </c>
      <c r="E94" s="24"/>
      <c r="F94" s="7" t="s">
        <v>612</v>
      </c>
      <c r="G94" s="38">
        <f>129/0.145</f>
        <v>889.65517241379314</v>
      </c>
      <c r="H94" s="38">
        <f>9*25.4</f>
        <v>228.6</v>
      </c>
      <c r="I94" s="4">
        <f>H94</f>
        <v>228.6</v>
      </c>
      <c r="J94" s="38">
        <f>5740/145</f>
        <v>39.586206896551722</v>
      </c>
      <c r="K94" s="38">
        <f>1*25.4</f>
        <v>25.4</v>
      </c>
      <c r="L94" s="7">
        <f>H94/K94</f>
        <v>9</v>
      </c>
      <c r="M94" s="7">
        <f>I94/K94</f>
        <v>9</v>
      </c>
      <c r="N94" s="38">
        <f>18*25.4</f>
        <v>457.2</v>
      </c>
      <c r="O94" s="38">
        <f>2.5*25.4</f>
        <v>63.5</v>
      </c>
      <c r="P94" s="7">
        <f t="shared" si="133"/>
        <v>50.8</v>
      </c>
      <c r="Q94" s="7">
        <f>(N94-R94*K94-2*O94)/(R94-1)</f>
        <v>279.39999999999998</v>
      </c>
      <c r="R94" s="38">
        <v>2</v>
      </c>
      <c r="S94" s="39">
        <f>2*25.4</f>
        <v>50.8</v>
      </c>
      <c r="T94" s="7">
        <f>MIN(Q94/K94/2+0.5, (S94+K94/2)/K94, O94/K94+0.5)</f>
        <v>2.5</v>
      </c>
      <c r="U94" s="7">
        <f>O94/K94+0.5</f>
        <v>3</v>
      </c>
      <c r="V94" s="38">
        <v>4</v>
      </c>
      <c r="W94" s="4">
        <f>V94</f>
        <v>4</v>
      </c>
      <c r="X94" s="4">
        <f>W94+1</f>
        <v>5</v>
      </c>
      <c r="Y94" s="7">
        <f>K94*X94^0.5</f>
        <v>56.796126628494655</v>
      </c>
      <c r="AB94" s="38">
        <f>101.9/(PI()/4)/0.145*AD103</f>
        <v>756.43445013829012</v>
      </c>
      <c r="AC94" s="4" t="s">
        <v>654</v>
      </c>
      <c r="AE94" s="38"/>
      <c r="AF94" s="38"/>
      <c r="AG94" s="39">
        <v>1</v>
      </c>
      <c r="AH94" s="39"/>
      <c r="AI94" s="39"/>
      <c r="AJ94" s="7"/>
      <c r="AK94" s="4">
        <f t="shared" si="279"/>
        <v>228.6</v>
      </c>
      <c r="AL94" s="44">
        <f>MIN(N94)*(MIN(20*25.4-S94-0.5*K94,1.5*AK94)+S94+K94/2)/(3*H94)^2</f>
        <v>0.39506172839506176</v>
      </c>
      <c r="AM94" s="25">
        <f t="shared" si="268"/>
        <v>214.58480899223187</v>
      </c>
      <c r="AN94" s="4">
        <f t="shared" si="269"/>
        <v>0.75555555555555554</v>
      </c>
      <c r="AO94" s="4">
        <v>1.25</v>
      </c>
      <c r="AP94" s="25">
        <f t="shared" si="270"/>
        <v>5</v>
      </c>
      <c r="AQ94" s="38">
        <f t="shared" si="271"/>
        <v>400.32282610347784</v>
      </c>
      <c r="AR94" s="38">
        <f t="shared" si="272"/>
        <v>400.32282610347784</v>
      </c>
      <c r="AT94" s="38">
        <f t="shared" ref="AT94:AT102" si="286">AP94* (J94^0.5/AK94^0.5)/(PI()/4*K94^2)/R94/0.72 *(0.7+(MIN(O94,S94)+0.5*K94)/5/H94) *(N94*MIN(S94+0.5*K94+1.5*H94,20*25.4))</f>
        <v>400.32282610347767</v>
      </c>
      <c r="AU94" s="38">
        <f t="shared" si="243"/>
        <v>1.0000000000000004</v>
      </c>
      <c r="AV94" s="38">
        <f t="shared" si="136"/>
        <v>1.0679656682185992</v>
      </c>
      <c r="AW94" s="4">
        <f t="shared" si="154"/>
        <v>0</v>
      </c>
      <c r="AX94" s="4">
        <f t="shared" si="220"/>
        <v>298.030597558213</v>
      </c>
      <c r="AY94" s="4">
        <f t="shared" si="221"/>
        <v>1.08</v>
      </c>
      <c r="AZ94" s="38">
        <f t="shared" si="273"/>
        <v>427.53103448275863</v>
      </c>
      <c r="BA94" s="4">
        <f t="shared" si="222"/>
        <v>0.44000000000000006</v>
      </c>
      <c r="BB94" s="4">
        <f t="shared" si="244"/>
        <v>68.517234378633177</v>
      </c>
      <c r="BC94" s="4">
        <f t="shared" si="245"/>
        <v>496.04826886139182</v>
      </c>
      <c r="BE94" s="36">
        <f t="shared" ref="BE94:BE103" si="287">MAX(1, (0.9+0.1*MIN(2,T94-0.5))*(0.9+0.1*MIN(3.5,O94/O94))+0.45*MIN(2.5,(40*2*PI()*AE94^2/4/AG94/R94)/K94))</f>
        <v>1.1000000000000001</v>
      </c>
      <c r="BF94" s="36">
        <f t="shared" ref="BF94:BF103" si="288">(1.6*M94+22)*BE94*J94^0.5</f>
        <v>251.92195266487349</v>
      </c>
      <c r="BK94" s="4">
        <f t="shared" si="156"/>
        <v>63.5</v>
      </c>
      <c r="BL94" s="4">
        <f t="shared" si="157"/>
        <v>50.8</v>
      </c>
      <c r="BM94" s="4">
        <f t="shared" si="158"/>
        <v>63.5</v>
      </c>
      <c r="BN94" s="4">
        <f t="shared" si="159"/>
        <v>63.5</v>
      </c>
      <c r="BO94" s="4">
        <f t="shared" si="160"/>
        <v>1.0250000000000001</v>
      </c>
      <c r="BP94" s="25">
        <f t="shared" si="274"/>
        <v>2.5625000000000004</v>
      </c>
      <c r="BR94" s="4">
        <f t="shared" si="161"/>
        <v>63.5</v>
      </c>
      <c r="BV94" s="9"/>
      <c r="BX94" s="9"/>
      <c r="BY94" s="9"/>
      <c r="BZ94" s="9">
        <f t="shared" si="231"/>
        <v>50.8</v>
      </c>
      <c r="CA94" s="9">
        <f t="shared" si="232"/>
        <v>139.69999999999999</v>
      </c>
      <c r="CB94" s="9">
        <f t="shared" si="248"/>
        <v>1.6459434193552143</v>
      </c>
      <c r="CC94" s="9">
        <v>0</v>
      </c>
      <c r="CD94" s="9">
        <f t="shared" si="129"/>
        <v>0</v>
      </c>
      <c r="CE94" s="9">
        <f t="shared" si="249"/>
        <v>0</v>
      </c>
      <c r="CF94" s="9">
        <f t="shared" si="233"/>
        <v>0.99524931562137331</v>
      </c>
      <c r="CG94" s="9">
        <f t="shared" si="234"/>
        <v>0.68</v>
      </c>
      <c r="CH94" s="9">
        <f t="shared" si="250"/>
        <v>1.490324324005301</v>
      </c>
      <c r="CI94" s="9">
        <f t="shared" si="251"/>
        <v>2.4529895138015334</v>
      </c>
      <c r="CJ94" s="9">
        <v>1</v>
      </c>
      <c r="CK94" s="9">
        <f t="shared" si="252"/>
        <v>235.48699332494721</v>
      </c>
      <c r="CM94" s="4">
        <f t="shared" si="206"/>
        <v>2.5381100341233895</v>
      </c>
      <c r="CN94" s="4">
        <f t="shared" si="207"/>
        <v>1.5249210563209457</v>
      </c>
      <c r="CO94" s="4">
        <f t="shared" si="208"/>
        <v>3.0026539653912536</v>
      </c>
      <c r="CP94" s="4">
        <f t="shared" si="209"/>
        <v>3.2122132923685105</v>
      </c>
      <c r="CQ94" s="4">
        <f t="shared" si="210"/>
        <v>1.1561639069038447</v>
      </c>
      <c r="CR94" s="4">
        <f t="shared" si="211"/>
        <v>1.0724330257730104</v>
      </c>
      <c r="CS94" s="4">
        <f t="shared" si="143"/>
        <v>1.6801577724580639</v>
      </c>
      <c r="CU94" s="4">
        <f t="shared" si="212"/>
        <v>2.5381100341233895</v>
      </c>
      <c r="CV94" s="4">
        <f t="shared" si="212"/>
        <v>1.5249210563209457</v>
      </c>
      <c r="CW94" s="4">
        <f t="shared" si="213"/>
        <v>3.2122132923685105</v>
      </c>
      <c r="CX94" s="4">
        <f t="shared" si="285"/>
        <v>1.6801577724580639</v>
      </c>
      <c r="CY94" s="4">
        <f t="shared" si="215"/>
        <v>1.1561639069038447</v>
      </c>
      <c r="CZ94" s="4">
        <f t="shared" si="215"/>
        <v>1.0724330257730104</v>
      </c>
      <c r="DH94" s="4">
        <f t="shared" si="167"/>
        <v>0</v>
      </c>
      <c r="DI94" s="4">
        <f t="shared" si="168"/>
        <v>228.6</v>
      </c>
      <c r="DJ94" s="4">
        <f t="shared" si="169"/>
        <v>1</v>
      </c>
      <c r="DL94" s="4">
        <f t="shared" si="170"/>
        <v>1.7165449536863499E-5</v>
      </c>
      <c r="DM94" s="4">
        <f t="shared" si="171"/>
        <v>7.9495669385574006</v>
      </c>
      <c r="DN94" s="4">
        <f t="shared" si="172"/>
        <v>0.55871723432551368</v>
      </c>
      <c r="DO94" s="4">
        <f t="shared" si="253"/>
        <v>6.298255836540501</v>
      </c>
      <c r="DP94" s="4">
        <f t="shared" si="254"/>
        <v>7.1716614786486721</v>
      </c>
      <c r="DQ94" s="4">
        <f t="shared" si="255"/>
        <v>7.5685095187246061</v>
      </c>
      <c r="DR94" s="38">
        <f t="shared" si="275"/>
        <v>654.26229414477029</v>
      </c>
      <c r="DS94" s="4">
        <f t="shared" si="256"/>
        <v>1.0001067807267576</v>
      </c>
      <c r="DT94" s="4">
        <f t="shared" si="147"/>
        <v>2.2360679774997898</v>
      </c>
      <c r="DU94" s="4">
        <f t="shared" si="276"/>
        <v>400.32282610347767</v>
      </c>
      <c r="DY94" s="4">
        <f t="shared" si="235"/>
        <v>0.85</v>
      </c>
      <c r="DZ94" s="4">
        <f t="shared" si="257"/>
        <v>0.85</v>
      </c>
      <c r="EA94" s="4">
        <f t="shared" si="258"/>
        <v>1</v>
      </c>
      <c r="EB94" s="4">
        <f t="shared" si="259"/>
        <v>0.85</v>
      </c>
      <c r="ED94" s="4">
        <f t="shared" si="277"/>
        <v>705.34423312173897</v>
      </c>
      <c r="EE94" s="25">
        <f>8.8*N94*(20*25.4)*J94^0.5/R94/K94^2/H94^0.5*(0.7+MIN(S94,O94)/5/H94)</f>
        <v>490.70592578068914</v>
      </c>
      <c r="EG94" s="4">
        <f>DY94*EB94</f>
        <v>0.72249999999999992</v>
      </c>
      <c r="EH94" s="4">
        <f>IF(K94&lt;22.2,1.1*5*(J94/30)^0.5,IF(K94&gt;=31.8,0.9*5*(J94/30)^0.5,1*5*(J94/30)^0.5))/DY94/EB94</f>
        <v>7.9495669385574006</v>
      </c>
      <c r="EI94" s="4">
        <f t="shared" si="174"/>
        <v>5.8871511659354159</v>
      </c>
      <c r="EK94" s="4">
        <f t="shared" si="175"/>
        <v>56.796126628494655</v>
      </c>
      <c r="EL94" s="4">
        <f t="shared" si="176"/>
        <v>2.2360679774997898</v>
      </c>
      <c r="EM94" s="4">
        <f t="shared" si="177"/>
        <v>0.1922203122479216</v>
      </c>
      <c r="EP94" s="4">
        <f t="shared" si="178"/>
        <v>0.1922203122479216</v>
      </c>
      <c r="EQ94" s="4">
        <f t="shared" si="179"/>
        <v>0.55778483939216139</v>
      </c>
      <c r="ER94" s="4">
        <f t="shared" si="180"/>
        <v>6.2940494837718139</v>
      </c>
      <c r="ES94" s="4">
        <f t="shared" si="236"/>
        <v>7.1698155001937067</v>
      </c>
      <c r="ET94" s="4">
        <f t="shared" si="182"/>
        <v>114.65387337150534</v>
      </c>
      <c r="EU94" s="4">
        <f t="shared" si="183"/>
        <v>57.150000000000006</v>
      </c>
      <c r="EV94" s="4">
        <f t="shared" si="261"/>
        <v>1.7165449536863506E-5</v>
      </c>
      <c r="EW94" s="4">
        <f t="shared" si="237"/>
        <v>7.5686315302667664</v>
      </c>
      <c r="EX94" s="4">
        <f t="shared" si="185"/>
        <v>654.19243900069443</v>
      </c>
      <c r="EY94" s="4">
        <f t="shared" si="186"/>
        <v>114.65387337150534</v>
      </c>
      <c r="EZ94" s="4">
        <f t="shared" si="187"/>
        <v>57.15</v>
      </c>
      <c r="FB94" s="4">
        <f t="shared" si="262"/>
        <v>0</v>
      </c>
      <c r="FG94" s="23">
        <f t="shared" si="216"/>
        <v>2.2000000000000002</v>
      </c>
      <c r="FH94" s="23">
        <f t="shared" si="216"/>
        <v>1.6</v>
      </c>
      <c r="FI94" s="23">
        <f t="shared" si="230"/>
        <v>1.8</v>
      </c>
      <c r="FJ94" s="23">
        <f t="shared" si="217"/>
        <v>2.2000000000000002</v>
      </c>
      <c r="FK94" s="23">
        <f t="shared" si="217"/>
        <v>1.2</v>
      </c>
      <c r="FL94" s="23">
        <f t="shared" si="217"/>
        <v>1.2</v>
      </c>
      <c r="FM94" s="23">
        <f t="shared" si="218"/>
        <v>0</v>
      </c>
      <c r="FN94" s="23"/>
      <c r="FX94" s="4">
        <f t="shared" si="263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5"/>
        <v>0</v>
      </c>
      <c r="GA94" s="4">
        <f t="shared" si="266"/>
        <v>450.21632047782612</v>
      </c>
      <c r="GB94" s="4">
        <f>GA94*510*0.145*2</f>
        <v>66586.993798670475</v>
      </c>
    </row>
    <row r="95" spans="1:184" ht="12" customHeight="1" x14ac:dyDescent="0.3">
      <c r="A95" s="25">
        <v>77</v>
      </c>
      <c r="B95" s="24" t="s">
        <v>605</v>
      </c>
      <c r="C95" s="24">
        <v>2016</v>
      </c>
      <c r="D95" s="24" t="s">
        <v>55</v>
      </c>
      <c r="F95" s="7" t="s">
        <v>613</v>
      </c>
      <c r="G95" s="38">
        <f t="shared" ref="G95:G103" si="289">129/0.145</f>
        <v>889.65517241379314</v>
      </c>
      <c r="H95" s="38">
        <f>10.4*25.4</f>
        <v>264.15999999999997</v>
      </c>
      <c r="I95" s="4">
        <f t="shared" ref="I95:I103" si="290">H95</f>
        <v>264.15999999999997</v>
      </c>
      <c r="J95" s="38">
        <f>4490/145</f>
        <v>30.96551724137931</v>
      </c>
      <c r="K95" s="38">
        <f t="shared" ref="K95:K103" si="291">1*25.4</f>
        <v>25.4</v>
      </c>
      <c r="L95" s="7">
        <f t="shared" ref="L95:L103" si="292">H95/K95</f>
        <v>10.399999999999999</v>
      </c>
      <c r="M95" s="7">
        <f t="shared" ref="M95:M103" si="293">I95/K95</f>
        <v>10.399999999999999</v>
      </c>
      <c r="N95" s="38">
        <f>18.1*25.4</f>
        <v>459.74</v>
      </c>
      <c r="O95" s="38">
        <f t="shared" ref="O95:O103" si="294">2.5*25.4</f>
        <v>63.5</v>
      </c>
      <c r="P95" s="7">
        <f t="shared" si="133"/>
        <v>50.8</v>
      </c>
      <c r="Q95" s="7">
        <f t="shared" ref="Q95:Q103" si="295">(N95-R95*K95-2*O95)/(R95-1)</f>
        <v>281.94</v>
      </c>
      <c r="R95" s="38">
        <v>2</v>
      </c>
      <c r="S95" s="39">
        <f t="shared" ref="S95:S103" si="296">2*25.4</f>
        <v>50.8</v>
      </c>
      <c r="T95" s="7">
        <f>MIN(Q95/K95/2+0.5, (S95+K95/2)/K95, O95/K95+0.5)</f>
        <v>2.5</v>
      </c>
      <c r="U95" s="7">
        <f>O95/K95+0.5</f>
        <v>3</v>
      </c>
      <c r="V95" s="38">
        <v>4</v>
      </c>
      <c r="W95" s="4">
        <f t="shared" ref="W95:W103" si="297">V95</f>
        <v>4</v>
      </c>
      <c r="X95" s="4">
        <f t="shared" ref="X95:X103" si="298">W95+1</f>
        <v>5</v>
      </c>
      <c r="Y95" s="7">
        <f t="shared" ref="Y95:Y103" si="299">K95*X95^0.5</f>
        <v>56.796126628494655</v>
      </c>
      <c r="Z95" s="7"/>
      <c r="AA95" s="7"/>
      <c r="AB95" s="38">
        <f>105/(PI()/4)/0.145</f>
        <v>922.00104963580748</v>
      </c>
      <c r="AC95" s="7"/>
      <c r="AD95" s="7">
        <f>105/127</f>
        <v>0.82677165354330706</v>
      </c>
      <c r="AE95" s="7"/>
      <c r="AF95" s="7"/>
      <c r="AG95" s="39">
        <v>1</v>
      </c>
      <c r="AH95" s="7"/>
      <c r="AI95" s="7"/>
      <c r="AJ95" s="7"/>
      <c r="AK95" s="4">
        <f t="shared" si="279"/>
        <v>264.15999999999997</v>
      </c>
      <c r="AL95" s="44">
        <f t="shared" ref="AL95:AL103" si="300">MIN(N95)*(MIN(20*25.4-S95-0.5*K95,1.5*AK95)+S95+K95/2)/(3*H95)^2</f>
        <v>0.33654873438527289</v>
      </c>
      <c r="AM95" s="25">
        <f t="shared" si="268"/>
        <v>235.75040255705565</v>
      </c>
      <c r="AN95" s="4">
        <f t="shared" si="269"/>
        <v>0.74807692307692308</v>
      </c>
      <c r="AO95" s="4">
        <v>1.25</v>
      </c>
      <c r="AP95" s="25">
        <f t="shared" si="270"/>
        <v>5</v>
      </c>
      <c r="AQ95" s="38">
        <f t="shared" si="271"/>
        <v>370.95965563501107</v>
      </c>
      <c r="AR95" s="38">
        <f t="shared" si="272"/>
        <v>370.95965563501107</v>
      </c>
      <c r="AT95" s="38">
        <f t="shared" si="286"/>
        <v>370.95965563501068</v>
      </c>
      <c r="AU95" s="38">
        <f t="shared" si="243"/>
        <v>1.0000000000000011</v>
      </c>
      <c r="AV95" s="38">
        <f t="shared" si="136"/>
        <v>0.90152010097815527</v>
      </c>
      <c r="AW95" s="4">
        <f t="shared" si="154"/>
        <v>1</v>
      </c>
      <c r="AX95" s="4">
        <f t="shared" si="220"/>
        <v>304.59229117894546</v>
      </c>
      <c r="AY95" s="4">
        <f t="shared" si="221"/>
        <v>1.08</v>
      </c>
      <c r="AZ95" s="38">
        <f t="shared" si="273"/>
        <v>334.42758620689654</v>
      </c>
      <c r="BA95" s="4">
        <f t="shared" si="222"/>
        <v>0.44000000000000006</v>
      </c>
      <c r="BB95" s="4">
        <f t="shared" si="244"/>
        <v>70.025767742039562</v>
      </c>
      <c r="BC95" s="4">
        <f t="shared" si="245"/>
        <v>404.45335394893607</v>
      </c>
      <c r="BE95" s="36">
        <f t="shared" si="287"/>
        <v>1.1000000000000001</v>
      </c>
      <c r="BF95" s="36">
        <f t="shared" si="288"/>
        <v>236.52060013570011</v>
      </c>
      <c r="BK95" s="4">
        <f t="shared" si="156"/>
        <v>63.5</v>
      </c>
      <c r="BL95" s="4">
        <f t="shared" si="157"/>
        <v>50.8</v>
      </c>
      <c r="BM95" s="4">
        <f t="shared" si="158"/>
        <v>63.5</v>
      </c>
      <c r="BN95" s="4">
        <f t="shared" si="159"/>
        <v>63.5</v>
      </c>
      <c r="BO95" s="4">
        <f t="shared" si="160"/>
        <v>1.0250000000000001</v>
      </c>
      <c r="BP95" s="25">
        <f t="shared" si="274"/>
        <v>2.5625000000000004</v>
      </c>
      <c r="BR95" s="4">
        <f t="shared" si="161"/>
        <v>63.5</v>
      </c>
      <c r="BV95" s="9"/>
      <c r="BX95" s="9"/>
      <c r="BY95" s="9"/>
      <c r="BZ95" s="9">
        <f t="shared" si="231"/>
        <v>50.8</v>
      </c>
      <c r="CA95" s="9">
        <f t="shared" si="232"/>
        <v>140.97</v>
      </c>
      <c r="CB95" s="9">
        <f t="shared" si="248"/>
        <v>1.6481792641469835</v>
      </c>
      <c r="CC95" s="9">
        <v>0</v>
      </c>
      <c r="CD95" s="9">
        <f t="shared" si="129"/>
        <v>0</v>
      </c>
      <c r="CE95" s="9">
        <f t="shared" si="249"/>
        <v>0</v>
      </c>
      <c r="CF95" s="9">
        <f t="shared" si="233"/>
        <v>0.99524931562137331</v>
      </c>
      <c r="CG95" s="9">
        <f t="shared" si="234"/>
        <v>0.68</v>
      </c>
      <c r="CH95" s="9">
        <f t="shared" si="250"/>
        <v>1.3180989499545468</v>
      </c>
      <c r="CI95" s="9">
        <f t="shared" si="251"/>
        <v>2.1724633574089967</v>
      </c>
      <c r="CJ95" s="9">
        <v>1</v>
      </c>
      <c r="CK95" s="9">
        <f t="shared" si="252"/>
        <v>220.72227711275406</v>
      </c>
      <c r="CM95" s="4">
        <f t="shared" si="206"/>
        <v>3.0270006048647482</v>
      </c>
      <c r="CN95" s="4">
        <f t="shared" si="207"/>
        <v>2.2796227071273441</v>
      </c>
      <c r="CO95" s="4">
        <f t="shared" si="208"/>
        <v>3.8981849746145723</v>
      </c>
      <c r="CP95" s="4">
        <f t="shared" si="209"/>
        <v>4.1771997901453837</v>
      </c>
      <c r="CQ95" s="4">
        <f t="shared" si="210"/>
        <v>1.4442027183793973</v>
      </c>
      <c r="CR95" s="4">
        <f t="shared" si="211"/>
        <v>1.4821353465266294</v>
      </c>
      <c r="CS95" s="4">
        <f t="shared" si="143"/>
        <v>1.8844548614240106</v>
      </c>
      <c r="CU95" s="4">
        <f t="shared" si="212"/>
        <v>3.0270006048647482</v>
      </c>
      <c r="CV95" s="4">
        <f t="shared" si="212"/>
        <v>2.2796227071273441</v>
      </c>
      <c r="CW95" s="4">
        <f t="shared" si="213"/>
        <v>4.1771997901453837</v>
      </c>
      <c r="CX95" s="4">
        <f t="shared" si="285"/>
        <v>1.8844548614240106</v>
      </c>
      <c r="CY95" s="4">
        <f t="shared" si="215"/>
        <v>1.4442027183793973</v>
      </c>
      <c r="CZ95" s="4">
        <f t="shared" si="215"/>
        <v>1.4821353465266294</v>
      </c>
      <c r="DH95" s="4">
        <f t="shared" si="167"/>
        <v>0</v>
      </c>
      <c r="DI95" s="4">
        <f t="shared" si="168"/>
        <v>264.15999999999997</v>
      </c>
      <c r="DJ95" s="4">
        <f t="shared" si="169"/>
        <v>1</v>
      </c>
      <c r="DL95" s="4">
        <f t="shared" si="170"/>
        <v>1.8699368483673423E-5</v>
      </c>
      <c r="DM95" s="4">
        <f t="shared" si="171"/>
        <v>7.0308963394927586</v>
      </c>
      <c r="DN95" s="4">
        <f t="shared" si="172"/>
        <v>0.66187190263897755</v>
      </c>
      <c r="DO95" s="4">
        <f t="shared" si="253"/>
        <v>5.9610158002057858</v>
      </c>
      <c r="DP95" s="4">
        <f t="shared" si="254"/>
        <v>6.5179597703410481</v>
      </c>
      <c r="DQ95" s="4">
        <f t="shared" si="255"/>
        <v>6.6419918127671052</v>
      </c>
      <c r="DR95" s="38">
        <f t="shared" si="275"/>
        <v>638.41525701490502</v>
      </c>
      <c r="DS95" s="4">
        <f t="shared" si="256"/>
        <v>1.0001171802702424</v>
      </c>
      <c r="DT95" s="4">
        <f t="shared" si="147"/>
        <v>2.2360679774997898</v>
      </c>
      <c r="DU95" s="4">
        <f t="shared" si="276"/>
        <v>370.95965563501068</v>
      </c>
      <c r="DY95" s="4">
        <f t="shared" si="235"/>
        <v>0.85</v>
      </c>
      <c r="DZ95" s="4">
        <f t="shared" si="257"/>
        <v>0.85</v>
      </c>
      <c r="EA95" s="4">
        <f t="shared" si="258"/>
        <v>1</v>
      </c>
      <c r="EB95" s="4">
        <f t="shared" si="259"/>
        <v>0.85</v>
      </c>
      <c r="ED95" s="4">
        <f t="shared" si="277"/>
        <v>622.07614965563607</v>
      </c>
      <c r="EE95" s="25">
        <f t="shared" ref="EE95:EE103" si="301">8.8*N95*(20*25.4)*J95^0.5/R95/K95^2/H95^0.5*(0.7+MIN(S95,O95)/5/H95)</f>
        <v>402.71218386346197</v>
      </c>
      <c r="EG95" s="4">
        <f t="shared" ref="EG95:EG103" si="302">DY95*EB95</f>
        <v>0.72249999999999992</v>
      </c>
      <c r="EH95" s="4">
        <f t="shared" si="260"/>
        <v>7.0308963394927586</v>
      </c>
      <c r="EI95" s="4">
        <f t="shared" si="174"/>
        <v>5.2068181704156071</v>
      </c>
      <c r="EK95" s="4">
        <f t="shared" si="175"/>
        <v>56.796126628494655</v>
      </c>
      <c r="EL95" s="4">
        <f t="shared" si="176"/>
        <v>2.2360679774997898</v>
      </c>
      <c r="EM95" s="4">
        <f t="shared" si="177"/>
        <v>0.20139485887514993</v>
      </c>
      <c r="EP95" s="4">
        <f t="shared" si="178"/>
        <v>0.20139485887514993</v>
      </c>
      <c r="EQ95" s="4">
        <f t="shared" si="179"/>
        <v>0.66076736178962692</v>
      </c>
      <c r="ER95" s="4">
        <f t="shared" si="180"/>
        <v>5.9570346765477238</v>
      </c>
      <c r="ES95" s="4">
        <f t="shared" si="236"/>
        <v>6.5161398816101084</v>
      </c>
      <c r="ET95" s="4">
        <f t="shared" si="182"/>
        <v>141.32387337150533</v>
      </c>
      <c r="EU95" s="4">
        <f t="shared" si="183"/>
        <v>66.039999999999992</v>
      </c>
      <c r="EV95" s="4">
        <f t="shared" si="261"/>
        <v>1.8699368483673423E-5</v>
      </c>
      <c r="EW95" s="4">
        <f t="shared" si="237"/>
        <v>6.642117802584564</v>
      </c>
      <c r="EX95" s="4">
        <f t="shared" si="185"/>
        <v>638.34045610775161</v>
      </c>
      <c r="EY95" s="4">
        <f t="shared" si="186"/>
        <v>141.32387337150533</v>
      </c>
      <c r="EZ95" s="4">
        <f t="shared" si="187"/>
        <v>66.039999999999992</v>
      </c>
      <c r="FB95" s="4">
        <f t="shared" si="262"/>
        <v>0</v>
      </c>
      <c r="FG95" s="23">
        <f t="shared" si="216"/>
        <v>2.2000000000000002</v>
      </c>
      <c r="FH95" s="23">
        <f t="shared" si="216"/>
        <v>2.2000000000000002</v>
      </c>
      <c r="FI95" s="23">
        <f t="shared" si="230"/>
        <v>2</v>
      </c>
      <c r="FJ95" s="23">
        <f t="shared" si="217"/>
        <v>2.2000000000000002</v>
      </c>
      <c r="FK95" s="23">
        <f t="shared" si="217"/>
        <v>1.6</v>
      </c>
      <c r="FL95" s="23">
        <f t="shared" si="217"/>
        <v>1.6</v>
      </c>
      <c r="FM95" s="23">
        <f t="shared" si="218"/>
        <v>0</v>
      </c>
      <c r="FN95" s="23"/>
      <c r="FX95" s="4">
        <f t="shared" si="263"/>
        <v>1</v>
      </c>
      <c r="FY95" s="4">
        <f t="shared" ref="FY95:FY158" si="303">IF(AG95&gt;1, 0.05*(18-MIN(8,(Q95+K95)/K95))*(1-48000/MAX(60000,(G95*145))*(K95/25.4)^0.75*FZ95), 1/12*(14-MIN(8,(Q95+K95)/K95)))</f>
        <v>0.5</v>
      </c>
      <c r="FZ95" s="4">
        <f t="shared" si="265"/>
        <v>0</v>
      </c>
      <c r="GA95" s="4">
        <f t="shared" si="266"/>
        <v>489.26672031777213</v>
      </c>
    </row>
    <row r="96" spans="1:184" ht="12" customHeight="1" x14ac:dyDescent="0.3">
      <c r="A96" s="25">
        <v>78</v>
      </c>
      <c r="B96" s="24" t="s">
        <v>605</v>
      </c>
      <c r="C96" s="24">
        <v>2016</v>
      </c>
      <c r="D96" s="24" t="s">
        <v>55</v>
      </c>
      <c r="E96" s="24"/>
      <c r="F96" s="7" t="s">
        <v>614</v>
      </c>
      <c r="G96" s="38">
        <f t="shared" si="289"/>
        <v>889.65517241379314</v>
      </c>
      <c r="H96" s="38">
        <f>9*25.4</f>
        <v>228.6</v>
      </c>
      <c r="I96" s="4">
        <f t="shared" si="290"/>
        <v>228.6</v>
      </c>
      <c r="J96" s="38">
        <f>5800/145</f>
        <v>40</v>
      </c>
      <c r="K96" s="38">
        <f t="shared" si="291"/>
        <v>25.4</v>
      </c>
      <c r="L96" s="7">
        <f t="shared" si="292"/>
        <v>9</v>
      </c>
      <c r="M96" s="7">
        <f t="shared" si="293"/>
        <v>9</v>
      </c>
      <c r="N96" s="38">
        <f>18.3*25.4</f>
        <v>464.82</v>
      </c>
      <c r="O96" s="38">
        <f t="shared" si="294"/>
        <v>63.5</v>
      </c>
      <c r="P96" s="7">
        <f t="shared" si="133"/>
        <v>50.8</v>
      </c>
      <c r="Q96" s="7">
        <f t="shared" si="295"/>
        <v>130.81</v>
      </c>
      <c r="R96" s="38">
        <v>3</v>
      </c>
      <c r="S96" s="39">
        <f t="shared" si="296"/>
        <v>50.8</v>
      </c>
      <c r="T96" s="7">
        <f t="shared" ref="T96:T146" si="304">MIN(Q96/K96/2+0.5, (S96+K96/2)/K96, O96/K96+0.5)</f>
        <v>2.5</v>
      </c>
      <c r="U96" s="7">
        <f t="shared" ref="U96:U103" si="305">O96/K96+0.5</f>
        <v>3</v>
      </c>
      <c r="V96" s="38">
        <v>4</v>
      </c>
      <c r="W96" s="4">
        <f t="shared" si="297"/>
        <v>4</v>
      </c>
      <c r="X96" s="4">
        <f t="shared" si="298"/>
        <v>5</v>
      </c>
      <c r="Y96" s="7">
        <f t="shared" si="299"/>
        <v>56.796126628494655</v>
      </c>
      <c r="Z96" s="7"/>
      <c r="AA96" s="7"/>
      <c r="AB96" s="38">
        <f>109/(PI()/4)/0.145*AD103</f>
        <v>809.13989268963303</v>
      </c>
      <c r="AC96" s="7" t="s">
        <v>654</v>
      </c>
      <c r="AD96" s="7"/>
      <c r="AE96" s="7"/>
      <c r="AF96" s="7"/>
      <c r="AG96" s="39">
        <v>1</v>
      </c>
      <c r="AH96" s="7"/>
      <c r="AI96" s="7"/>
      <c r="AJ96" s="7"/>
      <c r="AK96" s="4">
        <f t="shared" si="279"/>
        <v>228.6</v>
      </c>
      <c r="AL96" s="44">
        <f t="shared" si="300"/>
        <v>0.40164609053497946</v>
      </c>
      <c r="AM96" s="25">
        <f t="shared" si="268"/>
        <v>143.80227786159796</v>
      </c>
      <c r="AN96" s="4">
        <f t="shared" si="269"/>
        <v>0.75555555555555554</v>
      </c>
      <c r="AO96" s="4">
        <v>1.25</v>
      </c>
      <c r="AP96" s="25">
        <f t="shared" si="270"/>
        <v>5</v>
      </c>
      <c r="AQ96" s="38">
        <f t="shared" si="271"/>
        <v>272.7443294786961</v>
      </c>
      <c r="AR96" s="38">
        <f t="shared" si="272"/>
        <v>272.7443294786961</v>
      </c>
      <c r="AT96" s="38">
        <f t="shared" si="286"/>
        <v>272.74432947869599</v>
      </c>
      <c r="AU96" s="38">
        <f t="shared" si="243"/>
        <v>1.0000000000000004</v>
      </c>
      <c r="AV96" s="38">
        <f t="shared" si="136"/>
        <v>1.5839009405830504</v>
      </c>
      <c r="AW96" s="4">
        <f t="shared" si="154"/>
        <v>0</v>
      </c>
      <c r="AX96" s="4">
        <f t="shared" si="220"/>
        <v>299.58419938437277</v>
      </c>
      <c r="AY96" s="4">
        <f t="shared" si="221"/>
        <v>1.08</v>
      </c>
      <c r="AZ96" s="38">
        <f t="shared" si="273"/>
        <v>432</v>
      </c>
      <c r="BA96" s="4">
        <f t="shared" si="222"/>
        <v>0.44000000000000006</v>
      </c>
      <c r="BB96" s="4">
        <f t="shared" si="244"/>
        <v>68.874407438467301</v>
      </c>
      <c r="BC96" s="4">
        <f t="shared" si="245"/>
        <v>500.8744074384673</v>
      </c>
      <c r="BE96" s="36">
        <f t="shared" si="287"/>
        <v>1.1000000000000001</v>
      </c>
      <c r="BF96" s="36">
        <f t="shared" si="288"/>
        <v>253.23519502628383</v>
      </c>
      <c r="BK96" s="4">
        <f t="shared" si="156"/>
        <v>63.5</v>
      </c>
      <c r="BL96" s="4">
        <f t="shared" si="157"/>
        <v>50.8</v>
      </c>
      <c r="BM96" s="4">
        <f t="shared" si="158"/>
        <v>63.5</v>
      </c>
      <c r="BN96" s="4">
        <f t="shared" si="159"/>
        <v>63.5</v>
      </c>
      <c r="BO96" s="4">
        <f t="shared" si="160"/>
        <v>1.0250000000000001</v>
      </c>
      <c r="BP96" s="25">
        <f t="shared" si="274"/>
        <v>2.5625000000000004</v>
      </c>
      <c r="BR96" s="4">
        <f t="shared" si="161"/>
        <v>63.5</v>
      </c>
      <c r="BV96" s="9"/>
      <c r="BX96" s="9"/>
      <c r="BY96" s="9"/>
      <c r="BZ96" s="9">
        <f t="shared" si="231"/>
        <v>50.8</v>
      </c>
      <c r="CA96" s="9">
        <f t="shared" si="232"/>
        <v>65.405000000000001</v>
      </c>
      <c r="CB96" s="9">
        <f t="shared" si="248"/>
        <v>1.4688487685376905</v>
      </c>
      <c r="CC96" s="9">
        <v>0</v>
      </c>
      <c r="CD96" s="9">
        <f t="shared" si="129"/>
        <v>0</v>
      </c>
      <c r="CE96" s="9">
        <f t="shared" si="249"/>
        <v>0</v>
      </c>
      <c r="CF96" s="9">
        <f t="shared" si="233"/>
        <v>0.99524931562137331</v>
      </c>
      <c r="CG96" s="9">
        <f t="shared" si="234"/>
        <v>0.68</v>
      </c>
      <c r="CH96" s="9">
        <f t="shared" si="250"/>
        <v>1.4980932262935727</v>
      </c>
      <c r="CI96" s="9">
        <f t="shared" si="251"/>
        <v>2.2004723905959698</v>
      </c>
      <c r="CJ96" s="9">
        <v>1</v>
      </c>
      <c r="CK96" s="9">
        <f>4*CI96*M96+60*CI96</f>
        <v>211.24534949721311</v>
      </c>
      <c r="CM96" s="4">
        <f t="shared" si="206"/>
        <v>2.7008763958592144</v>
      </c>
      <c r="CN96" s="4">
        <f t="shared" si="207"/>
        <v>1.6154546542469059</v>
      </c>
      <c r="CO96" s="4">
        <f t="shared" si="208"/>
        <v>3.1952110472071253</v>
      </c>
      <c r="CP96" s="4">
        <f t="shared" si="209"/>
        <v>3.8303323344891327</v>
      </c>
      <c r="CQ96" s="4">
        <f t="shared" si="210"/>
        <v>1.5772980431508556</v>
      </c>
      <c r="CR96" s="4">
        <f t="shared" si="211"/>
        <v>1.4709480943819242</v>
      </c>
      <c r="CS96" s="4">
        <f t="shared" si="143"/>
        <v>2.3452641252972923</v>
      </c>
      <c r="CU96" s="4">
        <f t="shared" si="212"/>
        <v>2.7008763958592144</v>
      </c>
      <c r="CV96" s="4">
        <f t="shared" si="212"/>
        <v>1.6154546542469059</v>
      </c>
      <c r="CW96" s="4">
        <f t="shared" si="213"/>
        <v>3.8303323344891327</v>
      </c>
      <c r="CX96" s="4">
        <f t="shared" si="285"/>
        <v>2.3452641252972923</v>
      </c>
      <c r="CY96" s="4">
        <f t="shared" si="215"/>
        <v>1.5772980431508556</v>
      </c>
      <c r="CZ96" s="4">
        <f t="shared" si="215"/>
        <v>1.4709480943819242</v>
      </c>
      <c r="DH96" s="4">
        <f t="shared" si="167"/>
        <v>0</v>
      </c>
      <c r="DI96" s="4">
        <f t="shared" si="168"/>
        <v>228.6</v>
      </c>
      <c r="DJ96" s="4">
        <f t="shared" si="169"/>
        <v>1</v>
      </c>
      <c r="DL96" s="4">
        <f t="shared" si="170"/>
        <v>1.7212629905715879E-5</v>
      </c>
      <c r="DM96" s="4">
        <f t="shared" si="171"/>
        <v>7.9910071860155822</v>
      </c>
      <c r="DN96" s="4">
        <f t="shared" si="172"/>
        <v>0.37672231211760421</v>
      </c>
      <c r="DO96" s="4">
        <f t="shared" si="253"/>
        <v>5.4076684710303295</v>
      </c>
      <c r="DP96" s="4">
        <f t="shared" si="254"/>
        <v>6.8231658126479218</v>
      </c>
      <c r="DQ96" s="4">
        <f t="shared" si="255"/>
        <v>7.6313231741846339</v>
      </c>
      <c r="DR96" s="38">
        <f t="shared" si="275"/>
        <v>512.99112187654282</v>
      </c>
      <c r="DS96" s="4">
        <f t="shared" si="256"/>
        <v>1.0001114819956296</v>
      </c>
      <c r="DT96" s="4">
        <f t="shared" si="147"/>
        <v>2.2360679774997898</v>
      </c>
      <c r="DU96" s="4">
        <f t="shared" si="276"/>
        <v>272.74432947869599</v>
      </c>
      <c r="DY96" s="4">
        <f t="shared" si="235"/>
        <v>0.85</v>
      </c>
      <c r="DZ96" s="4">
        <f t="shared" si="257"/>
        <v>0.85</v>
      </c>
      <c r="EA96" s="4">
        <f t="shared" si="258"/>
        <v>1</v>
      </c>
      <c r="EB96" s="4">
        <f t="shared" si="259"/>
        <v>0.85</v>
      </c>
      <c r="ED96" s="4">
        <f t="shared" si="277"/>
        <v>550.0805200265238</v>
      </c>
      <c r="EE96" s="25">
        <f t="shared" si="301"/>
        <v>334.32332600410302</v>
      </c>
      <c r="EG96" s="4">
        <f t="shared" si="302"/>
        <v>0.72249999999999992</v>
      </c>
      <c r="EH96" s="4">
        <f t="shared" si="260"/>
        <v>7.9910071860155822</v>
      </c>
      <c r="EI96" s="4">
        <f t="shared" si="174"/>
        <v>5.9178402591936647</v>
      </c>
      <c r="EK96" s="4">
        <f t="shared" si="175"/>
        <v>56.796126628494655</v>
      </c>
      <c r="EL96" s="4">
        <f t="shared" si="176"/>
        <v>2.2360679774997898</v>
      </c>
      <c r="EM96" s="4">
        <f t="shared" si="177"/>
        <v>0.13028265607914691</v>
      </c>
      <c r="EP96" s="4">
        <f t="shared" si="178"/>
        <v>0.13028265607914691</v>
      </c>
      <c r="EQ96" s="4">
        <f t="shared" si="179"/>
        <v>0.37609363279017455</v>
      </c>
      <c r="ER96" s="4">
        <f t="shared" si="180"/>
        <v>5.4040569058866454</v>
      </c>
      <c r="ES96" s="4">
        <f t="shared" si="236"/>
        <v>6.8217376672849355</v>
      </c>
      <c r="ET96" s="4">
        <f t="shared" si="182"/>
        <v>114.65387337150534</v>
      </c>
      <c r="EU96" s="4">
        <f t="shared" si="183"/>
        <v>57.150000000000006</v>
      </c>
      <c r="EV96" s="4">
        <f t="shared" si="261"/>
        <v>1.7212629905715879E-5</v>
      </c>
      <c r="EW96" s="4">
        <f t="shared" si="237"/>
        <v>7.6314238548367994</v>
      </c>
      <c r="EX96" s="4">
        <f t="shared" si="185"/>
        <v>512.93393897739952</v>
      </c>
      <c r="EY96" s="4">
        <f t="shared" si="186"/>
        <v>114.65387337150534</v>
      </c>
      <c r="EZ96" s="4">
        <f t="shared" si="187"/>
        <v>57.15</v>
      </c>
      <c r="FB96" s="4">
        <f t="shared" si="262"/>
        <v>0</v>
      </c>
      <c r="FG96" s="23">
        <f t="shared" si="216"/>
        <v>2.2000000000000002</v>
      </c>
      <c r="FH96" s="23">
        <f t="shared" si="216"/>
        <v>1.8</v>
      </c>
      <c r="FI96" s="23">
        <f t="shared" si="230"/>
        <v>2.2000000000000002</v>
      </c>
      <c r="FJ96" s="23">
        <f t="shared" si="217"/>
        <v>2.2000000000000002</v>
      </c>
      <c r="FK96" s="23">
        <f t="shared" si="217"/>
        <v>1.6</v>
      </c>
      <c r="FL96" s="23">
        <f t="shared" si="217"/>
        <v>1.6</v>
      </c>
      <c r="FM96" s="23">
        <f t="shared" si="218"/>
        <v>0</v>
      </c>
      <c r="FN96" s="23"/>
      <c r="FX96" s="4">
        <f t="shared" si="263"/>
        <v>1</v>
      </c>
      <c r="FY96" s="4">
        <f t="shared" si="303"/>
        <v>0.65416666666666656</v>
      </c>
      <c r="FZ96" s="4">
        <f t="shared" si="265"/>
        <v>0</v>
      </c>
      <c r="GA96" s="4">
        <f t="shared" si="266"/>
        <v>345.01013508960921</v>
      </c>
    </row>
    <row r="97" spans="1:183" ht="12" customHeight="1" x14ac:dyDescent="0.3">
      <c r="A97" s="25">
        <v>79</v>
      </c>
      <c r="B97" s="24" t="s">
        <v>605</v>
      </c>
      <c r="C97" s="24">
        <v>2016</v>
      </c>
      <c r="D97" s="24" t="s">
        <v>55</v>
      </c>
      <c r="E97" s="24"/>
      <c r="F97" s="7" t="s">
        <v>615</v>
      </c>
      <c r="G97" s="38">
        <f t="shared" si="289"/>
        <v>889.65517241379314</v>
      </c>
      <c r="H97" s="38">
        <f>11.4*25.4</f>
        <v>289.56</v>
      </c>
      <c r="I97" s="4">
        <f t="shared" si="290"/>
        <v>289.56</v>
      </c>
      <c r="J97" s="38">
        <f>5750/145</f>
        <v>39.655172413793103</v>
      </c>
      <c r="K97" s="38">
        <f t="shared" si="291"/>
        <v>25.4</v>
      </c>
      <c r="L97" s="7">
        <f t="shared" si="292"/>
        <v>11.4</v>
      </c>
      <c r="M97" s="7">
        <f t="shared" si="293"/>
        <v>11.4</v>
      </c>
      <c r="N97" s="38">
        <f>18*25.4</f>
        <v>457.2</v>
      </c>
      <c r="O97" s="38">
        <f t="shared" si="294"/>
        <v>63.5</v>
      </c>
      <c r="P97" s="7">
        <f t="shared" si="133"/>
        <v>50.8</v>
      </c>
      <c r="Q97" s="7">
        <f t="shared" si="295"/>
        <v>127</v>
      </c>
      <c r="R97" s="38">
        <v>3</v>
      </c>
      <c r="S97" s="39">
        <f t="shared" si="296"/>
        <v>50.8</v>
      </c>
      <c r="T97" s="7">
        <f t="shared" si="304"/>
        <v>2.5</v>
      </c>
      <c r="U97" s="7">
        <f t="shared" si="305"/>
        <v>3</v>
      </c>
      <c r="V97" s="38">
        <v>4</v>
      </c>
      <c r="W97" s="4">
        <f t="shared" si="297"/>
        <v>4</v>
      </c>
      <c r="X97" s="4">
        <f t="shared" si="298"/>
        <v>5</v>
      </c>
      <c r="Y97" s="7">
        <f t="shared" si="299"/>
        <v>56.796126628494655</v>
      </c>
      <c r="Z97" s="7"/>
      <c r="AA97" s="7"/>
      <c r="AB97" s="38">
        <f>84/(PI()/4)/0.145</f>
        <v>737.60083970864605</v>
      </c>
      <c r="AC97" s="7"/>
      <c r="AD97" s="7">
        <f>84/95</f>
        <v>0.88421052631578945</v>
      </c>
      <c r="AE97" s="7"/>
      <c r="AF97" s="7"/>
      <c r="AG97" s="39">
        <v>1</v>
      </c>
      <c r="AH97" s="7"/>
      <c r="AI97" s="7"/>
      <c r="AJ97" s="7"/>
      <c r="AK97" s="4">
        <f t="shared" si="279"/>
        <v>289.56</v>
      </c>
      <c r="AL97" s="44">
        <f t="shared" si="300"/>
        <v>0.30163127116035704</v>
      </c>
      <c r="AM97" s="25">
        <f t="shared" si="268"/>
        <v>204.1170127612771</v>
      </c>
      <c r="AN97" s="4">
        <f t="shared" si="269"/>
        <v>0.743859649122807</v>
      </c>
      <c r="AO97" s="4">
        <v>1.25</v>
      </c>
      <c r="AP97" s="25">
        <f t="shared" si="270"/>
        <v>5</v>
      </c>
      <c r="AQ97" s="38">
        <f t="shared" si="271"/>
        <v>286.23753713209283</v>
      </c>
      <c r="AR97" s="38">
        <f t="shared" si="272"/>
        <v>286.23753713209283</v>
      </c>
      <c r="AT97" s="38">
        <f t="shared" si="286"/>
        <v>286.23753713209271</v>
      </c>
      <c r="AU97" s="38">
        <f t="shared" si="243"/>
        <v>1.0000000000000004</v>
      </c>
      <c r="AV97" s="38">
        <f t="shared" si="136"/>
        <v>1.4962253600977746</v>
      </c>
      <c r="AW97" s="4">
        <f t="shared" si="154"/>
        <v>0</v>
      </c>
      <c r="AX97" s="4">
        <f t="shared" si="220"/>
        <v>377.83411795344153</v>
      </c>
      <c r="AY97" s="4">
        <f t="shared" si="221"/>
        <v>1.08</v>
      </c>
      <c r="AZ97" s="38">
        <f t="shared" si="273"/>
        <v>428.27586206896558</v>
      </c>
      <c r="BA97" s="4">
        <f t="shared" si="222"/>
        <v>0.44000000000000006</v>
      </c>
      <c r="BB97" s="4">
        <f t="shared" si="244"/>
        <v>86.864063717496222</v>
      </c>
      <c r="BC97" s="4">
        <f t="shared" si="245"/>
        <v>515.13992578646184</v>
      </c>
      <c r="BE97" s="36">
        <f t="shared" si="287"/>
        <v>1.1000000000000001</v>
      </c>
      <c r="BF97" s="36">
        <f t="shared" si="288"/>
        <v>278.7408232848523</v>
      </c>
      <c r="BK97" s="4">
        <f t="shared" si="156"/>
        <v>63.5</v>
      </c>
      <c r="BL97" s="4">
        <f t="shared" si="157"/>
        <v>50.8</v>
      </c>
      <c r="BM97" s="4">
        <f t="shared" si="158"/>
        <v>63.5</v>
      </c>
      <c r="BN97" s="4">
        <f t="shared" si="159"/>
        <v>63.5</v>
      </c>
      <c r="BO97" s="4">
        <f t="shared" si="160"/>
        <v>1.0250000000000001</v>
      </c>
      <c r="BP97" s="25">
        <f t="shared" si="274"/>
        <v>2.5625000000000004</v>
      </c>
      <c r="BR97" s="4">
        <f t="shared" si="161"/>
        <v>63.5</v>
      </c>
      <c r="BV97" s="9"/>
      <c r="BX97" s="9"/>
      <c r="BY97" s="9"/>
      <c r="BZ97" s="9">
        <f t="shared" si="231"/>
        <v>50.8</v>
      </c>
      <c r="CA97" s="9">
        <f t="shared" si="232"/>
        <v>63.5</v>
      </c>
      <c r="CB97" s="9">
        <f t="shared" si="248"/>
        <v>1.4623505735569622</v>
      </c>
      <c r="CC97" s="9">
        <v>0</v>
      </c>
      <c r="CD97" s="9">
        <f t="shared" si="129"/>
        <v>0</v>
      </c>
      <c r="CE97" s="9">
        <f t="shared" si="249"/>
        <v>0</v>
      </c>
      <c r="CF97" s="9">
        <f t="shared" si="233"/>
        <v>0.99524931562137331</v>
      </c>
      <c r="CG97" s="9">
        <f t="shared" si="234"/>
        <v>0.68</v>
      </c>
      <c r="CH97" s="9">
        <f t="shared" si="250"/>
        <v>1.4916219510025528</v>
      </c>
      <c r="CI97" s="9">
        <f>MIN((CB97+CE97)*CH97,2.5*CH97,J97^0.5)</f>
        <v>2.1812742155787381</v>
      </c>
      <c r="CJ97" s="9">
        <v>1</v>
      </c>
      <c r="CK97" s="9">
        <f>4*CI97*M97+60*CI97</f>
        <v>230.34255716511473</v>
      </c>
      <c r="CM97" s="4">
        <f t="shared" si="206"/>
        <v>1.9521816708980648</v>
      </c>
      <c r="CN97" s="4">
        <f t="shared" si="207"/>
        <v>1.4318456069631065</v>
      </c>
      <c r="CO97" s="4">
        <f t="shared" si="208"/>
        <v>2.6461887821679895</v>
      </c>
      <c r="CP97" s="4">
        <f t="shared" si="209"/>
        <v>3.2021908968385602</v>
      </c>
      <c r="CQ97" s="4">
        <f t="shared" si="210"/>
        <v>1.2450645673170533</v>
      </c>
      <c r="CR97" s="4">
        <f t="shared" si="211"/>
        <v>1.3186099499673773</v>
      </c>
      <c r="CS97" s="4">
        <f t="shared" si="143"/>
        <v>1.7238027723554292</v>
      </c>
      <c r="CU97" s="4">
        <f t="shared" si="212"/>
        <v>1.9521816708980648</v>
      </c>
      <c r="CV97" s="4">
        <f t="shared" si="212"/>
        <v>1.4318456069631065</v>
      </c>
      <c r="CW97" s="4">
        <f t="shared" si="213"/>
        <v>3.2021908968385602</v>
      </c>
      <c r="CX97" s="4">
        <f t="shared" si="285"/>
        <v>1.7238027723554292</v>
      </c>
      <c r="CY97" s="4">
        <f t="shared" si="215"/>
        <v>1.2450645673170533</v>
      </c>
      <c r="CZ97" s="4">
        <f t="shared" si="215"/>
        <v>1.3186099499673773</v>
      </c>
      <c r="DH97" s="4">
        <f t="shared" si="167"/>
        <v>0</v>
      </c>
      <c r="DI97" s="4">
        <f t="shared" si="168"/>
        <v>289.56</v>
      </c>
      <c r="DJ97" s="4">
        <f t="shared" si="169"/>
        <v>1</v>
      </c>
      <c r="DL97" s="4">
        <f t="shared" si="170"/>
        <v>2.1752861860978003E-5</v>
      </c>
      <c r="DM97" s="4">
        <f t="shared" si="171"/>
        <v>7.9564886350698822</v>
      </c>
      <c r="DN97" s="4">
        <f t="shared" si="172"/>
        <v>0.39879742745618391</v>
      </c>
      <c r="DO97" s="4">
        <f t="shared" si="253"/>
        <v>5.5083608891899196</v>
      </c>
      <c r="DP97" s="4">
        <f t="shared" si="254"/>
        <v>6.84315159791183</v>
      </c>
      <c r="DQ97" s="4">
        <f t="shared" si="255"/>
        <v>7.3758911635914579</v>
      </c>
      <c r="DR97" s="38">
        <f t="shared" si="275"/>
        <v>592.4197500038706</v>
      </c>
      <c r="DS97" s="4">
        <f t="shared" si="256"/>
        <v>1.0001156303791274</v>
      </c>
      <c r="DT97" s="4">
        <f t="shared" si="147"/>
        <v>2.2360679774997898</v>
      </c>
      <c r="DU97" s="4">
        <f t="shared" si="276"/>
        <v>286.23753713209271</v>
      </c>
      <c r="DY97" s="4">
        <f t="shared" si="235"/>
        <v>0.85</v>
      </c>
      <c r="DZ97" s="4">
        <f t="shared" si="257"/>
        <v>0.85</v>
      </c>
      <c r="EA97" s="4">
        <f t="shared" si="258"/>
        <v>1</v>
      </c>
      <c r="EB97" s="4">
        <f t="shared" si="259"/>
        <v>0.85</v>
      </c>
      <c r="ED97" s="4">
        <f t="shared" si="277"/>
        <v>559.37757767328731</v>
      </c>
      <c r="EE97" s="25">
        <f t="shared" si="301"/>
        <v>287.26566635389725</v>
      </c>
      <c r="EG97" s="4">
        <f t="shared" si="302"/>
        <v>0.72249999999999992</v>
      </c>
      <c r="EH97" s="4">
        <f t="shared" si="260"/>
        <v>7.9564886350698822</v>
      </c>
      <c r="EI97" s="4">
        <f t="shared" si="174"/>
        <v>5.8922771148089401</v>
      </c>
      <c r="EK97" s="4">
        <f t="shared" si="175"/>
        <v>56.796126628494655</v>
      </c>
      <c r="EL97" s="4">
        <f t="shared" si="176"/>
        <v>2.2360679774997898</v>
      </c>
      <c r="EM97" s="4">
        <f>MIN(DU97)/(4700*J97^0.5)/W97*EK97</f>
        <v>0.13732118255662151</v>
      </c>
      <c r="EP97" s="4">
        <f>EM97</f>
        <v>0.13732118255662151</v>
      </c>
      <c r="EQ97" s="4">
        <f>MIN(0.999, EP97/(0.3*(J97/30)^0.5))</f>
        <v>0.39813190887549621</v>
      </c>
      <c r="ER97" s="4">
        <f t="shared" si="180"/>
        <v>5.5046820756138262</v>
      </c>
      <c r="ES97" s="4">
        <f t="shared" si="236"/>
        <v>6.8416736129745388</v>
      </c>
      <c r="ET97" s="4">
        <f t="shared" si="182"/>
        <v>160.37387337150537</v>
      </c>
      <c r="EU97" s="4">
        <f t="shared" si="183"/>
        <v>72.389999999999986</v>
      </c>
      <c r="EV97" s="4">
        <f t="shared" si="261"/>
        <v>2.1752861860977999E-5</v>
      </c>
      <c r="EW97" s="4">
        <f t="shared" si="237"/>
        <v>7.3760436280034343</v>
      </c>
      <c r="EX97" s="4">
        <f t="shared" si="185"/>
        <v>592.35125620353915</v>
      </c>
      <c r="EY97" s="4">
        <f t="shared" si="186"/>
        <v>160.37387337150537</v>
      </c>
      <c r="EZ97" s="4">
        <f t="shared" si="187"/>
        <v>72.389999999999986</v>
      </c>
      <c r="FB97" s="4">
        <f t="shared" si="262"/>
        <v>0</v>
      </c>
      <c r="FG97" s="23">
        <f t="shared" si="216"/>
        <v>2</v>
      </c>
      <c r="FH97" s="23">
        <f t="shared" si="216"/>
        <v>1.6</v>
      </c>
      <c r="FI97" s="23">
        <f t="shared" si="230"/>
        <v>1.8</v>
      </c>
      <c r="FJ97" s="23">
        <f t="shared" si="217"/>
        <v>2.2000000000000002</v>
      </c>
      <c r="FK97" s="23">
        <f t="shared" si="217"/>
        <v>1.4</v>
      </c>
      <c r="FL97" s="23">
        <f t="shared" si="217"/>
        <v>1.4</v>
      </c>
      <c r="FM97" s="23">
        <f t="shared" si="218"/>
        <v>0</v>
      </c>
      <c r="FN97" s="23"/>
      <c r="FX97" s="4">
        <f t="shared" si="263"/>
        <v>1</v>
      </c>
      <c r="FY97" s="4">
        <f t="shared" si="303"/>
        <v>0.66666666666666652</v>
      </c>
      <c r="FZ97" s="4">
        <f t="shared" si="265"/>
        <v>0</v>
      </c>
      <c r="GA97" s="4">
        <f t="shared" si="266"/>
        <v>427.89166576219014</v>
      </c>
    </row>
    <row r="98" spans="1:183" ht="12" customHeight="1" x14ac:dyDescent="0.3">
      <c r="A98" s="25">
        <v>80</v>
      </c>
      <c r="B98" s="24" t="s">
        <v>605</v>
      </c>
      <c r="C98" s="24">
        <v>2016</v>
      </c>
      <c r="D98" s="24" t="s">
        <v>55</v>
      </c>
      <c r="E98" s="24"/>
      <c r="F98" s="7" t="s">
        <v>616</v>
      </c>
      <c r="G98" s="38">
        <f t="shared" si="289"/>
        <v>889.65517241379314</v>
      </c>
      <c r="H98" s="38">
        <f>14*25.4</f>
        <v>355.59999999999997</v>
      </c>
      <c r="I98" s="4">
        <f t="shared" si="290"/>
        <v>355.59999999999997</v>
      </c>
      <c r="J98" s="38">
        <f>5750/145</f>
        <v>39.655172413793103</v>
      </c>
      <c r="K98" s="38">
        <f t="shared" si="291"/>
        <v>25.4</v>
      </c>
      <c r="L98" s="7">
        <f t="shared" si="292"/>
        <v>14</v>
      </c>
      <c r="M98" s="7">
        <f t="shared" si="293"/>
        <v>14</v>
      </c>
      <c r="N98" s="38">
        <f>18.1*25.4</f>
        <v>459.74</v>
      </c>
      <c r="O98" s="38">
        <f t="shared" si="294"/>
        <v>63.5</v>
      </c>
      <c r="P98" s="7">
        <f t="shared" si="133"/>
        <v>50.8</v>
      </c>
      <c r="Q98" s="7">
        <f t="shared" si="295"/>
        <v>128.27000000000001</v>
      </c>
      <c r="R98" s="38">
        <v>3</v>
      </c>
      <c r="S98" s="39">
        <f t="shared" si="296"/>
        <v>50.8</v>
      </c>
      <c r="T98" s="7">
        <f t="shared" si="304"/>
        <v>2.5</v>
      </c>
      <c r="U98" s="7">
        <f t="shared" si="305"/>
        <v>3</v>
      </c>
      <c r="V98" s="38">
        <v>4</v>
      </c>
      <c r="W98" s="4">
        <f t="shared" si="297"/>
        <v>4</v>
      </c>
      <c r="X98" s="4">
        <f t="shared" si="298"/>
        <v>5</v>
      </c>
      <c r="Y98" s="7">
        <f t="shared" si="299"/>
        <v>56.796126628494655</v>
      </c>
      <c r="Z98" s="7"/>
      <c r="AA98" s="7"/>
      <c r="AB98" s="38">
        <f>121/(PI()/4)/0.145</f>
        <v>1062.4964476755497</v>
      </c>
      <c r="AC98" s="7"/>
      <c r="AD98" s="7">
        <f>102/121</f>
        <v>0.84297520661157022</v>
      </c>
      <c r="AE98" s="7"/>
      <c r="AF98" s="7"/>
      <c r="AG98" s="39">
        <v>1</v>
      </c>
      <c r="AH98" s="7"/>
      <c r="AI98" s="7"/>
      <c r="AJ98" s="7"/>
      <c r="AK98" s="4">
        <f t="shared" si="279"/>
        <v>355.59999999999997</v>
      </c>
      <c r="AL98" s="44">
        <f t="shared" si="300"/>
        <v>0.20521541950113381</v>
      </c>
      <c r="AM98" s="25">
        <f t="shared" si="268"/>
        <v>277.78831941457963</v>
      </c>
      <c r="AN98" s="4">
        <f t="shared" si="269"/>
        <v>0.73571428571428565</v>
      </c>
      <c r="AO98" s="4">
        <v>1.25</v>
      </c>
      <c r="AP98" s="25">
        <f t="shared" si="270"/>
        <v>5</v>
      </c>
      <c r="AQ98" s="38">
        <f t="shared" si="271"/>
        <v>262.1278566795234</v>
      </c>
      <c r="AR98" s="38">
        <f t="shared" si="272"/>
        <v>262.1278566795234</v>
      </c>
      <c r="AT98" s="38">
        <f t="shared" si="286"/>
        <v>262.12785667952323</v>
      </c>
      <c r="AU98" s="38">
        <f t="shared" si="243"/>
        <v>1.0000000000000007</v>
      </c>
      <c r="AV98" s="38">
        <f t="shared" si="136"/>
        <v>1.6338433751151233</v>
      </c>
      <c r="AW98" s="4">
        <f t="shared" si="154"/>
        <v>0</v>
      </c>
      <c r="AX98" s="4">
        <f t="shared" si="220"/>
        <v>464.00681152177032</v>
      </c>
      <c r="AY98" s="4">
        <f t="shared" si="221"/>
        <v>1.08</v>
      </c>
      <c r="AZ98" s="38">
        <f t="shared" si="273"/>
        <v>428.27586206896558</v>
      </c>
      <c r="BA98" s="4">
        <f t="shared" si="222"/>
        <v>0.44000000000000006</v>
      </c>
      <c r="BB98" s="4">
        <f t="shared" si="244"/>
        <v>106.675165968855</v>
      </c>
      <c r="BC98" s="4">
        <f t="shared" si="245"/>
        <v>534.95102803782061</v>
      </c>
      <c r="BE98" s="36">
        <f t="shared" si="287"/>
        <v>1.1000000000000001</v>
      </c>
      <c r="BF98" s="36">
        <f t="shared" si="288"/>
        <v>307.55697201410146</v>
      </c>
      <c r="BK98" s="4">
        <f t="shared" si="156"/>
        <v>63.5</v>
      </c>
      <c r="BL98" s="4">
        <f t="shared" si="157"/>
        <v>50.8</v>
      </c>
      <c r="BM98" s="4">
        <f t="shared" si="158"/>
        <v>63.5</v>
      </c>
      <c r="BN98" s="4">
        <f t="shared" si="159"/>
        <v>63.5</v>
      </c>
      <c r="BO98" s="4">
        <f t="shared" si="160"/>
        <v>1.0250000000000001</v>
      </c>
      <c r="BP98" s="25">
        <f t="shared" si="274"/>
        <v>2.5625000000000004</v>
      </c>
      <c r="BR98" s="4">
        <f t="shared" si="161"/>
        <v>63.5</v>
      </c>
      <c r="BV98" s="9"/>
      <c r="BX98" s="9"/>
      <c r="BY98" s="9"/>
      <c r="BZ98" s="9">
        <f t="shared" si="231"/>
        <v>50.8</v>
      </c>
      <c r="CA98" s="9">
        <f t="shared" si="232"/>
        <v>64.135000000000005</v>
      </c>
      <c r="CB98" s="9">
        <f t="shared" si="248"/>
        <v>1.4645348340145701</v>
      </c>
      <c r="CC98" s="9">
        <v>0</v>
      </c>
      <c r="CD98" s="9">
        <f t="shared" si="129"/>
        <v>0</v>
      </c>
      <c r="CE98" s="9">
        <f t="shared" si="249"/>
        <v>0</v>
      </c>
      <c r="CF98" s="9">
        <f t="shared" si="233"/>
        <v>0.99524931562137331</v>
      </c>
      <c r="CG98" s="9">
        <f t="shared" si="234"/>
        <v>0.68</v>
      </c>
      <c r="CH98" s="9">
        <f>1.75*CF98*CG98*(J98/25)^0.5</f>
        <v>1.4916219510025528</v>
      </c>
      <c r="CI98" s="9">
        <f>MIN((CB98+CE98)*CH98,2.5*CH98,J98^0.5)</f>
        <v>2.1845323064240127</v>
      </c>
      <c r="CJ98" s="9">
        <v>1</v>
      </c>
      <c r="CK98" s="9">
        <f>4*CI98*M98+60*CI98</f>
        <v>253.40574754518548</v>
      </c>
      <c r="CM98" s="4">
        <f t="shared" si="206"/>
        <v>2.2898294190789037</v>
      </c>
      <c r="CN98" s="4">
        <f t="shared" si="207"/>
        <v>1.9861564741220239</v>
      </c>
      <c r="CO98" s="4">
        <f t="shared" si="208"/>
        <v>3.4546329439959318</v>
      </c>
      <c r="CP98" s="4">
        <f t="shared" si="209"/>
        <v>4.1928664127323829</v>
      </c>
      <c r="CQ98" s="4">
        <f t="shared" si="210"/>
        <v>1.6794082019601415</v>
      </c>
      <c r="CR98" s="4">
        <f t="shared" si="211"/>
        <v>1.793169919181012</v>
      </c>
      <c r="CS98" s="4">
        <f t="shared" si="143"/>
        <v>2.0093131033468623</v>
      </c>
      <c r="CU98" s="4">
        <f t="shared" si="212"/>
        <v>2.2898294190789037</v>
      </c>
      <c r="CV98" s="4">
        <f t="shared" si="212"/>
        <v>1.9861564741220239</v>
      </c>
      <c r="CW98" s="4">
        <f t="shared" si="213"/>
        <v>4.1928664127323829</v>
      </c>
      <c r="CX98" s="4">
        <f t="shared" si="285"/>
        <v>2.0093131033468623</v>
      </c>
      <c r="CY98" s="4">
        <f t="shared" si="215"/>
        <v>1.6794082019601415</v>
      </c>
      <c r="CZ98" s="4">
        <f t="shared" si="215"/>
        <v>1.793169919181012</v>
      </c>
      <c r="DH98" s="4">
        <f t="shared" si="167"/>
        <v>0</v>
      </c>
      <c r="DI98" s="4">
        <f t="shared" si="168"/>
        <v>355.59999999999997</v>
      </c>
      <c r="DJ98" s="4">
        <f t="shared" si="169"/>
        <v>1</v>
      </c>
      <c r="DL98" s="4">
        <f t="shared" si="170"/>
        <v>2.6714040881902812E-5</v>
      </c>
      <c r="DM98" s="4">
        <f t="shared" si="171"/>
        <v>7.9564886350698822</v>
      </c>
      <c r="DN98" s="4">
        <f t="shared" si="172"/>
        <v>0.36520686963623494</v>
      </c>
      <c r="DO98" s="4">
        <f t="shared" si="253"/>
        <v>5.3178614973305693</v>
      </c>
      <c r="DP98" s="4">
        <f t="shared" si="254"/>
        <v>6.767524272068445</v>
      </c>
      <c r="DQ98" s="4">
        <f t="shared" si="255"/>
        <v>7.0902518106979704</v>
      </c>
      <c r="DR98" s="38">
        <f t="shared" si="275"/>
        <v>632.66122342110998</v>
      </c>
      <c r="DS98" s="4">
        <f t="shared" si="256"/>
        <v>1.0001184041722562</v>
      </c>
      <c r="DT98" s="4">
        <f t="shared" si="147"/>
        <v>2.2360679774997898</v>
      </c>
      <c r="DU98" s="4">
        <f t="shared" si="276"/>
        <v>262.12785667952323</v>
      </c>
      <c r="DY98" s="4">
        <f t="shared" si="235"/>
        <v>0.85</v>
      </c>
      <c r="DZ98" s="4">
        <f t="shared" si="257"/>
        <v>0.85</v>
      </c>
      <c r="EA98" s="4">
        <f t="shared" si="258"/>
        <v>1</v>
      </c>
      <c r="EB98" s="4">
        <f t="shared" si="259"/>
        <v>0.85</v>
      </c>
      <c r="ED98" s="4">
        <f t="shared" si="277"/>
        <v>592.52413076437279</v>
      </c>
      <c r="EE98" s="25">
        <f t="shared" si="301"/>
        <v>258.35160809143781</v>
      </c>
      <c r="EG98" s="4">
        <f t="shared" si="302"/>
        <v>0.72249999999999992</v>
      </c>
      <c r="EH98" s="4">
        <f t="shared" si="260"/>
        <v>7.9564886350698822</v>
      </c>
      <c r="EI98" s="4">
        <f t="shared" si="174"/>
        <v>5.8922771148089401</v>
      </c>
      <c r="EK98" s="4">
        <f t="shared" si="175"/>
        <v>56.796126628494655</v>
      </c>
      <c r="EL98" s="4">
        <f t="shared" si="176"/>
        <v>2.2360679774997898</v>
      </c>
      <c r="EM98" s="4">
        <f t="shared" si="177"/>
        <v>0.12575467082660599</v>
      </c>
      <c r="EP98" s="4">
        <f t="shared" si="178"/>
        <v>0.12575467082660599</v>
      </c>
      <c r="EQ98" s="4">
        <f t="shared" si="179"/>
        <v>0.36459740743611979</v>
      </c>
      <c r="ER98" s="4">
        <f t="shared" si="180"/>
        <v>5.3143099106670029</v>
      </c>
      <c r="ES98" s="4">
        <f t="shared" si="236"/>
        <v>6.7661320889508163</v>
      </c>
      <c r="ET98" s="4">
        <f t="shared" si="182"/>
        <v>209.90387337150534</v>
      </c>
      <c r="EU98" s="4">
        <f t="shared" si="183"/>
        <v>88.899999999999949</v>
      </c>
      <c r="EV98" s="4">
        <f t="shared" si="261"/>
        <v>2.6714040881902795E-5</v>
      </c>
      <c r="EW98" s="4">
        <f t="shared" si="237"/>
        <v>7.090457890949061</v>
      </c>
      <c r="EX98" s="4">
        <f t="shared" si="185"/>
        <v>632.58632256120654</v>
      </c>
      <c r="EY98" s="4">
        <f t="shared" si="186"/>
        <v>209.90387337150534</v>
      </c>
      <c r="EZ98" s="4">
        <f t="shared" si="187"/>
        <v>88.899999999999977</v>
      </c>
      <c r="FB98" s="4">
        <f t="shared" si="262"/>
        <v>0</v>
      </c>
      <c r="FG98" s="23">
        <f t="shared" si="216"/>
        <v>2.2000000000000002</v>
      </c>
      <c r="FH98" s="23">
        <f t="shared" si="216"/>
        <v>2</v>
      </c>
      <c r="FI98" s="23">
        <f t="shared" si="230"/>
        <v>2.2000000000000002</v>
      </c>
      <c r="FJ98" s="23">
        <f t="shared" si="217"/>
        <v>2.2000000000000002</v>
      </c>
      <c r="FK98" s="23">
        <f t="shared" si="217"/>
        <v>1.8</v>
      </c>
      <c r="FL98" s="23">
        <f t="shared" si="217"/>
        <v>1.8</v>
      </c>
      <c r="FM98" s="23">
        <f t="shared" si="218"/>
        <v>0</v>
      </c>
      <c r="FN98" s="23"/>
      <c r="FX98" s="4">
        <f t="shared" si="263"/>
        <v>1</v>
      </c>
      <c r="FY98" s="4">
        <f t="shared" si="303"/>
        <v>0.66249999999999987</v>
      </c>
      <c r="FZ98" s="4">
        <f t="shared" si="265"/>
        <v>0</v>
      </c>
      <c r="GA98" s="4">
        <f t="shared" si="266"/>
        <v>528.78590494720618</v>
      </c>
    </row>
    <row r="99" spans="1:183" ht="12" customHeight="1" x14ac:dyDescent="0.3">
      <c r="A99" s="25">
        <v>81</v>
      </c>
      <c r="B99" s="24" t="s">
        <v>605</v>
      </c>
      <c r="C99" s="24">
        <v>2016</v>
      </c>
      <c r="D99" s="24" t="s">
        <v>55</v>
      </c>
      <c r="E99" s="24"/>
      <c r="F99" s="7" t="s">
        <v>617</v>
      </c>
      <c r="G99" s="38">
        <f t="shared" si="289"/>
        <v>889.65517241379314</v>
      </c>
      <c r="H99" s="38">
        <f>9*25.4</f>
        <v>228.6</v>
      </c>
      <c r="I99" s="4">
        <f t="shared" si="290"/>
        <v>228.6</v>
      </c>
      <c r="J99" s="38">
        <f>4630/145</f>
        <v>31.931034482758619</v>
      </c>
      <c r="K99" s="38">
        <f t="shared" si="291"/>
        <v>25.4</v>
      </c>
      <c r="L99" s="7">
        <f t="shared" si="292"/>
        <v>9</v>
      </c>
      <c r="M99" s="7">
        <f t="shared" si="293"/>
        <v>9</v>
      </c>
      <c r="N99" s="38">
        <f>18.3*25.4</f>
        <v>464.82</v>
      </c>
      <c r="O99" s="38">
        <f t="shared" si="294"/>
        <v>63.5</v>
      </c>
      <c r="P99" s="7">
        <f t="shared" si="133"/>
        <v>50.8</v>
      </c>
      <c r="Q99" s="7">
        <f t="shared" si="295"/>
        <v>287.02</v>
      </c>
      <c r="R99" s="38">
        <v>2</v>
      </c>
      <c r="S99" s="39">
        <f t="shared" si="296"/>
        <v>50.8</v>
      </c>
      <c r="T99" s="7">
        <f t="shared" si="304"/>
        <v>2.5</v>
      </c>
      <c r="U99" s="7">
        <f>O99/K99+0.5</f>
        <v>3</v>
      </c>
      <c r="V99" s="38">
        <v>4</v>
      </c>
      <c r="W99" s="4">
        <f t="shared" si="297"/>
        <v>4</v>
      </c>
      <c r="X99" s="4">
        <f t="shared" si="298"/>
        <v>5</v>
      </c>
      <c r="Y99" s="7">
        <f t="shared" si="299"/>
        <v>56.796126628494655</v>
      </c>
      <c r="Z99" s="7"/>
      <c r="AA99" s="7"/>
      <c r="AB99" s="38">
        <f>79.9/(PI()/4)/0.145*AD103</f>
        <v>593.12181124680444</v>
      </c>
      <c r="AC99" s="7" t="s">
        <v>654</v>
      </c>
      <c r="AD99" s="7"/>
      <c r="AE99" s="7"/>
      <c r="AF99" s="7"/>
      <c r="AG99" s="39">
        <v>1</v>
      </c>
      <c r="AH99" s="7"/>
      <c r="AI99" s="7"/>
      <c r="AJ99" s="7"/>
      <c r="AK99" s="4">
        <f t="shared" si="279"/>
        <v>228.6</v>
      </c>
      <c r="AL99" s="44">
        <f t="shared" si="300"/>
        <v>0.40164609053497946</v>
      </c>
      <c r="AM99" s="25">
        <f t="shared" si="268"/>
        <v>192.722989249124</v>
      </c>
      <c r="AN99" s="4">
        <f t="shared" si="269"/>
        <v>0.75555555555555554</v>
      </c>
      <c r="AO99" s="4">
        <v>1.25</v>
      </c>
      <c r="AP99" s="25">
        <f t="shared" si="270"/>
        <v>5</v>
      </c>
      <c r="AQ99" s="38">
        <f t="shared" si="271"/>
        <v>365.53038838837051</v>
      </c>
      <c r="AR99" s="38">
        <f t="shared" si="272"/>
        <v>365.53038838837051</v>
      </c>
      <c r="AT99" s="38">
        <f t="shared" si="286"/>
        <v>365.53038838837034</v>
      </c>
      <c r="AU99" s="38">
        <f t="shared" si="243"/>
        <v>1.0000000000000004</v>
      </c>
      <c r="AV99" s="38">
        <f t="shared" si="136"/>
        <v>0.94343776432450766</v>
      </c>
      <c r="AW99" s="4">
        <f t="shared" si="154"/>
        <v>1</v>
      </c>
      <c r="AX99" s="4">
        <f t="shared" si="220"/>
        <v>267.66735221783927</v>
      </c>
      <c r="AY99" s="4">
        <f t="shared" si="221"/>
        <v>1.08</v>
      </c>
      <c r="AZ99" s="38">
        <f t="shared" si="273"/>
        <v>344.85517241379307</v>
      </c>
      <c r="BA99" s="4">
        <f t="shared" si="222"/>
        <v>0.44000000000000006</v>
      </c>
      <c r="BB99" s="4">
        <f t="shared" si="244"/>
        <v>61.536724274881244</v>
      </c>
      <c r="BC99" s="4">
        <f t="shared" si="245"/>
        <v>406.39189668867431</v>
      </c>
      <c r="BE99" s="36">
        <f t="shared" si="287"/>
        <v>1.1000000000000001</v>
      </c>
      <c r="BF99" s="36">
        <f t="shared" si="288"/>
        <v>226.25623874804819</v>
      </c>
      <c r="BK99" s="4">
        <f t="shared" si="156"/>
        <v>63.5</v>
      </c>
      <c r="BL99" s="4">
        <f t="shared" si="157"/>
        <v>50.8</v>
      </c>
      <c r="BM99" s="4">
        <f t="shared" si="158"/>
        <v>63.5</v>
      </c>
      <c r="BN99" s="4">
        <f t="shared" si="159"/>
        <v>63.5</v>
      </c>
      <c r="BO99" s="4">
        <f t="shared" si="160"/>
        <v>1.0250000000000001</v>
      </c>
      <c r="BP99" s="25">
        <f t="shared" si="274"/>
        <v>2.5625000000000004</v>
      </c>
      <c r="BR99" s="4">
        <f t="shared" si="161"/>
        <v>63.5</v>
      </c>
      <c r="BV99" s="9"/>
      <c r="BX99" s="9"/>
      <c r="BY99" s="9"/>
      <c r="BZ99" s="9">
        <f t="shared" si="231"/>
        <v>50.8</v>
      </c>
      <c r="CA99" s="9">
        <f t="shared" si="232"/>
        <v>143.51</v>
      </c>
      <c r="CB99" s="9">
        <f t="shared" si="248"/>
        <v>1.6526000655830793</v>
      </c>
      <c r="CC99" s="9">
        <v>0</v>
      </c>
      <c r="CD99" s="9">
        <f t="shared" si="129"/>
        <v>0</v>
      </c>
      <c r="CE99" s="9">
        <f t="shared" si="249"/>
        <v>0</v>
      </c>
      <c r="CF99" s="9">
        <f t="shared" si="233"/>
        <v>0.99524931562137331</v>
      </c>
      <c r="CG99" s="9">
        <f t="shared" si="234"/>
        <v>0.68</v>
      </c>
      <c r="CH99" s="9">
        <f t="shared" si="250"/>
        <v>1.3384906416342788</v>
      </c>
      <c r="CI99" s="9">
        <f t="shared" si="251"/>
        <v>2.211989722147147</v>
      </c>
      <c r="CJ99" s="9">
        <v>1</v>
      </c>
      <c r="CK99" s="9">
        <f t="shared" si="252"/>
        <v>212.35101332612612</v>
      </c>
      <c r="CM99" s="4">
        <f t="shared" si="206"/>
        <v>2.2158915023902366</v>
      </c>
      <c r="CN99" s="4">
        <f t="shared" si="207"/>
        <v>1.4594823766901504</v>
      </c>
      <c r="CO99" s="4">
        <f t="shared" si="208"/>
        <v>2.6214605817225052</v>
      </c>
      <c r="CP99" s="4">
        <f t="shared" si="209"/>
        <v>2.7931197593858199</v>
      </c>
      <c r="CQ99" s="4">
        <f t="shared" si="210"/>
        <v>0.99039775367630722</v>
      </c>
      <c r="CR99" s="4">
        <f t="shared" si="211"/>
        <v>0.92555359594594022</v>
      </c>
      <c r="CS99" s="4">
        <f t="shared" si="143"/>
        <v>1.3901299045477662</v>
      </c>
      <c r="CU99" s="4">
        <f t="shared" si="212"/>
        <v>2.2158915023902366</v>
      </c>
      <c r="CV99" s="4">
        <f t="shared" si="212"/>
        <v>1.4594823766901504</v>
      </c>
      <c r="CW99" s="4">
        <f t="shared" si="213"/>
        <v>2.7931197593858199</v>
      </c>
      <c r="CX99" s="4">
        <f t="shared" si="285"/>
        <v>1.3901299045477662</v>
      </c>
      <c r="CY99" s="4">
        <f t="shared" si="215"/>
        <v>0.99039775367630722</v>
      </c>
      <c r="CZ99" s="4">
        <f t="shared" si="215"/>
        <v>0.92555359594594022</v>
      </c>
      <c r="DH99" s="4">
        <f t="shared" si="167"/>
        <v>0</v>
      </c>
      <c r="DI99" s="4">
        <f t="shared" si="168"/>
        <v>228.6</v>
      </c>
      <c r="DJ99" s="4">
        <f t="shared" si="169"/>
        <v>1</v>
      </c>
      <c r="DL99" s="4">
        <f t="shared" si="170"/>
        <v>1.6292650405255247E-5</v>
      </c>
      <c r="DM99" s="4">
        <f>EH99</f>
        <v>7.1396680446762248</v>
      </c>
      <c r="DN99" s="4">
        <f t="shared" si="172"/>
        <v>0.63246442644674039</v>
      </c>
      <c r="DO99" s="4">
        <f t="shared" si="253"/>
        <v>5.944186968008955</v>
      </c>
      <c r="DP99" s="4">
        <f t="shared" si="254"/>
        <v>6.5692013168049943</v>
      </c>
      <c r="DQ99" s="4">
        <f t="shared" si="255"/>
        <v>6.8404228028420162</v>
      </c>
      <c r="DR99" s="38">
        <f t="shared" si="275"/>
        <v>598.87233088440053</v>
      </c>
      <c r="DS99" s="4">
        <f t="shared" si="256"/>
        <v>1.0001119365080668</v>
      </c>
      <c r="DT99" s="4">
        <f t="shared" si="147"/>
        <v>2.2360679774997898</v>
      </c>
      <c r="DU99" s="4">
        <f t="shared" si="276"/>
        <v>365.53038838837034</v>
      </c>
      <c r="DY99" s="4">
        <f t="shared" si="235"/>
        <v>0.85</v>
      </c>
      <c r="DZ99" s="4">
        <f t="shared" si="257"/>
        <v>0.85</v>
      </c>
      <c r="EA99" s="4">
        <f t="shared" si="258"/>
        <v>1</v>
      </c>
      <c r="EB99" s="4">
        <f t="shared" si="259"/>
        <v>0.85</v>
      </c>
      <c r="ED99" s="4">
        <f t="shared" si="277"/>
        <v>640.8292440813417</v>
      </c>
      <c r="EE99" s="25">
        <f t="shared" si="301"/>
        <v>448.05820687508361</v>
      </c>
      <c r="EG99" s="4">
        <f t="shared" si="302"/>
        <v>0.72249999999999992</v>
      </c>
      <c r="EH99" s="4">
        <f t="shared" si="260"/>
        <v>7.1396680446762248</v>
      </c>
      <c r="EI99" s="4">
        <f t="shared" si="174"/>
        <v>5.2873704163355377</v>
      </c>
      <c r="EK99" s="4">
        <f t="shared" si="175"/>
        <v>56.796126628494655</v>
      </c>
      <c r="EL99" s="4">
        <f t="shared" si="176"/>
        <v>2.2360679774997898</v>
      </c>
      <c r="EM99" s="4">
        <f t="shared" si="177"/>
        <v>0.19542398411872033</v>
      </c>
      <c r="EP99" s="4">
        <f t="shared" si="178"/>
        <v>0.19542398411872033</v>
      </c>
      <c r="EQ99" s="4">
        <f t="shared" si="179"/>
        <v>0.6314089611943462</v>
      </c>
      <c r="ER99" s="4">
        <f t="shared" si="180"/>
        <v>5.9402170836537644</v>
      </c>
      <c r="ES99" s="4">
        <f t="shared" si="236"/>
        <v>6.5674058970977542</v>
      </c>
      <c r="ET99" s="4">
        <f t="shared" si="182"/>
        <v>114.65387337150534</v>
      </c>
      <c r="EU99" s="4">
        <f t="shared" si="183"/>
        <v>57.150000000000006</v>
      </c>
      <c r="EV99" s="4">
        <f t="shared" si="261"/>
        <v>1.629265040525525E-5</v>
      </c>
      <c r="EW99" s="4">
        <f t="shared" si="237"/>
        <v>6.8405224873496033</v>
      </c>
      <c r="EX99" s="4">
        <f t="shared" si="185"/>
        <v>598.8053027098033</v>
      </c>
      <c r="EY99" s="4">
        <f t="shared" si="186"/>
        <v>114.65387337150534</v>
      </c>
      <c r="EZ99" s="4">
        <f t="shared" si="187"/>
        <v>57.15</v>
      </c>
      <c r="FB99" s="4">
        <f t="shared" si="262"/>
        <v>0</v>
      </c>
      <c r="FG99" s="23">
        <f t="shared" si="216"/>
        <v>2.2000000000000002</v>
      </c>
      <c r="FH99" s="23">
        <f t="shared" si="216"/>
        <v>1.6</v>
      </c>
      <c r="FI99" s="23">
        <f t="shared" si="230"/>
        <v>1.4</v>
      </c>
      <c r="FJ99" s="23">
        <f t="shared" si="217"/>
        <v>2.2000000000000002</v>
      </c>
      <c r="FK99" s="23">
        <f t="shared" si="217"/>
        <v>1</v>
      </c>
      <c r="FL99" s="23">
        <f t="shared" si="217"/>
        <v>1</v>
      </c>
      <c r="FM99" s="23">
        <f t="shared" si="218"/>
        <v>0</v>
      </c>
      <c r="FN99" s="23"/>
      <c r="FX99" s="4">
        <f t="shared" si="263"/>
        <v>1</v>
      </c>
      <c r="FY99" s="4">
        <f t="shared" si="303"/>
        <v>0.5</v>
      </c>
      <c r="FZ99" s="4">
        <f t="shared" si="265"/>
        <v>0</v>
      </c>
      <c r="GA99" s="4">
        <f t="shared" si="266"/>
        <v>426.66646426814151</v>
      </c>
    </row>
    <row r="100" spans="1:183" ht="12" customHeight="1" x14ac:dyDescent="0.3">
      <c r="A100" s="25">
        <v>82</v>
      </c>
      <c r="B100" s="24" t="s">
        <v>605</v>
      </c>
      <c r="C100" s="24">
        <v>2016</v>
      </c>
      <c r="D100" s="24" t="s">
        <v>55</v>
      </c>
      <c r="E100" s="24"/>
      <c r="F100" s="7" t="s">
        <v>618</v>
      </c>
      <c r="G100" s="38">
        <f t="shared" si="289"/>
        <v>889.65517241379314</v>
      </c>
      <c r="H100" s="38">
        <f>13*25.4</f>
        <v>330.2</v>
      </c>
      <c r="I100" s="4">
        <f t="shared" si="290"/>
        <v>330.2</v>
      </c>
      <c r="J100" s="38">
        <f>4760/145</f>
        <v>32.827586206896555</v>
      </c>
      <c r="K100" s="38">
        <f t="shared" si="291"/>
        <v>25.4</v>
      </c>
      <c r="L100" s="7">
        <f t="shared" si="292"/>
        <v>13</v>
      </c>
      <c r="M100" s="7">
        <f t="shared" si="293"/>
        <v>13</v>
      </c>
      <c r="N100" s="38">
        <f>18.4*25.4</f>
        <v>467.35999999999996</v>
      </c>
      <c r="O100" s="38">
        <f t="shared" si="294"/>
        <v>63.5</v>
      </c>
      <c r="P100" s="7">
        <f t="shared" si="133"/>
        <v>50.8</v>
      </c>
      <c r="Q100" s="7">
        <f t="shared" si="295"/>
        <v>289.55999999999995</v>
      </c>
      <c r="R100" s="38">
        <v>2</v>
      </c>
      <c r="S100" s="39">
        <f t="shared" si="296"/>
        <v>50.8</v>
      </c>
      <c r="T100" s="7">
        <f t="shared" si="304"/>
        <v>2.5</v>
      </c>
      <c r="U100" s="7">
        <f t="shared" si="305"/>
        <v>3</v>
      </c>
      <c r="V100" s="38">
        <v>4</v>
      </c>
      <c r="W100" s="4">
        <f t="shared" si="297"/>
        <v>4</v>
      </c>
      <c r="X100" s="4">
        <f t="shared" si="298"/>
        <v>5</v>
      </c>
      <c r="Y100" s="7">
        <f t="shared" si="299"/>
        <v>56.796126628494655</v>
      </c>
      <c r="Z100" s="7"/>
      <c r="AA100" s="7"/>
      <c r="AB100" s="38">
        <f>91.7/(PI()/4)/0.145*AD103</f>
        <v>680.71677210678308</v>
      </c>
      <c r="AC100" s="7" t="s">
        <v>654</v>
      </c>
      <c r="AD100" s="7"/>
      <c r="AE100" s="7"/>
      <c r="AF100" s="7"/>
      <c r="AG100" s="39">
        <v>1</v>
      </c>
      <c r="AH100" s="7"/>
      <c r="AI100" s="7"/>
      <c r="AJ100" s="7"/>
      <c r="AK100" s="4">
        <f t="shared" si="279"/>
        <v>330.2</v>
      </c>
      <c r="AL100" s="44">
        <f t="shared" si="300"/>
        <v>0.24194608809993426</v>
      </c>
      <c r="AM100" s="25">
        <f t="shared" si="268"/>
        <v>339.2327463778492</v>
      </c>
      <c r="AN100" s="4">
        <f t="shared" si="269"/>
        <v>0.73846153846153839</v>
      </c>
      <c r="AO100" s="4">
        <v>1.25</v>
      </c>
      <c r="AP100" s="25">
        <f t="shared" si="270"/>
        <v>5</v>
      </c>
      <c r="AQ100" s="38">
        <f t="shared" si="271"/>
        <v>378.81247357623579</v>
      </c>
      <c r="AR100" s="38">
        <f t="shared" si="272"/>
        <v>378.81247357623579</v>
      </c>
      <c r="AT100" s="38">
        <f t="shared" si="286"/>
        <v>378.81247357623596</v>
      </c>
      <c r="AU100" s="38">
        <f t="shared" si="243"/>
        <v>0.99999999999999956</v>
      </c>
      <c r="AV100" s="38">
        <f t="shared" si="136"/>
        <v>0.93591936846063783</v>
      </c>
      <c r="AW100" s="4">
        <f t="shared" si="154"/>
        <v>1</v>
      </c>
      <c r="AX100" s="4">
        <f t="shared" si="220"/>
        <v>392.02090470029344</v>
      </c>
      <c r="AY100" s="4">
        <f t="shared" si="221"/>
        <v>1.08</v>
      </c>
      <c r="AZ100" s="38">
        <f t="shared" si="273"/>
        <v>354.53793103448282</v>
      </c>
      <c r="BA100" s="4">
        <f t="shared" si="222"/>
        <v>0.44000000000000006</v>
      </c>
      <c r="BB100" s="4">
        <f t="shared" si="244"/>
        <v>90.125605990597464</v>
      </c>
      <c r="BC100" s="4">
        <f t="shared" si="245"/>
        <v>444.6635370250803</v>
      </c>
      <c r="BE100" s="36">
        <f t="shared" si="287"/>
        <v>1.1000000000000001</v>
      </c>
      <c r="BF100" s="36">
        <f t="shared" si="288"/>
        <v>269.74656897885109</v>
      </c>
      <c r="BK100" s="4">
        <f t="shared" si="156"/>
        <v>63.5</v>
      </c>
      <c r="BL100" s="4">
        <f t="shared" si="157"/>
        <v>50.8</v>
      </c>
      <c r="BM100" s="4">
        <f t="shared" si="158"/>
        <v>63.5</v>
      </c>
      <c r="BN100" s="4">
        <f t="shared" si="159"/>
        <v>63.5</v>
      </c>
      <c r="BO100" s="4">
        <f t="shared" si="160"/>
        <v>1.0250000000000001</v>
      </c>
      <c r="BP100" s="25">
        <f t="shared" si="274"/>
        <v>2.5625000000000004</v>
      </c>
      <c r="BR100" s="4">
        <f t="shared" si="161"/>
        <v>63.5</v>
      </c>
      <c r="BV100" s="9"/>
      <c r="BX100" s="9"/>
      <c r="BY100" s="9"/>
      <c r="BZ100" s="9">
        <f t="shared" si="231"/>
        <v>50.8</v>
      </c>
      <c r="CA100" s="9">
        <f t="shared" si="232"/>
        <v>144.77999999999997</v>
      </c>
      <c r="CB100" s="9">
        <f t="shared" si="248"/>
        <v>1.6547855765231267</v>
      </c>
      <c r="CC100" s="9">
        <v>0</v>
      </c>
      <c r="CD100" s="9">
        <f t="shared" si="129"/>
        <v>0</v>
      </c>
      <c r="CE100" s="9">
        <f t="shared" si="249"/>
        <v>0</v>
      </c>
      <c r="CF100" s="9">
        <f t="shared" si="233"/>
        <v>0.99524931562137331</v>
      </c>
      <c r="CG100" s="9">
        <f t="shared" si="234"/>
        <v>0.68</v>
      </c>
      <c r="CH100" s="9">
        <f t="shared" si="250"/>
        <v>1.3571514652473406</v>
      </c>
      <c r="CI100" s="9">
        <f t="shared" si="251"/>
        <v>2.2457946698485269</v>
      </c>
      <c r="CJ100" s="9">
        <v>1</v>
      </c>
      <c r="CK100" s="9">
        <f t="shared" si="252"/>
        <v>251.52900302303502</v>
      </c>
      <c r="CM100" s="4">
        <f t="shared" si="206"/>
        <v>1.7364297769457027</v>
      </c>
      <c r="CN100" s="4">
        <f t="shared" si="207"/>
        <v>1.5308580880298011</v>
      </c>
      <c r="CO100" s="4">
        <f t="shared" si="208"/>
        <v>2.5235419107783099</v>
      </c>
      <c r="CP100" s="4">
        <f t="shared" si="209"/>
        <v>2.7063152317446391</v>
      </c>
      <c r="CQ100" s="4">
        <f t="shared" si="210"/>
        <v>0.94669817807579748</v>
      </c>
      <c r="CR100" s="4">
        <f t="shared" si="211"/>
        <v>1.0386003539475714</v>
      </c>
      <c r="CS100" s="4">
        <f t="shared" si="143"/>
        <v>1.0969090233322247</v>
      </c>
      <c r="CU100" s="4">
        <f t="shared" si="212"/>
        <v>1.7364297769457027</v>
      </c>
      <c r="CV100" s="4">
        <f t="shared" si="212"/>
        <v>1.5308580880298011</v>
      </c>
      <c r="CW100" s="4">
        <f t="shared" si="213"/>
        <v>2.7063152317446391</v>
      </c>
      <c r="CX100" s="4">
        <f t="shared" si="285"/>
        <v>1.0969090233322247</v>
      </c>
      <c r="CY100" s="4">
        <f t="shared" si="215"/>
        <v>0.94669817807579748</v>
      </c>
      <c r="CZ100" s="4">
        <f t="shared" si="215"/>
        <v>1.0386003539475714</v>
      </c>
      <c r="DH100" s="4">
        <f t="shared" si="167"/>
        <v>0</v>
      </c>
      <c r="DI100" s="4">
        <f t="shared" si="168"/>
        <v>330.2</v>
      </c>
      <c r="DJ100" s="4">
        <f t="shared" si="169"/>
        <v>1</v>
      </c>
      <c r="DL100" s="4">
        <f t="shared" si="170"/>
        <v>2.3681819900234351E-5</v>
      </c>
      <c r="DM100" s="4">
        <f t="shared" si="171"/>
        <v>7.2392070940302364</v>
      </c>
      <c r="DN100" s="4">
        <f t="shared" si="172"/>
        <v>0.63754511831837357</v>
      </c>
      <c r="DO100" s="4">
        <f t="shared" si="253"/>
        <v>6.0463790621963174</v>
      </c>
      <c r="DP100" s="4">
        <f t="shared" si="254"/>
        <v>6.6695348273863901</v>
      </c>
      <c r="DQ100" s="4">
        <f t="shared" si="255"/>
        <v>6.5917246907396922</v>
      </c>
      <c r="DR100" s="38">
        <f t="shared" si="275"/>
        <v>719.04307821777752</v>
      </c>
      <c r="DS100" s="4">
        <f t="shared" si="256"/>
        <v>1.0001231926487528</v>
      </c>
      <c r="DT100" s="4">
        <f t="shared" si="147"/>
        <v>2.2360679774997898</v>
      </c>
      <c r="DU100" s="4">
        <f t="shared" si="276"/>
        <v>378.81247357623596</v>
      </c>
      <c r="DY100" s="4">
        <f t="shared" si="235"/>
        <v>0.85</v>
      </c>
      <c r="DZ100" s="4">
        <f t="shared" si="257"/>
        <v>0.85</v>
      </c>
      <c r="EA100" s="4">
        <f t="shared" si="258"/>
        <v>1</v>
      </c>
      <c r="EB100" s="4">
        <f t="shared" si="259"/>
        <v>0.85</v>
      </c>
      <c r="ED100" s="4">
        <f t="shared" si="277"/>
        <v>655.41742742477982</v>
      </c>
      <c r="EE100" s="25">
        <f t="shared" si="301"/>
        <v>373.08835075760055</v>
      </c>
      <c r="EG100" s="4">
        <f t="shared" si="302"/>
        <v>0.72249999999999992</v>
      </c>
      <c r="EH100" s="4">
        <f t="shared" si="260"/>
        <v>7.2392070940302364</v>
      </c>
      <c r="EI100" s="4">
        <f t="shared" si="174"/>
        <v>5.3610853035727679</v>
      </c>
      <c r="EK100" s="4">
        <f t="shared" si="175"/>
        <v>56.796126628494655</v>
      </c>
      <c r="EL100" s="4">
        <f t="shared" si="176"/>
        <v>2.2360679774997898</v>
      </c>
      <c r="EM100" s="4">
        <f t="shared" si="177"/>
        <v>0.19974028505824587</v>
      </c>
      <c r="EP100" s="4">
        <f t="shared" si="178"/>
        <v>0.19974028505824587</v>
      </c>
      <c r="EQ100" s="4">
        <f t="shared" si="179"/>
        <v>0.63648117433815776</v>
      </c>
      <c r="ER100" s="4">
        <f t="shared" si="180"/>
        <v>6.0423409278351752</v>
      </c>
      <c r="ES100" s="4">
        <f t="shared" si="236"/>
        <v>6.6677050716935931</v>
      </c>
      <c r="ET100" s="4">
        <f t="shared" si="182"/>
        <v>190.85387337150533</v>
      </c>
      <c r="EU100" s="4">
        <f t="shared" si="183"/>
        <v>82.549999999999983</v>
      </c>
      <c r="EV100" s="4">
        <f t="shared" si="261"/>
        <v>2.3681819900234344E-5</v>
      </c>
      <c r="EW100" s="4">
        <f t="shared" si="237"/>
        <v>6.5919202985164418</v>
      </c>
      <c r="EX100" s="4">
        <f t="shared" si="185"/>
        <v>718.95450830756636</v>
      </c>
      <c r="EY100" s="4">
        <f t="shared" si="186"/>
        <v>190.85387337150533</v>
      </c>
      <c r="EZ100" s="4">
        <f t="shared" si="187"/>
        <v>82.550000000000011</v>
      </c>
      <c r="FB100" s="4">
        <f t="shared" si="262"/>
        <v>0</v>
      </c>
      <c r="FG100" s="23">
        <f t="shared" si="216"/>
        <v>1.8</v>
      </c>
      <c r="FH100" s="23">
        <f t="shared" si="216"/>
        <v>1.6</v>
      </c>
      <c r="FI100" s="23">
        <f t="shared" si="230"/>
        <v>1.2</v>
      </c>
      <c r="FJ100" s="23">
        <f t="shared" si="217"/>
        <v>2.2000000000000002</v>
      </c>
      <c r="FK100" s="23">
        <f t="shared" si="217"/>
        <v>1</v>
      </c>
      <c r="FL100" s="23">
        <f t="shared" si="217"/>
        <v>1.2</v>
      </c>
      <c r="FM100" s="23">
        <f t="shared" si="218"/>
        <v>0</v>
      </c>
      <c r="FN100" s="23"/>
      <c r="FX100" s="4">
        <f t="shared" si="263"/>
        <v>1</v>
      </c>
      <c r="FY100" s="4">
        <f t="shared" si="303"/>
        <v>0.5</v>
      </c>
      <c r="FZ100" s="4">
        <f t="shared" si="265"/>
        <v>0</v>
      </c>
      <c r="GA100" s="4">
        <f t="shared" si="266"/>
        <v>620.57723806380977</v>
      </c>
    </row>
    <row r="101" spans="1:183" ht="12" customHeight="1" x14ac:dyDescent="0.3">
      <c r="A101" s="25">
        <v>83</v>
      </c>
      <c r="B101" s="24" t="s">
        <v>605</v>
      </c>
      <c r="C101" s="24">
        <v>2016</v>
      </c>
      <c r="D101" s="24" t="s">
        <v>55</v>
      </c>
      <c r="E101" s="24"/>
      <c r="F101" s="7" t="s">
        <v>619</v>
      </c>
      <c r="G101" s="38">
        <f t="shared" si="289"/>
        <v>889.65517241379314</v>
      </c>
      <c r="H101" s="38">
        <f>9*25.4</f>
        <v>228.6</v>
      </c>
      <c r="I101" s="4">
        <f t="shared" si="290"/>
        <v>228.6</v>
      </c>
      <c r="J101" s="38">
        <f>4770/145</f>
        <v>32.896551724137929</v>
      </c>
      <c r="K101" s="38">
        <f t="shared" si="291"/>
        <v>25.4</v>
      </c>
      <c r="L101" s="7">
        <f t="shared" si="292"/>
        <v>9</v>
      </c>
      <c r="M101" s="7">
        <f t="shared" si="293"/>
        <v>9</v>
      </c>
      <c r="N101" s="38">
        <f>18.3*25.4</f>
        <v>464.82</v>
      </c>
      <c r="O101" s="38">
        <f t="shared" si="294"/>
        <v>63.5</v>
      </c>
      <c r="P101" s="7">
        <f t="shared" si="133"/>
        <v>50.8</v>
      </c>
      <c r="Q101" s="7">
        <f t="shared" si="295"/>
        <v>130.81</v>
      </c>
      <c r="R101" s="38">
        <v>3</v>
      </c>
      <c r="S101" s="39">
        <f t="shared" si="296"/>
        <v>50.8</v>
      </c>
      <c r="T101" s="7">
        <f t="shared" si="304"/>
        <v>2.5</v>
      </c>
      <c r="U101" s="7">
        <f t="shared" si="305"/>
        <v>3</v>
      </c>
      <c r="V101" s="38">
        <v>4</v>
      </c>
      <c r="W101" s="4">
        <f t="shared" si="297"/>
        <v>4</v>
      </c>
      <c r="X101" s="4">
        <f t="shared" si="298"/>
        <v>5</v>
      </c>
      <c r="Y101" s="7">
        <f t="shared" si="299"/>
        <v>56.796126628494655</v>
      </c>
      <c r="Z101" s="7"/>
      <c r="AA101" s="7"/>
      <c r="AB101" s="38">
        <f>72/(PI()/4)/0.145</f>
        <v>632.2292911788395</v>
      </c>
      <c r="AC101" s="7"/>
      <c r="AD101" s="7">
        <f>72/87</f>
        <v>0.82758620689655171</v>
      </c>
      <c r="AE101" s="7"/>
      <c r="AF101" s="7"/>
      <c r="AG101" s="39">
        <v>1</v>
      </c>
      <c r="AH101" s="7"/>
      <c r="AI101" s="7"/>
      <c r="AJ101" s="7"/>
      <c r="AK101" s="4">
        <f t="shared" si="279"/>
        <v>228.6</v>
      </c>
      <c r="AL101" s="44">
        <f t="shared" si="300"/>
        <v>0.40164609053497946</v>
      </c>
      <c r="AM101" s="25">
        <f t="shared" si="268"/>
        <v>130.41001899429696</v>
      </c>
      <c r="AN101" s="4">
        <f t="shared" si="269"/>
        <v>0.75555555555555554</v>
      </c>
      <c r="AO101" s="4">
        <v>1.25</v>
      </c>
      <c r="AP101" s="25">
        <f t="shared" si="270"/>
        <v>5</v>
      </c>
      <c r="AQ101" s="38">
        <f t="shared" si="271"/>
        <v>247.34373972946676</v>
      </c>
      <c r="AR101" s="38">
        <f t="shared" si="272"/>
        <v>247.34373972946676</v>
      </c>
      <c r="AT101" s="38">
        <f t="shared" si="286"/>
        <v>247.34373972946665</v>
      </c>
      <c r="AU101" s="38">
        <f t="shared" si="243"/>
        <v>1.0000000000000004</v>
      </c>
      <c r="AV101" s="38">
        <f t="shared" si="136"/>
        <v>1.4363927666383707</v>
      </c>
      <c r="AW101" s="4">
        <f t="shared" si="154"/>
        <v>0</v>
      </c>
      <c r="AX101" s="4">
        <f t="shared" si="220"/>
        <v>271.68402137349256</v>
      </c>
      <c r="AY101" s="4">
        <f t="shared" si="221"/>
        <v>1.08</v>
      </c>
      <c r="AZ101" s="38">
        <f t="shared" si="273"/>
        <v>355.28275862068966</v>
      </c>
      <c r="BA101" s="4">
        <f t="shared" si="222"/>
        <v>0.44000000000000006</v>
      </c>
      <c r="BB101" s="4">
        <f t="shared" si="244"/>
        <v>62.460156513765938</v>
      </c>
      <c r="BC101" s="4">
        <f t="shared" si="245"/>
        <v>417.74291513445559</v>
      </c>
      <c r="BE101" s="36">
        <f t="shared" si="287"/>
        <v>1.1000000000000001</v>
      </c>
      <c r="BF101" s="36">
        <f t="shared" si="288"/>
        <v>229.65148455566467</v>
      </c>
      <c r="BK101" s="4">
        <f t="shared" si="156"/>
        <v>63.5</v>
      </c>
      <c r="BL101" s="4">
        <f t="shared" si="157"/>
        <v>50.8</v>
      </c>
      <c r="BM101" s="4">
        <f t="shared" si="158"/>
        <v>63.5</v>
      </c>
      <c r="BN101" s="4">
        <f t="shared" si="159"/>
        <v>63.5</v>
      </c>
      <c r="BO101" s="4">
        <f t="shared" si="160"/>
        <v>1.0250000000000001</v>
      </c>
      <c r="BP101" s="25">
        <f t="shared" si="274"/>
        <v>2.5625000000000004</v>
      </c>
      <c r="BR101" s="4">
        <f t="shared" si="161"/>
        <v>63.5</v>
      </c>
      <c r="BV101" s="9"/>
      <c r="BX101" s="9"/>
      <c r="BY101" s="9"/>
      <c r="BZ101" s="9">
        <f t="shared" si="231"/>
        <v>50.8</v>
      </c>
      <c r="CA101" s="9">
        <f t="shared" si="232"/>
        <v>65.405000000000001</v>
      </c>
      <c r="CB101" s="9">
        <f t="shared" si="248"/>
        <v>1.4688487685376905</v>
      </c>
      <c r="CC101" s="9">
        <v>0</v>
      </c>
      <c r="CD101" s="9">
        <f t="shared" si="129"/>
        <v>0</v>
      </c>
      <c r="CE101" s="9">
        <f t="shared" si="249"/>
        <v>0</v>
      </c>
      <c r="CF101" s="9">
        <f t="shared" si="233"/>
        <v>0.99524931562137331</v>
      </c>
      <c r="CG101" s="9">
        <f t="shared" si="234"/>
        <v>0.68</v>
      </c>
      <c r="CH101" s="9">
        <f t="shared" si="250"/>
        <v>1.3585762965743986</v>
      </c>
      <c r="CI101" s="9">
        <f t="shared" si="251"/>
        <v>1.9955431201878016</v>
      </c>
      <c r="CJ101" s="9">
        <v>1</v>
      </c>
      <c r="CK101" s="9">
        <f t="shared" si="252"/>
        <v>191.57213953802895</v>
      </c>
      <c r="CM101" s="4">
        <f t="shared" si="206"/>
        <v>2.3270757256264769</v>
      </c>
      <c r="CN101" s="4">
        <f t="shared" si="207"/>
        <v>1.5134410860692846</v>
      </c>
      <c r="CO101" s="4">
        <f t="shared" si="208"/>
        <v>2.7529945752455824</v>
      </c>
      <c r="CP101" s="4">
        <f t="shared" si="209"/>
        <v>3.3002152228577883</v>
      </c>
      <c r="CQ101" s="4">
        <f t="shared" si="210"/>
        <v>1.3487999940488067</v>
      </c>
      <c r="CR101" s="4">
        <f t="shared" si="211"/>
        <v>1.2673692173920306</v>
      </c>
      <c r="CS101" s="4">
        <f t="shared" si="143"/>
        <v>1.9242884063113308</v>
      </c>
      <c r="CU101" s="4">
        <f t="shared" si="212"/>
        <v>2.3270757256264769</v>
      </c>
      <c r="CV101" s="4">
        <f t="shared" si="212"/>
        <v>1.5134410860692846</v>
      </c>
      <c r="CW101" s="4">
        <f t="shared" si="213"/>
        <v>3.3002152228577883</v>
      </c>
      <c r="CX101" s="4">
        <f t="shared" si="285"/>
        <v>1.9242884063113308</v>
      </c>
      <c r="CY101" s="4">
        <f t="shared" si="215"/>
        <v>1.3487999940488067</v>
      </c>
      <c r="CZ101" s="4">
        <f t="shared" si="215"/>
        <v>1.2673692173920306</v>
      </c>
      <c r="DH101" s="4">
        <f t="shared" si="167"/>
        <v>0</v>
      </c>
      <c r="DI101" s="4">
        <f t="shared" si="168"/>
        <v>228.6</v>
      </c>
      <c r="DJ101" s="4">
        <f t="shared" si="169"/>
        <v>1</v>
      </c>
      <c r="DL101" s="4">
        <f t="shared" si="170"/>
        <v>1.6402981976815728E-5</v>
      </c>
      <c r="DM101" s="4">
        <f t="shared" si="171"/>
        <v>7.2468073135449798</v>
      </c>
      <c r="DN101" s="4">
        <f t="shared" si="172"/>
        <v>0.41540923789121181</v>
      </c>
      <c r="DO101" s="4">
        <f t="shared" si="253"/>
        <v>5.0996124652241388</v>
      </c>
      <c r="DP101" s="4">
        <f t="shared" si="254"/>
        <v>6.2661431823399951</v>
      </c>
      <c r="DQ101" s="4">
        <f t="shared" si="255"/>
        <v>6.9598678695184395</v>
      </c>
      <c r="DR101" s="38">
        <f t="shared" si="275"/>
        <v>468.73464855306196</v>
      </c>
      <c r="DS101" s="4">
        <f t="shared" si="256"/>
        <v>1.0001167073244639</v>
      </c>
      <c r="DT101" s="4">
        <f t="shared" si="147"/>
        <v>2.2360679774997898</v>
      </c>
      <c r="DU101" s="4">
        <f t="shared" si="276"/>
        <v>247.34373972946665</v>
      </c>
      <c r="DY101" s="4">
        <f t="shared" si="235"/>
        <v>0.85</v>
      </c>
      <c r="DZ101" s="4">
        <f t="shared" si="257"/>
        <v>0.85</v>
      </c>
      <c r="EA101" s="4">
        <f t="shared" si="258"/>
        <v>1</v>
      </c>
      <c r="EB101" s="4">
        <f t="shared" si="259"/>
        <v>0.85</v>
      </c>
      <c r="ED101" s="4">
        <f t="shared" si="277"/>
        <v>498.85170201610981</v>
      </c>
      <c r="EE101" s="25">
        <f t="shared" si="301"/>
        <v>303.18790455039539</v>
      </c>
      <c r="EG101" s="4">
        <f t="shared" si="302"/>
        <v>0.72249999999999992</v>
      </c>
      <c r="EH101" s="4">
        <f t="shared" si="260"/>
        <v>7.2468073135449798</v>
      </c>
      <c r="EI101" s="4">
        <f t="shared" si="174"/>
        <v>5.366713741137155</v>
      </c>
      <c r="EK101" s="4">
        <f t="shared" si="175"/>
        <v>56.796126628494655</v>
      </c>
      <c r="EL101" s="4">
        <f t="shared" si="176"/>
        <v>2.2360679774997898</v>
      </c>
      <c r="EM101" s="4">
        <f t="shared" si="177"/>
        <v>0.13028265607914691</v>
      </c>
      <c r="EP101" s="4">
        <f t="shared" si="178"/>
        <v>0.13028265607914691</v>
      </c>
      <c r="EQ101" s="4">
        <f t="shared" si="179"/>
        <v>0.41471599729492875</v>
      </c>
      <c r="ER101" s="4">
        <f t="shared" si="180"/>
        <v>5.0962066383461853</v>
      </c>
      <c r="ES101" s="4">
        <f t="shared" si="236"/>
        <v>6.2647594664384387</v>
      </c>
      <c r="ET101" s="4">
        <f t="shared" si="182"/>
        <v>114.65387337150534</v>
      </c>
      <c r="EU101" s="4">
        <f t="shared" si="183"/>
        <v>57.150000000000006</v>
      </c>
      <c r="EV101" s="4">
        <f t="shared" si="261"/>
        <v>1.6402981976815732E-5</v>
      </c>
      <c r="EW101" s="4">
        <f t="shared" si="237"/>
        <v>6.9599510091554349</v>
      </c>
      <c r="EX101" s="4">
        <f t="shared" si="185"/>
        <v>468.67995017004779</v>
      </c>
      <c r="EY101" s="4">
        <f t="shared" si="186"/>
        <v>114.65387337150534</v>
      </c>
      <c r="EZ101" s="4">
        <f t="shared" si="187"/>
        <v>57.15</v>
      </c>
      <c r="FB101" s="4">
        <f t="shared" si="262"/>
        <v>0</v>
      </c>
      <c r="FG101" s="23">
        <f t="shared" si="216"/>
        <v>2.2000000000000002</v>
      </c>
      <c r="FH101" s="23">
        <f t="shared" si="216"/>
        <v>1.6</v>
      </c>
      <c r="FI101" s="23">
        <f t="shared" si="230"/>
        <v>2</v>
      </c>
      <c r="FJ101" s="23">
        <f t="shared" si="217"/>
        <v>2.2000000000000002</v>
      </c>
      <c r="FK101" s="23">
        <f t="shared" si="217"/>
        <v>1.4</v>
      </c>
      <c r="FL101" s="23">
        <f t="shared" si="217"/>
        <v>1.4</v>
      </c>
      <c r="FM101" s="23">
        <f t="shared" si="218"/>
        <v>0</v>
      </c>
      <c r="FN101" s="23"/>
      <c r="FX101" s="4">
        <f t="shared" si="263"/>
        <v>1</v>
      </c>
      <c r="FY101" s="4">
        <f t="shared" si="303"/>
        <v>0.65416666666666656</v>
      </c>
      <c r="FZ101" s="4">
        <f t="shared" si="265"/>
        <v>0</v>
      </c>
      <c r="GA101" s="4">
        <f t="shared" si="266"/>
        <v>328.55225292905033</v>
      </c>
    </row>
    <row r="102" spans="1:183" ht="12" customHeight="1" x14ac:dyDescent="0.3">
      <c r="A102" s="25">
        <v>84</v>
      </c>
      <c r="B102" s="24" t="s">
        <v>605</v>
      </c>
      <c r="C102" s="24">
        <v>2016</v>
      </c>
      <c r="D102" s="24" t="s">
        <v>55</v>
      </c>
      <c r="E102" s="24"/>
      <c r="F102" s="7" t="s">
        <v>620</v>
      </c>
      <c r="G102" s="38">
        <f t="shared" si="289"/>
        <v>889.65517241379314</v>
      </c>
      <c r="H102" s="38">
        <f>11*25.4</f>
        <v>279.39999999999998</v>
      </c>
      <c r="I102" s="4">
        <f t="shared" si="290"/>
        <v>279.39999999999998</v>
      </c>
      <c r="J102" s="38">
        <f>4820/145</f>
        <v>33.241379310344826</v>
      </c>
      <c r="K102" s="38">
        <f t="shared" si="291"/>
        <v>25.4</v>
      </c>
      <c r="L102" s="7">
        <f t="shared" si="292"/>
        <v>11</v>
      </c>
      <c r="M102" s="7">
        <f t="shared" si="293"/>
        <v>11</v>
      </c>
      <c r="N102" s="38">
        <f>18.3*25.4</f>
        <v>464.82</v>
      </c>
      <c r="O102" s="38">
        <f t="shared" si="294"/>
        <v>63.5</v>
      </c>
      <c r="P102" s="7">
        <f t="shared" si="133"/>
        <v>50.8</v>
      </c>
      <c r="Q102" s="7">
        <f t="shared" si="295"/>
        <v>130.81</v>
      </c>
      <c r="R102" s="38">
        <v>3</v>
      </c>
      <c r="S102" s="39">
        <f t="shared" si="296"/>
        <v>50.8</v>
      </c>
      <c r="T102" s="7">
        <f t="shared" si="304"/>
        <v>2.5</v>
      </c>
      <c r="U102" s="7">
        <f t="shared" si="305"/>
        <v>3</v>
      </c>
      <c r="V102" s="38">
        <v>4</v>
      </c>
      <c r="W102" s="4">
        <f t="shared" si="297"/>
        <v>4</v>
      </c>
      <c r="X102" s="4">
        <f t="shared" si="298"/>
        <v>5</v>
      </c>
      <c r="Y102" s="7">
        <f t="shared" si="299"/>
        <v>56.796126628494655</v>
      </c>
      <c r="Z102" s="7"/>
      <c r="AA102" s="7"/>
      <c r="AB102" s="38">
        <f>98.5/(PI()/4)/0.145*AD103</f>
        <v>731.1952241277877</v>
      </c>
      <c r="AC102" s="7" t="s">
        <v>654</v>
      </c>
      <c r="AD102" s="7"/>
      <c r="AE102" s="7"/>
      <c r="AF102" s="7"/>
      <c r="AG102" s="39">
        <v>1</v>
      </c>
      <c r="AH102" s="7"/>
      <c r="AI102" s="7"/>
      <c r="AJ102" s="7"/>
      <c r="AK102" s="4">
        <f t="shared" si="279"/>
        <v>279.39999999999998</v>
      </c>
      <c r="AL102" s="44">
        <f t="shared" si="300"/>
        <v>0.31928374655647385</v>
      </c>
      <c r="AM102" s="25">
        <f t="shared" si="268"/>
        <v>177.13343774215744</v>
      </c>
      <c r="AN102" s="4">
        <f t="shared" si="269"/>
        <v>0.74545454545454537</v>
      </c>
      <c r="AO102" s="4">
        <v>1.25</v>
      </c>
      <c r="AP102" s="25">
        <f t="shared" si="270"/>
        <v>5</v>
      </c>
      <c r="AQ102" s="38">
        <f t="shared" si="271"/>
        <v>263.49874242642056</v>
      </c>
      <c r="AR102" s="38">
        <f t="shared" si="272"/>
        <v>263.49874242642056</v>
      </c>
      <c r="AT102" s="38">
        <f t="shared" si="286"/>
        <v>263.49874242642068</v>
      </c>
      <c r="AU102" s="38">
        <f t="shared" si="243"/>
        <v>0.99999999999999956</v>
      </c>
      <c r="AV102" s="38">
        <f t="shared" si="136"/>
        <v>1.3624615178266861</v>
      </c>
      <c r="AW102" s="4">
        <f t="shared" si="154"/>
        <v>0</v>
      </c>
      <c r="AX102" s="4">
        <f t="shared" si="220"/>
        <v>333.79405864797894</v>
      </c>
      <c r="AY102" s="4">
        <f t="shared" si="221"/>
        <v>1.08</v>
      </c>
      <c r="AZ102" s="38">
        <f t="shared" si="273"/>
        <v>359.00689655172414</v>
      </c>
      <c r="BA102" s="4">
        <f t="shared" si="222"/>
        <v>0.44000000000000006</v>
      </c>
      <c r="BB102" s="4">
        <f t="shared" si="244"/>
        <v>76.739254083170351</v>
      </c>
      <c r="BC102" s="4">
        <f t="shared" si="245"/>
        <v>435.74615063489449</v>
      </c>
      <c r="BE102" s="36">
        <f t="shared" si="287"/>
        <v>1.1000000000000001</v>
      </c>
      <c r="BF102" s="36">
        <f t="shared" si="288"/>
        <v>251.14664972673935</v>
      </c>
      <c r="BK102" s="4">
        <f t="shared" si="156"/>
        <v>63.5</v>
      </c>
      <c r="BL102" s="4">
        <f t="shared" si="157"/>
        <v>50.8</v>
      </c>
      <c r="BM102" s="4">
        <f t="shared" si="158"/>
        <v>63.5</v>
      </c>
      <c r="BN102" s="4">
        <f t="shared" si="159"/>
        <v>63.5</v>
      </c>
      <c r="BO102" s="4">
        <f t="shared" si="160"/>
        <v>1.0250000000000001</v>
      </c>
      <c r="BP102" s="25">
        <f t="shared" si="274"/>
        <v>2.5625000000000004</v>
      </c>
      <c r="BR102" s="4">
        <f t="shared" si="161"/>
        <v>63.5</v>
      </c>
      <c r="BV102" s="9"/>
      <c r="BX102" s="9"/>
      <c r="BY102" s="9"/>
      <c r="BZ102" s="9">
        <f t="shared" si="231"/>
        <v>50.8</v>
      </c>
      <c r="CA102" s="9">
        <f t="shared" si="232"/>
        <v>65.405000000000001</v>
      </c>
      <c r="CB102" s="9">
        <f t="shared" si="248"/>
        <v>1.4688487685376905</v>
      </c>
      <c r="CC102" s="9">
        <v>0</v>
      </c>
      <c r="CD102" s="9">
        <f t="shared" si="129"/>
        <v>0</v>
      </c>
      <c r="CE102" s="9">
        <f t="shared" si="249"/>
        <v>0</v>
      </c>
      <c r="CF102" s="9">
        <f t="shared" si="233"/>
        <v>0.99524931562137331</v>
      </c>
      <c r="CG102" s="9">
        <f t="shared" si="234"/>
        <v>0.68</v>
      </c>
      <c r="CH102" s="9">
        <f t="shared" si="250"/>
        <v>1.3656781551917097</v>
      </c>
      <c r="CI102" s="9">
        <f t="shared" si="251"/>
        <v>2.0059746764721678</v>
      </c>
      <c r="CJ102" s="9">
        <v>1</v>
      </c>
      <c r="CK102" s="9">
        <f t="shared" si="252"/>
        <v>208.62136635310543</v>
      </c>
      <c r="CM102" s="4">
        <f t="shared" si="206"/>
        <v>2.1905579359005616</v>
      </c>
      <c r="CN102" s="4">
        <f t="shared" si="207"/>
        <v>1.6780302546847874</v>
      </c>
      <c r="CO102" s="4">
        <f t="shared" si="208"/>
        <v>2.9114273470236065</v>
      </c>
      <c r="CP102" s="4">
        <f t="shared" si="209"/>
        <v>3.504891358491975</v>
      </c>
      <c r="CQ102" s="4">
        <f t="shared" si="210"/>
        <v>1.3585563667404681</v>
      </c>
      <c r="CR102" s="4">
        <f t="shared" si="211"/>
        <v>1.4251104346911909</v>
      </c>
      <c r="CS102" s="4">
        <f t="shared" si="143"/>
        <v>1.816128425931379</v>
      </c>
      <c r="CU102" s="4">
        <f t="shared" si="212"/>
        <v>2.1905579359005616</v>
      </c>
      <c r="CV102" s="4">
        <f t="shared" si="212"/>
        <v>1.6780302546847874</v>
      </c>
      <c r="CW102" s="4">
        <f t="shared" si="213"/>
        <v>3.504891358491975</v>
      </c>
      <c r="CX102" s="4">
        <f t="shared" si="285"/>
        <v>1.816128425931379</v>
      </c>
      <c r="CY102" s="4">
        <f t="shared" si="215"/>
        <v>1.3585563667404681</v>
      </c>
      <c r="CZ102" s="4">
        <f t="shared" si="215"/>
        <v>1.4251104346911909</v>
      </c>
      <c r="DH102" s="4">
        <f t="shared" si="167"/>
        <v>0</v>
      </c>
      <c r="DI102" s="4">
        <f t="shared" si="168"/>
        <v>279.39999999999998</v>
      </c>
      <c r="DJ102" s="4">
        <f t="shared" si="169"/>
        <v>1</v>
      </c>
      <c r="DL102" s="4">
        <f t="shared" si="170"/>
        <v>2.0096207151589931E-5</v>
      </c>
      <c r="DM102" s="4">
        <f t="shared" si="171"/>
        <v>7.28468947084263</v>
      </c>
      <c r="DN102" s="4">
        <f t="shared" si="172"/>
        <v>0.43795058920526347</v>
      </c>
      <c r="DO102" s="4">
        <f t="shared" si="253"/>
        <v>5.2357763797277759</v>
      </c>
      <c r="DP102" s="4">
        <f t="shared" si="254"/>
        <v>6.3437205043384113</v>
      </c>
      <c r="DQ102" s="4">
        <f t="shared" si="255"/>
        <v>6.8439176364279284</v>
      </c>
      <c r="DR102" s="38">
        <f t="shared" si="275"/>
        <v>538.21485955869184</v>
      </c>
      <c r="DS102" s="4">
        <f t="shared" si="256"/>
        <v>1.0001200556164163</v>
      </c>
      <c r="DT102" s="4">
        <f t="shared" si="147"/>
        <v>2.2360679774997898</v>
      </c>
      <c r="DU102" s="4">
        <f t="shared" si="276"/>
        <v>263.49874242642068</v>
      </c>
      <c r="DY102" s="4">
        <f t="shared" si="235"/>
        <v>0.85</v>
      </c>
      <c r="DZ102" s="4">
        <f t="shared" si="257"/>
        <v>0.85</v>
      </c>
      <c r="EA102" s="4">
        <f t="shared" si="258"/>
        <v>1</v>
      </c>
      <c r="EB102" s="4">
        <f t="shared" si="259"/>
        <v>0.85</v>
      </c>
      <c r="ED102" s="4">
        <f t="shared" si="277"/>
        <v>513.07969286340347</v>
      </c>
      <c r="EE102" s="25">
        <f t="shared" si="301"/>
        <v>272.68494032559664</v>
      </c>
      <c r="EG102" s="4">
        <f t="shared" si="302"/>
        <v>0.72249999999999992</v>
      </c>
      <c r="EH102" s="4">
        <f t="shared" si="260"/>
        <v>7.28468947084263</v>
      </c>
      <c r="EI102" s="4">
        <f t="shared" si="174"/>
        <v>5.3947678462508959</v>
      </c>
      <c r="EK102" s="4">
        <f t="shared" si="175"/>
        <v>56.796126628494655</v>
      </c>
      <c r="EL102" s="4">
        <f t="shared" si="176"/>
        <v>2.2360679774997898</v>
      </c>
      <c r="EM102" s="4">
        <f t="shared" si="177"/>
        <v>0.13807018232988313</v>
      </c>
      <c r="EP102" s="4">
        <f t="shared" si="178"/>
        <v>0.13807018232988313</v>
      </c>
      <c r="EQ102" s="4">
        <f t="shared" si="179"/>
        <v>0.43721973129477409</v>
      </c>
      <c r="ER102" s="4">
        <f t="shared" si="180"/>
        <v>5.2322796144259733</v>
      </c>
      <c r="ES102" s="4">
        <f t="shared" si="236"/>
        <v>6.342279396007469</v>
      </c>
      <c r="ET102" s="4">
        <f t="shared" si="182"/>
        <v>152.75387337150534</v>
      </c>
      <c r="EU102" s="4">
        <f t="shared" si="183"/>
        <v>69.849999999999994</v>
      </c>
      <c r="EV102" s="4">
        <f t="shared" si="261"/>
        <v>2.0096207151589931E-5</v>
      </c>
      <c r="EW102" s="4">
        <f t="shared" si="237"/>
        <v>6.8440389973044624</v>
      </c>
      <c r="EX102" s="4">
        <f t="shared" si="185"/>
        <v>538.15025159851166</v>
      </c>
      <c r="EY102" s="4">
        <f t="shared" si="186"/>
        <v>152.75387337150534</v>
      </c>
      <c r="EZ102" s="4">
        <f t="shared" si="187"/>
        <v>69.849999999999994</v>
      </c>
      <c r="FB102" s="4">
        <f t="shared" si="262"/>
        <v>0</v>
      </c>
      <c r="FG102" s="23">
        <f t="shared" si="216"/>
        <v>2.2000000000000002</v>
      </c>
      <c r="FH102" s="23">
        <f t="shared" si="216"/>
        <v>1.8</v>
      </c>
      <c r="FI102" s="23">
        <f t="shared" si="230"/>
        <v>2</v>
      </c>
      <c r="FJ102" s="23">
        <f t="shared" si="217"/>
        <v>2.2000000000000002</v>
      </c>
      <c r="FK102" s="23">
        <f t="shared" si="217"/>
        <v>1.4</v>
      </c>
      <c r="FL102" s="23">
        <f t="shared" si="217"/>
        <v>1.6</v>
      </c>
      <c r="FM102" s="23">
        <f t="shared" si="218"/>
        <v>0</v>
      </c>
      <c r="FN102" s="23"/>
      <c r="FX102" s="4">
        <f t="shared" si="263"/>
        <v>1</v>
      </c>
      <c r="FY102" s="4">
        <f t="shared" si="303"/>
        <v>0.65416666666666656</v>
      </c>
      <c r="FZ102" s="4">
        <f t="shared" si="265"/>
        <v>0</v>
      </c>
      <c r="GA102" s="4">
        <f t="shared" si="266"/>
        <v>402.6120695472311</v>
      </c>
    </row>
    <row r="103" spans="1:183" ht="12" customHeight="1" x14ac:dyDescent="0.3">
      <c r="A103" s="25">
        <v>85</v>
      </c>
      <c r="B103" s="24" t="s">
        <v>605</v>
      </c>
      <c r="C103" s="24">
        <v>2016</v>
      </c>
      <c r="D103" s="24" t="s">
        <v>55</v>
      </c>
      <c r="E103" s="24"/>
      <c r="F103" s="7" t="s">
        <v>621</v>
      </c>
      <c r="G103" s="38">
        <f t="shared" si="289"/>
        <v>889.65517241379314</v>
      </c>
      <c r="H103" s="38">
        <f>13*25.4</f>
        <v>330.2</v>
      </c>
      <c r="I103" s="4">
        <f t="shared" si="290"/>
        <v>330.2</v>
      </c>
      <c r="J103" s="38">
        <f>4900/145</f>
        <v>33.793103448275865</v>
      </c>
      <c r="K103" s="38">
        <f t="shared" si="291"/>
        <v>25.4</v>
      </c>
      <c r="L103" s="7">
        <f t="shared" si="292"/>
        <v>13</v>
      </c>
      <c r="M103" s="7">
        <f t="shared" si="293"/>
        <v>13</v>
      </c>
      <c r="N103" s="38">
        <f>18.4*25.4</f>
        <v>467.35999999999996</v>
      </c>
      <c r="O103" s="38">
        <f t="shared" si="294"/>
        <v>63.5</v>
      </c>
      <c r="P103" s="7">
        <f t="shared" si="133"/>
        <v>50.8</v>
      </c>
      <c r="Q103" s="7">
        <f t="shared" si="295"/>
        <v>132.07999999999998</v>
      </c>
      <c r="R103" s="38">
        <v>3</v>
      </c>
      <c r="S103" s="39">
        <f t="shared" si="296"/>
        <v>50.8</v>
      </c>
      <c r="T103" s="7">
        <f t="shared" si="304"/>
        <v>2.5</v>
      </c>
      <c r="U103" s="7">
        <f t="shared" si="305"/>
        <v>3</v>
      </c>
      <c r="V103" s="38">
        <v>4</v>
      </c>
      <c r="W103" s="4">
        <f t="shared" si="297"/>
        <v>4</v>
      </c>
      <c r="X103" s="4">
        <f t="shared" si="298"/>
        <v>5</v>
      </c>
      <c r="Y103" s="7">
        <f t="shared" si="299"/>
        <v>56.796126628494655</v>
      </c>
      <c r="Z103" s="7"/>
      <c r="AA103" s="7"/>
      <c r="AB103" s="38">
        <f>122/(PI()/4)/0.145*AD103</f>
        <v>905.64281567096566</v>
      </c>
      <c r="AC103" s="7" t="s">
        <v>654</v>
      </c>
      <c r="AD103" s="7">
        <f>AVERAGE(AD95:AD101)</f>
        <v>0.84538589834180455</v>
      </c>
      <c r="AE103" s="7"/>
      <c r="AF103" s="7"/>
      <c r="AG103" s="39">
        <v>1</v>
      </c>
      <c r="AH103" s="7"/>
      <c r="AI103" s="7"/>
      <c r="AJ103" s="7"/>
      <c r="AK103" s="4">
        <f t="shared" si="279"/>
        <v>330.2</v>
      </c>
      <c r="AL103" s="44">
        <f t="shared" si="300"/>
        <v>0.24194608809993426</v>
      </c>
      <c r="AM103" s="25">
        <f t="shared" si="268"/>
        <v>229.45687414382829</v>
      </c>
      <c r="AN103" s="4">
        <f t="shared" si="269"/>
        <v>0.73846153846153839</v>
      </c>
      <c r="AO103" s="4">
        <v>1.25</v>
      </c>
      <c r="AP103" s="25">
        <f>AP102</f>
        <v>5</v>
      </c>
      <c r="AQ103" s="38">
        <f t="shared" si="271"/>
        <v>256.22858347725327</v>
      </c>
      <c r="AR103" s="38">
        <f t="shared" si="272"/>
        <v>256.22858347725327</v>
      </c>
      <c r="AT103" s="38">
        <f>AP103* (J103^0.5/AK103^0.5)/(PI()/4*K103^2)/R103/0.72 *(0.7+(MIN(O103,S103)+0.5*K103)/5/H103) *(N103*MIN(S103+0.5*K103+1.5*H103,20*25.4))</f>
        <v>256.22858347725338</v>
      </c>
      <c r="AU103" s="38">
        <f t="shared" si="243"/>
        <v>0.99999999999999956</v>
      </c>
      <c r="AV103" s="38">
        <f t="shared" si="136"/>
        <v>1.424374721541475</v>
      </c>
      <c r="AW103" s="4">
        <f t="shared" si="154"/>
        <v>0</v>
      </c>
      <c r="AX103" s="4">
        <f t="shared" si="220"/>
        <v>397.74414035212305</v>
      </c>
      <c r="AY103" s="4">
        <f t="shared" si="221"/>
        <v>1.08</v>
      </c>
      <c r="AZ103" s="38">
        <f t="shared" si="273"/>
        <v>364.96551724137936</v>
      </c>
      <c r="BA103" s="4">
        <f t="shared" si="222"/>
        <v>0.44000000000000006</v>
      </c>
      <c r="BB103" s="4">
        <f t="shared" si="244"/>
        <v>91.44137786695309</v>
      </c>
      <c r="BC103" s="4">
        <f t="shared" si="245"/>
        <v>456.40689510833244</v>
      </c>
      <c r="BE103" s="36">
        <f t="shared" si="287"/>
        <v>1.1000000000000001</v>
      </c>
      <c r="BF103" s="36">
        <f t="shared" si="288"/>
        <v>273.68468340598542</v>
      </c>
      <c r="BK103" s="4">
        <f t="shared" si="156"/>
        <v>63.5</v>
      </c>
      <c r="BL103" s="4">
        <f t="shared" si="157"/>
        <v>50.8</v>
      </c>
      <c r="BM103" s="4">
        <f t="shared" si="158"/>
        <v>63.5</v>
      </c>
      <c r="BN103" s="4">
        <f t="shared" si="159"/>
        <v>63.5</v>
      </c>
      <c r="BO103" s="4">
        <f t="shared" si="160"/>
        <v>1.0250000000000001</v>
      </c>
      <c r="BP103" s="25">
        <f t="shared" si="274"/>
        <v>2.5625000000000004</v>
      </c>
      <c r="BR103" s="4">
        <f t="shared" si="161"/>
        <v>63.5</v>
      </c>
      <c r="BV103" s="9"/>
      <c r="BX103" s="9"/>
      <c r="BY103" s="9"/>
      <c r="BZ103" s="9">
        <f t="shared" si="231"/>
        <v>50.8</v>
      </c>
      <c r="CA103" s="9">
        <f t="shared" si="232"/>
        <v>66.039999999999992</v>
      </c>
      <c r="CB103" s="9">
        <f t="shared" si="248"/>
        <v>1.47097909478315</v>
      </c>
      <c r="CC103" s="9">
        <v>0</v>
      </c>
      <c r="CD103" s="9">
        <f t="shared" ref="CD103:CD166" si="306">MIN(PI()*AE103^2/4*AF103*2/R103/K103/MAX(0.01,AG103),0.05)</f>
        <v>0</v>
      </c>
      <c r="CE103" s="9">
        <f t="shared" si="249"/>
        <v>0</v>
      </c>
      <c r="CF103" s="9">
        <f t="shared" si="233"/>
        <v>0.99524931562137331</v>
      </c>
      <c r="CG103" s="9">
        <f t="shared" si="234"/>
        <v>0.68</v>
      </c>
      <c r="CH103" s="9">
        <f t="shared" si="250"/>
        <v>1.3769649434514548</v>
      </c>
      <c r="CI103" s="9">
        <f t="shared" si="251"/>
        <v>2.0254866460663523</v>
      </c>
      <c r="CJ103" s="9">
        <v>1</v>
      </c>
      <c r="CK103" s="9">
        <f t="shared" si="252"/>
        <v>226.85450435943147</v>
      </c>
      <c r="CM103" s="4">
        <f t="shared" si="206"/>
        <v>2.2769482282484406</v>
      </c>
      <c r="CN103" s="4">
        <f t="shared" si="207"/>
        <v>1.9842881984857019</v>
      </c>
      <c r="CO103" s="4">
        <f t="shared" si="208"/>
        <v>3.3090738012822221</v>
      </c>
      <c r="CP103" s="4">
        <f t="shared" si="209"/>
        <v>3.9921747122818969</v>
      </c>
      <c r="CQ103" s="4">
        <f t="shared" si="210"/>
        <v>1.5585926361575473</v>
      </c>
      <c r="CR103" s="4">
        <f t="shared" si="211"/>
        <v>1.6808276036174601</v>
      </c>
      <c r="CS103" s="4">
        <f t="shared" si="143"/>
        <v>1.8834633534428806</v>
      </c>
      <c r="CU103" s="4">
        <f t="shared" si="212"/>
        <v>2.2769482282484406</v>
      </c>
      <c r="CV103" s="4">
        <f t="shared" si="212"/>
        <v>1.9842881984857019</v>
      </c>
      <c r="CW103" s="4">
        <f t="shared" si="213"/>
        <v>3.9921747122818969</v>
      </c>
      <c r="CX103" s="4">
        <f t="shared" si="285"/>
        <v>1.8834633534428806</v>
      </c>
      <c r="CY103" s="4">
        <f t="shared" si="215"/>
        <v>1.5585926361575473</v>
      </c>
      <c r="CZ103" s="4">
        <f t="shared" si="215"/>
        <v>1.6808276036174601</v>
      </c>
      <c r="DH103" s="4">
        <f t="shared" si="167"/>
        <v>0</v>
      </c>
      <c r="DI103" s="4">
        <f t="shared" si="168"/>
        <v>330.2</v>
      </c>
      <c r="DJ103" s="4">
        <f t="shared" si="169"/>
        <v>1</v>
      </c>
      <c r="DL103" s="4">
        <f t="shared" si="170"/>
        <v>2.3841003655999786E-5</v>
      </c>
      <c r="DM103" s="4">
        <f t="shared" si="171"/>
        <v>7.3448945398648089</v>
      </c>
      <c r="DN103" s="4">
        <f t="shared" si="172"/>
        <v>0.41891421932562034</v>
      </c>
      <c r="DO103" s="4">
        <f t="shared" si="253"/>
        <v>5.186036931996048</v>
      </c>
      <c r="DP103" s="4">
        <f t="shared" si="254"/>
        <v>6.3580358640988877</v>
      </c>
      <c r="DQ103" s="4">
        <f t="shared" si="255"/>
        <v>6.7196286453850629</v>
      </c>
      <c r="DR103" s="38">
        <f t="shared" si="275"/>
        <v>581.06447744015941</v>
      </c>
      <c r="DS103" s="4">
        <f t="shared" si="256"/>
        <v>1.0001226834372552</v>
      </c>
      <c r="DT103" s="4">
        <f t="shared" si="147"/>
        <v>2.2360679774997898</v>
      </c>
      <c r="DU103" s="4">
        <f t="shared" si="276"/>
        <v>256.22858347725338</v>
      </c>
      <c r="DY103" s="4">
        <f t="shared" si="235"/>
        <v>0.85</v>
      </c>
      <c r="DZ103" s="4">
        <f t="shared" si="257"/>
        <v>0.85</v>
      </c>
      <c r="EA103" s="4">
        <f t="shared" si="258"/>
        <v>1</v>
      </c>
      <c r="EB103" s="4">
        <f t="shared" si="259"/>
        <v>0.85</v>
      </c>
      <c r="ED103" s="4">
        <f t="shared" si="277"/>
        <v>538.80767648142523</v>
      </c>
      <c r="EE103" s="25">
        <f t="shared" si="301"/>
        <v>252.35678942669762</v>
      </c>
      <c r="EG103" s="4">
        <f t="shared" si="302"/>
        <v>0.72249999999999992</v>
      </c>
      <c r="EH103" s="4">
        <f t="shared" si="260"/>
        <v>7.3448945398648089</v>
      </c>
      <c r="EI103" s="4">
        <f t="shared" si="174"/>
        <v>5.4393534626786328</v>
      </c>
      <c r="EK103" s="4">
        <f t="shared" si="175"/>
        <v>56.796126628494655</v>
      </c>
      <c r="EL103" s="4">
        <f t="shared" si="176"/>
        <v>2.2360679774997898</v>
      </c>
      <c r="EM103" s="4">
        <f t="shared" si="177"/>
        <v>0.13316019003883056</v>
      </c>
      <c r="EP103" s="4">
        <f t="shared" si="178"/>
        <v>0.13316019003883056</v>
      </c>
      <c r="EQ103" s="4">
        <f t="shared" si="179"/>
        <v>0.41821512956856294</v>
      </c>
      <c r="ER103" s="4">
        <f t="shared" si="180"/>
        <v>5.1825733856788512</v>
      </c>
      <c r="ES103" s="4">
        <f t="shared" si="236"/>
        <v>6.3566254752196159</v>
      </c>
      <c r="ET103" s="4">
        <f t="shared" si="182"/>
        <v>190.85387337150533</v>
      </c>
      <c r="EU103" s="4">
        <f t="shared" si="183"/>
        <v>82.549999999999983</v>
      </c>
      <c r="EV103" s="4">
        <f t="shared" si="261"/>
        <v>2.3841003655999783E-5</v>
      </c>
      <c r="EW103" s="4">
        <f t="shared" si="237"/>
        <v>6.7197894855382199</v>
      </c>
      <c r="EX103" s="4">
        <f t="shared" si="185"/>
        <v>580.99319919745994</v>
      </c>
      <c r="EY103" s="4">
        <f t="shared" si="186"/>
        <v>190.85387337150533</v>
      </c>
      <c r="EZ103" s="4">
        <f t="shared" si="187"/>
        <v>82.550000000000011</v>
      </c>
      <c r="FB103" s="4">
        <f t="shared" si="262"/>
        <v>0</v>
      </c>
      <c r="FG103" s="23">
        <f t="shared" si="216"/>
        <v>2.2000000000000002</v>
      </c>
      <c r="FH103" s="23">
        <f t="shared" si="216"/>
        <v>2</v>
      </c>
      <c r="FI103" s="23">
        <f t="shared" si="230"/>
        <v>2</v>
      </c>
      <c r="FJ103" s="23">
        <f t="shared" si="217"/>
        <v>2.2000000000000002</v>
      </c>
      <c r="FK103" s="23">
        <f t="shared" si="217"/>
        <v>1.6</v>
      </c>
      <c r="FL103" s="23">
        <f t="shared" si="217"/>
        <v>1.8</v>
      </c>
      <c r="FM103" s="23">
        <f t="shared" si="218"/>
        <v>0</v>
      </c>
      <c r="FN103" s="23"/>
      <c r="FX103" s="4">
        <f t="shared" si="263"/>
        <v>1</v>
      </c>
      <c r="FY103" s="4">
        <f t="shared" si="303"/>
        <v>0.64999999999999991</v>
      </c>
      <c r="FZ103" s="4">
        <f t="shared" si="265"/>
        <v>0</v>
      </c>
      <c r="GA103" s="4">
        <f t="shared" si="266"/>
        <v>480.83909570923907</v>
      </c>
    </row>
    <row r="104" spans="1:183" s="19" customFormat="1" ht="12" customHeight="1" x14ac:dyDescent="0.3">
      <c r="A104" s="25">
        <v>86</v>
      </c>
      <c r="B104" s="20" t="s">
        <v>54</v>
      </c>
      <c r="C104" s="20">
        <v>2006</v>
      </c>
      <c r="D104" s="20" t="s">
        <v>293</v>
      </c>
      <c r="E104" s="20"/>
      <c r="F104" s="21" t="s">
        <v>77</v>
      </c>
      <c r="G104" s="21">
        <v>472</v>
      </c>
      <c r="H104" s="21">
        <f>K104*L104</f>
        <v>76.199999999999989</v>
      </c>
      <c r="I104" s="21">
        <f t="shared" si="131"/>
        <v>38.099999999999994</v>
      </c>
      <c r="J104" s="21">
        <v>26</v>
      </c>
      <c r="K104" s="7">
        <v>25.4</v>
      </c>
      <c r="L104" s="21">
        <v>3</v>
      </c>
      <c r="M104" s="21">
        <v>1.5</v>
      </c>
      <c r="N104" s="21">
        <f>25*25.4</f>
        <v>635</v>
      </c>
      <c r="O104" s="21">
        <f>0.5*(N104-15*K104-K104)</f>
        <v>114.3</v>
      </c>
      <c r="P104" s="21">
        <f>N104-6*K104-5*Q104</f>
        <v>228.60000000000002</v>
      </c>
      <c r="Q104" s="21">
        <f>2*25.4</f>
        <v>50.8</v>
      </c>
      <c r="R104" s="21">
        <v>3</v>
      </c>
      <c r="S104" s="21">
        <f>2.5*25.4-K104/2</f>
        <v>50.8</v>
      </c>
      <c r="T104" s="7">
        <f t="shared" si="304"/>
        <v>1.5</v>
      </c>
      <c r="U104" s="21">
        <f t="shared" ref="U104:U110" si="307">(S104+K104/2)/K104</f>
        <v>2.5</v>
      </c>
      <c r="V104" s="21">
        <v>1.18</v>
      </c>
      <c r="W104" s="7">
        <f t="shared" si="152"/>
        <v>1.18</v>
      </c>
      <c r="X104" s="21">
        <f t="shared" si="242"/>
        <v>2.1799999999999997</v>
      </c>
      <c r="Y104" s="21">
        <f t="shared" si="200"/>
        <v>37.502650572992827</v>
      </c>
      <c r="Z104" s="21"/>
      <c r="AA104" s="21"/>
      <c r="AB104" s="21">
        <v>62</v>
      </c>
      <c r="AC104" s="21"/>
      <c r="AD104" s="7">
        <f>CQ104</f>
        <v>0</v>
      </c>
      <c r="AE104" s="21"/>
      <c r="AF104" s="21"/>
      <c r="AG104" s="7">
        <v>1</v>
      </c>
      <c r="AH104" s="7"/>
      <c r="AI104" s="7"/>
      <c r="AJ104" s="21"/>
      <c r="AK104" s="4">
        <f t="shared" si="279"/>
        <v>76.199999999999989</v>
      </c>
      <c r="AL104" s="44">
        <f>MIN(N104)*(MIN(254-S104-0.5*K104,1.5*AK104)+S104+K104/2)/(3*H104)^2</f>
        <v>2.1604938271604941</v>
      </c>
      <c r="AM104" s="25">
        <f t="shared" si="268"/>
        <v>22.312105854445715</v>
      </c>
      <c r="AN104" s="4">
        <f t="shared" si="269"/>
        <v>0.8666666666666667</v>
      </c>
      <c r="AO104" s="4">
        <v>1.25</v>
      </c>
      <c r="AP104" s="25">
        <v>5</v>
      </c>
      <c r="AQ104" s="38">
        <f t="shared" si="271"/>
        <v>261.11132108469138</v>
      </c>
      <c r="AR104" s="38">
        <f t="shared" si="272"/>
        <v>261.11132108469138</v>
      </c>
      <c r="AS104" s="38"/>
      <c r="AT104" s="38">
        <f t="shared" ref="AT104:AT121" si="308">AP104* (J104^0.5/AK104^0.5)/(PI()/4*K104^2)/R104/0.72 *(0.7+(MIN(O104,S104)+0.5*K104)/5/H104) *(N104*MIN(S104+0.5*K104+1.5*H104,254))</f>
        <v>261.11132108469127</v>
      </c>
      <c r="AU104" s="38">
        <f t="shared" si="243"/>
        <v>1.0000000000000004</v>
      </c>
      <c r="AV104" s="38"/>
      <c r="AW104" s="4"/>
      <c r="AX104" s="19">
        <f t="shared" si="220"/>
        <v>40.255417212574606</v>
      </c>
      <c r="AY104" s="19">
        <f t="shared" si="221"/>
        <v>1.2666666666666666</v>
      </c>
      <c r="AZ104" s="38">
        <f t="shared" si="273"/>
        <v>107.32427125305811</v>
      </c>
      <c r="BA104" s="19">
        <f t="shared" si="222"/>
        <v>0.83479999999999999</v>
      </c>
      <c r="BB104" s="19">
        <f t="shared" si="244"/>
        <v>17.558728646032431</v>
      </c>
      <c r="BC104" s="19">
        <f t="shared" si="245"/>
        <v>124.88299989909055</v>
      </c>
      <c r="BE104" s="36">
        <f>MAX(1, (0.9+0.1*MIN(2,O104/K104,Q104/K104))*(0.9+0.1*MIN(3.5,O104/Q104))+0.45*MIN(2.5,(40*2*PI()*AE104^2/4/AG104/R104)/K104))</f>
        <v>1.2375</v>
      </c>
      <c r="BF104" s="36">
        <f>(1.6*M104+22)*BE104*J104^0.5</f>
        <v>153.96489421293413</v>
      </c>
      <c r="BK104" s="4">
        <f t="shared" si="156"/>
        <v>31.799999999999997</v>
      </c>
      <c r="BL104" s="4">
        <f t="shared" si="157"/>
        <v>31.799999999999997</v>
      </c>
      <c r="BM104" s="4">
        <f t="shared" si="158"/>
        <v>50.8</v>
      </c>
      <c r="BN104" s="4">
        <f t="shared" si="159"/>
        <v>44.5</v>
      </c>
      <c r="BO104" s="4">
        <f t="shared" si="160"/>
        <v>1.0597484276729561</v>
      </c>
      <c r="BP104" s="25">
        <f>MIN(4, (BN104*BO104+(6*J104^0.5*(0.03*K104+0.22)*(AE104^2/4*PI())*2/AG104/R104))/K104)</f>
        <v>1.8566458673797854</v>
      </c>
      <c r="BQ104" s="4"/>
      <c r="BR104" s="19">
        <f t="shared" si="161"/>
        <v>25.4</v>
      </c>
      <c r="BV104" s="18"/>
      <c r="BX104" s="18"/>
      <c r="BY104" s="18"/>
      <c r="BZ104" s="18">
        <f t="shared" si="231"/>
        <v>25.4</v>
      </c>
      <c r="CA104" s="18">
        <f t="shared" si="232"/>
        <v>114.3</v>
      </c>
      <c r="CB104" s="18">
        <f t="shared" si="248"/>
        <v>1.2530888829563018</v>
      </c>
      <c r="CC104" s="9">
        <v>0</v>
      </c>
      <c r="CD104" s="18">
        <f t="shared" si="306"/>
        <v>0</v>
      </c>
      <c r="CE104" s="18">
        <f t="shared" si="249"/>
        <v>0</v>
      </c>
      <c r="CF104" s="18">
        <f t="shared" si="233"/>
        <v>0.99524931562137331</v>
      </c>
      <c r="CG104" s="18">
        <f t="shared" si="234"/>
        <v>1.056</v>
      </c>
      <c r="CH104" s="18">
        <f t="shared" si="250"/>
        <v>1.8756444837875041</v>
      </c>
      <c r="CI104" s="18">
        <f t="shared" si="251"/>
        <v>2.3503492510124331</v>
      </c>
      <c r="CJ104" s="9">
        <v>1</v>
      </c>
      <c r="CK104" s="18">
        <f t="shared" si="252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67"/>
        <v>0</v>
      </c>
      <c r="DI104" s="4">
        <f t="shared" si="168"/>
        <v>76.199999999999989</v>
      </c>
      <c r="DJ104" s="4">
        <f t="shared" si="169"/>
        <v>0.5</v>
      </c>
      <c r="DL104" s="4">
        <f t="shared" si="170"/>
        <v>5.2031648625625478E-6</v>
      </c>
      <c r="DM104" s="4">
        <f t="shared" si="171"/>
        <v>3.4568864757817224</v>
      </c>
      <c r="DN104" s="4"/>
      <c r="DO104" s="4"/>
      <c r="DP104" s="4"/>
      <c r="DQ104" s="4"/>
      <c r="DR104" s="38">
        <f t="shared" si="275"/>
        <v>240.39693556508263</v>
      </c>
      <c r="DS104" s="4">
        <f t="shared" si="256"/>
        <v>0.85294201502455413</v>
      </c>
      <c r="DT104" s="4"/>
      <c r="DU104" s="4">
        <f t="shared" si="276"/>
        <v>261.11132108469127</v>
      </c>
      <c r="DY104" s="19">
        <f t="shared" si="235"/>
        <v>0.85</v>
      </c>
      <c r="DZ104" s="19">
        <f t="shared" si="257"/>
        <v>1</v>
      </c>
      <c r="EA104" s="19">
        <f t="shared" si="258"/>
        <v>1</v>
      </c>
      <c r="EB104" s="19">
        <f t="shared" si="259"/>
        <v>1</v>
      </c>
      <c r="ED104" s="4">
        <f t="shared" si="277"/>
        <v>367.36566045820871</v>
      </c>
      <c r="EE104" s="25">
        <f>8.8*N104*254*J104^0.5/R104/K104^2/H104^0.5*(0.7+MIN(S104,O104)/5/H104)</f>
        <v>356.96806769578183</v>
      </c>
      <c r="EH104" s="4">
        <f>EI104</f>
        <v>3.4568864757817224</v>
      </c>
      <c r="EI104" s="4">
        <f t="shared" si="174"/>
        <v>3.4568864757817224</v>
      </c>
      <c r="EK104" s="4">
        <f t="shared" si="175"/>
        <v>37.502650572992827</v>
      </c>
      <c r="EL104" s="4">
        <f t="shared" si="176"/>
        <v>1.4764823060233399</v>
      </c>
      <c r="EM104" s="4">
        <f t="shared" si="177"/>
        <v>0.34627499069050011</v>
      </c>
      <c r="EP104" s="19">
        <f t="shared" si="178"/>
        <v>0.34627499069050011</v>
      </c>
      <c r="EQ104" s="19">
        <f t="shared" si="179"/>
        <v>0.999</v>
      </c>
      <c r="ER104" s="4">
        <f t="shared" si="180"/>
        <v>3.455503306143648</v>
      </c>
      <c r="ES104" s="19">
        <f t="shared" si="236"/>
        <v>3.4561949601557549</v>
      </c>
      <c r="ET104" s="4">
        <f t="shared" si="182"/>
        <v>19.647349427007164</v>
      </c>
      <c r="EU104" s="4">
        <f t="shared" si="183"/>
        <v>19.049999999999997</v>
      </c>
      <c r="EV104" s="19">
        <f t="shared" si="261"/>
        <v>5.2031648625625478E-6</v>
      </c>
      <c r="EW104" s="19">
        <f t="shared" si="237"/>
        <v>3.4486002130471327</v>
      </c>
      <c r="EX104" s="4">
        <f t="shared" si="185"/>
        <v>281.84440598598275</v>
      </c>
      <c r="EY104" s="4">
        <f t="shared" si="186"/>
        <v>0.59734942700716687</v>
      </c>
      <c r="EZ104" s="4">
        <f t="shared" si="187"/>
        <v>0</v>
      </c>
      <c r="FA104" s="4"/>
      <c r="FB104" s="4">
        <f t="shared" si="262"/>
        <v>20.714385519608641</v>
      </c>
      <c r="FG104" s="23"/>
      <c r="FH104" s="23"/>
      <c r="FI104" s="23"/>
      <c r="FJ104" s="23"/>
      <c r="FK104" s="23"/>
      <c r="FL104" s="23"/>
      <c r="FM104" s="23"/>
      <c r="FN104" s="22"/>
      <c r="FX104" s="4">
        <f t="shared" si="263"/>
        <v>1</v>
      </c>
      <c r="FY104" s="4">
        <f t="shared" si="303"/>
        <v>0.91666666666666663</v>
      </c>
      <c r="FZ104" s="4">
        <f t="shared" si="265"/>
        <v>0</v>
      </c>
      <c r="GA104" s="4">
        <f t="shared" si="266"/>
        <v>73.691247596778538</v>
      </c>
    </row>
    <row r="105" spans="1:183" s="19" customFormat="1" ht="12" customHeight="1" x14ac:dyDescent="0.3">
      <c r="A105" s="25">
        <v>87</v>
      </c>
      <c r="B105" s="20" t="s">
        <v>54</v>
      </c>
      <c r="C105" s="20">
        <v>2006</v>
      </c>
      <c r="D105" s="20" t="s">
        <v>293</v>
      </c>
      <c r="E105" s="20"/>
      <c r="F105" s="21" t="s">
        <v>77</v>
      </c>
      <c r="G105" s="21">
        <v>472</v>
      </c>
      <c r="H105" s="21">
        <f>K105*L105</f>
        <v>127</v>
      </c>
      <c r="I105" s="21">
        <f t="shared" si="131"/>
        <v>76.199999999999989</v>
      </c>
      <c r="J105" s="21">
        <v>26</v>
      </c>
      <c r="K105" s="7">
        <v>25.4</v>
      </c>
      <c r="L105" s="21">
        <v>5</v>
      </c>
      <c r="M105" s="21">
        <v>3</v>
      </c>
      <c r="N105" s="21">
        <f>36*25.4</f>
        <v>914.4</v>
      </c>
      <c r="O105" s="21">
        <f>0.5*(N105-25*K105-K105)</f>
        <v>126.99999999999999</v>
      </c>
      <c r="P105" s="21">
        <f>N104-15*25.4-25.4</f>
        <v>228.6</v>
      </c>
      <c r="Q105" s="21">
        <f t="shared" ref="Q105:Q122" si="309">4*25.4</f>
        <v>101.6</v>
      </c>
      <c r="R105" s="21">
        <v>3</v>
      </c>
      <c r="S105" s="21">
        <f t="shared" ref="S105:S122" si="310">2.5*25.4-K105/2</f>
        <v>50.8</v>
      </c>
      <c r="T105" s="7">
        <f t="shared" si="304"/>
        <v>2.5</v>
      </c>
      <c r="U105" s="21">
        <f t="shared" si="307"/>
        <v>2.5</v>
      </c>
      <c r="V105" s="21">
        <v>1.18</v>
      </c>
      <c r="W105" s="7">
        <f t="shared" si="152"/>
        <v>1.18</v>
      </c>
      <c r="X105" s="21">
        <f t="shared" si="242"/>
        <v>2.1799999999999997</v>
      </c>
      <c r="Y105" s="21">
        <f t="shared" si="200"/>
        <v>37.502650572992827</v>
      </c>
      <c r="Z105" s="21"/>
      <c r="AA105" s="21"/>
      <c r="AB105" s="21">
        <v>92</v>
      </c>
      <c r="AC105" s="21"/>
      <c r="AD105" s="21"/>
      <c r="AE105" s="21"/>
      <c r="AF105" s="21"/>
      <c r="AG105" s="7">
        <v>1</v>
      </c>
      <c r="AH105" s="7"/>
      <c r="AI105" s="7"/>
      <c r="AJ105" s="21"/>
      <c r="AK105" s="4">
        <f t="shared" si="279"/>
        <v>127</v>
      </c>
      <c r="AL105" s="44">
        <f t="shared" ref="AL105:AL122" si="311">MIN(N105)*(MIN(254-S105-0.5*K105,1.5*AK105)+S105+K105/2)/(3*H105)^2</f>
        <v>1.6</v>
      </c>
      <c r="AM105" s="25">
        <f t="shared" si="268"/>
        <v>48.008007996158454</v>
      </c>
      <c r="AN105" s="4">
        <f t="shared" si="269"/>
        <v>0.79999999999999993</v>
      </c>
      <c r="AO105" s="4">
        <v>1.25</v>
      </c>
      <c r="AP105" s="25">
        <f>AP104</f>
        <v>5</v>
      </c>
      <c r="AQ105" s="38">
        <f t="shared" si="271"/>
        <v>384.06406396926764</v>
      </c>
      <c r="AR105" s="38">
        <f t="shared" si="272"/>
        <v>384.06406396926764</v>
      </c>
      <c r="AS105" s="38"/>
      <c r="AT105" s="38">
        <f t="shared" si="308"/>
        <v>384.06406396926775</v>
      </c>
      <c r="AU105" s="38">
        <f t="shared" si="243"/>
        <v>0.99999999999999967</v>
      </c>
      <c r="AV105" s="38"/>
      <c r="AW105" s="4"/>
      <c r="AX105" s="19">
        <f t="shared" si="220"/>
        <v>80.510834425149213</v>
      </c>
      <c r="AY105" s="19">
        <f t="shared" si="221"/>
        <v>1</v>
      </c>
      <c r="AZ105" s="38">
        <f t="shared" si="273"/>
        <v>141.2161463856028</v>
      </c>
      <c r="BA105" s="19">
        <f t="shared" si="222"/>
        <v>0.83479999999999999</v>
      </c>
      <c r="BB105" s="19">
        <f t="shared" si="244"/>
        <v>35.117457292064863</v>
      </c>
      <c r="BC105" s="19">
        <f t="shared" si="245"/>
        <v>176.33360367766767</v>
      </c>
      <c r="BE105" s="36">
        <f t="shared" ref="BE105:BE152" si="312">MAX(1, (0.9+0.1*MIN(2,O105/K105,Q105/K105))*(0.9+0.1*MIN(3.5,O105/Q105))+0.45*MIN(2.5,(40*2*PI()*AE105^2/4/AG105/R105)/K105))</f>
        <v>1.1274999999999999</v>
      </c>
      <c r="BF105" s="36">
        <f t="shared" ref="BF105:BF152" si="313">(1.6*M105+22)*BE105*J105^0.5</f>
        <v>154.07707264223316</v>
      </c>
      <c r="BK105" s="4">
        <f t="shared" si="156"/>
        <v>57.199999999999996</v>
      </c>
      <c r="BL105" s="4">
        <f t="shared" si="157"/>
        <v>50.8</v>
      </c>
      <c r="BM105" s="4">
        <f t="shared" si="158"/>
        <v>57.199999999999996</v>
      </c>
      <c r="BN105" s="4">
        <f t="shared" si="159"/>
        <v>63.5</v>
      </c>
      <c r="BO105" s="4">
        <f t="shared" si="160"/>
        <v>1.0125984251968505</v>
      </c>
      <c r="BP105" s="25">
        <f t="shared" si="274"/>
        <v>2.5314960629921264</v>
      </c>
      <c r="BQ105" s="4"/>
      <c r="BR105" s="19">
        <f t="shared" si="161"/>
        <v>50.8</v>
      </c>
      <c r="BV105" s="18"/>
      <c r="BX105" s="18"/>
      <c r="BY105" s="18"/>
      <c r="BZ105" s="18">
        <f t="shared" si="231"/>
        <v>50.8</v>
      </c>
      <c r="CA105" s="18">
        <f t="shared" si="232"/>
        <v>126.99999999999999</v>
      </c>
      <c r="CB105" s="18">
        <f t="shared" si="248"/>
        <v>1.622579553879709</v>
      </c>
      <c r="CC105" s="9">
        <v>0</v>
      </c>
      <c r="CD105" s="18">
        <f t="shared" si="306"/>
        <v>0</v>
      </c>
      <c r="CE105" s="18">
        <f t="shared" si="249"/>
        <v>0</v>
      </c>
      <c r="CF105" s="18">
        <f t="shared" si="233"/>
        <v>0.99524931562137331</v>
      </c>
      <c r="CG105" s="18">
        <f t="shared" si="234"/>
        <v>1.056</v>
      </c>
      <c r="CH105" s="18">
        <f t="shared" si="250"/>
        <v>1.8756444837875041</v>
      </c>
      <c r="CI105" s="18">
        <f t="shared" si="251"/>
        <v>3.0433823897408656</v>
      </c>
      <c r="CJ105" s="9">
        <v>1</v>
      </c>
      <c r="CK105" s="18">
        <f t="shared" si="252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67"/>
        <v>0</v>
      </c>
      <c r="DI105" s="4">
        <f t="shared" si="168"/>
        <v>127</v>
      </c>
      <c r="DJ105" s="4">
        <f t="shared" si="169"/>
        <v>0.59999999999999987</v>
      </c>
      <c r="DL105" s="4">
        <f t="shared" si="170"/>
        <v>8.6719414376042473E-6</v>
      </c>
      <c r="DM105" s="4">
        <f t="shared" si="171"/>
        <v>4.7133891591304096</v>
      </c>
      <c r="DN105" s="4"/>
      <c r="DO105" s="4"/>
      <c r="DP105" s="4"/>
      <c r="DQ105" s="4"/>
      <c r="DR105" s="38">
        <f t="shared" si="275"/>
        <v>346.57353989636255</v>
      </c>
      <c r="DS105" s="4">
        <f t="shared" si="256"/>
        <v>0.78658049329536572</v>
      </c>
      <c r="DT105" s="4"/>
      <c r="DU105" s="4">
        <f t="shared" si="276"/>
        <v>384.06406396926775</v>
      </c>
      <c r="DY105" s="19">
        <f t="shared" si="235"/>
        <v>0.85</v>
      </c>
      <c r="DZ105" s="19">
        <f t="shared" si="257"/>
        <v>0.9</v>
      </c>
      <c r="EA105" s="19">
        <f t="shared" si="258"/>
        <v>1</v>
      </c>
      <c r="EB105" s="19">
        <f t="shared" si="259"/>
        <v>0.9</v>
      </c>
      <c r="ED105" s="4">
        <f t="shared" si="277"/>
        <v>405.89653271199688</v>
      </c>
      <c r="EE105" s="25">
        <f>8.8*N105*254*J105^0.5/R105/K105^2/H105^0.5*(0.7+MIN(S105,O105)/5/H105)</f>
        <v>372.68621939794593</v>
      </c>
      <c r="EH105" s="4">
        <f t="shared" ref="EH105:EH152" si="314">EI105</f>
        <v>4.7133891591304096</v>
      </c>
      <c r="EI105" s="4">
        <f t="shared" si="174"/>
        <v>4.7133891591304096</v>
      </c>
      <c r="EK105" s="4">
        <f t="shared" si="175"/>
        <v>37.502650572992827</v>
      </c>
      <c r="EL105" s="4">
        <f t="shared" si="176"/>
        <v>1.4764823060233399</v>
      </c>
      <c r="EM105" s="4">
        <f t="shared" si="177"/>
        <v>0.5093298123691008</v>
      </c>
      <c r="EP105" s="19">
        <f t="shared" si="178"/>
        <v>0.5093298123691008</v>
      </c>
      <c r="EQ105" s="19">
        <f t="shared" si="179"/>
        <v>0.999</v>
      </c>
      <c r="ER105" s="4">
        <f t="shared" si="180"/>
        <v>4.7115032375582047</v>
      </c>
      <c r="ES105" s="19">
        <f t="shared" si="236"/>
        <v>4.7124462926875461</v>
      </c>
      <c r="ET105" s="4">
        <f t="shared" si="182"/>
        <v>57.747349427007173</v>
      </c>
      <c r="EU105" s="4">
        <f t="shared" si="183"/>
        <v>31.750000000000007</v>
      </c>
      <c r="EV105" s="19">
        <f t="shared" si="261"/>
        <v>8.6719414376042506E-6</v>
      </c>
      <c r="EW105" s="19">
        <f t="shared" si="237"/>
        <v>4.6706370389684988</v>
      </c>
      <c r="EX105" s="4">
        <f t="shared" si="185"/>
        <v>440.60784986466996</v>
      </c>
      <c r="EY105" s="4">
        <f t="shared" si="186"/>
        <v>38.697349427007161</v>
      </c>
      <c r="EZ105" s="4">
        <f t="shared" si="187"/>
        <v>0</v>
      </c>
      <c r="FA105" s="4"/>
      <c r="FB105" s="4">
        <f t="shared" si="262"/>
        <v>37.490524072905203</v>
      </c>
      <c r="FG105" s="23"/>
      <c r="FH105" s="23"/>
      <c r="FI105" s="23"/>
      <c r="FJ105" s="23"/>
      <c r="FK105" s="23"/>
      <c r="FL105" s="23"/>
      <c r="FM105" s="23"/>
      <c r="FN105" s="22"/>
      <c r="FX105" s="4">
        <f t="shared" si="263"/>
        <v>1</v>
      </c>
      <c r="FY105" s="4">
        <f t="shared" si="303"/>
        <v>0.75</v>
      </c>
      <c r="FZ105" s="4">
        <f t="shared" si="265"/>
        <v>0</v>
      </c>
      <c r="GA105" s="4">
        <f t="shared" si="266"/>
        <v>150.11180066010442</v>
      </c>
    </row>
    <row r="106" spans="1:183" s="19" customFormat="1" ht="12" customHeight="1" x14ac:dyDescent="0.3">
      <c r="A106" s="25">
        <v>88</v>
      </c>
      <c r="B106" s="20" t="s">
        <v>54</v>
      </c>
      <c r="C106" s="20">
        <v>2006</v>
      </c>
      <c r="D106" s="20" t="s">
        <v>293</v>
      </c>
      <c r="E106" s="20"/>
      <c r="F106" s="21" t="s">
        <v>79</v>
      </c>
      <c r="G106" s="21">
        <v>472</v>
      </c>
      <c r="H106" s="21">
        <f t="shared" ref="H106:H146" si="315">K106*L106</f>
        <v>127</v>
      </c>
      <c r="I106" s="21">
        <f t="shared" si="131"/>
        <v>76.199999999999989</v>
      </c>
      <c r="J106" s="21">
        <v>26</v>
      </c>
      <c r="K106" s="7">
        <v>25.4</v>
      </c>
      <c r="L106" s="21">
        <v>5</v>
      </c>
      <c r="M106" s="21">
        <v>3</v>
      </c>
      <c r="N106" s="21">
        <f>36*25.4</f>
        <v>914.4</v>
      </c>
      <c r="O106" s="21">
        <f t="shared" ref="O106:O122" si="316">5*25.4</f>
        <v>127</v>
      </c>
      <c r="P106" s="21"/>
      <c r="Q106" s="21">
        <f>10*25.4-1.5*K106-Y106/2</f>
        <v>197.1486747135036</v>
      </c>
      <c r="R106" s="21">
        <v>3</v>
      </c>
      <c r="S106" s="21">
        <f t="shared" si="310"/>
        <v>50.8</v>
      </c>
      <c r="T106" s="7">
        <f t="shared" si="304"/>
        <v>2.5</v>
      </c>
      <c r="U106" s="10">
        <f>(O106+K106/2)/K106</f>
        <v>5.5</v>
      </c>
      <c r="V106" s="21">
        <v>1.18</v>
      </c>
      <c r="W106" s="7">
        <f t="shared" si="152"/>
        <v>1.18</v>
      </c>
      <c r="X106" s="21">
        <f t="shared" si="242"/>
        <v>2.1799999999999997</v>
      </c>
      <c r="Y106" s="21">
        <f t="shared" si="200"/>
        <v>37.502650572992827</v>
      </c>
      <c r="Z106" s="21"/>
      <c r="AA106" s="21"/>
      <c r="AB106" s="21">
        <v>121</v>
      </c>
      <c r="AC106" s="21"/>
      <c r="AD106" s="21"/>
      <c r="AE106" s="21"/>
      <c r="AF106" s="21"/>
      <c r="AG106" s="7">
        <v>1</v>
      </c>
      <c r="AH106" s="7"/>
      <c r="AI106" s="7"/>
      <c r="AJ106" s="21"/>
      <c r="AK106" s="4">
        <f t="shared" si="279"/>
        <v>127</v>
      </c>
      <c r="AL106" s="44">
        <f t="shared" si="311"/>
        <v>1.6</v>
      </c>
      <c r="AM106" s="25">
        <f t="shared" si="268"/>
        <v>48.008007996158454</v>
      </c>
      <c r="AN106" s="4">
        <f t="shared" si="269"/>
        <v>0.79999999999999993</v>
      </c>
      <c r="AO106" s="4">
        <v>1.25</v>
      </c>
      <c r="AP106" s="25">
        <f t="shared" ref="AP106:AP152" si="317">AP105</f>
        <v>5</v>
      </c>
      <c r="AQ106" s="38">
        <f t="shared" si="271"/>
        <v>384.06406396926764</v>
      </c>
      <c r="AR106" s="38">
        <f t="shared" si="272"/>
        <v>384.06406396926764</v>
      </c>
      <c r="AS106" s="38"/>
      <c r="AT106" s="38">
        <f t="shared" si="308"/>
        <v>384.06406396926775</v>
      </c>
      <c r="AU106" s="38">
        <f t="shared" si="243"/>
        <v>0.99999999999999967</v>
      </c>
      <c r="AV106" s="38"/>
      <c r="AW106" s="4"/>
      <c r="AX106" s="19">
        <f t="shared" si="220"/>
        <v>80.510834425149213</v>
      </c>
      <c r="AY106" s="19">
        <f t="shared" si="221"/>
        <v>1.48</v>
      </c>
      <c r="AZ106" s="38">
        <f t="shared" si="273"/>
        <v>208.99989665069214</v>
      </c>
      <c r="BA106" s="19">
        <f t="shared" si="222"/>
        <v>0.83479999999999999</v>
      </c>
      <c r="BB106" s="19">
        <f t="shared" si="244"/>
        <v>35.117457292064863</v>
      </c>
      <c r="BC106" s="19">
        <f t="shared" si="245"/>
        <v>244.11735394275701</v>
      </c>
      <c r="BE106" s="36">
        <f t="shared" si="312"/>
        <v>1.060860227796617</v>
      </c>
      <c r="BF106" s="36">
        <f t="shared" si="313"/>
        <v>144.97049967314891</v>
      </c>
      <c r="BK106" s="4">
        <f t="shared" si="156"/>
        <v>104.9743373567518</v>
      </c>
      <c r="BL106" s="4">
        <f t="shared" si="157"/>
        <v>50.8</v>
      </c>
      <c r="BM106" s="4">
        <f t="shared" si="158"/>
        <v>104.9743373567518</v>
      </c>
      <c r="BN106" s="4">
        <f t="shared" si="159"/>
        <v>63.5</v>
      </c>
      <c r="BO106" s="4">
        <f t="shared" si="160"/>
        <v>1.1066423963715586</v>
      </c>
      <c r="BP106" s="25">
        <f t="shared" si="274"/>
        <v>2.7666059909288965</v>
      </c>
      <c r="BQ106" s="4"/>
      <c r="BR106" s="19">
        <f t="shared" si="161"/>
        <v>98.574337356751798</v>
      </c>
      <c r="BV106" s="18"/>
      <c r="BX106" s="18"/>
      <c r="BY106" s="18"/>
      <c r="BZ106" s="18">
        <f t="shared" si="231"/>
        <v>98.574337356751798</v>
      </c>
      <c r="CA106" s="18">
        <f t="shared" si="232"/>
        <v>127</v>
      </c>
      <c r="CB106" s="18">
        <f t="shared" si="248"/>
        <v>2.0463082399363279</v>
      </c>
      <c r="CC106" s="9">
        <v>0</v>
      </c>
      <c r="CD106" s="18">
        <f t="shared" si="306"/>
        <v>0</v>
      </c>
      <c r="CE106" s="18">
        <f t="shared" si="249"/>
        <v>0</v>
      </c>
      <c r="CF106" s="18">
        <f t="shared" si="233"/>
        <v>0.99524931562137331</v>
      </c>
      <c r="CG106" s="18">
        <f t="shared" si="234"/>
        <v>1.056</v>
      </c>
      <c r="CH106" s="18">
        <f t="shared" si="250"/>
        <v>1.8756444837875041</v>
      </c>
      <c r="CI106" s="18">
        <f t="shared" si="251"/>
        <v>3.8381467623654899</v>
      </c>
      <c r="CJ106" s="9">
        <v>1</v>
      </c>
      <c r="CK106" s="18">
        <f t="shared" si="252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67"/>
        <v>0</v>
      </c>
      <c r="DI106" s="4">
        <f t="shared" si="168"/>
        <v>127</v>
      </c>
      <c r="DJ106" s="4">
        <f t="shared" si="169"/>
        <v>0.59999999999999987</v>
      </c>
      <c r="DL106" s="4">
        <f t="shared" si="170"/>
        <v>8.6719414376042473E-6</v>
      </c>
      <c r="DM106" s="4">
        <f t="shared" si="171"/>
        <v>5.1511400218480468</v>
      </c>
      <c r="DN106" s="4"/>
      <c r="DO106" s="4"/>
      <c r="DP106" s="4"/>
      <c r="DQ106" s="4"/>
      <c r="DR106" s="38">
        <f t="shared" si="275"/>
        <v>343.11331433873033</v>
      </c>
      <c r="DS106" s="4">
        <f t="shared" si="256"/>
        <v>0.76955514978126882</v>
      </c>
      <c r="DT106" s="4"/>
      <c r="DU106" s="4">
        <f t="shared" si="276"/>
        <v>384.06406396926775</v>
      </c>
      <c r="DY106" s="19">
        <f t="shared" si="235"/>
        <v>1</v>
      </c>
      <c r="DZ106" s="19">
        <f t="shared" si="257"/>
        <v>0.71191205765058341</v>
      </c>
      <c r="EA106" s="19">
        <f t="shared" si="258"/>
        <v>1</v>
      </c>
      <c r="EB106" s="19">
        <f t="shared" si="259"/>
        <v>0.71191205765058341</v>
      </c>
      <c r="ED106" s="4">
        <f t="shared" si="277"/>
        <v>409.00257009512922</v>
      </c>
      <c r="EE106" s="25">
        <f t="shared" ref="EE106:EE122" si="318">8.8*N106*254*J106^0.5/R106/K106^2/H106^0.5*(0.7+MIN(S106,O106)/5/H106)</f>
        <v>372.68621939794593</v>
      </c>
      <c r="EH106" s="4">
        <f t="shared" si="314"/>
        <v>5.1511400218480468</v>
      </c>
      <c r="EI106" s="4">
        <f t="shared" si="174"/>
        <v>5.1511400218480468</v>
      </c>
      <c r="EK106" s="4">
        <f t="shared" si="175"/>
        <v>37.502650572992827</v>
      </c>
      <c r="EL106" s="4">
        <f t="shared" si="176"/>
        <v>1.4764823060233399</v>
      </c>
      <c r="EM106" s="4">
        <f t="shared" si="177"/>
        <v>0.5093298123691008</v>
      </c>
      <c r="EP106" s="19">
        <f t="shared" si="178"/>
        <v>0.5093298123691008</v>
      </c>
      <c r="EQ106" s="19">
        <f t="shared" si="179"/>
        <v>0.999</v>
      </c>
      <c r="ER106" s="4">
        <f t="shared" si="180"/>
        <v>5.1490789473726171</v>
      </c>
      <c r="ES106" s="19">
        <f t="shared" si="236"/>
        <v>5.1501095877155967</v>
      </c>
      <c r="ET106" s="4">
        <f t="shared" si="182"/>
        <v>57.747349427007173</v>
      </c>
      <c r="EU106" s="4">
        <f t="shared" si="183"/>
        <v>31.750000000000007</v>
      </c>
      <c r="EV106" s="19">
        <f t="shared" si="261"/>
        <v>8.6719414376042506E-6</v>
      </c>
      <c r="EW106" s="19">
        <f t="shared" si="237"/>
        <v>5.1000841734781224</v>
      </c>
      <c r="EX106" s="4">
        <f t="shared" si="185"/>
        <v>445.85929213293377</v>
      </c>
      <c r="EY106" s="4">
        <f t="shared" si="186"/>
        <v>38.697349427007161</v>
      </c>
      <c r="EZ106" s="4">
        <f t="shared" si="187"/>
        <v>0</v>
      </c>
      <c r="FA106" s="4"/>
      <c r="FB106" s="4">
        <f t="shared" si="262"/>
        <v>40.950749630537416</v>
      </c>
      <c r="FG106" s="23"/>
      <c r="FH106" s="23"/>
      <c r="FI106" s="23"/>
      <c r="FJ106" s="23"/>
      <c r="FK106" s="23"/>
      <c r="FL106" s="23"/>
      <c r="FM106" s="23"/>
      <c r="FN106" s="22"/>
      <c r="FX106" s="4">
        <f t="shared" si="263"/>
        <v>1</v>
      </c>
      <c r="FY106" s="4">
        <f t="shared" si="303"/>
        <v>0.5</v>
      </c>
      <c r="FZ106" s="4">
        <f t="shared" si="265"/>
        <v>0</v>
      </c>
      <c r="GA106" s="4">
        <f t="shared" si="266"/>
        <v>225.16770099015665</v>
      </c>
    </row>
    <row r="107" spans="1:183" ht="12" customHeight="1" x14ac:dyDescent="0.3">
      <c r="A107" s="25">
        <v>89</v>
      </c>
      <c r="B107" s="20" t="s">
        <v>54</v>
      </c>
      <c r="C107" s="20">
        <v>2006</v>
      </c>
      <c r="D107" s="20" t="s">
        <v>293</v>
      </c>
      <c r="E107" s="24"/>
      <c r="F107" s="7" t="s">
        <v>77</v>
      </c>
      <c r="G107" s="7">
        <v>472</v>
      </c>
      <c r="H107" s="7">
        <f t="shared" si="315"/>
        <v>203.2</v>
      </c>
      <c r="I107" s="7">
        <f t="shared" si="131"/>
        <v>152.39999999999998</v>
      </c>
      <c r="J107" s="7">
        <v>28</v>
      </c>
      <c r="K107" s="7">
        <v>25.4</v>
      </c>
      <c r="L107" s="7">
        <v>8</v>
      </c>
      <c r="M107" s="7">
        <v>6</v>
      </c>
      <c r="N107" s="7">
        <f>36*25.4</f>
        <v>914.4</v>
      </c>
      <c r="O107" s="7">
        <f t="shared" si="316"/>
        <v>127</v>
      </c>
      <c r="P107" s="7"/>
      <c r="Q107" s="7">
        <f t="shared" si="309"/>
        <v>101.6</v>
      </c>
      <c r="R107" s="7">
        <v>3</v>
      </c>
      <c r="S107" s="7">
        <f t="shared" si="310"/>
        <v>50.8</v>
      </c>
      <c r="T107" s="7">
        <f t="shared" si="304"/>
        <v>2.5</v>
      </c>
      <c r="U107" s="7">
        <f t="shared" si="307"/>
        <v>2.5</v>
      </c>
      <c r="V107" s="7">
        <v>1.18</v>
      </c>
      <c r="W107" s="7">
        <f t="shared" si="152"/>
        <v>1.18</v>
      </c>
      <c r="X107" s="7">
        <f t="shared" si="242"/>
        <v>2.1799999999999997</v>
      </c>
      <c r="Y107" s="7">
        <f t="shared" si="200"/>
        <v>37.502650572992827</v>
      </c>
      <c r="Z107" s="7"/>
      <c r="AA107" s="7"/>
      <c r="AB107" s="7">
        <v>182</v>
      </c>
      <c r="AC107" s="7"/>
      <c r="AD107" s="7"/>
      <c r="AE107" s="7"/>
      <c r="AF107" s="7"/>
      <c r="AG107" s="7">
        <v>1</v>
      </c>
      <c r="AH107" s="7"/>
      <c r="AI107" s="7"/>
      <c r="AJ107" s="7"/>
      <c r="AK107" s="4">
        <f t="shared" si="279"/>
        <v>203.2</v>
      </c>
      <c r="AL107" s="44">
        <f t="shared" si="311"/>
        <v>0.62500000000000011</v>
      </c>
      <c r="AM107" s="25">
        <f t="shared" si="268"/>
        <v>100.82912578615378</v>
      </c>
      <c r="AN107" s="4">
        <f t="shared" si="269"/>
        <v>0.76249999999999996</v>
      </c>
      <c r="AO107" s="4">
        <v>1.25</v>
      </c>
      <c r="AP107" s="25">
        <f t="shared" si="317"/>
        <v>5</v>
      </c>
      <c r="AQ107" s="38">
        <f t="shared" si="271"/>
        <v>300.32112660914947</v>
      </c>
      <c r="AR107" s="38">
        <f t="shared" si="272"/>
        <v>300.32112660914947</v>
      </c>
      <c r="AT107" s="38">
        <f t="shared" si="308"/>
        <v>300.32112660914959</v>
      </c>
      <c r="AU107" s="38">
        <f t="shared" si="243"/>
        <v>0.99999999999999967</v>
      </c>
      <c r="AX107" s="4">
        <f t="shared" si="220"/>
        <v>167.10008280407939</v>
      </c>
      <c r="AY107" s="4">
        <f t="shared" si="221"/>
        <v>1</v>
      </c>
      <c r="AZ107" s="38">
        <f t="shared" si="273"/>
        <v>152.078926876803</v>
      </c>
      <c r="BA107" s="4">
        <f t="shared" si="222"/>
        <v>0.83479999999999999</v>
      </c>
      <c r="BB107" s="4">
        <f t="shared" si="244"/>
        <v>72.886215417731762</v>
      </c>
      <c r="BC107" s="4">
        <f t="shared" si="245"/>
        <v>224.96514229453476</v>
      </c>
      <c r="BE107" s="36">
        <f t="shared" si="312"/>
        <v>1.1274999999999999</v>
      </c>
      <c r="BF107" s="36">
        <f t="shared" si="313"/>
        <v>188.53094692384059</v>
      </c>
      <c r="BK107" s="4">
        <f t="shared" si="156"/>
        <v>57.199999999999996</v>
      </c>
      <c r="BL107" s="4">
        <f t="shared" si="157"/>
        <v>50.8</v>
      </c>
      <c r="BM107" s="4">
        <f t="shared" si="158"/>
        <v>57.199999999999996</v>
      </c>
      <c r="BN107" s="4">
        <f t="shared" si="159"/>
        <v>63.5</v>
      </c>
      <c r="BO107" s="4">
        <f t="shared" si="160"/>
        <v>1.0125984251968505</v>
      </c>
      <c r="BP107" s="25">
        <f t="shared" si="274"/>
        <v>2.5314960629921264</v>
      </c>
      <c r="BR107" s="4">
        <f t="shared" si="161"/>
        <v>50.8</v>
      </c>
      <c r="BV107" s="9"/>
      <c r="BX107" s="9"/>
      <c r="BY107" s="9"/>
      <c r="BZ107" s="9">
        <f t="shared" si="231"/>
        <v>50.8</v>
      </c>
      <c r="CA107" s="9">
        <f t="shared" si="232"/>
        <v>127</v>
      </c>
      <c r="CB107" s="9">
        <f t="shared" si="248"/>
        <v>1.622579553879709</v>
      </c>
      <c r="CC107" s="9">
        <v>0</v>
      </c>
      <c r="CD107" s="9">
        <f t="shared" si="306"/>
        <v>0</v>
      </c>
      <c r="CE107" s="9">
        <f t="shared" si="249"/>
        <v>0</v>
      </c>
      <c r="CF107" s="9">
        <f t="shared" si="233"/>
        <v>0.99524931562137331</v>
      </c>
      <c r="CG107" s="9">
        <f t="shared" si="234"/>
        <v>1.056</v>
      </c>
      <c r="CH107" s="9">
        <f t="shared" si="250"/>
        <v>1.9464482686693119</v>
      </c>
      <c r="CI107" s="9">
        <f t="shared" si="251"/>
        <v>3.158267163427384</v>
      </c>
      <c r="CJ107" s="9">
        <v>1</v>
      </c>
      <c r="CK107" s="9">
        <f t="shared" si="252"/>
        <v>265.29444172790028</v>
      </c>
      <c r="DH107" s="4">
        <f t="shared" si="167"/>
        <v>0</v>
      </c>
      <c r="DI107" s="4">
        <f t="shared" si="168"/>
        <v>203.2</v>
      </c>
      <c r="DJ107" s="4">
        <f t="shared" si="169"/>
        <v>0.74999999999999989</v>
      </c>
      <c r="DL107" s="4">
        <f t="shared" si="170"/>
        <v>1.4081086625805556E-5</v>
      </c>
      <c r="DM107" s="4">
        <f t="shared" si="171"/>
        <v>4.8913150907085621</v>
      </c>
      <c r="DR107" s="38">
        <f t="shared" si="275"/>
        <v>262.14544347104123</v>
      </c>
      <c r="DS107" s="4">
        <f t="shared" si="256"/>
        <v>0.62761753808854537</v>
      </c>
      <c r="DU107" s="4">
        <f t="shared" si="276"/>
        <v>300.32112660914959</v>
      </c>
      <c r="DY107" s="4">
        <f t="shared" si="235"/>
        <v>1</v>
      </c>
      <c r="DZ107" s="4">
        <f t="shared" si="257"/>
        <v>0.9</v>
      </c>
      <c r="EA107" s="4">
        <f t="shared" si="258"/>
        <v>1</v>
      </c>
      <c r="EB107" s="4">
        <f t="shared" si="259"/>
        <v>0.9</v>
      </c>
      <c r="ED107" s="4">
        <f t="shared" si="277"/>
        <v>373.21250444135222</v>
      </c>
      <c r="EE107" s="25">
        <f t="shared" si="318"/>
        <v>293.99662540245509</v>
      </c>
      <c r="EH107" s="4">
        <f t="shared" si="314"/>
        <v>4.8913150907085621</v>
      </c>
      <c r="EI107" s="4">
        <f t="shared" si="174"/>
        <v>4.8913150907085621</v>
      </c>
      <c r="EK107" s="4">
        <f t="shared" si="175"/>
        <v>37.502650572992827</v>
      </c>
      <c r="EL107" s="4">
        <f t="shared" si="176"/>
        <v>1.4764823060233399</v>
      </c>
      <c r="EM107" s="4">
        <f t="shared" si="177"/>
        <v>0.38378585752369582</v>
      </c>
      <c r="EP107" s="4">
        <f t="shared" si="178"/>
        <v>0.38378585752369582</v>
      </c>
      <c r="EQ107" s="4">
        <f t="shared" si="179"/>
        <v>0.999</v>
      </c>
      <c r="ER107" s="4">
        <f t="shared" si="180"/>
        <v>4.8893579774012199</v>
      </c>
      <c r="ES107" s="4">
        <f t="shared" si="236"/>
        <v>4.8903366319594967</v>
      </c>
      <c r="ET107" s="4">
        <f t="shared" si="182"/>
        <v>114.89734942700716</v>
      </c>
      <c r="EU107" s="4">
        <f t="shared" si="183"/>
        <v>50.800000000000011</v>
      </c>
      <c r="EV107" s="4">
        <f t="shared" si="261"/>
        <v>1.4081086625805558E-5</v>
      </c>
      <c r="EW107" s="4">
        <f t="shared" si="237"/>
        <v>4.7719603922635478</v>
      </c>
      <c r="EX107" s="4">
        <f t="shared" si="185"/>
        <v>417.6834259116215</v>
      </c>
      <c r="EY107" s="4">
        <f t="shared" si="186"/>
        <v>114.89734942700716</v>
      </c>
      <c r="EZ107" s="4">
        <f t="shared" si="187"/>
        <v>0</v>
      </c>
      <c r="FB107" s="4">
        <f t="shared" si="262"/>
        <v>38.175683138108354</v>
      </c>
      <c r="FG107" s="23"/>
      <c r="FH107" s="23"/>
      <c r="FI107" s="23"/>
      <c r="FJ107" s="23"/>
      <c r="FK107" s="23"/>
      <c r="FL107" s="23"/>
      <c r="FM107" s="23"/>
      <c r="FN107" s="23"/>
      <c r="FX107" s="4">
        <f t="shared" si="263"/>
        <v>1</v>
      </c>
      <c r="FY107" s="4">
        <f t="shared" si="303"/>
        <v>0.75</v>
      </c>
      <c r="FZ107" s="4">
        <f t="shared" si="265"/>
        <v>0</v>
      </c>
      <c r="GA107" s="4">
        <f t="shared" si="266"/>
        <v>244.67014989869273</v>
      </c>
    </row>
    <row r="108" spans="1:183" s="19" customFormat="1" ht="12" customHeight="1" x14ac:dyDescent="0.3">
      <c r="A108" s="25">
        <v>90</v>
      </c>
      <c r="B108" s="20" t="s">
        <v>54</v>
      </c>
      <c r="C108" s="20">
        <v>2006</v>
      </c>
      <c r="D108" s="20" t="s">
        <v>293</v>
      </c>
      <c r="E108" s="20"/>
      <c r="F108" s="21" t="s">
        <v>281</v>
      </c>
      <c r="G108" s="21">
        <v>472</v>
      </c>
      <c r="H108" s="21">
        <f t="shared" si="315"/>
        <v>76.199999999999989</v>
      </c>
      <c r="I108" s="21">
        <f t="shared" si="131"/>
        <v>38.099999999999994</v>
      </c>
      <c r="J108" s="21">
        <v>22</v>
      </c>
      <c r="K108" s="7">
        <v>25.4</v>
      </c>
      <c r="L108" s="21">
        <v>3</v>
      </c>
      <c r="M108" s="21">
        <v>1.5</v>
      </c>
      <c r="N108" s="21">
        <f t="shared" ref="N108:N109" si="319">25*25.4</f>
        <v>635</v>
      </c>
      <c r="O108" s="21">
        <f>O104</f>
        <v>114.3</v>
      </c>
      <c r="P108" s="21"/>
      <c r="Q108" s="21">
        <f t="shared" ref="Q108:Q109" si="320">2*25.4</f>
        <v>50.8</v>
      </c>
      <c r="R108" s="21">
        <v>3</v>
      </c>
      <c r="S108" s="21">
        <f t="shared" si="310"/>
        <v>50.8</v>
      </c>
      <c r="T108" s="7">
        <f t="shared" si="304"/>
        <v>1.5</v>
      </c>
      <c r="U108" s="21">
        <f t="shared" si="307"/>
        <v>2.5</v>
      </c>
      <c r="V108" s="21">
        <v>4.7</v>
      </c>
      <c r="W108" s="7">
        <f t="shared" si="152"/>
        <v>4.7</v>
      </c>
      <c r="X108" s="21">
        <f t="shared" si="242"/>
        <v>5.7</v>
      </c>
      <c r="Y108" s="21">
        <f t="shared" si="200"/>
        <v>60.641668842471674</v>
      </c>
      <c r="Z108" s="21"/>
      <c r="AA108" s="21"/>
      <c r="AB108" s="21">
        <v>128</v>
      </c>
      <c r="AC108" s="21"/>
      <c r="AD108" s="21"/>
      <c r="AE108" s="21"/>
      <c r="AF108" s="21"/>
      <c r="AG108" s="7">
        <v>1</v>
      </c>
      <c r="AH108" s="7"/>
      <c r="AI108" s="7"/>
      <c r="AJ108" s="21"/>
      <c r="AK108" s="4">
        <f t="shared" si="279"/>
        <v>76.199999999999989</v>
      </c>
      <c r="AL108" s="44">
        <f t="shared" si="311"/>
        <v>2.1604938271604941</v>
      </c>
      <c r="AM108" s="25">
        <f t="shared" si="268"/>
        <v>20.524152271933929</v>
      </c>
      <c r="AN108" s="4">
        <f t="shared" si="269"/>
        <v>0.8666666666666667</v>
      </c>
      <c r="AO108" s="4">
        <v>1.25</v>
      </c>
      <c r="AP108" s="25">
        <f t="shared" si="317"/>
        <v>5</v>
      </c>
      <c r="AQ108" s="38">
        <f t="shared" si="271"/>
        <v>240.18748157741609</v>
      </c>
      <c r="AR108" s="38">
        <f t="shared" si="272"/>
        <v>240.18748157741609</v>
      </c>
      <c r="AS108" s="38"/>
      <c r="AT108" s="38">
        <f t="shared" si="308"/>
        <v>240.18748157741595</v>
      </c>
      <c r="AU108" s="38">
        <f t="shared" si="243"/>
        <v>1.0000000000000007</v>
      </c>
      <c r="AV108" s="38"/>
      <c r="AW108" s="4"/>
      <c r="AX108" s="19">
        <f t="shared" si="220"/>
        <v>37.029598103869176</v>
      </c>
      <c r="AY108" s="19">
        <f t="shared" si="221"/>
        <v>1.2666666666666666</v>
      </c>
      <c r="AZ108" s="38">
        <f t="shared" si="273"/>
        <v>181.24048112935475</v>
      </c>
      <c r="BA108" s="19">
        <f t="shared" si="222"/>
        <v>0.34199999999999997</v>
      </c>
      <c r="BB108" s="19">
        <f t="shared" si="244"/>
        <v>6.6170040331709021</v>
      </c>
      <c r="BC108" s="19">
        <f t="shared" si="245"/>
        <v>187.85748516252565</v>
      </c>
      <c r="BE108" s="36">
        <f t="shared" si="312"/>
        <v>1.2375</v>
      </c>
      <c r="BF108" s="36">
        <f t="shared" si="313"/>
        <v>141.62710386786847</v>
      </c>
      <c r="BK108" s="4">
        <f t="shared" si="156"/>
        <v>31.799999999999997</v>
      </c>
      <c r="BL108" s="4">
        <f t="shared" si="157"/>
        <v>31.799999999999997</v>
      </c>
      <c r="BM108" s="4">
        <f t="shared" si="158"/>
        <v>50.8</v>
      </c>
      <c r="BN108" s="4">
        <f t="shared" si="159"/>
        <v>44.5</v>
      </c>
      <c r="BO108" s="4">
        <f t="shared" si="160"/>
        <v>1.0597484276729561</v>
      </c>
      <c r="BP108" s="25">
        <f t="shared" si="274"/>
        <v>1.8566458673797854</v>
      </c>
      <c r="BQ108" s="4"/>
      <c r="BR108" s="19">
        <f t="shared" si="161"/>
        <v>25.4</v>
      </c>
      <c r="BV108" s="18"/>
      <c r="BX108" s="18"/>
      <c r="BY108" s="18"/>
      <c r="BZ108" s="18">
        <f t="shared" si="231"/>
        <v>25.4</v>
      </c>
      <c r="CA108" s="18">
        <f t="shared" si="232"/>
        <v>114.3</v>
      </c>
      <c r="CB108" s="18">
        <f t="shared" si="248"/>
        <v>1.2530888829563018</v>
      </c>
      <c r="CC108" s="9">
        <v>0</v>
      </c>
      <c r="CD108" s="18">
        <f t="shared" si="306"/>
        <v>0</v>
      </c>
      <c r="CE108" s="18">
        <f t="shared" si="249"/>
        <v>0</v>
      </c>
      <c r="CF108" s="18">
        <f t="shared" si="233"/>
        <v>0.99524931562137331</v>
      </c>
      <c r="CG108" s="18">
        <f t="shared" si="234"/>
        <v>1.056</v>
      </c>
      <c r="CH108" s="18">
        <f t="shared" si="250"/>
        <v>1.7253419844992921</v>
      </c>
      <c r="CI108" s="18">
        <f t="shared" si="251"/>
        <v>2.1620068600738271</v>
      </c>
      <c r="CJ108" s="9">
        <v>1</v>
      </c>
      <c r="CK108" s="18">
        <f t="shared" si="252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67"/>
        <v>0</v>
      </c>
      <c r="DI108" s="4">
        <f t="shared" si="168"/>
        <v>76.199999999999989</v>
      </c>
      <c r="DJ108" s="4">
        <f t="shared" si="169"/>
        <v>0.5</v>
      </c>
      <c r="DL108" s="4">
        <f t="shared" si="170"/>
        <v>5.0464587188435587E-6</v>
      </c>
      <c r="DM108" s="4">
        <f t="shared" si="171"/>
        <v>3.1798730643614395</v>
      </c>
      <c r="DN108" s="4"/>
      <c r="DO108" s="4"/>
      <c r="DP108" s="4"/>
      <c r="DQ108" s="4"/>
      <c r="DR108" s="38">
        <f t="shared" si="275"/>
        <v>232.40769288927373</v>
      </c>
      <c r="DS108" s="4">
        <f t="shared" si="256"/>
        <v>0.88017500971700602</v>
      </c>
      <c r="DT108" s="4"/>
      <c r="DU108" s="4">
        <f t="shared" si="276"/>
        <v>240.18748157741595</v>
      </c>
      <c r="DY108" s="19">
        <f t="shared" si="235"/>
        <v>1</v>
      </c>
      <c r="DZ108" s="19">
        <f t="shared" si="257"/>
        <v>1</v>
      </c>
      <c r="EA108" s="19">
        <f t="shared" si="258"/>
        <v>1</v>
      </c>
      <c r="EB108" s="19">
        <f t="shared" si="259"/>
        <v>1</v>
      </c>
      <c r="ED108" s="4">
        <f t="shared" si="277"/>
        <v>349.20193277320544</v>
      </c>
      <c r="EE108" s="25">
        <f t="shared" si="318"/>
        <v>328.3628638820947</v>
      </c>
      <c r="EH108" s="4">
        <f t="shared" si="314"/>
        <v>3.1798730643614395</v>
      </c>
      <c r="EI108" s="4">
        <f t="shared" si="174"/>
        <v>3.1798730643614395</v>
      </c>
      <c r="EK108" s="4">
        <f t="shared" si="175"/>
        <v>60.641668842471674</v>
      </c>
      <c r="EL108" s="4">
        <f t="shared" si="176"/>
        <v>2.3874672772626644</v>
      </c>
      <c r="EM108" s="4">
        <f t="shared" si="177"/>
        <v>0.14057706011072471</v>
      </c>
      <c r="EP108" s="19">
        <f t="shared" si="178"/>
        <v>0.14057706011072471</v>
      </c>
      <c r="EQ108" s="19">
        <f t="shared" si="179"/>
        <v>0.54719546434765076</v>
      </c>
      <c r="ER108" s="4">
        <f t="shared" si="180"/>
        <v>2.4984276612451395</v>
      </c>
      <c r="ES108" s="19">
        <f t="shared" si="236"/>
        <v>2.8595510825119432</v>
      </c>
      <c r="ET108" s="4">
        <f t="shared" si="182"/>
        <v>0</v>
      </c>
      <c r="EU108" s="4">
        <f t="shared" si="183"/>
        <v>15.558331157528315</v>
      </c>
      <c r="EV108" s="19">
        <f t="shared" si="261"/>
        <v>4.1214947989797472E-6</v>
      </c>
      <c r="EW108" s="19">
        <f t="shared" si="237"/>
        <v>3.1752543167715603</v>
      </c>
      <c r="EX108" s="4">
        <f t="shared" si="185"/>
        <v>264.04713872073859</v>
      </c>
      <c r="EY108" s="4">
        <f t="shared" si="186"/>
        <v>0</v>
      </c>
      <c r="EZ108" s="4">
        <f t="shared" si="187"/>
        <v>0</v>
      </c>
      <c r="FA108" s="4"/>
      <c r="FB108" s="4">
        <f t="shared" si="262"/>
        <v>7.7797886881422187</v>
      </c>
      <c r="FG108" s="23"/>
      <c r="FH108" s="23"/>
      <c r="FI108" s="23"/>
      <c r="FJ108" s="23"/>
      <c r="FK108" s="23"/>
      <c r="FL108" s="23"/>
      <c r="FM108" s="23"/>
      <c r="FN108" s="22"/>
      <c r="FX108" s="4">
        <f t="shared" si="263"/>
        <v>1</v>
      </c>
      <c r="FY108" s="4">
        <f t="shared" si="303"/>
        <v>0.91666666666666663</v>
      </c>
      <c r="FZ108" s="4">
        <f t="shared" si="265"/>
        <v>0</v>
      </c>
      <c r="GA108" s="4">
        <f t="shared" si="266"/>
        <v>70.677022056964134</v>
      </c>
    </row>
    <row r="109" spans="1:183" s="19" customFormat="1" ht="12" customHeight="1" x14ac:dyDescent="0.3">
      <c r="A109" s="25">
        <v>91</v>
      </c>
      <c r="B109" s="20" t="s">
        <v>54</v>
      </c>
      <c r="C109" s="20">
        <v>2006</v>
      </c>
      <c r="D109" s="20" t="s">
        <v>293</v>
      </c>
      <c r="E109" s="20"/>
      <c r="F109" s="21" t="s">
        <v>281</v>
      </c>
      <c r="G109" s="21">
        <v>472</v>
      </c>
      <c r="H109" s="21">
        <f t="shared" si="315"/>
        <v>127</v>
      </c>
      <c r="I109" s="21">
        <f t="shared" si="131"/>
        <v>76.199999999999989</v>
      </c>
      <c r="J109" s="21">
        <v>26</v>
      </c>
      <c r="K109" s="7">
        <v>25.4</v>
      </c>
      <c r="L109" s="21">
        <v>5</v>
      </c>
      <c r="M109" s="21">
        <v>3</v>
      </c>
      <c r="N109" s="21">
        <f t="shared" si="319"/>
        <v>635</v>
      </c>
      <c r="O109" s="21">
        <f>O108</f>
        <v>114.3</v>
      </c>
      <c r="P109" s="21"/>
      <c r="Q109" s="21">
        <f t="shared" si="320"/>
        <v>50.8</v>
      </c>
      <c r="R109" s="21">
        <v>3</v>
      </c>
      <c r="S109" s="21">
        <f t="shared" si="310"/>
        <v>50.8</v>
      </c>
      <c r="T109" s="7">
        <f t="shared" si="304"/>
        <v>1.5</v>
      </c>
      <c r="U109" s="21">
        <f t="shared" si="307"/>
        <v>2.5</v>
      </c>
      <c r="V109" s="21">
        <v>4.7</v>
      </c>
      <c r="W109" s="7">
        <f t="shared" si="152"/>
        <v>4.7</v>
      </c>
      <c r="X109" s="21">
        <f t="shared" si="242"/>
        <v>5.7</v>
      </c>
      <c r="Y109" s="21">
        <f t="shared" si="200"/>
        <v>60.641668842471674</v>
      </c>
      <c r="Z109" s="21"/>
      <c r="AA109" s="21"/>
      <c r="AB109" s="21">
        <v>186</v>
      </c>
      <c r="AC109" s="21"/>
      <c r="AD109" s="21"/>
      <c r="AE109" s="21"/>
      <c r="AF109" s="21"/>
      <c r="AG109" s="7">
        <v>1</v>
      </c>
      <c r="AH109" s="7"/>
      <c r="AI109" s="7"/>
      <c r="AJ109" s="21"/>
      <c r="AK109" s="4">
        <f t="shared" si="279"/>
        <v>127</v>
      </c>
      <c r="AL109" s="44">
        <f t="shared" si="311"/>
        <v>1.1111111111111112</v>
      </c>
      <c r="AM109" s="25">
        <f t="shared" si="268"/>
        <v>48.008007996158454</v>
      </c>
      <c r="AN109" s="4">
        <f t="shared" si="269"/>
        <v>0.79999999999999993</v>
      </c>
      <c r="AO109" s="4">
        <v>1.25</v>
      </c>
      <c r="AP109" s="25">
        <f t="shared" si="317"/>
        <v>5</v>
      </c>
      <c r="AQ109" s="38">
        <f t="shared" si="271"/>
        <v>266.71115553421362</v>
      </c>
      <c r="AR109" s="38">
        <f t="shared" si="272"/>
        <v>266.71115553421362</v>
      </c>
      <c r="AS109" s="38"/>
      <c r="AT109" s="38">
        <f t="shared" si="308"/>
        <v>266.71115553421373</v>
      </c>
      <c r="AU109" s="38">
        <f t="shared" si="243"/>
        <v>0.99999999999999956</v>
      </c>
      <c r="AV109" s="38"/>
      <c r="AW109" s="4"/>
      <c r="AX109" s="19">
        <f t="shared" si="220"/>
        <v>80.510834425149213</v>
      </c>
      <c r="AY109" s="19">
        <f t="shared" si="221"/>
        <v>1.2666666666666666</v>
      </c>
      <c r="AZ109" s="38">
        <f t="shared" si="273"/>
        <v>214.19329588014648</v>
      </c>
      <c r="BA109" s="19">
        <f t="shared" si="222"/>
        <v>0.34199999999999997</v>
      </c>
      <c r="BB109" s="19">
        <f t="shared" si="244"/>
        <v>14.386883557602038</v>
      </c>
      <c r="BC109" s="19">
        <f t="shared" si="245"/>
        <v>228.58017943774851</v>
      </c>
      <c r="BE109" s="36">
        <f t="shared" si="312"/>
        <v>1.2375</v>
      </c>
      <c r="BF109" s="36">
        <f t="shared" si="313"/>
        <v>169.10898216830469</v>
      </c>
      <c r="BK109" s="4">
        <f t="shared" si="156"/>
        <v>31.799999999999997</v>
      </c>
      <c r="BL109" s="4">
        <f t="shared" si="157"/>
        <v>31.799999999999997</v>
      </c>
      <c r="BM109" s="4">
        <f t="shared" si="158"/>
        <v>50.8</v>
      </c>
      <c r="BN109" s="4">
        <f t="shared" si="159"/>
        <v>44.5</v>
      </c>
      <c r="BO109" s="4">
        <f t="shared" si="160"/>
        <v>1.0597484276729561</v>
      </c>
      <c r="BP109" s="25">
        <f t="shared" si="274"/>
        <v>1.8566458673797854</v>
      </c>
      <c r="BQ109" s="4"/>
      <c r="BR109" s="19">
        <f t="shared" si="161"/>
        <v>25.4</v>
      </c>
      <c r="BV109" s="18"/>
      <c r="BX109" s="18"/>
      <c r="BY109" s="18"/>
      <c r="BZ109" s="18">
        <f t="shared" si="231"/>
        <v>25.4</v>
      </c>
      <c r="CA109" s="18">
        <f t="shared" si="232"/>
        <v>114.3</v>
      </c>
      <c r="CB109" s="18">
        <f t="shared" si="248"/>
        <v>1.2530888829563018</v>
      </c>
      <c r="CC109" s="9">
        <v>0</v>
      </c>
      <c r="CD109" s="18">
        <f t="shared" si="306"/>
        <v>0</v>
      </c>
      <c r="CE109" s="18">
        <f t="shared" si="249"/>
        <v>0</v>
      </c>
      <c r="CF109" s="18">
        <f t="shared" si="233"/>
        <v>0.99524931562137331</v>
      </c>
      <c r="CG109" s="18">
        <f t="shared" si="234"/>
        <v>1.056</v>
      </c>
      <c r="CH109" s="18">
        <f t="shared" si="250"/>
        <v>1.8756444837875041</v>
      </c>
      <c r="CI109" s="18">
        <f t="shared" si="251"/>
        <v>2.3503492510124331</v>
      </c>
      <c r="CJ109" s="9">
        <v>1</v>
      </c>
      <c r="CK109" s="18">
        <f t="shared" si="252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67"/>
        <v>0</v>
      </c>
      <c r="DI109" s="4">
        <f t="shared" si="168"/>
        <v>127</v>
      </c>
      <c r="DJ109" s="4">
        <f t="shared" si="169"/>
        <v>0.59999999999999987</v>
      </c>
      <c r="DL109" s="4">
        <f t="shared" si="170"/>
        <v>8.6719414376042473E-6</v>
      </c>
      <c r="DM109" s="4">
        <f t="shared" si="171"/>
        <v>3.4568864757817224</v>
      </c>
      <c r="DN109" s="4"/>
      <c r="DO109" s="4"/>
      <c r="DP109" s="4"/>
      <c r="DQ109" s="4"/>
      <c r="DR109" s="38">
        <f t="shared" si="275"/>
        <v>240.28411991979431</v>
      </c>
      <c r="DS109" s="4">
        <f t="shared" si="256"/>
        <v>0.80213284437653831</v>
      </c>
      <c r="DT109" s="4"/>
      <c r="DU109" s="4">
        <f t="shared" si="276"/>
        <v>266.71115553421373</v>
      </c>
      <c r="DY109" s="19">
        <f t="shared" si="235"/>
        <v>1</v>
      </c>
      <c r="DZ109" s="19">
        <f t="shared" si="257"/>
        <v>1</v>
      </c>
      <c r="EA109" s="19">
        <f t="shared" si="258"/>
        <v>1</v>
      </c>
      <c r="EB109" s="19">
        <f t="shared" si="259"/>
        <v>1</v>
      </c>
      <c r="ED109" s="4">
        <f t="shared" si="277"/>
        <v>284.2361361042133</v>
      </c>
      <c r="EE109" s="25">
        <f t="shared" si="318"/>
        <v>258.80987458190685</v>
      </c>
      <c r="EH109" s="4">
        <f t="shared" si="314"/>
        <v>3.4568864757817224</v>
      </c>
      <c r="EI109" s="4">
        <f t="shared" si="174"/>
        <v>3.4568864757817224</v>
      </c>
      <c r="EK109" s="4">
        <f t="shared" si="175"/>
        <v>60.641668842471674</v>
      </c>
      <c r="EL109" s="4">
        <f t="shared" si="176"/>
        <v>2.3874672772626644</v>
      </c>
      <c r="EM109" s="4">
        <f t="shared" si="177"/>
        <v>0.14359189784640952</v>
      </c>
      <c r="EP109" s="19">
        <f t="shared" si="178"/>
        <v>0.14359189784640952</v>
      </c>
      <c r="EQ109" s="19">
        <f t="shared" si="179"/>
        <v>0.51414146919682335</v>
      </c>
      <c r="ER109" s="4">
        <f t="shared" si="180"/>
        <v>2.6492208917595552</v>
      </c>
      <c r="ES109" s="19">
        <f t="shared" si="236"/>
        <v>3.0796915172620825</v>
      </c>
      <c r="ET109" s="4">
        <f t="shared" si="182"/>
        <v>34.608331157528326</v>
      </c>
      <c r="EU109" s="4">
        <f t="shared" si="183"/>
        <v>31.75</v>
      </c>
      <c r="EV109" s="19">
        <f t="shared" si="261"/>
        <v>8.6719414376042473E-6</v>
      </c>
      <c r="EW109" s="19">
        <f t="shared" si="237"/>
        <v>3.437592212526638</v>
      </c>
      <c r="EX109" s="4">
        <f t="shared" si="185"/>
        <v>299.55651561251841</v>
      </c>
      <c r="EY109" s="4">
        <f t="shared" si="186"/>
        <v>15.558331157528315</v>
      </c>
      <c r="EZ109" s="4">
        <f t="shared" si="187"/>
        <v>0</v>
      </c>
      <c r="FA109" s="4"/>
      <c r="FB109" s="4">
        <f t="shared" si="262"/>
        <v>26.427035614419424</v>
      </c>
      <c r="FG109" s="23"/>
      <c r="FH109" s="23"/>
      <c r="FI109" s="23"/>
      <c r="FJ109" s="23"/>
      <c r="FK109" s="23"/>
      <c r="FL109" s="23"/>
      <c r="FM109" s="23"/>
      <c r="FN109" s="22"/>
      <c r="FX109" s="4">
        <f t="shared" si="263"/>
        <v>1</v>
      </c>
      <c r="FY109" s="4">
        <f t="shared" si="303"/>
        <v>0.91666666666666663</v>
      </c>
      <c r="FZ109" s="4">
        <f t="shared" si="265"/>
        <v>0</v>
      </c>
      <c r="GA109" s="4">
        <f t="shared" si="266"/>
        <v>122.8187459946309</v>
      </c>
    </row>
    <row r="110" spans="1:183" s="19" customFormat="1" ht="12" customHeight="1" x14ac:dyDescent="0.3">
      <c r="A110" s="25">
        <v>92</v>
      </c>
      <c r="B110" s="20" t="s">
        <v>54</v>
      </c>
      <c r="C110" s="20">
        <v>2006</v>
      </c>
      <c r="D110" s="20" t="s">
        <v>293</v>
      </c>
      <c r="E110" s="20"/>
      <c r="F110" s="21" t="s">
        <v>281</v>
      </c>
      <c r="G110" s="21">
        <v>472</v>
      </c>
      <c r="H110" s="21">
        <f t="shared" si="315"/>
        <v>127</v>
      </c>
      <c r="I110" s="21">
        <f t="shared" si="131"/>
        <v>76.199999999999989</v>
      </c>
      <c r="J110" s="21">
        <v>22</v>
      </c>
      <c r="K110" s="7">
        <v>25.4</v>
      </c>
      <c r="L110" s="21">
        <v>5</v>
      </c>
      <c r="M110" s="21">
        <v>3</v>
      </c>
      <c r="N110" s="21">
        <f t="shared" ref="N110:N122" si="321">36*25.4</f>
        <v>914.4</v>
      </c>
      <c r="O110" s="21">
        <f t="shared" si="316"/>
        <v>127</v>
      </c>
      <c r="P110" s="21"/>
      <c r="Q110" s="21">
        <f t="shared" si="309"/>
        <v>101.6</v>
      </c>
      <c r="R110" s="21">
        <v>3</v>
      </c>
      <c r="S110" s="21">
        <f t="shared" si="310"/>
        <v>50.8</v>
      </c>
      <c r="T110" s="7">
        <f t="shared" si="304"/>
        <v>2.5</v>
      </c>
      <c r="U110" s="21">
        <f t="shared" si="307"/>
        <v>2.5</v>
      </c>
      <c r="V110" s="21">
        <v>4.7</v>
      </c>
      <c r="W110" s="7">
        <f t="shared" si="152"/>
        <v>4.7</v>
      </c>
      <c r="X110" s="21">
        <f t="shared" si="242"/>
        <v>5.7</v>
      </c>
      <c r="Y110" s="21">
        <f t="shared" si="200"/>
        <v>60.641668842471674</v>
      </c>
      <c r="Z110" s="21"/>
      <c r="AA110" s="21"/>
      <c r="AB110" s="21">
        <v>166</v>
      </c>
      <c r="AC110" s="21"/>
      <c r="AD110" s="21"/>
      <c r="AE110" s="21"/>
      <c r="AF110" s="21"/>
      <c r="AG110" s="7">
        <v>1</v>
      </c>
      <c r="AH110" s="7"/>
      <c r="AI110" s="7"/>
      <c r="AJ110" s="21"/>
      <c r="AK110" s="4">
        <f t="shared" si="279"/>
        <v>127</v>
      </c>
      <c r="AL110" s="44">
        <f t="shared" si="311"/>
        <v>1.6</v>
      </c>
      <c r="AM110" s="25">
        <f t="shared" si="268"/>
        <v>44.160944413458445</v>
      </c>
      <c r="AN110" s="4">
        <f t="shared" si="269"/>
        <v>0.79999999999999993</v>
      </c>
      <c r="AO110" s="4">
        <v>1.25</v>
      </c>
      <c r="AP110" s="25">
        <f t="shared" si="317"/>
        <v>5</v>
      </c>
      <c r="AQ110" s="38">
        <f t="shared" si="271"/>
        <v>353.28755530766756</v>
      </c>
      <c r="AR110" s="38">
        <f t="shared" si="272"/>
        <v>353.28755530766756</v>
      </c>
      <c r="AS110" s="38"/>
      <c r="AT110" s="38">
        <f t="shared" si="308"/>
        <v>353.28755530766756</v>
      </c>
      <c r="AU110" s="38">
        <f t="shared" si="243"/>
        <v>1</v>
      </c>
      <c r="AV110" s="38"/>
      <c r="AW110" s="4"/>
      <c r="AX110" s="19">
        <f t="shared" si="220"/>
        <v>74.059196207738353</v>
      </c>
      <c r="AY110" s="19">
        <f t="shared" si="221"/>
        <v>1</v>
      </c>
      <c r="AZ110" s="38">
        <f t="shared" si="273"/>
        <v>238.4743172754668</v>
      </c>
      <c r="BA110" s="19">
        <f t="shared" si="222"/>
        <v>0.34199999999999997</v>
      </c>
      <c r="BB110" s="19">
        <f t="shared" si="244"/>
        <v>13.234008066341804</v>
      </c>
      <c r="BC110" s="19">
        <f t="shared" si="245"/>
        <v>251.7083253418086</v>
      </c>
      <c r="BE110" s="36">
        <f t="shared" si="312"/>
        <v>1.1274999999999999</v>
      </c>
      <c r="BF110" s="36">
        <f t="shared" si="313"/>
        <v>141.73029301458456</v>
      </c>
      <c r="BK110" s="4">
        <f t="shared" si="156"/>
        <v>57.199999999999996</v>
      </c>
      <c r="BL110" s="4">
        <f t="shared" si="157"/>
        <v>50.8</v>
      </c>
      <c r="BM110" s="4">
        <f t="shared" si="158"/>
        <v>57.199999999999996</v>
      </c>
      <c r="BN110" s="4">
        <f t="shared" si="159"/>
        <v>63.5</v>
      </c>
      <c r="BO110" s="4">
        <f t="shared" si="160"/>
        <v>1.0125984251968505</v>
      </c>
      <c r="BP110" s="25">
        <f t="shared" si="274"/>
        <v>2.5314960629921264</v>
      </c>
      <c r="BQ110" s="4"/>
      <c r="BR110" s="19">
        <f t="shared" si="161"/>
        <v>50.8</v>
      </c>
      <c r="BV110" s="18"/>
      <c r="BX110" s="18"/>
      <c r="BY110" s="18"/>
      <c r="BZ110" s="18">
        <f t="shared" si="231"/>
        <v>50.8</v>
      </c>
      <c r="CA110" s="18">
        <f t="shared" si="232"/>
        <v>127</v>
      </c>
      <c r="CB110" s="18">
        <f t="shared" si="248"/>
        <v>1.622579553879709</v>
      </c>
      <c r="CC110" s="9">
        <v>0</v>
      </c>
      <c r="CD110" s="18">
        <f t="shared" si="306"/>
        <v>0</v>
      </c>
      <c r="CE110" s="18">
        <f t="shared" si="249"/>
        <v>0</v>
      </c>
      <c r="CF110" s="18">
        <f t="shared" si="233"/>
        <v>0.99524931562137331</v>
      </c>
      <c r="CG110" s="18">
        <f t="shared" si="234"/>
        <v>1.056</v>
      </c>
      <c r="CH110" s="18">
        <f t="shared" si="250"/>
        <v>1.7253419844992921</v>
      </c>
      <c r="CI110" s="18">
        <f t="shared" si="251"/>
        <v>2.7995046274987931</v>
      </c>
      <c r="CJ110" s="9">
        <v>1</v>
      </c>
      <c r="CK110" s="18">
        <f t="shared" si="252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67"/>
        <v>0</v>
      </c>
      <c r="DI110" s="4">
        <f t="shared" si="168"/>
        <v>127</v>
      </c>
      <c r="DJ110" s="4">
        <f t="shared" si="169"/>
        <v>0.59999999999999987</v>
      </c>
      <c r="DL110" s="4">
        <f t="shared" si="170"/>
        <v>8.4107645314059323E-6</v>
      </c>
      <c r="DM110" s="4">
        <f t="shared" si="171"/>
        <v>4.3356874268145296</v>
      </c>
      <c r="DN110" s="4"/>
      <c r="DO110" s="4"/>
      <c r="DP110" s="4"/>
      <c r="DQ110" s="4"/>
      <c r="DR110" s="38">
        <f t="shared" si="275"/>
        <v>319.29653618742071</v>
      </c>
      <c r="DS110" s="4">
        <f t="shared" si="256"/>
        <v>0.79537819456504089</v>
      </c>
      <c r="DT110" s="4"/>
      <c r="DU110" s="4">
        <f t="shared" si="276"/>
        <v>353.28755530766756</v>
      </c>
      <c r="DY110" s="19">
        <f t="shared" si="235"/>
        <v>1</v>
      </c>
      <c r="DZ110" s="19">
        <f t="shared" si="257"/>
        <v>0.9</v>
      </c>
      <c r="EA110" s="19">
        <f t="shared" si="258"/>
        <v>1</v>
      </c>
      <c r="EB110" s="19">
        <f t="shared" si="259"/>
        <v>0.9</v>
      </c>
      <c r="ED110" s="4">
        <f t="shared" si="277"/>
        <v>373.86575281438127</v>
      </c>
      <c r="EE110" s="25">
        <f t="shared" si="318"/>
        <v>342.82146053241013</v>
      </c>
      <c r="EH110" s="4">
        <f t="shared" si="314"/>
        <v>4.3356874268145296</v>
      </c>
      <c r="EI110" s="4">
        <f t="shared" si="174"/>
        <v>4.3356874268145296</v>
      </c>
      <c r="EK110" s="4">
        <f t="shared" si="175"/>
        <v>60.641668842471674</v>
      </c>
      <c r="EL110" s="4">
        <f t="shared" si="176"/>
        <v>2.3874672772626644</v>
      </c>
      <c r="EM110" s="4">
        <f t="shared" si="177"/>
        <v>0.20677233289882965</v>
      </c>
      <c r="EP110" s="19">
        <f t="shared" si="178"/>
        <v>0.20677233289882965</v>
      </c>
      <c r="EQ110" s="19">
        <f t="shared" si="179"/>
        <v>0.80486021421776921</v>
      </c>
      <c r="ER110" s="4">
        <f t="shared" si="180"/>
        <v>3.9750825222153439</v>
      </c>
      <c r="ES110" s="19">
        <f t="shared" si="236"/>
        <v>4.1592955381630556</v>
      </c>
      <c r="ET110" s="4">
        <f t="shared" si="182"/>
        <v>34.608331157528326</v>
      </c>
      <c r="EU110" s="4">
        <f t="shared" si="183"/>
        <v>31.75</v>
      </c>
      <c r="EV110" s="19">
        <f t="shared" si="261"/>
        <v>8.4107645314059323E-6</v>
      </c>
      <c r="EW110" s="19">
        <f t="shared" si="237"/>
        <v>4.302626501151539</v>
      </c>
      <c r="EX110" s="4">
        <f t="shared" si="185"/>
        <v>401.43989157514011</v>
      </c>
      <c r="EY110" s="4">
        <f t="shared" si="186"/>
        <v>15.558331157528315</v>
      </c>
      <c r="EZ110" s="4">
        <f t="shared" si="187"/>
        <v>0</v>
      </c>
      <c r="FA110" s="4"/>
      <c r="FB110" s="4">
        <f t="shared" si="262"/>
        <v>33.991019120246847</v>
      </c>
      <c r="FG110" s="23"/>
      <c r="FH110" s="23"/>
      <c r="FI110" s="23"/>
      <c r="FJ110" s="23"/>
      <c r="FK110" s="23"/>
      <c r="FL110" s="23"/>
      <c r="FM110" s="23"/>
      <c r="FN110" s="22"/>
      <c r="FX110" s="4">
        <f t="shared" si="263"/>
        <v>1</v>
      </c>
      <c r="FY110" s="4">
        <f t="shared" si="303"/>
        <v>0.75</v>
      </c>
      <c r="FZ110" s="4">
        <f t="shared" si="265"/>
        <v>0</v>
      </c>
      <c r="GA110" s="4">
        <f t="shared" si="266"/>
        <v>143.97171159751954</v>
      </c>
    </row>
    <row r="111" spans="1:183" s="19" customFormat="1" ht="12" customHeight="1" x14ac:dyDescent="0.3">
      <c r="A111" s="25">
        <v>93</v>
      </c>
      <c r="B111" s="20" t="s">
        <v>54</v>
      </c>
      <c r="C111" s="20">
        <v>2006</v>
      </c>
      <c r="D111" s="20" t="s">
        <v>293</v>
      </c>
      <c r="E111" s="20"/>
      <c r="F111" s="21" t="s">
        <v>80</v>
      </c>
      <c r="G111" s="21">
        <v>472</v>
      </c>
      <c r="H111" s="21">
        <f t="shared" si="315"/>
        <v>127</v>
      </c>
      <c r="I111" s="21">
        <f t="shared" si="131"/>
        <v>76.199999999999989</v>
      </c>
      <c r="J111" s="21">
        <v>22</v>
      </c>
      <c r="K111" s="7">
        <v>25.4</v>
      </c>
      <c r="L111" s="21">
        <v>5</v>
      </c>
      <c r="M111" s="21">
        <v>3</v>
      </c>
      <c r="N111" s="21">
        <f t="shared" si="321"/>
        <v>914.4</v>
      </c>
      <c r="O111" s="21">
        <f t="shared" si="316"/>
        <v>127</v>
      </c>
      <c r="P111" s="21"/>
      <c r="Q111" s="21">
        <f>10*25.4-1.5*K111-Y111/2</f>
        <v>185.57916557876416</v>
      </c>
      <c r="R111" s="21">
        <v>3</v>
      </c>
      <c r="S111" s="21">
        <f t="shared" si="310"/>
        <v>50.8</v>
      </c>
      <c r="T111" s="7">
        <f t="shared" si="304"/>
        <v>2.5</v>
      </c>
      <c r="U111" s="10">
        <f>(O111+K111/2)/K111</f>
        <v>5.5</v>
      </c>
      <c r="V111" s="21">
        <v>4.7</v>
      </c>
      <c r="W111" s="7">
        <f t="shared" si="152"/>
        <v>4.7</v>
      </c>
      <c r="X111" s="21">
        <f t="shared" si="242"/>
        <v>5.7</v>
      </c>
      <c r="Y111" s="21">
        <f t="shared" si="200"/>
        <v>60.641668842471674</v>
      </c>
      <c r="Z111" s="21"/>
      <c r="AA111" s="21"/>
      <c r="AB111" s="21">
        <v>169</v>
      </c>
      <c r="AC111" s="21"/>
      <c r="AD111" s="21"/>
      <c r="AE111" s="21"/>
      <c r="AF111" s="21"/>
      <c r="AG111" s="7">
        <v>1</v>
      </c>
      <c r="AH111" s="7"/>
      <c r="AI111" s="7"/>
      <c r="AJ111" s="21"/>
      <c r="AK111" s="4">
        <f t="shared" si="279"/>
        <v>127</v>
      </c>
      <c r="AL111" s="44">
        <f t="shared" si="311"/>
        <v>1.6</v>
      </c>
      <c r="AM111" s="25">
        <f t="shared" si="268"/>
        <v>44.160944413458445</v>
      </c>
      <c r="AN111" s="4">
        <f t="shared" si="269"/>
        <v>0.79999999999999993</v>
      </c>
      <c r="AO111" s="4">
        <v>1.25</v>
      </c>
      <c r="AP111" s="25">
        <f t="shared" si="317"/>
        <v>5</v>
      </c>
      <c r="AQ111" s="38">
        <f t="shared" si="271"/>
        <v>353.28755530766756</v>
      </c>
      <c r="AR111" s="38">
        <f t="shared" si="272"/>
        <v>353.28755530766756</v>
      </c>
      <c r="AS111" s="38"/>
      <c r="AT111" s="38">
        <f t="shared" si="308"/>
        <v>353.28755530766756</v>
      </c>
      <c r="AU111" s="38">
        <f t="shared" si="243"/>
        <v>1</v>
      </c>
      <c r="AV111" s="38"/>
      <c r="AW111" s="4"/>
      <c r="AX111" s="19">
        <f t="shared" si="220"/>
        <v>74.059196207738353</v>
      </c>
      <c r="AY111" s="19">
        <f t="shared" si="221"/>
        <v>1.48</v>
      </c>
      <c r="AZ111" s="38">
        <f t="shared" si="273"/>
        <v>352.94198956769088</v>
      </c>
      <c r="BA111" s="19">
        <f t="shared" si="222"/>
        <v>0.34199999999999997</v>
      </c>
      <c r="BB111" s="19">
        <f t="shared" si="244"/>
        <v>13.234008066341804</v>
      </c>
      <c r="BC111" s="19">
        <f t="shared" si="245"/>
        <v>366.17599763403268</v>
      </c>
      <c r="BE111" s="36">
        <f t="shared" si="312"/>
        <v>1.0652778468231168</v>
      </c>
      <c r="BF111" s="36">
        <f t="shared" si="313"/>
        <v>133.90877283564177</v>
      </c>
      <c r="BK111" s="4">
        <f t="shared" si="156"/>
        <v>99.189582789382087</v>
      </c>
      <c r="BL111" s="4">
        <f t="shared" si="157"/>
        <v>50.8</v>
      </c>
      <c r="BM111" s="4">
        <f t="shared" si="158"/>
        <v>99.189582789382087</v>
      </c>
      <c r="BN111" s="4">
        <f t="shared" si="159"/>
        <v>63.5</v>
      </c>
      <c r="BO111" s="4">
        <f t="shared" si="160"/>
        <v>1.0952550842310671</v>
      </c>
      <c r="BP111" s="25">
        <f t="shared" si="274"/>
        <v>2.7381377105776679</v>
      </c>
      <c r="BQ111" s="4"/>
      <c r="BR111" s="19">
        <f t="shared" si="161"/>
        <v>92.789582789382081</v>
      </c>
      <c r="BV111" s="18"/>
      <c r="BX111" s="18"/>
      <c r="BY111" s="18"/>
      <c r="BZ111" s="18">
        <f t="shared" si="231"/>
        <v>92.789582789382081</v>
      </c>
      <c r="CA111" s="18">
        <f t="shared" si="232"/>
        <v>127</v>
      </c>
      <c r="CB111" s="18">
        <f t="shared" si="248"/>
        <v>2.0034496277060567</v>
      </c>
      <c r="CC111" s="9">
        <v>0</v>
      </c>
      <c r="CD111" s="18">
        <f t="shared" si="306"/>
        <v>0</v>
      </c>
      <c r="CE111" s="18">
        <f t="shared" si="249"/>
        <v>0</v>
      </c>
      <c r="CF111" s="18">
        <f t="shared" si="233"/>
        <v>0.99524931562137331</v>
      </c>
      <c r="CG111" s="18">
        <f t="shared" si="234"/>
        <v>1.056</v>
      </c>
      <c r="CH111" s="18">
        <f t="shared" si="250"/>
        <v>1.7253419844992921</v>
      </c>
      <c r="CI111" s="18">
        <f t="shared" si="251"/>
        <v>3.4566357565107357</v>
      </c>
      <c r="CJ111" s="9">
        <v>1</v>
      </c>
      <c r="CK111" s="18">
        <f t="shared" si="252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67"/>
        <v>0</v>
      </c>
      <c r="DI111" s="4">
        <f t="shared" si="168"/>
        <v>127</v>
      </c>
      <c r="DJ111" s="4">
        <f t="shared" si="169"/>
        <v>0.59999999999999987</v>
      </c>
      <c r="DL111" s="4">
        <f t="shared" si="170"/>
        <v>8.4107645314059323E-6</v>
      </c>
      <c r="DM111" s="4">
        <f t="shared" si="171"/>
        <v>4.6896020966378407</v>
      </c>
      <c r="DN111" s="4"/>
      <c r="DO111" s="4"/>
      <c r="DP111" s="4"/>
      <c r="DQ111" s="4"/>
      <c r="DR111" s="38">
        <f t="shared" si="275"/>
        <v>316.53648478469842</v>
      </c>
      <c r="DS111" s="4">
        <f t="shared" si="256"/>
        <v>0.7808572593030928</v>
      </c>
      <c r="DT111" s="4"/>
      <c r="DU111" s="4">
        <f t="shared" si="276"/>
        <v>353.28755530766756</v>
      </c>
      <c r="DY111" s="19">
        <f t="shared" si="235"/>
        <v>1</v>
      </c>
      <c r="DZ111" s="19">
        <f t="shared" si="257"/>
        <v>0.73468668193156661</v>
      </c>
      <c r="EA111" s="19">
        <f t="shared" si="258"/>
        <v>1</v>
      </c>
      <c r="EB111" s="19">
        <f t="shared" si="259"/>
        <v>0.73468668193156661</v>
      </c>
      <c r="ED111" s="4">
        <f t="shared" si="277"/>
        <v>376.41442145900862</v>
      </c>
      <c r="EE111" s="25">
        <f t="shared" si="318"/>
        <v>342.82146053241013</v>
      </c>
      <c r="EH111" s="4">
        <f t="shared" si="314"/>
        <v>4.6896020966378407</v>
      </c>
      <c r="EI111" s="4">
        <f t="shared" si="174"/>
        <v>4.6896020966378407</v>
      </c>
      <c r="EK111" s="4">
        <f t="shared" si="175"/>
        <v>60.641668842471674</v>
      </c>
      <c r="EL111" s="4">
        <f t="shared" si="176"/>
        <v>2.3874672772626644</v>
      </c>
      <c r="EM111" s="4">
        <f t="shared" si="177"/>
        <v>0.20677233289882965</v>
      </c>
      <c r="EP111" s="19">
        <f t="shared" si="178"/>
        <v>0.20677233289882965</v>
      </c>
      <c r="EQ111" s="19">
        <f t="shared" si="179"/>
        <v>0.80486021421776921</v>
      </c>
      <c r="ER111" s="4">
        <f t="shared" si="180"/>
        <v>4.299561637031025</v>
      </c>
      <c r="ES111" s="19">
        <f t="shared" si="236"/>
        <v>4.4988116430332044</v>
      </c>
      <c r="ET111" s="4">
        <f t="shared" si="182"/>
        <v>34.608331157528326</v>
      </c>
      <c r="EU111" s="4">
        <f t="shared" si="183"/>
        <v>31.75</v>
      </c>
      <c r="EV111" s="19">
        <f t="shared" si="261"/>
        <v>8.4107645314059323E-6</v>
      </c>
      <c r="EW111" s="19">
        <f t="shared" si="237"/>
        <v>4.6509271187738959</v>
      </c>
      <c r="EX111" s="4">
        <f t="shared" si="185"/>
        <v>405.37048354676762</v>
      </c>
      <c r="EY111" s="4">
        <f t="shared" si="186"/>
        <v>15.558331157528315</v>
      </c>
      <c r="EZ111" s="4">
        <f t="shared" si="187"/>
        <v>0</v>
      </c>
      <c r="FA111" s="4"/>
      <c r="FB111" s="4">
        <f t="shared" si="262"/>
        <v>36.751070522969144</v>
      </c>
      <c r="FG111" s="23"/>
      <c r="FH111" s="23"/>
      <c r="FI111" s="23"/>
      <c r="FJ111" s="23"/>
      <c r="FK111" s="23"/>
      <c r="FL111" s="23"/>
      <c r="FM111" s="23"/>
      <c r="FN111" s="22"/>
      <c r="FX111" s="4">
        <f t="shared" si="263"/>
        <v>1</v>
      </c>
      <c r="FY111" s="4">
        <f t="shared" si="303"/>
        <v>0.5</v>
      </c>
      <c r="FZ111" s="4">
        <f t="shared" si="265"/>
        <v>0</v>
      </c>
      <c r="GA111" s="4">
        <f t="shared" si="266"/>
        <v>215.95756739627933</v>
      </c>
    </row>
    <row r="112" spans="1:183" ht="12" customHeight="1" x14ac:dyDescent="0.3">
      <c r="A112" s="25">
        <v>94</v>
      </c>
      <c r="B112" s="20" t="s">
        <v>54</v>
      </c>
      <c r="C112" s="20">
        <v>2006</v>
      </c>
      <c r="D112" s="20" t="s">
        <v>293</v>
      </c>
      <c r="E112" s="24"/>
      <c r="F112" s="7" t="s">
        <v>281</v>
      </c>
      <c r="G112" s="7">
        <v>472</v>
      </c>
      <c r="H112" s="7">
        <f t="shared" si="315"/>
        <v>203.2</v>
      </c>
      <c r="I112" s="7">
        <f t="shared" si="131"/>
        <v>152.39999999999998</v>
      </c>
      <c r="J112" s="7">
        <v>28</v>
      </c>
      <c r="K112" s="7">
        <v>25.4</v>
      </c>
      <c r="L112" s="7">
        <v>8</v>
      </c>
      <c r="M112" s="7">
        <v>6</v>
      </c>
      <c r="N112" s="7">
        <f t="shared" si="321"/>
        <v>914.4</v>
      </c>
      <c r="O112" s="7">
        <f t="shared" si="316"/>
        <v>127</v>
      </c>
      <c r="P112" s="7"/>
      <c r="Q112" s="7">
        <f t="shared" si="309"/>
        <v>101.6</v>
      </c>
      <c r="R112" s="7">
        <v>3</v>
      </c>
      <c r="S112" s="7">
        <f t="shared" si="310"/>
        <v>50.8</v>
      </c>
      <c r="T112" s="7">
        <f t="shared" si="304"/>
        <v>2.5</v>
      </c>
      <c r="U112" s="7">
        <f t="shared" ref="U112:U122" si="322">(S112+K112/2)/K112</f>
        <v>2.5</v>
      </c>
      <c r="V112" s="7">
        <v>4.7</v>
      </c>
      <c r="W112" s="7">
        <f t="shared" si="152"/>
        <v>4.7</v>
      </c>
      <c r="X112" s="7">
        <f t="shared" si="242"/>
        <v>5.7</v>
      </c>
      <c r="Y112" s="7">
        <f t="shared" si="200"/>
        <v>60.641668842471674</v>
      </c>
      <c r="Z112" s="7"/>
      <c r="AA112" s="7"/>
      <c r="AB112" s="7">
        <v>300</v>
      </c>
      <c r="AC112" s="7"/>
      <c r="AD112" s="7">
        <f>CQ112</f>
        <v>0.74963962286101182</v>
      </c>
      <c r="AE112" s="7"/>
      <c r="AF112" s="7"/>
      <c r="AG112" s="7">
        <v>1</v>
      </c>
      <c r="AH112" s="7"/>
      <c r="AI112" s="7"/>
      <c r="AJ112" s="7"/>
      <c r="AK112" s="4">
        <f t="shared" si="279"/>
        <v>203.2</v>
      </c>
      <c r="AL112" s="44">
        <f t="shared" si="311"/>
        <v>0.62500000000000011</v>
      </c>
      <c r="AM112" s="25">
        <f t="shared" si="268"/>
        <v>100.82912578615378</v>
      </c>
      <c r="AN112" s="4">
        <f t="shared" si="269"/>
        <v>0.76249999999999996</v>
      </c>
      <c r="AO112" s="4">
        <v>1.25</v>
      </c>
      <c r="AP112" s="25">
        <f t="shared" si="317"/>
        <v>5</v>
      </c>
      <c r="AQ112" s="38">
        <f t="shared" si="271"/>
        <v>300.32112660914947</v>
      </c>
      <c r="AR112" s="38">
        <f t="shared" si="272"/>
        <v>300.32112660914947</v>
      </c>
      <c r="AT112" s="38">
        <f t="shared" si="308"/>
        <v>300.32112660914959</v>
      </c>
      <c r="AU112" s="38">
        <f t="shared" si="243"/>
        <v>0.99999999999999967</v>
      </c>
      <c r="AV112" s="38">
        <f t="shared" si="136"/>
        <v>1.010627426942585</v>
      </c>
      <c r="AW112" s="4">
        <f t="shared" ref="AW112:AW175" si="323">IF(AV112&lt;1,1,0)</f>
        <v>0</v>
      </c>
      <c r="AX112" s="4">
        <f t="shared" si="220"/>
        <v>167.10008280407939</v>
      </c>
      <c r="AY112" s="4">
        <f t="shared" si="221"/>
        <v>1</v>
      </c>
      <c r="AZ112" s="38">
        <f t="shared" si="273"/>
        <v>303.51276744150317</v>
      </c>
      <c r="BA112" s="4">
        <f t="shared" si="222"/>
        <v>0.34199999999999997</v>
      </c>
      <c r="BB112" s="4">
        <f t="shared" si="244"/>
        <v>29.859949296674962</v>
      </c>
      <c r="BC112" s="4">
        <f t="shared" si="245"/>
        <v>333.37271673817816</v>
      </c>
      <c r="BE112" s="36">
        <f t="shared" si="312"/>
        <v>1.1274999999999999</v>
      </c>
      <c r="BF112" s="36">
        <f t="shared" si="313"/>
        <v>188.53094692384059</v>
      </c>
      <c r="BK112" s="4">
        <f t="shared" si="156"/>
        <v>57.199999999999996</v>
      </c>
      <c r="BL112" s="4">
        <f t="shared" si="157"/>
        <v>50.8</v>
      </c>
      <c r="BM112" s="4">
        <f t="shared" si="158"/>
        <v>57.199999999999996</v>
      </c>
      <c r="BN112" s="4">
        <f t="shared" si="159"/>
        <v>63.5</v>
      </c>
      <c r="BO112" s="4">
        <f t="shared" si="160"/>
        <v>1.0125984251968505</v>
      </c>
      <c r="BP112" s="25">
        <f t="shared" si="274"/>
        <v>2.5314960629921264</v>
      </c>
      <c r="BR112" s="4">
        <f t="shared" si="161"/>
        <v>50.8</v>
      </c>
      <c r="BV112" s="9"/>
      <c r="BX112" s="9"/>
      <c r="BY112" s="9"/>
      <c r="BZ112" s="9">
        <f t="shared" si="231"/>
        <v>50.8</v>
      </c>
      <c r="CA112" s="9">
        <f t="shared" si="232"/>
        <v>127</v>
      </c>
      <c r="CB112" s="9">
        <f t="shared" si="248"/>
        <v>1.622579553879709</v>
      </c>
      <c r="CC112" s="9">
        <v>0</v>
      </c>
      <c r="CD112" s="9">
        <f t="shared" si="306"/>
        <v>0</v>
      </c>
      <c r="CE112" s="9">
        <f t="shared" si="249"/>
        <v>0</v>
      </c>
      <c r="CF112" s="9">
        <f t="shared" si="233"/>
        <v>0.99524931562137331</v>
      </c>
      <c r="CG112" s="9">
        <f t="shared" si="234"/>
        <v>1.056</v>
      </c>
      <c r="CH112" s="9">
        <f t="shared" si="250"/>
        <v>1.9464482686693119</v>
      </c>
      <c r="CI112" s="9">
        <f t="shared" si="251"/>
        <v>3.158267163427384</v>
      </c>
      <c r="CJ112" s="9">
        <v>1</v>
      </c>
      <c r="CK112" s="9">
        <f t="shared" si="252"/>
        <v>265.29444172790028</v>
      </c>
      <c r="CM112" s="4">
        <f t="shared" si="206"/>
        <v>1.7953312467938294</v>
      </c>
      <c r="CN112" s="4">
        <f t="shared" ref="CN112:CN116" si="324">AB112/BC112</f>
        <v>0.89989367736896064</v>
      </c>
      <c r="CO112" s="4">
        <f t="shared" si="208"/>
        <v>1.5912506932943413</v>
      </c>
      <c r="CP112" s="4">
        <f t="shared" si="209"/>
        <v>1.1308190177150246</v>
      </c>
      <c r="CQ112" s="4">
        <f t="shared" si="210"/>
        <v>0.74963962286101182</v>
      </c>
      <c r="CR112" s="4">
        <f t="shared" si="211"/>
        <v>0.80409497946677988</v>
      </c>
      <c r="CS112" s="4">
        <f t="shared" si="143"/>
        <v>1.2261405820212108</v>
      </c>
      <c r="CU112" s="4">
        <f t="shared" si="212"/>
        <v>1.7953312467938294</v>
      </c>
      <c r="CV112" s="4">
        <f t="shared" si="212"/>
        <v>0.89989367736896064</v>
      </c>
      <c r="CW112" s="4">
        <f t="shared" si="213"/>
        <v>1.1308190177150246</v>
      </c>
      <c r="CX112" s="4">
        <f t="shared" ref="CX112:CX116" si="325">CS112</f>
        <v>1.2261405820212108</v>
      </c>
      <c r="CY112" s="4">
        <f t="shared" si="215"/>
        <v>0.74963962286101182</v>
      </c>
      <c r="CZ112" s="4">
        <f t="shared" si="215"/>
        <v>0.80409497946677988</v>
      </c>
      <c r="DH112" s="4">
        <f t="shared" si="167"/>
        <v>0</v>
      </c>
      <c r="DI112" s="4">
        <f t="shared" si="168"/>
        <v>203.2</v>
      </c>
      <c r="DJ112" s="4">
        <f t="shared" si="169"/>
        <v>0.74999999999999989</v>
      </c>
      <c r="DL112" s="4">
        <f t="shared" si="170"/>
        <v>1.4081086625805556E-5</v>
      </c>
      <c r="DM112" s="4">
        <f t="shared" si="171"/>
        <v>4.8913150907085621</v>
      </c>
      <c r="DN112" s="4">
        <f t="shared" ref="DN112:DN116" si="326">DU112*Y112/257/J112/V112</f>
        <v>0.53847806423870404</v>
      </c>
      <c r="DO112" s="4">
        <f t="shared" si="253"/>
        <v>3.8185004560434437</v>
      </c>
      <c r="DP112" s="4">
        <f t="shared" si="254"/>
        <v>4.3878681397992914</v>
      </c>
      <c r="DQ112" s="4">
        <f t="shared" si="255"/>
        <v>4.7872065211519317</v>
      </c>
      <c r="DR112" s="38">
        <f t="shared" si="275"/>
        <v>400.19229353838733</v>
      </c>
      <c r="DS112" s="4">
        <f t="shared" si="256"/>
        <v>1.0001002040418938</v>
      </c>
      <c r="DT112" s="4">
        <f t="shared" si="147"/>
        <v>2.3874672772626644</v>
      </c>
      <c r="DU112" s="4">
        <f t="shared" si="276"/>
        <v>300.32112660914959</v>
      </c>
      <c r="DY112" s="4">
        <f t="shared" si="235"/>
        <v>1</v>
      </c>
      <c r="DZ112" s="4">
        <f t="shared" si="257"/>
        <v>0.9</v>
      </c>
      <c r="EA112" s="4">
        <f t="shared" si="258"/>
        <v>1</v>
      </c>
      <c r="EB112" s="4">
        <f t="shared" si="259"/>
        <v>0.9</v>
      </c>
      <c r="ED112" s="4">
        <f t="shared" si="277"/>
        <v>373.09025383909153</v>
      </c>
      <c r="EE112" s="25">
        <f t="shared" si="318"/>
        <v>293.99662540245509</v>
      </c>
      <c r="EH112" s="4">
        <f t="shared" si="314"/>
        <v>4.8913150907085621</v>
      </c>
      <c r="EI112" s="4">
        <f t="shared" si="174"/>
        <v>4.8913150907085621</v>
      </c>
      <c r="EK112" s="4">
        <f t="shared" si="175"/>
        <v>60.641668842471674</v>
      </c>
      <c r="EL112" s="4">
        <f t="shared" si="176"/>
        <v>2.3874672772626644</v>
      </c>
      <c r="EM112" s="4">
        <f t="shared" si="177"/>
        <v>0.15580532528546467</v>
      </c>
      <c r="EP112" s="4">
        <f t="shared" si="178"/>
        <v>0.15580532528546467</v>
      </c>
      <c r="EQ112" s="4">
        <f t="shared" si="179"/>
        <v>0.53757944470815811</v>
      </c>
      <c r="ER112" s="4">
        <f t="shared" si="180"/>
        <v>3.8159502325558035</v>
      </c>
      <c r="ES112" s="4">
        <f t="shared" si="236"/>
        <v>4.3867592129495785</v>
      </c>
      <c r="ET112" s="4">
        <f t="shared" si="182"/>
        <v>91.758331157528303</v>
      </c>
      <c r="EU112" s="4">
        <f t="shared" si="183"/>
        <v>50.8</v>
      </c>
      <c r="EV112" s="4">
        <f t="shared" si="261"/>
        <v>1.4081086625805556E-5</v>
      </c>
      <c r="EW112" s="4">
        <f t="shared" si="237"/>
        <v>4.7872417175461299</v>
      </c>
      <c r="EX112" s="4">
        <f t="shared" si="185"/>
        <v>400.15219667090821</v>
      </c>
      <c r="EY112" s="4">
        <f t="shared" si="186"/>
        <v>91.758331157528303</v>
      </c>
      <c r="EZ112" s="4">
        <f t="shared" si="187"/>
        <v>0</v>
      </c>
      <c r="FB112" s="4">
        <f t="shared" si="262"/>
        <v>38.297933740369047</v>
      </c>
      <c r="FG112" s="23">
        <f t="shared" si="216"/>
        <v>1.8</v>
      </c>
      <c r="FH112" s="23">
        <f t="shared" si="216"/>
        <v>1</v>
      </c>
      <c r="FI112" s="23">
        <f t="shared" si="230"/>
        <v>1.4</v>
      </c>
      <c r="FJ112" s="23">
        <f t="shared" si="217"/>
        <v>1.2</v>
      </c>
      <c r="FK112" s="23">
        <f t="shared" si="217"/>
        <v>0.8</v>
      </c>
      <c r="FL112" s="23">
        <f t="shared" si="217"/>
        <v>1</v>
      </c>
      <c r="FM112" s="23">
        <f t="shared" si="218"/>
        <v>1</v>
      </c>
      <c r="FN112" s="23"/>
      <c r="FX112" s="4">
        <f t="shared" si="263"/>
        <v>1</v>
      </c>
      <c r="FY112" s="4">
        <f t="shared" si="303"/>
        <v>0.75</v>
      </c>
      <c r="FZ112" s="4">
        <f t="shared" si="265"/>
        <v>0</v>
      </c>
      <c r="GA112" s="4">
        <f t="shared" si="266"/>
        <v>244.67014989869273</v>
      </c>
    </row>
    <row r="113" spans="1:188" ht="12" customHeight="1" x14ac:dyDescent="0.3">
      <c r="A113" s="25">
        <v>95</v>
      </c>
      <c r="B113" s="20" t="s">
        <v>54</v>
      </c>
      <c r="C113" s="20">
        <v>2006</v>
      </c>
      <c r="D113" s="20" t="s">
        <v>293</v>
      </c>
      <c r="E113" s="24"/>
      <c r="F113" s="7" t="s">
        <v>68</v>
      </c>
      <c r="G113" s="7">
        <v>472</v>
      </c>
      <c r="H113" s="7">
        <f t="shared" si="315"/>
        <v>203.2</v>
      </c>
      <c r="I113" s="7">
        <f t="shared" si="131"/>
        <v>152.39999999999998</v>
      </c>
      <c r="J113" s="7">
        <v>28</v>
      </c>
      <c r="K113" s="7">
        <v>25.4</v>
      </c>
      <c r="L113" s="7">
        <v>8</v>
      </c>
      <c r="M113" s="7">
        <v>6</v>
      </c>
      <c r="N113" s="7">
        <f t="shared" si="321"/>
        <v>914.4</v>
      </c>
      <c r="O113" s="7">
        <f t="shared" si="316"/>
        <v>127</v>
      </c>
      <c r="P113" s="7"/>
      <c r="Q113" s="7">
        <f t="shared" si="309"/>
        <v>101.6</v>
      </c>
      <c r="R113" s="7">
        <v>3</v>
      </c>
      <c r="S113" s="7">
        <f t="shared" si="310"/>
        <v>50.8</v>
      </c>
      <c r="T113" s="7">
        <f t="shared" si="304"/>
        <v>2.5</v>
      </c>
      <c r="U113" s="7">
        <f t="shared" si="322"/>
        <v>2.5</v>
      </c>
      <c r="V113" s="7">
        <v>4.04</v>
      </c>
      <c r="W113" s="7">
        <f t="shared" si="152"/>
        <v>4.04</v>
      </c>
      <c r="X113" s="7">
        <f t="shared" si="242"/>
        <v>5.04</v>
      </c>
      <c r="Y113" s="7">
        <f t="shared" si="200"/>
        <v>57.022858574434863</v>
      </c>
      <c r="Z113" s="7"/>
      <c r="AA113" s="7"/>
      <c r="AB113" s="7">
        <v>306</v>
      </c>
      <c r="AC113" s="7"/>
      <c r="AD113" s="7">
        <f>CQ113</f>
        <v>0.75988377667231821</v>
      </c>
      <c r="AE113" s="7"/>
      <c r="AF113" s="7"/>
      <c r="AG113" s="7">
        <v>1</v>
      </c>
      <c r="AH113" s="7"/>
      <c r="AI113" s="7"/>
      <c r="AJ113" s="7"/>
      <c r="AK113" s="4">
        <f t="shared" si="279"/>
        <v>203.2</v>
      </c>
      <c r="AL113" s="44">
        <f t="shared" si="311"/>
        <v>0.62500000000000011</v>
      </c>
      <c r="AM113" s="25">
        <f t="shared" si="268"/>
        <v>100.82912578615378</v>
      </c>
      <c r="AN113" s="4">
        <f t="shared" si="269"/>
        <v>0.76249999999999996</v>
      </c>
      <c r="AO113" s="4">
        <v>1.25</v>
      </c>
      <c r="AP113" s="25">
        <f t="shared" si="317"/>
        <v>5</v>
      </c>
      <c r="AQ113" s="38">
        <f t="shared" si="271"/>
        <v>300.32112660914947</v>
      </c>
      <c r="AR113" s="38">
        <f t="shared" si="272"/>
        <v>300.32112660914947</v>
      </c>
      <c r="AT113" s="38">
        <f t="shared" si="308"/>
        <v>300.32112660914959</v>
      </c>
      <c r="AU113" s="38">
        <f t="shared" si="243"/>
        <v>0.99999999999999967</v>
      </c>
      <c r="AV113" s="38">
        <f t="shared" si="136"/>
        <v>0.93698542146722186</v>
      </c>
      <c r="AW113" s="4">
        <f t="shared" si="323"/>
        <v>1</v>
      </c>
      <c r="AX113" s="4">
        <f t="shared" si="220"/>
        <v>167.10008280407939</v>
      </c>
      <c r="AY113" s="4">
        <f t="shared" si="221"/>
        <v>1</v>
      </c>
      <c r="AZ113" s="38">
        <f t="shared" si="273"/>
        <v>281.39651739138492</v>
      </c>
      <c r="BA113" s="4">
        <f t="shared" si="222"/>
        <v>0.43440000000000001</v>
      </c>
      <c r="BB113" s="4">
        <f t="shared" si="244"/>
        <v>37.927374194373115</v>
      </c>
      <c r="BC113" s="4">
        <f t="shared" si="245"/>
        <v>319.32389158575802</v>
      </c>
      <c r="BE113" s="36">
        <f t="shared" si="312"/>
        <v>1.1274999999999999</v>
      </c>
      <c r="BF113" s="36">
        <f t="shared" si="313"/>
        <v>188.53094692384059</v>
      </c>
      <c r="BK113" s="4">
        <f t="shared" si="156"/>
        <v>57.199999999999996</v>
      </c>
      <c r="BL113" s="4">
        <f t="shared" si="157"/>
        <v>50.8</v>
      </c>
      <c r="BM113" s="4">
        <f t="shared" si="158"/>
        <v>57.199999999999996</v>
      </c>
      <c r="BN113" s="4">
        <f t="shared" si="159"/>
        <v>63.5</v>
      </c>
      <c r="BO113" s="4">
        <f t="shared" si="160"/>
        <v>1.0125984251968505</v>
      </c>
      <c r="BP113" s="25">
        <f t="shared" si="274"/>
        <v>2.5314960629921264</v>
      </c>
      <c r="BR113" s="4">
        <f t="shared" si="161"/>
        <v>50.8</v>
      </c>
      <c r="BV113" s="9"/>
      <c r="BX113" s="9"/>
      <c r="BY113" s="9"/>
      <c r="BZ113" s="9">
        <f t="shared" si="231"/>
        <v>50.8</v>
      </c>
      <c r="CA113" s="9">
        <f t="shared" si="232"/>
        <v>127</v>
      </c>
      <c r="CB113" s="9">
        <f t="shared" si="248"/>
        <v>1.622579553879709</v>
      </c>
      <c r="CC113" s="9">
        <v>0</v>
      </c>
      <c r="CD113" s="9">
        <f t="shared" si="306"/>
        <v>0</v>
      </c>
      <c r="CE113" s="9">
        <f t="shared" si="249"/>
        <v>0</v>
      </c>
      <c r="CF113" s="9">
        <f t="shared" si="233"/>
        <v>0.99524931562137331</v>
      </c>
      <c r="CG113" s="9">
        <f t="shared" si="234"/>
        <v>1.056</v>
      </c>
      <c r="CH113" s="9">
        <f t="shared" si="250"/>
        <v>1.9464482686693119</v>
      </c>
      <c r="CI113" s="9">
        <f t="shared" si="251"/>
        <v>3.158267163427384</v>
      </c>
      <c r="CJ113" s="9">
        <v>1</v>
      </c>
      <c r="CK113" s="9">
        <f t="shared" si="252"/>
        <v>265.29444172790028</v>
      </c>
      <c r="CM113" s="4">
        <f t="shared" si="206"/>
        <v>1.831237871729706</v>
      </c>
      <c r="CN113" s="4">
        <f t="shared" si="324"/>
        <v>0.95827467991952697</v>
      </c>
      <c r="CO113" s="4">
        <f t="shared" si="208"/>
        <v>1.6230757071602282</v>
      </c>
      <c r="CP113" s="4">
        <f t="shared" si="209"/>
        <v>1.153435398069325</v>
      </c>
      <c r="CQ113" s="4">
        <f t="shared" si="210"/>
        <v>0.75988377667231821</v>
      </c>
      <c r="CR113" s="4">
        <f t="shared" si="211"/>
        <v>0.82013855883724562</v>
      </c>
      <c r="CS113" s="4">
        <f t="shared" si="143"/>
        <v>1.2506633936616351</v>
      </c>
      <c r="CU113" s="4">
        <f t="shared" si="212"/>
        <v>1.831237871729706</v>
      </c>
      <c r="CV113" s="4">
        <f t="shared" si="212"/>
        <v>0.95827467991952697</v>
      </c>
      <c r="CW113" s="4">
        <f t="shared" si="213"/>
        <v>1.153435398069325</v>
      </c>
      <c r="CX113" s="4">
        <f t="shared" si="325"/>
        <v>1.2506633936616351</v>
      </c>
      <c r="CY113" s="4">
        <f t="shared" si="215"/>
        <v>0.75988377667231821</v>
      </c>
      <c r="CZ113" s="4">
        <f t="shared" si="215"/>
        <v>0.82013855883724562</v>
      </c>
      <c r="DH113" s="4">
        <f t="shared" si="167"/>
        <v>0</v>
      </c>
      <c r="DI113" s="4">
        <f t="shared" si="168"/>
        <v>203.2</v>
      </c>
      <c r="DJ113" s="4">
        <f t="shared" si="169"/>
        <v>0.74999999999999989</v>
      </c>
      <c r="DL113" s="4">
        <f t="shared" si="170"/>
        <v>1.4081086625805556E-5</v>
      </c>
      <c r="DM113" s="4">
        <f t="shared" si="171"/>
        <v>4.8913150907085621</v>
      </c>
      <c r="DN113" s="4">
        <f t="shared" si="326"/>
        <v>0.5890638201623456</v>
      </c>
      <c r="DO113" s="4">
        <f t="shared" si="253"/>
        <v>3.9581347949207233</v>
      </c>
      <c r="DP113" s="4">
        <f t="shared" si="254"/>
        <v>4.4492850598328726</v>
      </c>
      <c r="DQ113" s="4">
        <f t="shared" si="255"/>
        <v>4.7850266011856082</v>
      </c>
      <c r="DR113" s="38">
        <f t="shared" si="275"/>
        <v>402.69316097263544</v>
      </c>
      <c r="DS113" s="4">
        <f t="shared" si="256"/>
        <v>1.0001020792306232</v>
      </c>
      <c r="DT113" s="4">
        <f t="shared" si="147"/>
        <v>2.2449944320643649</v>
      </c>
      <c r="DU113" s="4">
        <f t="shared" si="276"/>
        <v>300.32112660914959</v>
      </c>
      <c r="DY113" s="4">
        <f t="shared" si="235"/>
        <v>1</v>
      </c>
      <c r="DZ113" s="4">
        <f t="shared" si="257"/>
        <v>0.9</v>
      </c>
      <c r="EA113" s="4">
        <f t="shared" si="258"/>
        <v>1</v>
      </c>
      <c r="EB113" s="4">
        <f t="shared" si="259"/>
        <v>0.9</v>
      </c>
      <c r="ED113" s="4">
        <f t="shared" si="277"/>
        <v>373.10768613761144</v>
      </c>
      <c r="EE113" s="25">
        <f t="shared" si="318"/>
        <v>293.99662540245509</v>
      </c>
      <c r="EH113" s="4">
        <f t="shared" si="314"/>
        <v>4.8913150907085621</v>
      </c>
      <c r="EI113" s="4">
        <f t="shared" si="174"/>
        <v>4.8913150907085621</v>
      </c>
      <c r="EK113" s="4">
        <f t="shared" si="175"/>
        <v>57.022858574434863</v>
      </c>
      <c r="EL113" s="4">
        <f t="shared" si="176"/>
        <v>2.2449944320643649</v>
      </c>
      <c r="EM113" s="4">
        <f t="shared" si="177"/>
        <v>0.17044200350862856</v>
      </c>
      <c r="EP113" s="4">
        <f t="shared" si="178"/>
        <v>0.17044200350862856</v>
      </c>
      <c r="EQ113" s="4">
        <f t="shared" si="179"/>
        <v>0.58808078243306638</v>
      </c>
      <c r="ER113" s="4">
        <f t="shared" si="180"/>
        <v>3.9554913152518196</v>
      </c>
      <c r="ES113" s="4">
        <f t="shared" si="236"/>
        <v>4.4481097848672473</v>
      </c>
      <c r="ET113" s="4">
        <f t="shared" si="182"/>
        <v>95.377141425565114</v>
      </c>
      <c r="EU113" s="4">
        <f t="shared" si="183"/>
        <v>50.800000000000026</v>
      </c>
      <c r="EV113" s="4">
        <f t="shared" si="261"/>
        <v>1.4081086625805565E-5</v>
      </c>
      <c r="EW113" s="4">
        <f t="shared" si="237"/>
        <v>4.7850626802311398</v>
      </c>
      <c r="EX113" s="4">
        <f t="shared" si="185"/>
        <v>402.65205856028871</v>
      </c>
      <c r="EY113" s="4">
        <f t="shared" si="186"/>
        <v>95.377141425565114</v>
      </c>
      <c r="EZ113" s="4">
        <f t="shared" si="187"/>
        <v>0</v>
      </c>
      <c r="FB113" s="4">
        <f t="shared" si="262"/>
        <v>38.28050144184914</v>
      </c>
      <c r="FG113" s="23">
        <f t="shared" si="216"/>
        <v>2</v>
      </c>
      <c r="FH113" s="23">
        <f t="shared" si="216"/>
        <v>1</v>
      </c>
      <c r="FI113" s="23">
        <f t="shared" si="230"/>
        <v>1.4</v>
      </c>
      <c r="FJ113" s="23">
        <f t="shared" si="217"/>
        <v>1.2</v>
      </c>
      <c r="FK113" s="23">
        <f t="shared" si="217"/>
        <v>0.8</v>
      </c>
      <c r="FL113" s="23">
        <f t="shared" si="217"/>
        <v>1</v>
      </c>
      <c r="FM113" s="23">
        <f t="shared" si="218"/>
        <v>1</v>
      </c>
      <c r="FN113" s="23"/>
      <c r="FX113" s="4">
        <f t="shared" si="263"/>
        <v>1</v>
      </c>
      <c r="FY113" s="4">
        <f t="shared" si="303"/>
        <v>0.75</v>
      </c>
      <c r="FZ113" s="4">
        <f t="shared" si="265"/>
        <v>0</v>
      </c>
      <c r="GA113" s="4">
        <f t="shared" si="266"/>
        <v>244.67014989869273</v>
      </c>
    </row>
    <row r="114" spans="1:188" ht="12" customHeight="1" x14ac:dyDescent="0.3">
      <c r="A114" s="25">
        <v>96</v>
      </c>
      <c r="B114" s="20" t="s">
        <v>54</v>
      </c>
      <c r="C114" s="20">
        <v>2006</v>
      </c>
      <c r="D114" s="20" t="s">
        <v>293</v>
      </c>
      <c r="E114" s="24"/>
      <c r="F114" s="7" t="s">
        <v>281</v>
      </c>
      <c r="G114" s="7">
        <v>472</v>
      </c>
      <c r="H114" s="7">
        <f t="shared" si="315"/>
        <v>304.79999999999995</v>
      </c>
      <c r="I114" s="7">
        <f t="shared" si="131"/>
        <v>254</v>
      </c>
      <c r="J114" s="7">
        <v>29</v>
      </c>
      <c r="K114" s="7">
        <v>25.4</v>
      </c>
      <c r="L114" s="7">
        <v>12</v>
      </c>
      <c r="M114" s="7">
        <v>10</v>
      </c>
      <c r="N114" s="7">
        <f t="shared" si="321"/>
        <v>914.4</v>
      </c>
      <c r="O114" s="7">
        <f t="shared" si="316"/>
        <v>127</v>
      </c>
      <c r="P114" s="7"/>
      <c r="Q114" s="7">
        <f t="shared" si="309"/>
        <v>101.6</v>
      </c>
      <c r="R114" s="7">
        <v>3</v>
      </c>
      <c r="S114" s="7">
        <f t="shared" si="310"/>
        <v>50.8</v>
      </c>
      <c r="T114" s="7">
        <f t="shared" si="304"/>
        <v>2.5</v>
      </c>
      <c r="U114" s="7">
        <f t="shared" si="322"/>
        <v>2.5</v>
      </c>
      <c r="V114" s="7">
        <v>4.7</v>
      </c>
      <c r="W114" s="7">
        <f t="shared" si="152"/>
        <v>4.7</v>
      </c>
      <c r="X114" s="7">
        <f t="shared" si="242"/>
        <v>5.7</v>
      </c>
      <c r="Y114" s="7">
        <f t="shared" si="200"/>
        <v>60.641668842471674</v>
      </c>
      <c r="Z114" s="7"/>
      <c r="AA114" s="7"/>
      <c r="AB114" s="7">
        <v>457</v>
      </c>
      <c r="AC114" s="7"/>
      <c r="AD114" s="7">
        <f>CQ114</f>
        <v>1.1164683616764477</v>
      </c>
      <c r="AE114" s="7"/>
      <c r="AF114" s="7"/>
      <c r="AG114" s="7">
        <v>1</v>
      </c>
      <c r="AH114" s="7"/>
      <c r="AI114" s="7"/>
      <c r="AJ114" s="7"/>
      <c r="AK114" s="4">
        <f t="shared" si="279"/>
        <v>304.79999999999995</v>
      </c>
      <c r="AL114" s="44">
        <f t="shared" si="311"/>
        <v>0.27777777777777785</v>
      </c>
      <c r="AM114" s="25">
        <f t="shared" si="268"/>
        <v>188.51368095394432</v>
      </c>
      <c r="AN114" s="4">
        <f t="shared" si="269"/>
        <v>0.74166666666666659</v>
      </c>
      <c r="AO114" s="4">
        <v>1.25</v>
      </c>
      <c r="AP114" s="25">
        <f t="shared" si="317"/>
        <v>5</v>
      </c>
      <c r="AQ114" s="38">
        <f t="shared" si="271"/>
        <v>242.73318294127671</v>
      </c>
      <c r="AR114" s="38">
        <f t="shared" si="272"/>
        <v>242.73318294127671</v>
      </c>
      <c r="AT114" s="38">
        <f t="shared" si="308"/>
        <v>242.73318294127648</v>
      </c>
      <c r="AU114" s="38">
        <f t="shared" si="243"/>
        <v>1.0000000000000009</v>
      </c>
      <c r="AV114" s="38">
        <f t="shared" si="136"/>
        <v>1.2950537101138442</v>
      </c>
      <c r="AW114" s="4">
        <f t="shared" si="323"/>
        <v>0</v>
      </c>
      <c r="AX114" s="4">
        <f t="shared" si="220"/>
        <v>283.42972669128966</v>
      </c>
      <c r="AY114" s="4">
        <f t="shared" si="221"/>
        <v>1</v>
      </c>
      <c r="AZ114" s="38">
        <f t="shared" si="273"/>
        <v>314.35250913584258</v>
      </c>
      <c r="BA114" s="4">
        <f t="shared" si="222"/>
        <v>0.34199999999999997</v>
      </c>
      <c r="BB114" s="4">
        <f t="shared" si="244"/>
        <v>50.647475011100013</v>
      </c>
      <c r="BC114" s="4">
        <f t="shared" si="245"/>
        <v>364.99998414694261</v>
      </c>
      <c r="BE114" s="36">
        <f t="shared" si="312"/>
        <v>1.1274999999999999</v>
      </c>
      <c r="BF114" s="36">
        <f t="shared" si="313"/>
        <v>230.7273861616778</v>
      </c>
      <c r="BK114" s="4">
        <f t="shared" si="156"/>
        <v>57.199999999999996</v>
      </c>
      <c r="BL114" s="4">
        <f t="shared" si="157"/>
        <v>50.8</v>
      </c>
      <c r="BM114" s="4">
        <f t="shared" si="158"/>
        <v>57.199999999999996</v>
      </c>
      <c r="BN114" s="4">
        <f t="shared" si="159"/>
        <v>63.5</v>
      </c>
      <c r="BO114" s="4">
        <f t="shared" si="160"/>
        <v>1.0125984251968505</v>
      </c>
      <c r="BP114" s="25">
        <f t="shared" si="274"/>
        <v>2.5314960629921264</v>
      </c>
      <c r="BR114" s="4">
        <f t="shared" si="161"/>
        <v>50.8</v>
      </c>
      <c r="BV114" s="9"/>
      <c r="BX114" s="9"/>
      <c r="BY114" s="9"/>
      <c r="BZ114" s="9">
        <f t="shared" si="231"/>
        <v>50.8</v>
      </c>
      <c r="CA114" s="9">
        <f t="shared" si="232"/>
        <v>127</v>
      </c>
      <c r="CB114" s="9">
        <f t="shared" si="248"/>
        <v>1.622579553879709</v>
      </c>
      <c r="CC114" s="9">
        <v>0</v>
      </c>
      <c r="CD114" s="9">
        <f t="shared" si="306"/>
        <v>0</v>
      </c>
      <c r="CE114" s="9">
        <f t="shared" si="249"/>
        <v>0</v>
      </c>
      <c r="CF114" s="9">
        <f t="shared" si="233"/>
        <v>0.99524931562137331</v>
      </c>
      <c r="CG114" s="9">
        <f t="shared" si="234"/>
        <v>1.056</v>
      </c>
      <c r="CH114" s="9">
        <f t="shared" si="250"/>
        <v>1.9809013552237766</v>
      </c>
      <c r="CI114" s="9">
        <f t="shared" si="251"/>
        <v>3.2141700372387065</v>
      </c>
      <c r="CJ114" s="9">
        <v>1</v>
      </c>
      <c r="CK114" s="9">
        <f t="shared" si="252"/>
        <v>321.41700372387061</v>
      </c>
      <c r="CM114" s="4">
        <f t="shared" si="206"/>
        <v>1.6123926213913415</v>
      </c>
      <c r="CN114" s="4">
        <f t="shared" si="324"/>
        <v>1.2520548489010888</v>
      </c>
      <c r="CO114" s="4">
        <f t="shared" si="208"/>
        <v>1.9806924856322257</v>
      </c>
      <c r="CP114" s="4">
        <f t="shared" si="209"/>
        <v>1.4218289471474532</v>
      </c>
      <c r="CQ114" s="4">
        <f t="shared" si="210"/>
        <v>1.1164683616764477</v>
      </c>
      <c r="CR114" s="4">
        <f t="shared" si="211"/>
        <v>1.2021807798100808</v>
      </c>
      <c r="CS114" s="4">
        <f t="shared" si="143"/>
        <v>1.2343376079378301</v>
      </c>
      <c r="CU114" s="4">
        <f t="shared" si="212"/>
        <v>1.6123926213913415</v>
      </c>
      <c r="CV114" s="4">
        <f t="shared" si="212"/>
        <v>1.2520548489010888</v>
      </c>
      <c r="CW114" s="4">
        <f t="shared" si="213"/>
        <v>1.4218289471474532</v>
      </c>
      <c r="CX114" s="4">
        <f t="shared" si="325"/>
        <v>1.2343376079378301</v>
      </c>
      <c r="CY114" s="4">
        <f t="shared" si="215"/>
        <v>1.1164683616764477</v>
      </c>
      <c r="CZ114" s="4">
        <f t="shared" si="215"/>
        <v>1.2021807798100808</v>
      </c>
      <c r="DH114" s="4">
        <f t="shared" si="167"/>
        <v>0</v>
      </c>
      <c r="DI114" s="4">
        <f t="shared" si="168"/>
        <v>304.79999999999995</v>
      </c>
      <c r="DJ114" s="4">
        <f t="shared" si="169"/>
        <v>0.83333333333333348</v>
      </c>
      <c r="DL114" s="4">
        <f t="shared" si="170"/>
        <v>2.1275316934420354E-5</v>
      </c>
      <c r="DM114" s="4">
        <f t="shared" si="171"/>
        <v>4.9778937606367135</v>
      </c>
      <c r="DN114" s="4">
        <f t="shared" si="326"/>
        <v>0.42021477277474967</v>
      </c>
      <c r="DO114" s="4">
        <f t="shared" si="253"/>
        <v>3.5191205972774449</v>
      </c>
      <c r="DP114" s="4">
        <f t="shared" si="254"/>
        <v>4.310841737072364</v>
      </c>
      <c r="DQ114" s="4">
        <f t="shared" si="255"/>
        <v>4.7410699998847159</v>
      </c>
      <c r="DR114" s="38">
        <f t="shared" si="275"/>
        <v>409.3264222138688</v>
      </c>
      <c r="DS114" s="4">
        <f t="shared" si="256"/>
        <v>1.0001148737284835</v>
      </c>
      <c r="DT114" s="4">
        <f t="shared" si="147"/>
        <v>2.3874672772626644</v>
      </c>
      <c r="DU114" s="4">
        <f t="shared" si="276"/>
        <v>242.73318294127648</v>
      </c>
      <c r="DY114" s="4">
        <f t="shared" si="235"/>
        <v>1</v>
      </c>
      <c r="DZ114" s="4">
        <f t="shared" si="257"/>
        <v>0.9</v>
      </c>
      <c r="EA114" s="4">
        <f t="shared" si="258"/>
        <v>1</v>
      </c>
      <c r="EB114" s="4">
        <f t="shared" si="259"/>
        <v>0.9</v>
      </c>
      <c r="ED114" s="4">
        <f t="shared" si="277"/>
        <v>380.14249410325488</v>
      </c>
      <c r="EE114" s="25">
        <f t="shared" si="318"/>
        <v>238.86738872505268</v>
      </c>
      <c r="EH114" s="4">
        <f t="shared" si="314"/>
        <v>4.9778937606367135</v>
      </c>
      <c r="EI114" s="4">
        <f t="shared" si="174"/>
        <v>4.9778937606367135</v>
      </c>
      <c r="EK114" s="4">
        <f t="shared" si="175"/>
        <v>60.641668842471674</v>
      </c>
      <c r="EL114" s="4">
        <f t="shared" si="176"/>
        <v>2.3874672772626644</v>
      </c>
      <c r="EM114" s="4">
        <f t="shared" si="177"/>
        <v>0.12373870895460494</v>
      </c>
      <c r="EP114" s="4">
        <f t="shared" si="178"/>
        <v>0.12373870895460494</v>
      </c>
      <c r="EQ114" s="4">
        <f t="shared" si="179"/>
        <v>0.41951351263637587</v>
      </c>
      <c r="ER114" s="4">
        <f t="shared" si="180"/>
        <v>3.5167703176044887</v>
      </c>
      <c r="ES114" s="4">
        <f t="shared" si="236"/>
        <v>4.3098838742637779</v>
      </c>
      <c r="ET114" s="4">
        <f t="shared" si="182"/>
        <v>167.95833115752828</v>
      </c>
      <c r="EU114" s="4">
        <f t="shared" si="183"/>
        <v>76.199999999999989</v>
      </c>
      <c r="EV114" s="4">
        <f t="shared" si="261"/>
        <v>2.1275316934420354E-5</v>
      </c>
      <c r="EW114" s="4">
        <f t="shared" si="237"/>
        <v>4.7411337505899471</v>
      </c>
      <c r="EX114" s="4">
        <f t="shared" si="185"/>
        <v>409.27940676242247</v>
      </c>
      <c r="EY114" s="4">
        <f t="shared" si="186"/>
        <v>167.95833115752828</v>
      </c>
      <c r="EZ114" s="4">
        <f t="shared" si="187"/>
        <v>25.400000000000048</v>
      </c>
      <c r="FB114" s="4">
        <f t="shared" si="262"/>
        <v>37.929070004719506</v>
      </c>
      <c r="FG114" s="23">
        <f t="shared" si="216"/>
        <v>1.8</v>
      </c>
      <c r="FH114" s="23">
        <f t="shared" si="216"/>
        <v>1.4</v>
      </c>
      <c r="FI114" s="23">
        <f t="shared" si="230"/>
        <v>1.4</v>
      </c>
      <c r="FJ114" s="23">
        <f t="shared" si="217"/>
        <v>1.6</v>
      </c>
      <c r="FK114" s="23">
        <f t="shared" si="217"/>
        <v>1.2</v>
      </c>
      <c r="FL114" s="23">
        <f t="shared" si="217"/>
        <v>1.4</v>
      </c>
      <c r="FM114" s="23">
        <f t="shared" si="218"/>
        <v>0</v>
      </c>
      <c r="FN114" s="23"/>
      <c r="FX114" s="4">
        <f t="shared" si="263"/>
        <v>1</v>
      </c>
      <c r="FY114" s="4">
        <f t="shared" si="303"/>
        <v>0.75</v>
      </c>
      <c r="FZ114" s="4">
        <f t="shared" si="265"/>
        <v>0</v>
      </c>
      <c r="GA114" s="4">
        <f t="shared" si="266"/>
        <v>370.23906349535588</v>
      </c>
    </row>
    <row r="115" spans="1:188" ht="12" customHeight="1" x14ac:dyDescent="0.3">
      <c r="A115" s="25">
        <v>97</v>
      </c>
      <c r="B115" s="20" t="s">
        <v>54</v>
      </c>
      <c r="C115" s="20">
        <v>2006</v>
      </c>
      <c r="D115" s="20" t="s">
        <v>293</v>
      </c>
      <c r="E115" s="24"/>
      <c r="F115" s="7" t="s">
        <v>68</v>
      </c>
      <c r="G115" s="7">
        <v>472</v>
      </c>
      <c r="H115" s="7">
        <f t="shared" si="315"/>
        <v>304.79999999999995</v>
      </c>
      <c r="I115" s="7">
        <f t="shared" si="131"/>
        <v>254</v>
      </c>
      <c r="J115" s="7">
        <v>26</v>
      </c>
      <c r="K115" s="7">
        <v>25.4</v>
      </c>
      <c r="L115" s="7">
        <v>12</v>
      </c>
      <c r="M115" s="7">
        <v>10</v>
      </c>
      <c r="N115" s="7">
        <f t="shared" si="321"/>
        <v>914.4</v>
      </c>
      <c r="O115" s="7">
        <f t="shared" si="316"/>
        <v>127</v>
      </c>
      <c r="P115" s="7"/>
      <c r="Q115" s="7">
        <f t="shared" si="309"/>
        <v>101.6</v>
      </c>
      <c r="R115" s="7">
        <v>3</v>
      </c>
      <c r="S115" s="7">
        <f t="shared" si="310"/>
        <v>50.8</v>
      </c>
      <c r="T115" s="7">
        <f t="shared" si="304"/>
        <v>2.5</v>
      </c>
      <c r="U115" s="7">
        <f t="shared" si="322"/>
        <v>2.5</v>
      </c>
      <c r="V115" s="7">
        <v>4.04</v>
      </c>
      <c r="W115" s="7">
        <f t="shared" si="152"/>
        <v>4.04</v>
      </c>
      <c r="X115" s="7">
        <f t="shared" si="242"/>
        <v>5.04</v>
      </c>
      <c r="Y115" s="7">
        <f t="shared" si="200"/>
        <v>57.022858574434863</v>
      </c>
      <c r="Z115" s="7"/>
      <c r="AA115" s="7"/>
      <c r="AB115" s="7">
        <v>352</v>
      </c>
      <c r="AC115" s="7"/>
      <c r="AD115" s="7">
        <f>CQ115</f>
        <v>0.89784065148977055</v>
      </c>
      <c r="AE115" s="7"/>
      <c r="AF115" s="7"/>
      <c r="AG115" s="7">
        <v>1</v>
      </c>
      <c r="AH115" s="7"/>
      <c r="AI115" s="7"/>
      <c r="AJ115" s="7"/>
      <c r="AK115" s="4">
        <f t="shared" si="279"/>
        <v>304.79999999999995</v>
      </c>
      <c r="AL115" s="44">
        <f t="shared" si="311"/>
        <v>0.27777777777777785</v>
      </c>
      <c r="AM115" s="25">
        <f t="shared" si="268"/>
        <v>178.49684683556575</v>
      </c>
      <c r="AN115" s="4">
        <f t="shared" si="269"/>
        <v>0.74166666666666659</v>
      </c>
      <c r="AO115" s="4">
        <v>1.25</v>
      </c>
      <c r="AP115" s="25">
        <f t="shared" si="317"/>
        <v>5</v>
      </c>
      <c r="AQ115" s="38">
        <f t="shared" si="271"/>
        <v>229.83534965806356</v>
      </c>
      <c r="AR115" s="38">
        <f t="shared" si="272"/>
        <v>229.83534965806356</v>
      </c>
      <c r="AT115" s="38">
        <f t="shared" si="308"/>
        <v>229.83534965806339</v>
      </c>
      <c r="AU115" s="38">
        <f t="shared" si="243"/>
        <v>1.0000000000000007</v>
      </c>
      <c r="AV115" s="38">
        <f t="shared" si="136"/>
        <v>1.136886760621838</v>
      </c>
      <c r="AW115" s="4">
        <f t="shared" si="323"/>
        <v>0</v>
      </c>
      <c r="AX115" s="4">
        <f t="shared" si="220"/>
        <v>268.36944808383078</v>
      </c>
      <c r="AY115" s="4">
        <f t="shared" si="221"/>
        <v>1</v>
      </c>
      <c r="AZ115" s="38">
        <f t="shared" si="273"/>
        <v>261.29676614914314</v>
      </c>
      <c r="BA115" s="4">
        <f t="shared" si="222"/>
        <v>0.43440000000000001</v>
      </c>
      <c r="BB115" s="4">
        <f t="shared" si="244"/>
        <v>60.912887109379405</v>
      </c>
      <c r="BC115" s="4">
        <f t="shared" si="245"/>
        <v>322.20965325852256</v>
      </c>
      <c r="BE115" s="36">
        <f t="shared" si="312"/>
        <v>1.1274999999999999</v>
      </c>
      <c r="BF115" s="36">
        <f t="shared" si="313"/>
        <v>218.46749105988283</v>
      </c>
      <c r="BK115" s="4">
        <f t="shared" si="156"/>
        <v>57.199999999999996</v>
      </c>
      <c r="BL115" s="4">
        <f t="shared" si="157"/>
        <v>50.8</v>
      </c>
      <c r="BM115" s="4">
        <f t="shared" si="158"/>
        <v>57.199999999999996</v>
      </c>
      <c r="BN115" s="4">
        <f t="shared" si="159"/>
        <v>63.5</v>
      </c>
      <c r="BO115" s="4">
        <f t="shared" si="160"/>
        <v>1.0125984251968505</v>
      </c>
      <c r="BP115" s="25">
        <f t="shared" si="274"/>
        <v>2.5314960629921264</v>
      </c>
      <c r="BR115" s="4">
        <f t="shared" si="161"/>
        <v>50.8</v>
      </c>
      <c r="BV115" s="9"/>
      <c r="BX115" s="9"/>
      <c r="BY115" s="9"/>
      <c r="BZ115" s="9">
        <f t="shared" si="231"/>
        <v>50.8</v>
      </c>
      <c r="CA115" s="9">
        <f t="shared" si="232"/>
        <v>127</v>
      </c>
      <c r="CB115" s="9">
        <f t="shared" si="248"/>
        <v>1.622579553879709</v>
      </c>
      <c r="CC115" s="9">
        <v>0</v>
      </c>
      <c r="CD115" s="9">
        <f t="shared" si="306"/>
        <v>0</v>
      </c>
      <c r="CE115" s="9">
        <f t="shared" si="249"/>
        <v>0</v>
      </c>
      <c r="CF115" s="9">
        <f t="shared" si="233"/>
        <v>0.99524931562137331</v>
      </c>
      <c r="CG115" s="9">
        <f t="shared" si="234"/>
        <v>1.056</v>
      </c>
      <c r="CH115" s="9">
        <f t="shared" si="250"/>
        <v>1.8756444837875041</v>
      </c>
      <c r="CI115" s="9">
        <f t="shared" si="251"/>
        <v>3.0433823897408656</v>
      </c>
      <c r="CJ115" s="9">
        <v>1</v>
      </c>
      <c r="CK115" s="9">
        <f t="shared" si="252"/>
        <v>304.33823897408661</v>
      </c>
      <c r="CM115" s="4">
        <f t="shared" si="206"/>
        <v>1.3116247118041748</v>
      </c>
      <c r="CN115" s="4">
        <f t="shared" si="324"/>
        <v>1.0924564066911284</v>
      </c>
      <c r="CO115" s="4">
        <f t="shared" si="208"/>
        <v>1.6112237033175585</v>
      </c>
      <c r="CP115" s="4">
        <f t="shared" si="209"/>
        <v>1.1566078623132587</v>
      </c>
      <c r="CQ115" s="4">
        <f t="shared" si="210"/>
        <v>0.89784065148977055</v>
      </c>
      <c r="CR115" s="4">
        <f t="shared" si="211"/>
        <v>0.97816940092545301</v>
      </c>
      <c r="CS115" s="4">
        <f t="shared" si="143"/>
        <v>0.97704954588321469</v>
      </c>
      <c r="CU115" s="4">
        <f t="shared" si="212"/>
        <v>1.3116247118041748</v>
      </c>
      <c r="CV115" s="4">
        <f t="shared" si="212"/>
        <v>1.0924564066911284</v>
      </c>
      <c r="CW115" s="4">
        <f t="shared" si="213"/>
        <v>1.1566078623132587</v>
      </c>
      <c r="CX115" s="4">
        <f t="shared" si="325"/>
        <v>0.97704954588321469</v>
      </c>
      <c r="CY115" s="4">
        <f t="shared" si="215"/>
        <v>0.89784065148977055</v>
      </c>
      <c r="CZ115" s="4">
        <f t="shared" si="215"/>
        <v>0.97816940092545301</v>
      </c>
      <c r="DH115" s="4">
        <f t="shared" si="167"/>
        <v>0</v>
      </c>
      <c r="DI115" s="4">
        <f t="shared" si="168"/>
        <v>304.79999999999995</v>
      </c>
      <c r="DJ115" s="4">
        <f t="shared" si="169"/>
        <v>0.83333333333333348</v>
      </c>
      <c r="DL115" s="4">
        <f t="shared" si="170"/>
        <v>2.0812659450250191E-5</v>
      </c>
      <c r="DM115" s="4">
        <f t="shared" si="171"/>
        <v>4.7133891591304096</v>
      </c>
      <c r="DN115" s="4">
        <f t="shared" si="326"/>
        <v>0.48548741257573685</v>
      </c>
      <c r="DO115" s="4">
        <f t="shared" si="253"/>
        <v>3.5302420875441731</v>
      </c>
      <c r="DP115" s="4">
        <f t="shared" si="254"/>
        <v>4.1641367211228433</v>
      </c>
      <c r="DQ115" s="4">
        <f t="shared" si="255"/>
        <v>4.5000789838262119</v>
      </c>
      <c r="DR115" s="38">
        <f t="shared" si="275"/>
        <v>392.05175151730191</v>
      </c>
      <c r="DS115" s="4">
        <f t="shared" si="256"/>
        <v>1.0001210089514805</v>
      </c>
      <c r="DT115" s="4">
        <f t="shared" si="147"/>
        <v>2.2449944320643649</v>
      </c>
      <c r="DU115" s="4">
        <f t="shared" si="276"/>
        <v>229.83534965806339</v>
      </c>
      <c r="DY115" s="4">
        <f t="shared" si="235"/>
        <v>1</v>
      </c>
      <c r="DZ115" s="4">
        <f t="shared" si="257"/>
        <v>0.9</v>
      </c>
      <c r="EA115" s="4">
        <f t="shared" si="258"/>
        <v>1</v>
      </c>
      <c r="EB115" s="4">
        <f t="shared" si="259"/>
        <v>0.9</v>
      </c>
      <c r="ED115" s="4">
        <f t="shared" si="277"/>
        <v>359.85586920524224</v>
      </c>
      <c r="EE115" s="25">
        <f t="shared" si="318"/>
        <v>226.1749676920474</v>
      </c>
      <c r="EH115" s="4">
        <f t="shared" si="314"/>
        <v>4.7133891591304096</v>
      </c>
      <c r="EI115" s="4">
        <f t="shared" si="174"/>
        <v>4.7133891591304096</v>
      </c>
      <c r="EK115" s="4">
        <f t="shared" si="175"/>
        <v>57.022858574434863</v>
      </c>
      <c r="EL115" s="4">
        <f t="shared" si="176"/>
        <v>2.2449944320643649</v>
      </c>
      <c r="EM115" s="4">
        <f t="shared" si="177"/>
        <v>0.13536298215194248</v>
      </c>
      <c r="EP115" s="4">
        <f t="shared" si="178"/>
        <v>0.13536298215194248</v>
      </c>
      <c r="EQ115" s="4">
        <f t="shared" si="179"/>
        <v>0.48467722456670143</v>
      </c>
      <c r="ER115" s="4">
        <f t="shared" si="180"/>
        <v>3.5278843802733877</v>
      </c>
      <c r="ES115" s="4">
        <f t="shared" si="236"/>
        <v>4.1631382619256057</v>
      </c>
      <c r="ET115" s="4">
        <f t="shared" si="182"/>
        <v>171.57714142556512</v>
      </c>
      <c r="EU115" s="4">
        <f t="shared" si="183"/>
        <v>76.199999999999989</v>
      </c>
      <c r="EV115" s="4">
        <f t="shared" si="261"/>
        <v>2.0812659450250191E-5</v>
      </c>
      <c r="EW115" s="4">
        <f t="shared" si="237"/>
        <v>4.5001385269374961</v>
      </c>
      <c r="EX115" s="4">
        <f t="shared" si="185"/>
        <v>392.00431548610914</v>
      </c>
      <c r="EY115" s="4">
        <f t="shared" si="186"/>
        <v>171.57714142556512</v>
      </c>
      <c r="EZ115" s="4">
        <f t="shared" si="187"/>
        <v>25.40000000000002</v>
      </c>
      <c r="FB115" s="4">
        <f t="shared" si="262"/>
        <v>36.001108215499926</v>
      </c>
      <c r="FG115" s="23">
        <f t="shared" si="216"/>
        <v>1.4</v>
      </c>
      <c r="FH115" s="23">
        <f t="shared" si="216"/>
        <v>1.2</v>
      </c>
      <c r="FI115" s="23">
        <f t="shared" si="230"/>
        <v>1</v>
      </c>
      <c r="FJ115" s="23">
        <f t="shared" si="217"/>
        <v>1.2</v>
      </c>
      <c r="FK115" s="23">
        <f t="shared" si="217"/>
        <v>1</v>
      </c>
      <c r="FL115" s="23">
        <f t="shared" si="217"/>
        <v>1</v>
      </c>
      <c r="FM115" s="23">
        <f t="shared" si="218"/>
        <v>0</v>
      </c>
      <c r="FN115" s="23"/>
      <c r="FX115" s="4">
        <f t="shared" si="263"/>
        <v>1</v>
      </c>
      <c r="FY115" s="4">
        <f t="shared" si="303"/>
        <v>0.75</v>
      </c>
      <c r="FZ115" s="4">
        <f t="shared" si="265"/>
        <v>0</v>
      </c>
      <c r="GA115" s="4">
        <f t="shared" si="266"/>
        <v>360.2683215842506</v>
      </c>
    </row>
    <row r="116" spans="1:188" ht="12" customHeight="1" x14ac:dyDescent="0.3">
      <c r="A116" s="25">
        <v>98</v>
      </c>
      <c r="B116" s="20" t="s">
        <v>54</v>
      </c>
      <c r="C116" s="20">
        <v>2006</v>
      </c>
      <c r="D116" s="20" t="s">
        <v>293</v>
      </c>
      <c r="E116" s="24"/>
      <c r="F116" s="7" t="s">
        <v>68</v>
      </c>
      <c r="G116" s="7">
        <v>472</v>
      </c>
      <c r="H116" s="7">
        <f t="shared" si="315"/>
        <v>355.59999999999997</v>
      </c>
      <c r="I116" s="7">
        <f t="shared" ref="I116" si="327">K116*M116</f>
        <v>304.79999999999995</v>
      </c>
      <c r="J116" s="7">
        <v>24</v>
      </c>
      <c r="K116" s="7">
        <v>25.4</v>
      </c>
      <c r="L116" s="7">
        <v>14</v>
      </c>
      <c r="M116" s="7">
        <v>12</v>
      </c>
      <c r="N116" s="7">
        <f t="shared" si="321"/>
        <v>914.4</v>
      </c>
      <c r="O116" s="7">
        <f t="shared" si="316"/>
        <v>127</v>
      </c>
      <c r="P116" s="7"/>
      <c r="Q116" s="7">
        <f t="shared" si="309"/>
        <v>101.6</v>
      </c>
      <c r="R116" s="7">
        <v>3</v>
      </c>
      <c r="S116" s="7">
        <f t="shared" si="310"/>
        <v>50.8</v>
      </c>
      <c r="T116" s="7">
        <f t="shared" si="304"/>
        <v>2.5</v>
      </c>
      <c r="U116" s="7">
        <f t="shared" si="322"/>
        <v>2.5</v>
      </c>
      <c r="V116" s="7">
        <v>4.04</v>
      </c>
      <c r="W116" s="7">
        <f t="shared" si="152"/>
        <v>4.04</v>
      </c>
      <c r="X116" s="7">
        <f t="shared" si="242"/>
        <v>5.04</v>
      </c>
      <c r="Y116" s="7">
        <f t="shared" si="200"/>
        <v>57.022858574434863</v>
      </c>
      <c r="Z116" s="7"/>
      <c r="AA116" s="7"/>
      <c r="AB116" s="7">
        <v>448</v>
      </c>
      <c r="AC116" s="7"/>
      <c r="AD116" s="7">
        <f>CQ116</f>
        <v>1.1499959349398579</v>
      </c>
      <c r="AE116" s="7"/>
      <c r="AF116" s="7"/>
      <c r="AG116" s="7">
        <v>1</v>
      </c>
      <c r="AH116" s="7"/>
      <c r="AI116" s="7"/>
      <c r="AJ116" s="7"/>
      <c r="AK116" s="4">
        <f t="shared" si="279"/>
        <v>355.59999999999997</v>
      </c>
      <c r="AL116" s="44">
        <f t="shared" si="311"/>
        <v>0.20408163265306123</v>
      </c>
      <c r="AM116" s="25">
        <f t="shared" si="268"/>
        <v>216.10742071360642</v>
      </c>
      <c r="AN116" s="4">
        <f t="shared" si="269"/>
        <v>0.73571428571428565</v>
      </c>
      <c r="AO116" s="4">
        <v>1.25</v>
      </c>
      <c r="AP116" s="25">
        <f t="shared" si="317"/>
        <v>5</v>
      </c>
      <c r="AQ116" s="38">
        <f t="shared" si="271"/>
        <v>202.79759779064742</v>
      </c>
      <c r="AR116" s="38">
        <f t="shared" si="272"/>
        <v>202.79759779064742</v>
      </c>
      <c r="AT116" s="38">
        <f t="shared" si="308"/>
        <v>202.79759779064733</v>
      </c>
      <c r="AU116" s="38">
        <f t="shared" si="243"/>
        <v>1.0000000000000004</v>
      </c>
      <c r="AV116" s="38">
        <f t="shared" ref="AV116:AV179" si="328">AZ116/AT116</f>
        <v>1.1893484811190644</v>
      </c>
      <c r="AW116" s="4">
        <f t="shared" si="323"/>
        <v>0</v>
      </c>
      <c r="AX116" s="4">
        <f t="shared" si="220"/>
        <v>309.40923066734877</v>
      </c>
      <c r="AY116" s="4">
        <f t="shared" si="221"/>
        <v>1</v>
      </c>
      <c r="AZ116" s="38">
        <f t="shared" si="273"/>
        <v>241.19701490690136</v>
      </c>
      <c r="BA116" s="4">
        <f t="shared" si="222"/>
        <v>0.43440000000000001</v>
      </c>
      <c r="BB116" s="4">
        <f t="shared" si="244"/>
        <v>70.227850721490825</v>
      </c>
      <c r="BC116" s="4">
        <f t="shared" si="245"/>
        <v>311.42486562839218</v>
      </c>
      <c r="BE116" s="36">
        <f t="shared" si="312"/>
        <v>1.1274999999999999</v>
      </c>
      <c r="BF116" s="36">
        <f t="shared" si="313"/>
        <v>227.57229404301393</v>
      </c>
      <c r="BK116" s="4">
        <f t="shared" si="156"/>
        <v>57.199999999999996</v>
      </c>
      <c r="BL116" s="4">
        <f t="shared" si="157"/>
        <v>50.8</v>
      </c>
      <c r="BM116" s="4">
        <f t="shared" si="158"/>
        <v>57.199999999999996</v>
      </c>
      <c r="BN116" s="4">
        <f t="shared" si="159"/>
        <v>63.5</v>
      </c>
      <c r="BO116" s="4">
        <f t="shared" si="160"/>
        <v>1.0125984251968505</v>
      </c>
      <c r="BP116" s="25">
        <f t="shared" si="274"/>
        <v>2.5314960629921264</v>
      </c>
      <c r="BR116" s="4">
        <f t="shared" si="161"/>
        <v>50.8</v>
      </c>
      <c r="BV116" s="9"/>
      <c r="BX116" s="9"/>
      <c r="BY116" s="9"/>
      <c r="BZ116" s="9">
        <f t="shared" si="231"/>
        <v>50.8</v>
      </c>
      <c r="CA116" s="9">
        <f t="shared" si="232"/>
        <v>127</v>
      </c>
      <c r="CB116" s="9">
        <f t="shared" si="248"/>
        <v>1.622579553879709</v>
      </c>
      <c r="CC116" s="9">
        <v>0</v>
      </c>
      <c r="CD116" s="9">
        <f t="shared" si="306"/>
        <v>0</v>
      </c>
      <c r="CE116" s="9">
        <f t="shared" si="249"/>
        <v>0</v>
      </c>
      <c r="CF116" s="9">
        <f t="shared" si="233"/>
        <v>0.99524931562137331</v>
      </c>
      <c r="CG116" s="9">
        <f t="shared" si="234"/>
        <v>1.056</v>
      </c>
      <c r="CH116" s="9">
        <f t="shared" si="250"/>
        <v>1.8020609303015322</v>
      </c>
      <c r="CI116" s="9">
        <f t="shared" si="251"/>
        <v>2.9239872203527137</v>
      </c>
      <c r="CJ116" s="9">
        <v>1</v>
      </c>
      <c r="CK116" s="9">
        <f t="shared" si="252"/>
        <v>315.79061979809308</v>
      </c>
      <c r="CM116" s="4">
        <f t="shared" si="206"/>
        <v>1.4479206035118344</v>
      </c>
      <c r="CN116" s="4">
        <f t="shared" si="324"/>
        <v>1.4385492279045442</v>
      </c>
      <c r="CO116" s="4">
        <f t="shared" si="208"/>
        <v>1.9686051937206492</v>
      </c>
      <c r="CP116" s="4">
        <f t="shared" si="209"/>
        <v>1.4186615178324093</v>
      </c>
      <c r="CQ116" s="4">
        <f t="shared" si="210"/>
        <v>1.1499959349398579</v>
      </c>
      <c r="CR116" s="4">
        <f t="shared" si="211"/>
        <v>1.2586178925728151</v>
      </c>
      <c r="CS116" s="4">
        <f t="shared" ref="CS116:CS152" si="329">AB116/GA116</f>
        <v>1.0874158894424537</v>
      </c>
      <c r="CU116" s="4">
        <f t="shared" si="212"/>
        <v>1.4479206035118344</v>
      </c>
      <c r="CV116" s="4">
        <f t="shared" si="212"/>
        <v>1.4385492279045442</v>
      </c>
      <c r="CW116" s="4">
        <f t="shared" si="213"/>
        <v>1.4186615178324093</v>
      </c>
      <c r="CX116" s="4">
        <f t="shared" si="325"/>
        <v>1.0874158894424537</v>
      </c>
      <c r="CY116" s="4">
        <f t="shared" si="215"/>
        <v>1.1499959349398579</v>
      </c>
      <c r="CZ116" s="4">
        <f t="shared" si="215"/>
        <v>1.2586178925728151</v>
      </c>
      <c r="DH116" s="4">
        <f t="shared" si="167"/>
        <v>0</v>
      </c>
      <c r="DI116" s="4">
        <f t="shared" si="168"/>
        <v>355.59999999999997</v>
      </c>
      <c r="DJ116" s="4">
        <f t="shared" si="169"/>
        <v>0.8571428571428571</v>
      </c>
      <c r="DL116" s="4">
        <f t="shared" si="170"/>
        <v>2.3917826242187019E-5</v>
      </c>
      <c r="DM116" s="4">
        <f t="shared" si="171"/>
        <v>4.5284778252987881</v>
      </c>
      <c r="DN116" s="4">
        <f t="shared" si="326"/>
        <v>0.46407274282351607</v>
      </c>
      <c r="DO116" s="4">
        <f t="shared" si="253"/>
        <v>3.3310923253526261</v>
      </c>
      <c r="DP116" s="4">
        <f t="shared" si="254"/>
        <v>3.9752312241934411</v>
      </c>
      <c r="DQ116" s="4">
        <f t="shared" si="255"/>
        <v>4.2656985083286569</v>
      </c>
      <c r="DR116" s="38">
        <f t="shared" si="275"/>
        <v>389.56659444490072</v>
      </c>
      <c r="DS116" s="4">
        <f t="shared" si="256"/>
        <v>1.0001277345891553</v>
      </c>
      <c r="DT116" s="4">
        <f t="shared" ref="DT116:DT152" si="330">Y116/K116</f>
        <v>2.2449944320643649</v>
      </c>
      <c r="DU116" s="4">
        <f t="shared" si="276"/>
        <v>202.79759779064733</v>
      </c>
      <c r="DY116" s="4">
        <f t="shared" si="235"/>
        <v>1</v>
      </c>
      <c r="DZ116" s="4">
        <f t="shared" si="257"/>
        <v>0.9</v>
      </c>
      <c r="EA116" s="4">
        <f t="shared" si="258"/>
        <v>1</v>
      </c>
      <c r="EB116" s="4">
        <f t="shared" si="259"/>
        <v>0.9</v>
      </c>
      <c r="ED116" s="4">
        <f t="shared" si="277"/>
        <v>355.94599651226696</v>
      </c>
      <c r="EE116" s="25">
        <f t="shared" si="318"/>
        <v>199.87606876269541</v>
      </c>
      <c r="EH116" s="4">
        <f t="shared" si="314"/>
        <v>4.5284778252987881</v>
      </c>
      <c r="EI116" s="4">
        <f t="shared" si="174"/>
        <v>4.5284778252987881</v>
      </c>
      <c r="EK116" s="4">
        <f t="shared" si="175"/>
        <v>57.022858574434863</v>
      </c>
      <c r="EL116" s="4">
        <f t="shared" si="176"/>
        <v>2.2449944320643649</v>
      </c>
      <c r="EM116" s="4">
        <f t="shared" si="177"/>
        <v>0.12431597694767015</v>
      </c>
      <c r="EP116" s="4">
        <f t="shared" si="178"/>
        <v>0.12431597694767015</v>
      </c>
      <c r="EQ116" s="4">
        <f t="shared" si="179"/>
        <v>0.4632982919071455</v>
      </c>
      <c r="ER116" s="4">
        <f t="shared" si="180"/>
        <v>3.3288676222301832</v>
      </c>
      <c r="ES116" s="4">
        <f t="shared" si="236"/>
        <v>3.974300138507024</v>
      </c>
      <c r="ET116" s="4">
        <f t="shared" si="182"/>
        <v>209.67714142556514</v>
      </c>
      <c r="EU116" s="4">
        <f t="shared" si="183"/>
        <v>88.899999999999977</v>
      </c>
      <c r="EV116" s="4">
        <f t="shared" si="261"/>
        <v>2.3917826242187016E-5</v>
      </c>
      <c r="EW116" s="4">
        <f t="shared" si="237"/>
        <v>4.2657676141221827</v>
      </c>
      <c r="EX116" s="4">
        <f t="shared" si="185"/>
        <v>389.51683967141622</v>
      </c>
      <c r="EY116" s="4">
        <f t="shared" si="186"/>
        <v>209.67714142556514</v>
      </c>
      <c r="EZ116" s="4">
        <f t="shared" si="187"/>
        <v>38.099999999999952</v>
      </c>
      <c r="FB116" s="4">
        <f t="shared" si="262"/>
        <v>34.126140912977519</v>
      </c>
      <c r="FG116" s="23">
        <f t="shared" si="216"/>
        <v>1.6</v>
      </c>
      <c r="FH116" s="23">
        <f t="shared" si="216"/>
        <v>1.6</v>
      </c>
      <c r="FI116" s="23">
        <f t="shared" si="230"/>
        <v>1.2</v>
      </c>
      <c r="FJ116" s="23">
        <f t="shared" si="217"/>
        <v>1.6</v>
      </c>
      <c r="FK116" s="23">
        <f t="shared" si="217"/>
        <v>1.2</v>
      </c>
      <c r="FL116" s="23">
        <f t="shared" si="217"/>
        <v>1.4</v>
      </c>
      <c r="FM116" s="23">
        <f t="shared" si="218"/>
        <v>0</v>
      </c>
      <c r="FN116" s="23"/>
      <c r="FX116" s="4">
        <f t="shared" si="263"/>
        <v>1</v>
      </c>
      <c r="FY116" s="4">
        <f t="shared" si="303"/>
        <v>0.75</v>
      </c>
      <c r="FZ116" s="4">
        <f t="shared" si="265"/>
        <v>0</v>
      </c>
      <c r="GA116" s="4">
        <f t="shared" si="266"/>
        <v>411.98588723004701</v>
      </c>
      <c r="GC116" s="4">
        <f>25.4^0.5/145^0.75/0.0024</f>
        <v>50.255039065656455</v>
      </c>
      <c r="GD116" s="4">
        <f>1/GC116</f>
        <v>1.989850209236799E-2</v>
      </c>
    </row>
    <row r="117" spans="1:188" s="19" customFormat="1" ht="12" customHeight="1" x14ac:dyDescent="0.3">
      <c r="A117" s="25">
        <v>99</v>
      </c>
      <c r="B117" s="20" t="s">
        <v>54</v>
      </c>
      <c r="C117" s="20">
        <v>2007</v>
      </c>
      <c r="D117" s="20" t="s">
        <v>293</v>
      </c>
      <c r="E117" s="20" t="s">
        <v>296</v>
      </c>
      <c r="F117" s="21" t="s">
        <v>68</v>
      </c>
      <c r="G117" s="21">
        <v>472</v>
      </c>
      <c r="H117" s="21">
        <v>0</v>
      </c>
      <c r="I117" s="21">
        <v>0</v>
      </c>
      <c r="J117" s="21">
        <v>24</v>
      </c>
      <c r="K117" s="21">
        <v>25.4</v>
      </c>
      <c r="L117" s="21">
        <v>14</v>
      </c>
      <c r="M117" s="21">
        <v>12</v>
      </c>
      <c r="N117" s="21">
        <f t="shared" si="321"/>
        <v>914.4</v>
      </c>
      <c r="O117" s="21">
        <f t="shared" si="316"/>
        <v>127</v>
      </c>
      <c r="P117" s="21"/>
      <c r="Q117" s="21">
        <f t="shared" si="309"/>
        <v>101.6</v>
      </c>
      <c r="R117" s="21">
        <v>3</v>
      </c>
      <c r="S117" s="21">
        <f t="shared" si="310"/>
        <v>50.8</v>
      </c>
      <c r="T117" s="21">
        <f t="shared" si="304"/>
        <v>2.5</v>
      </c>
      <c r="U117" s="21">
        <f t="shared" si="322"/>
        <v>2.5</v>
      </c>
      <c r="V117" s="21">
        <v>4.04</v>
      </c>
      <c r="W117" s="21">
        <f t="shared" si="152"/>
        <v>4.04</v>
      </c>
      <c r="X117" s="21">
        <f t="shared" si="242"/>
        <v>5.04</v>
      </c>
      <c r="Y117" s="21">
        <f t="shared" si="200"/>
        <v>57.022858574434863</v>
      </c>
      <c r="Z117" s="21"/>
      <c r="AA117" s="21"/>
      <c r="AB117" s="21">
        <v>375</v>
      </c>
      <c r="AC117" s="21"/>
      <c r="AD117" s="21"/>
      <c r="AE117" s="21"/>
      <c r="AF117" s="21"/>
      <c r="AG117" s="21">
        <v>1</v>
      </c>
      <c r="AH117" s="21"/>
      <c r="AI117" s="21"/>
      <c r="AJ117" s="21"/>
      <c r="AK117" s="19">
        <f t="shared" si="279"/>
        <v>0</v>
      </c>
      <c r="AL117" s="19" t="e">
        <f t="shared" si="311"/>
        <v>#DIV/0!</v>
      </c>
      <c r="AM117" s="19">
        <f t="shared" si="268"/>
        <v>0</v>
      </c>
      <c r="AN117" s="19" t="e">
        <f t="shared" si="269"/>
        <v>#DIV/0!</v>
      </c>
      <c r="AO117" s="19">
        <v>1.25</v>
      </c>
      <c r="AP117" s="19">
        <f t="shared" si="317"/>
        <v>5</v>
      </c>
      <c r="AQ117" s="19" t="e">
        <f t="shared" si="271"/>
        <v>#DIV/0!</v>
      </c>
      <c r="AR117" s="19" t="e">
        <f t="shared" si="272"/>
        <v>#DIV/0!</v>
      </c>
      <c r="AT117" s="19" t="e">
        <f t="shared" si="308"/>
        <v>#DIV/0!</v>
      </c>
      <c r="AU117" s="19" t="e">
        <f t="shared" si="243"/>
        <v>#DIV/0!</v>
      </c>
      <c r="AX117" s="19">
        <f t="shared" si="220"/>
        <v>0</v>
      </c>
      <c r="AY117" s="19">
        <f t="shared" si="221"/>
        <v>1</v>
      </c>
      <c r="AZ117" s="19">
        <f t="shared" si="273"/>
        <v>241.19701490690136</v>
      </c>
      <c r="BA117" s="19">
        <f t="shared" si="222"/>
        <v>0.43440000000000001</v>
      </c>
      <c r="BB117" s="19">
        <f t="shared" si="244"/>
        <v>0</v>
      </c>
      <c r="BC117" s="19">
        <f t="shared" si="245"/>
        <v>241.19701490690136</v>
      </c>
      <c r="BE117" s="19">
        <f t="shared" si="312"/>
        <v>1.1274999999999999</v>
      </c>
      <c r="BF117" s="19">
        <f t="shared" si="313"/>
        <v>227.57229404301393</v>
      </c>
      <c r="BK117" s="19">
        <f t="shared" si="156"/>
        <v>57.199999999999996</v>
      </c>
      <c r="BL117" s="19">
        <f t="shared" si="157"/>
        <v>50.8</v>
      </c>
      <c r="BM117" s="19">
        <f t="shared" si="158"/>
        <v>57.199999999999996</v>
      </c>
      <c r="BN117" s="19">
        <f t="shared" si="159"/>
        <v>63.5</v>
      </c>
      <c r="BO117" s="19">
        <f t="shared" si="160"/>
        <v>1.0125984251968505</v>
      </c>
      <c r="BP117" s="25">
        <f t="shared" si="274"/>
        <v>2.5314960629921264</v>
      </c>
      <c r="BR117" s="19">
        <f t="shared" ref="BR117:BR180" si="331">IF(Q117=0,O117,MIN(Q117/2,O117))</f>
        <v>50.8</v>
      </c>
      <c r="BV117" s="18"/>
      <c r="BX117" s="18"/>
      <c r="BY117" s="18"/>
      <c r="BZ117" s="18">
        <f>IF(Q117=0,MIN(O117,P117),MIN(Q117/2,O117,P117))</f>
        <v>50.8</v>
      </c>
      <c r="CA117" s="18">
        <f t="shared" si="232"/>
        <v>127</v>
      </c>
      <c r="CB117" s="18">
        <f t="shared" si="248"/>
        <v>1.622579553879709</v>
      </c>
      <c r="CC117" s="18">
        <v>0</v>
      </c>
      <c r="CD117" s="18">
        <f t="shared" si="306"/>
        <v>0</v>
      </c>
      <c r="CE117" s="18">
        <f t="shared" si="249"/>
        <v>0</v>
      </c>
      <c r="CF117" s="18">
        <f t="shared" si="233"/>
        <v>0.99524931562137331</v>
      </c>
      <c r="CG117" s="18">
        <f t="shared" si="234"/>
        <v>1.056</v>
      </c>
      <c r="CH117" s="18">
        <f t="shared" si="250"/>
        <v>1.8020609303015322</v>
      </c>
      <c r="CI117" s="18">
        <f t="shared" si="251"/>
        <v>2.9239872203527137</v>
      </c>
      <c r="CJ117" s="18">
        <v>1</v>
      </c>
      <c r="CK117" s="18">
        <f t="shared" si="252"/>
        <v>315.79061979809308</v>
      </c>
      <c r="DH117" s="19">
        <f t="shared" si="167"/>
        <v>0</v>
      </c>
      <c r="DI117" s="19">
        <f t="shared" si="168"/>
        <v>0</v>
      </c>
      <c r="DJ117" s="19" t="e">
        <f t="shared" si="169"/>
        <v>#DIV/0!</v>
      </c>
      <c r="DL117" s="19">
        <f t="shared" si="170"/>
        <v>0</v>
      </c>
      <c r="DM117" s="19">
        <f t="shared" si="171"/>
        <v>4.5284778252987881</v>
      </c>
      <c r="DR117" s="38" t="e">
        <f t="shared" si="275"/>
        <v>#DIV/0!</v>
      </c>
      <c r="DS117" s="19" t="e">
        <f t="shared" si="256"/>
        <v>#DIV/0!</v>
      </c>
      <c r="DU117" s="4" t="e">
        <f t="shared" si="276"/>
        <v>#DIV/0!</v>
      </c>
      <c r="DY117" s="19">
        <f t="shared" si="235"/>
        <v>1</v>
      </c>
      <c r="DZ117" s="19">
        <f t="shared" si="257"/>
        <v>0.9</v>
      </c>
      <c r="EA117" s="19">
        <f t="shared" si="258"/>
        <v>1</v>
      </c>
      <c r="EB117" s="19">
        <f t="shared" si="259"/>
        <v>0.9</v>
      </c>
      <c r="ED117" s="4" t="e">
        <f t="shared" si="277"/>
        <v>#DIV/0!</v>
      </c>
      <c r="EE117" s="25" t="e">
        <f t="shared" si="318"/>
        <v>#DIV/0!</v>
      </c>
      <c r="EH117" s="19">
        <f t="shared" si="314"/>
        <v>4.5284778252987881</v>
      </c>
      <c r="EI117" s="19">
        <f t="shared" si="174"/>
        <v>4.5284778252987881</v>
      </c>
      <c r="EK117" s="19">
        <f t="shared" si="175"/>
        <v>57.022858574434863</v>
      </c>
      <c r="EL117" s="19">
        <f t="shared" si="176"/>
        <v>2.2449944320643649</v>
      </c>
      <c r="EM117" s="19" t="e">
        <f t="shared" si="177"/>
        <v>#DIV/0!</v>
      </c>
      <c r="EP117" s="19" t="e">
        <f t="shared" ref="EP117:EP180" si="332">EM117</f>
        <v>#DIV/0!</v>
      </c>
      <c r="EQ117" s="19" t="e">
        <f t="shared" ref="EQ117:EQ180" si="333">MIN(0.999, EP117/(0.3*(J117/30)^0.5))</f>
        <v>#DIV/0!</v>
      </c>
      <c r="ER117" s="19" t="e">
        <f t="shared" si="180"/>
        <v>#DIV/0!</v>
      </c>
      <c r="ES117" s="19" t="e">
        <f t="shared" si="236"/>
        <v>#DIV/0!</v>
      </c>
      <c r="ET117" s="19">
        <f t="shared" si="182"/>
        <v>0</v>
      </c>
      <c r="EU117" s="19">
        <f t="shared" si="183"/>
        <v>0</v>
      </c>
      <c r="EV117" s="19">
        <f t="shared" si="261"/>
        <v>0</v>
      </c>
      <c r="EW117" s="19" t="e">
        <f t="shared" si="237"/>
        <v>#DIV/0!</v>
      </c>
      <c r="EX117" s="19" t="e">
        <f t="shared" si="185"/>
        <v>#DIV/0!</v>
      </c>
      <c r="EY117" s="19" t="e">
        <f t="shared" si="186"/>
        <v>#DIV/0!</v>
      </c>
      <c r="EZ117" s="19" t="e">
        <f t="shared" si="187"/>
        <v>#DIV/0!</v>
      </c>
      <c r="FG117" s="22"/>
      <c r="FH117" s="22"/>
      <c r="FI117" s="22"/>
      <c r="FJ117" s="22"/>
      <c r="FK117" s="22"/>
      <c r="FL117" s="22"/>
      <c r="FM117" s="22"/>
      <c r="FN117" s="22"/>
      <c r="FX117" s="19">
        <f t="shared" si="263"/>
        <v>1</v>
      </c>
      <c r="FY117" s="19">
        <f t="shared" si="303"/>
        <v>0.75</v>
      </c>
      <c r="FZ117" s="19">
        <f t="shared" si="265"/>
        <v>0</v>
      </c>
      <c r="GA117" s="19">
        <f t="shared" si="266"/>
        <v>0</v>
      </c>
    </row>
    <row r="118" spans="1:188" ht="12" customHeight="1" x14ac:dyDescent="0.3">
      <c r="A118" s="25">
        <v>100</v>
      </c>
      <c r="B118" s="20" t="s">
        <v>54</v>
      </c>
      <c r="C118" s="20">
        <v>2008</v>
      </c>
      <c r="D118" s="20" t="s">
        <v>293</v>
      </c>
      <c r="E118" s="24" t="s">
        <v>72</v>
      </c>
      <c r="F118" s="7" t="s">
        <v>281</v>
      </c>
      <c r="G118" s="7">
        <v>472</v>
      </c>
      <c r="H118" s="7">
        <f t="shared" si="315"/>
        <v>203.2</v>
      </c>
      <c r="I118" s="7">
        <f>K118*M118</f>
        <v>152.39999999999998</v>
      </c>
      <c r="J118" s="7">
        <v>29</v>
      </c>
      <c r="K118" s="7">
        <v>25.4</v>
      </c>
      <c r="L118" s="7">
        <v>8</v>
      </c>
      <c r="M118" s="7">
        <v>6</v>
      </c>
      <c r="N118" s="7">
        <f t="shared" si="321"/>
        <v>914.4</v>
      </c>
      <c r="O118" s="7">
        <f t="shared" si="316"/>
        <v>127</v>
      </c>
      <c r="P118" s="7"/>
      <c r="Q118" s="7">
        <f t="shared" si="309"/>
        <v>101.6</v>
      </c>
      <c r="R118" s="7">
        <v>3</v>
      </c>
      <c r="S118" s="7">
        <f t="shared" si="310"/>
        <v>50.8</v>
      </c>
      <c r="T118" s="7">
        <f t="shared" si="304"/>
        <v>2.5</v>
      </c>
      <c r="U118" s="7">
        <f t="shared" si="322"/>
        <v>2.5</v>
      </c>
      <c r="V118" s="7">
        <v>4.7</v>
      </c>
      <c r="W118" s="7">
        <f t="shared" si="152"/>
        <v>4.7</v>
      </c>
      <c r="X118" s="7">
        <f t="shared" si="242"/>
        <v>5.7</v>
      </c>
      <c r="Y118" s="7">
        <f t="shared" si="200"/>
        <v>60.641668842471674</v>
      </c>
      <c r="Z118" s="7"/>
      <c r="AA118" s="7"/>
      <c r="AB118" s="7">
        <v>378</v>
      </c>
      <c r="AC118" s="7"/>
      <c r="AD118" s="7">
        <f t="shared" ref="AD118:AD152" si="334">CQ118</f>
        <v>0.91356273471495697</v>
      </c>
      <c r="AE118" s="7">
        <f>25.4/4</f>
        <v>6.35</v>
      </c>
      <c r="AF118" s="7">
        <v>2</v>
      </c>
      <c r="AG118" s="7">
        <f>H118-2*25.4</f>
        <v>152.39999999999998</v>
      </c>
      <c r="AH118" s="7">
        <v>2</v>
      </c>
      <c r="AI118" s="7">
        <v>2</v>
      </c>
      <c r="AJ118" s="7"/>
      <c r="AK118" s="4">
        <f t="shared" si="279"/>
        <v>203.2</v>
      </c>
      <c r="AL118" s="44">
        <f t="shared" si="311"/>
        <v>0.62500000000000011</v>
      </c>
      <c r="AM118" s="25">
        <f t="shared" si="268"/>
        <v>102.61385063799703</v>
      </c>
      <c r="AN118" s="4">
        <f t="shared" si="269"/>
        <v>0.76249999999999996</v>
      </c>
      <c r="AO118" s="4">
        <v>1.25</v>
      </c>
      <c r="AP118" s="25">
        <f t="shared" si="317"/>
        <v>5</v>
      </c>
      <c r="AQ118" s="38">
        <f t="shared" si="271"/>
        <v>305.63695746669043</v>
      </c>
      <c r="AR118" s="38">
        <f t="shared" si="272"/>
        <v>305.63695746669043</v>
      </c>
      <c r="AT118" s="38">
        <f t="shared" si="308"/>
        <v>305.63695746669049</v>
      </c>
      <c r="AU118" s="38">
        <f t="shared" si="243"/>
        <v>0.99999999999999978</v>
      </c>
      <c r="AV118" s="38">
        <f t="shared" si="328"/>
        <v>1.028516026796602</v>
      </c>
      <c r="AW118" s="4">
        <f t="shared" si="323"/>
        <v>0</v>
      </c>
      <c r="AX118" s="4">
        <f t="shared" si="220"/>
        <v>170.05783601477378</v>
      </c>
      <c r="AY118" s="4">
        <f t="shared" si="221"/>
        <v>1</v>
      </c>
      <c r="AZ118" s="38">
        <f t="shared" si="273"/>
        <v>314.35250913584258</v>
      </c>
      <c r="BA118" s="4">
        <f t="shared" si="222"/>
        <v>0.34199999999999997</v>
      </c>
      <c r="BB118" s="4">
        <f t="shared" si="244"/>
        <v>30.388485006659998</v>
      </c>
      <c r="BC118" s="4">
        <f t="shared" si="245"/>
        <v>344.74099414250259</v>
      </c>
      <c r="BE118" s="36">
        <f t="shared" si="312"/>
        <v>1.2256747704246811</v>
      </c>
      <c r="BF118" s="36">
        <f t="shared" si="313"/>
        <v>208.57455618240351</v>
      </c>
      <c r="BK118" s="4">
        <f t="shared" si="156"/>
        <v>57.199999999999996</v>
      </c>
      <c r="BL118" s="4">
        <f t="shared" si="157"/>
        <v>50.8</v>
      </c>
      <c r="BM118" s="4">
        <f t="shared" si="158"/>
        <v>57.199999999999996</v>
      </c>
      <c r="BN118" s="4">
        <f t="shared" si="159"/>
        <v>63.5</v>
      </c>
      <c r="BO118" s="4">
        <f t="shared" si="160"/>
        <v>1.0125984251968505</v>
      </c>
      <c r="BP118" s="25">
        <f t="shared" si="274"/>
        <v>2.7045530452934567</v>
      </c>
      <c r="BR118" s="4">
        <f t="shared" si="331"/>
        <v>50.8</v>
      </c>
      <c r="BV118" s="9"/>
      <c r="BX118" s="9"/>
      <c r="BY118" s="9"/>
      <c r="BZ118" s="9">
        <f t="shared" si="231"/>
        <v>50.8</v>
      </c>
      <c r="CA118" s="9">
        <f t="shared" si="232"/>
        <v>127</v>
      </c>
      <c r="CB118" s="9">
        <f t="shared" si="248"/>
        <v>1.622579553879709</v>
      </c>
      <c r="CC118" s="9">
        <v>0</v>
      </c>
      <c r="CD118" s="9">
        <f t="shared" si="306"/>
        <v>1.0908307824964559E-2</v>
      </c>
      <c r="CE118" s="9">
        <f t="shared" si="249"/>
        <v>0</v>
      </c>
      <c r="CF118" s="9">
        <f t="shared" si="233"/>
        <v>0.99524931562137331</v>
      </c>
      <c r="CG118" s="9">
        <f t="shared" si="234"/>
        <v>1.056</v>
      </c>
      <c r="CH118" s="9">
        <f t="shared" si="250"/>
        <v>1.9809013552237766</v>
      </c>
      <c r="CI118" s="9">
        <f t="shared" si="251"/>
        <v>3.2141700372387065</v>
      </c>
      <c r="CJ118" s="9">
        <v>1</v>
      </c>
      <c r="CK118" s="9">
        <f t="shared" si="252"/>
        <v>269.99028312805137</v>
      </c>
      <c r="CM118" s="4">
        <f>AB118/AX118</f>
        <v>2.2227731979793113</v>
      </c>
      <c r="CN118" s="4">
        <f>AB118/BC118</f>
        <v>1.0964753435843184</v>
      </c>
      <c r="CO118" s="4">
        <f t="shared" si="208"/>
        <v>1.8123015909449176</v>
      </c>
      <c r="CP118" s="4">
        <f t="shared" ref="CP118:CP152" si="335">AB118/CK118</f>
        <v>1.400050385593772</v>
      </c>
      <c r="CQ118" s="4">
        <f t="shared" si="210"/>
        <v>0.91356273471495697</v>
      </c>
      <c r="CR118" s="4">
        <f t="shared" si="211"/>
        <v>0.98110685664411379</v>
      </c>
      <c r="CS118" s="4">
        <f t="shared" si="329"/>
        <v>1.2496789206294021</v>
      </c>
      <c r="DA118" s="4">
        <f t="shared" si="281"/>
        <v>2.2227731979793113</v>
      </c>
      <c r="DB118" s="4">
        <f t="shared" si="281"/>
        <v>1.0964753435843184</v>
      </c>
      <c r="DC118" s="4">
        <f t="shared" si="282"/>
        <v>1.400050385593772</v>
      </c>
      <c r="DD118" s="4">
        <f t="shared" ref="DD118:DD122" si="336">CS118</f>
        <v>1.2496789206294021</v>
      </c>
      <c r="DE118" s="4">
        <f t="shared" si="284"/>
        <v>0.91356273471495697</v>
      </c>
      <c r="DF118" s="4">
        <f t="shared" si="284"/>
        <v>0.98110685664411379</v>
      </c>
      <c r="DH118" s="4">
        <f t="shared" si="167"/>
        <v>2</v>
      </c>
      <c r="DI118" s="4">
        <f t="shared" si="168"/>
        <v>203.2</v>
      </c>
      <c r="DJ118" s="4">
        <f t="shared" si="169"/>
        <v>0.74999999999999989</v>
      </c>
      <c r="DL118" s="4">
        <f t="shared" si="170"/>
        <v>1.4183544622946906E-5</v>
      </c>
      <c r="DM118" s="4">
        <f t="shared" si="171"/>
        <v>5.3181902694980394</v>
      </c>
      <c r="DN118" s="4">
        <f t="shared" ref="DN118:DN152" si="337">DU118*Y118/257/J118/V118</f>
        <v>0.52911251390174574</v>
      </c>
      <c r="DO118" s="4">
        <f t="shared" si="253"/>
        <v>4.1227128250270235</v>
      </c>
      <c r="DP118" s="4">
        <f t="shared" si="254"/>
        <v>4.7582056908638855</v>
      </c>
      <c r="DQ118" s="4">
        <f t="shared" si="255"/>
        <v>5.1947012258310075</v>
      </c>
      <c r="DR118" s="38">
        <f t="shared" si="275"/>
        <v>413.76468811191245</v>
      </c>
      <c r="DS118" s="4">
        <f t="shared" si="256"/>
        <v>1.0001043862507368</v>
      </c>
      <c r="DT118" s="4">
        <f t="shared" si="330"/>
        <v>2.3874672772626644</v>
      </c>
      <c r="DU118" s="4">
        <f t="shared" si="276"/>
        <v>305.63695746669049</v>
      </c>
      <c r="DY118" s="4">
        <f t="shared" si="235"/>
        <v>1</v>
      </c>
      <c r="DZ118" s="4">
        <f t="shared" si="257"/>
        <v>0.9</v>
      </c>
      <c r="EA118" s="4">
        <f t="shared" si="258"/>
        <v>1</v>
      </c>
      <c r="EB118" s="4">
        <f t="shared" si="259"/>
        <v>0.9</v>
      </c>
      <c r="ED118" s="4">
        <f t="shared" si="277"/>
        <v>385.2791339089739</v>
      </c>
      <c r="EE118" s="25">
        <f t="shared" si="318"/>
        <v>299.20050949470277</v>
      </c>
      <c r="EH118" s="4">
        <f t="shared" si="314"/>
        <v>5.3181902694980394</v>
      </c>
      <c r="EI118" s="4">
        <f t="shared" si="174"/>
        <v>5.3181902694980394</v>
      </c>
      <c r="EK118" s="4">
        <f t="shared" si="175"/>
        <v>60.641668842471674</v>
      </c>
      <c r="EL118" s="4">
        <f t="shared" si="176"/>
        <v>2.3874672772626644</v>
      </c>
      <c r="EM118" s="4">
        <f t="shared" si="177"/>
        <v>0.15580532528546465</v>
      </c>
      <c r="EP118" s="4">
        <f t="shared" si="332"/>
        <v>0.15580532528546465</v>
      </c>
      <c r="EQ118" s="4">
        <f t="shared" si="333"/>
        <v>0.52822952372921106</v>
      </c>
      <c r="ER118" s="4">
        <f t="shared" si="180"/>
        <v>4.1199594302847133</v>
      </c>
      <c r="ES118" s="4">
        <f t="shared" si="236"/>
        <v>4.7570136930794718</v>
      </c>
      <c r="ET118" s="4">
        <f t="shared" si="182"/>
        <v>91.758331157528303</v>
      </c>
      <c r="EU118" s="4">
        <f t="shared" si="183"/>
        <v>50.8</v>
      </c>
      <c r="EV118" s="4">
        <f t="shared" si="261"/>
        <v>1.4183544622946906E-5</v>
      </c>
      <c r="EW118" s="4">
        <f t="shared" si="237"/>
        <v>5.1947427567102205</v>
      </c>
      <c r="EX118" s="4">
        <f t="shared" si="185"/>
        <v>413.72150127554505</v>
      </c>
      <c r="EY118" s="4">
        <f t="shared" si="186"/>
        <v>91.758331157528303</v>
      </c>
      <c r="EZ118" s="4">
        <f t="shared" si="187"/>
        <v>0</v>
      </c>
      <c r="FB118" s="4">
        <f t="shared" ref="FB118:FB152" si="338">4/K118*(1*ER118*EK118+ES118*ET118+EU118*EW118)+DU118 - (4/K118*(1*ER118*EK118+ES118*EY118+EZ118*EW118)+DU118)</f>
        <v>41.557942053681813</v>
      </c>
      <c r="FG118" s="23">
        <f t="shared" ref="FG118:FH152" si="339">IF(CM118&lt;0.6,0.6,IF(CM118&lt;0.8,0.8,IF(CM118&lt;1,1,IF(CM118&lt;1.2,1.2,IF(CM118&lt;1.4,1.4,IF(CM118&lt;1.6,1.6,IF(CM118&lt;1.8,1.8,IF(CM118&lt;2,2,2.2))))))))</f>
        <v>2.2000000000000002</v>
      </c>
      <c r="FH118" s="23">
        <f t="shared" si="339"/>
        <v>1.2</v>
      </c>
      <c r="FI118" s="23">
        <f t="shared" si="230"/>
        <v>1.4</v>
      </c>
      <c r="FJ118" s="23">
        <f t="shared" ref="FJ118:FL152" si="340">IF(CP118&lt;0.6,0.6,IF(CP118&lt;0.8,0.8,IF(CP118&lt;1,1,IF(CP118&lt;1.2,1.2,IF(CP118&lt;1.4,1.4,IF(CP118&lt;1.6,1.6,IF(CP118&lt;1.8,1.8,IF(CP118&lt;2,2,2.2))))))))</f>
        <v>1.6</v>
      </c>
      <c r="FK118" s="23">
        <f t="shared" si="340"/>
        <v>1</v>
      </c>
      <c r="FL118" s="23">
        <f t="shared" si="340"/>
        <v>1</v>
      </c>
      <c r="FM118" s="23">
        <f t="shared" si="218"/>
        <v>0</v>
      </c>
      <c r="FN118" s="23"/>
      <c r="FX118" s="4">
        <f t="shared" si="263"/>
        <v>1</v>
      </c>
      <c r="FY118" s="4">
        <f t="shared" si="303"/>
        <v>0.61201052016364699</v>
      </c>
      <c r="FZ118" s="4">
        <f t="shared" si="265"/>
        <v>8.3333333333333343E-2</v>
      </c>
      <c r="GA118" s="4">
        <f t="shared" si="266"/>
        <v>302.4776954784673</v>
      </c>
      <c r="GC118" s="4">
        <f>(H118)/(K118)^1.5/0.0199*(J118)^0.25/FX118/FY118</f>
        <v>302.45492745592605</v>
      </c>
    </row>
    <row r="119" spans="1:188" ht="12" customHeight="1" x14ac:dyDescent="0.3">
      <c r="A119" s="25">
        <v>101</v>
      </c>
      <c r="B119" s="20" t="s">
        <v>54</v>
      </c>
      <c r="C119" s="20">
        <v>2009</v>
      </c>
      <c r="D119" s="20" t="s">
        <v>293</v>
      </c>
      <c r="E119" s="24"/>
      <c r="F119" s="7" t="s">
        <v>68</v>
      </c>
      <c r="G119" s="7">
        <v>472</v>
      </c>
      <c r="H119" s="7">
        <f t="shared" si="315"/>
        <v>203.2</v>
      </c>
      <c r="I119" s="7">
        <f>K119*M119</f>
        <v>152.39999999999998</v>
      </c>
      <c r="J119" s="7">
        <v>24</v>
      </c>
      <c r="K119" s="7">
        <v>25.4</v>
      </c>
      <c r="L119" s="7">
        <v>8</v>
      </c>
      <c r="M119" s="7">
        <v>6</v>
      </c>
      <c r="N119" s="7">
        <f t="shared" si="321"/>
        <v>914.4</v>
      </c>
      <c r="O119" s="7">
        <f t="shared" si="316"/>
        <v>127</v>
      </c>
      <c r="P119" s="7"/>
      <c r="Q119" s="7">
        <f t="shared" si="309"/>
        <v>101.6</v>
      </c>
      <c r="R119" s="7">
        <v>3</v>
      </c>
      <c r="S119" s="7">
        <f t="shared" si="310"/>
        <v>50.8</v>
      </c>
      <c r="T119" s="7">
        <f t="shared" si="304"/>
        <v>2.5</v>
      </c>
      <c r="U119" s="7">
        <f t="shared" si="322"/>
        <v>2.5</v>
      </c>
      <c r="V119" s="7">
        <v>4.04</v>
      </c>
      <c r="W119" s="7">
        <f t="shared" si="152"/>
        <v>4.04</v>
      </c>
      <c r="X119" s="7">
        <f t="shared" si="242"/>
        <v>5.04</v>
      </c>
      <c r="Y119" s="7">
        <f t="shared" si="200"/>
        <v>57.022858574434863</v>
      </c>
      <c r="Z119" s="7"/>
      <c r="AA119" s="7"/>
      <c r="AB119" s="7">
        <v>373</v>
      </c>
      <c r="AC119" s="7"/>
      <c r="AD119" s="7">
        <f t="shared" si="334"/>
        <v>0.96116962804794615</v>
      </c>
      <c r="AE119" s="7">
        <v>9.5</v>
      </c>
      <c r="AF119" s="7">
        <v>2</v>
      </c>
      <c r="AG119" s="7">
        <f>H119-2*25.4</f>
        <v>152.39999999999998</v>
      </c>
      <c r="AH119" s="7">
        <v>2</v>
      </c>
      <c r="AI119" s="7">
        <v>2</v>
      </c>
      <c r="AJ119" s="7"/>
      <c r="AK119" s="4">
        <f t="shared" si="279"/>
        <v>203.2</v>
      </c>
      <c r="AL119" s="44">
        <f t="shared" si="311"/>
        <v>0.62500000000000011</v>
      </c>
      <c r="AM119" s="25">
        <f t="shared" si="268"/>
        <v>93.349631295316044</v>
      </c>
      <c r="AN119" s="4">
        <f t="shared" si="269"/>
        <v>0.76249999999999996</v>
      </c>
      <c r="AO119" s="4">
        <v>1.25</v>
      </c>
      <c r="AP119" s="25">
        <f t="shared" si="317"/>
        <v>5</v>
      </c>
      <c r="AQ119" s="38">
        <f t="shared" si="271"/>
        <v>278.04333540108786</v>
      </c>
      <c r="AR119" s="38">
        <f t="shared" si="272"/>
        <v>278.04333540108786</v>
      </c>
      <c r="AT119" s="38">
        <f t="shared" si="308"/>
        <v>278.04333540108792</v>
      </c>
      <c r="AU119" s="38">
        <f t="shared" si="243"/>
        <v>0.99999999999999978</v>
      </c>
      <c r="AV119" s="38">
        <f t="shared" si="328"/>
        <v>0.86747993638820953</v>
      </c>
      <c r="AW119" s="4">
        <f t="shared" si="323"/>
        <v>1</v>
      </c>
      <c r="AX119" s="4">
        <f t="shared" si="220"/>
        <v>154.70461533367438</v>
      </c>
      <c r="AY119" s="4">
        <f t="shared" si="221"/>
        <v>1</v>
      </c>
      <c r="AZ119" s="38">
        <f t="shared" si="273"/>
        <v>241.19701490690136</v>
      </c>
      <c r="BA119" s="4">
        <f t="shared" si="222"/>
        <v>0.43440000000000001</v>
      </c>
      <c r="BB119" s="4">
        <f t="shared" si="244"/>
        <v>35.113925360745412</v>
      </c>
      <c r="BC119" s="4">
        <f t="shared" si="245"/>
        <v>276.31094026764674</v>
      </c>
      <c r="BE119" s="36">
        <f t="shared" si="312"/>
        <v>1.3472352106349423</v>
      </c>
      <c r="BF119" s="36">
        <f t="shared" si="313"/>
        <v>208.56245402861074</v>
      </c>
      <c r="BK119" s="4">
        <f>IF(R119=1,O119,MIN(O119,Q119/2+6.4))</f>
        <v>57.199999999999996</v>
      </c>
      <c r="BL119" s="4">
        <f t="shared" si="157"/>
        <v>50.8</v>
      </c>
      <c r="BM119" s="4">
        <f t="shared" si="158"/>
        <v>57.199999999999996</v>
      </c>
      <c r="BN119" s="4">
        <f t="shared" si="159"/>
        <v>63.5</v>
      </c>
      <c r="BO119" s="4">
        <f t="shared" si="160"/>
        <v>1.0125984251968505</v>
      </c>
      <c r="BP119" s="25">
        <f t="shared" si="274"/>
        <v>2.8838632896429117</v>
      </c>
      <c r="BR119" s="4">
        <f t="shared" si="331"/>
        <v>50.8</v>
      </c>
      <c r="BV119" s="9"/>
      <c r="BX119" s="9"/>
      <c r="BY119" s="9"/>
      <c r="BZ119" s="9">
        <f t="shared" si="231"/>
        <v>50.8</v>
      </c>
      <c r="CA119" s="9">
        <f t="shared" si="232"/>
        <v>127</v>
      </c>
      <c r="CB119" s="9">
        <f t="shared" si="248"/>
        <v>1.622579553879709</v>
      </c>
      <c r="CC119" s="9">
        <v>0</v>
      </c>
      <c r="CD119" s="9">
        <f t="shared" si="306"/>
        <v>2.4415023403882487E-2</v>
      </c>
      <c r="CE119" s="9">
        <f t="shared" si="249"/>
        <v>0</v>
      </c>
      <c r="CF119" s="9">
        <f t="shared" si="233"/>
        <v>0.99524931562137331</v>
      </c>
      <c r="CG119" s="9">
        <f t="shared" si="234"/>
        <v>1.056</v>
      </c>
      <c r="CH119" s="9">
        <f t="shared" si="250"/>
        <v>1.8020609303015322</v>
      </c>
      <c r="CI119" s="9">
        <f t="shared" si="251"/>
        <v>2.9239872203527137</v>
      </c>
      <c r="CJ119" s="9">
        <v>1</v>
      </c>
      <c r="CK119" s="9">
        <f t="shared" si="252"/>
        <v>245.61492650962794</v>
      </c>
      <c r="CM119" s="4">
        <f>AB119/AX119</f>
        <v>2.4110463620978315</v>
      </c>
      <c r="CN119" s="4">
        <f>AB119/BC119</f>
        <v>1.3499284524843498</v>
      </c>
      <c r="CO119" s="4">
        <f t="shared" si="208"/>
        <v>1.7884331182103927</v>
      </c>
      <c r="CP119" s="4">
        <f t="shared" si="335"/>
        <v>1.5186373454602673</v>
      </c>
      <c r="CQ119" s="4">
        <f t="shared" si="210"/>
        <v>0.96116962804794615</v>
      </c>
      <c r="CR119" s="4">
        <f t="shared" si="211"/>
        <v>1.0487505984287993</v>
      </c>
      <c r="CS119" s="4">
        <f t="shared" si="329"/>
        <v>1.1935209055402785</v>
      </c>
      <c r="DA119" s="4">
        <f t="shared" si="281"/>
        <v>2.4110463620978315</v>
      </c>
      <c r="DB119" s="4">
        <f t="shared" si="281"/>
        <v>1.3499284524843498</v>
      </c>
      <c r="DC119" s="4">
        <f t="shared" si="282"/>
        <v>1.5186373454602673</v>
      </c>
      <c r="DD119" s="4">
        <f t="shared" si="336"/>
        <v>1.1935209055402785</v>
      </c>
      <c r="DE119" s="4">
        <f t="shared" si="284"/>
        <v>0.96116962804794615</v>
      </c>
      <c r="DF119" s="4">
        <f t="shared" si="284"/>
        <v>1.0487505984287993</v>
      </c>
      <c r="DH119" s="4">
        <f t="shared" si="167"/>
        <v>2</v>
      </c>
      <c r="DI119" s="4">
        <f t="shared" si="168"/>
        <v>203.2</v>
      </c>
      <c r="DJ119" s="4">
        <f t="shared" si="169"/>
        <v>0.74999999999999989</v>
      </c>
      <c r="DL119" s="4">
        <f t="shared" si="170"/>
        <v>1.3667329281249728E-5</v>
      </c>
      <c r="DM119" s="4">
        <f t="shared" si="171"/>
        <v>5.1588114827661729</v>
      </c>
      <c r="DN119" s="4">
        <f t="shared" si="337"/>
        <v>0.63626164554762021</v>
      </c>
      <c r="DO119" s="4">
        <f t="shared" si="253"/>
        <v>4.3053053177144411</v>
      </c>
      <c r="DP119" s="4">
        <f t="shared" si="254"/>
        <v>4.7512779586833123</v>
      </c>
      <c r="DQ119" s="4">
        <f t="shared" si="255"/>
        <v>5.0422297353553445</v>
      </c>
      <c r="DR119" s="38">
        <f t="shared" si="275"/>
        <v>388.0688581031543</v>
      </c>
      <c r="DS119" s="4">
        <f t="shared" si="256"/>
        <v>1.0001161176105406</v>
      </c>
      <c r="DT119" s="4">
        <f t="shared" si="330"/>
        <v>2.2449944320643649</v>
      </c>
      <c r="DU119" s="4">
        <f t="shared" si="276"/>
        <v>278.04333540108792</v>
      </c>
      <c r="DY119" s="4">
        <f t="shared" si="235"/>
        <v>1</v>
      </c>
      <c r="DZ119" s="4">
        <f t="shared" si="257"/>
        <v>0.9</v>
      </c>
      <c r="EA119" s="4">
        <f t="shared" si="258"/>
        <v>0.90713466426932854</v>
      </c>
      <c r="EB119" s="4">
        <f t="shared" si="259"/>
        <v>0.81642119784239575</v>
      </c>
      <c r="ED119" s="4">
        <f t="shared" si="277"/>
        <v>355.66129884341933</v>
      </c>
      <c r="EE119" s="25">
        <f t="shared" si="318"/>
        <v>272.18798506289443</v>
      </c>
      <c r="EH119" s="4">
        <f t="shared" si="314"/>
        <v>5.1588114827661729</v>
      </c>
      <c r="EI119" s="4">
        <f t="shared" si="174"/>
        <v>5.1588114827661729</v>
      </c>
      <c r="EK119" s="4">
        <f t="shared" si="175"/>
        <v>57.022858574434863</v>
      </c>
      <c r="EL119" s="4">
        <f t="shared" si="176"/>
        <v>2.2449944320643649</v>
      </c>
      <c r="EM119" s="4">
        <f t="shared" si="177"/>
        <v>0.17044200350862856</v>
      </c>
      <c r="EP119" s="4">
        <f t="shared" si="332"/>
        <v>0.17044200350862856</v>
      </c>
      <c r="EQ119" s="4">
        <f t="shared" si="333"/>
        <v>0.63519984344425195</v>
      </c>
      <c r="ER119" s="4">
        <f t="shared" si="180"/>
        <v>4.3024299767608163</v>
      </c>
      <c r="ES119" s="4">
        <f t="shared" si="236"/>
        <v>4.7499757088178356</v>
      </c>
      <c r="ET119" s="4">
        <f t="shared" si="182"/>
        <v>95.377141425565114</v>
      </c>
      <c r="EU119" s="4">
        <f t="shared" si="183"/>
        <v>50.800000000000026</v>
      </c>
      <c r="EV119" s="4">
        <f t="shared" si="261"/>
        <v>1.3667329281249734E-5</v>
      </c>
      <c r="EW119" s="4">
        <f t="shared" si="237"/>
        <v>5.0422702257329002</v>
      </c>
      <c r="EX119" s="4">
        <f t="shared" si="185"/>
        <v>388.02380170646722</v>
      </c>
      <c r="EY119" s="4">
        <f t="shared" si="186"/>
        <v>95.377141425565114</v>
      </c>
      <c r="EZ119" s="4">
        <f t="shared" si="187"/>
        <v>0</v>
      </c>
      <c r="FB119" s="4">
        <f t="shared" si="338"/>
        <v>40.338161805863251</v>
      </c>
      <c r="FG119" s="23">
        <f t="shared" si="339"/>
        <v>2.2000000000000002</v>
      </c>
      <c r="FH119" s="23">
        <f t="shared" si="339"/>
        <v>1.4</v>
      </c>
      <c r="FI119" s="23">
        <f t="shared" si="230"/>
        <v>1.2</v>
      </c>
      <c r="FJ119" s="23">
        <f t="shared" si="340"/>
        <v>1.6</v>
      </c>
      <c r="FK119" s="23">
        <f t="shared" si="340"/>
        <v>1</v>
      </c>
      <c r="FL119" s="23">
        <f t="shared" si="340"/>
        <v>1.2</v>
      </c>
      <c r="FM119" s="23">
        <f t="shared" si="218"/>
        <v>0</v>
      </c>
      <c r="FN119" s="23"/>
      <c r="FX119" s="4">
        <f t="shared" si="263"/>
        <v>1</v>
      </c>
      <c r="FY119" s="4">
        <f t="shared" si="303"/>
        <v>0.56497177617382699</v>
      </c>
      <c r="FZ119" s="4">
        <f t="shared" si="265"/>
        <v>0.18651703970074607</v>
      </c>
      <c r="GA119" s="4">
        <f t="shared" si="266"/>
        <v>312.52070933030853</v>
      </c>
      <c r="GC119" s="4">
        <f>(H119)/(K119)^1.5/0.0199*(J119)^0.25/FX119/FY119</f>
        <v>312.4971853526369</v>
      </c>
    </row>
    <row r="120" spans="1:188" ht="12" customHeight="1" x14ac:dyDescent="0.3">
      <c r="A120" s="25">
        <v>102</v>
      </c>
      <c r="B120" s="20" t="s">
        <v>54</v>
      </c>
      <c r="C120" s="20">
        <v>2010</v>
      </c>
      <c r="D120" s="20" t="s">
        <v>293</v>
      </c>
      <c r="E120" s="24"/>
      <c r="F120" s="7" t="s">
        <v>68</v>
      </c>
      <c r="G120" s="7">
        <v>472</v>
      </c>
      <c r="H120" s="7">
        <f t="shared" si="315"/>
        <v>203.2</v>
      </c>
      <c r="I120" s="7">
        <f>K120*M120</f>
        <v>152.39999999999998</v>
      </c>
      <c r="J120" s="7">
        <v>24</v>
      </c>
      <c r="K120" s="7">
        <v>25.4</v>
      </c>
      <c r="L120" s="7">
        <v>8</v>
      </c>
      <c r="M120" s="7">
        <v>6</v>
      </c>
      <c r="N120" s="7">
        <f t="shared" si="321"/>
        <v>914.4</v>
      </c>
      <c r="O120" s="7">
        <f t="shared" si="316"/>
        <v>127</v>
      </c>
      <c r="P120" s="7"/>
      <c r="Q120" s="7">
        <f t="shared" si="309"/>
        <v>101.6</v>
      </c>
      <c r="R120" s="7">
        <v>3</v>
      </c>
      <c r="S120" s="7">
        <f t="shared" si="310"/>
        <v>50.8</v>
      </c>
      <c r="T120" s="7">
        <f t="shared" si="304"/>
        <v>2.5</v>
      </c>
      <c r="U120" s="7">
        <f t="shared" si="322"/>
        <v>2.5</v>
      </c>
      <c r="V120" s="7">
        <v>4.04</v>
      </c>
      <c r="W120" s="7">
        <f t="shared" si="152"/>
        <v>4.04</v>
      </c>
      <c r="X120" s="7">
        <f t="shared" si="242"/>
        <v>5.04</v>
      </c>
      <c r="Y120" s="7">
        <f t="shared" si="200"/>
        <v>57.022858574434863</v>
      </c>
      <c r="Z120" s="7"/>
      <c r="AA120" s="7"/>
      <c r="AB120" s="7">
        <v>391</v>
      </c>
      <c r="AC120" s="7"/>
      <c r="AD120" s="7">
        <f t="shared" si="334"/>
        <v>0.98080807123647029</v>
      </c>
      <c r="AE120" s="7">
        <v>12.7</v>
      </c>
      <c r="AF120" s="7">
        <v>2</v>
      </c>
      <c r="AG120" s="7">
        <f>H120-2*25.4</f>
        <v>152.39999999999998</v>
      </c>
      <c r="AH120" s="7">
        <v>2</v>
      </c>
      <c r="AI120" s="7">
        <v>2</v>
      </c>
      <c r="AJ120" s="7"/>
      <c r="AK120" s="4">
        <f t="shared" si="279"/>
        <v>203.2</v>
      </c>
      <c r="AL120" s="44">
        <f t="shared" si="311"/>
        <v>0.62500000000000011</v>
      </c>
      <c r="AM120" s="25">
        <f t="shared" si="268"/>
        <v>93.349631295316044</v>
      </c>
      <c r="AN120" s="4">
        <f t="shared" si="269"/>
        <v>0.76249999999999996</v>
      </c>
      <c r="AO120" s="4">
        <v>1.25</v>
      </c>
      <c r="AP120" s="25">
        <f t="shared" si="317"/>
        <v>5</v>
      </c>
      <c r="AQ120" s="38">
        <f t="shared" si="271"/>
        <v>278.04333540108786</v>
      </c>
      <c r="AR120" s="38">
        <f t="shared" si="272"/>
        <v>278.04333540108786</v>
      </c>
      <c r="AT120" s="38">
        <f t="shared" si="308"/>
        <v>278.04333540108792</v>
      </c>
      <c r="AU120" s="38">
        <f t="shared" si="243"/>
        <v>0.99999999999999978</v>
      </c>
      <c r="AV120" s="38">
        <f t="shared" si="328"/>
        <v>0.86747993638820953</v>
      </c>
      <c r="AW120" s="4">
        <f t="shared" si="323"/>
        <v>1</v>
      </c>
      <c r="AX120" s="4">
        <f t="shared" si="220"/>
        <v>154.70461533367438</v>
      </c>
      <c r="AY120" s="4">
        <f t="shared" si="221"/>
        <v>1</v>
      </c>
      <c r="AZ120" s="38">
        <f t="shared" si="273"/>
        <v>241.19701490690136</v>
      </c>
      <c r="BA120" s="4">
        <f t="shared" si="222"/>
        <v>0.43440000000000001</v>
      </c>
      <c r="BB120" s="4">
        <f t="shared" si="244"/>
        <v>35.113925360745412</v>
      </c>
      <c r="BC120" s="4">
        <f t="shared" si="245"/>
        <v>276.31094026764674</v>
      </c>
      <c r="BE120" s="36">
        <f t="shared" si="312"/>
        <v>1.5201990816987241</v>
      </c>
      <c r="BF120" s="36">
        <f t="shared" si="313"/>
        <v>235.33860204091607</v>
      </c>
      <c r="BK120" s="4">
        <f t="shared" si="156"/>
        <v>57.199999999999996</v>
      </c>
      <c r="BL120" s="4">
        <f t="shared" si="157"/>
        <v>50.8</v>
      </c>
      <c r="BM120" s="4">
        <f t="shared" si="158"/>
        <v>57.199999999999996</v>
      </c>
      <c r="BN120" s="4">
        <f t="shared" si="159"/>
        <v>63.5</v>
      </c>
      <c r="BO120" s="4">
        <f t="shared" si="160"/>
        <v>1.0125984251968505</v>
      </c>
      <c r="BP120" s="25">
        <f t="shared" si="274"/>
        <v>3.161228029601602</v>
      </c>
      <c r="BR120" s="4">
        <f t="shared" si="331"/>
        <v>50.8</v>
      </c>
      <c r="BV120" s="9"/>
      <c r="BX120" s="9"/>
      <c r="BY120" s="9"/>
      <c r="BZ120" s="9">
        <f t="shared" si="231"/>
        <v>50.8</v>
      </c>
      <c r="CA120" s="9">
        <f t="shared" si="232"/>
        <v>127</v>
      </c>
      <c r="CB120" s="9">
        <f t="shared" si="248"/>
        <v>1.622579553879709</v>
      </c>
      <c r="CC120" s="9">
        <v>0</v>
      </c>
      <c r="CD120" s="9">
        <f t="shared" si="306"/>
        <v>4.3633231299858237E-2</v>
      </c>
      <c r="CE120" s="9">
        <f t="shared" si="249"/>
        <v>0</v>
      </c>
      <c r="CF120" s="9">
        <f t="shared" si="233"/>
        <v>0.99524931562137331</v>
      </c>
      <c r="CG120" s="9">
        <f t="shared" si="234"/>
        <v>1.056</v>
      </c>
      <c r="CH120" s="9">
        <f t="shared" si="250"/>
        <v>1.8020609303015322</v>
      </c>
      <c r="CI120" s="9">
        <f t="shared" si="251"/>
        <v>2.9239872203527137</v>
      </c>
      <c r="CJ120" s="9">
        <v>1</v>
      </c>
      <c r="CK120" s="9">
        <f t="shared" si="252"/>
        <v>245.61492650962794</v>
      </c>
      <c r="CM120" s="4">
        <f>AB120/AX120</f>
        <v>2.5273971248800322</v>
      </c>
      <c r="CN120" s="4">
        <f>AB120/BC120</f>
        <v>1.4150724528723346</v>
      </c>
      <c r="CO120" s="4">
        <f t="shared" si="208"/>
        <v>1.6614358911336635</v>
      </c>
      <c r="CP120" s="4">
        <f t="shared" si="335"/>
        <v>1.5919227937666609</v>
      </c>
      <c r="CQ120" s="4">
        <f t="shared" si="210"/>
        <v>0.98080807123647029</v>
      </c>
      <c r="CR120" s="4">
        <f t="shared" si="211"/>
        <v>1.0748032245531951</v>
      </c>
      <c r="CS120" s="4">
        <f t="shared" si="329"/>
        <v>1.1365535412883889</v>
      </c>
      <c r="DA120" s="4">
        <f t="shared" si="281"/>
        <v>2.5273971248800322</v>
      </c>
      <c r="DB120" s="4">
        <f t="shared" si="281"/>
        <v>1.4150724528723346</v>
      </c>
      <c r="DC120" s="4">
        <f t="shared" si="282"/>
        <v>1.5919227937666609</v>
      </c>
      <c r="DD120" s="4">
        <f t="shared" si="336"/>
        <v>1.1365535412883889</v>
      </c>
      <c r="DE120" s="4">
        <f t="shared" si="284"/>
        <v>0.98080807123647029</v>
      </c>
      <c r="DF120" s="4">
        <f t="shared" si="284"/>
        <v>1.0748032245531951</v>
      </c>
      <c r="DH120" s="4">
        <f t="shared" si="167"/>
        <v>2</v>
      </c>
      <c r="DI120" s="4">
        <f t="shared" si="168"/>
        <v>203.2</v>
      </c>
      <c r="DJ120" s="4">
        <f t="shared" si="169"/>
        <v>0.74999999999999989</v>
      </c>
      <c r="DL120" s="4">
        <f t="shared" si="170"/>
        <v>1.3667329281249728E-5</v>
      </c>
      <c r="DM120" s="4">
        <f t="shared" si="171"/>
        <v>5.6549766132535195</v>
      </c>
      <c r="DN120" s="4">
        <f t="shared" si="337"/>
        <v>0.63626164554762021</v>
      </c>
      <c r="DO120" s="4">
        <f t="shared" si="253"/>
        <v>4.7193817734810022</v>
      </c>
      <c r="DP120" s="4">
        <f t="shared" si="254"/>
        <v>5.2082472540776283</v>
      </c>
      <c r="DQ120" s="4">
        <f t="shared" si="255"/>
        <v>5.5149392832684514</v>
      </c>
      <c r="DR120" s="38">
        <f t="shared" si="275"/>
        <v>398.65087927659488</v>
      </c>
      <c r="DS120" s="4">
        <f t="shared" si="256"/>
        <v>1.0001238224621578</v>
      </c>
      <c r="DT120" s="4">
        <f t="shared" si="330"/>
        <v>2.2449944320643649</v>
      </c>
      <c r="DU120" s="4">
        <f t="shared" si="276"/>
        <v>278.04333540108792</v>
      </c>
      <c r="DY120" s="4">
        <f t="shared" si="235"/>
        <v>1</v>
      </c>
      <c r="DZ120" s="4">
        <f t="shared" si="257"/>
        <v>0.9</v>
      </c>
      <c r="EA120" s="4">
        <f t="shared" si="258"/>
        <v>0.77500000000000002</v>
      </c>
      <c r="EB120" s="4">
        <f t="shared" si="259"/>
        <v>0.7</v>
      </c>
      <c r="ED120" s="4">
        <f t="shared" si="277"/>
        <v>363.78752042034677</v>
      </c>
      <c r="EE120" s="25">
        <f t="shared" si="318"/>
        <v>272.18798506289443</v>
      </c>
      <c r="EH120" s="4">
        <f t="shared" si="314"/>
        <v>5.6549766132535195</v>
      </c>
      <c r="EI120" s="4">
        <f t="shared" si="174"/>
        <v>5.6549766132535195</v>
      </c>
      <c r="EK120" s="4">
        <f t="shared" si="175"/>
        <v>57.022858574434863</v>
      </c>
      <c r="EL120" s="4">
        <f t="shared" si="176"/>
        <v>2.2449944320643649</v>
      </c>
      <c r="EM120" s="4">
        <f t="shared" si="177"/>
        <v>0.17044200350862856</v>
      </c>
      <c r="EP120" s="4">
        <f t="shared" si="332"/>
        <v>0.17044200350862856</v>
      </c>
      <c r="EQ120" s="4">
        <f t="shared" si="333"/>
        <v>0.63519984344425195</v>
      </c>
      <c r="ER120" s="4">
        <f t="shared" si="180"/>
        <v>4.716229887450238</v>
      </c>
      <c r="ES120" s="4">
        <f t="shared" si="236"/>
        <v>5.2068197561823304</v>
      </c>
      <c r="ET120" s="4">
        <f t="shared" si="182"/>
        <v>95.377141425565114</v>
      </c>
      <c r="EU120" s="4">
        <f t="shared" si="183"/>
        <v>50.800000000000026</v>
      </c>
      <c r="EV120" s="4">
        <f t="shared" si="261"/>
        <v>1.3667329281249734E-5</v>
      </c>
      <c r="EW120" s="4">
        <f t="shared" si="237"/>
        <v>5.5149879200790073</v>
      </c>
      <c r="EX120" s="4">
        <f t="shared" si="185"/>
        <v>398.60152345454088</v>
      </c>
      <c r="EY120" s="4">
        <f t="shared" si="186"/>
        <v>95.377141425565114</v>
      </c>
      <c r="EZ120" s="4">
        <f t="shared" si="187"/>
        <v>0</v>
      </c>
      <c r="FB120" s="4">
        <f t="shared" si="338"/>
        <v>44.119903360632122</v>
      </c>
      <c r="FG120" s="23">
        <f t="shared" si="339"/>
        <v>2.2000000000000002</v>
      </c>
      <c r="FH120" s="23">
        <f t="shared" si="339"/>
        <v>1.6</v>
      </c>
      <c r="FI120" s="23">
        <f t="shared" si="230"/>
        <v>1.2</v>
      </c>
      <c r="FJ120" s="23">
        <f t="shared" si="340"/>
        <v>1.6</v>
      </c>
      <c r="FK120" s="23">
        <f t="shared" si="340"/>
        <v>1</v>
      </c>
      <c r="FL120" s="23">
        <f t="shared" si="340"/>
        <v>1.2</v>
      </c>
      <c r="FM120" s="23">
        <f t="shared" si="218"/>
        <v>0</v>
      </c>
      <c r="FN120" s="23"/>
      <c r="FX120" s="4">
        <f t="shared" si="263"/>
        <v>1</v>
      </c>
      <c r="FY120" s="4">
        <f t="shared" si="303"/>
        <v>0.51323787258912912</v>
      </c>
      <c r="FZ120" s="4">
        <f t="shared" si="265"/>
        <v>0.3</v>
      </c>
      <c r="GA120" s="4">
        <f t="shared" si="266"/>
        <v>344.02250821968772</v>
      </c>
    </row>
    <row r="121" spans="1:188" ht="12" customHeight="1" x14ac:dyDescent="0.3">
      <c r="A121" s="25">
        <v>103</v>
      </c>
      <c r="B121" s="20" t="s">
        <v>54</v>
      </c>
      <c r="C121" s="20">
        <v>2011</v>
      </c>
      <c r="D121" s="20" t="s">
        <v>293</v>
      </c>
      <c r="E121" s="24"/>
      <c r="F121" s="7" t="s">
        <v>68</v>
      </c>
      <c r="G121" s="7">
        <v>472</v>
      </c>
      <c r="H121" s="7">
        <f t="shared" si="315"/>
        <v>304.79999999999995</v>
      </c>
      <c r="I121" s="7">
        <f>K121*M121</f>
        <v>254</v>
      </c>
      <c r="J121" s="7">
        <v>26</v>
      </c>
      <c r="K121" s="7">
        <v>25.4</v>
      </c>
      <c r="L121" s="7">
        <v>12</v>
      </c>
      <c r="M121" s="7">
        <v>10</v>
      </c>
      <c r="N121" s="7">
        <f t="shared" si="321"/>
        <v>914.4</v>
      </c>
      <c r="O121" s="7">
        <f t="shared" si="316"/>
        <v>127</v>
      </c>
      <c r="P121" s="7"/>
      <c r="Q121" s="7">
        <f t="shared" si="309"/>
        <v>101.6</v>
      </c>
      <c r="R121" s="7">
        <v>3</v>
      </c>
      <c r="S121" s="7">
        <f t="shared" si="310"/>
        <v>50.8</v>
      </c>
      <c r="T121" s="7">
        <f t="shared" si="304"/>
        <v>2.5</v>
      </c>
      <c r="U121" s="7">
        <f t="shared" si="322"/>
        <v>2.5</v>
      </c>
      <c r="V121" s="7">
        <v>4.04</v>
      </c>
      <c r="W121" s="7">
        <f t="shared" si="152"/>
        <v>4.04</v>
      </c>
      <c r="X121" s="7">
        <f t="shared" si="242"/>
        <v>5.04</v>
      </c>
      <c r="Y121" s="7">
        <f t="shared" si="200"/>
        <v>57.022858574434863</v>
      </c>
      <c r="Z121" s="7"/>
      <c r="AA121" s="7"/>
      <c r="AB121" s="7">
        <v>371</v>
      </c>
      <c r="AC121" s="7"/>
      <c r="AD121" s="7">
        <f t="shared" si="334"/>
        <v>0.91362974984847978</v>
      </c>
      <c r="AE121" s="7">
        <v>9.5</v>
      </c>
      <c r="AF121" s="7">
        <v>2</v>
      </c>
      <c r="AG121" s="7">
        <f>H121-2*25.4</f>
        <v>253.99999999999994</v>
      </c>
      <c r="AH121" s="7">
        <v>2</v>
      </c>
      <c r="AI121" s="7">
        <v>2</v>
      </c>
      <c r="AJ121" s="7"/>
      <c r="AK121" s="4">
        <f t="shared" si="279"/>
        <v>304.79999999999995</v>
      </c>
      <c r="AL121" s="44">
        <f t="shared" si="311"/>
        <v>0.27777777777777785</v>
      </c>
      <c r="AM121" s="25">
        <f t="shared" si="268"/>
        <v>178.49684683556575</v>
      </c>
      <c r="AN121" s="4">
        <f t="shared" si="269"/>
        <v>0.74166666666666659</v>
      </c>
      <c r="AO121" s="4">
        <v>1.25</v>
      </c>
      <c r="AP121" s="25">
        <f t="shared" si="317"/>
        <v>5</v>
      </c>
      <c r="AQ121" s="38">
        <f t="shared" si="271"/>
        <v>229.83534965806356</v>
      </c>
      <c r="AR121" s="38">
        <f t="shared" si="272"/>
        <v>229.83534965806356</v>
      </c>
      <c r="AT121" s="38">
        <f t="shared" si="308"/>
        <v>229.83534965806339</v>
      </c>
      <c r="AU121" s="38">
        <f t="shared" si="243"/>
        <v>1.0000000000000007</v>
      </c>
      <c r="AV121" s="38">
        <f t="shared" si="328"/>
        <v>1.136886760621838</v>
      </c>
      <c r="AW121" s="4">
        <f t="shared" si="323"/>
        <v>0</v>
      </c>
      <c r="AX121" s="4">
        <f t="shared" si="220"/>
        <v>268.36944808383078</v>
      </c>
      <c r="AY121" s="4">
        <f t="shared" si="221"/>
        <v>1</v>
      </c>
      <c r="AZ121" s="38">
        <f t="shared" si="273"/>
        <v>261.29676614914314</v>
      </c>
      <c r="BA121" s="4">
        <f t="shared" si="222"/>
        <v>0.43440000000000001</v>
      </c>
      <c r="BB121" s="4">
        <f t="shared" si="244"/>
        <v>60.912887109379405</v>
      </c>
      <c r="BC121" s="4">
        <f t="shared" si="245"/>
        <v>322.20965325852256</v>
      </c>
      <c r="BE121" s="36">
        <f t="shared" si="312"/>
        <v>1.2593411263809653</v>
      </c>
      <c r="BF121" s="36">
        <f t="shared" si="313"/>
        <v>244.01338915208541</v>
      </c>
      <c r="BK121" s="4">
        <f t="shared" si="156"/>
        <v>57.199999999999996</v>
      </c>
      <c r="BL121" s="4">
        <f t="shared" si="157"/>
        <v>50.8</v>
      </c>
      <c r="BM121" s="4">
        <f t="shared" si="158"/>
        <v>57.199999999999996</v>
      </c>
      <c r="BN121" s="4">
        <f t="shared" si="159"/>
        <v>63.5</v>
      </c>
      <c r="BO121" s="4">
        <f t="shared" si="160"/>
        <v>1.0125984251968505</v>
      </c>
      <c r="BP121" s="25">
        <f t="shared" si="274"/>
        <v>2.7515493255056613</v>
      </c>
      <c r="BR121" s="4">
        <f t="shared" si="331"/>
        <v>50.8</v>
      </c>
      <c r="BV121" s="9"/>
      <c r="BX121" s="9"/>
      <c r="BY121" s="9"/>
      <c r="BZ121" s="9">
        <f t="shared" si="231"/>
        <v>50.8</v>
      </c>
      <c r="CA121" s="9">
        <f t="shared" si="232"/>
        <v>127</v>
      </c>
      <c r="CB121" s="9">
        <f t="shared" si="248"/>
        <v>1.622579553879709</v>
      </c>
      <c r="CC121" s="9">
        <v>0</v>
      </c>
      <c r="CD121" s="9">
        <f t="shared" si="306"/>
        <v>1.4649014042329492E-2</v>
      </c>
      <c r="CE121" s="9">
        <f t="shared" si="249"/>
        <v>0</v>
      </c>
      <c r="CF121" s="9">
        <f t="shared" si="233"/>
        <v>0.99524931562137331</v>
      </c>
      <c r="CG121" s="9">
        <f t="shared" si="234"/>
        <v>1.056</v>
      </c>
      <c r="CH121" s="9">
        <f t="shared" si="250"/>
        <v>1.8756444837875041</v>
      </c>
      <c r="CI121" s="9">
        <f t="shared" si="251"/>
        <v>3.0433823897408656</v>
      </c>
      <c r="CJ121" s="9">
        <v>1</v>
      </c>
      <c r="CK121" s="9">
        <f t="shared" si="252"/>
        <v>304.33823897408661</v>
      </c>
      <c r="CM121" s="4">
        <f>AB121/AX121</f>
        <v>1.3824226365890593</v>
      </c>
      <c r="CN121" s="4">
        <f>AB121/BC121</f>
        <v>1.1514242240977519</v>
      </c>
      <c r="CO121" s="4">
        <f t="shared" si="208"/>
        <v>1.5204083730371372</v>
      </c>
      <c r="CP121" s="4">
        <f t="shared" si="335"/>
        <v>1.2190384003358494</v>
      </c>
      <c r="CQ121" s="4">
        <f t="shared" si="210"/>
        <v>0.91362974984847978</v>
      </c>
      <c r="CR121" s="4">
        <f t="shared" si="211"/>
        <v>0.99828830815771896</v>
      </c>
      <c r="CS121" s="4">
        <f t="shared" si="329"/>
        <v>0.77573488574208971</v>
      </c>
      <c r="DA121" s="4">
        <f t="shared" si="281"/>
        <v>1.3824226365890593</v>
      </c>
      <c r="DB121" s="4">
        <f t="shared" si="281"/>
        <v>1.1514242240977519</v>
      </c>
      <c r="DC121" s="4">
        <f t="shared" si="282"/>
        <v>1.2190384003358494</v>
      </c>
      <c r="DD121" s="4">
        <f t="shared" si="336"/>
        <v>0.77573488574208971</v>
      </c>
      <c r="DE121" s="4">
        <f t="shared" si="284"/>
        <v>0.91362974984847978</v>
      </c>
      <c r="DF121" s="4">
        <f t="shared" si="284"/>
        <v>0.99828830815771896</v>
      </c>
      <c r="DH121" s="4">
        <f t="shared" si="167"/>
        <v>2</v>
      </c>
      <c r="DI121" s="4">
        <f t="shared" si="168"/>
        <v>304.79999999999995</v>
      </c>
      <c r="DJ121" s="4">
        <f t="shared" si="169"/>
        <v>0.83333333333333348</v>
      </c>
      <c r="DL121" s="4">
        <f t="shared" si="170"/>
        <v>2.0812659450250191E-5</v>
      </c>
      <c r="DM121" s="4">
        <f t="shared" si="171"/>
        <v>5.1231060364842103</v>
      </c>
      <c r="DN121" s="4">
        <f t="shared" si="337"/>
        <v>0.48548741257573685</v>
      </c>
      <c r="DO121" s="4">
        <f t="shared" si="253"/>
        <v>3.837112518900283</v>
      </c>
      <c r="DP121" s="4">
        <f t="shared" si="254"/>
        <v>4.5261091865085605</v>
      </c>
      <c r="DQ121" s="4">
        <f t="shared" si="255"/>
        <v>4.8712620105281452</v>
      </c>
      <c r="DR121" s="38">
        <f t="shared" si="275"/>
        <v>406.072591289336</v>
      </c>
      <c r="DS121" s="4">
        <f t="shared" si="256"/>
        <v>1.0001268222237163</v>
      </c>
      <c r="DT121" s="4">
        <f t="shared" si="330"/>
        <v>2.2449944320643649</v>
      </c>
      <c r="DU121" s="4">
        <f t="shared" si="276"/>
        <v>229.83534965806339</v>
      </c>
      <c r="DY121" s="4">
        <f t="shared" si="235"/>
        <v>1</v>
      </c>
      <c r="DZ121" s="4">
        <f t="shared" si="257"/>
        <v>0.9</v>
      </c>
      <c r="EA121" s="4">
        <f t="shared" si="258"/>
        <v>0.90713466426932854</v>
      </c>
      <c r="EB121" s="4">
        <f t="shared" si="259"/>
        <v>0.81642119784239575</v>
      </c>
      <c r="ED121" s="4">
        <f t="shared" si="277"/>
        <v>371.63612652607162</v>
      </c>
      <c r="EE121" s="25">
        <f t="shared" si="318"/>
        <v>226.1749676920474</v>
      </c>
      <c r="EH121" s="4">
        <f t="shared" si="314"/>
        <v>5.1231060364842103</v>
      </c>
      <c r="EI121" s="4">
        <f t="shared" si="174"/>
        <v>5.1231060364842103</v>
      </c>
      <c r="EK121" s="4">
        <f t="shared" si="175"/>
        <v>57.022858574434863</v>
      </c>
      <c r="EL121" s="4">
        <f t="shared" si="176"/>
        <v>2.2449944320643649</v>
      </c>
      <c r="EM121" s="4">
        <f t="shared" si="177"/>
        <v>0.13536298215194248</v>
      </c>
      <c r="EP121" s="4">
        <f t="shared" si="332"/>
        <v>0.13536298215194248</v>
      </c>
      <c r="EQ121" s="4">
        <f t="shared" si="333"/>
        <v>0.48467722456670143</v>
      </c>
      <c r="ER121" s="4">
        <f t="shared" si="180"/>
        <v>3.8345498651614491</v>
      </c>
      <c r="ES121" s="4">
        <f t="shared" si="236"/>
        <v>4.5250239350752812</v>
      </c>
      <c r="ET121" s="4">
        <f t="shared" si="182"/>
        <v>171.57714142556512</v>
      </c>
      <c r="EU121" s="4">
        <f t="shared" si="183"/>
        <v>76.199999999999989</v>
      </c>
      <c r="EV121" s="4">
        <f t="shared" si="261"/>
        <v>2.0812659450250191E-5</v>
      </c>
      <c r="EW121" s="4">
        <f t="shared" si="237"/>
        <v>4.871332309925922</v>
      </c>
      <c r="EX121" s="4">
        <f t="shared" si="185"/>
        <v>406.02109879071168</v>
      </c>
      <c r="EY121" s="4">
        <f t="shared" si="186"/>
        <v>171.57714142556512</v>
      </c>
      <c r="EZ121" s="4">
        <f t="shared" si="187"/>
        <v>25.40000000000002</v>
      </c>
      <c r="FB121" s="4">
        <f t="shared" si="338"/>
        <v>38.970658479407348</v>
      </c>
      <c r="FG121" s="23">
        <f t="shared" si="339"/>
        <v>1.4</v>
      </c>
      <c r="FH121" s="23">
        <f t="shared" si="339"/>
        <v>1.2</v>
      </c>
      <c r="FI121" s="23">
        <f t="shared" si="230"/>
        <v>0.8</v>
      </c>
      <c r="FJ121" s="23">
        <f t="shared" si="340"/>
        <v>1.4</v>
      </c>
      <c r="FK121" s="23">
        <f t="shared" si="340"/>
        <v>1</v>
      </c>
      <c r="FL121" s="23">
        <f t="shared" si="340"/>
        <v>1</v>
      </c>
      <c r="FM121" s="23">
        <f t="shared" si="218"/>
        <v>0</v>
      </c>
      <c r="FN121" s="23"/>
      <c r="FX121" s="4">
        <f t="shared" si="263"/>
        <v>1</v>
      </c>
      <c r="FY121" s="4">
        <f t="shared" si="303"/>
        <v>0.56497177617382699</v>
      </c>
      <c r="FZ121" s="4">
        <f t="shared" si="265"/>
        <v>0.18651703970074607</v>
      </c>
      <c r="GA121" s="4">
        <f t="shared" si="266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customHeight="1" x14ac:dyDescent="0.3">
      <c r="A122" s="25">
        <v>104</v>
      </c>
      <c r="B122" s="20" t="s">
        <v>54</v>
      </c>
      <c r="C122" s="20">
        <v>2012</v>
      </c>
      <c r="D122" s="20" t="s">
        <v>293</v>
      </c>
      <c r="E122" s="24"/>
      <c r="F122" s="7" t="s">
        <v>68</v>
      </c>
      <c r="G122" s="7">
        <v>472</v>
      </c>
      <c r="H122" s="7">
        <f t="shared" si="315"/>
        <v>304.79999999999995</v>
      </c>
      <c r="I122" s="7">
        <f>K122*M122</f>
        <v>254</v>
      </c>
      <c r="J122" s="7">
        <v>26</v>
      </c>
      <c r="K122" s="7">
        <v>25.4</v>
      </c>
      <c r="L122" s="7">
        <v>12</v>
      </c>
      <c r="M122" s="7">
        <v>10</v>
      </c>
      <c r="N122" s="7">
        <f t="shared" si="321"/>
        <v>914.4</v>
      </c>
      <c r="O122" s="7">
        <f t="shared" si="316"/>
        <v>127</v>
      </c>
      <c r="P122" s="7"/>
      <c r="Q122" s="7">
        <f t="shared" si="309"/>
        <v>101.6</v>
      </c>
      <c r="R122" s="7">
        <v>3</v>
      </c>
      <c r="S122" s="7">
        <f t="shared" si="310"/>
        <v>50.8</v>
      </c>
      <c r="T122" s="7">
        <f t="shared" si="304"/>
        <v>2.5</v>
      </c>
      <c r="U122" s="7">
        <f t="shared" si="322"/>
        <v>2.5</v>
      </c>
      <c r="V122" s="7">
        <v>4.04</v>
      </c>
      <c r="W122" s="7">
        <f t="shared" si="152"/>
        <v>4.04</v>
      </c>
      <c r="X122" s="7">
        <f t="shared" si="242"/>
        <v>5.04</v>
      </c>
      <c r="Y122" s="7">
        <f t="shared" si="200"/>
        <v>57.022858574434863</v>
      </c>
      <c r="Z122" s="7"/>
      <c r="AA122" s="7"/>
      <c r="AB122" s="7">
        <v>390</v>
      </c>
      <c r="AC122" s="7"/>
      <c r="AD122" s="7">
        <f t="shared" si="334"/>
        <v>0.88891200438416107</v>
      </c>
      <c r="AE122" s="7">
        <v>9.5</v>
      </c>
      <c r="AF122" s="7">
        <v>2</v>
      </c>
      <c r="AG122" s="7">
        <f>3*25.4</f>
        <v>76.199999999999989</v>
      </c>
      <c r="AH122" s="7">
        <v>2</v>
      </c>
      <c r="AI122" s="7">
        <v>2</v>
      </c>
      <c r="AJ122" s="7"/>
      <c r="AK122" s="4">
        <f t="shared" si="279"/>
        <v>304.79999999999995</v>
      </c>
      <c r="AL122" s="44">
        <f t="shared" si="311"/>
        <v>0.27777777777777785</v>
      </c>
      <c r="AM122" s="25">
        <f t="shared" si="268"/>
        <v>178.49684683556575</v>
      </c>
      <c r="AN122" s="4">
        <f t="shared" si="269"/>
        <v>0.74166666666666659</v>
      </c>
      <c r="AO122" s="4">
        <v>1.25</v>
      </c>
      <c r="AP122" s="25">
        <f t="shared" si="317"/>
        <v>5</v>
      </c>
      <c r="AQ122" s="38">
        <f t="shared" si="271"/>
        <v>229.83534965806356</v>
      </c>
      <c r="AR122" s="38">
        <f t="shared" si="272"/>
        <v>229.83534965806356</v>
      </c>
      <c r="AT122" s="38">
        <f>AP122* (J122^0.5/AK122^0.5)/(PI()/4*K122^2)/R122/0.72 *(0.7+(MIN(O122,S122)+0.5*K122)/5/H122) *(N122*MIN(S122+0.5*K122+1.5*H122,254))</f>
        <v>229.83534965806339</v>
      </c>
      <c r="AU122" s="38">
        <f t="shared" si="243"/>
        <v>1.0000000000000007</v>
      </c>
      <c r="AV122" s="38">
        <f t="shared" si="328"/>
        <v>1.136886760621838</v>
      </c>
      <c r="AW122" s="4">
        <f t="shared" si="323"/>
        <v>0</v>
      </c>
      <c r="AX122" s="4">
        <f t="shared" si="220"/>
        <v>268.36944808383078</v>
      </c>
      <c r="AY122" s="4">
        <f t="shared" si="221"/>
        <v>1</v>
      </c>
      <c r="AZ122" s="38">
        <f t="shared" si="273"/>
        <v>261.29676614914314</v>
      </c>
      <c r="BA122" s="4">
        <f t="shared" si="222"/>
        <v>0.43440000000000001</v>
      </c>
      <c r="BB122" s="4">
        <f t="shared" si="244"/>
        <v>60.912887109379405</v>
      </c>
      <c r="BC122" s="4">
        <f t="shared" si="245"/>
        <v>322.20965325852256</v>
      </c>
      <c r="BE122" s="36">
        <f t="shared" si="312"/>
        <v>1.5669704212698847</v>
      </c>
      <c r="BF122" s="36">
        <f t="shared" si="313"/>
        <v>303.62048470055822</v>
      </c>
      <c r="BK122" s="4">
        <f t="shared" si="156"/>
        <v>57.199999999999996</v>
      </c>
      <c r="BL122" s="4">
        <f t="shared" si="157"/>
        <v>50.8</v>
      </c>
      <c r="BM122" s="4">
        <f t="shared" si="158"/>
        <v>57.199999999999996</v>
      </c>
      <c r="BN122" s="4">
        <f t="shared" si="159"/>
        <v>63.5</v>
      </c>
      <c r="BO122" s="4">
        <f t="shared" si="160"/>
        <v>1.0125984251968505</v>
      </c>
      <c r="BP122" s="25">
        <f t="shared" si="274"/>
        <v>3.2650069380372431</v>
      </c>
      <c r="BR122" s="4">
        <f t="shared" si="331"/>
        <v>50.8</v>
      </c>
      <c r="BV122" s="9"/>
      <c r="BX122" s="9"/>
      <c r="BY122" s="9"/>
      <c r="BZ122" s="9">
        <f t="shared" si="231"/>
        <v>50.8</v>
      </c>
      <c r="CA122" s="9">
        <f t="shared" si="232"/>
        <v>127</v>
      </c>
      <c r="CB122" s="9">
        <f t="shared" si="248"/>
        <v>1.622579553879709</v>
      </c>
      <c r="CC122" s="9">
        <v>20</v>
      </c>
      <c r="CD122" s="9">
        <f t="shared" si="306"/>
        <v>4.8830046807764975E-2</v>
      </c>
      <c r="CE122" s="9">
        <f t="shared" si="249"/>
        <v>0.77660093615529946</v>
      </c>
      <c r="CF122" s="9">
        <f t="shared" si="233"/>
        <v>0.99524931562137331</v>
      </c>
      <c r="CG122" s="9">
        <f t="shared" si="234"/>
        <v>1.056</v>
      </c>
      <c r="CH122" s="9">
        <f t="shared" si="250"/>
        <v>1.8756444837875041</v>
      </c>
      <c r="CI122" s="9">
        <f t="shared" si="251"/>
        <v>4.5000096517447643</v>
      </c>
      <c r="CJ122" s="9">
        <v>1</v>
      </c>
      <c r="CK122" s="9">
        <f t="shared" si="252"/>
        <v>450.00096517447645</v>
      </c>
      <c r="CM122" s="4">
        <f>AB122/AX122</f>
        <v>1.4532205613739437</v>
      </c>
      <c r="CN122" s="4">
        <f>AB122/BC122</f>
        <v>1.2103920415043752</v>
      </c>
      <c r="CO122" s="4">
        <f t="shared" si="208"/>
        <v>1.2844983117151416</v>
      </c>
      <c r="CP122" s="4">
        <f t="shared" si="335"/>
        <v>0.86666480781610633</v>
      </c>
      <c r="CQ122" s="4">
        <f t="shared" si="210"/>
        <v>0.88891200438416107</v>
      </c>
      <c r="CR122" s="4">
        <f t="shared" si="211"/>
        <v>0.9769003202032982</v>
      </c>
      <c r="CS122" s="4">
        <f t="shared" si="329"/>
        <v>0.81546254835421828</v>
      </c>
      <c r="DA122" s="4">
        <f t="shared" si="281"/>
        <v>1.4532205613739437</v>
      </c>
      <c r="DB122" s="4">
        <f t="shared" si="281"/>
        <v>1.2103920415043752</v>
      </c>
      <c r="DC122" s="4">
        <f t="shared" si="282"/>
        <v>0.86666480781610633</v>
      </c>
      <c r="DD122" s="4">
        <f t="shared" si="336"/>
        <v>0.81546254835421828</v>
      </c>
      <c r="DE122" s="4">
        <f t="shared" si="284"/>
        <v>0.88891200438416107</v>
      </c>
      <c r="DF122" s="4">
        <f t="shared" si="284"/>
        <v>0.9769003202032982</v>
      </c>
      <c r="DH122" s="4">
        <f t="shared" si="167"/>
        <v>2</v>
      </c>
      <c r="DI122" s="4">
        <f t="shared" si="168"/>
        <v>304.79999999999995</v>
      </c>
      <c r="DJ122" s="4">
        <f t="shared" si="169"/>
        <v>0.83333333333333348</v>
      </c>
      <c r="DL122" s="4">
        <f t="shared" si="170"/>
        <v>2.0812659450250191E-5</v>
      </c>
      <c r="DM122" s="4">
        <f t="shared" si="171"/>
        <v>6.0791120836430785</v>
      </c>
      <c r="DN122" s="4">
        <f t="shared" si="337"/>
        <v>0.48548741257573685</v>
      </c>
      <c r="DO122" s="4">
        <f t="shared" si="253"/>
        <v>4.5531435253978731</v>
      </c>
      <c r="DP122" s="4">
        <f t="shared" si="254"/>
        <v>5.3707116057418993</v>
      </c>
      <c r="DQ122" s="4">
        <f t="shared" si="255"/>
        <v>5.7250392510040635</v>
      </c>
      <c r="DR122" s="38">
        <f t="shared" si="275"/>
        <v>438.73859063270532</v>
      </c>
      <c r="DS122" s="4">
        <f t="shared" si="256"/>
        <v>1.0001388635364257</v>
      </c>
      <c r="DT122" s="4">
        <f t="shared" si="330"/>
        <v>2.2449944320643649</v>
      </c>
      <c r="DU122" s="4">
        <f t="shared" si="276"/>
        <v>229.83534965806339</v>
      </c>
      <c r="DY122" s="4">
        <f t="shared" si="235"/>
        <v>1</v>
      </c>
      <c r="DZ122" s="4">
        <f t="shared" si="257"/>
        <v>0.9</v>
      </c>
      <c r="EA122" s="4">
        <f t="shared" si="258"/>
        <v>0.90713466426932854</v>
      </c>
      <c r="EB122" s="4">
        <f t="shared" si="259"/>
        <v>0.81642119784239575</v>
      </c>
      <c r="ED122" s="4">
        <f t="shared" si="277"/>
        <v>399.2218980119066</v>
      </c>
      <c r="EE122" s="25">
        <f t="shared" si="318"/>
        <v>226.1749676920474</v>
      </c>
      <c r="EH122" s="4">
        <f t="shared" si="314"/>
        <v>6.0791120836430785</v>
      </c>
      <c r="EI122" s="4">
        <f t="shared" si="174"/>
        <v>6.0791120836430785</v>
      </c>
      <c r="EK122" s="4">
        <f t="shared" si="175"/>
        <v>57.022858574434863</v>
      </c>
      <c r="EL122" s="4">
        <f t="shared" si="176"/>
        <v>2.2449944320643649</v>
      </c>
      <c r="EM122" s="4">
        <f t="shared" si="177"/>
        <v>0.13536298215194248</v>
      </c>
      <c r="EP122" s="4">
        <f t="shared" si="332"/>
        <v>0.13536298215194248</v>
      </c>
      <c r="EQ122" s="4">
        <f t="shared" si="333"/>
        <v>0.48467722456670143</v>
      </c>
      <c r="ER122" s="4">
        <f t="shared" si="180"/>
        <v>4.5501026632335932</v>
      </c>
      <c r="ES122" s="4">
        <f t="shared" si="236"/>
        <v>5.3694238390911897</v>
      </c>
      <c r="ET122" s="4">
        <f t="shared" si="182"/>
        <v>171.57714142556512</v>
      </c>
      <c r="EU122" s="4">
        <f t="shared" si="183"/>
        <v>76.199999999999989</v>
      </c>
      <c r="EV122" s="4">
        <f t="shared" si="261"/>
        <v>2.0812659450250191E-5</v>
      </c>
      <c r="EW122" s="4">
        <f t="shared" si="237"/>
        <v>5.7251380864114534</v>
      </c>
      <c r="EX122" s="4">
        <f t="shared" si="185"/>
        <v>438.67767429950112</v>
      </c>
      <c r="EY122" s="4">
        <f t="shared" si="186"/>
        <v>171.57714142556512</v>
      </c>
      <c r="EZ122" s="4">
        <f t="shared" si="187"/>
        <v>25.40000000000002</v>
      </c>
      <c r="FB122" s="4">
        <f t="shared" si="338"/>
        <v>45.801104691291584</v>
      </c>
      <c r="FG122" s="23">
        <f t="shared" si="339"/>
        <v>1.6</v>
      </c>
      <c r="FH122" s="23">
        <f t="shared" si="339"/>
        <v>1.4</v>
      </c>
      <c r="FI122" s="23">
        <f t="shared" si="230"/>
        <v>1</v>
      </c>
      <c r="FJ122" s="23">
        <f t="shared" si="340"/>
        <v>1</v>
      </c>
      <c r="FK122" s="23">
        <f t="shared" si="340"/>
        <v>1</v>
      </c>
      <c r="FL122" s="23">
        <f t="shared" si="340"/>
        <v>1</v>
      </c>
      <c r="FM122" s="23">
        <f t="shared" si="218"/>
        <v>0</v>
      </c>
      <c r="FN122" s="23"/>
      <c r="FX122" s="4">
        <f t="shared" si="263"/>
        <v>1</v>
      </c>
      <c r="FY122" s="4">
        <f t="shared" si="303"/>
        <v>0.56497177617382699</v>
      </c>
      <c r="FZ122" s="4">
        <f t="shared" si="265"/>
        <v>0.18651703970074607</v>
      </c>
      <c r="GA122" s="4">
        <f t="shared" si="266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customHeight="1" x14ac:dyDescent="0.3">
      <c r="A123" s="25">
        <v>105</v>
      </c>
      <c r="B123" s="24" t="s">
        <v>128</v>
      </c>
      <c r="C123" s="24">
        <v>2015</v>
      </c>
      <c r="D123" s="24" t="s">
        <v>293</v>
      </c>
      <c r="E123" s="24"/>
      <c r="F123" s="7" t="s">
        <v>129</v>
      </c>
      <c r="G123" s="7">
        <v>710</v>
      </c>
      <c r="H123" s="7">
        <f t="shared" si="315"/>
        <v>429</v>
      </c>
      <c r="I123" s="7">
        <f>H123</f>
        <v>429</v>
      </c>
      <c r="J123" s="7">
        <v>41.4</v>
      </c>
      <c r="K123" s="7">
        <v>28.6</v>
      </c>
      <c r="L123" s="7">
        <v>15</v>
      </c>
      <c r="M123" s="7">
        <f>L123</f>
        <v>15</v>
      </c>
      <c r="N123" s="7">
        <v>261</v>
      </c>
      <c r="O123" s="7">
        <f>K123</f>
        <v>28.6</v>
      </c>
      <c r="P123" s="7"/>
      <c r="Q123" s="7">
        <f>1*K123</f>
        <v>28.6</v>
      </c>
      <c r="R123" s="7">
        <v>2</v>
      </c>
      <c r="S123" s="7">
        <f>72.5-K123/2</f>
        <v>58.2</v>
      </c>
      <c r="T123" s="7">
        <f t="shared" si="304"/>
        <v>1</v>
      </c>
      <c r="U123" s="7">
        <f>MIN(S123/K123+0.5, (O123+K123/2)/K123)</f>
        <v>1.5000000000000002</v>
      </c>
      <c r="V123" s="7">
        <f>X123-1</f>
        <v>4</v>
      </c>
      <c r="W123" s="7">
        <f t="shared" si="152"/>
        <v>4</v>
      </c>
      <c r="X123" s="7">
        <v>5</v>
      </c>
      <c r="Y123" s="7">
        <f t="shared" si="200"/>
        <v>63.951544156493995</v>
      </c>
      <c r="Z123" s="7"/>
      <c r="AA123" s="7"/>
      <c r="AB123" s="7">
        <v>312</v>
      </c>
      <c r="AC123" s="7"/>
      <c r="AD123" s="7">
        <f t="shared" si="334"/>
        <v>1.1567904160258464</v>
      </c>
      <c r="AE123" s="7"/>
      <c r="AF123" s="7"/>
      <c r="AG123" s="7">
        <v>1</v>
      </c>
      <c r="AH123" s="7"/>
      <c r="AI123" s="7"/>
      <c r="AJ123" s="7"/>
      <c r="AK123" s="4">
        <f t="shared" si="279"/>
        <v>429</v>
      </c>
      <c r="AL123" s="46">
        <f>MIN(N123)*(MIN(350-S123-0.5*K123,1.5*AK123)+S123+K123/2)/(3*H123)^2</f>
        <v>5.5150754451453753E-2</v>
      </c>
      <c r="AM123" s="25">
        <f t="shared" si="268"/>
        <v>444.9735182569961</v>
      </c>
      <c r="AN123" s="4">
        <f t="shared" si="269"/>
        <v>0.72</v>
      </c>
      <c r="AO123" s="4">
        <v>1.25</v>
      </c>
      <c r="AP123" s="25">
        <f t="shared" si="317"/>
        <v>5</v>
      </c>
      <c r="AQ123" s="38">
        <f t="shared" si="271"/>
        <v>110.4328135925598</v>
      </c>
      <c r="AR123" s="38">
        <f t="shared" si="272"/>
        <v>110.4328135925598</v>
      </c>
      <c r="AT123" s="38">
        <f>AP123* (J123^0.5/AK123^0.5)/(PI()/4*K123^2)/R123/0.72 *(0.7+(MIN(O123,S123)+0.5*K123)/5/H123) *(N123*MIN(S123+0.5*K123+1.5*H123,350))</f>
        <v>110.43281359255974</v>
      </c>
      <c r="AU123" s="38">
        <f t="shared" si="243"/>
        <v>1.0000000000000004</v>
      </c>
      <c r="AV123" s="38">
        <f t="shared" si="328"/>
        <v>1.7994651547426346</v>
      </c>
      <c r="AW123" s="4">
        <f t="shared" si="323"/>
        <v>0</v>
      </c>
      <c r="AX123" s="4">
        <f t="shared" si="220"/>
        <v>507.96972448880257</v>
      </c>
      <c r="AY123" s="4">
        <f t="shared" si="221"/>
        <v>1.2000000000000002</v>
      </c>
      <c r="AZ123" s="38">
        <f t="shared" si="273"/>
        <v>198.72000000000003</v>
      </c>
      <c r="BA123" s="4">
        <f t="shared" si="222"/>
        <v>0.44000000000000006</v>
      </c>
      <c r="BB123" s="4">
        <f t="shared" si="244"/>
        <v>116.7822396599757</v>
      </c>
      <c r="BC123" s="4">
        <f t="shared" si="245"/>
        <v>315.50223965997571</v>
      </c>
      <c r="BE123" s="36">
        <f t="shared" si="312"/>
        <v>1</v>
      </c>
      <c r="BF123" s="36">
        <f t="shared" si="313"/>
        <v>295.97702613547563</v>
      </c>
      <c r="BK123" s="4">
        <f>IF(R123=1,O123,MIN(O123,Q123/2+6.4))</f>
        <v>20.700000000000003</v>
      </c>
      <c r="BL123" s="4">
        <f t="shared" si="157"/>
        <v>20.700000000000003</v>
      </c>
      <c r="BM123" s="4">
        <f t="shared" si="158"/>
        <v>58.2</v>
      </c>
      <c r="BN123" s="4">
        <f t="shared" si="159"/>
        <v>35</v>
      </c>
      <c r="BO123" s="4">
        <f t="shared" si="160"/>
        <v>1.181159420289855</v>
      </c>
      <c r="BP123" s="25">
        <f t="shared" si="274"/>
        <v>1.4454748150400323</v>
      </c>
      <c r="BR123" s="4">
        <f t="shared" si="331"/>
        <v>14.3</v>
      </c>
      <c r="BV123" s="9"/>
      <c r="BX123" s="9"/>
      <c r="BY123" s="9"/>
      <c r="BZ123" s="9">
        <f t="shared" si="231"/>
        <v>14.3</v>
      </c>
      <c r="CA123" s="9">
        <f t="shared" si="232"/>
        <v>28.6</v>
      </c>
      <c r="CB123" s="9">
        <f t="shared" si="248"/>
        <v>0.78458409789675088</v>
      </c>
      <c r="CC123" s="9">
        <v>0</v>
      </c>
      <c r="CD123" s="9">
        <f t="shared" si="306"/>
        <v>0</v>
      </c>
      <c r="CE123" s="9">
        <f t="shared" si="249"/>
        <v>0</v>
      </c>
      <c r="CF123" s="9">
        <f t="shared" si="233"/>
        <v>0.96044432035915817</v>
      </c>
      <c r="CG123" s="9">
        <f t="shared" si="234"/>
        <v>0.74299999999999999</v>
      </c>
      <c r="CH123" s="9">
        <f t="shared" si="250"/>
        <v>1.6070493790635749</v>
      </c>
      <c r="CI123" s="9">
        <f t="shared" si="251"/>
        <v>1.2608653873481286</v>
      </c>
      <c r="CJ123" s="9">
        <v>1</v>
      </c>
      <c r="CK123" s="9">
        <f t="shared" si="252"/>
        <v>151.30384648177542</v>
      </c>
      <c r="CM123" s="4">
        <f t="shared" ref="CM123:CM152" si="341">AB123/AX123</f>
        <v>0.61420983369428661</v>
      </c>
      <c r="CN123" s="4">
        <f t="shared" ref="CN123:CN152" si="342">AB123/BC123</f>
        <v>0.98889947765901709</v>
      </c>
      <c r="CO123" s="4">
        <f t="shared" si="208"/>
        <v>1.0541358701847023</v>
      </c>
      <c r="CP123" s="4">
        <f t="shared" si="335"/>
        <v>2.0620757981693512</v>
      </c>
      <c r="CQ123" s="4">
        <f t="shared" si="210"/>
        <v>1.1567904160258464</v>
      </c>
      <c r="CR123" s="4">
        <f t="shared" si="211"/>
        <v>1.1921334586493271</v>
      </c>
      <c r="CS123" s="4">
        <f t="shared" si="329"/>
        <v>1.0907536233465573</v>
      </c>
      <c r="CU123" s="4">
        <f t="shared" si="212"/>
        <v>0.61420983369428661</v>
      </c>
      <c r="CV123" s="4">
        <f t="shared" si="212"/>
        <v>0.98889947765901709</v>
      </c>
      <c r="CW123" s="4">
        <f t="shared" si="213"/>
        <v>2.0620757981693512</v>
      </c>
      <c r="CX123" s="4">
        <f t="shared" ref="CX123:CX138" si="343">CS123</f>
        <v>1.0907536233465573</v>
      </c>
      <c r="CY123" s="4">
        <f t="shared" si="215"/>
        <v>1.1567904160258464</v>
      </c>
      <c r="CZ123" s="4">
        <f t="shared" si="215"/>
        <v>1.1921334586493271</v>
      </c>
      <c r="DH123" s="4">
        <f t="shared" si="167"/>
        <v>0</v>
      </c>
      <c r="DI123" s="4">
        <f t="shared" si="168"/>
        <v>429</v>
      </c>
      <c r="DJ123" s="4">
        <f t="shared" si="169"/>
        <v>1</v>
      </c>
      <c r="DL123" s="4">
        <f t="shared" si="170"/>
        <v>2.8953960744479089E-5</v>
      </c>
      <c r="DM123" s="4">
        <f t="shared" si="171"/>
        <v>3.3960968587263358</v>
      </c>
      <c r="DN123" s="4">
        <f t="shared" si="337"/>
        <v>0.16594176945972797</v>
      </c>
      <c r="DO123" s="4">
        <f t="shared" si="253"/>
        <v>1.6556264453486476</v>
      </c>
      <c r="DP123" s="4">
        <f t="shared" si="254"/>
        <v>2.6731255192363665</v>
      </c>
      <c r="DQ123" s="4">
        <f t="shared" si="255"/>
        <v>3.2059403020553709</v>
      </c>
      <c r="DR123" s="38">
        <f t="shared" si="275"/>
        <v>269.71177810400263</v>
      </c>
      <c r="DS123" s="4">
        <f t="shared" si="256"/>
        <v>1.0000801385301492</v>
      </c>
      <c r="DT123" s="4">
        <f t="shared" si="330"/>
        <v>2.2360679774997898</v>
      </c>
      <c r="DU123" s="4">
        <f t="shared" si="276"/>
        <v>110.43281359255974</v>
      </c>
      <c r="DY123" s="4">
        <f t="shared" si="235"/>
        <v>1</v>
      </c>
      <c r="DZ123" s="4">
        <f t="shared" si="257"/>
        <v>1</v>
      </c>
      <c r="EA123" s="4">
        <f t="shared" si="258"/>
        <v>1</v>
      </c>
      <c r="EB123" s="4">
        <f t="shared" si="259"/>
        <v>1</v>
      </c>
      <c r="ED123" s="4">
        <f t="shared" si="277"/>
        <v>261.71566424575673</v>
      </c>
      <c r="EE123" s="25">
        <f>8.8*N123*350*J123^0.5/R123/K123^2/H123^0.5*(0.7+MIN(S123,O123)/5/H123)</f>
        <v>108.89130560307159</v>
      </c>
      <c r="EH123" s="4">
        <f t="shared" si="314"/>
        <v>3.3960968587263358</v>
      </c>
      <c r="EI123" s="4">
        <f t="shared" si="174"/>
        <v>3.3960968587263358</v>
      </c>
      <c r="EK123" s="4">
        <f t="shared" si="175"/>
        <v>63.951544156493995</v>
      </c>
      <c r="EL123" s="4">
        <f t="shared" si="176"/>
        <v>2.2360679774997898</v>
      </c>
      <c r="EM123" s="4">
        <f t="shared" si="177"/>
        <v>5.8383637923874583E-2</v>
      </c>
      <c r="EP123" s="4">
        <f t="shared" si="332"/>
        <v>5.8383637923874583E-2</v>
      </c>
      <c r="EQ123" s="4">
        <f t="shared" si="333"/>
        <v>0.16566484357384129</v>
      </c>
      <c r="ER123" s="4">
        <f t="shared" si="180"/>
        <v>1.6545207187692508</v>
      </c>
      <c r="ES123" s="4">
        <f t="shared" si="236"/>
        <v>2.6727876155691903</v>
      </c>
      <c r="ET123" s="4">
        <f t="shared" si="182"/>
        <v>257.79845584350602</v>
      </c>
      <c r="EU123" s="4">
        <f t="shared" si="183"/>
        <v>107.25</v>
      </c>
      <c r="EV123" s="4">
        <f t="shared" si="261"/>
        <v>2.8953960744479089E-5</v>
      </c>
      <c r="EW123" s="4">
        <f t="shared" si="237"/>
        <v>3.20597101595318</v>
      </c>
      <c r="EX123" s="4">
        <f t="shared" si="185"/>
        <v>269.69016553054132</v>
      </c>
      <c r="EY123" s="4">
        <f t="shared" si="186"/>
        <v>257.79845584350602</v>
      </c>
      <c r="EZ123" s="4">
        <f t="shared" si="187"/>
        <v>107.24999999999999</v>
      </c>
      <c r="FB123" s="4">
        <f t="shared" si="338"/>
        <v>0</v>
      </c>
      <c r="FG123" s="23">
        <f t="shared" si="339"/>
        <v>0.8</v>
      </c>
      <c r="FH123" s="23">
        <f t="shared" si="339"/>
        <v>1</v>
      </c>
      <c r="FI123" s="23">
        <f t="shared" si="230"/>
        <v>1.2</v>
      </c>
      <c r="FJ123" s="23">
        <f t="shared" si="340"/>
        <v>2.2000000000000002</v>
      </c>
      <c r="FK123" s="23">
        <f t="shared" si="340"/>
        <v>1.2</v>
      </c>
      <c r="FL123" s="23">
        <f t="shared" si="340"/>
        <v>1.2</v>
      </c>
      <c r="FM123" s="23">
        <f t="shared" si="218"/>
        <v>0</v>
      </c>
      <c r="FN123" s="23"/>
      <c r="FX123" s="4">
        <f>IF(O123&gt;=2.5*25.4,1,1.25)</f>
        <v>1.25</v>
      </c>
      <c r="FY123" s="4">
        <f t="shared" si="303"/>
        <v>1</v>
      </c>
      <c r="FZ123" s="4">
        <f t="shared" si="265"/>
        <v>0</v>
      </c>
      <c r="GA123" s="4">
        <f t="shared" si="266"/>
        <v>286.04076422203229</v>
      </c>
      <c r="GD123" s="4">
        <f>IF(AG123&gt;1, 0.05*(18-MIN(8,(Q123+K123)/K123))*(1-29.3/MAX(60000/145,(G123))*(K123)^0.75*FZ123), 1/12*(14-MIN(8,(Q123+K123)/K123)))</f>
        <v>1</v>
      </c>
    </row>
    <row r="124" spans="1:188" ht="12" customHeight="1" x14ac:dyDescent="0.3">
      <c r="A124" s="25">
        <v>106</v>
      </c>
      <c r="B124" s="24" t="s">
        <v>128</v>
      </c>
      <c r="C124" s="24">
        <v>2015</v>
      </c>
      <c r="D124" s="24" t="s">
        <v>293</v>
      </c>
      <c r="E124" s="24"/>
      <c r="F124" s="7" t="s">
        <v>130</v>
      </c>
      <c r="G124" s="7">
        <v>710</v>
      </c>
      <c r="H124" s="7">
        <f t="shared" si="315"/>
        <v>572</v>
      </c>
      <c r="I124" s="7">
        <f t="shared" ref="I124:I146" si="344">H124</f>
        <v>572</v>
      </c>
      <c r="J124" s="7">
        <v>41.4</v>
      </c>
      <c r="K124" s="7">
        <v>28.6</v>
      </c>
      <c r="L124" s="7">
        <v>20</v>
      </c>
      <c r="M124" s="7">
        <f t="shared" ref="M124:M146" si="345">L124</f>
        <v>20</v>
      </c>
      <c r="N124" s="7">
        <v>261</v>
      </c>
      <c r="O124" s="7">
        <f t="shared" ref="O124:O146" si="346">K124</f>
        <v>28.6</v>
      </c>
      <c r="P124" s="7"/>
      <c r="Q124" s="7">
        <f>1*K124</f>
        <v>28.6</v>
      </c>
      <c r="R124" s="7">
        <v>2</v>
      </c>
      <c r="S124" s="7">
        <f t="shared" ref="S124:S146" si="347">72.5-K124/2</f>
        <v>58.2</v>
      </c>
      <c r="T124" s="7">
        <f>MIN(Q124/K124/2+0.5, (S124+K124/2)/K124, O124/K124+0.5)</f>
        <v>1</v>
      </c>
      <c r="U124" s="7">
        <f>MIN(S124/K124+0.5, (O124+K124/2)/K124)</f>
        <v>1.5000000000000002</v>
      </c>
      <c r="V124" s="7">
        <f t="shared" ref="V124:V146" si="348">X124-1</f>
        <v>4</v>
      </c>
      <c r="W124" s="7">
        <f t="shared" si="152"/>
        <v>4</v>
      </c>
      <c r="X124" s="7">
        <v>5</v>
      </c>
      <c r="Y124" s="7">
        <f t="shared" si="200"/>
        <v>63.951544156493995</v>
      </c>
      <c r="Z124" s="7"/>
      <c r="AA124" s="7"/>
      <c r="AB124" s="7">
        <v>367</v>
      </c>
      <c r="AC124" s="7"/>
      <c r="AD124" s="7">
        <f t="shared" si="334"/>
        <v>1.2028473585857065</v>
      </c>
      <c r="AE124" s="7"/>
      <c r="AF124" s="7"/>
      <c r="AG124" s="7">
        <v>1</v>
      </c>
      <c r="AH124" s="7"/>
      <c r="AI124" s="7"/>
      <c r="AJ124" s="7"/>
      <c r="AK124" s="4">
        <f t="shared" si="279"/>
        <v>572</v>
      </c>
      <c r="AL124" s="46">
        <f t="shared" ref="AL124:AL146" si="349">MIN(N124)*(MIN(350-S124-0.5*K124,1.5*AK124)+S124+K124/2)/(3*H124)^2</f>
        <v>3.1022299378942735E-2</v>
      </c>
      <c r="AM124" s="25">
        <f t="shared" si="268"/>
        <v>685.08154812781754</v>
      </c>
      <c r="AN124" s="4">
        <f t="shared" si="269"/>
        <v>0.71499999999999997</v>
      </c>
      <c r="AO124" s="4">
        <v>1.25</v>
      </c>
      <c r="AP124" s="25">
        <f t="shared" si="317"/>
        <v>5</v>
      </c>
      <c r="AQ124" s="38">
        <f t="shared" si="271"/>
        <v>94.973471829891636</v>
      </c>
      <c r="AR124" s="38">
        <f t="shared" si="272"/>
        <v>94.973471829891636</v>
      </c>
      <c r="AT124" s="38">
        <f t="shared" ref="AT124:AT146" si="350">AP124* (J124^0.5/AK124^0.5)/(PI()/4*K124^2)/R124/0.72 *(0.7+(MIN(O124,S124)+0.5*K124)/5/H124) *(N124*MIN(S124+0.5*K124+1.5*H124,350))</f>
        <v>94.973471829891608</v>
      </c>
      <c r="AU124" s="38">
        <f t="shared" si="243"/>
        <v>1.0000000000000002</v>
      </c>
      <c r="AV124" s="38">
        <f t="shared" si="328"/>
        <v>2.092373756283548</v>
      </c>
      <c r="AW124" s="4">
        <f t="shared" si="323"/>
        <v>0</v>
      </c>
      <c r="AX124" s="4">
        <f t="shared" si="220"/>
        <v>677.29296598506994</v>
      </c>
      <c r="AY124" s="4">
        <f t="shared" si="221"/>
        <v>1.2000000000000002</v>
      </c>
      <c r="AZ124" s="38">
        <f t="shared" si="273"/>
        <v>198.72000000000003</v>
      </c>
      <c r="BA124" s="4">
        <f t="shared" si="222"/>
        <v>0.44000000000000006</v>
      </c>
      <c r="BB124" s="4">
        <f t="shared" si="244"/>
        <v>155.70965287996762</v>
      </c>
      <c r="BC124" s="4">
        <f t="shared" si="245"/>
        <v>354.42965287996765</v>
      </c>
      <c r="BE124" s="36">
        <f t="shared" si="312"/>
        <v>1</v>
      </c>
      <c r="BF124" s="36">
        <f t="shared" si="313"/>
        <v>347.4512915503409</v>
      </c>
      <c r="BK124" s="4">
        <f t="shared" si="156"/>
        <v>20.700000000000003</v>
      </c>
      <c r="BL124" s="4">
        <f t="shared" si="157"/>
        <v>20.700000000000003</v>
      </c>
      <c r="BM124" s="4">
        <f t="shared" si="158"/>
        <v>58.2</v>
      </c>
      <c r="BN124" s="4">
        <f t="shared" si="159"/>
        <v>35</v>
      </c>
      <c r="BO124" s="4">
        <f t="shared" si="160"/>
        <v>1.181159420289855</v>
      </c>
      <c r="BP124" s="25">
        <f t="shared" si="274"/>
        <v>1.4454748150400323</v>
      </c>
      <c r="BR124" s="4">
        <f t="shared" si="331"/>
        <v>14.3</v>
      </c>
      <c r="BV124" s="9"/>
      <c r="BX124" s="9"/>
      <c r="BY124" s="9"/>
      <c r="BZ124" s="9">
        <f t="shared" si="231"/>
        <v>14.3</v>
      </c>
      <c r="CA124" s="9">
        <f t="shared" si="232"/>
        <v>28.6</v>
      </c>
      <c r="CB124" s="9">
        <f t="shared" si="248"/>
        <v>0.78458409789675088</v>
      </c>
      <c r="CC124" s="9">
        <v>0</v>
      </c>
      <c r="CD124" s="9">
        <f t="shared" si="306"/>
        <v>0</v>
      </c>
      <c r="CE124" s="9">
        <f t="shared" si="249"/>
        <v>0</v>
      </c>
      <c r="CF124" s="9">
        <f t="shared" si="233"/>
        <v>0.96044432035915817</v>
      </c>
      <c r="CG124" s="9">
        <f t="shared" si="234"/>
        <v>0.74299999999999999</v>
      </c>
      <c r="CH124" s="9">
        <f t="shared" si="250"/>
        <v>1.6070493790635749</v>
      </c>
      <c r="CI124" s="9">
        <f t="shared" si="251"/>
        <v>1.2608653873481286</v>
      </c>
      <c r="CJ124" s="9">
        <v>1</v>
      </c>
      <c r="CK124" s="9">
        <f t="shared" si="252"/>
        <v>176.521154228738</v>
      </c>
      <c r="CM124" s="4">
        <f t="shared" si="341"/>
        <v>0.54186300232164242</v>
      </c>
      <c r="CN124" s="4">
        <f t="shared" si="342"/>
        <v>1.0354664092518509</v>
      </c>
      <c r="CO124" s="4">
        <f t="shared" si="208"/>
        <v>1.0562631624203553</v>
      </c>
      <c r="CP124" s="4">
        <f t="shared" si="335"/>
        <v>2.0790709283740432</v>
      </c>
      <c r="CQ124" s="4">
        <f t="shared" si="210"/>
        <v>1.2028473585857065</v>
      </c>
      <c r="CR124" s="4">
        <f t="shared" si="211"/>
        <v>1.2330838124645049</v>
      </c>
      <c r="CS124" s="4">
        <f t="shared" si="329"/>
        <v>0.96227543213506361</v>
      </c>
      <c r="CU124" s="4">
        <f t="shared" si="212"/>
        <v>0.54186300232164242</v>
      </c>
      <c r="CV124" s="4">
        <f t="shared" si="212"/>
        <v>1.0354664092518509</v>
      </c>
      <c r="CW124" s="4">
        <f t="shared" si="213"/>
        <v>2.0790709283740432</v>
      </c>
      <c r="CX124" s="4">
        <f t="shared" si="343"/>
        <v>0.96227543213506361</v>
      </c>
      <c r="CY124" s="4">
        <f t="shared" si="215"/>
        <v>1.2028473585857065</v>
      </c>
      <c r="CZ124" s="4">
        <f t="shared" si="215"/>
        <v>1.2330838124645049</v>
      </c>
      <c r="DH124" s="4">
        <f t="shared" si="167"/>
        <v>0</v>
      </c>
      <c r="DI124" s="4">
        <f t="shared" si="168"/>
        <v>572</v>
      </c>
      <c r="DJ124" s="4">
        <f t="shared" si="169"/>
        <v>1</v>
      </c>
      <c r="DL124" s="4">
        <f t="shared" si="170"/>
        <v>3.8605280992638792E-5</v>
      </c>
      <c r="DM124" s="4">
        <f t="shared" si="171"/>
        <v>3.3960968587263358</v>
      </c>
      <c r="DN124" s="4">
        <f t="shared" si="337"/>
        <v>0.14271180326286331</v>
      </c>
      <c r="DO124" s="4">
        <f t="shared" si="253"/>
        <v>1.5587053483872719</v>
      </c>
      <c r="DP124" s="4">
        <f t="shared" si="254"/>
        <v>2.644260971299238</v>
      </c>
      <c r="DQ124" s="4">
        <f t="shared" si="255"/>
        <v>3.0594872368137107</v>
      </c>
      <c r="DR124" s="38">
        <f t="shared" si="275"/>
        <v>305.10937017936692</v>
      </c>
      <c r="DS124" s="4">
        <f t="shared" si="256"/>
        <v>1.0000780160694358</v>
      </c>
      <c r="DT124" s="4">
        <f t="shared" si="330"/>
        <v>2.2360679774997898</v>
      </c>
      <c r="DU124" s="4">
        <f t="shared" si="276"/>
        <v>94.973471829891608</v>
      </c>
      <c r="DY124" s="4">
        <f t="shared" si="235"/>
        <v>1</v>
      </c>
      <c r="DZ124" s="4">
        <f t="shared" si="257"/>
        <v>1</v>
      </c>
      <c r="EA124" s="4">
        <f t="shared" si="258"/>
        <v>1</v>
      </c>
      <c r="EB124" s="4">
        <f t="shared" si="259"/>
        <v>1</v>
      </c>
      <c r="ED124" s="4">
        <f t="shared" si="277"/>
        <v>297.62778189950842</v>
      </c>
      <c r="EE124" s="25">
        <f t="shared" ref="EE124:EE146" si="351">8.8*N124*350*J124^0.5/R124/K124^2/H124^0.5*(0.7+MIN(S124,O124)/5/H124)</f>
        <v>93.861970375928266</v>
      </c>
      <c r="EH124" s="4">
        <f t="shared" si="314"/>
        <v>3.3960968587263358</v>
      </c>
      <c r="EI124" s="4">
        <f t="shared" si="174"/>
        <v>3.3960968587263358</v>
      </c>
      <c r="EK124" s="4">
        <f t="shared" si="175"/>
        <v>63.951544156493995</v>
      </c>
      <c r="EL124" s="4">
        <f t="shared" si="176"/>
        <v>2.2360679774997898</v>
      </c>
      <c r="EM124" s="4">
        <f t="shared" si="177"/>
        <v>5.0210590596265252E-2</v>
      </c>
      <c r="EP124" s="4">
        <f t="shared" si="332"/>
        <v>5.0210590596265252E-2</v>
      </c>
      <c r="EQ124" s="4">
        <f t="shared" si="333"/>
        <v>0.14247364386108202</v>
      </c>
      <c r="ER124" s="4">
        <f t="shared" si="180"/>
        <v>1.5576643515259319</v>
      </c>
      <c r="ES124" s="4">
        <f t="shared" si="236"/>
        <v>2.6439593371666055</v>
      </c>
      <c r="ET124" s="4">
        <f t="shared" si="182"/>
        <v>365.04845584350602</v>
      </c>
      <c r="EU124" s="4">
        <f t="shared" si="183"/>
        <v>143</v>
      </c>
      <c r="EV124" s="4">
        <f t="shared" si="261"/>
        <v>3.8605280992638792E-5</v>
      </c>
      <c r="EW124" s="4">
        <f t="shared" si="237"/>
        <v>3.0595327134306922</v>
      </c>
      <c r="EX124" s="4">
        <f t="shared" si="185"/>
        <v>305.08556860246296</v>
      </c>
      <c r="EY124" s="4">
        <f t="shared" si="186"/>
        <v>365.04845584350602</v>
      </c>
      <c r="EZ124" s="4">
        <f t="shared" si="187"/>
        <v>143</v>
      </c>
      <c r="FB124" s="4">
        <f t="shared" si="338"/>
        <v>0</v>
      </c>
      <c r="FG124" s="23">
        <f t="shared" si="339"/>
        <v>0.6</v>
      </c>
      <c r="FH124" s="23">
        <f t="shared" si="339"/>
        <v>1.2</v>
      </c>
      <c r="FI124" s="23">
        <f t="shared" si="230"/>
        <v>1</v>
      </c>
      <c r="FJ124" s="23">
        <f t="shared" si="340"/>
        <v>2.2000000000000002</v>
      </c>
      <c r="FK124" s="23">
        <f t="shared" si="340"/>
        <v>1.4</v>
      </c>
      <c r="FL124" s="23">
        <f t="shared" si="340"/>
        <v>1.4</v>
      </c>
      <c r="FM124" s="23">
        <f t="shared" si="218"/>
        <v>0</v>
      </c>
      <c r="FN124" s="23"/>
      <c r="FX124" s="4">
        <f t="shared" si="263"/>
        <v>1.25</v>
      </c>
      <c r="FY124" s="4">
        <f t="shared" si="303"/>
        <v>1</v>
      </c>
      <c r="FZ124" s="4">
        <f t="shared" si="265"/>
        <v>0</v>
      </c>
      <c r="GA124" s="4">
        <f t="shared" si="266"/>
        <v>381.38768562937645</v>
      </c>
      <c r="GD124" s="4">
        <f>IF(AG124&gt;1, 0.05*(18-MIN(8,(Q124+K124)/K124))*(1-29.3/MAX(60000/145,(G124))*(K124)^0.75*FZ124), 1/12*(14-MIN(8,(Q124+K124)/K124)))</f>
        <v>1</v>
      </c>
    </row>
    <row r="125" spans="1:188" ht="12" customHeight="1" x14ac:dyDescent="0.3">
      <c r="A125" s="25">
        <v>107</v>
      </c>
      <c r="B125" s="24" t="s">
        <v>128</v>
      </c>
      <c r="C125" s="24">
        <v>2015</v>
      </c>
      <c r="D125" s="24" t="s">
        <v>293</v>
      </c>
      <c r="E125" s="24"/>
      <c r="F125" s="7" t="s">
        <v>131</v>
      </c>
      <c r="G125" s="7">
        <v>710</v>
      </c>
      <c r="H125" s="7">
        <f t="shared" si="315"/>
        <v>715</v>
      </c>
      <c r="I125" s="7">
        <f t="shared" si="344"/>
        <v>715</v>
      </c>
      <c r="J125" s="7">
        <v>41.4</v>
      </c>
      <c r="K125" s="7">
        <v>28.6</v>
      </c>
      <c r="L125" s="7">
        <v>25</v>
      </c>
      <c r="M125" s="7">
        <f t="shared" si="345"/>
        <v>25</v>
      </c>
      <c r="N125" s="7">
        <v>261</v>
      </c>
      <c r="O125" s="7">
        <f t="shared" si="346"/>
        <v>28.6</v>
      </c>
      <c r="P125" s="7"/>
      <c r="Q125" s="7">
        <f>1*K125</f>
        <v>28.6</v>
      </c>
      <c r="R125" s="7">
        <v>2</v>
      </c>
      <c r="S125" s="7">
        <f t="shared" si="347"/>
        <v>58.2</v>
      </c>
      <c r="T125" s="7">
        <f t="shared" si="304"/>
        <v>1</v>
      </c>
      <c r="U125" s="7">
        <f>MIN(S125/K125+0.5, (O125+K125/2)/K125)</f>
        <v>1.5000000000000002</v>
      </c>
      <c r="V125" s="7">
        <f t="shared" si="348"/>
        <v>4</v>
      </c>
      <c r="W125" s="7">
        <f t="shared" si="152"/>
        <v>4</v>
      </c>
      <c r="X125" s="7">
        <v>5</v>
      </c>
      <c r="Y125" s="7">
        <f t="shared" ref="Y125:Y188" si="352">K125*X125^0.5</f>
        <v>63.951544156493995</v>
      </c>
      <c r="Z125" s="7"/>
      <c r="AA125" s="7"/>
      <c r="AB125" s="7">
        <v>434</v>
      </c>
      <c r="AC125" s="7"/>
      <c r="AD125" s="7">
        <f t="shared" si="334"/>
        <v>1.2649074665071125</v>
      </c>
      <c r="AE125" s="7"/>
      <c r="AF125" s="7"/>
      <c r="AG125" s="7">
        <v>1</v>
      </c>
      <c r="AH125" s="7"/>
      <c r="AI125" s="7"/>
      <c r="AJ125" s="7"/>
      <c r="AK125" s="4">
        <f t="shared" si="279"/>
        <v>715</v>
      </c>
      <c r="AL125" s="46">
        <f t="shared" si="349"/>
        <v>1.985427160252335E-2</v>
      </c>
      <c r="AM125" s="25">
        <f t="shared" si="268"/>
        <v>957.4305698403698</v>
      </c>
      <c r="AN125" s="4">
        <f t="shared" si="269"/>
        <v>0.71199999999999997</v>
      </c>
      <c r="AO125" s="4">
        <v>1.25</v>
      </c>
      <c r="AP125" s="25">
        <f t="shared" si="317"/>
        <v>5</v>
      </c>
      <c r="AQ125" s="38">
        <f t="shared" si="271"/>
        <v>84.590435255053848</v>
      </c>
      <c r="AR125" s="38">
        <f t="shared" si="272"/>
        <v>84.590435255053848</v>
      </c>
      <c r="AT125" s="38">
        <f t="shared" si="350"/>
        <v>84.590435255053919</v>
      </c>
      <c r="AU125" s="38">
        <f t="shared" si="243"/>
        <v>0.99999999999999911</v>
      </c>
      <c r="AV125" s="38">
        <f t="shared" si="328"/>
        <v>2.3492017673254302</v>
      </c>
      <c r="AW125" s="4">
        <f t="shared" si="323"/>
        <v>0</v>
      </c>
      <c r="AX125" s="4">
        <f t="shared" si="220"/>
        <v>846.61620748133748</v>
      </c>
      <c r="AY125" s="4">
        <f t="shared" si="221"/>
        <v>1.2000000000000002</v>
      </c>
      <c r="AZ125" s="38">
        <f t="shared" si="273"/>
        <v>198.72000000000003</v>
      </c>
      <c r="BA125" s="4">
        <f t="shared" si="222"/>
        <v>0.44000000000000006</v>
      </c>
      <c r="BB125" s="4">
        <f t="shared" si="244"/>
        <v>194.63706609995953</v>
      </c>
      <c r="BC125" s="4">
        <f t="shared" si="245"/>
        <v>393.35706609995952</v>
      </c>
      <c r="BE125" s="36">
        <f t="shared" si="312"/>
        <v>1</v>
      </c>
      <c r="BF125" s="36">
        <f t="shared" si="313"/>
        <v>398.92555696520623</v>
      </c>
      <c r="BK125" s="4">
        <f t="shared" si="156"/>
        <v>20.700000000000003</v>
      </c>
      <c r="BL125" s="4">
        <f t="shared" si="157"/>
        <v>20.700000000000003</v>
      </c>
      <c r="BM125" s="4">
        <f t="shared" si="158"/>
        <v>58.2</v>
      </c>
      <c r="BN125" s="4">
        <f t="shared" si="159"/>
        <v>35</v>
      </c>
      <c r="BO125" s="4">
        <f t="shared" si="160"/>
        <v>1.181159420289855</v>
      </c>
      <c r="BP125" s="25">
        <f t="shared" si="274"/>
        <v>1.4454748150400323</v>
      </c>
      <c r="BR125" s="4">
        <f t="shared" si="331"/>
        <v>14.3</v>
      </c>
      <c r="BV125" s="9"/>
      <c r="BX125" s="9"/>
      <c r="BY125" s="9"/>
      <c r="BZ125" s="9">
        <f t="shared" si="231"/>
        <v>14.3</v>
      </c>
      <c r="CA125" s="9">
        <f t="shared" si="232"/>
        <v>28.6</v>
      </c>
      <c r="CB125" s="9">
        <f t="shared" si="248"/>
        <v>0.78458409789675088</v>
      </c>
      <c r="CC125" s="9">
        <v>0</v>
      </c>
      <c r="CD125" s="9">
        <f t="shared" si="306"/>
        <v>0</v>
      </c>
      <c r="CE125" s="9">
        <f t="shared" si="249"/>
        <v>0</v>
      </c>
      <c r="CF125" s="9">
        <f t="shared" si="233"/>
        <v>0.96044432035915817</v>
      </c>
      <c r="CG125" s="9">
        <f t="shared" si="234"/>
        <v>0.74299999999999999</v>
      </c>
      <c r="CH125" s="9">
        <f t="shared" si="250"/>
        <v>1.6070493790635749</v>
      </c>
      <c r="CI125" s="9">
        <f t="shared" si="251"/>
        <v>1.2608653873481286</v>
      </c>
      <c r="CJ125" s="9">
        <v>1</v>
      </c>
      <c r="CK125" s="9">
        <f t="shared" si="252"/>
        <v>201.73846197570057</v>
      </c>
      <c r="CM125" s="4">
        <f t="shared" si="341"/>
        <v>0.51262897658330853</v>
      </c>
      <c r="CN125" s="4">
        <f t="shared" si="342"/>
        <v>1.1033232586947157</v>
      </c>
      <c r="CO125" s="4">
        <f t="shared" si="208"/>
        <v>1.087922276280366</v>
      </c>
      <c r="CP125" s="4">
        <f t="shared" si="335"/>
        <v>2.1513002317439862</v>
      </c>
      <c r="CQ125" s="4">
        <f t="shared" si="210"/>
        <v>1.2649074665071125</v>
      </c>
      <c r="CR125" s="4">
        <f t="shared" si="211"/>
        <v>1.282416942736895</v>
      </c>
      <c r="CS125" s="4">
        <f t="shared" si="329"/>
        <v>0.9103597548700112</v>
      </c>
      <c r="CU125" s="4">
        <f t="shared" si="212"/>
        <v>0.51262897658330853</v>
      </c>
      <c r="CV125" s="4">
        <f t="shared" si="212"/>
        <v>1.1033232586947157</v>
      </c>
      <c r="CW125" s="4">
        <f t="shared" si="213"/>
        <v>2.1513002317439862</v>
      </c>
      <c r="CX125" s="4">
        <f t="shared" si="343"/>
        <v>0.9103597548700112</v>
      </c>
      <c r="CY125" s="4">
        <f t="shared" si="215"/>
        <v>1.2649074665071125</v>
      </c>
      <c r="CZ125" s="4">
        <f t="shared" si="215"/>
        <v>1.282416942736895</v>
      </c>
      <c r="DH125" s="4">
        <f t="shared" si="167"/>
        <v>0</v>
      </c>
      <c r="DI125" s="4">
        <f t="shared" si="168"/>
        <v>715</v>
      </c>
      <c r="DJ125" s="4">
        <f t="shared" si="169"/>
        <v>1</v>
      </c>
      <c r="DL125" s="4">
        <f t="shared" si="170"/>
        <v>4.8256601240798481E-5</v>
      </c>
      <c r="DM125" s="4">
        <f t="shared" si="171"/>
        <v>3.3960968587263358</v>
      </c>
      <c r="DN125" s="4">
        <f t="shared" si="337"/>
        <v>0.12710974255697069</v>
      </c>
      <c r="DO125" s="4">
        <f t="shared" si="253"/>
        <v>1.4881667734234449</v>
      </c>
      <c r="DP125" s="4">
        <f t="shared" si="254"/>
        <v>2.6242346175572533</v>
      </c>
      <c r="DQ125" s="4">
        <f t="shared" si="255"/>
        <v>2.8744548041420339</v>
      </c>
      <c r="DR125" s="38">
        <f t="shared" si="275"/>
        <v>343.10810196925945</v>
      </c>
      <c r="DS125" s="4">
        <f t="shared" si="256"/>
        <v>1.0000745750655677</v>
      </c>
      <c r="DT125" s="4">
        <f t="shared" si="330"/>
        <v>2.2360679774997898</v>
      </c>
      <c r="DU125" s="4">
        <f t="shared" si="276"/>
        <v>84.590435255053919</v>
      </c>
      <c r="DY125" s="4">
        <f t="shared" si="235"/>
        <v>1</v>
      </c>
      <c r="DZ125" s="4">
        <f t="shared" si="257"/>
        <v>1</v>
      </c>
      <c r="EA125" s="4">
        <f t="shared" si="258"/>
        <v>1</v>
      </c>
      <c r="EB125" s="4">
        <f t="shared" si="259"/>
        <v>1</v>
      </c>
      <c r="ED125" s="4">
        <f t="shared" si="277"/>
        <v>338.42347643487187</v>
      </c>
      <c r="EE125" s="25">
        <f t="shared" si="351"/>
        <v>83.71621203039669</v>
      </c>
      <c r="EH125" s="4">
        <f t="shared" si="314"/>
        <v>3.3960968587263358</v>
      </c>
      <c r="EI125" s="4">
        <f t="shared" si="174"/>
        <v>3.3960968587263358</v>
      </c>
      <c r="EK125" s="4">
        <f t="shared" si="175"/>
        <v>63.951544156493995</v>
      </c>
      <c r="EL125" s="4">
        <f t="shared" si="176"/>
        <v>2.2360679774997898</v>
      </c>
      <c r="EM125" s="4">
        <f t="shared" si="177"/>
        <v>4.4721285124322517E-2</v>
      </c>
      <c r="EP125" s="4">
        <f t="shared" si="332"/>
        <v>4.4721285124322517E-2</v>
      </c>
      <c r="EQ125" s="4">
        <f t="shared" si="333"/>
        <v>0.12689762008667871</v>
      </c>
      <c r="ER125" s="4">
        <f t="shared" si="180"/>
        <v>1.4871728864505882</v>
      </c>
      <c r="ES125" s="4">
        <f t="shared" si="236"/>
        <v>2.6239584862371039</v>
      </c>
      <c r="ET125" s="4">
        <f t="shared" si="182"/>
        <v>472.29845584350602</v>
      </c>
      <c r="EU125" s="4">
        <f t="shared" si="183"/>
        <v>178.74999999999994</v>
      </c>
      <c r="EV125" s="4">
        <f t="shared" si="261"/>
        <v>4.8256601240798467E-5</v>
      </c>
      <c r="EW125" s="4">
        <f t="shared" si="237"/>
        <v>2.8745165741246637</v>
      </c>
      <c r="EX125" s="4">
        <f t="shared" si="185"/>
        <v>343.08251656809125</v>
      </c>
      <c r="EY125" s="4">
        <f t="shared" si="186"/>
        <v>472.29845584350602</v>
      </c>
      <c r="EZ125" s="4">
        <f t="shared" si="187"/>
        <v>178.75</v>
      </c>
      <c r="FB125" s="4">
        <f t="shared" si="338"/>
        <v>0</v>
      </c>
      <c r="FG125" s="23">
        <f t="shared" si="339"/>
        <v>0.6</v>
      </c>
      <c r="FH125" s="23">
        <f t="shared" si="339"/>
        <v>1.2</v>
      </c>
      <c r="FI125" s="23">
        <f t="shared" si="230"/>
        <v>1</v>
      </c>
      <c r="FJ125" s="23">
        <f t="shared" si="340"/>
        <v>2.2000000000000002</v>
      </c>
      <c r="FK125" s="23">
        <f t="shared" si="340"/>
        <v>1.4</v>
      </c>
      <c r="FL125" s="23">
        <f t="shared" si="340"/>
        <v>1.4</v>
      </c>
      <c r="FM125" s="23">
        <f t="shared" si="218"/>
        <v>0</v>
      </c>
      <c r="FN125" s="23"/>
      <c r="FX125" s="4">
        <f t="shared" si="263"/>
        <v>1.25</v>
      </c>
      <c r="FY125" s="4">
        <f t="shared" si="303"/>
        <v>1</v>
      </c>
      <c r="FZ125" s="4">
        <f t="shared" si="265"/>
        <v>0</v>
      </c>
      <c r="GA125" s="4">
        <f t="shared" si="266"/>
        <v>476.73460703672049</v>
      </c>
      <c r="GD125" s="4">
        <f>IF(AG125&gt;1, 0.05*(18-MIN(8,(Q125+K125)/K125))*(1-29.3/MAX(60000/145,(G125))*(K125)^0.75*FZ125), 1/12*(14-MIN(8,(Q125+K125)/K125)))</f>
        <v>1</v>
      </c>
    </row>
    <row r="126" spans="1:188" ht="12" customHeight="1" x14ac:dyDescent="0.3">
      <c r="A126" s="25">
        <v>108</v>
      </c>
      <c r="B126" s="24" t="s">
        <v>128</v>
      </c>
      <c r="C126" s="24">
        <v>2015</v>
      </c>
      <c r="D126" s="24" t="s">
        <v>293</v>
      </c>
      <c r="E126" s="24"/>
      <c r="F126" s="7" t="s">
        <v>140</v>
      </c>
      <c r="G126" s="7">
        <v>710</v>
      </c>
      <c r="H126" s="7">
        <f t="shared" si="315"/>
        <v>858</v>
      </c>
      <c r="I126" s="7">
        <f t="shared" si="344"/>
        <v>858</v>
      </c>
      <c r="J126" s="7">
        <v>40.1</v>
      </c>
      <c r="K126" s="7">
        <v>28.6</v>
      </c>
      <c r="L126" s="7">
        <v>30</v>
      </c>
      <c r="M126" s="7">
        <f t="shared" si="345"/>
        <v>30</v>
      </c>
      <c r="N126" s="7">
        <v>261</v>
      </c>
      <c r="O126" s="7">
        <f t="shared" si="346"/>
        <v>28.6</v>
      </c>
      <c r="P126" s="7"/>
      <c r="Q126" s="7">
        <f>1*K126</f>
        <v>28.6</v>
      </c>
      <c r="R126" s="7">
        <v>2</v>
      </c>
      <c r="S126" s="7">
        <f t="shared" si="347"/>
        <v>58.2</v>
      </c>
      <c r="T126" s="7">
        <f t="shared" si="304"/>
        <v>1</v>
      </c>
      <c r="U126" s="7">
        <f t="shared" ref="U126:U146" si="353">MIN(S126/K126+0.5, (O126+K126/2)/K126)</f>
        <v>1.5000000000000002</v>
      </c>
      <c r="V126" s="7">
        <f t="shared" si="348"/>
        <v>4</v>
      </c>
      <c r="W126" s="7">
        <f t="shared" si="152"/>
        <v>4</v>
      </c>
      <c r="X126" s="7">
        <v>5</v>
      </c>
      <c r="Y126" s="7">
        <f t="shared" si="352"/>
        <v>63.951544156493995</v>
      </c>
      <c r="Z126" s="7"/>
      <c r="AA126" s="7"/>
      <c r="AB126" s="7">
        <v>459</v>
      </c>
      <c r="AC126" s="7"/>
      <c r="AD126" s="7">
        <f t="shared" si="334"/>
        <v>1.2218671658492044</v>
      </c>
      <c r="AE126" s="7"/>
      <c r="AF126" s="7"/>
      <c r="AG126" s="7">
        <v>1</v>
      </c>
      <c r="AH126" s="7"/>
      <c r="AI126" s="7"/>
      <c r="AJ126" s="7"/>
      <c r="AK126" s="4">
        <f t="shared" si="279"/>
        <v>858</v>
      </c>
      <c r="AL126" s="46">
        <f t="shared" si="349"/>
        <v>1.3787688612863438E-2</v>
      </c>
      <c r="AM126" s="25">
        <f t="shared" si="268"/>
        <v>1238.6573236566996</v>
      </c>
      <c r="AN126" s="4">
        <f t="shared" si="269"/>
        <v>0.71</v>
      </c>
      <c r="AO126" s="4">
        <v>1.25</v>
      </c>
      <c r="AP126" s="25">
        <f t="shared" si="317"/>
        <v>5</v>
      </c>
      <c r="AQ126" s="38">
        <f t="shared" si="271"/>
        <v>75.784607802507367</v>
      </c>
      <c r="AR126" s="38">
        <f t="shared" si="272"/>
        <v>75.784607802507367</v>
      </c>
      <c r="AT126" s="38">
        <f t="shared" si="350"/>
        <v>75.784607802507395</v>
      </c>
      <c r="AU126" s="38">
        <f t="shared" si="243"/>
        <v>0.99999999999999967</v>
      </c>
      <c r="AV126" s="38">
        <f t="shared" si="328"/>
        <v>2.5398297303536577</v>
      </c>
      <c r="AW126" s="4">
        <f t="shared" si="323"/>
        <v>0</v>
      </c>
      <c r="AX126" s="4">
        <f t="shared" si="220"/>
        <v>999.86148625184615</v>
      </c>
      <c r="AY126" s="4">
        <f t="shared" si="221"/>
        <v>1.2000000000000002</v>
      </c>
      <c r="AZ126" s="38">
        <f t="shared" si="273"/>
        <v>192.48000000000005</v>
      </c>
      <c r="BA126" s="4">
        <f t="shared" si="222"/>
        <v>0.44000000000000006</v>
      </c>
      <c r="BB126" s="4">
        <f t="shared" si="244"/>
        <v>229.86815568929941</v>
      </c>
      <c r="BC126" s="4">
        <f t="shared" si="245"/>
        <v>422.34815568929946</v>
      </c>
      <c r="BE126" s="36">
        <f t="shared" si="312"/>
        <v>1</v>
      </c>
      <c r="BF126" s="36">
        <f t="shared" si="313"/>
        <v>443.27192557165176</v>
      </c>
      <c r="BK126" s="4">
        <f t="shared" si="156"/>
        <v>20.700000000000003</v>
      </c>
      <c r="BL126" s="4">
        <f t="shared" si="157"/>
        <v>20.700000000000003</v>
      </c>
      <c r="BM126" s="4">
        <f t="shared" si="158"/>
        <v>58.2</v>
      </c>
      <c r="BN126" s="4">
        <f t="shared" si="159"/>
        <v>35</v>
      </c>
      <c r="BO126" s="4">
        <f t="shared" si="160"/>
        <v>1.181159420289855</v>
      </c>
      <c r="BP126" s="25">
        <f t="shared" si="274"/>
        <v>1.4454748150400323</v>
      </c>
      <c r="BR126" s="4">
        <f t="shared" si="331"/>
        <v>14.3</v>
      </c>
      <c r="BV126" s="9"/>
      <c r="BX126" s="9"/>
      <c r="BY126" s="9"/>
      <c r="BZ126" s="9">
        <f t="shared" si="231"/>
        <v>14.3</v>
      </c>
      <c r="CA126" s="9">
        <f t="shared" si="232"/>
        <v>28.6</v>
      </c>
      <c r="CB126" s="9">
        <f t="shared" si="248"/>
        <v>0.78458409789675088</v>
      </c>
      <c r="CC126" s="9">
        <v>0</v>
      </c>
      <c r="CD126" s="9">
        <f t="shared" si="306"/>
        <v>0</v>
      </c>
      <c r="CE126" s="9">
        <f t="shared" si="249"/>
        <v>0</v>
      </c>
      <c r="CF126" s="9">
        <f t="shared" si="233"/>
        <v>0.96044432035915817</v>
      </c>
      <c r="CG126" s="9">
        <f t="shared" si="234"/>
        <v>0.74299999999999999</v>
      </c>
      <c r="CH126" s="9">
        <f t="shared" si="250"/>
        <v>1.5816166822222031</v>
      </c>
      <c r="CI126" s="9">
        <f t="shared" si="251"/>
        <v>1.2409112978397594</v>
      </c>
      <c r="CJ126" s="9">
        <v>1</v>
      </c>
      <c r="CK126" s="9">
        <f t="shared" si="252"/>
        <v>223.36403361115669</v>
      </c>
      <c r="CM126" s="4">
        <f t="shared" si="341"/>
        <v>0.45906358661802343</v>
      </c>
      <c r="CN126" s="4">
        <f t="shared" si="342"/>
        <v>1.0867811160460317</v>
      </c>
      <c r="CO126" s="4">
        <f t="shared" si="208"/>
        <v>1.0354817743263687</v>
      </c>
      <c r="CP126" s="4">
        <f t="shared" si="335"/>
        <v>2.0549414002750783</v>
      </c>
      <c r="CQ126" s="4">
        <f t="shared" si="210"/>
        <v>1.2218671658492044</v>
      </c>
      <c r="CR126" s="4">
        <f t="shared" si="211"/>
        <v>1.2211258658072901</v>
      </c>
      <c r="CS126" s="4">
        <f t="shared" si="329"/>
        <v>0.80875830298500517</v>
      </c>
      <c r="CU126" s="4">
        <f t="shared" si="212"/>
        <v>0.45906358661802343</v>
      </c>
      <c r="CV126" s="4">
        <f t="shared" si="212"/>
        <v>1.0867811160460317</v>
      </c>
      <c r="CW126" s="4">
        <f t="shared" si="213"/>
        <v>2.0549414002750783</v>
      </c>
      <c r="CX126" s="4">
        <f t="shared" si="343"/>
        <v>0.80875830298500517</v>
      </c>
      <c r="CY126" s="4">
        <f t="shared" si="215"/>
        <v>1.2218671658492044</v>
      </c>
      <c r="CZ126" s="4">
        <f t="shared" si="215"/>
        <v>1.2211258658072901</v>
      </c>
      <c r="DH126" s="4">
        <f t="shared" si="167"/>
        <v>0</v>
      </c>
      <c r="DI126" s="4">
        <f t="shared" si="168"/>
        <v>858</v>
      </c>
      <c r="DJ126" s="4">
        <f t="shared" si="169"/>
        <v>1</v>
      </c>
      <c r="DL126" s="4">
        <f t="shared" si="170"/>
        <v>5.7413446512468419E-5</v>
      </c>
      <c r="DM126" s="4">
        <f t="shared" si="171"/>
        <v>3.3423512159494768</v>
      </c>
      <c r="DN126" s="4">
        <f t="shared" si="337"/>
        <v>0.1175694686499857</v>
      </c>
      <c r="DO126" s="4">
        <f t="shared" si="253"/>
        <v>1.4196127983037286</v>
      </c>
      <c r="DP126" s="4">
        <f t="shared" si="254"/>
        <v>2.5703748103759092</v>
      </c>
      <c r="DQ126" s="4">
        <f t="shared" si="255"/>
        <v>2.6276323352079785</v>
      </c>
      <c r="DR126" s="38">
        <f t="shared" si="275"/>
        <v>375.65458245290722</v>
      </c>
      <c r="DS126" s="4">
        <f t="shared" si="256"/>
        <v>1.0000716468355491</v>
      </c>
      <c r="DT126" s="4">
        <f t="shared" si="330"/>
        <v>2.2360679774997898</v>
      </c>
      <c r="DU126" s="4">
        <f t="shared" si="276"/>
        <v>75.784607802507395</v>
      </c>
      <c r="DY126" s="4">
        <f t="shared" si="235"/>
        <v>1</v>
      </c>
      <c r="DZ126" s="4">
        <f t="shared" si="257"/>
        <v>1</v>
      </c>
      <c r="EA126" s="4">
        <f t="shared" si="258"/>
        <v>1</v>
      </c>
      <c r="EB126" s="4">
        <f t="shared" si="259"/>
        <v>1</v>
      </c>
      <c r="ED126" s="4">
        <f t="shared" si="277"/>
        <v>375.88262836161749</v>
      </c>
      <c r="EE126" s="25">
        <f t="shared" si="351"/>
        <v>75.071018926164598</v>
      </c>
      <c r="EH126" s="4">
        <f t="shared" si="314"/>
        <v>3.3423512159494768</v>
      </c>
      <c r="EI126" s="4">
        <f t="shared" si="174"/>
        <v>3.3423512159494768</v>
      </c>
      <c r="EK126" s="4">
        <f t="shared" si="175"/>
        <v>63.951544156493995</v>
      </c>
      <c r="EL126" s="4">
        <f t="shared" si="176"/>
        <v>2.2360679774997898</v>
      </c>
      <c r="EM126" s="4">
        <f t="shared" si="177"/>
        <v>4.0710084810113026E-2</v>
      </c>
      <c r="EP126" s="4">
        <f t="shared" si="332"/>
        <v>4.0710084810113026E-2</v>
      </c>
      <c r="EQ126" s="4">
        <f t="shared" si="333"/>
        <v>0.11737326711877917</v>
      </c>
      <c r="ER126" s="4">
        <f t="shared" si="180"/>
        <v>1.418664695784621</v>
      </c>
      <c r="ES126" s="4">
        <f t="shared" si="236"/>
        <v>2.5701188989532699</v>
      </c>
      <c r="ET126" s="4">
        <f t="shared" si="182"/>
        <v>579.54845584350596</v>
      </c>
      <c r="EU126" s="4">
        <f t="shared" si="183"/>
        <v>214.5</v>
      </c>
      <c r="EV126" s="4">
        <f t="shared" si="261"/>
        <v>5.7413446512468419E-5</v>
      </c>
      <c r="EW126" s="4">
        <f t="shared" si="237"/>
        <v>2.627709356525437</v>
      </c>
      <c r="EX126" s="4">
        <f t="shared" si="185"/>
        <v>375.62766991901287</v>
      </c>
      <c r="EY126" s="4">
        <f t="shared" si="186"/>
        <v>579.54845584350596</v>
      </c>
      <c r="EZ126" s="4">
        <f t="shared" si="187"/>
        <v>214.50000000000006</v>
      </c>
      <c r="FB126" s="4">
        <f t="shared" si="338"/>
        <v>0</v>
      </c>
      <c r="FG126" s="23">
        <f t="shared" si="339"/>
        <v>0.6</v>
      </c>
      <c r="FH126" s="23">
        <f t="shared" si="339"/>
        <v>1.2</v>
      </c>
      <c r="FI126" s="23">
        <f t="shared" si="230"/>
        <v>1</v>
      </c>
      <c r="FJ126" s="23">
        <f t="shared" si="340"/>
        <v>2.2000000000000002</v>
      </c>
      <c r="FK126" s="23">
        <f t="shared" si="340"/>
        <v>1.4</v>
      </c>
      <c r="FL126" s="23">
        <f t="shared" si="340"/>
        <v>1.4</v>
      </c>
      <c r="FM126" s="23">
        <f t="shared" si="218"/>
        <v>0</v>
      </c>
      <c r="FN126" s="23"/>
      <c r="FX126" s="4">
        <f t="shared" si="263"/>
        <v>1.25</v>
      </c>
      <c r="FY126" s="4">
        <f t="shared" si="303"/>
        <v>1</v>
      </c>
      <c r="FZ126" s="4">
        <f t="shared" si="265"/>
        <v>0</v>
      </c>
      <c r="GA126" s="4">
        <f t="shared" si="266"/>
        <v>567.53667728158098</v>
      </c>
    </row>
    <row r="127" spans="1:188" ht="12" customHeight="1" x14ac:dyDescent="0.3">
      <c r="A127" s="25">
        <v>109</v>
      </c>
      <c r="B127" s="24" t="s">
        <v>128</v>
      </c>
      <c r="C127" s="24">
        <v>2015</v>
      </c>
      <c r="D127" s="24" t="s">
        <v>293</v>
      </c>
      <c r="E127" s="24"/>
      <c r="F127" s="7" t="s">
        <v>132</v>
      </c>
      <c r="G127" s="7">
        <v>710</v>
      </c>
      <c r="H127" s="7">
        <f t="shared" si="315"/>
        <v>429</v>
      </c>
      <c r="I127" s="7">
        <f t="shared" si="344"/>
        <v>429</v>
      </c>
      <c r="J127" s="7">
        <v>41.4</v>
      </c>
      <c r="K127" s="7">
        <v>28.6</v>
      </c>
      <c r="L127" s="7">
        <v>15</v>
      </c>
      <c r="M127" s="7">
        <f t="shared" si="345"/>
        <v>15</v>
      </c>
      <c r="N127" s="7">
        <v>406</v>
      </c>
      <c r="O127" s="7">
        <f>K127*2</f>
        <v>57.2</v>
      </c>
      <c r="P127" s="7"/>
      <c r="Q127" s="7">
        <f>2*K127</f>
        <v>57.2</v>
      </c>
      <c r="R127" s="7">
        <v>2</v>
      </c>
      <c r="S127" s="7">
        <f t="shared" si="347"/>
        <v>58.2</v>
      </c>
      <c r="T127" s="7">
        <f t="shared" si="304"/>
        <v>1.5</v>
      </c>
      <c r="U127" s="7">
        <f t="shared" si="353"/>
        <v>2.5</v>
      </c>
      <c r="V127" s="7">
        <f t="shared" si="348"/>
        <v>4</v>
      </c>
      <c r="W127" s="7">
        <f t="shared" ref="W127:W146" si="354">MIN(W$16,V127)</f>
        <v>4</v>
      </c>
      <c r="X127" s="7">
        <v>5</v>
      </c>
      <c r="Y127" s="7">
        <f t="shared" si="352"/>
        <v>63.951544156493995</v>
      </c>
      <c r="Z127" s="7"/>
      <c r="AA127" s="7"/>
      <c r="AB127" s="7">
        <v>335</v>
      </c>
      <c r="AC127" s="7"/>
      <c r="AD127" s="7">
        <f t="shared" si="334"/>
        <v>0.8697189751249067</v>
      </c>
      <c r="AE127" s="7"/>
      <c r="AF127" s="7"/>
      <c r="AG127" s="7">
        <v>1</v>
      </c>
      <c r="AH127" s="7"/>
      <c r="AI127" s="7"/>
      <c r="AJ127" s="7"/>
      <c r="AK127" s="4">
        <f t="shared" si="279"/>
        <v>429</v>
      </c>
      <c r="AL127" s="46">
        <f t="shared" si="349"/>
        <v>8.5790062480039175E-2</v>
      </c>
      <c r="AM127" s="25">
        <f t="shared" si="268"/>
        <v>444.9735182569961</v>
      </c>
      <c r="AN127" s="4">
        <f t="shared" si="269"/>
        <v>0.73333333333333328</v>
      </c>
      <c r="AO127" s="4">
        <v>1.25</v>
      </c>
      <c r="AP127" s="25">
        <f t="shared" si="317"/>
        <v>5</v>
      </c>
      <c r="AQ127" s="38">
        <f t="shared" si="271"/>
        <v>174.96556886063999</v>
      </c>
      <c r="AR127" s="38">
        <f t="shared" si="272"/>
        <v>174.96556886063999</v>
      </c>
      <c r="AT127" s="38">
        <f t="shared" si="350"/>
        <v>174.96556886063993</v>
      </c>
      <c r="AU127" s="38">
        <f t="shared" si="243"/>
        <v>1.0000000000000002</v>
      </c>
      <c r="AV127" s="38">
        <f t="shared" si="328"/>
        <v>1.7982966708759178</v>
      </c>
      <c r="AW127" s="4">
        <f t="shared" si="323"/>
        <v>0</v>
      </c>
      <c r="AX127" s="4">
        <f t="shared" si="220"/>
        <v>507.96972448880257</v>
      </c>
      <c r="AY127" s="4">
        <f t="shared" si="221"/>
        <v>1.2666666666666666</v>
      </c>
      <c r="AZ127" s="38">
        <f t="shared" si="273"/>
        <v>314.63999999999993</v>
      </c>
      <c r="BA127" s="4">
        <f t="shared" si="222"/>
        <v>0.44000000000000006</v>
      </c>
      <c r="BB127" s="4">
        <f t="shared" si="244"/>
        <v>116.7822396599757</v>
      </c>
      <c r="BC127" s="4">
        <f t="shared" si="245"/>
        <v>431.42223965997562</v>
      </c>
      <c r="BE127" s="36">
        <f t="shared" si="312"/>
        <v>1.1000000000000001</v>
      </c>
      <c r="BF127" s="36">
        <f t="shared" si="313"/>
        <v>325.57472874902317</v>
      </c>
      <c r="BK127" s="4">
        <f t="shared" ref="BK127:BK152" si="355">IF(R127=1,O127,MIN(O127,Q127/2+6.4))</f>
        <v>35</v>
      </c>
      <c r="BL127" s="4">
        <f t="shared" ref="BL127:BL152" si="356">MIN(S127,BK127)</f>
        <v>35</v>
      </c>
      <c r="BM127" s="4">
        <f t="shared" ref="BM127:BM152" si="357">MAX(S127,BK127)</f>
        <v>58.2</v>
      </c>
      <c r="BN127" s="4">
        <f t="shared" ref="BN127:BN152" si="358">BL127+K127/2</f>
        <v>49.3</v>
      </c>
      <c r="BO127" s="4">
        <f t="shared" ref="BO127:BO152" si="359">MIN(1.25, 0.1*BM127/BL127+0.9)</f>
        <v>1.0662857142857143</v>
      </c>
      <c r="BP127" s="25">
        <f t="shared" si="274"/>
        <v>1.8380379620379617</v>
      </c>
      <c r="BR127" s="4">
        <f t="shared" si="331"/>
        <v>28.6</v>
      </c>
      <c r="BV127" s="9"/>
      <c r="BX127" s="9"/>
      <c r="BY127" s="9"/>
      <c r="BZ127" s="9">
        <f t="shared" si="231"/>
        <v>28.6</v>
      </c>
      <c r="CA127" s="9">
        <f t="shared" si="232"/>
        <v>57.2</v>
      </c>
      <c r="CB127" s="9">
        <f t="shared" si="248"/>
        <v>1.1095694720678451</v>
      </c>
      <c r="CC127" s="9">
        <v>0</v>
      </c>
      <c r="CD127" s="9">
        <f t="shared" si="306"/>
        <v>0</v>
      </c>
      <c r="CE127" s="9">
        <f t="shared" si="249"/>
        <v>0</v>
      </c>
      <c r="CF127" s="9">
        <f t="shared" si="233"/>
        <v>0.96044432035915817</v>
      </c>
      <c r="CG127" s="9">
        <f t="shared" si="234"/>
        <v>0.74299999999999999</v>
      </c>
      <c r="CH127" s="9">
        <f t="shared" si="250"/>
        <v>1.6070493790635749</v>
      </c>
      <c r="CI127" s="9">
        <f t="shared" si="251"/>
        <v>1.783132931114529</v>
      </c>
      <c r="CJ127" s="9">
        <v>1</v>
      </c>
      <c r="CK127" s="9">
        <f t="shared" si="252"/>
        <v>213.97595173374347</v>
      </c>
      <c r="CM127" s="4">
        <f t="shared" si="341"/>
        <v>0.65948812271662183</v>
      </c>
      <c r="CN127" s="4">
        <f t="shared" si="342"/>
        <v>0.77650146238179429</v>
      </c>
      <c r="CO127" s="4">
        <f t="shared" si="208"/>
        <v>1.0289496401861169</v>
      </c>
      <c r="CP127" s="4">
        <f t="shared" si="335"/>
        <v>1.5655964947726944</v>
      </c>
      <c r="CQ127" s="4">
        <f t="shared" si="210"/>
        <v>0.8697189751249067</v>
      </c>
      <c r="CR127" s="4">
        <f t="shared" si="211"/>
        <v>0.91310238557343271</v>
      </c>
      <c r="CS127" s="4">
        <f t="shared" si="329"/>
        <v>1.0735649310983073</v>
      </c>
      <c r="CU127" s="4">
        <f t="shared" ref="CU127:CV138" si="360">CM127</f>
        <v>0.65948812271662183</v>
      </c>
      <c r="CV127" s="4">
        <f t="shared" si="360"/>
        <v>0.77650146238179429</v>
      </c>
      <c r="CW127" s="4">
        <f t="shared" si="213"/>
        <v>1.5655964947726944</v>
      </c>
      <c r="CX127" s="4">
        <f t="shared" si="343"/>
        <v>1.0735649310983073</v>
      </c>
      <c r="CY127" s="4">
        <f t="shared" ref="CY127:CZ138" si="361">CQ127</f>
        <v>0.8697189751249067</v>
      </c>
      <c r="CZ127" s="4">
        <f t="shared" si="361"/>
        <v>0.91310238557343271</v>
      </c>
      <c r="DH127" s="4">
        <f t="shared" ref="DH127:DH190" si="362">AF127</f>
        <v>0</v>
      </c>
      <c r="DI127" s="4">
        <f t="shared" ref="DI127:DI152" si="363">H127</f>
        <v>429</v>
      </c>
      <c r="DJ127" s="4">
        <f t="shared" ref="DJ127:DJ152" si="364">I127/H127</f>
        <v>1</v>
      </c>
      <c r="DL127" s="4">
        <f t="shared" ref="DL127:DL161" si="365">H127/4/(1-0.3*(J127/30)^0.5)/200000/K127</f>
        <v>2.8953960744479089E-5</v>
      </c>
      <c r="DM127" s="4">
        <f t="shared" ref="DM127:DM190" si="366">EH127</f>
        <v>4.3184114203497916</v>
      </c>
      <c r="DN127" s="4">
        <f t="shared" si="337"/>
        <v>0.2629118569629435</v>
      </c>
      <c r="DO127" s="4">
        <f t="shared" si="253"/>
        <v>2.5307432361194584</v>
      </c>
      <c r="DP127" s="4">
        <f t="shared" si="254"/>
        <v>3.5400389367597964</v>
      </c>
      <c r="DQ127" s="4">
        <f t="shared" si="255"/>
        <v>3.996132384694048</v>
      </c>
      <c r="DR127" s="38">
        <f t="shared" si="275"/>
        <v>385.18189160112115</v>
      </c>
      <c r="DS127" s="4">
        <f t="shared" si="256"/>
        <v>1.0000929798376046</v>
      </c>
      <c r="DT127" s="4">
        <f t="shared" si="330"/>
        <v>2.2360679774997898</v>
      </c>
      <c r="DU127" s="4">
        <f t="shared" si="276"/>
        <v>174.96556886063993</v>
      </c>
      <c r="DY127" s="4">
        <f t="shared" si="235"/>
        <v>1</v>
      </c>
      <c r="DZ127" s="4">
        <f t="shared" si="257"/>
        <v>1</v>
      </c>
      <c r="EA127" s="4">
        <f t="shared" si="258"/>
        <v>1</v>
      </c>
      <c r="EB127" s="4">
        <f t="shared" si="259"/>
        <v>1</v>
      </c>
      <c r="ED127" s="4">
        <f t="shared" si="277"/>
        <v>366.88109164189552</v>
      </c>
      <c r="EE127" s="25">
        <f t="shared" si="351"/>
        <v>172.55257772615491</v>
      </c>
      <c r="EH127" s="4">
        <f t="shared" si="314"/>
        <v>4.3184114203497916</v>
      </c>
      <c r="EI127" s="4">
        <f t="shared" ref="EI127:EI152" si="367">IF(K127&lt;22.2,1.1*5*(J127/30)^0.5,IF(K127&gt;=31.8,0.9*5*(J127/30)^0.5,1*5*(J127/30)^0.5))*BP127/2.5</f>
        <v>4.3184114203497916</v>
      </c>
      <c r="EK127" s="4">
        <f t="shared" ref="EK127:EK161" si="368">EL127*K127</f>
        <v>63.951544156493995</v>
      </c>
      <c r="EL127" s="4">
        <f t="shared" ref="EL127:EL161" si="369">X127^0.5</f>
        <v>2.2360679774997898</v>
      </c>
      <c r="EM127" s="4">
        <f t="shared" ref="EM127:EM161" si="370">MIN(DU127)/(4700*J127^0.5)/W127*EK127</f>
        <v>9.2500825517249863E-2</v>
      </c>
      <c r="EP127" s="4">
        <f t="shared" si="332"/>
        <v>9.2500825517249863E-2</v>
      </c>
      <c r="EQ127" s="4">
        <f t="shared" si="333"/>
        <v>0.26247310607378149</v>
      </c>
      <c r="ER127" s="4">
        <f t="shared" ref="ER127:ER190" si="371">EH127/1*EQ127^0.4</f>
        <v>2.5290530540921856</v>
      </c>
      <c r="ES127" s="4">
        <f t="shared" si="236"/>
        <v>3.5394380093736388</v>
      </c>
      <c r="ET127" s="4">
        <f t="shared" ref="ET127:ET190" si="372">MAX(0,DI127*ET$9-EK127)</f>
        <v>257.79845584350602</v>
      </c>
      <c r="EU127" s="4">
        <f t="shared" ref="EU127:EU190" si="373">MAX(0,DI127-EK127-ET127)</f>
        <v>107.25</v>
      </c>
      <c r="EV127" s="4">
        <f t="shared" si="261"/>
        <v>2.8953960744479089E-5</v>
      </c>
      <c r="EW127" s="4">
        <f t="shared" si="237"/>
        <v>3.9961972848288032</v>
      </c>
      <c r="EX127" s="4">
        <f t="shared" ref="EX127:EX152" si="374">MIN(4/K127*(1*ER127*EK127+ES127*EY127+EZ127*EW127)+DU127,MAX(G127,AB127))</f>
        <v>385.14608078107608</v>
      </c>
      <c r="EY127" s="4">
        <f t="shared" ref="EY127:EY152" si="375">IF(DJ127&lt;=ET$9, MAX(0,DI127*DJ127-EK127), MAX(0,DI127*ET$9-EK127))</f>
        <v>257.79845584350602</v>
      </c>
      <c r="EZ127" s="4">
        <f t="shared" ref="EZ127:EZ152" si="376">MAX(0, DI127*DJ127-EY127-EK127)</f>
        <v>107.24999999999999</v>
      </c>
      <c r="FB127" s="4">
        <f t="shared" si="338"/>
        <v>0</v>
      </c>
      <c r="FG127" s="23">
        <f t="shared" si="339"/>
        <v>0.8</v>
      </c>
      <c r="FH127" s="23">
        <f t="shared" si="339"/>
        <v>0.8</v>
      </c>
      <c r="FI127" s="23">
        <f t="shared" si="230"/>
        <v>1.2</v>
      </c>
      <c r="FJ127" s="23">
        <f t="shared" si="340"/>
        <v>1.6</v>
      </c>
      <c r="FK127" s="23">
        <f t="shared" si="340"/>
        <v>1</v>
      </c>
      <c r="FL127" s="23">
        <f t="shared" si="340"/>
        <v>1</v>
      </c>
      <c r="FM127" s="23">
        <f t="shared" si="218"/>
        <v>0</v>
      </c>
      <c r="FN127" s="23"/>
      <c r="FX127" s="4">
        <f t="shared" si="263"/>
        <v>1.25</v>
      </c>
      <c r="FY127" s="4">
        <f t="shared" si="303"/>
        <v>0.91666666666666663</v>
      </c>
      <c r="FZ127" s="4">
        <f t="shared" si="265"/>
        <v>0</v>
      </c>
      <c r="GA127" s="4">
        <f t="shared" si="266"/>
        <v>312.04447006039891</v>
      </c>
      <c r="GD127" s="4">
        <f>IF(AG127&gt;1, 0.05*(18-MIN(8,(Q127+K127)/K127))*(1-29.3/MAX(60000/145,(G127))*(K127)^0.75*FZ127), 1/12*(14-MIN(8,(Q127+K127)/K127)))</f>
        <v>0.91666666666666663</v>
      </c>
    </row>
    <row r="128" spans="1:188" ht="12" customHeight="1" x14ac:dyDescent="0.3">
      <c r="A128" s="25">
        <v>110</v>
      </c>
      <c r="B128" s="24" t="s">
        <v>128</v>
      </c>
      <c r="C128" s="24">
        <v>2015</v>
      </c>
      <c r="D128" s="24" t="s">
        <v>293</v>
      </c>
      <c r="E128" s="24"/>
      <c r="F128" s="7" t="s">
        <v>133</v>
      </c>
      <c r="G128" s="7">
        <v>710</v>
      </c>
      <c r="H128" s="7">
        <f t="shared" si="315"/>
        <v>572</v>
      </c>
      <c r="I128" s="7">
        <f t="shared" si="344"/>
        <v>572</v>
      </c>
      <c r="J128" s="7">
        <v>41.4</v>
      </c>
      <c r="K128" s="7">
        <v>28.6</v>
      </c>
      <c r="L128" s="7">
        <v>20</v>
      </c>
      <c r="M128" s="7">
        <f t="shared" si="345"/>
        <v>20</v>
      </c>
      <c r="N128" s="7">
        <v>406</v>
      </c>
      <c r="O128" s="7">
        <f>K128*2</f>
        <v>57.2</v>
      </c>
      <c r="P128" s="7"/>
      <c r="Q128" s="7">
        <f>2*K128</f>
        <v>57.2</v>
      </c>
      <c r="R128" s="7">
        <v>2</v>
      </c>
      <c r="S128" s="7">
        <f t="shared" si="347"/>
        <v>58.2</v>
      </c>
      <c r="T128" s="7">
        <f t="shared" si="304"/>
        <v>1.5</v>
      </c>
      <c r="U128" s="7">
        <f t="shared" si="353"/>
        <v>2.5</v>
      </c>
      <c r="V128" s="7">
        <f t="shared" si="348"/>
        <v>4</v>
      </c>
      <c r="W128" s="7">
        <f t="shared" si="354"/>
        <v>4</v>
      </c>
      <c r="X128" s="7">
        <v>5</v>
      </c>
      <c r="Y128" s="7">
        <f t="shared" si="352"/>
        <v>63.951544156493995</v>
      </c>
      <c r="Z128" s="7"/>
      <c r="AA128" s="7"/>
      <c r="AB128" s="7">
        <v>379</v>
      </c>
      <c r="AC128" s="7"/>
      <c r="AD128" s="7">
        <f t="shared" si="334"/>
        <v>0.89347049803591605</v>
      </c>
      <c r="AE128" s="7"/>
      <c r="AF128" s="7"/>
      <c r="AG128" s="7">
        <v>1</v>
      </c>
      <c r="AH128" s="7"/>
      <c r="AI128" s="7"/>
      <c r="AJ128" s="7"/>
      <c r="AK128" s="4">
        <f t="shared" si="279"/>
        <v>572</v>
      </c>
      <c r="AL128" s="46">
        <f t="shared" si="349"/>
        <v>4.8256910145022036E-2</v>
      </c>
      <c r="AM128" s="25">
        <f t="shared" si="268"/>
        <v>685.08154812781754</v>
      </c>
      <c r="AN128" s="4">
        <f t="shared" si="269"/>
        <v>0.72499999999999998</v>
      </c>
      <c r="AO128" s="4">
        <v>1.25</v>
      </c>
      <c r="AP128" s="25">
        <f t="shared" si="317"/>
        <v>5</v>
      </c>
      <c r="AQ128" s="38">
        <f t="shared" si="271"/>
        <v>149.80275665476307</v>
      </c>
      <c r="AR128" s="38">
        <f t="shared" si="272"/>
        <v>149.80275665476307</v>
      </c>
      <c r="AT128" s="38">
        <f t="shared" si="350"/>
        <v>149.80275665476299</v>
      </c>
      <c r="AU128" s="38">
        <f t="shared" si="243"/>
        <v>1.0000000000000007</v>
      </c>
      <c r="AV128" s="38">
        <f t="shared" si="328"/>
        <v>2.1003618826930039</v>
      </c>
      <c r="AW128" s="4">
        <f t="shared" si="323"/>
        <v>0</v>
      </c>
      <c r="AX128" s="4">
        <f t="shared" si="220"/>
        <v>677.29296598506994</v>
      </c>
      <c r="AY128" s="4">
        <f t="shared" si="221"/>
        <v>1.2666666666666666</v>
      </c>
      <c r="AZ128" s="38">
        <f t="shared" si="273"/>
        <v>314.63999999999993</v>
      </c>
      <c r="BA128" s="4">
        <f t="shared" si="222"/>
        <v>0.44000000000000006</v>
      </c>
      <c r="BB128" s="4">
        <f t="shared" si="244"/>
        <v>155.70965287996762</v>
      </c>
      <c r="BC128" s="4">
        <f t="shared" si="245"/>
        <v>470.34965287996755</v>
      </c>
      <c r="BE128" s="36">
        <f t="shared" si="312"/>
        <v>1.1000000000000001</v>
      </c>
      <c r="BF128" s="36">
        <f t="shared" si="313"/>
        <v>382.19642070537503</v>
      </c>
      <c r="BK128" s="4">
        <f t="shared" si="355"/>
        <v>35</v>
      </c>
      <c r="BL128" s="4">
        <f t="shared" si="356"/>
        <v>35</v>
      </c>
      <c r="BM128" s="4">
        <f t="shared" si="357"/>
        <v>58.2</v>
      </c>
      <c r="BN128" s="4">
        <f t="shared" si="358"/>
        <v>49.3</v>
      </c>
      <c r="BO128" s="4">
        <f t="shared" si="359"/>
        <v>1.0662857142857143</v>
      </c>
      <c r="BP128" s="25">
        <f t="shared" si="274"/>
        <v>1.8380379620379617</v>
      </c>
      <c r="BR128" s="4">
        <f t="shared" si="331"/>
        <v>28.6</v>
      </c>
      <c r="BV128" s="9"/>
      <c r="BX128" s="9"/>
      <c r="BY128" s="9"/>
      <c r="BZ128" s="9">
        <f t="shared" si="231"/>
        <v>28.6</v>
      </c>
      <c r="CA128" s="9">
        <f t="shared" si="232"/>
        <v>57.2</v>
      </c>
      <c r="CB128" s="9">
        <f t="shared" si="248"/>
        <v>1.1095694720678451</v>
      </c>
      <c r="CC128" s="9">
        <v>0</v>
      </c>
      <c r="CD128" s="9">
        <f t="shared" si="306"/>
        <v>0</v>
      </c>
      <c r="CE128" s="9">
        <f t="shared" si="249"/>
        <v>0</v>
      </c>
      <c r="CF128" s="9">
        <f t="shared" si="233"/>
        <v>0.96044432035915817</v>
      </c>
      <c r="CG128" s="9">
        <f t="shared" si="234"/>
        <v>0.74299999999999999</v>
      </c>
      <c r="CH128" s="9">
        <f t="shared" si="250"/>
        <v>1.6070493790635749</v>
      </c>
      <c r="CI128" s="9">
        <f t="shared" si="251"/>
        <v>1.783132931114529</v>
      </c>
      <c r="CJ128" s="9">
        <v>1</v>
      </c>
      <c r="CK128" s="9">
        <f t="shared" si="252"/>
        <v>249.63861035603406</v>
      </c>
      <c r="CM128" s="4">
        <f t="shared" si="341"/>
        <v>0.55958059367820834</v>
      </c>
      <c r="CN128" s="4">
        <f t="shared" si="342"/>
        <v>0.80578352227830852</v>
      </c>
      <c r="CO128" s="4">
        <f t="shared" si="208"/>
        <v>0.99163670685487904</v>
      </c>
      <c r="CP128" s="4">
        <f t="shared" si="335"/>
        <v>1.5181946392806425</v>
      </c>
      <c r="CQ128" s="4">
        <f t="shared" si="210"/>
        <v>0.89347049803591605</v>
      </c>
      <c r="CR128" s="4">
        <f t="shared" si="211"/>
        <v>0.93081825114400285</v>
      </c>
      <c r="CS128" s="4">
        <f t="shared" si="329"/>
        <v>0.91092785571550405</v>
      </c>
      <c r="CU128" s="4">
        <f t="shared" si="360"/>
        <v>0.55958059367820834</v>
      </c>
      <c r="CV128" s="4">
        <f t="shared" si="360"/>
        <v>0.80578352227830852</v>
      </c>
      <c r="CW128" s="4">
        <f t="shared" ref="CW128:CW138" si="377">CP128</f>
        <v>1.5181946392806425</v>
      </c>
      <c r="CX128" s="4">
        <f t="shared" si="343"/>
        <v>0.91092785571550405</v>
      </c>
      <c r="CY128" s="4">
        <f t="shared" si="361"/>
        <v>0.89347049803591605</v>
      </c>
      <c r="CZ128" s="4">
        <f t="shared" si="361"/>
        <v>0.93081825114400285</v>
      </c>
      <c r="DH128" s="4">
        <f t="shared" si="362"/>
        <v>0</v>
      </c>
      <c r="DI128" s="4">
        <f t="shared" si="363"/>
        <v>572</v>
      </c>
      <c r="DJ128" s="4">
        <f t="shared" si="364"/>
        <v>1</v>
      </c>
      <c r="DL128" s="4">
        <f t="shared" si="365"/>
        <v>3.8605280992638792E-5</v>
      </c>
      <c r="DM128" s="4">
        <f t="shared" si="366"/>
        <v>4.3184114203497916</v>
      </c>
      <c r="DN128" s="4">
        <f t="shared" si="337"/>
        <v>0.22510097950552643</v>
      </c>
      <c r="DO128" s="4">
        <f t="shared" si="253"/>
        <v>2.3783456382301056</v>
      </c>
      <c r="DP128" s="4">
        <f t="shared" si="254"/>
        <v>3.487130385036203</v>
      </c>
      <c r="DQ128" s="4">
        <f t="shared" si="255"/>
        <v>3.7537646420196529</v>
      </c>
      <c r="DR128" s="38">
        <f t="shared" si="275"/>
        <v>424.18860033223484</v>
      </c>
      <c r="DS128" s="4">
        <f t="shared" si="256"/>
        <v>1.0000936381697847</v>
      </c>
      <c r="DT128" s="4">
        <f t="shared" si="330"/>
        <v>2.2360679774997898</v>
      </c>
      <c r="DU128" s="4">
        <f t="shared" si="276"/>
        <v>149.80275665476299</v>
      </c>
      <c r="DY128" s="4">
        <f t="shared" si="235"/>
        <v>1</v>
      </c>
      <c r="DZ128" s="4">
        <f t="shared" si="257"/>
        <v>1</v>
      </c>
      <c r="EA128" s="4">
        <f t="shared" si="258"/>
        <v>1</v>
      </c>
      <c r="EB128" s="4">
        <f t="shared" si="259"/>
        <v>1</v>
      </c>
      <c r="ED128" s="4">
        <f t="shared" si="277"/>
        <v>407.16863849005745</v>
      </c>
      <c r="EE128" s="25">
        <f t="shared" si="351"/>
        <v>148.06395326906991</v>
      </c>
      <c r="EH128" s="4">
        <f t="shared" si="314"/>
        <v>4.3184114203497916</v>
      </c>
      <c r="EI128" s="4">
        <f t="shared" si="367"/>
        <v>4.3184114203497916</v>
      </c>
      <c r="EK128" s="4">
        <f t="shared" si="368"/>
        <v>63.951544156493995</v>
      </c>
      <c r="EL128" s="4">
        <f t="shared" si="369"/>
        <v>2.2360679774997898</v>
      </c>
      <c r="EM128" s="4">
        <f t="shared" si="370"/>
        <v>7.9197745851140991E-2</v>
      </c>
      <c r="EP128" s="4">
        <f t="shared" si="332"/>
        <v>7.9197745851140991E-2</v>
      </c>
      <c r="EQ128" s="4">
        <f t="shared" si="333"/>
        <v>0.22472532792385119</v>
      </c>
      <c r="ER128" s="4">
        <f t="shared" si="371"/>
        <v>2.3767572364535021</v>
      </c>
      <c r="ES128" s="4">
        <f t="shared" si="236"/>
        <v>3.4865927497285139</v>
      </c>
      <c r="ET128" s="4">
        <f t="shared" si="372"/>
        <v>365.04845584350602</v>
      </c>
      <c r="EU128" s="4">
        <f t="shared" si="373"/>
        <v>143</v>
      </c>
      <c r="EV128" s="4">
        <f t="shared" si="261"/>
        <v>3.8605280992638792E-5</v>
      </c>
      <c r="EW128" s="4">
        <f t="shared" si="237"/>
        <v>3.7538616387335155</v>
      </c>
      <c r="EX128" s="4">
        <f t="shared" si="374"/>
        <v>424.14888380703894</v>
      </c>
      <c r="EY128" s="4">
        <f t="shared" si="375"/>
        <v>365.04845584350602</v>
      </c>
      <c r="EZ128" s="4">
        <f t="shared" si="376"/>
        <v>143</v>
      </c>
      <c r="FB128" s="4">
        <f t="shared" si="338"/>
        <v>0</v>
      </c>
      <c r="FG128" s="23">
        <f t="shared" si="339"/>
        <v>0.6</v>
      </c>
      <c r="FH128" s="23">
        <f t="shared" si="339"/>
        <v>1</v>
      </c>
      <c r="FI128" s="23">
        <f t="shared" si="230"/>
        <v>1</v>
      </c>
      <c r="FJ128" s="23">
        <f t="shared" si="340"/>
        <v>1.6</v>
      </c>
      <c r="FK128" s="23">
        <f t="shared" si="340"/>
        <v>1</v>
      </c>
      <c r="FL128" s="23">
        <f t="shared" si="340"/>
        <v>1</v>
      </c>
      <c r="FM128" s="23">
        <f t="shared" si="218"/>
        <v>0</v>
      </c>
      <c r="FN128" s="23"/>
      <c r="FX128" s="4">
        <f t="shared" si="263"/>
        <v>1.25</v>
      </c>
      <c r="FY128" s="4">
        <f t="shared" si="303"/>
        <v>0.91666666666666663</v>
      </c>
      <c r="FZ128" s="4">
        <f t="shared" si="265"/>
        <v>0</v>
      </c>
      <c r="GA128" s="4">
        <f t="shared" si="266"/>
        <v>416.05929341386525</v>
      </c>
    </row>
    <row r="129" spans="1:183" ht="12" customHeight="1" x14ac:dyDescent="0.3">
      <c r="A129" s="25">
        <v>111</v>
      </c>
      <c r="B129" s="24" t="s">
        <v>128</v>
      </c>
      <c r="C129" s="24">
        <v>2015</v>
      </c>
      <c r="D129" s="24" t="s">
        <v>293</v>
      </c>
      <c r="E129" s="24"/>
      <c r="F129" s="7" t="s">
        <v>141</v>
      </c>
      <c r="G129" s="7">
        <v>710</v>
      </c>
      <c r="H129" s="7">
        <f t="shared" si="315"/>
        <v>429</v>
      </c>
      <c r="I129" s="7">
        <f t="shared" si="344"/>
        <v>429</v>
      </c>
      <c r="J129" s="7">
        <v>40.1</v>
      </c>
      <c r="K129" s="7">
        <v>28.6</v>
      </c>
      <c r="L129" s="7">
        <v>15</v>
      </c>
      <c r="M129" s="7">
        <f t="shared" si="345"/>
        <v>15</v>
      </c>
      <c r="N129" s="7">
        <v>406</v>
      </c>
      <c r="O129" s="7">
        <f>K129*3.5</f>
        <v>100.10000000000001</v>
      </c>
      <c r="P129" s="7"/>
      <c r="Q129" s="7">
        <f t="shared" ref="Q129:Q146" si="378">1*K129</f>
        <v>28.6</v>
      </c>
      <c r="R129" s="7">
        <v>2</v>
      </c>
      <c r="S129" s="7">
        <f t="shared" si="347"/>
        <v>58.2</v>
      </c>
      <c r="T129" s="7">
        <f t="shared" si="304"/>
        <v>1</v>
      </c>
      <c r="U129" s="7">
        <f>MIN(S129/K129+0.5, (O129+K129/2)/K129)</f>
        <v>2.534965034965035</v>
      </c>
      <c r="V129" s="7">
        <f t="shared" si="348"/>
        <v>4</v>
      </c>
      <c r="W129" s="7">
        <f t="shared" si="354"/>
        <v>4</v>
      </c>
      <c r="X129" s="7">
        <v>5</v>
      </c>
      <c r="Y129" s="7">
        <f t="shared" si="352"/>
        <v>63.951544156493995</v>
      </c>
      <c r="Z129" s="7"/>
      <c r="AA129" s="7"/>
      <c r="AB129" s="7">
        <v>366</v>
      </c>
      <c r="AC129" s="7"/>
      <c r="AD129" s="7">
        <f t="shared" si="334"/>
        <v>1.0888038558182622</v>
      </c>
      <c r="AE129" s="7"/>
      <c r="AF129" s="7"/>
      <c r="AG129" s="7">
        <v>1</v>
      </c>
      <c r="AH129" s="7"/>
      <c r="AI129" s="7"/>
      <c r="AJ129" s="7"/>
      <c r="AK129" s="4">
        <f t="shared" si="279"/>
        <v>429</v>
      </c>
      <c r="AL129" s="46">
        <f t="shared" si="349"/>
        <v>8.5790062480039175E-2</v>
      </c>
      <c r="AM129" s="25">
        <f t="shared" si="268"/>
        <v>437.93149656201666</v>
      </c>
      <c r="AN129" s="4">
        <f t="shared" si="269"/>
        <v>0.73379953379953378</v>
      </c>
      <c r="AO129" s="4">
        <v>1.25</v>
      </c>
      <c r="AP129" s="25">
        <f t="shared" si="317"/>
        <v>5</v>
      </c>
      <c r="AQ129" s="38">
        <f t="shared" si="271"/>
        <v>172.30608476544029</v>
      </c>
      <c r="AR129" s="38">
        <f t="shared" si="272"/>
        <v>172.30608476544029</v>
      </c>
      <c r="AT129" s="38">
        <f t="shared" si="350"/>
        <v>172.30608476544018</v>
      </c>
      <c r="AU129" s="38">
        <f t="shared" si="243"/>
        <v>1.0000000000000007</v>
      </c>
      <c r="AV129" s="38">
        <f t="shared" si="328"/>
        <v>1.5024620691473194</v>
      </c>
      <c r="AW129" s="4">
        <f t="shared" si="323"/>
        <v>0</v>
      </c>
      <c r="AX129" s="4">
        <f t="shared" ref="AX129:AX192" si="379">I129/K129*J129^0.5/0.19</f>
        <v>499.93074312592307</v>
      </c>
      <c r="AY129" s="4">
        <f t="shared" ref="AY129:AY192" si="380">MIN(0.6+0.4*(U129/T129),2)</f>
        <v>1.6139860139860138</v>
      </c>
      <c r="AZ129" s="38">
        <f t="shared" si="273"/>
        <v>258.88335664335665</v>
      </c>
      <c r="BA129" s="4">
        <f t="shared" ref="BA129:BA192" si="381">MAX(1-0.7*W129/5,0.3)</f>
        <v>0.44000000000000006</v>
      </c>
      <c r="BB129" s="4">
        <f t="shared" si="244"/>
        <v>114.93407784464971</v>
      </c>
      <c r="BC129" s="4">
        <f t="shared" si="245"/>
        <v>373.81743448800637</v>
      </c>
      <c r="BE129" s="36">
        <f t="shared" si="312"/>
        <v>1.25</v>
      </c>
      <c r="BF129" s="36">
        <f t="shared" si="313"/>
        <v>364.11622457671393</v>
      </c>
      <c r="BK129" s="4">
        <f t="shared" si="355"/>
        <v>20.700000000000003</v>
      </c>
      <c r="BL129" s="4">
        <f t="shared" si="356"/>
        <v>20.700000000000003</v>
      </c>
      <c r="BM129" s="4">
        <f t="shared" si="357"/>
        <v>58.2</v>
      </c>
      <c r="BN129" s="4">
        <f t="shared" si="358"/>
        <v>35</v>
      </c>
      <c r="BO129" s="4">
        <f t="shared" si="359"/>
        <v>1.181159420289855</v>
      </c>
      <c r="BP129" s="25">
        <f t="shared" si="274"/>
        <v>1.4454748150400323</v>
      </c>
      <c r="BR129" s="4">
        <f t="shared" si="331"/>
        <v>14.3</v>
      </c>
      <c r="BV129" s="9"/>
      <c r="BX129" s="9"/>
      <c r="BY129" s="9"/>
      <c r="BZ129" s="9">
        <f t="shared" si="231"/>
        <v>14.3</v>
      </c>
      <c r="CA129" s="9">
        <f t="shared" si="232"/>
        <v>100.10000000000001</v>
      </c>
      <c r="CB129" s="9">
        <f t="shared" si="248"/>
        <v>0.94678137986575273</v>
      </c>
      <c r="CC129" s="9">
        <v>0</v>
      </c>
      <c r="CD129" s="9">
        <f t="shared" si="306"/>
        <v>0</v>
      </c>
      <c r="CE129" s="9">
        <f t="shared" si="249"/>
        <v>0</v>
      </c>
      <c r="CF129" s="9">
        <f t="shared" si="233"/>
        <v>0.96044432035915817</v>
      </c>
      <c r="CG129" s="9">
        <f t="shared" si="234"/>
        <v>0.74299999999999999</v>
      </c>
      <c r="CH129" s="9">
        <f t="shared" si="250"/>
        <v>1.5816166822222031</v>
      </c>
      <c r="CI129" s="9">
        <f t="shared" si="251"/>
        <v>1.4974452248130312</v>
      </c>
      <c r="CJ129" s="9">
        <v>1</v>
      </c>
      <c r="CK129" s="9">
        <f t="shared" si="252"/>
        <v>179.69342697756375</v>
      </c>
      <c r="CM129" s="4">
        <f t="shared" si="341"/>
        <v>0.73210140610978902</v>
      </c>
      <c r="CN129" s="4">
        <f t="shared" si="342"/>
        <v>0.97908756048600731</v>
      </c>
      <c r="CO129" s="4">
        <f t="shared" si="208"/>
        <v>1.0051735552994816</v>
      </c>
      <c r="CP129" s="4">
        <f t="shared" si="335"/>
        <v>2.036802381456603</v>
      </c>
      <c r="CQ129" s="4">
        <f t="shared" si="210"/>
        <v>1.0888038558182622</v>
      </c>
      <c r="CR129" s="4">
        <f t="shared" si="211"/>
        <v>1.1425483020450971</v>
      </c>
      <c r="CS129" s="4">
        <f t="shared" si="329"/>
        <v>1.0318275865534183</v>
      </c>
      <c r="CU129" s="4">
        <f t="shared" si="360"/>
        <v>0.73210140610978902</v>
      </c>
      <c r="CV129" s="4">
        <f t="shared" si="360"/>
        <v>0.97908756048600731</v>
      </c>
      <c r="CW129" s="4">
        <f t="shared" si="377"/>
        <v>2.036802381456603</v>
      </c>
      <c r="CX129" s="4">
        <f t="shared" si="343"/>
        <v>1.0318275865534183</v>
      </c>
      <c r="CY129" s="4">
        <f t="shared" si="361"/>
        <v>1.0888038558182622</v>
      </c>
      <c r="CZ129" s="4">
        <f t="shared" si="361"/>
        <v>1.1425483020450971</v>
      </c>
      <c r="DH129" s="4">
        <f t="shared" si="362"/>
        <v>0</v>
      </c>
      <c r="DI129" s="4">
        <f t="shared" si="363"/>
        <v>429</v>
      </c>
      <c r="DJ129" s="4">
        <f t="shared" si="364"/>
        <v>1</v>
      </c>
      <c r="DL129" s="4">
        <f t="shared" si="365"/>
        <v>2.8706723256234209E-5</v>
      </c>
      <c r="DM129" s="4">
        <f t="shared" si="366"/>
        <v>3.3423512159494768</v>
      </c>
      <c r="DN129" s="4">
        <f t="shared" si="337"/>
        <v>0.26730935764454727</v>
      </c>
      <c r="DO129" s="4">
        <f t="shared" si="253"/>
        <v>1.9717767835101758</v>
      </c>
      <c r="DP129" s="4">
        <f t="shared" si="254"/>
        <v>2.7445580788955319</v>
      </c>
      <c r="DQ129" s="4">
        <f t="shared" si="255"/>
        <v>3.1499644723327127</v>
      </c>
      <c r="DR129" s="38">
        <f t="shared" si="275"/>
        <v>336.1486993678418</v>
      </c>
      <c r="DS129" s="4">
        <f t="shared" si="256"/>
        <v>1.0000837827998859</v>
      </c>
      <c r="DT129" s="4">
        <f t="shared" si="330"/>
        <v>2.2360679774997898</v>
      </c>
      <c r="DU129" s="4">
        <f t="shared" si="276"/>
        <v>172.30608476544018</v>
      </c>
      <c r="DY129" s="4">
        <f t="shared" si="235"/>
        <v>1</v>
      </c>
      <c r="DZ129" s="4">
        <f t="shared" si="257"/>
        <v>1</v>
      </c>
      <c r="EA129" s="4">
        <f t="shared" si="258"/>
        <v>1</v>
      </c>
      <c r="EB129" s="4">
        <f t="shared" si="259"/>
        <v>1</v>
      </c>
      <c r="ED129" s="4">
        <f t="shared" si="277"/>
        <v>320.33656637962758</v>
      </c>
      <c r="EE129" s="25">
        <f t="shared" si="351"/>
        <v>169.93076166190113</v>
      </c>
      <c r="EH129" s="4">
        <f t="shared" si="314"/>
        <v>3.3423512159494768</v>
      </c>
      <c r="EI129" s="4">
        <f t="shared" si="367"/>
        <v>3.3423512159494768</v>
      </c>
      <c r="EK129" s="4">
        <f t="shared" si="368"/>
        <v>63.951544156493995</v>
      </c>
      <c r="EL129" s="4">
        <f t="shared" si="369"/>
        <v>2.2360679774997898</v>
      </c>
      <c r="EM129" s="4">
        <f t="shared" si="370"/>
        <v>9.2559630873586304E-2</v>
      </c>
      <c r="EP129" s="4">
        <f t="shared" si="332"/>
        <v>9.2559630873586304E-2</v>
      </c>
      <c r="EQ129" s="4">
        <f t="shared" si="333"/>
        <v>0.26686326814633043</v>
      </c>
      <c r="ER129" s="4">
        <f t="shared" si="371"/>
        <v>1.9704599127847238</v>
      </c>
      <c r="ES129" s="4">
        <f t="shared" si="236"/>
        <v>2.7440874664199293</v>
      </c>
      <c r="ET129" s="4">
        <f t="shared" si="372"/>
        <v>257.79845584350602</v>
      </c>
      <c r="EU129" s="4">
        <f t="shared" si="373"/>
        <v>107.25</v>
      </c>
      <c r="EV129" s="4">
        <f t="shared" si="261"/>
        <v>2.8706723256234209E-5</v>
      </c>
      <c r="EW129" s="4">
        <f t="shared" si="237"/>
        <v>3.1500035126994623</v>
      </c>
      <c r="EX129" s="4">
        <f t="shared" si="374"/>
        <v>336.12053824804821</v>
      </c>
      <c r="EY129" s="4">
        <f t="shared" si="375"/>
        <v>257.79845584350602</v>
      </c>
      <c r="EZ129" s="4">
        <f t="shared" si="376"/>
        <v>107.24999999999999</v>
      </c>
      <c r="FB129" s="4">
        <f t="shared" si="338"/>
        <v>0</v>
      </c>
      <c r="FG129" s="23">
        <f t="shared" si="339"/>
        <v>0.8</v>
      </c>
      <c r="FH129" s="23">
        <f t="shared" si="339"/>
        <v>1</v>
      </c>
      <c r="FI129" s="23">
        <f t="shared" ref="FI129:FI152" si="382">IF(CS129&lt;0.6,0.6,IF(CS129&lt;0.8,0.8,IF(CS129&lt;1,1,IF(CS129&lt;1.2,1.2,IF(CS129&lt;1.4,1.4,IF(CS129&lt;1.6,1.6,IF(CS129&lt;1.8,1.8,IF(CS129&lt;2,2,2.2))))))))</f>
        <v>1.2</v>
      </c>
      <c r="FJ129" s="23">
        <f t="shared" si="340"/>
        <v>2.2000000000000002</v>
      </c>
      <c r="FK129" s="23">
        <f t="shared" si="340"/>
        <v>1.2</v>
      </c>
      <c r="FL129" s="23">
        <f t="shared" si="340"/>
        <v>1.2</v>
      </c>
      <c r="FM129" s="23">
        <f t="shared" si="218"/>
        <v>0</v>
      </c>
      <c r="FN129" s="23"/>
      <c r="FX129" s="4">
        <f t="shared" si="263"/>
        <v>1</v>
      </c>
      <c r="FY129" s="4">
        <f t="shared" si="303"/>
        <v>1</v>
      </c>
      <c r="FZ129" s="4">
        <f t="shared" si="265"/>
        <v>0</v>
      </c>
      <c r="GA129" s="4">
        <f t="shared" si="266"/>
        <v>354.71042330098811</v>
      </c>
    </row>
    <row r="130" spans="1:183" ht="12" customHeight="1" x14ac:dyDescent="0.3">
      <c r="A130" s="25">
        <v>112</v>
      </c>
      <c r="B130" s="24" t="s">
        <v>128</v>
      </c>
      <c r="C130" s="24">
        <v>2015</v>
      </c>
      <c r="D130" s="24" t="s">
        <v>293</v>
      </c>
      <c r="E130" s="24"/>
      <c r="F130" s="7" t="s">
        <v>142</v>
      </c>
      <c r="G130" s="7">
        <v>710</v>
      </c>
      <c r="H130" s="7">
        <f t="shared" si="315"/>
        <v>572</v>
      </c>
      <c r="I130" s="7">
        <f t="shared" si="344"/>
        <v>572</v>
      </c>
      <c r="J130" s="7">
        <v>40.1</v>
      </c>
      <c r="K130" s="7">
        <v>28.6</v>
      </c>
      <c r="L130" s="7">
        <v>20</v>
      </c>
      <c r="M130" s="7">
        <f t="shared" si="345"/>
        <v>20</v>
      </c>
      <c r="N130" s="7">
        <v>406</v>
      </c>
      <c r="O130" s="7">
        <f>K130*3.5</f>
        <v>100.10000000000001</v>
      </c>
      <c r="P130" s="7"/>
      <c r="Q130" s="7">
        <f t="shared" si="378"/>
        <v>28.6</v>
      </c>
      <c r="R130" s="7">
        <v>2</v>
      </c>
      <c r="S130" s="7">
        <f t="shared" si="347"/>
        <v>58.2</v>
      </c>
      <c r="T130" s="7">
        <f t="shared" si="304"/>
        <v>1</v>
      </c>
      <c r="U130" s="7">
        <f t="shared" si="353"/>
        <v>2.534965034965035</v>
      </c>
      <c r="V130" s="7">
        <f t="shared" si="348"/>
        <v>4</v>
      </c>
      <c r="W130" s="7">
        <f t="shared" si="354"/>
        <v>4</v>
      </c>
      <c r="X130" s="7">
        <v>5</v>
      </c>
      <c r="Y130" s="7">
        <f t="shared" si="352"/>
        <v>63.951544156493995</v>
      </c>
      <c r="Z130" s="7"/>
      <c r="AA130" s="7"/>
      <c r="AB130" s="7">
        <v>442</v>
      </c>
      <c r="AC130" s="7"/>
      <c r="AD130" s="7">
        <f t="shared" si="334"/>
        <v>1.2204018199828255</v>
      </c>
      <c r="AE130" s="7"/>
      <c r="AF130" s="7"/>
      <c r="AG130" s="7">
        <v>1</v>
      </c>
      <c r="AH130" s="7"/>
      <c r="AI130" s="7"/>
      <c r="AJ130" s="7"/>
      <c r="AK130" s="4">
        <f t="shared" si="279"/>
        <v>572</v>
      </c>
      <c r="AL130" s="46">
        <f t="shared" si="349"/>
        <v>4.8256910145022036E-2</v>
      </c>
      <c r="AM130" s="25">
        <f t="shared" si="268"/>
        <v>674.23964647118942</v>
      </c>
      <c r="AN130" s="4">
        <f t="shared" si="269"/>
        <v>0.72534965034965027</v>
      </c>
      <c r="AO130" s="4">
        <v>1.25</v>
      </c>
      <c r="AP130" s="25">
        <f t="shared" si="317"/>
        <v>5</v>
      </c>
      <c r="AQ130" s="38">
        <f t="shared" si="271"/>
        <v>147.50312470197355</v>
      </c>
      <c r="AR130" s="38">
        <f t="shared" si="272"/>
        <v>147.50312470197355</v>
      </c>
      <c r="AT130" s="38">
        <f t="shared" si="350"/>
        <v>147.50312470197341</v>
      </c>
      <c r="AU130" s="38">
        <f t="shared" si="243"/>
        <v>1.0000000000000009</v>
      </c>
      <c r="AV130" s="38">
        <f t="shared" si="328"/>
        <v>1.7551042201066884</v>
      </c>
      <c r="AW130" s="4">
        <f t="shared" si="323"/>
        <v>0</v>
      </c>
      <c r="AX130" s="4">
        <f t="shared" si="379"/>
        <v>666.57432416789743</v>
      </c>
      <c r="AY130" s="4">
        <f t="shared" si="380"/>
        <v>1.6139860139860138</v>
      </c>
      <c r="AZ130" s="38">
        <f t="shared" si="273"/>
        <v>258.88335664335665</v>
      </c>
      <c r="BA130" s="4">
        <f t="shared" si="381"/>
        <v>0.44000000000000006</v>
      </c>
      <c r="BB130" s="4">
        <f t="shared" si="244"/>
        <v>153.24543712619962</v>
      </c>
      <c r="BC130" s="4">
        <f t="shared" si="245"/>
        <v>412.1287937695563</v>
      </c>
      <c r="BE130" s="36">
        <f t="shared" si="312"/>
        <v>1.25</v>
      </c>
      <c r="BF130" s="36">
        <f t="shared" si="313"/>
        <v>427.44078537266421</v>
      </c>
      <c r="BK130" s="4">
        <f t="shared" si="355"/>
        <v>20.700000000000003</v>
      </c>
      <c r="BL130" s="4">
        <f t="shared" si="356"/>
        <v>20.700000000000003</v>
      </c>
      <c r="BM130" s="4">
        <f t="shared" si="357"/>
        <v>58.2</v>
      </c>
      <c r="BN130" s="4">
        <f t="shared" si="358"/>
        <v>35</v>
      </c>
      <c r="BO130" s="4">
        <f t="shared" si="359"/>
        <v>1.181159420289855</v>
      </c>
      <c r="BP130" s="25">
        <f t="shared" si="274"/>
        <v>1.4454748150400323</v>
      </c>
      <c r="BR130" s="4">
        <f t="shared" si="331"/>
        <v>14.3</v>
      </c>
      <c r="BV130" s="9"/>
      <c r="BX130" s="9"/>
      <c r="BY130" s="9"/>
      <c r="BZ130" s="9">
        <f t="shared" si="231"/>
        <v>14.3</v>
      </c>
      <c r="CA130" s="9">
        <f t="shared" si="232"/>
        <v>100.10000000000001</v>
      </c>
      <c r="CB130" s="9">
        <f t="shared" si="248"/>
        <v>0.94678137986575273</v>
      </c>
      <c r="CC130" s="9">
        <v>0</v>
      </c>
      <c r="CD130" s="9">
        <f t="shared" si="306"/>
        <v>0</v>
      </c>
      <c r="CE130" s="9">
        <f t="shared" si="249"/>
        <v>0</v>
      </c>
      <c r="CF130" s="9">
        <f t="shared" si="233"/>
        <v>0.96044432035915817</v>
      </c>
      <c r="CG130" s="9">
        <f t="shared" si="234"/>
        <v>0.74299999999999999</v>
      </c>
      <c r="CH130" s="9">
        <f t="shared" si="250"/>
        <v>1.5816166822222031</v>
      </c>
      <c r="CI130" s="9">
        <f t="shared" si="251"/>
        <v>1.4974452248130312</v>
      </c>
      <c r="CJ130" s="9">
        <v>1</v>
      </c>
      <c r="CK130" s="9">
        <f t="shared" si="252"/>
        <v>209.64233147382436</v>
      </c>
      <c r="CM130" s="4">
        <f t="shared" si="341"/>
        <v>0.66309184733714488</v>
      </c>
      <c r="CN130" s="4">
        <f t="shared" si="342"/>
        <v>1.0724802699593621</v>
      </c>
      <c r="CO130" s="4">
        <f t="shared" si="208"/>
        <v>1.0340613603698168</v>
      </c>
      <c r="CP130" s="4">
        <f t="shared" si="335"/>
        <v>2.1083528164023853</v>
      </c>
      <c r="CQ130" s="4">
        <f t="shared" si="210"/>
        <v>1.2204018199828255</v>
      </c>
      <c r="CR130" s="4">
        <f t="shared" si="211"/>
        <v>1.276229936668285</v>
      </c>
      <c r="CS130" s="4">
        <f t="shared" si="329"/>
        <v>0.93456515011600594</v>
      </c>
      <c r="CU130" s="4">
        <f t="shared" si="360"/>
        <v>0.66309184733714488</v>
      </c>
      <c r="CV130" s="4">
        <f t="shared" si="360"/>
        <v>1.0724802699593621</v>
      </c>
      <c r="CW130" s="4">
        <f t="shared" si="377"/>
        <v>2.1083528164023853</v>
      </c>
      <c r="CX130" s="4">
        <f t="shared" si="343"/>
        <v>0.93456515011600594</v>
      </c>
      <c r="CY130" s="4">
        <f t="shared" si="361"/>
        <v>1.2204018199828255</v>
      </c>
      <c r="CZ130" s="4">
        <f t="shared" si="361"/>
        <v>1.276229936668285</v>
      </c>
      <c r="DH130" s="4">
        <f t="shared" si="362"/>
        <v>0</v>
      </c>
      <c r="DI130" s="4">
        <f t="shared" si="363"/>
        <v>572</v>
      </c>
      <c r="DJ130" s="4">
        <f t="shared" si="364"/>
        <v>1</v>
      </c>
      <c r="DL130" s="4">
        <f t="shared" si="365"/>
        <v>3.8275631008312281E-5</v>
      </c>
      <c r="DM130" s="4">
        <f t="shared" si="366"/>
        <v>3.3423512159494768</v>
      </c>
      <c r="DN130" s="4">
        <f t="shared" si="337"/>
        <v>0.22883095259417338</v>
      </c>
      <c r="DO130" s="4">
        <f t="shared" si="253"/>
        <v>1.8529256412902424</v>
      </c>
      <c r="DP130" s="4">
        <f t="shared" si="254"/>
        <v>2.7030801817652446</v>
      </c>
      <c r="DQ130" s="4">
        <f t="shared" si="255"/>
        <v>3.0045936641224626</v>
      </c>
      <c r="DR130" s="38">
        <f t="shared" si="275"/>
        <v>362.17579551480856</v>
      </c>
      <c r="DS130" s="4">
        <f t="shared" si="256"/>
        <v>1.0000866980646379</v>
      </c>
      <c r="DT130" s="4">
        <f t="shared" si="330"/>
        <v>2.2360679774997898</v>
      </c>
      <c r="DU130" s="4">
        <f t="shared" si="276"/>
        <v>147.50312470197341</v>
      </c>
      <c r="DY130" s="4">
        <f t="shared" si="235"/>
        <v>1</v>
      </c>
      <c r="DZ130" s="4">
        <f t="shared" si="257"/>
        <v>1</v>
      </c>
      <c r="EA130" s="4">
        <f t="shared" si="258"/>
        <v>1</v>
      </c>
      <c r="EB130" s="4">
        <f t="shared" si="259"/>
        <v>1</v>
      </c>
      <c r="ED130" s="4">
        <f t="shared" si="277"/>
        <v>346.33257479751762</v>
      </c>
      <c r="EE130" s="25">
        <f t="shared" si="351"/>
        <v>145.79150184054899</v>
      </c>
      <c r="EH130" s="4">
        <f t="shared" si="314"/>
        <v>3.3423512159494768</v>
      </c>
      <c r="EI130" s="4">
        <f t="shared" si="367"/>
        <v>3.3423512159494768</v>
      </c>
      <c r="EK130" s="4">
        <f t="shared" si="368"/>
        <v>63.951544156493995</v>
      </c>
      <c r="EL130" s="4">
        <f t="shared" si="369"/>
        <v>2.2360679774997898</v>
      </c>
      <c r="EM130" s="4">
        <f t="shared" si="370"/>
        <v>7.9235941050490449E-2</v>
      </c>
      <c r="EP130" s="4">
        <f t="shared" si="332"/>
        <v>7.9235941050490449E-2</v>
      </c>
      <c r="EQ130" s="4">
        <f t="shared" si="333"/>
        <v>0.22844907638258577</v>
      </c>
      <c r="ER130" s="4">
        <f t="shared" si="371"/>
        <v>1.85168814648157</v>
      </c>
      <c r="ES130" s="4">
        <f t="shared" si="236"/>
        <v>2.7026590947952389</v>
      </c>
      <c r="ET130" s="4">
        <f t="shared" si="372"/>
        <v>365.04845584350602</v>
      </c>
      <c r="EU130" s="4">
        <f t="shared" si="373"/>
        <v>143</v>
      </c>
      <c r="EV130" s="4">
        <f t="shared" si="261"/>
        <v>3.8275631008312281E-5</v>
      </c>
      <c r="EW130" s="4">
        <f t="shared" si="237"/>
        <v>3.0046521727948186</v>
      </c>
      <c r="EX130" s="4">
        <f t="shared" si="374"/>
        <v>362.14439829635683</v>
      </c>
      <c r="EY130" s="4">
        <f t="shared" si="375"/>
        <v>365.04845584350602</v>
      </c>
      <c r="EZ130" s="4">
        <f t="shared" si="376"/>
        <v>143</v>
      </c>
      <c r="FB130" s="4">
        <f t="shared" si="338"/>
        <v>0</v>
      </c>
      <c r="FG130" s="23">
        <f t="shared" si="339"/>
        <v>0.8</v>
      </c>
      <c r="FH130" s="23">
        <f t="shared" si="339"/>
        <v>1.2</v>
      </c>
      <c r="FI130" s="23">
        <f t="shared" si="382"/>
        <v>1</v>
      </c>
      <c r="FJ130" s="23">
        <f t="shared" si="340"/>
        <v>2.2000000000000002</v>
      </c>
      <c r="FK130" s="23">
        <f t="shared" si="340"/>
        <v>1.4</v>
      </c>
      <c r="FL130" s="23">
        <f t="shared" si="340"/>
        <v>1.4</v>
      </c>
      <c r="FM130" s="23">
        <f t="shared" si="218"/>
        <v>0</v>
      </c>
      <c r="FN130" s="23"/>
      <c r="FX130" s="4">
        <f t="shared" si="263"/>
        <v>1</v>
      </c>
      <c r="FY130" s="4">
        <f t="shared" si="303"/>
        <v>1</v>
      </c>
      <c r="FZ130" s="4">
        <f t="shared" si="265"/>
        <v>0</v>
      </c>
      <c r="GA130" s="4">
        <f t="shared" si="266"/>
        <v>472.94723106798421</v>
      </c>
    </row>
    <row r="131" spans="1:183" ht="12" customHeight="1" x14ac:dyDescent="0.3">
      <c r="A131" s="25">
        <v>113</v>
      </c>
      <c r="B131" s="24" t="s">
        <v>128</v>
      </c>
      <c r="C131" s="24">
        <v>2015</v>
      </c>
      <c r="D131" s="24" t="s">
        <v>293</v>
      </c>
      <c r="E131" s="24"/>
      <c r="F131" s="7" t="s">
        <v>143</v>
      </c>
      <c r="G131" s="7">
        <v>710</v>
      </c>
      <c r="H131" s="7">
        <f t="shared" si="315"/>
        <v>715</v>
      </c>
      <c r="I131" s="7">
        <f t="shared" si="344"/>
        <v>715</v>
      </c>
      <c r="J131" s="7">
        <v>40.1</v>
      </c>
      <c r="K131" s="7">
        <v>28.6</v>
      </c>
      <c r="L131" s="7">
        <v>25</v>
      </c>
      <c r="M131" s="7">
        <f t="shared" si="345"/>
        <v>25</v>
      </c>
      <c r="N131" s="7">
        <v>406</v>
      </c>
      <c r="O131" s="7">
        <f>K131*3.5</f>
        <v>100.10000000000001</v>
      </c>
      <c r="P131" s="7"/>
      <c r="Q131" s="7">
        <f t="shared" si="378"/>
        <v>28.6</v>
      </c>
      <c r="R131" s="7">
        <v>2</v>
      </c>
      <c r="S131" s="7">
        <f t="shared" si="347"/>
        <v>58.2</v>
      </c>
      <c r="T131" s="7">
        <f t="shared" si="304"/>
        <v>1</v>
      </c>
      <c r="U131" s="7">
        <f t="shared" si="353"/>
        <v>2.534965034965035</v>
      </c>
      <c r="V131" s="7">
        <f t="shared" si="348"/>
        <v>4</v>
      </c>
      <c r="W131" s="7">
        <f t="shared" si="354"/>
        <v>4</v>
      </c>
      <c r="X131" s="7">
        <v>5</v>
      </c>
      <c r="Y131" s="7">
        <f t="shared" si="352"/>
        <v>63.951544156493995</v>
      </c>
      <c r="Z131" s="7"/>
      <c r="AA131" s="7"/>
      <c r="AB131" s="7">
        <v>501</v>
      </c>
      <c r="AC131" s="7"/>
      <c r="AD131" s="7">
        <f t="shared" si="334"/>
        <v>1.2715293577383433</v>
      </c>
      <c r="AE131" s="7"/>
      <c r="AF131" s="7"/>
      <c r="AG131" s="7">
        <v>1</v>
      </c>
      <c r="AH131" s="7"/>
      <c r="AI131" s="7"/>
      <c r="AJ131" s="7"/>
      <c r="AK131" s="4">
        <f t="shared" si="279"/>
        <v>715</v>
      </c>
      <c r="AL131" s="46">
        <f t="shared" si="349"/>
        <v>3.08844224928141E-2</v>
      </c>
      <c r="AM131" s="25">
        <f t="shared" si="268"/>
        <v>942.2785516468773</v>
      </c>
      <c r="AN131" s="4">
        <f t="shared" si="269"/>
        <v>0.7202797202797202</v>
      </c>
      <c r="AO131" s="4">
        <v>1.25</v>
      </c>
      <c r="AP131" s="25">
        <f t="shared" si="317"/>
        <v>5</v>
      </c>
      <c r="AQ131" s="38">
        <f t="shared" si="271"/>
        <v>131.0086571758238</v>
      </c>
      <c r="AR131" s="38">
        <f t="shared" si="272"/>
        <v>131.0086571758238</v>
      </c>
      <c r="AT131" s="38">
        <f t="shared" si="350"/>
        <v>131.00865717582386</v>
      </c>
      <c r="AU131" s="38">
        <f t="shared" si="243"/>
        <v>0.99999999999999956</v>
      </c>
      <c r="AV131" s="38">
        <f t="shared" si="328"/>
        <v>1.9760782395923266</v>
      </c>
      <c r="AW131" s="4">
        <f t="shared" si="323"/>
        <v>0</v>
      </c>
      <c r="AX131" s="4">
        <f t="shared" si="379"/>
        <v>833.21790520987179</v>
      </c>
      <c r="AY131" s="4">
        <f t="shared" si="380"/>
        <v>1.6139860139860138</v>
      </c>
      <c r="AZ131" s="38">
        <f t="shared" si="273"/>
        <v>258.88335664335665</v>
      </c>
      <c r="BA131" s="4">
        <f t="shared" si="381"/>
        <v>0.44000000000000006</v>
      </c>
      <c r="BB131" s="4">
        <f t="shared" si="244"/>
        <v>191.55679640774952</v>
      </c>
      <c r="BC131" s="4">
        <f t="shared" si="245"/>
        <v>450.44015305110617</v>
      </c>
      <c r="BE131" s="36">
        <f t="shared" si="312"/>
        <v>1.25</v>
      </c>
      <c r="BF131" s="36">
        <f t="shared" si="313"/>
        <v>490.76534616861449</v>
      </c>
      <c r="BK131" s="4">
        <f t="shared" si="355"/>
        <v>20.700000000000003</v>
      </c>
      <c r="BL131" s="4">
        <f t="shared" si="356"/>
        <v>20.700000000000003</v>
      </c>
      <c r="BM131" s="4">
        <f t="shared" si="357"/>
        <v>58.2</v>
      </c>
      <c r="BN131" s="4">
        <f t="shared" si="358"/>
        <v>35</v>
      </c>
      <c r="BO131" s="4">
        <f t="shared" si="359"/>
        <v>1.181159420289855</v>
      </c>
      <c r="BP131" s="25">
        <f t="shared" si="274"/>
        <v>1.4454748150400323</v>
      </c>
      <c r="BR131" s="4">
        <f t="shared" si="331"/>
        <v>14.3</v>
      </c>
      <c r="BV131" s="9"/>
      <c r="BX131" s="9"/>
      <c r="BY131" s="9"/>
      <c r="BZ131" s="9">
        <f t="shared" si="231"/>
        <v>14.3</v>
      </c>
      <c r="CA131" s="9">
        <f t="shared" si="232"/>
        <v>100.10000000000001</v>
      </c>
      <c r="CB131" s="9">
        <f t="shared" si="248"/>
        <v>0.94678137986575273</v>
      </c>
      <c r="CC131" s="9">
        <v>0</v>
      </c>
      <c r="CD131" s="9">
        <f t="shared" si="306"/>
        <v>0</v>
      </c>
      <c r="CE131" s="9">
        <f t="shared" si="249"/>
        <v>0</v>
      </c>
      <c r="CF131" s="9">
        <f t="shared" si="233"/>
        <v>0.96044432035915817</v>
      </c>
      <c r="CG131" s="9">
        <f t="shared" si="234"/>
        <v>0.74299999999999999</v>
      </c>
      <c r="CH131" s="9">
        <f t="shared" si="250"/>
        <v>1.5816166822222031</v>
      </c>
      <c r="CI131" s="9">
        <f t="shared" si="251"/>
        <v>1.4974452248130312</v>
      </c>
      <c r="CJ131" s="9">
        <v>1</v>
      </c>
      <c r="CK131" s="9">
        <f t="shared" si="252"/>
        <v>239.59123597008499</v>
      </c>
      <c r="CM131" s="4">
        <f t="shared" si="341"/>
        <v>0.60128328600164638</v>
      </c>
      <c r="CN131" s="4">
        <f t="shared" si="342"/>
        <v>1.1122454261824155</v>
      </c>
      <c r="CO131" s="4">
        <f t="shared" si="208"/>
        <v>1.0208544753847986</v>
      </c>
      <c r="CP131" s="4">
        <f t="shared" si="335"/>
        <v>2.0910614612904879</v>
      </c>
      <c r="CQ131" s="4">
        <f t="shared" si="210"/>
        <v>1.2715293577383433</v>
      </c>
      <c r="CR131" s="4">
        <f t="shared" si="211"/>
        <v>1.317244290552404</v>
      </c>
      <c r="CS131" s="4">
        <f t="shared" si="329"/>
        <v>0.84745183748075836</v>
      </c>
      <c r="CU131" s="4">
        <f t="shared" si="360"/>
        <v>0.60128328600164638</v>
      </c>
      <c r="CV131" s="4">
        <f t="shared" si="360"/>
        <v>1.1122454261824155</v>
      </c>
      <c r="CW131" s="4">
        <f t="shared" si="377"/>
        <v>2.0910614612904879</v>
      </c>
      <c r="CX131" s="4">
        <f t="shared" si="343"/>
        <v>0.84745183748075836</v>
      </c>
      <c r="CY131" s="4">
        <f t="shared" si="361"/>
        <v>1.2715293577383433</v>
      </c>
      <c r="CZ131" s="4">
        <f t="shared" si="361"/>
        <v>1.317244290552404</v>
      </c>
      <c r="DH131" s="4">
        <f t="shared" si="362"/>
        <v>0</v>
      </c>
      <c r="DI131" s="4">
        <f t="shared" si="363"/>
        <v>715</v>
      </c>
      <c r="DJ131" s="4">
        <f t="shared" si="364"/>
        <v>1</v>
      </c>
      <c r="DL131" s="4">
        <f t="shared" si="365"/>
        <v>4.7844538760390357E-5</v>
      </c>
      <c r="DM131" s="4">
        <f t="shared" si="366"/>
        <v>3.3423512159494768</v>
      </c>
      <c r="DN131" s="4">
        <f t="shared" si="337"/>
        <v>0.20324203897509832</v>
      </c>
      <c r="DO131" s="4">
        <f t="shared" si="253"/>
        <v>1.7670852472226173</v>
      </c>
      <c r="DP131" s="4">
        <f t="shared" si="254"/>
        <v>2.6744142720436348</v>
      </c>
      <c r="DQ131" s="4">
        <f t="shared" si="255"/>
        <v>2.821575209296785</v>
      </c>
      <c r="DR131" s="38">
        <f t="shared" si="275"/>
        <v>394.01371030168252</v>
      </c>
      <c r="DS131" s="4">
        <f t="shared" si="256"/>
        <v>1.0000864763076034</v>
      </c>
      <c r="DT131" s="4">
        <f t="shared" si="330"/>
        <v>2.2360679774997898</v>
      </c>
      <c r="DU131" s="4">
        <f t="shared" si="276"/>
        <v>131.00865717582386</v>
      </c>
      <c r="DY131" s="4">
        <f t="shared" si="235"/>
        <v>1</v>
      </c>
      <c r="DZ131" s="4">
        <f t="shared" si="257"/>
        <v>1</v>
      </c>
      <c r="EA131" s="4">
        <f t="shared" si="258"/>
        <v>1</v>
      </c>
      <c r="EB131" s="4">
        <f t="shared" si="259"/>
        <v>1</v>
      </c>
      <c r="ED131" s="4">
        <f t="shared" si="277"/>
        <v>380.33947354586667</v>
      </c>
      <c r="EE131" s="25">
        <f t="shared" si="351"/>
        <v>129.66313234965591</v>
      </c>
      <c r="EH131" s="4">
        <f t="shared" si="314"/>
        <v>3.3423512159494768</v>
      </c>
      <c r="EI131" s="4">
        <f t="shared" si="367"/>
        <v>3.3423512159494768</v>
      </c>
      <c r="EK131" s="4">
        <f t="shared" si="368"/>
        <v>63.951544156493995</v>
      </c>
      <c r="EL131" s="4">
        <f t="shared" si="369"/>
        <v>2.2360679774997898</v>
      </c>
      <c r="EM131" s="4">
        <f t="shared" si="370"/>
        <v>7.037541921949951E-2</v>
      </c>
      <c r="EP131" s="4">
        <f t="shared" si="332"/>
        <v>7.037541921949951E-2</v>
      </c>
      <c r="EQ131" s="4">
        <f t="shared" si="333"/>
        <v>0.20290286589121573</v>
      </c>
      <c r="ER131" s="4">
        <f t="shared" si="371"/>
        <v>1.7659050817744251</v>
      </c>
      <c r="ES131" s="4">
        <f t="shared" si="236"/>
        <v>2.6740279431045169</v>
      </c>
      <c r="ET131" s="4">
        <f t="shared" si="372"/>
        <v>472.29845584350602</v>
      </c>
      <c r="EU131" s="4">
        <f t="shared" si="373"/>
        <v>178.74999999999994</v>
      </c>
      <c r="EV131" s="4">
        <f t="shared" si="261"/>
        <v>4.784453876039033E-5</v>
      </c>
      <c r="EW131" s="4">
        <f t="shared" si="237"/>
        <v>2.8216554115148091</v>
      </c>
      <c r="EX131" s="4">
        <f t="shared" si="374"/>
        <v>393.97964039711007</v>
      </c>
      <c r="EY131" s="4">
        <f t="shared" si="375"/>
        <v>472.29845584350602</v>
      </c>
      <c r="EZ131" s="4">
        <f t="shared" si="376"/>
        <v>178.75</v>
      </c>
      <c r="FB131" s="4">
        <f t="shared" si="338"/>
        <v>0</v>
      </c>
      <c r="FG131" s="23">
        <f t="shared" si="339"/>
        <v>0.8</v>
      </c>
      <c r="FH131" s="23">
        <f t="shared" si="339"/>
        <v>1.2</v>
      </c>
      <c r="FI131" s="23">
        <f t="shared" si="382"/>
        <v>1</v>
      </c>
      <c r="FJ131" s="23">
        <f t="shared" si="340"/>
        <v>2.2000000000000002</v>
      </c>
      <c r="FK131" s="23">
        <f t="shared" si="340"/>
        <v>1.4</v>
      </c>
      <c r="FL131" s="23">
        <f t="shared" si="340"/>
        <v>1.4</v>
      </c>
      <c r="FM131" s="23">
        <f t="shared" si="218"/>
        <v>0</v>
      </c>
      <c r="FN131" s="23"/>
      <c r="FX131" s="4">
        <f t="shared" si="263"/>
        <v>1</v>
      </c>
      <c r="FY131" s="4">
        <f t="shared" si="303"/>
        <v>1</v>
      </c>
      <c r="FZ131" s="4">
        <f t="shared" si="265"/>
        <v>0</v>
      </c>
      <c r="GA131" s="4">
        <f t="shared" si="266"/>
        <v>591.18403883498024</v>
      </c>
    </row>
    <row r="132" spans="1:183" ht="12" customHeight="1" x14ac:dyDescent="0.3">
      <c r="A132" s="25">
        <v>114</v>
      </c>
      <c r="B132" s="24" t="s">
        <v>128</v>
      </c>
      <c r="C132" s="24">
        <v>2015</v>
      </c>
      <c r="D132" s="24" t="s">
        <v>293</v>
      </c>
      <c r="E132" s="24"/>
      <c r="F132" s="7" t="s">
        <v>134</v>
      </c>
      <c r="G132" s="7">
        <v>601</v>
      </c>
      <c r="H132" s="7">
        <f t="shared" si="315"/>
        <v>508</v>
      </c>
      <c r="I132" s="7">
        <f t="shared" si="344"/>
        <v>508</v>
      </c>
      <c r="J132" s="7">
        <v>41.4</v>
      </c>
      <c r="K132" s="7">
        <v>25.4</v>
      </c>
      <c r="L132" s="7">
        <v>20</v>
      </c>
      <c r="M132" s="7">
        <f t="shared" si="345"/>
        <v>20</v>
      </c>
      <c r="N132" s="7">
        <v>225</v>
      </c>
      <c r="O132" s="7">
        <f t="shared" si="346"/>
        <v>25.4</v>
      </c>
      <c r="P132" s="7"/>
      <c r="Q132" s="7">
        <f t="shared" si="378"/>
        <v>25.4</v>
      </c>
      <c r="R132" s="7">
        <v>2</v>
      </c>
      <c r="S132" s="7">
        <f t="shared" si="347"/>
        <v>59.8</v>
      </c>
      <c r="T132" s="7">
        <f t="shared" si="304"/>
        <v>1</v>
      </c>
      <c r="U132" s="7">
        <f t="shared" si="353"/>
        <v>1.4999999999999998</v>
      </c>
      <c r="V132" s="7">
        <f t="shared" si="348"/>
        <v>4</v>
      </c>
      <c r="W132" s="7">
        <f t="shared" si="354"/>
        <v>4</v>
      </c>
      <c r="X132" s="7">
        <v>5</v>
      </c>
      <c r="Y132" s="7">
        <f t="shared" si="352"/>
        <v>56.796126628494655</v>
      </c>
      <c r="Z132" s="7"/>
      <c r="AA132" s="7"/>
      <c r="AB132" s="7">
        <v>326</v>
      </c>
      <c r="AC132" s="7"/>
      <c r="AD132" s="7">
        <f t="shared" si="334"/>
        <v>0.98237511321915549</v>
      </c>
      <c r="AE132" s="7"/>
      <c r="AF132" s="7"/>
      <c r="AG132" s="7">
        <v>1</v>
      </c>
      <c r="AH132" s="7"/>
      <c r="AI132" s="7"/>
      <c r="AJ132" s="7"/>
      <c r="AK132" s="4">
        <f t="shared" si="279"/>
        <v>508</v>
      </c>
      <c r="AL132" s="46">
        <f t="shared" si="349"/>
        <v>3.3906317812635624E-2</v>
      </c>
      <c r="AM132" s="25">
        <f t="shared" si="268"/>
        <v>726.95650773025864</v>
      </c>
      <c r="AN132" s="4">
        <f t="shared" si="269"/>
        <v>0.71499999999999997</v>
      </c>
      <c r="AO132" s="4">
        <v>1.25</v>
      </c>
      <c r="AP132" s="25">
        <f t="shared" si="317"/>
        <v>5</v>
      </c>
      <c r="AQ132" s="38">
        <f t="shared" si="271"/>
        <v>110.14761966720054</v>
      </c>
      <c r="AR132" s="38">
        <f t="shared" si="272"/>
        <v>110.14761966720054</v>
      </c>
      <c r="AT132" s="38">
        <f t="shared" si="350"/>
        <v>110.14761966720066</v>
      </c>
      <c r="AU132" s="38">
        <f t="shared" si="243"/>
        <v>0.999999999999999</v>
      </c>
      <c r="AV132" s="38">
        <f t="shared" si="328"/>
        <v>1.8041243251593759</v>
      </c>
      <c r="AW132" s="4">
        <f t="shared" si="323"/>
        <v>0</v>
      </c>
      <c r="AX132" s="4">
        <f t="shared" si="379"/>
        <v>677.29296598506994</v>
      </c>
      <c r="AY132" s="4">
        <f t="shared" si="380"/>
        <v>1.2</v>
      </c>
      <c r="AZ132" s="38">
        <f t="shared" si="273"/>
        <v>198.72</v>
      </c>
      <c r="BA132" s="4">
        <f t="shared" si="381"/>
        <v>0.44000000000000006</v>
      </c>
      <c r="BB132" s="4">
        <f t="shared" si="244"/>
        <v>155.70965287996762</v>
      </c>
      <c r="BC132" s="4">
        <f t="shared" si="245"/>
        <v>354.42965287996765</v>
      </c>
      <c r="BE132" s="36">
        <f t="shared" si="312"/>
        <v>1</v>
      </c>
      <c r="BF132" s="36">
        <f t="shared" si="313"/>
        <v>347.4512915503409</v>
      </c>
      <c r="BK132" s="4">
        <f t="shared" si="355"/>
        <v>19.100000000000001</v>
      </c>
      <c r="BL132" s="4">
        <f t="shared" si="356"/>
        <v>19.100000000000001</v>
      </c>
      <c r="BM132" s="4">
        <f t="shared" si="357"/>
        <v>59.8</v>
      </c>
      <c r="BN132" s="4">
        <f t="shared" si="358"/>
        <v>31.8</v>
      </c>
      <c r="BO132" s="4">
        <f t="shared" si="359"/>
        <v>1.213089005235602</v>
      </c>
      <c r="BP132" s="25">
        <f t="shared" si="274"/>
        <v>1.51874922702725</v>
      </c>
      <c r="BR132" s="4">
        <f t="shared" si="331"/>
        <v>12.7</v>
      </c>
      <c r="BV132" s="9"/>
      <c r="BX132" s="9"/>
      <c r="BY132" s="9"/>
      <c r="BZ132" s="9">
        <f t="shared" ref="BZ132:BZ195" si="383">IF(Q132=0,MIN(O132,P132),MIN(Q132/2,O132,P132))</f>
        <v>12.7</v>
      </c>
      <c r="CA132" s="9">
        <f t="shared" ref="CA132:CA195" si="384">MAX(Q132/2,O132)</f>
        <v>25.4</v>
      </c>
      <c r="CB132" s="9">
        <f t="shared" si="248"/>
        <v>0.78458409789675088</v>
      </c>
      <c r="CC132" s="9">
        <v>0</v>
      </c>
      <c r="CD132" s="9">
        <f t="shared" si="306"/>
        <v>0</v>
      </c>
      <c r="CE132" s="9">
        <f t="shared" si="249"/>
        <v>0</v>
      </c>
      <c r="CF132" s="9">
        <f t="shared" ref="CF132:CF195" si="385">MIN(1,(25/K132)^0.3)</f>
        <v>0.99524931562137331</v>
      </c>
      <c r="CG132" s="9">
        <f t="shared" ref="CG132:CG195" si="386">IF(G132&gt;=800,0.68,IF(G132&gt;=700,0.75-(G132-700)*0.07/100,IF(G132&gt;=600,0.85-(G132-600)*0.1/100,IF(G132&gt;=500,1-(G132-500)*0.15/100,1.2-(G132-400)*0.2/100))))</f>
        <v>0.84899999999999998</v>
      </c>
      <c r="CH132" s="9">
        <f t="shared" si="250"/>
        <v>1.9028641880890567</v>
      </c>
      <c r="CI132" s="9">
        <f t="shared" si="251"/>
        <v>1.4929569824318858</v>
      </c>
      <c r="CJ132" s="9">
        <v>1</v>
      </c>
      <c r="CK132" s="9">
        <f t="shared" si="252"/>
        <v>209.013977540464</v>
      </c>
      <c r="CM132" s="4">
        <f t="shared" si="341"/>
        <v>0.48132789852004199</v>
      </c>
      <c r="CN132" s="4">
        <f t="shared" si="342"/>
        <v>0.91978760058883746</v>
      </c>
      <c r="CO132" s="4">
        <f t="shared" si="208"/>
        <v>0.93826101076031576</v>
      </c>
      <c r="CP132" s="4">
        <f t="shared" si="335"/>
        <v>1.5597043022488204</v>
      </c>
      <c r="CQ132" s="4">
        <f t="shared" si="210"/>
        <v>0.98237511321915549</v>
      </c>
      <c r="CR132" s="4">
        <f t="shared" si="211"/>
        <v>1.0094326350055061</v>
      </c>
      <c r="CS132" s="4">
        <f t="shared" si="329"/>
        <v>0.80553566870942928</v>
      </c>
      <c r="CU132" s="4">
        <f t="shared" si="360"/>
        <v>0.48132789852004199</v>
      </c>
      <c r="CV132" s="4">
        <f t="shared" si="360"/>
        <v>0.91978760058883746</v>
      </c>
      <c r="CW132" s="4">
        <f t="shared" si="377"/>
        <v>1.5597043022488204</v>
      </c>
      <c r="CX132" s="4">
        <f t="shared" si="343"/>
        <v>0.80553566870942928</v>
      </c>
      <c r="CY132" s="4">
        <f t="shared" si="361"/>
        <v>0.98237511321915549</v>
      </c>
      <c r="CZ132" s="4">
        <f t="shared" si="361"/>
        <v>1.0094326350055061</v>
      </c>
      <c r="DH132" s="4">
        <f t="shared" si="362"/>
        <v>0</v>
      </c>
      <c r="DI132" s="4">
        <f t="shared" si="363"/>
        <v>508</v>
      </c>
      <c r="DJ132" s="4">
        <f t="shared" si="364"/>
        <v>1</v>
      </c>
      <c r="DL132" s="4">
        <f t="shared" si="365"/>
        <v>3.8605280992638798E-5</v>
      </c>
      <c r="DM132" s="4">
        <f t="shared" si="366"/>
        <v>3.5682527467332243</v>
      </c>
      <c r="DN132" s="4">
        <f t="shared" si="337"/>
        <v>0.14699426103981272</v>
      </c>
      <c r="DO132" s="4">
        <f t="shared" si="253"/>
        <v>1.6572031895700639</v>
      </c>
      <c r="DP132" s="4">
        <f t="shared" si="254"/>
        <v>2.7839817622382004</v>
      </c>
      <c r="DQ132" s="4">
        <f t="shared" si="255"/>
        <v>3.2370243009413513</v>
      </c>
      <c r="DR132" s="38">
        <f t="shared" si="275"/>
        <v>331.84879748401517</v>
      </c>
      <c r="DS132" s="4">
        <f t="shared" si="256"/>
        <v>1.0000769602945356</v>
      </c>
      <c r="DT132" s="4">
        <f t="shared" si="330"/>
        <v>2.2360679774997898</v>
      </c>
      <c r="DU132" s="4">
        <f t="shared" si="276"/>
        <v>110.14761966720066</v>
      </c>
      <c r="DY132" s="4">
        <f t="shared" ref="DY132:DY195" si="387">IF(P132&gt;1*K132,0.85,1)</f>
        <v>1</v>
      </c>
      <c r="DZ132" s="4">
        <f t="shared" si="257"/>
        <v>1</v>
      </c>
      <c r="EA132" s="4">
        <f t="shared" si="258"/>
        <v>1</v>
      </c>
      <c r="EB132" s="4">
        <f t="shared" si="259"/>
        <v>1</v>
      </c>
      <c r="ED132" s="4">
        <f t="shared" si="277"/>
        <v>322.9536956651117</v>
      </c>
      <c r="EE132" s="25">
        <f t="shared" si="351"/>
        <v>108.85853086111824</v>
      </c>
      <c r="EH132" s="4">
        <f t="shared" si="314"/>
        <v>3.5682527467332243</v>
      </c>
      <c r="EI132" s="4">
        <f t="shared" si="367"/>
        <v>3.5682527467332243</v>
      </c>
      <c r="EK132" s="4">
        <f t="shared" si="368"/>
        <v>56.796126628494655</v>
      </c>
      <c r="EL132" s="4">
        <f t="shared" si="369"/>
        <v>2.2360679774997898</v>
      </c>
      <c r="EM132" s="4">
        <f t="shared" si="370"/>
        <v>5.1717296623853881E-2</v>
      </c>
      <c r="EP132" s="4">
        <f t="shared" si="332"/>
        <v>5.1717296623853881E-2</v>
      </c>
      <c r="EQ132" s="4">
        <f t="shared" si="333"/>
        <v>0.14674895501414331</v>
      </c>
      <c r="ER132" s="4">
        <f t="shared" si="371"/>
        <v>1.6560964099463651</v>
      </c>
      <c r="ES132" s="4">
        <f t="shared" ref="ES132:ES195" si="388">EH132/1.4*(1-EQ132^1.4)/(1-EQ132)</f>
        <v>2.7836576591476994</v>
      </c>
      <c r="ET132" s="4">
        <f t="shared" si="372"/>
        <v>324.20387337150532</v>
      </c>
      <c r="EU132" s="4">
        <f t="shared" si="373"/>
        <v>127</v>
      </c>
      <c r="EV132" s="4">
        <f t="shared" si="261"/>
        <v>3.8605280992638798E-5</v>
      </c>
      <c r="EW132" s="4">
        <f t="shared" ref="EW132:EW195" si="389">MAX(0.5*EH132, (1-2*EV132*(EK132*ER132+ET132*ES132))/(1/EH132+EV132*EU132))</f>
        <v>3.2370697730071787</v>
      </c>
      <c r="EX132" s="4">
        <f t="shared" si="374"/>
        <v>331.82326026817117</v>
      </c>
      <c r="EY132" s="4">
        <f t="shared" si="375"/>
        <v>324.20387337150532</v>
      </c>
      <c r="EZ132" s="4">
        <f t="shared" si="376"/>
        <v>127.00000000000003</v>
      </c>
      <c r="FB132" s="4">
        <f t="shared" si="338"/>
        <v>0</v>
      </c>
      <c r="FG132" s="23">
        <f t="shared" si="339"/>
        <v>0.6</v>
      </c>
      <c r="FH132" s="23">
        <f t="shared" si="339"/>
        <v>1</v>
      </c>
      <c r="FI132" s="23">
        <f t="shared" si="382"/>
        <v>1</v>
      </c>
      <c r="FJ132" s="23">
        <f t="shared" si="340"/>
        <v>1.6</v>
      </c>
      <c r="FK132" s="23">
        <f t="shared" si="340"/>
        <v>1</v>
      </c>
      <c r="FL132" s="23">
        <f t="shared" si="340"/>
        <v>1.2</v>
      </c>
      <c r="FM132" s="23">
        <f t="shared" si="218"/>
        <v>0</v>
      </c>
      <c r="FN132" s="23"/>
      <c r="FX132" s="4">
        <f t="shared" si="263"/>
        <v>1.25</v>
      </c>
      <c r="FY132" s="4">
        <f t="shared" si="303"/>
        <v>1</v>
      </c>
      <c r="FZ132" s="4">
        <f t="shared" si="265"/>
        <v>0</v>
      </c>
      <c r="GA132" s="4">
        <f t="shared" si="266"/>
        <v>404.69964604086806</v>
      </c>
    </row>
    <row r="133" spans="1:183" ht="12" customHeight="1" x14ac:dyDescent="0.3">
      <c r="A133" s="25">
        <v>115</v>
      </c>
      <c r="B133" s="24" t="s">
        <v>128</v>
      </c>
      <c r="C133" s="24">
        <v>2015</v>
      </c>
      <c r="D133" s="24" t="s">
        <v>293</v>
      </c>
      <c r="E133" s="24"/>
      <c r="F133" s="7" t="s">
        <v>135</v>
      </c>
      <c r="G133" s="7">
        <v>601</v>
      </c>
      <c r="H133" s="7">
        <f t="shared" si="315"/>
        <v>635</v>
      </c>
      <c r="I133" s="7">
        <f t="shared" si="344"/>
        <v>635</v>
      </c>
      <c r="J133" s="7">
        <v>41.4</v>
      </c>
      <c r="K133" s="7">
        <v>25.4</v>
      </c>
      <c r="L133" s="7">
        <v>25</v>
      </c>
      <c r="M133" s="7">
        <f t="shared" si="345"/>
        <v>25</v>
      </c>
      <c r="N133" s="7">
        <v>225</v>
      </c>
      <c r="O133" s="7">
        <f t="shared" si="346"/>
        <v>25.4</v>
      </c>
      <c r="P133" s="7"/>
      <c r="Q133" s="7">
        <f t="shared" si="378"/>
        <v>25.4</v>
      </c>
      <c r="R133" s="7">
        <v>2</v>
      </c>
      <c r="S133" s="7">
        <f>72.5-K133/2</f>
        <v>59.8</v>
      </c>
      <c r="T133" s="7">
        <f t="shared" si="304"/>
        <v>1</v>
      </c>
      <c r="U133" s="7">
        <f t="shared" si="353"/>
        <v>1.4999999999999998</v>
      </c>
      <c r="V133" s="7">
        <f t="shared" si="348"/>
        <v>4</v>
      </c>
      <c r="W133" s="7">
        <f t="shared" si="354"/>
        <v>4</v>
      </c>
      <c r="X133" s="7">
        <v>5</v>
      </c>
      <c r="Y133" s="7">
        <f t="shared" si="352"/>
        <v>56.796126628494655</v>
      </c>
      <c r="Z133" s="7"/>
      <c r="AA133" s="7"/>
      <c r="AB133" s="7">
        <v>408</v>
      </c>
      <c r="AC133" s="7"/>
      <c r="AD133" s="7">
        <f t="shared" si="334"/>
        <v>1.0994263216866613</v>
      </c>
      <c r="AE133" s="7"/>
      <c r="AF133" s="7"/>
      <c r="AG133" s="7">
        <v>1</v>
      </c>
      <c r="AH133" s="7"/>
      <c r="AI133" s="7"/>
      <c r="AJ133" s="7"/>
      <c r="AK133" s="4">
        <f t="shared" si="279"/>
        <v>635</v>
      </c>
      <c r="AL133" s="46">
        <f t="shared" si="349"/>
        <v>2.1700043400086799E-2</v>
      </c>
      <c r="AM133" s="25">
        <f t="shared" si="268"/>
        <v>1015.952604981694</v>
      </c>
      <c r="AN133" s="4">
        <f t="shared" si="269"/>
        <v>0.71199999999999997</v>
      </c>
      <c r="AO133" s="4">
        <v>1.25</v>
      </c>
      <c r="AP133" s="25">
        <f t="shared" si="317"/>
        <v>5</v>
      </c>
      <c r="AQ133" s="38">
        <f t="shared" si="271"/>
        <v>98.105659511376288</v>
      </c>
      <c r="AR133" s="38">
        <f t="shared" si="272"/>
        <v>98.105659511376288</v>
      </c>
      <c r="AT133" s="38">
        <f t="shared" si="350"/>
        <v>98.105659511376331</v>
      </c>
      <c r="AU133" s="38">
        <f t="shared" si="243"/>
        <v>0.99999999999999956</v>
      </c>
      <c r="AV133" s="38">
        <f t="shared" si="328"/>
        <v>2.0255712156642343</v>
      </c>
      <c r="AW133" s="4">
        <f t="shared" si="323"/>
        <v>0</v>
      </c>
      <c r="AX133" s="4">
        <f t="shared" si="379"/>
        <v>846.61620748133748</v>
      </c>
      <c r="AY133" s="4">
        <f t="shared" si="380"/>
        <v>1.2</v>
      </c>
      <c r="AZ133" s="38">
        <f t="shared" si="273"/>
        <v>198.72</v>
      </c>
      <c r="BA133" s="4">
        <f t="shared" si="381"/>
        <v>0.44000000000000006</v>
      </c>
      <c r="BB133" s="4">
        <f t="shared" si="244"/>
        <v>194.63706609995953</v>
      </c>
      <c r="BC133" s="4">
        <f t="shared" si="245"/>
        <v>393.35706609995952</v>
      </c>
      <c r="BE133" s="36">
        <f t="shared" si="312"/>
        <v>1</v>
      </c>
      <c r="BF133" s="36">
        <f t="shared" si="313"/>
        <v>398.92555696520623</v>
      </c>
      <c r="BK133" s="4">
        <f t="shared" si="355"/>
        <v>19.100000000000001</v>
      </c>
      <c r="BL133" s="4">
        <f t="shared" si="356"/>
        <v>19.100000000000001</v>
      </c>
      <c r="BM133" s="4">
        <f t="shared" si="357"/>
        <v>59.8</v>
      </c>
      <c r="BN133" s="4">
        <f t="shared" si="358"/>
        <v>31.8</v>
      </c>
      <c r="BO133" s="4">
        <f t="shared" si="359"/>
        <v>1.213089005235602</v>
      </c>
      <c r="BP133" s="25">
        <f t="shared" si="274"/>
        <v>1.51874922702725</v>
      </c>
      <c r="BR133" s="4">
        <f t="shared" si="331"/>
        <v>12.7</v>
      </c>
      <c r="BV133" s="9"/>
      <c r="BX133" s="9"/>
      <c r="BY133" s="9"/>
      <c r="BZ133" s="9">
        <f t="shared" si="383"/>
        <v>12.7</v>
      </c>
      <c r="CA133" s="9">
        <f t="shared" si="384"/>
        <v>25.4</v>
      </c>
      <c r="CB133" s="9">
        <f t="shared" si="248"/>
        <v>0.78458409789675088</v>
      </c>
      <c r="CC133" s="9">
        <v>0</v>
      </c>
      <c r="CD133" s="9">
        <f t="shared" si="306"/>
        <v>0</v>
      </c>
      <c r="CE133" s="9">
        <f t="shared" si="249"/>
        <v>0</v>
      </c>
      <c r="CF133" s="9">
        <f t="shared" si="385"/>
        <v>0.99524931562137331</v>
      </c>
      <c r="CG133" s="9">
        <f t="shared" si="386"/>
        <v>0.84899999999999998</v>
      </c>
      <c r="CH133" s="9">
        <f t="shared" si="250"/>
        <v>1.9028641880890567</v>
      </c>
      <c r="CI133" s="9">
        <f t="shared" si="251"/>
        <v>1.4929569824318858</v>
      </c>
      <c r="CJ133" s="9">
        <v>1</v>
      </c>
      <c r="CK133" s="9">
        <f t="shared" si="252"/>
        <v>238.87311718910172</v>
      </c>
      <c r="CM133" s="4">
        <f t="shared" si="341"/>
        <v>0.48191848489859418</v>
      </c>
      <c r="CN133" s="4">
        <f t="shared" si="342"/>
        <v>1.0372255519526359</v>
      </c>
      <c r="CO133" s="4">
        <f t="shared" si="208"/>
        <v>1.0227472090377634</v>
      </c>
      <c r="CP133" s="4">
        <f t="shared" si="335"/>
        <v>1.7080197420332173</v>
      </c>
      <c r="CQ133" s="4">
        <f t="shared" si="210"/>
        <v>1.0994263216866613</v>
      </c>
      <c r="CR133" s="4">
        <f t="shared" si="211"/>
        <v>1.1186948523610185</v>
      </c>
      <c r="CS133" s="4">
        <f t="shared" si="329"/>
        <v>0.80652405603299926</v>
      </c>
      <c r="CU133" s="4">
        <f t="shared" si="360"/>
        <v>0.48191848489859418</v>
      </c>
      <c r="CV133" s="4">
        <f t="shared" si="360"/>
        <v>1.0372255519526359</v>
      </c>
      <c r="CW133" s="4">
        <f t="shared" si="377"/>
        <v>1.7080197420332173</v>
      </c>
      <c r="CX133" s="4">
        <f t="shared" si="343"/>
        <v>0.80652405603299926</v>
      </c>
      <c r="CY133" s="4">
        <f t="shared" si="361"/>
        <v>1.0994263216866613</v>
      </c>
      <c r="CZ133" s="4">
        <f t="shared" si="361"/>
        <v>1.1186948523610185</v>
      </c>
      <c r="DH133" s="4">
        <f t="shared" si="362"/>
        <v>0</v>
      </c>
      <c r="DI133" s="4">
        <f t="shared" si="363"/>
        <v>635</v>
      </c>
      <c r="DJ133" s="4">
        <f t="shared" si="364"/>
        <v>1</v>
      </c>
      <c r="DL133" s="4">
        <f t="shared" si="365"/>
        <v>4.8256601240798488E-5</v>
      </c>
      <c r="DM133" s="4">
        <f t="shared" si="366"/>
        <v>3.5682527467332243</v>
      </c>
      <c r="DN133" s="4">
        <f t="shared" si="337"/>
        <v>0.13092401785231186</v>
      </c>
      <c r="DO133" s="4">
        <f t="shared" si="253"/>
        <v>1.5822071349669731</v>
      </c>
      <c r="DP133" s="4">
        <f t="shared" si="254"/>
        <v>2.7624609360085506</v>
      </c>
      <c r="DQ133" s="4">
        <f t="shared" si="255"/>
        <v>3.0547564676061842</v>
      </c>
      <c r="DR133" s="38">
        <f t="shared" si="275"/>
        <v>371.10263048284628</v>
      </c>
      <c r="DS133" s="4">
        <f t="shared" si="256"/>
        <v>1.0000741331081429</v>
      </c>
      <c r="DT133" s="4">
        <f t="shared" si="330"/>
        <v>2.2360679774997898</v>
      </c>
      <c r="DU133" s="4">
        <f t="shared" si="276"/>
        <v>98.105659511376331</v>
      </c>
      <c r="DY133" s="4">
        <f t="shared" si="387"/>
        <v>1</v>
      </c>
      <c r="DZ133" s="4">
        <f t="shared" si="257"/>
        <v>1</v>
      </c>
      <c r="EA133" s="4">
        <f t="shared" si="258"/>
        <v>1</v>
      </c>
      <c r="EB133" s="4">
        <f t="shared" si="259"/>
        <v>1</v>
      </c>
      <c r="ED133" s="4">
        <f t="shared" si="277"/>
        <v>364.71071547250909</v>
      </c>
      <c r="EE133" s="25">
        <f t="shared" si="351"/>
        <v>97.09175946751725</v>
      </c>
      <c r="EH133" s="4">
        <f t="shared" si="314"/>
        <v>3.5682527467332243</v>
      </c>
      <c r="EI133" s="4">
        <f t="shared" si="367"/>
        <v>3.5682527467332243</v>
      </c>
      <c r="EK133" s="4">
        <f t="shared" si="368"/>
        <v>56.796126628494655</v>
      </c>
      <c r="EL133" s="4">
        <f t="shared" si="369"/>
        <v>2.2360679774997898</v>
      </c>
      <c r="EM133" s="4">
        <f t="shared" si="370"/>
        <v>4.6063269535542281E-2</v>
      </c>
      <c r="EP133" s="4">
        <f t="shared" si="332"/>
        <v>4.6063269535542281E-2</v>
      </c>
      <c r="EQ133" s="4">
        <f t="shared" si="333"/>
        <v>0.13070553006743624</v>
      </c>
      <c r="ER133" s="4">
        <f t="shared" si="371"/>
        <v>1.5811504422038443</v>
      </c>
      <c r="ES133" s="4">
        <f t="shared" si="388"/>
        <v>2.7621641591792314</v>
      </c>
      <c r="ET133" s="4">
        <f t="shared" si="372"/>
        <v>419.45387337150532</v>
      </c>
      <c r="EU133" s="4">
        <f t="shared" si="373"/>
        <v>158.75</v>
      </c>
      <c r="EV133" s="4">
        <f t="shared" si="261"/>
        <v>4.8256601240798488E-5</v>
      </c>
      <c r="EW133" s="4">
        <f t="shared" si="389"/>
        <v>3.0548183157992312</v>
      </c>
      <c r="EX133" s="4">
        <f t="shared" si="374"/>
        <v>371.07512153073276</v>
      </c>
      <c r="EY133" s="4">
        <f t="shared" si="375"/>
        <v>419.45387337150532</v>
      </c>
      <c r="EZ133" s="4">
        <f t="shared" si="376"/>
        <v>158.75000000000003</v>
      </c>
      <c r="FB133" s="4">
        <f t="shared" si="338"/>
        <v>0</v>
      </c>
      <c r="FG133" s="23">
        <f t="shared" si="339"/>
        <v>0.6</v>
      </c>
      <c r="FH133" s="23">
        <f t="shared" si="339"/>
        <v>1.2</v>
      </c>
      <c r="FI133" s="23">
        <f t="shared" si="382"/>
        <v>1</v>
      </c>
      <c r="FJ133" s="23">
        <f t="shared" si="340"/>
        <v>1.8</v>
      </c>
      <c r="FK133" s="23">
        <f t="shared" si="340"/>
        <v>1.2</v>
      </c>
      <c r="FL133" s="23">
        <f t="shared" si="340"/>
        <v>1.2</v>
      </c>
      <c r="FM133" s="23">
        <f t="shared" si="218"/>
        <v>0</v>
      </c>
      <c r="FN133" s="23"/>
      <c r="FX133" s="4">
        <f t="shared" si="263"/>
        <v>1.25</v>
      </c>
      <c r="FY133" s="4">
        <f t="shared" si="303"/>
        <v>1</v>
      </c>
      <c r="FZ133" s="4">
        <f t="shared" si="265"/>
        <v>0</v>
      </c>
      <c r="GA133" s="4">
        <f t="shared" si="266"/>
        <v>505.87455755108505</v>
      </c>
    </row>
    <row r="134" spans="1:183" ht="12" customHeight="1" x14ac:dyDescent="0.3">
      <c r="A134" s="25">
        <v>116</v>
      </c>
      <c r="B134" s="24" t="s">
        <v>128</v>
      </c>
      <c r="C134" s="24">
        <v>2015</v>
      </c>
      <c r="D134" s="24" t="s">
        <v>293</v>
      </c>
      <c r="E134" s="24"/>
      <c r="F134" s="7" t="s">
        <v>136</v>
      </c>
      <c r="G134" s="7">
        <v>710</v>
      </c>
      <c r="H134" s="7">
        <f t="shared" si="315"/>
        <v>572</v>
      </c>
      <c r="I134" s="7">
        <f t="shared" si="344"/>
        <v>572</v>
      </c>
      <c r="J134" s="7">
        <v>20.3</v>
      </c>
      <c r="K134" s="7">
        <v>28.6</v>
      </c>
      <c r="L134" s="7">
        <v>20</v>
      </c>
      <c r="M134" s="7">
        <f t="shared" si="345"/>
        <v>20</v>
      </c>
      <c r="N134" s="7">
        <v>261</v>
      </c>
      <c r="O134" s="7">
        <f t="shared" si="346"/>
        <v>28.6</v>
      </c>
      <c r="P134" s="7"/>
      <c r="Q134" s="7">
        <f t="shared" si="378"/>
        <v>28.6</v>
      </c>
      <c r="R134" s="7">
        <v>2</v>
      </c>
      <c r="S134" s="7">
        <f t="shared" si="347"/>
        <v>58.2</v>
      </c>
      <c r="T134" s="7">
        <f t="shared" si="304"/>
        <v>1</v>
      </c>
      <c r="U134" s="7">
        <f t="shared" si="353"/>
        <v>1.5000000000000002</v>
      </c>
      <c r="V134" s="7">
        <f t="shared" si="348"/>
        <v>4</v>
      </c>
      <c r="W134" s="7">
        <f t="shared" si="354"/>
        <v>4</v>
      </c>
      <c r="X134" s="7">
        <v>5</v>
      </c>
      <c r="Y134" s="7">
        <f t="shared" si="352"/>
        <v>63.951544156493995</v>
      </c>
      <c r="Z134" s="7"/>
      <c r="AA134" s="7"/>
      <c r="AB134" s="7">
        <v>235</v>
      </c>
      <c r="AC134" s="7"/>
      <c r="AD134" s="7">
        <f t="shared" si="334"/>
        <v>1.0703841422803833</v>
      </c>
      <c r="AE134" s="7"/>
      <c r="AF134" s="7"/>
      <c r="AG134" s="7">
        <v>1</v>
      </c>
      <c r="AH134" s="7"/>
      <c r="AI134" s="7"/>
      <c r="AJ134" s="7"/>
      <c r="AK134" s="4">
        <f t="shared" si="279"/>
        <v>572</v>
      </c>
      <c r="AL134" s="46">
        <f t="shared" si="349"/>
        <v>3.1022299378942735E-2</v>
      </c>
      <c r="AM134" s="25">
        <f t="shared" si="268"/>
        <v>479.72253378364422</v>
      </c>
      <c r="AN134" s="4">
        <f t="shared" si="269"/>
        <v>0.71499999999999997</v>
      </c>
      <c r="AO134" s="4">
        <v>1.25</v>
      </c>
      <c r="AP134" s="25">
        <f t="shared" si="317"/>
        <v>5</v>
      </c>
      <c r="AQ134" s="38">
        <f t="shared" si="271"/>
        <v>66.50436677644214</v>
      </c>
      <c r="AR134" s="38">
        <f t="shared" si="272"/>
        <v>66.50436677644214</v>
      </c>
      <c r="AT134" s="38">
        <f t="shared" si="350"/>
        <v>66.504366776442097</v>
      </c>
      <c r="AU134" s="38">
        <f t="shared" si="243"/>
        <v>1.0000000000000007</v>
      </c>
      <c r="AV134" s="38">
        <f t="shared" si="328"/>
        <v>1.4651669465187098</v>
      </c>
      <c r="AW134" s="4">
        <f t="shared" si="323"/>
        <v>0</v>
      </c>
      <c r="AX134" s="4">
        <f t="shared" si="379"/>
        <v>474.26864530816039</v>
      </c>
      <c r="AY134" s="4">
        <f t="shared" si="380"/>
        <v>1.2000000000000002</v>
      </c>
      <c r="AZ134" s="38">
        <f t="shared" si="273"/>
        <v>97.44</v>
      </c>
      <c r="BA134" s="4">
        <f t="shared" si="381"/>
        <v>0.44000000000000006</v>
      </c>
      <c r="BB134" s="4">
        <f t="shared" si="244"/>
        <v>109.03436155634608</v>
      </c>
      <c r="BC134" s="4">
        <f t="shared" si="245"/>
        <v>206.47436155634608</v>
      </c>
      <c r="BE134" s="36">
        <f t="shared" si="312"/>
        <v>1</v>
      </c>
      <c r="BF134" s="36">
        <f t="shared" si="313"/>
        <v>243.29981504308628</v>
      </c>
      <c r="BK134" s="4">
        <f t="shared" si="355"/>
        <v>20.700000000000003</v>
      </c>
      <c r="BL134" s="4">
        <f t="shared" si="356"/>
        <v>20.700000000000003</v>
      </c>
      <c r="BM134" s="4">
        <f t="shared" si="357"/>
        <v>58.2</v>
      </c>
      <c r="BN134" s="4">
        <f t="shared" si="358"/>
        <v>35</v>
      </c>
      <c r="BO134" s="4">
        <f t="shared" si="359"/>
        <v>1.181159420289855</v>
      </c>
      <c r="BP134" s="25">
        <f t="shared" si="274"/>
        <v>1.4454748150400323</v>
      </c>
      <c r="BR134" s="4">
        <f t="shared" si="331"/>
        <v>14.3</v>
      </c>
      <c r="BV134" s="9"/>
      <c r="BX134" s="9"/>
      <c r="BY134" s="9"/>
      <c r="BZ134" s="9">
        <f t="shared" si="383"/>
        <v>14.3</v>
      </c>
      <c r="CA134" s="9">
        <f t="shared" si="384"/>
        <v>28.6</v>
      </c>
      <c r="CB134" s="9">
        <f t="shared" si="248"/>
        <v>0.78458409789675088</v>
      </c>
      <c r="CC134" s="9">
        <v>0</v>
      </c>
      <c r="CD134" s="9">
        <f t="shared" si="306"/>
        <v>0</v>
      </c>
      <c r="CE134" s="9">
        <f t="shared" si="249"/>
        <v>0</v>
      </c>
      <c r="CF134" s="9">
        <f t="shared" si="385"/>
        <v>0.96044432035915817</v>
      </c>
      <c r="CG134" s="9">
        <f t="shared" si="386"/>
        <v>0.74299999999999999</v>
      </c>
      <c r="CH134" s="9">
        <f t="shared" si="250"/>
        <v>1.1253226745730049</v>
      </c>
      <c r="CI134" s="9">
        <f t="shared" si="251"/>
        <v>0.88291027547262002</v>
      </c>
      <c r="CJ134" s="9">
        <v>1</v>
      </c>
      <c r="CK134" s="9">
        <f t="shared" si="252"/>
        <v>123.60743856616681</v>
      </c>
      <c r="CM134" s="4">
        <f t="shared" si="341"/>
        <v>0.49549976015662306</v>
      </c>
      <c r="CN134" s="4">
        <f t="shared" si="342"/>
        <v>1.1381558379870296</v>
      </c>
      <c r="CO134" s="4">
        <f t="shared" si="208"/>
        <v>0.96588647204020084</v>
      </c>
      <c r="CP134" s="4">
        <f t="shared" si="335"/>
        <v>1.9011800804706829</v>
      </c>
      <c r="CQ134" s="4">
        <f t="shared" si="210"/>
        <v>1.0703841422803833</v>
      </c>
      <c r="CR134" s="4">
        <f t="shared" si="211"/>
        <v>1.1275778761630597</v>
      </c>
      <c r="CS134" s="4">
        <f t="shared" si="329"/>
        <v>0.73633809868486189</v>
      </c>
      <c r="CU134" s="4">
        <f t="shared" si="360"/>
        <v>0.49549976015662306</v>
      </c>
      <c r="CV134" s="4">
        <f t="shared" si="360"/>
        <v>1.1381558379870296</v>
      </c>
      <c r="CW134" s="4">
        <f t="shared" si="377"/>
        <v>1.9011800804706829</v>
      </c>
      <c r="CX134" s="4">
        <f t="shared" si="343"/>
        <v>0.73633809868486189</v>
      </c>
      <c r="CY134" s="4">
        <f t="shared" si="361"/>
        <v>1.0703841422803833</v>
      </c>
      <c r="CZ134" s="4">
        <f t="shared" si="361"/>
        <v>1.1275778761630597</v>
      </c>
      <c r="DH134" s="4">
        <f t="shared" si="362"/>
        <v>0</v>
      </c>
      <c r="DI134" s="4">
        <f t="shared" si="363"/>
        <v>572</v>
      </c>
      <c r="DJ134" s="4">
        <f t="shared" si="364"/>
        <v>1</v>
      </c>
      <c r="DL134" s="4">
        <f t="shared" si="365"/>
        <v>3.3190801128342592E-5</v>
      </c>
      <c r="DM134" s="4">
        <f t="shared" si="366"/>
        <v>2.3780879728772248</v>
      </c>
      <c r="DN134" s="4">
        <f t="shared" si="337"/>
        <v>0.20380369115520638</v>
      </c>
      <c r="DO134" s="4">
        <f t="shared" si="253"/>
        <v>1.2586724738780479</v>
      </c>
      <c r="DP134" s="4">
        <f t="shared" si="254"/>
        <v>1.903304726285421</v>
      </c>
      <c r="DQ134" s="4">
        <f t="shared" si="255"/>
        <v>2.2305232000234416</v>
      </c>
      <c r="DR134" s="38">
        <f t="shared" si="275"/>
        <v>219.54734820654937</v>
      </c>
      <c r="DS134" s="4">
        <f t="shared" si="256"/>
        <v>1.0000961123731371</v>
      </c>
      <c r="DT134" s="4">
        <f t="shared" si="330"/>
        <v>2.2360679774997898</v>
      </c>
      <c r="DU134" s="4">
        <f t="shared" si="276"/>
        <v>66.504366776442097</v>
      </c>
      <c r="DY134" s="4">
        <f t="shared" si="387"/>
        <v>1</v>
      </c>
      <c r="DZ134" s="4">
        <f t="shared" si="257"/>
        <v>1</v>
      </c>
      <c r="EA134" s="4">
        <f t="shared" si="258"/>
        <v>1</v>
      </c>
      <c r="EB134" s="4">
        <f t="shared" si="259"/>
        <v>1</v>
      </c>
      <c r="ED134" s="4">
        <f t="shared" si="277"/>
        <v>208.41132569899457</v>
      </c>
      <c r="EE134" s="25">
        <f t="shared" si="351"/>
        <v>65.726047326361083</v>
      </c>
      <c r="EH134" s="4">
        <f t="shared" si="314"/>
        <v>2.3780879728772248</v>
      </c>
      <c r="EI134" s="4">
        <f t="shared" si="367"/>
        <v>2.3780879728772248</v>
      </c>
      <c r="EK134" s="4">
        <f t="shared" si="368"/>
        <v>63.951544156493995</v>
      </c>
      <c r="EL134" s="4">
        <f t="shared" si="369"/>
        <v>2.2360679774997898</v>
      </c>
      <c r="EM134" s="4">
        <f t="shared" si="370"/>
        <v>5.0210590596265245E-2</v>
      </c>
      <c r="EP134" s="4">
        <f t="shared" si="332"/>
        <v>5.0210590596265245E-2</v>
      </c>
      <c r="EQ134" s="4">
        <f t="shared" si="333"/>
        <v>0.20346358077851293</v>
      </c>
      <c r="ER134" s="4">
        <f t="shared" si="371"/>
        <v>1.2578318569544467</v>
      </c>
      <c r="ES134" s="4">
        <f t="shared" si="388"/>
        <v>1.9030292975161969</v>
      </c>
      <c r="ET134" s="4">
        <f t="shared" si="372"/>
        <v>365.04845584350602</v>
      </c>
      <c r="EU134" s="4">
        <f t="shared" si="373"/>
        <v>143</v>
      </c>
      <c r="EV134" s="4">
        <f t="shared" si="261"/>
        <v>3.3190801128342592E-5</v>
      </c>
      <c r="EW134" s="4">
        <f t="shared" si="389"/>
        <v>2.2305472867198173</v>
      </c>
      <c r="EX134" s="4">
        <f t="shared" si="374"/>
        <v>219.52624901779041</v>
      </c>
      <c r="EY134" s="4">
        <f t="shared" si="375"/>
        <v>365.04845584350602</v>
      </c>
      <c r="EZ134" s="4">
        <f t="shared" si="376"/>
        <v>143</v>
      </c>
      <c r="FB134" s="4">
        <f t="shared" si="338"/>
        <v>0</v>
      </c>
      <c r="FG134" s="23">
        <f t="shared" si="339"/>
        <v>0.6</v>
      </c>
      <c r="FH134" s="23">
        <f t="shared" si="339"/>
        <v>1.2</v>
      </c>
      <c r="FI134" s="23">
        <f t="shared" si="382"/>
        <v>0.8</v>
      </c>
      <c r="FJ134" s="23">
        <f t="shared" si="340"/>
        <v>2</v>
      </c>
      <c r="FK134" s="23">
        <f t="shared" si="340"/>
        <v>1.2</v>
      </c>
      <c r="FL134" s="23">
        <f t="shared" si="340"/>
        <v>1.2</v>
      </c>
      <c r="FM134" s="23">
        <f t="shared" si="218"/>
        <v>0</v>
      </c>
      <c r="FN134" s="23"/>
      <c r="FX134" s="4">
        <f t="shared" si="263"/>
        <v>1.25</v>
      </c>
      <c r="FY134" s="4">
        <f t="shared" si="303"/>
        <v>1</v>
      </c>
      <c r="FZ134" s="4">
        <f t="shared" si="265"/>
        <v>0</v>
      </c>
      <c r="GA134" s="4">
        <f t="shared" si="266"/>
        <v>319.1468707373993</v>
      </c>
    </row>
    <row r="135" spans="1:183" ht="12" customHeight="1" x14ac:dyDescent="0.3">
      <c r="A135" s="25">
        <v>117</v>
      </c>
      <c r="B135" s="24" t="s">
        <v>128</v>
      </c>
      <c r="C135" s="24">
        <v>2015</v>
      </c>
      <c r="D135" s="24" t="s">
        <v>293</v>
      </c>
      <c r="E135" s="24"/>
      <c r="F135" s="7" t="s">
        <v>137</v>
      </c>
      <c r="G135" s="7">
        <v>710</v>
      </c>
      <c r="H135" s="7">
        <f t="shared" si="315"/>
        <v>715</v>
      </c>
      <c r="I135" s="7">
        <f t="shared" si="344"/>
        <v>715</v>
      </c>
      <c r="J135" s="7">
        <v>20.3</v>
      </c>
      <c r="K135" s="7">
        <v>28.6</v>
      </c>
      <c r="L135" s="7">
        <v>25</v>
      </c>
      <c r="M135" s="7">
        <f t="shared" si="345"/>
        <v>25</v>
      </c>
      <c r="N135" s="7">
        <v>261</v>
      </c>
      <c r="O135" s="7">
        <f t="shared" si="346"/>
        <v>28.6</v>
      </c>
      <c r="P135" s="7"/>
      <c r="Q135" s="7">
        <f t="shared" si="378"/>
        <v>28.6</v>
      </c>
      <c r="R135" s="7">
        <v>2</v>
      </c>
      <c r="S135" s="7">
        <f t="shared" si="347"/>
        <v>58.2</v>
      </c>
      <c r="T135" s="7">
        <f t="shared" si="304"/>
        <v>1</v>
      </c>
      <c r="U135" s="7">
        <f t="shared" si="353"/>
        <v>1.5000000000000002</v>
      </c>
      <c r="V135" s="7">
        <f t="shared" si="348"/>
        <v>4</v>
      </c>
      <c r="W135" s="7">
        <f t="shared" si="354"/>
        <v>4</v>
      </c>
      <c r="X135" s="7">
        <v>5</v>
      </c>
      <c r="Y135" s="7">
        <f t="shared" si="352"/>
        <v>63.951544156493995</v>
      </c>
      <c r="Z135" s="7"/>
      <c r="AA135" s="7"/>
      <c r="AB135" s="7">
        <v>282</v>
      </c>
      <c r="AC135" s="7"/>
      <c r="AD135" s="7">
        <f t="shared" si="334"/>
        <v>1.1360427524926529</v>
      </c>
      <c r="AE135" s="7"/>
      <c r="AF135" s="7"/>
      <c r="AG135" s="7">
        <v>1</v>
      </c>
      <c r="AH135" s="7"/>
      <c r="AI135" s="7"/>
      <c r="AJ135" s="7"/>
      <c r="AK135" s="4">
        <f t="shared" si="279"/>
        <v>715</v>
      </c>
      <c r="AL135" s="46">
        <f t="shared" si="349"/>
        <v>1.985427160252335E-2</v>
      </c>
      <c r="AM135" s="25">
        <f t="shared" si="268"/>
        <v>670.43262242416654</v>
      </c>
      <c r="AN135" s="4">
        <f t="shared" si="269"/>
        <v>0.71199999999999997</v>
      </c>
      <c r="AO135" s="4">
        <v>1.25</v>
      </c>
      <c r="AP135" s="25">
        <f t="shared" si="317"/>
        <v>5</v>
      </c>
      <c r="AQ135" s="38">
        <f t="shared" si="271"/>
        <v>59.233733626766181</v>
      </c>
      <c r="AR135" s="38">
        <f t="shared" si="272"/>
        <v>59.233733626766181</v>
      </c>
      <c r="AT135" s="38">
        <f t="shared" si="350"/>
        <v>59.23373362676621</v>
      </c>
      <c r="AU135" s="38">
        <f t="shared" si="243"/>
        <v>0.99999999999999956</v>
      </c>
      <c r="AV135" s="38">
        <f t="shared" si="328"/>
        <v>1.6450085792999778</v>
      </c>
      <c r="AW135" s="4">
        <f t="shared" si="323"/>
        <v>0</v>
      </c>
      <c r="AX135" s="4">
        <f t="shared" si="379"/>
        <v>592.83580663520047</v>
      </c>
      <c r="AY135" s="4">
        <f t="shared" si="380"/>
        <v>1.2000000000000002</v>
      </c>
      <c r="AZ135" s="38">
        <f t="shared" si="273"/>
        <v>97.44</v>
      </c>
      <c r="BA135" s="4">
        <f t="shared" si="381"/>
        <v>0.44000000000000006</v>
      </c>
      <c r="BB135" s="4">
        <f t="shared" si="244"/>
        <v>136.29295194543261</v>
      </c>
      <c r="BC135" s="4">
        <f t="shared" si="245"/>
        <v>233.7329519454326</v>
      </c>
      <c r="BE135" s="36">
        <f t="shared" si="312"/>
        <v>1</v>
      </c>
      <c r="BF135" s="36">
        <f t="shared" si="313"/>
        <v>279.34423208650645</v>
      </c>
      <c r="BK135" s="4">
        <f t="shared" si="355"/>
        <v>20.700000000000003</v>
      </c>
      <c r="BL135" s="4">
        <f t="shared" si="356"/>
        <v>20.700000000000003</v>
      </c>
      <c r="BM135" s="4">
        <f t="shared" si="357"/>
        <v>58.2</v>
      </c>
      <c r="BN135" s="4">
        <f t="shared" si="358"/>
        <v>35</v>
      </c>
      <c r="BO135" s="4">
        <f t="shared" si="359"/>
        <v>1.181159420289855</v>
      </c>
      <c r="BP135" s="25">
        <f t="shared" si="274"/>
        <v>1.4454748150400323</v>
      </c>
      <c r="BR135" s="4">
        <f t="shared" si="331"/>
        <v>14.3</v>
      </c>
      <c r="BV135" s="9"/>
      <c r="BX135" s="9"/>
      <c r="BY135" s="9"/>
      <c r="BZ135" s="9">
        <f t="shared" si="383"/>
        <v>14.3</v>
      </c>
      <c r="CA135" s="9">
        <f t="shared" si="384"/>
        <v>28.6</v>
      </c>
      <c r="CB135" s="9">
        <f t="shared" si="248"/>
        <v>0.78458409789675088</v>
      </c>
      <c r="CC135" s="9">
        <v>0</v>
      </c>
      <c r="CD135" s="9">
        <f t="shared" si="306"/>
        <v>0</v>
      </c>
      <c r="CE135" s="9">
        <f t="shared" si="249"/>
        <v>0</v>
      </c>
      <c r="CF135" s="9">
        <f t="shared" si="385"/>
        <v>0.96044432035915817</v>
      </c>
      <c r="CG135" s="9">
        <f t="shared" si="386"/>
        <v>0.74299999999999999</v>
      </c>
      <c r="CH135" s="9">
        <f t="shared" si="250"/>
        <v>1.1253226745730049</v>
      </c>
      <c r="CI135" s="9">
        <f t="shared" si="251"/>
        <v>0.88291027547262002</v>
      </c>
      <c r="CJ135" s="9">
        <v>1</v>
      </c>
      <c r="CK135" s="9">
        <f t="shared" si="252"/>
        <v>141.26564407561921</v>
      </c>
      <c r="CM135" s="4">
        <f t="shared" si="341"/>
        <v>0.47567976975035814</v>
      </c>
      <c r="CN135" s="4">
        <f t="shared" si="342"/>
        <v>1.2065051061599386</v>
      </c>
      <c r="CO135" s="4">
        <f t="shared" si="208"/>
        <v>1.0095071514226617</v>
      </c>
      <c r="CP135" s="4">
        <f t="shared" si="335"/>
        <v>1.9962390844942171</v>
      </c>
      <c r="CQ135" s="4">
        <f t="shared" si="210"/>
        <v>1.1360427524926529</v>
      </c>
      <c r="CR135" s="4">
        <f t="shared" si="211"/>
        <v>1.1899830557976832</v>
      </c>
      <c r="CS135" s="4">
        <f t="shared" si="329"/>
        <v>0.70688457473746746</v>
      </c>
      <c r="CU135" s="4">
        <f t="shared" si="360"/>
        <v>0.47567976975035814</v>
      </c>
      <c r="CV135" s="4">
        <f t="shared" si="360"/>
        <v>1.2065051061599386</v>
      </c>
      <c r="CW135" s="4">
        <f t="shared" si="377"/>
        <v>1.9962390844942171</v>
      </c>
      <c r="CX135" s="4">
        <f t="shared" si="343"/>
        <v>0.70688457473746746</v>
      </c>
      <c r="CY135" s="4">
        <f t="shared" si="361"/>
        <v>1.1360427524926529</v>
      </c>
      <c r="CZ135" s="4">
        <f t="shared" si="361"/>
        <v>1.1899830557976832</v>
      </c>
      <c r="DH135" s="4">
        <f t="shared" si="362"/>
        <v>0</v>
      </c>
      <c r="DI135" s="4">
        <f t="shared" si="363"/>
        <v>715</v>
      </c>
      <c r="DJ135" s="4">
        <f t="shared" si="364"/>
        <v>1</v>
      </c>
      <c r="DL135" s="4">
        <f t="shared" si="365"/>
        <v>4.1488501410428239E-5</v>
      </c>
      <c r="DM135" s="4">
        <f t="shared" si="366"/>
        <v>2.3780879728772248</v>
      </c>
      <c r="DN135" s="4">
        <f t="shared" si="337"/>
        <v>0.18152272007370676</v>
      </c>
      <c r="DO135" s="4">
        <f t="shared" si="253"/>
        <v>1.2017117643087798</v>
      </c>
      <c r="DP135" s="4">
        <f t="shared" si="254"/>
        <v>1.8849899141539597</v>
      </c>
      <c r="DQ135" s="4">
        <f t="shared" si="255"/>
        <v>2.149341721747791</v>
      </c>
      <c r="DR135" s="38">
        <f t="shared" si="275"/>
        <v>248.23009466963151</v>
      </c>
      <c r="DS135" s="4">
        <f t="shared" si="256"/>
        <v>1.000092901864754</v>
      </c>
      <c r="DT135" s="4">
        <f t="shared" si="330"/>
        <v>2.2360679774997898</v>
      </c>
      <c r="DU135" s="4">
        <f t="shared" si="276"/>
        <v>59.23373362676621</v>
      </c>
      <c r="DY135" s="4">
        <f t="shared" si="387"/>
        <v>1</v>
      </c>
      <c r="DZ135" s="4">
        <f t="shared" si="257"/>
        <v>1</v>
      </c>
      <c r="EA135" s="4">
        <f t="shared" si="258"/>
        <v>1</v>
      </c>
      <c r="EB135" s="4">
        <f t="shared" si="259"/>
        <v>1</v>
      </c>
      <c r="ED135" s="4">
        <f t="shared" si="277"/>
        <v>236.97816420668823</v>
      </c>
      <c r="EE135" s="25">
        <f t="shared" si="351"/>
        <v>58.621566240896378</v>
      </c>
      <c r="EH135" s="4">
        <f t="shared" si="314"/>
        <v>2.3780879728772248</v>
      </c>
      <c r="EI135" s="4">
        <f t="shared" si="367"/>
        <v>2.3780879728772248</v>
      </c>
      <c r="EK135" s="4">
        <f t="shared" si="368"/>
        <v>63.951544156493995</v>
      </c>
      <c r="EL135" s="4">
        <f t="shared" si="369"/>
        <v>2.2360679774997898</v>
      </c>
      <c r="EM135" s="4">
        <f t="shared" si="370"/>
        <v>4.4721285124322503E-2</v>
      </c>
      <c r="EP135" s="4">
        <f t="shared" si="332"/>
        <v>4.4721285124322503E-2</v>
      </c>
      <c r="EQ135" s="4">
        <f t="shared" si="333"/>
        <v>0.18121979248513981</v>
      </c>
      <c r="ER135" s="4">
        <f t="shared" si="371"/>
        <v>1.2009091891612864</v>
      </c>
      <c r="ES135" s="4">
        <f t="shared" si="388"/>
        <v>1.8847369703955175</v>
      </c>
      <c r="ET135" s="4">
        <f t="shared" si="372"/>
        <v>472.29845584350602</v>
      </c>
      <c r="EU135" s="4">
        <f t="shared" si="373"/>
        <v>178.74999999999994</v>
      </c>
      <c r="EV135" s="4">
        <f t="shared" si="261"/>
        <v>4.1488501410428226E-5</v>
      </c>
      <c r="EW135" s="4">
        <f t="shared" si="389"/>
        <v>2.1493748392681402</v>
      </c>
      <c r="EX135" s="4">
        <f t="shared" si="374"/>
        <v>248.20703577316311</v>
      </c>
      <c r="EY135" s="4">
        <f t="shared" si="375"/>
        <v>472.29845584350602</v>
      </c>
      <c r="EZ135" s="4">
        <f t="shared" si="376"/>
        <v>178.75</v>
      </c>
      <c r="FB135" s="4">
        <f t="shared" si="338"/>
        <v>0</v>
      </c>
      <c r="FG135" s="23">
        <f t="shared" si="339"/>
        <v>0.6</v>
      </c>
      <c r="FH135" s="23">
        <f t="shared" si="339"/>
        <v>1.4</v>
      </c>
      <c r="FI135" s="23">
        <f t="shared" si="382"/>
        <v>0.8</v>
      </c>
      <c r="FJ135" s="23">
        <f t="shared" si="340"/>
        <v>2</v>
      </c>
      <c r="FK135" s="23">
        <f t="shared" si="340"/>
        <v>1.2</v>
      </c>
      <c r="FL135" s="23">
        <f t="shared" si="340"/>
        <v>1.2</v>
      </c>
      <c r="FM135" s="23">
        <f t="shared" si="218"/>
        <v>0</v>
      </c>
      <c r="FN135" s="23"/>
      <c r="FX135" s="4">
        <f t="shared" si="263"/>
        <v>1.25</v>
      </c>
      <c r="FY135" s="4">
        <f t="shared" si="303"/>
        <v>1</v>
      </c>
      <c r="FZ135" s="4">
        <f t="shared" si="265"/>
        <v>0</v>
      </c>
      <c r="GA135" s="4">
        <f t="shared" si="266"/>
        <v>398.93358842174911</v>
      </c>
    </row>
    <row r="136" spans="1:183" ht="12" customHeight="1" x14ac:dyDescent="0.3">
      <c r="A136" s="25">
        <v>118</v>
      </c>
      <c r="B136" s="24" t="s">
        <v>128</v>
      </c>
      <c r="C136" s="24">
        <v>2015</v>
      </c>
      <c r="D136" s="24" t="s">
        <v>293</v>
      </c>
      <c r="E136" s="24"/>
      <c r="F136" s="7" t="s">
        <v>144</v>
      </c>
      <c r="G136" s="7">
        <v>710</v>
      </c>
      <c r="H136" s="7">
        <f t="shared" si="315"/>
        <v>429</v>
      </c>
      <c r="I136" s="7">
        <f t="shared" si="344"/>
        <v>429</v>
      </c>
      <c r="J136" s="7">
        <v>62.9</v>
      </c>
      <c r="K136" s="7">
        <v>28.6</v>
      </c>
      <c r="L136" s="7">
        <v>15</v>
      </c>
      <c r="M136" s="7">
        <f t="shared" si="345"/>
        <v>15</v>
      </c>
      <c r="N136" s="7">
        <v>261</v>
      </c>
      <c r="O136" s="7">
        <f t="shared" si="346"/>
        <v>28.6</v>
      </c>
      <c r="P136" s="7"/>
      <c r="Q136" s="7">
        <f t="shared" si="378"/>
        <v>28.6</v>
      </c>
      <c r="R136" s="7">
        <v>2</v>
      </c>
      <c r="S136" s="7">
        <f t="shared" si="347"/>
        <v>58.2</v>
      </c>
      <c r="T136" s="7">
        <f t="shared" si="304"/>
        <v>1</v>
      </c>
      <c r="U136" s="7">
        <f t="shared" si="353"/>
        <v>1.5000000000000002</v>
      </c>
      <c r="V136" s="7">
        <f t="shared" si="348"/>
        <v>4</v>
      </c>
      <c r="W136" s="7">
        <f t="shared" si="354"/>
        <v>4</v>
      </c>
      <c r="X136" s="7">
        <v>5</v>
      </c>
      <c r="Y136" s="7">
        <f t="shared" si="352"/>
        <v>63.951544156493995</v>
      </c>
      <c r="Z136" s="7"/>
      <c r="AA136" s="7"/>
      <c r="AB136" s="7">
        <v>345</v>
      </c>
      <c r="AC136" s="7"/>
      <c r="AD136" s="7">
        <f t="shared" si="334"/>
        <v>1.052109744420656</v>
      </c>
      <c r="AE136" s="7"/>
      <c r="AF136" s="7"/>
      <c r="AG136" s="7">
        <v>1</v>
      </c>
      <c r="AH136" s="7"/>
      <c r="AI136" s="7"/>
      <c r="AJ136" s="7"/>
      <c r="AK136" s="4">
        <f t="shared" si="279"/>
        <v>429</v>
      </c>
      <c r="AL136" s="46">
        <f t="shared" si="349"/>
        <v>5.5150754451453753E-2</v>
      </c>
      <c r="AM136" s="25">
        <f t="shared" si="268"/>
        <v>548.47813315761925</v>
      </c>
      <c r="AN136" s="4">
        <f t="shared" si="269"/>
        <v>0.72</v>
      </c>
      <c r="AO136" s="4">
        <v>1.25</v>
      </c>
      <c r="AP136" s="25">
        <f t="shared" si="317"/>
        <v>5</v>
      </c>
      <c r="AQ136" s="38">
        <f t="shared" si="271"/>
        <v>136.12042279695424</v>
      </c>
      <c r="AR136" s="38">
        <f t="shared" si="272"/>
        <v>136.12042279695424</v>
      </c>
      <c r="AT136" s="38">
        <f t="shared" si="350"/>
        <v>136.12042279695419</v>
      </c>
      <c r="AU136" s="38">
        <f t="shared" si="243"/>
        <v>1.0000000000000004</v>
      </c>
      <c r="AV136" s="38">
        <f t="shared" si="328"/>
        <v>2.2180360139665667</v>
      </c>
      <c r="AW136" s="4">
        <f t="shared" si="323"/>
        <v>0</v>
      </c>
      <c r="AX136" s="4">
        <f t="shared" si="379"/>
        <v>626.1277913336321</v>
      </c>
      <c r="AY136" s="4">
        <f t="shared" si="380"/>
        <v>1.2000000000000002</v>
      </c>
      <c r="AZ136" s="38">
        <f t="shared" si="273"/>
        <v>301.92</v>
      </c>
      <c r="BA136" s="4">
        <f t="shared" si="381"/>
        <v>0.44000000000000006</v>
      </c>
      <c r="BB136" s="4">
        <f t="shared" si="244"/>
        <v>143.94677922760204</v>
      </c>
      <c r="BC136" s="4">
        <f t="shared" si="245"/>
        <v>445.86677922760202</v>
      </c>
      <c r="BE136" s="36">
        <f t="shared" si="312"/>
        <v>1</v>
      </c>
      <c r="BF136" s="36">
        <f t="shared" si="313"/>
        <v>364.8237930837297</v>
      </c>
      <c r="BK136" s="4">
        <f t="shared" si="355"/>
        <v>20.700000000000003</v>
      </c>
      <c r="BL136" s="4">
        <f t="shared" si="356"/>
        <v>20.700000000000003</v>
      </c>
      <c r="BM136" s="4">
        <f t="shared" si="357"/>
        <v>58.2</v>
      </c>
      <c r="BN136" s="4">
        <f t="shared" si="358"/>
        <v>35</v>
      </c>
      <c r="BO136" s="4">
        <f t="shared" si="359"/>
        <v>1.181159420289855</v>
      </c>
      <c r="BP136" s="25">
        <f t="shared" si="274"/>
        <v>1.4454748150400323</v>
      </c>
      <c r="BR136" s="4">
        <f t="shared" si="331"/>
        <v>14.3</v>
      </c>
      <c r="BV136" s="9"/>
      <c r="BX136" s="9"/>
      <c r="BY136" s="9"/>
      <c r="BZ136" s="9">
        <f t="shared" si="383"/>
        <v>14.3</v>
      </c>
      <c r="CA136" s="9">
        <f t="shared" si="384"/>
        <v>28.6</v>
      </c>
      <c r="CB136" s="9">
        <f t="shared" si="248"/>
        <v>0.78458409789675088</v>
      </c>
      <c r="CC136" s="9">
        <v>0</v>
      </c>
      <c r="CD136" s="9">
        <f t="shared" si="306"/>
        <v>0</v>
      </c>
      <c r="CE136" s="9">
        <f t="shared" si="249"/>
        <v>0</v>
      </c>
      <c r="CF136" s="9">
        <f t="shared" si="385"/>
        <v>0.96044432035915817</v>
      </c>
      <c r="CG136" s="9">
        <f t="shared" si="386"/>
        <v>0.74299999999999999</v>
      </c>
      <c r="CH136" s="9">
        <f t="shared" si="250"/>
        <v>1.9808626966691243</v>
      </c>
      <c r="CI136" s="9">
        <f t="shared" si="251"/>
        <v>1.5541533719234701</v>
      </c>
      <c r="CJ136" s="9">
        <v>1</v>
      </c>
      <c r="CK136" s="9">
        <f t="shared" si="252"/>
        <v>186.49840463081642</v>
      </c>
      <c r="CM136" s="4">
        <f t="shared" si="341"/>
        <v>0.55100572882280319</v>
      </c>
      <c r="CN136" s="4">
        <f t="shared" si="342"/>
        <v>0.77377372810250911</v>
      </c>
      <c r="CO136" s="4">
        <f t="shared" si="208"/>
        <v>0.94566200598879258</v>
      </c>
      <c r="CP136" s="4">
        <f t="shared" si="335"/>
        <v>1.8498817761092701</v>
      </c>
      <c r="CQ136" s="4">
        <f t="shared" si="210"/>
        <v>1.052109744420656</v>
      </c>
      <c r="CR136" s="4">
        <f t="shared" si="211"/>
        <v>1.0694592128006695</v>
      </c>
      <c r="CS136" s="4">
        <f t="shared" si="329"/>
        <v>1.0863720642158083</v>
      </c>
      <c r="CU136" s="4">
        <f t="shared" si="360"/>
        <v>0.55100572882280319</v>
      </c>
      <c r="CV136" s="4">
        <f t="shared" si="360"/>
        <v>0.77377372810250911</v>
      </c>
      <c r="CW136" s="4">
        <f t="shared" si="377"/>
        <v>1.8498817761092701</v>
      </c>
      <c r="CX136" s="4">
        <f t="shared" si="343"/>
        <v>1.0863720642158083</v>
      </c>
      <c r="CY136" s="4">
        <f t="shared" si="361"/>
        <v>1.052109744420656</v>
      </c>
      <c r="CZ136" s="4">
        <f t="shared" si="361"/>
        <v>1.0694592128006695</v>
      </c>
      <c r="DH136" s="4">
        <f t="shared" si="362"/>
        <v>0</v>
      </c>
      <c r="DI136" s="4">
        <f t="shared" si="363"/>
        <v>429</v>
      </c>
      <c r="DJ136" s="4">
        <f t="shared" si="364"/>
        <v>1</v>
      </c>
      <c r="DL136" s="4">
        <f t="shared" si="365"/>
        <v>3.3150409818642976E-5</v>
      </c>
      <c r="DM136" s="4">
        <f t="shared" si="366"/>
        <v>4.1860577959627587</v>
      </c>
      <c r="DN136" s="4">
        <f t="shared" si="337"/>
        <v>0.13462650289663738</v>
      </c>
      <c r="DO136" s="4">
        <f t="shared" si="253"/>
        <v>1.8769704962221223</v>
      </c>
      <c r="DP136" s="4">
        <f t="shared" si="254"/>
        <v>3.2466310254492474</v>
      </c>
      <c r="DQ136" s="4">
        <f t="shared" si="255"/>
        <v>3.8629571697698561</v>
      </c>
      <c r="DR136" s="38">
        <f t="shared" si="275"/>
        <v>327.91256029091738</v>
      </c>
      <c r="DS136" s="4">
        <f t="shared" si="256"/>
        <v>1.000071154236343</v>
      </c>
      <c r="DT136" s="4">
        <f t="shared" si="330"/>
        <v>2.2360679774997898</v>
      </c>
      <c r="DU136" s="4">
        <f t="shared" si="276"/>
        <v>136.12042279695419</v>
      </c>
      <c r="DY136" s="4">
        <f t="shared" si="387"/>
        <v>1</v>
      </c>
      <c r="DZ136" s="4">
        <f t="shared" si="257"/>
        <v>1</v>
      </c>
      <c r="EA136" s="4">
        <f t="shared" si="258"/>
        <v>1</v>
      </c>
      <c r="EB136" s="4">
        <f t="shared" si="259"/>
        <v>1</v>
      </c>
      <c r="ED136" s="4">
        <f t="shared" si="277"/>
        <v>322.5929477913644</v>
      </c>
      <c r="EE136" s="25">
        <f t="shared" si="351"/>
        <v>134.22034697304031</v>
      </c>
      <c r="EH136" s="4">
        <f t="shared" si="314"/>
        <v>4.1860577959627587</v>
      </c>
      <c r="EI136" s="4">
        <f t="shared" si="367"/>
        <v>4.1860577959627587</v>
      </c>
      <c r="EK136" s="4">
        <f t="shared" si="368"/>
        <v>63.951544156493995</v>
      </c>
      <c r="EL136" s="4">
        <f t="shared" si="369"/>
        <v>2.2360679774997898</v>
      </c>
      <c r="EM136" s="4">
        <f t="shared" si="370"/>
        <v>5.8383637923874576E-2</v>
      </c>
      <c r="EP136" s="4">
        <f t="shared" si="332"/>
        <v>5.8383637923874576E-2</v>
      </c>
      <c r="EQ136" s="4">
        <f t="shared" si="333"/>
        <v>0.13440183635427219</v>
      </c>
      <c r="ER136" s="4">
        <f t="shared" si="371"/>
        <v>1.8757169428180636</v>
      </c>
      <c r="ES136" s="4">
        <f t="shared" si="388"/>
        <v>3.2462753665529136</v>
      </c>
      <c r="ET136" s="4">
        <f t="shared" si="372"/>
        <v>257.79845584350602</v>
      </c>
      <c r="EU136" s="4">
        <f t="shared" si="373"/>
        <v>107.25</v>
      </c>
      <c r="EV136" s="4">
        <f t="shared" si="261"/>
        <v>3.3150409818642976E-5</v>
      </c>
      <c r="EW136" s="4">
        <f t="shared" si="389"/>
        <v>3.8630041667846942</v>
      </c>
      <c r="EX136" s="4">
        <f t="shared" si="374"/>
        <v>327.8892295831813</v>
      </c>
      <c r="EY136" s="4">
        <f t="shared" si="375"/>
        <v>257.79845584350602</v>
      </c>
      <c r="EZ136" s="4">
        <f t="shared" si="376"/>
        <v>107.24999999999999</v>
      </c>
      <c r="FB136" s="4">
        <f t="shared" si="338"/>
        <v>0</v>
      </c>
      <c r="FG136" s="23">
        <f t="shared" si="339"/>
        <v>0.6</v>
      </c>
      <c r="FH136" s="23">
        <f t="shared" si="339"/>
        <v>0.8</v>
      </c>
      <c r="FI136" s="23">
        <f t="shared" si="382"/>
        <v>1.2</v>
      </c>
      <c r="FJ136" s="23">
        <f t="shared" si="340"/>
        <v>2</v>
      </c>
      <c r="FK136" s="23">
        <f t="shared" si="340"/>
        <v>1.2</v>
      </c>
      <c r="FL136" s="23">
        <f t="shared" si="340"/>
        <v>1.2</v>
      </c>
      <c r="FM136" s="23">
        <f t="shared" si="218"/>
        <v>0</v>
      </c>
      <c r="FN136" s="23"/>
      <c r="FX136" s="4">
        <f t="shared" si="263"/>
        <v>1.25</v>
      </c>
      <c r="FY136" s="4">
        <f t="shared" si="303"/>
        <v>1</v>
      </c>
      <c r="FZ136" s="4">
        <f t="shared" si="265"/>
        <v>0</v>
      </c>
      <c r="GA136" s="4">
        <f t="shared" si="266"/>
        <v>317.57075808925219</v>
      </c>
    </row>
    <row r="137" spans="1:183" ht="12" customHeight="1" x14ac:dyDescent="0.3">
      <c r="A137" s="25">
        <v>119</v>
      </c>
      <c r="B137" s="24" t="s">
        <v>128</v>
      </c>
      <c r="C137" s="24">
        <v>2015</v>
      </c>
      <c r="D137" s="24" t="s">
        <v>293</v>
      </c>
      <c r="E137" s="24"/>
      <c r="F137" s="7" t="s">
        <v>145</v>
      </c>
      <c r="G137" s="7">
        <v>710</v>
      </c>
      <c r="H137" s="7">
        <f t="shared" si="315"/>
        <v>572</v>
      </c>
      <c r="I137" s="7">
        <f t="shared" si="344"/>
        <v>572</v>
      </c>
      <c r="J137" s="7">
        <v>62.9</v>
      </c>
      <c r="K137" s="7">
        <v>28.6</v>
      </c>
      <c r="L137" s="7">
        <v>20</v>
      </c>
      <c r="M137" s="7">
        <f t="shared" si="345"/>
        <v>20</v>
      </c>
      <c r="N137" s="7">
        <v>261</v>
      </c>
      <c r="O137" s="7">
        <f t="shared" si="346"/>
        <v>28.6</v>
      </c>
      <c r="P137" s="7"/>
      <c r="Q137" s="7">
        <f t="shared" si="378"/>
        <v>28.6</v>
      </c>
      <c r="R137" s="7">
        <v>2</v>
      </c>
      <c r="S137" s="7">
        <f t="shared" si="347"/>
        <v>58.2</v>
      </c>
      <c r="T137" s="7">
        <f t="shared" si="304"/>
        <v>1</v>
      </c>
      <c r="U137" s="7">
        <f t="shared" si="353"/>
        <v>1.5000000000000002</v>
      </c>
      <c r="V137" s="7">
        <f t="shared" si="348"/>
        <v>4</v>
      </c>
      <c r="W137" s="7">
        <f t="shared" si="354"/>
        <v>4</v>
      </c>
      <c r="X137" s="7">
        <v>5</v>
      </c>
      <c r="Y137" s="7">
        <f t="shared" si="352"/>
        <v>63.951544156493995</v>
      </c>
      <c r="Z137" s="7"/>
      <c r="AA137" s="7"/>
      <c r="AB137" s="7">
        <v>432</v>
      </c>
      <c r="AC137" s="7"/>
      <c r="AD137" s="7">
        <f t="shared" si="334"/>
        <v>1.1695813654354281</v>
      </c>
      <c r="AE137" s="7"/>
      <c r="AF137" s="7"/>
      <c r="AG137" s="7">
        <v>1</v>
      </c>
      <c r="AH137" s="7"/>
      <c r="AI137" s="7"/>
      <c r="AJ137" s="7"/>
      <c r="AK137" s="4">
        <f t="shared" si="279"/>
        <v>572</v>
      </c>
      <c r="AL137" s="46">
        <f t="shared" si="349"/>
        <v>3.1022299378942735E-2</v>
      </c>
      <c r="AM137" s="25">
        <f t="shared" si="268"/>
        <v>844.43732752846654</v>
      </c>
      <c r="AN137" s="4">
        <f t="shared" si="269"/>
        <v>0.71499999999999997</v>
      </c>
      <c r="AO137" s="4">
        <v>1.25</v>
      </c>
      <c r="AP137" s="25">
        <f t="shared" si="317"/>
        <v>5</v>
      </c>
      <c r="AQ137" s="38">
        <f t="shared" si="271"/>
        <v>117.06510700412386</v>
      </c>
      <c r="AR137" s="38">
        <f t="shared" si="272"/>
        <v>117.06510700412386</v>
      </c>
      <c r="AT137" s="38">
        <f t="shared" si="350"/>
        <v>117.06510700412382</v>
      </c>
      <c r="AU137" s="38">
        <f t="shared" si="243"/>
        <v>1.0000000000000004</v>
      </c>
      <c r="AV137" s="38">
        <f t="shared" si="328"/>
        <v>2.5790776408666707</v>
      </c>
      <c r="AW137" s="4">
        <f t="shared" si="323"/>
        <v>0</v>
      </c>
      <c r="AX137" s="4">
        <f t="shared" si="379"/>
        <v>834.83705511150959</v>
      </c>
      <c r="AY137" s="4">
        <f t="shared" si="380"/>
        <v>1.2000000000000002</v>
      </c>
      <c r="AZ137" s="38">
        <f t="shared" si="273"/>
        <v>301.92</v>
      </c>
      <c r="BA137" s="4">
        <f t="shared" si="381"/>
        <v>0.44000000000000006</v>
      </c>
      <c r="BB137" s="4">
        <f t="shared" si="244"/>
        <v>191.92903897013608</v>
      </c>
      <c r="BC137" s="4">
        <f t="shared" si="245"/>
        <v>493.84903897013612</v>
      </c>
      <c r="BE137" s="36">
        <f t="shared" si="312"/>
        <v>1</v>
      </c>
      <c r="BF137" s="36">
        <f t="shared" si="313"/>
        <v>428.27140927220438</v>
      </c>
      <c r="BK137" s="4">
        <f t="shared" si="355"/>
        <v>20.700000000000003</v>
      </c>
      <c r="BL137" s="4">
        <f t="shared" si="356"/>
        <v>20.700000000000003</v>
      </c>
      <c r="BM137" s="4">
        <f t="shared" si="357"/>
        <v>58.2</v>
      </c>
      <c r="BN137" s="4">
        <f t="shared" si="358"/>
        <v>35</v>
      </c>
      <c r="BO137" s="4">
        <f t="shared" si="359"/>
        <v>1.181159420289855</v>
      </c>
      <c r="BP137" s="25">
        <f t="shared" si="274"/>
        <v>1.4454748150400323</v>
      </c>
      <c r="BR137" s="4">
        <f t="shared" si="331"/>
        <v>14.3</v>
      </c>
      <c r="BV137" s="9"/>
      <c r="BX137" s="9"/>
      <c r="BY137" s="9"/>
      <c r="BZ137" s="9">
        <f t="shared" si="383"/>
        <v>14.3</v>
      </c>
      <c r="CA137" s="9">
        <f t="shared" si="384"/>
        <v>28.6</v>
      </c>
      <c r="CB137" s="9">
        <f t="shared" si="248"/>
        <v>0.78458409789675088</v>
      </c>
      <c r="CC137" s="9">
        <v>0</v>
      </c>
      <c r="CD137" s="9">
        <f t="shared" si="306"/>
        <v>0</v>
      </c>
      <c r="CE137" s="9">
        <f t="shared" si="249"/>
        <v>0</v>
      </c>
      <c r="CF137" s="9">
        <f t="shared" si="385"/>
        <v>0.96044432035915817</v>
      </c>
      <c r="CG137" s="9">
        <f t="shared" si="386"/>
        <v>0.74299999999999999</v>
      </c>
      <c r="CH137" s="9">
        <f t="shared" si="250"/>
        <v>1.9808626966691243</v>
      </c>
      <c r="CI137" s="9">
        <f t="shared" si="251"/>
        <v>1.5541533719234701</v>
      </c>
      <c r="CJ137" s="9">
        <v>1</v>
      </c>
      <c r="CK137" s="9">
        <f t="shared" si="252"/>
        <v>217.58147206928584</v>
      </c>
      <c r="CM137" s="4">
        <f t="shared" si="341"/>
        <v>0.51746624967706734</v>
      </c>
      <c r="CN137" s="4">
        <f t="shared" si="342"/>
        <v>0.87476124465258653</v>
      </c>
      <c r="CO137" s="4">
        <f t="shared" si="208"/>
        <v>1.0087061397213788</v>
      </c>
      <c r="CP137" s="4">
        <f t="shared" si="335"/>
        <v>1.9854631733644836</v>
      </c>
      <c r="CQ137" s="4">
        <f t="shared" si="210"/>
        <v>1.1695813654354281</v>
      </c>
      <c r="CR137" s="4">
        <f t="shared" si="211"/>
        <v>1.1775656452638794</v>
      </c>
      <c r="CS137" s="4">
        <f t="shared" si="329"/>
        <v>1.0202450690026719</v>
      </c>
      <c r="CU137" s="4">
        <f t="shared" si="360"/>
        <v>0.51746624967706734</v>
      </c>
      <c r="CV137" s="4">
        <f t="shared" si="360"/>
        <v>0.87476124465258653</v>
      </c>
      <c r="CW137" s="4">
        <f t="shared" si="377"/>
        <v>1.9854631733644836</v>
      </c>
      <c r="CX137" s="4">
        <f t="shared" si="343"/>
        <v>1.0202450690026719</v>
      </c>
      <c r="CY137" s="4">
        <f t="shared" si="361"/>
        <v>1.1695813654354281</v>
      </c>
      <c r="CZ137" s="4">
        <f t="shared" si="361"/>
        <v>1.1775656452638794</v>
      </c>
      <c r="DH137" s="4">
        <f t="shared" si="362"/>
        <v>0</v>
      </c>
      <c r="DI137" s="4">
        <f t="shared" si="363"/>
        <v>572</v>
      </c>
      <c r="DJ137" s="4">
        <f t="shared" si="364"/>
        <v>1</v>
      </c>
      <c r="DL137" s="4">
        <f t="shared" si="365"/>
        <v>4.4200546424857304E-5</v>
      </c>
      <c r="DM137" s="4">
        <f t="shared" si="366"/>
        <v>4.1860577959627587</v>
      </c>
      <c r="DN137" s="4">
        <f t="shared" si="337"/>
        <v>0.11578031895106987</v>
      </c>
      <c r="DO137" s="4">
        <f t="shared" si="253"/>
        <v>1.7670918216158606</v>
      </c>
      <c r="DP137" s="4">
        <f t="shared" si="254"/>
        <v>3.2162848752999018</v>
      </c>
      <c r="DQ137" s="4">
        <f t="shared" si="255"/>
        <v>3.6141353595512551</v>
      </c>
      <c r="DR137" s="38">
        <f t="shared" si="275"/>
        <v>369.36292999091091</v>
      </c>
      <c r="DS137" s="4">
        <f t="shared" si="256"/>
        <v>1.0000686332486357</v>
      </c>
      <c r="DT137" s="4">
        <f t="shared" si="330"/>
        <v>2.2360679774997898</v>
      </c>
      <c r="DU137" s="4">
        <f t="shared" si="276"/>
        <v>117.06510700412382</v>
      </c>
      <c r="DY137" s="4">
        <f t="shared" si="387"/>
        <v>1</v>
      </c>
      <c r="DZ137" s="4">
        <f t="shared" si="257"/>
        <v>1</v>
      </c>
      <c r="EA137" s="4">
        <f t="shared" si="258"/>
        <v>1</v>
      </c>
      <c r="EB137" s="4">
        <f t="shared" si="259"/>
        <v>1</v>
      </c>
      <c r="ED137" s="4">
        <f t="shared" si="277"/>
        <v>366.85852864125769</v>
      </c>
      <c r="EE137" s="25">
        <f t="shared" si="351"/>
        <v>115.69506088349222</v>
      </c>
      <c r="EH137" s="4">
        <f t="shared" si="314"/>
        <v>4.1860577959627587</v>
      </c>
      <c r="EI137" s="4">
        <f t="shared" si="367"/>
        <v>4.1860577959627587</v>
      </c>
      <c r="EK137" s="4">
        <f t="shared" si="368"/>
        <v>63.951544156493995</v>
      </c>
      <c r="EL137" s="4">
        <f t="shared" si="369"/>
        <v>2.2360679774997898</v>
      </c>
      <c r="EM137" s="4">
        <f t="shared" si="370"/>
        <v>5.0210590596265252E-2</v>
      </c>
      <c r="EP137" s="4">
        <f t="shared" si="332"/>
        <v>5.0210590596265252E-2</v>
      </c>
      <c r="EQ137" s="4">
        <f t="shared" si="333"/>
        <v>0.11558710317725863</v>
      </c>
      <c r="ER137" s="4">
        <f t="shared" si="371"/>
        <v>1.7659116517768947</v>
      </c>
      <c r="ES137" s="4">
        <f t="shared" si="388"/>
        <v>3.215968144333011</v>
      </c>
      <c r="ET137" s="4">
        <f t="shared" si="372"/>
        <v>365.04845584350602</v>
      </c>
      <c r="EU137" s="4">
        <f t="shared" si="373"/>
        <v>143</v>
      </c>
      <c r="EV137" s="4">
        <f t="shared" si="261"/>
        <v>4.4200546424857304E-5</v>
      </c>
      <c r="EW137" s="4">
        <f t="shared" si="389"/>
        <v>3.6142042521525095</v>
      </c>
      <c r="EX137" s="4">
        <f t="shared" si="374"/>
        <v>369.3375811528731</v>
      </c>
      <c r="EY137" s="4">
        <f t="shared" si="375"/>
        <v>365.04845584350602</v>
      </c>
      <c r="EZ137" s="4">
        <f t="shared" si="376"/>
        <v>143</v>
      </c>
      <c r="FB137" s="4">
        <f t="shared" si="338"/>
        <v>0</v>
      </c>
      <c r="FG137" s="23">
        <f t="shared" si="339"/>
        <v>0.6</v>
      </c>
      <c r="FH137" s="23">
        <f t="shared" si="339"/>
        <v>1</v>
      </c>
      <c r="FI137" s="23">
        <f t="shared" si="382"/>
        <v>1.2</v>
      </c>
      <c r="FJ137" s="23">
        <f t="shared" si="340"/>
        <v>2</v>
      </c>
      <c r="FK137" s="23">
        <f t="shared" si="340"/>
        <v>1.2</v>
      </c>
      <c r="FL137" s="23">
        <f t="shared" si="340"/>
        <v>1.2</v>
      </c>
      <c r="FM137" s="23">
        <f t="shared" si="218"/>
        <v>0</v>
      </c>
      <c r="FN137" s="23"/>
      <c r="FX137" s="4">
        <f t="shared" si="263"/>
        <v>1.25</v>
      </c>
      <c r="FY137" s="4">
        <f t="shared" si="303"/>
        <v>1</v>
      </c>
      <c r="FZ137" s="4">
        <f t="shared" si="265"/>
        <v>0</v>
      </c>
      <c r="GA137" s="4">
        <f t="shared" si="266"/>
        <v>423.42767745233635</v>
      </c>
    </row>
    <row r="138" spans="1:183" ht="12" customHeight="1" x14ac:dyDescent="0.3">
      <c r="A138" s="25">
        <v>120</v>
      </c>
      <c r="B138" s="24" t="s">
        <v>128</v>
      </c>
      <c r="C138" s="24">
        <v>2015</v>
      </c>
      <c r="D138" s="24" t="s">
        <v>293</v>
      </c>
      <c r="E138" s="24"/>
      <c r="F138" s="7" t="s">
        <v>146</v>
      </c>
      <c r="G138" s="7">
        <v>710</v>
      </c>
      <c r="H138" s="7">
        <f t="shared" si="315"/>
        <v>715</v>
      </c>
      <c r="I138" s="7">
        <f t="shared" si="344"/>
        <v>715</v>
      </c>
      <c r="J138" s="7">
        <v>62.9</v>
      </c>
      <c r="K138" s="7">
        <v>28.6</v>
      </c>
      <c r="L138" s="7">
        <v>25</v>
      </c>
      <c r="M138" s="7">
        <f t="shared" si="345"/>
        <v>25</v>
      </c>
      <c r="N138" s="7">
        <v>261</v>
      </c>
      <c r="O138" s="7">
        <f t="shared" si="346"/>
        <v>28.6</v>
      </c>
      <c r="P138" s="7"/>
      <c r="Q138" s="7">
        <f t="shared" si="378"/>
        <v>28.6</v>
      </c>
      <c r="R138" s="7">
        <v>2</v>
      </c>
      <c r="S138" s="7">
        <f t="shared" si="347"/>
        <v>58.2</v>
      </c>
      <c r="T138" s="7">
        <f t="shared" si="304"/>
        <v>1</v>
      </c>
      <c r="U138" s="7">
        <f t="shared" si="353"/>
        <v>1.5000000000000002</v>
      </c>
      <c r="V138" s="7">
        <f t="shared" si="348"/>
        <v>4</v>
      </c>
      <c r="W138" s="7">
        <f t="shared" si="354"/>
        <v>4</v>
      </c>
      <c r="X138" s="7">
        <v>5</v>
      </c>
      <c r="Y138" s="7">
        <f t="shared" si="352"/>
        <v>63.951544156493995</v>
      </c>
      <c r="Z138" s="7"/>
      <c r="AA138" s="7"/>
      <c r="AB138" s="7">
        <v>464</v>
      </c>
      <c r="AC138" s="7"/>
      <c r="AD138" s="7">
        <f t="shared" si="334"/>
        <v>1.1235877075133753</v>
      </c>
      <c r="AE138" s="7"/>
      <c r="AF138" s="7"/>
      <c r="AG138" s="7">
        <v>1</v>
      </c>
      <c r="AH138" s="7"/>
      <c r="AI138" s="7"/>
      <c r="AJ138" s="7"/>
      <c r="AK138" s="4">
        <f t="shared" si="279"/>
        <v>715</v>
      </c>
      <c r="AL138" s="46">
        <f t="shared" si="349"/>
        <v>1.985427160252335E-2</v>
      </c>
      <c r="AM138" s="25">
        <f t="shared" si="268"/>
        <v>1180.1370419324396</v>
      </c>
      <c r="AN138" s="4">
        <f t="shared" si="269"/>
        <v>0.71199999999999997</v>
      </c>
      <c r="AO138" s="4">
        <v>1.25</v>
      </c>
      <c r="AP138" s="25">
        <f t="shared" si="317"/>
        <v>5</v>
      </c>
      <c r="AQ138" s="38">
        <f t="shared" si="271"/>
        <v>104.2668880463269</v>
      </c>
      <c r="AR138" s="38">
        <f t="shared" si="272"/>
        <v>104.2668880463269</v>
      </c>
      <c r="AT138" s="38">
        <f t="shared" si="350"/>
        <v>104.26688804632695</v>
      </c>
      <c r="AU138" s="38">
        <f t="shared" si="243"/>
        <v>0.99999999999999944</v>
      </c>
      <c r="AV138" s="38">
        <f t="shared" si="328"/>
        <v>2.895646025858694</v>
      </c>
      <c r="AW138" s="4">
        <f t="shared" si="323"/>
        <v>0</v>
      </c>
      <c r="AX138" s="4">
        <f t="shared" si="379"/>
        <v>1043.5463188893868</v>
      </c>
      <c r="AY138" s="4">
        <f t="shared" si="380"/>
        <v>1.2000000000000002</v>
      </c>
      <c r="AZ138" s="38">
        <f t="shared" si="273"/>
        <v>301.92</v>
      </c>
      <c r="BA138" s="4">
        <f t="shared" si="381"/>
        <v>0.44000000000000006</v>
      </c>
      <c r="BB138" s="4">
        <f t="shared" si="244"/>
        <v>239.91129871267009</v>
      </c>
      <c r="BC138" s="4">
        <f t="shared" si="245"/>
        <v>541.8312987126701</v>
      </c>
      <c r="BE138" s="36">
        <f t="shared" si="312"/>
        <v>1</v>
      </c>
      <c r="BF138" s="36">
        <f t="shared" si="313"/>
        <v>491.71902546067912</v>
      </c>
      <c r="BK138" s="4">
        <f t="shared" si="355"/>
        <v>20.700000000000003</v>
      </c>
      <c r="BL138" s="4">
        <f t="shared" si="356"/>
        <v>20.700000000000003</v>
      </c>
      <c r="BM138" s="4">
        <f t="shared" si="357"/>
        <v>58.2</v>
      </c>
      <c r="BN138" s="4">
        <f t="shared" si="358"/>
        <v>35</v>
      </c>
      <c r="BO138" s="4">
        <f t="shared" si="359"/>
        <v>1.181159420289855</v>
      </c>
      <c r="BP138" s="25">
        <f t="shared" si="274"/>
        <v>1.4454748150400323</v>
      </c>
      <c r="BR138" s="4">
        <f t="shared" si="331"/>
        <v>14.3</v>
      </c>
      <c r="BV138" s="9"/>
      <c r="BX138" s="9"/>
      <c r="BY138" s="9"/>
      <c r="BZ138" s="9">
        <f t="shared" si="383"/>
        <v>14.3</v>
      </c>
      <c r="CA138" s="9">
        <f t="shared" si="384"/>
        <v>28.6</v>
      </c>
      <c r="CB138" s="9">
        <f t="shared" si="248"/>
        <v>0.78458409789675088</v>
      </c>
      <c r="CC138" s="9">
        <v>0</v>
      </c>
      <c r="CD138" s="9">
        <f t="shared" si="306"/>
        <v>0</v>
      </c>
      <c r="CE138" s="9">
        <f t="shared" si="249"/>
        <v>0</v>
      </c>
      <c r="CF138" s="9">
        <f t="shared" si="385"/>
        <v>0.96044432035915817</v>
      </c>
      <c r="CG138" s="9">
        <f t="shared" si="386"/>
        <v>0.74299999999999999</v>
      </c>
      <c r="CH138" s="9">
        <f t="shared" si="250"/>
        <v>1.9808626966691243</v>
      </c>
      <c r="CI138" s="9">
        <f t="shared" si="251"/>
        <v>1.5541533719234701</v>
      </c>
      <c r="CJ138" s="9">
        <v>1</v>
      </c>
      <c r="CK138" s="9">
        <f t="shared" si="252"/>
        <v>248.66453950775522</v>
      </c>
      <c r="CM138" s="4">
        <f t="shared" si="341"/>
        <v>0.44463766638918378</v>
      </c>
      <c r="CN138" s="4">
        <f t="shared" si="342"/>
        <v>0.85635510739673315</v>
      </c>
      <c r="CO138" s="4">
        <f t="shared" ref="CO138:CO152" si="390">AB138/BF138</f>
        <v>0.94362832425548338</v>
      </c>
      <c r="CP138" s="4">
        <f t="shared" si="335"/>
        <v>1.8659677045971768</v>
      </c>
      <c r="CQ138" s="4">
        <f t="shared" ref="CQ138:CQ152" si="391">AB138/DR138</f>
        <v>1.1235877075133753</v>
      </c>
      <c r="CR138" s="4">
        <f t="shared" ref="CR138:CR152" si="392">AB138/ED138</f>
        <v>1.1123266588575653</v>
      </c>
      <c r="CS138" s="4">
        <f t="shared" si="329"/>
        <v>0.87665502225414782</v>
      </c>
      <c r="CU138" s="4">
        <f t="shared" si="360"/>
        <v>0.44463766638918378</v>
      </c>
      <c r="CV138" s="4">
        <f t="shared" si="360"/>
        <v>0.85635510739673315</v>
      </c>
      <c r="CW138" s="4">
        <f t="shared" si="377"/>
        <v>1.8659677045971768</v>
      </c>
      <c r="CX138" s="4">
        <f t="shared" si="343"/>
        <v>0.87665502225414782</v>
      </c>
      <c r="CY138" s="4">
        <f t="shared" si="361"/>
        <v>1.1235877075133753</v>
      </c>
      <c r="CZ138" s="4">
        <f t="shared" si="361"/>
        <v>1.1123266588575653</v>
      </c>
      <c r="DH138" s="4">
        <f t="shared" si="362"/>
        <v>0</v>
      </c>
      <c r="DI138" s="4">
        <f t="shared" si="363"/>
        <v>715</v>
      </c>
      <c r="DJ138" s="4">
        <f t="shared" si="364"/>
        <v>1</v>
      </c>
      <c r="DL138" s="4">
        <f t="shared" si="365"/>
        <v>5.5250683031071631E-5</v>
      </c>
      <c r="DM138" s="4">
        <f t="shared" si="366"/>
        <v>4.1860577959627587</v>
      </c>
      <c r="DN138" s="4">
        <f t="shared" si="337"/>
        <v>0.10312256028274906</v>
      </c>
      <c r="DO138" s="4">
        <f t="shared" si="253"/>
        <v>1.6871228017777082</v>
      </c>
      <c r="DP138" s="4">
        <f t="shared" si="254"/>
        <v>3.195274432525173</v>
      </c>
      <c r="DQ138" s="4">
        <f t="shared" si="255"/>
        <v>3.3015885549114703</v>
      </c>
      <c r="DR138" s="38">
        <f t="shared" si="275"/>
        <v>412.96286609158767</v>
      </c>
      <c r="DS138" s="4">
        <f t="shared" si="256"/>
        <v>1.0000650916666518</v>
      </c>
      <c r="DT138" s="4">
        <f t="shared" si="330"/>
        <v>2.2360679774997898</v>
      </c>
      <c r="DU138" s="4">
        <f t="shared" si="276"/>
        <v>104.26688804632695</v>
      </c>
      <c r="DY138" s="4">
        <f t="shared" si="387"/>
        <v>1</v>
      </c>
      <c r="DZ138" s="4">
        <f t="shared" si="257"/>
        <v>1</v>
      </c>
      <c r="EA138" s="4">
        <f t="shared" si="258"/>
        <v>1</v>
      </c>
      <c r="EB138" s="4">
        <f t="shared" si="259"/>
        <v>1</v>
      </c>
      <c r="ED138" s="4">
        <f t="shared" si="277"/>
        <v>417.1436477810928</v>
      </c>
      <c r="EE138" s="25">
        <f t="shared" si="351"/>
        <v>103.18931308388592</v>
      </c>
      <c r="EH138" s="4">
        <f t="shared" si="314"/>
        <v>4.1860577959627587</v>
      </c>
      <c r="EI138" s="4">
        <f t="shared" si="367"/>
        <v>4.1860577959627587</v>
      </c>
      <c r="EK138" s="4">
        <f t="shared" si="368"/>
        <v>63.951544156493995</v>
      </c>
      <c r="EL138" s="4">
        <f t="shared" si="369"/>
        <v>2.2360679774997898</v>
      </c>
      <c r="EM138" s="4">
        <f t="shared" si="370"/>
        <v>4.4721285124322517E-2</v>
      </c>
      <c r="EP138" s="4">
        <f t="shared" si="332"/>
        <v>4.4721285124322517E-2</v>
      </c>
      <c r="EQ138" s="4">
        <f t="shared" si="333"/>
        <v>0.10295046794906974</v>
      </c>
      <c r="ER138" s="4">
        <f t="shared" si="371"/>
        <v>1.6859960400435789</v>
      </c>
      <c r="ES138" s="4">
        <f t="shared" si="388"/>
        <v>3.194984996700577</v>
      </c>
      <c r="ET138" s="4">
        <f t="shared" si="372"/>
        <v>472.29845584350602</v>
      </c>
      <c r="EU138" s="4">
        <f t="shared" si="373"/>
        <v>178.74999999999994</v>
      </c>
      <c r="EV138" s="4">
        <f t="shared" si="261"/>
        <v>5.5250683031071611E-5</v>
      </c>
      <c r="EW138" s="4">
        <f t="shared" si="389"/>
        <v>3.3016812855441273</v>
      </c>
      <c r="EX138" s="4">
        <f t="shared" si="374"/>
        <v>412.93598739994729</v>
      </c>
      <c r="EY138" s="4">
        <f t="shared" si="375"/>
        <v>472.29845584350602</v>
      </c>
      <c r="EZ138" s="4">
        <f t="shared" si="376"/>
        <v>178.75</v>
      </c>
      <c r="FB138" s="4">
        <f t="shared" si="338"/>
        <v>0</v>
      </c>
      <c r="FG138" s="23">
        <f t="shared" si="339"/>
        <v>0.6</v>
      </c>
      <c r="FH138" s="23">
        <f t="shared" si="339"/>
        <v>1</v>
      </c>
      <c r="FI138" s="23">
        <f t="shared" si="382"/>
        <v>1</v>
      </c>
      <c r="FJ138" s="23">
        <f t="shared" si="340"/>
        <v>2</v>
      </c>
      <c r="FK138" s="23">
        <f t="shared" si="340"/>
        <v>1.2</v>
      </c>
      <c r="FL138" s="23">
        <f t="shared" si="340"/>
        <v>1.2</v>
      </c>
      <c r="FM138" s="23">
        <f t="shared" ref="FM138:FM152" si="393">IF(FK138&lt;1,1,0)</f>
        <v>0</v>
      </c>
      <c r="FN138" s="23"/>
      <c r="FX138" s="4">
        <f t="shared" si="263"/>
        <v>1.25</v>
      </c>
      <c r="FY138" s="4">
        <f t="shared" si="303"/>
        <v>1</v>
      </c>
      <c r="FZ138" s="4">
        <f t="shared" si="265"/>
        <v>0</v>
      </c>
      <c r="GA138" s="4">
        <f t="shared" si="266"/>
        <v>529.2845968154204</v>
      </c>
    </row>
    <row r="139" spans="1:183" ht="12" customHeight="1" x14ac:dyDescent="0.3">
      <c r="A139" s="25">
        <v>121</v>
      </c>
      <c r="B139" s="24" t="s">
        <v>128</v>
      </c>
      <c r="C139" s="24">
        <v>2015</v>
      </c>
      <c r="D139" s="24" t="s">
        <v>293</v>
      </c>
      <c r="E139" s="24" t="s">
        <v>72</v>
      </c>
      <c r="F139" s="7" t="s">
        <v>138</v>
      </c>
      <c r="G139" s="7">
        <v>710</v>
      </c>
      <c r="H139" s="7">
        <f t="shared" si="315"/>
        <v>429</v>
      </c>
      <c r="I139" s="7">
        <f t="shared" si="344"/>
        <v>429</v>
      </c>
      <c r="J139" s="7">
        <v>41.4</v>
      </c>
      <c r="K139" s="7">
        <v>28.6</v>
      </c>
      <c r="L139" s="7">
        <v>15</v>
      </c>
      <c r="M139" s="7">
        <f t="shared" si="345"/>
        <v>15</v>
      </c>
      <c r="N139" s="7">
        <v>261</v>
      </c>
      <c r="O139" s="7">
        <f t="shared" si="346"/>
        <v>28.6</v>
      </c>
      <c r="P139" s="7"/>
      <c r="Q139" s="7">
        <f t="shared" si="378"/>
        <v>28.6</v>
      </c>
      <c r="R139" s="7">
        <v>2</v>
      </c>
      <c r="S139" s="7">
        <f t="shared" si="347"/>
        <v>58.2</v>
      </c>
      <c r="T139" s="7">
        <f t="shared" si="304"/>
        <v>1</v>
      </c>
      <c r="U139" s="7">
        <f t="shared" si="353"/>
        <v>1.5000000000000002</v>
      </c>
      <c r="V139" s="7">
        <f t="shared" si="348"/>
        <v>4</v>
      </c>
      <c r="W139" s="7">
        <f t="shared" si="354"/>
        <v>4</v>
      </c>
      <c r="X139" s="7">
        <v>5</v>
      </c>
      <c r="Y139" s="7">
        <f t="shared" si="352"/>
        <v>63.951544156493995</v>
      </c>
      <c r="Z139" s="7"/>
      <c r="AA139" s="7"/>
      <c r="AB139" s="7">
        <v>484</v>
      </c>
      <c r="AC139" s="7"/>
      <c r="AD139" s="7">
        <f t="shared" si="334"/>
        <v>1.1046714701548845</v>
      </c>
      <c r="AE139" s="7">
        <v>9.5</v>
      </c>
      <c r="AF139" s="7">
        <v>7</v>
      </c>
      <c r="AG139" s="7">
        <v>65</v>
      </c>
      <c r="AH139" s="7">
        <v>7</v>
      </c>
      <c r="AI139" s="7">
        <v>7</v>
      </c>
      <c r="AJ139" s="7">
        <f>MIN(2.5,(40*2*PI()*AE139^2/4/AG139/R139)/K139)</f>
        <v>1.5251680311268359</v>
      </c>
      <c r="AK139" s="4">
        <f t="shared" si="279"/>
        <v>429</v>
      </c>
      <c r="AL139" s="46">
        <f t="shared" si="349"/>
        <v>5.5150754451453753E-2</v>
      </c>
      <c r="AM139" s="25">
        <f t="shared" si="268"/>
        <v>444.9735182569961</v>
      </c>
      <c r="AN139" s="4">
        <f t="shared" si="269"/>
        <v>0.72</v>
      </c>
      <c r="AO139" s="4">
        <v>1.25</v>
      </c>
      <c r="AP139" s="25">
        <f t="shared" si="317"/>
        <v>5</v>
      </c>
      <c r="AQ139" s="38">
        <f t="shared" si="271"/>
        <v>110.4328135925598</v>
      </c>
      <c r="AR139" s="38">
        <f t="shared" si="272"/>
        <v>110.4328135925598</v>
      </c>
      <c r="AT139" s="38">
        <f t="shared" si="350"/>
        <v>110.43281359255974</v>
      </c>
      <c r="AU139" s="38">
        <f t="shared" si="243"/>
        <v>1.0000000000000004</v>
      </c>
      <c r="AV139" s="38">
        <f t="shared" si="328"/>
        <v>1.7994651547426346</v>
      </c>
      <c r="AW139" s="4">
        <f t="shared" si="323"/>
        <v>0</v>
      </c>
      <c r="AX139" s="4">
        <f t="shared" si="379"/>
        <v>507.96972448880257</v>
      </c>
      <c r="AY139" s="4">
        <f t="shared" si="380"/>
        <v>1.2000000000000002</v>
      </c>
      <c r="AZ139" s="38">
        <f t="shared" si="273"/>
        <v>198.72000000000003</v>
      </c>
      <c r="BA139" s="4">
        <f t="shared" si="381"/>
        <v>0.44000000000000006</v>
      </c>
      <c r="BB139" s="4">
        <f t="shared" si="244"/>
        <v>116.7822396599757</v>
      </c>
      <c r="BC139" s="4">
        <f t="shared" si="245"/>
        <v>315.50223965997571</v>
      </c>
      <c r="BE139" s="36">
        <f t="shared" si="312"/>
        <v>1.6863256140070761</v>
      </c>
      <c r="BF139" s="36">
        <f t="shared" si="313"/>
        <v>499.11364032989434</v>
      </c>
      <c r="BK139" s="4">
        <f t="shared" si="355"/>
        <v>20.700000000000003</v>
      </c>
      <c r="BL139" s="4">
        <f t="shared" si="356"/>
        <v>20.700000000000003</v>
      </c>
      <c r="BM139" s="4">
        <f t="shared" si="357"/>
        <v>58.2</v>
      </c>
      <c r="BN139" s="4">
        <f t="shared" si="358"/>
        <v>35</v>
      </c>
      <c r="BO139" s="4">
        <f t="shared" si="359"/>
        <v>1.181159420289855</v>
      </c>
      <c r="BP139" s="25">
        <f t="shared" si="274"/>
        <v>3.0322956128775931</v>
      </c>
      <c r="BR139" s="4">
        <f t="shared" si="331"/>
        <v>14.3</v>
      </c>
      <c r="BV139" s="9"/>
      <c r="BX139" s="9"/>
      <c r="BY139" s="9"/>
      <c r="BZ139" s="9">
        <f t="shared" si="383"/>
        <v>14.3</v>
      </c>
      <c r="CA139" s="9">
        <f t="shared" si="384"/>
        <v>28.6</v>
      </c>
      <c r="CB139" s="9">
        <f t="shared" si="248"/>
        <v>0.78458409789675088</v>
      </c>
      <c r="CC139" s="9">
        <v>20</v>
      </c>
      <c r="CD139" s="9">
        <f t="shared" si="306"/>
        <v>0.05</v>
      </c>
      <c r="CE139" s="9">
        <f t="shared" si="249"/>
        <v>0.8</v>
      </c>
      <c r="CF139" s="9">
        <f t="shared" si="385"/>
        <v>0.96044432035915817</v>
      </c>
      <c r="CG139" s="9">
        <f t="shared" si="386"/>
        <v>0.74299999999999999</v>
      </c>
      <c r="CH139" s="9">
        <f t="shared" si="250"/>
        <v>1.6070493790635749</v>
      </c>
      <c r="CI139" s="9">
        <f t="shared" si="251"/>
        <v>2.5465048905989884</v>
      </c>
      <c r="CJ139" s="9">
        <v>1</v>
      </c>
      <c r="CK139" s="9">
        <f t="shared" si="252"/>
        <v>305.58058687187861</v>
      </c>
      <c r="CM139" s="4">
        <f t="shared" si="341"/>
        <v>0.95281269073088048</v>
      </c>
      <c r="CN139" s="4">
        <f t="shared" si="342"/>
        <v>1.534062010214629</v>
      </c>
      <c r="CO139" s="4">
        <f t="shared" si="390"/>
        <v>0.96971903969624063</v>
      </c>
      <c r="CP139" s="4">
        <f t="shared" si="335"/>
        <v>1.5838702482855289</v>
      </c>
      <c r="CQ139" s="4">
        <f t="shared" si="391"/>
        <v>1.1046714701548845</v>
      </c>
      <c r="CR139" s="4">
        <f t="shared" si="392"/>
        <v>1.1269337764078953</v>
      </c>
      <c r="CS139" s="4">
        <f t="shared" si="329"/>
        <v>1.146690173406641</v>
      </c>
      <c r="DA139" s="4">
        <f t="shared" ref="DA139:DB152" si="394">CM139</f>
        <v>0.95281269073088048</v>
      </c>
      <c r="DB139" s="4">
        <f t="shared" si="394"/>
        <v>1.534062010214629</v>
      </c>
      <c r="DC139" s="4">
        <f t="shared" ref="DC139:DC152" si="395">CP139</f>
        <v>1.5838702482855289</v>
      </c>
      <c r="DD139" s="4">
        <f t="shared" ref="DD139:DD152" si="396">CS139</f>
        <v>1.146690173406641</v>
      </c>
      <c r="DE139" s="4">
        <f t="shared" ref="DE139:DF152" si="397">CQ139</f>
        <v>1.1046714701548845</v>
      </c>
      <c r="DF139" s="4">
        <f t="shared" si="397"/>
        <v>1.1269337764078953</v>
      </c>
      <c r="DH139" s="4">
        <f t="shared" si="362"/>
        <v>7</v>
      </c>
      <c r="DI139" s="4">
        <f t="shared" si="363"/>
        <v>429</v>
      </c>
      <c r="DJ139" s="4">
        <f t="shared" si="364"/>
        <v>1</v>
      </c>
      <c r="DL139" s="4">
        <f t="shared" si="365"/>
        <v>2.8953960744479089E-5</v>
      </c>
      <c r="DM139" s="4">
        <f t="shared" si="366"/>
        <v>7.1242815844827039</v>
      </c>
      <c r="DN139" s="4">
        <f t="shared" si="337"/>
        <v>0.16594176945972797</v>
      </c>
      <c r="DO139" s="4">
        <f t="shared" si="253"/>
        <v>3.4731485838138183</v>
      </c>
      <c r="DP139" s="4">
        <f t="shared" si="254"/>
        <v>5.6076430390294192</v>
      </c>
      <c r="DQ139" s="4">
        <f t="shared" si="255"/>
        <v>6.2969374888096059</v>
      </c>
      <c r="DR139" s="38">
        <f t="shared" si="275"/>
        <v>438.13931388319372</v>
      </c>
      <c r="DS139" s="4">
        <f t="shared" si="256"/>
        <v>1.0001011208183974</v>
      </c>
      <c r="DT139" s="4">
        <f t="shared" si="330"/>
        <v>2.2360679774997898</v>
      </c>
      <c r="DU139" s="4">
        <f t="shared" si="276"/>
        <v>110.43281359255974</v>
      </c>
      <c r="DY139" s="4">
        <f t="shared" si="387"/>
        <v>1</v>
      </c>
      <c r="DZ139" s="4">
        <f t="shared" si="257"/>
        <v>1</v>
      </c>
      <c r="EA139" s="4">
        <f t="shared" si="258"/>
        <v>0.7</v>
      </c>
      <c r="EB139" s="4">
        <f t="shared" si="259"/>
        <v>0.7</v>
      </c>
      <c r="ED139" s="4">
        <f t="shared" si="277"/>
        <v>429.48397690479328</v>
      </c>
      <c r="EE139" s="25">
        <f t="shared" si="351"/>
        <v>108.89130560307159</v>
      </c>
      <c r="EH139" s="4">
        <f t="shared" si="314"/>
        <v>7.1242815844827039</v>
      </c>
      <c r="EI139" s="4">
        <f t="shared" si="367"/>
        <v>7.1242815844827039</v>
      </c>
      <c r="EK139" s="4">
        <f t="shared" si="368"/>
        <v>63.951544156493995</v>
      </c>
      <c r="EL139" s="4">
        <f t="shared" si="369"/>
        <v>2.2360679774997898</v>
      </c>
      <c r="EM139" s="4">
        <f t="shared" si="370"/>
        <v>5.8383637923874583E-2</v>
      </c>
      <c r="EP139" s="4">
        <f t="shared" si="332"/>
        <v>5.8383637923874583E-2</v>
      </c>
      <c r="EQ139" s="4">
        <f t="shared" si="333"/>
        <v>0.16566484357384129</v>
      </c>
      <c r="ER139" s="4">
        <f t="shared" si="371"/>
        <v>3.4708290070070413</v>
      </c>
      <c r="ES139" s="4">
        <f t="shared" si="388"/>
        <v>5.6069341897316711</v>
      </c>
      <c r="ET139" s="4">
        <f t="shared" si="372"/>
        <v>257.79845584350602</v>
      </c>
      <c r="EU139" s="4">
        <f t="shared" si="373"/>
        <v>107.25</v>
      </c>
      <c r="EV139" s="4">
        <f t="shared" si="261"/>
        <v>2.8953960744479089E-5</v>
      </c>
      <c r="EW139" s="4">
        <f t="shared" si="389"/>
        <v>6.2970711206046541</v>
      </c>
      <c r="EX139" s="4">
        <f t="shared" si="374"/>
        <v>438.0950133569072</v>
      </c>
      <c r="EY139" s="4">
        <f t="shared" si="375"/>
        <v>257.79845584350602</v>
      </c>
      <c r="EZ139" s="4">
        <f t="shared" si="376"/>
        <v>107.24999999999999</v>
      </c>
      <c r="FB139" s="4">
        <f t="shared" si="338"/>
        <v>0</v>
      </c>
      <c r="FG139" s="23">
        <f t="shared" si="339"/>
        <v>1</v>
      </c>
      <c r="FH139" s="23">
        <f t="shared" si="339"/>
        <v>1.6</v>
      </c>
      <c r="FI139" s="23">
        <f t="shared" si="382"/>
        <v>1.2</v>
      </c>
      <c r="FJ139" s="23">
        <f t="shared" si="340"/>
        <v>1.6</v>
      </c>
      <c r="FK139" s="23">
        <f t="shared" si="340"/>
        <v>1.2</v>
      </c>
      <c r="FL139" s="23">
        <f t="shared" si="340"/>
        <v>1.2</v>
      </c>
      <c r="FM139" s="23">
        <f t="shared" si="393"/>
        <v>0</v>
      </c>
      <c r="FN139" s="23"/>
      <c r="FX139" s="4">
        <f t="shared" si="263"/>
        <v>1.25</v>
      </c>
      <c r="FY139" s="4">
        <f t="shared" si="303"/>
        <v>0.67768622629572395</v>
      </c>
      <c r="FZ139" s="4">
        <f t="shared" si="265"/>
        <v>0.3</v>
      </c>
      <c r="GA139" s="4">
        <f t="shared" si="266"/>
        <v>422.08437049923435</v>
      </c>
    </row>
    <row r="140" spans="1:183" ht="12" customHeight="1" x14ac:dyDescent="0.3">
      <c r="A140" s="25">
        <v>122</v>
      </c>
      <c r="B140" s="24" t="s">
        <v>128</v>
      </c>
      <c r="C140" s="24">
        <v>2015</v>
      </c>
      <c r="D140" s="24" t="s">
        <v>293</v>
      </c>
      <c r="E140" s="24"/>
      <c r="F140" s="7" t="s">
        <v>139</v>
      </c>
      <c r="G140" s="7">
        <v>710</v>
      </c>
      <c r="H140" s="7">
        <f t="shared" si="315"/>
        <v>572</v>
      </c>
      <c r="I140" s="7">
        <f t="shared" si="344"/>
        <v>572</v>
      </c>
      <c r="J140" s="7">
        <v>41.4</v>
      </c>
      <c r="K140" s="7">
        <v>28.6</v>
      </c>
      <c r="L140" s="7">
        <v>20</v>
      </c>
      <c r="M140" s="7">
        <f t="shared" si="345"/>
        <v>20</v>
      </c>
      <c r="N140" s="7">
        <v>261</v>
      </c>
      <c r="O140" s="7">
        <f t="shared" si="346"/>
        <v>28.6</v>
      </c>
      <c r="P140" s="7"/>
      <c r="Q140" s="7">
        <f t="shared" si="378"/>
        <v>28.6</v>
      </c>
      <c r="R140" s="7">
        <v>2</v>
      </c>
      <c r="S140" s="7">
        <f t="shared" si="347"/>
        <v>58.2</v>
      </c>
      <c r="T140" s="7">
        <f t="shared" si="304"/>
        <v>1</v>
      </c>
      <c r="U140" s="7">
        <f t="shared" si="353"/>
        <v>1.5000000000000002</v>
      </c>
      <c r="V140" s="7">
        <f t="shared" si="348"/>
        <v>4</v>
      </c>
      <c r="W140" s="7">
        <f t="shared" si="354"/>
        <v>4</v>
      </c>
      <c r="X140" s="7">
        <v>5</v>
      </c>
      <c r="Y140" s="7">
        <f t="shared" si="352"/>
        <v>63.951544156493995</v>
      </c>
      <c r="Z140" s="7"/>
      <c r="AA140" s="7"/>
      <c r="AB140" s="7">
        <v>585</v>
      </c>
      <c r="AC140" s="7"/>
      <c r="AD140" s="7">
        <f t="shared" si="334"/>
        <v>1.1231070404717092</v>
      </c>
      <c r="AE140" s="7">
        <v>9.5</v>
      </c>
      <c r="AF140" s="7">
        <v>9</v>
      </c>
      <c r="AG140" s="7">
        <v>65</v>
      </c>
      <c r="AH140" s="7">
        <v>9</v>
      </c>
      <c r="AI140" s="7">
        <v>9</v>
      </c>
      <c r="AJ140" s="7">
        <f t="shared" ref="AJ140:AJ152" si="398">MIN(2.5,(40*2*PI()*AE140^2/4/AG140/R140)/K140)</f>
        <v>1.5251680311268359</v>
      </c>
      <c r="AK140" s="4">
        <f t="shared" si="279"/>
        <v>572</v>
      </c>
      <c r="AL140" s="46">
        <f t="shared" si="349"/>
        <v>3.1022299378942735E-2</v>
      </c>
      <c r="AM140" s="25">
        <f t="shared" si="268"/>
        <v>685.08154812781754</v>
      </c>
      <c r="AN140" s="4">
        <f t="shared" si="269"/>
        <v>0.71499999999999997</v>
      </c>
      <c r="AO140" s="4">
        <v>1.25</v>
      </c>
      <c r="AP140" s="25">
        <f t="shared" si="317"/>
        <v>5</v>
      </c>
      <c r="AQ140" s="38">
        <f t="shared" si="271"/>
        <v>94.973471829891636</v>
      </c>
      <c r="AR140" s="38">
        <f t="shared" si="272"/>
        <v>94.973471829891636</v>
      </c>
      <c r="AT140" s="38">
        <f t="shared" si="350"/>
        <v>94.973471829891608</v>
      </c>
      <c r="AU140" s="38">
        <f t="shared" si="243"/>
        <v>1.0000000000000002</v>
      </c>
      <c r="AV140" s="38">
        <f t="shared" si="328"/>
        <v>2.092373756283548</v>
      </c>
      <c r="AW140" s="4">
        <f t="shared" si="323"/>
        <v>0</v>
      </c>
      <c r="AX140" s="4">
        <f t="shared" si="379"/>
        <v>677.29296598506994</v>
      </c>
      <c r="AY140" s="4">
        <f t="shared" si="380"/>
        <v>1.2000000000000002</v>
      </c>
      <c r="AZ140" s="38">
        <f t="shared" si="273"/>
        <v>198.72000000000003</v>
      </c>
      <c r="BA140" s="4">
        <f t="shared" si="381"/>
        <v>0.44000000000000006</v>
      </c>
      <c r="BB140" s="4">
        <f t="shared" si="244"/>
        <v>155.70965287996762</v>
      </c>
      <c r="BC140" s="4">
        <f t="shared" si="245"/>
        <v>354.42965287996765</v>
      </c>
      <c r="BE140" s="36">
        <f t="shared" si="312"/>
        <v>1.6863256140070761</v>
      </c>
      <c r="BF140" s="36">
        <f t="shared" si="313"/>
        <v>585.91601256118031</v>
      </c>
      <c r="BK140" s="4">
        <f t="shared" si="355"/>
        <v>20.700000000000003</v>
      </c>
      <c r="BL140" s="4">
        <f t="shared" si="356"/>
        <v>20.700000000000003</v>
      </c>
      <c r="BM140" s="4">
        <f t="shared" si="357"/>
        <v>58.2</v>
      </c>
      <c r="BN140" s="4">
        <f t="shared" si="358"/>
        <v>35</v>
      </c>
      <c r="BO140" s="4">
        <f t="shared" si="359"/>
        <v>1.181159420289855</v>
      </c>
      <c r="BP140" s="25">
        <f t="shared" si="274"/>
        <v>3.0322956128775931</v>
      </c>
      <c r="BR140" s="4">
        <f t="shared" si="331"/>
        <v>14.3</v>
      </c>
      <c r="BV140" s="9"/>
      <c r="BX140" s="9"/>
      <c r="BY140" s="9"/>
      <c r="BZ140" s="9">
        <f t="shared" si="383"/>
        <v>14.3</v>
      </c>
      <c r="CA140" s="9">
        <f t="shared" si="384"/>
        <v>28.6</v>
      </c>
      <c r="CB140" s="9">
        <f t="shared" si="248"/>
        <v>0.78458409789675088</v>
      </c>
      <c r="CC140" s="9">
        <v>20</v>
      </c>
      <c r="CD140" s="9">
        <f t="shared" si="306"/>
        <v>0.05</v>
      </c>
      <c r="CE140" s="9">
        <f t="shared" si="249"/>
        <v>0.8</v>
      </c>
      <c r="CF140" s="9">
        <f t="shared" si="385"/>
        <v>0.96044432035915817</v>
      </c>
      <c r="CG140" s="9">
        <f t="shared" si="386"/>
        <v>0.74299999999999999</v>
      </c>
      <c r="CH140" s="9">
        <f t="shared" si="250"/>
        <v>1.6070493790635749</v>
      </c>
      <c r="CI140" s="9">
        <f t="shared" si="251"/>
        <v>2.5465048905989884</v>
      </c>
      <c r="CJ140" s="9">
        <v>1</v>
      </c>
      <c r="CK140" s="9">
        <f t="shared" si="252"/>
        <v>356.51068468385836</v>
      </c>
      <c r="CM140" s="4">
        <f t="shared" si="341"/>
        <v>0.86373257863259068</v>
      </c>
      <c r="CN140" s="4">
        <f t="shared" si="342"/>
        <v>1.6505390992161655</v>
      </c>
      <c r="CO140" s="4">
        <f t="shared" si="390"/>
        <v>0.99843661456327815</v>
      </c>
      <c r="CP140" s="4">
        <f t="shared" si="335"/>
        <v>1.640904537037251</v>
      </c>
      <c r="CQ140" s="4">
        <f t="shared" si="391"/>
        <v>1.1231070404717092</v>
      </c>
      <c r="CR140" s="4">
        <f t="shared" si="392"/>
        <v>1.1221539038315145</v>
      </c>
      <c r="CS140" s="4">
        <f t="shared" si="329"/>
        <v>1.0394841189714128</v>
      </c>
      <c r="DA140" s="4">
        <f t="shared" si="394"/>
        <v>0.86373257863259068</v>
      </c>
      <c r="DB140" s="4">
        <f t="shared" si="394"/>
        <v>1.6505390992161655</v>
      </c>
      <c r="DC140" s="4">
        <f t="shared" si="395"/>
        <v>1.640904537037251</v>
      </c>
      <c r="DD140" s="4">
        <f t="shared" si="396"/>
        <v>1.0394841189714128</v>
      </c>
      <c r="DE140" s="4">
        <f t="shared" si="397"/>
        <v>1.1231070404717092</v>
      </c>
      <c r="DF140" s="4">
        <f t="shared" si="397"/>
        <v>1.1221539038315145</v>
      </c>
      <c r="DH140" s="4">
        <f t="shared" si="362"/>
        <v>9</v>
      </c>
      <c r="DI140" s="4">
        <f t="shared" si="363"/>
        <v>572</v>
      </c>
      <c r="DJ140" s="4">
        <f t="shared" si="364"/>
        <v>1</v>
      </c>
      <c r="DL140" s="4">
        <f t="shared" si="365"/>
        <v>3.8605280992638792E-5</v>
      </c>
      <c r="DM140" s="4">
        <f t="shared" si="366"/>
        <v>7.1242815844827039</v>
      </c>
      <c r="DN140" s="4">
        <f t="shared" si="337"/>
        <v>0.14271180326286331</v>
      </c>
      <c r="DO140" s="4">
        <f t="shared" si="253"/>
        <v>3.2698289451363891</v>
      </c>
      <c r="DP140" s="4">
        <f t="shared" si="254"/>
        <v>5.5470914187820428</v>
      </c>
      <c r="DQ140" s="4">
        <f t="shared" si="255"/>
        <v>5.672297025351078</v>
      </c>
      <c r="DR140" s="38">
        <f t="shared" si="275"/>
        <v>520.87644268911163</v>
      </c>
      <c r="DS140" s="4">
        <f t="shared" si="256"/>
        <v>1.0000919981850391</v>
      </c>
      <c r="DT140" s="4">
        <f t="shared" si="330"/>
        <v>2.2360679774997898</v>
      </c>
      <c r="DU140" s="4">
        <f t="shared" si="276"/>
        <v>94.973471829891608</v>
      </c>
      <c r="DY140" s="4">
        <f t="shared" si="387"/>
        <v>1</v>
      </c>
      <c r="DZ140" s="4">
        <f t="shared" si="257"/>
        <v>1</v>
      </c>
      <c r="EA140" s="4">
        <f t="shared" si="258"/>
        <v>0.7</v>
      </c>
      <c r="EB140" s="4">
        <f t="shared" si="259"/>
        <v>0.7</v>
      </c>
      <c r="ED140" s="4">
        <f t="shared" si="277"/>
        <v>521.31886544489055</v>
      </c>
      <c r="EE140" s="25">
        <f t="shared" si="351"/>
        <v>93.861970375928266</v>
      </c>
      <c r="EH140" s="4">
        <f t="shared" si="314"/>
        <v>7.1242815844827039</v>
      </c>
      <c r="EI140" s="4">
        <f t="shared" si="367"/>
        <v>7.1242815844827039</v>
      </c>
      <c r="EK140" s="4">
        <f t="shared" si="368"/>
        <v>63.951544156493995</v>
      </c>
      <c r="EL140" s="4">
        <f t="shared" si="369"/>
        <v>2.2360679774997898</v>
      </c>
      <c r="EM140" s="4">
        <f t="shared" si="370"/>
        <v>5.0210590596265252E-2</v>
      </c>
      <c r="EP140" s="4">
        <f t="shared" si="332"/>
        <v>5.0210590596265252E-2</v>
      </c>
      <c r="EQ140" s="4">
        <f t="shared" si="333"/>
        <v>0.14247364386108202</v>
      </c>
      <c r="ER140" s="4">
        <f t="shared" si="371"/>
        <v>3.2676451573714158</v>
      </c>
      <c r="ES140" s="4">
        <f t="shared" si="388"/>
        <v>5.5464586551755382</v>
      </c>
      <c r="ET140" s="4">
        <f t="shared" si="372"/>
        <v>365.04845584350602</v>
      </c>
      <c r="EU140" s="4">
        <f t="shared" si="373"/>
        <v>143</v>
      </c>
      <c r="EV140" s="4">
        <f t="shared" si="261"/>
        <v>3.8605280992638792E-5</v>
      </c>
      <c r="EW140" s="4">
        <f t="shared" si="389"/>
        <v>5.6724931912992886</v>
      </c>
      <c r="EX140" s="4">
        <f t="shared" si="374"/>
        <v>520.82852740987335</v>
      </c>
      <c r="EY140" s="4">
        <f t="shared" si="375"/>
        <v>365.04845584350602</v>
      </c>
      <c r="EZ140" s="4">
        <f t="shared" si="376"/>
        <v>143</v>
      </c>
      <c r="FB140" s="4">
        <f t="shared" si="338"/>
        <v>0</v>
      </c>
      <c r="FG140" s="23">
        <f t="shared" si="339"/>
        <v>1</v>
      </c>
      <c r="FH140" s="23">
        <f t="shared" si="339"/>
        <v>1.8</v>
      </c>
      <c r="FI140" s="23">
        <f t="shared" si="382"/>
        <v>1.2</v>
      </c>
      <c r="FJ140" s="23">
        <f t="shared" si="340"/>
        <v>1.8</v>
      </c>
      <c r="FK140" s="23">
        <f t="shared" si="340"/>
        <v>1.2</v>
      </c>
      <c r="FL140" s="23">
        <f t="shared" si="340"/>
        <v>1.2</v>
      </c>
      <c r="FM140" s="23">
        <f t="shared" si="393"/>
        <v>0</v>
      </c>
      <c r="FN140" s="23"/>
      <c r="FX140" s="4">
        <f t="shared" si="263"/>
        <v>1.25</v>
      </c>
      <c r="FY140" s="4">
        <f t="shared" si="303"/>
        <v>0.67768622629572395</v>
      </c>
      <c r="FZ140" s="4">
        <f t="shared" si="265"/>
        <v>0.3</v>
      </c>
      <c r="GA140" s="4">
        <f t="shared" si="266"/>
        <v>562.7791606656458</v>
      </c>
    </row>
    <row r="141" spans="1:183" ht="12" customHeight="1" x14ac:dyDescent="0.3">
      <c r="A141" s="25">
        <v>123</v>
      </c>
      <c r="B141" s="24" t="s">
        <v>128</v>
      </c>
      <c r="C141" s="24">
        <v>2015</v>
      </c>
      <c r="D141" s="24" t="s">
        <v>293</v>
      </c>
      <c r="E141" s="24"/>
      <c r="F141" s="7" t="s">
        <v>147</v>
      </c>
      <c r="G141" s="7">
        <v>710</v>
      </c>
      <c r="H141" s="7">
        <f t="shared" si="315"/>
        <v>572</v>
      </c>
      <c r="I141" s="7">
        <f t="shared" si="344"/>
        <v>572</v>
      </c>
      <c r="J141" s="7">
        <v>41.4</v>
      </c>
      <c r="K141" s="7">
        <v>28.6</v>
      </c>
      <c r="L141" s="7">
        <v>20</v>
      </c>
      <c r="M141" s="7">
        <f t="shared" si="345"/>
        <v>20</v>
      </c>
      <c r="N141" s="7">
        <v>261</v>
      </c>
      <c r="O141" s="7">
        <f t="shared" si="346"/>
        <v>28.6</v>
      </c>
      <c r="P141" s="7"/>
      <c r="Q141" s="7">
        <f t="shared" si="378"/>
        <v>28.6</v>
      </c>
      <c r="R141" s="7">
        <v>2</v>
      </c>
      <c r="S141" s="7">
        <f t="shared" si="347"/>
        <v>58.2</v>
      </c>
      <c r="T141" s="7">
        <f t="shared" si="304"/>
        <v>1</v>
      </c>
      <c r="U141" s="7">
        <f>MIN(S141/K141+0.5, (O141+K141/2)/K141)</f>
        <v>1.5000000000000002</v>
      </c>
      <c r="V141" s="7">
        <f t="shared" si="348"/>
        <v>4</v>
      </c>
      <c r="W141" s="7">
        <f t="shared" si="354"/>
        <v>4</v>
      </c>
      <c r="X141" s="7">
        <v>5</v>
      </c>
      <c r="Y141" s="7">
        <f t="shared" si="352"/>
        <v>63.951544156493995</v>
      </c>
      <c r="Z141" s="7"/>
      <c r="AA141" s="7"/>
      <c r="AB141" s="7">
        <v>489</v>
      </c>
      <c r="AC141" s="7"/>
      <c r="AD141" s="7">
        <f t="shared" si="334"/>
        <v>1.2855692591244996</v>
      </c>
      <c r="AE141" s="7">
        <v>9.5</v>
      </c>
      <c r="AF141" s="7">
        <v>4</v>
      </c>
      <c r="AG141" s="7">
        <f>H141/3</f>
        <v>190.66666666666666</v>
      </c>
      <c r="AH141" s="7">
        <v>4</v>
      </c>
      <c r="AI141" s="7">
        <v>4</v>
      </c>
      <c r="AJ141" s="7">
        <f t="shared" si="398"/>
        <v>0.51994364697505768</v>
      </c>
      <c r="AK141" s="4">
        <f t="shared" si="279"/>
        <v>572</v>
      </c>
      <c r="AL141" s="46">
        <f t="shared" si="349"/>
        <v>3.1022299378942735E-2</v>
      </c>
      <c r="AM141" s="25">
        <f t="shared" si="268"/>
        <v>685.08154812781754</v>
      </c>
      <c r="AN141" s="4">
        <f t="shared" si="269"/>
        <v>0.71499999999999997</v>
      </c>
      <c r="AO141" s="4">
        <v>1.25</v>
      </c>
      <c r="AP141" s="25">
        <f t="shared" si="317"/>
        <v>5</v>
      </c>
      <c r="AQ141" s="38">
        <f t="shared" si="271"/>
        <v>94.973471829891636</v>
      </c>
      <c r="AR141" s="38">
        <f t="shared" si="272"/>
        <v>94.973471829891636</v>
      </c>
      <c r="AT141" s="38">
        <f t="shared" si="350"/>
        <v>94.973471829891608</v>
      </c>
      <c r="AU141" s="38">
        <f t="shared" si="243"/>
        <v>1.0000000000000002</v>
      </c>
      <c r="AV141" s="38">
        <f t="shared" si="328"/>
        <v>2.092373756283548</v>
      </c>
      <c r="AW141" s="4">
        <f t="shared" si="323"/>
        <v>0</v>
      </c>
      <c r="AX141" s="4">
        <f t="shared" si="379"/>
        <v>677.29296598506994</v>
      </c>
      <c r="AY141" s="4">
        <f t="shared" si="380"/>
        <v>1.2000000000000002</v>
      </c>
      <c r="AZ141" s="38">
        <f t="shared" si="273"/>
        <v>198.72000000000003</v>
      </c>
      <c r="BA141" s="4">
        <f t="shared" si="381"/>
        <v>0.44000000000000006</v>
      </c>
      <c r="BB141" s="4">
        <f t="shared" si="244"/>
        <v>155.70965287996762</v>
      </c>
      <c r="BC141" s="4">
        <f t="shared" si="245"/>
        <v>354.42965287996765</v>
      </c>
      <c r="BE141" s="36">
        <f t="shared" si="312"/>
        <v>1.233974641138776</v>
      </c>
      <c r="BF141" s="36">
        <f t="shared" si="313"/>
        <v>428.74608280403612</v>
      </c>
      <c r="BK141" s="4">
        <f t="shared" si="355"/>
        <v>20.700000000000003</v>
      </c>
      <c r="BL141" s="4">
        <f t="shared" si="356"/>
        <v>20.700000000000003</v>
      </c>
      <c r="BM141" s="4">
        <f t="shared" si="357"/>
        <v>58.2</v>
      </c>
      <c r="BN141" s="4">
        <f t="shared" si="358"/>
        <v>35</v>
      </c>
      <c r="BO141" s="4">
        <f t="shared" si="359"/>
        <v>1.181159420289855</v>
      </c>
      <c r="BP141" s="25">
        <f t="shared" si="274"/>
        <v>1.9864364506664733</v>
      </c>
      <c r="BR141" s="4">
        <f t="shared" si="331"/>
        <v>14.3</v>
      </c>
      <c r="BV141" s="9"/>
      <c r="BX141" s="9"/>
      <c r="BY141" s="9"/>
      <c r="BZ141" s="9">
        <f t="shared" si="383"/>
        <v>14.3</v>
      </c>
      <c r="CA141" s="9">
        <f t="shared" si="384"/>
        <v>28.6</v>
      </c>
      <c r="CB141" s="9">
        <f t="shared" si="248"/>
        <v>0.78458409789675088</v>
      </c>
      <c r="CC141" s="9">
        <v>20</v>
      </c>
      <c r="CD141" s="9">
        <f t="shared" si="306"/>
        <v>0.05</v>
      </c>
      <c r="CE141" s="9">
        <f t="shared" si="249"/>
        <v>0.8</v>
      </c>
      <c r="CF141" s="9">
        <f t="shared" si="385"/>
        <v>0.96044432035915817</v>
      </c>
      <c r="CG141" s="9">
        <f t="shared" si="386"/>
        <v>0.74299999999999999</v>
      </c>
      <c r="CH141" s="9">
        <f t="shared" si="250"/>
        <v>1.6070493790635749</v>
      </c>
      <c r="CI141" s="9">
        <f t="shared" si="251"/>
        <v>2.5465048905989884</v>
      </c>
      <c r="CJ141" s="9">
        <v>1</v>
      </c>
      <c r="CK141" s="9">
        <f t="shared" si="252"/>
        <v>356.51068468385836</v>
      </c>
      <c r="CM141" s="4">
        <f t="shared" si="341"/>
        <v>0.72199184778006298</v>
      </c>
      <c r="CN141" s="4">
        <f t="shared" si="342"/>
        <v>1.3796814008832563</v>
      </c>
      <c r="CO141" s="4">
        <f t="shared" si="390"/>
        <v>1.1405352016323931</v>
      </c>
      <c r="CP141" s="4">
        <f t="shared" si="335"/>
        <v>1.3716278950619074</v>
      </c>
      <c r="CQ141" s="4">
        <f t="shared" si="391"/>
        <v>1.2855692591244996</v>
      </c>
      <c r="CR141" s="4">
        <f t="shared" si="392"/>
        <v>1.3078849210171859</v>
      </c>
      <c r="CS141" s="4">
        <f t="shared" si="329"/>
        <v>0.86890210970430914</v>
      </c>
      <c r="DA141" s="4">
        <f t="shared" si="394"/>
        <v>0.72199184778006298</v>
      </c>
      <c r="DB141" s="4">
        <f t="shared" si="394"/>
        <v>1.3796814008832563</v>
      </c>
      <c r="DC141" s="4">
        <f t="shared" si="395"/>
        <v>1.3716278950619074</v>
      </c>
      <c r="DD141" s="4">
        <f t="shared" si="396"/>
        <v>0.86890210970430914</v>
      </c>
      <c r="DE141" s="4">
        <f t="shared" si="397"/>
        <v>1.2855692591244996</v>
      </c>
      <c r="DF141" s="4">
        <f t="shared" si="397"/>
        <v>1.3078849210171859</v>
      </c>
      <c r="DH141" s="4">
        <f t="shared" si="362"/>
        <v>4</v>
      </c>
      <c r="DI141" s="4">
        <f t="shared" si="363"/>
        <v>572</v>
      </c>
      <c r="DJ141" s="4">
        <f t="shared" si="364"/>
        <v>1</v>
      </c>
      <c r="DL141" s="4">
        <f t="shared" si="365"/>
        <v>3.8605280992638792E-5</v>
      </c>
      <c r="DM141" s="4">
        <f t="shared" si="366"/>
        <v>4.6670689243250978</v>
      </c>
      <c r="DN141" s="4">
        <f t="shared" si="337"/>
        <v>0.14271180326286331</v>
      </c>
      <c r="DO141" s="4">
        <f t="shared" si="253"/>
        <v>2.1420429381881072</v>
      </c>
      <c r="DP141" s="4">
        <f t="shared" si="254"/>
        <v>3.6338622602138306</v>
      </c>
      <c r="DQ141" s="4">
        <f t="shared" si="255"/>
        <v>4.0357134700457804</v>
      </c>
      <c r="DR141" s="38">
        <f t="shared" si="275"/>
        <v>380.3762391868483</v>
      </c>
      <c r="DS141" s="4">
        <f t="shared" si="256"/>
        <v>1.0000847999993252</v>
      </c>
      <c r="DT141" s="4">
        <f t="shared" si="330"/>
        <v>2.2360679774997898</v>
      </c>
      <c r="DU141" s="4">
        <f t="shared" si="276"/>
        <v>94.973471829891608</v>
      </c>
      <c r="DY141" s="4">
        <f t="shared" si="387"/>
        <v>1</v>
      </c>
      <c r="DZ141" s="4">
        <f t="shared" si="257"/>
        <v>1</v>
      </c>
      <c r="EA141" s="4">
        <f t="shared" si="258"/>
        <v>0.81019487505501497</v>
      </c>
      <c r="EB141" s="4">
        <f t="shared" si="259"/>
        <v>0.81019487505501497</v>
      </c>
      <c r="ED141" s="4">
        <f t="shared" si="277"/>
        <v>373.88610583543414</v>
      </c>
      <c r="EE141" s="25">
        <f t="shared" si="351"/>
        <v>93.861970375928266</v>
      </c>
      <c r="EH141" s="4">
        <f t="shared" si="314"/>
        <v>4.6670689243250978</v>
      </c>
      <c r="EI141" s="4">
        <f>IF(K141&lt;22.2,1.1*5*(J141/30)^0.5,IF(K141&gt;=31.8,0.9*5*(J141/30)^0.5,1*5*(J141/30)^0.5))*BP141/2.5</f>
        <v>4.6670689243250978</v>
      </c>
      <c r="EK141" s="4">
        <f t="shared" si="368"/>
        <v>63.951544156493995</v>
      </c>
      <c r="EL141" s="4">
        <f t="shared" si="369"/>
        <v>2.2360679774997898</v>
      </c>
      <c r="EM141" s="4">
        <f t="shared" si="370"/>
        <v>5.0210590596265252E-2</v>
      </c>
      <c r="EP141" s="4">
        <f t="shared" si="332"/>
        <v>5.0210590596265252E-2</v>
      </c>
      <c r="EQ141" s="4">
        <f t="shared" si="333"/>
        <v>0.14247364386108202</v>
      </c>
      <c r="ER141" s="4">
        <f t="shared" si="371"/>
        <v>2.1406123535187107</v>
      </c>
      <c r="ES141" s="4">
        <f t="shared" si="388"/>
        <v>3.6334477410332875</v>
      </c>
      <c r="ET141" s="4">
        <f t="shared" si="372"/>
        <v>365.04845584350602</v>
      </c>
      <c r="EU141" s="4">
        <f t="shared" si="373"/>
        <v>143</v>
      </c>
      <c r="EV141" s="4">
        <f t="shared" si="261"/>
        <v>3.8605280992638792E-5</v>
      </c>
      <c r="EW141" s="4">
        <f t="shared" si="389"/>
        <v>4.0357987674000588</v>
      </c>
      <c r="EX141" s="4">
        <f t="shared" si="374"/>
        <v>380.34398601709069</v>
      </c>
      <c r="EY141" s="4">
        <f t="shared" si="375"/>
        <v>365.04845584350602</v>
      </c>
      <c r="EZ141" s="4">
        <f t="shared" si="376"/>
        <v>143</v>
      </c>
      <c r="FB141" s="4">
        <f t="shared" si="338"/>
        <v>0</v>
      </c>
      <c r="FG141" s="23">
        <f t="shared" si="339"/>
        <v>0.8</v>
      </c>
      <c r="FH141" s="23">
        <f t="shared" si="339"/>
        <v>1.4</v>
      </c>
      <c r="FI141" s="23">
        <f t="shared" si="382"/>
        <v>1</v>
      </c>
      <c r="FJ141" s="23">
        <f t="shared" si="340"/>
        <v>1.4</v>
      </c>
      <c r="FK141" s="23">
        <f t="shared" si="340"/>
        <v>1.4</v>
      </c>
      <c r="FL141" s="23">
        <f t="shared" si="340"/>
        <v>1.4</v>
      </c>
      <c r="FM141" s="23">
        <f t="shared" si="393"/>
        <v>0</v>
      </c>
      <c r="FN141" s="23"/>
      <c r="FX141" s="4">
        <f t="shared" si="263"/>
        <v>1.25</v>
      </c>
      <c r="FY141" s="4">
        <f t="shared" si="303"/>
        <v>0.67768622629572395</v>
      </c>
      <c r="FZ141" s="4">
        <f t="shared" si="265"/>
        <v>0.3</v>
      </c>
      <c r="GA141" s="4">
        <f t="shared" si="266"/>
        <v>562.7791606656458</v>
      </c>
    </row>
    <row r="142" spans="1:183" ht="12" customHeight="1" x14ac:dyDescent="0.3">
      <c r="A142" s="25">
        <v>124</v>
      </c>
      <c r="B142" s="24" t="s">
        <v>128</v>
      </c>
      <c r="C142" s="24">
        <v>2015</v>
      </c>
      <c r="D142" s="24" t="s">
        <v>293</v>
      </c>
      <c r="E142" s="24"/>
      <c r="F142" s="7" t="s">
        <v>148</v>
      </c>
      <c r="G142" s="7">
        <v>710</v>
      </c>
      <c r="H142" s="7">
        <f t="shared" si="315"/>
        <v>715</v>
      </c>
      <c r="I142" s="7">
        <f t="shared" si="344"/>
        <v>715</v>
      </c>
      <c r="J142" s="7">
        <v>40.1</v>
      </c>
      <c r="K142" s="7">
        <v>28.6</v>
      </c>
      <c r="L142" s="7">
        <v>25</v>
      </c>
      <c r="M142" s="7">
        <f t="shared" si="345"/>
        <v>25</v>
      </c>
      <c r="N142" s="7">
        <v>261</v>
      </c>
      <c r="O142" s="7">
        <f t="shared" si="346"/>
        <v>28.6</v>
      </c>
      <c r="P142" s="7"/>
      <c r="Q142" s="7">
        <f t="shared" si="378"/>
        <v>28.6</v>
      </c>
      <c r="R142" s="7">
        <v>2</v>
      </c>
      <c r="S142" s="7">
        <f t="shared" si="347"/>
        <v>58.2</v>
      </c>
      <c r="T142" s="7">
        <f t="shared" si="304"/>
        <v>1</v>
      </c>
      <c r="U142" s="7">
        <f t="shared" si="353"/>
        <v>1.5000000000000002</v>
      </c>
      <c r="V142" s="7">
        <f t="shared" si="348"/>
        <v>4</v>
      </c>
      <c r="W142" s="7">
        <f t="shared" si="354"/>
        <v>4</v>
      </c>
      <c r="X142" s="7">
        <v>5</v>
      </c>
      <c r="Y142" s="7">
        <f t="shared" si="352"/>
        <v>63.951544156493995</v>
      </c>
      <c r="Z142" s="7"/>
      <c r="AA142" s="7"/>
      <c r="AB142" s="7">
        <v>570</v>
      </c>
      <c r="AC142" s="7"/>
      <c r="AD142" s="7">
        <f t="shared" si="334"/>
        <v>1.3945416640120281</v>
      </c>
      <c r="AE142" s="7">
        <v>9.5</v>
      </c>
      <c r="AF142" s="7">
        <v>4</v>
      </c>
      <c r="AG142" s="7">
        <f>H142/3</f>
        <v>238.33333333333334</v>
      </c>
      <c r="AH142" s="7">
        <v>4</v>
      </c>
      <c r="AI142" s="7">
        <v>4</v>
      </c>
      <c r="AJ142" s="7">
        <f t="shared" si="398"/>
        <v>0.41595491758004616</v>
      </c>
      <c r="AK142" s="4">
        <f t="shared" si="279"/>
        <v>715</v>
      </c>
      <c r="AL142" s="46">
        <f t="shared" si="349"/>
        <v>1.985427160252335E-2</v>
      </c>
      <c r="AM142" s="25">
        <f t="shared" si="268"/>
        <v>942.2785516468773</v>
      </c>
      <c r="AN142" s="4">
        <f t="shared" si="269"/>
        <v>0.71199999999999997</v>
      </c>
      <c r="AO142" s="4">
        <v>1.25</v>
      </c>
      <c r="AP142" s="25">
        <f t="shared" si="317"/>
        <v>5</v>
      </c>
      <c r="AQ142" s="38">
        <f t="shared" si="271"/>
        <v>83.251731588850959</v>
      </c>
      <c r="AR142" s="38">
        <f t="shared" si="272"/>
        <v>83.251731588850959</v>
      </c>
      <c r="AT142" s="38">
        <f t="shared" si="350"/>
        <v>83.251731588851015</v>
      </c>
      <c r="AU142" s="38">
        <f t="shared" si="243"/>
        <v>0.99999999999999933</v>
      </c>
      <c r="AV142" s="38">
        <f t="shared" si="328"/>
        <v>2.3120239822828714</v>
      </c>
      <c r="AW142" s="4">
        <f t="shared" si="323"/>
        <v>0</v>
      </c>
      <c r="AX142" s="4">
        <f t="shared" si="379"/>
        <v>833.21790520987179</v>
      </c>
      <c r="AY142" s="4">
        <f t="shared" si="380"/>
        <v>1.2000000000000002</v>
      </c>
      <c r="AZ142" s="38">
        <f t="shared" si="273"/>
        <v>192.48000000000005</v>
      </c>
      <c r="BA142" s="4">
        <f t="shared" si="381"/>
        <v>0.44000000000000006</v>
      </c>
      <c r="BB142" s="4">
        <f t="shared" si="244"/>
        <v>191.55679640774952</v>
      </c>
      <c r="BC142" s="4">
        <f t="shared" si="245"/>
        <v>384.03679640774953</v>
      </c>
      <c r="BE142" s="36">
        <f t="shared" si="312"/>
        <v>1.1871797129110209</v>
      </c>
      <c r="BF142" s="36">
        <f t="shared" si="313"/>
        <v>466.10133021690683</v>
      </c>
      <c r="BK142" s="4">
        <f t="shared" si="355"/>
        <v>20.700000000000003</v>
      </c>
      <c r="BL142" s="4">
        <f t="shared" si="356"/>
        <v>20.700000000000003</v>
      </c>
      <c r="BM142" s="4">
        <f t="shared" si="357"/>
        <v>58.2</v>
      </c>
      <c r="BN142" s="4">
        <f t="shared" si="358"/>
        <v>35</v>
      </c>
      <c r="BO142" s="4">
        <f t="shared" si="359"/>
        <v>1.181159420289855</v>
      </c>
      <c r="BP142" s="25">
        <f t="shared" si="274"/>
        <v>1.8713952421261202</v>
      </c>
      <c r="BR142" s="4">
        <f t="shared" si="331"/>
        <v>14.3</v>
      </c>
      <c r="BV142" s="9"/>
      <c r="BX142" s="9"/>
      <c r="BY142" s="9"/>
      <c r="BZ142" s="9">
        <f t="shared" si="383"/>
        <v>14.3</v>
      </c>
      <c r="CA142" s="9">
        <f t="shared" si="384"/>
        <v>28.6</v>
      </c>
      <c r="CB142" s="9">
        <f t="shared" si="248"/>
        <v>0.78458409789675088</v>
      </c>
      <c r="CC142" s="9">
        <v>20</v>
      </c>
      <c r="CD142" s="9">
        <f t="shared" si="306"/>
        <v>4.1595491758004616E-2</v>
      </c>
      <c r="CE142" s="9">
        <f t="shared" si="249"/>
        <v>0.63190983516009225</v>
      </c>
      <c r="CF142" s="9">
        <f t="shared" si="385"/>
        <v>0.96044432035915817</v>
      </c>
      <c r="CG142" s="9">
        <f t="shared" si="386"/>
        <v>0.74299999999999999</v>
      </c>
      <c r="CH142" s="9">
        <f t="shared" si="250"/>
        <v>1.5816166822222031</v>
      </c>
      <c r="CI142" s="9">
        <f t="shared" si="251"/>
        <v>2.2403504347892436</v>
      </c>
      <c r="CJ142" s="9">
        <v>1</v>
      </c>
      <c r="CK142" s="9">
        <f t="shared" si="252"/>
        <v>358.45606956627898</v>
      </c>
      <c r="CM142" s="4">
        <f t="shared" si="341"/>
        <v>0.68409475652881924</v>
      </c>
      <c r="CN142" s="4">
        <f t="shared" si="342"/>
        <v>1.4842327749104667</v>
      </c>
      <c r="CO142" s="4">
        <f t="shared" si="390"/>
        <v>1.2229100477673867</v>
      </c>
      <c r="CP142" s="4">
        <f t="shared" si="335"/>
        <v>1.5901530156531671</v>
      </c>
      <c r="CQ142" s="4">
        <f t="shared" si="391"/>
        <v>1.3945416640120281</v>
      </c>
      <c r="CR142" s="4">
        <f t="shared" si="392"/>
        <v>1.4007274122258497</v>
      </c>
      <c r="CS142" s="4">
        <f t="shared" si="329"/>
        <v>0.81675316740153681</v>
      </c>
      <c r="DA142" s="4">
        <f t="shared" si="394"/>
        <v>0.68409475652881924</v>
      </c>
      <c r="DB142" s="4">
        <f t="shared" si="394"/>
        <v>1.4842327749104667</v>
      </c>
      <c r="DC142" s="4">
        <f t="shared" si="395"/>
        <v>1.5901530156531671</v>
      </c>
      <c r="DD142" s="4">
        <f t="shared" si="396"/>
        <v>0.81675316740153681</v>
      </c>
      <c r="DE142" s="4">
        <f t="shared" si="397"/>
        <v>1.3945416640120281</v>
      </c>
      <c r="DF142" s="4">
        <f t="shared" si="397"/>
        <v>1.4007274122258497</v>
      </c>
      <c r="DH142" s="4">
        <f t="shared" si="362"/>
        <v>4</v>
      </c>
      <c r="DI142" s="4">
        <f t="shared" si="363"/>
        <v>715</v>
      </c>
      <c r="DJ142" s="4">
        <f t="shared" si="364"/>
        <v>1</v>
      </c>
      <c r="DL142" s="4">
        <f t="shared" si="365"/>
        <v>4.7844538760390357E-5</v>
      </c>
      <c r="DM142" s="4">
        <f t="shared" si="366"/>
        <v>4.3272010677467785</v>
      </c>
      <c r="DN142" s="4">
        <f t="shared" si="337"/>
        <v>0.12915369137489427</v>
      </c>
      <c r="DO142" s="4">
        <f t="shared" si="253"/>
        <v>1.9083138616493587</v>
      </c>
      <c r="DP142" s="4">
        <f t="shared" si="254"/>
        <v>3.3471014245372079</v>
      </c>
      <c r="DQ142" s="4">
        <f t="shared" si="255"/>
        <v>3.492840488416765</v>
      </c>
      <c r="DR142" s="38">
        <f t="shared" si="275"/>
        <v>408.73644345636683</v>
      </c>
      <c r="DS142" s="4">
        <f t="shared" si="256"/>
        <v>1.0000793568982886</v>
      </c>
      <c r="DT142" s="4">
        <f t="shared" si="330"/>
        <v>2.2360679774997898</v>
      </c>
      <c r="DU142" s="4">
        <f t="shared" si="276"/>
        <v>83.251731588851015</v>
      </c>
      <c r="DY142" s="4">
        <f t="shared" si="387"/>
        <v>1</v>
      </c>
      <c r="DZ142" s="4">
        <f t="shared" si="257"/>
        <v>1</v>
      </c>
      <c r="EA142" s="4">
        <f t="shared" si="258"/>
        <v>0.81019487505501497</v>
      </c>
      <c r="EB142" s="4">
        <f t="shared" si="259"/>
        <v>0.81019487505501497</v>
      </c>
      <c r="ED142" s="4">
        <f t="shared" si="277"/>
        <v>406.93142364811138</v>
      </c>
      <c r="EE142" s="25">
        <f t="shared" si="351"/>
        <v>82.39134356710295</v>
      </c>
      <c r="EH142" s="4">
        <f t="shared" si="314"/>
        <v>4.3272010677467785</v>
      </c>
      <c r="EI142" s="4">
        <f t="shared" si="367"/>
        <v>4.3272010677467785</v>
      </c>
      <c r="EK142" s="4">
        <f t="shared" si="368"/>
        <v>63.951544156493995</v>
      </c>
      <c r="EL142" s="4">
        <f t="shared" si="369"/>
        <v>2.2360679774997898</v>
      </c>
      <c r="EM142" s="4">
        <f t="shared" si="370"/>
        <v>4.4721285124322517E-2</v>
      </c>
      <c r="EP142" s="4">
        <f t="shared" si="332"/>
        <v>4.4721285124322517E-2</v>
      </c>
      <c r="EQ142" s="4">
        <f t="shared" si="333"/>
        <v>0.12893815793496546</v>
      </c>
      <c r="ER142" s="4">
        <f t="shared" si="371"/>
        <v>1.9070393752671284</v>
      </c>
      <c r="ES142" s="4">
        <f t="shared" si="388"/>
        <v>3.3467452567635192</v>
      </c>
      <c r="ET142" s="4">
        <f t="shared" si="372"/>
        <v>472.29845584350602</v>
      </c>
      <c r="EU142" s="4">
        <f t="shared" si="373"/>
        <v>178.74999999999994</v>
      </c>
      <c r="EV142" s="4">
        <f t="shared" si="261"/>
        <v>4.784453876039033E-5</v>
      </c>
      <c r="EW142" s="4">
        <f t="shared" si="389"/>
        <v>3.4929402000892389</v>
      </c>
      <c r="EX142" s="4">
        <f t="shared" si="374"/>
        <v>408.70400997381716</v>
      </c>
      <c r="EY142" s="4">
        <f t="shared" si="375"/>
        <v>472.29845584350602</v>
      </c>
      <c r="EZ142" s="4">
        <f t="shared" si="376"/>
        <v>178.75</v>
      </c>
      <c r="FB142" s="4">
        <f t="shared" si="338"/>
        <v>0</v>
      </c>
      <c r="FG142" s="23">
        <f t="shared" si="339"/>
        <v>0.8</v>
      </c>
      <c r="FH142" s="23">
        <f t="shared" si="339"/>
        <v>1.6</v>
      </c>
      <c r="FI142" s="23">
        <f t="shared" si="382"/>
        <v>1</v>
      </c>
      <c r="FJ142" s="23">
        <f t="shared" si="340"/>
        <v>1.6</v>
      </c>
      <c r="FK142" s="23">
        <f t="shared" si="340"/>
        <v>1.4</v>
      </c>
      <c r="FL142" s="23">
        <f t="shared" si="340"/>
        <v>1.6</v>
      </c>
      <c r="FM142" s="23">
        <f t="shared" si="393"/>
        <v>0</v>
      </c>
      <c r="FN142" s="23"/>
      <c r="FX142" s="4">
        <f t="shared" si="263"/>
        <v>1.25</v>
      </c>
      <c r="FY142" s="4">
        <f t="shared" si="303"/>
        <v>0.67768622629572395</v>
      </c>
      <c r="FZ142" s="4">
        <f t="shared" si="265"/>
        <v>0.3</v>
      </c>
      <c r="GA142" s="4">
        <f t="shared" si="266"/>
        <v>697.8852641777064</v>
      </c>
    </row>
    <row r="143" spans="1:183" ht="12" customHeight="1" x14ac:dyDescent="0.3">
      <c r="A143" s="25">
        <v>125</v>
      </c>
      <c r="B143" s="24" t="s">
        <v>128</v>
      </c>
      <c r="C143" s="24">
        <v>2015</v>
      </c>
      <c r="D143" s="24" t="s">
        <v>293</v>
      </c>
      <c r="E143" s="24"/>
      <c r="F143" s="7" t="s">
        <v>149</v>
      </c>
      <c r="G143" s="7">
        <v>710</v>
      </c>
      <c r="H143" s="7">
        <f t="shared" si="315"/>
        <v>429</v>
      </c>
      <c r="I143" s="7">
        <f t="shared" si="344"/>
        <v>429</v>
      </c>
      <c r="J143" s="7">
        <v>40.1</v>
      </c>
      <c r="K143" s="7">
        <v>28.6</v>
      </c>
      <c r="L143" s="7">
        <v>15</v>
      </c>
      <c r="M143" s="7">
        <f t="shared" si="345"/>
        <v>15</v>
      </c>
      <c r="N143" s="7">
        <v>261</v>
      </c>
      <c r="O143" s="7">
        <f t="shared" si="346"/>
        <v>28.6</v>
      </c>
      <c r="P143" s="7"/>
      <c r="Q143" s="7">
        <f t="shared" si="378"/>
        <v>28.6</v>
      </c>
      <c r="R143" s="7">
        <v>2</v>
      </c>
      <c r="S143" s="7">
        <f t="shared" si="347"/>
        <v>58.2</v>
      </c>
      <c r="T143" s="7">
        <f t="shared" si="304"/>
        <v>1</v>
      </c>
      <c r="U143" s="7">
        <f t="shared" si="353"/>
        <v>1.5000000000000002</v>
      </c>
      <c r="V143" s="7">
        <f t="shared" si="348"/>
        <v>4</v>
      </c>
      <c r="W143" s="7">
        <f t="shared" si="354"/>
        <v>4</v>
      </c>
      <c r="X143" s="7">
        <v>5</v>
      </c>
      <c r="Y143" s="7">
        <f t="shared" si="352"/>
        <v>63.951544156493995</v>
      </c>
      <c r="Z143" s="7"/>
      <c r="AA143" s="7"/>
      <c r="AB143" s="7">
        <v>522</v>
      </c>
      <c r="AC143" s="7"/>
      <c r="AD143" s="7">
        <f t="shared" si="334"/>
        <v>0.98457361518909292</v>
      </c>
      <c r="AE143" s="7">
        <v>9.5</v>
      </c>
      <c r="AF143" s="7">
        <v>12</v>
      </c>
      <c r="AG143" s="7">
        <v>39</v>
      </c>
      <c r="AH143" s="7">
        <v>12</v>
      </c>
      <c r="AI143" s="7">
        <v>12</v>
      </c>
      <c r="AJ143" s="7">
        <f t="shared" si="398"/>
        <v>2.5</v>
      </c>
      <c r="AK143" s="4">
        <f t="shared" si="279"/>
        <v>429</v>
      </c>
      <c r="AL143" s="46">
        <f t="shared" si="349"/>
        <v>5.5150754451453753E-2</v>
      </c>
      <c r="AM143" s="25">
        <f t="shared" si="268"/>
        <v>437.93149656201666</v>
      </c>
      <c r="AN143" s="4">
        <f t="shared" si="269"/>
        <v>0.72</v>
      </c>
      <c r="AO143" s="4">
        <v>1.25</v>
      </c>
      <c r="AP143" s="25">
        <f t="shared" si="317"/>
        <v>5</v>
      </c>
      <c r="AQ143" s="38">
        <f t="shared" si="271"/>
        <v>108.68513595052249</v>
      </c>
      <c r="AR143" s="38">
        <f t="shared" si="272"/>
        <v>108.68513595052249</v>
      </c>
      <c r="AT143" s="38">
        <f t="shared" si="350"/>
        <v>108.68513595052244</v>
      </c>
      <c r="AU143" s="38">
        <f t="shared" si="243"/>
        <v>1.0000000000000004</v>
      </c>
      <c r="AV143" s="38">
        <f t="shared" si="328"/>
        <v>1.7709873417062678</v>
      </c>
      <c r="AW143" s="4">
        <f t="shared" si="323"/>
        <v>0</v>
      </c>
      <c r="AX143" s="4">
        <f t="shared" si="379"/>
        <v>499.93074312592307</v>
      </c>
      <c r="AY143" s="4">
        <f t="shared" si="380"/>
        <v>1.2000000000000002</v>
      </c>
      <c r="AZ143" s="38">
        <f t="shared" si="273"/>
        <v>192.48000000000005</v>
      </c>
      <c r="BA143" s="4">
        <f t="shared" si="381"/>
        <v>0.44000000000000006</v>
      </c>
      <c r="BB143" s="4">
        <f t="shared" si="244"/>
        <v>114.93407784464971</v>
      </c>
      <c r="BC143" s="4">
        <f t="shared" si="245"/>
        <v>307.41407784464974</v>
      </c>
      <c r="BE143" s="36">
        <f t="shared" si="312"/>
        <v>2.125</v>
      </c>
      <c r="BF143" s="36">
        <f t="shared" si="313"/>
        <v>618.99758178041373</v>
      </c>
      <c r="BK143" s="4">
        <f t="shared" si="355"/>
        <v>20.700000000000003</v>
      </c>
      <c r="BL143" s="4">
        <f t="shared" si="356"/>
        <v>20.700000000000003</v>
      </c>
      <c r="BM143" s="4">
        <f t="shared" si="357"/>
        <v>58.2</v>
      </c>
      <c r="BN143" s="4">
        <f t="shared" si="358"/>
        <v>35</v>
      </c>
      <c r="BO143" s="4">
        <f t="shared" si="359"/>
        <v>1.181159420289855</v>
      </c>
      <c r="BP143" s="25">
        <f t="shared" si="274"/>
        <v>4</v>
      </c>
      <c r="BR143" s="4">
        <f t="shared" si="331"/>
        <v>14.3</v>
      </c>
      <c r="BV143" s="9"/>
      <c r="BX143" s="9"/>
      <c r="BY143" s="9"/>
      <c r="BZ143" s="9">
        <f t="shared" si="383"/>
        <v>14.3</v>
      </c>
      <c r="CA143" s="9">
        <f t="shared" si="384"/>
        <v>28.6</v>
      </c>
      <c r="CB143" s="9">
        <f t="shared" si="248"/>
        <v>0.78458409789675088</v>
      </c>
      <c r="CC143" s="9">
        <v>20</v>
      </c>
      <c r="CD143" s="9">
        <f t="shared" si="306"/>
        <v>0.05</v>
      </c>
      <c r="CE143" s="9">
        <f t="shared" si="249"/>
        <v>0.8</v>
      </c>
      <c r="CF143" s="9">
        <f t="shared" si="385"/>
        <v>0.96044432035915817</v>
      </c>
      <c r="CG143" s="9">
        <f t="shared" si="386"/>
        <v>0.74299999999999999</v>
      </c>
      <c r="CH143" s="9">
        <f t="shared" si="250"/>
        <v>1.5816166822222031</v>
      </c>
      <c r="CI143" s="9">
        <f t="shared" si="251"/>
        <v>2.5062046436175218</v>
      </c>
      <c r="CJ143" s="9">
        <v>1</v>
      </c>
      <c r="CK143" s="9">
        <f t="shared" si="252"/>
        <v>300.74455723410261</v>
      </c>
      <c r="CM143" s="4">
        <f t="shared" si="341"/>
        <v>1.0441446283860925</v>
      </c>
      <c r="CN143" s="4">
        <f t="shared" si="342"/>
        <v>1.6980354434639466</v>
      </c>
      <c r="CO143" s="4">
        <f t="shared" si="390"/>
        <v>0.84329893260419375</v>
      </c>
      <c r="CP143" s="4">
        <f t="shared" si="335"/>
        <v>1.735692259240688</v>
      </c>
      <c r="CQ143" s="4">
        <f t="shared" si="391"/>
        <v>0.98457361518909292</v>
      </c>
      <c r="CR143" s="4">
        <f t="shared" si="392"/>
        <v>0.99736422977580386</v>
      </c>
      <c r="CS143" s="4">
        <f t="shared" si="329"/>
        <v>1.2466232555076091</v>
      </c>
      <c r="DA143" s="4">
        <f t="shared" si="394"/>
        <v>1.0441446283860925</v>
      </c>
      <c r="DB143" s="4">
        <f t="shared" si="394"/>
        <v>1.6980354434639466</v>
      </c>
      <c r="DC143" s="4">
        <f t="shared" si="395"/>
        <v>1.735692259240688</v>
      </c>
      <c r="DD143" s="4">
        <f t="shared" si="396"/>
        <v>1.2466232555076091</v>
      </c>
      <c r="DE143" s="4">
        <f t="shared" si="397"/>
        <v>0.98457361518909292</v>
      </c>
      <c r="DF143" s="4">
        <f t="shared" si="397"/>
        <v>0.99736422977580386</v>
      </c>
      <c r="DH143" s="4">
        <f t="shared" si="362"/>
        <v>12</v>
      </c>
      <c r="DI143" s="4">
        <f t="shared" si="363"/>
        <v>429</v>
      </c>
      <c r="DJ143" s="4">
        <f t="shared" si="364"/>
        <v>1</v>
      </c>
      <c r="DL143" s="4">
        <f t="shared" si="365"/>
        <v>2.8706723256234209E-5</v>
      </c>
      <c r="DM143" s="4">
        <f t="shared" si="366"/>
        <v>9.2491441045464668</v>
      </c>
      <c r="DN143" s="4">
        <f t="shared" si="337"/>
        <v>0.16861014465039709</v>
      </c>
      <c r="DO143" s="4">
        <f t="shared" si="253"/>
        <v>4.5379010977730605</v>
      </c>
      <c r="DP143" s="4">
        <f t="shared" si="254"/>
        <v>7.2890060364848717</v>
      </c>
      <c r="DQ143" s="4">
        <f t="shared" si="255"/>
        <v>7.8729976209340178</v>
      </c>
      <c r="DR143" s="38">
        <f t="shared" si="275"/>
        <v>530.17874128157189</v>
      </c>
      <c r="DS143" s="4">
        <f t="shared" si="256"/>
        <v>1.0001081359323825</v>
      </c>
      <c r="DT143" s="4">
        <f t="shared" si="330"/>
        <v>2.2360679774997898</v>
      </c>
      <c r="DU143" s="4">
        <f t="shared" si="276"/>
        <v>108.68513595052244</v>
      </c>
      <c r="DY143" s="4">
        <f t="shared" si="387"/>
        <v>1</v>
      </c>
      <c r="DZ143" s="4">
        <f t="shared" si="257"/>
        <v>1</v>
      </c>
      <c r="EA143" s="4">
        <f t="shared" si="258"/>
        <v>0.7</v>
      </c>
      <c r="EB143" s="4">
        <f t="shared" si="259"/>
        <v>0.7</v>
      </c>
      <c r="ED143" s="4">
        <f t="shared" si="277"/>
        <v>523.37950812346628</v>
      </c>
      <c r="EE143" s="25">
        <f t="shared" si="351"/>
        <v>107.16802341887519</v>
      </c>
      <c r="EH143" s="4">
        <f t="shared" si="314"/>
        <v>9.2491441045464668</v>
      </c>
      <c r="EI143" s="4">
        <f t="shared" si="367"/>
        <v>9.2491441045464668</v>
      </c>
      <c r="EK143" s="4">
        <f t="shared" si="368"/>
        <v>63.951544156493995</v>
      </c>
      <c r="EL143" s="4">
        <f t="shared" si="369"/>
        <v>2.2360679774997898</v>
      </c>
      <c r="EM143" s="4">
        <f t="shared" si="370"/>
        <v>5.8383637923874576E-2</v>
      </c>
      <c r="EP143" s="4">
        <f t="shared" si="332"/>
        <v>5.8383637923874576E-2</v>
      </c>
      <c r="EQ143" s="4">
        <f t="shared" si="333"/>
        <v>0.1683287657436347</v>
      </c>
      <c r="ER143" s="4">
        <f t="shared" si="371"/>
        <v>4.5348704154155897</v>
      </c>
      <c r="ES143" s="4">
        <f t="shared" si="388"/>
        <v>7.2880747439476643</v>
      </c>
      <c r="ET143" s="4">
        <f t="shared" si="372"/>
        <v>257.79845584350602</v>
      </c>
      <c r="EU143" s="4">
        <f t="shared" si="373"/>
        <v>107.25</v>
      </c>
      <c r="EV143" s="4">
        <f t="shared" si="261"/>
        <v>2.8706723256234209E-5</v>
      </c>
      <c r="EW143" s="4">
        <f t="shared" si="389"/>
        <v>7.8732216545316964</v>
      </c>
      <c r="EX143" s="4">
        <f t="shared" si="374"/>
        <v>530.12141610796516</v>
      </c>
      <c r="EY143" s="4">
        <f t="shared" si="375"/>
        <v>257.79845584350602</v>
      </c>
      <c r="EZ143" s="4">
        <f t="shared" si="376"/>
        <v>107.24999999999999</v>
      </c>
      <c r="FB143" s="4">
        <f t="shared" si="338"/>
        <v>0</v>
      </c>
      <c r="FG143" s="23">
        <f t="shared" si="339"/>
        <v>1.2</v>
      </c>
      <c r="FH143" s="23">
        <f t="shared" si="339"/>
        <v>1.8</v>
      </c>
      <c r="FI143" s="23">
        <f t="shared" si="382"/>
        <v>1.4</v>
      </c>
      <c r="FJ143" s="23">
        <f t="shared" si="340"/>
        <v>1.8</v>
      </c>
      <c r="FK143" s="23">
        <f t="shared" si="340"/>
        <v>1</v>
      </c>
      <c r="FL143" s="23">
        <f t="shared" si="340"/>
        <v>1</v>
      </c>
      <c r="FM143" s="23">
        <f t="shared" si="393"/>
        <v>0</v>
      </c>
      <c r="FN143" s="23"/>
      <c r="FX143" s="4">
        <f t="shared" si="263"/>
        <v>1.25</v>
      </c>
      <c r="FY143" s="4">
        <f t="shared" si="303"/>
        <v>0.67768622629572395</v>
      </c>
      <c r="FZ143" s="4">
        <f t="shared" si="265"/>
        <v>0.3</v>
      </c>
      <c r="GA143" s="4">
        <f t="shared" si="266"/>
        <v>418.73115850662379</v>
      </c>
    </row>
    <row r="144" spans="1:183" ht="12" customHeight="1" x14ac:dyDescent="0.3">
      <c r="A144" s="25">
        <v>126</v>
      </c>
      <c r="B144" s="24" t="s">
        <v>128</v>
      </c>
      <c r="C144" s="24">
        <v>2015</v>
      </c>
      <c r="D144" s="24" t="s">
        <v>293</v>
      </c>
      <c r="E144" s="24"/>
      <c r="F144" s="7" t="s">
        <v>150</v>
      </c>
      <c r="G144" s="7">
        <v>710</v>
      </c>
      <c r="H144" s="7">
        <f t="shared" si="315"/>
        <v>572</v>
      </c>
      <c r="I144" s="7">
        <f t="shared" si="344"/>
        <v>572</v>
      </c>
      <c r="J144" s="7">
        <v>40.1</v>
      </c>
      <c r="K144" s="7">
        <v>28.6</v>
      </c>
      <c r="L144" s="7">
        <v>20</v>
      </c>
      <c r="M144" s="7">
        <f t="shared" si="345"/>
        <v>20</v>
      </c>
      <c r="N144" s="7">
        <v>261</v>
      </c>
      <c r="O144" s="7">
        <f t="shared" si="346"/>
        <v>28.6</v>
      </c>
      <c r="P144" s="7"/>
      <c r="Q144" s="7">
        <f t="shared" si="378"/>
        <v>28.6</v>
      </c>
      <c r="R144" s="7">
        <v>2</v>
      </c>
      <c r="S144" s="7">
        <f t="shared" si="347"/>
        <v>58.2</v>
      </c>
      <c r="T144" s="7">
        <f t="shared" si="304"/>
        <v>1</v>
      </c>
      <c r="U144" s="7">
        <f t="shared" si="353"/>
        <v>1.5000000000000002</v>
      </c>
      <c r="V144" s="7">
        <f t="shared" si="348"/>
        <v>4</v>
      </c>
      <c r="W144" s="7">
        <f t="shared" si="354"/>
        <v>4</v>
      </c>
      <c r="X144" s="7">
        <v>5</v>
      </c>
      <c r="Y144" s="7">
        <f t="shared" si="352"/>
        <v>63.951544156493995</v>
      </c>
      <c r="Z144" s="7"/>
      <c r="AA144" s="7"/>
      <c r="AB144" s="7">
        <v>681</v>
      </c>
      <c r="AC144" s="7"/>
      <c r="AD144" s="7">
        <f t="shared" si="334"/>
        <v>1.0696097344059088</v>
      </c>
      <c r="AE144" s="7">
        <v>9.5</v>
      </c>
      <c r="AF144" s="7">
        <v>15</v>
      </c>
      <c r="AG144" s="7">
        <v>39</v>
      </c>
      <c r="AH144" s="7">
        <v>15</v>
      </c>
      <c r="AI144" s="7">
        <v>15</v>
      </c>
      <c r="AJ144" s="7">
        <f t="shared" si="398"/>
        <v>2.5</v>
      </c>
      <c r="AK144" s="4">
        <f t="shared" si="279"/>
        <v>572</v>
      </c>
      <c r="AL144" s="46">
        <f t="shared" si="349"/>
        <v>3.1022299378942735E-2</v>
      </c>
      <c r="AM144" s="25">
        <f t="shared" si="268"/>
        <v>674.23964647118942</v>
      </c>
      <c r="AN144" s="4">
        <f t="shared" si="269"/>
        <v>0.71499999999999997</v>
      </c>
      <c r="AO144" s="4">
        <v>1.25</v>
      </c>
      <c r="AP144" s="25">
        <f t="shared" si="317"/>
        <v>5</v>
      </c>
      <c r="AQ144" s="38">
        <f t="shared" si="271"/>
        <v>93.470449241730918</v>
      </c>
      <c r="AR144" s="38">
        <f t="shared" si="272"/>
        <v>93.470449241730918</v>
      </c>
      <c r="AT144" s="38">
        <f t="shared" si="350"/>
        <v>93.470449241730861</v>
      </c>
      <c r="AU144" s="38">
        <f t="shared" si="243"/>
        <v>1.0000000000000007</v>
      </c>
      <c r="AV144" s="38">
        <f t="shared" si="328"/>
        <v>2.0592604567697461</v>
      </c>
      <c r="AW144" s="4">
        <f t="shared" si="323"/>
        <v>0</v>
      </c>
      <c r="AX144" s="4">
        <f t="shared" si="379"/>
        <v>666.57432416789743</v>
      </c>
      <c r="AY144" s="4">
        <f t="shared" si="380"/>
        <v>1.2000000000000002</v>
      </c>
      <c r="AZ144" s="38">
        <f t="shared" si="273"/>
        <v>192.48000000000005</v>
      </c>
      <c r="BA144" s="4">
        <f t="shared" si="381"/>
        <v>0.44000000000000006</v>
      </c>
      <c r="BB144" s="4">
        <f t="shared" si="244"/>
        <v>153.24543712619962</v>
      </c>
      <c r="BC144" s="4">
        <f t="shared" si="245"/>
        <v>345.72543712619967</v>
      </c>
      <c r="BE144" s="36">
        <f t="shared" si="312"/>
        <v>2.125</v>
      </c>
      <c r="BF144" s="36">
        <f t="shared" si="313"/>
        <v>726.64933513352912</v>
      </c>
      <c r="BK144" s="4">
        <f t="shared" si="355"/>
        <v>20.700000000000003</v>
      </c>
      <c r="BL144" s="4">
        <f t="shared" si="356"/>
        <v>20.700000000000003</v>
      </c>
      <c r="BM144" s="4">
        <f t="shared" si="357"/>
        <v>58.2</v>
      </c>
      <c r="BN144" s="4">
        <f t="shared" si="358"/>
        <v>35</v>
      </c>
      <c r="BO144" s="4">
        <f t="shared" si="359"/>
        <v>1.181159420289855</v>
      </c>
      <c r="BP144" s="25">
        <f t="shared" si="274"/>
        <v>4</v>
      </c>
      <c r="BR144" s="4">
        <f t="shared" si="331"/>
        <v>14.3</v>
      </c>
      <c r="BV144" s="9"/>
      <c r="BX144" s="9"/>
      <c r="BY144" s="9"/>
      <c r="BZ144" s="9">
        <f t="shared" si="383"/>
        <v>14.3</v>
      </c>
      <c r="CA144" s="9">
        <f t="shared" si="384"/>
        <v>28.6</v>
      </c>
      <c r="CB144" s="9">
        <f t="shared" si="248"/>
        <v>0.78458409789675088</v>
      </c>
      <c r="CC144" s="9">
        <v>20</v>
      </c>
      <c r="CD144" s="9">
        <f t="shared" si="306"/>
        <v>0.05</v>
      </c>
      <c r="CE144" s="9">
        <f t="shared" si="249"/>
        <v>0.8</v>
      </c>
      <c r="CF144" s="9">
        <f t="shared" si="385"/>
        <v>0.96044432035915817</v>
      </c>
      <c r="CG144" s="9">
        <f t="shared" si="386"/>
        <v>0.74299999999999999</v>
      </c>
      <c r="CH144" s="9">
        <f t="shared" si="250"/>
        <v>1.5816166822222031</v>
      </c>
      <c r="CI144" s="9">
        <f t="shared" si="251"/>
        <v>2.5062046436175218</v>
      </c>
      <c r="CJ144" s="9">
        <v>1</v>
      </c>
      <c r="CK144" s="9">
        <f t="shared" si="252"/>
        <v>350.86865010645306</v>
      </c>
      <c r="CM144" s="4">
        <f t="shared" si="341"/>
        <v>1.0216415113950128</v>
      </c>
      <c r="CN144" s="4">
        <f t="shared" si="342"/>
        <v>1.9697711735090395</v>
      </c>
      <c r="CO144" s="4">
        <f t="shared" si="390"/>
        <v>0.93717831569316634</v>
      </c>
      <c r="CP144" s="4">
        <f t="shared" si="335"/>
        <v>1.9408972554070749</v>
      </c>
      <c r="CQ144" s="4">
        <f t="shared" si="391"/>
        <v>1.0696097344059088</v>
      </c>
      <c r="CR144" s="4">
        <f t="shared" si="392"/>
        <v>1.0520214823303664</v>
      </c>
      <c r="CS144" s="4">
        <f t="shared" si="329"/>
        <v>1.2197563750009797</v>
      </c>
      <c r="DA144" s="4">
        <f t="shared" si="394"/>
        <v>1.0216415113950128</v>
      </c>
      <c r="DB144" s="4">
        <f t="shared" si="394"/>
        <v>1.9697711735090395</v>
      </c>
      <c r="DC144" s="4">
        <f t="shared" si="395"/>
        <v>1.9408972554070749</v>
      </c>
      <c r="DD144" s="4">
        <f t="shared" si="396"/>
        <v>1.2197563750009797</v>
      </c>
      <c r="DE144" s="4">
        <f t="shared" si="397"/>
        <v>1.0696097344059088</v>
      </c>
      <c r="DF144" s="4">
        <f t="shared" si="397"/>
        <v>1.0520214823303664</v>
      </c>
      <c r="DH144" s="4">
        <f t="shared" si="362"/>
        <v>15</v>
      </c>
      <c r="DI144" s="4">
        <f t="shared" si="363"/>
        <v>572</v>
      </c>
      <c r="DJ144" s="4">
        <f t="shared" si="364"/>
        <v>1</v>
      </c>
      <c r="DL144" s="4">
        <f t="shared" si="365"/>
        <v>3.8275631008312281E-5</v>
      </c>
      <c r="DM144" s="4">
        <f t="shared" si="366"/>
        <v>9.2491441045464668</v>
      </c>
      <c r="DN144" s="4">
        <f t="shared" si="337"/>
        <v>0.14500663618215845</v>
      </c>
      <c r="DO144" s="4">
        <f t="shared" si="253"/>
        <v>4.272250380768611</v>
      </c>
      <c r="DP144" s="4">
        <f t="shared" si="254"/>
        <v>7.2094456377406724</v>
      </c>
      <c r="DQ144" s="4">
        <f t="shared" si="255"/>
        <v>6.8457351462215854</v>
      </c>
      <c r="DR144" s="38">
        <f t="shared" si="275"/>
        <v>636.68081739948491</v>
      </c>
      <c r="DS144" s="4">
        <f t="shared" si="256"/>
        <v>1.0000964813136164</v>
      </c>
      <c r="DT144" s="4">
        <f t="shared" si="330"/>
        <v>2.2360679774997898</v>
      </c>
      <c r="DU144" s="4">
        <f t="shared" si="276"/>
        <v>93.470449241730861</v>
      </c>
      <c r="DY144" s="4">
        <f t="shared" si="387"/>
        <v>1</v>
      </c>
      <c r="DZ144" s="4">
        <f t="shared" si="257"/>
        <v>1</v>
      </c>
      <c r="EA144" s="4">
        <f t="shared" si="258"/>
        <v>0.7</v>
      </c>
      <c r="EB144" s="4">
        <f t="shared" si="259"/>
        <v>0.7</v>
      </c>
      <c r="ED144" s="4">
        <f t="shared" si="277"/>
        <v>647.32518435982422</v>
      </c>
      <c r="EE144" s="25">
        <f t="shared" si="351"/>
        <v>92.37653808703628</v>
      </c>
      <c r="EH144" s="4">
        <f t="shared" si="314"/>
        <v>9.2491441045464668</v>
      </c>
      <c r="EI144" s="4">
        <f t="shared" si="367"/>
        <v>9.2491441045464668</v>
      </c>
      <c r="EK144" s="4">
        <f t="shared" si="368"/>
        <v>63.951544156493995</v>
      </c>
      <c r="EL144" s="4">
        <f t="shared" si="369"/>
        <v>2.2360679774997898</v>
      </c>
      <c r="EM144" s="4">
        <f t="shared" si="370"/>
        <v>5.0210590596265245E-2</v>
      </c>
      <c r="EP144" s="4">
        <f t="shared" si="332"/>
        <v>5.0210590596265245E-2</v>
      </c>
      <c r="EQ144" s="4">
        <f t="shared" si="333"/>
        <v>0.1447646471319336</v>
      </c>
      <c r="ER144" s="4">
        <f t="shared" si="371"/>
        <v>4.2693971158832111</v>
      </c>
      <c r="ES144" s="4">
        <f t="shared" si="388"/>
        <v>7.2086141540327731</v>
      </c>
      <c r="ET144" s="4">
        <f t="shared" si="372"/>
        <v>365.04845584350602</v>
      </c>
      <c r="EU144" s="4">
        <f t="shared" si="373"/>
        <v>143</v>
      </c>
      <c r="EV144" s="4">
        <f t="shared" si="261"/>
        <v>3.8275631008312281E-5</v>
      </c>
      <c r="EW144" s="4">
        <f t="shared" si="389"/>
        <v>6.8460626715972968</v>
      </c>
      <c r="EX144" s="4">
        <f t="shared" si="374"/>
        <v>636.61939552393108</v>
      </c>
      <c r="EY144" s="4">
        <f t="shared" si="375"/>
        <v>365.04845584350602</v>
      </c>
      <c r="EZ144" s="4">
        <f t="shared" si="376"/>
        <v>143</v>
      </c>
      <c r="FB144" s="4">
        <f t="shared" si="338"/>
        <v>0</v>
      </c>
      <c r="FG144" s="23">
        <f t="shared" si="339"/>
        <v>1.2</v>
      </c>
      <c r="FH144" s="23">
        <f t="shared" si="339"/>
        <v>2</v>
      </c>
      <c r="FI144" s="23">
        <f t="shared" si="382"/>
        <v>1.4</v>
      </c>
      <c r="FJ144" s="23">
        <f t="shared" si="340"/>
        <v>2</v>
      </c>
      <c r="FK144" s="23">
        <f t="shared" si="340"/>
        <v>1.2</v>
      </c>
      <c r="FL144" s="23">
        <f t="shared" si="340"/>
        <v>1.2</v>
      </c>
      <c r="FM144" s="23">
        <f t="shared" si="393"/>
        <v>0</v>
      </c>
      <c r="FN144" s="23"/>
      <c r="FX144" s="4">
        <f t="shared" si="263"/>
        <v>1.25</v>
      </c>
      <c r="FY144" s="4">
        <f t="shared" si="303"/>
        <v>0.67768622629572395</v>
      </c>
      <c r="FZ144" s="4">
        <f t="shared" si="265"/>
        <v>0.3</v>
      </c>
      <c r="GA144" s="4">
        <f t="shared" si="266"/>
        <v>558.30821134216501</v>
      </c>
    </row>
    <row r="145" spans="1:183" ht="12" customHeight="1" x14ac:dyDescent="0.3">
      <c r="A145" s="25">
        <v>127</v>
      </c>
      <c r="B145" s="24" t="s">
        <v>128</v>
      </c>
      <c r="C145" s="24">
        <v>2015</v>
      </c>
      <c r="D145" s="24" t="s">
        <v>293</v>
      </c>
      <c r="E145" s="24"/>
      <c r="F145" s="7" t="s">
        <v>151</v>
      </c>
      <c r="G145" s="7">
        <v>710</v>
      </c>
      <c r="H145" s="7">
        <f t="shared" si="315"/>
        <v>429</v>
      </c>
      <c r="I145" s="7">
        <f t="shared" si="344"/>
        <v>429</v>
      </c>
      <c r="J145" s="7">
        <v>62.9</v>
      </c>
      <c r="K145" s="7">
        <v>28.6</v>
      </c>
      <c r="L145" s="7">
        <v>15</v>
      </c>
      <c r="M145" s="7">
        <f t="shared" si="345"/>
        <v>15</v>
      </c>
      <c r="N145" s="7">
        <v>261</v>
      </c>
      <c r="O145" s="7">
        <f t="shared" si="346"/>
        <v>28.6</v>
      </c>
      <c r="P145" s="7"/>
      <c r="Q145" s="7">
        <f t="shared" si="378"/>
        <v>28.6</v>
      </c>
      <c r="R145" s="7">
        <v>2</v>
      </c>
      <c r="S145" s="7">
        <f t="shared" si="347"/>
        <v>58.2</v>
      </c>
      <c r="T145" s="7">
        <f t="shared" si="304"/>
        <v>1</v>
      </c>
      <c r="U145" s="7">
        <f t="shared" si="353"/>
        <v>1.5000000000000002</v>
      </c>
      <c r="V145" s="7">
        <f t="shared" si="348"/>
        <v>4</v>
      </c>
      <c r="W145" s="7">
        <f t="shared" si="354"/>
        <v>4</v>
      </c>
      <c r="X145" s="7">
        <v>5</v>
      </c>
      <c r="Y145" s="7">
        <f t="shared" si="352"/>
        <v>63.951544156493995</v>
      </c>
      <c r="Z145" s="7"/>
      <c r="AA145" s="7"/>
      <c r="AB145" s="7">
        <v>562</v>
      </c>
      <c r="AC145" s="7"/>
      <c r="AD145" s="7">
        <f t="shared" si="334"/>
        <v>0.98161770338061449</v>
      </c>
      <c r="AE145" s="7">
        <v>9.5</v>
      </c>
      <c r="AF145" s="7">
        <v>7</v>
      </c>
      <c r="AG145" s="7">
        <v>65</v>
      </c>
      <c r="AH145" s="7">
        <v>7</v>
      </c>
      <c r="AI145" s="7">
        <v>7</v>
      </c>
      <c r="AJ145" s="7">
        <f t="shared" si="398"/>
        <v>1.5251680311268359</v>
      </c>
      <c r="AK145" s="4">
        <f t="shared" si="279"/>
        <v>429</v>
      </c>
      <c r="AL145" s="46">
        <f t="shared" si="349"/>
        <v>5.5150754451453753E-2</v>
      </c>
      <c r="AM145" s="25">
        <f t="shared" si="268"/>
        <v>548.47813315761925</v>
      </c>
      <c r="AN145" s="4">
        <f t="shared" si="269"/>
        <v>0.72</v>
      </c>
      <c r="AO145" s="4">
        <v>1.25</v>
      </c>
      <c r="AP145" s="25">
        <f t="shared" si="317"/>
        <v>5</v>
      </c>
      <c r="AQ145" s="38">
        <f t="shared" si="271"/>
        <v>136.12042279695424</v>
      </c>
      <c r="AR145" s="38">
        <f t="shared" si="272"/>
        <v>136.12042279695424</v>
      </c>
      <c r="AT145" s="38">
        <f t="shared" si="350"/>
        <v>136.12042279695419</v>
      </c>
      <c r="AU145" s="38">
        <f t="shared" si="243"/>
        <v>1.0000000000000004</v>
      </c>
      <c r="AV145" s="38">
        <f t="shared" si="328"/>
        <v>2.2180360139665667</v>
      </c>
      <c r="AW145" s="4">
        <f t="shared" si="323"/>
        <v>0</v>
      </c>
      <c r="AX145" s="4">
        <f t="shared" si="379"/>
        <v>626.1277913336321</v>
      </c>
      <c r="AY145" s="4">
        <f t="shared" si="380"/>
        <v>1.2000000000000002</v>
      </c>
      <c r="AZ145" s="38">
        <f t="shared" si="273"/>
        <v>301.92</v>
      </c>
      <c r="BA145" s="4">
        <f t="shared" si="381"/>
        <v>0.44000000000000006</v>
      </c>
      <c r="BB145" s="4">
        <f t="shared" si="244"/>
        <v>143.94677922760204</v>
      </c>
      <c r="BC145" s="4">
        <f t="shared" si="245"/>
        <v>445.86677922760202</v>
      </c>
      <c r="BE145" s="36">
        <f t="shared" si="312"/>
        <v>1.6863256140070761</v>
      </c>
      <c r="BF145" s="36">
        <f t="shared" si="313"/>
        <v>615.21170687631093</v>
      </c>
      <c r="BK145" s="4">
        <f t="shared" si="355"/>
        <v>20.700000000000003</v>
      </c>
      <c r="BL145" s="4">
        <f t="shared" si="356"/>
        <v>20.700000000000003</v>
      </c>
      <c r="BM145" s="4">
        <f t="shared" si="357"/>
        <v>58.2</v>
      </c>
      <c r="BN145" s="4">
        <f t="shared" si="358"/>
        <v>35</v>
      </c>
      <c r="BO145" s="4">
        <f t="shared" si="359"/>
        <v>1.181159420289855</v>
      </c>
      <c r="BP145" s="25">
        <f t="shared" si="274"/>
        <v>3.4014035908980222</v>
      </c>
      <c r="BR145" s="4">
        <f t="shared" si="331"/>
        <v>14.3</v>
      </c>
      <c r="BV145" s="9"/>
      <c r="BX145" s="9"/>
      <c r="BY145" s="9"/>
      <c r="BZ145" s="9">
        <f t="shared" si="383"/>
        <v>14.3</v>
      </c>
      <c r="CA145" s="9">
        <f t="shared" si="384"/>
        <v>28.6</v>
      </c>
      <c r="CB145" s="9">
        <f t="shared" si="248"/>
        <v>0.78458409789675088</v>
      </c>
      <c r="CC145" s="9">
        <v>20</v>
      </c>
      <c r="CD145" s="9">
        <f t="shared" si="306"/>
        <v>0.05</v>
      </c>
      <c r="CE145" s="9">
        <f t="shared" si="249"/>
        <v>0.8</v>
      </c>
      <c r="CF145" s="9">
        <f t="shared" si="385"/>
        <v>0.96044432035915817</v>
      </c>
      <c r="CG145" s="9">
        <f t="shared" si="386"/>
        <v>0.74299999999999999</v>
      </c>
      <c r="CH145" s="9">
        <f t="shared" si="250"/>
        <v>1.9808626966691243</v>
      </c>
      <c r="CI145" s="9">
        <f t="shared" si="251"/>
        <v>3.1388435292587697</v>
      </c>
      <c r="CJ145" s="9">
        <v>1</v>
      </c>
      <c r="CK145" s="9">
        <f t="shared" si="252"/>
        <v>376.66122351105236</v>
      </c>
      <c r="CM145" s="4">
        <f t="shared" si="341"/>
        <v>0.89758034666207365</v>
      </c>
      <c r="CN145" s="4">
        <f t="shared" si="342"/>
        <v>1.2604661889669859</v>
      </c>
      <c r="CO145" s="4">
        <f t="shared" si="390"/>
        <v>0.91350667374896166</v>
      </c>
      <c r="CP145" s="4">
        <f t="shared" si="335"/>
        <v>1.4920569597297801</v>
      </c>
      <c r="CQ145" s="4">
        <f t="shared" si="391"/>
        <v>0.98161770338061449</v>
      </c>
      <c r="CR145" s="4">
        <f t="shared" si="392"/>
        <v>0.97318154685335856</v>
      </c>
      <c r="CS145" s="4">
        <f t="shared" si="329"/>
        <v>1.199290707588252</v>
      </c>
      <c r="DA145" s="4">
        <f t="shared" si="394"/>
        <v>0.89758034666207365</v>
      </c>
      <c r="DB145" s="4">
        <f t="shared" si="394"/>
        <v>1.2604661889669859</v>
      </c>
      <c r="DC145" s="4">
        <f t="shared" si="395"/>
        <v>1.4920569597297801</v>
      </c>
      <c r="DD145" s="4">
        <f t="shared" si="396"/>
        <v>1.199290707588252</v>
      </c>
      <c r="DE145" s="4">
        <f t="shared" si="397"/>
        <v>0.98161770338061449</v>
      </c>
      <c r="DF145" s="4">
        <f t="shared" si="397"/>
        <v>0.97318154685335856</v>
      </c>
      <c r="DH145" s="4">
        <f t="shared" si="362"/>
        <v>7</v>
      </c>
      <c r="DI145" s="4">
        <f t="shared" si="363"/>
        <v>429</v>
      </c>
      <c r="DJ145" s="4">
        <f t="shared" si="364"/>
        <v>1</v>
      </c>
      <c r="DL145" s="4">
        <f t="shared" si="365"/>
        <v>3.3150409818642976E-5</v>
      </c>
      <c r="DM145" s="4">
        <f t="shared" si="366"/>
        <v>9.850377101520138</v>
      </c>
      <c r="DN145" s="4">
        <f t="shared" si="337"/>
        <v>0.13462650289663738</v>
      </c>
      <c r="DO145" s="4">
        <f t="shared" si="253"/>
        <v>4.4167730350132439</v>
      </c>
      <c r="DP145" s="4">
        <f t="shared" si="254"/>
        <v>7.6397750506487814</v>
      </c>
      <c r="DQ145" s="4">
        <f t="shared" si="255"/>
        <v>8.0960945358675964</v>
      </c>
      <c r="DR145" s="38">
        <f t="shared" si="275"/>
        <v>572.52431171984369</v>
      </c>
      <c r="DS145" s="4">
        <f t="shared" si="256"/>
        <v>1.0000921123312927</v>
      </c>
      <c r="DT145" s="4">
        <f t="shared" si="330"/>
        <v>2.2360679774997898</v>
      </c>
      <c r="DU145" s="4">
        <f t="shared" si="276"/>
        <v>136.12042279695419</v>
      </c>
      <c r="DY145" s="4">
        <f t="shared" si="387"/>
        <v>1</v>
      </c>
      <c r="DZ145" s="4">
        <f t="shared" si="257"/>
        <v>1</v>
      </c>
      <c r="EA145" s="4">
        <f t="shared" si="258"/>
        <v>0.7</v>
      </c>
      <c r="EB145" s="4">
        <f t="shared" si="259"/>
        <v>0.7</v>
      </c>
      <c r="ED145" s="4">
        <f t="shared" si="277"/>
        <v>577.48731654144649</v>
      </c>
      <c r="EE145" s="25">
        <f t="shared" si="351"/>
        <v>134.22034697304031</v>
      </c>
      <c r="EH145" s="4">
        <f t="shared" si="314"/>
        <v>9.850377101520138</v>
      </c>
      <c r="EI145" s="4">
        <f t="shared" si="367"/>
        <v>9.850377101520138</v>
      </c>
      <c r="EK145" s="4">
        <f t="shared" si="368"/>
        <v>63.951544156493995</v>
      </c>
      <c r="EL145" s="4">
        <f t="shared" si="369"/>
        <v>2.2360679774997898</v>
      </c>
      <c r="EM145" s="4">
        <f t="shared" si="370"/>
        <v>5.8383637923874576E-2</v>
      </c>
      <c r="EP145" s="4">
        <f t="shared" si="332"/>
        <v>5.8383637923874576E-2</v>
      </c>
      <c r="EQ145" s="4">
        <f t="shared" si="333"/>
        <v>0.13440183635427219</v>
      </c>
      <c r="ER145" s="4">
        <f t="shared" si="371"/>
        <v>4.4138232492365681</v>
      </c>
      <c r="ES145" s="4">
        <f t="shared" si="388"/>
        <v>7.6389381357232935</v>
      </c>
      <c r="ET145" s="4">
        <f t="shared" si="372"/>
        <v>257.79845584350602</v>
      </c>
      <c r="EU145" s="4">
        <f t="shared" si="373"/>
        <v>107.25</v>
      </c>
      <c r="EV145" s="4">
        <f t="shared" si="261"/>
        <v>3.3150409818642976E-5</v>
      </c>
      <c r="EW145" s="4">
        <f t="shared" si="389"/>
        <v>8.096349707281961</v>
      </c>
      <c r="EX145" s="4">
        <f t="shared" si="374"/>
        <v>572.47158002800847</v>
      </c>
      <c r="EY145" s="4">
        <f t="shared" si="375"/>
        <v>257.79845584350602</v>
      </c>
      <c r="EZ145" s="4">
        <f t="shared" si="376"/>
        <v>107.24999999999999</v>
      </c>
      <c r="FB145" s="4">
        <f t="shared" si="338"/>
        <v>0</v>
      </c>
      <c r="FG145" s="23">
        <f t="shared" si="339"/>
        <v>1</v>
      </c>
      <c r="FH145" s="23">
        <f t="shared" si="339"/>
        <v>1.4</v>
      </c>
      <c r="FI145" s="23">
        <f t="shared" si="382"/>
        <v>1.2</v>
      </c>
      <c r="FJ145" s="23">
        <f t="shared" si="340"/>
        <v>1.6</v>
      </c>
      <c r="FK145" s="23">
        <f t="shared" si="340"/>
        <v>1</v>
      </c>
      <c r="FL145" s="23">
        <f t="shared" si="340"/>
        <v>1</v>
      </c>
      <c r="FM145" s="23">
        <f t="shared" si="393"/>
        <v>0</v>
      </c>
      <c r="FN145" s="23"/>
      <c r="FX145" s="4">
        <f t="shared" si="263"/>
        <v>1.25</v>
      </c>
      <c r="FY145" s="4">
        <f t="shared" si="303"/>
        <v>0.67768622629572395</v>
      </c>
      <c r="FZ145" s="4">
        <f t="shared" si="265"/>
        <v>0.3</v>
      </c>
      <c r="GA145" s="4">
        <f t="shared" si="266"/>
        <v>468.61031811892383</v>
      </c>
    </row>
    <row r="146" spans="1:183" ht="12" customHeight="1" x14ac:dyDescent="0.3">
      <c r="A146" s="25">
        <v>128</v>
      </c>
      <c r="B146" s="24" t="s">
        <v>128</v>
      </c>
      <c r="C146" s="24">
        <v>2015</v>
      </c>
      <c r="D146" s="24" t="s">
        <v>293</v>
      </c>
      <c r="E146" s="24"/>
      <c r="F146" s="7" t="s">
        <v>152</v>
      </c>
      <c r="G146" s="7">
        <v>710</v>
      </c>
      <c r="H146" s="7">
        <f t="shared" si="315"/>
        <v>572</v>
      </c>
      <c r="I146" s="7">
        <f t="shared" si="344"/>
        <v>572</v>
      </c>
      <c r="J146" s="7">
        <v>62.9</v>
      </c>
      <c r="K146" s="7">
        <v>28.6</v>
      </c>
      <c r="L146" s="7">
        <v>20</v>
      </c>
      <c r="M146" s="7">
        <f t="shared" si="345"/>
        <v>20</v>
      </c>
      <c r="N146" s="7">
        <v>261</v>
      </c>
      <c r="O146" s="7">
        <f t="shared" si="346"/>
        <v>28.6</v>
      </c>
      <c r="P146" s="7"/>
      <c r="Q146" s="7">
        <f t="shared" si="378"/>
        <v>28.6</v>
      </c>
      <c r="R146" s="7">
        <v>2</v>
      </c>
      <c r="S146" s="7">
        <f t="shared" si="347"/>
        <v>58.2</v>
      </c>
      <c r="T146" s="7">
        <f t="shared" si="304"/>
        <v>1</v>
      </c>
      <c r="U146" s="7">
        <f t="shared" si="353"/>
        <v>1.5000000000000002</v>
      </c>
      <c r="V146" s="7">
        <f t="shared" si="348"/>
        <v>4</v>
      </c>
      <c r="W146" s="7">
        <f t="shared" si="354"/>
        <v>4</v>
      </c>
      <c r="X146" s="7">
        <v>5</v>
      </c>
      <c r="Y146" s="7">
        <f t="shared" si="352"/>
        <v>63.951544156493995</v>
      </c>
      <c r="Z146" s="7"/>
      <c r="AA146" s="7"/>
      <c r="AB146" s="7">
        <v>710</v>
      </c>
      <c r="AC146" s="7"/>
      <c r="AD146" s="7">
        <f t="shared" si="334"/>
        <v>1.0495656592307139</v>
      </c>
      <c r="AE146" s="7">
        <v>9.5</v>
      </c>
      <c r="AF146" s="7">
        <v>9</v>
      </c>
      <c r="AG146" s="7">
        <v>65</v>
      </c>
      <c r="AH146" s="7">
        <v>9</v>
      </c>
      <c r="AI146" s="7">
        <v>9</v>
      </c>
      <c r="AJ146" s="7">
        <f t="shared" si="398"/>
        <v>1.5251680311268359</v>
      </c>
      <c r="AK146" s="4">
        <f t="shared" si="279"/>
        <v>572</v>
      </c>
      <c r="AL146" s="46">
        <f t="shared" si="349"/>
        <v>3.1022299378942735E-2</v>
      </c>
      <c r="AM146" s="25">
        <f t="shared" si="268"/>
        <v>844.43732752846654</v>
      </c>
      <c r="AN146" s="4">
        <f t="shared" si="269"/>
        <v>0.71499999999999997</v>
      </c>
      <c r="AO146" s="4">
        <v>1.25</v>
      </c>
      <c r="AP146" s="25">
        <f t="shared" si="317"/>
        <v>5</v>
      </c>
      <c r="AQ146" s="38">
        <f>AL146*AN146*AO146*AP146*AM146</f>
        <v>117.06510700412386</v>
      </c>
      <c r="AR146" s="38">
        <f t="shared" si="272"/>
        <v>117.06510700412386</v>
      </c>
      <c r="AT146" s="38">
        <f t="shared" si="350"/>
        <v>117.06510700412382</v>
      </c>
      <c r="AU146" s="38">
        <f t="shared" si="243"/>
        <v>1.0000000000000004</v>
      </c>
      <c r="AV146" s="38">
        <f t="shared" si="328"/>
        <v>2.5790776408666707</v>
      </c>
      <c r="AW146" s="4">
        <f t="shared" si="323"/>
        <v>0</v>
      </c>
      <c r="AX146" s="4">
        <f t="shared" si="379"/>
        <v>834.83705511150959</v>
      </c>
      <c r="AY146" s="4">
        <f t="shared" si="380"/>
        <v>1.2000000000000002</v>
      </c>
      <c r="AZ146" s="38">
        <f t="shared" si="273"/>
        <v>301.92</v>
      </c>
      <c r="BA146" s="4">
        <f t="shared" si="381"/>
        <v>0.44000000000000006</v>
      </c>
      <c r="BB146" s="4">
        <f t="shared" si="244"/>
        <v>191.92903897013608</v>
      </c>
      <c r="BC146" s="4">
        <f t="shared" si="245"/>
        <v>493.84903897013612</v>
      </c>
      <c r="BE146" s="36">
        <f t="shared" si="312"/>
        <v>1.6863256140070761</v>
      </c>
      <c r="BF146" s="36">
        <f t="shared" si="313"/>
        <v>722.20504720262591</v>
      </c>
      <c r="BK146" s="4">
        <f t="shared" si="355"/>
        <v>20.700000000000003</v>
      </c>
      <c r="BL146" s="4">
        <f t="shared" si="356"/>
        <v>20.700000000000003</v>
      </c>
      <c r="BM146" s="4">
        <f t="shared" si="357"/>
        <v>58.2</v>
      </c>
      <c r="BN146" s="4">
        <f t="shared" si="358"/>
        <v>35</v>
      </c>
      <c r="BO146" s="4">
        <f t="shared" si="359"/>
        <v>1.181159420289855</v>
      </c>
      <c r="BP146" s="25">
        <f t="shared" si="274"/>
        <v>3.4014035908980222</v>
      </c>
      <c r="BR146" s="4">
        <f t="shared" si="331"/>
        <v>14.3</v>
      </c>
      <c r="BV146" s="9"/>
      <c r="BX146" s="9"/>
      <c r="BY146" s="9"/>
      <c r="BZ146" s="9">
        <f t="shared" si="383"/>
        <v>14.3</v>
      </c>
      <c r="CA146" s="9">
        <f t="shared" si="384"/>
        <v>28.6</v>
      </c>
      <c r="CB146" s="9">
        <f t="shared" si="248"/>
        <v>0.78458409789675088</v>
      </c>
      <c r="CC146" s="9">
        <v>20</v>
      </c>
      <c r="CD146" s="9">
        <f t="shared" si="306"/>
        <v>0.05</v>
      </c>
      <c r="CE146" s="9">
        <f t="shared" si="249"/>
        <v>0.8</v>
      </c>
      <c r="CF146" s="9">
        <f t="shared" si="385"/>
        <v>0.96044432035915817</v>
      </c>
      <c r="CG146" s="9">
        <f t="shared" si="386"/>
        <v>0.74299999999999999</v>
      </c>
      <c r="CH146" s="9">
        <f t="shared" si="250"/>
        <v>1.9808626966691243</v>
      </c>
      <c r="CI146" s="9">
        <f t="shared" si="251"/>
        <v>3.1388435292587697</v>
      </c>
      <c r="CJ146" s="9">
        <v>1</v>
      </c>
      <c r="CK146" s="9">
        <f t="shared" si="252"/>
        <v>439.43809409622776</v>
      </c>
      <c r="CM146" s="4">
        <f t="shared" si="341"/>
        <v>0.85046536405258744</v>
      </c>
      <c r="CN146" s="4">
        <f t="shared" si="342"/>
        <v>1.4376863048688344</v>
      </c>
      <c r="CO146" s="4">
        <f t="shared" si="390"/>
        <v>0.98310030198501008</v>
      </c>
      <c r="CP146" s="4">
        <f t="shared" si="335"/>
        <v>1.6156997072823751</v>
      </c>
      <c r="CQ146" s="4">
        <f t="shared" si="391"/>
        <v>1.0495656592307139</v>
      </c>
      <c r="CR146" s="4">
        <f t="shared" si="392"/>
        <v>1.0046444472606173</v>
      </c>
      <c r="CS146" s="4">
        <f t="shared" si="329"/>
        <v>1.1363386152860215</v>
      </c>
      <c r="DA146" s="4">
        <f t="shared" si="394"/>
        <v>0.85046536405258744</v>
      </c>
      <c r="DB146" s="4">
        <f t="shared" si="394"/>
        <v>1.4376863048688344</v>
      </c>
      <c r="DC146" s="4">
        <f t="shared" si="395"/>
        <v>1.6156997072823751</v>
      </c>
      <c r="DD146" s="4">
        <f t="shared" si="396"/>
        <v>1.1363386152860215</v>
      </c>
      <c r="DE146" s="4">
        <f t="shared" si="397"/>
        <v>1.0495656592307139</v>
      </c>
      <c r="DF146" s="4">
        <f t="shared" si="397"/>
        <v>1.0046444472606173</v>
      </c>
      <c r="DH146" s="4">
        <f t="shared" si="362"/>
        <v>9</v>
      </c>
      <c r="DI146" s="4">
        <f t="shared" si="363"/>
        <v>572</v>
      </c>
      <c r="DJ146" s="4">
        <f t="shared" si="364"/>
        <v>1</v>
      </c>
      <c r="DL146" s="4">
        <f t="shared" si="365"/>
        <v>4.4200546424857304E-5</v>
      </c>
      <c r="DM146" s="4">
        <f t="shared" si="366"/>
        <v>9.850377101520138</v>
      </c>
      <c r="DN146" s="4">
        <f t="shared" si="337"/>
        <v>0.11578031895106987</v>
      </c>
      <c r="DO146" s="4">
        <f t="shared" si="253"/>
        <v>4.158213207833894</v>
      </c>
      <c r="DP146" s="4">
        <f t="shared" si="254"/>
        <v>7.5683663322028245</v>
      </c>
      <c r="DQ146" s="4">
        <f t="shared" si="255"/>
        <v>6.790227666092334</v>
      </c>
      <c r="DR146" s="38">
        <f t="shared" si="275"/>
        <v>676.47030345905102</v>
      </c>
      <c r="DS146" s="4">
        <f t="shared" si="256"/>
        <v>1.0000820786886133</v>
      </c>
      <c r="DT146" s="4">
        <f t="shared" si="330"/>
        <v>2.2360679774997898</v>
      </c>
      <c r="DU146" s="4">
        <f t="shared" si="276"/>
        <v>117.06510700412382</v>
      </c>
      <c r="DY146" s="4">
        <f t="shared" si="387"/>
        <v>1</v>
      </c>
      <c r="DZ146" s="4">
        <f t="shared" si="257"/>
        <v>1</v>
      </c>
      <c r="EA146" s="4">
        <f t="shared" si="258"/>
        <v>0.7</v>
      </c>
      <c r="EB146" s="4">
        <f t="shared" si="259"/>
        <v>0.7</v>
      </c>
      <c r="ED146" s="4">
        <f t="shared" si="277"/>
        <v>706.71768697470054</v>
      </c>
      <c r="EE146" s="25">
        <f t="shared" si="351"/>
        <v>115.69506088349222</v>
      </c>
      <c r="EH146" s="4">
        <f t="shared" si="314"/>
        <v>9.850377101520138</v>
      </c>
      <c r="EI146" s="4">
        <f t="shared" si="367"/>
        <v>9.850377101520138</v>
      </c>
      <c r="EK146" s="4">
        <f t="shared" si="368"/>
        <v>63.951544156493995</v>
      </c>
      <c r="EL146" s="4">
        <f t="shared" si="369"/>
        <v>2.2360679774997898</v>
      </c>
      <c r="EM146" s="4">
        <f t="shared" si="370"/>
        <v>5.0210590596265252E-2</v>
      </c>
      <c r="EP146" s="4">
        <f t="shared" si="332"/>
        <v>5.0210590596265252E-2</v>
      </c>
      <c r="EQ146" s="4">
        <f t="shared" si="333"/>
        <v>0.11558710317725863</v>
      </c>
      <c r="ER146" s="4">
        <f t="shared" si="371"/>
        <v>4.1554361038080332</v>
      </c>
      <c r="ES146" s="4">
        <f t="shared" si="388"/>
        <v>7.5676210201178815</v>
      </c>
      <c r="ET146" s="4">
        <f t="shared" si="372"/>
        <v>365.04845584350602</v>
      </c>
      <c r="EU146" s="4">
        <f t="shared" si="373"/>
        <v>143</v>
      </c>
      <c r="EV146" s="4">
        <f t="shared" si="261"/>
        <v>4.4200546424857304E-5</v>
      </c>
      <c r="EW146" s="4">
        <f t="shared" si="389"/>
        <v>6.7905962854039981</v>
      </c>
      <c r="EX146" s="4">
        <f t="shared" si="374"/>
        <v>676.41478422060356</v>
      </c>
      <c r="EY146" s="4">
        <f t="shared" si="375"/>
        <v>365.04845584350602</v>
      </c>
      <c r="EZ146" s="4">
        <f t="shared" si="376"/>
        <v>143</v>
      </c>
      <c r="FB146" s="4">
        <f t="shared" si="338"/>
        <v>0</v>
      </c>
      <c r="FG146" s="23">
        <f t="shared" si="339"/>
        <v>1</v>
      </c>
      <c r="FH146" s="23">
        <f t="shared" si="339"/>
        <v>1.6</v>
      </c>
      <c r="FI146" s="23">
        <f t="shared" si="382"/>
        <v>1.2</v>
      </c>
      <c r="FJ146" s="23">
        <f t="shared" si="340"/>
        <v>1.8</v>
      </c>
      <c r="FK146" s="23">
        <f t="shared" si="340"/>
        <v>1.2</v>
      </c>
      <c r="FL146" s="23">
        <f t="shared" si="340"/>
        <v>1.2</v>
      </c>
      <c r="FM146" s="23">
        <f t="shared" si="393"/>
        <v>0</v>
      </c>
      <c r="FN146" s="23"/>
      <c r="FX146" s="4">
        <f t="shared" si="263"/>
        <v>1.25</v>
      </c>
      <c r="FY146" s="4">
        <f t="shared" si="303"/>
        <v>0.67768622629572395</v>
      </c>
      <c r="FZ146" s="4">
        <f t="shared" si="265"/>
        <v>0.3</v>
      </c>
      <c r="GA146" s="4">
        <f t="shared" si="266"/>
        <v>624.81375749189851</v>
      </c>
    </row>
    <row r="147" spans="1:183" ht="12" customHeight="1" x14ac:dyDescent="0.3">
      <c r="A147" s="25">
        <v>129</v>
      </c>
      <c r="B147" s="24" t="s">
        <v>605</v>
      </c>
      <c r="C147" s="24">
        <v>2016</v>
      </c>
      <c r="D147" s="24" t="s">
        <v>199</v>
      </c>
      <c r="E147" s="24"/>
      <c r="F147" s="7" t="s">
        <v>646</v>
      </c>
      <c r="G147" s="38">
        <f>119.8/0.145</f>
        <v>826.20689655172418</v>
      </c>
      <c r="H147" s="38">
        <f>12*25.4</f>
        <v>304.79999999999995</v>
      </c>
      <c r="I147" s="4">
        <f>H147</f>
        <v>304.79999999999995</v>
      </c>
      <c r="J147" s="38">
        <f>6330/145</f>
        <v>43.655172413793103</v>
      </c>
      <c r="K147" s="38">
        <f>0.75*25.4</f>
        <v>19.049999999999997</v>
      </c>
      <c r="L147" s="7">
        <f>H147/K147</f>
        <v>16</v>
      </c>
      <c r="M147" s="7">
        <f>I147/K147</f>
        <v>16</v>
      </c>
      <c r="N147" s="38">
        <f>18*25.4</f>
        <v>457.2</v>
      </c>
      <c r="O147" s="38">
        <f>2*25.4</f>
        <v>50.8</v>
      </c>
      <c r="P147" s="21">
        <f>(6-0.5-2*0.75)*25.4</f>
        <v>101.6</v>
      </c>
      <c r="Q147" s="21">
        <f>(0.5)*25.4</f>
        <v>12.7</v>
      </c>
      <c r="R147" s="38">
        <v>3</v>
      </c>
      <c r="S147" s="38">
        <f>2*25.4</f>
        <v>50.8</v>
      </c>
      <c r="T147" s="7">
        <f>MIN(Q147/K147/2+0.5, (S147+K147/2)/K147, O147/K147+0.5)</f>
        <v>0.83333333333333337</v>
      </c>
      <c r="U147" s="7">
        <f>MIN(S147/K147+0.5, (O147+K147/2)/K147)</f>
        <v>3.166666666666667</v>
      </c>
      <c r="V147" s="38">
        <v>4</v>
      </c>
      <c r="W147" s="4">
        <f>V147</f>
        <v>4</v>
      </c>
      <c r="X147" s="4">
        <f>W147+1</f>
        <v>5</v>
      </c>
      <c r="Y147" s="7">
        <f t="shared" si="352"/>
        <v>42.597094971370993</v>
      </c>
      <c r="Z147" s="7"/>
      <c r="AA147" s="7"/>
      <c r="AB147" s="38">
        <f t="shared" ref="AB147:AB152" si="399">AC147/0.145</f>
        <v>573.79310344827593</v>
      </c>
      <c r="AC147" s="4">
        <v>83.2</v>
      </c>
      <c r="AD147" s="7">
        <f t="shared" si="334"/>
        <v>0.98217058503586896</v>
      </c>
      <c r="AE147" s="7"/>
      <c r="AF147" s="7"/>
      <c r="AG147" s="7">
        <v>1</v>
      </c>
      <c r="AH147" s="7"/>
      <c r="AI147" s="7"/>
      <c r="AJ147" s="7">
        <f t="shared" si="398"/>
        <v>0</v>
      </c>
      <c r="AK147" s="4">
        <f t="shared" si="279"/>
        <v>304.79999999999995</v>
      </c>
      <c r="AL147" s="47">
        <f>MIN(N147)*(MIN(360-S147-0.5*K147,1.5*AK147)+S147+K147/2)/(3*H147)^2</f>
        <v>0.19685039370078747</v>
      </c>
      <c r="AM147" s="25">
        <f t="shared" si="268"/>
        <v>411.18683539092382</v>
      </c>
      <c r="AN147" s="4">
        <f t="shared" si="269"/>
        <v>0.73958333333333326</v>
      </c>
      <c r="AO147" s="4">
        <v>1.25</v>
      </c>
      <c r="AP147" s="25">
        <f t="shared" si="317"/>
        <v>5</v>
      </c>
      <c r="AQ147" s="38">
        <f>AL147*AN147*AO147*AP147*AM147</f>
        <v>374.14730603002477</v>
      </c>
      <c r="AR147" s="38">
        <f t="shared" si="272"/>
        <v>374.14730603002477</v>
      </c>
      <c r="AT147" s="38">
        <f>AP147* (J147^0.5/AK147^0.5)/(PI()/4*K147^2)/R147/0.72 *(0.7+(MIN(O147,S147)+0.5*K147)/5/H147) *(N147*MIN(S147+0.5*K147+1.5*H147,360))</f>
        <v>374.14730603002448</v>
      </c>
      <c r="AU147" s="38">
        <f t="shared" ref="AU147:AU210" si="400">AQ147/AT147</f>
        <v>1.0000000000000007</v>
      </c>
      <c r="AV147" s="38">
        <f t="shared" si="328"/>
        <v>0.77786069301609739</v>
      </c>
      <c r="AW147" s="4">
        <f t="shared" si="323"/>
        <v>1</v>
      </c>
      <c r="AX147" s="4">
        <f t="shared" si="379"/>
        <v>556.39630294068945</v>
      </c>
      <c r="AY147" s="4">
        <f t="shared" si="380"/>
        <v>2</v>
      </c>
      <c r="AZ147" s="38">
        <f t="shared" si="273"/>
        <v>291.0344827586207</v>
      </c>
      <c r="BA147" s="4">
        <f t="shared" si="381"/>
        <v>0.44000000000000006</v>
      </c>
      <c r="BB147" s="4">
        <f t="shared" ref="BB147:BB210" si="401">BA147*G147*I147/(G147*K147/2.75/J147^0.5)</f>
        <v>127.91551004606451</v>
      </c>
      <c r="BC147" s="4">
        <f t="shared" ref="BC147:BC210" si="402">AZ147+BB147</f>
        <v>418.94999280468522</v>
      </c>
      <c r="BE147" s="36">
        <f t="shared" si="312"/>
        <v>1.2083333333333333</v>
      </c>
      <c r="BF147" s="36">
        <f t="shared" si="313"/>
        <v>380.02447070331317</v>
      </c>
      <c r="BK147" s="4">
        <f t="shared" si="355"/>
        <v>12.75</v>
      </c>
      <c r="BL147" s="4">
        <f t="shared" si="356"/>
        <v>12.75</v>
      </c>
      <c r="BM147" s="4">
        <f t="shared" si="357"/>
        <v>50.8</v>
      </c>
      <c r="BN147" s="4">
        <f t="shared" si="358"/>
        <v>22.274999999999999</v>
      </c>
      <c r="BO147" s="4">
        <f t="shared" si="359"/>
        <v>1.25</v>
      </c>
      <c r="BP147" s="25">
        <f t="shared" si="274"/>
        <v>1.4616141732283467</v>
      </c>
      <c r="BR147" s="4">
        <f t="shared" si="331"/>
        <v>6.35</v>
      </c>
      <c r="BV147" s="9"/>
      <c r="BX147" s="9"/>
      <c r="BY147" s="9"/>
      <c r="BZ147" s="9">
        <f t="shared" si="383"/>
        <v>6.35</v>
      </c>
      <c r="CA147" s="9">
        <f t="shared" si="384"/>
        <v>50.8</v>
      </c>
      <c r="CB147" s="9">
        <f t="shared" ref="CB147:CB210" si="403">(BZ147/K147)^0.5*(CA147/BZ147)^0.15</f>
        <v>0.78868370996101578</v>
      </c>
      <c r="CC147" s="9">
        <v>20</v>
      </c>
      <c r="CD147" s="9">
        <f t="shared" si="306"/>
        <v>0</v>
      </c>
      <c r="CE147" s="9">
        <f t="shared" ref="CE147:CE210" si="404">MAX(0,CC147*(CD147-0.5/50))</f>
        <v>0</v>
      </c>
      <c r="CF147" s="9">
        <f t="shared" si="385"/>
        <v>1</v>
      </c>
      <c r="CG147" s="9">
        <f t="shared" si="386"/>
        <v>0.68</v>
      </c>
      <c r="CH147" s="9">
        <f t="shared" ref="CH147:CH210" si="405">1.75*CF147*CG147*(J147/25)^0.5</f>
        <v>1.5725150511861237</v>
      </c>
      <c r="CI147" s="9">
        <f t="shared" ref="CI147:CI210" si="406">MIN((CB147+CE147)*CH147,2.5*CH147,J147^0.5)</f>
        <v>1.2402170045390086</v>
      </c>
      <c r="CJ147" s="9">
        <v>1</v>
      </c>
      <c r="CK147" s="9">
        <f t="shared" ref="CK147:CK210" si="407">4*CI147*M147+60*CI147</f>
        <v>153.78690856283708</v>
      </c>
      <c r="CM147" s="4">
        <f t="shared" si="341"/>
        <v>1.0312669232625022</v>
      </c>
      <c r="CN147" s="4">
        <f t="shared" si="342"/>
        <v>1.3695980744789717</v>
      </c>
      <c r="CO147" s="4">
        <f t="shared" si="390"/>
        <v>1.509884619762391</v>
      </c>
      <c r="CP147" s="4">
        <f t="shared" si="335"/>
        <v>3.7310919948288381</v>
      </c>
      <c r="CQ147" s="4">
        <f t="shared" si="391"/>
        <v>0.98217058503586896</v>
      </c>
      <c r="CR147" s="4">
        <f t="shared" si="392"/>
        <v>1.0330895299523886</v>
      </c>
      <c r="CS147" s="4">
        <f t="shared" si="329"/>
        <v>1.5566949833453998</v>
      </c>
      <c r="DA147" s="4">
        <f t="shared" si="394"/>
        <v>1.0312669232625022</v>
      </c>
      <c r="DB147" s="4">
        <f t="shared" si="394"/>
        <v>1.3695980744789717</v>
      </c>
      <c r="DC147" s="4">
        <f t="shared" si="395"/>
        <v>3.7310919948288381</v>
      </c>
      <c r="DD147" s="4">
        <f t="shared" si="396"/>
        <v>1.5566949833453998</v>
      </c>
      <c r="DE147" s="4">
        <f t="shared" si="397"/>
        <v>0.98217058503586896</v>
      </c>
      <c r="DF147" s="4">
        <f t="shared" si="397"/>
        <v>1.0330895299523886</v>
      </c>
      <c r="DH147" s="4">
        <f t="shared" si="362"/>
        <v>0</v>
      </c>
      <c r="DI147" s="4">
        <f t="shared" si="363"/>
        <v>304.79999999999995</v>
      </c>
      <c r="DJ147" s="4">
        <f t="shared" si="364"/>
        <v>1</v>
      </c>
      <c r="DL147" s="4">
        <f t="shared" si="365"/>
        <v>3.1342636205669919E-5</v>
      </c>
      <c r="DM147" s="4">
        <f t="shared" si="366"/>
        <v>3.8789363481980437</v>
      </c>
      <c r="DN147" s="4">
        <f t="shared" si="337"/>
        <v>0.35513525052023837</v>
      </c>
      <c r="DO147" s="4">
        <f t="shared" ref="DO147:DO152" si="408">DM147*DN147^0.4</f>
        <v>2.5637174885558873</v>
      </c>
      <c r="DP147" s="4">
        <f t="shared" ref="DP147:DP152" si="409">MIN(DM147, DM147/1.4*(1-DN147^1.4)/(1-DN147))</f>
        <v>3.2880315468491821</v>
      </c>
      <c r="DQ147" s="4">
        <f t="shared" ref="DQ147:DQ152" si="410">MAX(DM147/2, (4-DL147*(8*Y147*(DO147-DP147)+6*H147*DP147))/(4+DL147*H147*DM147)*DM147)</f>
        <v>3.6696783450107433</v>
      </c>
      <c r="DR147" s="38">
        <f t="shared" si="275"/>
        <v>584.20921191334696</v>
      </c>
      <c r="DS147" s="4">
        <f t="shared" ref="DS147:DS210" si="411">DR147/EX147</f>
        <v>1.0000694336744724</v>
      </c>
      <c r="DT147" s="4">
        <f t="shared" si="330"/>
        <v>2.2360679774997898</v>
      </c>
      <c r="DU147" s="4">
        <f t="shared" si="276"/>
        <v>374.14730603002448</v>
      </c>
      <c r="DY147" s="4">
        <f t="shared" si="387"/>
        <v>0.85</v>
      </c>
      <c r="DZ147" s="4">
        <f t="shared" ref="DZ147:DZ210" si="412">MIN(1,MAX(0.7,(1-0.1*(BR147-1*K147)/K147)))</f>
        <v>1</v>
      </c>
      <c r="EA147" s="4">
        <f t="shared" ref="EA147:EA164" si="413">MIN(1,MAX(0.7,1-0.3*(PI()*AE147^2/4*AF147*2-0.25*PI()/4*K147^2)/(PI()/4*K147^2)))</f>
        <v>1</v>
      </c>
      <c r="EB147" s="4">
        <f t="shared" ref="EB147:EB210" si="414">IF(DZ147*EA147&lt;0.7,0.7,DZ147*EA147)</f>
        <v>1</v>
      </c>
      <c r="ED147" s="4">
        <f t="shared" si="277"/>
        <v>555.41469234977149</v>
      </c>
      <c r="EE147" s="25">
        <f>8.8*N147*360*J147^0.5/R147/K147^2/H147^0.5*(0.7+MIN(S147,O147)/5/H147)</f>
        <v>369.2257476362654</v>
      </c>
      <c r="EH147" s="4">
        <f t="shared" si="314"/>
        <v>3.8789363481980437</v>
      </c>
      <c r="EI147" s="4">
        <f t="shared" si="367"/>
        <v>3.8789363481980437</v>
      </c>
      <c r="EK147" s="4">
        <f t="shared" si="368"/>
        <v>42.597094971370993</v>
      </c>
      <c r="EL147" s="4">
        <f t="shared" si="369"/>
        <v>2.2360679774997898</v>
      </c>
      <c r="EM147" s="4">
        <f t="shared" si="370"/>
        <v>0.12830598100215107</v>
      </c>
      <c r="EP147" s="4">
        <f t="shared" si="332"/>
        <v>0.12830598100215107</v>
      </c>
      <c r="EQ147" s="4">
        <f t="shared" si="333"/>
        <v>0.35454259597533333</v>
      </c>
      <c r="ER147" s="4">
        <f t="shared" si="371"/>
        <v>2.5620052843463426</v>
      </c>
      <c r="ES147" s="4">
        <f t="shared" si="388"/>
        <v>3.2873657007314261</v>
      </c>
      <c r="ET147" s="4">
        <f t="shared" si="372"/>
        <v>186.00290502862896</v>
      </c>
      <c r="EU147" s="4">
        <f t="shared" si="373"/>
        <v>76.199999999999989</v>
      </c>
      <c r="EV147" s="4">
        <f t="shared" ref="EV147:EV210" si="415">EU147/(1-0.3*(J147/30)^0.5)/200000/K147</f>
        <v>3.1342636205669919E-5</v>
      </c>
      <c r="EW147" s="4">
        <f t="shared" si="389"/>
        <v>3.6697257543228932</v>
      </c>
      <c r="EX147" s="4">
        <f t="shared" si="374"/>
        <v>584.1686509374008</v>
      </c>
      <c r="EY147" s="4">
        <f t="shared" si="375"/>
        <v>186.00290502862896</v>
      </c>
      <c r="EZ147" s="4">
        <f t="shared" si="376"/>
        <v>76.2</v>
      </c>
      <c r="FB147" s="4">
        <f t="shared" si="338"/>
        <v>0</v>
      </c>
      <c r="FG147" s="23">
        <f t="shared" si="339"/>
        <v>1.2</v>
      </c>
      <c r="FH147" s="23">
        <f t="shared" si="339"/>
        <v>1.4</v>
      </c>
      <c r="FI147" s="23">
        <f t="shared" si="382"/>
        <v>1.6</v>
      </c>
      <c r="FJ147" s="23">
        <f t="shared" si="340"/>
        <v>2.2000000000000002</v>
      </c>
      <c r="FK147" s="23">
        <f t="shared" si="340"/>
        <v>1</v>
      </c>
      <c r="FL147" s="23">
        <f t="shared" si="340"/>
        <v>1.2</v>
      </c>
      <c r="FM147" s="23">
        <f t="shared" si="393"/>
        <v>0</v>
      </c>
      <c r="FN147" s="23"/>
      <c r="FX147" s="4">
        <f t="shared" ref="FX147:FX210" si="416">IF(O147&gt;=2.5*25.4,1,1.25)</f>
        <v>1.25</v>
      </c>
      <c r="FY147" s="4">
        <f t="shared" si="303"/>
        <v>1.0277777777777777</v>
      </c>
      <c r="FZ147" s="4">
        <f t="shared" ref="FZ147:FZ210" si="417">MIN(0.3, AE147^2*PI()/4*2*AH147/(K147^2*PI()/4*R147))</f>
        <v>0</v>
      </c>
      <c r="GA147" s="4">
        <f t="shared" ref="GA147:GA210" si="418">(H147/25.4)/(K147/25.4)^1.5/0.0024*(J147*145)^0.25/FX147/FY147/145</f>
        <v>368.59700171652867</v>
      </c>
    </row>
    <row r="148" spans="1:183" ht="12" customHeight="1" x14ac:dyDescent="0.3">
      <c r="A148" s="25">
        <v>130</v>
      </c>
      <c r="B148" s="24" t="s">
        <v>605</v>
      </c>
      <c r="C148" s="24">
        <v>2016</v>
      </c>
      <c r="D148" s="24" t="s">
        <v>199</v>
      </c>
      <c r="E148" s="24"/>
      <c r="F148" s="7" t="s">
        <v>647</v>
      </c>
      <c r="G148" s="38">
        <f t="shared" ref="G148:G152" si="419">119.8/0.145</f>
        <v>826.20689655172418</v>
      </c>
      <c r="H148" s="38">
        <f t="shared" ref="H148:H152" si="420">12*25.4</f>
        <v>304.79999999999995</v>
      </c>
      <c r="I148" s="7">
        <f t="shared" ref="I148:I152" si="421">H148</f>
        <v>304.79999999999995</v>
      </c>
      <c r="J148" s="38">
        <f t="shared" ref="J148:J149" si="422">6330/145</f>
        <v>43.655172413793103</v>
      </c>
      <c r="K148" s="38">
        <f t="shared" ref="K148:K152" si="423">0.75*25.4</f>
        <v>19.049999999999997</v>
      </c>
      <c r="L148" s="7">
        <f t="shared" ref="L148:L164" si="424">H148/K148</f>
        <v>16</v>
      </c>
      <c r="M148" s="7">
        <f t="shared" ref="M148:M164" si="425">I148/K148</f>
        <v>16</v>
      </c>
      <c r="N148" s="38">
        <f>18.1*25.4</f>
        <v>459.74</v>
      </c>
      <c r="O148" s="38">
        <f t="shared" ref="O148:O152" si="426">2*25.4</f>
        <v>50.8</v>
      </c>
      <c r="P148" s="21">
        <f>(5.8-1-2*0.75)*25.4</f>
        <v>83.82</v>
      </c>
      <c r="Q148" s="21">
        <f>(1)*25.4</f>
        <v>25.4</v>
      </c>
      <c r="R148" s="38">
        <v>3</v>
      </c>
      <c r="S148" s="38">
        <f t="shared" ref="S148:S152" si="427">2*25.4</f>
        <v>50.8</v>
      </c>
      <c r="T148" s="7">
        <f t="shared" ref="T148:T152" si="428">MIN(Q148/K148/2+0.5, (S148+K148/2)/K148, O148/K148+0.5)</f>
        <v>1.1666666666666667</v>
      </c>
      <c r="U148" s="7">
        <f t="shared" ref="U148:U152" si="429">MIN(S148/K148+0.5, (O148+K148/2)/K148)</f>
        <v>3.166666666666667</v>
      </c>
      <c r="V148" s="38">
        <v>4</v>
      </c>
      <c r="W148" s="7">
        <f t="shared" ref="W148:W152" si="430">MIN(W$16,V148)</f>
        <v>4</v>
      </c>
      <c r="X148" s="4">
        <f t="shared" ref="X148:X211" si="431">W148+1</f>
        <v>5</v>
      </c>
      <c r="Y148" s="7">
        <f t="shared" si="352"/>
        <v>42.597094971370993</v>
      </c>
      <c r="Z148" s="7"/>
      <c r="AA148" s="7"/>
      <c r="AB148" s="38">
        <f t="shared" si="399"/>
        <v>621.37931034482756</v>
      </c>
      <c r="AC148" s="4">
        <v>90.1</v>
      </c>
      <c r="AD148" s="7">
        <f t="shared" si="334"/>
        <v>0.99040992596962307</v>
      </c>
      <c r="AE148" s="7"/>
      <c r="AF148" s="7"/>
      <c r="AG148" s="7">
        <v>1</v>
      </c>
      <c r="AH148" s="7"/>
      <c r="AI148" s="7"/>
      <c r="AJ148" s="7">
        <f t="shared" si="398"/>
        <v>0</v>
      </c>
      <c r="AK148" s="4">
        <f t="shared" si="279"/>
        <v>304.79999999999995</v>
      </c>
      <c r="AL148" s="47">
        <f t="shared" ref="AL148:AL152" si="432">MIN(N148)*(MIN(360-S148-0.5*K148,1.5*AK148)+S148+K148/2)/(3*H148)^2</f>
        <v>0.19794400699912515</v>
      </c>
      <c r="AM148" s="25">
        <f t="shared" ref="AM148:AM152" si="433">MIN(10*J148^0.5*AK148^1.5,100*3.9*J148^0.5*AK148^(5/3))/(PI()/4*K148^2)/R148</f>
        <v>411.18683539092382</v>
      </c>
      <c r="AN148" s="4">
        <f t="shared" ref="AN148:AN152" si="434">MIN(0.7+0.3*(MIN(O148,S148)+0.5*K148)/1.5/H148,1)</f>
        <v>0.73958333333333326</v>
      </c>
      <c r="AO148" s="4">
        <v>1.25</v>
      </c>
      <c r="AP148" s="25">
        <f t="shared" si="317"/>
        <v>5</v>
      </c>
      <c r="AQ148" s="38">
        <f t="shared" ref="AQ148:AQ152" si="435">AL148*AN148*AO148*AP148*AM148</f>
        <v>376.22590217463596</v>
      </c>
      <c r="AR148" s="38">
        <f t="shared" ref="AR148:AR152" si="436">AQ148</f>
        <v>376.22590217463596</v>
      </c>
      <c r="AT148" s="38">
        <f t="shared" ref="AT148:AT152" si="437">AP148* (J148^0.5/AK148^0.5)/(PI()/4*K148^2)/R148/0.72 *(0.7+(MIN(O148,S148)+0.5*K148)/5/H148) *(N148*MIN(S148+0.5*K148+1.5*H148,360))</f>
        <v>376.22590217463573</v>
      </c>
      <c r="AU148" s="38">
        <f t="shared" si="400"/>
        <v>1.0000000000000007</v>
      </c>
      <c r="AV148" s="38">
        <f t="shared" si="328"/>
        <v>0.91280448174927686</v>
      </c>
      <c r="AW148" s="4">
        <f t="shared" si="323"/>
        <v>1</v>
      </c>
      <c r="AX148" s="4">
        <f t="shared" si="379"/>
        <v>556.39630294068945</v>
      </c>
      <c r="AY148" s="4">
        <f t="shared" si="380"/>
        <v>1.6857142857142859</v>
      </c>
      <c r="AZ148" s="38">
        <f t="shared" ref="AZ148:AZ211" si="438">2*J148*T148*V148^0.5*AY148*0.7/0.7</f>
        <v>343.42068965517251</v>
      </c>
      <c r="BA148" s="4">
        <f t="shared" si="381"/>
        <v>0.44000000000000006</v>
      </c>
      <c r="BB148" s="4">
        <f t="shared" si="401"/>
        <v>127.91551004606451</v>
      </c>
      <c r="BC148" s="4">
        <f t="shared" si="402"/>
        <v>471.33619970123704</v>
      </c>
      <c r="BE148" s="36">
        <f t="shared" si="312"/>
        <v>1.1366666666666669</v>
      </c>
      <c r="BF148" s="36">
        <f t="shared" si="313"/>
        <v>357.48508830297885</v>
      </c>
      <c r="BK148" s="4">
        <f t="shared" si="355"/>
        <v>19.100000000000001</v>
      </c>
      <c r="BL148" s="4">
        <f t="shared" si="356"/>
        <v>19.100000000000001</v>
      </c>
      <c r="BM148" s="4">
        <f t="shared" si="357"/>
        <v>50.8</v>
      </c>
      <c r="BN148" s="4">
        <f t="shared" si="358"/>
        <v>28.625</v>
      </c>
      <c r="BO148" s="4">
        <f t="shared" si="359"/>
        <v>1.1659685863874345</v>
      </c>
      <c r="BP148" s="25">
        <f t="shared" ref="BP148:BP152" si="439">MIN(4, (BN148*BO148+(6*J148^0.5*(0.03*K148+0.22)*(AE148^2/4*PI())*2/AG148/R148))/K148)</f>
        <v>1.7520131645847936</v>
      </c>
      <c r="BR148" s="4">
        <f t="shared" si="331"/>
        <v>12.7</v>
      </c>
      <c r="BV148" s="9"/>
      <c r="BX148" s="9"/>
      <c r="BY148" s="9"/>
      <c r="BZ148" s="9">
        <f t="shared" si="383"/>
        <v>12.7</v>
      </c>
      <c r="CA148" s="9">
        <f t="shared" si="384"/>
        <v>50.8</v>
      </c>
      <c r="CB148" s="9">
        <f t="shared" si="403"/>
        <v>1.0052252041243952</v>
      </c>
      <c r="CC148" s="9">
        <v>20</v>
      </c>
      <c r="CD148" s="9">
        <f t="shared" si="306"/>
        <v>0</v>
      </c>
      <c r="CE148" s="9">
        <f t="shared" si="404"/>
        <v>0</v>
      </c>
      <c r="CF148" s="9">
        <f t="shared" si="385"/>
        <v>1</v>
      </c>
      <c r="CG148" s="9">
        <f t="shared" si="386"/>
        <v>0.68</v>
      </c>
      <c r="CH148" s="9">
        <f t="shared" si="405"/>
        <v>1.5725150511861237</v>
      </c>
      <c r="CI148" s="9">
        <f t="shared" si="406"/>
        <v>1.5807317633172548</v>
      </c>
      <c r="CJ148" s="9">
        <v>1</v>
      </c>
      <c r="CK148" s="9">
        <f t="shared" si="407"/>
        <v>196.01073865133961</v>
      </c>
      <c r="CM148" s="4">
        <f t="shared" si="341"/>
        <v>1.1167926656965317</v>
      </c>
      <c r="CN148" s="4">
        <f t="shared" si="342"/>
        <v>1.3183356396956087</v>
      </c>
      <c r="CO148" s="4">
        <f t="shared" si="390"/>
        <v>1.7381964470031006</v>
      </c>
      <c r="CP148" s="4">
        <f t="shared" si="335"/>
        <v>3.1701289154882781</v>
      </c>
      <c r="CQ148" s="4">
        <f t="shared" si="391"/>
        <v>0.99040992596962307</v>
      </c>
      <c r="CR148" s="4">
        <f t="shared" si="392"/>
        <v>1.0452859834815846</v>
      </c>
      <c r="CS148" s="4">
        <f t="shared" si="329"/>
        <v>1.5946717872855112</v>
      </c>
      <c r="DA148" s="4">
        <f t="shared" si="394"/>
        <v>1.1167926656965317</v>
      </c>
      <c r="DB148" s="4">
        <f t="shared" si="394"/>
        <v>1.3183356396956087</v>
      </c>
      <c r="DC148" s="4">
        <f t="shared" si="395"/>
        <v>3.1701289154882781</v>
      </c>
      <c r="DD148" s="4">
        <f t="shared" si="396"/>
        <v>1.5946717872855112</v>
      </c>
      <c r="DE148" s="4">
        <f t="shared" si="397"/>
        <v>0.99040992596962307</v>
      </c>
      <c r="DF148" s="4">
        <f t="shared" si="397"/>
        <v>1.0452859834815846</v>
      </c>
      <c r="DH148" s="4">
        <f t="shared" si="362"/>
        <v>0</v>
      </c>
      <c r="DI148" s="4">
        <f t="shared" si="363"/>
        <v>304.79999999999995</v>
      </c>
      <c r="DJ148" s="4">
        <f t="shared" si="364"/>
        <v>1</v>
      </c>
      <c r="DL148" s="4">
        <f t="shared" si="365"/>
        <v>3.1342636205669919E-5</v>
      </c>
      <c r="DM148" s="4">
        <f t="shared" si="366"/>
        <v>4.6496179847646513</v>
      </c>
      <c r="DN148" s="4">
        <f t="shared" si="337"/>
        <v>0.35710822413423976</v>
      </c>
      <c r="DO148" s="4">
        <f t="shared" si="408"/>
        <v>3.0799042372107639</v>
      </c>
      <c r="DP148" s="4">
        <f t="shared" si="409"/>
        <v>3.9439640269273464</v>
      </c>
      <c r="DQ148" s="4">
        <f t="shared" si="410"/>
        <v>4.349268467956561</v>
      </c>
      <c r="DR148" s="38">
        <f t="shared" ref="DR148:DR164" si="440">MIN(1/K148*(4*Y148*(DO148-DP148)+(3*DP148+DQ148)*H148)+DU148 -FB148,MAX(G148,AB148))</f>
        <v>627.39608524873154</v>
      </c>
      <c r="DS148" s="4">
        <f t="shared" si="411"/>
        <v>1.000077464150948</v>
      </c>
      <c r="DT148" s="4">
        <f t="shared" si="330"/>
        <v>2.2360679774997898</v>
      </c>
      <c r="DU148" s="4">
        <f t="shared" ref="DU148:DU211" si="441">MIN(DT$10*AT148)</f>
        <v>376.22590217463573</v>
      </c>
      <c r="DY148" s="4">
        <f t="shared" si="387"/>
        <v>0.85</v>
      </c>
      <c r="DZ148" s="4">
        <f t="shared" si="412"/>
        <v>1</v>
      </c>
      <c r="EA148" s="4">
        <f t="shared" si="413"/>
        <v>1</v>
      </c>
      <c r="EB148" s="4">
        <f t="shared" si="414"/>
        <v>1</v>
      </c>
      <c r="ED148" s="4">
        <f t="shared" ref="ED148:ED152" si="442">MIN(DM148/K148*3*H148+EE148-FB148,MAX(G148,AB148))</f>
        <v>594.45866505850336</v>
      </c>
      <c r="EE148" s="25">
        <f t="shared" ref="EE148:EE152" si="443">8.8*N148*360*J148^0.5/R148/K148^2/H148^0.5*(0.7+MIN(S148,O148)/5/H148)</f>
        <v>371.27700178980012</v>
      </c>
      <c r="EH148" s="4">
        <f t="shared" si="314"/>
        <v>4.6496179847646513</v>
      </c>
      <c r="EI148" s="4">
        <f t="shared" si="367"/>
        <v>4.6496179847646513</v>
      </c>
      <c r="EK148" s="4">
        <f t="shared" si="368"/>
        <v>42.597094971370993</v>
      </c>
      <c r="EL148" s="4">
        <f t="shared" si="369"/>
        <v>2.2360679774997898</v>
      </c>
      <c r="EM148" s="4">
        <f t="shared" si="370"/>
        <v>0.12901879200771857</v>
      </c>
      <c r="EP148" s="4">
        <f t="shared" si="332"/>
        <v>0.12901879200771857</v>
      </c>
      <c r="EQ148" s="4">
        <f t="shared" si="333"/>
        <v>0.35651227706408517</v>
      </c>
      <c r="ER148" s="4">
        <f t="shared" si="371"/>
        <v>3.0778472925499387</v>
      </c>
      <c r="ES148" s="4">
        <f t="shared" si="388"/>
        <v>3.9431628512491677</v>
      </c>
      <c r="ET148" s="4">
        <f t="shared" si="372"/>
        <v>186.00290502862896</v>
      </c>
      <c r="EU148" s="4">
        <f t="shared" si="373"/>
        <v>76.199999999999989</v>
      </c>
      <c r="EV148" s="4">
        <f t="shared" si="415"/>
        <v>3.1342636205669919E-5</v>
      </c>
      <c r="EW148" s="4">
        <f t="shared" si="389"/>
        <v>4.3493366824102093</v>
      </c>
      <c r="EX148" s="4">
        <f t="shared" si="374"/>
        <v>627.34748830820035</v>
      </c>
      <c r="EY148" s="4">
        <f t="shared" si="375"/>
        <v>186.00290502862896</v>
      </c>
      <c r="EZ148" s="4">
        <f t="shared" si="376"/>
        <v>76.2</v>
      </c>
      <c r="FB148" s="4">
        <f t="shared" si="338"/>
        <v>0</v>
      </c>
      <c r="FG148" s="23">
        <f t="shared" si="339"/>
        <v>1.2</v>
      </c>
      <c r="FH148" s="23">
        <f t="shared" si="339"/>
        <v>1.4</v>
      </c>
      <c r="FI148" s="23">
        <f t="shared" si="382"/>
        <v>1.6</v>
      </c>
      <c r="FJ148" s="23">
        <f t="shared" si="340"/>
        <v>2.2000000000000002</v>
      </c>
      <c r="FK148" s="23">
        <f t="shared" si="340"/>
        <v>1</v>
      </c>
      <c r="FL148" s="23">
        <f t="shared" si="340"/>
        <v>1.2</v>
      </c>
      <c r="FM148" s="23">
        <f t="shared" si="393"/>
        <v>0</v>
      </c>
      <c r="FN148" s="23"/>
      <c r="FX148" s="4">
        <f t="shared" si="416"/>
        <v>1.25</v>
      </c>
      <c r="FY148" s="4">
        <f t="shared" si="303"/>
        <v>0.9722222222222221</v>
      </c>
      <c r="FZ148" s="4">
        <f t="shared" si="417"/>
        <v>0</v>
      </c>
      <c r="GA148" s="4">
        <f t="shared" si="418"/>
        <v>389.65968752890177</v>
      </c>
    </row>
    <row r="149" spans="1:183" ht="12" customHeight="1" x14ac:dyDescent="0.3">
      <c r="A149" s="25">
        <v>131</v>
      </c>
      <c r="B149" s="24" t="s">
        <v>605</v>
      </c>
      <c r="C149" s="24">
        <v>2016</v>
      </c>
      <c r="D149" s="24" t="s">
        <v>199</v>
      </c>
      <c r="E149" s="24"/>
      <c r="F149" s="7" t="s">
        <v>648</v>
      </c>
      <c r="G149" s="38">
        <f t="shared" si="419"/>
        <v>826.20689655172418</v>
      </c>
      <c r="H149" s="38">
        <f t="shared" si="420"/>
        <v>304.79999999999995</v>
      </c>
      <c r="I149" s="7">
        <f t="shared" si="421"/>
        <v>304.79999999999995</v>
      </c>
      <c r="J149" s="38">
        <f t="shared" si="422"/>
        <v>43.655172413793103</v>
      </c>
      <c r="K149" s="38">
        <f t="shared" si="423"/>
        <v>19.049999999999997</v>
      </c>
      <c r="L149" s="7">
        <f t="shared" si="424"/>
        <v>16</v>
      </c>
      <c r="M149" s="7">
        <f t="shared" si="425"/>
        <v>16</v>
      </c>
      <c r="N149" s="38">
        <f t="shared" ref="N149:N152" si="444">18*25.4</f>
        <v>457.2</v>
      </c>
      <c r="O149" s="38">
        <f t="shared" si="426"/>
        <v>50.8</v>
      </c>
      <c r="P149" s="21">
        <f>(5.3-1.9-2*0.75)*25.4</f>
        <v>48.26</v>
      </c>
      <c r="Q149" s="21">
        <f>(1.9)*25.4</f>
        <v>48.26</v>
      </c>
      <c r="R149" s="38">
        <v>3</v>
      </c>
      <c r="S149" s="38">
        <f t="shared" si="427"/>
        <v>50.8</v>
      </c>
      <c r="T149" s="7">
        <f t="shared" si="428"/>
        <v>1.7666666666666668</v>
      </c>
      <c r="U149" s="7">
        <f t="shared" si="429"/>
        <v>3.166666666666667</v>
      </c>
      <c r="V149" s="38">
        <v>4</v>
      </c>
      <c r="W149" s="7">
        <f t="shared" si="430"/>
        <v>4</v>
      </c>
      <c r="X149" s="4">
        <f t="shared" si="431"/>
        <v>5</v>
      </c>
      <c r="Y149" s="7">
        <f t="shared" si="352"/>
        <v>42.597094971370993</v>
      </c>
      <c r="Z149" s="7"/>
      <c r="AA149" s="7"/>
      <c r="AB149" s="38">
        <f t="shared" si="399"/>
        <v>566.89655172413802</v>
      </c>
      <c r="AC149" s="4">
        <v>82.2</v>
      </c>
      <c r="AD149" s="7">
        <f t="shared" si="334"/>
        <v>0.81721497365135776</v>
      </c>
      <c r="AE149" s="7"/>
      <c r="AF149" s="7"/>
      <c r="AG149" s="7">
        <v>1</v>
      </c>
      <c r="AH149" s="7"/>
      <c r="AI149" s="7"/>
      <c r="AJ149" s="7">
        <f t="shared" si="398"/>
        <v>0</v>
      </c>
      <c r="AK149" s="4">
        <f t="shared" si="279"/>
        <v>304.79999999999995</v>
      </c>
      <c r="AL149" s="47">
        <f t="shared" si="432"/>
        <v>0.19685039370078747</v>
      </c>
      <c r="AM149" s="25">
        <f t="shared" si="433"/>
        <v>411.18683539092382</v>
      </c>
      <c r="AN149" s="4">
        <f t="shared" si="434"/>
        <v>0.73958333333333326</v>
      </c>
      <c r="AO149" s="4">
        <v>1.25</v>
      </c>
      <c r="AP149" s="25">
        <f t="shared" si="317"/>
        <v>5</v>
      </c>
      <c r="AQ149" s="38">
        <f t="shared" si="435"/>
        <v>374.14730603002477</v>
      </c>
      <c r="AR149" s="38">
        <f t="shared" si="436"/>
        <v>374.14730603002477</v>
      </c>
      <c r="AT149" s="38">
        <f t="shared" si="437"/>
        <v>374.14730603002448</v>
      </c>
      <c r="AU149" s="38">
        <f t="shared" si="400"/>
        <v>1.0000000000000007</v>
      </c>
      <c r="AV149" s="38">
        <f t="shared" si="328"/>
        <v>1.0858935274504717</v>
      </c>
      <c r="AW149" s="4">
        <f t="shared" si="323"/>
        <v>0</v>
      </c>
      <c r="AX149" s="4">
        <f t="shared" si="379"/>
        <v>556.39630294068945</v>
      </c>
      <c r="AY149" s="4">
        <f t="shared" si="380"/>
        <v>1.3169811320754716</v>
      </c>
      <c r="AZ149" s="38">
        <f t="shared" si="438"/>
        <v>406.28413793103448</v>
      </c>
      <c r="BA149" s="4">
        <f t="shared" si="381"/>
        <v>0.44000000000000006</v>
      </c>
      <c r="BB149" s="4">
        <f t="shared" si="401"/>
        <v>127.91551004606451</v>
      </c>
      <c r="BC149" s="4">
        <f t="shared" si="402"/>
        <v>534.19964797709895</v>
      </c>
      <c r="BE149" s="36">
        <f t="shared" si="312"/>
        <v>1.1057894736842107</v>
      </c>
      <c r="BF149" s="36">
        <f t="shared" si="313"/>
        <v>347.77411816232063</v>
      </c>
      <c r="BK149" s="4">
        <f t="shared" si="355"/>
        <v>30.53</v>
      </c>
      <c r="BL149" s="4">
        <f t="shared" si="356"/>
        <v>30.53</v>
      </c>
      <c r="BM149" s="4">
        <f t="shared" si="357"/>
        <v>50.8</v>
      </c>
      <c r="BN149" s="4">
        <f t="shared" si="358"/>
        <v>40.055</v>
      </c>
      <c r="BO149" s="4">
        <f t="shared" si="359"/>
        <v>1.0663937111038324</v>
      </c>
      <c r="BP149" s="25">
        <f t="shared" si="439"/>
        <v>2.2422257269429928</v>
      </c>
      <c r="BR149" s="4">
        <f t="shared" si="331"/>
        <v>24.13</v>
      </c>
      <c r="BV149" s="9"/>
      <c r="BX149" s="9"/>
      <c r="BY149" s="9"/>
      <c r="BZ149" s="9">
        <f t="shared" si="383"/>
        <v>24.13</v>
      </c>
      <c r="CA149" s="9">
        <f t="shared" si="384"/>
        <v>50.8</v>
      </c>
      <c r="CB149" s="9">
        <f t="shared" si="403"/>
        <v>1.2584243974819915</v>
      </c>
      <c r="CC149" s="9">
        <v>20</v>
      </c>
      <c r="CD149" s="9">
        <f t="shared" si="306"/>
        <v>0</v>
      </c>
      <c r="CE149" s="9">
        <f t="shared" si="404"/>
        <v>0</v>
      </c>
      <c r="CF149" s="9">
        <f t="shared" si="385"/>
        <v>1</v>
      </c>
      <c r="CG149" s="9">
        <f t="shared" si="386"/>
        <v>0.68</v>
      </c>
      <c r="CH149" s="9">
        <f t="shared" si="405"/>
        <v>1.5725150511861237</v>
      </c>
      <c r="CI149" s="9">
        <f t="shared" si="406"/>
        <v>1.9788913058202608</v>
      </c>
      <c r="CJ149" s="9">
        <v>1</v>
      </c>
      <c r="CK149" s="9">
        <f t="shared" si="407"/>
        <v>245.38252192171234</v>
      </c>
      <c r="CM149" s="4">
        <f t="shared" si="341"/>
        <v>1.0188718881271357</v>
      </c>
      <c r="CN149" s="4">
        <f t="shared" si="342"/>
        <v>1.0612072731063289</v>
      </c>
      <c r="CO149" s="4">
        <f t="shared" si="390"/>
        <v>1.6300711355971114</v>
      </c>
      <c r="CP149" s="4">
        <f t="shared" si="335"/>
        <v>2.3102564407786246</v>
      </c>
      <c r="CQ149" s="4">
        <f t="shared" si="391"/>
        <v>0.81721497365135776</v>
      </c>
      <c r="CR149" s="4">
        <f t="shared" si="392"/>
        <v>0.86568447721291919</v>
      </c>
      <c r="CS149" s="4">
        <f t="shared" si="329"/>
        <v>1.3052086433254757</v>
      </c>
      <c r="DA149" s="4">
        <f t="shared" si="394"/>
        <v>1.0188718881271357</v>
      </c>
      <c r="DB149" s="4">
        <f t="shared" si="394"/>
        <v>1.0612072731063289</v>
      </c>
      <c r="DC149" s="4">
        <f t="shared" si="395"/>
        <v>2.3102564407786246</v>
      </c>
      <c r="DD149" s="4">
        <f t="shared" si="396"/>
        <v>1.3052086433254757</v>
      </c>
      <c r="DE149" s="4">
        <f t="shared" si="397"/>
        <v>0.81721497365135776</v>
      </c>
      <c r="DF149" s="4">
        <f t="shared" si="397"/>
        <v>0.86568447721291919</v>
      </c>
      <c r="DH149" s="4">
        <f t="shared" si="362"/>
        <v>0</v>
      </c>
      <c r="DI149" s="4">
        <f t="shared" si="363"/>
        <v>304.79999999999995</v>
      </c>
      <c r="DJ149" s="4">
        <f t="shared" si="364"/>
        <v>1</v>
      </c>
      <c r="DL149" s="4">
        <f t="shared" si="365"/>
        <v>3.1342636205669919E-5</v>
      </c>
      <c r="DM149" s="4">
        <f t="shared" si="366"/>
        <v>5.9505791832145585</v>
      </c>
      <c r="DN149" s="4">
        <f t="shared" si="337"/>
        <v>0.35513525052023837</v>
      </c>
      <c r="DO149" s="4">
        <f t="shared" si="408"/>
        <v>3.9329348433703348</v>
      </c>
      <c r="DP149" s="4">
        <f t="shared" si="409"/>
        <v>5.0440869145797498</v>
      </c>
      <c r="DQ149" s="4">
        <f t="shared" si="410"/>
        <v>5.4605167584808374</v>
      </c>
      <c r="DR149" s="38">
        <f t="shared" si="440"/>
        <v>693.69329980729015</v>
      </c>
      <c r="DS149" s="4">
        <f t="shared" si="411"/>
        <v>1.0000888235071765</v>
      </c>
      <c r="DT149" s="4">
        <f t="shared" si="330"/>
        <v>2.2360679774997898</v>
      </c>
      <c r="DU149" s="4">
        <f t="shared" si="441"/>
        <v>374.14730603002448</v>
      </c>
      <c r="DY149" s="4">
        <f t="shared" si="387"/>
        <v>0.85</v>
      </c>
      <c r="DZ149" s="4">
        <f t="shared" si="412"/>
        <v>0.97333333333333327</v>
      </c>
      <c r="EA149" s="4">
        <f t="shared" si="413"/>
        <v>1</v>
      </c>
      <c r="EB149" s="4">
        <f t="shared" si="414"/>
        <v>0.97333333333333327</v>
      </c>
      <c r="ED149" s="4">
        <f t="shared" si="442"/>
        <v>654.85354843056416</v>
      </c>
      <c r="EE149" s="25">
        <f t="shared" si="443"/>
        <v>369.2257476362654</v>
      </c>
      <c r="EH149" s="4">
        <f t="shared" si="314"/>
        <v>5.9505791832145585</v>
      </c>
      <c r="EI149" s="4">
        <f t="shared" si="367"/>
        <v>5.9505791832145585</v>
      </c>
      <c r="EK149" s="4">
        <f t="shared" si="368"/>
        <v>42.597094971370993</v>
      </c>
      <c r="EL149" s="4">
        <f t="shared" si="369"/>
        <v>2.2360679774997898</v>
      </c>
      <c r="EM149" s="4">
        <f t="shared" si="370"/>
        <v>0.12830598100215107</v>
      </c>
      <c r="EP149" s="4">
        <f t="shared" si="332"/>
        <v>0.12830598100215107</v>
      </c>
      <c r="EQ149" s="4">
        <f t="shared" si="333"/>
        <v>0.35454259597533333</v>
      </c>
      <c r="ER149" s="4">
        <f t="shared" si="371"/>
        <v>3.9303081937395761</v>
      </c>
      <c r="ES149" s="4">
        <f t="shared" si="388"/>
        <v>5.0430654567129842</v>
      </c>
      <c r="ET149" s="4">
        <f t="shared" si="372"/>
        <v>186.00290502862896</v>
      </c>
      <c r="EU149" s="4">
        <f t="shared" si="373"/>
        <v>76.199999999999989</v>
      </c>
      <c r="EV149" s="4">
        <f t="shared" si="415"/>
        <v>3.1342636205669919E-5</v>
      </c>
      <c r="EW149" s="4">
        <f t="shared" si="389"/>
        <v>5.4606277865997805</v>
      </c>
      <c r="EX149" s="4">
        <f t="shared" si="374"/>
        <v>693.6316890079836</v>
      </c>
      <c r="EY149" s="4">
        <f t="shared" si="375"/>
        <v>186.00290502862896</v>
      </c>
      <c r="EZ149" s="4">
        <f t="shared" si="376"/>
        <v>76.2</v>
      </c>
      <c r="FB149" s="4">
        <f t="shared" si="338"/>
        <v>0</v>
      </c>
      <c r="FG149" s="23">
        <f t="shared" si="339"/>
        <v>1.2</v>
      </c>
      <c r="FH149" s="23">
        <f t="shared" si="339"/>
        <v>1.2</v>
      </c>
      <c r="FI149" s="23">
        <f t="shared" si="382"/>
        <v>1.4</v>
      </c>
      <c r="FJ149" s="23">
        <f t="shared" si="340"/>
        <v>2.2000000000000002</v>
      </c>
      <c r="FK149" s="23">
        <f t="shared" si="340"/>
        <v>1</v>
      </c>
      <c r="FL149" s="23">
        <f t="shared" si="340"/>
        <v>1</v>
      </c>
      <c r="FM149" s="23">
        <f t="shared" si="393"/>
        <v>0</v>
      </c>
      <c r="FN149" s="23"/>
      <c r="FX149" s="4">
        <f t="shared" si="416"/>
        <v>1.25</v>
      </c>
      <c r="FY149" s="4">
        <f t="shared" si="303"/>
        <v>0.87222222222222201</v>
      </c>
      <c r="FZ149" s="4">
        <f t="shared" si="417"/>
        <v>0</v>
      </c>
      <c r="GA149" s="4">
        <f t="shared" si="418"/>
        <v>434.33404660864852</v>
      </c>
    </row>
    <row r="150" spans="1:183" ht="12" customHeight="1" x14ac:dyDescent="0.3">
      <c r="A150" s="25">
        <v>132</v>
      </c>
      <c r="B150" s="24" t="s">
        <v>605</v>
      </c>
      <c r="C150" s="24">
        <v>2016</v>
      </c>
      <c r="D150" s="24" t="s">
        <v>199</v>
      </c>
      <c r="E150" s="24"/>
      <c r="F150" s="7" t="s">
        <v>649</v>
      </c>
      <c r="G150" s="38">
        <f t="shared" si="419"/>
        <v>826.20689655172418</v>
      </c>
      <c r="H150" s="38">
        <f t="shared" si="420"/>
        <v>304.79999999999995</v>
      </c>
      <c r="I150" s="7">
        <f t="shared" si="421"/>
        <v>304.79999999999995</v>
      </c>
      <c r="J150" s="38">
        <f>10890/145</f>
        <v>75.103448275862064</v>
      </c>
      <c r="K150" s="38">
        <f t="shared" si="423"/>
        <v>19.049999999999997</v>
      </c>
      <c r="L150" s="7">
        <f t="shared" si="424"/>
        <v>16</v>
      </c>
      <c r="M150" s="7">
        <f t="shared" si="425"/>
        <v>16</v>
      </c>
      <c r="N150" s="38">
        <f t="shared" si="444"/>
        <v>457.2</v>
      </c>
      <c r="O150" s="38">
        <f t="shared" si="426"/>
        <v>50.8</v>
      </c>
      <c r="P150" s="21">
        <f>(6-0.5-2*0.75)*25.4</f>
        <v>101.6</v>
      </c>
      <c r="Q150" s="21">
        <f>(0.5)*25.4</f>
        <v>12.7</v>
      </c>
      <c r="R150" s="38">
        <v>3</v>
      </c>
      <c r="S150" s="38">
        <f t="shared" si="427"/>
        <v>50.8</v>
      </c>
      <c r="T150" s="7">
        <f t="shared" si="428"/>
        <v>0.83333333333333337</v>
      </c>
      <c r="U150" s="7">
        <f t="shared" si="429"/>
        <v>3.166666666666667</v>
      </c>
      <c r="V150" s="38">
        <v>4</v>
      </c>
      <c r="W150" s="7">
        <f t="shared" si="430"/>
        <v>4</v>
      </c>
      <c r="X150" s="4">
        <f t="shared" si="431"/>
        <v>5</v>
      </c>
      <c r="Y150" s="7">
        <f t="shared" si="352"/>
        <v>42.597094971370993</v>
      </c>
      <c r="Z150" s="7"/>
      <c r="AA150" s="7"/>
      <c r="AB150" s="38">
        <f t="shared" si="399"/>
        <v>614.48275862068965</v>
      </c>
      <c r="AC150" s="4">
        <v>89.1</v>
      </c>
      <c r="AD150" s="7">
        <f t="shared" si="334"/>
        <v>0.81303221963079941</v>
      </c>
      <c r="AE150" s="7"/>
      <c r="AF150" s="7"/>
      <c r="AG150" s="7">
        <v>1</v>
      </c>
      <c r="AH150" s="7"/>
      <c r="AI150" s="7"/>
      <c r="AJ150" s="7">
        <f t="shared" si="398"/>
        <v>0</v>
      </c>
      <c r="AK150" s="4">
        <f t="shared" ref="AK150:AK164" si="445">H150</f>
        <v>304.79999999999995</v>
      </c>
      <c r="AL150" s="47">
        <f t="shared" si="432"/>
        <v>0.19685039370078747</v>
      </c>
      <c r="AM150" s="25">
        <f t="shared" si="433"/>
        <v>539.3259121429644</v>
      </c>
      <c r="AN150" s="4">
        <f t="shared" si="434"/>
        <v>0.73958333333333326</v>
      </c>
      <c r="AO150" s="4">
        <v>1.25</v>
      </c>
      <c r="AP150" s="25">
        <f t="shared" si="317"/>
        <v>5</v>
      </c>
      <c r="AQ150" s="38">
        <f t="shared" si="435"/>
        <v>490.74367108235009</v>
      </c>
      <c r="AR150" s="38">
        <f t="shared" si="436"/>
        <v>490.74367108235009</v>
      </c>
      <c r="AT150" s="38">
        <f t="shared" si="437"/>
        <v>490.74367108234986</v>
      </c>
      <c r="AU150" s="38">
        <f t="shared" si="400"/>
        <v>1.0000000000000004</v>
      </c>
      <c r="AV150" s="38">
        <f t="shared" si="328"/>
        <v>1.020267167313901</v>
      </c>
      <c r="AW150" s="4">
        <f t="shared" si="323"/>
        <v>0</v>
      </c>
      <c r="AX150" s="4">
        <f t="shared" si="379"/>
        <v>729.78733210456323</v>
      </c>
      <c r="AY150" s="4">
        <f t="shared" si="380"/>
        <v>2</v>
      </c>
      <c r="AZ150" s="38">
        <f t="shared" si="438"/>
        <v>500.68965517241384</v>
      </c>
      <c r="BA150" s="4">
        <f t="shared" si="381"/>
        <v>0.44000000000000006</v>
      </c>
      <c r="BB150" s="4">
        <f t="shared" si="401"/>
        <v>167.7781076508391</v>
      </c>
      <c r="BC150" s="4">
        <f t="shared" si="402"/>
        <v>668.467762823253</v>
      </c>
      <c r="BE150" s="36">
        <f t="shared" si="312"/>
        <v>1.2083333333333333</v>
      </c>
      <c r="BF150" s="36">
        <f t="shared" si="313"/>
        <v>498.45234977879278</v>
      </c>
      <c r="BK150" s="4">
        <f t="shared" si="355"/>
        <v>12.75</v>
      </c>
      <c r="BL150" s="4">
        <f t="shared" si="356"/>
        <v>12.75</v>
      </c>
      <c r="BM150" s="4">
        <f t="shared" si="357"/>
        <v>50.8</v>
      </c>
      <c r="BN150" s="4">
        <f t="shared" si="358"/>
        <v>22.274999999999999</v>
      </c>
      <c r="BO150" s="4">
        <f t="shared" si="359"/>
        <v>1.25</v>
      </c>
      <c r="BP150" s="25">
        <f t="shared" si="439"/>
        <v>1.4616141732283467</v>
      </c>
      <c r="BR150" s="4">
        <f t="shared" si="331"/>
        <v>6.35</v>
      </c>
      <c r="BV150" s="9"/>
      <c r="BX150" s="9"/>
      <c r="BY150" s="9"/>
      <c r="BZ150" s="9">
        <f t="shared" si="383"/>
        <v>6.35</v>
      </c>
      <c r="CA150" s="9">
        <f t="shared" si="384"/>
        <v>50.8</v>
      </c>
      <c r="CB150" s="9">
        <f t="shared" si="403"/>
        <v>0.78868370996101578</v>
      </c>
      <c r="CC150" s="9">
        <v>20</v>
      </c>
      <c r="CD150" s="9">
        <f t="shared" si="306"/>
        <v>0</v>
      </c>
      <c r="CE150" s="9">
        <f t="shared" si="404"/>
        <v>0</v>
      </c>
      <c r="CF150" s="9">
        <f t="shared" si="385"/>
        <v>1</v>
      </c>
      <c r="CG150" s="9">
        <f t="shared" si="386"/>
        <v>0.68</v>
      </c>
      <c r="CH150" s="9">
        <f t="shared" si="405"/>
        <v>2.062561447360522</v>
      </c>
      <c r="CI150" s="9">
        <f t="shared" si="406"/>
        <v>1.626708614326859</v>
      </c>
      <c r="CJ150" s="9">
        <v>1</v>
      </c>
      <c r="CK150" s="9">
        <f t="shared" si="407"/>
        <v>201.71186817653052</v>
      </c>
      <c r="CM150" s="4">
        <f t="shared" si="341"/>
        <v>0.84200250071297089</v>
      </c>
      <c r="CN150" s="4">
        <f t="shared" si="342"/>
        <v>0.91924067665647879</v>
      </c>
      <c r="CO150" s="4">
        <f t="shared" si="390"/>
        <v>1.2327813458867027</v>
      </c>
      <c r="CP150" s="4">
        <f t="shared" si="335"/>
        <v>3.0463391379773341</v>
      </c>
      <c r="CQ150" s="4">
        <f t="shared" si="391"/>
        <v>0.81303221963079941</v>
      </c>
      <c r="CR150" s="4">
        <f t="shared" si="392"/>
        <v>0.84349061145916415</v>
      </c>
      <c r="CS150" s="4">
        <f t="shared" si="329"/>
        <v>1.4556328942092587</v>
      </c>
      <c r="DA150" s="4">
        <f t="shared" si="394"/>
        <v>0.84200250071297089</v>
      </c>
      <c r="DB150" s="4">
        <f t="shared" si="394"/>
        <v>0.91924067665647879</v>
      </c>
      <c r="DC150" s="4">
        <f t="shared" si="395"/>
        <v>3.0463391379773341</v>
      </c>
      <c r="DD150" s="4">
        <f t="shared" si="396"/>
        <v>1.4556328942092587</v>
      </c>
      <c r="DE150" s="4">
        <f t="shared" si="397"/>
        <v>0.81303221963079941</v>
      </c>
      <c r="DF150" s="4">
        <f t="shared" si="397"/>
        <v>0.84349061145916415</v>
      </c>
      <c r="DH150" s="4">
        <f t="shared" si="362"/>
        <v>0</v>
      </c>
      <c r="DI150" s="4">
        <f t="shared" si="363"/>
        <v>304.79999999999995</v>
      </c>
      <c r="DJ150" s="4">
        <f t="shared" si="364"/>
        <v>1</v>
      </c>
      <c r="DL150" s="4">
        <f t="shared" si="365"/>
        <v>3.807121106173361E-5</v>
      </c>
      <c r="DM150" s="4">
        <f t="shared" si="366"/>
        <v>5.0877379917756649</v>
      </c>
      <c r="DN150" s="4">
        <f t="shared" si="337"/>
        <v>0.2707582493430632</v>
      </c>
      <c r="DO150" s="4">
        <f t="shared" si="408"/>
        <v>3.0168756996773256</v>
      </c>
      <c r="DP150" s="4">
        <f t="shared" si="409"/>
        <v>4.1833021422574221</v>
      </c>
      <c r="DQ150" s="4">
        <f t="shared" si="410"/>
        <v>4.6676287655490585</v>
      </c>
      <c r="DR150" s="38">
        <f t="shared" si="440"/>
        <v>755.79139889404166</v>
      </c>
      <c r="DS150" s="4">
        <f t="shared" si="411"/>
        <v>1.000059423889732</v>
      </c>
      <c r="DT150" s="4">
        <f t="shared" si="330"/>
        <v>2.2360679774997898</v>
      </c>
      <c r="DU150" s="4">
        <f t="shared" si="441"/>
        <v>490.74367108234986</v>
      </c>
      <c r="DY150" s="4">
        <f t="shared" si="387"/>
        <v>0.85</v>
      </c>
      <c r="DZ150" s="4">
        <f t="shared" si="412"/>
        <v>1</v>
      </c>
      <c r="EA150" s="4">
        <f t="shared" si="413"/>
        <v>1</v>
      </c>
      <c r="EB150" s="4">
        <f t="shared" si="414"/>
        <v>1</v>
      </c>
      <c r="ED150" s="4">
        <f t="shared" si="442"/>
        <v>728.49982000118393</v>
      </c>
      <c r="EE150" s="25">
        <f t="shared" si="443"/>
        <v>484.28839639595202</v>
      </c>
      <c r="EH150" s="4">
        <f t="shared" si="314"/>
        <v>5.0877379917756649</v>
      </c>
      <c r="EI150" s="4">
        <f t="shared" si="367"/>
        <v>5.0877379917756649</v>
      </c>
      <c r="EK150" s="4">
        <f t="shared" si="368"/>
        <v>42.597094971370993</v>
      </c>
      <c r="EL150" s="4">
        <f t="shared" si="369"/>
        <v>2.2360679774997898</v>
      </c>
      <c r="EM150" s="4">
        <f t="shared" si="370"/>
        <v>0.1283059810021511</v>
      </c>
      <c r="EP150" s="4">
        <f t="shared" si="332"/>
        <v>0.1283059810021511</v>
      </c>
      <c r="EQ150" s="4">
        <f t="shared" si="333"/>
        <v>0.27030640428738761</v>
      </c>
      <c r="ER150" s="4">
        <f t="shared" si="371"/>
        <v>3.0148608492518321</v>
      </c>
      <c r="ES150" s="4">
        <f t="shared" si="388"/>
        <v>4.1825792372626935</v>
      </c>
      <c r="ET150" s="4">
        <f t="shared" si="372"/>
        <v>186.00290502862896</v>
      </c>
      <c r="EU150" s="4">
        <f t="shared" si="373"/>
        <v>76.199999999999989</v>
      </c>
      <c r="EV150" s="4">
        <f t="shared" si="415"/>
        <v>3.807121106173361E-5</v>
      </c>
      <c r="EW150" s="4">
        <f t="shared" si="389"/>
        <v>4.6677128627312667</v>
      </c>
      <c r="EX150" s="4">
        <f t="shared" si="374"/>
        <v>755.74648949798438</v>
      </c>
      <c r="EY150" s="4">
        <f t="shared" si="375"/>
        <v>186.00290502862896</v>
      </c>
      <c r="EZ150" s="4">
        <f t="shared" si="376"/>
        <v>76.2</v>
      </c>
      <c r="FB150" s="4">
        <f t="shared" si="338"/>
        <v>0</v>
      </c>
      <c r="FG150" s="23">
        <f t="shared" si="339"/>
        <v>1</v>
      </c>
      <c r="FH150" s="23">
        <f t="shared" si="339"/>
        <v>1</v>
      </c>
      <c r="FI150" s="23">
        <f t="shared" si="382"/>
        <v>1.6</v>
      </c>
      <c r="FJ150" s="23">
        <f t="shared" si="340"/>
        <v>2.2000000000000002</v>
      </c>
      <c r="FK150" s="23">
        <f t="shared" si="340"/>
        <v>1</v>
      </c>
      <c r="FL150" s="23">
        <f t="shared" si="340"/>
        <v>1</v>
      </c>
      <c r="FM150" s="23">
        <f t="shared" si="393"/>
        <v>0</v>
      </c>
      <c r="FN150" s="23"/>
      <c r="FX150" s="4">
        <f t="shared" si="416"/>
        <v>1.25</v>
      </c>
      <c r="FY150" s="4">
        <f t="shared" si="303"/>
        <v>1.0277777777777777</v>
      </c>
      <c r="FZ150" s="4">
        <f t="shared" si="417"/>
        <v>0</v>
      </c>
      <c r="GA150" s="4">
        <f t="shared" si="418"/>
        <v>422.14129748317777</v>
      </c>
    </row>
    <row r="151" spans="1:183" ht="12" customHeight="1" x14ac:dyDescent="0.3">
      <c r="A151" s="25">
        <v>133</v>
      </c>
      <c r="B151" s="24" t="s">
        <v>605</v>
      </c>
      <c r="C151" s="24">
        <v>2016</v>
      </c>
      <c r="D151" s="24" t="s">
        <v>199</v>
      </c>
      <c r="E151" s="24"/>
      <c r="F151" s="7" t="s">
        <v>650</v>
      </c>
      <c r="G151" s="38">
        <f t="shared" si="419"/>
        <v>826.20689655172418</v>
      </c>
      <c r="H151" s="38">
        <f t="shared" si="420"/>
        <v>304.79999999999995</v>
      </c>
      <c r="I151" s="7">
        <f t="shared" si="421"/>
        <v>304.79999999999995</v>
      </c>
      <c r="J151" s="38">
        <f t="shared" ref="J151:J152" si="446">10890/145</f>
        <v>75.103448275862064</v>
      </c>
      <c r="K151" s="38">
        <f t="shared" si="423"/>
        <v>19.049999999999997</v>
      </c>
      <c r="L151" s="7">
        <f t="shared" si="424"/>
        <v>16</v>
      </c>
      <c r="M151" s="7">
        <f t="shared" si="425"/>
        <v>16</v>
      </c>
      <c r="N151" s="38">
        <f t="shared" si="444"/>
        <v>457.2</v>
      </c>
      <c r="O151" s="38">
        <f t="shared" si="426"/>
        <v>50.8</v>
      </c>
      <c r="P151" s="21">
        <f>(5.8-1-2*0.75)*25.4</f>
        <v>83.82</v>
      </c>
      <c r="Q151" s="21">
        <f>(1)*25.4</f>
        <v>25.4</v>
      </c>
      <c r="R151" s="38">
        <v>3</v>
      </c>
      <c r="S151" s="38">
        <f t="shared" si="427"/>
        <v>50.8</v>
      </c>
      <c r="T151" s="7">
        <f t="shared" si="428"/>
        <v>1.1666666666666667</v>
      </c>
      <c r="U151" s="7">
        <f t="shared" si="429"/>
        <v>3.166666666666667</v>
      </c>
      <c r="V151" s="38">
        <v>4</v>
      </c>
      <c r="W151" s="7">
        <f t="shared" si="430"/>
        <v>4</v>
      </c>
      <c r="X151" s="4">
        <f t="shared" si="431"/>
        <v>5</v>
      </c>
      <c r="Y151" s="7">
        <f t="shared" si="352"/>
        <v>42.597094971370993</v>
      </c>
      <c r="Z151" s="7"/>
      <c r="AA151" s="7"/>
      <c r="AB151" s="38">
        <f t="shared" si="399"/>
        <v>562.06896551724139</v>
      </c>
      <c r="AC151" s="4">
        <v>81.5</v>
      </c>
      <c r="AD151" s="7">
        <f t="shared" si="334"/>
        <v>0.69659629554846381</v>
      </c>
      <c r="AE151" s="7"/>
      <c r="AF151" s="7"/>
      <c r="AG151" s="7">
        <v>1</v>
      </c>
      <c r="AH151" s="7"/>
      <c r="AI151" s="7"/>
      <c r="AJ151" s="7">
        <f t="shared" si="398"/>
        <v>0</v>
      </c>
      <c r="AK151" s="4">
        <f t="shared" si="445"/>
        <v>304.79999999999995</v>
      </c>
      <c r="AL151" s="47">
        <f t="shared" si="432"/>
        <v>0.19685039370078747</v>
      </c>
      <c r="AM151" s="25">
        <f t="shared" si="433"/>
        <v>539.3259121429644</v>
      </c>
      <c r="AN151" s="4">
        <f t="shared" si="434"/>
        <v>0.73958333333333326</v>
      </c>
      <c r="AO151" s="4">
        <v>1.25</v>
      </c>
      <c r="AP151" s="25">
        <f t="shared" si="317"/>
        <v>5</v>
      </c>
      <c r="AQ151" s="38">
        <f t="shared" si="435"/>
        <v>490.74367108235009</v>
      </c>
      <c r="AR151" s="38">
        <f t="shared" si="436"/>
        <v>490.74367108235009</v>
      </c>
      <c r="AT151" s="38">
        <f t="shared" si="437"/>
        <v>490.74367108234986</v>
      </c>
      <c r="AU151" s="38">
        <f t="shared" si="400"/>
        <v>1.0000000000000004</v>
      </c>
      <c r="AV151" s="38">
        <f t="shared" si="328"/>
        <v>1.2039152574304033</v>
      </c>
      <c r="AW151" s="4">
        <f t="shared" si="323"/>
        <v>0</v>
      </c>
      <c r="AX151" s="4">
        <f t="shared" si="379"/>
        <v>729.78733210456323</v>
      </c>
      <c r="AY151" s="4">
        <f t="shared" si="380"/>
        <v>1.6857142857142859</v>
      </c>
      <c r="AZ151" s="38">
        <f t="shared" si="438"/>
        <v>590.81379310344835</v>
      </c>
      <c r="BA151" s="4">
        <f t="shared" si="381"/>
        <v>0.44000000000000006</v>
      </c>
      <c r="BB151" s="4">
        <f t="shared" si="401"/>
        <v>167.7781076508391</v>
      </c>
      <c r="BC151" s="4">
        <f t="shared" si="402"/>
        <v>758.59190075428751</v>
      </c>
      <c r="BE151" s="36">
        <f t="shared" si="312"/>
        <v>1.1366666666666669</v>
      </c>
      <c r="BF151" s="36">
        <f t="shared" si="313"/>
        <v>468.88896903329208</v>
      </c>
      <c r="BK151" s="4">
        <f t="shared" si="355"/>
        <v>19.100000000000001</v>
      </c>
      <c r="BL151" s="4">
        <f t="shared" si="356"/>
        <v>19.100000000000001</v>
      </c>
      <c r="BM151" s="4">
        <f t="shared" si="357"/>
        <v>50.8</v>
      </c>
      <c r="BN151" s="4">
        <f t="shared" si="358"/>
        <v>28.625</v>
      </c>
      <c r="BO151" s="4">
        <f t="shared" si="359"/>
        <v>1.1659685863874345</v>
      </c>
      <c r="BP151" s="25">
        <f t="shared" si="439"/>
        <v>1.7520131645847936</v>
      </c>
      <c r="BR151" s="4">
        <f t="shared" si="331"/>
        <v>12.7</v>
      </c>
      <c r="BV151" s="9"/>
      <c r="BX151" s="9"/>
      <c r="BY151" s="9"/>
      <c r="BZ151" s="9">
        <f t="shared" si="383"/>
        <v>12.7</v>
      </c>
      <c r="CA151" s="9">
        <f t="shared" si="384"/>
        <v>50.8</v>
      </c>
      <c r="CB151" s="9">
        <f t="shared" si="403"/>
        <v>1.0052252041243952</v>
      </c>
      <c r="CC151" s="9">
        <v>20</v>
      </c>
      <c r="CD151" s="9">
        <f t="shared" si="306"/>
        <v>0</v>
      </c>
      <c r="CE151" s="9">
        <f t="shared" si="404"/>
        <v>0</v>
      </c>
      <c r="CF151" s="9">
        <f t="shared" si="385"/>
        <v>1</v>
      </c>
      <c r="CG151" s="9">
        <f t="shared" si="386"/>
        <v>0.68</v>
      </c>
      <c r="CH151" s="9">
        <f t="shared" si="405"/>
        <v>2.062561447360522</v>
      </c>
      <c r="CI151" s="9">
        <f t="shared" si="406"/>
        <v>2.0733387519420887</v>
      </c>
      <c r="CJ151" s="9">
        <v>1</v>
      </c>
      <c r="CK151" s="9">
        <f t="shared" si="407"/>
        <v>257.094005240819</v>
      </c>
      <c r="CM151" s="4">
        <f t="shared" si="341"/>
        <v>0.77018186092151664</v>
      </c>
      <c r="CN151" s="4">
        <f t="shared" si="342"/>
        <v>0.74093720873945756</v>
      </c>
      <c r="CO151" s="4">
        <f t="shared" si="390"/>
        <v>1.1987250770178246</v>
      </c>
      <c r="CP151" s="4">
        <f t="shared" si="335"/>
        <v>2.1862390956597899</v>
      </c>
      <c r="CQ151" s="4">
        <f t="shared" si="391"/>
        <v>0.69659629554846381</v>
      </c>
      <c r="CR151" s="4">
        <f t="shared" si="392"/>
        <v>0.72336424582212799</v>
      </c>
      <c r="CS151" s="4">
        <f t="shared" si="329"/>
        <v>1.259499751488431</v>
      </c>
      <c r="DA151" s="4">
        <f t="shared" si="394"/>
        <v>0.77018186092151664</v>
      </c>
      <c r="DB151" s="4">
        <f t="shared" si="394"/>
        <v>0.74093720873945756</v>
      </c>
      <c r="DC151" s="4">
        <f t="shared" si="395"/>
        <v>2.1862390956597899</v>
      </c>
      <c r="DD151" s="4">
        <f t="shared" si="396"/>
        <v>1.259499751488431</v>
      </c>
      <c r="DE151" s="4">
        <f t="shared" si="397"/>
        <v>0.69659629554846381</v>
      </c>
      <c r="DF151" s="4">
        <f t="shared" si="397"/>
        <v>0.72336424582212799</v>
      </c>
      <c r="DH151" s="4">
        <f t="shared" si="362"/>
        <v>0</v>
      </c>
      <c r="DI151" s="4">
        <f t="shared" si="363"/>
        <v>304.79999999999995</v>
      </c>
      <c r="DJ151" s="4">
        <f t="shared" si="364"/>
        <v>1</v>
      </c>
      <c r="DL151" s="4">
        <f t="shared" si="365"/>
        <v>3.807121106173361E-5</v>
      </c>
      <c r="DM151" s="4">
        <f t="shared" si="366"/>
        <v>6.0985888771595622</v>
      </c>
      <c r="DN151" s="4">
        <f t="shared" si="337"/>
        <v>0.2707582493430632</v>
      </c>
      <c r="DO151" s="4">
        <f t="shared" si="408"/>
        <v>3.6162798901135647</v>
      </c>
      <c r="DP151" s="4">
        <f t="shared" si="409"/>
        <v>5.0144563174851866</v>
      </c>
      <c r="DQ151" s="4">
        <f t="shared" si="410"/>
        <v>5.4966973614584278</v>
      </c>
      <c r="DR151" s="38">
        <f t="shared" si="440"/>
        <v>806.87906196041058</v>
      </c>
      <c r="DS151" s="4">
        <f t="shared" si="411"/>
        <v>1.0000663306694051</v>
      </c>
      <c r="DT151" s="4">
        <f t="shared" si="330"/>
        <v>2.2360679774997898</v>
      </c>
      <c r="DU151" s="4">
        <f t="shared" si="441"/>
        <v>490.74367108234986</v>
      </c>
      <c r="DY151" s="4">
        <f t="shared" si="387"/>
        <v>0.85</v>
      </c>
      <c r="DZ151" s="4">
        <f t="shared" si="412"/>
        <v>1</v>
      </c>
      <c r="EA151" s="4">
        <f t="shared" si="413"/>
        <v>1</v>
      </c>
      <c r="EB151" s="4">
        <f t="shared" si="414"/>
        <v>1</v>
      </c>
      <c r="ED151" s="4">
        <f t="shared" si="442"/>
        <v>777.02066249961103</v>
      </c>
      <c r="EE151" s="25">
        <f t="shared" si="443"/>
        <v>484.28839639595202</v>
      </c>
      <c r="EH151" s="4">
        <f t="shared" si="314"/>
        <v>6.0985888771595622</v>
      </c>
      <c r="EI151" s="4">
        <f t="shared" si="367"/>
        <v>6.0985888771595622</v>
      </c>
      <c r="EK151" s="4">
        <f t="shared" si="368"/>
        <v>42.597094971370993</v>
      </c>
      <c r="EL151" s="4">
        <f t="shared" si="369"/>
        <v>2.2360679774997898</v>
      </c>
      <c r="EM151" s="4">
        <f t="shared" si="370"/>
        <v>0.1283059810021511</v>
      </c>
      <c r="EP151" s="4">
        <f t="shared" si="332"/>
        <v>0.1283059810021511</v>
      </c>
      <c r="EQ151" s="4">
        <f t="shared" si="333"/>
        <v>0.27030640428738761</v>
      </c>
      <c r="ER151" s="4">
        <f t="shared" si="371"/>
        <v>3.6138647216410691</v>
      </c>
      <c r="ES151" s="4">
        <f t="shared" si="388"/>
        <v>5.0135897830120628</v>
      </c>
      <c r="ET151" s="4">
        <f t="shared" si="372"/>
        <v>186.00290502862896</v>
      </c>
      <c r="EU151" s="4">
        <f t="shared" si="373"/>
        <v>76.199999999999989</v>
      </c>
      <c r="EV151" s="4">
        <f t="shared" si="415"/>
        <v>3.807121106173361E-5</v>
      </c>
      <c r="EW151" s="4">
        <f t="shared" si="389"/>
        <v>5.4968178476970175</v>
      </c>
      <c r="EX151" s="4">
        <f t="shared" si="374"/>
        <v>806.82554468193871</v>
      </c>
      <c r="EY151" s="4">
        <f t="shared" si="375"/>
        <v>186.00290502862896</v>
      </c>
      <c r="EZ151" s="4">
        <f t="shared" si="376"/>
        <v>76.2</v>
      </c>
      <c r="FB151" s="4">
        <f t="shared" si="338"/>
        <v>0</v>
      </c>
      <c r="FG151" s="23">
        <f t="shared" si="339"/>
        <v>0.8</v>
      </c>
      <c r="FH151" s="23">
        <f t="shared" si="339"/>
        <v>0.8</v>
      </c>
      <c r="FI151" s="23">
        <f t="shared" si="382"/>
        <v>1.4</v>
      </c>
      <c r="FJ151" s="23">
        <f t="shared" si="340"/>
        <v>2.2000000000000002</v>
      </c>
      <c r="FK151" s="23">
        <f t="shared" si="340"/>
        <v>0.8</v>
      </c>
      <c r="FL151" s="23">
        <f t="shared" si="340"/>
        <v>0.8</v>
      </c>
      <c r="FM151" s="23">
        <f t="shared" si="393"/>
        <v>1</v>
      </c>
      <c r="FN151" s="23"/>
      <c r="FX151" s="4">
        <f t="shared" si="416"/>
        <v>1.25</v>
      </c>
      <c r="FY151" s="4">
        <f t="shared" si="303"/>
        <v>0.9722222222222221</v>
      </c>
      <c r="FZ151" s="4">
        <f t="shared" si="417"/>
        <v>0</v>
      </c>
      <c r="GA151" s="4">
        <f t="shared" si="418"/>
        <v>446.26365733935933</v>
      </c>
    </row>
    <row r="152" spans="1:183" ht="12" customHeight="1" x14ac:dyDescent="0.3">
      <c r="A152" s="25">
        <v>134</v>
      </c>
      <c r="B152" s="24" t="s">
        <v>605</v>
      </c>
      <c r="C152" s="24">
        <v>2016</v>
      </c>
      <c r="D152" s="24" t="s">
        <v>199</v>
      </c>
      <c r="E152" s="24"/>
      <c r="F152" s="7" t="s">
        <v>651</v>
      </c>
      <c r="G152" s="38">
        <f t="shared" si="419"/>
        <v>826.20689655172418</v>
      </c>
      <c r="H152" s="38">
        <f t="shared" si="420"/>
        <v>304.79999999999995</v>
      </c>
      <c r="I152" s="7">
        <f t="shared" si="421"/>
        <v>304.79999999999995</v>
      </c>
      <c r="J152" s="38">
        <f t="shared" si="446"/>
        <v>75.103448275862064</v>
      </c>
      <c r="K152" s="38">
        <f t="shared" si="423"/>
        <v>19.049999999999997</v>
      </c>
      <c r="L152" s="7">
        <f t="shared" si="424"/>
        <v>16</v>
      </c>
      <c r="M152" s="7">
        <f t="shared" si="425"/>
        <v>16</v>
      </c>
      <c r="N152" s="38">
        <f t="shared" si="444"/>
        <v>457.2</v>
      </c>
      <c r="O152" s="38">
        <f t="shared" si="426"/>
        <v>50.8</v>
      </c>
      <c r="P152" s="21">
        <f>(5.3-1.9-2*0.75)*25.4</f>
        <v>48.26</v>
      </c>
      <c r="Q152" s="21">
        <f>(1.9)*25.4</f>
        <v>48.26</v>
      </c>
      <c r="R152" s="38">
        <v>3</v>
      </c>
      <c r="S152" s="38">
        <f t="shared" si="427"/>
        <v>50.8</v>
      </c>
      <c r="T152" s="7">
        <f t="shared" si="428"/>
        <v>1.7666666666666668</v>
      </c>
      <c r="U152" s="7">
        <f t="shared" si="429"/>
        <v>3.166666666666667</v>
      </c>
      <c r="V152" s="38">
        <v>4</v>
      </c>
      <c r="W152" s="7">
        <f t="shared" si="430"/>
        <v>4</v>
      </c>
      <c r="X152" s="4">
        <f t="shared" si="431"/>
        <v>5</v>
      </c>
      <c r="Y152" s="7">
        <f t="shared" si="352"/>
        <v>42.597094971370993</v>
      </c>
      <c r="Z152" s="7"/>
      <c r="AA152" s="7"/>
      <c r="AB152" s="38">
        <f t="shared" si="399"/>
        <v>621.37931034482756</v>
      </c>
      <c r="AC152" s="4">
        <v>90.1</v>
      </c>
      <c r="AD152" s="7">
        <f t="shared" si="334"/>
        <v>0.75208681135225364</v>
      </c>
      <c r="AE152" s="7"/>
      <c r="AF152" s="7"/>
      <c r="AG152" s="7">
        <v>1</v>
      </c>
      <c r="AH152" s="7"/>
      <c r="AI152" s="7"/>
      <c r="AJ152" s="7">
        <f t="shared" si="398"/>
        <v>0</v>
      </c>
      <c r="AK152" s="4">
        <f t="shared" si="445"/>
        <v>304.79999999999995</v>
      </c>
      <c r="AL152" s="47">
        <f t="shared" si="432"/>
        <v>0.19685039370078747</v>
      </c>
      <c r="AM152" s="25">
        <f t="shared" si="433"/>
        <v>539.3259121429644</v>
      </c>
      <c r="AN152" s="4">
        <f t="shared" si="434"/>
        <v>0.73958333333333326</v>
      </c>
      <c r="AO152" s="4">
        <v>1.25</v>
      </c>
      <c r="AP152" s="25">
        <f t="shared" si="317"/>
        <v>5</v>
      </c>
      <c r="AQ152" s="38">
        <f t="shared" si="435"/>
        <v>490.74367108235009</v>
      </c>
      <c r="AR152" s="38">
        <f t="shared" si="436"/>
        <v>490.74367108235009</v>
      </c>
      <c r="AT152" s="38">
        <f t="shared" si="437"/>
        <v>490.74367108234986</v>
      </c>
      <c r="AU152" s="38">
        <f t="shared" si="400"/>
        <v>1.0000000000000004</v>
      </c>
      <c r="AV152" s="38">
        <f t="shared" si="328"/>
        <v>1.4242929655702057</v>
      </c>
      <c r="AW152" s="4">
        <f t="shared" si="323"/>
        <v>0</v>
      </c>
      <c r="AX152" s="4">
        <f t="shared" si="379"/>
        <v>729.78733210456323</v>
      </c>
      <c r="AY152" s="4">
        <f t="shared" si="380"/>
        <v>1.3169811320754716</v>
      </c>
      <c r="AZ152" s="38">
        <f t="shared" si="438"/>
        <v>698.96275862068967</v>
      </c>
      <c r="BA152" s="4">
        <f t="shared" si="381"/>
        <v>0.44000000000000006</v>
      </c>
      <c r="BB152" s="4">
        <f t="shared" si="401"/>
        <v>167.7781076508391</v>
      </c>
      <c r="BC152" s="4">
        <f t="shared" si="402"/>
        <v>866.74086627152883</v>
      </c>
      <c r="BE152" s="36">
        <f t="shared" si="312"/>
        <v>1.1057894736842107</v>
      </c>
      <c r="BF152" s="36">
        <f t="shared" si="313"/>
        <v>456.15174746362703</v>
      </c>
      <c r="BK152" s="4">
        <f t="shared" si="355"/>
        <v>30.53</v>
      </c>
      <c r="BL152" s="4">
        <f t="shared" si="356"/>
        <v>30.53</v>
      </c>
      <c r="BM152" s="4">
        <f t="shared" si="357"/>
        <v>50.8</v>
      </c>
      <c r="BN152" s="4">
        <f t="shared" si="358"/>
        <v>40.055</v>
      </c>
      <c r="BO152" s="4">
        <f t="shared" si="359"/>
        <v>1.0663937111038324</v>
      </c>
      <c r="BP152" s="25">
        <f t="shared" si="439"/>
        <v>2.2422257269429928</v>
      </c>
      <c r="BR152" s="4">
        <f t="shared" si="331"/>
        <v>24.13</v>
      </c>
      <c r="BV152" s="9"/>
      <c r="BX152" s="9"/>
      <c r="BY152" s="9"/>
      <c r="BZ152" s="9">
        <f t="shared" si="383"/>
        <v>24.13</v>
      </c>
      <c r="CA152" s="9">
        <f t="shared" si="384"/>
        <v>50.8</v>
      </c>
      <c r="CB152" s="9">
        <f t="shared" si="403"/>
        <v>1.2584243974819915</v>
      </c>
      <c r="CC152" s="9">
        <v>20</v>
      </c>
      <c r="CD152" s="9">
        <f t="shared" si="306"/>
        <v>0</v>
      </c>
      <c r="CE152" s="9">
        <f t="shared" si="404"/>
        <v>0</v>
      </c>
      <c r="CF152" s="9">
        <f t="shared" si="385"/>
        <v>1</v>
      </c>
      <c r="CG152" s="9">
        <f t="shared" si="386"/>
        <v>0.68</v>
      </c>
      <c r="CH152" s="9">
        <f t="shared" si="405"/>
        <v>2.062561447360522</v>
      </c>
      <c r="CI152" s="9">
        <f t="shared" si="406"/>
        <v>2.5955776466642493</v>
      </c>
      <c r="CJ152" s="9">
        <v>1</v>
      </c>
      <c r="CK152" s="9">
        <f t="shared" si="407"/>
        <v>321.85162818636695</v>
      </c>
      <c r="CM152" s="4">
        <f t="shared" si="341"/>
        <v>0.85145258489605702</v>
      </c>
      <c r="CN152" s="4">
        <f t="shared" si="342"/>
        <v>0.7169147487158688</v>
      </c>
      <c r="CO152" s="4">
        <f t="shared" si="390"/>
        <v>1.362220607067554</v>
      </c>
      <c r="CP152" s="4">
        <f t="shared" si="335"/>
        <v>1.9306390147730439</v>
      </c>
      <c r="CQ152" s="4">
        <f t="shared" si="391"/>
        <v>0.75208681135225364</v>
      </c>
      <c r="CR152" s="4">
        <f t="shared" si="392"/>
        <v>0.75208681135225364</v>
      </c>
      <c r="CS152" s="4">
        <f t="shared" si="329"/>
        <v>1.249185320570019</v>
      </c>
      <c r="DA152" s="4">
        <f t="shared" si="394"/>
        <v>0.85145258489605702</v>
      </c>
      <c r="DB152" s="4">
        <f t="shared" si="394"/>
        <v>0.7169147487158688</v>
      </c>
      <c r="DC152" s="4">
        <f t="shared" si="395"/>
        <v>1.9306390147730439</v>
      </c>
      <c r="DD152" s="4">
        <f t="shared" si="396"/>
        <v>1.249185320570019</v>
      </c>
      <c r="DE152" s="4">
        <f t="shared" si="397"/>
        <v>0.75208681135225364</v>
      </c>
      <c r="DF152" s="4">
        <f t="shared" si="397"/>
        <v>0.75208681135225364</v>
      </c>
      <c r="DH152" s="4">
        <f t="shared" si="362"/>
        <v>0</v>
      </c>
      <c r="DI152" s="4">
        <f t="shared" si="363"/>
        <v>304.79999999999995</v>
      </c>
      <c r="DJ152" s="4">
        <f t="shared" si="364"/>
        <v>1</v>
      </c>
      <c r="DL152" s="4">
        <f t="shared" si="365"/>
        <v>3.807121106173361E-5</v>
      </c>
      <c r="DM152" s="4">
        <f t="shared" si="366"/>
        <v>7.8049715349349125</v>
      </c>
      <c r="DN152" s="4">
        <f t="shared" si="337"/>
        <v>0.2707582493430632</v>
      </c>
      <c r="DO152" s="4">
        <f t="shared" si="408"/>
        <v>4.6281135149808286</v>
      </c>
      <c r="DP152" s="4">
        <f t="shared" si="409"/>
        <v>6.4174991312703371</v>
      </c>
      <c r="DQ152" s="4">
        <f t="shared" si="410"/>
        <v>6.8239133200440145</v>
      </c>
      <c r="DR152" s="38">
        <f t="shared" si="440"/>
        <v>826.20689655172418</v>
      </c>
      <c r="DS152" s="4">
        <f t="shared" si="411"/>
        <v>1</v>
      </c>
      <c r="DT152" s="4">
        <f t="shared" si="330"/>
        <v>2.2360679774997898</v>
      </c>
      <c r="DU152" s="4">
        <f t="shared" si="441"/>
        <v>490.74367108234986</v>
      </c>
      <c r="DY152" s="4">
        <f t="shared" si="387"/>
        <v>0.85</v>
      </c>
      <c r="DZ152" s="4">
        <f t="shared" si="412"/>
        <v>0.97333333333333327</v>
      </c>
      <c r="EA152" s="4">
        <f t="shared" si="413"/>
        <v>1</v>
      </c>
      <c r="EB152" s="4">
        <f t="shared" si="414"/>
        <v>0.97333333333333327</v>
      </c>
      <c r="ED152" s="4">
        <f t="shared" si="442"/>
        <v>826.20689655172418</v>
      </c>
      <c r="EE152" s="25">
        <f t="shared" si="443"/>
        <v>484.28839639595202</v>
      </c>
      <c r="EH152" s="4">
        <f t="shared" si="314"/>
        <v>7.8049715349349125</v>
      </c>
      <c r="EI152" s="4">
        <f t="shared" si="367"/>
        <v>7.8049715349349125</v>
      </c>
      <c r="EK152" s="4">
        <f t="shared" si="368"/>
        <v>42.597094971370993</v>
      </c>
      <c r="EL152" s="4">
        <f t="shared" si="369"/>
        <v>2.2360679774997898</v>
      </c>
      <c r="EM152" s="4">
        <f t="shared" si="370"/>
        <v>0.1283059810021511</v>
      </c>
      <c r="EP152" s="4">
        <f t="shared" si="332"/>
        <v>0.1283059810021511</v>
      </c>
      <c r="EQ152" s="4">
        <f t="shared" si="333"/>
        <v>0.27030640428738761</v>
      </c>
      <c r="ER152" s="4">
        <f t="shared" si="371"/>
        <v>4.6250225833637622</v>
      </c>
      <c r="ES152" s="4">
        <f t="shared" si="388"/>
        <v>6.4163901408082813</v>
      </c>
      <c r="ET152" s="4">
        <f t="shared" si="372"/>
        <v>186.00290502862896</v>
      </c>
      <c r="EU152" s="4">
        <f t="shared" si="373"/>
        <v>76.199999999999989</v>
      </c>
      <c r="EV152" s="4">
        <f t="shared" si="415"/>
        <v>3.807121106173361E-5</v>
      </c>
      <c r="EW152" s="4">
        <f t="shared" si="389"/>
        <v>6.824109707617299</v>
      </c>
      <c r="EX152" s="4">
        <f t="shared" si="374"/>
        <v>826.20689655172418</v>
      </c>
      <c r="EY152" s="4">
        <f t="shared" si="375"/>
        <v>186.00290502862896</v>
      </c>
      <c r="EZ152" s="4">
        <f t="shared" si="376"/>
        <v>76.2</v>
      </c>
      <c r="FB152" s="4">
        <f t="shared" si="338"/>
        <v>0</v>
      </c>
      <c r="FG152" s="23">
        <f t="shared" si="339"/>
        <v>1</v>
      </c>
      <c r="FH152" s="23">
        <f t="shared" si="339"/>
        <v>0.8</v>
      </c>
      <c r="FI152" s="23">
        <f t="shared" si="382"/>
        <v>1.4</v>
      </c>
      <c r="FJ152" s="23">
        <f t="shared" si="340"/>
        <v>2</v>
      </c>
      <c r="FK152" s="23">
        <f t="shared" si="340"/>
        <v>0.8</v>
      </c>
      <c r="FL152" s="23">
        <f t="shared" si="340"/>
        <v>0.8</v>
      </c>
      <c r="FM152" s="23">
        <f t="shared" si="393"/>
        <v>1</v>
      </c>
      <c r="FN152" s="23"/>
      <c r="FX152" s="4">
        <f t="shared" si="416"/>
        <v>1.25</v>
      </c>
      <c r="FY152" s="4">
        <f t="shared" si="303"/>
        <v>0.87222222222222201</v>
      </c>
      <c r="FZ152" s="4">
        <f t="shared" si="417"/>
        <v>0</v>
      </c>
      <c r="GA152" s="4">
        <f t="shared" si="418"/>
        <v>497.42764353113307</v>
      </c>
    </row>
    <row r="153" spans="1:183" ht="12" customHeight="1" x14ac:dyDescent="0.3">
      <c r="A153" s="25">
        <v>135</v>
      </c>
      <c r="B153" s="24" t="s">
        <v>659</v>
      </c>
      <c r="C153" s="24">
        <v>2007</v>
      </c>
      <c r="D153" s="24" t="s">
        <v>309</v>
      </c>
      <c r="E153" s="24"/>
      <c r="F153" s="4" t="s">
        <v>112</v>
      </c>
      <c r="G153" s="7">
        <v>447.7</v>
      </c>
      <c r="H153" s="7">
        <v>888</v>
      </c>
      <c r="I153" s="7">
        <f>H153</f>
        <v>888</v>
      </c>
      <c r="J153" s="7">
        <v>24.2</v>
      </c>
      <c r="K153" s="37">
        <v>57.3</v>
      </c>
      <c r="L153" s="7">
        <f t="shared" si="424"/>
        <v>15.497382198952881</v>
      </c>
      <c r="M153" s="7">
        <f t="shared" si="425"/>
        <v>15.497382198952881</v>
      </c>
      <c r="N153" s="7">
        <v>350</v>
      </c>
      <c r="O153" s="7">
        <f t="shared" ref="O153:O164" si="447">(N153-K153)/2</f>
        <v>146.35</v>
      </c>
      <c r="P153" s="7">
        <f>958-20-I153</f>
        <v>50</v>
      </c>
      <c r="Q153" s="7">
        <v>0</v>
      </c>
      <c r="R153" s="7">
        <v>1</v>
      </c>
      <c r="S153" s="7">
        <f>958-105</f>
        <v>853</v>
      </c>
      <c r="T153" s="7">
        <f>O153/K153+0.5</f>
        <v>3.0541012216404888</v>
      </c>
      <c r="U153" s="7">
        <f>O153/K153+0.5</f>
        <v>3.0541012216404888</v>
      </c>
      <c r="V153" s="7">
        <f>10324/2581</f>
        <v>4</v>
      </c>
      <c r="W153" s="7">
        <f>10324/2581</f>
        <v>4</v>
      </c>
      <c r="X153" s="7">
        <f t="shared" si="431"/>
        <v>5</v>
      </c>
      <c r="Y153" s="7">
        <f t="shared" si="352"/>
        <v>128.12669511073796</v>
      </c>
      <c r="Z153" s="7">
        <f>G153</f>
        <v>447.7</v>
      </c>
      <c r="AA153" s="7">
        <v>20</v>
      </c>
      <c r="AB153" s="7"/>
      <c r="AC153" s="32" t="s">
        <v>183</v>
      </c>
      <c r="AD153" s="7"/>
      <c r="AE153" s="7"/>
      <c r="AF153" s="7"/>
      <c r="AG153" s="7">
        <v>1</v>
      </c>
      <c r="AH153" s="7"/>
      <c r="AI153" s="7"/>
      <c r="AJ153" s="7"/>
      <c r="AK153" s="4">
        <f t="shared" si="445"/>
        <v>888</v>
      </c>
      <c r="AL153" s="4">
        <f t="shared" ref="AL153:AL164" si="448">MIN(9*H153^2,N153*3*H153)/(9*H153^2)</f>
        <v>0.13138138138138139</v>
      </c>
      <c r="AM153" s="4">
        <f t="shared" ref="AM153:AM164" si="449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25">
        <v>1</v>
      </c>
      <c r="AQ153" s="38">
        <f>AL153*AN153*AO153*AP153*AM153</f>
        <v>61.299898558592346</v>
      </c>
      <c r="AT153" s="38">
        <f t="shared" ref="AT153:AT216" si="450">AP153* (J153^0.5/AK153^0.5)/(PI()/4*K153^2)/R153/0.72 *(0.7+(MIN(O153,S153)+0.5*K153)/5/H153) *(3*N153*H153)</f>
        <v>61.299898558592375</v>
      </c>
      <c r="AU153" s="38">
        <f t="shared" si="400"/>
        <v>0.99999999999999956</v>
      </c>
      <c r="AV153" s="38">
        <f t="shared" si="328"/>
        <v>4.8227975120092603</v>
      </c>
      <c r="AW153" s="4">
        <f t="shared" si="323"/>
        <v>0</v>
      </c>
      <c r="AX153" s="4">
        <f t="shared" si="379"/>
        <v>401.24757975967572</v>
      </c>
      <c r="AY153" s="4">
        <f t="shared" si="380"/>
        <v>1</v>
      </c>
      <c r="AZ153" s="38">
        <f t="shared" si="438"/>
        <v>295.63699825479932</v>
      </c>
      <c r="BA153" s="4">
        <f t="shared" si="381"/>
        <v>0.44000000000000006</v>
      </c>
      <c r="BB153" s="4">
        <f t="shared" si="401"/>
        <v>92.246818586749441</v>
      </c>
      <c r="BC153" s="4">
        <f t="shared" si="402"/>
        <v>387.88381684154876</v>
      </c>
      <c r="BE153" s="4">
        <f t="shared" ref="BE153:BE216" si="451">MIN(1.5, 0.75+0.25*MIN(3,MAX(1,O153/K153))+0.4*MIN(1,(40*2*PI()*AE153^2/4/AG153/R153)/K153))</f>
        <v>1.3885253054101221</v>
      </c>
      <c r="BF153" s="4">
        <f t="shared" ref="BF153:BF216" si="452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R153" s="4">
        <f t="shared" si="331"/>
        <v>146.35</v>
      </c>
      <c r="BV153" s="9"/>
      <c r="BX153" s="9"/>
      <c r="BY153" s="9"/>
      <c r="BZ153" s="9">
        <f t="shared" si="383"/>
        <v>50</v>
      </c>
      <c r="CA153" s="9">
        <f t="shared" si="384"/>
        <v>146.35</v>
      </c>
      <c r="CB153" s="9">
        <f t="shared" si="403"/>
        <v>1.0974155243334465</v>
      </c>
      <c r="CC153" s="9">
        <v>0</v>
      </c>
      <c r="CD153" s="9">
        <f t="shared" si="306"/>
        <v>0</v>
      </c>
      <c r="CE153" s="9">
        <f t="shared" si="404"/>
        <v>0</v>
      </c>
      <c r="CF153" s="9">
        <f t="shared" si="385"/>
        <v>0.77971450958075206</v>
      </c>
      <c r="CG153" s="9">
        <f t="shared" si="386"/>
        <v>1.1046</v>
      </c>
      <c r="CH153" s="9">
        <f t="shared" si="405"/>
        <v>1.4829154235940361</v>
      </c>
      <c r="CI153" s="9">
        <f t="shared" si="406"/>
        <v>1.627374407125604</v>
      </c>
      <c r="CJ153" s="9">
        <v>1</v>
      </c>
      <c r="CK153" s="9">
        <f t="shared" si="407"/>
        <v>198.52263709961557</v>
      </c>
      <c r="DH153" s="4">
        <f t="shared" si="362"/>
        <v>0</v>
      </c>
      <c r="DI153" s="4">
        <f t="shared" ref="DI153:DI216" si="453">I153</f>
        <v>888</v>
      </c>
      <c r="DL153" s="4">
        <f t="shared" si="365"/>
        <v>2.6516412632020574E-5</v>
      </c>
      <c r="DM153" s="4">
        <f t="shared" si="366"/>
        <v>4.7853498859682935</v>
      </c>
      <c r="DR153" s="38">
        <f t="shared" si="440"/>
        <v>61.299898558592375</v>
      </c>
      <c r="DS153" s="4">
        <f t="shared" si="411"/>
        <v>0.20373398091093661</v>
      </c>
      <c r="DU153" s="4">
        <f t="shared" si="441"/>
        <v>61.299898558592375</v>
      </c>
      <c r="DY153" s="4">
        <f t="shared" si="387"/>
        <v>1</v>
      </c>
      <c r="DZ153" s="4">
        <f t="shared" si="412"/>
        <v>0.84458987783595108</v>
      </c>
      <c r="EA153" s="4">
        <f t="shared" si="413"/>
        <v>1</v>
      </c>
      <c r="EB153" s="4">
        <f t="shared" si="414"/>
        <v>0.84458987783595108</v>
      </c>
      <c r="EE153" s="25"/>
      <c r="EH153" s="4">
        <f t="shared" ref="EH153:EH164" si="454">IF(K153&lt;22.2,1.1*5*(J153/30)^0.5,IF(K153&gt;=31.8,0.9*5*(J153/30)^0.5,1*5*(J153/30)^0.5))/EB153/DY153</f>
        <v>4.7853498859682935</v>
      </c>
      <c r="EK153" s="4">
        <f t="shared" si="368"/>
        <v>128.12669511073796</v>
      </c>
      <c r="EL153" s="4">
        <f t="shared" si="369"/>
        <v>2.2360679774997898</v>
      </c>
      <c r="EM153" s="4">
        <f t="shared" si="370"/>
        <v>8.4924666039829386E-2</v>
      </c>
      <c r="EP153" s="4">
        <f t="shared" si="332"/>
        <v>8.4924666039829386E-2</v>
      </c>
      <c r="EQ153" s="4">
        <f t="shared" si="333"/>
        <v>0.31518499753613483</v>
      </c>
      <c r="ER153" s="4">
        <f t="shared" si="371"/>
        <v>3.0153651565646373</v>
      </c>
      <c r="ES153" s="4">
        <f t="shared" si="388"/>
        <v>3.9999874968613209</v>
      </c>
      <c r="ET153" s="4">
        <f t="shared" si="372"/>
        <v>537.87330488926204</v>
      </c>
      <c r="EU153" s="4">
        <f t="shared" si="373"/>
        <v>222</v>
      </c>
      <c r="EV153" s="4">
        <f t="shared" si="415"/>
        <v>2.6516412632020574E-5</v>
      </c>
      <c r="EW153" s="4">
        <f t="shared" si="389"/>
        <v>4.0278338019438173</v>
      </c>
      <c r="EX153" s="4">
        <f>MIN(4/K153*(1*ER153*EK153+ES153*ET153+EU153*EW153)+DU153,MAX(G153,AB153))</f>
        <v>300.88205357058206</v>
      </c>
      <c r="FG153" s="23"/>
      <c r="FH153" s="23"/>
      <c r="FI153" s="23"/>
      <c r="FJ153" s="23"/>
      <c r="FK153" s="23"/>
      <c r="FL153" s="23"/>
      <c r="FM153" s="23"/>
      <c r="FN153" s="23"/>
      <c r="FX153" s="4">
        <f t="shared" si="416"/>
        <v>1</v>
      </c>
      <c r="FY153" s="4">
        <f t="shared" si="303"/>
        <v>1.0833333333333333</v>
      </c>
      <c r="FZ153" s="4">
        <f t="shared" si="417"/>
        <v>0</v>
      </c>
      <c r="GA153" s="4">
        <f t="shared" si="418"/>
        <v>210.64559565541157</v>
      </c>
    </row>
    <row r="154" spans="1:183" ht="12" customHeight="1" x14ac:dyDescent="0.3">
      <c r="A154" s="25">
        <v>136</v>
      </c>
      <c r="B154" s="24" t="s">
        <v>659</v>
      </c>
      <c r="C154" s="24">
        <v>2007</v>
      </c>
      <c r="D154" s="24" t="s">
        <v>309</v>
      </c>
      <c r="E154" s="24"/>
      <c r="F154" s="4" t="s">
        <v>113</v>
      </c>
      <c r="G154" s="7">
        <v>447.7</v>
      </c>
      <c r="H154" s="7">
        <v>684</v>
      </c>
      <c r="I154" s="7">
        <f t="shared" ref="I154:I217" si="455">H154</f>
        <v>684</v>
      </c>
      <c r="J154" s="7">
        <v>24.2</v>
      </c>
      <c r="K154" s="37">
        <v>57.3</v>
      </c>
      <c r="L154" s="7">
        <f t="shared" si="424"/>
        <v>11.93717277486911</v>
      </c>
      <c r="M154" s="7">
        <f t="shared" si="425"/>
        <v>11.93717277486911</v>
      </c>
      <c r="N154" s="7">
        <v>350</v>
      </c>
      <c r="O154" s="7">
        <f t="shared" si="447"/>
        <v>146.35</v>
      </c>
      <c r="P154" s="7">
        <f t="shared" ref="P154:P156" si="456">958-20-I154</f>
        <v>254</v>
      </c>
      <c r="Q154" s="7">
        <v>0</v>
      </c>
      <c r="R154" s="7">
        <v>1</v>
      </c>
      <c r="S154" s="7">
        <f t="shared" ref="S154:S156" si="457">958-105</f>
        <v>853</v>
      </c>
      <c r="T154" s="7">
        <f t="shared" ref="T154:T164" si="458">O154/K154+0.5</f>
        <v>3.0541012216404888</v>
      </c>
      <c r="U154" s="7">
        <f t="shared" ref="U154:U217" si="459">O154/K154+0.5</f>
        <v>3.0541012216404888</v>
      </c>
      <c r="V154" s="7">
        <f t="shared" ref="V154:W160" si="460">10324/2581</f>
        <v>4</v>
      </c>
      <c r="W154" s="7">
        <f t="shared" si="460"/>
        <v>4</v>
      </c>
      <c r="X154" s="7">
        <f t="shared" si="431"/>
        <v>5</v>
      </c>
      <c r="Y154" s="7">
        <f t="shared" si="352"/>
        <v>128.12669511073796</v>
      </c>
      <c r="Z154" s="7">
        <f t="shared" ref="Z154:Z217" si="461">G154</f>
        <v>447.7</v>
      </c>
      <c r="AA154" s="7">
        <v>20</v>
      </c>
      <c r="AB154" s="7"/>
      <c r="AC154" s="32" t="s">
        <v>183</v>
      </c>
      <c r="AD154" s="7"/>
      <c r="AE154" s="7"/>
      <c r="AF154" s="7"/>
      <c r="AG154" s="7">
        <v>1</v>
      </c>
      <c r="AH154" s="7"/>
      <c r="AI154" s="7"/>
      <c r="AJ154" s="7"/>
      <c r="AK154" s="4">
        <f t="shared" si="445"/>
        <v>684</v>
      </c>
      <c r="AL154" s="4">
        <f t="shared" si="448"/>
        <v>0.1705653021442495</v>
      </c>
      <c r="AM154" s="4">
        <f t="shared" si="449"/>
        <v>341.26575496815576</v>
      </c>
      <c r="AN154" s="4">
        <f>MIN(0.7+0.3*N154/2/1.5/H154,1)</f>
        <v>0.75116959064327482</v>
      </c>
      <c r="AO154" s="4">
        <v>1.25</v>
      </c>
      <c r="AP154" s="25">
        <v>1</v>
      </c>
      <c r="AQ154" s="38">
        <f t="shared" ref="AQ154:AQ164" si="462">AL154*AN154*AO154*AP154*AM154</f>
        <v>54.655190126095995</v>
      </c>
      <c r="AT154" s="38">
        <f t="shared" si="450"/>
        <v>54.655190126096059</v>
      </c>
      <c r="AU154" s="38">
        <f t="shared" si="400"/>
        <v>0.99999999999999878</v>
      </c>
      <c r="AV154" s="38">
        <f t="shared" si="328"/>
        <v>5.4091294453963004</v>
      </c>
      <c r="AW154" s="4">
        <f t="shared" si="323"/>
        <v>0</v>
      </c>
      <c r="AX154" s="4">
        <f t="shared" si="379"/>
        <v>309.06908170677718</v>
      </c>
      <c r="AY154" s="4">
        <f t="shared" si="380"/>
        <v>1</v>
      </c>
      <c r="AZ154" s="38">
        <f t="shared" si="438"/>
        <v>295.63699825479932</v>
      </c>
      <c r="BA154" s="4">
        <f t="shared" si="381"/>
        <v>0.44000000000000006</v>
      </c>
      <c r="BB154" s="4">
        <f t="shared" si="401"/>
        <v>71.054981884388084</v>
      </c>
      <c r="BC154" s="4">
        <f t="shared" si="402"/>
        <v>366.69198013918742</v>
      </c>
      <c r="BE154" s="4">
        <f t="shared" si="451"/>
        <v>1.3885253054101221</v>
      </c>
      <c r="BF154" s="4">
        <f t="shared" si="452"/>
        <v>449.53487752054093</v>
      </c>
      <c r="BH154" s="4">
        <f t="shared" ref="BH154:BH217" si="463">3.4/PI()^0.5*J154*T154*W154^0.5*AY154</f>
        <v>283.55203537536278</v>
      </c>
      <c r="BI154" s="4">
        <f t="shared" ref="BI154:BI217" si="464">8/3*Z154*AA154^2/(Y154-K154-22)/K154*(Y154^2-K154^2)/(Y154^2-(K154+22)^2)</f>
        <v>221.33552459284101</v>
      </c>
      <c r="BJ154" s="4">
        <f t="shared" ref="BJ154:BJ217" si="465">BI154/BH154</f>
        <v>0.78058168159449004</v>
      </c>
      <c r="BR154" s="4">
        <f t="shared" si="331"/>
        <v>146.35</v>
      </c>
      <c r="BV154" s="9"/>
      <c r="BX154" s="9"/>
      <c r="BY154" s="9"/>
      <c r="BZ154" s="9">
        <f t="shared" si="383"/>
        <v>146.35</v>
      </c>
      <c r="CA154" s="9">
        <f t="shared" si="384"/>
        <v>146.35</v>
      </c>
      <c r="CB154" s="9">
        <f t="shared" si="403"/>
        <v>1.5981555686604758</v>
      </c>
      <c r="CC154" s="9">
        <v>0</v>
      </c>
      <c r="CD154" s="9">
        <f t="shared" si="306"/>
        <v>0</v>
      </c>
      <c r="CE154" s="9">
        <f t="shared" si="404"/>
        <v>0</v>
      </c>
      <c r="CF154" s="9">
        <f t="shared" si="385"/>
        <v>0.77971450958075206</v>
      </c>
      <c r="CG154" s="9">
        <f t="shared" si="386"/>
        <v>1.1046</v>
      </c>
      <c r="CH154" s="9">
        <f t="shared" si="405"/>
        <v>1.4829154235940361</v>
      </c>
      <c r="CI154" s="9">
        <f t="shared" si="406"/>
        <v>2.3699295420693169</v>
      </c>
      <c r="CJ154" s="9">
        <v>1</v>
      </c>
      <c r="CK154" s="9">
        <f t="shared" si="407"/>
        <v>255.35680615595049</v>
      </c>
      <c r="DH154" s="4">
        <f t="shared" si="362"/>
        <v>0</v>
      </c>
      <c r="DI154" s="4">
        <f t="shared" si="453"/>
        <v>684</v>
      </c>
      <c r="DL154" s="4">
        <f t="shared" si="365"/>
        <v>2.0424804324664502E-5</v>
      </c>
      <c r="DM154" s="4">
        <f t="shared" si="366"/>
        <v>5.6298233952568157</v>
      </c>
      <c r="DR154" s="38">
        <f t="shared" si="440"/>
        <v>54.655190126096059</v>
      </c>
      <c r="DS154" s="4">
        <f t="shared" si="411"/>
        <v>0.20262170774375035</v>
      </c>
      <c r="DU154" s="4">
        <f t="shared" si="441"/>
        <v>54.655190126096059</v>
      </c>
      <c r="DY154" s="4">
        <f t="shared" si="387"/>
        <v>0.85</v>
      </c>
      <c r="DZ154" s="4">
        <f t="shared" si="412"/>
        <v>0.84458987783595108</v>
      </c>
      <c r="EA154" s="4">
        <f t="shared" si="413"/>
        <v>1</v>
      </c>
      <c r="EB154" s="4">
        <f t="shared" si="414"/>
        <v>0.84458987783595108</v>
      </c>
      <c r="EE154" s="25"/>
      <c r="EH154" s="4">
        <f t="shared" si="454"/>
        <v>5.6298233952568157</v>
      </c>
      <c r="EK154" s="4">
        <f t="shared" si="368"/>
        <v>128.12669511073796</v>
      </c>
      <c r="EL154" s="4">
        <f t="shared" si="369"/>
        <v>2.2360679774997898</v>
      </c>
      <c r="EM154" s="4">
        <f t="shared" si="370"/>
        <v>7.5719110111830371E-2</v>
      </c>
      <c r="EP154" s="4">
        <f t="shared" si="332"/>
        <v>7.5719110111830371E-2</v>
      </c>
      <c r="EQ154" s="4">
        <f t="shared" si="333"/>
        <v>0.28101997507817955</v>
      </c>
      <c r="ER154" s="4">
        <f t="shared" si="371"/>
        <v>3.3883607929613855</v>
      </c>
      <c r="ES154" s="4">
        <f t="shared" si="388"/>
        <v>4.64708552147642</v>
      </c>
      <c r="ET154" s="4">
        <f t="shared" si="372"/>
        <v>384.87330488926204</v>
      </c>
      <c r="EU154" s="4">
        <f t="shared" si="373"/>
        <v>171</v>
      </c>
      <c r="EV154" s="4">
        <f t="shared" si="415"/>
        <v>2.0424804324664502E-5</v>
      </c>
      <c r="EW154" s="4">
        <f t="shared" si="389"/>
        <v>5.0199533535242882</v>
      </c>
      <c r="EX154" s="4">
        <f t="shared" ref="EX154:EX217" si="466">MIN(4/K154*(1*ER154*EK154+ES154*ET154+EU154*EW154)+DU154,MAX(G154,AB154))</f>
        <v>269.74005270559093</v>
      </c>
      <c r="FG154" s="23"/>
      <c r="FH154" s="23"/>
      <c r="FI154" s="23"/>
      <c r="FJ154" s="23"/>
      <c r="FK154" s="23"/>
      <c r="FL154" s="23"/>
      <c r="FM154" s="23"/>
      <c r="FN154" s="23"/>
      <c r="FX154" s="4">
        <f t="shared" si="416"/>
        <v>1</v>
      </c>
      <c r="FY154" s="4">
        <f t="shared" si="303"/>
        <v>1.0833333333333333</v>
      </c>
      <c r="FZ154" s="4">
        <f t="shared" si="417"/>
        <v>0</v>
      </c>
      <c r="GA154" s="4">
        <f t="shared" si="418"/>
        <v>162.25403989673589</v>
      </c>
    </row>
    <row r="155" spans="1:183" ht="12" customHeight="1" x14ac:dyDescent="0.3">
      <c r="A155" s="25">
        <v>137</v>
      </c>
      <c r="B155" s="24" t="s">
        <v>659</v>
      </c>
      <c r="C155" s="24">
        <v>2007</v>
      </c>
      <c r="D155" s="24" t="s">
        <v>309</v>
      </c>
      <c r="E155" s="24"/>
      <c r="F155" s="4" t="s">
        <v>114</v>
      </c>
      <c r="G155" s="7">
        <v>447.7</v>
      </c>
      <c r="H155" s="7">
        <v>684</v>
      </c>
      <c r="I155" s="7">
        <f t="shared" si="455"/>
        <v>684</v>
      </c>
      <c r="J155" s="7">
        <v>24.2</v>
      </c>
      <c r="K155" s="37">
        <v>57.3</v>
      </c>
      <c r="L155" s="7">
        <f t="shared" si="424"/>
        <v>11.93717277486911</v>
      </c>
      <c r="M155" s="7">
        <f t="shared" si="425"/>
        <v>11.93717277486911</v>
      </c>
      <c r="N155" s="7">
        <v>350</v>
      </c>
      <c r="O155" s="7">
        <f t="shared" si="447"/>
        <v>146.35</v>
      </c>
      <c r="P155" s="7">
        <f t="shared" si="456"/>
        <v>254</v>
      </c>
      <c r="Q155" s="7">
        <v>0</v>
      </c>
      <c r="R155" s="7">
        <v>1</v>
      </c>
      <c r="S155" s="7">
        <f t="shared" si="457"/>
        <v>853</v>
      </c>
      <c r="T155" s="7">
        <f t="shared" si="458"/>
        <v>3.0541012216404888</v>
      </c>
      <c r="U155" s="7">
        <f t="shared" si="459"/>
        <v>3.0541012216404888</v>
      </c>
      <c r="V155" s="7">
        <f t="shared" si="460"/>
        <v>4</v>
      </c>
      <c r="W155" s="7">
        <f t="shared" si="460"/>
        <v>4</v>
      </c>
      <c r="X155" s="7">
        <f t="shared" si="431"/>
        <v>5</v>
      </c>
      <c r="Y155" s="7">
        <f t="shared" si="352"/>
        <v>128.12669511073796</v>
      </c>
      <c r="Z155" s="7">
        <f t="shared" si="461"/>
        <v>447.7</v>
      </c>
      <c r="AA155" s="7">
        <v>20</v>
      </c>
      <c r="AB155" s="7"/>
      <c r="AC155" s="32" t="s">
        <v>183</v>
      </c>
      <c r="AD155" s="7"/>
      <c r="AE155" s="7"/>
      <c r="AF155" s="7"/>
      <c r="AG155" s="7">
        <v>1</v>
      </c>
      <c r="AH155" s="7"/>
      <c r="AI155" s="7"/>
      <c r="AJ155" s="7"/>
      <c r="AK155" s="4">
        <f t="shared" si="445"/>
        <v>684</v>
      </c>
      <c r="AL155" s="4">
        <f t="shared" si="448"/>
        <v>0.1705653021442495</v>
      </c>
      <c r="AM155" s="4">
        <f t="shared" si="449"/>
        <v>341.26575496815576</v>
      </c>
      <c r="AN155" s="4">
        <f t="shared" ref="AN155:AN164" si="467">MIN(0.7+0.3*N155/2/1.5/H155,1)</f>
        <v>0.75116959064327482</v>
      </c>
      <c r="AO155" s="4">
        <v>1.25</v>
      </c>
      <c r="AP155" s="25">
        <v>1</v>
      </c>
      <c r="AQ155" s="38">
        <f t="shared" si="462"/>
        <v>54.655190126095995</v>
      </c>
      <c r="AT155" s="38">
        <f t="shared" si="450"/>
        <v>54.655190126096059</v>
      </c>
      <c r="AU155" s="38">
        <f t="shared" si="400"/>
        <v>0.99999999999999878</v>
      </c>
      <c r="AV155" s="38">
        <f t="shared" si="328"/>
        <v>5.4091294453963004</v>
      </c>
      <c r="AW155" s="4">
        <f t="shared" si="323"/>
        <v>0</v>
      </c>
      <c r="AX155" s="4">
        <f t="shared" si="379"/>
        <v>309.06908170677718</v>
      </c>
      <c r="AY155" s="4">
        <f t="shared" si="380"/>
        <v>1</v>
      </c>
      <c r="AZ155" s="38">
        <f t="shared" si="438"/>
        <v>295.63699825479932</v>
      </c>
      <c r="BA155" s="4">
        <f t="shared" si="381"/>
        <v>0.44000000000000006</v>
      </c>
      <c r="BB155" s="4">
        <f t="shared" si="401"/>
        <v>71.054981884388084</v>
      </c>
      <c r="BC155" s="4">
        <f t="shared" si="402"/>
        <v>366.69198013918742</v>
      </c>
      <c r="BE155" s="4">
        <f t="shared" si="451"/>
        <v>1.3885253054101221</v>
      </c>
      <c r="BF155" s="4">
        <f t="shared" si="452"/>
        <v>449.53487752054093</v>
      </c>
      <c r="BH155" s="4">
        <f t="shared" si="463"/>
        <v>283.55203537536278</v>
      </c>
      <c r="BI155" s="4">
        <f t="shared" si="464"/>
        <v>221.33552459284101</v>
      </c>
      <c r="BJ155" s="4">
        <f t="shared" si="465"/>
        <v>0.78058168159449004</v>
      </c>
      <c r="BR155" s="4">
        <f t="shared" si="331"/>
        <v>146.35</v>
      </c>
      <c r="BV155" s="9"/>
      <c r="BX155" s="9"/>
      <c r="BY155" s="9"/>
      <c r="BZ155" s="9">
        <f t="shared" si="383"/>
        <v>146.35</v>
      </c>
      <c r="CA155" s="9">
        <f t="shared" si="384"/>
        <v>146.35</v>
      </c>
      <c r="CB155" s="9">
        <f t="shared" si="403"/>
        <v>1.5981555686604758</v>
      </c>
      <c r="CC155" s="9">
        <v>0</v>
      </c>
      <c r="CD155" s="9">
        <f t="shared" si="306"/>
        <v>0</v>
      </c>
      <c r="CE155" s="9">
        <f t="shared" si="404"/>
        <v>0</v>
      </c>
      <c r="CF155" s="9">
        <f t="shared" si="385"/>
        <v>0.77971450958075206</v>
      </c>
      <c r="CG155" s="9">
        <f t="shared" si="386"/>
        <v>1.1046</v>
      </c>
      <c r="CH155" s="9">
        <f t="shared" si="405"/>
        <v>1.4829154235940361</v>
      </c>
      <c r="CI155" s="9">
        <f t="shared" si="406"/>
        <v>2.3699295420693169</v>
      </c>
      <c r="CJ155" s="9">
        <v>1</v>
      </c>
      <c r="CK155" s="9">
        <f t="shared" si="407"/>
        <v>255.35680615595049</v>
      </c>
      <c r="DH155" s="4">
        <f t="shared" si="362"/>
        <v>0</v>
      </c>
      <c r="DI155" s="4">
        <f t="shared" si="453"/>
        <v>684</v>
      </c>
      <c r="DL155" s="4">
        <f t="shared" si="365"/>
        <v>2.0424804324664502E-5</v>
      </c>
      <c r="DM155" s="4">
        <f t="shared" si="366"/>
        <v>5.6298233952568157</v>
      </c>
      <c r="DR155" s="38">
        <f t="shared" si="440"/>
        <v>54.655190126096059</v>
      </c>
      <c r="DS155" s="4">
        <f t="shared" si="411"/>
        <v>0.20262170774375035</v>
      </c>
      <c r="DU155" s="4">
        <f t="shared" si="441"/>
        <v>54.655190126096059</v>
      </c>
      <c r="DY155" s="4">
        <f t="shared" si="387"/>
        <v>0.85</v>
      </c>
      <c r="DZ155" s="4">
        <f t="shared" si="412"/>
        <v>0.84458987783595108</v>
      </c>
      <c r="EA155" s="4">
        <f t="shared" si="413"/>
        <v>1</v>
      </c>
      <c r="EB155" s="4">
        <f t="shared" si="414"/>
        <v>0.84458987783595108</v>
      </c>
      <c r="EE155" s="25"/>
      <c r="EH155" s="4">
        <f t="shared" si="454"/>
        <v>5.6298233952568157</v>
      </c>
      <c r="EK155" s="4">
        <f t="shared" si="368"/>
        <v>128.12669511073796</v>
      </c>
      <c r="EL155" s="4">
        <f t="shared" si="369"/>
        <v>2.2360679774997898</v>
      </c>
      <c r="EM155" s="4">
        <f t="shared" si="370"/>
        <v>7.5719110111830371E-2</v>
      </c>
      <c r="EP155" s="4">
        <f t="shared" si="332"/>
        <v>7.5719110111830371E-2</v>
      </c>
      <c r="EQ155" s="4">
        <f t="shared" si="333"/>
        <v>0.28101997507817955</v>
      </c>
      <c r="ER155" s="4">
        <f t="shared" si="371"/>
        <v>3.3883607929613855</v>
      </c>
      <c r="ES155" s="4">
        <f t="shared" si="388"/>
        <v>4.64708552147642</v>
      </c>
      <c r="ET155" s="4">
        <f t="shared" si="372"/>
        <v>384.87330488926204</v>
      </c>
      <c r="EU155" s="4">
        <f t="shared" si="373"/>
        <v>171</v>
      </c>
      <c r="EV155" s="4">
        <f t="shared" si="415"/>
        <v>2.0424804324664502E-5</v>
      </c>
      <c r="EW155" s="4">
        <f t="shared" si="389"/>
        <v>5.0199533535242882</v>
      </c>
      <c r="EX155" s="4">
        <f t="shared" si="466"/>
        <v>269.74005270559093</v>
      </c>
      <c r="FG155" s="23"/>
      <c r="FH155" s="23"/>
      <c r="FI155" s="23"/>
      <c r="FJ155" s="23"/>
      <c r="FK155" s="23"/>
      <c r="FL155" s="23"/>
      <c r="FM155" s="23"/>
      <c r="FN155" s="23"/>
      <c r="FX155" s="4">
        <f t="shared" si="416"/>
        <v>1</v>
      </c>
      <c r="FY155" s="4">
        <f t="shared" si="303"/>
        <v>1.0833333333333333</v>
      </c>
      <c r="FZ155" s="4">
        <f t="shared" si="417"/>
        <v>0</v>
      </c>
      <c r="GA155" s="4">
        <f t="shared" si="418"/>
        <v>162.25403989673589</v>
      </c>
    </row>
    <row r="156" spans="1:183" ht="12" customHeight="1" x14ac:dyDescent="0.3">
      <c r="A156" s="25">
        <v>138</v>
      </c>
      <c r="B156" s="24" t="s">
        <v>659</v>
      </c>
      <c r="C156" s="24">
        <v>2007</v>
      </c>
      <c r="D156" s="24" t="s">
        <v>309</v>
      </c>
      <c r="E156" s="24"/>
      <c r="F156" s="4" t="s">
        <v>115</v>
      </c>
      <c r="G156" s="7">
        <v>447.7</v>
      </c>
      <c r="H156" s="7">
        <v>479</v>
      </c>
      <c r="I156" s="7">
        <f t="shared" si="455"/>
        <v>479</v>
      </c>
      <c r="J156" s="7">
        <v>24.2</v>
      </c>
      <c r="K156" s="37">
        <v>57.3</v>
      </c>
      <c r="L156" s="7">
        <f t="shared" si="424"/>
        <v>8.3595113438045381</v>
      </c>
      <c r="M156" s="7">
        <f t="shared" si="425"/>
        <v>8.3595113438045381</v>
      </c>
      <c r="N156" s="7">
        <v>350</v>
      </c>
      <c r="O156" s="7">
        <f t="shared" si="447"/>
        <v>146.35</v>
      </c>
      <c r="P156" s="7">
        <f t="shared" si="456"/>
        <v>459</v>
      </c>
      <c r="Q156" s="7">
        <v>0</v>
      </c>
      <c r="R156" s="7">
        <v>1</v>
      </c>
      <c r="S156" s="7">
        <f t="shared" si="457"/>
        <v>853</v>
      </c>
      <c r="T156" s="7">
        <f>O156/K156+0.5</f>
        <v>3.0541012216404888</v>
      </c>
      <c r="U156" s="7">
        <f>O156/K156+0.5</f>
        <v>3.0541012216404888</v>
      </c>
      <c r="V156" s="7">
        <f t="shared" si="460"/>
        <v>4</v>
      </c>
      <c r="W156" s="7">
        <f t="shared" si="460"/>
        <v>4</v>
      </c>
      <c r="X156" s="7">
        <f t="shared" si="431"/>
        <v>5</v>
      </c>
      <c r="Y156" s="7">
        <f t="shared" si="352"/>
        <v>128.12669511073796</v>
      </c>
      <c r="Z156" s="7">
        <f t="shared" si="461"/>
        <v>447.7</v>
      </c>
      <c r="AA156" s="7">
        <v>20</v>
      </c>
      <c r="AB156" s="7">
        <f>309/2581*1000</f>
        <v>119.72103835722588</v>
      </c>
      <c r="AC156" s="32"/>
      <c r="AD156" s="7"/>
      <c r="AE156" s="7"/>
      <c r="AF156" s="7"/>
      <c r="AG156" s="7">
        <v>1</v>
      </c>
      <c r="AH156" s="7"/>
      <c r="AI156" s="7"/>
      <c r="AJ156" s="7"/>
      <c r="AK156" s="4">
        <f t="shared" si="445"/>
        <v>479</v>
      </c>
      <c r="AL156" s="4">
        <f t="shared" si="448"/>
        <v>0.24356297842727906</v>
      </c>
      <c r="AM156" s="4">
        <f t="shared" si="449"/>
        <v>199.9916335695587</v>
      </c>
      <c r="AN156" s="4">
        <f t="shared" si="467"/>
        <v>0.77306889352818364</v>
      </c>
      <c r="AO156" s="4">
        <v>1.25</v>
      </c>
      <c r="AP156" s="25">
        <v>1</v>
      </c>
      <c r="AQ156" s="38">
        <f t="shared" si="462"/>
        <v>47.070771405253517</v>
      </c>
      <c r="AT156" s="38">
        <f t="shared" si="450"/>
        <v>47.070771405253538</v>
      </c>
      <c r="AU156" s="38">
        <f t="shared" si="400"/>
        <v>0.99999999999999956</v>
      </c>
      <c r="AV156" s="38">
        <f t="shared" si="328"/>
        <v>6.2806915932931462</v>
      </c>
      <c r="AW156" s="4">
        <f t="shared" si="323"/>
        <v>0</v>
      </c>
      <c r="AX156" s="4">
        <f t="shared" si="379"/>
        <v>216.43872827126648</v>
      </c>
      <c r="AY156" s="4">
        <f t="shared" si="380"/>
        <v>1</v>
      </c>
      <c r="AZ156" s="38">
        <f t="shared" si="438"/>
        <v>295.63699825479932</v>
      </c>
      <c r="BA156" s="4">
        <f t="shared" si="381"/>
        <v>0.44000000000000006</v>
      </c>
      <c r="BB156" s="4">
        <f t="shared" si="401"/>
        <v>49.759263629564167</v>
      </c>
      <c r="BC156" s="4">
        <f t="shared" si="402"/>
        <v>345.39626188436347</v>
      </c>
      <c r="BE156" s="4">
        <f t="shared" si="451"/>
        <v>1.3885253054101221</v>
      </c>
      <c r="BF156" s="4">
        <f t="shared" si="452"/>
        <v>376.22171133779551</v>
      </c>
      <c r="BH156" s="4">
        <f t="shared" si="463"/>
        <v>283.55203537536278</v>
      </c>
      <c r="BI156" s="4">
        <f t="shared" si="464"/>
        <v>221.33552459284101</v>
      </c>
      <c r="BJ156" s="4">
        <f t="shared" si="465"/>
        <v>0.78058168159449004</v>
      </c>
      <c r="BR156" s="4">
        <f t="shared" si="331"/>
        <v>146.35</v>
      </c>
      <c r="BV156" s="9"/>
      <c r="BX156" s="9"/>
      <c r="BY156" s="9"/>
      <c r="BZ156" s="9">
        <f t="shared" si="383"/>
        <v>146.35</v>
      </c>
      <c r="CA156" s="9">
        <f t="shared" si="384"/>
        <v>146.35</v>
      </c>
      <c r="CB156" s="9">
        <f t="shared" si="403"/>
        <v>1.5981555686604758</v>
      </c>
      <c r="CC156" s="9">
        <v>0</v>
      </c>
      <c r="CD156" s="9">
        <f t="shared" si="306"/>
        <v>0</v>
      </c>
      <c r="CE156" s="9">
        <f t="shared" si="404"/>
        <v>0</v>
      </c>
      <c r="CF156" s="9">
        <f t="shared" si="385"/>
        <v>0.77971450958075206</v>
      </c>
      <c r="CG156" s="9">
        <f t="shared" si="386"/>
        <v>1.1046</v>
      </c>
      <c r="CH156" s="9">
        <f t="shared" si="405"/>
        <v>1.4829154235940361</v>
      </c>
      <c r="CI156" s="9">
        <f t="shared" si="406"/>
        <v>2.3699295420693169</v>
      </c>
      <c r="CJ156" s="9">
        <v>1</v>
      </c>
      <c r="CK156" s="9">
        <f t="shared" si="407"/>
        <v>221.44158408794283</v>
      </c>
      <c r="DH156" s="4">
        <f t="shared" si="362"/>
        <v>0</v>
      </c>
      <c r="DI156" s="4">
        <f t="shared" si="453"/>
        <v>479</v>
      </c>
      <c r="DL156" s="4">
        <f t="shared" si="365"/>
        <v>1.4303335192272361E-5</v>
      </c>
      <c r="DM156" s="4">
        <f t="shared" si="366"/>
        <v>5.6298233952568157</v>
      </c>
      <c r="DR156" s="38">
        <f t="shared" si="440"/>
        <v>47.070771405253538</v>
      </c>
      <c r="DS156" s="4">
        <f t="shared" si="411"/>
        <v>0.24247237022892729</v>
      </c>
      <c r="DU156" s="4">
        <f t="shared" si="441"/>
        <v>47.070771405253538</v>
      </c>
      <c r="DY156" s="4">
        <f t="shared" si="387"/>
        <v>0.85</v>
      </c>
      <c r="DZ156" s="4">
        <f t="shared" si="412"/>
        <v>0.84458987783595108</v>
      </c>
      <c r="EA156" s="4">
        <f t="shared" si="413"/>
        <v>1</v>
      </c>
      <c r="EB156" s="4">
        <f t="shared" si="414"/>
        <v>0.84458987783595108</v>
      </c>
      <c r="EE156" s="25"/>
      <c r="EH156" s="4">
        <f t="shared" si="454"/>
        <v>5.6298233952568157</v>
      </c>
      <c r="EK156" s="4">
        <f t="shared" si="368"/>
        <v>128.12669511073796</v>
      </c>
      <c r="EL156" s="4">
        <f t="shared" si="369"/>
        <v>2.2360679774997898</v>
      </c>
      <c r="EM156" s="4">
        <f t="shared" si="370"/>
        <v>6.5211682822075137E-2</v>
      </c>
      <c r="EP156" s="4">
        <f t="shared" si="332"/>
        <v>6.5211682822075137E-2</v>
      </c>
      <c r="EQ156" s="4">
        <f t="shared" si="333"/>
        <v>0.24202325482167125</v>
      </c>
      <c r="ER156" s="4">
        <f t="shared" si="371"/>
        <v>3.1918142575020001</v>
      </c>
      <c r="ES156" s="4">
        <f t="shared" si="388"/>
        <v>4.5773455930716711</v>
      </c>
      <c r="ET156" s="4">
        <f t="shared" si="372"/>
        <v>231.12330488926204</v>
      </c>
      <c r="EU156" s="4">
        <f t="shared" si="373"/>
        <v>119.75</v>
      </c>
      <c r="EV156" s="4">
        <f t="shared" si="415"/>
        <v>1.4303335192272361E-5</v>
      </c>
      <c r="EW156" s="4">
        <f t="shared" si="389"/>
        <v>5.3420673548371704</v>
      </c>
      <c r="EX156" s="4">
        <f t="shared" si="466"/>
        <v>194.12839228161235</v>
      </c>
      <c r="FG156" s="23"/>
      <c r="FH156" s="23"/>
      <c r="FI156" s="23"/>
      <c r="FJ156" s="23"/>
      <c r="FK156" s="23"/>
      <c r="FL156" s="23"/>
      <c r="FM156" s="23"/>
      <c r="FN156" s="23"/>
      <c r="FX156" s="4">
        <f t="shared" si="416"/>
        <v>1</v>
      </c>
      <c r="FY156" s="4">
        <f t="shared" si="303"/>
        <v>1.0833333333333333</v>
      </c>
      <c r="FZ156" s="4">
        <f t="shared" si="417"/>
        <v>0</v>
      </c>
      <c r="GA156" s="4">
        <f t="shared" si="418"/>
        <v>113.62527062943933</v>
      </c>
    </row>
    <row r="157" spans="1:183" ht="12" customHeight="1" x14ac:dyDescent="0.3">
      <c r="A157" s="25">
        <v>139</v>
      </c>
      <c r="B157" s="24" t="s">
        <v>659</v>
      </c>
      <c r="C157" s="24">
        <v>2007</v>
      </c>
      <c r="D157" s="24" t="s">
        <v>309</v>
      </c>
      <c r="E157" s="24"/>
      <c r="F157" s="4" t="s">
        <v>116</v>
      </c>
      <c r="G157" s="7">
        <v>450.6</v>
      </c>
      <c r="H157" s="7">
        <v>372</v>
      </c>
      <c r="I157" s="7">
        <f t="shared" si="455"/>
        <v>372</v>
      </c>
      <c r="J157" s="7">
        <v>24.6</v>
      </c>
      <c r="K157" s="7">
        <v>35.799999999999997</v>
      </c>
      <c r="L157" s="7">
        <f t="shared" si="424"/>
        <v>10.391061452513968</v>
      </c>
      <c r="M157" s="7">
        <f t="shared" si="425"/>
        <v>10.391061452513968</v>
      </c>
      <c r="N157" s="7">
        <v>220</v>
      </c>
      <c r="O157" s="7">
        <f t="shared" si="447"/>
        <v>92.1</v>
      </c>
      <c r="P157" s="7">
        <f>434-12-I157</f>
        <v>50</v>
      </c>
      <c r="Q157" s="7">
        <v>0</v>
      </c>
      <c r="R157" s="7">
        <v>1</v>
      </c>
      <c r="S157" s="7">
        <f>434-65</f>
        <v>369</v>
      </c>
      <c r="T157" s="7">
        <f t="shared" si="458"/>
        <v>3.0726256983240225</v>
      </c>
      <c r="U157" s="7">
        <f t="shared" si="459"/>
        <v>3.0726256983240225</v>
      </c>
      <c r="V157" s="7">
        <f>4024/1006</f>
        <v>4</v>
      </c>
      <c r="W157" s="7">
        <f>4024/1006</f>
        <v>4</v>
      </c>
      <c r="X157" s="7">
        <f t="shared" si="431"/>
        <v>5</v>
      </c>
      <c r="Y157" s="7">
        <f t="shared" si="352"/>
        <v>80.051233594492473</v>
      </c>
      <c r="Z157" s="7">
        <f t="shared" si="461"/>
        <v>450.6</v>
      </c>
      <c r="AA157" s="7">
        <v>12</v>
      </c>
      <c r="AB157" s="7"/>
      <c r="AC157" s="32" t="s">
        <v>183</v>
      </c>
      <c r="AD157" s="7"/>
      <c r="AE157" s="7"/>
      <c r="AF157" s="7"/>
      <c r="AG157" s="7">
        <v>1</v>
      </c>
      <c r="AH157" s="7"/>
      <c r="AI157" s="7"/>
      <c r="AJ157" s="7"/>
      <c r="AK157" s="4">
        <f t="shared" si="445"/>
        <v>372</v>
      </c>
      <c r="AL157" s="4">
        <f t="shared" si="448"/>
        <v>0.1971326164874552</v>
      </c>
      <c r="AM157" s="4">
        <f t="shared" si="449"/>
        <v>353.52980095027158</v>
      </c>
      <c r="AN157" s="4">
        <f t="shared" si="467"/>
        <v>0.75913978494623646</v>
      </c>
      <c r="AO157" s="4">
        <v>1.25</v>
      </c>
      <c r="AP157" s="25">
        <v>1</v>
      </c>
      <c r="AQ157" s="38">
        <f t="shared" si="462"/>
        <v>66.132704025990705</v>
      </c>
      <c r="AT157" s="38">
        <f t="shared" si="450"/>
        <v>66.132704025990748</v>
      </c>
      <c r="AU157" s="38">
        <f t="shared" si="400"/>
        <v>0.99999999999999933</v>
      </c>
      <c r="AV157" s="38">
        <f t="shared" si="328"/>
        <v>4.5718131923996177</v>
      </c>
      <c r="AW157" s="4">
        <f t="shared" si="323"/>
        <v>0</v>
      </c>
      <c r="AX157" s="4">
        <f t="shared" si="379"/>
        <v>271.25257262928875</v>
      </c>
      <c r="AY157" s="4">
        <f t="shared" si="380"/>
        <v>1</v>
      </c>
      <c r="AZ157" s="38">
        <f t="shared" si="438"/>
        <v>302.34636871508383</v>
      </c>
      <c r="BA157" s="4">
        <f t="shared" si="381"/>
        <v>0.44000000000000006</v>
      </c>
      <c r="BB157" s="4">
        <f t="shared" si="401"/>
        <v>62.360966447473494</v>
      </c>
      <c r="BC157" s="4">
        <f t="shared" si="402"/>
        <v>364.70733516255734</v>
      </c>
      <c r="BE157" s="4">
        <f t="shared" si="451"/>
        <v>1.3931564245810057</v>
      </c>
      <c r="BF157" s="4">
        <f t="shared" si="452"/>
        <v>422.69637540686551</v>
      </c>
      <c r="BH157" s="4">
        <f t="shared" si="463"/>
        <v>289.98714214931721</v>
      </c>
      <c r="BI157" s="4">
        <f t="shared" si="464"/>
        <v>363.03340318192352</v>
      </c>
      <c r="BJ157" s="4">
        <f t="shared" si="465"/>
        <v>1.2518948270988997</v>
      </c>
      <c r="BR157" s="4">
        <f t="shared" si="331"/>
        <v>92.1</v>
      </c>
      <c r="BV157" s="9"/>
      <c r="BX157" s="9"/>
      <c r="BY157" s="9"/>
      <c r="BZ157" s="9">
        <f t="shared" si="383"/>
        <v>50</v>
      </c>
      <c r="CA157" s="9">
        <f t="shared" si="384"/>
        <v>92.1</v>
      </c>
      <c r="CB157" s="9">
        <f t="shared" si="403"/>
        <v>1.2952002892239232</v>
      </c>
      <c r="CC157" s="9">
        <v>0</v>
      </c>
      <c r="CD157" s="9">
        <f t="shared" si="306"/>
        <v>0</v>
      </c>
      <c r="CE157" s="9">
        <f t="shared" si="404"/>
        <v>0</v>
      </c>
      <c r="CF157" s="9">
        <f t="shared" si="385"/>
        <v>0.89787751228078194</v>
      </c>
      <c r="CG157" s="9">
        <f t="shared" si="386"/>
        <v>1.0988</v>
      </c>
      <c r="CH157" s="9">
        <f t="shared" si="405"/>
        <v>1.7126607436390533</v>
      </c>
      <c r="CI157" s="9">
        <f t="shared" si="406"/>
        <v>2.2182386905037612</v>
      </c>
      <c r="CJ157" s="9">
        <v>1</v>
      </c>
      <c r="CK157" s="9">
        <f t="shared" si="407"/>
        <v>225.29373962770046</v>
      </c>
      <c r="DH157" s="4">
        <f t="shared" si="362"/>
        <v>0</v>
      </c>
      <c r="DI157" s="4">
        <f t="shared" si="453"/>
        <v>372</v>
      </c>
      <c r="DL157" s="4">
        <f t="shared" si="365"/>
        <v>1.7833504313203137E-5</v>
      </c>
      <c r="DM157" s="4">
        <f t="shared" si="366"/>
        <v>5.6886371181108544</v>
      </c>
      <c r="DR157" s="38">
        <f t="shared" si="440"/>
        <v>66.132704025990748</v>
      </c>
      <c r="DS157" s="4">
        <f t="shared" si="411"/>
        <v>0.26356326816005199</v>
      </c>
      <c r="DU157" s="4">
        <f t="shared" si="441"/>
        <v>66.132704025990748</v>
      </c>
      <c r="DY157" s="4">
        <f t="shared" si="387"/>
        <v>0.85</v>
      </c>
      <c r="DZ157" s="4">
        <f t="shared" si="412"/>
        <v>0.84273743016759772</v>
      </c>
      <c r="EA157" s="4">
        <f t="shared" si="413"/>
        <v>1</v>
      </c>
      <c r="EB157" s="4">
        <f t="shared" si="414"/>
        <v>0.84273743016759772</v>
      </c>
      <c r="EE157" s="25"/>
      <c r="EH157" s="4">
        <f t="shared" si="454"/>
        <v>5.6886371181108544</v>
      </c>
      <c r="EK157" s="4">
        <f t="shared" si="368"/>
        <v>80.051233594492473</v>
      </c>
      <c r="EL157" s="4">
        <f t="shared" si="369"/>
        <v>2.2360679774997898</v>
      </c>
      <c r="EM157" s="4">
        <f t="shared" si="370"/>
        <v>5.6775230548321946E-2</v>
      </c>
      <c r="EP157" s="4">
        <f t="shared" si="332"/>
        <v>5.6775230548321946E-2</v>
      </c>
      <c r="EQ157" s="4">
        <f t="shared" si="333"/>
        <v>0.20899251175674796</v>
      </c>
      <c r="ER157" s="4">
        <f t="shared" si="371"/>
        <v>3.0413088165266138</v>
      </c>
      <c r="ES157" s="4">
        <f t="shared" si="388"/>
        <v>4.5629208180888385</v>
      </c>
      <c r="ET157" s="4">
        <f t="shared" si="372"/>
        <v>198.94876640550751</v>
      </c>
      <c r="EU157" s="4">
        <f t="shared" si="373"/>
        <v>93</v>
      </c>
      <c r="EV157" s="4">
        <f t="shared" si="415"/>
        <v>1.7833504313203137E-5</v>
      </c>
      <c r="EW157" s="4">
        <f t="shared" si="389"/>
        <v>5.4040670108283386</v>
      </c>
      <c r="EX157" s="4">
        <f t="shared" si="466"/>
        <v>250.91775681667013</v>
      </c>
      <c r="FG157" s="23"/>
      <c r="FH157" s="23"/>
      <c r="FI157" s="23"/>
      <c r="FJ157" s="23"/>
      <c r="FK157" s="23"/>
      <c r="FL157" s="23"/>
      <c r="FM157" s="23"/>
      <c r="FN157" s="23"/>
      <c r="FX157" s="4">
        <f t="shared" si="416"/>
        <v>1</v>
      </c>
      <c r="FY157" s="4">
        <f t="shared" si="303"/>
        <v>1.0833333333333333</v>
      </c>
      <c r="FZ157" s="4">
        <f t="shared" si="417"/>
        <v>0</v>
      </c>
      <c r="GA157" s="4">
        <f t="shared" si="418"/>
        <v>179.41951788441713</v>
      </c>
    </row>
    <row r="158" spans="1:183" ht="12" customHeight="1" x14ac:dyDescent="0.3">
      <c r="A158" s="25">
        <v>140</v>
      </c>
      <c r="B158" s="24" t="s">
        <v>659</v>
      </c>
      <c r="C158" s="24">
        <v>2007</v>
      </c>
      <c r="D158" s="24" t="s">
        <v>309</v>
      </c>
      <c r="E158" s="24"/>
      <c r="F158" s="4" t="s">
        <v>117</v>
      </c>
      <c r="G158" s="7">
        <v>450.6</v>
      </c>
      <c r="H158" s="7">
        <v>295</v>
      </c>
      <c r="I158" s="7">
        <f t="shared" si="455"/>
        <v>295</v>
      </c>
      <c r="J158" s="7">
        <v>24.6</v>
      </c>
      <c r="K158" s="7">
        <v>35.799999999999997</v>
      </c>
      <c r="L158" s="7">
        <f t="shared" si="424"/>
        <v>8.2402234636871512</v>
      </c>
      <c r="M158" s="7">
        <f t="shared" si="425"/>
        <v>8.2402234636871512</v>
      </c>
      <c r="N158" s="7">
        <v>220</v>
      </c>
      <c r="O158" s="7">
        <f t="shared" si="447"/>
        <v>92.1</v>
      </c>
      <c r="P158" s="7">
        <f t="shared" ref="P158:P160" si="468">434-12-I158</f>
        <v>127</v>
      </c>
      <c r="Q158" s="7">
        <v>0</v>
      </c>
      <c r="R158" s="7">
        <v>1</v>
      </c>
      <c r="S158" s="7">
        <f>434-65</f>
        <v>369</v>
      </c>
      <c r="T158" s="7">
        <f t="shared" si="458"/>
        <v>3.0726256983240225</v>
      </c>
      <c r="U158" s="7">
        <f t="shared" si="459"/>
        <v>3.0726256983240225</v>
      </c>
      <c r="V158" s="7">
        <f t="shared" si="460"/>
        <v>4</v>
      </c>
      <c r="W158" s="7">
        <f t="shared" si="460"/>
        <v>4</v>
      </c>
      <c r="X158" s="7">
        <f t="shared" si="431"/>
        <v>5</v>
      </c>
      <c r="Y158" s="7">
        <f t="shared" si="352"/>
        <v>80.051233594492473</v>
      </c>
      <c r="Z158" s="7">
        <f t="shared" si="461"/>
        <v>450.6</v>
      </c>
      <c r="AA158" s="7">
        <v>12</v>
      </c>
      <c r="AB158" s="7"/>
      <c r="AC158" s="32" t="s">
        <v>183</v>
      </c>
      <c r="AD158" s="7"/>
      <c r="AE158" s="7"/>
      <c r="AF158" s="7"/>
      <c r="AG158" s="7">
        <v>1</v>
      </c>
      <c r="AH158" s="7"/>
      <c r="AI158" s="7"/>
      <c r="AJ158" s="7"/>
      <c r="AK158" s="4">
        <f t="shared" si="445"/>
        <v>295</v>
      </c>
      <c r="AL158" s="4">
        <f t="shared" si="448"/>
        <v>0.24858757062146894</v>
      </c>
      <c r="AM158" s="4">
        <f t="shared" si="449"/>
        <v>249.65751469880246</v>
      </c>
      <c r="AN158" s="4">
        <f t="shared" si="467"/>
        <v>0.77457627118644068</v>
      </c>
      <c r="AO158" s="4">
        <v>1.25</v>
      </c>
      <c r="AP158" s="25">
        <v>1</v>
      </c>
      <c r="AQ158" s="38">
        <f t="shared" si="462"/>
        <v>60.089453528242842</v>
      </c>
      <c r="AT158" s="38">
        <f t="shared" si="450"/>
        <v>60.089453528242863</v>
      </c>
      <c r="AU158" s="38">
        <f t="shared" si="400"/>
        <v>0.99999999999999967</v>
      </c>
      <c r="AV158" s="38">
        <f t="shared" si="328"/>
        <v>5.0316045655661839</v>
      </c>
      <c r="AW158" s="4">
        <f t="shared" si="323"/>
        <v>0</v>
      </c>
      <c r="AX158" s="4">
        <f t="shared" si="379"/>
        <v>215.10620678935533</v>
      </c>
      <c r="AY158" s="4">
        <f t="shared" si="380"/>
        <v>1</v>
      </c>
      <c r="AZ158" s="38">
        <f t="shared" si="438"/>
        <v>302.34636871508383</v>
      </c>
      <c r="BA158" s="4">
        <f t="shared" si="381"/>
        <v>0.44000000000000006</v>
      </c>
      <c r="BB158" s="4">
        <f t="shared" si="401"/>
        <v>49.452916940872797</v>
      </c>
      <c r="BC158" s="4">
        <f t="shared" si="402"/>
        <v>351.79928565595662</v>
      </c>
      <c r="BE158" s="4">
        <f t="shared" si="451"/>
        <v>1.3931564245810057</v>
      </c>
      <c r="BF158" s="4">
        <f t="shared" si="452"/>
        <v>378.1105933434016</v>
      </c>
      <c r="BH158" s="4">
        <f t="shared" si="463"/>
        <v>289.98714214931721</v>
      </c>
      <c r="BI158" s="4">
        <f t="shared" si="464"/>
        <v>363.03340318192352</v>
      </c>
      <c r="BJ158" s="4">
        <f t="shared" si="465"/>
        <v>1.2518948270988997</v>
      </c>
      <c r="BR158" s="4">
        <f t="shared" si="331"/>
        <v>92.1</v>
      </c>
      <c r="BV158" s="9"/>
      <c r="BX158" s="9"/>
      <c r="BY158" s="9"/>
      <c r="BZ158" s="9">
        <f t="shared" si="383"/>
        <v>92.1</v>
      </c>
      <c r="CA158" s="9">
        <f t="shared" si="384"/>
        <v>92.1</v>
      </c>
      <c r="CB158" s="9">
        <f t="shared" si="403"/>
        <v>1.6039406779317067</v>
      </c>
      <c r="CC158" s="9">
        <v>0</v>
      </c>
      <c r="CD158" s="9">
        <f t="shared" si="306"/>
        <v>0</v>
      </c>
      <c r="CE158" s="9">
        <f t="shared" si="404"/>
        <v>0</v>
      </c>
      <c r="CF158" s="9">
        <f t="shared" si="385"/>
        <v>0.89787751228078194</v>
      </c>
      <c r="CG158" s="9">
        <f t="shared" si="386"/>
        <v>1.0988</v>
      </c>
      <c r="CH158" s="9">
        <f t="shared" si="405"/>
        <v>1.7126607436390533</v>
      </c>
      <c r="CI158" s="9">
        <f t="shared" si="406"/>
        <v>2.7470062342194441</v>
      </c>
      <c r="CJ158" s="9">
        <v>1</v>
      </c>
      <c r="CK158" s="9">
        <f t="shared" si="407"/>
        <v>255.36415495760644</v>
      </c>
      <c r="DH158" s="4">
        <f t="shared" si="362"/>
        <v>0</v>
      </c>
      <c r="DI158" s="4">
        <f t="shared" si="453"/>
        <v>295</v>
      </c>
      <c r="DL158" s="4">
        <f t="shared" si="365"/>
        <v>1.4142160678480981E-5</v>
      </c>
      <c r="DM158" s="4">
        <f t="shared" si="366"/>
        <v>5.6886371181108544</v>
      </c>
      <c r="DR158" s="38">
        <f t="shared" si="440"/>
        <v>60.089453528242863</v>
      </c>
      <c r="DS158" s="4">
        <f t="shared" si="411"/>
        <v>0.29583762773159056</v>
      </c>
      <c r="DU158" s="4">
        <f t="shared" si="441"/>
        <v>60.089453528242863</v>
      </c>
      <c r="DY158" s="4">
        <f t="shared" si="387"/>
        <v>0.85</v>
      </c>
      <c r="DZ158" s="4">
        <f t="shared" si="412"/>
        <v>0.84273743016759772</v>
      </c>
      <c r="EA158" s="4">
        <f t="shared" si="413"/>
        <v>1</v>
      </c>
      <c r="EB158" s="4">
        <f t="shared" si="414"/>
        <v>0.84273743016759772</v>
      </c>
      <c r="EE158" s="25"/>
      <c r="EH158" s="4">
        <f t="shared" si="454"/>
        <v>5.6886371181108544</v>
      </c>
      <c r="EK158" s="4">
        <f t="shared" si="368"/>
        <v>80.051233594492473</v>
      </c>
      <c r="EL158" s="4">
        <f t="shared" si="369"/>
        <v>2.2360679774997898</v>
      </c>
      <c r="EM158" s="4">
        <f t="shared" si="370"/>
        <v>5.1587072203306245E-2</v>
      </c>
      <c r="EP158" s="4">
        <f t="shared" si="332"/>
        <v>5.1587072203306245E-2</v>
      </c>
      <c r="EQ158" s="4">
        <f t="shared" si="333"/>
        <v>0.18989463697148015</v>
      </c>
      <c r="ER158" s="4">
        <f t="shared" si="371"/>
        <v>2.9269365675660954</v>
      </c>
      <c r="ES158" s="4">
        <f t="shared" si="388"/>
        <v>4.5257142689842214</v>
      </c>
      <c r="ET158" s="4">
        <f t="shared" si="372"/>
        <v>141.19876640550751</v>
      </c>
      <c r="EU158" s="4">
        <f t="shared" si="373"/>
        <v>73.75</v>
      </c>
      <c r="EV158" s="4">
        <f t="shared" si="415"/>
        <v>1.4142160678480981E-5</v>
      </c>
      <c r="EW158" s="4">
        <f t="shared" si="389"/>
        <v>5.5153952400549962</v>
      </c>
      <c r="EX158" s="4">
        <f t="shared" si="466"/>
        <v>203.1163310394079</v>
      </c>
      <c r="FG158" s="23"/>
      <c r="FH158" s="23"/>
      <c r="FI158" s="23"/>
      <c r="FJ158" s="23"/>
      <c r="FK158" s="23"/>
      <c r="FL158" s="23"/>
      <c r="FM158" s="23"/>
      <c r="FN158" s="23"/>
      <c r="FX158" s="4">
        <f t="shared" si="416"/>
        <v>1</v>
      </c>
      <c r="FY158" s="4">
        <f t="shared" si="303"/>
        <v>1.0833333333333333</v>
      </c>
      <c r="FZ158" s="4">
        <f t="shared" si="417"/>
        <v>0</v>
      </c>
      <c r="GA158" s="4">
        <f t="shared" si="418"/>
        <v>142.28160692447059</v>
      </c>
    </row>
    <row r="159" spans="1:183" ht="12" customHeight="1" x14ac:dyDescent="0.3">
      <c r="A159" s="25">
        <v>141</v>
      </c>
      <c r="B159" s="24" t="s">
        <v>659</v>
      </c>
      <c r="C159" s="24">
        <v>2007</v>
      </c>
      <c r="D159" s="24" t="s">
        <v>309</v>
      </c>
      <c r="E159" s="24"/>
      <c r="F159" s="4" t="s">
        <v>118</v>
      </c>
      <c r="G159" s="7">
        <v>450.6</v>
      </c>
      <c r="H159" s="7">
        <v>295</v>
      </c>
      <c r="I159" s="7">
        <f t="shared" si="455"/>
        <v>295</v>
      </c>
      <c r="J159" s="7">
        <v>24.6</v>
      </c>
      <c r="K159" s="7">
        <v>35.799999999999997</v>
      </c>
      <c r="L159" s="7">
        <f t="shared" si="424"/>
        <v>8.2402234636871512</v>
      </c>
      <c r="M159" s="7">
        <f t="shared" si="425"/>
        <v>8.2402234636871512</v>
      </c>
      <c r="N159" s="7">
        <v>220</v>
      </c>
      <c r="O159" s="7">
        <f t="shared" si="447"/>
        <v>92.1</v>
      </c>
      <c r="P159" s="7">
        <f t="shared" si="468"/>
        <v>127</v>
      </c>
      <c r="Q159" s="7">
        <v>0</v>
      </c>
      <c r="R159" s="7">
        <v>1</v>
      </c>
      <c r="S159" s="7">
        <f>434-65</f>
        <v>369</v>
      </c>
      <c r="T159" s="7">
        <f t="shared" si="458"/>
        <v>3.0726256983240225</v>
      </c>
      <c r="U159" s="7">
        <f t="shared" si="459"/>
        <v>3.0726256983240225</v>
      </c>
      <c r="V159" s="7">
        <f t="shared" si="460"/>
        <v>4</v>
      </c>
      <c r="W159" s="7">
        <f t="shared" si="460"/>
        <v>4</v>
      </c>
      <c r="X159" s="7">
        <f t="shared" si="431"/>
        <v>5</v>
      </c>
      <c r="Y159" s="7">
        <f t="shared" si="352"/>
        <v>80.051233594492473</v>
      </c>
      <c r="Z159" s="7">
        <f t="shared" si="461"/>
        <v>450.6</v>
      </c>
      <c r="AA159" s="7">
        <v>12</v>
      </c>
      <c r="AB159" s="7"/>
      <c r="AC159" s="32" t="s">
        <v>183</v>
      </c>
      <c r="AD159" s="7"/>
      <c r="AE159" s="7"/>
      <c r="AF159" s="7"/>
      <c r="AG159" s="7">
        <v>1</v>
      </c>
      <c r="AH159" s="7"/>
      <c r="AI159" s="7"/>
      <c r="AJ159" s="7"/>
      <c r="AK159" s="4">
        <f t="shared" si="445"/>
        <v>295</v>
      </c>
      <c r="AL159" s="4">
        <f t="shared" si="448"/>
        <v>0.24858757062146894</v>
      </c>
      <c r="AM159" s="4">
        <f t="shared" si="449"/>
        <v>249.65751469880246</v>
      </c>
      <c r="AN159" s="4">
        <f t="shared" si="467"/>
        <v>0.77457627118644068</v>
      </c>
      <c r="AO159" s="4">
        <v>1.25</v>
      </c>
      <c r="AP159" s="25">
        <v>1</v>
      </c>
      <c r="AQ159" s="38">
        <f t="shared" si="462"/>
        <v>60.089453528242842</v>
      </c>
      <c r="AT159" s="38">
        <f t="shared" si="450"/>
        <v>60.089453528242863</v>
      </c>
      <c r="AU159" s="38">
        <f t="shared" si="400"/>
        <v>0.99999999999999967</v>
      </c>
      <c r="AV159" s="38">
        <f t="shared" si="328"/>
        <v>5.0316045655661839</v>
      </c>
      <c r="AW159" s="4">
        <f t="shared" si="323"/>
        <v>0</v>
      </c>
      <c r="AX159" s="4">
        <f t="shared" si="379"/>
        <v>215.10620678935533</v>
      </c>
      <c r="AY159" s="4">
        <f t="shared" si="380"/>
        <v>1</v>
      </c>
      <c r="AZ159" s="38">
        <f t="shared" si="438"/>
        <v>302.34636871508383</v>
      </c>
      <c r="BA159" s="4">
        <f t="shared" si="381"/>
        <v>0.44000000000000006</v>
      </c>
      <c r="BB159" s="4">
        <f t="shared" si="401"/>
        <v>49.452916940872797</v>
      </c>
      <c r="BC159" s="4">
        <f t="shared" si="402"/>
        <v>351.79928565595662</v>
      </c>
      <c r="BE159" s="4">
        <f t="shared" si="451"/>
        <v>1.3931564245810057</v>
      </c>
      <c r="BF159" s="4">
        <f t="shared" si="452"/>
        <v>378.1105933434016</v>
      </c>
      <c r="BH159" s="4">
        <f t="shared" si="463"/>
        <v>289.98714214931721</v>
      </c>
      <c r="BI159" s="4">
        <f t="shared" si="464"/>
        <v>363.03340318192352</v>
      </c>
      <c r="BJ159" s="4">
        <f t="shared" si="465"/>
        <v>1.2518948270988997</v>
      </c>
      <c r="BR159" s="4">
        <f t="shared" si="331"/>
        <v>92.1</v>
      </c>
      <c r="BV159" s="9"/>
      <c r="BX159" s="9"/>
      <c r="BY159" s="9"/>
      <c r="BZ159" s="9">
        <f t="shared" si="383"/>
        <v>92.1</v>
      </c>
      <c r="CA159" s="9">
        <f t="shared" si="384"/>
        <v>92.1</v>
      </c>
      <c r="CB159" s="9">
        <f t="shared" si="403"/>
        <v>1.6039406779317067</v>
      </c>
      <c r="CC159" s="9">
        <v>0</v>
      </c>
      <c r="CD159" s="9">
        <f t="shared" si="306"/>
        <v>0</v>
      </c>
      <c r="CE159" s="9">
        <f t="shared" si="404"/>
        <v>0</v>
      </c>
      <c r="CF159" s="9">
        <f t="shared" si="385"/>
        <v>0.89787751228078194</v>
      </c>
      <c r="CG159" s="9">
        <f t="shared" si="386"/>
        <v>1.0988</v>
      </c>
      <c r="CH159" s="9">
        <f t="shared" si="405"/>
        <v>1.7126607436390533</v>
      </c>
      <c r="CI159" s="9">
        <f t="shared" si="406"/>
        <v>2.7470062342194441</v>
      </c>
      <c r="CJ159" s="9">
        <v>1</v>
      </c>
      <c r="CK159" s="9">
        <f t="shared" si="407"/>
        <v>255.36415495760644</v>
      </c>
      <c r="DH159" s="4">
        <f t="shared" si="362"/>
        <v>0</v>
      </c>
      <c r="DI159" s="4">
        <f t="shared" si="453"/>
        <v>295</v>
      </c>
      <c r="DL159" s="4">
        <f t="shared" si="365"/>
        <v>1.4142160678480981E-5</v>
      </c>
      <c r="DM159" s="4">
        <f t="shared" si="366"/>
        <v>5.6886371181108544</v>
      </c>
      <c r="DR159" s="38">
        <f t="shared" si="440"/>
        <v>60.089453528242863</v>
      </c>
      <c r="DS159" s="4">
        <f t="shared" si="411"/>
        <v>0.29583762773159056</v>
      </c>
      <c r="DU159" s="4">
        <f t="shared" si="441"/>
        <v>60.089453528242863</v>
      </c>
      <c r="DY159" s="4">
        <f t="shared" si="387"/>
        <v>0.85</v>
      </c>
      <c r="DZ159" s="4">
        <f t="shared" si="412"/>
        <v>0.84273743016759772</v>
      </c>
      <c r="EA159" s="4">
        <f t="shared" si="413"/>
        <v>1</v>
      </c>
      <c r="EB159" s="4">
        <f t="shared" si="414"/>
        <v>0.84273743016759772</v>
      </c>
      <c r="EE159" s="25"/>
      <c r="EH159" s="4">
        <f t="shared" si="454"/>
        <v>5.6886371181108544</v>
      </c>
      <c r="EK159" s="4">
        <f t="shared" si="368"/>
        <v>80.051233594492473</v>
      </c>
      <c r="EL159" s="4">
        <f t="shared" si="369"/>
        <v>2.2360679774997898</v>
      </c>
      <c r="EM159" s="4">
        <f t="shared" si="370"/>
        <v>5.1587072203306245E-2</v>
      </c>
      <c r="EP159" s="4">
        <f t="shared" si="332"/>
        <v>5.1587072203306245E-2</v>
      </c>
      <c r="EQ159" s="4">
        <f t="shared" si="333"/>
        <v>0.18989463697148015</v>
      </c>
      <c r="ER159" s="4">
        <f t="shared" si="371"/>
        <v>2.9269365675660954</v>
      </c>
      <c r="ES159" s="4">
        <f t="shared" si="388"/>
        <v>4.5257142689842214</v>
      </c>
      <c r="ET159" s="4">
        <f t="shared" si="372"/>
        <v>141.19876640550751</v>
      </c>
      <c r="EU159" s="4">
        <f t="shared" si="373"/>
        <v>73.75</v>
      </c>
      <c r="EV159" s="4">
        <f t="shared" si="415"/>
        <v>1.4142160678480981E-5</v>
      </c>
      <c r="EW159" s="4">
        <f t="shared" si="389"/>
        <v>5.5153952400549962</v>
      </c>
      <c r="EX159" s="4">
        <f t="shared" si="466"/>
        <v>203.1163310394079</v>
      </c>
      <c r="FG159" s="23"/>
      <c r="FH159" s="23"/>
      <c r="FI159" s="23"/>
      <c r="FJ159" s="23"/>
      <c r="FK159" s="23"/>
      <c r="FL159" s="23"/>
      <c r="FM159" s="23"/>
      <c r="FN159" s="23"/>
      <c r="FX159" s="4">
        <f t="shared" si="416"/>
        <v>1</v>
      </c>
      <c r="FY159" s="4">
        <f t="shared" ref="FY159:FY222" si="469">IF(AG159&gt;1, 0.05*(18-MIN(8,(Q159+K159)/K159))*(1-48000/MAX(60000,(G159*145))*(K159/25.4)^0.75*FZ159), 1/12*(14-MIN(8,(Q159+K159)/K159)))</f>
        <v>1.0833333333333333</v>
      </c>
      <c r="FZ159" s="4">
        <f t="shared" si="417"/>
        <v>0</v>
      </c>
      <c r="GA159" s="4">
        <f t="shared" si="418"/>
        <v>142.28160692447059</v>
      </c>
    </row>
    <row r="160" spans="1:183" ht="12" customHeight="1" x14ac:dyDescent="0.3">
      <c r="A160" s="25">
        <v>142</v>
      </c>
      <c r="B160" s="24" t="s">
        <v>659</v>
      </c>
      <c r="C160" s="24">
        <v>2007</v>
      </c>
      <c r="D160" s="24" t="s">
        <v>309</v>
      </c>
      <c r="E160" s="24"/>
      <c r="F160" s="4" t="s">
        <v>119</v>
      </c>
      <c r="G160" s="7">
        <v>450.6</v>
      </c>
      <c r="H160" s="7">
        <v>217</v>
      </c>
      <c r="I160" s="7">
        <f t="shared" si="455"/>
        <v>217</v>
      </c>
      <c r="J160" s="7">
        <v>24.6</v>
      </c>
      <c r="K160" s="7">
        <v>35.799999999999997</v>
      </c>
      <c r="L160" s="7">
        <f t="shared" si="424"/>
        <v>6.061452513966481</v>
      </c>
      <c r="M160" s="7">
        <f t="shared" si="425"/>
        <v>6.061452513966481</v>
      </c>
      <c r="N160" s="7">
        <v>220</v>
      </c>
      <c r="O160" s="7">
        <f t="shared" si="447"/>
        <v>92.1</v>
      </c>
      <c r="P160" s="7">
        <f t="shared" si="468"/>
        <v>205</v>
      </c>
      <c r="Q160" s="7">
        <v>0</v>
      </c>
      <c r="R160" s="7">
        <v>1</v>
      </c>
      <c r="S160" s="7">
        <f>434-65</f>
        <v>369</v>
      </c>
      <c r="T160" s="7">
        <f t="shared" si="458"/>
        <v>3.0726256983240225</v>
      </c>
      <c r="U160" s="7">
        <f t="shared" si="459"/>
        <v>3.0726256983240225</v>
      </c>
      <c r="V160" s="7">
        <f t="shared" si="460"/>
        <v>4</v>
      </c>
      <c r="W160" s="7">
        <f t="shared" si="460"/>
        <v>4</v>
      </c>
      <c r="X160" s="7">
        <f t="shared" si="431"/>
        <v>5</v>
      </c>
      <c r="Y160" s="7">
        <f t="shared" si="352"/>
        <v>80.051233594492473</v>
      </c>
      <c r="Z160" s="7">
        <f t="shared" si="461"/>
        <v>450.6</v>
      </c>
      <c r="AA160" s="7">
        <v>12</v>
      </c>
      <c r="AB160" s="7">
        <f>(117+122)/2/1006*1000</f>
        <v>118.78727634194831</v>
      </c>
      <c r="AC160" s="7"/>
      <c r="AD160" s="7"/>
      <c r="AE160" s="7"/>
      <c r="AF160" s="7"/>
      <c r="AG160" s="7">
        <v>1</v>
      </c>
      <c r="AH160" s="7"/>
      <c r="AI160" s="7"/>
      <c r="AJ160" s="7"/>
      <c r="AK160" s="4">
        <f t="shared" si="445"/>
        <v>217</v>
      </c>
      <c r="AL160" s="4">
        <f t="shared" si="448"/>
        <v>0.33794162826420893</v>
      </c>
      <c r="AM160" s="4">
        <f t="shared" si="449"/>
        <v>150.58294354764655</v>
      </c>
      <c r="AN160" s="4">
        <f t="shared" si="467"/>
        <v>0.80138248847926263</v>
      </c>
      <c r="AO160" s="4">
        <v>1.25</v>
      </c>
      <c r="AP160" s="25">
        <v>1</v>
      </c>
      <c r="AQ160" s="38">
        <f t="shared" si="462"/>
        <v>50.976185647089032</v>
      </c>
      <c r="AT160" s="38">
        <f t="shared" si="450"/>
        <v>53.320323184075299</v>
      </c>
      <c r="AU160" s="38">
        <f t="shared" si="400"/>
        <v>0.95603669676018821</v>
      </c>
      <c r="AV160" s="38">
        <f t="shared" si="328"/>
        <v>5.6703776470241447</v>
      </c>
      <c r="AW160" s="4">
        <f t="shared" si="323"/>
        <v>0</v>
      </c>
      <c r="AX160" s="4">
        <f t="shared" si="379"/>
        <v>158.23066736708512</v>
      </c>
      <c r="AY160" s="4">
        <f t="shared" si="380"/>
        <v>1</v>
      </c>
      <c r="AZ160" s="38">
        <f t="shared" si="438"/>
        <v>302.34636871508383</v>
      </c>
      <c r="BA160" s="4">
        <f t="shared" si="381"/>
        <v>0.44000000000000006</v>
      </c>
      <c r="BB160" s="4">
        <f t="shared" si="401"/>
        <v>36.377230427692872</v>
      </c>
      <c r="BC160" s="4">
        <f t="shared" si="402"/>
        <v>338.72359914277672</v>
      </c>
      <c r="BE160" s="4">
        <f t="shared" si="451"/>
        <v>1.3931564245810057</v>
      </c>
      <c r="BF160" s="4">
        <f t="shared" si="452"/>
        <v>332.94577514924339</v>
      </c>
      <c r="BH160" s="4">
        <f t="shared" si="463"/>
        <v>289.98714214931721</v>
      </c>
      <c r="BI160" s="4">
        <f t="shared" si="464"/>
        <v>363.03340318192352</v>
      </c>
      <c r="BJ160" s="4">
        <f t="shared" si="465"/>
        <v>1.2518948270988997</v>
      </c>
      <c r="BR160" s="4">
        <f t="shared" si="331"/>
        <v>92.1</v>
      </c>
      <c r="BV160" s="9"/>
      <c r="BX160" s="9"/>
      <c r="BY160" s="9"/>
      <c r="BZ160" s="9">
        <f t="shared" si="383"/>
        <v>92.1</v>
      </c>
      <c r="CA160" s="9">
        <f t="shared" si="384"/>
        <v>92.1</v>
      </c>
      <c r="CB160" s="9">
        <f t="shared" si="403"/>
        <v>1.6039406779317067</v>
      </c>
      <c r="CC160" s="9">
        <v>0</v>
      </c>
      <c r="CD160" s="9">
        <f t="shared" si="306"/>
        <v>0</v>
      </c>
      <c r="CE160" s="9">
        <f t="shared" si="404"/>
        <v>0</v>
      </c>
      <c r="CF160" s="9">
        <f t="shared" si="385"/>
        <v>0.89787751228078194</v>
      </c>
      <c r="CG160" s="9">
        <f t="shared" si="386"/>
        <v>1.0988</v>
      </c>
      <c r="CH160" s="9">
        <f t="shared" si="405"/>
        <v>1.7126607436390533</v>
      </c>
      <c r="CI160" s="9">
        <f t="shared" si="406"/>
        <v>2.7470062342194441</v>
      </c>
      <c r="CJ160" s="9">
        <v>1</v>
      </c>
      <c r="CK160" s="9">
        <f t="shared" si="407"/>
        <v>231.42376543033083</v>
      </c>
      <c r="DH160" s="4">
        <f t="shared" si="362"/>
        <v>0</v>
      </c>
      <c r="DI160" s="4">
        <f t="shared" si="453"/>
        <v>217</v>
      </c>
      <c r="DL160" s="4">
        <f t="shared" si="365"/>
        <v>1.0402877516035162E-5</v>
      </c>
      <c r="DM160" s="4">
        <f t="shared" si="366"/>
        <v>5.6886371181108544</v>
      </c>
      <c r="DR160" s="38">
        <f t="shared" si="440"/>
        <v>53.320323184075299</v>
      </c>
      <c r="DS160" s="4">
        <f t="shared" si="411"/>
        <v>0.34703441987354833</v>
      </c>
      <c r="DU160" s="4">
        <f t="shared" si="441"/>
        <v>53.320323184075299</v>
      </c>
      <c r="DY160" s="4">
        <f t="shared" si="387"/>
        <v>0.85</v>
      </c>
      <c r="DZ160" s="4">
        <f t="shared" si="412"/>
        <v>0.84273743016759772</v>
      </c>
      <c r="EA160" s="4">
        <f t="shared" si="413"/>
        <v>1</v>
      </c>
      <c r="EB160" s="4">
        <f t="shared" si="414"/>
        <v>0.84273743016759772</v>
      </c>
      <c r="EE160" s="25"/>
      <c r="EH160" s="4">
        <f t="shared" si="454"/>
        <v>5.6886371181108544</v>
      </c>
      <c r="EK160" s="4">
        <f t="shared" si="368"/>
        <v>80.051233594492473</v>
      </c>
      <c r="EL160" s="4">
        <f t="shared" si="369"/>
        <v>2.2360679774997898</v>
      </c>
      <c r="EM160" s="4">
        <f t="shared" si="370"/>
        <v>4.5775742671843048E-2</v>
      </c>
      <c r="EP160" s="4">
        <f t="shared" si="332"/>
        <v>4.5775742671843048E-2</v>
      </c>
      <c r="EQ160" s="4">
        <f t="shared" si="333"/>
        <v>0.16850283734870336</v>
      </c>
      <c r="ER160" s="4">
        <f t="shared" si="371"/>
        <v>2.7903014063860758</v>
      </c>
      <c r="ES160" s="4">
        <f t="shared" si="388"/>
        <v>4.4828461654785512</v>
      </c>
      <c r="ET160" s="4">
        <f t="shared" si="372"/>
        <v>82.698766405507527</v>
      </c>
      <c r="EU160" s="4">
        <f t="shared" si="373"/>
        <v>54.249999999999986</v>
      </c>
      <c r="EV160" s="4">
        <f t="shared" si="415"/>
        <v>1.0402877516035159E-5</v>
      </c>
      <c r="EW160" s="4">
        <f t="shared" si="389"/>
        <v>5.6003429880312172</v>
      </c>
      <c r="EX160" s="4">
        <f t="shared" si="466"/>
        <v>153.64563320117944</v>
      </c>
      <c r="FG160" s="23"/>
      <c r="FH160" s="23"/>
      <c r="FI160" s="23"/>
      <c r="FJ160" s="23"/>
      <c r="FK160" s="23"/>
      <c r="FL160" s="23"/>
      <c r="FM160" s="23"/>
      <c r="FN160" s="23"/>
      <c r="FX160" s="4">
        <f t="shared" si="416"/>
        <v>1</v>
      </c>
      <c r="FY160" s="4">
        <f t="shared" si="469"/>
        <v>1.0833333333333333</v>
      </c>
      <c r="FZ160" s="4">
        <f t="shared" si="417"/>
        <v>0</v>
      </c>
      <c r="GA160" s="4">
        <f t="shared" si="418"/>
        <v>104.66138543257668</v>
      </c>
    </row>
    <row r="161" spans="1:183" ht="12" customHeight="1" x14ac:dyDescent="0.3">
      <c r="A161" s="25">
        <v>143</v>
      </c>
      <c r="B161" s="24" t="s">
        <v>659</v>
      </c>
      <c r="C161" s="24">
        <v>2007</v>
      </c>
      <c r="D161" s="24" t="s">
        <v>309</v>
      </c>
      <c r="E161" s="24"/>
      <c r="F161" s="4" t="s">
        <v>120</v>
      </c>
      <c r="G161" s="7">
        <v>454.8</v>
      </c>
      <c r="H161" s="7">
        <v>264</v>
      </c>
      <c r="I161" s="7">
        <f t="shared" si="455"/>
        <v>264</v>
      </c>
      <c r="J161" s="7">
        <v>25.1</v>
      </c>
      <c r="K161" s="7">
        <v>25.4</v>
      </c>
      <c r="L161" s="7">
        <f t="shared" si="424"/>
        <v>10.393700787401576</v>
      </c>
      <c r="M161" s="7">
        <f t="shared" si="425"/>
        <v>10.393700787401576</v>
      </c>
      <c r="N161" s="7">
        <v>160</v>
      </c>
      <c r="O161" s="7">
        <f t="shared" si="447"/>
        <v>67.3</v>
      </c>
      <c r="P161" s="7">
        <f>323-9-I161</f>
        <v>50</v>
      </c>
      <c r="Q161" s="7">
        <v>0</v>
      </c>
      <c r="R161" s="7">
        <v>1</v>
      </c>
      <c r="S161" s="7">
        <f>323-45</f>
        <v>278</v>
      </c>
      <c r="T161" s="7">
        <f t="shared" si="458"/>
        <v>3.1496062992125986</v>
      </c>
      <c r="U161" s="7">
        <f t="shared" si="459"/>
        <v>3.1496062992125986</v>
      </c>
      <c r="V161" s="7">
        <f>2040/510</f>
        <v>4</v>
      </c>
      <c r="W161" s="7">
        <f>2040/510</f>
        <v>4</v>
      </c>
      <c r="X161" s="7">
        <f t="shared" si="431"/>
        <v>5</v>
      </c>
      <c r="Y161" s="7">
        <f t="shared" si="352"/>
        <v>56.796126628494655</v>
      </c>
      <c r="Z161" s="7">
        <f t="shared" si="461"/>
        <v>454.8</v>
      </c>
      <c r="AA161" s="7">
        <v>9</v>
      </c>
      <c r="AB161" s="7"/>
      <c r="AC161" s="32" t="s">
        <v>183</v>
      </c>
      <c r="AD161" s="7"/>
      <c r="AE161" s="7"/>
      <c r="AF161" s="7"/>
      <c r="AG161" s="7">
        <v>1</v>
      </c>
      <c r="AH161" s="7"/>
      <c r="AI161" s="7"/>
      <c r="AJ161" s="7"/>
      <c r="AK161" s="4">
        <f t="shared" si="445"/>
        <v>264</v>
      </c>
      <c r="AL161" s="4">
        <f t="shared" si="448"/>
        <v>0.20202020202020202</v>
      </c>
      <c r="AM161" s="4">
        <f t="shared" si="449"/>
        <v>418.93890953923358</v>
      </c>
      <c r="AN161" s="4">
        <f t="shared" si="467"/>
        <v>0.76060606060606051</v>
      </c>
      <c r="AO161" s="4">
        <v>1.25</v>
      </c>
      <c r="AP161" s="25">
        <v>1</v>
      </c>
      <c r="AQ161" s="38">
        <f t="shared" si="462"/>
        <v>80.466533742231093</v>
      </c>
      <c r="AT161" s="38">
        <f t="shared" si="450"/>
        <v>81.461055336491228</v>
      </c>
      <c r="AU161" s="38">
        <f t="shared" si="400"/>
        <v>0.98779144721177425</v>
      </c>
      <c r="AV161" s="38">
        <f t="shared" si="328"/>
        <v>3.8818607386650328</v>
      </c>
      <c r="AW161" s="4">
        <f t="shared" si="323"/>
        <v>0</v>
      </c>
      <c r="AX161" s="4">
        <f t="shared" si="379"/>
        <v>274.06493271173576</v>
      </c>
      <c r="AY161" s="4">
        <f t="shared" si="380"/>
        <v>1</v>
      </c>
      <c r="AZ161" s="38">
        <f t="shared" si="438"/>
        <v>316.22047244094495</v>
      </c>
      <c r="BA161" s="4">
        <f t="shared" si="381"/>
        <v>0.44000000000000006</v>
      </c>
      <c r="BB161" s="4">
        <f t="shared" si="401"/>
        <v>63.007528030428062</v>
      </c>
      <c r="BC161" s="4">
        <f t="shared" si="402"/>
        <v>379.22800047137298</v>
      </c>
      <c r="BE161" s="4">
        <f t="shared" si="451"/>
        <v>1.4124015748031495</v>
      </c>
      <c r="BF161" s="4">
        <f t="shared" si="452"/>
        <v>432.92468707718285</v>
      </c>
      <c r="BH161" s="4">
        <f t="shared" si="463"/>
        <v>303.29410431474349</v>
      </c>
      <c r="BI161" s="4">
        <f t="shared" si="464"/>
        <v>1084.9722194286705</v>
      </c>
      <c r="BJ161" s="4">
        <f t="shared" si="465"/>
        <v>3.5772941313186242</v>
      </c>
      <c r="BR161" s="4">
        <f t="shared" si="331"/>
        <v>67.3</v>
      </c>
      <c r="BV161" s="9"/>
      <c r="BX161" s="9"/>
      <c r="BY161" s="9"/>
      <c r="BZ161" s="9">
        <f t="shared" si="383"/>
        <v>50</v>
      </c>
      <c r="CA161" s="9">
        <f t="shared" si="384"/>
        <v>67.3</v>
      </c>
      <c r="CB161" s="9">
        <f t="shared" si="403"/>
        <v>1.4669823979017429</v>
      </c>
      <c r="CC161" s="9">
        <v>0</v>
      </c>
      <c r="CD161" s="9">
        <f t="shared" si="306"/>
        <v>0</v>
      </c>
      <c r="CE161" s="9">
        <f t="shared" si="404"/>
        <v>0</v>
      </c>
      <c r="CF161" s="9">
        <f t="shared" si="385"/>
        <v>0.99524931562137331</v>
      </c>
      <c r="CG161" s="9">
        <f t="shared" si="386"/>
        <v>1.0903999999999998</v>
      </c>
      <c r="CH161" s="9">
        <f t="shared" si="405"/>
        <v>1.9029292228649537</v>
      </c>
      <c r="CI161" s="9">
        <f t="shared" si="406"/>
        <v>2.7915636743957299</v>
      </c>
      <c r="CJ161" s="9">
        <v>1</v>
      </c>
      <c r="CK161" s="9">
        <f t="shared" si="407"/>
        <v>283.55253070633796</v>
      </c>
      <c r="DH161" s="4">
        <f t="shared" si="362"/>
        <v>0</v>
      </c>
      <c r="DI161" s="4">
        <f t="shared" si="453"/>
        <v>264</v>
      </c>
      <c r="DL161" s="4">
        <f t="shared" si="365"/>
        <v>1.7905564181465992E-5</v>
      </c>
      <c r="DM161" s="4">
        <f t="shared" si="366"/>
        <v>6.4434781492989988</v>
      </c>
      <c r="DR161" s="38">
        <f t="shared" si="440"/>
        <v>81.461055336491228</v>
      </c>
      <c r="DS161" s="4">
        <f t="shared" si="411"/>
        <v>0.28267276618563297</v>
      </c>
      <c r="DU161" s="4">
        <f t="shared" si="441"/>
        <v>81.461055336491228</v>
      </c>
      <c r="DY161" s="4">
        <f t="shared" si="387"/>
        <v>0.85</v>
      </c>
      <c r="DZ161" s="4">
        <f t="shared" si="412"/>
        <v>0.83503937007874018</v>
      </c>
      <c r="EA161" s="4">
        <f t="shared" si="413"/>
        <v>1</v>
      </c>
      <c r="EB161" s="4">
        <f t="shared" si="414"/>
        <v>0.83503937007874018</v>
      </c>
      <c r="EE161" s="25"/>
      <c r="EH161" s="4">
        <f t="shared" si="454"/>
        <v>6.4434781492989988</v>
      </c>
      <c r="EK161" s="4">
        <f t="shared" si="368"/>
        <v>56.796126628494655</v>
      </c>
      <c r="EL161" s="4">
        <f t="shared" si="369"/>
        <v>2.2360679774997898</v>
      </c>
      <c r="EM161" s="4">
        <f t="shared" si="370"/>
        <v>4.9121773799761105E-2</v>
      </c>
      <c r="EP161" s="4">
        <f t="shared" si="332"/>
        <v>4.9121773799761105E-2</v>
      </c>
      <c r="EQ161" s="4">
        <f t="shared" si="333"/>
        <v>0.1790096950802787</v>
      </c>
      <c r="ER161" s="4">
        <f t="shared" si="371"/>
        <v>3.2379562856849557</v>
      </c>
      <c r="ES161" s="4">
        <f t="shared" si="388"/>
        <v>5.1017242284597168</v>
      </c>
      <c r="ET161" s="4">
        <f t="shared" si="372"/>
        <v>141.20387337150535</v>
      </c>
      <c r="EU161" s="4">
        <f t="shared" si="373"/>
        <v>66</v>
      </c>
      <c r="EV161" s="4">
        <f t="shared" si="415"/>
        <v>1.7905564181465992E-5</v>
      </c>
      <c r="EW161" s="4">
        <f t="shared" si="389"/>
        <v>6.1876982116989092</v>
      </c>
      <c r="EX161" s="4">
        <f t="shared" si="466"/>
        <v>288.18147724565461</v>
      </c>
      <c r="FG161" s="23"/>
      <c r="FH161" s="23"/>
      <c r="FI161" s="23"/>
      <c r="FJ161" s="23"/>
      <c r="FK161" s="23"/>
      <c r="FL161" s="23"/>
      <c r="FM161" s="23"/>
      <c r="FN161" s="23"/>
      <c r="FX161" s="4">
        <f t="shared" si="416"/>
        <v>1</v>
      </c>
      <c r="FY161" s="4">
        <f t="shared" si="469"/>
        <v>1.0833333333333333</v>
      </c>
      <c r="FZ161" s="4">
        <f t="shared" si="417"/>
        <v>0</v>
      </c>
      <c r="GA161" s="4">
        <f t="shared" si="418"/>
        <v>214.13580526663139</v>
      </c>
    </row>
    <row r="162" spans="1:183" ht="12" customHeight="1" x14ac:dyDescent="0.3">
      <c r="A162" s="25">
        <v>144</v>
      </c>
      <c r="B162" s="24" t="s">
        <v>659</v>
      </c>
      <c r="C162" s="24">
        <v>2007</v>
      </c>
      <c r="D162" s="24" t="s">
        <v>309</v>
      </c>
      <c r="E162" s="24"/>
      <c r="F162" s="4" t="s">
        <v>121</v>
      </c>
      <c r="G162" s="7">
        <v>454.8</v>
      </c>
      <c r="H162" s="7">
        <v>212</v>
      </c>
      <c r="I162" s="7">
        <f t="shared" si="455"/>
        <v>212</v>
      </c>
      <c r="J162" s="7">
        <v>25.1</v>
      </c>
      <c r="K162" s="7">
        <v>25.4</v>
      </c>
      <c r="L162" s="7">
        <f t="shared" si="424"/>
        <v>8.346456692913387</v>
      </c>
      <c r="M162" s="7">
        <f t="shared" si="425"/>
        <v>8.346456692913387</v>
      </c>
      <c r="N162" s="7">
        <v>160</v>
      </c>
      <c r="O162" s="7">
        <f t="shared" si="447"/>
        <v>67.3</v>
      </c>
      <c r="P162" s="7">
        <f t="shared" ref="P162:P164" si="470">323-9-I162</f>
        <v>102</v>
      </c>
      <c r="Q162" s="7">
        <v>0</v>
      </c>
      <c r="R162" s="7">
        <v>1</v>
      </c>
      <c r="S162" s="7">
        <f t="shared" ref="S162:S164" si="471">323-45</f>
        <v>278</v>
      </c>
      <c r="T162" s="7">
        <f t="shared" si="458"/>
        <v>3.1496062992125986</v>
      </c>
      <c r="U162" s="7">
        <f t="shared" si="459"/>
        <v>3.1496062992125986</v>
      </c>
      <c r="V162" s="7">
        <f t="shared" ref="V162:W211" si="472">2040/510</f>
        <v>4</v>
      </c>
      <c r="W162" s="7">
        <f t="shared" si="472"/>
        <v>4</v>
      </c>
      <c r="X162" s="7">
        <f t="shared" si="431"/>
        <v>5</v>
      </c>
      <c r="Y162" s="7">
        <f t="shared" si="352"/>
        <v>56.796126628494655</v>
      </c>
      <c r="Z162" s="7">
        <f t="shared" si="461"/>
        <v>454.8</v>
      </c>
      <c r="AA162" s="7">
        <v>9</v>
      </c>
      <c r="AB162" s="7"/>
      <c r="AC162" s="32" t="s">
        <v>183</v>
      </c>
      <c r="AD162" s="7"/>
      <c r="AE162" s="7"/>
      <c r="AF162" s="7"/>
      <c r="AG162" s="7">
        <v>1</v>
      </c>
      <c r="AH162" s="7"/>
      <c r="AI162" s="7"/>
      <c r="AJ162" s="7"/>
      <c r="AK162" s="4">
        <f t="shared" si="445"/>
        <v>212</v>
      </c>
      <c r="AL162" s="4">
        <f t="shared" si="448"/>
        <v>0.25157232704402516</v>
      </c>
      <c r="AM162" s="4">
        <f t="shared" si="449"/>
        <v>290.65017450591699</v>
      </c>
      <c r="AN162" s="4">
        <f t="shared" si="467"/>
        <v>0.77547169811320749</v>
      </c>
      <c r="AO162" s="4">
        <v>1.25</v>
      </c>
      <c r="AP162" s="25">
        <v>1</v>
      </c>
      <c r="AQ162" s="38">
        <f t="shared" si="462"/>
        <v>70.877668044340737</v>
      </c>
      <c r="AT162" s="38">
        <f t="shared" si="450"/>
        <v>74.425570064086557</v>
      </c>
      <c r="AU162" s="38">
        <f t="shared" si="400"/>
        <v>0.95232952845788377</v>
      </c>
      <c r="AV162" s="38">
        <f t="shared" si="328"/>
        <v>4.2488149189674065</v>
      </c>
      <c r="AW162" s="4">
        <f t="shared" si="323"/>
        <v>0</v>
      </c>
      <c r="AX162" s="4">
        <f t="shared" si="379"/>
        <v>220.08244596548479</v>
      </c>
      <c r="AY162" s="4">
        <f t="shared" si="380"/>
        <v>1</v>
      </c>
      <c r="AZ162" s="38">
        <f t="shared" si="438"/>
        <v>316.22047244094495</v>
      </c>
      <c r="BA162" s="4">
        <f t="shared" si="381"/>
        <v>0.44000000000000006</v>
      </c>
      <c r="BB162" s="4">
        <f t="shared" si="401"/>
        <v>50.596954327464957</v>
      </c>
      <c r="BC162" s="4">
        <f t="shared" si="402"/>
        <v>366.81742676840992</v>
      </c>
      <c r="BE162" s="4">
        <f t="shared" si="451"/>
        <v>1.4124015748031495</v>
      </c>
      <c r="BF162" s="4">
        <f t="shared" si="452"/>
        <v>389.46506598063172</v>
      </c>
      <c r="BH162" s="4">
        <f t="shared" si="463"/>
        <v>303.29410431474349</v>
      </c>
      <c r="BI162" s="4">
        <f t="shared" si="464"/>
        <v>1084.9722194286705</v>
      </c>
      <c r="BJ162" s="4">
        <f t="shared" si="465"/>
        <v>3.5772941313186242</v>
      </c>
      <c r="BR162" s="4">
        <f t="shared" si="331"/>
        <v>67.3</v>
      </c>
      <c r="BV162" s="9"/>
      <c r="BX162" s="9"/>
      <c r="BY162" s="9"/>
      <c r="BZ162" s="9">
        <f t="shared" si="383"/>
        <v>67.3</v>
      </c>
      <c r="CA162" s="9">
        <f t="shared" si="384"/>
        <v>67.3</v>
      </c>
      <c r="CB162" s="9">
        <f t="shared" si="403"/>
        <v>1.6277611308827222</v>
      </c>
      <c r="CC162" s="9">
        <v>0</v>
      </c>
      <c r="CD162" s="9">
        <f t="shared" si="306"/>
        <v>0</v>
      </c>
      <c r="CE162" s="9">
        <f t="shared" si="404"/>
        <v>0</v>
      </c>
      <c r="CF162" s="9">
        <f t="shared" si="385"/>
        <v>0.99524931562137331</v>
      </c>
      <c r="CG162" s="9">
        <f t="shared" si="386"/>
        <v>1.0903999999999998</v>
      </c>
      <c r="CH162" s="9">
        <f t="shared" si="405"/>
        <v>1.9029292228649537</v>
      </c>
      <c r="CI162" s="9">
        <f t="shared" si="406"/>
        <v>3.0975142238004367</v>
      </c>
      <c r="CJ162" s="9">
        <v>1</v>
      </c>
      <c r="CK162" s="9">
        <f t="shared" si="407"/>
        <v>289.2639267265605</v>
      </c>
      <c r="DH162" s="4">
        <f t="shared" si="362"/>
        <v>0</v>
      </c>
      <c r="DI162" s="4">
        <f t="shared" si="453"/>
        <v>212</v>
      </c>
      <c r="DL162" s="4">
        <f>H162/4/(1-0.3*(J162/30)^0.5)/200000/K162</f>
        <v>1.4378710630571176E-5</v>
      </c>
      <c r="DM162" s="4">
        <f t="shared" si="366"/>
        <v>6.4434781492989988</v>
      </c>
      <c r="DR162" s="38">
        <f t="shared" si="440"/>
        <v>74.425570064086557</v>
      </c>
      <c r="DS162" s="4">
        <f t="shared" si="411"/>
        <v>0.31489832014202762</v>
      </c>
      <c r="DU162" s="4">
        <f t="shared" si="441"/>
        <v>74.425570064086557</v>
      </c>
      <c r="DY162" s="4">
        <f t="shared" si="387"/>
        <v>0.85</v>
      </c>
      <c r="DZ162" s="4">
        <f t="shared" si="412"/>
        <v>0.83503937007874018</v>
      </c>
      <c r="EA162" s="4">
        <f t="shared" si="413"/>
        <v>1</v>
      </c>
      <c r="EB162" s="4">
        <f t="shared" si="414"/>
        <v>0.83503937007874018</v>
      </c>
      <c r="EE162" s="25"/>
      <c r="EH162" s="4">
        <f t="shared" si="454"/>
        <v>6.4434781492989988</v>
      </c>
      <c r="EK162" s="4">
        <f>EL162*K162</f>
        <v>56.796126628494655</v>
      </c>
      <c r="EL162" s="4">
        <f>X162^0.5</f>
        <v>2.2360679774997898</v>
      </c>
      <c r="EM162" s="4">
        <f>MIN(DU162)/(4700*J162^0.5)/W162*EK162</f>
        <v>4.4879310763957535E-2</v>
      </c>
      <c r="EP162" s="4">
        <f t="shared" si="332"/>
        <v>4.4879310763957535E-2</v>
      </c>
      <c r="EQ162" s="4">
        <f t="shared" si="333"/>
        <v>0.16354930031676054</v>
      </c>
      <c r="ER162" s="4">
        <f t="shared" si="371"/>
        <v>3.1230564645812455</v>
      </c>
      <c r="ES162" s="4">
        <f t="shared" si="388"/>
        <v>5.0662233136767156</v>
      </c>
      <c r="ET162" s="4">
        <f t="shared" si="372"/>
        <v>102.20387337150535</v>
      </c>
      <c r="EU162" s="4">
        <f t="shared" si="373"/>
        <v>53</v>
      </c>
      <c r="EV162" s="4">
        <f t="shared" si="415"/>
        <v>1.4378710630571176E-5</v>
      </c>
      <c r="EW162" s="4">
        <f t="shared" si="389"/>
        <v>6.2838095953115438</v>
      </c>
      <c r="EX162" s="4">
        <f t="shared" si="466"/>
        <v>236.3479425057543</v>
      </c>
      <c r="FG162" s="23"/>
      <c r="FH162" s="23"/>
      <c r="FI162" s="23"/>
      <c r="FJ162" s="23"/>
      <c r="FK162" s="23"/>
      <c r="FL162" s="23"/>
      <c r="FM162" s="23"/>
      <c r="FN162" s="23"/>
      <c r="FX162" s="4">
        <f t="shared" si="416"/>
        <v>1</v>
      </c>
      <c r="FY162" s="4">
        <f t="shared" si="469"/>
        <v>1.0833333333333333</v>
      </c>
      <c r="FZ162" s="4">
        <f t="shared" si="417"/>
        <v>0</v>
      </c>
      <c r="GA162" s="4">
        <f t="shared" si="418"/>
        <v>171.95754059290095</v>
      </c>
    </row>
    <row r="163" spans="1:183" ht="12" customHeight="1" x14ac:dyDescent="0.3">
      <c r="A163" s="25">
        <v>145</v>
      </c>
      <c r="B163" s="24" t="s">
        <v>659</v>
      </c>
      <c r="C163" s="24">
        <v>2007</v>
      </c>
      <c r="D163" s="24" t="s">
        <v>309</v>
      </c>
      <c r="E163" s="24"/>
      <c r="F163" s="4" t="s">
        <v>122</v>
      </c>
      <c r="G163" s="7">
        <v>454.8</v>
      </c>
      <c r="H163" s="7">
        <v>212</v>
      </c>
      <c r="I163" s="7">
        <f t="shared" si="455"/>
        <v>212</v>
      </c>
      <c r="J163" s="7">
        <v>25.1</v>
      </c>
      <c r="K163" s="7">
        <v>25.4</v>
      </c>
      <c r="L163" s="7">
        <f t="shared" si="424"/>
        <v>8.346456692913387</v>
      </c>
      <c r="M163" s="7">
        <f t="shared" si="425"/>
        <v>8.346456692913387</v>
      </c>
      <c r="N163" s="7">
        <v>160</v>
      </c>
      <c r="O163" s="7">
        <f t="shared" si="447"/>
        <v>67.3</v>
      </c>
      <c r="P163" s="7">
        <f t="shared" si="470"/>
        <v>102</v>
      </c>
      <c r="Q163" s="7">
        <v>0</v>
      </c>
      <c r="R163" s="7">
        <v>1</v>
      </c>
      <c r="S163" s="7">
        <f t="shared" si="471"/>
        <v>278</v>
      </c>
      <c r="T163" s="7">
        <f t="shared" si="458"/>
        <v>3.1496062992125986</v>
      </c>
      <c r="U163" s="7">
        <f t="shared" si="459"/>
        <v>3.1496062992125986</v>
      </c>
      <c r="V163" s="7">
        <f t="shared" si="472"/>
        <v>4</v>
      </c>
      <c r="W163" s="7">
        <f t="shared" si="472"/>
        <v>4</v>
      </c>
      <c r="X163" s="7">
        <f t="shared" si="431"/>
        <v>5</v>
      </c>
      <c r="Y163" s="7">
        <f t="shared" si="352"/>
        <v>56.796126628494655</v>
      </c>
      <c r="Z163" s="7">
        <f t="shared" si="461"/>
        <v>454.8</v>
      </c>
      <c r="AA163" s="7">
        <v>9</v>
      </c>
      <c r="AB163" s="7"/>
      <c r="AC163" s="32" t="s">
        <v>183</v>
      </c>
      <c r="AD163" s="7"/>
      <c r="AE163" s="7"/>
      <c r="AF163" s="7"/>
      <c r="AG163" s="7">
        <v>1</v>
      </c>
      <c r="AH163" s="7"/>
      <c r="AI163" s="7"/>
      <c r="AJ163" s="7">
        <f t="shared" ref="AJ163:AJ226" si="473">3*AK163/(Q163+K163)</f>
        <v>25.039370078740159</v>
      </c>
      <c r="AK163" s="4">
        <f t="shared" si="445"/>
        <v>212</v>
      </c>
      <c r="AL163" s="4">
        <f t="shared" si="448"/>
        <v>0.25157232704402516</v>
      </c>
      <c r="AM163" s="4">
        <f t="shared" si="449"/>
        <v>290.65017450591699</v>
      </c>
      <c r="AN163" s="4">
        <f t="shared" si="467"/>
        <v>0.77547169811320749</v>
      </c>
      <c r="AO163" s="4">
        <v>1.25</v>
      </c>
      <c r="AP163" s="25">
        <v>1</v>
      </c>
      <c r="AQ163" s="38">
        <f t="shared" si="462"/>
        <v>70.877668044340737</v>
      </c>
      <c r="AT163" s="38">
        <f t="shared" si="450"/>
        <v>74.425570064086557</v>
      </c>
      <c r="AU163" s="38">
        <f t="shared" si="400"/>
        <v>0.95232952845788377</v>
      </c>
      <c r="AV163" s="38">
        <f t="shared" si="328"/>
        <v>4.2488149189674065</v>
      </c>
      <c r="AW163" s="4">
        <f t="shared" si="323"/>
        <v>0</v>
      </c>
      <c r="AX163" s="4">
        <f t="shared" si="379"/>
        <v>220.08244596548479</v>
      </c>
      <c r="AY163" s="4">
        <f t="shared" si="380"/>
        <v>1</v>
      </c>
      <c r="AZ163" s="38">
        <f t="shared" si="438"/>
        <v>316.22047244094495</v>
      </c>
      <c r="BA163" s="4">
        <f t="shared" si="381"/>
        <v>0.44000000000000006</v>
      </c>
      <c r="BB163" s="4">
        <f t="shared" si="401"/>
        <v>50.596954327464957</v>
      </c>
      <c r="BC163" s="4">
        <f t="shared" si="402"/>
        <v>366.81742676840992</v>
      </c>
      <c r="BE163" s="4">
        <f t="shared" si="451"/>
        <v>1.4124015748031495</v>
      </c>
      <c r="BF163" s="4">
        <f t="shared" si="452"/>
        <v>389.46506598063172</v>
      </c>
      <c r="BH163" s="4">
        <f t="shared" si="463"/>
        <v>303.29410431474349</v>
      </c>
      <c r="BI163" s="4">
        <f t="shared" si="464"/>
        <v>1084.9722194286705</v>
      </c>
      <c r="BJ163" s="4">
        <f t="shared" si="465"/>
        <v>3.5772941313186242</v>
      </c>
      <c r="BR163" s="4">
        <f t="shared" si="331"/>
        <v>67.3</v>
      </c>
      <c r="BV163" s="9"/>
      <c r="BX163" s="9"/>
      <c r="BY163" s="9"/>
      <c r="BZ163" s="9">
        <f t="shared" si="383"/>
        <v>67.3</v>
      </c>
      <c r="CA163" s="9">
        <f t="shared" si="384"/>
        <v>67.3</v>
      </c>
      <c r="CB163" s="9">
        <f t="shared" si="403"/>
        <v>1.6277611308827222</v>
      </c>
      <c r="CC163" s="9">
        <v>0</v>
      </c>
      <c r="CD163" s="9">
        <f t="shared" si="306"/>
        <v>0</v>
      </c>
      <c r="CE163" s="9">
        <f t="shared" si="404"/>
        <v>0</v>
      </c>
      <c r="CF163" s="9">
        <f t="shared" si="385"/>
        <v>0.99524931562137331</v>
      </c>
      <c r="CG163" s="9">
        <f t="shared" si="386"/>
        <v>1.0903999999999998</v>
      </c>
      <c r="CH163" s="9">
        <f t="shared" si="405"/>
        <v>1.9029292228649537</v>
      </c>
      <c r="CI163" s="9">
        <f t="shared" si="406"/>
        <v>3.0975142238004367</v>
      </c>
      <c r="CJ163" s="9">
        <v>1</v>
      </c>
      <c r="CK163" s="9">
        <f t="shared" si="407"/>
        <v>289.2639267265605</v>
      </c>
      <c r="DH163" s="4">
        <f t="shared" si="362"/>
        <v>0</v>
      </c>
      <c r="DI163" s="4">
        <f t="shared" si="453"/>
        <v>212</v>
      </c>
      <c r="DL163" s="4">
        <f>H163/4/(1-0.3*(J163/30)^0.5)/200000/K163</f>
        <v>1.4378710630571176E-5</v>
      </c>
      <c r="DM163" s="4">
        <f t="shared" si="366"/>
        <v>6.4434781492989988</v>
      </c>
      <c r="DR163" s="38">
        <f t="shared" si="440"/>
        <v>74.425570064086557</v>
      </c>
      <c r="DS163" s="4">
        <f t="shared" si="411"/>
        <v>0.31489832014202762</v>
      </c>
      <c r="DU163" s="4">
        <f t="shared" si="441"/>
        <v>74.425570064086557</v>
      </c>
      <c r="DY163" s="4">
        <f t="shared" si="387"/>
        <v>0.85</v>
      </c>
      <c r="DZ163" s="4">
        <f t="shared" si="412"/>
        <v>0.83503937007874018</v>
      </c>
      <c r="EA163" s="4">
        <f t="shared" si="413"/>
        <v>1</v>
      </c>
      <c r="EB163" s="4">
        <f t="shared" si="414"/>
        <v>0.83503937007874018</v>
      </c>
      <c r="EE163" s="25"/>
      <c r="EH163" s="4">
        <f t="shared" si="454"/>
        <v>6.4434781492989988</v>
      </c>
      <c r="EK163" s="4">
        <f>EL163*K163</f>
        <v>56.796126628494655</v>
      </c>
      <c r="EL163" s="4">
        <f>X163^0.5</f>
        <v>2.2360679774997898</v>
      </c>
      <c r="EM163" s="4">
        <f>MIN(DU163)/(4700*J163^0.5)/W163*EK163</f>
        <v>4.4879310763957535E-2</v>
      </c>
      <c r="EP163" s="4">
        <f t="shared" si="332"/>
        <v>4.4879310763957535E-2</v>
      </c>
      <c r="EQ163" s="4">
        <f t="shared" si="333"/>
        <v>0.16354930031676054</v>
      </c>
      <c r="ER163" s="4">
        <f t="shared" si="371"/>
        <v>3.1230564645812455</v>
      </c>
      <c r="ES163" s="4">
        <f t="shared" si="388"/>
        <v>5.0662233136767156</v>
      </c>
      <c r="ET163" s="4">
        <f t="shared" si="372"/>
        <v>102.20387337150535</v>
      </c>
      <c r="EU163" s="4">
        <f t="shared" si="373"/>
        <v>53</v>
      </c>
      <c r="EV163" s="4">
        <f t="shared" si="415"/>
        <v>1.4378710630571176E-5</v>
      </c>
      <c r="EW163" s="4">
        <f t="shared" si="389"/>
        <v>6.2838095953115438</v>
      </c>
      <c r="EX163" s="4">
        <f t="shared" si="466"/>
        <v>236.3479425057543</v>
      </c>
      <c r="FG163" s="23"/>
      <c r="FH163" s="23"/>
      <c r="FI163" s="23"/>
      <c r="FJ163" s="23"/>
      <c r="FK163" s="23"/>
      <c r="FL163" s="23"/>
      <c r="FM163" s="23"/>
      <c r="FN163" s="23"/>
      <c r="FX163" s="4">
        <f t="shared" si="416"/>
        <v>1</v>
      </c>
      <c r="FY163" s="4">
        <f t="shared" si="469"/>
        <v>1.0833333333333333</v>
      </c>
      <c r="FZ163" s="4">
        <f t="shared" si="417"/>
        <v>0</v>
      </c>
      <c r="GA163" s="4">
        <f t="shared" si="418"/>
        <v>171.95754059290095</v>
      </c>
    </row>
    <row r="164" spans="1:183" ht="12" customHeight="1" x14ac:dyDescent="0.3">
      <c r="A164" s="25">
        <v>146</v>
      </c>
      <c r="B164" s="24" t="s">
        <v>659</v>
      </c>
      <c r="C164" s="24">
        <v>2007</v>
      </c>
      <c r="D164" s="24" t="s">
        <v>309</v>
      </c>
      <c r="E164" s="24"/>
      <c r="F164" s="4" t="s">
        <v>123</v>
      </c>
      <c r="G164" s="7">
        <v>454.8</v>
      </c>
      <c r="H164" s="7">
        <v>161</v>
      </c>
      <c r="I164" s="7">
        <f t="shared" si="455"/>
        <v>161</v>
      </c>
      <c r="J164" s="7">
        <v>25.1</v>
      </c>
      <c r="K164" s="7">
        <v>25.4</v>
      </c>
      <c r="L164" s="7">
        <f t="shared" si="424"/>
        <v>6.3385826771653546</v>
      </c>
      <c r="M164" s="7">
        <f t="shared" si="425"/>
        <v>6.3385826771653546</v>
      </c>
      <c r="N164" s="7">
        <v>160</v>
      </c>
      <c r="O164" s="7">
        <f t="shared" si="447"/>
        <v>67.3</v>
      </c>
      <c r="P164" s="7">
        <f t="shared" si="470"/>
        <v>153</v>
      </c>
      <c r="Q164" s="7">
        <v>0</v>
      </c>
      <c r="R164" s="7">
        <v>1</v>
      </c>
      <c r="S164" s="7">
        <f t="shared" si="471"/>
        <v>278</v>
      </c>
      <c r="T164" s="7">
        <f t="shared" si="458"/>
        <v>3.1496062992125986</v>
      </c>
      <c r="U164" s="7">
        <f t="shared" si="459"/>
        <v>3.1496062992125986</v>
      </c>
      <c r="V164" s="7">
        <f t="shared" si="472"/>
        <v>4</v>
      </c>
      <c r="W164" s="7">
        <f t="shared" si="472"/>
        <v>4</v>
      </c>
      <c r="X164" s="7">
        <f t="shared" si="431"/>
        <v>5</v>
      </c>
      <c r="Y164" s="7">
        <f t="shared" si="352"/>
        <v>56.796126628494655</v>
      </c>
      <c r="Z164" s="7">
        <f t="shared" si="461"/>
        <v>454.8</v>
      </c>
      <c r="AA164" s="7">
        <v>9</v>
      </c>
      <c r="AB164" s="7">
        <f>(59+56)/2/510*1000</f>
        <v>112.74509803921569</v>
      </c>
      <c r="AC164" s="7"/>
      <c r="AD164" s="7"/>
      <c r="AE164" s="7"/>
      <c r="AF164" s="7"/>
      <c r="AG164" s="7">
        <v>1</v>
      </c>
      <c r="AH164" s="7"/>
      <c r="AI164" s="7"/>
      <c r="AJ164" s="7">
        <f t="shared" si="473"/>
        <v>19.015748031496063</v>
      </c>
      <c r="AK164" s="4">
        <f t="shared" si="445"/>
        <v>161</v>
      </c>
      <c r="AL164" s="4">
        <f t="shared" si="448"/>
        <v>0.33126293995859213</v>
      </c>
      <c r="AM164" s="4">
        <f t="shared" si="449"/>
        <v>183.73304806343879</v>
      </c>
      <c r="AN164" s="4">
        <f t="shared" si="467"/>
        <v>0.79937888198757756</v>
      </c>
      <c r="AO164" s="4">
        <v>1.25</v>
      </c>
      <c r="AP164" s="25">
        <v>1</v>
      </c>
      <c r="AQ164" s="38">
        <f t="shared" si="462"/>
        <v>60.816695049739771</v>
      </c>
      <c r="AT164" s="38">
        <f t="shared" si="450"/>
        <v>66.858079292379969</v>
      </c>
      <c r="AU164" s="38">
        <f t="shared" si="400"/>
        <v>0.90963868082090182</v>
      </c>
      <c r="AV164" s="38">
        <f t="shared" si="328"/>
        <v>4.7297271442403765</v>
      </c>
      <c r="AW164" s="4">
        <f t="shared" si="323"/>
        <v>0</v>
      </c>
      <c r="AX164" s="4">
        <f t="shared" si="379"/>
        <v>167.13808396435402</v>
      </c>
      <c r="AY164" s="4">
        <f t="shared" si="380"/>
        <v>1</v>
      </c>
      <c r="AZ164" s="38">
        <f t="shared" si="438"/>
        <v>316.22047244094495</v>
      </c>
      <c r="BA164" s="4">
        <f t="shared" si="381"/>
        <v>0.44000000000000006</v>
      </c>
      <c r="BB164" s="4">
        <f t="shared" si="401"/>
        <v>38.425045503404988</v>
      </c>
      <c r="BC164" s="4">
        <f t="shared" si="402"/>
        <v>354.64551794434993</v>
      </c>
      <c r="BE164" s="4">
        <f t="shared" si="451"/>
        <v>1.4124015748031495</v>
      </c>
      <c r="BF164" s="4">
        <f t="shared" si="452"/>
        <v>346.84120682824488</v>
      </c>
      <c r="BH164" s="4">
        <f t="shared" si="463"/>
        <v>303.29410431474349</v>
      </c>
      <c r="BI164" s="4">
        <f t="shared" si="464"/>
        <v>1084.9722194286705</v>
      </c>
      <c r="BJ164" s="4">
        <f t="shared" si="465"/>
        <v>3.5772941313186242</v>
      </c>
      <c r="BR164" s="4">
        <f t="shared" si="331"/>
        <v>67.3</v>
      </c>
      <c r="BV164" s="9"/>
      <c r="BX164" s="9"/>
      <c r="BY164" s="9"/>
      <c r="BZ164" s="9">
        <f t="shared" si="383"/>
        <v>67.3</v>
      </c>
      <c r="CA164" s="9">
        <f t="shared" si="384"/>
        <v>67.3</v>
      </c>
      <c r="CB164" s="9">
        <f t="shared" si="403"/>
        <v>1.6277611308827222</v>
      </c>
      <c r="CC164" s="9">
        <v>0</v>
      </c>
      <c r="CD164" s="9">
        <f t="shared" si="306"/>
        <v>0</v>
      </c>
      <c r="CE164" s="9">
        <f t="shared" si="404"/>
        <v>0</v>
      </c>
      <c r="CF164" s="9">
        <f t="shared" si="385"/>
        <v>0.99524931562137331</v>
      </c>
      <c r="CG164" s="9">
        <f t="shared" si="386"/>
        <v>1.0903999999999998</v>
      </c>
      <c r="CH164" s="9">
        <f t="shared" si="405"/>
        <v>1.9029292228649537</v>
      </c>
      <c r="CI164" s="9">
        <f t="shared" si="406"/>
        <v>3.0975142238004367</v>
      </c>
      <c r="CJ164" s="9">
        <v>1</v>
      </c>
      <c r="CK164" s="9">
        <f t="shared" si="407"/>
        <v>264.38625343304517</v>
      </c>
      <c r="DH164" s="4">
        <f t="shared" si="362"/>
        <v>0</v>
      </c>
      <c r="DI164" s="4">
        <f t="shared" si="453"/>
        <v>161</v>
      </c>
      <c r="DL164" s="4">
        <f>H164/4/(1-0.3*(J164/30)^0.5)/200000/K164</f>
        <v>1.0919681186424338E-5</v>
      </c>
      <c r="DM164" s="4">
        <f t="shared" si="366"/>
        <v>6.4434781492989988</v>
      </c>
      <c r="DR164" s="38">
        <f t="shared" si="440"/>
        <v>66.858079292379969</v>
      </c>
      <c r="DS164" s="4">
        <f t="shared" si="411"/>
        <v>0.36229788726661166</v>
      </c>
      <c r="DU164" s="4">
        <f t="shared" si="441"/>
        <v>66.858079292379969</v>
      </c>
      <c r="DY164" s="4">
        <f t="shared" si="387"/>
        <v>0.85</v>
      </c>
      <c r="DZ164" s="4">
        <f t="shared" si="412"/>
        <v>0.83503937007874018</v>
      </c>
      <c r="EA164" s="4">
        <f t="shared" si="413"/>
        <v>1</v>
      </c>
      <c r="EB164" s="4">
        <f t="shared" si="414"/>
        <v>0.83503937007874018</v>
      </c>
      <c r="EE164" s="25"/>
      <c r="EH164" s="4">
        <f t="shared" si="454"/>
        <v>6.4434781492989988</v>
      </c>
      <c r="EK164" s="4">
        <f>EL164*K164</f>
        <v>56.796126628494655</v>
      </c>
      <c r="EL164" s="4">
        <f>X164^0.5</f>
        <v>2.2360679774997898</v>
      </c>
      <c r="EM164" s="4">
        <f>MIN(DU164)/(4700*J164^0.5)/W164*EK164</f>
        <v>4.0316043465442299E-2</v>
      </c>
      <c r="EP164" s="4">
        <f t="shared" si="332"/>
        <v>4.0316043465442299E-2</v>
      </c>
      <c r="EQ164" s="4">
        <f t="shared" si="333"/>
        <v>0.14691982982966276</v>
      </c>
      <c r="ER164" s="4">
        <f t="shared" si="371"/>
        <v>2.991937566563843</v>
      </c>
      <c r="ES164" s="4">
        <f t="shared" si="388"/>
        <v>5.0270800205596196</v>
      </c>
      <c r="ET164" s="4">
        <f t="shared" si="372"/>
        <v>63.953873371505345</v>
      </c>
      <c r="EU164" s="4">
        <f t="shared" si="373"/>
        <v>40.250000000000007</v>
      </c>
      <c r="EV164" s="4">
        <f t="shared" si="415"/>
        <v>1.091968118642434E-5</v>
      </c>
      <c r="EW164" s="4">
        <f t="shared" si="389"/>
        <v>6.3563219390598054</v>
      </c>
      <c r="EX164" s="4">
        <f t="shared" si="466"/>
        <v>184.53897094679917</v>
      </c>
      <c r="FG164" s="23"/>
      <c r="FH164" s="23"/>
      <c r="FI164" s="23"/>
      <c r="FJ164" s="23"/>
      <c r="FK164" s="23"/>
      <c r="FL164" s="23"/>
      <c r="FM164" s="23"/>
      <c r="FN164" s="23"/>
      <c r="FX164" s="4">
        <f t="shared" si="416"/>
        <v>1</v>
      </c>
      <c r="FY164" s="4">
        <f t="shared" si="469"/>
        <v>1.0833333333333333</v>
      </c>
      <c r="FZ164" s="4">
        <f t="shared" si="417"/>
        <v>0</v>
      </c>
      <c r="GA164" s="4">
        <f t="shared" si="418"/>
        <v>130.59039639366534</v>
      </c>
    </row>
    <row r="165" spans="1:183" ht="12" customHeight="1" x14ac:dyDescent="0.3">
      <c r="A165" s="25">
        <v>147</v>
      </c>
      <c r="B165" s="24" t="s">
        <v>128</v>
      </c>
      <c r="C165" s="24">
        <v>2017</v>
      </c>
      <c r="D165" s="24" t="s">
        <v>309</v>
      </c>
      <c r="E165" s="24"/>
      <c r="F165" s="4" t="s">
        <v>155</v>
      </c>
      <c r="G165" s="7">
        <v>606</v>
      </c>
      <c r="H165" s="7">
        <f>7*K165</f>
        <v>301</v>
      </c>
      <c r="I165" s="7">
        <f t="shared" si="455"/>
        <v>301</v>
      </c>
      <c r="J165" s="7">
        <v>47.9</v>
      </c>
      <c r="K165" s="37">
        <v>43</v>
      </c>
      <c r="L165" s="7">
        <f>H165/K165</f>
        <v>7</v>
      </c>
      <c r="M165" s="7">
        <f>I165/K165</f>
        <v>7</v>
      </c>
      <c r="N165" s="7">
        <f>Q165+2*O165+2*K165</f>
        <v>541.79999999999995</v>
      </c>
      <c r="O165" s="7">
        <f t="shared" ref="O165:O171" si="474">1*K165</f>
        <v>43</v>
      </c>
      <c r="P165" s="7">
        <f>40+16</f>
        <v>56</v>
      </c>
      <c r="Q165" s="7">
        <f>(9.6-1)*K165</f>
        <v>369.8</v>
      </c>
      <c r="R165" s="7">
        <v>2</v>
      </c>
      <c r="S165" s="7">
        <f>2/3*H165-0.5*125</f>
        <v>138.16666666666666</v>
      </c>
      <c r="T165" s="7">
        <f t="shared" ref="T165:T211" si="475">MIN(O165/K165+0.5, Q165/2/K165+0.5)</f>
        <v>1.5</v>
      </c>
      <c r="U165" s="7">
        <f t="shared" si="459"/>
        <v>1.5</v>
      </c>
      <c r="V165" s="7">
        <f t="shared" si="472"/>
        <v>4</v>
      </c>
      <c r="W165" s="7">
        <f t="shared" si="472"/>
        <v>4</v>
      </c>
      <c r="X165" s="7">
        <f t="shared" si="431"/>
        <v>5</v>
      </c>
      <c r="Y165" s="7">
        <f t="shared" si="352"/>
        <v>96.150923032490965</v>
      </c>
      <c r="Z165" s="7">
        <f t="shared" si="461"/>
        <v>606</v>
      </c>
      <c r="AA165" s="7">
        <v>19</v>
      </c>
      <c r="AB165" s="7">
        <f>(297+328)/2</f>
        <v>312.5</v>
      </c>
      <c r="AC165" s="7"/>
      <c r="AD165" s="4">
        <f t="shared" ref="AD165:AD228" si="476">CQ165</f>
        <v>0.96129394656467926</v>
      </c>
      <c r="AE165" s="7"/>
      <c r="AF165" s="7"/>
      <c r="AG165" s="7">
        <v>1</v>
      </c>
      <c r="AH165" s="7"/>
      <c r="AI165" s="7"/>
      <c r="AJ165" s="7">
        <f t="shared" si="473"/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38">
        <f>AL165*AN165*AO165*AP165*AM165</f>
        <v>173.32742600802251</v>
      </c>
      <c r="AR165" s="38">
        <f>AQ165</f>
        <v>173.32742600802251</v>
      </c>
      <c r="AS165" s="38">
        <f>IF(J165&lt;50, 0.3*J165^(2/3), 2.12*LN(1+0.1*(J165+8)))</f>
        <v>3.9568075739830846</v>
      </c>
      <c r="AT165" s="38">
        <f t="shared" si="450"/>
        <v>173.32742600802277</v>
      </c>
      <c r="AU165" s="38">
        <f t="shared" si="400"/>
        <v>0.99999999999999856</v>
      </c>
      <c r="AV165" s="38">
        <f t="shared" si="328"/>
        <v>1.6581334334630755</v>
      </c>
      <c r="AW165" s="4">
        <f t="shared" si="323"/>
        <v>0</v>
      </c>
      <c r="AX165" s="4">
        <f t="shared" si="379"/>
        <v>254.98356907576408</v>
      </c>
      <c r="AY165" s="4">
        <f t="shared" si="380"/>
        <v>1</v>
      </c>
      <c r="AZ165" s="38">
        <f t="shared" si="438"/>
        <v>287.39999999999998</v>
      </c>
      <c r="BA165" s="4">
        <f t="shared" si="381"/>
        <v>0.44000000000000006</v>
      </c>
      <c r="BB165" s="4">
        <f t="shared" si="401"/>
        <v>58.620722530518172</v>
      </c>
      <c r="BC165" s="4">
        <f t="shared" si="402"/>
        <v>346.02072253051813</v>
      </c>
      <c r="BE165" s="4">
        <f t="shared" si="451"/>
        <v>1</v>
      </c>
      <c r="BF165" s="4">
        <f t="shared" si="452"/>
        <v>352.97011204916487</v>
      </c>
      <c r="BH165" s="4">
        <f t="shared" si="463"/>
        <v>275.65174672976275</v>
      </c>
      <c r="BI165" s="4">
        <f t="shared" si="464"/>
        <v>641.65616063635548</v>
      </c>
      <c r="BJ165" s="4">
        <f t="shared" si="465"/>
        <v>2.3277783226434909</v>
      </c>
      <c r="BR165" s="4">
        <f t="shared" si="331"/>
        <v>43</v>
      </c>
      <c r="BV165" s="9"/>
      <c r="BX165" s="9"/>
      <c r="BY165" s="9"/>
      <c r="BZ165" s="9">
        <f t="shared" si="383"/>
        <v>43</v>
      </c>
      <c r="CA165" s="9">
        <f t="shared" si="384"/>
        <v>184.9</v>
      </c>
      <c r="CB165" s="9">
        <f t="shared" si="403"/>
        <v>1.2445726940891169</v>
      </c>
      <c r="CC165" s="9">
        <v>0</v>
      </c>
      <c r="CD165" s="9">
        <f t="shared" si="306"/>
        <v>0</v>
      </c>
      <c r="CE165" s="9">
        <f t="shared" si="404"/>
        <v>0</v>
      </c>
      <c r="CF165" s="9">
        <f t="shared" si="385"/>
        <v>0.84984840943171969</v>
      </c>
      <c r="CG165" s="9">
        <f t="shared" si="386"/>
        <v>0.84399999999999997</v>
      </c>
      <c r="CH165" s="9">
        <f t="shared" si="405"/>
        <v>1.7374795977330737</v>
      </c>
      <c r="CI165" s="9">
        <f t="shared" si="406"/>
        <v>2.1624196638755264</v>
      </c>
      <c r="CJ165" s="9">
        <v>1</v>
      </c>
      <c r="CK165" s="9">
        <f t="shared" si="407"/>
        <v>190.29293042104632</v>
      </c>
      <c r="CM165" s="4">
        <f t="shared" ref="CM165:CM211" si="477">AB165/AX165</f>
        <v>1.225569165623946</v>
      </c>
      <c r="CN165" s="4">
        <f t="shared" ref="CN165:CN211" si="478">AB165/BC165</f>
        <v>0.90312510104777988</v>
      </c>
      <c r="CO165" s="4">
        <f t="shared" ref="CO165:CO211" si="479">AB165/BF165</f>
        <v>0.88534408249407859</v>
      </c>
      <c r="CP165" s="4">
        <f t="shared" ref="CP165:CP211" si="480">AB165/CK165</f>
        <v>1.6422049905298932</v>
      </c>
      <c r="CQ165" s="4">
        <f t="shared" ref="CQ165:CQ211" si="481">AB165/DR165</f>
        <v>0.96129394656467926</v>
      </c>
      <c r="CR165" s="4">
        <f t="shared" ref="CR165:CR211" si="482">AB165/ED165</f>
        <v>1.0049803374710342</v>
      </c>
      <c r="CS165" s="4">
        <f t="shared" ref="CS165:CS211" si="483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484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si="362"/>
        <v>0</v>
      </c>
      <c r="DI165" s="4">
        <f t="shared" si="453"/>
        <v>301</v>
      </c>
      <c r="DL165" s="4">
        <f t="shared" ref="DL165:DL228" si="485">H165/4/(1-0.3*(J165/30)^0.5)/200000/K165</f>
        <v>1.4091943242647847E-5</v>
      </c>
      <c r="DM165" s="4">
        <f t="shared" si="366"/>
        <v>6.6896087368323061</v>
      </c>
      <c r="DN165" s="4">
        <f t="shared" ref="DN165:DN228" si="486">DU165*Y165/257/J165/V165</f>
        <v>0.33844812875228814</v>
      </c>
      <c r="DO165" s="4">
        <f t="shared" ref="DO165:DO228" si="487">DM165*DN165^0.4</f>
        <v>4.3370813109730566</v>
      </c>
      <c r="DP165" s="4">
        <f t="shared" ref="DP165:DP228" si="488">MIN(DM165, DM165/1.4*(1-DN165^1.4)/(1-DN165))</f>
        <v>5.6379680974746442</v>
      </c>
      <c r="DQ165" s="4">
        <f t="shared" ref="DQ165:DQ228" si="489">MAX(DM165/2, (4-DL165*(8*Y165*(DO165-DP165)+6*H165*DP165))/(4+DL165*H165*DM165)*DM165)</f>
        <v>6.4276280243738011</v>
      </c>
      <c r="DR165" s="38">
        <f>MIN(1/K165*(4*Y165*(DO165-DP165)+(3*DP165+DQ165)*H165)+DU165 -FB165,MAX(G165,AB165))</f>
        <v>325.08266708301164</v>
      </c>
      <c r="DS165" s="4">
        <f t="shared" si="411"/>
        <v>1.0001192057484978</v>
      </c>
      <c r="DT165" s="4">
        <f t="shared" ref="DT165:DT228" si="490">Y165/K165</f>
        <v>2.2360679774997898</v>
      </c>
      <c r="DU165" s="4">
        <f t="shared" si="441"/>
        <v>173.32742600802277</v>
      </c>
      <c r="DY165" s="4">
        <f t="shared" si="387"/>
        <v>0.85</v>
      </c>
      <c r="DZ165" s="4">
        <f t="shared" si="412"/>
        <v>1</v>
      </c>
      <c r="EA165" s="4">
        <f>MIN(1,MAX(0.7,1-0.3*(PI()*AE165^2/4*AI165*2-0.25*PI()/4*K165^2)/(PI()/4*K165^2)))</f>
        <v>1</v>
      </c>
      <c r="EB165" s="4">
        <f t="shared" si="414"/>
        <v>1</v>
      </c>
      <c r="ED165" s="4">
        <f>MIN(DM165/K165*3*H165+EE165-FB165,MAX(G165,AB165))</f>
        <v>310.95135730355219</v>
      </c>
      <c r="EE165" s="25">
        <f>13.3*N165*H165^0.5*J165^0.5/R165/K165^2*(0.7+O165/5/H165)</f>
        <v>170.46957383007376</v>
      </c>
      <c r="EH165" s="4">
        <f>IF(K165&lt;22.2,1.1*5*(J165/30)^0.5,IF(K165&gt;=31.8,0.9*5*(J165/30)^0.5,1*5*(J165/30)^0.5))/DY165/EB165</f>
        <v>6.6896087368323061</v>
      </c>
      <c r="EK165" s="4">
        <f t="shared" ref="EK165:EK228" si="491">EL165*K165</f>
        <v>96.150923032490965</v>
      </c>
      <c r="EL165" s="4">
        <f t="shared" ref="EL165:EL228" si="492">X165^0.5</f>
        <v>2.2360679774997898</v>
      </c>
      <c r="EM165" s="4">
        <f t="shared" ref="EM165:EM228" si="493">MIN(DU165)/(4700*J165^0.5)/W165*EK165</f>
        <v>0.12808407592670423</v>
      </c>
      <c r="EP165" s="4">
        <f t="shared" si="332"/>
        <v>0.12808407592670423</v>
      </c>
      <c r="EQ165" s="4">
        <f t="shared" si="333"/>
        <v>0.33788332190355697</v>
      </c>
      <c r="ER165" s="4">
        <f t="shared" si="371"/>
        <v>4.3341847481064635</v>
      </c>
      <c r="ES165" s="4">
        <f t="shared" si="388"/>
        <v>5.6368571639286049</v>
      </c>
      <c r="ET165" s="4">
        <f t="shared" si="372"/>
        <v>129.59907696750903</v>
      </c>
      <c r="EU165" s="4">
        <f t="shared" si="373"/>
        <v>75.25</v>
      </c>
      <c r="EV165" s="4">
        <f t="shared" si="415"/>
        <v>1.4091943242647847E-5</v>
      </c>
      <c r="EW165" s="4">
        <f t="shared" si="389"/>
        <v>6.4277071179258733</v>
      </c>
      <c r="EX165" s="4">
        <f t="shared" si="466"/>
        <v>325.04391997923585</v>
      </c>
      <c r="FG165" s="23">
        <f t="shared" ref="FG165:FH191" si="494">IF(CM165&lt;0.6,0.6,IF(CM165&lt;0.8,0.8,IF(CM165&lt;1,1,IF(CM165&lt;1.2,1.2,IF(CM165&lt;1.4,1.4,IF(CM165&lt;1.6,1.6,IF(CM165&lt;1.8,1.8,IF(CM165&lt;2,2,2.2))))))))</f>
        <v>1.4</v>
      </c>
      <c r="FH165" s="23">
        <f t="shared" si="494"/>
        <v>1</v>
      </c>
      <c r="FI165" s="23">
        <f t="shared" ref="FI165:FI211" si="495">IF(CS165&lt;0.6,0.6,IF(CS165&lt;0.8,0.8,IF(CS165&lt;1,1,IF(CS165&lt;1.2,1.2,IF(CS165&lt;1.4,1.4,IF(CS165&lt;1.6,1.6,IF(CS165&lt;1.8,1.8,IF(CS165&lt;2,2,2.2))))))))</f>
        <v>1.4</v>
      </c>
      <c r="FJ165" s="23">
        <f t="shared" ref="FJ165:FL191" si="496">IF(CP165&lt;0.6,0.6,IF(CP165&lt;0.8,0.8,IF(CP165&lt;1,1,IF(CP165&lt;1.2,1.2,IF(CP165&lt;1.4,1.4,IF(CP165&lt;1.6,1.6,IF(CP165&lt;1.8,1.8,IF(CP165&lt;2,2,2.2))))))))</f>
        <v>1.8</v>
      </c>
      <c r="FK165" s="23">
        <f t="shared" si="496"/>
        <v>1</v>
      </c>
      <c r="FL165" s="23">
        <f t="shared" si="496"/>
        <v>1.2</v>
      </c>
      <c r="FM165" s="23">
        <f t="shared" ref="FM165:FM211" si="497">IF(FK165&lt;1,1,0)</f>
        <v>0</v>
      </c>
      <c r="FN165" s="23"/>
      <c r="FX165" s="4">
        <f t="shared" si="416"/>
        <v>1.25</v>
      </c>
      <c r="FY165" s="4">
        <f t="shared" si="469"/>
        <v>0.5</v>
      </c>
      <c r="FZ165" s="4">
        <f t="shared" si="417"/>
        <v>0</v>
      </c>
      <c r="GA165" s="4">
        <f t="shared" si="418"/>
        <v>225.81214084001218</v>
      </c>
    </row>
    <row r="166" spans="1:183" ht="12" customHeight="1" x14ac:dyDescent="0.3">
      <c r="A166" s="25">
        <v>148</v>
      </c>
      <c r="B166" s="24" t="s">
        <v>128</v>
      </c>
      <c r="C166" s="24">
        <v>2017</v>
      </c>
      <c r="D166" s="24" t="s">
        <v>309</v>
      </c>
      <c r="E166" s="24"/>
      <c r="F166" s="4" t="s">
        <v>156</v>
      </c>
      <c r="G166" s="7">
        <v>606</v>
      </c>
      <c r="H166" s="7">
        <f>7*K166</f>
        <v>301</v>
      </c>
      <c r="I166" s="7">
        <f t="shared" si="455"/>
        <v>301</v>
      </c>
      <c r="J166" s="7">
        <v>47.9</v>
      </c>
      <c r="K166" s="37">
        <v>43</v>
      </c>
      <c r="L166" s="7">
        <f t="shared" ref="L166:L229" si="498">H166/K166</f>
        <v>7</v>
      </c>
      <c r="M166" s="7">
        <f t="shared" ref="M166:M229" si="499">I166/K166</f>
        <v>7</v>
      </c>
      <c r="N166" s="7">
        <f t="shared" ref="N166:N191" si="500">Q166+2*O166+2*K166</f>
        <v>541.79999999999995</v>
      </c>
      <c r="O166" s="7">
        <f t="shared" si="474"/>
        <v>43</v>
      </c>
      <c r="P166" s="7">
        <f t="shared" ref="P166:P191" si="501">40+16</f>
        <v>56</v>
      </c>
      <c r="Q166" s="7">
        <f t="shared" ref="Q166:Q170" si="502">(9.6-1)*K166</f>
        <v>369.8</v>
      </c>
      <c r="R166" s="7">
        <v>2</v>
      </c>
      <c r="S166" s="7">
        <f t="shared" ref="S166:S170" si="503">2/3*H166-0.5*125</f>
        <v>138.16666666666666</v>
      </c>
      <c r="T166" s="7">
        <f t="shared" si="475"/>
        <v>1.5</v>
      </c>
      <c r="U166" s="7">
        <f t="shared" si="459"/>
        <v>1.5</v>
      </c>
      <c r="V166" s="7">
        <f t="shared" si="472"/>
        <v>4</v>
      </c>
      <c r="W166" s="7">
        <f t="shared" si="472"/>
        <v>4</v>
      </c>
      <c r="X166" s="7">
        <f t="shared" si="431"/>
        <v>5</v>
      </c>
      <c r="Y166" s="7">
        <f t="shared" si="352"/>
        <v>96.150923032490965</v>
      </c>
      <c r="Z166" s="7">
        <f t="shared" si="461"/>
        <v>606</v>
      </c>
      <c r="AA166" s="7">
        <v>19</v>
      </c>
      <c r="AB166" s="7">
        <f>(449+385)/2</f>
        <v>417</v>
      </c>
      <c r="AC166" s="7"/>
      <c r="AD166" s="4">
        <f t="shared" si="476"/>
        <v>1.2785719938235214</v>
      </c>
      <c r="AE166" s="7">
        <v>15.9</v>
      </c>
      <c r="AF166" s="7">
        <v>1</v>
      </c>
      <c r="AG166" s="7">
        <v>370</v>
      </c>
      <c r="AH166" s="7">
        <v>2</v>
      </c>
      <c r="AI166" s="7">
        <f>AF166</f>
        <v>1</v>
      </c>
      <c r="AJ166" s="7">
        <f t="shared" si="473"/>
        <v>2.1875</v>
      </c>
      <c r="AK166" s="4">
        <f t="shared" ref="AK166:AK191" si="504">H166</f>
        <v>301</v>
      </c>
      <c r="AL166" s="4">
        <f t="shared" ref="AL166:AL229" si="505">IF(H166*3&gt;Q166+K166, N166, (O166+K166/2)*2+1.5*H166*(2*R166-2))*(3*H166)/(9*H166^2)</f>
        <v>0.6</v>
      </c>
      <c r="AM166" s="4">
        <f t="shared" ref="AM166:AM229" si="506">MIN(10*J166^0.5*H166^1.5,100*3.9*J166^0.5*H166^(5/3))/(PI()/4*K166^2)/R166</f>
        <v>124.44020328781106</v>
      </c>
      <c r="AN166" s="4">
        <f t="shared" ref="AN166:AN229" si="507">MIN(0.7+0.3*(MIN(O166,S166)+0.5*K166)/1.5/H166,1)</f>
        <v>0.74285714285714277</v>
      </c>
      <c r="AO166" s="4">
        <v>1.25</v>
      </c>
      <c r="AP166" s="4">
        <f t="shared" ref="AP166:AP190" si="508">AP165</f>
        <v>2.5</v>
      </c>
      <c r="AQ166" s="38">
        <f t="shared" ref="AQ166:AQ229" si="509">AL166*AN166*AO166*AP166*AM166</f>
        <v>173.32742600802251</v>
      </c>
      <c r="AR166" s="38">
        <f t="shared" ref="AR166:AR229" si="510">AQ166</f>
        <v>173.32742600802251</v>
      </c>
      <c r="AS166" s="38">
        <f t="shared" ref="AS166:AS229" si="511">IF(J166&lt;50, 0.3*J166^(2/3), 2.12*LN(1+0.1*(J166+8)))</f>
        <v>3.9568075739830846</v>
      </c>
      <c r="AT166" s="38">
        <f t="shared" si="450"/>
        <v>173.32742600802277</v>
      </c>
      <c r="AU166" s="38">
        <f t="shared" si="400"/>
        <v>0.99999999999999856</v>
      </c>
      <c r="AV166" s="38">
        <f t="shared" si="328"/>
        <v>1.6581334334630755</v>
      </c>
      <c r="AW166" s="4">
        <f t="shared" si="323"/>
        <v>0</v>
      </c>
      <c r="AX166" s="4">
        <f t="shared" si="379"/>
        <v>254.98356907576408</v>
      </c>
      <c r="AY166" s="4">
        <f t="shared" si="380"/>
        <v>1</v>
      </c>
      <c r="AZ166" s="38">
        <f t="shared" si="438"/>
        <v>287.39999999999998</v>
      </c>
      <c r="BA166" s="4">
        <f t="shared" si="381"/>
        <v>0.44000000000000006</v>
      </c>
      <c r="BB166" s="4">
        <f t="shared" si="401"/>
        <v>58.620722530518172</v>
      </c>
      <c r="BC166" s="4">
        <f t="shared" si="402"/>
        <v>346.02072253051813</v>
      </c>
      <c r="BE166" s="4">
        <f t="shared" si="451"/>
        <v>1.1996797080462691</v>
      </c>
      <c r="BF166" s="4">
        <f t="shared" si="452"/>
        <v>423.451080972201</v>
      </c>
      <c r="BH166" s="4">
        <f t="shared" si="463"/>
        <v>275.65174672976275</v>
      </c>
      <c r="BI166" s="4">
        <f t="shared" si="464"/>
        <v>641.65616063635548</v>
      </c>
      <c r="BJ166" s="4">
        <f t="shared" si="465"/>
        <v>2.3277783226434909</v>
      </c>
      <c r="BR166" s="4">
        <f t="shared" si="331"/>
        <v>43</v>
      </c>
      <c r="BV166" s="9"/>
      <c r="BX166" s="9"/>
      <c r="BY166" s="9"/>
      <c r="BZ166" s="9">
        <f t="shared" si="383"/>
        <v>43</v>
      </c>
      <c r="CA166" s="9">
        <f t="shared" si="384"/>
        <v>184.9</v>
      </c>
      <c r="CB166" s="9">
        <f t="shared" si="403"/>
        <v>1.2445726940891169</v>
      </c>
      <c r="CC166" s="9">
        <v>20</v>
      </c>
      <c r="CD166" s="9">
        <f t="shared" si="306"/>
        <v>1.2479981752891823E-2</v>
      </c>
      <c r="CE166" s="9">
        <f t="shared" si="404"/>
        <v>4.9599635057836454E-2</v>
      </c>
      <c r="CF166" s="9">
        <f t="shared" si="385"/>
        <v>0.84984840943171969</v>
      </c>
      <c r="CG166" s="9">
        <f t="shared" si="386"/>
        <v>0.84399999999999997</v>
      </c>
      <c r="CH166" s="9">
        <f t="shared" si="405"/>
        <v>1.7374795977330737</v>
      </c>
      <c r="CI166" s="9">
        <f t="shared" si="406"/>
        <v>2.2485980178435234</v>
      </c>
      <c r="CJ166" s="9">
        <v>1</v>
      </c>
      <c r="CK166" s="9">
        <f t="shared" si="407"/>
        <v>197.87662557023009</v>
      </c>
      <c r="CM166" s="4">
        <f t="shared" si="477"/>
        <v>1.6353994946085937</v>
      </c>
      <c r="CN166" s="4">
        <f t="shared" si="478"/>
        <v>1.2051301348381576</v>
      </c>
      <c r="CO166" s="4">
        <f t="shared" si="479"/>
        <v>0.98476546344529348</v>
      </c>
      <c r="CP166" s="4">
        <f t="shared" si="480"/>
        <v>2.1073737173267033</v>
      </c>
      <c r="CQ166" s="4">
        <f t="shared" si="481"/>
        <v>1.2785719938235214</v>
      </c>
      <c r="CR166" s="4">
        <f t="shared" si="482"/>
        <v>1.336765961716297</v>
      </c>
      <c r="CS166" s="4">
        <f t="shared" si="483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512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362"/>
        <v>1</v>
      </c>
      <c r="DI166" s="4">
        <f t="shared" si="453"/>
        <v>301</v>
      </c>
      <c r="DL166" s="4">
        <f t="shared" si="485"/>
        <v>1.4091943242647847E-5</v>
      </c>
      <c r="DM166" s="4">
        <f t="shared" si="366"/>
        <v>6.7370156108794408</v>
      </c>
      <c r="DN166" s="4">
        <f t="shared" si="486"/>
        <v>0.33844812875228814</v>
      </c>
      <c r="DO166" s="4">
        <f t="shared" si="487"/>
        <v>4.3678166612050413</v>
      </c>
      <c r="DP166" s="4">
        <f t="shared" si="488"/>
        <v>5.6779223689415446</v>
      </c>
      <c r="DQ166" s="4">
        <f t="shared" si="489"/>
        <v>6.4713218762920217</v>
      </c>
      <c r="DR166" s="38">
        <f t="shared" ref="DR166:DR229" si="513">MIN(1/K166*(4*Y166*(DO166-DP166)+(3*DP166+DQ166)*H166)+DU166 -FB166,MAX(G166,AB166))</f>
        <v>326.14510720900216</v>
      </c>
      <c r="DS166" s="4">
        <f t="shared" si="411"/>
        <v>1.0001196474663594</v>
      </c>
      <c r="DT166" s="4">
        <f t="shared" si="490"/>
        <v>2.2360679774997898</v>
      </c>
      <c r="DU166" s="4">
        <f t="shared" si="441"/>
        <v>173.32742600802277</v>
      </c>
      <c r="DY166" s="4">
        <f t="shared" si="387"/>
        <v>0.85</v>
      </c>
      <c r="DZ166" s="4">
        <f t="shared" si="412"/>
        <v>1</v>
      </c>
      <c r="EA166" s="4">
        <f t="shared" ref="EA166:EA229" si="514">MIN(1,MAX(0.7,1-0.3*(PI()*AE166^2/4*AI166*2-0.25*PI()/4*K166^2)/(PI()/4*K166^2)))</f>
        <v>0.99296322336398057</v>
      </c>
      <c r="EB166" s="4">
        <f t="shared" si="414"/>
        <v>0.99296322336398057</v>
      </c>
      <c r="ED166" s="4">
        <f t="shared" ref="ED166:ED229" si="515">MIN(DM166/K166*3*H166+EE166-FB166,MAX(G166,AB166))</f>
        <v>311.946901658542</v>
      </c>
      <c r="EE166" s="25">
        <f t="shared" ref="EE166:EE229" si="516">13.3*N166*H166^0.5*J166^0.5/R166/K166^2*(0.7+O166/5/H166)</f>
        <v>170.46957383007376</v>
      </c>
      <c r="EH166" s="4">
        <f t="shared" ref="EH166:EH229" si="517">IF(K166&lt;22.2,1.1*5*(J166/30)^0.5,IF(K166&gt;=31.8,0.9*5*(J166/30)^0.5,1*5*(J166/30)^0.5))/DY166/EB166</f>
        <v>6.7370156108794408</v>
      </c>
      <c r="EK166" s="4">
        <f t="shared" si="491"/>
        <v>96.150923032490965</v>
      </c>
      <c r="EL166" s="4">
        <f t="shared" si="492"/>
        <v>2.2360679774997898</v>
      </c>
      <c r="EM166" s="4">
        <f t="shared" si="493"/>
        <v>0.12808407592670423</v>
      </c>
      <c r="EP166" s="4">
        <f t="shared" si="332"/>
        <v>0.12808407592670423</v>
      </c>
      <c r="EQ166" s="4">
        <f t="shared" si="333"/>
        <v>0.33788332190355697</v>
      </c>
      <c r="ER166" s="4">
        <f t="shared" si="371"/>
        <v>4.3648995714292678</v>
      </c>
      <c r="ES166" s="4">
        <f t="shared" si="388"/>
        <v>5.6768035626052171</v>
      </c>
      <c r="ET166" s="4">
        <f t="shared" si="372"/>
        <v>129.59907696750903</v>
      </c>
      <c r="EU166" s="4">
        <f t="shared" si="373"/>
        <v>75.25</v>
      </c>
      <c r="EV166" s="4">
        <f t="shared" si="415"/>
        <v>1.4091943242647847E-5</v>
      </c>
      <c r="EW166" s="4">
        <f t="shared" si="389"/>
        <v>6.471402090827798</v>
      </c>
      <c r="EX166" s="4">
        <f t="shared" si="466"/>
        <v>326.10608944163607</v>
      </c>
      <c r="FG166" s="23">
        <f t="shared" si="494"/>
        <v>1.8</v>
      </c>
      <c r="FH166" s="23">
        <f t="shared" si="494"/>
        <v>1.4</v>
      </c>
      <c r="FI166" s="23">
        <f t="shared" si="495"/>
        <v>1.6</v>
      </c>
      <c r="FJ166" s="23">
        <f t="shared" si="496"/>
        <v>2.2000000000000002</v>
      </c>
      <c r="FK166" s="23">
        <f t="shared" si="496"/>
        <v>1.4</v>
      </c>
      <c r="FL166" s="23">
        <f t="shared" si="496"/>
        <v>1.4</v>
      </c>
      <c r="FM166" s="23">
        <f t="shared" si="497"/>
        <v>0</v>
      </c>
      <c r="FN166" s="23"/>
      <c r="FX166" s="4">
        <f t="shared" si="416"/>
        <v>1.25</v>
      </c>
      <c r="FY166" s="4">
        <f t="shared" si="469"/>
        <v>0.38915043257609383</v>
      </c>
      <c r="FZ166" s="4">
        <f t="shared" si="417"/>
        <v>0.27345592212006492</v>
      </c>
      <c r="GA166" s="4">
        <f t="shared" si="418"/>
        <v>290.13476786494033</v>
      </c>
    </row>
    <row r="167" spans="1:183" ht="12" customHeight="1" x14ac:dyDescent="0.3">
      <c r="A167" s="25">
        <v>149</v>
      </c>
      <c r="B167" s="24" t="s">
        <v>128</v>
      </c>
      <c r="C167" s="24">
        <v>2017</v>
      </c>
      <c r="D167" s="24" t="s">
        <v>309</v>
      </c>
      <c r="E167" s="24"/>
      <c r="F167" s="4" t="s">
        <v>157</v>
      </c>
      <c r="G167" s="7">
        <v>606</v>
      </c>
      <c r="H167" s="7">
        <f>7*K167</f>
        <v>301</v>
      </c>
      <c r="I167" s="7">
        <f t="shared" si="455"/>
        <v>301</v>
      </c>
      <c r="J167" s="7">
        <v>68.2</v>
      </c>
      <c r="K167" s="37">
        <v>43</v>
      </c>
      <c r="L167" s="7">
        <f t="shared" si="498"/>
        <v>7</v>
      </c>
      <c r="M167" s="7">
        <f t="shared" si="499"/>
        <v>7</v>
      </c>
      <c r="N167" s="7">
        <f t="shared" si="500"/>
        <v>541.79999999999995</v>
      </c>
      <c r="O167" s="7">
        <f t="shared" si="474"/>
        <v>43</v>
      </c>
      <c r="P167" s="7">
        <f t="shared" si="501"/>
        <v>56</v>
      </c>
      <c r="Q167" s="7">
        <f t="shared" si="502"/>
        <v>369.8</v>
      </c>
      <c r="R167" s="7">
        <v>2</v>
      </c>
      <c r="S167" s="7">
        <f t="shared" si="503"/>
        <v>138.16666666666666</v>
      </c>
      <c r="T167" s="7">
        <f t="shared" si="475"/>
        <v>1.5</v>
      </c>
      <c r="U167" s="7">
        <f t="shared" si="459"/>
        <v>1.5</v>
      </c>
      <c r="V167" s="7">
        <f t="shared" si="472"/>
        <v>4</v>
      </c>
      <c r="W167" s="7">
        <f t="shared" si="472"/>
        <v>4</v>
      </c>
      <c r="X167" s="7">
        <f t="shared" si="431"/>
        <v>5</v>
      </c>
      <c r="Y167" s="7">
        <f t="shared" si="352"/>
        <v>96.150923032490965</v>
      </c>
      <c r="Z167" s="7">
        <f t="shared" si="461"/>
        <v>606</v>
      </c>
      <c r="AA167" s="7">
        <v>19</v>
      </c>
      <c r="AB167" s="7">
        <f>(501+501)/2</f>
        <v>501</v>
      </c>
      <c r="AC167" s="7"/>
      <c r="AD167" s="4">
        <f t="shared" si="476"/>
        <v>1.3098915185197448</v>
      </c>
      <c r="AE167" s="7"/>
      <c r="AF167" s="7"/>
      <c r="AG167" s="7">
        <v>1</v>
      </c>
      <c r="AH167" s="7"/>
      <c r="AI167" s="7"/>
      <c r="AJ167" s="7">
        <f t="shared" si="473"/>
        <v>2.1875</v>
      </c>
      <c r="AK167" s="4">
        <f t="shared" si="504"/>
        <v>301</v>
      </c>
      <c r="AL167" s="4">
        <f t="shared" si="505"/>
        <v>0.6</v>
      </c>
      <c r="AM167" s="4">
        <f t="shared" si="506"/>
        <v>148.48587499878823</v>
      </c>
      <c r="AN167" s="4">
        <f t="shared" si="507"/>
        <v>0.74285714285714277</v>
      </c>
      <c r="AO167" s="4">
        <v>1.25</v>
      </c>
      <c r="AP167" s="4">
        <f t="shared" si="508"/>
        <v>2.5</v>
      </c>
      <c r="AQ167" s="38">
        <f t="shared" si="509"/>
        <v>206.81961160545501</v>
      </c>
      <c r="AR167" s="38">
        <f t="shared" si="510"/>
        <v>206.81961160545501</v>
      </c>
      <c r="AS167" s="38">
        <f t="shared" si="511"/>
        <v>4.5666603795122764</v>
      </c>
      <c r="AT167" s="38">
        <f t="shared" si="450"/>
        <v>206.81961160545529</v>
      </c>
      <c r="AU167" s="38">
        <f t="shared" si="400"/>
        <v>0.99999999999999867</v>
      </c>
      <c r="AV167" s="38">
        <f t="shared" si="328"/>
        <v>1.9785357724228825</v>
      </c>
      <c r="AW167" s="4">
        <f t="shared" si="323"/>
        <v>0</v>
      </c>
      <c r="AX167" s="4">
        <f t="shared" si="379"/>
        <v>304.25423106197485</v>
      </c>
      <c r="AY167" s="4">
        <f t="shared" si="380"/>
        <v>1</v>
      </c>
      <c r="AZ167" s="38">
        <f t="shared" si="438"/>
        <v>409.20000000000005</v>
      </c>
      <c r="BA167" s="4">
        <f t="shared" si="381"/>
        <v>0.44000000000000006</v>
      </c>
      <c r="BB167" s="4">
        <f t="shared" si="401"/>
        <v>69.948047721148029</v>
      </c>
      <c r="BC167" s="4">
        <f t="shared" si="402"/>
        <v>479.14804772114809</v>
      </c>
      <c r="BE167" s="4">
        <f t="shared" si="451"/>
        <v>1</v>
      </c>
      <c r="BF167" s="4">
        <f t="shared" si="452"/>
        <v>421.17478557007666</v>
      </c>
      <c r="BH167" s="4">
        <f t="shared" si="463"/>
        <v>392.47284189916127</v>
      </c>
      <c r="BI167" s="4">
        <f t="shared" si="464"/>
        <v>641.65616063635548</v>
      </c>
      <c r="BJ167" s="4">
        <f t="shared" si="465"/>
        <v>1.6349058893639763</v>
      </c>
      <c r="BR167" s="4">
        <f t="shared" si="331"/>
        <v>43</v>
      </c>
      <c r="BV167" s="9"/>
      <c r="BX167" s="9"/>
      <c r="BY167" s="9"/>
      <c r="BZ167" s="9">
        <f t="shared" si="383"/>
        <v>43</v>
      </c>
      <c r="CA167" s="9">
        <f t="shared" si="384"/>
        <v>184.9</v>
      </c>
      <c r="CB167" s="9">
        <f t="shared" si="403"/>
        <v>1.2445726940891169</v>
      </c>
      <c r="CC167" s="9">
        <v>0</v>
      </c>
      <c r="CD167" s="9">
        <f t="shared" ref="CD167:CD230" si="518">MIN(PI()*AE167^2/4*AF167*2/R167/K167/MAX(0.01,AG167),0.05)</f>
        <v>0</v>
      </c>
      <c r="CE167" s="9">
        <f t="shared" si="404"/>
        <v>0</v>
      </c>
      <c r="CF167" s="9">
        <f t="shared" si="385"/>
        <v>0.84984840943171969</v>
      </c>
      <c r="CG167" s="9">
        <f t="shared" si="386"/>
        <v>0.84399999999999997</v>
      </c>
      <c r="CH167" s="9">
        <f t="shared" si="405"/>
        <v>2.0732140541850779</v>
      </c>
      <c r="CI167" s="9">
        <f t="shared" si="406"/>
        <v>2.5802656008405425</v>
      </c>
      <c r="CJ167" s="9">
        <v>1</v>
      </c>
      <c r="CK167" s="9">
        <f t="shared" si="407"/>
        <v>227.06337287396775</v>
      </c>
      <c r="CM167" s="4">
        <f t="shared" si="477"/>
        <v>1.6466492454395782</v>
      </c>
      <c r="CN167" s="4">
        <f t="shared" si="478"/>
        <v>1.0456058464242541</v>
      </c>
      <c r="CO167" s="4">
        <f t="shared" si="479"/>
        <v>1.1895298986663618</v>
      </c>
      <c r="CP167" s="4">
        <f t="shared" si="480"/>
        <v>2.2064324759153546</v>
      </c>
      <c r="CQ167" s="4">
        <f t="shared" si="481"/>
        <v>1.3098915185197448</v>
      </c>
      <c r="CR167" s="4">
        <f t="shared" si="482"/>
        <v>1.3502706830387621</v>
      </c>
      <c r="CS167" s="4">
        <f t="shared" si="483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484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362"/>
        <v>0</v>
      </c>
      <c r="DI167" s="4">
        <f t="shared" si="453"/>
        <v>301</v>
      </c>
      <c r="DL167" s="4">
        <f t="shared" si="485"/>
        <v>1.5976696011144739E-5</v>
      </c>
      <c r="DM167" s="4">
        <f t="shared" si="366"/>
        <v>7.9822467373402182</v>
      </c>
      <c r="DN167" s="4">
        <f t="shared" si="486"/>
        <v>0.2836401371151141</v>
      </c>
      <c r="DO167" s="4">
        <f t="shared" si="487"/>
        <v>4.8220557004738289</v>
      </c>
      <c r="DP167" s="4">
        <f t="shared" si="488"/>
        <v>6.5953665189642372</v>
      </c>
      <c r="DQ167" s="4">
        <f t="shared" si="489"/>
        <v>7.5732980781767054</v>
      </c>
      <c r="DR167" s="38">
        <f t="shared" si="513"/>
        <v>382.47442090941985</v>
      </c>
      <c r="DS167" s="4">
        <f t="shared" si="411"/>
        <v>1.0001101319994157</v>
      </c>
      <c r="DT167" s="4">
        <f t="shared" si="490"/>
        <v>2.2360679774997898</v>
      </c>
      <c r="DU167" s="4">
        <f t="shared" si="441"/>
        <v>206.81961160545529</v>
      </c>
      <c r="DY167" s="4">
        <f t="shared" si="387"/>
        <v>0.85</v>
      </c>
      <c r="DZ167" s="4">
        <f t="shared" si="412"/>
        <v>1</v>
      </c>
      <c r="EA167" s="4">
        <f t="shared" si="514"/>
        <v>1</v>
      </c>
      <c r="EB167" s="4">
        <f t="shared" si="414"/>
        <v>1</v>
      </c>
      <c r="ED167" s="4">
        <f t="shared" si="515"/>
        <v>371.03671604015551</v>
      </c>
      <c r="EE167" s="25">
        <f t="shared" si="516"/>
        <v>203.40953455601098</v>
      </c>
      <c r="EH167" s="4">
        <f t="shared" si="517"/>
        <v>7.9822467373402182</v>
      </c>
      <c r="EK167" s="4">
        <f t="shared" si="491"/>
        <v>96.150923032490965</v>
      </c>
      <c r="EL167" s="4">
        <f t="shared" si="492"/>
        <v>2.2360679774997898</v>
      </c>
      <c r="EM167" s="4">
        <f t="shared" si="493"/>
        <v>0.12808407592670423</v>
      </c>
      <c r="EP167" s="4">
        <f t="shared" si="332"/>
        <v>0.12808407592670423</v>
      </c>
      <c r="EQ167" s="4">
        <f t="shared" si="333"/>
        <v>0.28316679458960436</v>
      </c>
      <c r="ER167" s="4">
        <f t="shared" si="371"/>
        <v>4.8188352426402856</v>
      </c>
      <c r="ES167" s="4">
        <f t="shared" si="388"/>
        <v>6.5941944952946905</v>
      </c>
      <c r="ET167" s="4">
        <f t="shared" si="372"/>
        <v>129.59907696750903</v>
      </c>
      <c r="EU167" s="4">
        <f t="shared" si="373"/>
        <v>75.25</v>
      </c>
      <c r="EV167" s="4">
        <f t="shared" si="415"/>
        <v>1.5976696011144739E-5</v>
      </c>
      <c r="EW167" s="4">
        <f t="shared" si="389"/>
        <v>7.5734146803275983</v>
      </c>
      <c r="EX167" s="4">
        <f t="shared" si="466"/>
        <v>382.43230287526308</v>
      </c>
      <c r="FG167" s="23">
        <f t="shared" si="494"/>
        <v>1.8</v>
      </c>
      <c r="FH167" s="23">
        <f t="shared" si="494"/>
        <v>1.2</v>
      </c>
      <c r="FI167" s="23">
        <f t="shared" si="495"/>
        <v>2.2000000000000002</v>
      </c>
      <c r="FJ167" s="23">
        <f t="shared" si="496"/>
        <v>2.2000000000000002</v>
      </c>
      <c r="FK167" s="23">
        <f t="shared" si="496"/>
        <v>1.4</v>
      </c>
      <c r="FL167" s="23">
        <f t="shared" si="496"/>
        <v>1.4</v>
      </c>
      <c r="FM167" s="23">
        <f t="shared" si="497"/>
        <v>0</v>
      </c>
      <c r="FN167" s="23"/>
      <c r="FX167" s="4">
        <f t="shared" si="416"/>
        <v>1.25</v>
      </c>
      <c r="FY167" s="4">
        <f t="shared" si="469"/>
        <v>0.5</v>
      </c>
      <c r="FZ167" s="4">
        <f t="shared" si="417"/>
        <v>0</v>
      </c>
      <c r="GA167" s="4">
        <f t="shared" si="418"/>
        <v>246.6661205377913</v>
      </c>
    </row>
    <row r="168" spans="1:183" ht="12" customHeight="1" x14ac:dyDescent="0.3">
      <c r="A168" s="25">
        <v>150</v>
      </c>
      <c r="B168" s="24" t="s">
        <v>128</v>
      </c>
      <c r="C168" s="24">
        <v>2017</v>
      </c>
      <c r="D168" s="24" t="s">
        <v>309</v>
      </c>
      <c r="E168" s="24"/>
      <c r="F168" s="4" t="s">
        <v>158</v>
      </c>
      <c r="G168" s="7">
        <v>606</v>
      </c>
      <c r="H168" s="7">
        <f>10*K168</f>
        <v>430</v>
      </c>
      <c r="I168" s="7">
        <f t="shared" si="455"/>
        <v>430</v>
      </c>
      <c r="J168" s="7">
        <v>52.2</v>
      </c>
      <c r="K168" s="37">
        <v>43</v>
      </c>
      <c r="L168" s="7">
        <f t="shared" si="498"/>
        <v>10</v>
      </c>
      <c r="M168" s="7">
        <f t="shared" si="499"/>
        <v>10</v>
      </c>
      <c r="N168" s="7">
        <f t="shared" si="500"/>
        <v>541.79999999999995</v>
      </c>
      <c r="O168" s="7">
        <f t="shared" si="474"/>
        <v>43</v>
      </c>
      <c r="P168" s="7">
        <f t="shared" si="501"/>
        <v>56</v>
      </c>
      <c r="Q168" s="7">
        <f t="shared" si="502"/>
        <v>369.8</v>
      </c>
      <c r="R168" s="7">
        <v>2</v>
      </c>
      <c r="S168" s="7">
        <f t="shared" si="503"/>
        <v>224.16666666666663</v>
      </c>
      <c r="T168" s="7">
        <f t="shared" si="475"/>
        <v>1.5</v>
      </c>
      <c r="U168" s="7">
        <f t="shared" si="459"/>
        <v>1.5</v>
      </c>
      <c r="V168" s="7">
        <f t="shared" si="472"/>
        <v>4</v>
      </c>
      <c r="W168" s="7">
        <f t="shared" si="472"/>
        <v>4</v>
      </c>
      <c r="X168" s="7">
        <f t="shared" si="431"/>
        <v>5</v>
      </c>
      <c r="Y168" s="7">
        <f t="shared" si="352"/>
        <v>96.150923032490965</v>
      </c>
      <c r="Z168" s="7">
        <f t="shared" si="461"/>
        <v>606</v>
      </c>
      <c r="AA168" s="7">
        <v>19</v>
      </c>
      <c r="AB168" s="7">
        <f>(437+437)/2</f>
        <v>437</v>
      </c>
      <c r="AC168" s="7"/>
      <c r="AD168" s="4">
        <f t="shared" si="476"/>
        <v>0.98353055359065744</v>
      </c>
      <c r="AE168" s="7"/>
      <c r="AF168" s="7"/>
      <c r="AG168" s="7">
        <v>1</v>
      </c>
      <c r="AH168" s="7"/>
      <c r="AI168" s="7"/>
      <c r="AJ168" s="7">
        <f t="shared" si="473"/>
        <v>3.125</v>
      </c>
      <c r="AK168" s="4">
        <f t="shared" si="504"/>
        <v>430</v>
      </c>
      <c r="AL168" s="4">
        <f t="shared" si="505"/>
        <v>0.41999999999999993</v>
      </c>
      <c r="AM168" s="4">
        <f t="shared" si="506"/>
        <v>221.8100126942922</v>
      </c>
      <c r="AN168" s="4">
        <f t="shared" si="507"/>
        <v>0.73</v>
      </c>
      <c r="AO168" s="4">
        <v>1.25</v>
      </c>
      <c r="AP168" s="4">
        <f t="shared" si="508"/>
        <v>2.5</v>
      </c>
      <c r="AQ168" s="38">
        <f t="shared" si="509"/>
        <v>212.52171841271866</v>
      </c>
      <c r="AR168" s="38">
        <f t="shared" si="510"/>
        <v>212.52171841271866</v>
      </c>
      <c r="AS168" s="38">
        <f t="shared" si="511"/>
        <v>4.1313780222399661</v>
      </c>
      <c r="AT168" s="38">
        <f t="shared" si="450"/>
        <v>212.52171841271891</v>
      </c>
      <c r="AU168" s="38">
        <f t="shared" si="400"/>
        <v>0.99999999999999878</v>
      </c>
      <c r="AV168" s="38">
        <f t="shared" si="328"/>
        <v>1.4737317312283496</v>
      </c>
      <c r="AW168" s="4">
        <f t="shared" si="323"/>
        <v>0</v>
      </c>
      <c r="AX168" s="4">
        <f t="shared" si="379"/>
        <v>380.26088143554614</v>
      </c>
      <c r="AY168" s="4">
        <f t="shared" si="380"/>
        <v>1</v>
      </c>
      <c r="AZ168" s="38">
        <f t="shared" si="438"/>
        <v>313.20000000000005</v>
      </c>
      <c r="BA168" s="4">
        <f t="shared" si="381"/>
        <v>0.44000000000000006</v>
      </c>
      <c r="BB168" s="4">
        <f t="shared" si="401"/>
        <v>87.421976642032064</v>
      </c>
      <c r="BC168" s="4">
        <f t="shared" si="402"/>
        <v>400.62197664203211</v>
      </c>
      <c r="BE168" s="4">
        <f t="shared" si="451"/>
        <v>1</v>
      </c>
      <c r="BF168" s="4">
        <f t="shared" si="452"/>
        <v>433.49740483652266</v>
      </c>
      <c r="BH168" s="4">
        <f t="shared" si="463"/>
        <v>300.39710186416738</v>
      </c>
      <c r="BI168" s="4">
        <f t="shared" si="464"/>
        <v>641.65616063635548</v>
      </c>
      <c r="BJ168" s="4">
        <f t="shared" si="465"/>
        <v>2.1360264684793715</v>
      </c>
      <c r="BR168" s="4">
        <f t="shared" si="331"/>
        <v>43</v>
      </c>
      <c r="BV168" s="9"/>
      <c r="BX168" s="9"/>
      <c r="BY168" s="9"/>
      <c r="BZ168" s="9">
        <f t="shared" si="383"/>
        <v>43</v>
      </c>
      <c r="CA168" s="9">
        <f t="shared" si="384"/>
        <v>184.9</v>
      </c>
      <c r="CB168" s="9">
        <f t="shared" si="403"/>
        <v>1.2445726940891169</v>
      </c>
      <c r="CC168" s="9">
        <v>0</v>
      </c>
      <c r="CD168" s="9">
        <f t="shared" si="518"/>
        <v>0</v>
      </c>
      <c r="CE168" s="9">
        <f t="shared" si="404"/>
        <v>0</v>
      </c>
      <c r="CF168" s="9">
        <f t="shared" si="385"/>
        <v>0.84984840943171969</v>
      </c>
      <c r="CG168" s="9">
        <f t="shared" si="386"/>
        <v>0.84399999999999997</v>
      </c>
      <c r="CH168" s="9">
        <f t="shared" si="405"/>
        <v>1.8137908571660144</v>
      </c>
      <c r="CI168" s="9">
        <f t="shared" si="406"/>
        <v>2.2573945736173151</v>
      </c>
      <c r="CJ168" s="9">
        <v>1</v>
      </c>
      <c r="CK168" s="9">
        <f t="shared" si="407"/>
        <v>225.7394573617315</v>
      </c>
      <c r="CM168" s="4">
        <f t="shared" si="477"/>
        <v>1.1492110320426716</v>
      </c>
      <c r="CN168" s="4">
        <f t="shared" si="478"/>
        <v>1.0908038636893671</v>
      </c>
      <c r="CO168" s="4">
        <f t="shared" si="479"/>
        <v>1.00807985266901</v>
      </c>
      <c r="CP168" s="4">
        <f t="shared" si="480"/>
        <v>1.9358600623361049</v>
      </c>
      <c r="CQ168" s="4">
        <f t="shared" si="481"/>
        <v>0.98353055359065744</v>
      </c>
      <c r="CR168" s="4">
        <f t="shared" si="482"/>
        <v>1.0412218156152346</v>
      </c>
      <c r="CS168" s="4">
        <f t="shared" si="483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484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362"/>
        <v>0</v>
      </c>
      <c r="DI168" s="4">
        <f t="shared" si="453"/>
        <v>430</v>
      </c>
      <c r="DL168" s="4">
        <f t="shared" si="485"/>
        <v>2.068602055294326E-5</v>
      </c>
      <c r="DM168" s="4">
        <f t="shared" si="366"/>
        <v>6.9834208014386041</v>
      </c>
      <c r="DN168" s="4">
        <f t="shared" si="486"/>
        <v>0.38079668496343849</v>
      </c>
      <c r="DO168" s="4">
        <f t="shared" si="487"/>
        <v>4.7461938887450668</v>
      </c>
      <c r="DP168" s="4">
        <f t="shared" si="488"/>
        <v>5.9709050746754713</v>
      </c>
      <c r="DQ168" s="4">
        <f t="shared" si="489"/>
        <v>6.3622945193921439</v>
      </c>
      <c r="DR168" s="38">
        <f t="shared" si="513"/>
        <v>444.31766598872548</v>
      </c>
      <c r="DS168" s="4">
        <f t="shared" si="411"/>
        <v>1.0001196288150624</v>
      </c>
      <c r="DT168" s="4">
        <f t="shared" si="490"/>
        <v>2.2360679774997898</v>
      </c>
      <c r="DU168" s="4">
        <f t="shared" si="441"/>
        <v>212.52171841271891</v>
      </c>
      <c r="DY168" s="4">
        <f t="shared" si="387"/>
        <v>0.85</v>
      </c>
      <c r="DZ168" s="4">
        <f t="shared" si="412"/>
        <v>1</v>
      </c>
      <c r="EA168" s="4">
        <f t="shared" si="514"/>
        <v>1</v>
      </c>
      <c r="EB168" s="4">
        <f t="shared" si="414"/>
        <v>1</v>
      </c>
      <c r="ED168" s="4">
        <f t="shared" si="515"/>
        <v>419.69923550034969</v>
      </c>
      <c r="EE168" s="25">
        <f t="shared" si="516"/>
        <v>210.19661145719158</v>
      </c>
      <c r="EH168" s="4">
        <f t="shared" si="517"/>
        <v>6.9834208014386041</v>
      </c>
      <c r="EK168" s="4">
        <f t="shared" si="491"/>
        <v>96.150923032490965</v>
      </c>
      <c r="EL168" s="4">
        <f t="shared" si="492"/>
        <v>2.2360679774997898</v>
      </c>
      <c r="EM168" s="4">
        <f t="shared" si="493"/>
        <v>0.15044012162558293</v>
      </c>
      <c r="EP168" s="4">
        <f t="shared" si="332"/>
        <v>0.15044012162558293</v>
      </c>
      <c r="EQ168" s="4">
        <f t="shared" si="333"/>
        <v>0.38016120626708905</v>
      </c>
      <c r="ER168" s="4">
        <f t="shared" si="371"/>
        <v>4.7430240959765975</v>
      </c>
      <c r="ES168" s="4">
        <f t="shared" si="388"/>
        <v>5.9696478367042616</v>
      </c>
      <c r="ET168" s="4">
        <f t="shared" si="372"/>
        <v>226.34907696750903</v>
      </c>
      <c r="EU168" s="4">
        <f t="shared" si="373"/>
        <v>107.50000000000003</v>
      </c>
      <c r="EV168" s="4">
        <f t="shared" si="415"/>
        <v>2.068602055294326E-5</v>
      </c>
      <c r="EW168" s="4">
        <f t="shared" si="389"/>
        <v>6.3624621905206977</v>
      </c>
      <c r="EX168" s="4">
        <f t="shared" si="466"/>
        <v>444.26451915072516</v>
      </c>
      <c r="FG168" s="23">
        <f t="shared" si="494"/>
        <v>1.2</v>
      </c>
      <c r="FH168" s="23">
        <f t="shared" si="494"/>
        <v>1.2</v>
      </c>
      <c r="FI168" s="23">
        <f t="shared" si="495"/>
        <v>1.4</v>
      </c>
      <c r="FJ168" s="23">
        <f t="shared" si="496"/>
        <v>2</v>
      </c>
      <c r="FK168" s="23">
        <f t="shared" si="496"/>
        <v>1</v>
      </c>
      <c r="FL168" s="23">
        <f t="shared" si="496"/>
        <v>1.2</v>
      </c>
      <c r="FM168" s="23">
        <f t="shared" si="497"/>
        <v>0</v>
      </c>
      <c r="FN168" s="23"/>
      <c r="FX168" s="4">
        <f t="shared" si="416"/>
        <v>1.25</v>
      </c>
      <c r="FY168" s="4">
        <f t="shared" si="469"/>
        <v>0.5</v>
      </c>
      <c r="FZ168" s="4">
        <f t="shared" si="417"/>
        <v>0</v>
      </c>
      <c r="GA168" s="4">
        <f t="shared" si="418"/>
        <v>329.59680681931764</v>
      </c>
    </row>
    <row r="169" spans="1:183" ht="12" customHeight="1" x14ac:dyDescent="0.3">
      <c r="A169" s="25">
        <v>151</v>
      </c>
      <c r="B169" s="24" t="s">
        <v>128</v>
      </c>
      <c r="C169" s="24">
        <v>2017</v>
      </c>
      <c r="D169" s="24" t="s">
        <v>309</v>
      </c>
      <c r="E169" s="24"/>
      <c r="F169" s="4" t="s">
        <v>181</v>
      </c>
      <c r="G169" s="7">
        <v>606</v>
      </c>
      <c r="H169" s="7">
        <f t="shared" ref="H169:H170" si="519">10*K169</f>
        <v>430</v>
      </c>
      <c r="I169" s="7">
        <f t="shared" si="455"/>
        <v>430</v>
      </c>
      <c r="J169" s="7">
        <v>52.2</v>
      </c>
      <c r="K169" s="37">
        <v>43</v>
      </c>
      <c r="L169" s="7">
        <f t="shared" si="498"/>
        <v>10</v>
      </c>
      <c r="M169" s="7">
        <f t="shared" si="499"/>
        <v>10</v>
      </c>
      <c r="N169" s="7">
        <f t="shared" si="500"/>
        <v>541.79999999999995</v>
      </c>
      <c r="O169" s="7">
        <f t="shared" si="474"/>
        <v>43</v>
      </c>
      <c r="P169" s="7">
        <f t="shared" si="501"/>
        <v>56</v>
      </c>
      <c r="Q169" s="7">
        <f t="shared" si="502"/>
        <v>369.8</v>
      </c>
      <c r="R169" s="7">
        <v>2</v>
      </c>
      <c r="S169" s="7">
        <f t="shared" si="503"/>
        <v>224.16666666666663</v>
      </c>
      <c r="T169" s="7">
        <f t="shared" si="475"/>
        <v>1.5</v>
      </c>
      <c r="U169" s="7">
        <f t="shared" si="459"/>
        <v>1.5</v>
      </c>
      <c r="V169" s="7">
        <f t="shared" si="472"/>
        <v>4</v>
      </c>
      <c r="W169" s="7">
        <f t="shared" si="472"/>
        <v>4</v>
      </c>
      <c r="X169" s="7">
        <f t="shared" si="431"/>
        <v>5</v>
      </c>
      <c r="Y169" s="7">
        <f t="shared" si="352"/>
        <v>96.150923032490965</v>
      </c>
      <c r="Z169" s="7">
        <f t="shared" si="461"/>
        <v>606</v>
      </c>
      <c r="AA169" s="7">
        <v>19</v>
      </c>
      <c r="AB169" s="7">
        <f>(489+498)/2</f>
        <v>493.5</v>
      </c>
      <c r="AC169" s="7"/>
      <c r="AD169" s="4">
        <f t="shared" si="476"/>
        <v>1.1067090057702911</v>
      </c>
      <c r="AE169" s="7">
        <v>15.9</v>
      </c>
      <c r="AF169" s="7">
        <v>1</v>
      </c>
      <c r="AG169" s="7">
        <v>370</v>
      </c>
      <c r="AH169" s="7">
        <v>2</v>
      </c>
      <c r="AI169" s="7">
        <f>AF169</f>
        <v>1</v>
      </c>
      <c r="AJ169" s="7">
        <f t="shared" si="473"/>
        <v>3.125</v>
      </c>
      <c r="AK169" s="4">
        <f t="shared" si="504"/>
        <v>430</v>
      </c>
      <c r="AL169" s="4">
        <f t="shared" si="505"/>
        <v>0.41999999999999993</v>
      </c>
      <c r="AM169" s="4">
        <f t="shared" si="506"/>
        <v>221.8100126942922</v>
      </c>
      <c r="AN169" s="4">
        <f t="shared" si="507"/>
        <v>0.73</v>
      </c>
      <c r="AO169" s="4">
        <v>1.25</v>
      </c>
      <c r="AP169" s="4">
        <f t="shared" si="508"/>
        <v>2.5</v>
      </c>
      <c r="AQ169" s="38">
        <f t="shared" si="509"/>
        <v>212.52171841271866</v>
      </c>
      <c r="AR169" s="38">
        <f t="shared" si="510"/>
        <v>212.52171841271866</v>
      </c>
      <c r="AS169" s="38">
        <f t="shared" si="511"/>
        <v>4.1313780222399661</v>
      </c>
      <c r="AT169" s="38">
        <f t="shared" si="450"/>
        <v>212.52171841271891</v>
      </c>
      <c r="AU169" s="38">
        <f t="shared" si="400"/>
        <v>0.99999999999999878</v>
      </c>
      <c r="AV169" s="38">
        <f t="shared" si="328"/>
        <v>1.4737317312283496</v>
      </c>
      <c r="AW169" s="4">
        <f t="shared" si="323"/>
        <v>0</v>
      </c>
      <c r="AX169" s="4">
        <f t="shared" si="379"/>
        <v>380.26088143554614</v>
      </c>
      <c r="AY169" s="4">
        <f t="shared" si="380"/>
        <v>1</v>
      </c>
      <c r="AZ169" s="38">
        <f t="shared" si="438"/>
        <v>313.20000000000005</v>
      </c>
      <c r="BA169" s="4">
        <f t="shared" si="381"/>
        <v>0.44000000000000006</v>
      </c>
      <c r="BB169" s="4">
        <f t="shared" si="401"/>
        <v>87.421976642032064</v>
      </c>
      <c r="BC169" s="4">
        <f t="shared" si="402"/>
        <v>400.62197664203211</v>
      </c>
      <c r="BE169" s="4">
        <f t="shared" si="451"/>
        <v>1.1996797080462691</v>
      </c>
      <c r="BF169" s="4">
        <f t="shared" si="452"/>
        <v>520.05804007309484</v>
      </c>
      <c r="BH169" s="4">
        <f t="shared" si="463"/>
        <v>300.39710186416738</v>
      </c>
      <c r="BI169" s="4">
        <f t="shared" si="464"/>
        <v>641.65616063635548</v>
      </c>
      <c r="BJ169" s="4">
        <f t="shared" si="465"/>
        <v>2.1360264684793715</v>
      </c>
      <c r="BR169" s="4">
        <f t="shared" si="331"/>
        <v>43</v>
      </c>
      <c r="BV169" s="9"/>
      <c r="BX169" s="9"/>
      <c r="BY169" s="9"/>
      <c r="BZ169" s="9">
        <f t="shared" si="383"/>
        <v>43</v>
      </c>
      <c r="CA169" s="9">
        <f t="shared" si="384"/>
        <v>184.9</v>
      </c>
      <c r="CB169" s="9">
        <f t="shared" si="403"/>
        <v>1.2445726940891169</v>
      </c>
      <c r="CC169" s="9">
        <v>20</v>
      </c>
      <c r="CD169" s="9">
        <f t="shared" si="518"/>
        <v>1.2479981752891823E-2</v>
      </c>
      <c r="CE169" s="9">
        <f t="shared" si="404"/>
        <v>4.9599635057836454E-2</v>
      </c>
      <c r="CF169" s="9">
        <f t="shared" si="385"/>
        <v>0.84984840943171969</v>
      </c>
      <c r="CG169" s="9">
        <f t="shared" si="386"/>
        <v>0.84399999999999997</v>
      </c>
      <c r="CH169" s="9">
        <f t="shared" si="405"/>
        <v>1.8137908571660144</v>
      </c>
      <c r="CI169" s="9">
        <f t="shared" si="406"/>
        <v>2.3473579382039897</v>
      </c>
      <c r="CJ169" s="9">
        <v>1</v>
      </c>
      <c r="CK169" s="9">
        <f t="shared" si="407"/>
        <v>234.73579382039895</v>
      </c>
      <c r="CM169" s="4">
        <f t="shared" si="477"/>
        <v>1.2977932364143214</v>
      </c>
      <c r="CN169" s="4">
        <f t="shared" si="478"/>
        <v>1.2318345691778092</v>
      </c>
      <c r="CO169" s="4">
        <f t="shared" si="479"/>
        <v>0.94893254593398446</v>
      </c>
      <c r="CP169" s="4">
        <f t="shared" si="480"/>
        <v>2.1023636487990696</v>
      </c>
      <c r="CQ169" s="4">
        <f t="shared" si="481"/>
        <v>1.1067090057702911</v>
      </c>
      <c r="CR169" s="4">
        <f t="shared" si="482"/>
        <v>1.1716971921552939</v>
      </c>
      <c r="CS169" s="4">
        <f t="shared" si="483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520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362"/>
        <v>1</v>
      </c>
      <c r="DI169" s="4">
        <f t="shared" si="453"/>
        <v>430</v>
      </c>
      <c r="DL169" s="4">
        <f t="shared" si="485"/>
        <v>2.068602055294326E-5</v>
      </c>
      <c r="DM169" s="4">
        <f t="shared" si="366"/>
        <v>7.0329098169215492</v>
      </c>
      <c r="DN169" s="4">
        <f t="shared" si="486"/>
        <v>0.38079668496343849</v>
      </c>
      <c r="DO169" s="4">
        <f t="shared" si="487"/>
        <v>4.7798284740756225</v>
      </c>
      <c r="DP169" s="4">
        <f t="shared" si="488"/>
        <v>6.0132187518960869</v>
      </c>
      <c r="DQ169" s="4">
        <f t="shared" si="489"/>
        <v>6.403017200513113</v>
      </c>
      <c r="DR169" s="38">
        <f t="shared" si="513"/>
        <v>445.91667495875697</v>
      </c>
      <c r="DS169" s="4">
        <f t="shared" si="411"/>
        <v>1.0001200181870185</v>
      </c>
      <c r="DT169" s="4">
        <f t="shared" si="490"/>
        <v>2.2360679774997898</v>
      </c>
      <c r="DU169" s="4">
        <f t="shared" si="441"/>
        <v>212.52171841271891</v>
      </c>
      <c r="DY169" s="4">
        <f t="shared" si="387"/>
        <v>0.85</v>
      </c>
      <c r="DZ169" s="4">
        <f t="shared" si="412"/>
        <v>1</v>
      </c>
      <c r="EA169" s="4">
        <f t="shared" si="514"/>
        <v>0.99296322336398057</v>
      </c>
      <c r="EB169" s="4">
        <f t="shared" si="414"/>
        <v>0.99296322336398057</v>
      </c>
      <c r="ED169" s="4">
        <f t="shared" si="515"/>
        <v>421.183905964838</v>
      </c>
      <c r="EE169" s="25">
        <f t="shared" si="516"/>
        <v>210.19661145719158</v>
      </c>
      <c r="EH169" s="4">
        <f t="shared" si="517"/>
        <v>7.0329098169215492</v>
      </c>
      <c r="EK169" s="4">
        <f t="shared" si="491"/>
        <v>96.150923032490965</v>
      </c>
      <c r="EL169" s="4">
        <f t="shared" si="492"/>
        <v>2.2360679774997898</v>
      </c>
      <c r="EM169" s="4">
        <f t="shared" si="493"/>
        <v>0.15044012162558293</v>
      </c>
      <c r="EP169" s="4">
        <f t="shared" si="332"/>
        <v>0.15044012162558293</v>
      </c>
      <c r="EQ169" s="4">
        <f t="shared" si="333"/>
        <v>0.38016120626708905</v>
      </c>
      <c r="ER169" s="4">
        <f t="shared" si="371"/>
        <v>4.7766362181149926</v>
      </c>
      <c r="ES169" s="4">
        <f t="shared" si="388"/>
        <v>6.0119526043272469</v>
      </c>
      <c r="ET169" s="4">
        <f t="shared" si="372"/>
        <v>226.34907696750903</v>
      </c>
      <c r="EU169" s="4">
        <f t="shared" si="373"/>
        <v>107.50000000000003</v>
      </c>
      <c r="EV169" s="4">
        <f t="shared" si="415"/>
        <v>2.068602055294326E-5</v>
      </c>
      <c r="EW169" s="4">
        <f t="shared" si="389"/>
        <v>6.4031872380866517</v>
      </c>
      <c r="EX169" s="4">
        <f t="shared" si="466"/>
        <v>445.86316327024292</v>
      </c>
      <c r="FG169" s="23">
        <f t="shared" si="494"/>
        <v>1.4</v>
      </c>
      <c r="FH169" s="23">
        <f t="shared" si="494"/>
        <v>1.4</v>
      </c>
      <c r="FI169" s="23">
        <f t="shared" si="495"/>
        <v>1.2</v>
      </c>
      <c r="FJ169" s="23">
        <f t="shared" si="496"/>
        <v>2.2000000000000002</v>
      </c>
      <c r="FK169" s="23">
        <f t="shared" si="496"/>
        <v>1.2</v>
      </c>
      <c r="FL169" s="23">
        <f t="shared" si="496"/>
        <v>1.2</v>
      </c>
      <c r="FM169" s="23">
        <f t="shared" si="497"/>
        <v>0</v>
      </c>
      <c r="FN169" s="23"/>
      <c r="FX169" s="4">
        <f t="shared" si="416"/>
        <v>1.25</v>
      </c>
      <c r="FY169" s="4">
        <f t="shared" si="469"/>
        <v>0.38915043257609383</v>
      </c>
      <c r="FZ169" s="4">
        <f t="shared" si="417"/>
        <v>0.27345592212006492</v>
      </c>
      <c r="GA169" s="4">
        <f t="shared" si="418"/>
        <v>423.48251373826855</v>
      </c>
    </row>
    <row r="170" spans="1:183" ht="12" customHeight="1" x14ac:dyDescent="0.3">
      <c r="A170" s="25">
        <v>152</v>
      </c>
      <c r="B170" s="24" t="s">
        <v>128</v>
      </c>
      <c r="C170" s="24">
        <v>2017</v>
      </c>
      <c r="D170" s="24" t="s">
        <v>309</v>
      </c>
      <c r="E170" s="24"/>
      <c r="F170" s="4" t="s">
        <v>159</v>
      </c>
      <c r="G170" s="7">
        <v>606</v>
      </c>
      <c r="H170" s="7">
        <f t="shared" si="519"/>
        <v>430</v>
      </c>
      <c r="I170" s="7">
        <f t="shared" si="455"/>
        <v>430</v>
      </c>
      <c r="J170" s="7">
        <v>81.2</v>
      </c>
      <c r="K170" s="37">
        <v>43</v>
      </c>
      <c r="L170" s="7">
        <f t="shared" si="498"/>
        <v>10</v>
      </c>
      <c r="M170" s="7">
        <f t="shared" si="499"/>
        <v>10</v>
      </c>
      <c r="N170" s="7">
        <f t="shared" si="500"/>
        <v>541.79999999999995</v>
      </c>
      <c r="O170" s="7">
        <f t="shared" si="474"/>
        <v>43</v>
      </c>
      <c r="P170" s="7">
        <f t="shared" si="501"/>
        <v>56</v>
      </c>
      <c r="Q170" s="7">
        <f t="shared" si="502"/>
        <v>369.8</v>
      </c>
      <c r="R170" s="7">
        <v>2</v>
      </c>
      <c r="S170" s="7">
        <f t="shared" si="503"/>
        <v>224.16666666666663</v>
      </c>
      <c r="T170" s="7">
        <f t="shared" si="475"/>
        <v>1.5</v>
      </c>
      <c r="U170" s="7">
        <f t="shared" si="459"/>
        <v>1.5</v>
      </c>
      <c r="V170" s="7">
        <f t="shared" si="472"/>
        <v>4</v>
      </c>
      <c r="W170" s="7">
        <f t="shared" si="472"/>
        <v>4</v>
      </c>
      <c r="X170" s="7">
        <f t="shared" si="431"/>
        <v>5</v>
      </c>
      <c r="Y170" s="7">
        <f t="shared" si="352"/>
        <v>96.150923032490965</v>
      </c>
      <c r="Z170" s="7">
        <f t="shared" si="461"/>
        <v>606</v>
      </c>
      <c r="AA170" s="7">
        <v>19</v>
      </c>
      <c r="AB170" s="7">
        <f>(595+590)/2</f>
        <v>592.5</v>
      </c>
      <c r="AC170" s="7"/>
      <c r="AD170" s="4">
        <f t="shared" si="476"/>
        <v>1.0925318620009352</v>
      </c>
      <c r="AE170" s="7"/>
      <c r="AF170" s="7"/>
      <c r="AG170" s="7">
        <v>1</v>
      </c>
      <c r="AH170" s="7"/>
      <c r="AI170" s="7"/>
      <c r="AJ170" s="7">
        <f t="shared" si="473"/>
        <v>3.125</v>
      </c>
      <c r="AK170" s="4">
        <f t="shared" si="504"/>
        <v>430</v>
      </c>
      <c r="AL170" s="4">
        <f t="shared" si="505"/>
        <v>0.41999999999999993</v>
      </c>
      <c r="AM170" s="4">
        <f t="shared" si="506"/>
        <v>276.64569081934007</v>
      </c>
      <c r="AN170" s="4">
        <f t="shared" si="507"/>
        <v>0.73</v>
      </c>
      <c r="AO170" s="4">
        <v>1.25</v>
      </c>
      <c r="AP170" s="4">
        <f t="shared" si="508"/>
        <v>2.5</v>
      </c>
      <c r="AQ170" s="38">
        <f t="shared" si="509"/>
        <v>265.06115251628017</v>
      </c>
      <c r="AR170" s="38">
        <f t="shared" si="510"/>
        <v>265.06115251628017</v>
      </c>
      <c r="AS170" s="38">
        <f t="shared" si="511"/>
        <v>4.8644521931491767</v>
      </c>
      <c r="AT170" s="38">
        <f t="shared" si="450"/>
        <v>265.0611525162804</v>
      </c>
      <c r="AU170" s="38">
        <f t="shared" si="400"/>
        <v>0.99999999999999911</v>
      </c>
      <c r="AV170" s="38">
        <f t="shared" si="328"/>
        <v>1.8380664060912344</v>
      </c>
      <c r="AW170" s="4">
        <f t="shared" si="323"/>
        <v>0</v>
      </c>
      <c r="AX170" s="4">
        <f t="shared" si="379"/>
        <v>474.26864530816039</v>
      </c>
      <c r="AY170" s="4">
        <f t="shared" si="380"/>
        <v>1</v>
      </c>
      <c r="AZ170" s="38">
        <f t="shared" si="438"/>
        <v>487.20000000000005</v>
      </c>
      <c r="BA170" s="4">
        <f t="shared" si="381"/>
        <v>0.44000000000000006</v>
      </c>
      <c r="BB170" s="4">
        <f t="shared" si="401"/>
        <v>109.03436155634607</v>
      </c>
      <c r="BC170" s="4">
        <f t="shared" si="402"/>
        <v>596.23436155634613</v>
      </c>
      <c r="BE170" s="4">
        <f t="shared" si="451"/>
        <v>1</v>
      </c>
      <c r="BF170" s="4">
        <f t="shared" si="452"/>
        <v>540.66625565130289</v>
      </c>
      <c r="BH170" s="4">
        <f t="shared" si="463"/>
        <v>467.28438067759373</v>
      </c>
      <c r="BI170" s="4">
        <f t="shared" si="464"/>
        <v>641.65616063635548</v>
      </c>
      <c r="BJ170" s="4">
        <f t="shared" si="465"/>
        <v>1.3731598725938816</v>
      </c>
      <c r="BR170" s="4">
        <f t="shared" si="331"/>
        <v>43</v>
      </c>
      <c r="BV170" s="9"/>
      <c r="BX170" s="9"/>
      <c r="BY170" s="9"/>
      <c r="BZ170" s="9">
        <f t="shared" si="383"/>
        <v>43</v>
      </c>
      <c r="CA170" s="9">
        <f t="shared" si="384"/>
        <v>184.9</v>
      </c>
      <c r="CB170" s="9">
        <f t="shared" si="403"/>
        <v>1.2445726940891169</v>
      </c>
      <c r="CC170" s="9">
        <v>0</v>
      </c>
      <c r="CD170" s="9">
        <f t="shared" si="518"/>
        <v>0</v>
      </c>
      <c r="CE170" s="9">
        <f t="shared" si="404"/>
        <v>0</v>
      </c>
      <c r="CF170" s="9">
        <f t="shared" si="385"/>
        <v>0.84984840943171969</v>
      </c>
      <c r="CG170" s="9">
        <f t="shared" si="386"/>
        <v>0.84399999999999997</v>
      </c>
      <c r="CH170" s="9">
        <f t="shared" si="405"/>
        <v>2.2621946529260857</v>
      </c>
      <c r="CI170" s="9">
        <f t="shared" si="406"/>
        <v>2.815465693746213</v>
      </c>
      <c r="CJ170" s="9">
        <v>1</v>
      </c>
      <c r="CK170" s="9">
        <f t="shared" si="407"/>
        <v>281.5465693746213</v>
      </c>
      <c r="CM170" s="4">
        <f t="shared" si="477"/>
        <v>1.2492919484799965</v>
      </c>
      <c r="CN170" s="4">
        <f t="shared" si="478"/>
        <v>0.99373675554928043</v>
      </c>
      <c r="CO170" s="4">
        <f t="shared" si="479"/>
        <v>1.0958701302456109</v>
      </c>
      <c r="CP170" s="4">
        <f t="shared" si="480"/>
        <v>2.1044475921552754</v>
      </c>
      <c r="CQ170" s="4">
        <f t="shared" si="481"/>
        <v>1.0925318620009352</v>
      </c>
      <c r="CR170" s="4">
        <f t="shared" si="482"/>
        <v>1.131898315070766</v>
      </c>
      <c r="CS170" s="4">
        <f t="shared" si="483"/>
        <v>1.6096593536070971</v>
      </c>
      <c r="CU170" s="4">
        <f t="shared" ref="CU170:CV172" si="521">CM170</f>
        <v>1.2492919484799965</v>
      </c>
      <c r="CV170" s="4">
        <f t="shared" si="521"/>
        <v>0.99373675554928043</v>
      </c>
      <c r="CW170" s="4">
        <f>CP170</f>
        <v>2.1044475921552754</v>
      </c>
      <c r="CX170" s="4">
        <f t="shared" si="484"/>
        <v>1.6096593536070971</v>
      </c>
      <c r="CY170" s="4">
        <f t="shared" ref="CY170:CZ172" si="522">CQ170</f>
        <v>1.0925318620009352</v>
      </c>
      <c r="CZ170" s="4">
        <f t="shared" si="522"/>
        <v>1.131898315070766</v>
      </c>
      <c r="DH170" s="4">
        <f t="shared" si="362"/>
        <v>0</v>
      </c>
      <c r="DI170" s="4">
        <f t="shared" si="453"/>
        <v>430</v>
      </c>
      <c r="DL170" s="4">
        <f t="shared" si="485"/>
        <v>2.4682021866243434E-5</v>
      </c>
      <c r="DM170" s="4">
        <f t="shared" si="366"/>
        <v>8.7098560088845165</v>
      </c>
      <c r="DN170" s="4">
        <f t="shared" si="486"/>
        <v>0.30531658481838836</v>
      </c>
      <c r="DO170" s="4">
        <f t="shared" si="487"/>
        <v>5.4188999627402126</v>
      </c>
      <c r="DP170" s="4">
        <f t="shared" si="488"/>
        <v>7.2544617597434549</v>
      </c>
      <c r="DQ170" s="4">
        <f t="shared" si="489"/>
        <v>7.6041038286671467</v>
      </c>
      <c r="DR170" s="38">
        <f t="shared" si="513"/>
        <v>542.31827977525177</v>
      </c>
      <c r="DS170" s="4">
        <f t="shared" si="411"/>
        <v>1.0001069246678245</v>
      </c>
      <c r="DT170" s="4">
        <f t="shared" si="490"/>
        <v>2.2360679774997898</v>
      </c>
      <c r="DU170" s="4">
        <f t="shared" si="441"/>
        <v>265.0611525162804</v>
      </c>
      <c r="DY170" s="4">
        <f t="shared" si="387"/>
        <v>0.85</v>
      </c>
      <c r="DZ170" s="4">
        <f t="shared" si="412"/>
        <v>1</v>
      </c>
      <c r="EA170" s="4">
        <f t="shared" si="514"/>
        <v>1</v>
      </c>
      <c r="EB170" s="4">
        <f t="shared" si="414"/>
        <v>1</v>
      </c>
      <c r="ED170" s="4">
        <f t="shared" si="515"/>
        <v>523.45691491108641</v>
      </c>
      <c r="EE170" s="25">
        <f t="shared" si="516"/>
        <v>262.16123464455097</v>
      </c>
      <c r="EH170" s="4">
        <f t="shared" si="517"/>
        <v>8.7098560088845165</v>
      </c>
      <c r="EK170" s="4">
        <f t="shared" si="491"/>
        <v>96.150923032490965</v>
      </c>
      <c r="EL170" s="4">
        <f t="shared" si="492"/>
        <v>2.2360679774997898</v>
      </c>
      <c r="EM170" s="4">
        <f t="shared" si="493"/>
        <v>0.1504401216255829</v>
      </c>
      <c r="EP170" s="4">
        <f t="shared" si="332"/>
        <v>0.1504401216255829</v>
      </c>
      <c r="EQ170" s="4">
        <f t="shared" si="333"/>
        <v>0.30480706834160254</v>
      </c>
      <c r="ER170" s="4">
        <f t="shared" si="371"/>
        <v>5.4152808965331429</v>
      </c>
      <c r="ES170" s="4">
        <f t="shared" si="388"/>
        <v>7.2531151252049844</v>
      </c>
      <c r="ET170" s="4">
        <f t="shared" si="372"/>
        <v>226.34907696750903</v>
      </c>
      <c r="EU170" s="4">
        <f t="shared" si="373"/>
        <v>107.50000000000003</v>
      </c>
      <c r="EV170" s="4">
        <f t="shared" si="415"/>
        <v>2.468202186624344E-5</v>
      </c>
      <c r="EW170" s="4">
        <f t="shared" si="389"/>
        <v>7.6043781567245556</v>
      </c>
      <c r="EX170" s="4">
        <f t="shared" si="466"/>
        <v>542.26029877293104</v>
      </c>
      <c r="FG170" s="23">
        <f t="shared" si="494"/>
        <v>1.4</v>
      </c>
      <c r="FH170" s="23">
        <f t="shared" si="494"/>
        <v>1</v>
      </c>
      <c r="FI170" s="23">
        <f t="shared" si="495"/>
        <v>1.8</v>
      </c>
      <c r="FJ170" s="23">
        <f t="shared" si="496"/>
        <v>2.2000000000000002</v>
      </c>
      <c r="FK170" s="23">
        <f t="shared" si="496"/>
        <v>1.2</v>
      </c>
      <c r="FL170" s="23">
        <f t="shared" si="496"/>
        <v>1.2</v>
      </c>
      <c r="FM170" s="23">
        <f t="shared" si="497"/>
        <v>0</v>
      </c>
      <c r="FN170" s="23"/>
      <c r="FX170" s="4">
        <f t="shared" si="416"/>
        <v>1.25</v>
      </c>
      <c r="FY170" s="4">
        <f t="shared" si="469"/>
        <v>0.5</v>
      </c>
      <c r="FZ170" s="4">
        <f t="shared" si="417"/>
        <v>0</v>
      </c>
      <c r="GA170" s="4">
        <f t="shared" si="418"/>
        <v>368.09030349947182</v>
      </c>
    </row>
    <row r="171" spans="1:183" ht="12" customHeight="1" x14ac:dyDescent="0.3">
      <c r="A171" s="25">
        <v>153</v>
      </c>
      <c r="B171" s="24" t="s">
        <v>128</v>
      </c>
      <c r="C171" s="24">
        <v>2017</v>
      </c>
      <c r="D171" s="24" t="s">
        <v>309</v>
      </c>
      <c r="E171" s="24"/>
      <c r="F171" s="4" t="s">
        <v>160</v>
      </c>
      <c r="G171" s="7">
        <v>606</v>
      </c>
      <c r="H171" s="7">
        <f>13*K171</f>
        <v>559</v>
      </c>
      <c r="I171" s="7">
        <f t="shared" si="455"/>
        <v>559</v>
      </c>
      <c r="J171" s="7">
        <v>45.8</v>
      </c>
      <c r="K171" s="37">
        <v>43</v>
      </c>
      <c r="L171" s="7">
        <f t="shared" si="498"/>
        <v>13</v>
      </c>
      <c r="M171" s="7">
        <f t="shared" si="499"/>
        <v>13</v>
      </c>
      <c r="N171" s="7">
        <f t="shared" si="500"/>
        <v>344</v>
      </c>
      <c r="O171" s="7">
        <f t="shared" si="474"/>
        <v>43</v>
      </c>
      <c r="P171" s="7">
        <f t="shared" si="501"/>
        <v>56</v>
      </c>
      <c r="Q171" s="7">
        <f>(5-1)*K171</f>
        <v>172</v>
      </c>
      <c r="R171" s="7">
        <v>2</v>
      </c>
      <c r="S171" s="7">
        <f>2/3*H171-0.5*200</f>
        <v>272.66666666666663</v>
      </c>
      <c r="T171" s="7">
        <f t="shared" si="475"/>
        <v>1.5</v>
      </c>
      <c r="U171" s="7">
        <f t="shared" si="459"/>
        <v>1.5</v>
      </c>
      <c r="V171" s="7">
        <f t="shared" si="472"/>
        <v>4</v>
      </c>
      <c r="W171" s="7">
        <f t="shared" si="472"/>
        <v>4</v>
      </c>
      <c r="X171" s="7">
        <f t="shared" si="431"/>
        <v>5</v>
      </c>
      <c r="Y171" s="7">
        <f t="shared" si="352"/>
        <v>96.150923032490965</v>
      </c>
      <c r="Z171" s="7">
        <f t="shared" si="461"/>
        <v>606</v>
      </c>
      <c r="AA171" s="7">
        <v>19</v>
      </c>
      <c r="AB171" s="7">
        <f>(475+475)/2</f>
        <v>475</v>
      </c>
      <c r="AC171" s="7"/>
      <c r="AD171" s="4">
        <f t="shared" si="476"/>
        <v>1.1437168102008413</v>
      </c>
      <c r="AE171" s="7"/>
      <c r="AF171" s="7"/>
      <c r="AG171" s="7">
        <v>1</v>
      </c>
      <c r="AH171" s="7"/>
      <c r="AI171" s="7"/>
      <c r="AJ171" s="7">
        <f t="shared" si="473"/>
        <v>7.8</v>
      </c>
      <c r="AK171" s="4">
        <f t="shared" si="504"/>
        <v>559</v>
      </c>
      <c r="AL171" s="4">
        <f t="shared" si="505"/>
        <v>0.20512820512820512</v>
      </c>
      <c r="AM171" s="4">
        <f t="shared" si="506"/>
        <v>307.95954027775866</v>
      </c>
      <c r="AN171" s="4">
        <f t="shared" si="507"/>
        <v>0.72307692307692306</v>
      </c>
      <c r="AO171" s="4">
        <v>1.25</v>
      </c>
      <c r="AP171" s="4">
        <f t="shared" si="508"/>
        <v>2.5</v>
      </c>
      <c r="AQ171" s="38">
        <f t="shared" si="509"/>
        <v>142.74258770270868</v>
      </c>
      <c r="AR171" s="38">
        <f t="shared" si="510"/>
        <v>142.74258770270868</v>
      </c>
      <c r="AS171" s="38">
        <f t="shared" si="511"/>
        <v>3.8402978284624769</v>
      </c>
      <c r="AT171" s="38">
        <f t="shared" si="450"/>
        <v>142.74258770270856</v>
      </c>
      <c r="AU171" s="38">
        <f t="shared" si="400"/>
        <v>1.0000000000000009</v>
      </c>
      <c r="AV171" s="38">
        <f t="shared" si="328"/>
        <v>1.9251437459738976</v>
      </c>
      <c r="AW171" s="4">
        <f t="shared" si="323"/>
        <v>0</v>
      </c>
      <c r="AX171" s="4">
        <f t="shared" si="379"/>
        <v>463.04424442937301</v>
      </c>
      <c r="AY171" s="4">
        <f t="shared" si="380"/>
        <v>1</v>
      </c>
      <c r="AZ171" s="38">
        <f t="shared" si="438"/>
        <v>274.79999999999995</v>
      </c>
      <c r="BA171" s="4">
        <f t="shared" si="381"/>
        <v>0.44000000000000006</v>
      </c>
      <c r="BB171" s="4">
        <f t="shared" si="401"/>
        <v>106.45387179431289</v>
      </c>
      <c r="BC171" s="4">
        <f t="shared" si="402"/>
        <v>381.25387179431283</v>
      </c>
      <c r="BE171" s="4">
        <f t="shared" si="451"/>
        <v>1</v>
      </c>
      <c r="BF171" s="4">
        <f t="shared" si="452"/>
        <v>466.96231111300619</v>
      </c>
      <c r="BH171" s="4">
        <f t="shared" si="463"/>
        <v>263.56680585016983</v>
      </c>
      <c r="BI171" s="4">
        <f t="shared" si="464"/>
        <v>641.65616063635548</v>
      </c>
      <c r="BJ171" s="4">
        <f t="shared" si="465"/>
        <v>2.4345105164764891</v>
      </c>
      <c r="BR171" s="4">
        <f t="shared" si="331"/>
        <v>43</v>
      </c>
      <c r="BV171" s="9"/>
      <c r="BX171" s="9"/>
      <c r="BY171" s="9"/>
      <c r="BZ171" s="9">
        <f t="shared" si="383"/>
        <v>43</v>
      </c>
      <c r="CA171" s="9">
        <f t="shared" si="384"/>
        <v>86</v>
      </c>
      <c r="CB171" s="9">
        <f t="shared" si="403"/>
        <v>1.1095694720678451</v>
      </c>
      <c r="CC171" s="9">
        <v>0</v>
      </c>
      <c r="CD171" s="9">
        <f t="shared" si="518"/>
        <v>0</v>
      </c>
      <c r="CE171" s="9">
        <f t="shared" si="404"/>
        <v>0</v>
      </c>
      <c r="CF171" s="9">
        <f t="shared" si="385"/>
        <v>0.84984840943171969</v>
      </c>
      <c r="CG171" s="9">
        <f t="shared" si="386"/>
        <v>0.84399999999999997</v>
      </c>
      <c r="CH171" s="9">
        <f t="shared" si="405"/>
        <v>1.6989660317871056</v>
      </c>
      <c r="CI171" s="9">
        <f t="shared" si="406"/>
        <v>1.8851208429512205</v>
      </c>
      <c r="CJ171" s="9">
        <v>1</v>
      </c>
      <c r="CK171" s="9">
        <f t="shared" si="407"/>
        <v>211.1335344105367</v>
      </c>
      <c r="CM171" s="4">
        <f t="shared" si="477"/>
        <v>1.0258198988853873</v>
      </c>
      <c r="CN171" s="4">
        <f t="shared" si="478"/>
        <v>1.2458889866861822</v>
      </c>
      <c r="CO171" s="4">
        <f t="shared" si="479"/>
        <v>1.0172127143791025</v>
      </c>
      <c r="CP171" s="4">
        <f t="shared" si="480"/>
        <v>2.2497610402163333</v>
      </c>
      <c r="CQ171" s="4">
        <f t="shared" si="481"/>
        <v>1.1437168102008413</v>
      </c>
      <c r="CR171" s="4">
        <f t="shared" si="482"/>
        <v>1.1972859454860088</v>
      </c>
      <c r="CS171" s="4">
        <f t="shared" si="483"/>
        <v>1.7181448594746873</v>
      </c>
      <c r="CU171" s="4">
        <f t="shared" si="521"/>
        <v>1.0258198988853873</v>
      </c>
      <c r="CV171" s="4">
        <f t="shared" si="521"/>
        <v>1.2458889866861822</v>
      </c>
      <c r="CW171" s="4">
        <f>CP171</f>
        <v>2.2497610402163333</v>
      </c>
      <c r="CX171" s="4">
        <f t="shared" si="484"/>
        <v>1.7181448594746873</v>
      </c>
      <c r="CY171" s="4">
        <f t="shared" si="522"/>
        <v>1.1437168102008413</v>
      </c>
      <c r="CZ171" s="4">
        <f t="shared" si="522"/>
        <v>1.1972859454860088</v>
      </c>
      <c r="DH171" s="4">
        <f t="shared" si="362"/>
        <v>0</v>
      </c>
      <c r="DI171" s="4">
        <f t="shared" si="453"/>
        <v>559</v>
      </c>
      <c r="DL171" s="4">
        <f t="shared" si="485"/>
        <v>2.5821318945834057E-5</v>
      </c>
      <c r="DM171" s="4">
        <f t="shared" si="366"/>
        <v>6.5413245857119913</v>
      </c>
      <c r="DN171" s="4">
        <f t="shared" si="486"/>
        <v>0.29150662590823162</v>
      </c>
      <c r="DO171" s="4">
        <f t="shared" si="487"/>
        <v>3.9950762435455838</v>
      </c>
      <c r="DP171" s="4">
        <f t="shared" si="488"/>
        <v>5.4206912728238548</v>
      </c>
      <c r="DQ171" s="4">
        <f t="shared" si="489"/>
        <v>5.685703021131018</v>
      </c>
      <c r="DR171" s="38">
        <f t="shared" si="513"/>
        <v>415.31259815669591</v>
      </c>
      <c r="DS171" s="4">
        <f t="shared" si="411"/>
        <v>1.0001224158311306</v>
      </c>
      <c r="DT171" s="4">
        <f t="shared" si="490"/>
        <v>2.2360679774997898</v>
      </c>
      <c r="DU171" s="4">
        <f t="shared" si="441"/>
        <v>142.74258770270856</v>
      </c>
      <c r="DY171" s="4">
        <f t="shared" si="387"/>
        <v>0.85</v>
      </c>
      <c r="DZ171" s="4">
        <f t="shared" si="412"/>
        <v>1</v>
      </c>
      <c r="EA171" s="4">
        <f t="shared" si="514"/>
        <v>1</v>
      </c>
      <c r="EB171" s="4">
        <f t="shared" si="414"/>
        <v>1</v>
      </c>
      <c r="ED171" s="4">
        <f t="shared" si="515"/>
        <v>396.73062378359873</v>
      </c>
      <c r="EE171" s="25">
        <f t="shared" si="516"/>
        <v>141.61896494083106</v>
      </c>
      <c r="EH171" s="4">
        <f t="shared" si="517"/>
        <v>6.5413245857119913</v>
      </c>
      <c r="EK171" s="4">
        <f t="shared" si="491"/>
        <v>96.150923032490965</v>
      </c>
      <c r="EL171" s="4">
        <f t="shared" si="492"/>
        <v>2.2360679774997898</v>
      </c>
      <c r="EM171" s="4">
        <f t="shared" si="493"/>
        <v>0.10787391362592545</v>
      </c>
      <c r="EP171" s="4">
        <f t="shared" si="332"/>
        <v>0.10787391362592545</v>
      </c>
      <c r="EQ171" s="4">
        <f t="shared" si="333"/>
        <v>0.29102015567904033</v>
      </c>
      <c r="ER171" s="4">
        <f t="shared" si="371"/>
        <v>3.9924080921629965</v>
      </c>
      <c r="ES171" s="4">
        <f t="shared" si="388"/>
        <v>5.419712164383319</v>
      </c>
      <c r="ET171" s="4">
        <f t="shared" si="372"/>
        <v>323.09907696750906</v>
      </c>
      <c r="EU171" s="4">
        <f t="shared" si="373"/>
        <v>139.75</v>
      </c>
      <c r="EV171" s="4">
        <f t="shared" si="415"/>
        <v>2.5821318945834057E-5</v>
      </c>
      <c r="EW171" s="4">
        <f t="shared" si="389"/>
        <v>5.6858920884080515</v>
      </c>
      <c r="EX171" s="4">
        <f t="shared" si="466"/>
        <v>415.26176354277504</v>
      </c>
      <c r="FG171" s="23">
        <f t="shared" si="494"/>
        <v>1.2</v>
      </c>
      <c r="FH171" s="23">
        <f t="shared" si="494"/>
        <v>1.4</v>
      </c>
      <c r="FI171" s="23">
        <f t="shared" si="495"/>
        <v>1.8</v>
      </c>
      <c r="FJ171" s="23">
        <f t="shared" si="496"/>
        <v>2.2000000000000002</v>
      </c>
      <c r="FK171" s="23">
        <f t="shared" si="496"/>
        <v>1.2</v>
      </c>
      <c r="FL171" s="23">
        <f t="shared" si="496"/>
        <v>1.2</v>
      </c>
      <c r="FM171" s="23">
        <f t="shared" si="497"/>
        <v>0</v>
      </c>
      <c r="FN171" s="23"/>
      <c r="FX171" s="4">
        <f t="shared" si="416"/>
        <v>1.25</v>
      </c>
      <c r="FY171" s="4">
        <f t="shared" si="469"/>
        <v>0.75</v>
      </c>
      <c r="FZ171" s="4">
        <f t="shared" si="417"/>
        <v>0</v>
      </c>
      <c r="GA171" s="4">
        <f t="shared" si="418"/>
        <v>276.46097322971269</v>
      </c>
    </row>
    <row r="172" spans="1:183" ht="12" customHeight="1" x14ac:dyDescent="0.3">
      <c r="A172" s="25">
        <v>154</v>
      </c>
      <c r="B172" s="24" t="s">
        <v>128</v>
      </c>
      <c r="C172" s="24">
        <v>2017</v>
      </c>
      <c r="D172" s="24" t="s">
        <v>309</v>
      </c>
      <c r="E172" s="24"/>
      <c r="F172" s="4" t="s">
        <v>161</v>
      </c>
      <c r="G172" s="7">
        <v>606</v>
      </c>
      <c r="H172" s="7">
        <f t="shared" ref="H172:H174" si="523">13*K172</f>
        <v>559</v>
      </c>
      <c r="I172" s="7">
        <f t="shared" si="455"/>
        <v>559</v>
      </c>
      <c r="J172" s="7">
        <v>44.3</v>
      </c>
      <c r="K172" s="37">
        <v>43</v>
      </c>
      <c r="L172" s="7">
        <f t="shared" si="498"/>
        <v>13</v>
      </c>
      <c r="M172" s="7">
        <f t="shared" si="499"/>
        <v>13</v>
      </c>
      <c r="N172" s="7">
        <f t="shared" si="500"/>
        <v>430</v>
      </c>
      <c r="O172" s="7">
        <f>2*K172</f>
        <v>86</v>
      </c>
      <c r="P172" s="7">
        <f t="shared" si="501"/>
        <v>56</v>
      </c>
      <c r="Q172" s="7">
        <f t="shared" ref="Q172:Q178" si="524">(5-1)*K172</f>
        <v>172</v>
      </c>
      <c r="R172" s="7">
        <v>2</v>
      </c>
      <c r="S172" s="7">
        <f t="shared" ref="S172:S178" si="525">2/3*H172-0.5*200</f>
        <v>272.66666666666663</v>
      </c>
      <c r="T172" s="7">
        <f t="shared" si="475"/>
        <v>2.5</v>
      </c>
      <c r="U172" s="7">
        <f t="shared" si="459"/>
        <v>2.5</v>
      </c>
      <c r="V172" s="7">
        <f t="shared" si="472"/>
        <v>4</v>
      </c>
      <c r="W172" s="7">
        <f t="shared" si="472"/>
        <v>4</v>
      </c>
      <c r="X172" s="7">
        <f t="shared" si="431"/>
        <v>5</v>
      </c>
      <c r="Y172" s="7">
        <f t="shared" si="352"/>
        <v>96.150923032490965</v>
      </c>
      <c r="Z172" s="7">
        <f t="shared" si="461"/>
        <v>606</v>
      </c>
      <c r="AA172" s="7">
        <v>19</v>
      </c>
      <c r="AB172" s="7">
        <f>(540+540)/2</f>
        <v>540</v>
      </c>
      <c r="AC172" s="7"/>
      <c r="AD172" s="4">
        <f t="shared" si="476"/>
        <v>1.112459169884874</v>
      </c>
      <c r="AE172" s="7"/>
      <c r="AF172" s="7"/>
      <c r="AG172" s="7">
        <v>1</v>
      </c>
      <c r="AH172" s="7"/>
      <c r="AI172" s="7"/>
      <c r="AJ172" s="7">
        <f t="shared" si="473"/>
        <v>7.8</v>
      </c>
      <c r="AK172" s="4">
        <f t="shared" si="504"/>
        <v>559</v>
      </c>
      <c r="AL172" s="4">
        <f t="shared" si="505"/>
        <v>0.25641025641025639</v>
      </c>
      <c r="AM172" s="4">
        <f t="shared" si="506"/>
        <v>302.87455339265739</v>
      </c>
      <c r="AN172" s="4">
        <f t="shared" si="507"/>
        <v>0.73846153846153839</v>
      </c>
      <c r="AO172" s="4">
        <v>1.25</v>
      </c>
      <c r="AP172" s="4">
        <f t="shared" si="508"/>
        <v>2.5</v>
      </c>
      <c r="AQ172" s="38">
        <f t="shared" si="509"/>
        <v>179.21571206666115</v>
      </c>
      <c r="AR172" s="38">
        <f t="shared" si="510"/>
        <v>179.21571206666115</v>
      </c>
      <c r="AS172" s="38">
        <f t="shared" si="511"/>
        <v>3.7559840459059588</v>
      </c>
      <c r="AT172" s="38">
        <f t="shared" si="450"/>
        <v>179.21571206666113</v>
      </c>
      <c r="AU172" s="38">
        <f t="shared" si="400"/>
        <v>1.0000000000000002</v>
      </c>
      <c r="AV172" s="38">
        <f t="shared" si="328"/>
        <v>2.4718814823290804</v>
      </c>
      <c r="AW172" s="4">
        <f t="shared" si="323"/>
        <v>0</v>
      </c>
      <c r="AX172" s="4">
        <f t="shared" si="379"/>
        <v>455.39851957856541</v>
      </c>
      <c r="AY172" s="4">
        <f t="shared" si="380"/>
        <v>1</v>
      </c>
      <c r="AZ172" s="38">
        <f t="shared" si="438"/>
        <v>443</v>
      </c>
      <c r="BA172" s="4">
        <f t="shared" si="381"/>
        <v>0.44000000000000006</v>
      </c>
      <c r="BB172" s="4">
        <f t="shared" si="401"/>
        <v>104.69611965111221</v>
      </c>
      <c r="BC172" s="4">
        <f t="shared" si="402"/>
        <v>547.69611965111221</v>
      </c>
      <c r="BE172" s="4">
        <f t="shared" si="451"/>
        <v>1.25</v>
      </c>
      <c r="BF172" s="4">
        <f t="shared" si="452"/>
        <v>574.06486458413394</v>
      </c>
      <c r="BH172" s="4">
        <f t="shared" si="463"/>
        <v>424.89117536981524</v>
      </c>
      <c r="BI172" s="4">
        <f t="shared" si="464"/>
        <v>641.65616063635548</v>
      </c>
      <c r="BJ172" s="4">
        <f t="shared" si="465"/>
        <v>1.5101658914847387</v>
      </c>
      <c r="BR172" s="4">
        <f t="shared" si="331"/>
        <v>86</v>
      </c>
      <c r="BV172" s="9"/>
      <c r="BX172" s="9"/>
      <c r="BY172" s="9"/>
      <c r="BZ172" s="9">
        <f t="shared" si="383"/>
        <v>56</v>
      </c>
      <c r="CA172" s="9">
        <f t="shared" si="384"/>
        <v>86</v>
      </c>
      <c r="CB172" s="9">
        <f t="shared" si="403"/>
        <v>1.2170441953580799</v>
      </c>
      <c r="CC172" s="9">
        <v>0</v>
      </c>
      <c r="CD172" s="9">
        <f t="shared" si="518"/>
        <v>0</v>
      </c>
      <c r="CE172" s="9">
        <f t="shared" si="404"/>
        <v>0</v>
      </c>
      <c r="CF172" s="9">
        <f t="shared" si="385"/>
        <v>0.84984840943171969</v>
      </c>
      <c r="CG172" s="9">
        <f t="shared" si="386"/>
        <v>0.84399999999999997</v>
      </c>
      <c r="CH172" s="9">
        <f t="shared" si="405"/>
        <v>1.6709129311035618</v>
      </c>
      <c r="CI172" s="9">
        <f t="shared" si="406"/>
        <v>2.0335748837483454</v>
      </c>
      <c r="CJ172" s="9">
        <v>1</v>
      </c>
      <c r="CK172" s="9">
        <f t="shared" si="407"/>
        <v>227.76038697981468</v>
      </c>
      <c r="CM172" s="4">
        <f t="shared" si="477"/>
        <v>1.1857746057227556</v>
      </c>
      <c r="CN172" s="4">
        <f t="shared" si="478"/>
        <v>0.98594819394372424</v>
      </c>
      <c r="CO172" s="4">
        <f t="shared" si="479"/>
        <v>0.94066025167937894</v>
      </c>
      <c r="CP172" s="4">
        <f t="shared" si="480"/>
        <v>2.3709127261355487</v>
      </c>
      <c r="CQ172" s="4">
        <f t="shared" si="481"/>
        <v>1.112459169884874</v>
      </c>
      <c r="CR172" s="4">
        <f t="shared" si="482"/>
        <v>1.1825979304836267</v>
      </c>
      <c r="CS172" s="4">
        <f t="shared" si="483"/>
        <v>1.5756703115990831</v>
      </c>
      <c r="CU172" s="4">
        <f t="shared" si="521"/>
        <v>1.1857746057227556</v>
      </c>
      <c r="CV172" s="4">
        <f t="shared" si="521"/>
        <v>0.98594819394372424</v>
      </c>
      <c r="CW172" s="4">
        <f>CP172</f>
        <v>2.3709127261355487</v>
      </c>
      <c r="CX172" s="4">
        <f t="shared" si="484"/>
        <v>1.5756703115990831</v>
      </c>
      <c r="CY172" s="4">
        <f t="shared" si="522"/>
        <v>1.112459169884874</v>
      </c>
      <c r="CZ172" s="4">
        <f t="shared" si="522"/>
        <v>1.1825979304836267</v>
      </c>
      <c r="DH172" s="4">
        <f t="shared" si="362"/>
        <v>0</v>
      </c>
      <c r="DI172" s="4">
        <f t="shared" si="453"/>
        <v>559</v>
      </c>
      <c r="DL172" s="4">
        <f t="shared" si="485"/>
        <v>2.5572610994587026E-5</v>
      </c>
      <c r="DM172" s="4">
        <f t="shared" si="366"/>
        <v>7.1481278955130128</v>
      </c>
      <c r="DN172" s="4">
        <f t="shared" si="486"/>
        <v>0.37838394342462073</v>
      </c>
      <c r="DO172" s="4">
        <f t="shared" si="487"/>
        <v>4.8457989776777417</v>
      </c>
      <c r="DP172" s="4">
        <f t="shared" si="488"/>
        <v>6.1068418968815141</v>
      </c>
      <c r="DQ172" s="4">
        <f t="shared" si="489"/>
        <v>6.1005875633463997</v>
      </c>
      <c r="DR172" s="38">
        <f t="shared" si="513"/>
        <v>485.41107360900577</v>
      </c>
      <c r="DS172" s="4">
        <f t="shared" si="411"/>
        <v>1.0001320650522827</v>
      </c>
      <c r="DT172" s="4">
        <f t="shared" si="490"/>
        <v>2.2360679774997898</v>
      </c>
      <c r="DU172" s="4">
        <f t="shared" si="441"/>
        <v>179.21571206666113</v>
      </c>
      <c r="DY172" s="4">
        <f t="shared" si="387"/>
        <v>0.85</v>
      </c>
      <c r="DZ172" s="4">
        <f t="shared" si="412"/>
        <v>0.9</v>
      </c>
      <c r="EA172" s="4">
        <f t="shared" si="514"/>
        <v>1</v>
      </c>
      <c r="EB172" s="4">
        <f t="shared" si="414"/>
        <v>0.9</v>
      </c>
      <c r="ED172" s="4">
        <f t="shared" si="515"/>
        <v>456.6218036413826</v>
      </c>
      <c r="EE172" s="25">
        <f t="shared" si="516"/>
        <v>177.84481571637505</v>
      </c>
      <c r="EH172" s="4">
        <f t="shared" si="517"/>
        <v>7.1481278955130128</v>
      </c>
      <c r="EK172" s="4">
        <f t="shared" si="491"/>
        <v>96.150923032490965</v>
      </c>
      <c r="EL172" s="4">
        <f t="shared" si="492"/>
        <v>2.2360679774997898</v>
      </c>
      <c r="EM172" s="4">
        <f t="shared" si="493"/>
        <v>0.1377113790969261</v>
      </c>
      <c r="EP172" s="4">
        <f t="shared" si="332"/>
        <v>0.1377113790969261</v>
      </c>
      <c r="EQ172" s="4">
        <f t="shared" si="333"/>
        <v>0.37775249114422549</v>
      </c>
      <c r="ER172" s="4">
        <f t="shared" si="371"/>
        <v>4.8425626626604963</v>
      </c>
      <c r="ES172" s="4">
        <f t="shared" si="388"/>
        <v>6.1055605578094418</v>
      </c>
      <c r="ET172" s="4">
        <f t="shared" si="372"/>
        <v>323.09907696750906</v>
      </c>
      <c r="EU172" s="4">
        <f t="shared" si="373"/>
        <v>139.75</v>
      </c>
      <c r="EV172" s="4">
        <f t="shared" si="415"/>
        <v>2.5572610994587026E-5</v>
      </c>
      <c r="EW172" s="4">
        <f t="shared" si="389"/>
        <v>6.1008460776887325</v>
      </c>
      <c r="EX172" s="4">
        <f t="shared" si="466"/>
        <v>485.34697623521407</v>
      </c>
      <c r="FG172" s="23">
        <f t="shared" si="494"/>
        <v>1.2</v>
      </c>
      <c r="FH172" s="23">
        <f t="shared" si="494"/>
        <v>1</v>
      </c>
      <c r="FI172" s="23">
        <f t="shared" si="495"/>
        <v>1.6</v>
      </c>
      <c r="FJ172" s="23">
        <f t="shared" si="496"/>
        <v>2.2000000000000002</v>
      </c>
      <c r="FK172" s="23">
        <f t="shared" si="496"/>
        <v>1.2</v>
      </c>
      <c r="FL172" s="23">
        <f t="shared" si="496"/>
        <v>1.2</v>
      </c>
      <c r="FM172" s="23">
        <f t="shared" si="497"/>
        <v>0</v>
      </c>
      <c r="FN172" s="23"/>
      <c r="FX172" s="4">
        <f t="shared" si="416"/>
        <v>1</v>
      </c>
      <c r="FY172" s="4">
        <f t="shared" si="469"/>
        <v>0.75</v>
      </c>
      <c r="FZ172" s="4">
        <f t="shared" si="417"/>
        <v>0</v>
      </c>
      <c r="GA172" s="4">
        <f t="shared" si="418"/>
        <v>342.71128676149021</v>
      </c>
    </row>
    <row r="173" spans="1:183" ht="12" customHeight="1" x14ac:dyDescent="0.3">
      <c r="A173" s="25">
        <v>155</v>
      </c>
      <c r="B173" s="24" t="s">
        <v>128</v>
      </c>
      <c r="C173" s="24">
        <v>2017</v>
      </c>
      <c r="D173" s="24" t="s">
        <v>309</v>
      </c>
      <c r="E173" s="24"/>
      <c r="F173" s="4" t="s">
        <v>162</v>
      </c>
      <c r="G173" s="7">
        <v>606</v>
      </c>
      <c r="H173" s="7">
        <f t="shared" si="523"/>
        <v>559</v>
      </c>
      <c r="I173" s="7">
        <f t="shared" si="455"/>
        <v>559</v>
      </c>
      <c r="J173" s="7">
        <v>40.5</v>
      </c>
      <c r="K173" s="37">
        <v>43</v>
      </c>
      <c r="L173" s="7">
        <f t="shared" si="498"/>
        <v>13</v>
      </c>
      <c r="M173" s="7">
        <f t="shared" si="499"/>
        <v>13</v>
      </c>
      <c r="N173" s="7">
        <f t="shared" si="500"/>
        <v>344</v>
      </c>
      <c r="O173" s="7">
        <f>1*K173</f>
        <v>43</v>
      </c>
      <c r="P173" s="7">
        <f t="shared" si="501"/>
        <v>56</v>
      </c>
      <c r="Q173" s="7">
        <f t="shared" si="524"/>
        <v>172</v>
      </c>
      <c r="R173" s="7">
        <v>2</v>
      </c>
      <c r="S173" s="7">
        <f t="shared" si="525"/>
        <v>272.66666666666663</v>
      </c>
      <c r="T173" s="7">
        <f t="shared" si="475"/>
        <v>1.5</v>
      </c>
      <c r="U173" s="7">
        <f t="shared" si="459"/>
        <v>1.5</v>
      </c>
      <c r="V173" s="7">
        <f t="shared" si="472"/>
        <v>4</v>
      </c>
      <c r="W173" s="7">
        <f t="shared" si="472"/>
        <v>4</v>
      </c>
      <c r="X173" s="7">
        <f t="shared" si="431"/>
        <v>5</v>
      </c>
      <c r="Y173" s="7">
        <f t="shared" si="352"/>
        <v>96.150923032490965</v>
      </c>
      <c r="Z173" s="7">
        <f t="shared" si="461"/>
        <v>606</v>
      </c>
      <c r="AA173" s="7">
        <v>19</v>
      </c>
      <c r="AB173" s="7">
        <f>(468+468)/2</f>
        <v>468</v>
      </c>
      <c r="AC173" s="7"/>
      <c r="AD173" s="4">
        <f t="shared" si="476"/>
        <v>1.1206763468020458</v>
      </c>
      <c r="AE173" s="7">
        <v>15.9</v>
      </c>
      <c r="AF173" s="10">
        <v>2</v>
      </c>
      <c r="AG173" s="7">
        <v>120</v>
      </c>
      <c r="AH173" s="7">
        <v>4</v>
      </c>
      <c r="AI173" s="7">
        <f>AF173</f>
        <v>2</v>
      </c>
      <c r="AJ173" s="7">
        <f t="shared" si="473"/>
        <v>7.8</v>
      </c>
      <c r="AK173" s="4">
        <f t="shared" si="504"/>
        <v>559</v>
      </c>
      <c r="AL173" s="4">
        <f t="shared" si="505"/>
        <v>0.20512820512820512</v>
      </c>
      <c r="AM173" s="4">
        <f t="shared" si="506"/>
        <v>289.59325025411408</v>
      </c>
      <c r="AN173" s="4">
        <f t="shared" si="507"/>
        <v>0.72307692307692306</v>
      </c>
      <c r="AO173" s="4">
        <v>1.25</v>
      </c>
      <c r="AP173" s="4">
        <f t="shared" si="508"/>
        <v>2.5</v>
      </c>
      <c r="AQ173" s="38">
        <f t="shared" si="509"/>
        <v>134.22961303691679</v>
      </c>
      <c r="AR173" s="38">
        <f t="shared" si="510"/>
        <v>134.22961303691679</v>
      </c>
      <c r="AS173" s="38">
        <f t="shared" si="511"/>
        <v>3.538000882182009</v>
      </c>
      <c r="AT173" s="38">
        <f t="shared" si="450"/>
        <v>134.22961303691673</v>
      </c>
      <c r="AU173" s="38">
        <f t="shared" si="400"/>
        <v>1.0000000000000004</v>
      </c>
      <c r="AV173" s="38">
        <f t="shared" si="328"/>
        <v>1.8103307794917691</v>
      </c>
      <c r="AW173" s="4">
        <f t="shared" si="323"/>
        <v>0</v>
      </c>
      <c r="AX173" s="4">
        <f t="shared" si="379"/>
        <v>435.4289126254003</v>
      </c>
      <c r="AY173" s="4">
        <f t="shared" si="380"/>
        <v>1</v>
      </c>
      <c r="AZ173" s="38">
        <f t="shared" si="438"/>
        <v>243</v>
      </c>
      <c r="BA173" s="4">
        <f t="shared" si="381"/>
        <v>0.44000000000000006</v>
      </c>
      <c r="BB173" s="4">
        <f t="shared" si="401"/>
        <v>100.10510701257955</v>
      </c>
      <c r="BC173" s="4">
        <f t="shared" si="402"/>
        <v>343.10510701257954</v>
      </c>
      <c r="BE173" s="4">
        <f t="shared" si="451"/>
        <v>1.4</v>
      </c>
      <c r="BF173" s="4">
        <f t="shared" si="452"/>
        <v>614.75863556358433</v>
      </c>
      <c r="BH173" s="4">
        <f t="shared" si="463"/>
        <v>233.06671696357813</v>
      </c>
      <c r="BI173" s="4">
        <f t="shared" si="464"/>
        <v>641.65616063635548</v>
      </c>
      <c r="BJ173" s="4">
        <f t="shared" si="465"/>
        <v>2.7531007815956343</v>
      </c>
      <c r="BR173" s="4">
        <f t="shared" si="331"/>
        <v>43</v>
      </c>
      <c r="BV173" s="9"/>
      <c r="BX173" s="9"/>
      <c r="BY173" s="9"/>
      <c r="BZ173" s="9">
        <f t="shared" si="383"/>
        <v>43</v>
      </c>
      <c r="CA173" s="9">
        <f t="shared" si="384"/>
        <v>86</v>
      </c>
      <c r="CB173" s="9">
        <f t="shared" si="403"/>
        <v>1.1095694720678451</v>
      </c>
      <c r="CC173" s="9">
        <v>20</v>
      </c>
      <c r="CD173" s="9">
        <f t="shared" si="518"/>
        <v>0.05</v>
      </c>
      <c r="CE173" s="9">
        <f t="shared" si="404"/>
        <v>0.8</v>
      </c>
      <c r="CF173" s="9">
        <f t="shared" si="385"/>
        <v>0.84984840943171969</v>
      </c>
      <c r="CG173" s="9">
        <f t="shared" si="386"/>
        <v>0.84399999999999997</v>
      </c>
      <c r="CH173" s="9">
        <f t="shared" si="405"/>
        <v>1.5976419979481837</v>
      </c>
      <c r="CI173" s="9">
        <f t="shared" si="406"/>
        <v>3.0508083865753304</v>
      </c>
      <c r="CJ173" s="9">
        <v>1</v>
      </c>
      <c r="CK173" s="9">
        <f t="shared" si="407"/>
        <v>341.69053929643701</v>
      </c>
      <c r="CM173" s="4">
        <f t="shared" si="477"/>
        <v>1.0748023074035522</v>
      </c>
      <c r="CN173" s="4">
        <f t="shared" si="478"/>
        <v>1.3640135061669056</v>
      </c>
      <c r="CO173" s="4">
        <f t="shared" si="479"/>
        <v>0.76127438140166614</v>
      </c>
      <c r="CP173" s="4">
        <f t="shared" si="480"/>
        <v>1.3696603978665678</v>
      </c>
      <c r="CQ173" s="4">
        <f t="shared" si="481"/>
        <v>1.1206763468020458</v>
      </c>
      <c r="CR173" s="4">
        <f t="shared" si="482"/>
        <v>1.1802441564682067</v>
      </c>
      <c r="CS173" s="4">
        <f t="shared" si="483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526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362"/>
        <v>2</v>
      </c>
      <c r="DI173" s="4">
        <f t="shared" si="453"/>
        <v>559</v>
      </c>
      <c r="DL173" s="4">
        <f t="shared" si="485"/>
        <v>2.4945063339588327E-5</v>
      </c>
      <c r="DM173" s="4">
        <f t="shared" si="366"/>
        <v>6.7526954191214541</v>
      </c>
      <c r="DN173" s="4">
        <f t="shared" si="486"/>
        <v>0.30999426410610625</v>
      </c>
      <c r="DO173" s="4">
        <f t="shared" si="487"/>
        <v>4.2268674058260229</v>
      </c>
      <c r="DP173" s="4">
        <f t="shared" si="488"/>
        <v>5.6338980606213793</v>
      </c>
      <c r="DQ173" s="4">
        <f t="shared" si="489"/>
        <v>5.8644758836363353</v>
      </c>
      <c r="DR173" s="38">
        <f t="shared" si="513"/>
        <v>417.60495912622901</v>
      </c>
      <c r="DS173" s="4">
        <f t="shared" si="411"/>
        <v>1.0001301470472594</v>
      </c>
      <c r="DT173" s="4">
        <f t="shared" si="490"/>
        <v>2.2360679774997898</v>
      </c>
      <c r="DU173" s="4">
        <f t="shared" si="441"/>
        <v>134.22961303691673</v>
      </c>
      <c r="DY173" s="4">
        <f t="shared" si="387"/>
        <v>0.85</v>
      </c>
      <c r="DZ173" s="4">
        <f t="shared" si="412"/>
        <v>1</v>
      </c>
      <c r="EA173" s="4">
        <f t="shared" si="514"/>
        <v>0.91092644672796108</v>
      </c>
      <c r="EB173" s="4">
        <f t="shared" si="414"/>
        <v>0.91092644672796108</v>
      </c>
      <c r="ED173" s="4">
        <f t="shared" si="515"/>
        <v>396.52812296097733</v>
      </c>
      <c r="EE173" s="25">
        <f t="shared" si="516"/>
        <v>133.17300161524059</v>
      </c>
      <c r="EH173" s="4">
        <f t="shared" si="517"/>
        <v>6.7526954191214541</v>
      </c>
      <c r="EK173" s="4">
        <f t="shared" si="491"/>
        <v>96.150923032490965</v>
      </c>
      <c r="EL173" s="4">
        <f t="shared" si="492"/>
        <v>2.2360679774997898</v>
      </c>
      <c r="EM173" s="4">
        <f t="shared" si="493"/>
        <v>0.10787391362592545</v>
      </c>
      <c r="EP173" s="4">
        <f t="shared" si="332"/>
        <v>0.10787391362592545</v>
      </c>
      <c r="EQ173" s="4">
        <f t="shared" si="333"/>
        <v>0.30947694145439009</v>
      </c>
      <c r="ER173" s="4">
        <f t="shared" si="371"/>
        <v>4.2240444504115704</v>
      </c>
      <c r="ES173" s="4">
        <f t="shared" si="388"/>
        <v>5.6328428910831558</v>
      </c>
      <c r="ET173" s="4">
        <f t="shared" si="372"/>
        <v>323.09907696750906</v>
      </c>
      <c r="EU173" s="4">
        <f t="shared" si="373"/>
        <v>139.75</v>
      </c>
      <c r="EV173" s="4">
        <f t="shared" si="415"/>
        <v>2.4945063339588327E-5</v>
      </c>
      <c r="EW173" s="4">
        <f t="shared" si="389"/>
        <v>5.8646774366958354</v>
      </c>
      <c r="EX173" s="4">
        <f t="shared" si="466"/>
        <v>417.55061614645615</v>
      </c>
      <c r="FG173" s="23">
        <f t="shared" si="494"/>
        <v>1.2</v>
      </c>
      <c r="FH173" s="23">
        <f t="shared" si="494"/>
        <v>1.4</v>
      </c>
      <c r="FI173" s="23">
        <f t="shared" si="495"/>
        <v>1.2</v>
      </c>
      <c r="FJ173" s="23">
        <f t="shared" si="496"/>
        <v>1.4</v>
      </c>
      <c r="FK173" s="23">
        <f t="shared" si="496"/>
        <v>1.2</v>
      </c>
      <c r="FL173" s="23">
        <f t="shared" si="496"/>
        <v>1.2</v>
      </c>
      <c r="FM173" s="23">
        <f t="shared" si="497"/>
        <v>0</v>
      </c>
      <c r="FN173" s="23"/>
      <c r="FX173" s="4">
        <f t="shared" si="416"/>
        <v>1.25</v>
      </c>
      <c r="FY173" s="4">
        <f t="shared" si="469"/>
        <v>0.49190749660801991</v>
      </c>
      <c r="FZ173" s="4">
        <f t="shared" si="417"/>
        <v>0.3</v>
      </c>
      <c r="GA173" s="4">
        <f t="shared" si="418"/>
        <v>408.75120035069614</v>
      </c>
    </row>
    <row r="174" spans="1:183" ht="12" customHeight="1" x14ac:dyDescent="0.3">
      <c r="A174" s="25">
        <v>156</v>
      </c>
      <c r="B174" s="24" t="s">
        <v>128</v>
      </c>
      <c r="C174" s="24">
        <v>2017</v>
      </c>
      <c r="D174" s="24" t="s">
        <v>309</v>
      </c>
      <c r="E174" s="24"/>
      <c r="F174" s="4" t="s">
        <v>163</v>
      </c>
      <c r="G174" s="7">
        <v>606</v>
      </c>
      <c r="H174" s="7">
        <f t="shared" si="523"/>
        <v>559</v>
      </c>
      <c r="I174" s="7">
        <f t="shared" si="455"/>
        <v>559</v>
      </c>
      <c r="J174" s="7">
        <v>41.8</v>
      </c>
      <c r="K174" s="37">
        <v>43</v>
      </c>
      <c r="L174" s="7">
        <f t="shared" si="498"/>
        <v>13</v>
      </c>
      <c r="M174" s="7">
        <f t="shared" si="499"/>
        <v>13</v>
      </c>
      <c r="N174" s="7">
        <f t="shared" si="500"/>
        <v>430</v>
      </c>
      <c r="O174" s="7">
        <f>2*K174</f>
        <v>86</v>
      </c>
      <c r="P174" s="7">
        <f t="shared" si="501"/>
        <v>56</v>
      </c>
      <c r="Q174" s="7">
        <f t="shared" si="524"/>
        <v>172</v>
      </c>
      <c r="R174" s="7">
        <v>2</v>
      </c>
      <c r="S174" s="7">
        <f t="shared" si="525"/>
        <v>272.66666666666663</v>
      </c>
      <c r="T174" s="7">
        <f t="shared" si="475"/>
        <v>2.5</v>
      </c>
      <c r="U174" s="7">
        <f t="shared" si="459"/>
        <v>2.5</v>
      </c>
      <c r="V174" s="7">
        <f t="shared" si="472"/>
        <v>4</v>
      </c>
      <c r="W174" s="7">
        <f t="shared" si="472"/>
        <v>4</v>
      </c>
      <c r="X174" s="7">
        <f t="shared" si="431"/>
        <v>5</v>
      </c>
      <c r="Y174" s="7">
        <f t="shared" si="352"/>
        <v>96.150923032490965</v>
      </c>
      <c r="Z174" s="7">
        <f t="shared" si="461"/>
        <v>606</v>
      </c>
      <c r="AA174" s="7">
        <v>19</v>
      </c>
      <c r="AB174" s="7">
        <f>(644+644)/2</f>
        <v>644</v>
      </c>
      <c r="AC174" s="7"/>
      <c r="AD174" s="4">
        <f t="shared" si="476"/>
        <v>1.285171889692756</v>
      </c>
      <c r="AE174" s="7">
        <v>15.9</v>
      </c>
      <c r="AF174" s="10">
        <v>2</v>
      </c>
      <c r="AG174" s="7">
        <v>120</v>
      </c>
      <c r="AH174" s="7">
        <v>4</v>
      </c>
      <c r="AI174" s="7">
        <f>AF174</f>
        <v>2</v>
      </c>
      <c r="AJ174" s="7">
        <f t="shared" si="473"/>
        <v>7.8</v>
      </c>
      <c r="AK174" s="4">
        <f t="shared" si="504"/>
        <v>559</v>
      </c>
      <c r="AL174" s="4">
        <f t="shared" si="505"/>
        <v>0.25641025641025639</v>
      </c>
      <c r="AM174" s="4">
        <f t="shared" si="506"/>
        <v>294.20433290598754</v>
      </c>
      <c r="AN174" s="4">
        <f t="shared" si="507"/>
        <v>0.73846153846153839</v>
      </c>
      <c r="AO174" s="4">
        <v>1.25</v>
      </c>
      <c r="AP174" s="4">
        <f t="shared" si="508"/>
        <v>2.5</v>
      </c>
      <c r="AQ174" s="38">
        <f t="shared" si="509"/>
        <v>174.08540408638314</v>
      </c>
      <c r="AR174" s="38">
        <f t="shared" si="510"/>
        <v>174.08540408638314</v>
      </c>
      <c r="AS174" s="38">
        <f t="shared" si="511"/>
        <v>3.613311826901703</v>
      </c>
      <c r="AT174" s="38">
        <f t="shared" si="450"/>
        <v>174.08540408638308</v>
      </c>
      <c r="AU174" s="38">
        <f t="shared" si="400"/>
        <v>1.0000000000000002</v>
      </c>
      <c r="AV174" s="38">
        <f t="shared" si="328"/>
        <v>2.4011203132950989</v>
      </c>
      <c r="AW174" s="4">
        <f t="shared" si="323"/>
        <v>0</v>
      </c>
      <c r="AX174" s="4">
        <f t="shared" si="379"/>
        <v>442.36208079616836</v>
      </c>
      <c r="AY174" s="4">
        <f t="shared" si="380"/>
        <v>1</v>
      </c>
      <c r="AZ174" s="38">
        <f t="shared" si="438"/>
        <v>418</v>
      </c>
      <c r="BA174" s="4">
        <f t="shared" si="381"/>
        <v>0.44000000000000006</v>
      </c>
      <c r="BB174" s="4">
        <f t="shared" si="401"/>
        <v>101.69904237503914</v>
      </c>
      <c r="BC174" s="4">
        <f t="shared" si="402"/>
        <v>519.6990423750392</v>
      </c>
      <c r="BE174" s="4">
        <f t="shared" si="451"/>
        <v>1.5</v>
      </c>
      <c r="BF174" s="4">
        <f t="shared" si="452"/>
        <v>669.15771683512696</v>
      </c>
      <c r="BH174" s="4">
        <f t="shared" si="463"/>
        <v>400.91311806903559</v>
      </c>
      <c r="BI174" s="4">
        <f t="shared" si="464"/>
        <v>641.65616063635548</v>
      </c>
      <c r="BJ174" s="4">
        <f t="shared" si="465"/>
        <v>1.6004868180089455</v>
      </c>
      <c r="BR174" s="4">
        <f t="shared" si="331"/>
        <v>86</v>
      </c>
      <c r="BV174" s="9"/>
      <c r="BX174" s="9"/>
      <c r="BY174" s="9"/>
      <c r="BZ174" s="9">
        <f t="shared" si="383"/>
        <v>56</v>
      </c>
      <c r="CA174" s="9">
        <f t="shared" si="384"/>
        <v>86</v>
      </c>
      <c r="CB174" s="9">
        <f t="shared" si="403"/>
        <v>1.2170441953580799</v>
      </c>
      <c r="CC174" s="9">
        <v>20</v>
      </c>
      <c r="CD174" s="9">
        <f t="shared" si="518"/>
        <v>0.05</v>
      </c>
      <c r="CE174" s="9">
        <f t="shared" si="404"/>
        <v>0.8</v>
      </c>
      <c r="CF174" s="9">
        <f t="shared" si="385"/>
        <v>0.84984840943171969</v>
      </c>
      <c r="CG174" s="9">
        <f t="shared" si="386"/>
        <v>0.84399999999999997</v>
      </c>
      <c r="CH174" s="9">
        <f t="shared" si="405"/>
        <v>1.6230806409213159</v>
      </c>
      <c r="CI174" s="9">
        <f t="shared" si="406"/>
        <v>3.2738253853684127</v>
      </c>
      <c r="CJ174" s="9">
        <v>1</v>
      </c>
      <c r="CK174" s="9">
        <f t="shared" si="407"/>
        <v>366.66844316126219</v>
      </c>
      <c r="CM174" s="4">
        <f t="shared" si="477"/>
        <v>1.455820984567487</v>
      </c>
      <c r="CN174" s="4">
        <f t="shared" si="478"/>
        <v>1.2391787313228477</v>
      </c>
      <c r="CO174" s="4">
        <f t="shared" si="479"/>
        <v>0.9624039053840493</v>
      </c>
      <c r="CP174" s="4">
        <f t="shared" si="480"/>
        <v>1.7563551268489346</v>
      </c>
      <c r="CQ174" s="4">
        <f t="shared" si="481"/>
        <v>1.285171889692756</v>
      </c>
      <c r="CR174" s="4">
        <f t="shared" si="482"/>
        <v>1.3701259564751176</v>
      </c>
      <c r="CS174" s="4">
        <f t="shared" si="483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526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362"/>
        <v>2</v>
      </c>
      <c r="DI174" s="4">
        <f t="shared" si="453"/>
        <v>559</v>
      </c>
      <c r="DL174" s="4">
        <f t="shared" si="485"/>
        <v>2.5159418755006149E-5</v>
      </c>
      <c r="DM174" s="4">
        <f t="shared" si="366"/>
        <v>7.6224622307194574</v>
      </c>
      <c r="DN174" s="4">
        <f t="shared" si="486"/>
        <v>0.38953494241128567</v>
      </c>
      <c r="DO174" s="4">
        <f t="shared" si="487"/>
        <v>5.2277384310464221</v>
      </c>
      <c r="DP174" s="4">
        <f t="shared" si="488"/>
        <v>6.5360889007016727</v>
      </c>
      <c r="DQ174" s="4">
        <f t="shared" si="489"/>
        <v>6.4468966142736903</v>
      </c>
      <c r="DR174" s="38">
        <f t="shared" si="513"/>
        <v>501.10028484513464</v>
      </c>
      <c r="DS174" s="4">
        <f t="shared" si="411"/>
        <v>1.0001383080113373</v>
      </c>
      <c r="DT174" s="4">
        <f t="shared" si="490"/>
        <v>2.2360679774997898</v>
      </c>
      <c r="DU174" s="4">
        <f t="shared" si="441"/>
        <v>174.08540408638308</v>
      </c>
      <c r="DY174" s="4">
        <f t="shared" si="387"/>
        <v>0.85</v>
      </c>
      <c r="DZ174" s="4">
        <f t="shared" si="412"/>
        <v>0.9</v>
      </c>
      <c r="EA174" s="4">
        <f t="shared" si="514"/>
        <v>0.91092644672796108</v>
      </c>
      <c r="EB174" s="4">
        <f t="shared" si="414"/>
        <v>0.81983380205516498</v>
      </c>
      <c r="ED174" s="4">
        <f t="shared" si="515"/>
        <v>470.02977861743432</v>
      </c>
      <c r="EE174" s="25">
        <f t="shared" si="516"/>
        <v>172.75375161937544</v>
      </c>
      <c r="EH174" s="4">
        <f t="shared" si="517"/>
        <v>7.6224622307194574</v>
      </c>
      <c r="EK174" s="4">
        <f t="shared" si="491"/>
        <v>96.150923032490965</v>
      </c>
      <c r="EL174" s="4">
        <f t="shared" si="492"/>
        <v>2.2360679774997898</v>
      </c>
      <c r="EM174" s="4">
        <f t="shared" si="493"/>
        <v>0.1377113790969261</v>
      </c>
      <c r="EP174" s="4">
        <f t="shared" si="332"/>
        <v>0.1377113790969261</v>
      </c>
      <c r="EQ174" s="4">
        <f t="shared" si="333"/>
        <v>0.38888488119184528</v>
      </c>
      <c r="ER174" s="4">
        <f t="shared" si="371"/>
        <v>5.2242470339685472</v>
      </c>
      <c r="ES174" s="4">
        <f t="shared" si="388"/>
        <v>6.5346953129848373</v>
      </c>
      <c r="ET174" s="4">
        <f t="shared" si="372"/>
        <v>323.09907696750906</v>
      </c>
      <c r="EU174" s="4">
        <f t="shared" si="373"/>
        <v>139.75</v>
      </c>
      <c r="EV174" s="4">
        <f t="shared" si="415"/>
        <v>2.5159418755006149E-5</v>
      </c>
      <c r="EW174" s="4">
        <f t="shared" si="389"/>
        <v>6.4471902064809594</v>
      </c>
      <c r="EX174" s="4">
        <f t="shared" si="466"/>
        <v>501.03098824553206</v>
      </c>
      <c r="FG174" s="23">
        <f t="shared" si="494"/>
        <v>1.6</v>
      </c>
      <c r="FH174" s="23">
        <f t="shared" si="494"/>
        <v>1.4</v>
      </c>
      <c r="FI174" s="23">
        <f t="shared" si="495"/>
        <v>1.4</v>
      </c>
      <c r="FJ174" s="23">
        <f t="shared" si="496"/>
        <v>1.8</v>
      </c>
      <c r="FK174" s="23">
        <f t="shared" si="496"/>
        <v>1.4</v>
      </c>
      <c r="FL174" s="23">
        <f t="shared" si="496"/>
        <v>1.4</v>
      </c>
      <c r="FM174" s="23">
        <f t="shared" si="497"/>
        <v>0</v>
      </c>
      <c r="FN174" s="23"/>
      <c r="FX174" s="4">
        <f t="shared" si="416"/>
        <v>1</v>
      </c>
      <c r="FY174" s="4">
        <f t="shared" si="469"/>
        <v>0.49190749660801991</v>
      </c>
      <c r="FZ174" s="4">
        <f t="shared" si="417"/>
        <v>0.3</v>
      </c>
      <c r="GA174" s="4">
        <f t="shared" si="418"/>
        <v>514.99067902208481</v>
      </c>
    </row>
    <row r="175" spans="1:183" ht="12" customHeight="1" x14ac:dyDescent="0.3">
      <c r="A175" s="25">
        <v>157</v>
      </c>
      <c r="B175" s="24" t="s">
        <v>128</v>
      </c>
      <c r="C175" s="24">
        <v>2017</v>
      </c>
      <c r="D175" s="24" t="s">
        <v>309</v>
      </c>
      <c r="E175" s="24"/>
      <c r="F175" s="4" t="s">
        <v>164</v>
      </c>
      <c r="G175" s="7">
        <v>606</v>
      </c>
      <c r="H175" s="7">
        <f>16*K175</f>
        <v>688</v>
      </c>
      <c r="I175" s="7">
        <f t="shared" si="455"/>
        <v>688</v>
      </c>
      <c r="J175" s="7">
        <v>45.8</v>
      </c>
      <c r="K175" s="37">
        <v>43</v>
      </c>
      <c r="L175" s="7">
        <f t="shared" si="498"/>
        <v>16</v>
      </c>
      <c r="M175" s="7">
        <f t="shared" si="499"/>
        <v>16</v>
      </c>
      <c r="N175" s="7">
        <f t="shared" si="500"/>
        <v>344</v>
      </c>
      <c r="O175" s="7">
        <f>1*K175</f>
        <v>43</v>
      </c>
      <c r="P175" s="7">
        <f t="shared" si="501"/>
        <v>56</v>
      </c>
      <c r="Q175" s="7">
        <f t="shared" si="524"/>
        <v>172</v>
      </c>
      <c r="R175" s="7">
        <v>2</v>
      </c>
      <c r="S175" s="7">
        <f t="shared" si="525"/>
        <v>358.66666666666663</v>
      </c>
      <c r="T175" s="7">
        <f t="shared" si="475"/>
        <v>1.5</v>
      </c>
      <c r="U175" s="7">
        <f t="shared" si="459"/>
        <v>1.5</v>
      </c>
      <c r="V175" s="7">
        <f t="shared" si="472"/>
        <v>4</v>
      </c>
      <c r="W175" s="7">
        <f t="shared" si="472"/>
        <v>4</v>
      </c>
      <c r="X175" s="7">
        <f t="shared" si="431"/>
        <v>5</v>
      </c>
      <c r="Y175" s="7">
        <f t="shared" si="352"/>
        <v>96.150923032490965</v>
      </c>
      <c r="Z175" s="7">
        <f t="shared" si="461"/>
        <v>606</v>
      </c>
      <c r="AA175" s="7">
        <v>19</v>
      </c>
      <c r="AB175" s="7">
        <f>(572+572)/2</f>
        <v>572</v>
      </c>
      <c r="AC175" s="7"/>
      <c r="AD175" s="4">
        <f t="shared" si="476"/>
        <v>1.1618846803400318</v>
      </c>
      <c r="AE175" s="7"/>
      <c r="AF175" s="7"/>
      <c r="AG175" s="7">
        <v>1</v>
      </c>
      <c r="AH175" s="7"/>
      <c r="AI175" s="7"/>
      <c r="AJ175" s="7">
        <f t="shared" si="473"/>
        <v>9.6</v>
      </c>
      <c r="AK175" s="4">
        <f t="shared" si="504"/>
        <v>688</v>
      </c>
      <c r="AL175" s="4">
        <f t="shared" si="505"/>
        <v>0.16666666666666666</v>
      </c>
      <c r="AM175" s="4">
        <f t="shared" si="506"/>
        <v>420.49284288370211</v>
      </c>
      <c r="AN175" s="4">
        <f t="shared" si="507"/>
        <v>0.71875</v>
      </c>
      <c r="AO175" s="4">
        <v>1.25</v>
      </c>
      <c r="AP175" s="4">
        <f t="shared" si="508"/>
        <v>2.5</v>
      </c>
      <c r="AQ175" s="38">
        <f t="shared" si="509"/>
        <v>157.41105772013586</v>
      </c>
      <c r="AR175" s="38">
        <f t="shared" si="510"/>
        <v>157.41105772013586</v>
      </c>
      <c r="AS175" s="38">
        <f t="shared" si="511"/>
        <v>3.8402978284624769</v>
      </c>
      <c r="AT175" s="38">
        <f t="shared" si="450"/>
        <v>157.41105772013589</v>
      </c>
      <c r="AU175" s="38">
        <f t="shared" si="400"/>
        <v>0.99999999999999978</v>
      </c>
      <c r="AV175" s="38">
        <f t="shared" si="328"/>
        <v>1.7457477510161459</v>
      </c>
      <c r="AW175" s="4">
        <f t="shared" si="323"/>
        <v>0</v>
      </c>
      <c r="AX175" s="4">
        <f t="shared" si="379"/>
        <v>569.90060852845909</v>
      </c>
      <c r="AY175" s="4">
        <f t="shared" si="380"/>
        <v>1</v>
      </c>
      <c r="AZ175" s="38">
        <f t="shared" si="438"/>
        <v>274.79999999999995</v>
      </c>
      <c r="BA175" s="4">
        <f t="shared" si="381"/>
        <v>0.44000000000000006</v>
      </c>
      <c r="BB175" s="4">
        <f t="shared" si="401"/>
        <v>131.02014990069279</v>
      </c>
      <c r="BC175" s="4">
        <f t="shared" si="402"/>
        <v>405.82014990069274</v>
      </c>
      <c r="BE175" s="4">
        <f t="shared" si="451"/>
        <v>1</v>
      </c>
      <c r="BF175" s="4">
        <f t="shared" si="452"/>
        <v>527.87043864948532</v>
      </c>
      <c r="BH175" s="4">
        <f t="shared" si="463"/>
        <v>263.56680585016983</v>
      </c>
      <c r="BI175" s="4">
        <f t="shared" si="464"/>
        <v>641.65616063635548</v>
      </c>
      <c r="BJ175" s="4">
        <f t="shared" si="465"/>
        <v>2.4345105164764891</v>
      </c>
      <c r="BR175" s="4">
        <f t="shared" si="331"/>
        <v>43</v>
      </c>
      <c r="BV175" s="9"/>
      <c r="BX175" s="9"/>
      <c r="BY175" s="9"/>
      <c r="BZ175" s="9">
        <f t="shared" si="383"/>
        <v>43</v>
      </c>
      <c r="CA175" s="9">
        <f t="shared" si="384"/>
        <v>86</v>
      </c>
      <c r="CB175" s="9">
        <f t="shared" si="403"/>
        <v>1.1095694720678451</v>
      </c>
      <c r="CC175" s="9">
        <v>0</v>
      </c>
      <c r="CD175" s="9">
        <f t="shared" si="518"/>
        <v>0</v>
      </c>
      <c r="CE175" s="9">
        <f t="shared" si="404"/>
        <v>0</v>
      </c>
      <c r="CF175" s="9">
        <f t="shared" si="385"/>
        <v>0.84984840943171969</v>
      </c>
      <c r="CG175" s="9">
        <f t="shared" si="386"/>
        <v>0.84399999999999997</v>
      </c>
      <c r="CH175" s="9">
        <f t="shared" si="405"/>
        <v>1.6989660317871056</v>
      </c>
      <c r="CI175" s="9">
        <f t="shared" si="406"/>
        <v>1.8851208429512205</v>
      </c>
      <c r="CJ175" s="9">
        <v>1</v>
      </c>
      <c r="CK175" s="9">
        <f t="shared" si="407"/>
        <v>233.75498452595133</v>
      </c>
      <c r="CM175" s="4">
        <f t="shared" si="477"/>
        <v>1.0036837852778606</v>
      </c>
      <c r="CN175" s="4">
        <f t="shared" si="478"/>
        <v>1.4094913723233622</v>
      </c>
      <c r="CO175" s="4">
        <f t="shared" si="479"/>
        <v>1.0835992283701597</v>
      </c>
      <c r="CP175" s="4">
        <f t="shared" si="480"/>
        <v>2.4470066431310555</v>
      </c>
      <c r="CQ175" s="4">
        <f t="shared" si="481"/>
        <v>1.1618846803400318</v>
      </c>
      <c r="CR175" s="4">
        <f t="shared" si="482"/>
        <v>1.2158256317980205</v>
      </c>
      <c r="CS175" s="4">
        <f t="shared" si="483"/>
        <v>1.6810691019807604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527">CS175</f>
        <v>1.6810691019807604</v>
      </c>
      <c r="CY175" s="4">
        <f>CQ175</f>
        <v>1.1618846803400318</v>
      </c>
      <c r="CZ175" s="4">
        <f>CR175</f>
        <v>1.2158256317980205</v>
      </c>
      <c r="DH175" s="4">
        <f t="shared" si="362"/>
        <v>0</v>
      </c>
      <c r="DI175" s="4">
        <f t="shared" si="453"/>
        <v>688</v>
      </c>
      <c r="DL175" s="4">
        <f t="shared" si="485"/>
        <v>3.1780084856411147E-5</v>
      </c>
      <c r="DM175" s="4">
        <f t="shared" si="366"/>
        <v>6.5413245857119913</v>
      </c>
      <c r="DN175" s="4">
        <f t="shared" si="486"/>
        <v>0.32146234039283844</v>
      </c>
      <c r="DO175" s="4">
        <f t="shared" si="487"/>
        <v>4.154490216734021</v>
      </c>
      <c r="DP175" s="4">
        <f t="shared" si="488"/>
        <v>5.4800752805835637</v>
      </c>
      <c r="DQ175" s="4">
        <f t="shared" si="489"/>
        <v>5.2315820417165027</v>
      </c>
      <c r="DR175" s="38">
        <f t="shared" si="513"/>
        <v>492.3035906047071</v>
      </c>
      <c r="DS175" s="4">
        <f t="shared" si="411"/>
        <v>1.0001243667108182</v>
      </c>
      <c r="DT175" s="4">
        <f t="shared" si="490"/>
        <v>2.2360679774997898</v>
      </c>
      <c r="DU175" s="4">
        <f t="shared" si="441"/>
        <v>157.41105772013589</v>
      </c>
      <c r="DY175" s="4">
        <f t="shared" si="387"/>
        <v>0.85</v>
      </c>
      <c r="DZ175" s="4">
        <f t="shared" si="412"/>
        <v>1</v>
      </c>
      <c r="EA175" s="4">
        <f t="shared" si="514"/>
        <v>1</v>
      </c>
      <c r="EB175" s="4">
        <f t="shared" si="414"/>
        <v>1</v>
      </c>
      <c r="ED175" s="4">
        <f t="shared" si="515"/>
        <v>470.46219872342988</v>
      </c>
      <c r="EE175" s="25">
        <f t="shared" si="516"/>
        <v>156.47861860925426</v>
      </c>
      <c r="EH175" s="4">
        <f t="shared" si="517"/>
        <v>6.5413245857119913</v>
      </c>
      <c r="EK175" s="4">
        <f t="shared" si="491"/>
        <v>96.150923032490965</v>
      </c>
      <c r="EL175" s="4">
        <f t="shared" si="492"/>
        <v>2.2360679774997898</v>
      </c>
      <c r="EM175" s="4">
        <f t="shared" si="493"/>
        <v>0.1189592196523231</v>
      </c>
      <c r="EP175" s="4">
        <f t="shared" si="332"/>
        <v>0.1189592196523231</v>
      </c>
      <c r="EQ175" s="4">
        <f t="shared" si="333"/>
        <v>0.32092587965915864</v>
      </c>
      <c r="ER175" s="4">
        <f t="shared" si="371"/>
        <v>4.1517155991447741</v>
      </c>
      <c r="ES175" s="4">
        <f t="shared" si="388"/>
        <v>5.4790269878759252</v>
      </c>
      <c r="ET175" s="4">
        <f t="shared" si="372"/>
        <v>419.84907696750906</v>
      </c>
      <c r="EU175" s="4">
        <f t="shared" si="373"/>
        <v>172</v>
      </c>
      <c r="EV175" s="4">
        <f t="shared" si="415"/>
        <v>3.1780084856411147E-5</v>
      </c>
      <c r="EW175" s="4">
        <f t="shared" si="389"/>
        <v>5.2318658044900577</v>
      </c>
      <c r="EX175" s="4">
        <f t="shared" si="466"/>
        <v>492.2423720399712</v>
      </c>
      <c r="FG175" s="23">
        <f t="shared" si="494"/>
        <v>1.2</v>
      </c>
      <c r="FH175" s="23">
        <f t="shared" si="494"/>
        <v>1.6</v>
      </c>
      <c r="FI175" s="23">
        <f t="shared" si="495"/>
        <v>1.8</v>
      </c>
      <c r="FJ175" s="23">
        <f t="shared" si="496"/>
        <v>2.2000000000000002</v>
      </c>
      <c r="FK175" s="23">
        <f t="shared" si="496"/>
        <v>1.2</v>
      </c>
      <c r="FL175" s="23">
        <f t="shared" si="496"/>
        <v>1.4</v>
      </c>
      <c r="FM175" s="23">
        <f t="shared" si="497"/>
        <v>0</v>
      </c>
      <c r="FN175" s="23"/>
      <c r="FX175" s="4">
        <f t="shared" si="416"/>
        <v>1.25</v>
      </c>
      <c r="FY175" s="4">
        <f t="shared" si="469"/>
        <v>0.75</v>
      </c>
      <c r="FZ175" s="4">
        <f t="shared" si="417"/>
        <v>0</v>
      </c>
      <c r="GA175" s="4">
        <f t="shared" si="418"/>
        <v>340.25965935964626</v>
      </c>
    </row>
    <row r="176" spans="1:183" ht="12" customHeight="1" x14ac:dyDescent="0.3">
      <c r="A176" s="25">
        <v>158</v>
      </c>
      <c r="B176" s="24" t="s">
        <v>128</v>
      </c>
      <c r="C176" s="24">
        <v>2017</v>
      </c>
      <c r="D176" s="24" t="s">
        <v>309</v>
      </c>
      <c r="E176" s="24"/>
      <c r="F176" s="4" t="s">
        <v>165</v>
      </c>
      <c r="G176" s="7">
        <v>606</v>
      </c>
      <c r="H176" s="7">
        <f t="shared" ref="H176:H178" si="528">16*K176</f>
        <v>688</v>
      </c>
      <c r="I176" s="7">
        <f t="shared" si="455"/>
        <v>688</v>
      </c>
      <c r="J176" s="7">
        <v>45.8</v>
      </c>
      <c r="K176" s="37">
        <v>43</v>
      </c>
      <c r="L176" s="7">
        <f t="shared" si="498"/>
        <v>16</v>
      </c>
      <c r="M176" s="7">
        <f t="shared" si="499"/>
        <v>16</v>
      </c>
      <c r="N176" s="7">
        <f t="shared" si="500"/>
        <v>430</v>
      </c>
      <c r="O176" s="7">
        <f>2*K176</f>
        <v>86</v>
      </c>
      <c r="P176" s="7">
        <f t="shared" si="501"/>
        <v>56</v>
      </c>
      <c r="Q176" s="7">
        <f t="shared" si="524"/>
        <v>172</v>
      </c>
      <c r="R176" s="7">
        <v>2</v>
      </c>
      <c r="S176" s="7">
        <f t="shared" si="525"/>
        <v>358.66666666666663</v>
      </c>
      <c r="T176" s="7">
        <f t="shared" si="475"/>
        <v>2.5</v>
      </c>
      <c r="U176" s="7">
        <f t="shared" si="459"/>
        <v>2.5</v>
      </c>
      <c r="V176" s="7">
        <f t="shared" si="472"/>
        <v>4</v>
      </c>
      <c r="W176" s="7">
        <f t="shared" si="472"/>
        <v>4</v>
      </c>
      <c r="X176" s="7">
        <f t="shared" si="431"/>
        <v>5</v>
      </c>
      <c r="Y176" s="7">
        <f t="shared" si="352"/>
        <v>96.150923032490965</v>
      </c>
      <c r="Z176" s="7">
        <f t="shared" si="461"/>
        <v>606</v>
      </c>
      <c r="AA176" s="7">
        <v>19</v>
      </c>
      <c r="AB176" s="7">
        <f>(607+607)/2</f>
        <v>607</v>
      </c>
      <c r="AC176" s="7"/>
      <c r="AD176" s="4">
        <f t="shared" si="476"/>
        <v>1.0461407976053076</v>
      </c>
      <c r="AE176" s="7"/>
      <c r="AF176" s="7"/>
      <c r="AG176" s="7">
        <v>1</v>
      </c>
      <c r="AH176" s="7"/>
      <c r="AI176" s="7"/>
      <c r="AJ176" s="7">
        <f t="shared" si="473"/>
        <v>9.6</v>
      </c>
      <c r="AK176" s="4">
        <f t="shared" si="504"/>
        <v>688</v>
      </c>
      <c r="AL176" s="4">
        <f t="shared" si="505"/>
        <v>0.20833333333333334</v>
      </c>
      <c r="AM176" s="4">
        <f t="shared" si="506"/>
        <v>420.49284288370211</v>
      </c>
      <c r="AN176" s="4">
        <f t="shared" si="507"/>
        <v>0.73124999999999996</v>
      </c>
      <c r="AO176" s="4">
        <v>1.25</v>
      </c>
      <c r="AP176" s="4">
        <f t="shared" si="508"/>
        <v>2.5</v>
      </c>
      <c r="AQ176" s="38">
        <f t="shared" si="509"/>
        <v>200.18580166582498</v>
      </c>
      <c r="AR176" s="38">
        <f t="shared" si="510"/>
        <v>200.18580166582498</v>
      </c>
      <c r="AS176" s="38">
        <f t="shared" si="511"/>
        <v>3.8402978284624769</v>
      </c>
      <c r="AT176" s="38">
        <f t="shared" si="450"/>
        <v>200.18580166582495</v>
      </c>
      <c r="AU176" s="38">
        <f t="shared" si="400"/>
        <v>1.0000000000000002</v>
      </c>
      <c r="AV176" s="38">
        <f t="shared" si="328"/>
        <v>2.2878745454912459</v>
      </c>
      <c r="AW176" s="4">
        <f t="shared" ref="AW176:AW239" si="529">IF(AV176&lt;1,1,0)</f>
        <v>0</v>
      </c>
      <c r="AX176" s="4">
        <f t="shared" si="379"/>
        <v>569.90060852845909</v>
      </c>
      <c r="AY176" s="4">
        <f t="shared" si="380"/>
        <v>1</v>
      </c>
      <c r="AZ176" s="38">
        <f t="shared" si="438"/>
        <v>458</v>
      </c>
      <c r="BA176" s="4">
        <f t="shared" si="381"/>
        <v>0.44000000000000006</v>
      </c>
      <c r="BB176" s="4">
        <f t="shared" si="401"/>
        <v>131.02014990069279</v>
      </c>
      <c r="BC176" s="4">
        <f t="shared" si="402"/>
        <v>589.02014990069279</v>
      </c>
      <c r="BE176" s="4">
        <f t="shared" si="451"/>
        <v>1.25</v>
      </c>
      <c r="BF176" s="4">
        <f t="shared" si="452"/>
        <v>659.8380483118566</v>
      </c>
      <c r="BH176" s="4">
        <f t="shared" si="463"/>
        <v>439.27800975028305</v>
      </c>
      <c r="BI176" s="4">
        <f t="shared" si="464"/>
        <v>641.65616063635548</v>
      </c>
      <c r="BJ176" s="4">
        <f t="shared" si="465"/>
        <v>1.4607063098858935</v>
      </c>
      <c r="BR176" s="4">
        <f t="shared" si="331"/>
        <v>86</v>
      </c>
      <c r="BV176" s="9"/>
      <c r="BX176" s="9"/>
      <c r="BY176" s="9"/>
      <c r="BZ176" s="9">
        <f t="shared" si="383"/>
        <v>56</v>
      </c>
      <c r="CA176" s="9">
        <f t="shared" si="384"/>
        <v>86</v>
      </c>
      <c r="CB176" s="9">
        <f t="shared" si="403"/>
        <v>1.2170441953580799</v>
      </c>
      <c r="CC176" s="9">
        <v>0</v>
      </c>
      <c r="CD176" s="9">
        <f t="shared" si="518"/>
        <v>0</v>
      </c>
      <c r="CE176" s="9">
        <f t="shared" si="404"/>
        <v>0</v>
      </c>
      <c r="CF176" s="9">
        <f t="shared" si="385"/>
        <v>0.84984840943171969</v>
      </c>
      <c r="CG176" s="9">
        <f t="shared" si="386"/>
        <v>0.84399999999999997</v>
      </c>
      <c r="CH176" s="9">
        <f t="shared" si="405"/>
        <v>1.6989660317871056</v>
      </c>
      <c r="CI176" s="9">
        <f t="shared" si="406"/>
        <v>2.0677167470970481</v>
      </c>
      <c r="CJ176" s="9">
        <v>1</v>
      </c>
      <c r="CK176" s="9">
        <f t="shared" si="407"/>
        <v>256.39687664003395</v>
      </c>
      <c r="CM176" s="4">
        <f t="shared" si="477"/>
        <v>1.0650980029084989</v>
      </c>
      <c r="CN176" s="4">
        <f t="shared" si="478"/>
        <v>1.030525017017395</v>
      </c>
      <c r="CO176" s="4">
        <f t="shared" si="479"/>
        <v>0.91992270156739442</v>
      </c>
      <c r="CP176" s="4">
        <f t="shared" si="480"/>
        <v>2.3674235347733665</v>
      </c>
      <c r="CQ176" s="4">
        <f t="shared" si="481"/>
        <v>1.0461407976053076</v>
      </c>
      <c r="CR176" s="4">
        <f t="shared" si="482"/>
        <v>1.1078654557321155</v>
      </c>
      <c r="CS176" s="4">
        <f t="shared" si="483"/>
        <v>1.4271453774857643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527"/>
        <v>1.4271453774857643</v>
      </c>
      <c r="CY176" s="4">
        <f>CQ176</f>
        <v>1.0461407976053076</v>
      </c>
      <c r="CZ176" s="4">
        <f>CR176</f>
        <v>1.1078654557321155</v>
      </c>
      <c r="DH176" s="4">
        <f t="shared" si="362"/>
        <v>0</v>
      </c>
      <c r="DI176" s="4">
        <f t="shared" si="453"/>
        <v>688</v>
      </c>
      <c r="DL176" s="4">
        <f t="shared" si="485"/>
        <v>3.1780084856411147E-5</v>
      </c>
      <c r="DM176" s="4">
        <f t="shared" si="366"/>
        <v>7.2681384285688786</v>
      </c>
      <c r="DN176" s="4">
        <f t="shared" si="486"/>
        <v>0.40881623723871846</v>
      </c>
      <c r="DO176" s="4">
        <f t="shared" si="487"/>
        <v>5.0819974748536216</v>
      </c>
      <c r="DP176" s="4">
        <f t="shared" si="488"/>
        <v>6.2713583807787048</v>
      </c>
      <c r="DQ176" s="4">
        <f t="shared" si="489"/>
        <v>5.6034242965167413</v>
      </c>
      <c r="DR176" s="38">
        <f t="shared" si="513"/>
        <v>580.22782534575379</v>
      </c>
      <c r="DS176" s="4">
        <f t="shared" si="411"/>
        <v>1.0001336896718742</v>
      </c>
      <c r="DT176" s="4">
        <f t="shared" si="490"/>
        <v>2.2360679774997898</v>
      </c>
      <c r="DU176" s="4">
        <f t="shared" si="441"/>
        <v>200.18580166582495</v>
      </c>
      <c r="DY176" s="4">
        <f t="shared" si="387"/>
        <v>0.85</v>
      </c>
      <c r="DZ176" s="4">
        <f t="shared" si="412"/>
        <v>0.9</v>
      </c>
      <c r="EA176" s="4">
        <f t="shared" si="514"/>
        <v>1</v>
      </c>
      <c r="EB176" s="4">
        <f t="shared" si="414"/>
        <v>0.9</v>
      </c>
      <c r="ED176" s="4">
        <f t="shared" si="515"/>
        <v>547.90046648658574</v>
      </c>
      <c r="EE176" s="25">
        <f t="shared" si="516"/>
        <v>199.02982191527957</v>
      </c>
      <c r="EH176" s="4">
        <f t="shared" si="517"/>
        <v>7.2681384285688786</v>
      </c>
      <c r="EK176" s="4">
        <f t="shared" si="491"/>
        <v>96.150923032490965</v>
      </c>
      <c r="EL176" s="4">
        <f t="shared" si="492"/>
        <v>2.2360679774997898</v>
      </c>
      <c r="EM176" s="4">
        <f t="shared" si="493"/>
        <v>0.15128509455784567</v>
      </c>
      <c r="EP176" s="4">
        <f t="shared" si="332"/>
        <v>0.15128509455784567</v>
      </c>
      <c r="EQ176" s="4">
        <f t="shared" si="333"/>
        <v>0.40813399913175602</v>
      </c>
      <c r="ER176" s="4">
        <f t="shared" si="371"/>
        <v>5.0786034123220896</v>
      </c>
      <c r="ES176" s="4">
        <f t="shared" si="388"/>
        <v>6.2699854603578888</v>
      </c>
      <c r="ET176" s="4">
        <f t="shared" si="372"/>
        <v>419.84907696750906</v>
      </c>
      <c r="EU176" s="4">
        <f t="shared" si="373"/>
        <v>172</v>
      </c>
      <c r="EV176" s="4">
        <f t="shared" si="415"/>
        <v>3.1780084856411147E-5</v>
      </c>
      <c r="EW176" s="4">
        <f t="shared" si="389"/>
        <v>5.6038254044047084</v>
      </c>
      <c r="EX176" s="4">
        <f t="shared" si="466"/>
        <v>580.15026524715518</v>
      </c>
      <c r="FG176" s="23">
        <f t="shared" si="494"/>
        <v>1.2</v>
      </c>
      <c r="FH176" s="23">
        <f t="shared" si="494"/>
        <v>1.2</v>
      </c>
      <c r="FI176" s="23">
        <f t="shared" si="495"/>
        <v>1.6</v>
      </c>
      <c r="FJ176" s="23">
        <f t="shared" si="496"/>
        <v>2.2000000000000002</v>
      </c>
      <c r="FK176" s="23">
        <f t="shared" si="496"/>
        <v>1.2</v>
      </c>
      <c r="FL176" s="23">
        <f t="shared" si="496"/>
        <v>1.2</v>
      </c>
      <c r="FM176" s="23">
        <f t="shared" si="497"/>
        <v>0</v>
      </c>
      <c r="FN176" s="23"/>
      <c r="FX176" s="4">
        <f t="shared" si="416"/>
        <v>1</v>
      </c>
      <c r="FY176" s="4">
        <f t="shared" si="469"/>
        <v>0.75</v>
      </c>
      <c r="FZ176" s="4">
        <f t="shared" si="417"/>
        <v>0</v>
      </c>
      <c r="GA176" s="4">
        <f t="shared" si="418"/>
        <v>425.3245741995579</v>
      </c>
    </row>
    <row r="177" spans="1:183" ht="12" customHeight="1" x14ac:dyDescent="0.3">
      <c r="A177" s="25">
        <v>159</v>
      </c>
      <c r="B177" s="24" t="s">
        <v>128</v>
      </c>
      <c r="C177" s="24">
        <v>2017</v>
      </c>
      <c r="D177" s="24" t="s">
        <v>309</v>
      </c>
      <c r="E177" s="24"/>
      <c r="F177" s="4" t="s">
        <v>166</v>
      </c>
      <c r="G177" s="7">
        <v>606</v>
      </c>
      <c r="H177" s="7">
        <f t="shared" si="528"/>
        <v>688</v>
      </c>
      <c r="I177" s="7">
        <f t="shared" si="455"/>
        <v>688</v>
      </c>
      <c r="J177" s="7">
        <v>41.8</v>
      </c>
      <c r="K177" s="37">
        <v>43</v>
      </c>
      <c r="L177" s="7">
        <f t="shared" si="498"/>
        <v>16</v>
      </c>
      <c r="M177" s="7">
        <f t="shared" si="499"/>
        <v>16</v>
      </c>
      <c r="N177" s="7">
        <f t="shared" si="500"/>
        <v>344</v>
      </c>
      <c r="O177" s="7">
        <f>1*K177</f>
        <v>43</v>
      </c>
      <c r="P177" s="7">
        <f t="shared" si="501"/>
        <v>56</v>
      </c>
      <c r="Q177" s="7">
        <f t="shared" si="524"/>
        <v>172</v>
      </c>
      <c r="R177" s="7">
        <v>2</v>
      </c>
      <c r="S177" s="7">
        <f t="shared" si="525"/>
        <v>358.66666666666663</v>
      </c>
      <c r="T177" s="7">
        <f t="shared" si="475"/>
        <v>1.5</v>
      </c>
      <c r="U177" s="7">
        <f t="shared" si="459"/>
        <v>1.5</v>
      </c>
      <c r="V177" s="7">
        <f t="shared" si="472"/>
        <v>4</v>
      </c>
      <c r="W177" s="7">
        <f t="shared" si="472"/>
        <v>4</v>
      </c>
      <c r="X177" s="7">
        <f t="shared" si="431"/>
        <v>5</v>
      </c>
      <c r="Y177" s="7">
        <f t="shared" si="352"/>
        <v>96.150923032490965</v>
      </c>
      <c r="Z177" s="7">
        <f t="shared" si="461"/>
        <v>606</v>
      </c>
      <c r="AA177" s="7">
        <v>19</v>
      </c>
      <c r="AB177" s="7">
        <f>(424+424)/2</f>
        <v>424</v>
      </c>
      <c r="AC177" s="7"/>
      <c r="AD177" s="4">
        <f t="shared" si="476"/>
        <v>0.84308759932066202</v>
      </c>
      <c r="AE177" s="7">
        <v>15.9</v>
      </c>
      <c r="AF177" s="10">
        <v>2</v>
      </c>
      <c r="AG177" s="7">
        <v>120</v>
      </c>
      <c r="AH177" s="7">
        <v>4</v>
      </c>
      <c r="AI177" s="7">
        <f t="shared" ref="AI177:AI178" si="530">AF177</f>
        <v>2</v>
      </c>
      <c r="AJ177" s="7">
        <f t="shared" si="473"/>
        <v>9.6</v>
      </c>
      <c r="AK177" s="4">
        <f t="shared" si="504"/>
        <v>688</v>
      </c>
      <c r="AL177" s="4">
        <f t="shared" si="505"/>
        <v>0.16666666666666666</v>
      </c>
      <c r="AM177" s="4">
        <f t="shared" si="506"/>
        <v>401.7112644757263</v>
      </c>
      <c r="AN177" s="4">
        <f t="shared" si="507"/>
        <v>0.71875</v>
      </c>
      <c r="AO177" s="4">
        <v>1.25</v>
      </c>
      <c r="AP177" s="4">
        <f t="shared" si="508"/>
        <v>2.5</v>
      </c>
      <c r="AQ177" s="38">
        <f>AL177*AN177*AO177*AP177*AM177</f>
        <v>150.38019340725427</v>
      </c>
      <c r="AR177" s="38">
        <f t="shared" si="510"/>
        <v>150.38019340725427</v>
      </c>
      <c r="AS177" s="38">
        <f t="shared" si="511"/>
        <v>3.613311826901703</v>
      </c>
      <c r="AT177" s="38">
        <f t="shared" si="450"/>
        <v>150.38019340725435</v>
      </c>
      <c r="AU177" s="38">
        <f t="shared" si="400"/>
        <v>0.99999999999999944</v>
      </c>
      <c r="AV177" s="38">
        <f t="shared" si="328"/>
        <v>1.6677728251139579</v>
      </c>
      <c r="AW177" s="4">
        <f t="shared" si="529"/>
        <v>0</v>
      </c>
      <c r="AX177" s="4">
        <f t="shared" si="379"/>
        <v>544.4456379029765</v>
      </c>
      <c r="AY177" s="4">
        <f t="shared" si="380"/>
        <v>1</v>
      </c>
      <c r="AZ177" s="38">
        <f t="shared" si="438"/>
        <v>250.79999999999998</v>
      </c>
      <c r="BA177" s="4">
        <f t="shared" si="381"/>
        <v>0.44000000000000006</v>
      </c>
      <c r="BB177" s="4">
        <f t="shared" si="401"/>
        <v>125.16805215389431</v>
      </c>
      <c r="BC177" s="4">
        <f t="shared" si="402"/>
        <v>375.96805215389429</v>
      </c>
      <c r="BE177" s="4">
        <f t="shared" si="451"/>
        <v>1.4</v>
      </c>
      <c r="BF177" s="4">
        <f t="shared" si="452"/>
        <v>706.00988095068465</v>
      </c>
      <c r="BH177" s="4">
        <f t="shared" si="463"/>
        <v>240.54787084142137</v>
      </c>
      <c r="BI177" s="4">
        <f t="shared" si="464"/>
        <v>641.65616063635548</v>
      </c>
      <c r="BJ177" s="4">
        <f t="shared" si="465"/>
        <v>2.6674780300149092</v>
      </c>
      <c r="BR177" s="4">
        <f t="shared" si="331"/>
        <v>43</v>
      </c>
      <c r="BV177" s="9"/>
      <c r="BX177" s="9"/>
      <c r="BY177" s="9"/>
      <c r="BZ177" s="9">
        <f t="shared" si="383"/>
        <v>43</v>
      </c>
      <c r="CA177" s="9">
        <f t="shared" si="384"/>
        <v>86</v>
      </c>
      <c r="CB177" s="9">
        <f t="shared" si="403"/>
        <v>1.1095694720678451</v>
      </c>
      <c r="CC177" s="9">
        <v>20</v>
      </c>
      <c r="CD177" s="9">
        <f t="shared" si="518"/>
        <v>0.05</v>
      </c>
      <c r="CE177" s="9">
        <f t="shared" si="404"/>
        <v>0.8</v>
      </c>
      <c r="CF177" s="9">
        <f t="shared" si="385"/>
        <v>0.84984840943171969</v>
      </c>
      <c r="CG177" s="9">
        <f t="shared" si="386"/>
        <v>0.84399999999999997</v>
      </c>
      <c r="CH177" s="9">
        <f t="shared" si="405"/>
        <v>1.6230806409213159</v>
      </c>
      <c r="CI177" s="9">
        <f t="shared" si="406"/>
        <v>3.0993852426076569</v>
      </c>
      <c r="CJ177" s="9">
        <v>1</v>
      </c>
      <c r="CK177" s="9">
        <f t="shared" si="407"/>
        <v>384.32377008334947</v>
      </c>
      <c r="CM177" s="4">
        <f t="shared" si="477"/>
        <v>0.77877380307996769</v>
      </c>
      <c r="CN177" s="4">
        <f t="shared" si="478"/>
        <v>1.1277553972230727</v>
      </c>
      <c r="CO177" s="4">
        <f t="shared" si="479"/>
        <v>0.60055816701751907</v>
      </c>
      <c r="CP177" s="4">
        <f t="shared" si="480"/>
        <v>1.1032364714470975</v>
      </c>
      <c r="CQ177" s="4">
        <f t="shared" si="481"/>
        <v>0.84308759932066202</v>
      </c>
      <c r="CR177" s="4">
        <f t="shared" si="482"/>
        <v>0.88558461738800009</v>
      </c>
      <c r="CS177" s="4">
        <f t="shared" si="483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531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362"/>
        <v>2</v>
      </c>
      <c r="DI177" s="4">
        <f t="shared" si="453"/>
        <v>688</v>
      </c>
      <c r="DL177" s="4">
        <f t="shared" si="485"/>
        <v>3.0965438467699878E-5</v>
      </c>
      <c r="DM177" s="4">
        <f t="shared" si="366"/>
        <v>6.8602160076475114</v>
      </c>
      <c r="DN177" s="4">
        <f t="shared" si="486"/>
        <v>0.33649196660752562</v>
      </c>
      <c r="DO177" s="4">
        <f t="shared" si="487"/>
        <v>4.4373907190807582</v>
      </c>
      <c r="DP177" s="4">
        <f t="shared" si="488"/>
        <v>5.7778067568446536</v>
      </c>
      <c r="DQ177" s="4">
        <f t="shared" si="489"/>
        <v>5.4492167000577307</v>
      </c>
      <c r="DR177" s="38">
        <f t="shared" si="513"/>
        <v>502.91333942243739</v>
      </c>
      <c r="DS177" s="4">
        <f t="shared" si="411"/>
        <v>1.0001309164907113</v>
      </c>
      <c r="DT177" s="4">
        <f t="shared" si="490"/>
        <v>2.2360679774997898</v>
      </c>
      <c r="DU177" s="4">
        <f t="shared" si="441"/>
        <v>150.38019340725435</v>
      </c>
      <c r="DY177" s="4">
        <f t="shared" si="387"/>
        <v>0.85</v>
      </c>
      <c r="DZ177" s="4">
        <f t="shared" si="412"/>
        <v>1</v>
      </c>
      <c r="EA177" s="4">
        <f t="shared" si="514"/>
        <v>0.91092644672796108</v>
      </c>
      <c r="EB177" s="4">
        <f t="shared" si="414"/>
        <v>0.91092644672796108</v>
      </c>
      <c r="ED177" s="4">
        <f t="shared" si="515"/>
        <v>478.77977064526334</v>
      </c>
      <c r="EE177" s="25">
        <f t="shared" si="516"/>
        <v>149.48940227818281</v>
      </c>
      <c r="EH177" s="4">
        <f t="shared" si="517"/>
        <v>6.8602160076475114</v>
      </c>
      <c r="EK177" s="4">
        <f t="shared" si="491"/>
        <v>96.150923032490965</v>
      </c>
      <c r="EL177" s="4">
        <f t="shared" si="492"/>
        <v>2.2360679774997898</v>
      </c>
      <c r="EM177" s="4">
        <f t="shared" si="493"/>
        <v>0.11895921965232313</v>
      </c>
      <c r="EP177" s="4">
        <f t="shared" si="332"/>
        <v>0.11895921965232313</v>
      </c>
      <c r="EQ177" s="4">
        <f t="shared" si="333"/>
        <v>0.33593042422883501</v>
      </c>
      <c r="ER177" s="4">
        <f t="shared" si="371"/>
        <v>4.4344271635788264</v>
      </c>
      <c r="ES177" s="4">
        <f t="shared" si="388"/>
        <v>5.7766720378636887</v>
      </c>
      <c r="ET177" s="4">
        <f t="shared" si="372"/>
        <v>419.84907696750906</v>
      </c>
      <c r="EU177" s="4">
        <f t="shared" si="373"/>
        <v>172</v>
      </c>
      <c r="EV177" s="4">
        <f t="shared" si="415"/>
        <v>3.0965438467699878E-5</v>
      </c>
      <c r="EW177" s="4">
        <f t="shared" si="389"/>
        <v>5.449528768248185</v>
      </c>
      <c r="EX177" s="4">
        <f t="shared" si="466"/>
        <v>502.84750839127594</v>
      </c>
      <c r="FG177" s="23">
        <f t="shared" si="494"/>
        <v>0.8</v>
      </c>
      <c r="FH177" s="23">
        <f t="shared" si="494"/>
        <v>1.2</v>
      </c>
      <c r="FI177" s="23">
        <f t="shared" si="495"/>
        <v>1</v>
      </c>
      <c r="FJ177" s="23">
        <f t="shared" si="496"/>
        <v>1.2</v>
      </c>
      <c r="FK177" s="23">
        <f t="shared" si="496"/>
        <v>1</v>
      </c>
      <c r="FL177" s="23">
        <f t="shared" si="496"/>
        <v>1</v>
      </c>
      <c r="FM177" s="23">
        <f t="shared" si="497"/>
        <v>0</v>
      </c>
      <c r="FN177" s="23"/>
      <c r="FX177" s="4">
        <f t="shared" si="416"/>
        <v>1.25</v>
      </c>
      <c r="FY177" s="4">
        <f t="shared" si="469"/>
        <v>0.49190749660801991</v>
      </c>
      <c r="FZ177" s="4">
        <f t="shared" si="417"/>
        <v>0.3</v>
      </c>
      <c r="GA177" s="4">
        <f t="shared" si="418"/>
        <v>507.0677454986681</v>
      </c>
    </row>
    <row r="178" spans="1:183" ht="12" customHeight="1" x14ac:dyDescent="0.3">
      <c r="A178" s="25">
        <v>160</v>
      </c>
      <c r="B178" s="24" t="s">
        <v>128</v>
      </c>
      <c r="C178" s="24">
        <v>2017</v>
      </c>
      <c r="D178" s="24" t="s">
        <v>309</v>
      </c>
      <c r="E178" s="24"/>
      <c r="F178" s="4" t="s">
        <v>167</v>
      </c>
      <c r="G178" s="7">
        <v>606</v>
      </c>
      <c r="H178" s="7">
        <f t="shared" si="528"/>
        <v>688</v>
      </c>
      <c r="I178" s="7">
        <f t="shared" si="455"/>
        <v>688</v>
      </c>
      <c r="J178" s="7">
        <v>44.3</v>
      </c>
      <c r="K178" s="37">
        <v>43</v>
      </c>
      <c r="L178" s="7">
        <f t="shared" si="498"/>
        <v>16</v>
      </c>
      <c r="M178" s="7">
        <f t="shared" si="499"/>
        <v>16</v>
      </c>
      <c r="N178" s="7">
        <f t="shared" si="500"/>
        <v>430</v>
      </c>
      <c r="O178" s="7">
        <f>2*K178</f>
        <v>86</v>
      </c>
      <c r="P178" s="7">
        <f t="shared" si="501"/>
        <v>56</v>
      </c>
      <c r="Q178" s="7">
        <f t="shared" si="524"/>
        <v>172</v>
      </c>
      <c r="R178" s="7">
        <v>2</v>
      </c>
      <c r="S178" s="7">
        <f t="shared" si="525"/>
        <v>358.66666666666663</v>
      </c>
      <c r="T178" s="7">
        <f t="shared" si="475"/>
        <v>2.5</v>
      </c>
      <c r="U178" s="7">
        <f t="shared" si="459"/>
        <v>2.5</v>
      </c>
      <c r="V178" s="7">
        <f t="shared" si="472"/>
        <v>4</v>
      </c>
      <c r="W178" s="7">
        <f t="shared" si="472"/>
        <v>4</v>
      </c>
      <c r="X178" s="7">
        <f t="shared" si="431"/>
        <v>5</v>
      </c>
      <c r="Y178" s="7">
        <f t="shared" si="352"/>
        <v>96.150923032490965</v>
      </c>
      <c r="Z178" s="7">
        <f t="shared" si="461"/>
        <v>606</v>
      </c>
      <c r="AA178" s="7">
        <v>19</v>
      </c>
      <c r="AB178" s="7">
        <f>(628+628)/2</f>
        <v>628</v>
      </c>
      <c r="AC178" s="7"/>
      <c r="AD178" s="4">
        <f t="shared" si="476"/>
        <v>1.0360993957423605</v>
      </c>
      <c r="AE178" s="7">
        <v>15.9</v>
      </c>
      <c r="AF178" s="10">
        <v>2</v>
      </c>
      <c r="AG178" s="7">
        <v>120</v>
      </c>
      <c r="AH178" s="7">
        <v>4</v>
      </c>
      <c r="AI178" s="7">
        <f t="shared" si="530"/>
        <v>2</v>
      </c>
      <c r="AJ178" s="7">
        <f t="shared" si="473"/>
        <v>9.6</v>
      </c>
      <c r="AK178" s="4">
        <f t="shared" si="504"/>
        <v>688</v>
      </c>
      <c r="AL178" s="4">
        <f t="shared" si="505"/>
        <v>0.20833333333333334</v>
      </c>
      <c r="AM178" s="4">
        <f t="shared" si="506"/>
        <v>413.54972110408767</v>
      </c>
      <c r="AN178" s="4">
        <f t="shared" si="507"/>
        <v>0.73124999999999996</v>
      </c>
      <c r="AO178" s="4">
        <v>1.25</v>
      </c>
      <c r="AP178" s="4">
        <f t="shared" si="508"/>
        <v>2.5</v>
      </c>
      <c r="AQ178" s="38">
        <f t="shared" si="509"/>
        <v>196.88036038890891</v>
      </c>
      <c r="AR178" s="38">
        <f t="shared" si="510"/>
        <v>196.88036038890891</v>
      </c>
      <c r="AS178" s="38">
        <f t="shared" si="511"/>
        <v>3.7559840459059588</v>
      </c>
      <c r="AT178" s="38">
        <f t="shared" si="450"/>
        <v>196.88036038890891</v>
      </c>
      <c r="AU178" s="38">
        <f t="shared" si="400"/>
        <v>1</v>
      </c>
      <c r="AV178" s="38">
        <f t="shared" si="328"/>
        <v>2.2500974659174591</v>
      </c>
      <c r="AW178" s="4">
        <f t="shared" si="529"/>
        <v>0</v>
      </c>
      <c r="AX178" s="4">
        <f t="shared" si="379"/>
        <v>560.49048563515748</v>
      </c>
      <c r="AY178" s="4">
        <f t="shared" si="380"/>
        <v>1</v>
      </c>
      <c r="AZ178" s="38">
        <f t="shared" si="438"/>
        <v>443</v>
      </c>
      <c r="BA178" s="4">
        <f t="shared" si="381"/>
        <v>0.44000000000000006</v>
      </c>
      <c r="BB178" s="4">
        <f t="shared" si="401"/>
        <v>128.85676264752271</v>
      </c>
      <c r="BC178" s="4">
        <f t="shared" si="402"/>
        <v>571.85676264752271</v>
      </c>
      <c r="BE178" s="4">
        <f t="shared" si="451"/>
        <v>1.5</v>
      </c>
      <c r="BF178" s="4">
        <f t="shared" si="452"/>
        <v>778.73146847934686</v>
      </c>
      <c r="BH178" s="4">
        <f t="shared" si="463"/>
        <v>424.89117536981524</v>
      </c>
      <c r="BI178" s="4">
        <f t="shared" si="464"/>
        <v>641.65616063635548</v>
      </c>
      <c r="BJ178" s="4">
        <f t="shared" si="465"/>
        <v>1.5101658914847387</v>
      </c>
      <c r="BR178" s="4">
        <f t="shared" si="331"/>
        <v>86</v>
      </c>
      <c r="BV178" s="9"/>
      <c r="BX178" s="9"/>
      <c r="BY178" s="9"/>
      <c r="BZ178" s="9">
        <f t="shared" si="383"/>
        <v>56</v>
      </c>
      <c r="CA178" s="9">
        <f t="shared" si="384"/>
        <v>86</v>
      </c>
      <c r="CB178" s="9">
        <f t="shared" si="403"/>
        <v>1.2170441953580799</v>
      </c>
      <c r="CC178" s="9">
        <v>20</v>
      </c>
      <c r="CD178" s="9">
        <f t="shared" si="518"/>
        <v>0.05</v>
      </c>
      <c r="CE178" s="9">
        <f t="shared" si="404"/>
        <v>0.8</v>
      </c>
      <c r="CF178" s="9">
        <f t="shared" si="385"/>
        <v>0.84984840943171969</v>
      </c>
      <c r="CG178" s="9">
        <f t="shared" si="386"/>
        <v>0.84399999999999997</v>
      </c>
      <c r="CH178" s="9">
        <f t="shared" si="405"/>
        <v>1.6709129311035618</v>
      </c>
      <c r="CI178" s="9">
        <f t="shared" si="406"/>
        <v>3.370305228631195</v>
      </c>
      <c r="CJ178" s="9">
        <v>1</v>
      </c>
      <c r="CK178" s="9">
        <f t="shared" si="407"/>
        <v>417.91784835026817</v>
      </c>
      <c r="CM178" s="4">
        <f t="shared" si="477"/>
        <v>1.1204472084630297</v>
      </c>
      <c r="CN178" s="4">
        <f t="shared" si="478"/>
        <v>1.0981770978672198</v>
      </c>
      <c r="CO178" s="4">
        <f t="shared" si="479"/>
        <v>0.8064397361857164</v>
      </c>
      <c r="CP178" s="4">
        <f t="shared" si="480"/>
        <v>1.5026876752908058</v>
      </c>
      <c r="CQ178" s="4">
        <f t="shared" si="481"/>
        <v>1.0360993957423605</v>
      </c>
      <c r="CR178" s="4">
        <f t="shared" si="482"/>
        <v>1.0971269956239666</v>
      </c>
      <c r="CS178" s="4">
        <f t="shared" si="483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531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362"/>
        <v>2</v>
      </c>
      <c r="DI178" s="4">
        <f t="shared" si="453"/>
        <v>688</v>
      </c>
      <c r="DL178" s="4">
        <f t="shared" si="485"/>
        <v>3.1473982762568646E-5</v>
      </c>
      <c r="DM178" s="4">
        <f t="shared" si="366"/>
        <v>7.8470966796375476</v>
      </c>
      <c r="DN178" s="4">
        <f t="shared" si="486"/>
        <v>0.41567988815124735</v>
      </c>
      <c r="DO178" s="4">
        <f t="shared" si="487"/>
        <v>5.5234777430767332</v>
      </c>
      <c r="DP178" s="4">
        <f t="shared" si="488"/>
        <v>6.7857839718640527</v>
      </c>
      <c r="DQ178" s="4">
        <f t="shared" si="489"/>
        <v>5.9257420668611704</v>
      </c>
      <c r="DR178" s="38">
        <f t="shared" si="513"/>
        <v>606.11945396420276</v>
      </c>
      <c r="DS178" s="4">
        <f t="shared" si="411"/>
        <v>1.0001387353798858</v>
      </c>
      <c r="DT178" s="4">
        <f t="shared" si="490"/>
        <v>2.2360679774997898</v>
      </c>
      <c r="DU178" s="4">
        <f t="shared" si="441"/>
        <v>196.88036038890891</v>
      </c>
      <c r="DY178" s="4">
        <f t="shared" si="387"/>
        <v>0.85</v>
      </c>
      <c r="DZ178" s="4">
        <f t="shared" si="412"/>
        <v>0.9</v>
      </c>
      <c r="EA178" s="4">
        <f t="shared" si="514"/>
        <v>0.91092644672796108</v>
      </c>
      <c r="EB178" s="4">
        <f t="shared" si="414"/>
        <v>0.81983380205516498</v>
      </c>
      <c r="ED178" s="4">
        <f t="shared" si="515"/>
        <v>572.40410864454111</v>
      </c>
      <c r="EE178" s="25">
        <f t="shared" si="516"/>
        <v>195.7434680219389</v>
      </c>
      <c r="EH178" s="4">
        <f t="shared" si="517"/>
        <v>7.8470966796375476</v>
      </c>
      <c r="EK178" s="4">
        <f t="shared" si="491"/>
        <v>96.150923032490965</v>
      </c>
      <c r="EL178" s="4">
        <f t="shared" si="492"/>
        <v>2.2360679774997898</v>
      </c>
      <c r="EM178" s="4">
        <f t="shared" si="493"/>
        <v>0.15128509455784567</v>
      </c>
      <c r="EP178" s="4">
        <f t="shared" si="332"/>
        <v>0.15128509455784567</v>
      </c>
      <c r="EQ178" s="4">
        <f t="shared" si="333"/>
        <v>0.41498619589012259</v>
      </c>
      <c r="ER178" s="4">
        <f t="shared" si="371"/>
        <v>5.5197888335595016</v>
      </c>
      <c r="ES178" s="4">
        <f t="shared" si="388"/>
        <v>6.784284979316852</v>
      </c>
      <c r="ET178" s="4">
        <f t="shared" si="372"/>
        <v>419.84907696750906</v>
      </c>
      <c r="EU178" s="4">
        <f t="shared" si="373"/>
        <v>172</v>
      </c>
      <c r="EV178" s="4">
        <f t="shared" si="415"/>
        <v>3.1473982762568646E-5</v>
      </c>
      <c r="EW178" s="4">
        <f t="shared" si="389"/>
        <v>5.9262083360532509</v>
      </c>
      <c r="EX178" s="4">
        <f t="shared" si="466"/>
        <v>606.03537541617015</v>
      </c>
      <c r="FG178" s="23">
        <f t="shared" si="494"/>
        <v>1.2</v>
      </c>
      <c r="FH178" s="23">
        <f t="shared" si="494"/>
        <v>1.2</v>
      </c>
      <c r="FI178" s="23">
        <f t="shared" si="495"/>
        <v>1</v>
      </c>
      <c r="FJ178" s="23">
        <f t="shared" si="496"/>
        <v>1.6</v>
      </c>
      <c r="FK178" s="23">
        <f t="shared" si="496"/>
        <v>1.2</v>
      </c>
      <c r="FL178" s="23">
        <f t="shared" si="496"/>
        <v>1.2</v>
      </c>
      <c r="FM178" s="23">
        <f t="shared" si="497"/>
        <v>0</v>
      </c>
      <c r="FN178" s="23"/>
      <c r="FX178" s="4">
        <f t="shared" si="416"/>
        <v>1</v>
      </c>
      <c r="FY178" s="4">
        <f t="shared" si="469"/>
        <v>0.49190749660801991</v>
      </c>
      <c r="FZ178" s="4">
        <f t="shared" si="417"/>
        <v>0.3</v>
      </c>
      <c r="GA178" s="4">
        <f t="shared" si="418"/>
        <v>643.10644230659943</v>
      </c>
    </row>
    <row r="179" spans="1:183" ht="12" customHeight="1" x14ac:dyDescent="0.3">
      <c r="A179" s="25">
        <v>161</v>
      </c>
      <c r="B179" s="24" t="s">
        <v>128</v>
      </c>
      <c r="C179" s="24">
        <v>2017</v>
      </c>
      <c r="D179" s="24" t="s">
        <v>309</v>
      </c>
      <c r="E179" s="24"/>
      <c r="F179" s="4" t="s">
        <v>168</v>
      </c>
      <c r="G179" s="7">
        <v>583</v>
      </c>
      <c r="H179" s="7">
        <f t="shared" ref="H179:H181" si="532">7*K179</f>
        <v>401.09999999999997</v>
      </c>
      <c r="I179" s="7">
        <f t="shared" si="455"/>
        <v>401.09999999999997</v>
      </c>
      <c r="J179" s="7">
        <v>51.4</v>
      </c>
      <c r="K179" s="37">
        <v>57.3</v>
      </c>
      <c r="L179" s="7">
        <f t="shared" si="498"/>
        <v>7</v>
      </c>
      <c r="M179" s="7">
        <f t="shared" si="499"/>
        <v>7</v>
      </c>
      <c r="N179" s="7">
        <f t="shared" si="500"/>
        <v>584.46</v>
      </c>
      <c r="O179" s="7">
        <f t="shared" ref="O179:O188" si="533">1*K179</f>
        <v>57.3</v>
      </c>
      <c r="P179" s="7">
        <f t="shared" si="501"/>
        <v>56</v>
      </c>
      <c r="Q179" s="7">
        <f>(7.2-1)*K179</f>
        <v>355.26</v>
      </c>
      <c r="R179" s="7">
        <v>2</v>
      </c>
      <c r="S179" s="7">
        <f>2/3*H179-0.5*186</f>
        <v>174.39999999999998</v>
      </c>
      <c r="T179" s="7">
        <f t="shared" si="475"/>
        <v>1.5</v>
      </c>
      <c r="U179" s="7">
        <f t="shared" si="459"/>
        <v>1.5</v>
      </c>
      <c r="V179" s="7">
        <f t="shared" si="472"/>
        <v>4</v>
      </c>
      <c r="W179" s="7">
        <f t="shared" si="472"/>
        <v>4</v>
      </c>
      <c r="X179" s="7">
        <f t="shared" si="431"/>
        <v>5</v>
      </c>
      <c r="Y179" s="7">
        <f t="shared" si="352"/>
        <v>128.12669511073796</v>
      </c>
      <c r="Z179" s="7">
        <f t="shared" si="461"/>
        <v>583</v>
      </c>
      <c r="AA179" s="7">
        <v>25</v>
      </c>
      <c r="AB179" s="7">
        <f>(338+330)/2</f>
        <v>334</v>
      </c>
      <c r="AC179" s="7"/>
      <c r="AD179" s="4">
        <f t="shared" si="476"/>
        <v>1.2987627920477962</v>
      </c>
      <c r="AE179" s="7"/>
      <c r="AF179" s="7"/>
      <c r="AG179" s="7">
        <v>1</v>
      </c>
      <c r="AH179" s="7"/>
      <c r="AI179" s="7"/>
      <c r="AJ179" s="7">
        <f t="shared" si="473"/>
        <v>2.9166666666666665</v>
      </c>
      <c r="AK179" s="4">
        <f t="shared" si="504"/>
        <v>401.09999999999997</v>
      </c>
      <c r="AL179" s="4">
        <f t="shared" si="505"/>
        <v>0.48571428571428582</v>
      </c>
      <c r="AM179" s="4">
        <f t="shared" si="506"/>
        <v>111.66869259763561</v>
      </c>
      <c r="AN179" s="4">
        <f t="shared" si="507"/>
        <v>0.74285714285714277</v>
      </c>
      <c r="AO179" s="4">
        <v>1.25</v>
      </c>
      <c r="AP179" s="4">
        <f t="shared" si="508"/>
        <v>2.5</v>
      </c>
      <c r="AQ179" s="38">
        <f t="shared" si="509"/>
        <v>125.91214828610957</v>
      </c>
      <c r="AR179" s="38">
        <f t="shared" si="510"/>
        <v>125.91214828610957</v>
      </c>
      <c r="AS179" s="38">
        <f t="shared" si="511"/>
        <v>4.107079761979672</v>
      </c>
      <c r="AT179" s="38">
        <f t="shared" si="450"/>
        <v>125.91214828610951</v>
      </c>
      <c r="AU179" s="38">
        <f t="shared" si="400"/>
        <v>1.0000000000000004</v>
      </c>
      <c r="AV179" s="38">
        <f t="shared" si="328"/>
        <v>2.4493268060141764</v>
      </c>
      <c r="AW179" s="4">
        <f t="shared" si="529"/>
        <v>0</v>
      </c>
      <c r="AX179" s="4">
        <f t="shared" si="379"/>
        <v>264.13502800535673</v>
      </c>
      <c r="AY179" s="4">
        <f t="shared" si="380"/>
        <v>1</v>
      </c>
      <c r="AZ179" s="38">
        <f t="shared" si="438"/>
        <v>308.39999999999998</v>
      </c>
      <c r="BA179" s="4">
        <f t="shared" si="381"/>
        <v>0.44000000000000006</v>
      </c>
      <c r="BB179" s="4">
        <f t="shared" si="401"/>
        <v>60.724642938431515</v>
      </c>
      <c r="BC179" s="4">
        <f t="shared" si="402"/>
        <v>369.12464293843152</v>
      </c>
      <c r="BE179" s="4">
        <f t="shared" si="451"/>
        <v>1</v>
      </c>
      <c r="BF179" s="4">
        <f t="shared" si="452"/>
        <v>365.63834591027239</v>
      </c>
      <c r="BH179" s="4">
        <f t="shared" si="463"/>
        <v>295.79331486241767</v>
      </c>
      <c r="BI179" s="4">
        <f t="shared" si="464"/>
        <v>450.3525339151019</v>
      </c>
      <c r="BJ179" s="4">
        <f t="shared" si="465"/>
        <v>1.5225243820151051</v>
      </c>
      <c r="BR179" s="4">
        <f t="shared" si="331"/>
        <v>57.3</v>
      </c>
      <c r="BV179" s="9"/>
      <c r="BX179" s="9"/>
      <c r="BY179" s="9"/>
      <c r="BZ179" s="9">
        <f t="shared" si="383"/>
        <v>56</v>
      </c>
      <c r="CA179" s="9">
        <f t="shared" si="384"/>
        <v>177.63</v>
      </c>
      <c r="CB179" s="9">
        <f t="shared" si="403"/>
        <v>1.1754818988273255</v>
      </c>
      <c r="CC179" s="9">
        <v>0</v>
      </c>
      <c r="CD179" s="9">
        <f t="shared" si="518"/>
        <v>0</v>
      </c>
      <c r="CE179" s="9">
        <f t="shared" si="404"/>
        <v>0</v>
      </c>
      <c r="CF179" s="9">
        <f t="shared" si="385"/>
        <v>0.77971450958075206</v>
      </c>
      <c r="CG179" s="9">
        <f t="shared" si="386"/>
        <v>0.87549999999999994</v>
      </c>
      <c r="CH179" s="9">
        <f t="shared" si="405"/>
        <v>1.7129369207551171</v>
      </c>
      <c r="CI179" s="9">
        <f t="shared" si="406"/>
        <v>2.013526344180657</v>
      </c>
      <c r="CJ179" s="9">
        <v>1</v>
      </c>
      <c r="CK179" s="9">
        <f t="shared" si="407"/>
        <v>177.19031828789781</v>
      </c>
      <c r="CM179" s="4">
        <f t="shared" si="477"/>
        <v>1.2645047592598222</v>
      </c>
      <c r="CN179" s="4">
        <f t="shared" si="478"/>
        <v>0.90484340828935073</v>
      </c>
      <c r="CO179" s="4">
        <f t="shared" si="479"/>
        <v>0.913470930321853</v>
      </c>
      <c r="CP179" s="4">
        <f t="shared" si="480"/>
        <v>1.8849788364696016</v>
      </c>
      <c r="CQ179" s="4">
        <f t="shared" si="481"/>
        <v>1.2987627920477962</v>
      </c>
      <c r="CR179" s="4">
        <f t="shared" si="482"/>
        <v>1.3493245422364921</v>
      </c>
      <c r="CS179" s="4">
        <f t="shared" si="483"/>
        <v>1.9012666169183468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534">CS179</f>
        <v>1.9012666169183468</v>
      </c>
      <c r="CY179" s="4">
        <f>CQ179</f>
        <v>1.2987627920477962</v>
      </c>
      <c r="CZ179" s="4">
        <f>CR179</f>
        <v>1.3493245422364921</v>
      </c>
      <c r="DH179" s="4">
        <f t="shared" si="362"/>
        <v>0</v>
      </c>
      <c r="DI179" s="4">
        <f t="shared" si="453"/>
        <v>401.09999999999997</v>
      </c>
      <c r="DL179" s="4">
        <f t="shared" si="485"/>
        <v>1.4407634115999734E-5</v>
      </c>
      <c r="DM179" s="4">
        <f t="shared" si="366"/>
        <v>5.8902461748215584</v>
      </c>
      <c r="DN179" s="4">
        <f t="shared" si="486"/>
        <v>0.30531702664295407</v>
      </c>
      <c r="DO179" s="4">
        <f t="shared" si="487"/>
        <v>3.6646614158187836</v>
      </c>
      <c r="DP179" s="4">
        <f t="shared" si="488"/>
        <v>4.9060021731239356</v>
      </c>
      <c r="DQ179" s="4">
        <f t="shared" si="489"/>
        <v>5.6189312114065979</v>
      </c>
      <c r="DR179" s="38">
        <f t="shared" si="513"/>
        <v>257.16782313525681</v>
      </c>
      <c r="DS179" s="4">
        <f t="shared" si="411"/>
        <v>1.0001256742113467</v>
      </c>
      <c r="DT179" s="4">
        <f t="shared" si="490"/>
        <v>2.2360679774997898</v>
      </c>
      <c r="DU179" s="4">
        <f t="shared" si="441"/>
        <v>125.91214828610951</v>
      </c>
      <c r="DY179" s="4">
        <f t="shared" si="387"/>
        <v>1</v>
      </c>
      <c r="DZ179" s="4">
        <f t="shared" si="412"/>
        <v>1</v>
      </c>
      <c r="EA179" s="4">
        <f t="shared" si="514"/>
        <v>1</v>
      </c>
      <c r="EB179" s="4">
        <f t="shared" si="414"/>
        <v>1</v>
      </c>
      <c r="ED179" s="4">
        <f t="shared" si="515"/>
        <v>247.53125696980081</v>
      </c>
      <c r="EE179" s="25">
        <f t="shared" si="516"/>
        <v>123.83608729854809</v>
      </c>
      <c r="EH179" s="4">
        <f t="shared" si="517"/>
        <v>5.8902461748215584</v>
      </c>
      <c r="EK179" s="4">
        <f t="shared" si="491"/>
        <v>128.12669511073796</v>
      </c>
      <c r="EL179" s="4">
        <f t="shared" si="492"/>
        <v>2.2360679774997898</v>
      </c>
      <c r="EM179" s="4">
        <f t="shared" si="493"/>
        <v>0.1196927510980095</v>
      </c>
      <c r="EP179" s="4">
        <f t="shared" si="332"/>
        <v>0.1196927510980095</v>
      </c>
      <c r="EQ179" s="4">
        <f t="shared" si="333"/>
        <v>0.30480750942884544</v>
      </c>
      <c r="ER179" s="4">
        <f t="shared" si="371"/>
        <v>3.6622139352634062</v>
      </c>
      <c r="ES179" s="4">
        <f t="shared" si="388"/>
        <v>4.9050914787398536</v>
      </c>
      <c r="ET179" s="4">
        <f t="shared" si="372"/>
        <v>172.69830488926203</v>
      </c>
      <c r="EU179" s="4">
        <f t="shared" si="373"/>
        <v>100.27499999999998</v>
      </c>
      <c r="EV179" s="4">
        <f t="shared" si="415"/>
        <v>1.4407634115999731E-5</v>
      </c>
      <c r="EW179" s="4">
        <f t="shared" si="389"/>
        <v>5.619010456162763</v>
      </c>
      <c r="EX179" s="4">
        <f t="shared" si="466"/>
        <v>257.13550783310063</v>
      </c>
      <c r="FG179" s="23">
        <f t="shared" si="494"/>
        <v>1.4</v>
      </c>
      <c r="FH179" s="23">
        <f t="shared" si="494"/>
        <v>1</v>
      </c>
      <c r="FI179" s="23">
        <f t="shared" si="495"/>
        <v>2</v>
      </c>
      <c r="FJ179" s="23">
        <f t="shared" si="496"/>
        <v>2</v>
      </c>
      <c r="FK179" s="23">
        <f t="shared" si="496"/>
        <v>1.4</v>
      </c>
      <c r="FL179" s="23">
        <f t="shared" si="496"/>
        <v>1.4</v>
      </c>
      <c r="FM179" s="23">
        <f t="shared" si="497"/>
        <v>0</v>
      </c>
      <c r="FN179" s="23"/>
      <c r="FX179" s="4">
        <f t="shared" si="416"/>
        <v>1.25</v>
      </c>
      <c r="FY179" s="4">
        <f t="shared" si="469"/>
        <v>0.56666666666666665</v>
      </c>
      <c r="FZ179" s="4">
        <f t="shared" si="417"/>
        <v>0</v>
      </c>
      <c r="GA179" s="4">
        <f t="shared" si="418"/>
        <v>175.67236337498068</v>
      </c>
    </row>
    <row r="180" spans="1:183" ht="12" customHeight="1" x14ac:dyDescent="0.3">
      <c r="A180" s="25">
        <v>162</v>
      </c>
      <c r="B180" s="24" t="s">
        <v>128</v>
      </c>
      <c r="C180" s="24">
        <v>2017</v>
      </c>
      <c r="D180" s="24" t="s">
        <v>309</v>
      </c>
      <c r="E180" s="24"/>
      <c r="F180" s="4" t="s">
        <v>169</v>
      </c>
      <c r="G180" s="7">
        <v>583</v>
      </c>
      <c r="H180" s="7">
        <f t="shared" si="532"/>
        <v>401.09999999999997</v>
      </c>
      <c r="I180" s="7">
        <f t="shared" si="455"/>
        <v>401.09999999999997</v>
      </c>
      <c r="J180" s="7">
        <v>51.4</v>
      </c>
      <c r="K180" s="37">
        <v>57.3</v>
      </c>
      <c r="L180" s="7">
        <f t="shared" si="498"/>
        <v>7</v>
      </c>
      <c r="M180" s="7">
        <f t="shared" si="499"/>
        <v>7</v>
      </c>
      <c r="N180" s="7">
        <f t="shared" si="500"/>
        <v>584.46</v>
      </c>
      <c r="O180" s="7">
        <f t="shared" si="533"/>
        <v>57.3</v>
      </c>
      <c r="P180" s="7">
        <f t="shared" si="501"/>
        <v>56</v>
      </c>
      <c r="Q180" s="7">
        <f t="shared" ref="Q180:Q191" si="535">(7.2-1)*K180</f>
        <v>355.26</v>
      </c>
      <c r="R180" s="7">
        <v>2</v>
      </c>
      <c r="S180" s="7">
        <f t="shared" ref="S180:S184" si="536">2/3*H180-0.5*186</f>
        <v>174.39999999999998</v>
      </c>
      <c r="T180" s="7">
        <f t="shared" si="475"/>
        <v>1.5</v>
      </c>
      <c r="U180" s="7">
        <f t="shared" si="459"/>
        <v>1.5</v>
      </c>
      <c r="V180" s="7">
        <f t="shared" si="472"/>
        <v>4</v>
      </c>
      <c r="W180" s="7">
        <f t="shared" si="472"/>
        <v>4</v>
      </c>
      <c r="X180" s="7">
        <f t="shared" si="431"/>
        <v>5</v>
      </c>
      <c r="Y180" s="7">
        <f t="shared" si="352"/>
        <v>128.12669511073796</v>
      </c>
      <c r="Z180" s="7">
        <f t="shared" si="461"/>
        <v>583</v>
      </c>
      <c r="AA180" s="7">
        <v>25</v>
      </c>
      <c r="AB180" s="7">
        <f>(424+424)/2</f>
        <v>424</v>
      </c>
      <c r="AC180" s="7"/>
      <c r="AD180" s="4">
        <f t="shared" si="476"/>
        <v>1.634175742192578</v>
      </c>
      <c r="AE180" s="7">
        <v>15.9</v>
      </c>
      <c r="AF180" s="7">
        <v>2</v>
      </c>
      <c r="AG180" s="7">
        <v>275</v>
      </c>
      <c r="AH180" s="7">
        <v>4</v>
      </c>
      <c r="AI180" s="7">
        <f>AF180</f>
        <v>2</v>
      </c>
      <c r="AJ180" s="7">
        <f t="shared" si="473"/>
        <v>2.9166666666666665</v>
      </c>
      <c r="AK180" s="4">
        <f t="shared" si="504"/>
        <v>401.09999999999997</v>
      </c>
      <c r="AL180" s="4">
        <f t="shared" si="505"/>
        <v>0.48571428571428582</v>
      </c>
      <c r="AM180" s="4">
        <f t="shared" si="506"/>
        <v>111.66869259763561</v>
      </c>
      <c r="AN180" s="4">
        <f t="shared" si="507"/>
        <v>0.74285714285714277</v>
      </c>
      <c r="AO180" s="4">
        <v>1.25</v>
      </c>
      <c r="AP180" s="4">
        <f t="shared" si="508"/>
        <v>2.5</v>
      </c>
      <c r="AQ180" s="38">
        <f t="shared" si="509"/>
        <v>125.91214828610957</v>
      </c>
      <c r="AR180" s="38">
        <f t="shared" si="510"/>
        <v>125.91214828610957</v>
      </c>
      <c r="AS180" s="38">
        <f t="shared" si="511"/>
        <v>4.107079761979672</v>
      </c>
      <c r="AT180" s="38">
        <f t="shared" si="450"/>
        <v>125.91214828610951</v>
      </c>
      <c r="AU180" s="38">
        <f t="shared" si="400"/>
        <v>1.0000000000000004</v>
      </c>
      <c r="AV180" s="38">
        <f t="shared" ref="AV180:AV243" si="537">AZ180/AT180</f>
        <v>2.4493268060141764</v>
      </c>
      <c r="AW180" s="4">
        <f t="shared" si="529"/>
        <v>0</v>
      </c>
      <c r="AX180" s="4">
        <f t="shared" si="379"/>
        <v>264.13502800535673</v>
      </c>
      <c r="AY180" s="4">
        <f t="shared" si="380"/>
        <v>1</v>
      </c>
      <c r="AZ180" s="38">
        <f t="shared" si="438"/>
        <v>308.39999999999998</v>
      </c>
      <c r="BA180" s="4">
        <f t="shared" si="381"/>
        <v>0.44000000000000006</v>
      </c>
      <c r="BB180" s="4">
        <f t="shared" si="401"/>
        <v>60.724642938431515</v>
      </c>
      <c r="BC180" s="4">
        <f t="shared" si="402"/>
        <v>369.12464293843152</v>
      </c>
      <c r="BE180" s="4">
        <f t="shared" si="451"/>
        <v>1.201612194511575</v>
      </c>
      <c r="BF180" s="4">
        <f t="shared" si="452"/>
        <v>439.35549522682476</v>
      </c>
      <c r="BH180" s="4">
        <f t="shared" si="463"/>
        <v>295.79331486241767</v>
      </c>
      <c r="BI180" s="4">
        <f t="shared" si="464"/>
        <v>450.3525339151019</v>
      </c>
      <c r="BJ180" s="4">
        <f t="shared" si="465"/>
        <v>1.5225243820151051</v>
      </c>
      <c r="BR180" s="4">
        <f t="shared" si="331"/>
        <v>57.3</v>
      </c>
      <c r="BV180" s="9"/>
      <c r="BX180" s="9"/>
      <c r="BY180" s="9"/>
      <c r="BZ180" s="9">
        <f t="shared" si="383"/>
        <v>56</v>
      </c>
      <c r="CA180" s="9">
        <f t="shared" si="384"/>
        <v>177.63</v>
      </c>
      <c r="CB180" s="9">
        <f t="shared" si="403"/>
        <v>1.1754818988273255</v>
      </c>
      <c r="CC180" s="9">
        <v>20</v>
      </c>
      <c r="CD180" s="9">
        <f t="shared" si="518"/>
        <v>2.5201524313946871E-2</v>
      </c>
      <c r="CE180" s="9">
        <f t="shared" si="404"/>
        <v>0.30403048627893742</v>
      </c>
      <c r="CF180" s="9">
        <f t="shared" si="385"/>
        <v>0.77971450958075206</v>
      </c>
      <c r="CG180" s="9">
        <f t="shared" si="386"/>
        <v>0.87549999999999994</v>
      </c>
      <c r="CH180" s="9">
        <f t="shared" si="405"/>
        <v>1.7129369207551171</v>
      </c>
      <c r="CI180" s="9">
        <f t="shared" si="406"/>
        <v>2.5343113891629807</v>
      </c>
      <c r="CJ180" s="9">
        <v>1</v>
      </c>
      <c r="CK180" s="9">
        <f t="shared" si="407"/>
        <v>223.01940224634231</v>
      </c>
      <c r="CM180" s="4">
        <f t="shared" si="477"/>
        <v>1.6052395746292354</v>
      </c>
      <c r="CN180" s="4">
        <f t="shared" si="478"/>
        <v>1.1486634883673195</v>
      </c>
      <c r="CO180" s="4">
        <f t="shared" si="479"/>
        <v>0.96504995295689378</v>
      </c>
      <c r="CP180" s="4">
        <f t="shared" si="480"/>
        <v>1.9011798782047624</v>
      </c>
      <c r="CQ180" s="4">
        <f t="shared" si="481"/>
        <v>1.634175742192578</v>
      </c>
      <c r="CR180" s="4">
        <f t="shared" si="482"/>
        <v>1.6978913823018422</v>
      </c>
      <c r="CS180" s="4">
        <f t="shared" si="483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538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362"/>
        <v>2</v>
      </c>
      <c r="DI180" s="4">
        <f t="shared" si="453"/>
        <v>401.09999999999997</v>
      </c>
      <c r="DL180" s="4">
        <f t="shared" si="485"/>
        <v>1.4407634115999734E-5</v>
      </c>
      <c r="DM180" s="4">
        <f t="shared" si="366"/>
        <v>5.99454394365008</v>
      </c>
      <c r="DN180" s="4">
        <f t="shared" si="486"/>
        <v>0.30531702664295407</v>
      </c>
      <c r="DO180" s="4">
        <f t="shared" si="487"/>
        <v>3.7295510652218411</v>
      </c>
      <c r="DP180" s="4">
        <f t="shared" si="488"/>
        <v>4.9928720704657401</v>
      </c>
      <c r="DQ180" s="4">
        <f t="shared" si="489"/>
        <v>5.7135776207412556</v>
      </c>
      <c r="DR180" s="38">
        <f t="shared" si="513"/>
        <v>259.45801853056395</v>
      </c>
      <c r="DS180" s="4">
        <f t="shared" si="411"/>
        <v>1.0001267324911889</v>
      </c>
      <c r="DT180" s="4">
        <f t="shared" si="490"/>
        <v>2.2360679774997898</v>
      </c>
      <c r="DU180" s="4">
        <f t="shared" si="441"/>
        <v>125.91214828610951</v>
      </c>
      <c r="DY180" s="4">
        <f t="shared" si="387"/>
        <v>1</v>
      </c>
      <c r="DZ180" s="4">
        <f t="shared" si="412"/>
        <v>1</v>
      </c>
      <c r="EA180" s="4">
        <f t="shared" si="514"/>
        <v>0.9826012170719004</v>
      </c>
      <c r="EB180" s="4">
        <f t="shared" si="414"/>
        <v>0.9826012170719004</v>
      </c>
      <c r="ED180" s="4">
        <f t="shared" si="515"/>
        <v>249.72151011519978</v>
      </c>
      <c r="EE180" s="25">
        <f t="shared" si="516"/>
        <v>123.83608729854809</v>
      </c>
      <c r="EH180" s="4">
        <f t="shared" si="517"/>
        <v>5.99454394365008</v>
      </c>
      <c r="EK180" s="4">
        <f t="shared" si="491"/>
        <v>128.12669511073796</v>
      </c>
      <c r="EL180" s="4">
        <f t="shared" si="492"/>
        <v>2.2360679774997898</v>
      </c>
      <c r="EM180" s="4">
        <f t="shared" si="493"/>
        <v>0.1196927510980095</v>
      </c>
      <c r="EP180" s="4">
        <f t="shared" si="332"/>
        <v>0.1196927510980095</v>
      </c>
      <c r="EQ180" s="4">
        <f t="shared" si="333"/>
        <v>0.30480750942884544</v>
      </c>
      <c r="ER180" s="4">
        <f t="shared" si="371"/>
        <v>3.7270602474690695</v>
      </c>
      <c r="ES180" s="4">
        <f t="shared" si="388"/>
        <v>4.9919452505430089</v>
      </c>
      <c r="ET180" s="4">
        <f t="shared" si="372"/>
        <v>172.69830488926203</v>
      </c>
      <c r="EU180" s="4">
        <f t="shared" si="373"/>
        <v>100.27499999999998</v>
      </c>
      <c r="EV180" s="4">
        <f t="shared" si="415"/>
        <v>1.4407634115999731E-5</v>
      </c>
      <c r="EW180" s="4">
        <f t="shared" si="389"/>
        <v>5.7136596844338339</v>
      </c>
      <c r="EX180" s="4">
        <f t="shared" si="466"/>
        <v>259.42514093617609</v>
      </c>
      <c r="FG180" s="23">
        <f t="shared" si="494"/>
        <v>1.8</v>
      </c>
      <c r="FH180" s="23">
        <f t="shared" si="494"/>
        <v>1.2</v>
      </c>
      <c r="FI180" s="23">
        <f t="shared" si="495"/>
        <v>1.6</v>
      </c>
      <c r="FJ180" s="23">
        <f t="shared" si="496"/>
        <v>2</v>
      </c>
      <c r="FK180" s="23">
        <f t="shared" si="496"/>
        <v>1.8</v>
      </c>
      <c r="FL180" s="23">
        <f t="shared" si="496"/>
        <v>1.8</v>
      </c>
      <c r="FM180" s="23">
        <f t="shared" si="497"/>
        <v>0</v>
      </c>
      <c r="FN180" s="23"/>
      <c r="FX180" s="4">
        <f t="shared" si="416"/>
        <v>1.25</v>
      </c>
      <c r="FY180" s="4">
        <f t="shared" si="469"/>
        <v>0.37067917575318227</v>
      </c>
      <c r="FZ180" s="4">
        <f t="shared" si="417"/>
        <v>0.3</v>
      </c>
      <c r="GA180" s="4">
        <f t="shared" si="418"/>
        <v>268.55480180909814</v>
      </c>
    </row>
    <row r="181" spans="1:183" ht="12" customHeight="1" x14ac:dyDescent="0.3">
      <c r="A181" s="25">
        <v>163</v>
      </c>
      <c r="B181" s="24" t="s">
        <v>128</v>
      </c>
      <c r="C181" s="24">
        <v>2017</v>
      </c>
      <c r="D181" s="24" t="s">
        <v>309</v>
      </c>
      <c r="E181" s="24"/>
      <c r="F181" s="4" t="s">
        <v>170</v>
      </c>
      <c r="G181" s="7">
        <v>583</v>
      </c>
      <c r="H181" s="7">
        <f t="shared" si="532"/>
        <v>401.09999999999997</v>
      </c>
      <c r="I181" s="7">
        <f t="shared" si="455"/>
        <v>401.09999999999997</v>
      </c>
      <c r="J181" s="7">
        <v>76.900000000000006</v>
      </c>
      <c r="K181" s="37">
        <v>57.3</v>
      </c>
      <c r="L181" s="7">
        <f t="shared" si="498"/>
        <v>7</v>
      </c>
      <c r="M181" s="7">
        <f t="shared" si="499"/>
        <v>7</v>
      </c>
      <c r="N181" s="7">
        <f t="shared" si="500"/>
        <v>584.46</v>
      </c>
      <c r="O181" s="7">
        <f t="shared" si="533"/>
        <v>57.3</v>
      </c>
      <c r="P181" s="7">
        <f t="shared" si="501"/>
        <v>56</v>
      </c>
      <c r="Q181" s="7">
        <f t="shared" si="535"/>
        <v>355.26</v>
      </c>
      <c r="R181" s="7">
        <v>2</v>
      </c>
      <c r="S181" s="7">
        <f t="shared" si="536"/>
        <v>174.39999999999998</v>
      </c>
      <c r="T181" s="7">
        <f t="shared" si="475"/>
        <v>1.5</v>
      </c>
      <c r="U181" s="7">
        <f t="shared" si="459"/>
        <v>1.5</v>
      </c>
      <c r="V181" s="7">
        <f t="shared" si="472"/>
        <v>4</v>
      </c>
      <c r="W181" s="7">
        <f t="shared" si="472"/>
        <v>4</v>
      </c>
      <c r="X181" s="7">
        <f t="shared" si="431"/>
        <v>5</v>
      </c>
      <c r="Y181" s="7">
        <f t="shared" si="352"/>
        <v>128.12669511073796</v>
      </c>
      <c r="Z181" s="7">
        <f t="shared" si="461"/>
        <v>583</v>
      </c>
      <c r="AA181" s="7">
        <v>25</v>
      </c>
      <c r="AB181" s="7">
        <f>(405+388)/2</f>
        <v>396.5</v>
      </c>
      <c r="AC181" s="7"/>
      <c r="AD181" s="4">
        <f t="shared" si="476"/>
        <v>1.2828934748820127</v>
      </c>
      <c r="AE181" s="7"/>
      <c r="AF181" s="7"/>
      <c r="AG181" s="7">
        <v>1</v>
      </c>
      <c r="AH181" s="7"/>
      <c r="AI181" s="7"/>
      <c r="AJ181" s="7">
        <f t="shared" si="473"/>
        <v>2.9166666666666665</v>
      </c>
      <c r="AK181" s="4">
        <f t="shared" si="504"/>
        <v>401.09999999999997</v>
      </c>
      <c r="AL181" s="4">
        <f t="shared" si="505"/>
        <v>0.48571428571428582</v>
      </c>
      <c r="AM181" s="4">
        <f t="shared" si="506"/>
        <v>136.58815600212856</v>
      </c>
      <c r="AN181" s="4">
        <f t="shared" si="507"/>
        <v>0.74285714285714277</v>
      </c>
      <c r="AO181" s="4">
        <v>1.25</v>
      </c>
      <c r="AP181" s="4">
        <f t="shared" si="508"/>
        <v>2.5</v>
      </c>
      <c r="AQ181" s="38">
        <f t="shared" si="509"/>
        <v>154.01011467586949</v>
      </c>
      <c r="AR181" s="38">
        <f t="shared" si="510"/>
        <v>154.01011467586949</v>
      </c>
      <c r="AS181" s="38">
        <f t="shared" si="511"/>
        <v>4.7705058587582929</v>
      </c>
      <c r="AT181" s="38">
        <f t="shared" si="450"/>
        <v>154.01011467586937</v>
      </c>
      <c r="AU181" s="38">
        <f t="shared" si="400"/>
        <v>1.0000000000000007</v>
      </c>
      <c r="AV181" s="38">
        <f t="shared" si="537"/>
        <v>2.9959071257823897</v>
      </c>
      <c r="AW181" s="4">
        <f t="shared" si="529"/>
        <v>0</v>
      </c>
      <c r="AX181" s="4">
        <f t="shared" si="379"/>
        <v>323.0781660605395</v>
      </c>
      <c r="AY181" s="4">
        <f t="shared" si="380"/>
        <v>1</v>
      </c>
      <c r="AZ181" s="38">
        <f t="shared" si="438"/>
        <v>461.40000000000003</v>
      </c>
      <c r="BA181" s="4">
        <f t="shared" si="381"/>
        <v>0.44000000000000006</v>
      </c>
      <c r="BB181" s="4">
        <f t="shared" si="401"/>
        <v>74.275670377318036</v>
      </c>
      <c r="BC181" s="4">
        <f t="shared" si="402"/>
        <v>535.67567037731806</v>
      </c>
      <c r="BE181" s="4">
        <f t="shared" si="451"/>
        <v>1</v>
      </c>
      <c r="BF181" s="4">
        <f t="shared" si="452"/>
        <v>447.2324898752326</v>
      </c>
      <c r="BH181" s="4">
        <f t="shared" si="463"/>
        <v>442.53902554318915</v>
      </c>
      <c r="BI181" s="4">
        <f t="shared" si="464"/>
        <v>450.3525339151019</v>
      </c>
      <c r="BJ181" s="4">
        <f t="shared" si="465"/>
        <v>1.0176560888891599</v>
      </c>
      <c r="BR181" s="4">
        <f t="shared" ref="BR181:BR243" si="539">IF(Q181=0,O181,MIN(Q181/2,O181))</f>
        <v>57.3</v>
      </c>
      <c r="BV181" s="9"/>
      <c r="BX181" s="9"/>
      <c r="BY181" s="9"/>
      <c r="BZ181" s="9">
        <f t="shared" si="383"/>
        <v>56</v>
      </c>
      <c r="CA181" s="9">
        <f t="shared" si="384"/>
        <v>177.63</v>
      </c>
      <c r="CB181" s="9">
        <f t="shared" si="403"/>
        <v>1.1754818988273255</v>
      </c>
      <c r="CC181" s="9">
        <v>0</v>
      </c>
      <c r="CD181" s="9">
        <f t="shared" si="518"/>
        <v>0</v>
      </c>
      <c r="CE181" s="9">
        <f t="shared" si="404"/>
        <v>0</v>
      </c>
      <c r="CF181" s="9">
        <f t="shared" si="385"/>
        <v>0.77971450958075206</v>
      </c>
      <c r="CG181" s="9">
        <f t="shared" si="386"/>
        <v>0.87549999999999994</v>
      </c>
      <c r="CH181" s="9">
        <f t="shared" si="405"/>
        <v>2.0951879162491376</v>
      </c>
      <c r="CI181" s="9">
        <f t="shared" si="406"/>
        <v>2.4628554701926038</v>
      </c>
      <c r="CJ181" s="9">
        <v>1</v>
      </c>
      <c r="CK181" s="9">
        <f t="shared" si="407"/>
        <v>216.73128137694914</v>
      </c>
      <c r="CM181" s="4">
        <f t="shared" si="477"/>
        <v>1.2272571830982304</v>
      </c>
      <c r="CN181" s="4">
        <f t="shared" si="478"/>
        <v>0.74018668744226179</v>
      </c>
      <c r="CO181" s="4">
        <f t="shared" si="479"/>
        <v>0.88656349656218902</v>
      </c>
      <c r="CP181" s="4">
        <f t="shared" si="480"/>
        <v>1.8294544169209646</v>
      </c>
      <c r="CQ181" s="4">
        <f t="shared" si="481"/>
        <v>1.2828934748820127</v>
      </c>
      <c r="CR181" s="4">
        <f t="shared" si="482"/>
        <v>1.3095784928162608</v>
      </c>
      <c r="CS181" s="4">
        <f t="shared" si="483"/>
        <v>2.0407929363744293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540">CS181</f>
        <v>2.0407929363744293</v>
      </c>
      <c r="CY181" s="4">
        <f>CQ181</f>
        <v>1.2828934748820127</v>
      </c>
      <c r="CZ181" s="4">
        <f>CR181</f>
        <v>1.3095784928162608</v>
      </c>
      <c r="DH181" s="4">
        <f t="shared" si="362"/>
        <v>0</v>
      </c>
      <c r="DI181" s="4">
        <f t="shared" si="453"/>
        <v>401.09999999999997</v>
      </c>
      <c r="DL181" s="4">
        <f t="shared" si="485"/>
        <v>1.6837038197690092E-5</v>
      </c>
      <c r="DM181" s="4">
        <f t="shared" si="366"/>
        <v>7.2046859751136969</v>
      </c>
      <c r="DN181" s="4">
        <f t="shared" si="486"/>
        <v>0.24961427250313586</v>
      </c>
      <c r="DO181" s="4">
        <f t="shared" si="487"/>
        <v>4.1354504528865519</v>
      </c>
      <c r="DP181" s="4">
        <f t="shared" si="488"/>
        <v>5.875472052633139</v>
      </c>
      <c r="DQ181" s="4">
        <f t="shared" si="489"/>
        <v>6.7478813180619772</v>
      </c>
      <c r="DR181" s="38">
        <f t="shared" si="513"/>
        <v>309.0669706901939</v>
      </c>
      <c r="DS181" s="4">
        <f t="shared" si="411"/>
        <v>1.0001148015514811</v>
      </c>
      <c r="DT181" s="4">
        <f t="shared" si="490"/>
        <v>2.2360679774997898</v>
      </c>
      <c r="DU181" s="4">
        <f t="shared" si="441"/>
        <v>154.01011467586937</v>
      </c>
      <c r="DY181" s="4">
        <f t="shared" si="387"/>
        <v>1</v>
      </c>
      <c r="DZ181" s="4">
        <f t="shared" si="412"/>
        <v>1</v>
      </c>
      <c r="EA181" s="4">
        <f t="shared" si="514"/>
        <v>1</v>
      </c>
      <c r="EB181" s="4">
        <f t="shared" si="414"/>
        <v>1</v>
      </c>
      <c r="ED181" s="4">
        <f t="shared" si="515"/>
        <v>302.76917510100753</v>
      </c>
      <c r="EE181" s="25">
        <f t="shared" si="516"/>
        <v>151.4707696236199</v>
      </c>
      <c r="EH181" s="4">
        <f t="shared" si="517"/>
        <v>7.2046859751136969</v>
      </c>
      <c r="EK181" s="4">
        <f t="shared" si="491"/>
        <v>128.12669511073796</v>
      </c>
      <c r="EL181" s="4">
        <f t="shared" si="492"/>
        <v>2.2360679774997898</v>
      </c>
      <c r="EM181" s="4">
        <f t="shared" si="493"/>
        <v>0.11969275109800948</v>
      </c>
      <c r="EP181" s="4">
        <f t="shared" ref="EP181:EP243" si="541">EM181</f>
        <v>0.11969275109800948</v>
      </c>
      <c r="EQ181" s="4">
        <f t="shared" ref="EQ181:EQ244" si="542">MIN(0.999, EP181/(0.3*(J181/30)^0.5))</f>
        <v>0.24919771280410444</v>
      </c>
      <c r="ER181" s="4">
        <f t="shared" si="371"/>
        <v>4.1326885511928575</v>
      </c>
      <c r="ES181" s="4">
        <f t="shared" si="388"/>
        <v>5.8745058887859321</v>
      </c>
      <c r="ET181" s="4">
        <f t="shared" si="372"/>
        <v>172.69830488926203</v>
      </c>
      <c r="EU181" s="4">
        <f t="shared" si="373"/>
        <v>100.27499999999998</v>
      </c>
      <c r="EV181" s="4">
        <f t="shared" si="415"/>
        <v>1.6837038197690092E-5</v>
      </c>
      <c r="EW181" s="4">
        <f t="shared" si="389"/>
        <v>6.7480061342721207</v>
      </c>
      <c r="EX181" s="4">
        <f t="shared" si="466"/>
        <v>309.03149339529557</v>
      </c>
      <c r="FG181" s="23">
        <f t="shared" si="494"/>
        <v>1.4</v>
      </c>
      <c r="FH181" s="23">
        <f t="shared" si="494"/>
        <v>0.8</v>
      </c>
      <c r="FI181" s="23">
        <f t="shared" si="495"/>
        <v>2.2000000000000002</v>
      </c>
      <c r="FJ181" s="23">
        <f t="shared" si="496"/>
        <v>2</v>
      </c>
      <c r="FK181" s="23">
        <f t="shared" si="496"/>
        <v>1.4</v>
      </c>
      <c r="FL181" s="23">
        <f t="shared" si="496"/>
        <v>1.4</v>
      </c>
      <c r="FM181" s="23">
        <f t="shared" si="497"/>
        <v>0</v>
      </c>
      <c r="FN181" s="23"/>
      <c r="FX181" s="4">
        <f t="shared" si="416"/>
        <v>1.25</v>
      </c>
      <c r="FY181" s="4">
        <f t="shared" si="469"/>
        <v>0.56666666666666665</v>
      </c>
      <c r="FZ181" s="4">
        <f t="shared" si="417"/>
        <v>0</v>
      </c>
      <c r="GA181" s="4">
        <f t="shared" si="418"/>
        <v>194.28722676020334</v>
      </c>
    </row>
    <row r="182" spans="1:183" ht="12" customHeight="1" x14ac:dyDescent="0.3">
      <c r="A182" s="25">
        <v>164</v>
      </c>
      <c r="B182" s="24" t="s">
        <v>128</v>
      </c>
      <c r="C182" s="24">
        <v>2017</v>
      </c>
      <c r="D182" s="24" t="s">
        <v>309</v>
      </c>
      <c r="E182" s="24"/>
      <c r="F182" s="4" t="s">
        <v>171</v>
      </c>
      <c r="G182" s="7">
        <v>583</v>
      </c>
      <c r="H182" s="7">
        <f>10*K182</f>
        <v>573</v>
      </c>
      <c r="I182" s="7">
        <f t="shared" si="455"/>
        <v>573</v>
      </c>
      <c r="J182" s="7">
        <v>51.4</v>
      </c>
      <c r="K182" s="37">
        <v>57.3</v>
      </c>
      <c r="L182" s="7">
        <f t="shared" si="498"/>
        <v>10</v>
      </c>
      <c r="M182" s="7">
        <f t="shared" si="499"/>
        <v>10</v>
      </c>
      <c r="N182" s="7">
        <f t="shared" si="500"/>
        <v>584.46</v>
      </c>
      <c r="O182" s="7">
        <f t="shared" si="533"/>
        <v>57.3</v>
      </c>
      <c r="P182" s="7">
        <f t="shared" si="501"/>
        <v>56</v>
      </c>
      <c r="Q182" s="7">
        <f t="shared" si="535"/>
        <v>355.26</v>
      </c>
      <c r="R182" s="7">
        <v>2</v>
      </c>
      <c r="S182" s="7">
        <f t="shared" si="536"/>
        <v>289</v>
      </c>
      <c r="T182" s="7">
        <f t="shared" si="475"/>
        <v>1.5</v>
      </c>
      <c r="U182" s="7">
        <f t="shared" si="459"/>
        <v>1.5</v>
      </c>
      <c r="V182" s="7">
        <f t="shared" si="472"/>
        <v>4</v>
      </c>
      <c r="W182" s="7">
        <f t="shared" si="472"/>
        <v>4</v>
      </c>
      <c r="X182" s="7">
        <f t="shared" si="431"/>
        <v>5</v>
      </c>
      <c r="Y182" s="7">
        <f t="shared" si="352"/>
        <v>128.12669511073796</v>
      </c>
      <c r="Z182" s="7">
        <f t="shared" si="461"/>
        <v>583</v>
      </c>
      <c r="AA182" s="7">
        <v>25</v>
      </c>
      <c r="AB182" s="7">
        <f>(354+380)/2</f>
        <v>367</v>
      </c>
      <c r="AC182" s="7"/>
      <c r="AD182" s="4">
        <f t="shared" si="476"/>
        <v>1.0755836101514773</v>
      </c>
      <c r="AE182" s="7"/>
      <c r="AF182" s="7"/>
      <c r="AG182" s="7">
        <v>1</v>
      </c>
      <c r="AH182" s="7"/>
      <c r="AI182" s="7"/>
      <c r="AJ182" s="7">
        <f t="shared" si="473"/>
        <v>4.166666666666667</v>
      </c>
      <c r="AK182" s="4">
        <f t="shared" si="504"/>
        <v>573</v>
      </c>
      <c r="AL182" s="4">
        <f t="shared" si="505"/>
        <v>0.34</v>
      </c>
      <c r="AM182" s="4">
        <f t="shared" si="506"/>
        <v>190.67088022808852</v>
      </c>
      <c r="AN182" s="4">
        <f t="shared" si="507"/>
        <v>0.73</v>
      </c>
      <c r="AO182" s="4">
        <v>1.25</v>
      </c>
      <c r="AP182" s="4">
        <f t="shared" si="508"/>
        <v>2.5</v>
      </c>
      <c r="AQ182" s="38">
        <f t="shared" si="509"/>
        <v>147.88910147691115</v>
      </c>
      <c r="AR182" s="38">
        <f t="shared" si="510"/>
        <v>147.88910147691115</v>
      </c>
      <c r="AS182" s="38">
        <f t="shared" si="511"/>
        <v>4.107079761979672</v>
      </c>
      <c r="AT182" s="38">
        <f t="shared" si="450"/>
        <v>147.88910147691104</v>
      </c>
      <c r="AU182" s="38">
        <f t="shared" si="400"/>
        <v>1.0000000000000007</v>
      </c>
      <c r="AV182" s="38">
        <f t="shared" si="537"/>
        <v>2.0853463637288274</v>
      </c>
      <c r="AW182" s="4">
        <f t="shared" si="529"/>
        <v>0</v>
      </c>
      <c r="AX182" s="4">
        <f t="shared" si="379"/>
        <v>377.33575429336673</v>
      </c>
      <c r="AY182" s="4">
        <f t="shared" si="380"/>
        <v>1</v>
      </c>
      <c r="AZ182" s="38">
        <f t="shared" si="438"/>
        <v>308.39999999999998</v>
      </c>
      <c r="BA182" s="4">
        <f t="shared" si="381"/>
        <v>0.44000000000000006</v>
      </c>
      <c r="BB182" s="4">
        <f t="shared" si="401"/>
        <v>86.749489912045021</v>
      </c>
      <c r="BC182" s="4">
        <f t="shared" si="402"/>
        <v>395.149489912045</v>
      </c>
      <c r="BE182" s="4">
        <f t="shared" si="451"/>
        <v>1</v>
      </c>
      <c r="BF182" s="4">
        <f t="shared" si="452"/>
        <v>430.16275989443812</v>
      </c>
      <c r="BH182" s="4">
        <f t="shared" si="463"/>
        <v>295.79331486241767</v>
      </c>
      <c r="BI182" s="4">
        <f t="shared" si="464"/>
        <v>450.3525339151019</v>
      </c>
      <c r="BJ182" s="4">
        <f t="shared" si="465"/>
        <v>1.5225243820151051</v>
      </c>
      <c r="BR182" s="4">
        <f t="shared" si="539"/>
        <v>57.3</v>
      </c>
      <c r="BV182" s="9"/>
      <c r="BX182" s="9"/>
      <c r="BY182" s="9"/>
      <c r="BZ182" s="9">
        <f t="shared" si="383"/>
        <v>56</v>
      </c>
      <c r="CA182" s="9">
        <f t="shared" si="384"/>
        <v>177.63</v>
      </c>
      <c r="CB182" s="9">
        <f t="shared" si="403"/>
        <v>1.1754818988273255</v>
      </c>
      <c r="CC182" s="9">
        <v>0</v>
      </c>
      <c r="CD182" s="9">
        <f t="shared" si="518"/>
        <v>0</v>
      </c>
      <c r="CE182" s="9">
        <f t="shared" si="404"/>
        <v>0</v>
      </c>
      <c r="CF182" s="9">
        <f t="shared" si="385"/>
        <v>0.77971450958075206</v>
      </c>
      <c r="CG182" s="9">
        <f t="shared" si="386"/>
        <v>0.87549999999999994</v>
      </c>
      <c r="CH182" s="9">
        <f t="shared" si="405"/>
        <v>1.7129369207551171</v>
      </c>
      <c r="CI182" s="9">
        <f t="shared" si="406"/>
        <v>2.013526344180657</v>
      </c>
      <c r="CJ182" s="9">
        <v>1</v>
      </c>
      <c r="CK182" s="9">
        <f t="shared" si="407"/>
        <v>201.35263441806569</v>
      </c>
      <c r="CM182" s="4">
        <f t="shared" si="477"/>
        <v>0.97260860076002498</v>
      </c>
      <c r="CN182" s="4">
        <f t="shared" si="478"/>
        <v>0.92876242882583326</v>
      </c>
      <c r="CO182" s="4">
        <f t="shared" si="479"/>
        <v>0.85316543926317967</v>
      </c>
      <c r="CP182" s="4">
        <f t="shared" si="480"/>
        <v>1.8226729491803071</v>
      </c>
      <c r="CQ182" s="4">
        <f t="shared" si="481"/>
        <v>1.0755836101514773</v>
      </c>
      <c r="CR182" s="4">
        <f t="shared" si="482"/>
        <v>1.1362985571149462</v>
      </c>
      <c r="CS182" s="4">
        <f t="shared" si="483"/>
        <v>1.4623814188213276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540"/>
        <v>1.4623814188213276</v>
      </c>
      <c r="CY182" s="4">
        <f>CQ182</f>
        <v>1.0755836101514773</v>
      </c>
      <c r="CZ182" s="4">
        <f>CR182</f>
        <v>1.1362985571149462</v>
      </c>
      <c r="DH182" s="4">
        <f t="shared" si="362"/>
        <v>0</v>
      </c>
      <c r="DI182" s="4">
        <f t="shared" si="453"/>
        <v>573</v>
      </c>
      <c r="DL182" s="4">
        <f t="shared" si="485"/>
        <v>2.0582334451428195E-5</v>
      </c>
      <c r="DM182" s="4">
        <f t="shared" si="366"/>
        <v>5.8902461748215584</v>
      </c>
      <c r="DN182" s="4">
        <f t="shared" si="486"/>
        <v>0.35860765899432934</v>
      </c>
      <c r="DO182" s="4">
        <f t="shared" si="487"/>
        <v>3.9082404040937933</v>
      </c>
      <c r="DP182" s="4">
        <f t="shared" si="488"/>
        <v>4.9988583382791711</v>
      </c>
      <c r="DQ182" s="4">
        <f t="shared" si="489"/>
        <v>5.3110039929911856</v>
      </c>
      <c r="DR182" s="38">
        <f t="shared" si="513"/>
        <v>341.21010820192248</v>
      </c>
      <c r="DS182" s="4">
        <f t="shared" si="411"/>
        <v>1.0001267681888111</v>
      </c>
      <c r="DT182" s="4">
        <f t="shared" si="490"/>
        <v>2.2360679774997898</v>
      </c>
      <c r="DU182" s="4">
        <f t="shared" si="441"/>
        <v>147.88910147691104</v>
      </c>
      <c r="DY182" s="4">
        <f t="shared" si="387"/>
        <v>1</v>
      </c>
      <c r="DZ182" s="4">
        <f t="shared" si="412"/>
        <v>1</v>
      </c>
      <c r="EA182" s="4">
        <f t="shared" si="514"/>
        <v>1</v>
      </c>
      <c r="EB182" s="4">
        <f t="shared" si="414"/>
        <v>1</v>
      </c>
      <c r="ED182" s="4">
        <f t="shared" si="515"/>
        <v>322.97849689417046</v>
      </c>
      <c r="EE182" s="25">
        <f t="shared" si="516"/>
        <v>146.27111164952376</v>
      </c>
      <c r="EH182" s="4">
        <f t="shared" si="517"/>
        <v>5.8902461748215584</v>
      </c>
      <c r="EK182" s="4">
        <f t="shared" si="491"/>
        <v>128.12669511073796</v>
      </c>
      <c r="EL182" s="4">
        <f t="shared" si="492"/>
        <v>2.2360679774997898</v>
      </c>
      <c r="EM182" s="4">
        <f t="shared" si="493"/>
        <v>0.14058415851154979</v>
      </c>
      <c r="EP182" s="4">
        <f t="shared" si="541"/>
        <v>0.14058415851154979</v>
      </c>
      <c r="EQ182" s="4">
        <f t="shared" si="542"/>
        <v>0.3580092096468499</v>
      </c>
      <c r="ER182" s="4">
        <f t="shared" si="371"/>
        <v>3.9056302468897819</v>
      </c>
      <c r="ES182" s="4">
        <f t="shared" si="388"/>
        <v>4.9978404724563692</v>
      </c>
      <c r="ET182" s="4">
        <f t="shared" si="372"/>
        <v>301.62330488926204</v>
      </c>
      <c r="EU182" s="4">
        <f t="shared" si="373"/>
        <v>143.25</v>
      </c>
      <c r="EV182" s="4">
        <f t="shared" si="415"/>
        <v>2.0582334451428195E-5</v>
      </c>
      <c r="EW182" s="4">
        <f t="shared" si="389"/>
        <v>5.3111568686859387</v>
      </c>
      <c r="EX182" s="4">
        <f t="shared" si="466"/>
        <v>341.16685909711236</v>
      </c>
      <c r="FG182" s="23">
        <f t="shared" si="494"/>
        <v>1</v>
      </c>
      <c r="FH182" s="23">
        <f t="shared" si="494"/>
        <v>1</v>
      </c>
      <c r="FI182" s="23">
        <f t="shared" si="495"/>
        <v>1.6</v>
      </c>
      <c r="FJ182" s="23">
        <f t="shared" si="496"/>
        <v>2</v>
      </c>
      <c r="FK182" s="23">
        <f t="shared" si="496"/>
        <v>1.2</v>
      </c>
      <c r="FL182" s="23">
        <f t="shared" si="496"/>
        <v>1.2</v>
      </c>
      <c r="FM182" s="23">
        <f t="shared" si="497"/>
        <v>0</v>
      </c>
      <c r="FN182" s="23"/>
      <c r="FX182" s="4">
        <f t="shared" si="416"/>
        <v>1.25</v>
      </c>
      <c r="FY182" s="4">
        <f t="shared" si="469"/>
        <v>0.56666666666666665</v>
      </c>
      <c r="FZ182" s="4">
        <f t="shared" si="417"/>
        <v>0</v>
      </c>
      <c r="GA182" s="4">
        <f t="shared" si="418"/>
        <v>250.9605191071152</v>
      </c>
    </row>
    <row r="183" spans="1:183" ht="12" customHeight="1" x14ac:dyDescent="0.3">
      <c r="A183" s="25">
        <v>165</v>
      </c>
      <c r="B183" s="24" t="s">
        <v>128</v>
      </c>
      <c r="C183" s="24">
        <v>2017</v>
      </c>
      <c r="D183" s="24" t="s">
        <v>309</v>
      </c>
      <c r="E183" s="24"/>
      <c r="F183" s="4" t="s">
        <v>172</v>
      </c>
      <c r="G183" s="7">
        <v>583</v>
      </c>
      <c r="H183" s="7">
        <f t="shared" ref="H183:H184" si="543">10*K183</f>
        <v>573</v>
      </c>
      <c r="I183" s="7">
        <f t="shared" si="455"/>
        <v>573</v>
      </c>
      <c r="J183" s="7">
        <v>51.4</v>
      </c>
      <c r="K183" s="37">
        <v>57.3</v>
      </c>
      <c r="L183" s="7">
        <f t="shared" si="498"/>
        <v>10</v>
      </c>
      <c r="M183" s="7">
        <f t="shared" si="499"/>
        <v>10</v>
      </c>
      <c r="N183" s="7">
        <f t="shared" si="500"/>
        <v>584.46</v>
      </c>
      <c r="O183" s="7">
        <f t="shared" si="533"/>
        <v>57.3</v>
      </c>
      <c r="P183" s="7">
        <f t="shared" si="501"/>
        <v>56</v>
      </c>
      <c r="Q183" s="7">
        <f t="shared" si="535"/>
        <v>355.26</v>
      </c>
      <c r="R183" s="7">
        <v>2</v>
      </c>
      <c r="S183" s="7">
        <f t="shared" si="536"/>
        <v>289</v>
      </c>
      <c r="T183" s="7">
        <f t="shared" si="475"/>
        <v>1.5</v>
      </c>
      <c r="U183" s="7">
        <f t="shared" si="459"/>
        <v>1.5</v>
      </c>
      <c r="V183" s="7">
        <f t="shared" si="472"/>
        <v>4</v>
      </c>
      <c r="W183" s="7">
        <f t="shared" si="472"/>
        <v>4</v>
      </c>
      <c r="X183" s="7">
        <f t="shared" si="431"/>
        <v>5</v>
      </c>
      <c r="Y183" s="7">
        <f t="shared" si="352"/>
        <v>128.12669511073796</v>
      </c>
      <c r="Z183" s="7">
        <f t="shared" si="461"/>
        <v>583</v>
      </c>
      <c r="AA183" s="7">
        <v>25</v>
      </c>
      <c r="AB183" s="7">
        <f>(470+475)/2</f>
        <v>472.5</v>
      </c>
      <c r="AC183" s="7"/>
      <c r="AD183" s="4">
        <f t="shared" si="476"/>
        <v>1.3714309698264442</v>
      </c>
      <c r="AE183" s="7">
        <v>15.9</v>
      </c>
      <c r="AF183" s="7">
        <v>2</v>
      </c>
      <c r="AG183" s="7">
        <v>275</v>
      </c>
      <c r="AH183" s="7">
        <v>4</v>
      </c>
      <c r="AI183" s="7">
        <f>AF183</f>
        <v>2</v>
      </c>
      <c r="AJ183" s="7">
        <f t="shared" si="473"/>
        <v>4.166666666666667</v>
      </c>
      <c r="AK183" s="4">
        <f t="shared" si="504"/>
        <v>573</v>
      </c>
      <c r="AL183" s="4">
        <f t="shared" si="505"/>
        <v>0.34</v>
      </c>
      <c r="AM183" s="4">
        <f t="shared" si="506"/>
        <v>190.67088022808852</v>
      </c>
      <c r="AN183" s="4">
        <f t="shared" si="507"/>
        <v>0.73</v>
      </c>
      <c r="AO183" s="4">
        <v>1.25</v>
      </c>
      <c r="AP183" s="4">
        <f t="shared" si="508"/>
        <v>2.5</v>
      </c>
      <c r="AQ183" s="38">
        <f t="shared" si="509"/>
        <v>147.88910147691115</v>
      </c>
      <c r="AR183" s="38">
        <f t="shared" si="510"/>
        <v>147.88910147691115</v>
      </c>
      <c r="AS183" s="38">
        <f t="shared" si="511"/>
        <v>4.107079761979672</v>
      </c>
      <c r="AT183" s="38">
        <f t="shared" si="450"/>
        <v>147.88910147691104</v>
      </c>
      <c r="AU183" s="38">
        <f t="shared" si="400"/>
        <v>1.0000000000000007</v>
      </c>
      <c r="AV183" s="38">
        <f t="shared" si="537"/>
        <v>2.0853463637288274</v>
      </c>
      <c r="AW183" s="4">
        <f t="shared" si="529"/>
        <v>0</v>
      </c>
      <c r="AX183" s="4">
        <f t="shared" si="379"/>
        <v>377.33575429336673</v>
      </c>
      <c r="AY183" s="4">
        <f t="shared" si="380"/>
        <v>1</v>
      </c>
      <c r="AZ183" s="38">
        <f t="shared" si="438"/>
        <v>308.39999999999998</v>
      </c>
      <c r="BA183" s="4">
        <f t="shared" si="381"/>
        <v>0.44000000000000006</v>
      </c>
      <c r="BB183" s="4">
        <f t="shared" si="401"/>
        <v>86.749489912045021</v>
      </c>
      <c r="BC183" s="4">
        <f t="shared" si="402"/>
        <v>395.149489912045</v>
      </c>
      <c r="BE183" s="4">
        <f t="shared" si="451"/>
        <v>1.201612194511575</v>
      </c>
      <c r="BF183" s="4">
        <f t="shared" si="452"/>
        <v>516.88881791391145</v>
      </c>
      <c r="BH183" s="4">
        <f t="shared" si="463"/>
        <v>295.79331486241767</v>
      </c>
      <c r="BI183" s="4">
        <f t="shared" si="464"/>
        <v>450.3525339151019</v>
      </c>
      <c r="BJ183" s="4">
        <f t="shared" si="465"/>
        <v>1.5225243820151051</v>
      </c>
      <c r="BR183" s="4">
        <f t="shared" si="539"/>
        <v>57.3</v>
      </c>
      <c r="BV183" s="9"/>
      <c r="BX183" s="9"/>
      <c r="BY183" s="9"/>
      <c r="BZ183" s="9">
        <f t="shared" si="383"/>
        <v>56</v>
      </c>
      <c r="CA183" s="9">
        <f t="shared" si="384"/>
        <v>177.63</v>
      </c>
      <c r="CB183" s="9">
        <f t="shared" si="403"/>
        <v>1.1754818988273255</v>
      </c>
      <c r="CC183" s="9">
        <v>20</v>
      </c>
      <c r="CD183" s="9">
        <f t="shared" si="518"/>
        <v>2.5201524313946871E-2</v>
      </c>
      <c r="CE183" s="9">
        <f t="shared" si="404"/>
        <v>0.30403048627893742</v>
      </c>
      <c r="CF183" s="9">
        <f t="shared" si="385"/>
        <v>0.77971450958075206</v>
      </c>
      <c r="CG183" s="9">
        <f t="shared" si="386"/>
        <v>0.87549999999999994</v>
      </c>
      <c r="CH183" s="9">
        <f t="shared" si="405"/>
        <v>1.7129369207551171</v>
      </c>
      <c r="CI183" s="9">
        <f t="shared" si="406"/>
        <v>2.5343113891629807</v>
      </c>
      <c r="CJ183" s="9">
        <v>1</v>
      </c>
      <c r="CK183" s="9">
        <f t="shared" si="407"/>
        <v>253.43113891629807</v>
      </c>
      <c r="CM183" s="4">
        <f t="shared" si="477"/>
        <v>1.2522004464825935</v>
      </c>
      <c r="CN183" s="4">
        <f t="shared" si="478"/>
        <v>1.1957499935155482</v>
      </c>
      <c r="CO183" s="4">
        <f t="shared" si="479"/>
        <v>0.91412308338752946</v>
      </c>
      <c r="CP183" s="4">
        <f t="shared" si="480"/>
        <v>1.8644117767866515</v>
      </c>
      <c r="CQ183" s="4">
        <f t="shared" si="481"/>
        <v>1.3714309698264442</v>
      </c>
      <c r="CR183" s="4">
        <f t="shared" si="482"/>
        <v>1.4489090299456451</v>
      </c>
      <c r="CS183" s="4">
        <f t="shared" si="483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544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362"/>
        <v>2</v>
      </c>
      <c r="DI183" s="4">
        <f t="shared" si="453"/>
        <v>573</v>
      </c>
      <c r="DL183" s="4">
        <f t="shared" si="485"/>
        <v>2.0582334451428195E-5</v>
      </c>
      <c r="DM183" s="4">
        <f t="shared" si="366"/>
        <v>5.99454394365008</v>
      </c>
      <c r="DN183" s="4">
        <f t="shared" si="486"/>
        <v>0.35860765899432934</v>
      </c>
      <c r="DO183" s="4">
        <f t="shared" si="487"/>
        <v>3.9774430727250092</v>
      </c>
      <c r="DP183" s="4">
        <f t="shared" si="488"/>
        <v>5.0873724268075948</v>
      </c>
      <c r="DQ183" s="4">
        <f t="shared" si="489"/>
        <v>5.3947883136519268</v>
      </c>
      <c r="DR183" s="38">
        <f t="shared" si="513"/>
        <v>344.53064747385378</v>
      </c>
      <c r="DS183" s="4">
        <f t="shared" si="411"/>
        <v>1.0001276909834023</v>
      </c>
      <c r="DT183" s="4">
        <f t="shared" si="490"/>
        <v>2.2360679774997898</v>
      </c>
      <c r="DU183" s="4">
        <f t="shared" si="441"/>
        <v>147.88910147691104</v>
      </c>
      <c r="DY183" s="4">
        <f t="shared" si="387"/>
        <v>1</v>
      </c>
      <c r="DZ183" s="4">
        <f t="shared" si="412"/>
        <v>1</v>
      </c>
      <c r="EA183" s="4">
        <f t="shared" si="514"/>
        <v>0.9826012170719004</v>
      </c>
      <c r="EB183" s="4">
        <f t="shared" si="414"/>
        <v>0.9826012170719004</v>
      </c>
      <c r="ED183" s="4">
        <f t="shared" si="515"/>
        <v>326.10742995902615</v>
      </c>
      <c r="EE183" s="25">
        <f t="shared" si="516"/>
        <v>146.27111164952376</v>
      </c>
      <c r="EH183" s="4">
        <f t="shared" si="517"/>
        <v>5.99454394365008</v>
      </c>
      <c r="EK183" s="4">
        <f t="shared" si="491"/>
        <v>128.12669511073796</v>
      </c>
      <c r="EL183" s="4">
        <f t="shared" si="492"/>
        <v>2.2360679774997898</v>
      </c>
      <c r="EM183" s="4">
        <f t="shared" si="493"/>
        <v>0.14058415851154979</v>
      </c>
      <c r="EP183" s="4">
        <f t="shared" si="541"/>
        <v>0.14058415851154979</v>
      </c>
      <c r="EQ183" s="4">
        <f t="shared" si="542"/>
        <v>0.3580092096468499</v>
      </c>
      <c r="ER183" s="4">
        <f t="shared" si="371"/>
        <v>3.9747866978308384</v>
      </c>
      <c r="ES183" s="4">
        <f t="shared" si="388"/>
        <v>5.0863365377764023</v>
      </c>
      <c r="ET183" s="4">
        <f t="shared" si="372"/>
        <v>301.62330488926204</v>
      </c>
      <c r="EU183" s="4">
        <f t="shared" si="373"/>
        <v>143.25</v>
      </c>
      <c r="EV183" s="4">
        <f t="shared" si="415"/>
        <v>2.0582334451428195E-5</v>
      </c>
      <c r="EW183" s="4">
        <f t="shared" si="389"/>
        <v>5.3949466033302231</v>
      </c>
      <c r="EX183" s="4">
        <f t="shared" si="466"/>
        <v>344.48665963351618</v>
      </c>
      <c r="FG183" s="23">
        <f t="shared" si="494"/>
        <v>1.4</v>
      </c>
      <c r="FH183" s="23">
        <f t="shared" si="494"/>
        <v>1.2</v>
      </c>
      <c r="FI183" s="23">
        <f t="shared" si="495"/>
        <v>1.4</v>
      </c>
      <c r="FJ183" s="23">
        <f t="shared" si="496"/>
        <v>2</v>
      </c>
      <c r="FK183" s="23">
        <f t="shared" si="496"/>
        <v>1.4</v>
      </c>
      <c r="FL183" s="23">
        <f t="shared" si="496"/>
        <v>1.6</v>
      </c>
      <c r="FM183" s="23">
        <f t="shared" si="497"/>
        <v>0</v>
      </c>
      <c r="FN183" s="23"/>
      <c r="FX183" s="4">
        <f t="shared" si="416"/>
        <v>1.25</v>
      </c>
      <c r="FY183" s="4">
        <f t="shared" si="469"/>
        <v>0.37067917575318227</v>
      </c>
      <c r="FZ183" s="4">
        <f t="shared" si="417"/>
        <v>0.3</v>
      </c>
      <c r="GA183" s="4">
        <f t="shared" si="418"/>
        <v>383.64971687014014</v>
      </c>
    </row>
    <row r="184" spans="1:183" ht="12" customHeight="1" x14ac:dyDescent="0.3">
      <c r="A184" s="25">
        <v>166</v>
      </c>
      <c r="B184" s="24" t="s">
        <v>128</v>
      </c>
      <c r="C184" s="24">
        <v>2017</v>
      </c>
      <c r="D184" s="24" t="s">
        <v>309</v>
      </c>
      <c r="E184" s="24"/>
      <c r="F184" s="4" t="s">
        <v>173</v>
      </c>
      <c r="G184" s="7">
        <v>583</v>
      </c>
      <c r="H184" s="7">
        <f t="shared" si="543"/>
        <v>573</v>
      </c>
      <c r="I184" s="7">
        <f t="shared" si="455"/>
        <v>573</v>
      </c>
      <c r="J184" s="7">
        <v>76.900000000000006</v>
      </c>
      <c r="K184" s="37">
        <v>57.3</v>
      </c>
      <c r="L184" s="7">
        <f t="shared" si="498"/>
        <v>10</v>
      </c>
      <c r="M184" s="7">
        <f t="shared" si="499"/>
        <v>10</v>
      </c>
      <c r="N184" s="7">
        <f t="shared" si="500"/>
        <v>584.46</v>
      </c>
      <c r="O184" s="7">
        <f t="shared" si="533"/>
        <v>57.3</v>
      </c>
      <c r="P184" s="7">
        <f t="shared" si="501"/>
        <v>56</v>
      </c>
      <c r="Q184" s="7">
        <f t="shared" si="535"/>
        <v>355.26</v>
      </c>
      <c r="R184" s="7">
        <v>2</v>
      </c>
      <c r="S184" s="7">
        <f t="shared" si="536"/>
        <v>289</v>
      </c>
      <c r="T184" s="7">
        <f t="shared" si="475"/>
        <v>1.5</v>
      </c>
      <c r="U184" s="7">
        <f t="shared" si="459"/>
        <v>1.5</v>
      </c>
      <c r="V184" s="7">
        <f t="shared" si="472"/>
        <v>4</v>
      </c>
      <c r="W184" s="7">
        <f t="shared" si="472"/>
        <v>4</v>
      </c>
      <c r="X184" s="7">
        <f t="shared" si="431"/>
        <v>5</v>
      </c>
      <c r="Y184" s="7">
        <f t="shared" si="352"/>
        <v>128.12669511073796</v>
      </c>
      <c r="Z184" s="7">
        <f t="shared" si="461"/>
        <v>583</v>
      </c>
      <c r="AA184" s="7">
        <v>25</v>
      </c>
      <c r="AB184" s="7">
        <f>(445+445)/2</f>
        <v>445</v>
      </c>
      <c r="AC184" s="7"/>
      <c r="AD184" s="4">
        <f t="shared" si="476"/>
        <v>1.0895526539249616</v>
      </c>
      <c r="AE184" s="7"/>
      <c r="AF184" s="7"/>
      <c r="AG184" s="7">
        <v>1</v>
      </c>
      <c r="AH184" s="7"/>
      <c r="AI184" s="7"/>
      <c r="AJ184" s="7">
        <f t="shared" si="473"/>
        <v>4.166666666666667</v>
      </c>
      <c r="AK184" s="4">
        <f t="shared" si="504"/>
        <v>573</v>
      </c>
      <c r="AL184" s="4">
        <f t="shared" si="505"/>
        <v>0.34</v>
      </c>
      <c r="AM184" s="4">
        <f t="shared" si="506"/>
        <v>233.220102499962</v>
      </c>
      <c r="AN184" s="4">
        <f t="shared" si="507"/>
        <v>0.73</v>
      </c>
      <c r="AO184" s="4">
        <v>1.25</v>
      </c>
      <c r="AP184" s="4">
        <f t="shared" si="508"/>
        <v>2.5</v>
      </c>
      <c r="AQ184" s="38">
        <f t="shared" si="509"/>
        <v>180.89134200153302</v>
      </c>
      <c r="AR184" s="38">
        <f t="shared" si="510"/>
        <v>180.89134200153302</v>
      </c>
      <c r="AS184" s="38">
        <f t="shared" si="511"/>
        <v>4.7705058587582929</v>
      </c>
      <c r="AT184" s="38">
        <f t="shared" si="450"/>
        <v>180.89134200153285</v>
      </c>
      <c r="AU184" s="38">
        <f t="shared" si="400"/>
        <v>1.0000000000000009</v>
      </c>
      <c r="AV184" s="38">
        <f t="shared" si="537"/>
        <v>2.550702509554549</v>
      </c>
      <c r="AW184" s="4">
        <f t="shared" si="529"/>
        <v>0</v>
      </c>
      <c r="AX184" s="4">
        <f t="shared" si="379"/>
        <v>461.54023722934221</v>
      </c>
      <c r="AY184" s="4">
        <f t="shared" si="380"/>
        <v>1</v>
      </c>
      <c r="AZ184" s="38">
        <f t="shared" si="438"/>
        <v>461.40000000000003</v>
      </c>
      <c r="BA184" s="4">
        <f t="shared" si="381"/>
        <v>0.44000000000000006</v>
      </c>
      <c r="BB184" s="4">
        <f t="shared" si="401"/>
        <v>106.10810053902577</v>
      </c>
      <c r="BC184" s="4">
        <f t="shared" si="402"/>
        <v>567.5081005390258</v>
      </c>
      <c r="BE184" s="4">
        <f t="shared" si="451"/>
        <v>1</v>
      </c>
      <c r="BF184" s="4">
        <f t="shared" si="452"/>
        <v>526.15587044145013</v>
      </c>
      <c r="BH184" s="4">
        <f t="shared" si="463"/>
        <v>442.53902554318915</v>
      </c>
      <c r="BI184" s="4">
        <f t="shared" si="464"/>
        <v>450.3525339151019</v>
      </c>
      <c r="BJ184" s="4">
        <f t="shared" si="465"/>
        <v>1.0176560888891599</v>
      </c>
      <c r="BR184" s="4">
        <f t="shared" si="539"/>
        <v>57.3</v>
      </c>
      <c r="BV184" s="9"/>
      <c r="BX184" s="9"/>
      <c r="BY184" s="9"/>
      <c r="BZ184" s="9">
        <f t="shared" si="383"/>
        <v>56</v>
      </c>
      <c r="CA184" s="9">
        <f t="shared" si="384"/>
        <v>177.63</v>
      </c>
      <c r="CB184" s="9">
        <f t="shared" si="403"/>
        <v>1.1754818988273255</v>
      </c>
      <c r="CC184" s="9">
        <v>0</v>
      </c>
      <c r="CD184" s="9">
        <f t="shared" si="518"/>
        <v>0</v>
      </c>
      <c r="CE184" s="9">
        <f t="shared" si="404"/>
        <v>0</v>
      </c>
      <c r="CF184" s="9">
        <f t="shared" si="385"/>
        <v>0.77971450958075206</v>
      </c>
      <c r="CG184" s="9">
        <f t="shared" si="386"/>
        <v>0.87549999999999994</v>
      </c>
      <c r="CH184" s="9">
        <f t="shared" si="405"/>
        <v>2.0951879162491376</v>
      </c>
      <c r="CI184" s="9">
        <f t="shared" si="406"/>
        <v>2.4628554701926038</v>
      </c>
      <c r="CJ184" s="9">
        <v>1</v>
      </c>
      <c r="CK184" s="9">
        <f t="shared" si="407"/>
        <v>246.28554701926038</v>
      </c>
      <c r="CM184" s="4">
        <f t="shared" si="477"/>
        <v>0.96416295721336365</v>
      </c>
      <c r="CN184" s="4">
        <f t="shared" si="478"/>
        <v>0.78412977643373516</v>
      </c>
      <c r="CO184" s="4">
        <f t="shared" si="479"/>
        <v>0.8457569800117225</v>
      </c>
      <c r="CP184" s="4">
        <f t="shared" si="480"/>
        <v>1.8068457746941986</v>
      </c>
      <c r="CQ184" s="4">
        <f t="shared" si="481"/>
        <v>1.0895526539249616</v>
      </c>
      <c r="CR184" s="4">
        <f t="shared" si="482"/>
        <v>1.1264315123772384</v>
      </c>
      <c r="CS184" s="4">
        <f t="shared" si="483"/>
        <v>1.6032963421957998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545">CS184</f>
        <v>1.6032963421957998</v>
      </c>
      <c r="CY184" s="4">
        <f>CQ184</f>
        <v>1.0895526539249616</v>
      </c>
      <c r="CZ184" s="4">
        <f>CR184</f>
        <v>1.1264315123772384</v>
      </c>
      <c r="DH184" s="4">
        <f t="shared" si="362"/>
        <v>0</v>
      </c>
      <c r="DI184" s="4">
        <f t="shared" si="453"/>
        <v>573</v>
      </c>
      <c r="DL184" s="4">
        <f t="shared" si="485"/>
        <v>2.4052911710985851E-5</v>
      </c>
      <c r="DM184" s="4">
        <f t="shared" si="366"/>
        <v>7.2046859751136969</v>
      </c>
      <c r="DN184" s="4">
        <f t="shared" si="486"/>
        <v>0.2931824369513521</v>
      </c>
      <c r="DO184" s="4">
        <f t="shared" si="487"/>
        <v>4.4103213681169242</v>
      </c>
      <c r="DP184" s="4">
        <f t="shared" si="488"/>
        <v>5.9741190834231039</v>
      </c>
      <c r="DQ184" s="4">
        <f t="shared" si="489"/>
        <v>6.2296619398373565</v>
      </c>
      <c r="DR184" s="38">
        <f t="shared" si="513"/>
        <v>408.42450192466561</v>
      </c>
      <c r="DS184" s="4">
        <f t="shared" si="411"/>
        <v>1.00011450770191</v>
      </c>
      <c r="DT184" s="4">
        <f t="shared" si="490"/>
        <v>2.2360679774997898</v>
      </c>
      <c r="DU184" s="4">
        <f t="shared" si="441"/>
        <v>180.89134200153285</v>
      </c>
      <c r="DY184" s="4">
        <f t="shared" si="387"/>
        <v>1</v>
      </c>
      <c r="DZ184" s="4">
        <f t="shared" si="412"/>
        <v>1</v>
      </c>
      <c r="EA184" s="4">
        <f t="shared" si="514"/>
        <v>1</v>
      </c>
      <c r="EB184" s="4">
        <f t="shared" si="414"/>
        <v>1</v>
      </c>
      <c r="ED184" s="4">
        <f t="shared" si="515"/>
        <v>395.05286838155405</v>
      </c>
      <c r="EE184" s="25">
        <f t="shared" si="516"/>
        <v>178.9122891281431</v>
      </c>
      <c r="EH184" s="4">
        <f t="shared" si="517"/>
        <v>7.2046859751136969</v>
      </c>
      <c r="EK184" s="4">
        <f t="shared" si="491"/>
        <v>128.12669511073796</v>
      </c>
      <c r="EL184" s="4">
        <f t="shared" si="492"/>
        <v>2.2360679774997898</v>
      </c>
      <c r="EM184" s="4">
        <f t="shared" si="493"/>
        <v>0.14058415851154979</v>
      </c>
      <c r="EP184" s="4">
        <f t="shared" si="541"/>
        <v>0.14058415851154979</v>
      </c>
      <c r="EQ184" s="4">
        <f t="shared" si="542"/>
        <v>0.2926931701058586</v>
      </c>
      <c r="ER184" s="4">
        <f t="shared" si="371"/>
        <v>4.4073758911501191</v>
      </c>
      <c r="ES184" s="4">
        <f t="shared" si="388"/>
        <v>5.9730363357603444</v>
      </c>
      <c r="ET184" s="4">
        <f t="shared" si="372"/>
        <v>301.62330488926204</v>
      </c>
      <c r="EU184" s="4">
        <f t="shared" si="373"/>
        <v>143.25</v>
      </c>
      <c r="EV184" s="4">
        <f t="shared" si="415"/>
        <v>2.4052911710985851E-5</v>
      </c>
      <c r="EW184" s="4">
        <f t="shared" si="389"/>
        <v>6.2299000189181877</v>
      </c>
      <c r="EX184" s="4">
        <f t="shared" si="466"/>
        <v>408.377739528201</v>
      </c>
      <c r="FG184" s="23">
        <f t="shared" si="494"/>
        <v>1</v>
      </c>
      <c r="FH184" s="23">
        <f t="shared" si="494"/>
        <v>0.8</v>
      </c>
      <c r="FI184" s="23">
        <f t="shared" si="495"/>
        <v>1.8</v>
      </c>
      <c r="FJ184" s="23">
        <f t="shared" si="496"/>
        <v>2</v>
      </c>
      <c r="FK184" s="23">
        <f t="shared" si="496"/>
        <v>1.2</v>
      </c>
      <c r="FL184" s="23">
        <f t="shared" si="496"/>
        <v>1.2</v>
      </c>
      <c r="FM184" s="23">
        <f t="shared" si="497"/>
        <v>0</v>
      </c>
      <c r="FN184" s="23"/>
      <c r="FX184" s="4">
        <f t="shared" si="416"/>
        <v>1.25</v>
      </c>
      <c r="FY184" s="4">
        <f t="shared" si="469"/>
        <v>0.56666666666666665</v>
      </c>
      <c r="FZ184" s="4">
        <f t="shared" si="417"/>
        <v>0</v>
      </c>
      <c r="GA184" s="4">
        <f t="shared" si="418"/>
        <v>277.55318108600483</v>
      </c>
    </row>
    <row r="185" spans="1:183" ht="12" customHeight="1" x14ac:dyDescent="0.3">
      <c r="A185" s="25">
        <v>167</v>
      </c>
      <c r="B185" s="24" t="s">
        <v>128</v>
      </c>
      <c r="C185" s="24">
        <v>2017</v>
      </c>
      <c r="D185" s="24" t="s">
        <v>309</v>
      </c>
      <c r="E185" s="24"/>
      <c r="F185" s="4" t="s">
        <v>174</v>
      </c>
      <c r="G185" s="7">
        <v>583</v>
      </c>
      <c r="H185" s="7">
        <f t="shared" ref="H185:H189" si="546">13*K185</f>
        <v>744.9</v>
      </c>
      <c r="I185" s="7">
        <f t="shared" si="455"/>
        <v>744.9</v>
      </c>
      <c r="J185" s="7">
        <v>40.5</v>
      </c>
      <c r="K185" s="37">
        <v>57.3</v>
      </c>
      <c r="L185" s="7">
        <f t="shared" si="498"/>
        <v>13</v>
      </c>
      <c r="M185" s="7">
        <f t="shared" si="499"/>
        <v>13</v>
      </c>
      <c r="N185" s="7">
        <f t="shared" si="500"/>
        <v>584.46</v>
      </c>
      <c r="O185" s="7">
        <f t="shared" si="533"/>
        <v>57.3</v>
      </c>
      <c r="P185" s="7">
        <f t="shared" si="501"/>
        <v>56</v>
      </c>
      <c r="Q185" s="7">
        <f t="shared" si="535"/>
        <v>355.26</v>
      </c>
      <c r="R185" s="7">
        <v>2</v>
      </c>
      <c r="S185" s="7">
        <f>2/3*H185-0.5*240</f>
        <v>376.59999999999997</v>
      </c>
      <c r="T185" s="7">
        <f t="shared" si="475"/>
        <v>1.5</v>
      </c>
      <c r="U185" s="7">
        <f t="shared" si="459"/>
        <v>1.5</v>
      </c>
      <c r="V185" s="7">
        <f t="shared" si="472"/>
        <v>4</v>
      </c>
      <c r="W185" s="7">
        <f t="shared" si="472"/>
        <v>4</v>
      </c>
      <c r="X185" s="7">
        <f t="shared" si="431"/>
        <v>5</v>
      </c>
      <c r="Y185" s="7">
        <f t="shared" si="352"/>
        <v>128.12669511073796</v>
      </c>
      <c r="Z185" s="7">
        <f t="shared" si="461"/>
        <v>583</v>
      </c>
      <c r="AA185" s="7">
        <v>25</v>
      </c>
      <c r="AB185" s="7">
        <f>(439+439)/2</f>
        <v>439</v>
      </c>
      <c r="AC185" s="7"/>
      <c r="AD185" s="4">
        <f t="shared" si="476"/>
        <v>1.1605850652682879</v>
      </c>
      <c r="AE185" s="7"/>
      <c r="AF185" s="7"/>
      <c r="AG185" s="7">
        <v>1</v>
      </c>
      <c r="AH185" s="7"/>
      <c r="AI185" s="7"/>
      <c r="AJ185" s="7">
        <f t="shared" si="473"/>
        <v>5.4166666666666661</v>
      </c>
      <c r="AK185" s="4">
        <f t="shared" si="504"/>
        <v>744.9</v>
      </c>
      <c r="AL185" s="4">
        <f t="shared" si="505"/>
        <v>0.2615384615384615</v>
      </c>
      <c r="AM185" s="4">
        <f t="shared" si="506"/>
        <v>250.86804884585459</v>
      </c>
      <c r="AN185" s="4">
        <f t="shared" si="507"/>
        <v>0.72307692307692306</v>
      </c>
      <c r="AO185" s="4">
        <v>1.25</v>
      </c>
      <c r="AP185" s="4">
        <f t="shared" si="508"/>
        <v>2.5</v>
      </c>
      <c r="AQ185" s="38">
        <f t="shared" si="509"/>
        <v>148.25707916260191</v>
      </c>
      <c r="AR185" s="38">
        <f t="shared" si="510"/>
        <v>148.25707916260191</v>
      </c>
      <c r="AS185" s="38">
        <f t="shared" si="511"/>
        <v>3.538000882182009</v>
      </c>
      <c r="AT185" s="38">
        <f t="shared" si="450"/>
        <v>148.25707916260185</v>
      </c>
      <c r="AU185" s="38">
        <f t="shared" si="400"/>
        <v>1.0000000000000004</v>
      </c>
      <c r="AV185" s="38">
        <f t="shared" si="537"/>
        <v>1.6390448359871455</v>
      </c>
      <c r="AW185" s="4">
        <f t="shared" si="529"/>
        <v>0</v>
      </c>
      <c r="AX185" s="4">
        <f t="shared" si="379"/>
        <v>435.4289126254003</v>
      </c>
      <c r="AY185" s="4">
        <f t="shared" si="380"/>
        <v>1</v>
      </c>
      <c r="AZ185" s="38">
        <f t="shared" si="438"/>
        <v>243</v>
      </c>
      <c r="BA185" s="4">
        <f t="shared" si="381"/>
        <v>0.44000000000000006</v>
      </c>
      <c r="BB185" s="4">
        <f t="shared" si="401"/>
        <v>100.10510701257954</v>
      </c>
      <c r="BC185" s="4">
        <f t="shared" si="402"/>
        <v>343.10510701257954</v>
      </c>
      <c r="BE185" s="4">
        <f t="shared" si="451"/>
        <v>1</v>
      </c>
      <c r="BF185" s="4">
        <f t="shared" si="452"/>
        <v>439.11331111684598</v>
      </c>
      <c r="BH185" s="4">
        <f t="shared" si="463"/>
        <v>233.06671696357813</v>
      </c>
      <c r="BI185" s="4">
        <f t="shared" si="464"/>
        <v>450.3525339151019</v>
      </c>
      <c r="BJ185" s="4">
        <f t="shared" si="465"/>
        <v>1.9322902033475655</v>
      </c>
      <c r="BR185" s="4">
        <f t="shared" si="539"/>
        <v>57.3</v>
      </c>
      <c r="BV185" s="9"/>
      <c r="BX185" s="9"/>
      <c r="BY185" s="9"/>
      <c r="BZ185" s="9">
        <f t="shared" si="383"/>
        <v>56</v>
      </c>
      <c r="CA185" s="9">
        <f t="shared" si="384"/>
        <v>177.63</v>
      </c>
      <c r="CB185" s="9">
        <f t="shared" si="403"/>
        <v>1.1754818988273255</v>
      </c>
      <c r="CC185" s="9">
        <v>0</v>
      </c>
      <c r="CD185" s="9">
        <f t="shared" si="518"/>
        <v>0</v>
      </c>
      <c r="CE185" s="9">
        <f t="shared" si="404"/>
        <v>0</v>
      </c>
      <c r="CF185" s="9">
        <f t="shared" si="385"/>
        <v>0.77971450958075206</v>
      </c>
      <c r="CG185" s="9">
        <f t="shared" si="386"/>
        <v>0.87549999999999994</v>
      </c>
      <c r="CH185" s="9">
        <f t="shared" si="405"/>
        <v>1.5205031436526735</v>
      </c>
      <c r="CI185" s="9">
        <f t="shared" si="406"/>
        <v>1.7873239224737623</v>
      </c>
      <c r="CJ185" s="9">
        <v>1</v>
      </c>
      <c r="CK185" s="9">
        <f t="shared" si="407"/>
        <v>200.18027931706138</v>
      </c>
      <c r="CM185" s="4">
        <f t="shared" si="477"/>
        <v>1.0082013097225628</v>
      </c>
      <c r="CN185" s="4">
        <f t="shared" si="478"/>
        <v>1.2794913017249394</v>
      </c>
      <c r="CO185" s="4">
        <f t="shared" si="479"/>
        <v>0.99974195472107696</v>
      </c>
      <c r="CP185" s="4">
        <f t="shared" si="480"/>
        <v>2.1930232163612731</v>
      </c>
      <c r="CQ185" s="4">
        <f t="shared" si="481"/>
        <v>1.1605850652682879</v>
      </c>
      <c r="CR185" s="4">
        <f t="shared" si="482"/>
        <v>1.250702910301895</v>
      </c>
      <c r="CS185" s="4">
        <f t="shared" si="483"/>
        <v>1.4282123621188205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545"/>
        <v>1.4282123621188205</v>
      </c>
      <c r="CY185" s="4">
        <f>CQ185</f>
        <v>1.1605850652682879</v>
      </c>
      <c r="CZ185" s="4">
        <f>CR185</f>
        <v>1.250702910301895</v>
      </c>
      <c r="DH185" s="4">
        <f t="shared" si="362"/>
        <v>0</v>
      </c>
      <c r="DI185" s="4">
        <f t="shared" si="453"/>
        <v>744.9</v>
      </c>
      <c r="DL185" s="4">
        <f t="shared" si="485"/>
        <v>2.4945063339588324E-5</v>
      </c>
      <c r="DM185" s="4">
        <f t="shared" si="366"/>
        <v>5.2285275173800132</v>
      </c>
      <c r="DN185" s="4">
        <f t="shared" si="486"/>
        <v>0.45625425325155472</v>
      </c>
      <c r="DO185" s="4">
        <f t="shared" si="487"/>
        <v>3.819989493522661</v>
      </c>
      <c r="DP185" s="4">
        <f t="shared" si="488"/>
        <v>4.5788746518647905</v>
      </c>
      <c r="DQ185" s="4">
        <f t="shared" si="489"/>
        <v>4.4778446177325462</v>
      </c>
      <c r="DR185" s="38">
        <f t="shared" si="513"/>
        <v>378.25749541117705</v>
      </c>
      <c r="DS185" s="4">
        <f t="shared" si="411"/>
        <v>1.0001379395280499</v>
      </c>
      <c r="DT185" s="4">
        <f t="shared" si="490"/>
        <v>2.2360679774997898</v>
      </c>
      <c r="DU185" s="4">
        <f t="shared" si="441"/>
        <v>148.25707916260185</v>
      </c>
      <c r="DY185" s="4">
        <f t="shared" si="387"/>
        <v>1</v>
      </c>
      <c r="DZ185" s="4">
        <f t="shared" si="412"/>
        <v>1</v>
      </c>
      <c r="EA185" s="4">
        <f t="shared" si="514"/>
        <v>1</v>
      </c>
      <c r="EB185" s="4">
        <f t="shared" si="414"/>
        <v>1</v>
      </c>
      <c r="ED185" s="4">
        <f t="shared" si="515"/>
        <v>351.00262131318948</v>
      </c>
      <c r="EE185" s="25">
        <f t="shared" si="516"/>
        <v>147.09004813536899</v>
      </c>
      <c r="EH185" s="4">
        <f t="shared" si="517"/>
        <v>5.2285275173800132</v>
      </c>
      <c r="EK185" s="4">
        <f t="shared" si="491"/>
        <v>128.12669511073796</v>
      </c>
      <c r="EL185" s="4">
        <f t="shared" si="492"/>
        <v>2.2360679774997898</v>
      </c>
      <c r="EM185" s="4">
        <f t="shared" si="493"/>
        <v>0.15877045999106873</v>
      </c>
      <c r="EP185" s="4">
        <f t="shared" si="541"/>
        <v>0.15877045999106873</v>
      </c>
      <c r="EQ185" s="4">
        <f t="shared" si="542"/>
        <v>0.45549284993711125</v>
      </c>
      <c r="ER185" s="4">
        <f t="shared" si="371"/>
        <v>3.8174382755665395</v>
      </c>
      <c r="ES185" s="4">
        <f t="shared" si="388"/>
        <v>4.5778116928835146</v>
      </c>
      <c r="ET185" s="4">
        <f t="shared" si="372"/>
        <v>430.548304889262</v>
      </c>
      <c r="EU185" s="4">
        <f t="shared" si="373"/>
        <v>186.22500000000002</v>
      </c>
      <c r="EV185" s="4">
        <f t="shared" si="415"/>
        <v>2.4945063339588331E-5</v>
      </c>
      <c r="EW185" s="4">
        <f t="shared" si="389"/>
        <v>4.4780444122745671</v>
      </c>
      <c r="EX185" s="4">
        <f t="shared" si="466"/>
        <v>378.20532594701001</v>
      </c>
      <c r="FG185" s="23">
        <f t="shared" si="494"/>
        <v>1.2</v>
      </c>
      <c r="FH185" s="23">
        <f t="shared" si="494"/>
        <v>1.4</v>
      </c>
      <c r="FI185" s="23">
        <f t="shared" si="495"/>
        <v>1.6</v>
      </c>
      <c r="FJ185" s="23">
        <f t="shared" si="496"/>
        <v>2.2000000000000002</v>
      </c>
      <c r="FK185" s="23">
        <f t="shared" si="496"/>
        <v>1.2</v>
      </c>
      <c r="FL185" s="23">
        <f t="shared" si="496"/>
        <v>1.4</v>
      </c>
      <c r="FM185" s="23">
        <f t="shared" si="497"/>
        <v>0</v>
      </c>
      <c r="FN185" s="23"/>
      <c r="FX185" s="4">
        <f t="shared" si="416"/>
        <v>1.25</v>
      </c>
      <c r="FY185" s="4">
        <f t="shared" si="469"/>
        <v>0.56666666666666665</v>
      </c>
      <c r="FZ185" s="4">
        <f t="shared" si="417"/>
        <v>0</v>
      </c>
      <c r="GA185" s="4">
        <f t="shared" si="418"/>
        <v>307.37725820320077</v>
      </c>
    </row>
    <row r="186" spans="1:183" ht="12" customHeight="1" x14ac:dyDescent="0.3">
      <c r="A186" s="25">
        <v>168</v>
      </c>
      <c r="B186" s="24" t="s">
        <v>128</v>
      </c>
      <c r="C186" s="24">
        <v>2017</v>
      </c>
      <c r="D186" s="24" t="s">
        <v>309</v>
      </c>
      <c r="E186" s="24"/>
      <c r="F186" s="4" t="s">
        <v>175</v>
      </c>
      <c r="G186" s="7">
        <v>583</v>
      </c>
      <c r="H186" s="7">
        <f t="shared" si="546"/>
        <v>744.9</v>
      </c>
      <c r="I186" s="7">
        <f t="shared" si="455"/>
        <v>744.9</v>
      </c>
      <c r="J186" s="7">
        <v>40.5</v>
      </c>
      <c r="K186" s="37">
        <v>57.3</v>
      </c>
      <c r="L186" s="7">
        <f t="shared" si="498"/>
        <v>13</v>
      </c>
      <c r="M186" s="7">
        <f t="shared" si="499"/>
        <v>13</v>
      </c>
      <c r="N186" s="7">
        <f t="shared" si="500"/>
        <v>584.46</v>
      </c>
      <c r="O186" s="7">
        <f t="shared" si="533"/>
        <v>57.3</v>
      </c>
      <c r="P186" s="7">
        <f t="shared" si="501"/>
        <v>56</v>
      </c>
      <c r="Q186" s="7">
        <f t="shared" si="535"/>
        <v>355.26</v>
      </c>
      <c r="R186" s="7">
        <v>2</v>
      </c>
      <c r="S186" s="7">
        <f t="shared" ref="S186:S191" si="547">2/3*H186-0.5*240</f>
        <v>376.59999999999997</v>
      </c>
      <c r="T186" s="7">
        <f t="shared" si="475"/>
        <v>1.5</v>
      </c>
      <c r="U186" s="7">
        <f t="shared" si="459"/>
        <v>1.5</v>
      </c>
      <c r="V186" s="7">
        <f t="shared" si="472"/>
        <v>4</v>
      </c>
      <c r="W186" s="7">
        <f t="shared" si="472"/>
        <v>4</v>
      </c>
      <c r="X186" s="7">
        <f t="shared" si="431"/>
        <v>5</v>
      </c>
      <c r="Y186" s="7">
        <f t="shared" si="352"/>
        <v>128.12669511073796</v>
      </c>
      <c r="Z186" s="7">
        <f t="shared" si="461"/>
        <v>583</v>
      </c>
      <c r="AA186" s="7">
        <v>25</v>
      </c>
      <c r="AB186" s="7">
        <f>(586+586)/2</f>
        <v>586</v>
      </c>
      <c r="AC186" s="7"/>
      <c r="AD186" s="4">
        <f t="shared" si="476"/>
        <v>1.4903787129361226</v>
      </c>
      <c r="AE186" s="7">
        <v>15.9</v>
      </c>
      <c r="AF186" s="7">
        <v>3</v>
      </c>
      <c r="AG186" s="7">
        <v>275</v>
      </c>
      <c r="AH186" s="7">
        <v>4</v>
      </c>
      <c r="AI186" s="7">
        <f t="shared" ref="AI186:AI188" si="548">AF186</f>
        <v>3</v>
      </c>
      <c r="AJ186" s="7">
        <f t="shared" si="473"/>
        <v>5.4166666666666661</v>
      </c>
      <c r="AK186" s="4">
        <f t="shared" si="504"/>
        <v>744.9</v>
      </c>
      <c r="AL186" s="4">
        <f t="shared" si="505"/>
        <v>0.2615384615384615</v>
      </c>
      <c r="AM186" s="4">
        <f t="shared" si="506"/>
        <v>250.86804884585459</v>
      </c>
      <c r="AN186" s="4">
        <f t="shared" si="507"/>
        <v>0.72307692307692306</v>
      </c>
      <c r="AO186" s="4">
        <v>1.25</v>
      </c>
      <c r="AP186" s="4">
        <f t="shared" si="508"/>
        <v>2.5</v>
      </c>
      <c r="AQ186" s="38">
        <f t="shared" si="509"/>
        <v>148.25707916260191</v>
      </c>
      <c r="AR186" s="38">
        <f t="shared" si="510"/>
        <v>148.25707916260191</v>
      </c>
      <c r="AS186" s="38">
        <f t="shared" si="511"/>
        <v>3.538000882182009</v>
      </c>
      <c r="AT186" s="38">
        <f t="shared" si="450"/>
        <v>148.25707916260185</v>
      </c>
      <c r="AU186" s="38">
        <f t="shared" si="400"/>
        <v>1.0000000000000004</v>
      </c>
      <c r="AV186" s="38">
        <f t="shared" si="537"/>
        <v>1.6390448359871455</v>
      </c>
      <c r="AW186" s="4">
        <f t="shared" si="529"/>
        <v>0</v>
      </c>
      <c r="AX186" s="4">
        <f t="shared" si="379"/>
        <v>435.4289126254003</v>
      </c>
      <c r="AY186" s="4">
        <f t="shared" si="380"/>
        <v>1</v>
      </c>
      <c r="AZ186" s="38">
        <f t="shared" si="438"/>
        <v>243</v>
      </c>
      <c r="BA186" s="4">
        <f t="shared" si="381"/>
        <v>0.44000000000000006</v>
      </c>
      <c r="BB186" s="4">
        <f t="shared" si="401"/>
        <v>100.10510701257954</v>
      </c>
      <c r="BC186" s="4">
        <f t="shared" si="402"/>
        <v>343.10510701257954</v>
      </c>
      <c r="BE186" s="4">
        <f t="shared" si="451"/>
        <v>1.201612194511575</v>
      </c>
      <c r="BF186" s="4">
        <f t="shared" si="452"/>
        <v>527.64390941035731</v>
      </c>
      <c r="BH186" s="4">
        <f t="shared" si="463"/>
        <v>233.06671696357813</v>
      </c>
      <c r="BI186" s="4">
        <f t="shared" si="464"/>
        <v>450.3525339151019</v>
      </c>
      <c r="BJ186" s="4">
        <f t="shared" si="465"/>
        <v>1.9322902033475655</v>
      </c>
      <c r="BR186" s="4">
        <f t="shared" si="539"/>
        <v>57.3</v>
      </c>
      <c r="BV186" s="9"/>
      <c r="BX186" s="9"/>
      <c r="BY186" s="9"/>
      <c r="BZ186" s="9">
        <f t="shared" si="383"/>
        <v>56</v>
      </c>
      <c r="CA186" s="9">
        <f t="shared" si="384"/>
        <v>177.63</v>
      </c>
      <c r="CB186" s="9">
        <f t="shared" si="403"/>
        <v>1.1754818988273255</v>
      </c>
      <c r="CC186" s="9">
        <v>20</v>
      </c>
      <c r="CD186" s="9">
        <f t="shared" si="518"/>
        <v>3.7802286470920307E-2</v>
      </c>
      <c r="CE186" s="9">
        <f t="shared" si="404"/>
        <v>0.55604572941840613</v>
      </c>
      <c r="CF186" s="9">
        <f t="shared" si="385"/>
        <v>0.77971450958075206</v>
      </c>
      <c r="CG186" s="9">
        <f t="shared" si="386"/>
        <v>0.87549999999999994</v>
      </c>
      <c r="CH186" s="9">
        <f t="shared" si="405"/>
        <v>1.5205031436526735</v>
      </c>
      <c r="CI186" s="9">
        <f t="shared" si="406"/>
        <v>2.632793202069093</v>
      </c>
      <c r="CJ186" s="9">
        <v>1</v>
      </c>
      <c r="CK186" s="9">
        <f t="shared" si="407"/>
        <v>294.87283863173843</v>
      </c>
      <c r="CM186" s="4">
        <f t="shared" si="477"/>
        <v>1.3457994703813709</v>
      </c>
      <c r="CN186" s="4">
        <f t="shared" si="478"/>
        <v>1.7079314414824931</v>
      </c>
      <c r="CO186" s="4">
        <f t="shared" si="479"/>
        <v>1.1105974873373516</v>
      </c>
      <c r="CP186" s="4">
        <f t="shared" si="480"/>
        <v>1.9872973133746143</v>
      </c>
      <c r="CQ186" s="4">
        <f t="shared" si="481"/>
        <v>1.4903787129361226</v>
      </c>
      <c r="CR186" s="4">
        <f t="shared" si="482"/>
        <v>1.6061312508358303</v>
      </c>
      <c r="CS186" s="4">
        <f t="shared" si="483"/>
        <v>1.2470860052703576</v>
      </c>
      <c r="DA186" s="4">
        <f t="shared" ref="DA186:DB188" si="549">CM186</f>
        <v>1.3457994703813709</v>
      </c>
      <c r="DB186" s="4">
        <f t="shared" si="549"/>
        <v>1.7079314414824931</v>
      </c>
      <c r="DC186" s="4">
        <f>CP186</f>
        <v>1.9872973133746143</v>
      </c>
      <c r="DD186" s="4">
        <f t="shared" ref="DD186:DD188" si="550">CS186</f>
        <v>1.2470860052703576</v>
      </c>
      <c r="DE186" s="4">
        <f t="shared" ref="DE186:DF188" si="551">CQ186</f>
        <v>1.4903787129361226</v>
      </c>
      <c r="DF186" s="4">
        <f t="shared" si="551"/>
        <v>1.6061312508358303</v>
      </c>
      <c r="DH186" s="4">
        <f t="shared" si="362"/>
        <v>3</v>
      </c>
      <c r="DI186" s="4">
        <f t="shared" si="453"/>
        <v>744.9</v>
      </c>
      <c r="DL186" s="4">
        <f t="shared" si="485"/>
        <v>2.4945063339588324E-5</v>
      </c>
      <c r="DM186" s="4">
        <f t="shared" si="366"/>
        <v>5.5836366123976697</v>
      </c>
      <c r="DN186" s="4">
        <f t="shared" si="486"/>
        <v>0.45625425325155472</v>
      </c>
      <c r="DO186" s="4">
        <f t="shared" si="487"/>
        <v>4.0794340517682928</v>
      </c>
      <c r="DP186" s="4">
        <f t="shared" si="488"/>
        <v>4.8898608766514151</v>
      </c>
      <c r="DQ186" s="4">
        <f t="shared" si="489"/>
        <v>4.7288983440601244</v>
      </c>
      <c r="DR186" s="38">
        <f t="shared" si="513"/>
        <v>393.18865393987676</v>
      </c>
      <c r="DS186" s="4">
        <f t="shared" si="411"/>
        <v>1.0001412474896851</v>
      </c>
      <c r="DT186" s="4">
        <f t="shared" si="490"/>
        <v>2.2360679774997898</v>
      </c>
      <c r="DU186" s="4">
        <f t="shared" si="441"/>
        <v>148.25707916260185</v>
      </c>
      <c r="DY186" s="4">
        <f t="shared" si="387"/>
        <v>1</v>
      </c>
      <c r="DZ186" s="4">
        <f t="shared" si="412"/>
        <v>1</v>
      </c>
      <c r="EA186" s="4">
        <f t="shared" si="514"/>
        <v>0.93640182560785068</v>
      </c>
      <c r="EB186" s="4">
        <f t="shared" si="414"/>
        <v>0.93640182560785068</v>
      </c>
      <c r="ED186" s="4">
        <f t="shared" si="515"/>
        <v>364.8518760188781</v>
      </c>
      <c r="EE186" s="25">
        <f t="shared" si="516"/>
        <v>147.09004813536899</v>
      </c>
      <c r="EH186" s="4">
        <f t="shared" si="517"/>
        <v>5.5836366123976697</v>
      </c>
      <c r="EK186" s="4">
        <f t="shared" si="491"/>
        <v>128.12669511073796</v>
      </c>
      <c r="EL186" s="4">
        <f t="shared" si="492"/>
        <v>2.2360679774997898</v>
      </c>
      <c r="EM186" s="4">
        <f t="shared" si="493"/>
        <v>0.15877045999106873</v>
      </c>
      <c r="EP186" s="4">
        <f t="shared" si="541"/>
        <v>0.15877045999106873</v>
      </c>
      <c r="EQ186" s="4">
        <f t="shared" si="542"/>
        <v>0.45549284993711125</v>
      </c>
      <c r="ER186" s="4">
        <f t="shared" si="371"/>
        <v>4.07670956118492</v>
      </c>
      <c r="ES186" s="4">
        <f t="shared" si="388"/>
        <v>4.888725724036151</v>
      </c>
      <c r="ET186" s="4">
        <f t="shared" si="372"/>
        <v>430.548304889262</v>
      </c>
      <c r="EU186" s="4">
        <f t="shared" si="373"/>
        <v>186.22500000000002</v>
      </c>
      <c r="EV186" s="4">
        <f t="shared" si="415"/>
        <v>2.4945063339588331E-5</v>
      </c>
      <c r="EW186" s="4">
        <f t="shared" si="389"/>
        <v>4.7291258329784815</v>
      </c>
      <c r="EX186" s="4">
        <f t="shared" si="466"/>
        <v>393.13312487287641</v>
      </c>
      <c r="FG186" s="23">
        <f t="shared" si="494"/>
        <v>1.4</v>
      </c>
      <c r="FH186" s="23">
        <f t="shared" si="494"/>
        <v>1.8</v>
      </c>
      <c r="FI186" s="23">
        <f t="shared" si="495"/>
        <v>1.4</v>
      </c>
      <c r="FJ186" s="23">
        <f t="shared" si="496"/>
        <v>2</v>
      </c>
      <c r="FK186" s="23">
        <f t="shared" si="496"/>
        <v>1.6</v>
      </c>
      <c r="FL186" s="23">
        <f t="shared" si="496"/>
        <v>1.8</v>
      </c>
      <c r="FM186" s="23">
        <f t="shared" si="497"/>
        <v>0</v>
      </c>
      <c r="FN186" s="23"/>
      <c r="FX186" s="4">
        <f t="shared" si="416"/>
        <v>1.25</v>
      </c>
      <c r="FY186" s="4">
        <f t="shared" si="469"/>
        <v>0.37067917575318227</v>
      </c>
      <c r="FZ186" s="4">
        <f t="shared" si="417"/>
        <v>0.3</v>
      </c>
      <c r="GA186" s="4">
        <f t="shared" si="418"/>
        <v>469.89541821773565</v>
      </c>
    </row>
    <row r="187" spans="1:183" ht="12" customHeight="1" x14ac:dyDescent="0.3">
      <c r="A187" s="25">
        <v>169</v>
      </c>
      <c r="B187" s="24" t="s">
        <v>128</v>
      </c>
      <c r="C187" s="24">
        <v>2017</v>
      </c>
      <c r="D187" s="24" t="s">
        <v>309</v>
      </c>
      <c r="E187" s="24"/>
      <c r="F187" s="4" t="s">
        <v>176</v>
      </c>
      <c r="G187" s="7">
        <v>583</v>
      </c>
      <c r="H187" s="7">
        <f t="shared" si="546"/>
        <v>744.9</v>
      </c>
      <c r="I187" s="7">
        <f t="shared" si="455"/>
        <v>744.9</v>
      </c>
      <c r="J187" s="7">
        <v>40.5</v>
      </c>
      <c r="K187" s="37">
        <v>57.3</v>
      </c>
      <c r="L187" s="7">
        <f t="shared" si="498"/>
        <v>13</v>
      </c>
      <c r="M187" s="7">
        <f t="shared" si="499"/>
        <v>13</v>
      </c>
      <c r="N187" s="7">
        <f t="shared" si="500"/>
        <v>584.46</v>
      </c>
      <c r="O187" s="7">
        <f t="shared" si="533"/>
        <v>57.3</v>
      </c>
      <c r="P187" s="7">
        <f t="shared" si="501"/>
        <v>56</v>
      </c>
      <c r="Q187" s="7">
        <f t="shared" si="535"/>
        <v>355.26</v>
      </c>
      <c r="R187" s="7">
        <v>2</v>
      </c>
      <c r="S187" s="7">
        <f t="shared" si="547"/>
        <v>376.59999999999997</v>
      </c>
      <c r="T187" s="7">
        <f t="shared" si="475"/>
        <v>1.5</v>
      </c>
      <c r="U187" s="7">
        <f t="shared" si="459"/>
        <v>1.5</v>
      </c>
      <c r="V187" s="7">
        <f t="shared" si="472"/>
        <v>4</v>
      </c>
      <c r="W187" s="7">
        <f t="shared" si="472"/>
        <v>4</v>
      </c>
      <c r="X187" s="7">
        <f t="shared" si="431"/>
        <v>5</v>
      </c>
      <c r="Y187" s="7">
        <f t="shared" si="352"/>
        <v>128.12669511073796</v>
      </c>
      <c r="Z187" s="7">
        <f t="shared" si="461"/>
        <v>583</v>
      </c>
      <c r="AA187" s="7">
        <v>25</v>
      </c>
      <c r="AB187" s="7">
        <f>(586+586)/2</f>
        <v>586</v>
      </c>
      <c r="AC187" s="7"/>
      <c r="AD187" s="4">
        <f t="shared" si="476"/>
        <v>1.3995998347943011</v>
      </c>
      <c r="AE187" s="7">
        <v>15.9</v>
      </c>
      <c r="AF187" s="7">
        <v>5</v>
      </c>
      <c r="AG187" s="7">
        <v>138</v>
      </c>
      <c r="AH187" s="7">
        <v>6</v>
      </c>
      <c r="AI187" s="7">
        <f t="shared" si="548"/>
        <v>5</v>
      </c>
      <c r="AJ187" s="7">
        <f t="shared" si="473"/>
        <v>5.4166666666666661</v>
      </c>
      <c r="AK187" s="4">
        <f t="shared" si="504"/>
        <v>744.9</v>
      </c>
      <c r="AL187" s="4">
        <f t="shared" si="505"/>
        <v>0.2615384615384615</v>
      </c>
      <c r="AM187" s="4">
        <f t="shared" si="506"/>
        <v>250.86804884585459</v>
      </c>
      <c r="AN187" s="4">
        <f t="shared" si="507"/>
        <v>0.72307692307692306</v>
      </c>
      <c r="AO187" s="4">
        <v>1.25</v>
      </c>
      <c r="AP187" s="4">
        <f t="shared" si="508"/>
        <v>2.5</v>
      </c>
      <c r="AQ187" s="38">
        <f t="shared" si="509"/>
        <v>148.25707916260191</v>
      </c>
      <c r="AR187" s="38">
        <f t="shared" si="510"/>
        <v>148.25707916260191</v>
      </c>
      <c r="AS187" s="38">
        <f t="shared" si="511"/>
        <v>3.538000882182009</v>
      </c>
      <c r="AT187" s="38">
        <f t="shared" si="450"/>
        <v>148.25707916260185</v>
      </c>
      <c r="AU187" s="38">
        <f t="shared" si="400"/>
        <v>1.0000000000000004</v>
      </c>
      <c r="AV187" s="38">
        <f t="shared" si="537"/>
        <v>1.6390448359871455</v>
      </c>
      <c r="AW187" s="4">
        <f t="shared" si="529"/>
        <v>0</v>
      </c>
      <c r="AX187" s="4">
        <f t="shared" si="379"/>
        <v>435.4289126254003</v>
      </c>
      <c r="AY187" s="4">
        <f t="shared" si="380"/>
        <v>1</v>
      </c>
      <c r="AZ187" s="38">
        <f t="shared" si="438"/>
        <v>243</v>
      </c>
      <c r="BA187" s="4">
        <f t="shared" si="381"/>
        <v>0.44000000000000006</v>
      </c>
      <c r="BB187" s="4">
        <f t="shared" si="401"/>
        <v>100.10510701257954</v>
      </c>
      <c r="BC187" s="4">
        <f t="shared" si="402"/>
        <v>343.10510701257954</v>
      </c>
      <c r="BE187" s="4">
        <f t="shared" si="451"/>
        <v>1.4</v>
      </c>
      <c r="BF187" s="4">
        <f t="shared" si="452"/>
        <v>614.75863556358433</v>
      </c>
      <c r="BH187" s="4">
        <f t="shared" si="463"/>
        <v>233.06671696357813</v>
      </c>
      <c r="BI187" s="4">
        <f t="shared" si="464"/>
        <v>450.3525339151019</v>
      </c>
      <c r="BJ187" s="4">
        <f t="shared" si="465"/>
        <v>1.9322902033475655</v>
      </c>
      <c r="BR187" s="4">
        <f t="shared" si="539"/>
        <v>57.3</v>
      </c>
      <c r="BV187" s="9"/>
      <c r="BX187" s="9"/>
      <c r="BY187" s="9"/>
      <c r="BZ187" s="9">
        <f t="shared" si="383"/>
        <v>56</v>
      </c>
      <c r="CA187" s="9">
        <f t="shared" si="384"/>
        <v>177.63</v>
      </c>
      <c r="CB187" s="9">
        <f t="shared" si="403"/>
        <v>1.1754818988273255</v>
      </c>
      <c r="CC187" s="9">
        <v>20</v>
      </c>
      <c r="CD187" s="9">
        <f t="shared" si="518"/>
        <v>0.05</v>
      </c>
      <c r="CE187" s="9">
        <f t="shared" si="404"/>
        <v>0.8</v>
      </c>
      <c r="CF187" s="9">
        <f t="shared" si="385"/>
        <v>0.77971450958075206</v>
      </c>
      <c r="CG187" s="9">
        <f t="shared" si="386"/>
        <v>0.87549999999999994</v>
      </c>
      <c r="CH187" s="9">
        <f t="shared" si="405"/>
        <v>1.5205031436526735</v>
      </c>
      <c r="CI187" s="9">
        <f t="shared" si="406"/>
        <v>3.0037264373959012</v>
      </c>
      <c r="CJ187" s="9">
        <v>1</v>
      </c>
      <c r="CK187" s="9">
        <f t="shared" si="407"/>
        <v>336.41736098834093</v>
      </c>
      <c r="CM187" s="4">
        <f t="shared" si="477"/>
        <v>1.3457994703813709</v>
      </c>
      <c r="CN187" s="4">
        <f t="shared" si="478"/>
        <v>1.7079314414824931</v>
      </c>
      <c r="CO187" s="4">
        <f t="shared" si="479"/>
        <v>0.95321963141319743</v>
      </c>
      <c r="CP187" s="4">
        <f t="shared" si="480"/>
        <v>1.7418839452233523</v>
      </c>
      <c r="CQ187" s="4">
        <f t="shared" si="481"/>
        <v>1.3995998347943011</v>
      </c>
      <c r="CR187" s="4">
        <f t="shared" si="482"/>
        <v>1.5076213914643732</v>
      </c>
      <c r="CS187" s="4">
        <f t="shared" si="483"/>
        <v>1.2470860052703576</v>
      </c>
      <c r="DA187" s="4">
        <f t="shared" si="549"/>
        <v>1.3457994703813709</v>
      </c>
      <c r="DB187" s="4">
        <f t="shared" si="549"/>
        <v>1.7079314414824931</v>
      </c>
      <c r="DC187" s="4">
        <f>CP187</f>
        <v>1.7418839452233523</v>
      </c>
      <c r="DD187" s="4">
        <f t="shared" si="550"/>
        <v>1.2470860052703576</v>
      </c>
      <c r="DE187" s="4">
        <f t="shared" si="551"/>
        <v>1.3995998347943011</v>
      </c>
      <c r="DF187" s="4">
        <f t="shared" si="551"/>
        <v>1.5076213914643732</v>
      </c>
      <c r="DH187" s="4">
        <f t="shared" si="362"/>
        <v>5</v>
      </c>
      <c r="DI187" s="4">
        <f t="shared" si="453"/>
        <v>744.9</v>
      </c>
      <c r="DL187" s="4">
        <f t="shared" si="485"/>
        <v>2.4945063339588324E-5</v>
      </c>
      <c r="DM187" s="4">
        <f t="shared" si="366"/>
        <v>6.1949154836920748</v>
      </c>
      <c r="DN187" s="4">
        <f t="shared" si="486"/>
        <v>0.45625425325155472</v>
      </c>
      <c r="DO187" s="4">
        <f t="shared" si="487"/>
        <v>4.5260375855921167</v>
      </c>
      <c r="DP187" s="4">
        <f t="shared" si="488"/>
        <v>5.4251873753045228</v>
      </c>
      <c r="DQ187" s="4">
        <f t="shared" si="489"/>
        <v>5.1456890319944577</v>
      </c>
      <c r="DR187" s="38">
        <f t="shared" si="513"/>
        <v>418.69110400839986</v>
      </c>
      <c r="DS187" s="4">
        <f t="shared" si="411"/>
        <v>1.0001463322692512</v>
      </c>
      <c r="DT187" s="4">
        <f t="shared" si="490"/>
        <v>2.2360679774997898</v>
      </c>
      <c r="DU187" s="4">
        <f t="shared" si="441"/>
        <v>148.25707916260185</v>
      </c>
      <c r="DY187" s="4">
        <f t="shared" si="387"/>
        <v>1</v>
      </c>
      <c r="DZ187" s="4">
        <f t="shared" si="412"/>
        <v>1</v>
      </c>
      <c r="EA187" s="4">
        <f t="shared" si="514"/>
        <v>0.84400304267975113</v>
      </c>
      <c r="EB187" s="4">
        <f t="shared" si="414"/>
        <v>0.84400304267975113</v>
      </c>
      <c r="ED187" s="4">
        <f t="shared" si="515"/>
        <v>388.69175199935989</v>
      </c>
      <c r="EE187" s="25">
        <f t="shared" si="516"/>
        <v>147.09004813536899</v>
      </c>
      <c r="EH187" s="4">
        <f t="shared" si="517"/>
        <v>6.1949154836920748</v>
      </c>
      <c r="EK187" s="4">
        <f t="shared" si="491"/>
        <v>128.12669511073796</v>
      </c>
      <c r="EL187" s="4">
        <f t="shared" si="492"/>
        <v>2.2360679774997898</v>
      </c>
      <c r="EM187" s="4">
        <f t="shared" si="493"/>
        <v>0.15877045999106873</v>
      </c>
      <c r="EP187" s="4">
        <f t="shared" si="541"/>
        <v>0.15877045999106873</v>
      </c>
      <c r="EQ187" s="4">
        <f t="shared" si="542"/>
        <v>0.45549284993711125</v>
      </c>
      <c r="ER187" s="4">
        <f t="shared" si="371"/>
        <v>4.5230148263991863</v>
      </c>
      <c r="ES187" s="4">
        <f t="shared" si="388"/>
        <v>5.4239279497722386</v>
      </c>
      <c r="ET187" s="4">
        <f t="shared" si="372"/>
        <v>430.548304889262</v>
      </c>
      <c r="EU187" s="4">
        <f t="shared" si="373"/>
        <v>186.22500000000002</v>
      </c>
      <c r="EV187" s="4">
        <f t="shared" si="415"/>
        <v>2.4945063339588331E-5</v>
      </c>
      <c r="EW187" s="4">
        <f t="shared" si="389"/>
        <v>5.1459682840175045</v>
      </c>
      <c r="EX187" s="4">
        <f t="shared" si="466"/>
        <v>418.62984495321155</v>
      </c>
      <c r="FG187" s="23">
        <f t="shared" si="494"/>
        <v>1.4</v>
      </c>
      <c r="FH187" s="23">
        <f t="shared" si="494"/>
        <v>1.8</v>
      </c>
      <c r="FI187" s="23">
        <f t="shared" si="495"/>
        <v>1.4</v>
      </c>
      <c r="FJ187" s="23">
        <f t="shared" si="496"/>
        <v>1.8</v>
      </c>
      <c r="FK187" s="23">
        <f t="shared" si="496"/>
        <v>1.4</v>
      </c>
      <c r="FL187" s="23">
        <f t="shared" si="496"/>
        <v>1.6</v>
      </c>
      <c r="FM187" s="23">
        <f t="shared" si="497"/>
        <v>0</v>
      </c>
      <c r="FN187" s="23"/>
      <c r="FX187" s="4">
        <f t="shared" si="416"/>
        <v>1.25</v>
      </c>
      <c r="FY187" s="4">
        <f t="shared" si="469"/>
        <v>0.37067917575318227</v>
      </c>
      <c r="FZ187" s="4">
        <f t="shared" si="417"/>
        <v>0.3</v>
      </c>
      <c r="GA187" s="4">
        <f t="shared" si="418"/>
        <v>469.89541821773565</v>
      </c>
    </row>
    <row r="188" spans="1:183" ht="12" customHeight="1" x14ac:dyDescent="0.3">
      <c r="A188" s="25">
        <v>170</v>
      </c>
      <c r="B188" s="24" t="s">
        <v>128</v>
      </c>
      <c r="C188" s="24">
        <v>2017</v>
      </c>
      <c r="D188" s="24" t="s">
        <v>309</v>
      </c>
      <c r="E188" s="24"/>
      <c r="F188" s="4" t="s">
        <v>177</v>
      </c>
      <c r="G188" s="7">
        <v>583</v>
      </c>
      <c r="H188" s="7">
        <f t="shared" si="546"/>
        <v>744.9</v>
      </c>
      <c r="I188" s="7">
        <f t="shared" si="455"/>
        <v>744.9</v>
      </c>
      <c r="J188" s="7">
        <v>40.5</v>
      </c>
      <c r="K188" s="37">
        <v>57.3</v>
      </c>
      <c r="L188" s="7">
        <f t="shared" si="498"/>
        <v>13</v>
      </c>
      <c r="M188" s="7">
        <f t="shared" si="499"/>
        <v>13</v>
      </c>
      <c r="N188" s="7">
        <f t="shared" si="500"/>
        <v>584.46</v>
      </c>
      <c r="O188" s="7">
        <f t="shared" si="533"/>
        <v>57.3</v>
      </c>
      <c r="P188" s="7">
        <f t="shared" si="501"/>
        <v>56</v>
      </c>
      <c r="Q188" s="7">
        <f t="shared" si="535"/>
        <v>355.26</v>
      </c>
      <c r="R188" s="7">
        <v>2</v>
      </c>
      <c r="S188" s="7">
        <f t="shared" si="547"/>
        <v>376.59999999999997</v>
      </c>
      <c r="T188" s="7">
        <f t="shared" si="475"/>
        <v>1.5</v>
      </c>
      <c r="U188" s="7">
        <f t="shared" si="459"/>
        <v>1.5</v>
      </c>
      <c r="V188" s="7">
        <f t="shared" si="472"/>
        <v>4</v>
      </c>
      <c r="W188" s="7">
        <f t="shared" si="472"/>
        <v>4</v>
      </c>
      <c r="X188" s="7">
        <f t="shared" si="431"/>
        <v>5</v>
      </c>
      <c r="Y188" s="7">
        <f t="shared" si="352"/>
        <v>128.12669511073796</v>
      </c>
      <c r="Z188" s="7">
        <f t="shared" si="461"/>
        <v>583</v>
      </c>
      <c r="AA188" s="7">
        <v>25</v>
      </c>
      <c r="AB188" s="7">
        <f>(588+588)/2</f>
        <v>588</v>
      </c>
      <c r="AC188" s="7"/>
      <c r="AD188" s="4">
        <f t="shared" si="476"/>
        <v>1.4954653297038225</v>
      </c>
      <c r="AE188" s="7">
        <v>15.9</v>
      </c>
      <c r="AF188" s="7">
        <v>3</v>
      </c>
      <c r="AG188" s="7">
        <v>275</v>
      </c>
      <c r="AH188" s="7">
        <v>4</v>
      </c>
      <c r="AI188" s="7">
        <f t="shared" si="548"/>
        <v>3</v>
      </c>
      <c r="AJ188" s="7">
        <f t="shared" si="473"/>
        <v>5.4166666666666661</v>
      </c>
      <c r="AK188" s="4">
        <f t="shared" si="504"/>
        <v>744.9</v>
      </c>
      <c r="AL188" s="4">
        <f t="shared" si="505"/>
        <v>0.2615384615384615</v>
      </c>
      <c r="AM188" s="4">
        <f t="shared" si="506"/>
        <v>250.86804884585459</v>
      </c>
      <c r="AN188" s="4">
        <f t="shared" si="507"/>
        <v>0.72307692307692306</v>
      </c>
      <c r="AO188" s="4">
        <v>1.25</v>
      </c>
      <c r="AP188" s="4">
        <f t="shared" si="508"/>
        <v>2.5</v>
      </c>
      <c r="AQ188" s="38">
        <f t="shared" si="509"/>
        <v>148.25707916260191</v>
      </c>
      <c r="AR188" s="38">
        <f t="shared" si="510"/>
        <v>148.25707916260191</v>
      </c>
      <c r="AS188" s="38">
        <f t="shared" si="511"/>
        <v>3.538000882182009</v>
      </c>
      <c r="AT188" s="38">
        <f t="shared" si="450"/>
        <v>148.25707916260185</v>
      </c>
      <c r="AU188" s="38">
        <f t="shared" si="400"/>
        <v>1.0000000000000004</v>
      </c>
      <c r="AV188" s="38">
        <f t="shared" si="537"/>
        <v>1.6390448359871455</v>
      </c>
      <c r="AW188" s="4">
        <f t="shared" si="529"/>
        <v>0</v>
      </c>
      <c r="AX188" s="4">
        <f t="shared" si="379"/>
        <v>435.4289126254003</v>
      </c>
      <c r="AY188" s="4">
        <f t="shared" si="380"/>
        <v>1</v>
      </c>
      <c r="AZ188" s="38">
        <f t="shared" si="438"/>
        <v>243</v>
      </c>
      <c r="BA188" s="4">
        <f t="shared" si="381"/>
        <v>0.44000000000000006</v>
      </c>
      <c r="BB188" s="4">
        <f t="shared" si="401"/>
        <v>100.10510701257954</v>
      </c>
      <c r="BC188" s="4">
        <f t="shared" si="402"/>
        <v>343.10510701257954</v>
      </c>
      <c r="BE188" s="4">
        <f t="shared" si="451"/>
        <v>1.201612194511575</v>
      </c>
      <c r="BF188" s="4">
        <f t="shared" si="452"/>
        <v>527.64390941035731</v>
      </c>
      <c r="BH188" s="4">
        <f t="shared" si="463"/>
        <v>233.06671696357813</v>
      </c>
      <c r="BI188" s="4">
        <f t="shared" si="464"/>
        <v>450.3525339151019</v>
      </c>
      <c r="BJ188" s="4">
        <f t="shared" si="465"/>
        <v>1.9322902033475655</v>
      </c>
      <c r="BR188" s="4">
        <f t="shared" si="539"/>
        <v>57.3</v>
      </c>
      <c r="BV188" s="9"/>
      <c r="BX188" s="9"/>
      <c r="BY188" s="9"/>
      <c r="BZ188" s="9">
        <f t="shared" si="383"/>
        <v>56</v>
      </c>
      <c r="CA188" s="9">
        <f t="shared" si="384"/>
        <v>177.63</v>
      </c>
      <c r="CB188" s="9">
        <f t="shared" si="403"/>
        <v>1.1754818988273255</v>
      </c>
      <c r="CC188" s="9">
        <v>20</v>
      </c>
      <c r="CD188" s="9">
        <f t="shared" si="518"/>
        <v>3.7802286470920307E-2</v>
      </c>
      <c r="CE188" s="9">
        <f t="shared" si="404"/>
        <v>0.55604572941840613</v>
      </c>
      <c r="CF188" s="9">
        <f t="shared" si="385"/>
        <v>0.77971450958075206</v>
      </c>
      <c r="CG188" s="9">
        <f t="shared" si="386"/>
        <v>0.87549999999999994</v>
      </c>
      <c r="CH188" s="9">
        <f t="shared" si="405"/>
        <v>1.5205031436526735</v>
      </c>
      <c r="CI188" s="9">
        <f t="shared" si="406"/>
        <v>2.632793202069093</v>
      </c>
      <c r="CJ188" s="9">
        <v>1</v>
      </c>
      <c r="CK188" s="9">
        <f t="shared" si="407"/>
        <v>294.87283863173843</v>
      </c>
      <c r="CM188" s="4">
        <f t="shared" si="477"/>
        <v>1.3503926426352324</v>
      </c>
      <c r="CN188" s="4">
        <f t="shared" si="478"/>
        <v>1.713760559030215</v>
      </c>
      <c r="CO188" s="4">
        <f t="shared" si="479"/>
        <v>1.114387922447718</v>
      </c>
      <c r="CP188" s="4">
        <f t="shared" si="480"/>
        <v>1.9940798980618999</v>
      </c>
      <c r="CQ188" s="4">
        <f t="shared" si="481"/>
        <v>1.4954653297038225</v>
      </c>
      <c r="CR188" s="4">
        <f t="shared" si="482"/>
        <v>1.6116129274598434</v>
      </c>
      <c r="CS188" s="4">
        <f t="shared" si="483"/>
        <v>1.2513422714999494</v>
      </c>
      <c r="DA188" s="4">
        <f t="shared" si="549"/>
        <v>1.3503926426352324</v>
      </c>
      <c r="DB188" s="4">
        <f t="shared" si="549"/>
        <v>1.713760559030215</v>
      </c>
      <c r="DC188" s="4">
        <f>CP188</f>
        <v>1.9940798980618999</v>
      </c>
      <c r="DD188" s="4">
        <f t="shared" si="550"/>
        <v>1.2513422714999494</v>
      </c>
      <c r="DE188" s="4">
        <f t="shared" si="551"/>
        <v>1.4954653297038225</v>
      </c>
      <c r="DF188" s="4">
        <f t="shared" si="551"/>
        <v>1.6116129274598434</v>
      </c>
      <c r="DH188" s="4">
        <f t="shared" si="362"/>
        <v>3</v>
      </c>
      <c r="DI188" s="4">
        <f t="shared" si="453"/>
        <v>744.9</v>
      </c>
      <c r="DL188" s="4">
        <f t="shared" si="485"/>
        <v>2.4945063339588324E-5</v>
      </c>
      <c r="DM188" s="4">
        <f t="shared" si="366"/>
        <v>5.5836366123976697</v>
      </c>
      <c r="DN188" s="4">
        <f t="shared" si="486"/>
        <v>0.45625425325155472</v>
      </c>
      <c r="DO188" s="4">
        <f t="shared" si="487"/>
        <v>4.0794340517682928</v>
      </c>
      <c r="DP188" s="4">
        <f t="shared" si="488"/>
        <v>4.8898608766514151</v>
      </c>
      <c r="DQ188" s="4">
        <f t="shared" si="489"/>
        <v>4.7288983440601244</v>
      </c>
      <c r="DR188" s="38">
        <f t="shared" si="513"/>
        <v>393.18865393987676</v>
      </c>
      <c r="DS188" s="4">
        <f t="shared" si="411"/>
        <v>1.0001412474896851</v>
      </c>
      <c r="DT188" s="4">
        <f t="shared" si="490"/>
        <v>2.2360679774997898</v>
      </c>
      <c r="DU188" s="4">
        <f t="shared" si="441"/>
        <v>148.25707916260185</v>
      </c>
      <c r="DY188" s="4">
        <f t="shared" si="387"/>
        <v>1</v>
      </c>
      <c r="DZ188" s="4">
        <f t="shared" si="412"/>
        <v>1</v>
      </c>
      <c r="EA188" s="4">
        <f t="shared" si="514"/>
        <v>0.93640182560785068</v>
      </c>
      <c r="EB188" s="4">
        <f t="shared" si="414"/>
        <v>0.93640182560785068</v>
      </c>
      <c r="ED188" s="4">
        <f t="shared" si="515"/>
        <v>364.8518760188781</v>
      </c>
      <c r="EE188" s="25">
        <f t="shared" si="516"/>
        <v>147.09004813536899</v>
      </c>
      <c r="EH188" s="4">
        <f t="shared" si="517"/>
        <v>5.5836366123976697</v>
      </c>
      <c r="EK188" s="4">
        <f t="shared" si="491"/>
        <v>128.12669511073796</v>
      </c>
      <c r="EL188" s="4">
        <f t="shared" si="492"/>
        <v>2.2360679774997898</v>
      </c>
      <c r="EM188" s="4">
        <f t="shared" si="493"/>
        <v>0.15877045999106873</v>
      </c>
      <c r="EP188" s="4">
        <f t="shared" si="541"/>
        <v>0.15877045999106873</v>
      </c>
      <c r="EQ188" s="4">
        <f t="shared" si="542"/>
        <v>0.45549284993711125</v>
      </c>
      <c r="ER188" s="4">
        <f t="shared" si="371"/>
        <v>4.07670956118492</v>
      </c>
      <c r="ES188" s="4">
        <f t="shared" si="388"/>
        <v>4.888725724036151</v>
      </c>
      <c r="ET188" s="4">
        <f t="shared" si="372"/>
        <v>430.548304889262</v>
      </c>
      <c r="EU188" s="4">
        <f t="shared" si="373"/>
        <v>186.22500000000002</v>
      </c>
      <c r="EV188" s="4">
        <f t="shared" si="415"/>
        <v>2.4945063339588331E-5</v>
      </c>
      <c r="EW188" s="4">
        <f t="shared" si="389"/>
        <v>4.7291258329784815</v>
      </c>
      <c r="EX188" s="4">
        <f t="shared" si="466"/>
        <v>393.13312487287641</v>
      </c>
      <c r="FG188" s="23">
        <f t="shared" si="494"/>
        <v>1.4</v>
      </c>
      <c r="FH188" s="23">
        <f t="shared" si="494"/>
        <v>1.8</v>
      </c>
      <c r="FI188" s="23">
        <f t="shared" si="495"/>
        <v>1.4</v>
      </c>
      <c r="FJ188" s="23">
        <f t="shared" si="496"/>
        <v>2</v>
      </c>
      <c r="FK188" s="23">
        <f t="shared" si="496"/>
        <v>1.6</v>
      </c>
      <c r="FL188" s="23">
        <f t="shared" si="496"/>
        <v>1.8</v>
      </c>
      <c r="FM188" s="23">
        <f t="shared" si="497"/>
        <v>0</v>
      </c>
      <c r="FN188" s="23"/>
      <c r="FX188" s="4">
        <f t="shared" si="416"/>
        <v>1.25</v>
      </c>
      <c r="FY188" s="4">
        <f t="shared" si="469"/>
        <v>0.37067917575318227</v>
      </c>
      <c r="FZ188" s="4">
        <f t="shared" si="417"/>
        <v>0.3</v>
      </c>
      <c r="GA188" s="4">
        <f t="shared" si="418"/>
        <v>469.89541821773565</v>
      </c>
    </row>
    <row r="189" spans="1:183" ht="12" customHeight="1" x14ac:dyDescent="0.3">
      <c r="A189" s="25">
        <v>171</v>
      </c>
      <c r="B189" s="24" t="s">
        <v>128</v>
      </c>
      <c r="C189" s="24">
        <v>2017</v>
      </c>
      <c r="D189" s="24" t="s">
        <v>309</v>
      </c>
      <c r="E189" s="24"/>
      <c r="F189" s="4" t="s">
        <v>178</v>
      </c>
      <c r="G189" s="7">
        <v>583</v>
      </c>
      <c r="H189" s="7">
        <f t="shared" si="546"/>
        <v>744.9</v>
      </c>
      <c r="I189" s="7">
        <f t="shared" si="455"/>
        <v>744.9</v>
      </c>
      <c r="J189" s="7">
        <v>40.5</v>
      </c>
      <c r="K189" s="37">
        <v>57.3</v>
      </c>
      <c r="L189" s="7">
        <f t="shared" si="498"/>
        <v>13</v>
      </c>
      <c r="M189" s="7">
        <f t="shared" si="499"/>
        <v>13</v>
      </c>
      <c r="N189" s="7">
        <f t="shared" si="500"/>
        <v>699.06000000000006</v>
      </c>
      <c r="O189" s="7">
        <f>2*K189</f>
        <v>114.6</v>
      </c>
      <c r="P189" s="7">
        <f t="shared" si="501"/>
        <v>56</v>
      </c>
      <c r="Q189" s="7">
        <f t="shared" si="535"/>
        <v>355.26</v>
      </c>
      <c r="R189" s="7">
        <v>2</v>
      </c>
      <c r="S189" s="7">
        <f t="shared" si="547"/>
        <v>376.59999999999997</v>
      </c>
      <c r="T189" s="7">
        <f t="shared" si="475"/>
        <v>2.5</v>
      </c>
      <c r="U189" s="7">
        <f t="shared" si="459"/>
        <v>2.5</v>
      </c>
      <c r="V189" s="7">
        <f t="shared" si="472"/>
        <v>4</v>
      </c>
      <c r="W189" s="7">
        <f t="shared" si="472"/>
        <v>4</v>
      </c>
      <c r="X189" s="7">
        <f t="shared" si="431"/>
        <v>5</v>
      </c>
      <c r="Y189" s="7">
        <f t="shared" ref="Y189:Y243" si="552">K189*X189^0.5</f>
        <v>128.12669511073796</v>
      </c>
      <c r="Z189" s="7">
        <f t="shared" si="461"/>
        <v>583</v>
      </c>
      <c r="AA189" s="7">
        <v>25</v>
      </c>
      <c r="AB189" s="7">
        <f>(550+550)/2</f>
        <v>550</v>
      </c>
      <c r="AC189" s="7"/>
      <c r="AD189" s="4">
        <f t="shared" si="476"/>
        <v>1.2421247257802632</v>
      </c>
      <c r="AE189" s="7"/>
      <c r="AF189" s="7"/>
      <c r="AG189" s="7">
        <v>1</v>
      </c>
      <c r="AH189" s="7"/>
      <c r="AI189" s="7"/>
      <c r="AJ189" s="7">
        <f t="shared" si="473"/>
        <v>5.4166666666666661</v>
      </c>
      <c r="AK189" s="4">
        <f t="shared" si="504"/>
        <v>744.9</v>
      </c>
      <c r="AL189" s="4">
        <f t="shared" si="505"/>
        <v>0.31282051282051282</v>
      </c>
      <c r="AM189" s="4">
        <f t="shared" si="506"/>
        <v>250.86804884585459</v>
      </c>
      <c r="AN189" s="4">
        <f t="shared" si="507"/>
        <v>0.73846153846153839</v>
      </c>
      <c r="AO189" s="4">
        <v>1.25</v>
      </c>
      <c r="AP189" s="4">
        <f t="shared" si="508"/>
        <v>2.5</v>
      </c>
      <c r="AQ189" s="38">
        <f t="shared" si="509"/>
        <v>181.10001159286543</v>
      </c>
      <c r="AR189" s="38">
        <f t="shared" si="510"/>
        <v>181.10001159286543</v>
      </c>
      <c r="AS189" s="38">
        <f t="shared" si="511"/>
        <v>3.538000882182009</v>
      </c>
      <c r="AT189" s="38">
        <f t="shared" si="450"/>
        <v>181.10001159286537</v>
      </c>
      <c r="AU189" s="38">
        <f t="shared" si="400"/>
        <v>1.0000000000000002</v>
      </c>
      <c r="AV189" s="38">
        <f t="shared" si="537"/>
        <v>2.2363333742379252</v>
      </c>
      <c r="AW189" s="4">
        <f t="shared" si="529"/>
        <v>0</v>
      </c>
      <c r="AX189" s="4">
        <f t="shared" si="379"/>
        <v>435.4289126254003</v>
      </c>
      <c r="AY189" s="4">
        <f t="shared" si="380"/>
        <v>1</v>
      </c>
      <c r="AZ189" s="38">
        <f t="shared" si="438"/>
        <v>405</v>
      </c>
      <c r="BA189" s="4">
        <f t="shared" si="381"/>
        <v>0.44000000000000006</v>
      </c>
      <c r="BB189" s="4">
        <f t="shared" si="401"/>
        <v>100.10510701257954</v>
      </c>
      <c r="BC189" s="4">
        <f t="shared" si="402"/>
        <v>505.10510701257954</v>
      </c>
      <c r="BE189" s="4">
        <f t="shared" si="451"/>
        <v>1.25</v>
      </c>
      <c r="BF189" s="4">
        <f t="shared" si="452"/>
        <v>548.89163889605754</v>
      </c>
      <c r="BH189" s="4">
        <f t="shared" si="463"/>
        <v>388.44452827263018</v>
      </c>
      <c r="BI189" s="4">
        <f t="shared" si="464"/>
        <v>450.3525339151019</v>
      </c>
      <c r="BJ189" s="4">
        <f t="shared" si="465"/>
        <v>1.1593741220085394</v>
      </c>
      <c r="BR189" s="4">
        <f t="shared" si="539"/>
        <v>114.6</v>
      </c>
      <c r="BV189" s="9"/>
      <c r="BX189" s="9"/>
      <c r="BY189" s="9"/>
      <c r="BZ189" s="9">
        <f t="shared" si="383"/>
        <v>56</v>
      </c>
      <c r="CA189" s="9">
        <f t="shared" si="384"/>
        <v>177.63</v>
      </c>
      <c r="CB189" s="9">
        <f t="shared" si="403"/>
        <v>1.1754818988273255</v>
      </c>
      <c r="CC189" s="9">
        <v>0</v>
      </c>
      <c r="CD189" s="9">
        <f t="shared" si="518"/>
        <v>0</v>
      </c>
      <c r="CE189" s="9">
        <f t="shared" si="404"/>
        <v>0</v>
      </c>
      <c r="CF189" s="9">
        <f t="shared" si="385"/>
        <v>0.77971450958075206</v>
      </c>
      <c r="CG189" s="9">
        <f t="shared" si="386"/>
        <v>0.87549999999999994</v>
      </c>
      <c r="CH189" s="9">
        <f t="shared" si="405"/>
        <v>1.5205031436526735</v>
      </c>
      <c r="CI189" s="9">
        <f t="shared" si="406"/>
        <v>1.7873239224737623</v>
      </c>
      <c r="CJ189" s="9">
        <v>1</v>
      </c>
      <c r="CK189" s="9">
        <f t="shared" si="407"/>
        <v>200.18027931706138</v>
      </c>
      <c r="CM189" s="4">
        <f t="shared" si="477"/>
        <v>1.263122369811867</v>
      </c>
      <c r="CN189" s="4">
        <f t="shared" si="478"/>
        <v>1.0888822788843875</v>
      </c>
      <c r="CO189" s="4">
        <f t="shared" si="479"/>
        <v>1.0020192712466374</v>
      </c>
      <c r="CP189" s="4">
        <f t="shared" si="480"/>
        <v>2.7475233917965838</v>
      </c>
      <c r="CQ189" s="4">
        <f t="shared" si="481"/>
        <v>1.2421247257802632</v>
      </c>
      <c r="CR189" s="4">
        <f t="shared" si="482"/>
        <v>1.353732099805089</v>
      </c>
      <c r="CS189" s="4">
        <f t="shared" si="483"/>
        <v>1.4314656932398204</v>
      </c>
      <c r="CU189" s="4">
        <f t="shared" ref="CU189:CV204" si="553">CM189</f>
        <v>1.263122369811867</v>
      </c>
      <c r="CV189" s="4">
        <f t="shared" si="553"/>
        <v>1.0888822788843875</v>
      </c>
      <c r="CW189" s="4">
        <f>CP189</f>
        <v>2.7475233917965838</v>
      </c>
      <c r="CX189" s="4">
        <f t="shared" ref="CX189:CX199" si="554">CS189</f>
        <v>1.4314656932398204</v>
      </c>
      <c r="CY189" s="4">
        <f t="shared" ref="CY189:CZ204" si="555">CQ189</f>
        <v>1.2421247257802632</v>
      </c>
      <c r="CZ189" s="4">
        <f t="shared" si="555"/>
        <v>1.353732099805089</v>
      </c>
      <c r="DH189" s="4">
        <f t="shared" si="362"/>
        <v>0</v>
      </c>
      <c r="DI189" s="4">
        <f t="shared" si="453"/>
        <v>744.9</v>
      </c>
      <c r="DL189" s="4">
        <f t="shared" si="485"/>
        <v>2.4945063339588324E-5</v>
      </c>
      <c r="DM189" s="4">
        <f t="shared" si="366"/>
        <v>5.809475019311126</v>
      </c>
      <c r="DN189" s="4">
        <f t="shared" si="486"/>
        <v>0.55732684752630468</v>
      </c>
      <c r="DO189" s="4">
        <f t="shared" si="487"/>
        <v>4.5981260687888756</v>
      </c>
      <c r="DP189" s="4">
        <f t="shared" si="488"/>
        <v>5.2389764559133809</v>
      </c>
      <c r="DQ189" s="4">
        <f t="shared" si="489"/>
        <v>4.8539629856897069</v>
      </c>
      <c r="DR189" s="38">
        <f t="shared" si="513"/>
        <v>442.78967207138356</v>
      </c>
      <c r="DS189" s="4">
        <f t="shared" si="411"/>
        <v>1.0001454094918829</v>
      </c>
      <c r="DT189" s="4">
        <f t="shared" si="490"/>
        <v>2.2360679774997898</v>
      </c>
      <c r="DU189" s="4">
        <f t="shared" si="441"/>
        <v>181.10001159286537</v>
      </c>
      <c r="DY189" s="4">
        <f t="shared" si="387"/>
        <v>1</v>
      </c>
      <c r="DZ189" s="4">
        <f t="shared" si="412"/>
        <v>0.9</v>
      </c>
      <c r="EA189" s="4">
        <f t="shared" si="514"/>
        <v>1</v>
      </c>
      <c r="EB189" s="4">
        <f t="shared" si="414"/>
        <v>0.9</v>
      </c>
      <c r="ED189" s="4">
        <f t="shared" si="515"/>
        <v>406.28422719620022</v>
      </c>
      <c r="EE189" s="25">
        <f t="shared" si="516"/>
        <v>179.7147014430663</v>
      </c>
      <c r="EH189" s="4">
        <f t="shared" si="517"/>
        <v>5.809475019311126</v>
      </c>
      <c r="EK189" s="4">
        <f t="shared" si="491"/>
        <v>128.12669511073796</v>
      </c>
      <c r="EL189" s="4">
        <f t="shared" si="492"/>
        <v>2.2360679774997898</v>
      </c>
      <c r="EM189" s="4">
        <f t="shared" si="493"/>
        <v>0.19394238917557335</v>
      </c>
      <c r="EP189" s="4">
        <f t="shared" si="541"/>
        <v>0.19394238917557335</v>
      </c>
      <c r="EQ189" s="4">
        <f t="shared" si="542"/>
        <v>0.5563967728893876</v>
      </c>
      <c r="ER189" s="4">
        <f t="shared" si="371"/>
        <v>4.5950551645858413</v>
      </c>
      <c r="ES189" s="4">
        <f t="shared" si="388"/>
        <v>5.2376296069701249</v>
      </c>
      <c r="ET189" s="4">
        <f t="shared" si="372"/>
        <v>430.548304889262</v>
      </c>
      <c r="EU189" s="4">
        <f t="shared" si="373"/>
        <v>186.22500000000002</v>
      </c>
      <c r="EV189" s="4">
        <f t="shared" si="415"/>
        <v>2.4945063339588331E-5</v>
      </c>
      <c r="EW189" s="4">
        <f t="shared" si="389"/>
        <v>4.8542376831927685</v>
      </c>
      <c r="EX189" s="4">
        <f t="shared" si="466"/>
        <v>442.72529561110508</v>
      </c>
      <c r="FG189" s="23">
        <f t="shared" si="494"/>
        <v>1.4</v>
      </c>
      <c r="FH189" s="23">
        <f t="shared" si="494"/>
        <v>1.2</v>
      </c>
      <c r="FI189" s="23">
        <f t="shared" si="495"/>
        <v>1.6</v>
      </c>
      <c r="FJ189" s="23">
        <f t="shared" si="496"/>
        <v>2.2000000000000002</v>
      </c>
      <c r="FK189" s="23">
        <f t="shared" si="496"/>
        <v>1.4</v>
      </c>
      <c r="FL189" s="23">
        <f t="shared" si="496"/>
        <v>1.4</v>
      </c>
      <c r="FM189" s="23">
        <f t="shared" si="497"/>
        <v>0</v>
      </c>
      <c r="FN189" s="23"/>
      <c r="FX189" s="4">
        <f t="shared" si="416"/>
        <v>1</v>
      </c>
      <c r="FY189" s="4">
        <f t="shared" si="469"/>
        <v>0.56666666666666665</v>
      </c>
      <c r="FZ189" s="4">
        <f t="shared" si="417"/>
        <v>0</v>
      </c>
      <c r="GA189" s="4">
        <f t="shared" si="418"/>
        <v>384.22157275400093</v>
      </c>
    </row>
    <row r="190" spans="1:183" ht="12" customHeight="1" x14ac:dyDescent="0.3">
      <c r="A190" s="25">
        <v>172</v>
      </c>
      <c r="B190" s="24" t="s">
        <v>128</v>
      </c>
      <c r="C190" s="24">
        <v>2017</v>
      </c>
      <c r="D190" s="24" t="s">
        <v>309</v>
      </c>
      <c r="E190" s="24"/>
      <c r="F190" s="4" t="s">
        <v>179</v>
      </c>
      <c r="G190" s="7">
        <v>583</v>
      </c>
      <c r="H190" s="7">
        <f>16*K190</f>
        <v>916.8</v>
      </c>
      <c r="I190" s="7">
        <f t="shared" si="455"/>
        <v>916.8</v>
      </c>
      <c r="J190" s="7">
        <v>41.8</v>
      </c>
      <c r="K190" s="37">
        <v>57.3</v>
      </c>
      <c r="L190" s="7">
        <f t="shared" si="498"/>
        <v>16</v>
      </c>
      <c r="M190" s="7">
        <f t="shared" si="499"/>
        <v>16</v>
      </c>
      <c r="N190" s="7">
        <f t="shared" si="500"/>
        <v>584.46</v>
      </c>
      <c r="O190" s="7">
        <f t="shared" ref="O190" si="556">1*K190</f>
        <v>57.3</v>
      </c>
      <c r="P190" s="7">
        <f t="shared" si="501"/>
        <v>56</v>
      </c>
      <c r="Q190" s="7">
        <f t="shared" si="535"/>
        <v>355.26</v>
      </c>
      <c r="R190" s="7">
        <v>2</v>
      </c>
      <c r="S190" s="7">
        <f t="shared" si="547"/>
        <v>491.19999999999993</v>
      </c>
      <c r="T190" s="7">
        <f t="shared" si="475"/>
        <v>1.5</v>
      </c>
      <c r="U190" s="7">
        <f t="shared" si="459"/>
        <v>1.5</v>
      </c>
      <c r="V190" s="7">
        <f t="shared" si="472"/>
        <v>4</v>
      </c>
      <c r="W190" s="7">
        <f t="shared" si="472"/>
        <v>4</v>
      </c>
      <c r="X190" s="7">
        <f t="shared" si="431"/>
        <v>5</v>
      </c>
      <c r="Y190" s="7">
        <f t="shared" si="552"/>
        <v>128.12669511073796</v>
      </c>
      <c r="Z190" s="7">
        <f t="shared" si="461"/>
        <v>583</v>
      </c>
      <c r="AA190" s="7">
        <v>25</v>
      </c>
      <c r="AB190" s="7">
        <f>(510+510)/2</f>
        <v>510</v>
      </c>
      <c r="AC190" s="7"/>
      <c r="AD190" s="4">
        <f t="shared" si="476"/>
        <v>1.1290382156017438</v>
      </c>
      <c r="AE190" s="7"/>
      <c r="AF190" s="7"/>
      <c r="AG190" s="7">
        <v>1</v>
      </c>
      <c r="AH190" s="7"/>
      <c r="AI190" s="7"/>
      <c r="AJ190" s="7">
        <f t="shared" si="473"/>
        <v>6.6666666666666661</v>
      </c>
      <c r="AK190" s="4">
        <f t="shared" si="504"/>
        <v>916.8</v>
      </c>
      <c r="AL190" s="4">
        <f t="shared" si="505"/>
        <v>0.21250000000000002</v>
      </c>
      <c r="AM190" s="4">
        <f t="shared" si="506"/>
        <v>347.99333558360394</v>
      </c>
      <c r="AN190" s="4">
        <f t="shared" si="507"/>
        <v>0.71875</v>
      </c>
      <c r="AO190" s="4">
        <v>1.25</v>
      </c>
      <c r="AP190" s="4">
        <f t="shared" si="508"/>
        <v>2.5</v>
      </c>
      <c r="AQ190" s="38">
        <f t="shared" si="509"/>
        <v>166.0954519203969</v>
      </c>
      <c r="AR190" s="38">
        <f t="shared" si="510"/>
        <v>166.0954519203969</v>
      </c>
      <c r="AS190" s="38">
        <f t="shared" si="511"/>
        <v>3.613311826901703</v>
      </c>
      <c r="AT190" s="38">
        <f t="shared" si="450"/>
        <v>166.09545192039693</v>
      </c>
      <c r="AU190" s="38">
        <f t="shared" si="400"/>
        <v>0.99999999999999978</v>
      </c>
      <c r="AV190" s="38">
        <f t="shared" si="537"/>
        <v>1.5099751203314022</v>
      </c>
      <c r="AW190" s="4">
        <f t="shared" si="529"/>
        <v>0</v>
      </c>
      <c r="AX190" s="4">
        <f t="shared" si="379"/>
        <v>544.4456379029765</v>
      </c>
      <c r="AY190" s="4">
        <f t="shared" si="380"/>
        <v>1</v>
      </c>
      <c r="AZ190" s="38">
        <f t="shared" si="438"/>
        <v>250.79999999999998</v>
      </c>
      <c r="BA190" s="4">
        <f t="shared" si="381"/>
        <v>0.44000000000000006</v>
      </c>
      <c r="BB190" s="4">
        <f t="shared" si="401"/>
        <v>125.16805215389429</v>
      </c>
      <c r="BC190" s="4">
        <f t="shared" si="402"/>
        <v>375.96805215389429</v>
      </c>
      <c r="BE190" s="4">
        <f t="shared" si="451"/>
        <v>1</v>
      </c>
      <c r="BF190" s="4">
        <f t="shared" si="452"/>
        <v>504.29277210763195</v>
      </c>
      <c r="BH190" s="4">
        <f t="shared" si="463"/>
        <v>240.54787084142137</v>
      </c>
      <c r="BI190" s="4">
        <f t="shared" si="464"/>
        <v>450.3525339151019</v>
      </c>
      <c r="BJ190" s="4">
        <f t="shared" si="465"/>
        <v>1.8721950534826892</v>
      </c>
      <c r="BR190" s="4">
        <f t="shared" si="539"/>
        <v>57.3</v>
      </c>
      <c r="BV190" s="9"/>
      <c r="BX190" s="9"/>
      <c r="BY190" s="9"/>
      <c r="BZ190" s="9">
        <f t="shared" si="383"/>
        <v>56</v>
      </c>
      <c r="CA190" s="9">
        <f t="shared" si="384"/>
        <v>177.63</v>
      </c>
      <c r="CB190" s="9">
        <f t="shared" si="403"/>
        <v>1.1754818988273255</v>
      </c>
      <c r="CC190" s="9">
        <v>0</v>
      </c>
      <c r="CD190" s="9">
        <f t="shared" si="518"/>
        <v>0</v>
      </c>
      <c r="CE190" s="9">
        <f t="shared" si="404"/>
        <v>0</v>
      </c>
      <c r="CF190" s="9">
        <f t="shared" si="385"/>
        <v>0.77971450958075206</v>
      </c>
      <c r="CG190" s="9">
        <f t="shared" si="386"/>
        <v>0.87549999999999994</v>
      </c>
      <c r="CH190" s="9">
        <f t="shared" si="405"/>
        <v>1.5447135341285001</v>
      </c>
      <c r="CI190" s="9">
        <f t="shared" si="406"/>
        <v>1.8157827982416379</v>
      </c>
      <c r="CJ190" s="9">
        <v>1</v>
      </c>
      <c r="CK190" s="9">
        <f t="shared" si="407"/>
        <v>225.15706698196311</v>
      </c>
      <c r="CM190" s="4">
        <f t="shared" si="477"/>
        <v>0.9367326404971309</v>
      </c>
      <c r="CN190" s="4">
        <f t="shared" si="478"/>
        <v>1.3564982372258658</v>
      </c>
      <c r="CO190" s="4">
        <f t="shared" si="479"/>
        <v>1.0113172906851617</v>
      </c>
      <c r="CP190" s="4">
        <f t="shared" si="480"/>
        <v>2.265085466053149</v>
      </c>
      <c r="CQ190" s="4">
        <f t="shared" si="481"/>
        <v>1.1290382156017438</v>
      </c>
      <c r="CR190" s="4">
        <f t="shared" si="482"/>
        <v>1.2140631955584191</v>
      </c>
      <c r="CS190" s="4">
        <f t="shared" si="483"/>
        <v>1.3374929414311942</v>
      </c>
      <c r="CU190" s="4">
        <f t="shared" si="553"/>
        <v>0.9367326404971309</v>
      </c>
      <c r="CV190" s="4">
        <f t="shared" si="553"/>
        <v>1.3564982372258658</v>
      </c>
      <c r="CW190" s="4">
        <f>CP190</f>
        <v>2.265085466053149</v>
      </c>
      <c r="CX190" s="4">
        <f t="shared" si="554"/>
        <v>1.3374929414311942</v>
      </c>
      <c r="CY190" s="4">
        <f t="shared" si="555"/>
        <v>1.1290382156017438</v>
      </c>
      <c r="CZ190" s="4">
        <f t="shared" si="555"/>
        <v>1.2140631955584191</v>
      </c>
      <c r="DH190" s="4">
        <f t="shared" si="362"/>
        <v>0</v>
      </c>
      <c r="DI190" s="4">
        <f t="shared" si="453"/>
        <v>916.8</v>
      </c>
      <c r="DL190" s="4">
        <f t="shared" si="485"/>
        <v>3.0965438467699871E-5</v>
      </c>
      <c r="DM190" s="4">
        <f t="shared" si="366"/>
        <v>5.3117793628877328</v>
      </c>
      <c r="DN190" s="4">
        <f t="shared" si="486"/>
        <v>0.49525397314162617</v>
      </c>
      <c r="DO190" s="4">
        <f t="shared" si="487"/>
        <v>4.0102478497857943</v>
      </c>
      <c r="DP190" s="4">
        <f t="shared" si="488"/>
        <v>4.7063105644554275</v>
      </c>
      <c r="DQ190" s="4">
        <f t="shared" si="489"/>
        <v>4.1212073343230777</v>
      </c>
      <c r="DR190" s="38">
        <f t="shared" si="513"/>
        <v>451.71190217700928</v>
      </c>
      <c r="DS190" s="4">
        <f t="shared" si="411"/>
        <v>1.0001406096231449</v>
      </c>
      <c r="DT190" s="4">
        <f t="shared" si="490"/>
        <v>2.2360679774997898</v>
      </c>
      <c r="DU190" s="4">
        <f t="shared" si="441"/>
        <v>166.09545192039693</v>
      </c>
      <c r="DY190" s="4">
        <f t="shared" si="387"/>
        <v>1</v>
      </c>
      <c r="DZ190" s="4">
        <f t="shared" si="412"/>
        <v>1</v>
      </c>
      <c r="EA190" s="4">
        <f t="shared" si="514"/>
        <v>1</v>
      </c>
      <c r="EB190" s="4">
        <f t="shared" si="414"/>
        <v>1</v>
      </c>
      <c r="ED190" s="4">
        <f t="shared" si="515"/>
        <v>420.07697940750188</v>
      </c>
      <c r="EE190" s="25">
        <f t="shared" si="516"/>
        <v>165.11156998889066</v>
      </c>
      <c r="EH190" s="4">
        <f t="shared" si="517"/>
        <v>5.3117793628877328</v>
      </c>
      <c r="EK190" s="4">
        <f t="shared" si="491"/>
        <v>128.12669511073796</v>
      </c>
      <c r="EL190" s="4">
        <f t="shared" si="492"/>
        <v>2.2360679774997898</v>
      </c>
      <c r="EM190" s="4">
        <f t="shared" si="493"/>
        <v>0.17508598130474001</v>
      </c>
      <c r="EP190" s="4">
        <f t="shared" si="541"/>
        <v>0.17508598130474001</v>
      </c>
      <c r="EQ190" s="4">
        <f t="shared" si="542"/>
        <v>0.4944274865632457</v>
      </c>
      <c r="ER190" s="4">
        <f t="shared" si="371"/>
        <v>4.0075695658951647</v>
      </c>
      <c r="ES190" s="4">
        <f t="shared" si="388"/>
        <v>4.7051704844984386</v>
      </c>
      <c r="ET190" s="4">
        <f t="shared" si="372"/>
        <v>559.47330488926195</v>
      </c>
      <c r="EU190" s="4">
        <f t="shared" si="373"/>
        <v>229.20000000000005</v>
      </c>
      <c r="EV190" s="4">
        <f t="shared" si="415"/>
        <v>3.0965438467699885E-5</v>
      </c>
      <c r="EW190" s="4">
        <f t="shared" si="389"/>
        <v>4.1215183244109621</v>
      </c>
      <c r="EX190" s="4">
        <f t="shared" si="466"/>
        <v>451.64839606624446</v>
      </c>
      <c r="FG190" s="23">
        <f t="shared" si="494"/>
        <v>1</v>
      </c>
      <c r="FH190" s="23">
        <f t="shared" si="494"/>
        <v>1.4</v>
      </c>
      <c r="FI190" s="23">
        <f t="shared" si="495"/>
        <v>1.4</v>
      </c>
      <c r="FJ190" s="23">
        <f t="shared" si="496"/>
        <v>2.2000000000000002</v>
      </c>
      <c r="FK190" s="23">
        <f t="shared" si="496"/>
        <v>1.2</v>
      </c>
      <c r="FL190" s="23">
        <f t="shared" si="496"/>
        <v>1.4</v>
      </c>
      <c r="FM190" s="23">
        <f t="shared" si="497"/>
        <v>0</v>
      </c>
      <c r="FN190" s="23"/>
      <c r="FX190" s="4">
        <f t="shared" si="416"/>
        <v>1.25</v>
      </c>
      <c r="FY190" s="4">
        <f t="shared" si="469"/>
        <v>0.56666666666666665</v>
      </c>
      <c r="FZ190" s="4">
        <f t="shared" si="417"/>
        <v>0</v>
      </c>
      <c r="GA190" s="4">
        <f t="shared" si="418"/>
        <v>381.31042355578393</v>
      </c>
    </row>
    <row r="191" spans="1:183" ht="12" customHeight="1" x14ac:dyDescent="0.3">
      <c r="A191" s="25">
        <v>173</v>
      </c>
      <c r="B191" s="24" t="s">
        <v>128</v>
      </c>
      <c r="C191" s="24">
        <v>2017</v>
      </c>
      <c r="D191" s="24" t="s">
        <v>309</v>
      </c>
      <c r="E191" s="24"/>
      <c r="F191" s="4" t="s">
        <v>180</v>
      </c>
      <c r="G191" s="7">
        <v>583</v>
      </c>
      <c r="H191" s="7">
        <f>16*K191</f>
        <v>916.8</v>
      </c>
      <c r="I191" s="7">
        <f t="shared" si="455"/>
        <v>916.8</v>
      </c>
      <c r="J191" s="7">
        <v>41.8</v>
      </c>
      <c r="K191" s="37">
        <v>57.3</v>
      </c>
      <c r="L191" s="7">
        <f t="shared" si="498"/>
        <v>16</v>
      </c>
      <c r="M191" s="7">
        <f t="shared" si="499"/>
        <v>16</v>
      </c>
      <c r="N191" s="7">
        <f t="shared" si="500"/>
        <v>699.06000000000006</v>
      </c>
      <c r="O191" s="7">
        <f>2*K191</f>
        <v>114.6</v>
      </c>
      <c r="P191" s="7">
        <f t="shared" si="501"/>
        <v>56</v>
      </c>
      <c r="Q191" s="7">
        <f t="shared" si="535"/>
        <v>355.26</v>
      </c>
      <c r="R191" s="7">
        <v>2</v>
      </c>
      <c r="S191" s="7">
        <f t="shared" si="547"/>
        <v>491.19999999999993</v>
      </c>
      <c r="T191" s="7">
        <f t="shared" si="475"/>
        <v>2.5</v>
      </c>
      <c r="U191" s="7">
        <f t="shared" si="459"/>
        <v>2.5</v>
      </c>
      <c r="V191" s="7">
        <f t="shared" si="472"/>
        <v>4</v>
      </c>
      <c r="W191" s="7">
        <f t="shared" si="472"/>
        <v>4</v>
      </c>
      <c r="X191" s="7">
        <f t="shared" si="431"/>
        <v>5</v>
      </c>
      <c r="Y191" s="7">
        <f t="shared" si="552"/>
        <v>128.12669511073796</v>
      </c>
      <c r="Z191" s="7">
        <f t="shared" si="461"/>
        <v>583</v>
      </c>
      <c r="AA191" s="7">
        <v>25</v>
      </c>
      <c r="AB191" s="7">
        <f>(588+588)/2</f>
        <v>588</v>
      </c>
      <c r="AC191" s="7"/>
      <c r="AD191" s="4">
        <f t="shared" si="476"/>
        <v>1.118054357765794</v>
      </c>
      <c r="AE191" s="7"/>
      <c r="AF191" s="7"/>
      <c r="AG191" s="7">
        <v>1</v>
      </c>
      <c r="AH191" s="7"/>
      <c r="AI191" s="7"/>
      <c r="AJ191" s="7">
        <f t="shared" si="473"/>
        <v>6.6666666666666661</v>
      </c>
      <c r="AK191" s="4">
        <f t="shared" si="504"/>
        <v>916.8</v>
      </c>
      <c r="AL191" s="4">
        <f t="shared" si="505"/>
        <v>0.25416666666666665</v>
      </c>
      <c r="AM191" s="4">
        <f t="shared" si="506"/>
        <v>347.99333558360394</v>
      </c>
      <c r="AN191" s="4">
        <f t="shared" si="507"/>
        <v>0.73124999999999996</v>
      </c>
      <c r="AO191" s="4">
        <v>1.25</v>
      </c>
      <c r="AP191" s="4">
        <f>AP190</f>
        <v>2.5</v>
      </c>
      <c r="AQ191" s="38">
        <f t="shared" si="509"/>
        <v>202.11819954916837</v>
      </c>
      <c r="AR191" s="38">
        <f t="shared" si="510"/>
        <v>202.11819954916837</v>
      </c>
      <c r="AS191" s="38">
        <f t="shared" si="511"/>
        <v>3.613311826901703</v>
      </c>
      <c r="AT191" s="38">
        <f t="shared" si="450"/>
        <v>202.11819954916842</v>
      </c>
      <c r="AU191" s="38">
        <f t="shared" si="400"/>
        <v>0.99999999999999967</v>
      </c>
      <c r="AV191" s="38">
        <f t="shared" si="537"/>
        <v>2.068096791542589</v>
      </c>
      <c r="AW191" s="4">
        <f t="shared" si="529"/>
        <v>0</v>
      </c>
      <c r="AX191" s="4">
        <f t="shared" si="379"/>
        <v>544.4456379029765</v>
      </c>
      <c r="AY191" s="4">
        <f t="shared" si="380"/>
        <v>1</v>
      </c>
      <c r="AZ191" s="38">
        <f t="shared" si="438"/>
        <v>418</v>
      </c>
      <c r="BA191" s="4">
        <f t="shared" si="381"/>
        <v>0.44000000000000006</v>
      </c>
      <c r="BB191" s="4">
        <f t="shared" si="401"/>
        <v>125.16805215389429</v>
      </c>
      <c r="BC191" s="4">
        <f t="shared" si="402"/>
        <v>543.16805215389434</v>
      </c>
      <c r="BE191" s="4">
        <f t="shared" si="451"/>
        <v>1.25</v>
      </c>
      <c r="BF191" s="4">
        <f t="shared" si="452"/>
        <v>630.36596513453992</v>
      </c>
      <c r="BH191" s="4">
        <f t="shared" si="463"/>
        <v>400.91311806903559</v>
      </c>
      <c r="BI191" s="4">
        <f t="shared" si="464"/>
        <v>450.3525339151019</v>
      </c>
      <c r="BJ191" s="4">
        <f t="shared" si="465"/>
        <v>1.1233170320896135</v>
      </c>
      <c r="BR191" s="4">
        <f t="shared" si="539"/>
        <v>114.6</v>
      </c>
      <c r="BV191" s="9"/>
      <c r="BX191" s="9"/>
      <c r="BY191" s="9"/>
      <c r="BZ191" s="9">
        <f t="shared" si="383"/>
        <v>56</v>
      </c>
      <c r="CA191" s="9">
        <f t="shared" si="384"/>
        <v>177.63</v>
      </c>
      <c r="CB191" s="9">
        <f t="shared" si="403"/>
        <v>1.1754818988273255</v>
      </c>
      <c r="CC191" s="9">
        <v>0</v>
      </c>
      <c r="CD191" s="9">
        <f t="shared" si="518"/>
        <v>0</v>
      </c>
      <c r="CE191" s="9">
        <f t="shared" si="404"/>
        <v>0</v>
      </c>
      <c r="CF191" s="9">
        <f t="shared" si="385"/>
        <v>0.77971450958075206</v>
      </c>
      <c r="CG191" s="9">
        <f t="shared" si="386"/>
        <v>0.87549999999999994</v>
      </c>
      <c r="CH191" s="9">
        <f t="shared" si="405"/>
        <v>1.5447135341285001</v>
      </c>
      <c r="CI191" s="9">
        <f t="shared" si="406"/>
        <v>1.8157827982416379</v>
      </c>
      <c r="CJ191" s="9">
        <v>1</v>
      </c>
      <c r="CK191" s="9">
        <f t="shared" si="407"/>
        <v>225.15706698196311</v>
      </c>
      <c r="CM191" s="4">
        <f t="shared" si="477"/>
        <v>1.0799976325731626</v>
      </c>
      <c r="CN191" s="4">
        <f t="shared" si="478"/>
        <v>1.0825378953499341</v>
      </c>
      <c r="CO191" s="4">
        <f t="shared" si="479"/>
        <v>0.93279147752607849</v>
      </c>
      <c r="CP191" s="4">
        <f t="shared" si="480"/>
        <v>2.6115103020377481</v>
      </c>
      <c r="CQ191" s="4">
        <f t="shared" si="481"/>
        <v>1.118054357765794</v>
      </c>
      <c r="CR191" s="4">
        <f t="shared" si="482"/>
        <v>1.2142589675863487</v>
      </c>
      <c r="CS191" s="4">
        <f t="shared" si="483"/>
        <v>1.2336405483318309</v>
      </c>
      <c r="CU191" s="4">
        <f t="shared" si="553"/>
        <v>1.0799976325731626</v>
      </c>
      <c r="CV191" s="4">
        <f t="shared" si="553"/>
        <v>1.0825378953499341</v>
      </c>
      <c r="CW191" s="4">
        <f>CP191</f>
        <v>2.6115103020377481</v>
      </c>
      <c r="CX191" s="4">
        <f t="shared" si="554"/>
        <v>1.2336405483318309</v>
      </c>
      <c r="CY191" s="4">
        <f t="shared" si="555"/>
        <v>1.118054357765794</v>
      </c>
      <c r="CZ191" s="4">
        <f t="shared" si="555"/>
        <v>1.2142589675863487</v>
      </c>
      <c r="DH191" s="4">
        <f t="shared" ref="DH191:DH247" si="557">AF191</f>
        <v>0</v>
      </c>
      <c r="DI191" s="4">
        <f t="shared" si="453"/>
        <v>916.8</v>
      </c>
      <c r="DL191" s="4">
        <f t="shared" si="485"/>
        <v>3.0965438467699871E-5</v>
      </c>
      <c r="DM191" s="4">
        <f t="shared" ref="DM191:DM254" si="558">EH191</f>
        <v>5.9019770698752589</v>
      </c>
      <c r="DN191" s="4">
        <f t="shared" si="486"/>
        <v>0.6026645535058458</v>
      </c>
      <c r="DO191" s="4">
        <f t="shared" si="487"/>
        <v>4.8197862381440757</v>
      </c>
      <c r="DP191" s="4">
        <f t="shared" si="488"/>
        <v>5.3881474261259941</v>
      </c>
      <c r="DQ191" s="4">
        <f t="shared" si="489"/>
        <v>4.390494243913488</v>
      </c>
      <c r="DR191" s="38">
        <f t="shared" si="513"/>
        <v>525.91360689743146</v>
      </c>
      <c r="DS191" s="4">
        <f t="shared" si="411"/>
        <v>1.0001486407882336</v>
      </c>
      <c r="DT191" s="4">
        <f t="shared" si="490"/>
        <v>2.2360679774997898</v>
      </c>
      <c r="DU191" s="4">
        <f t="shared" si="441"/>
        <v>202.11819954916842</v>
      </c>
      <c r="DY191" s="4">
        <f t="shared" si="387"/>
        <v>1</v>
      </c>
      <c r="DZ191" s="4">
        <f t="shared" si="412"/>
        <v>0.9</v>
      </c>
      <c r="EA191" s="4">
        <f t="shared" si="514"/>
        <v>1</v>
      </c>
      <c r="EB191" s="4">
        <f t="shared" si="414"/>
        <v>0.9</v>
      </c>
      <c r="ED191" s="4">
        <f t="shared" si="515"/>
        <v>484.24596045504273</v>
      </c>
      <c r="EE191" s="25">
        <f t="shared" si="516"/>
        <v>200.95106110103035</v>
      </c>
      <c r="EH191" s="4">
        <f t="shared" si="517"/>
        <v>5.9019770698752589</v>
      </c>
      <c r="EK191" s="4">
        <f t="shared" si="491"/>
        <v>128.12669511073796</v>
      </c>
      <c r="EL191" s="4">
        <f t="shared" si="492"/>
        <v>2.2360679774997898</v>
      </c>
      <c r="EM191" s="4">
        <f t="shared" si="493"/>
        <v>0.21305859310689335</v>
      </c>
      <c r="EP191" s="4">
        <f t="shared" si="541"/>
        <v>0.21305859310689335</v>
      </c>
      <c r="EQ191" s="4">
        <f t="shared" si="542"/>
        <v>0.60165881868744842</v>
      </c>
      <c r="ER191" s="4">
        <f t="shared" ref="ER191:ER254" si="559">EH191/1*EQ191^0.4</f>
        <v>4.816567295993508</v>
      </c>
      <c r="ES191" s="4">
        <f t="shared" si="388"/>
        <v>5.3867083605866668</v>
      </c>
      <c r="ET191" s="4">
        <f t="shared" ref="ET191:ET254" si="560">MAX(0,DI191*ET$9-EK191)</f>
        <v>559.47330488926195</v>
      </c>
      <c r="EU191" s="4">
        <f t="shared" ref="EU191:EU254" si="561">MAX(0,DI191-EK191-ET191)</f>
        <v>229.20000000000005</v>
      </c>
      <c r="EV191" s="4">
        <f t="shared" si="415"/>
        <v>3.0965438467699885E-5</v>
      </c>
      <c r="EW191" s="4">
        <f t="shared" si="389"/>
        <v>4.3909213846038186</v>
      </c>
      <c r="EX191" s="4">
        <f t="shared" si="466"/>
        <v>525.83544630221195</v>
      </c>
      <c r="FG191" s="23">
        <f t="shared" si="494"/>
        <v>1.2</v>
      </c>
      <c r="FH191" s="23">
        <f t="shared" si="494"/>
        <v>1.2</v>
      </c>
      <c r="FI191" s="23">
        <f t="shared" si="495"/>
        <v>1.4</v>
      </c>
      <c r="FJ191" s="23">
        <f t="shared" si="496"/>
        <v>2.2000000000000002</v>
      </c>
      <c r="FK191" s="23">
        <f t="shared" si="496"/>
        <v>1.2</v>
      </c>
      <c r="FL191" s="23">
        <f t="shared" si="496"/>
        <v>1.4</v>
      </c>
      <c r="FM191" s="23">
        <f t="shared" si="497"/>
        <v>0</v>
      </c>
      <c r="FN191" s="23"/>
      <c r="FX191" s="4">
        <f t="shared" si="416"/>
        <v>1</v>
      </c>
      <c r="FY191" s="4">
        <f t="shared" si="469"/>
        <v>0.56666666666666665</v>
      </c>
      <c r="FZ191" s="4">
        <f t="shared" si="417"/>
        <v>0</v>
      </c>
      <c r="GA191" s="4">
        <f t="shared" si="418"/>
        <v>476.63802944472991</v>
      </c>
    </row>
    <row r="192" spans="1:183" ht="12" customHeight="1" x14ac:dyDescent="0.3">
      <c r="A192" s="25">
        <v>174</v>
      </c>
      <c r="B192" s="24" t="s">
        <v>128</v>
      </c>
      <c r="C192" s="24">
        <v>2017</v>
      </c>
      <c r="D192" s="24" t="s">
        <v>309</v>
      </c>
      <c r="E192" s="24"/>
      <c r="F192" s="4" t="s">
        <v>153</v>
      </c>
      <c r="G192" s="7">
        <v>661</v>
      </c>
      <c r="H192" s="7">
        <f>4*K192</f>
        <v>88.8</v>
      </c>
      <c r="I192" s="7">
        <f t="shared" si="455"/>
        <v>88.8</v>
      </c>
      <c r="J192" s="7">
        <v>225.5</v>
      </c>
      <c r="K192" s="7">
        <v>22.2</v>
      </c>
      <c r="L192" s="7">
        <f t="shared" si="498"/>
        <v>4</v>
      </c>
      <c r="M192" s="7">
        <f t="shared" si="499"/>
        <v>4</v>
      </c>
      <c r="N192" s="7">
        <v>366</v>
      </c>
      <c r="O192" s="7">
        <f>1*K192</f>
        <v>22.2</v>
      </c>
      <c r="P192" s="7">
        <f>118-I192</f>
        <v>29.200000000000003</v>
      </c>
      <c r="Q192" s="7">
        <f>N192-2*K192-2*O192</f>
        <v>277.20000000000005</v>
      </c>
      <c r="R192" s="7">
        <v>2</v>
      </c>
      <c r="S192" s="7">
        <f>2/3*H192</f>
        <v>59.199999999999996</v>
      </c>
      <c r="T192" s="7">
        <f t="shared" si="475"/>
        <v>1.5</v>
      </c>
      <c r="U192" s="7">
        <f t="shared" si="459"/>
        <v>1.5</v>
      </c>
      <c r="V192" s="7">
        <f t="shared" si="472"/>
        <v>4</v>
      </c>
      <c r="W192" s="7">
        <f t="shared" si="472"/>
        <v>4</v>
      </c>
      <c r="X192" s="7">
        <f t="shared" si="431"/>
        <v>5</v>
      </c>
      <c r="Y192" s="7">
        <f t="shared" si="552"/>
        <v>49.640709100495329</v>
      </c>
      <c r="Z192" s="7">
        <f t="shared" si="461"/>
        <v>661</v>
      </c>
      <c r="AA192" s="7">
        <v>8</v>
      </c>
      <c r="AB192" s="7">
        <f>(853+842)/2</f>
        <v>847.5</v>
      </c>
      <c r="AC192" s="7"/>
      <c r="AD192" s="4">
        <f t="shared" si="476"/>
        <v>1</v>
      </c>
      <c r="AE192" s="7"/>
      <c r="AF192" s="7"/>
      <c r="AG192" s="7">
        <v>1</v>
      </c>
      <c r="AH192" s="7"/>
      <c r="AI192" s="7"/>
      <c r="AJ192" s="7">
        <f t="shared" si="473"/>
        <v>0.88977955911823625</v>
      </c>
      <c r="AK192" s="4">
        <f>H192</f>
        <v>88.8</v>
      </c>
      <c r="AL192" s="4">
        <f t="shared" si="505"/>
        <v>1.25</v>
      </c>
      <c r="AM192" s="4">
        <f t="shared" si="506"/>
        <v>162.318079587065</v>
      </c>
      <c r="AN192" s="4">
        <f t="shared" si="507"/>
        <v>0.77499999999999991</v>
      </c>
      <c r="AO192" s="4">
        <v>1.25</v>
      </c>
      <c r="AP192" s="47">
        <v>5</v>
      </c>
      <c r="AQ192" s="38">
        <f t="shared" si="509"/>
        <v>982.7852474998075</v>
      </c>
      <c r="AR192" s="38">
        <f t="shared" si="510"/>
        <v>982.7852474998075</v>
      </c>
      <c r="AS192" s="38">
        <f t="shared" si="511"/>
        <v>6.7681675210006302</v>
      </c>
      <c r="AT192" s="38">
        <f t="shared" si="450"/>
        <v>1080.1783801349238</v>
      </c>
      <c r="AU192" s="38">
        <f t="shared" si="400"/>
        <v>0.90983606557377028</v>
      </c>
      <c r="AV192" s="38">
        <f t="shared" si="537"/>
        <v>1.2525708946618597</v>
      </c>
      <c r="AW192" s="4">
        <f t="shared" si="529"/>
        <v>0</v>
      </c>
      <c r="AX192" s="4">
        <f t="shared" si="379"/>
        <v>316.14015616170963</v>
      </c>
      <c r="AY192" s="4">
        <f t="shared" si="380"/>
        <v>1</v>
      </c>
      <c r="AZ192" s="38">
        <f t="shared" si="438"/>
        <v>1353</v>
      </c>
      <c r="BA192" s="4">
        <f t="shared" si="381"/>
        <v>0.44000000000000006</v>
      </c>
      <c r="BB192" s="4">
        <f t="shared" si="401"/>
        <v>72.680621901577041</v>
      </c>
      <c r="BC192" s="4">
        <f t="shared" si="402"/>
        <v>1425.6806219015771</v>
      </c>
      <c r="BE192" s="4">
        <f t="shared" si="451"/>
        <v>1</v>
      </c>
      <c r="BF192" s="4">
        <f t="shared" si="452"/>
        <v>630.69961154261068</v>
      </c>
      <c r="BH192" s="4">
        <f t="shared" si="463"/>
        <v>1297.6924611181944</v>
      </c>
      <c r="BI192" s="4">
        <f t="shared" si="464"/>
        <v>3606.2915864545262</v>
      </c>
      <c r="BJ192" s="4">
        <f t="shared" si="465"/>
        <v>2.779003265031732</v>
      </c>
      <c r="BR192" s="4">
        <f t="shared" si="539"/>
        <v>22.2</v>
      </c>
      <c r="BV192" s="9"/>
      <c r="BX192" s="9"/>
      <c r="BY192" s="9"/>
      <c r="BZ192" s="9">
        <f t="shared" si="383"/>
        <v>22.2</v>
      </c>
      <c r="CA192" s="9">
        <f t="shared" si="384"/>
        <v>138.60000000000002</v>
      </c>
      <c r="CB192" s="9">
        <f t="shared" si="403"/>
        <v>1.3161686388047049</v>
      </c>
      <c r="CC192" s="9">
        <v>0</v>
      </c>
      <c r="CD192" s="9">
        <f t="shared" si="518"/>
        <v>0</v>
      </c>
      <c r="CE192" s="9">
        <f t="shared" si="404"/>
        <v>0</v>
      </c>
      <c r="CF192" s="9">
        <f t="shared" si="385"/>
        <v>1</v>
      </c>
      <c r="CG192" s="9">
        <f t="shared" si="386"/>
        <v>0.78899999999999992</v>
      </c>
      <c r="CH192" s="9">
        <f t="shared" si="405"/>
        <v>4.1468499458926642</v>
      </c>
      <c r="CI192" s="9">
        <f t="shared" si="406"/>
        <v>5.4579538486129122</v>
      </c>
      <c r="CJ192" s="9">
        <v>1</v>
      </c>
      <c r="CK192" s="9">
        <f t="shared" si="407"/>
        <v>414.80449249458132</v>
      </c>
      <c r="CM192" s="4">
        <f t="shared" si="477"/>
        <v>2.6807730162772905</v>
      </c>
      <c r="CN192" s="4">
        <f t="shared" si="478"/>
        <v>0.59445291391391852</v>
      </c>
      <c r="CO192" s="4">
        <f t="shared" si="479"/>
        <v>1.343745872820697</v>
      </c>
      <c r="CP192" s="4">
        <f t="shared" si="480"/>
        <v>2.0431311987564142</v>
      </c>
      <c r="CQ192" s="44">
        <f t="shared" si="481"/>
        <v>1</v>
      </c>
      <c r="CR192" s="4">
        <f t="shared" si="482"/>
        <v>1</v>
      </c>
      <c r="CS192" s="4">
        <f t="shared" si="483"/>
        <v>3.203833724920901</v>
      </c>
      <c r="CU192" s="4">
        <f t="shared" si="553"/>
        <v>2.6807730162772905</v>
      </c>
      <c r="CV192" s="4">
        <f t="shared" si="553"/>
        <v>0.59445291391391852</v>
      </c>
      <c r="CW192" s="4">
        <f t="shared" ref="CW192:CW224" si="562">CP192</f>
        <v>2.0431311987564142</v>
      </c>
      <c r="CX192" s="4">
        <f t="shared" si="554"/>
        <v>3.203833724920901</v>
      </c>
      <c r="CY192" s="4">
        <f t="shared" si="555"/>
        <v>1</v>
      </c>
      <c r="CZ192" s="4">
        <f t="shared" si="555"/>
        <v>1</v>
      </c>
      <c r="DH192" s="4">
        <f t="shared" si="557"/>
        <v>0</v>
      </c>
      <c r="DI192" s="4">
        <f t="shared" si="453"/>
        <v>88.8</v>
      </c>
      <c r="DL192" s="4">
        <f t="shared" si="485"/>
        <v>2.8168411137544479E-5</v>
      </c>
      <c r="DM192" s="4">
        <f t="shared" si="558"/>
        <v>16.127376482335833</v>
      </c>
      <c r="DN192" s="4">
        <f t="shared" si="486"/>
        <v>0.23130967389770252</v>
      </c>
      <c r="DO192" s="4">
        <f t="shared" si="487"/>
        <v>8.9792743880390749</v>
      </c>
      <c r="DP192" s="4">
        <f t="shared" si="488"/>
        <v>13.055957437041979</v>
      </c>
      <c r="DQ192" s="4">
        <f t="shared" si="489"/>
        <v>15.366250826866818</v>
      </c>
      <c r="DR192" s="38">
        <f t="shared" si="513"/>
        <v>847.5</v>
      </c>
      <c r="DS192" s="4">
        <f t="shared" si="411"/>
        <v>1</v>
      </c>
      <c r="DT192" s="4">
        <f t="shared" si="490"/>
        <v>2.2360679774997898</v>
      </c>
      <c r="DU192" s="4">
        <f t="shared" si="441"/>
        <v>1080.1783801349238</v>
      </c>
      <c r="DY192" s="4">
        <f t="shared" si="387"/>
        <v>0.85</v>
      </c>
      <c r="DZ192" s="4">
        <f t="shared" si="412"/>
        <v>1</v>
      </c>
      <c r="EA192" s="4">
        <f t="shared" si="514"/>
        <v>1</v>
      </c>
      <c r="EB192" s="4">
        <f t="shared" si="414"/>
        <v>1</v>
      </c>
      <c r="ED192" s="4">
        <f t="shared" si="515"/>
        <v>847.5</v>
      </c>
      <c r="EE192" s="25">
        <f>26.5*N192*H192^0.5*J192^0.5/R192/K192^2*(0.7+O192/5/H192)</f>
        <v>1044.3162458944753</v>
      </c>
      <c r="EH192" s="4">
        <f t="shared" si="517"/>
        <v>16.127376482335833</v>
      </c>
      <c r="EK192" s="4">
        <f t="shared" si="491"/>
        <v>49.640709100495329</v>
      </c>
      <c r="EL192" s="4">
        <f t="shared" si="492"/>
        <v>2.2360679774997898</v>
      </c>
      <c r="EM192" s="4">
        <f t="shared" si="493"/>
        <v>0.18993383393437457</v>
      </c>
      <c r="EP192" s="4">
        <f t="shared" si="541"/>
        <v>0.18993383393437457</v>
      </c>
      <c r="EQ192" s="4">
        <f t="shared" si="542"/>
        <v>0.23092366116223015</v>
      </c>
      <c r="ER192" s="4">
        <f t="shared" si="559"/>
        <v>8.9732774903799175</v>
      </c>
      <c r="ES192" s="4">
        <f t="shared" si="388"/>
        <v>13.053909774486275</v>
      </c>
      <c r="ET192" s="4">
        <f t="shared" si="560"/>
        <v>16.959290899504666</v>
      </c>
      <c r="EU192" s="4">
        <f t="shared" si="561"/>
        <v>22.200000000000003</v>
      </c>
      <c r="EV192" s="4">
        <f t="shared" si="415"/>
        <v>2.8168411137544483E-5</v>
      </c>
      <c r="EW192" s="4">
        <f t="shared" si="389"/>
        <v>15.366549833999832</v>
      </c>
      <c r="EX192" s="4">
        <f t="shared" si="466"/>
        <v>847.5</v>
      </c>
      <c r="FG192" s="23">
        <f t="shared" ref="FG192:FH211" si="563">IF(CM192&lt;0.6,0.6,IF(CM192&lt;0.8,0.8,IF(CM192&lt;1,1,IF(CM192&lt;1.2,1.2,IF(CM192&lt;1.4,1.4,IF(CM192&lt;1.6,1.6,IF(CM192&lt;1.8,1.8,IF(CM192&lt;2,2,2.2))))))))</f>
        <v>2.2000000000000002</v>
      </c>
      <c r="FH192" s="23">
        <f t="shared" si="563"/>
        <v>0.6</v>
      </c>
      <c r="FI192" s="23">
        <f t="shared" si="495"/>
        <v>2.2000000000000002</v>
      </c>
      <c r="FJ192" s="23">
        <f t="shared" ref="FJ192:FL211" si="564">IF(CP192&lt;0.6,0.6,IF(CP192&lt;0.8,0.8,IF(CP192&lt;1,1,IF(CP192&lt;1.2,1.2,IF(CP192&lt;1.4,1.4,IF(CP192&lt;1.6,1.6,IF(CP192&lt;1.8,1.8,IF(CP192&lt;2,2,2.2))))))))</f>
        <v>2.2000000000000002</v>
      </c>
      <c r="FK192" s="23">
        <f t="shared" si="564"/>
        <v>1.2</v>
      </c>
      <c r="FL192" s="23">
        <f t="shared" si="564"/>
        <v>1.2</v>
      </c>
      <c r="FM192" s="23">
        <f t="shared" si="497"/>
        <v>0</v>
      </c>
      <c r="FN192" s="23"/>
      <c r="FX192" s="4">
        <f t="shared" si="416"/>
        <v>1.25</v>
      </c>
      <c r="FY192" s="4">
        <f t="shared" si="469"/>
        <v>0.5</v>
      </c>
      <c r="FZ192" s="4">
        <f t="shared" si="417"/>
        <v>0</v>
      </c>
      <c r="GA192" s="4">
        <f t="shared" si="418"/>
        <v>264.52683652330421</v>
      </c>
    </row>
    <row r="193" spans="1:183" ht="12" customHeight="1" x14ac:dyDescent="0.3">
      <c r="A193" s="25">
        <v>175</v>
      </c>
      <c r="B193" s="24" t="s">
        <v>128</v>
      </c>
      <c r="C193" s="24">
        <v>2017</v>
      </c>
      <c r="D193" s="24" t="s">
        <v>309</v>
      </c>
      <c r="E193" s="24"/>
      <c r="F193" s="4" t="s">
        <v>311</v>
      </c>
      <c r="G193" s="7">
        <v>661</v>
      </c>
      <c r="H193" s="7">
        <f t="shared" ref="H193:H209" si="565">4*K193</f>
        <v>88.8</v>
      </c>
      <c r="I193" s="7">
        <f t="shared" si="455"/>
        <v>88.8</v>
      </c>
      <c r="J193" s="7">
        <v>225.5</v>
      </c>
      <c r="K193" s="7">
        <v>22.2</v>
      </c>
      <c r="L193" s="7">
        <f t="shared" si="498"/>
        <v>4</v>
      </c>
      <c r="M193" s="7">
        <f t="shared" si="499"/>
        <v>4</v>
      </c>
      <c r="N193" s="7">
        <v>366</v>
      </c>
      <c r="O193" s="7">
        <f t="shared" ref="O193:O211" si="566">1*K193</f>
        <v>22.2</v>
      </c>
      <c r="P193" s="7">
        <f>118-I193</f>
        <v>29.200000000000003</v>
      </c>
      <c r="Q193" s="7">
        <f t="shared" ref="Q193:Q211" si="567">N193-2*K193-2*O193</f>
        <v>277.20000000000005</v>
      </c>
      <c r="R193" s="7">
        <v>2</v>
      </c>
      <c r="S193" s="7">
        <f t="shared" ref="S193:S211" si="568">2/3*H193</f>
        <v>59.199999999999996</v>
      </c>
      <c r="T193" s="7">
        <f t="shared" si="475"/>
        <v>1.5</v>
      </c>
      <c r="U193" s="7">
        <f t="shared" si="459"/>
        <v>1.5</v>
      </c>
      <c r="V193" s="7">
        <f t="shared" si="472"/>
        <v>4</v>
      </c>
      <c r="W193" s="7">
        <f t="shared" si="472"/>
        <v>4</v>
      </c>
      <c r="X193" s="7">
        <f t="shared" si="431"/>
        <v>5</v>
      </c>
      <c r="Y193" s="7">
        <f t="shared" si="552"/>
        <v>49.640709100495329</v>
      </c>
      <c r="Z193" s="7">
        <f t="shared" si="461"/>
        <v>661</v>
      </c>
      <c r="AA193" s="7">
        <v>8</v>
      </c>
      <c r="AB193" s="7">
        <f>(847+826)/2</f>
        <v>836.5</v>
      </c>
      <c r="AC193" s="7"/>
      <c r="AD193" s="4">
        <f t="shared" si="476"/>
        <v>1</v>
      </c>
      <c r="AE193" s="7"/>
      <c r="AF193" s="7"/>
      <c r="AG193" s="7">
        <v>1</v>
      </c>
      <c r="AH193" s="7"/>
      <c r="AI193" s="7"/>
      <c r="AJ193" s="7">
        <f t="shared" si="473"/>
        <v>0.88977955911823625</v>
      </c>
      <c r="AK193" s="4">
        <f t="shared" ref="AK193:AK243" si="569">H193</f>
        <v>88.8</v>
      </c>
      <c r="AL193" s="4">
        <f t="shared" si="505"/>
        <v>1.25</v>
      </c>
      <c r="AM193" s="4">
        <f t="shared" si="506"/>
        <v>162.318079587065</v>
      </c>
      <c r="AN193" s="4">
        <f t="shared" si="507"/>
        <v>0.77499999999999991</v>
      </c>
      <c r="AO193" s="4">
        <v>1.25</v>
      </c>
      <c r="AP193" s="47">
        <f>AP192</f>
        <v>5</v>
      </c>
      <c r="AQ193" s="38">
        <f t="shared" si="509"/>
        <v>982.7852474998075</v>
      </c>
      <c r="AR193" s="38">
        <f t="shared" si="510"/>
        <v>982.7852474998075</v>
      </c>
      <c r="AS193" s="38">
        <f t="shared" si="511"/>
        <v>6.7681675210006302</v>
      </c>
      <c r="AT193" s="38">
        <f t="shared" si="450"/>
        <v>1080.1783801349238</v>
      </c>
      <c r="AU193" s="38">
        <f t="shared" si="400"/>
        <v>0.90983606557377028</v>
      </c>
      <c r="AV193" s="38">
        <f t="shared" si="537"/>
        <v>1.2525708946618597</v>
      </c>
      <c r="AW193" s="4">
        <f t="shared" si="529"/>
        <v>0</v>
      </c>
      <c r="AX193" s="4">
        <f t="shared" ref="AX193:AX243" si="570">I193/K193*J193^0.5/0.19</f>
        <v>316.14015616170963</v>
      </c>
      <c r="AY193" s="4">
        <f t="shared" ref="AY193:AY243" si="571">MIN(0.6+0.4*(U193/T193),2)</f>
        <v>1</v>
      </c>
      <c r="AZ193" s="38">
        <f t="shared" si="438"/>
        <v>1353</v>
      </c>
      <c r="BA193" s="4">
        <f t="shared" ref="BA193:BA243" si="572">MAX(1-0.7*W193/5,0.3)</f>
        <v>0.44000000000000006</v>
      </c>
      <c r="BB193" s="4">
        <f t="shared" si="401"/>
        <v>72.680621901577041</v>
      </c>
      <c r="BC193" s="4">
        <f t="shared" si="402"/>
        <v>1425.6806219015771</v>
      </c>
      <c r="BE193" s="4">
        <f t="shared" si="451"/>
        <v>1</v>
      </c>
      <c r="BF193" s="4">
        <f t="shared" si="452"/>
        <v>630.69961154261068</v>
      </c>
      <c r="BH193" s="4">
        <f t="shared" si="463"/>
        <v>1297.6924611181944</v>
      </c>
      <c r="BI193" s="4">
        <f t="shared" si="464"/>
        <v>3606.2915864545262</v>
      </c>
      <c r="BJ193" s="4">
        <f t="shared" si="465"/>
        <v>2.779003265031732</v>
      </c>
      <c r="BR193" s="4">
        <f t="shared" si="539"/>
        <v>22.2</v>
      </c>
      <c r="BV193" s="9"/>
      <c r="BX193" s="9"/>
      <c r="BY193" s="9"/>
      <c r="BZ193" s="9">
        <f t="shared" si="383"/>
        <v>22.2</v>
      </c>
      <c r="CA193" s="9">
        <f t="shared" si="384"/>
        <v>138.60000000000002</v>
      </c>
      <c r="CB193" s="9">
        <f t="shared" si="403"/>
        <v>1.3161686388047049</v>
      </c>
      <c r="CC193" s="9">
        <v>0</v>
      </c>
      <c r="CD193" s="9">
        <f t="shared" si="518"/>
        <v>0</v>
      </c>
      <c r="CE193" s="9">
        <f t="shared" si="404"/>
        <v>0</v>
      </c>
      <c r="CF193" s="9">
        <f t="shared" si="385"/>
        <v>1</v>
      </c>
      <c r="CG193" s="9">
        <f t="shared" si="386"/>
        <v>0.78899999999999992</v>
      </c>
      <c r="CH193" s="9">
        <f t="shared" si="405"/>
        <v>4.1468499458926642</v>
      </c>
      <c r="CI193" s="9">
        <f t="shared" si="406"/>
        <v>5.4579538486129122</v>
      </c>
      <c r="CJ193" s="9">
        <v>1</v>
      </c>
      <c r="CK193" s="9">
        <f t="shared" si="407"/>
        <v>414.80449249458132</v>
      </c>
      <c r="CM193" s="4">
        <f t="shared" si="477"/>
        <v>2.6459783222607123</v>
      </c>
      <c r="CN193" s="4">
        <f t="shared" si="478"/>
        <v>0.58673730087196796</v>
      </c>
      <c r="CO193" s="4">
        <f t="shared" si="479"/>
        <v>1.3263049234389535</v>
      </c>
      <c r="CP193" s="4">
        <f t="shared" si="480"/>
        <v>2.0166126817224077</v>
      </c>
      <c r="CQ193" s="44">
        <f t="shared" si="481"/>
        <v>1</v>
      </c>
      <c r="CR193" s="4">
        <f t="shared" si="482"/>
        <v>1</v>
      </c>
      <c r="CS193" s="4">
        <f t="shared" si="483"/>
        <v>3.1622500423555562</v>
      </c>
      <c r="CU193" s="4">
        <f t="shared" si="553"/>
        <v>2.6459783222607123</v>
      </c>
      <c r="CV193" s="4">
        <f t="shared" si="553"/>
        <v>0.58673730087196796</v>
      </c>
      <c r="CW193" s="4">
        <f t="shared" si="562"/>
        <v>2.0166126817224077</v>
      </c>
      <c r="CX193" s="4">
        <f t="shared" si="554"/>
        <v>3.1622500423555562</v>
      </c>
      <c r="CY193" s="4">
        <f t="shared" si="555"/>
        <v>1</v>
      </c>
      <c r="CZ193" s="4">
        <f t="shared" si="555"/>
        <v>1</v>
      </c>
      <c r="DH193" s="4">
        <f t="shared" si="557"/>
        <v>0</v>
      </c>
      <c r="DI193" s="4">
        <f t="shared" si="453"/>
        <v>88.8</v>
      </c>
      <c r="DL193" s="4">
        <f t="shared" si="485"/>
        <v>2.8168411137544479E-5</v>
      </c>
      <c r="DM193" s="4">
        <f t="shared" si="558"/>
        <v>16.127376482335833</v>
      </c>
      <c r="DN193" s="4">
        <f t="shared" si="486"/>
        <v>0.23130967389770252</v>
      </c>
      <c r="DO193" s="4">
        <f t="shared" si="487"/>
        <v>8.9792743880390749</v>
      </c>
      <c r="DP193" s="4">
        <f t="shared" si="488"/>
        <v>13.055957437041979</v>
      </c>
      <c r="DQ193" s="4">
        <f t="shared" si="489"/>
        <v>15.366250826866818</v>
      </c>
      <c r="DR193" s="38">
        <f t="shared" si="513"/>
        <v>836.5</v>
      </c>
      <c r="DS193" s="4">
        <f t="shared" si="411"/>
        <v>1</v>
      </c>
      <c r="DT193" s="4">
        <f t="shared" si="490"/>
        <v>2.2360679774997898</v>
      </c>
      <c r="DU193" s="4">
        <f t="shared" si="441"/>
        <v>1080.1783801349238</v>
      </c>
      <c r="DY193" s="4">
        <f t="shared" si="387"/>
        <v>0.85</v>
      </c>
      <c r="DZ193" s="4">
        <f t="shared" si="412"/>
        <v>1</v>
      </c>
      <c r="EA193" s="4">
        <f t="shared" si="514"/>
        <v>1</v>
      </c>
      <c r="EB193" s="4">
        <f t="shared" si="414"/>
        <v>1</v>
      </c>
      <c r="ED193" s="4">
        <f t="shared" si="515"/>
        <v>836.5</v>
      </c>
      <c r="EE193" s="25">
        <f t="shared" ref="EE193:EE211" si="573">26.5*N193*H193^0.5*J193^0.5/R193/K193^2*(0.7+O193/5/H193)</f>
        <v>1044.3162458944753</v>
      </c>
      <c r="EH193" s="4">
        <f t="shared" si="517"/>
        <v>16.127376482335833</v>
      </c>
      <c r="EK193" s="4">
        <f t="shared" si="491"/>
        <v>49.640709100495329</v>
      </c>
      <c r="EL193" s="4">
        <f t="shared" si="492"/>
        <v>2.2360679774997898</v>
      </c>
      <c r="EM193" s="4">
        <f t="shared" si="493"/>
        <v>0.18993383393437457</v>
      </c>
      <c r="EP193" s="4">
        <f t="shared" si="541"/>
        <v>0.18993383393437457</v>
      </c>
      <c r="EQ193" s="4">
        <f t="shared" si="542"/>
        <v>0.23092366116223015</v>
      </c>
      <c r="ER193" s="4">
        <f t="shared" si="559"/>
        <v>8.9732774903799175</v>
      </c>
      <c r="ES193" s="4">
        <f t="shared" si="388"/>
        <v>13.053909774486275</v>
      </c>
      <c r="ET193" s="4">
        <f t="shared" si="560"/>
        <v>16.959290899504666</v>
      </c>
      <c r="EU193" s="4">
        <f t="shared" si="561"/>
        <v>22.200000000000003</v>
      </c>
      <c r="EV193" s="4">
        <f t="shared" si="415"/>
        <v>2.8168411137544483E-5</v>
      </c>
      <c r="EW193" s="4">
        <f t="shared" si="389"/>
        <v>15.366549833999832</v>
      </c>
      <c r="EX193" s="4">
        <f t="shared" si="466"/>
        <v>836.5</v>
      </c>
      <c r="FG193" s="23">
        <f t="shared" si="563"/>
        <v>2.2000000000000002</v>
      </c>
      <c r="FH193" s="23">
        <f t="shared" si="563"/>
        <v>0.6</v>
      </c>
      <c r="FI193" s="23">
        <f t="shared" si="495"/>
        <v>2.2000000000000002</v>
      </c>
      <c r="FJ193" s="23">
        <f t="shared" si="564"/>
        <v>2.2000000000000002</v>
      </c>
      <c r="FK193" s="23">
        <f t="shared" si="564"/>
        <v>1.2</v>
      </c>
      <c r="FL193" s="23">
        <f t="shared" si="564"/>
        <v>1.2</v>
      </c>
      <c r="FM193" s="23">
        <f t="shared" si="497"/>
        <v>0</v>
      </c>
      <c r="FN193" s="23"/>
      <c r="FX193" s="4">
        <f t="shared" si="416"/>
        <v>1.25</v>
      </c>
      <c r="FY193" s="4">
        <f t="shared" si="469"/>
        <v>0.5</v>
      </c>
      <c r="FZ193" s="4">
        <f t="shared" si="417"/>
        <v>0</v>
      </c>
      <c r="GA193" s="4">
        <f t="shared" si="418"/>
        <v>264.52683652330421</v>
      </c>
    </row>
    <row r="194" spans="1:183" ht="12" customHeight="1" x14ac:dyDescent="0.3">
      <c r="A194" s="25">
        <v>176</v>
      </c>
      <c r="B194" s="24" t="s">
        <v>128</v>
      </c>
      <c r="C194" s="24">
        <v>2017</v>
      </c>
      <c r="D194" s="24" t="s">
        <v>309</v>
      </c>
      <c r="E194" s="24"/>
      <c r="F194" s="4" t="s">
        <v>312</v>
      </c>
      <c r="G194" s="7">
        <v>667</v>
      </c>
      <c r="H194" s="7">
        <f t="shared" si="565"/>
        <v>88.8</v>
      </c>
      <c r="I194" s="7">
        <f t="shared" si="455"/>
        <v>88.8</v>
      </c>
      <c r="J194" s="7">
        <v>225.5</v>
      </c>
      <c r="K194" s="7">
        <v>22.2</v>
      </c>
      <c r="L194" s="7">
        <f t="shared" si="498"/>
        <v>4</v>
      </c>
      <c r="M194" s="7">
        <f t="shared" si="499"/>
        <v>4</v>
      </c>
      <c r="N194" s="7">
        <v>396</v>
      </c>
      <c r="O194" s="7">
        <f t="shared" si="566"/>
        <v>22.2</v>
      </c>
      <c r="P194" s="7">
        <f>171-I194</f>
        <v>82.2</v>
      </c>
      <c r="Q194" s="7">
        <f t="shared" si="567"/>
        <v>307.20000000000005</v>
      </c>
      <c r="R194" s="7">
        <v>2</v>
      </c>
      <c r="S194" s="7">
        <f t="shared" si="568"/>
        <v>59.199999999999996</v>
      </c>
      <c r="T194" s="7">
        <f t="shared" si="475"/>
        <v>1.5</v>
      </c>
      <c r="U194" s="7">
        <f t="shared" si="459"/>
        <v>1.5</v>
      </c>
      <c r="V194" s="7">
        <f t="shared" si="472"/>
        <v>4</v>
      </c>
      <c r="W194" s="7">
        <f t="shared" si="472"/>
        <v>4</v>
      </c>
      <c r="X194" s="7">
        <f t="shared" si="431"/>
        <v>5</v>
      </c>
      <c r="Y194" s="7">
        <f t="shared" si="552"/>
        <v>49.640709100495329</v>
      </c>
      <c r="Z194" s="7">
        <f t="shared" si="461"/>
        <v>667</v>
      </c>
      <c r="AA194" s="7">
        <v>11</v>
      </c>
      <c r="AB194" s="7">
        <f>(728+642)/2</f>
        <v>685</v>
      </c>
      <c r="AC194" s="7"/>
      <c r="AD194" s="4">
        <f t="shared" si="476"/>
        <v>1</v>
      </c>
      <c r="AE194" s="7"/>
      <c r="AF194" s="7"/>
      <c r="AG194" s="7">
        <v>1</v>
      </c>
      <c r="AH194" s="7"/>
      <c r="AI194" s="7"/>
      <c r="AJ194" s="7">
        <f t="shared" si="473"/>
        <v>0.808743169398907</v>
      </c>
      <c r="AK194" s="4">
        <f t="shared" si="569"/>
        <v>88.8</v>
      </c>
      <c r="AL194" s="4">
        <f t="shared" si="505"/>
        <v>1.25</v>
      </c>
      <c r="AM194" s="4">
        <f t="shared" si="506"/>
        <v>162.318079587065</v>
      </c>
      <c r="AN194" s="4">
        <f t="shared" si="507"/>
        <v>0.77499999999999991</v>
      </c>
      <c r="AO194" s="4">
        <v>1.25</v>
      </c>
      <c r="AP194" s="47">
        <f t="shared" ref="AP194:AP211" si="574">AP193</f>
        <v>5</v>
      </c>
      <c r="AQ194" s="38">
        <f t="shared" si="509"/>
        <v>982.7852474998075</v>
      </c>
      <c r="AR194" s="38">
        <f t="shared" si="510"/>
        <v>982.7852474998075</v>
      </c>
      <c r="AS194" s="38">
        <f t="shared" si="511"/>
        <v>6.7681675210006302</v>
      </c>
      <c r="AT194" s="38">
        <f t="shared" si="450"/>
        <v>1168.717591621393</v>
      </c>
      <c r="AU194" s="38">
        <f t="shared" si="400"/>
        <v>0.84090909090909072</v>
      </c>
      <c r="AV194" s="38">
        <f t="shared" si="537"/>
        <v>1.1576791602177794</v>
      </c>
      <c r="AW194" s="4">
        <f t="shared" si="529"/>
        <v>0</v>
      </c>
      <c r="AX194" s="4">
        <f t="shared" si="570"/>
        <v>316.14015616170963</v>
      </c>
      <c r="AY194" s="4">
        <f t="shared" si="571"/>
        <v>1</v>
      </c>
      <c r="AZ194" s="38">
        <f t="shared" si="438"/>
        <v>1353</v>
      </c>
      <c r="BA194" s="4">
        <f t="shared" si="572"/>
        <v>0.44000000000000006</v>
      </c>
      <c r="BB194" s="4">
        <f t="shared" si="401"/>
        <v>72.680621901577055</v>
      </c>
      <c r="BC194" s="4">
        <f t="shared" si="402"/>
        <v>1425.6806219015771</v>
      </c>
      <c r="BE194" s="4">
        <f t="shared" si="451"/>
        <v>1</v>
      </c>
      <c r="BF194" s="4">
        <f t="shared" si="452"/>
        <v>630.69961154261068</v>
      </c>
      <c r="BH194" s="4">
        <f t="shared" si="463"/>
        <v>1297.6924611181944</v>
      </c>
      <c r="BI194" s="4">
        <f t="shared" si="464"/>
        <v>6880.0343955178114</v>
      </c>
      <c r="BJ194" s="4">
        <f t="shared" si="465"/>
        <v>5.3017449061770998</v>
      </c>
      <c r="BR194" s="4">
        <f t="shared" si="539"/>
        <v>22.2</v>
      </c>
      <c r="BV194" s="9"/>
      <c r="BX194" s="9"/>
      <c r="BY194" s="9"/>
      <c r="BZ194" s="9">
        <f t="shared" si="383"/>
        <v>22.2</v>
      </c>
      <c r="CA194" s="9">
        <f t="shared" si="384"/>
        <v>153.60000000000002</v>
      </c>
      <c r="CB194" s="9">
        <f t="shared" si="403"/>
        <v>1.3366131704942024</v>
      </c>
      <c r="CC194" s="9">
        <v>0</v>
      </c>
      <c r="CD194" s="9">
        <f t="shared" si="518"/>
        <v>0</v>
      </c>
      <c r="CE194" s="9">
        <f t="shared" si="404"/>
        <v>0</v>
      </c>
      <c r="CF194" s="9">
        <f t="shared" si="385"/>
        <v>1</v>
      </c>
      <c r="CG194" s="9">
        <f t="shared" si="386"/>
        <v>0.78299999999999992</v>
      </c>
      <c r="CH194" s="9">
        <f t="shared" si="405"/>
        <v>4.1153149653155339</v>
      </c>
      <c r="CI194" s="9">
        <f t="shared" si="406"/>
        <v>5.5005841833726343</v>
      </c>
      <c r="CJ194" s="9">
        <v>1</v>
      </c>
      <c r="CK194" s="9">
        <f t="shared" si="407"/>
        <v>418.04439793632019</v>
      </c>
      <c r="CM194" s="4">
        <f t="shared" si="477"/>
        <v>2.1667604910323823</v>
      </c>
      <c r="CN194" s="4">
        <f t="shared" si="478"/>
        <v>0.48047226670328519</v>
      </c>
      <c r="CO194" s="4">
        <f t="shared" si="479"/>
        <v>1.0860954842267581</v>
      </c>
      <c r="CP194" s="4">
        <f t="shared" si="480"/>
        <v>1.6385819386206548</v>
      </c>
      <c r="CQ194" s="44">
        <f t="shared" si="481"/>
        <v>1</v>
      </c>
      <c r="CR194" s="4">
        <f t="shared" si="482"/>
        <v>1</v>
      </c>
      <c r="CS194" s="4">
        <f t="shared" si="483"/>
        <v>2.5895293233873948</v>
      </c>
      <c r="CU194" s="4">
        <f t="shared" si="553"/>
        <v>2.1667604910323823</v>
      </c>
      <c r="CV194" s="4">
        <f t="shared" si="553"/>
        <v>0.48047226670328519</v>
      </c>
      <c r="CW194" s="4">
        <f t="shared" si="562"/>
        <v>1.6385819386206548</v>
      </c>
      <c r="CX194" s="4">
        <f t="shared" si="554"/>
        <v>2.5895293233873948</v>
      </c>
      <c r="CY194" s="4">
        <f t="shared" si="555"/>
        <v>1</v>
      </c>
      <c r="CZ194" s="4">
        <f t="shared" si="555"/>
        <v>1</v>
      </c>
      <c r="DH194" s="4">
        <f t="shared" si="557"/>
        <v>0</v>
      </c>
      <c r="DI194" s="4">
        <f t="shared" si="453"/>
        <v>88.8</v>
      </c>
      <c r="DL194" s="4">
        <f t="shared" si="485"/>
        <v>2.8168411137544479E-5</v>
      </c>
      <c r="DM194" s="4">
        <f t="shared" si="558"/>
        <v>16.127376482335833</v>
      </c>
      <c r="DN194" s="4">
        <f t="shared" si="486"/>
        <v>0.25026948323357978</v>
      </c>
      <c r="DO194" s="4">
        <f t="shared" si="487"/>
        <v>9.2667379743898639</v>
      </c>
      <c r="DP194" s="4">
        <f t="shared" si="488"/>
        <v>13.155388550026604</v>
      </c>
      <c r="DQ194" s="4">
        <f t="shared" si="489"/>
        <v>15.351898346055917</v>
      </c>
      <c r="DR194" s="38">
        <f t="shared" si="513"/>
        <v>685</v>
      </c>
      <c r="DS194" s="4">
        <f t="shared" si="411"/>
        <v>1</v>
      </c>
      <c r="DT194" s="4">
        <f t="shared" si="490"/>
        <v>2.2360679774997898</v>
      </c>
      <c r="DU194" s="4">
        <f t="shared" si="441"/>
        <v>1168.717591621393</v>
      </c>
      <c r="DY194" s="4">
        <f t="shared" si="387"/>
        <v>0.85</v>
      </c>
      <c r="DZ194" s="4">
        <f t="shared" si="412"/>
        <v>1</v>
      </c>
      <c r="EA194" s="4">
        <f t="shared" si="514"/>
        <v>1</v>
      </c>
      <c r="EB194" s="4">
        <f t="shared" si="414"/>
        <v>1</v>
      </c>
      <c r="ED194" s="4">
        <f t="shared" si="515"/>
        <v>685</v>
      </c>
      <c r="EE194" s="25">
        <f t="shared" si="573"/>
        <v>1129.9159381809077</v>
      </c>
      <c r="EH194" s="4">
        <f t="shared" si="517"/>
        <v>16.127376482335833</v>
      </c>
      <c r="EK194" s="4">
        <f t="shared" si="491"/>
        <v>49.640709100495329</v>
      </c>
      <c r="EL194" s="4">
        <f t="shared" si="492"/>
        <v>2.2360679774997898</v>
      </c>
      <c r="EM194" s="4">
        <f t="shared" si="493"/>
        <v>0.20550218097817574</v>
      </c>
      <c r="EP194" s="4">
        <f t="shared" si="541"/>
        <v>0.20550218097817574</v>
      </c>
      <c r="EQ194" s="4">
        <f t="shared" si="542"/>
        <v>0.2498518301099539</v>
      </c>
      <c r="ER194" s="4">
        <f t="shared" si="559"/>
        <v>9.2605490913170101</v>
      </c>
      <c r="ES194" s="4">
        <f t="shared" si="388"/>
        <v>13.15322177909766</v>
      </c>
      <c r="ET194" s="4">
        <f t="shared" si="560"/>
        <v>16.959290899504666</v>
      </c>
      <c r="EU194" s="4">
        <f t="shared" si="561"/>
        <v>22.200000000000003</v>
      </c>
      <c r="EV194" s="4">
        <f t="shared" si="415"/>
        <v>2.8168411137544483E-5</v>
      </c>
      <c r="EW194" s="4">
        <f t="shared" si="389"/>
        <v>15.352207742597887</v>
      </c>
      <c r="EX194" s="4">
        <f t="shared" si="466"/>
        <v>685</v>
      </c>
      <c r="FG194" s="23">
        <f t="shared" si="563"/>
        <v>2.2000000000000002</v>
      </c>
      <c r="FH194" s="23">
        <f t="shared" si="563"/>
        <v>0.6</v>
      </c>
      <c r="FI194" s="23">
        <f t="shared" si="495"/>
        <v>2.2000000000000002</v>
      </c>
      <c r="FJ194" s="23">
        <f t="shared" si="564"/>
        <v>1.8</v>
      </c>
      <c r="FK194" s="23">
        <f t="shared" si="564"/>
        <v>1.2</v>
      </c>
      <c r="FL194" s="23">
        <f t="shared" si="564"/>
        <v>1.2</v>
      </c>
      <c r="FM194" s="23">
        <f t="shared" si="497"/>
        <v>0</v>
      </c>
      <c r="FN194" s="23"/>
      <c r="FX194" s="4">
        <f t="shared" si="416"/>
        <v>1.25</v>
      </c>
      <c r="FY194" s="4">
        <f t="shared" si="469"/>
        <v>0.5</v>
      </c>
      <c r="FZ194" s="4">
        <f t="shared" si="417"/>
        <v>0</v>
      </c>
      <c r="GA194" s="4">
        <f t="shared" si="418"/>
        <v>264.52683652330421</v>
      </c>
    </row>
    <row r="195" spans="1:183" ht="12" customHeight="1" x14ac:dyDescent="0.3">
      <c r="A195" s="25">
        <v>177</v>
      </c>
      <c r="B195" s="24" t="s">
        <v>128</v>
      </c>
      <c r="C195" s="24">
        <v>2017</v>
      </c>
      <c r="D195" s="24" t="s">
        <v>309</v>
      </c>
      <c r="E195" s="24"/>
      <c r="F195" s="4" t="s">
        <v>154</v>
      </c>
      <c r="G195" s="7">
        <v>667</v>
      </c>
      <c r="H195" s="7">
        <f t="shared" si="565"/>
        <v>88.8</v>
      </c>
      <c r="I195" s="7">
        <f t="shared" si="455"/>
        <v>88.8</v>
      </c>
      <c r="J195" s="7">
        <v>225.5</v>
      </c>
      <c r="K195" s="7">
        <v>22.2</v>
      </c>
      <c r="L195" s="7">
        <f t="shared" si="498"/>
        <v>4</v>
      </c>
      <c r="M195" s="7">
        <f t="shared" si="499"/>
        <v>4</v>
      </c>
      <c r="N195" s="7">
        <v>396</v>
      </c>
      <c r="O195" s="7">
        <f t="shared" si="566"/>
        <v>22.2</v>
      </c>
      <c r="P195" s="7">
        <f t="shared" ref="P195" si="575">171-I195</f>
        <v>82.2</v>
      </c>
      <c r="Q195" s="7">
        <f t="shared" si="567"/>
        <v>307.20000000000005</v>
      </c>
      <c r="R195" s="7">
        <v>2</v>
      </c>
      <c r="S195" s="7">
        <f t="shared" si="568"/>
        <v>59.199999999999996</v>
      </c>
      <c r="T195" s="7">
        <f t="shared" si="475"/>
        <v>1.5</v>
      </c>
      <c r="U195" s="7">
        <f t="shared" si="459"/>
        <v>1.5</v>
      </c>
      <c r="V195" s="7">
        <f t="shared" si="472"/>
        <v>4</v>
      </c>
      <c r="W195" s="7">
        <f t="shared" si="472"/>
        <v>4</v>
      </c>
      <c r="X195" s="7">
        <f t="shared" si="431"/>
        <v>5</v>
      </c>
      <c r="Y195" s="7">
        <f t="shared" si="552"/>
        <v>49.640709100495329</v>
      </c>
      <c r="Z195" s="7">
        <f t="shared" si="461"/>
        <v>667</v>
      </c>
      <c r="AA195" s="7">
        <v>11</v>
      </c>
      <c r="AB195" s="7">
        <f>(742+707)/2</f>
        <v>724.5</v>
      </c>
      <c r="AC195" s="7"/>
      <c r="AD195" s="4">
        <f t="shared" si="476"/>
        <v>1</v>
      </c>
      <c r="AE195" s="7"/>
      <c r="AF195" s="7"/>
      <c r="AG195" s="7">
        <v>1</v>
      </c>
      <c r="AH195" s="7"/>
      <c r="AI195" s="7"/>
      <c r="AJ195" s="7">
        <f t="shared" si="473"/>
        <v>0.808743169398907</v>
      </c>
      <c r="AK195" s="4">
        <f t="shared" si="569"/>
        <v>88.8</v>
      </c>
      <c r="AL195" s="4">
        <f t="shared" si="505"/>
        <v>1.25</v>
      </c>
      <c r="AM195" s="4">
        <f t="shared" si="506"/>
        <v>162.318079587065</v>
      </c>
      <c r="AN195" s="4">
        <f t="shared" si="507"/>
        <v>0.77499999999999991</v>
      </c>
      <c r="AO195" s="4">
        <v>1.25</v>
      </c>
      <c r="AP195" s="47">
        <f t="shared" si="574"/>
        <v>5</v>
      </c>
      <c r="AQ195" s="38">
        <f t="shared" si="509"/>
        <v>982.7852474998075</v>
      </c>
      <c r="AR195" s="38">
        <f t="shared" si="510"/>
        <v>982.7852474998075</v>
      </c>
      <c r="AS195" s="38">
        <f t="shared" si="511"/>
        <v>6.7681675210006302</v>
      </c>
      <c r="AT195" s="38">
        <f t="shared" si="450"/>
        <v>1168.717591621393</v>
      </c>
      <c r="AU195" s="38">
        <f t="shared" si="400"/>
        <v>0.84090909090909072</v>
      </c>
      <c r="AV195" s="38">
        <f t="shared" si="537"/>
        <v>1.1576791602177794</v>
      </c>
      <c r="AW195" s="4">
        <f t="shared" si="529"/>
        <v>0</v>
      </c>
      <c r="AX195" s="4">
        <f t="shared" si="570"/>
        <v>316.14015616170963</v>
      </c>
      <c r="AY195" s="4">
        <f t="shared" si="571"/>
        <v>1</v>
      </c>
      <c r="AZ195" s="38">
        <f t="shared" si="438"/>
        <v>1353</v>
      </c>
      <c r="BA195" s="4">
        <f t="shared" si="572"/>
        <v>0.44000000000000006</v>
      </c>
      <c r="BB195" s="4">
        <f t="shared" si="401"/>
        <v>72.680621901577055</v>
      </c>
      <c r="BC195" s="4">
        <f t="shared" si="402"/>
        <v>1425.6806219015771</v>
      </c>
      <c r="BE195" s="4">
        <f t="shared" si="451"/>
        <v>1</v>
      </c>
      <c r="BF195" s="4">
        <f t="shared" si="452"/>
        <v>630.69961154261068</v>
      </c>
      <c r="BH195" s="4">
        <f t="shared" si="463"/>
        <v>1297.6924611181944</v>
      </c>
      <c r="BI195" s="4">
        <f t="shared" si="464"/>
        <v>6880.0343955178114</v>
      </c>
      <c r="BJ195" s="4">
        <f t="shared" si="465"/>
        <v>5.3017449061770998</v>
      </c>
      <c r="BR195" s="4">
        <f t="shared" si="539"/>
        <v>22.2</v>
      </c>
      <c r="BV195" s="9"/>
      <c r="BX195" s="9"/>
      <c r="BY195" s="9"/>
      <c r="BZ195" s="9">
        <f t="shared" si="383"/>
        <v>22.2</v>
      </c>
      <c r="CA195" s="9">
        <f t="shared" si="384"/>
        <v>153.60000000000002</v>
      </c>
      <c r="CB195" s="9">
        <f t="shared" si="403"/>
        <v>1.3366131704942024</v>
      </c>
      <c r="CC195" s="9">
        <v>0</v>
      </c>
      <c r="CD195" s="9">
        <f t="shared" si="518"/>
        <v>0</v>
      </c>
      <c r="CE195" s="9">
        <f t="shared" si="404"/>
        <v>0</v>
      </c>
      <c r="CF195" s="9">
        <f t="shared" si="385"/>
        <v>1</v>
      </c>
      <c r="CG195" s="9">
        <f t="shared" si="386"/>
        <v>0.78299999999999992</v>
      </c>
      <c r="CH195" s="9">
        <f t="shared" si="405"/>
        <v>4.1153149653155339</v>
      </c>
      <c r="CI195" s="9">
        <f t="shared" si="406"/>
        <v>5.5005841833726343</v>
      </c>
      <c r="CJ195" s="9">
        <v>1</v>
      </c>
      <c r="CK195" s="9">
        <f t="shared" si="407"/>
        <v>418.04439793632019</v>
      </c>
      <c r="CM195" s="4">
        <f t="shared" si="477"/>
        <v>2.2917050740919138</v>
      </c>
      <c r="CN195" s="4">
        <f t="shared" si="478"/>
        <v>0.50817833171756221</v>
      </c>
      <c r="CO195" s="4">
        <f t="shared" si="479"/>
        <v>1.1487243479157463</v>
      </c>
      <c r="CP195" s="4">
        <f t="shared" si="480"/>
        <v>1.7330695102637437</v>
      </c>
      <c r="CQ195" s="44">
        <f t="shared" si="481"/>
        <v>1</v>
      </c>
      <c r="CR195" s="4">
        <f t="shared" si="482"/>
        <v>1</v>
      </c>
      <c r="CS195" s="4">
        <f t="shared" si="483"/>
        <v>2.7388525471447704</v>
      </c>
      <c r="CU195" s="4">
        <f t="shared" si="553"/>
        <v>2.2917050740919138</v>
      </c>
      <c r="CV195" s="4">
        <f t="shared" si="553"/>
        <v>0.50817833171756221</v>
      </c>
      <c r="CW195" s="4">
        <f t="shared" si="562"/>
        <v>1.7330695102637437</v>
      </c>
      <c r="CX195" s="4">
        <f t="shared" si="554"/>
        <v>2.7388525471447704</v>
      </c>
      <c r="CY195" s="4">
        <f t="shared" si="555"/>
        <v>1</v>
      </c>
      <c r="CZ195" s="4">
        <f t="shared" si="555"/>
        <v>1</v>
      </c>
      <c r="DH195" s="4">
        <f t="shared" si="557"/>
        <v>0</v>
      </c>
      <c r="DI195" s="4">
        <f t="shared" si="453"/>
        <v>88.8</v>
      </c>
      <c r="DL195" s="4">
        <f t="shared" si="485"/>
        <v>2.8168411137544479E-5</v>
      </c>
      <c r="DM195" s="4">
        <f t="shared" si="558"/>
        <v>16.127376482335833</v>
      </c>
      <c r="DN195" s="4">
        <f t="shared" si="486"/>
        <v>0.25026948323357978</v>
      </c>
      <c r="DO195" s="4">
        <f t="shared" si="487"/>
        <v>9.2667379743898639</v>
      </c>
      <c r="DP195" s="4">
        <f t="shared" si="488"/>
        <v>13.155388550026604</v>
      </c>
      <c r="DQ195" s="4">
        <f t="shared" si="489"/>
        <v>15.351898346055917</v>
      </c>
      <c r="DR195" s="38">
        <f t="shared" si="513"/>
        <v>724.5</v>
      </c>
      <c r="DS195" s="4">
        <f t="shared" si="411"/>
        <v>1</v>
      </c>
      <c r="DT195" s="4">
        <f t="shared" si="490"/>
        <v>2.2360679774997898</v>
      </c>
      <c r="DU195" s="4">
        <f t="shared" si="441"/>
        <v>1168.717591621393</v>
      </c>
      <c r="DY195" s="4">
        <f t="shared" si="387"/>
        <v>0.85</v>
      </c>
      <c r="DZ195" s="4">
        <f t="shared" si="412"/>
        <v>1</v>
      </c>
      <c r="EA195" s="4">
        <f t="shared" si="514"/>
        <v>1</v>
      </c>
      <c r="EB195" s="4">
        <f t="shared" si="414"/>
        <v>1</v>
      </c>
      <c r="ED195" s="4">
        <f t="shared" si="515"/>
        <v>724.5</v>
      </c>
      <c r="EE195" s="25">
        <f t="shared" si="573"/>
        <v>1129.9159381809077</v>
      </c>
      <c r="EH195" s="4">
        <f t="shared" si="517"/>
        <v>16.127376482335833</v>
      </c>
      <c r="EK195" s="4">
        <f t="shared" si="491"/>
        <v>49.640709100495329</v>
      </c>
      <c r="EL195" s="4">
        <f t="shared" si="492"/>
        <v>2.2360679774997898</v>
      </c>
      <c r="EM195" s="4">
        <f t="shared" si="493"/>
        <v>0.20550218097817574</v>
      </c>
      <c r="EP195" s="4">
        <f t="shared" si="541"/>
        <v>0.20550218097817574</v>
      </c>
      <c r="EQ195" s="4">
        <f t="shared" si="542"/>
        <v>0.2498518301099539</v>
      </c>
      <c r="ER195" s="4">
        <f t="shared" si="559"/>
        <v>9.2605490913170101</v>
      </c>
      <c r="ES195" s="4">
        <f t="shared" si="388"/>
        <v>13.15322177909766</v>
      </c>
      <c r="ET195" s="4">
        <f t="shared" si="560"/>
        <v>16.959290899504666</v>
      </c>
      <c r="EU195" s="4">
        <f t="shared" si="561"/>
        <v>22.200000000000003</v>
      </c>
      <c r="EV195" s="4">
        <f t="shared" si="415"/>
        <v>2.8168411137544483E-5</v>
      </c>
      <c r="EW195" s="4">
        <f t="shared" si="389"/>
        <v>15.352207742597887</v>
      </c>
      <c r="EX195" s="4">
        <f t="shared" si="466"/>
        <v>724.5</v>
      </c>
      <c r="FG195" s="23">
        <f t="shared" si="563"/>
        <v>2.2000000000000002</v>
      </c>
      <c r="FH195" s="23">
        <f t="shared" si="563"/>
        <v>0.6</v>
      </c>
      <c r="FI195" s="23">
        <f t="shared" si="495"/>
        <v>2.2000000000000002</v>
      </c>
      <c r="FJ195" s="23">
        <f t="shared" si="564"/>
        <v>1.8</v>
      </c>
      <c r="FK195" s="23">
        <f t="shared" si="564"/>
        <v>1.2</v>
      </c>
      <c r="FL195" s="23">
        <f t="shared" si="564"/>
        <v>1.2</v>
      </c>
      <c r="FM195" s="23">
        <f t="shared" si="497"/>
        <v>0</v>
      </c>
      <c r="FN195" s="23"/>
      <c r="FX195" s="4">
        <f t="shared" si="416"/>
        <v>1.25</v>
      </c>
      <c r="FY195" s="4">
        <f t="shared" si="469"/>
        <v>0.5</v>
      </c>
      <c r="FZ195" s="4">
        <f t="shared" si="417"/>
        <v>0</v>
      </c>
      <c r="GA195" s="4">
        <f t="shared" si="418"/>
        <v>264.52683652330421</v>
      </c>
    </row>
    <row r="196" spans="1:183" ht="12" customHeight="1" x14ac:dyDescent="0.3">
      <c r="A196" s="25">
        <v>178</v>
      </c>
      <c r="B196" s="24" t="s">
        <v>128</v>
      </c>
      <c r="C196" s="24">
        <v>2017</v>
      </c>
      <c r="D196" s="24" t="s">
        <v>309</v>
      </c>
      <c r="E196" s="24"/>
      <c r="F196" s="4" t="s">
        <v>153</v>
      </c>
      <c r="G196" s="7">
        <v>679</v>
      </c>
      <c r="H196" s="7">
        <f t="shared" si="565"/>
        <v>88.8</v>
      </c>
      <c r="I196" s="7">
        <f t="shared" si="455"/>
        <v>88.8</v>
      </c>
      <c r="J196" s="7">
        <v>129.9</v>
      </c>
      <c r="K196" s="7">
        <v>22.2</v>
      </c>
      <c r="L196" s="7">
        <f t="shared" si="498"/>
        <v>4</v>
      </c>
      <c r="M196" s="7">
        <f t="shared" si="499"/>
        <v>4</v>
      </c>
      <c r="N196" s="7">
        <v>366</v>
      </c>
      <c r="O196" s="7">
        <f t="shared" si="566"/>
        <v>22.2</v>
      </c>
      <c r="P196" s="7">
        <f t="shared" ref="P196:P201" si="576">118-I196</f>
        <v>29.200000000000003</v>
      </c>
      <c r="Q196" s="7">
        <f t="shared" si="567"/>
        <v>277.20000000000005</v>
      </c>
      <c r="R196" s="7">
        <v>2</v>
      </c>
      <c r="S196" s="7">
        <f t="shared" si="568"/>
        <v>59.199999999999996</v>
      </c>
      <c r="T196" s="7">
        <f t="shared" si="475"/>
        <v>1.5</v>
      </c>
      <c r="U196" s="7">
        <f t="shared" si="459"/>
        <v>1.5</v>
      </c>
      <c r="V196" s="7">
        <f t="shared" si="472"/>
        <v>4</v>
      </c>
      <c r="W196" s="7">
        <f t="shared" si="472"/>
        <v>4</v>
      </c>
      <c r="X196" s="7">
        <f t="shared" si="431"/>
        <v>5</v>
      </c>
      <c r="Y196" s="7">
        <f t="shared" si="552"/>
        <v>49.640709100495329</v>
      </c>
      <c r="Z196" s="7">
        <f t="shared" si="461"/>
        <v>679</v>
      </c>
      <c r="AA196" s="7">
        <v>8</v>
      </c>
      <c r="AB196" s="7">
        <f>(678+662)/2</f>
        <v>670</v>
      </c>
      <c r="AC196" s="7"/>
      <c r="AD196" s="4">
        <f t="shared" si="476"/>
        <v>0.98674521354933731</v>
      </c>
      <c r="AE196" s="7"/>
      <c r="AF196" s="7"/>
      <c r="AG196" s="7">
        <v>1</v>
      </c>
      <c r="AH196" s="7"/>
      <c r="AI196" s="7"/>
      <c r="AJ196" s="7">
        <f t="shared" si="473"/>
        <v>0.88977955911823625</v>
      </c>
      <c r="AK196" s="4">
        <f t="shared" si="569"/>
        <v>88.8</v>
      </c>
      <c r="AL196" s="4">
        <f t="shared" si="505"/>
        <v>1.25</v>
      </c>
      <c r="AM196" s="4">
        <f t="shared" si="506"/>
        <v>123.19645135939774</v>
      </c>
      <c r="AN196" s="4">
        <f t="shared" si="507"/>
        <v>0.77499999999999991</v>
      </c>
      <c r="AO196" s="4">
        <v>1.25</v>
      </c>
      <c r="AP196" s="47">
        <f t="shared" si="574"/>
        <v>5</v>
      </c>
      <c r="AQ196" s="38">
        <f>AL196*AN196*AO196*AP196*AM196</f>
        <v>745.91601409010343</v>
      </c>
      <c r="AR196" s="38">
        <f t="shared" si="510"/>
        <v>745.91601409010343</v>
      </c>
      <c r="AS196" s="38">
        <f t="shared" si="511"/>
        <v>5.7111767066521422</v>
      </c>
      <c r="AT196" s="38">
        <f>AP196* (J196^0.5/AK196^0.5)/(PI()/4*K196^2)/R196/0.72 *(0.7+(MIN(O196,S196)+0.5*K196)/5/H196) *(3*N196*H196)</f>
        <v>819.83561909002367</v>
      </c>
      <c r="AU196" s="38">
        <f>AQ196/AT196</f>
        <v>0.90983606557377039</v>
      </c>
      <c r="AV196" s="38">
        <f t="shared" si="537"/>
        <v>0.9506783821677508</v>
      </c>
      <c r="AW196" s="4">
        <f t="shared" si="529"/>
        <v>1</v>
      </c>
      <c r="AX196" s="4">
        <f t="shared" si="570"/>
        <v>239.94459194200661</v>
      </c>
      <c r="AY196" s="4">
        <f t="shared" si="571"/>
        <v>1</v>
      </c>
      <c r="AZ196" s="38">
        <f t="shared" si="438"/>
        <v>779.40000000000009</v>
      </c>
      <c r="BA196" s="4">
        <f t="shared" si="572"/>
        <v>0.44000000000000006</v>
      </c>
      <c r="BB196" s="4">
        <f t="shared" si="401"/>
        <v>55.163261687467326</v>
      </c>
      <c r="BC196" s="4">
        <f t="shared" si="402"/>
        <v>834.56326168746739</v>
      </c>
      <c r="BE196" s="4">
        <f t="shared" si="451"/>
        <v>1</v>
      </c>
      <c r="BF196" s="4">
        <f t="shared" si="452"/>
        <v>478.68946092430321</v>
      </c>
      <c r="BH196" s="4">
        <f t="shared" si="463"/>
        <v>747.53991440910613</v>
      </c>
      <c r="BI196" s="4">
        <f t="shared" si="464"/>
        <v>3704.4961984911101</v>
      </c>
      <c r="BJ196" s="4">
        <f t="shared" si="465"/>
        <v>4.9555831429005819</v>
      </c>
      <c r="BR196" s="4">
        <f t="shared" si="539"/>
        <v>22.2</v>
      </c>
      <c r="BV196" s="9"/>
      <c r="BX196" s="9"/>
      <c r="BY196" s="9"/>
      <c r="BZ196" s="9">
        <f t="shared" ref="BZ196:BZ243" si="577">IF(Q196=0,MIN(O196,P196),MIN(Q196/2,O196,P196))</f>
        <v>22.2</v>
      </c>
      <c r="CA196" s="9">
        <f t="shared" ref="CA196:CA243" si="578">MAX(Q196/2,O196)</f>
        <v>138.60000000000002</v>
      </c>
      <c r="CB196" s="9">
        <f t="shared" si="403"/>
        <v>1.3161686388047049</v>
      </c>
      <c r="CC196" s="9">
        <v>0</v>
      </c>
      <c r="CD196" s="9">
        <f t="shared" si="518"/>
        <v>0</v>
      </c>
      <c r="CE196" s="9">
        <f t="shared" si="404"/>
        <v>0</v>
      </c>
      <c r="CF196" s="9">
        <f t="shared" ref="CF196:CF243" si="579">MIN(1,(25/K196)^0.3)</f>
        <v>1</v>
      </c>
      <c r="CG196" s="9">
        <f t="shared" ref="CG196:CG243" si="580">IF(G196&gt;=800,0.68,IF(G196&gt;=700,0.75-(G196-700)*0.07/100,IF(G196&gt;=600,0.85-(G196-600)*0.1/100,IF(G196&gt;=500,1-(G196-500)*0.15/100,1.2-(G196-400)*0.2/100))))</f>
        <v>0.77100000000000002</v>
      </c>
      <c r="CH196" s="9">
        <f t="shared" si="405"/>
        <v>3.0755797864386483</v>
      </c>
      <c r="CI196" s="9">
        <f t="shared" si="406"/>
        <v>4.047981661052221</v>
      </c>
      <c r="CJ196" s="9">
        <v>1</v>
      </c>
      <c r="CK196" s="9">
        <f t="shared" si="407"/>
        <v>307.64660623996883</v>
      </c>
      <c r="CM196" s="4">
        <f t="shared" si="477"/>
        <v>2.7923113189478994</v>
      </c>
      <c r="CN196" s="4">
        <f t="shared" si="478"/>
        <v>0.80281511391392391</v>
      </c>
      <c r="CO196" s="4">
        <f t="shared" si="479"/>
        <v>1.3996547964651125</v>
      </c>
      <c r="CP196" s="4">
        <f t="shared" si="480"/>
        <v>2.1778234715106537</v>
      </c>
      <c r="CQ196" s="44">
        <f t="shared" si="481"/>
        <v>0.98674521354933731</v>
      </c>
      <c r="CR196" s="4">
        <f t="shared" si="482"/>
        <v>0.98674521354933731</v>
      </c>
      <c r="CS196" s="4">
        <f t="shared" si="483"/>
        <v>2.9072970877236819</v>
      </c>
      <c r="CU196" s="4">
        <f t="shared" si="553"/>
        <v>2.7923113189478994</v>
      </c>
      <c r="CV196" s="4">
        <f t="shared" si="553"/>
        <v>0.80281511391392391</v>
      </c>
      <c r="CW196" s="4">
        <f t="shared" si="562"/>
        <v>2.1778234715106537</v>
      </c>
      <c r="CX196" s="4">
        <f t="shared" si="554"/>
        <v>2.9072970877236819</v>
      </c>
      <c r="CY196" s="4">
        <f t="shared" si="555"/>
        <v>0.98674521354933731</v>
      </c>
      <c r="CZ196" s="4">
        <f t="shared" si="555"/>
        <v>0.98674521354933731</v>
      </c>
      <c r="DH196" s="4">
        <f t="shared" si="557"/>
        <v>0</v>
      </c>
      <c r="DI196" s="4">
        <f t="shared" si="453"/>
        <v>88.8</v>
      </c>
      <c r="DL196" s="4">
        <f t="shared" si="485"/>
        <v>1.3307058507295954E-5</v>
      </c>
      <c r="DM196" s="4">
        <f t="shared" si="558"/>
        <v>12.240383556873418</v>
      </c>
      <c r="DN196" s="4">
        <f t="shared" si="486"/>
        <v>0.30476317818160303</v>
      </c>
      <c r="DO196" s="4">
        <f t="shared" si="487"/>
        <v>7.6099188282326313</v>
      </c>
      <c r="DP196" s="4">
        <f t="shared" si="488"/>
        <v>10.192991795564765</v>
      </c>
      <c r="DQ196" s="4">
        <f t="shared" si="489"/>
        <v>12.017551598084074</v>
      </c>
      <c r="DR196" s="38">
        <f t="shared" si="513"/>
        <v>679</v>
      </c>
      <c r="DS196" s="4">
        <f t="shared" si="411"/>
        <v>1</v>
      </c>
      <c r="DT196" s="4">
        <f t="shared" si="490"/>
        <v>2.2360679774997898</v>
      </c>
      <c r="DU196" s="4">
        <f t="shared" si="441"/>
        <v>819.83561909002367</v>
      </c>
      <c r="DY196" s="4">
        <f t="shared" ref="DY196:DY259" si="581">IF(P196&gt;1*K196,0.85,1)</f>
        <v>0.85</v>
      </c>
      <c r="DZ196" s="4">
        <f t="shared" si="412"/>
        <v>1</v>
      </c>
      <c r="EA196" s="4">
        <f t="shared" si="514"/>
        <v>1</v>
      </c>
      <c r="EB196" s="4">
        <f t="shared" si="414"/>
        <v>1</v>
      </c>
      <c r="ED196" s="4">
        <f t="shared" si="515"/>
        <v>679</v>
      </c>
      <c r="EE196" s="25">
        <f t="shared" si="573"/>
        <v>792.6169156169592</v>
      </c>
      <c r="EH196" s="4">
        <f t="shared" si="517"/>
        <v>12.240383556873418</v>
      </c>
      <c r="EK196" s="4">
        <f t="shared" si="491"/>
        <v>49.640709100495329</v>
      </c>
      <c r="EL196" s="4">
        <f t="shared" si="492"/>
        <v>2.2360679774997898</v>
      </c>
      <c r="EM196" s="4">
        <f t="shared" si="493"/>
        <v>0.18993383393437455</v>
      </c>
      <c r="EP196" s="4">
        <f t="shared" si="541"/>
        <v>0.18993383393437455</v>
      </c>
      <c r="EQ196" s="4">
        <f t="shared" si="542"/>
        <v>0.30425458523735305</v>
      </c>
      <c r="ER196" s="4">
        <f t="shared" si="559"/>
        <v>7.6048364682962655</v>
      </c>
      <c r="ES196" s="4">
        <f t="shared" ref="ES196:ES243" si="582">EH196/1.4*(1-EQ196^1.4)/(1-EQ196)</f>
        <v>10.191101700613215</v>
      </c>
      <c r="ET196" s="4">
        <f t="shared" si="560"/>
        <v>16.959290899504666</v>
      </c>
      <c r="EU196" s="4">
        <f t="shared" si="561"/>
        <v>22.200000000000003</v>
      </c>
      <c r="EV196" s="4">
        <f t="shared" si="415"/>
        <v>1.3307058507295955E-5</v>
      </c>
      <c r="EW196" s="4">
        <f t="shared" ref="EW196:EW243" si="583">MAX(0.5*EH196, (1-2*EV196*(EK196*ER196+ET196*ES196))/(1/EH196+EV196*EU196))</f>
        <v>12.01764389508271</v>
      </c>
      <c r="EX196" s="4">
        <f t="shared" si="466"/>
        <v>679</v>
      </c>
      <c r="FG196" s="23">
        <f t="shared" si="563"/>
        <v>2.2000000000000002</v>
      </c>
      <c r="FH196" s="23">
        <f t="shared" si="563"/>
        <v>1</v>
      </c>
      <c r="FI196" s="23">
        <f t="shared" si="495"/>
        <v>2.2000000000000002</v>
      </c>
      <c r="FJ196" s="23">
        <f t="shared" si="564"/>
        <v>2.2000000000000002</v>
      </c>
      <c r="FK196" s="23">
        <f t="shared" si="564"/>
        <v>1</v>
      </c>
      <c r="FL196" s="23">
        <f t="shared" si="564"/>
        <v>1</v>
      </c>
      <c r="FM196" s="23">
        <f t="shared" si="497"/>
        <v>0</v>
      </c>
      <c r="FN196" s="23"/>
      <c r="FX196" s="4">
        <f t="shared" si="416"/>
        <v>1.25</v>
      </c>
      <c r="FY196" s="4">
        <f t="shared" si="469"/>
        <v>0.5</v>
      </c>
      <c r="FZ196" s="4">
        <f t="shared" si="417"/>
        <v>0</v>
      </c>
      <c r="GA196" s="4">
        <f t="shared" si="418"/>
        <v>230.4546043227347</v>
      </c>
    </row>
    <row r="197" spans="1:183" ht="12" customHeight="1" x14ac:dyDescent="0.3">
      <c r="A197" s="25">
        <v>179</v>
      </c>
      <c r="B197" s="24" t="s">
        <v>128</v>
      </c>
      <c r="C197" s="24">
        <v>2017</v>
      </c>
      <c r="D197" s="24" t="s">
        <v>309</v>
      </c>
      <c r="E197" s="24"/>
      <c r="F197" s="4" t="s">
        <v>311</v>
      </c>
      <c r="G197" s="7">
        <v>679</v>
      </c>
      <c r="H197" s="7">
        <f t="shared" si="565"/>
        <v>88.8</v>
      </c>
      <c r="I197" s="7">
        <f t="shared" si="455"/>
        <v>88.8</v>
      </c>
      <c r="J197" s="7">
        <v>129.9</v>
      </c>
      <c r="K197" s="7">
        <v>22.2</v>
      </c>
      <c r="L197" s="7">
        <f t="shared" si="498"/>
        <v>4</v>
      </c>
      <c r="M197" s="7">
        <f t="shared" si="499"/>
        <v>4</v>
      </c>
      <c r="N197" s="7">
        <v>366</v>
      </c>
      <c r="O197" s="7">
        <f t="shared" si="566"/>
        <v>22.2</v>
      </c>
      <c r="P197" s="7">
        <f t="shared" si="576"/>
        <v>29.200000000000003</v>
      </c>
      <c r="Q197" s="7">
        <f t="shared" si="567"/>
        <v>277.20000000000005</v>
      </c>
      <c r="R197" s="7">
        <v>2</v>
      </c>
      <c r="S197" s="7">
        <f t="shared" si="568"/>
        <v>59.199999999999996</v>
      </c>
      <c r="T197" s="7">
        <f t="shared" si="475"/>
        <v>1.5</v>
      </c>
      <c r="U197" s="7">
        <f t="shared" si="459"/>
        <v>1.5</v>
      </c>
      <c r="V197" s="7">
        <f t="shared" si="472"/>
        <v>4</v>
      </c>
      <c r="W197" s="7">
        <f t="shared" si="472"/>
        <v>4</v>
      </c>
      <c r="X197" s="7">
        <f t="shared" si="431"/>
        <v>5</v>
      </c>
      <c r="Y197" s="7">
        <f t="shared" si="552"/>
        <v>49.640709100495329</v>
      </c>
      <c r="Z197" s="7">
        <f t="shared" si="461"/>
        <v>679</v>
      </c>
      <c r="AA197" s="7">
        <v>8</v>
      </c>
      <c r="AB197" s="7">
        <f>(711+686)/2</f>
        <v>698.5</v>
      </c>
      <c r="AC197" s="7"/>
      <c r="AD197" s="4">
        <f t="shared" si="476"/>
        <v>1</v>
      </c>
      <c r="AE197" s="7"/>
      <c r="AF197" s="7"/>
      <c r="AG197" s="7">
        <v>1</v>
      </c>
      <c r="AH197" s="7"/>
      <c r="AI197" s="7"/>
      <c r="AJ197" s="7">
        <f t="shared" si="473"/>
        <v>0.88977955911823625</v>
      </c>
      <c r="AK197" s="4">
        <f t="shared" si="569"/>
        <v>88.8</v>
      </c>
      <c r="AL197" s="4">
        <f t="shared" si="505"/>
        <v>1.25</v>
      </c>
      <c r="AM197" s="4">
        <f t="shared" si="506"/>
        <v>123.19645135939774</v>
      </c>
      <c r="AN197" s="4">
        <f t="shared" si="507"/>
        <v>0.77499999999999991</v>
      </c>
      <c r="AO197" s="4">
        <v>1.25</v>
      </c>
      <c r="AP197" s="47">
        <f t="shared" si="574"/>
        <v>5</v>
      </c>
      <c r="AQ197" s="38">
        <f t="shared" si="509"/>
        <v>745.91601409010343</v>
      </c>
      <c r="AR197" s="38">
        <f t="shared" si="510"/>
        <v>745.91601409010343</v>
      </c>
      <c r="AS197" s="38">
        <f t="shared" si="511"/>
        <v>5.7111767066521422</v>
      </c>
      <c r="AT197" s="38">
        <f t="shared" si="450"/>
        <v>819.83561909002367</v>
      </c>
      <c r="AU197" s="38">
        <f t="shared" si="400"/>
        <v>0.90983606557377039</v>
      </c>
      <c r="AV197" s="38">
        <f t="shared" si="537"/>
        <v>0.9506783821677508</v>
      </c>
      <c r="AW197" s="4">
        <f t="shared" si="529"/>
        <v>1</v>
      </c>
      <c r="AX197" s="4">
        <f t="shared" si="570"/>
        <v>239.94459194200661</v>
      </c>
      <c r="AY197" s="4">
        <f t="shared" si="571"/>
        <v>1</v>
      </c>
      <c r="AZ197" s="38">
        <f t="shared" si="438"/>
        <v>779.40000000000009</v>
      </c>
      <c r="BA197" s="4">
        <f t="shared" si="572"/>
        <v>0.44000000000000006</v>
      </c>
      <c r="BB197" s="4">
        <f t="shared" si="401"/>
        <v>55.163261687467326</v>
      </c>
      <c r="BC197" s="4">
        <f t="shared" si="402"/>
        <v>834.56326168746739</v>
      </c>
      <c r="BE197" s="4">
        <f t="shared" si="451"/>
        <v>1</v>
      </c>
      <c r="BF197" s="4">
        <f t="shared" si="452"/>
        <v>478.68946092430321</v>
      </c>
      <c r="BH197" s="4">
        <f t="shared" si="463"/>
        <v>747.53991440910613</v>
      </c>
      <c r="BI197" s="4">
        <f t="shared" si="464"/>
        <v>3704.4961984911101</v>
      </c>
      <c r="BJ197" s="4">
        <f t="shared" si="465"/>
        <v>4.9555831429005819</v>
      </c>
      <c r="BR197" s="4">
        <f t="shared" si="539"/>
        <v>22.2</v>
      </c>
      <c r="BV197" s="9"/>
      <c r="BX197" s="9"/>
      <c r="BY197" s="9"/>
      <c r="BZ197" s="9">
        <f t="shared" si="577"/>
        <v>22.2</v>
      </c>
      <c r="CA197" s="9">
        <f t="shared" si="578"/>
        <v>138.60000000000002</v>
      </c>
      <c r="CB197" s="9">
        <f t="shared" si="403"/>
        <v>1.3161686388047049</v>
      </c>
      <c r="CC197" s="9">
        <v>0</v>
      </c>
      <c r="CD197" s="9">
        <f t="shared" si="518"/>
        <v>0</v>
      </c>
      <c r="CE197" s="9">
        <f t="shared" si="404"/>
        <v>0</v>
      </c>
      <c r="CF197" s="9">
        <f t="shared" si="579"/>
        <v>1</v>
      </c>
      <c r="CG197" s="9">
        <f t="shared" si="580"/>
        <v>0.77100000000000002</v>
      </c>
      <c r="CH197" s="9">
        <f t="shared" si="405"/>
        <v>3.0755797864386483</v>
      </c>
      <c r="CI197" s="9">
        <f t="shared" si="406"/>
        <v>4.047981661052221</v>
      </c>
      <c r="CJ197" s="9">
        <v>1</v>
      </c>
      <c r="CK197" s="9">
        <f t="shared" si="407"/>
        <v>307.64660623996883</v>
      </c>
      <c r="CM197" s="4">
        <f t="shared" si="477"/>
        <v>2.9110887407240416</v>
      </c>
      <c r="CN197" s="4">
        <f t="shared" si="478"/>
        <v>0.8369647120430983</v>
      </c>
      <c r="CO197" s="4">
        <f t="shared" si="479"/>
        <v>1.459192351240121</v>
      </c>
      <c r="CP197" s="4">
        <f t="shared" si="480"/>
        <v>2.2704622311196889</v>
      </c>
      <c r="CQ197" s="44">
        <f t="shared" si="481"/>
        <v>1</v>
      </c>
      <c r="CR197" s="4">
        <f t="shared" si="482"/>
        <v>1</v>
      </c>
      <c r="CS197" s="4">
        <f t="shared" si="483"/>
        <v>3.0309656951865547</v>
      </c>
      <c r="CU197" s="4">
        <f t="shared" si="553"/>
        <v>2.9110887407240416</v>
      </c>
      <c r="CV197" s="4">
        <f t="shared" si="553"/>
        <v>0.8369647120430983</v>
      </c>
      <c r="CW197" s="4">
        <f t="shared" si="562"/>
        <v>2.2704622311196889</v>
      </c>
      <c r="CX197" s="4">
        <f t="shared" si="554"/>
        <v>3.0309656951865547</v>
      </c>
      <c r="CY197" s="4">
        <f t="shared" si="555"/>
        <v>1</v>
      </c>
      <c r="CZ197" s="4">
        <f t="shared" si="555"/>
        <v>1</v>
      </c>
      <c r="DH197" s="4">
        <f t="shared" si="557"/>
        <v>0</v>
      </c>
      <c r="DI197" s="4">
        <f t="shared" si="453"/>
        <v>88.8</v>
      </c>
      <c r="DL197" s="4">
        <f t="shared" si="485"/>
        <v>1.3307058507295954E-5</v>
      </c>
      <c r="DM197" s="4">
        <f t="shared" si="558"/>
        <v>12.240383556873418</v>
      </c>
      <c r="DN197" s="4">
        <f t="shared" si="486"/>
        <v>0.30476317818160303</v>
      </c>
      <c r="DO197" s="4">
        <f t="shared" si="487"/>
        <v>7.6099188282326313</v>
      </c>
      <c r="DP197" s="4">
        <f t="shared" si="488"/>
        <v>10.192991795564765</v>
      </c>
      <c r="DQ197" s="4">
        <f t="shared" si="489"/>
        <v>12.017551598084074</v>
      </c>
      <c r="DR197" s="38">
        <f t="shared" si="513"/>
        <v>698.5</v>
      </c>
      <c r="DS197" s="4">
        <f t="shared" si="411"/>
        <v>1</v>
      </c>
      <c r="DT197" s="4">
        <f t="shared" si="490"/>
        <v>2.2360679774997898</v>
      </c>
      <c r="DU197" s="4">
        <f t="shared" si="441"/>
        <v>819.83561909002367</v>
      </c>
      <c r="DY197" s="4">
        <f t="shared" si="581"/>
        <v>0.85</v>
      </c>
      <c r="DZ197" s="4">
        <f t="shared" si="412"/>
        <v>1</v>
      </c>
      <c r="EA197" s="4">
        <f t="shared" si="514"/>
        <v>1</v>
      </c>
      <c r="EB197" s="4">
        <f t="shared" si="414"/>
        <v>1</v>
      </c>
      <c r="ED197" s="4">
        <f t="shared" si="515"/>
        <v>698.5</v>
      </c>
      <c r="EE197" s="25">
        <f t="shared" si="573"/>
        <v>792.6169156169592</v>
      </c>
      <c r="EH197" s="4">
        <f t="shared" si="517"/>
        <v>12.240383556873418</v>
      </c>
      <c r="EK197" s="4">
        <f t="shared" si="491"/>
        <v>49.640709100495329</v>
      </c>
      <c r="EL197" s="4">
        <f t="shared" si="492"/>
        <v>2.2360679774997898</v>
      </c>
      <c r="EM197" s="4">
        <f t="shared" si="493"/>
        <v>0.18993383393437455</v>
      </c>
      <c r="EP197" s="4">
        <f t="shared" si="541"/>
        <v>0.18993383393437455</v>
      </c>
      <c r="EQ197" s="4">
        <f t="shared" si="542"/>
        <v>0.30425458523735305</v>
      </c>
      <c r="ER197" s="4">
        <f t="shared" si="559"/>
        <v>7.6048364682962655</v>
      </c>
      <c r="ES197" s="4">
        <f t="shared" si="582"/>
        <v>10.191101700613215</v>
      </c>
      <c r="ET197" s="4">
        <f t="shared" si="560"/>
        <v>16.959290899504666</v>
      </c>
      <c r="EU197" s="4">
        <f t="shared" si="561"/>
        <v>22.200000000000003</v>
      </c>
      <c r="EV197" s="4">
        <f t="shared" si="415"/>
        <v>1.3307058507295955E-5</v>
      </c>
      <c r="EW197" s="4">
        <f t="shared" si="583"/>
        <v>12.01764389508271</v>
      </c>
      <c r="EX197" s="4">
        <f t="shared" si="466"/>
        <v>698.5</v>
      </c>
      <c r="FG197" s="23">
        <f t="shared" si="563"/>
        <v>2.2000000000000002</v>
      </c>
      <c r="FH197" s="23">
        <f t="shared" si="563"/>
        <v>1</v>
      </c>
      <c r="FI197" s="23">
        <f t="shared" si="495"/>
        <v>2.2000000000000002</v>
      </c>
      <c r="FJ197" s="23">
        <f t="shared" si="564"/>
        <v>2.2000000000000002</v>
      </c>
      <c r="FK197" s="23">
        <f t="shared" si="564"/>
        <v>1.2</v>
      </c>
      <c r="FL197" s="23">
        <f t="shared" si="564"/>
        <v>1.2</v>
      </c>
      <c r="FM197" s="23">
        <f t="shared" si="497"/>
        <v>0</v>
      </c>
      <c r="FN197" s="23"/>
      <c r="FX197" s="4">
        <f t="shared" si="416"/>
        <v>1.25</v>
      </c>
      <c r="FY197" s="4">
        <f t="shared" si="469"/>
        <v>0.5</v>
      </c>
      <c r="FZ197" s="4">
        <f t="shared" si="417"/>
        <v>0</v>
      </c>
      <c r="GA197" s="4">
        <f t="shared" si="418"/>
        <v>230.4546043227347</v>
      </c>
    </row>
    <row r="198" spans="1:183" ht="12" customHeight="1" x14ac:dyDescent="0.3">
      <c r="A198" s="25">
        <v>180</v>
      </c>
      <c r="B198" s="24" t="s">
        <v>128</v>
      </c>
      <c r="C198" s="24">
        <v>2017</v>
      </c>
      <c r="D198" s="24" t="s">
        <v>309</v>
      </c>
      <c r="E198" s="24"/>
      <c r="F198" s="4" t="s">
        <v>314</v>
      </c>
      <c r="G198" s="7">
        <v>679</v>
      </c>
      <c r="H198" s="7">
        <f t="shared" si="565"/>
        <v>88.8</v>
      </c>
      <c r="I198" s="7">
        <f t="shared" si="455"/>
        <v>88.8</v>
      </c>
      <c r="J198" s="7">
        <v>129.9</v>
      </c>
      <c r="K198" s="7">
        <v>22.2</v>
      </c>
      <c r="L198" s="7">
        <f t="shared" si="498"/>
        <v>4</v>
      </c>
      <c r="M198" s="7">
        <f t="shared" si="499"/>
        <v>4</v>
      </c>
      <c r="N198" s="7">
        <v>388</v>
      </c>
      <c r="O198" s="7">
        <f>1.5*K198</f>
        <v>33.299999999999997</v>
      </c>
      <c r="P198" s="7">
        <f t="shared" si="576"/>
        <v>29.200000000000003</v>
      </c>
      <c r="Q198" s="7">
        <f t="shared" si="567"/>
        <v>277</v>
      </c>
      <c r="R198" s="7">
        <v>2</v>
      </c>
      <c r="S198" s="7">
        <f t="shared" si="568"/>
        <v>59.199999999999996</v>
      </c>
      <c r="T198" s="7">
        <f t="shared" si="475"/>
        <v>2</v>
      </c>
      <c r="U198" s="7">
        <f t="shared" si="459"/>
        <v>2</v>
      </c>
      <c r="V198" s="7">
        <f t="shared" si="472"/>
        <v>4</v>
      </c>
      <c r="W198" s="7">
        <f t="shared" si="472"/>
        <v>4</v>
      </c>
      <c r="X198" s="7">
        <f t="shared" si="431"/>
        <v>5</v>
      </c>
      <c r="Y198" s="7">
        <f t="shared" si="552"/>
        <v>49.640709100495329</v>
      </c>
      <c r="Z198" s="7">
        <f t="shared" si="461"/>
        <v>679</v>
      </c>
      <c r="AA198" s="7">
        <v>8</v>
      </c>
      <c r="AB198" s="7">
        <f>(751+699)/2</f>
        <v>725</v>
      </c>
      <c r="AC198" s="7"/>
      <c r="AD198" s="4">
        <f t="shared" si="476"/>
        <v>1</v>
      </c>
      <c r="AE198" s="7"/>
      <c r="AF198" s="7"/>
      <c r="AG198" s="7">
        <v>1</v>
      </c>
      <c r="AH198" s="7"/>
      <c r="AI198" s="7"/>
      <c r="AJ198" s="7">
        <f t="shared" si="473"/>
        <v>0.89037433155080214</v>
      </c>
      <c r="AK198" s="4">
        <f t="shared" si="569"/>
        <v>88.8</v>
      </c>
      <c r="AL198" s="4">
        <f t="shared" si="505"/>
        <v>1.3333333333333333</v>
      </c>
      <c r="AM198" s="4">
        <f t="shared" si="506"/>
        <v>123.19645135939774</v>
      </c>
      <c r="AN198" s="4">
        <f t="shared" si="507"/>
        <v>0.79999999999999993</v>
      </c>
      <c r="AO198" s="4">
        <v>1.25</v>
      </c>
      <c r="AP198" s="47">
        <f t="shared" si="574"/>
        <v>5</v>
      </c>
      <c r="AQ198" s="38">
        <f t="shared" si="509"/>
        <v>821.30967572931809</v>
      </c>
      <c r="AR198" s="38">
        <f t="shared" si="510"/>
        <v>821.30967572931809</v>
      </c>
      <c r="AS198" s="38">
        <f t="shared" si="511"/>
        <v>5.7111767066521422</v>
      </c>
      <c r="AT198" s="38">
        <f t="shared" si="450"/>
        <v>897.15133497459317</v>
      </c>
      <c r="AU198" s="38">
        <f t="shared" si="400"/>
        <v>0.91546391752577294</v>
      </c>
      <c r="AV198" s="38">
        <f t="shared" si="537"/>
        <v>1.1583330030149592</v>
      </c>
      <c r="AW198" s="4">
        <f t="shared" si="529"/>
        <v>0</v>
      </c>
      <c r="AX198" s="4">
        <f t="shared" si="570"/>
        <v>239.94459194200661</v>
      </c>
      <c r="AY198" s="4">
        <f t="shared" si="571"/>
        <v>1</v>
      </c>
      <c r="AZ198" s="38">
        <f t="shared" si="438"/>
        <v>1039.2</v>
      </c>
      <c r="BA198" s="4">
        <f t="shared" si="572"/>
        <v>0.44000000000000006</v>
      </c>
      <c r="BB198" s="4">
        <f t="shared" si="401"/>
        <v>55.163261687467326</v>
      </c>
      <c r="BC198" s="4">
        <f t="shared" si="402"/>
        <v>1094.3632616874675</v>
      </c>
      <c r="BE198" s="4">
        <f t="shared" si="451"/>
        <v>1.125</v>
      </c>
      <c r="BF198" s="4">
        <f t="shared" si="452"/>
        <v>538.5256435398411</v>
      </c>
      <c r="BH198" s="4">
        <f t="shared" si="463"/>
        <v>996.71988587880821</v>
      </c>
      <c r="BI198" s="4">
        <f t="shared" si="464"/>
        <v>3704.4961984911101</v>
      </c>
      <c r="BJ198" s="4">
        <f t="shared" si="465"/>
        <v>3.7166873571754362</v>
      </c>
      <c r="BR198" s="4">
        <f t="shared" si="539"/>
        <v>33.299999999999997</v>
      </c>
      <c r="BV198" s="9"/>
      <c r="BX198" s="9"/>
      <c r="BY198" s="9"/>
      <c r="BZ198" s="9">
        <f t="shared" si="577"/>
        <v>29.200000000000003</v>
      </c>
      <c r="CA198" s="9">
        <f t="shared" si="578"/>
        <v>138.5</v>
      </c>
      <c r="CB198" s="9">
        <f t="shared" si="403"/>
        <v>1.4485216037038422</v>
      </c>
      <c r="CC198" s="9">
        <v>0</v>
      </c>
      <c r="CD198" s="9">
        <f t="shared" si="518"/>
        <v>0</v>
      </c>
      <c r="CE198" s="9">
        <f t="shared" si="404"/>
        <v>0</v>
      </c>
      <c r="CF198" s="9">
        <f t="shared" si="579"/>
        <v>1</v>
      </c>
      <c r="CG198" s="9">
        <f t="shared" si="580"/>
        <v>0.77100000000000002</v>
      </c>
      <c r="CH198" s="9">
        <f t="shared" si="405"/>
        <v>3.0755797864386483</v>
      </c>
      <c r="CI198" s="9">
        <f t="shared" si="406"/>
        <v>4.4550437645712311</v>
      </c>
      <c r="CJ198" s="9">
        <v>1</v>
      </c>
      <c r="CK198" s="9">
        <f t="shared" si="407"/>
        <v>338.58332610741354</v>
      </c>
      <c r="CM198" s="4">
        <f t="shared" si="477"/>
        <v>3.0215309048316823</v>
      </c>
      <c r="CN198" s="4">
        <f t="shared" si="478"/>
        <v>0.6624856895159994</v>
      </c>
      <c r="CO198" s="4">
        <f t="shared" si="479"/>
        <v>1.346268295107405</v>
      </c>
      <c r="CP198" s="4">
        <f t="shared" si="480"/>
        <v>2.1412749657081402</v>
      </c>
      <c r="CQ198" s="44">
        <f t="shared" si="481"/>
        <v>1</v>
      </c>
      <c r="CR198" s="4">
        <f t="shared" si="482"/>
        <v>1</v>
      </c>
      <c r="CS198" s="4">
        <f t="shared" si="483"/>
        <v>3.1459558038801037</v>
      </c>
      <c r="CU198" s="4">
        <f t="shared" si="553"/>
        <v>3.0215309048316823</v>
      </c>
      <c r="CV198" s="4">
        <f t="shared" si="553"/>
        <v>0.6624856895159994</v>
      </c>
      <c r="CW198" s="4">
        <f t="shared" si="562"/>
        <v>2.1412749657081402</v>
      </c>
      <c r="CX198" s="4">
        <f t="shared" si="554"/>
        <v>3.1459558038801037</v>
      </c>
      <c r="CY198" s="4">
        <f t="shared" si="555"/>
        <v>1</v>
      </c>
      <c r="CZ198" s="4">
        <f t="shared" si="555"/>
        <v>1</v>
      </c>
      <c r="DH198" s="4">
        <f t="shared" si="557"/>
        <v>0</v>
      </c>
      <c r="DI198" s="4">
        <f t="shared" si="453"/>
        <v>88.8</v>
      </c>
      <c r="DL198" s="4">
        <f t="shared" si="485"/>
        <v>1.3307058507295954E-5</v>
      </c>
      <c r="DM198" s="4">
        <f t="shared" si="558"/>
        <v>12.884614270393072</v>
      </c>
      <c r="DN198" s="4">
        <f t="shared" si="486"/>
        <v>0.33350428523733322</v>
      </c>
      <c r="DO198" s="4">
        <f t="shared" si="487"/>
        <v>8.3044713080107613</v>
      </c>
      <c r="DP198" s="4">
        <f t="shared" si="488"/>
        <v>10.84031994129483</v>
      </c>
      <c r="DQ198" s="4">
        <f t="shared" si="489"/>
        <v>12.632127494153044</v>
      </c>
      <c r="DR198" s="38">
        <f t="shared" si="513"/>
        <v>725</v>
      </c>
      <c r="DS198" s="4">
        <f t="shared" si="411"/>
        <v>1</v>
      </c>
      <c r="DT198" s="4">
        <f t="shared" si="490"/>
        <v>2.2360679774997898</v>
      </c>
      <c r="DU198" s="4">
        <f t="shared" si="441"/>
        <v>897.15133497459317</v>
      </c>
      <c r="DY198" s="4">
        <f t="shared" si="581"/>
        <v>0.85</v>
      </c>
      <c r="DZ198" s="4">
        <f t="shared" si="412"/>
        <v>0.95</v>
      </c>
      <c r="EA198" s="4">
        <f t="shared" si="514"/>
        <v>1</v>
      </c>
      <c r="EB198" s="4">
        <f t="shared" si="414"/>
        <v>0.95</v>
      </c>
      <c r="ED198" s="4">
        <f t="shared" si="515"/>
        <v>725</v>
      </c>
      <c r="EE198" s="25">
        <f t="shared" si="573"/>
        <v>868.2692405319475</v>
      </c>
      <c r="EH198" s="4">
        <f t="shared" si="517"/>
        <v>12.884614270393072</v>
      </c>
      <c r="EK198" s="4">
        <f t="shared" si="491"/>
        <v>49.640709100495329</v>
      </c>
      <c r="EL198" s="4">
        <f t="shared" si="492"/>
        <v>2.2360679774997898</v>
      </c>
      <c r="EM198" s="4">
        <f t="shared" si="493"/>
        <v>0.20784580311380174</v>
      </c>
      <c r="EP198" s="4">
        <f t="shared" si="541"/>
        <v>0.20784580311380174</v>
      </c>
      <c r="EQ198" s="4">
        <f t="shared" si="542"/>
        <v>0.3329477287420215</v>
      </c>
      <c r="ER198" s="4">
        <f t="shared" si="559"/>
        <v>8.2989250842965276</v>
      </c>
      <c r="ES198" s="4">
        <f t="shared" si="582"/>
        <v>10.83820183717541</v>
      </c>
      <c r="ET198" s="4">
        <f t="shared" si="560"/>
        <v>16.959290899504666</v>
      </c>
      <c r="EU198" s="4">
        <f t="shared" si="561"/>
        <v>22.200000000000003</v>
      </c>
      <c r="EV198" s="4">
        <f t="shared" si="415"/>
        <v>1.3307058507295955E-5</v>
      </c>
      <c r="EW198" s="4">
        <f t="shared" si="583"/>
        <v>12.632233817586011</v>
      </c>
      <c r="EX198" s="4">
        <f t="shared" si="466"/>
        <v>725</v>
      </c>
      <c r="FG198" s="23">
        <f t="shared" si="563"/>
        <v>2.2000000000000002</v>
      </c>
      <c r="FH198" s="23">
        <f t="shared" si="563"/>
        <v>0.8</v>
      </c>
      <c r="FI198" s="23">
        <f t="shared" si="495"/>
        <v>2.2000000000000002</v>
      </c>
      <c r="FJ198" s="23">
        <f t="shared" si="564"/>
        <v>2.2000000000000002</v>
      </c>
      <c r="FK198" s="23">
        <f t="shared" si="564"/>
        <v>1.2</v>
      </c>
      <c r="FL198" s="23">
        <f t="shared" si="564"/>
        <v>1.2</v>
      </c>
      <c r="FM198" s="23">
        <f t="shared" si="497"/>
        <v>0</v>
      </c>
      <c r="FN198" s="23"/>
      <c r="FX198" s="4">
        <f t="shared" si="416"/>
        <v>1.25</v>
      </c>
      <c r="FY198" s="4">
        <f t="shared" si="469"/>
        <v>0.5</v>
      </c>
      <c r="FZ198" s="4">
        <f t="shared" si="417"/>
        <v>0</v>
      </c>
      <c r="GA198" s="4">
        <f t="shared" si="418"/>
        <v>230.4546043227347</v>
      </c>
    </row>
    <row r="199" spans="1:183" ht="12" customHeight="1" x14ac:dyDescent="0.3">
      <c r="A199" s="25">
        <v>181</v>
      </c>
      <c r="B199" s="24" t="s">
        <v>128</v>
      </c>
      <c r="C199" s="24">
        <v>2017</v>
      </c>
      <c r="D199" s="24" t="s">
        <v>309</v>
      </c>
      <c r="E199" s="24"/>
      <c r="F199" s="4" t="s">
        <v>315</v>
      </c>
      <c r="G199" s="7">
        <v>679</v>
      </c>
      <c r="H199" s="7">
        <f t="shared" si="565"/>
        <v>88.8</v>
      </c>
      <c r="I199" s="7">
        <f t="shared" si="455"/>
        <v>88.8</v>
      </c>
      <c r="J199" s="7">
        <v>129.9</v>
      </c>
      <c r="K199" s="7">
        <v>22.2</v>
      </c>
      <c r="L199" s="7">
        <f t="shared" si="498"/>
        <v>4</v>
      </c>
      <c r="M199" s="7">
        <f t="shared" si="499"/>
        <v>4</v>
      </c>
      <c r="N199" s="7">
        <v>388</v>
      </c>
      <c r="O199" s="7">
        <f>1.5*K199</f>
        <v>33.299999999999997</v>
      </c>
      <c r="P199" s="7">
        <f t="shared" si="576"/>
        <v>29.200000000000003</v>
      </c>
      <c r="Q199" s="7">
        <f t="shared" si="567"/>
        <v>277</v>
      </c>
      <c r="R199" s="7">
        <v>2</v>
      </c>
      <c r="S199" s="7">
        <f t="shared" si="568"/>
        <v>59.199999999999996</v>
      </c>
      <c r="T199" s="7">
        <f t="shared" si="475"/>
        <v>2</v>
      </c>
      <c r="U199" s="7">
        <f t="shared" si="459"/>
        <v>2</v>
      </c>
      <c r="V199" s="7">
        <f t="shared" si="472"/>
        <v>4</v>
      </c>
      <c r="W199" s="7">
        <f t="shared" si="472"/>
        <v>4</v>
      </c>
      <c r="X199" s="7">
        <f t="shared" si="431"/>
        <v>5</v>
      </c>
      <c r="Y199" s="7">
        <f t="shared" si="552"/>
        <v>49.640709100495329</v>
      </c>
      <c r="Z199" s="7">
        <f t="shared" si="461"/>
        <v>679</v>
      </c>
      <c r="AA199" s="7">
        <v>8</v>
      </c>
      <c r="AB199" s="7">
        <f>(731+693)/2</f>
        <v>712</v>
      </c>
      <c r="AC199" s="7"/>
      <c r="AD199" s="4">
        <f t="shared" si="476"/>
        <v>1</v>
      </c>
      <c r="AE199" s="7"/>
      <c r="AF199" s="7"/>
      <c r="AG199" s="7">
        <v>1</v>
      </c>
      <c r="AH199" s="7"/>
      <c r="AI199" s="7"/>
      <c r="AJ199" s="7">
        <f t="shared" si="473"/>
        <v>0.89037433155080214</v>
      </c>
      <c r="AK199" s="4">
        <f t="shared" si="569"/>
        <v>88.8</v>
      </c>
      <c r="AL199" s="4">
        <f t="shared" si="505"/>
        <v>1.3333333333333333</v>
      </c>
      <c r="AM199" s="4">
        <f t="shared" si="506"/>
        <v>123.19645135939774</v>
      </c>
      <c r="AN199" s="4">
        <f t="shared" si="507"/>
        <v>0.79999999999999993</v>
      </c>
      <c r="AO199" s="4">
        <v>1.25</v>
      </c>
      <c r="AP199" s="47">
        <f t="shared" si="574"/>
        <v>5</v>
      </c>
      <c r="AQ199" s="38">
        <f t="shared" si="509"/>
        <v>821.30967572931809</v>
      </c>
      <c r="AR199" s="38">
        <f t="shared" si="510"/>
        <v>821.30967572931809</v>
      </c>
      <c r="AS199" s="38">
        <f t="shared" si="511"/>
        <v>5.7111767066521422</v>
      </c>
      <c r="AT199" s="38">
        <f t="shared" si="450"/>
        <v>897.15133497459317</v>
      </c>
      <c r="AU199" s="38">
        <f t="shared" si="400"/>
        <v>0.91546391752577294</v>
      </c>
      <c r="AV199" s="38">
        <f t="shared" si="537"/>
        <v>1.1583330030149592</v>
      </c>
      <c r="AW199" s="4">
        <f t="shared" si="529"/>
        <v>0</v>
      </c>
      <c r="AX199" s="4">
        <f t="shared" si="570"/>
        <v>239.94459194200661</v>
      </c>
      <c r="AY199" s="4">
        <f t="shared" si="571"/>
        <v>1</v>
      </c>
      <c r="AZ199" s="38">
        <f t="shared" si="438"/>
        <v>1039.2</v>
      </c>
      <c r="BA199" s="4">
        <f t="shared" si="572"/>
        <v>0.44000000000000006</v>
      </c>
      <c r="BB199" s="4">
        <f t="shared" si="401"/>
        <v>55.163261687467326</v>
      </c>
      <c r="BC199" s="4">
        <f t="shared" si="402"/>
        <v>1094.3632616874675</v>
      </c>
      <c r="BE199" s="4">
        <f t="shared" si="451"/>
        <v>1.125</v>
      </c>
      <c r="BF199" s="4">
        <f t="shared" si="452"/>
        <v>538.5256435398411</v>
      </c>
      <c r="BH199" s="4">
        <f t="shared" si="463"/>
        <v>996.71988587880821</v>
      </c>
      <c r="BI199" s="4">
        <f t="shared" si="464"/>
        <v>3704.4961984911101</v>
      </c>
      <c r="BJ199" s="4">
        <f t="shared" si="465"/>
        <v>3.7166873571754362</v>
      </c>
      <c r="BR199" s="4">
        <f t="shared" si="539"/>
        <v>33.299999999999997</v>
      </c>
      <c r="BV199" s="9"/>
      <c r="BX199" s="9"/>
      <c r="BY199" s="9"/>
      <c r="BZ199" s="9">
        <f t="shared" si="577"/>
        <v>29.200000000000003</v>
      </c>
      <c r="CA199" s="9">
        <f t="shared" si="578"/>
        <v>138.5</v>
      </c>
      <c r="CB199" s="9">
        <f t="shared" si="403"/>
        <v>1.4485216037038422</v>
      </c>
      <c r="CC199" s="9">
        <v>0</v>
      </c>
      <c r="CD199" s="9">
        <f t="shared" si="518"/>
        <v>0</v>
      </c>
      <c r="CE199" s="9">
        <f t="shared" si="404"/>
        <v>0</v>
      </c>
      <c r="CF199" s="9">
        <f t="shared" si="579"/>
        <v>1</v>
      </c>
      <c r="CG199" s="9">
        <f t="shared" si="580"/>
        <v>0.77100000000000002</v>
      </c>
      <c r="CH199" s="9">
        <f t="shared" si="405"/>
        <v>3.0755797864386483</v>
      </c>
      <c r="CI199" s="9">
        <f t="shared" si="406"/>
        <v>4.4550437645712311</v>
      </c>
      <c r="CJ199" s="9">
        <v>1</v>
      </c>
      <c r="CK199" s="9">
        <f t="shared" si="407"/>
        <v>338.58332610741354</v>
      </c>
      <c r="CM199" s="4">
        <f t="shared" si="477"/>
        <v>2.9673517299864245</v>
      </c>
      <c r="CN199" s="4">
        <f t="shared" si="478"/>
        <v>0.65060663577295397</v>
      </c>
      <c r="CO199" s="4">
        <f t="shared" si="479"/>
        <v>1.3221283118847895</v>
      </c>
      <c r="CP199" s="4">
        <f t="shared" si="480"/>
        <v>2.1028796904609597</v>
      </c>
      <c r="CQ199" s="44">
        <f t="shared" si="481"/>
        <v>1</v>
      </c>
      <c r="CR199" s="4">
        <f t="shared" si="482"/>
        <v>1</v>
      </c>
      <c r="CS199" s="4">
        <f t="shared" si="483"/>
        <v>3.0895455618794947</v>
      </c>
      <c r="CU199" s="4">
        <f t="shared" si="553"/>
        <v>2.9673517299864245</v>
      </c>
      <c r="CV199" s="4">
        <f t="shared" si="553"/>
        <v>0.65060663577295397</v>
      </c>
      <c r="CW199" s="4">
        <f t="shared" si="562"/>
        <v>2.1028796904609597</v>
      </c>
      <c r="CX199" s="4">
        <f t="shared" si="554"/>
        <v>3.0895455618794947</v>
      </c>
      <c r="CY199" s="4">
        <f t="shared" si="555"/>
        <v>1</v>
      </c>
      <c r="CZ199" s="4">
        <f t="shared" si="555"/>
        <v>1</v>
      </c>
      <c r="DH199" s="4">
        <f t="shared" si="557"/>
        <v>0</v>
      </c>
      <c r="DI199" s="4">
        <f t="shared" si="453"/>
        <v>88.8</v>
      </c>
      <c r="DL199" s="4">
        <f t="shared" si="485"/>
        <v>1.3307058507295954E-5</v>
      </c>
      <c r="DM199" s="4">
        <f t="shared" si="558"/>
        <v>12.884614270393072</v>
      </c>
      <c r="DN199" s="4">
        <f t="shared" si="486"/>
        <v>0.33350428523733322</v>
      </c>
      <c r="DO199" s="4">
        <f t="shared" si="487"/>
        <v>8.3044713080107613</v>
      </c>
      <c r="DP199" s="4">
        <f t="shared" si="488"/>
        <v>10.84031994129483</v>
      </c>
      <c r="DQ199" s="4">
        <f t="shared" si="489"/>
        <v>12.632127494153044</v>
      </c>
      <c r="DR199" s="38">
        <f t="shared" si="513"/>
        <v>712</v>
      </c>
      <c r="DS199" s="4">
        <f t="shared" si="411"/>
        <v>1</v>
      </c>
      <c r="DT199" s="4">
        <f t="shared" si="490"/>
        <v>2.2360679774997898</v>
      </c>
      <c r="DU199" s="4">
        <f t="shared" si="441"/>
        <v>897.15133497459317</v>
      </c>
      <c r="DY199" s="4">
        <f t="shared" si="581"/>
        <v>0.85</v>
      </c>
      <c r="DZ199" s="4">
        <f t="shared" si="412"/>
        <v>0.95</v>
      </c>
      <c r="EA199" s="4">
        <f t="shared" si="514"/>
        <v>1</v>
      </c>
      <c r="EB199" s="4">
        <f t="shared" si="414"/>
        <v>0.95</v>
      </c>
      <c r="ED199" s="4">
        <f t="shared" si="515"/>
        <v>712</v>
      </c>
      <c r="EE199" s="25">
        <f t="shared" si="573"/>
        <v>868.2692405319475</v>
      </c>
      <c r="EH199" s="4">
        <f t="shared" si="517"/>
        <v>12.884614270393072</v>
      </c>
      <c r="EK199" s="4">
        <f t="shared" si="491"/>
        <v>49.640709100495329</v>
      </c>
      <c r="EL199" s="4">
        <f t="shared" si="492"/>
        <v>2.2360679774997898</v>
      </c>
      <c r="EM199" s="4">
        <f t="shared" si="493"/>
        <v>0.20784580311380174</v>
      </c>
      <c r="EP199" s="4">
        <f t="shared" si="541"/>
        <v>0.20784580311380174</v>
      </c>
      <c r="EQ199" s="4">
        <f t="shared" si="542"/>
        <v>0.3329477287420215</v>
      </c>
      <c r="ER199" s="4">
        <f t="shared" si="559"/>
        <v>8.2989250842965276</v>
      </c>
      <c r="ES199" s="4">
        <f t="shared" si="582"/>
        <v>10.83820183717541</v>
      </c>
      <c r="ET199" s="4">
        <f t="shared" si="560"/>
        <v>16.959290899504666</v>
      </c>
      <c r="EU199" s="4">
        <f t="shared" si="561"/>
        <v>22.200000000000003</v>
      </c>
      <c r="EV199" s="4">
        <f t="shared" si="415"/>
        <v>1.3307058507295955E-5</v>
      </c>
      <c r="EW199" s="4">
        <f t="shared" si="583"/>
        <v>12.632233817586011</v>
      </c>
      <c r="EX199" s="4">
        <f t="shared" si="466"/>
        <v>712</v>
      </c>
      <c r="FG199" s="23">
        <f t="shared" si="563"/>
        <v>2.2000000000000002</v>
      </c>
      <c r="FH199" s="23">
        <f t="shared" si="563"/>
        <v>0.8</v>
      </c>
      <c r="FI199" s="23">
        <f t="shared" si="495"/>
        <v>2.2000000000000002</v>
      </c>
      <c r="FJ199" s="23">
        <f t="shared" si="564"/>
        <v>2.2000000000000002</v>
      </c>
      <c r="FK199" s="23">
        <f t="shared" si="564"/>
        <v>1.2</v>
      </c>
      <c r="FL199" s="23">
        <f t="shared" si="564"/>
        <v>1.2</v>
      </c>
      <c r="FM199" s="23">
        <f t="shared" si="497"/>
        <v>0</v>
      </c>
      <c r="FN199" s="23"/>
      <c r="FX199" s="4">
        <f t="shared" si="416"/>
        <v>1.25</v>
      </c>
      <c r="FY199" s="4">
        <f t="shared" si="469"/>
        <v>0.5</v>
      </c>
      <c r="FZ199" s="4">
        <f t="shared" si="417"/>
        <v>0</v>
      </c>
      <c r="GA199" s="4">
        <f t="shared" si="418"/>
        <v>230.4546043227347</v>
      </c>
    </row>
    <row r="200" spans="1:183" ht="12" customHeight="1" x14ac:dyDescent="0.3">
      <c r="A200" s="25">
        <v>182</v>
      </c>
      <c r="B200" s="24" t="s">
        <v>128</v>
      </c>
      <c r="C200" s="24">
        <v>2017</v>
      </c>
      <c r="D200" s="24" t="s">
        <v>309</v>
      </c>
      <c r="E200" s="24"/>
      <c r="F200" s="4" t="s">
        <v>316</v>
      </c>
      <c r="G200" s="7">
        <v>679</v>
      </c>
      <c r="H200" s="7">
        <f t="shared" si="565"/>
        <v>88.8</v>
      </c>
      <c r="I200" s="7">
        <f t="shared" si="455"/>
        <v>88.8</v>
      </c>
      <c r="J200" s="7">
        <v>129.9</v>
      </c>
      <c r="K200" s="7">
        <v>22.2</v>
      </c>
      <c r="L200" s="7">
        <f t="shared" si="498"/>
        <v>4</v>
      </c>
      <c r="M200" s="7">
        <f t="shared" si="499"/>
        <v>4</v>
      </c>
      <c r="N200" s="7">
        <v>366</v>
      </c>
      <c r="O200" s="7">
        <f t="shared" si="566"/>
        <v>22.2</v>
      </c>
      <c r="P200" s="7">
        <f t="shared" si="576"/>
        <v>29.200000000000003</v>
      </c>
      <c r="Q200" s="7">
        <f t="shared" si="567"/>
        <v>277.20000000000005</v>
      </c>
      <c r="R200" s="7">
        <v>2</v>
      </c>
      <c r="S200" s="7">
        <f t="shared" si="568"/>
        <v>59.199999999999996</v>
      </c>
      <c r="T200" s="7">
        <f t="shared" si="475"/>
        <v>1.5</v>
      </c>
      <c r="U200" s="7">
        <f t="shared" si="459"/>
        <v>1.5</v>
      </c>
      <c r="V200" s="7">
        <f t="shared" si="472"/>
        <v>4</v>
      </c>
      <c r="W200" s="7">
        <f t="shared" si="472"/>
        <v>4</v>
      </c>
      <c r="X200" s="7">
        <f t="shared" si="431"/>
        <v>5</v>
      </c>
      <c r="Y200" s="7">
        <f t="shared" si="552"/>
        <v>49.640709100495329</v>
      </c>
      <c r="Z200" s="7">
        <f t="shared" si="461"/>
        <v>679</v>
      </c>
      <c r="AA200" s="7">
        <v>8</v>
      </c>
      <c r="AB200" s="7">
        <f>(735+707)/2</f>
        <v>721</v>
      </c>
      <c r="AC200" s="7"/>
      <c r="AD200" s="4">
        <f t="shared" si="476"/>
        <v>1</v>
      </c>
      <c r="AE200" s="7">
        <v>9.5</v>
      </c>
      <c r="AF200" s="7">
        <v>2</v>
      </c>
      <c r="AG200" s="7">
        <v>52</v>
      </c>
      <c r="AH200" s="7">
        <v>4</v>
      </c>
      <c r="AI200" s="7">
        <f t="shared" ref="AI200:AI201" si="584">AF200</f>
        <v>2</v>
      </c>
      <c r="AJ200" s="7">
        <f t="shared" si="473"/>
        <v>0.88977955911823625</v>
      </c>
      <c r="AK200" s="4">
        <f t="shared" si="569"/>
        <v>88.8</v>
      </c>
      <c r="AL200" s="4">
        <f t="shared" si="505"/>
        <v>1.25</v>
      </c>
      <c r="AM200" s="4">
        <f t="shared" si="506"/>
        <v>123.19645135939774</v>
      </c>
      <c r="AN200" s="4">
        <f t="shared" si="507"/>
        <v>0.77499999999999991</v>
      </c>
      <c r="AO200" s="4">
        <v>1.25</v>
      </c>
      <c r="AP200" s="47">
        <f t="shared" si="574"/>
        <v>5</v>
      </c>
      <c r="AQ200" s="38">
        <f t="shared" si="509"/>
        <v>745.91601409010343</v>
      </c>
      <c r="AR200" s="38">
        <f t="shared" si="510"/>
        <v>745.91601409010343</v>
      </c>
      <c r="AS200" s="38">
        <f t="shared" si="511"/>
        <v>5.7111767066521422</v>
      </c>
      <c r="AT200" s="38">
        <f t="shared" si="450"/>
        <v>819.83561909002367</v>
      </c>
      <c r="AU200" s="38">
        <f t="shared" si="400"/>
        <v>0.90983606557377039</v>
      </c>
      <c r="AV200" s="38">
        <f t="shared" si="537"/>
        <v>0.9506783821677508</v>
      </c>
      <c r="AW200" s="4">
        <f t="shared" si="529"/>
        <v>1</v>
      </c>
      <c r="AX200" s="4">
        <f t="shared" si="570"/>
        <v>239.94459194200661</v>
      </c>
      <c r="AY200" s="4">
        <f t="shared" si="571"/>
        <v>1</v>
      </c>
      <c r="AZ200" s="38">
        <f t="shared" si="438"/>
        <v>779.40000000000009</v>
      </c>
      <c r="BA200" s="4">
        <f t="shared" si="572"/>
        <v>0.44000000000000006</v>
      </c>
      <c r="BB200" s="4">
        <f t="shared" si="401"/>
        <v>55.163261687467326</v>
      </c>
      <c r="BC200" s="4">
        <f t="shared" si="402"/>
        <v>834.56326168746739</v>
      </c>
      <c r="BE200" s="4">
        <f t="shared" si="451"/>
        <v>1.4</v>
      </c>
      <c r="BF200" s="4">
        <f t="shared" si="452"/>
        <v>670.16524529402443</v>
      </c>
      <c r="BH200" s="4">
        <f t="shared" si="463"/>
        <v>747.53991440910613</v>
      </c>
      <c r="BI200" s="4">
        <f t="shared" si="464"/>
        <v>3704.4961984911101</v>
      </c>
      <c r="BJ200" s="4">
        <f t="shared" si="465"/>
        <v>4.9555831429005819</v>
      </c>
      <c r="BR200" s="4">
        <f t="shared" si="539"/>
        <v>22.2</v>
      </c>
      <c r="BV200" s="9"/>
      <c r="BX200" s="9"/>
      <c r="BY200" s="9"/>
      <c r="BZ200" s="9">
        <f t="shared" si="577"/>
        <v>22.2</v>
      </c>
      <c r="CA200" s="9">
        <f t="shared" si="578"/>
        <v>138.60000000000002</v>
      </c>
      <c r="CB200" s="9">
        <f t="shared" si="403"/>
        <v>1.3161686388047049</v>
      </c>
      <c r="CC200" s="9">
        <v>20</v>
      </c>
      <c r="CD200" s="9">
        <f t="shared" si="518"/>
        <v>0.05</v>
      </c>
      <c r="CE200" s="9">
        <f t="shared" si="404"/>
        <v>0.8</v>
      </c>
      <c r="CF200" s="9">
        <f t="shared" si="579"/>
        <v>1</v>
      </c>
      <c r="CG200" s="9">
        <f t="shared" si="580"/>
        <v>0.77100000000000002</v>
      </c>
      <c r="CH200" s="9">
        <f t="shared" si="405"/>
        <v>3.0755797864386483</v>
      </c>
      <c r="CI200" s="9">
        <f t="shared" si="406"/>
        <v>6.5084454902031403</v>
      </c>
      <c r="CJ200" s="9">
        <v>1</v>
      </c>
      <c r="CK200" s="9">
        <f t="shared" si="407"/>
        <v>494.64185725543865</v>
      </c>
      <c r="CM200" s="4">
        <f t="shared" si="477"/>
        <v>3.0048603894946799</v>
      </c>
      <c r="CN200" s="4">
        <f t="shared" si="478"/>
        <v>0.86392492109244645</v>
      </c>
      <c r="CO200" s="4">
        <f t="shared" si="479"/>
        <v>1.0758540599694522</v>
      </c>
      <c r="CP200" s="4">
        <f t="shared" si="480"/>
        <v>1.4576202750016511</v>
      </c>
      <c r="CQ200" s="44">
        <f t="shared" si="481"/>
        <v>1</v>
      </c>
      <c r="CR200" s="4">
        <f t="shared" si="482"/>
        <v>1</v>
      </c>
      <c r="CS200" s="4">
        <f t="shared" si="483"/>
        <v>2.7149668974723982</v>
      </c>
      <c r="DA200" s="4">
        <f t="shared" ref="DA200:DB225" si="585">CM200</f>
        <v>3.0048603894946799</v>
      </c>
      <c r="DB200" s="4">
        <f t="shared" si="585"/>
        <v>0.86392492109244645</v>
      </c>
      <c r="DC200" s="4">
        <f t="shared" ref="DC200:DC225" si="586">CP200</f>
        <v>1.4576202750016511</v>
      </c>
      <c r="DD200" s="4">
        <f t="shared" ref="DD200:DD201" si="587">CS200</f>
        <v>2.7149668974723982</v>
      </c>
      <c r="DE200" s="4">
        <f t="shared" ref="DE200:DF225" si="588">CQ200</f>
        <v>1</v>
      </c>
      <c r="DF200" s="4">
        <f t="shared" si="588"/>
        <v>1</v>
      </c>
      <c r="DH200" s="4">
        <f t="shared" si="557"/>
        <v>2</v>
      </c>
      <c r="DI200" s="4">
        <f t="shared" si="453"/>
        <v>88.8</v>
      </c>
      <c r="DL200" s="4">
        <f t="shared" si="485"/>
        <v>1.3307058507295954E-5</v>
      </c>
      <c r="DM200" s="4">
        <f t="shared" si="558"/>
        <v>14.311999279173566</v>
      </c>
      <c r="DN200" s="4">
        <f t="shared" si="486"/>
        <v>0.30476317818160303</v>
      </c>
      <c r="DO200" s="4">
        <f t="shared" si="487"/>
        <v>8.8978545711564809</v>
      </c>
      <c r="DP200" s="4">
        <f t="shared" si="488"/>
        <v>11.918098036137676</v>
      </c>
      <c r="DQ200" s="4">
        <f t="shared" si="489"/>
        <v>14.007544153387153</v>
      </c>
      <c r="DR200" s="38">
        <f t="shared" si="513"/>
        <v>721</v>
      </c>
      <c r="DS200" s="4">
        <f t="shared" si="411"/>
        <v>1</v>
      </c>
      <c r="DT200" s="4">
        <f t="shared" si="490"/>
        <v>2.2360679774997898</v>
      </c>
      <c r="DU200" s="4">
        <f t="shared" si="441"/>
        <v>819.83561909002367</v>
      </c>
      <c r="DY200" s="4">
        <f t="shared" si="581"/>
        <v>0.85</v>
      </c>
      <c r="DZ200" s="4">
        <f t="shared" si="412"/>
        <v>1</v>
      </c>
      <c r="EA200" s="4">
        <f t="shared" si="514"/>
        <v>0.8552532261991721</v>
      </c>
      <c r="EB200" s="4">
        <f t="shared" si="414"/>
        <v>0.8552532261991721</v>
      </c>
      <c r="ED200" s="4">
        <f t="shared" si="515"/>
        <v>721</v>
      </c>
      <c r="EE200" s="25">
        <f t="shared" si="573"/>
        <v>792.6169156169592</v>
      </c>
      <c r="EH200" s="4">
        <f t="shared" si="517"/>
        <v>14.311999279173566</v>
      </c>
      <c r="EK200" s="4">
        <f t="shared" si="491"/>
        <v>49.640709100495329</v>
      </c>
      <c r="EL200" s="4">
        <f t="shared" si="492"/>
        <v>2.2360679774997898</v>
      </c>
      <c r="EM200" s="4">
        <f t="shared" si="493"/>
        <v>0.18993383393437455</v>
      </c>
      <c r="EP200" s="4">
        <f t="shared" si="541"/>
        <v>0.18993383393437455</v>
      </c>
      <c r="EQ200" s="4">
        <f t="shared" si="542"/>
        <v>0.30425458523735305</v>
      </c>
      <c r="ER200" s="4">
        <f t="shared" si="559"/>
        <v>8.8919120505313884</v>
      </c>
      <c r="ES200" s="4">
        <f t="shared" si="582"/>
        <v>11.915888053300256</v>
      </c>
      <c r="ET200" s="4">
        <f t="shared" si="560"/>
        <v>16.959290899504666</v>
      </c>
      <c r="EU200" s="4">
        <f t="shared" si="561"/>
        <v>22.200000000000003</v>
      </c>
      <c r="EV200" s="4">
        <f t="shared" si="415"/>
        <v>1.3307058507295955E-5</v>
      </c>
      <c r="EW200" s="4">
        <f t="shared" si="583"/>
        <v>14.007670258702035</v>
      </c>
      <c r="EX200" s="4">
        <f t="shared" si="466"/>
        <v>721</v>
      </c>
      <c r="FG200" s="23">
        <f t="shared" si="563"/>
        <v>2.2000000000000002</v>
      </c>
      <c r="FH200" s="23">
        <f t="shared" si="563"/>
        <v>1</v>
      </c>
      <c r="FI200" s="23">
        <f t="shared" si="495"/>
        <v>2.2000000000000002</v>
      </c>
      <c r="FJ200" s="23">
        <f t="shared" si="564"/>
        <v>1.6</v>
      </c>
      <c r="FK200" s="23">
        <f t="shared" si="564"/>
        <v>1.2</v>
      </c>
      <c r="FL200" s="23">
        <f t="shared" si="564"/>
        <v>1.2</v>
      </c>
      <c r="FM200" s="23">
        <f t="shared" si="497"/>
        <v>0</v>
      </c>
      <c r="FN200" s="23"/>
      <c r="FX200" s="4">
        <f t="shared" si="416"/>
        <v>1.25</v>
      </c>
      <c r="FY200" s="4">
        <f t="shared" si="469"/>
        <v>0.4338950222651346</v>
      </c>
      <c r="FZ200" s="4">
        <f t="shared" si="417"/>
        <v>0.3</v>
      </c>
      <c r="GA200" s="4">
        <f t="shared" si="418"/>
        <v>265.56493218066208</v>
      </c>
    </row>
    <row r="201" spans="1:183" ht="12" customHeight="1" x14ac:dyDescent="0.3">
      <c r="A201" s="25">
        <v>183</v>
      </c>
      <c r="B201" s="24" t="s">
        <v>128</v>
      </c>
      <c r="C201" s="24">
        <v>2017</v>
      </c>
      <c r="D201" s="24" t="s">
        <v>309</v>
      </c>
      <c r="E201" s="24"/>
      <c r="F201" s="4" t="s">
        <v>317</v>
      </c>
      <c r="G201" s="7">
        <v>679</v>
      </c>
      <c r="H201" s="7">
        <f t="shared" si="565"/>
        <v>88.8</v>
      </c>
      <c r="I201" s="7">
        <f t="shared" si="455"/>
        <v>88.8</v>
      </c>
      <c r="J201" s="7">
        <v>129.9</v>
      </c>
      <c r="K201" s="7">
        <v>22.2</v>
      </c>
      <c r="L201" s="7">
        <f t="shared" si="498"/>
        <v>4</v>
      </c>
      <c r="M201" s="7">
        <f t="shared" si="499"/>
        <v>4</v>
      </c>
      <c r="N201" s="7">
        <v>366</v>
      </c>
      <c r="O201" s="7">
        <f t="shared" si="566"/>
        <v>22.2</v>
      </c>
      <c r="P201" s="7">
        <f t="shared" si="576"/>
        <v>29.200000000000003</v>
      </c>
      <c r="Q201" s="7">
        <f t="shared" si="567"/>
        <v>277.20000000000005</v>
      </c>
      <c r="R201" s="7">
        <v>2</v>
      </c>
      <c r="S201" s="7">
        <f t="shared" si="568"/>
        <v>59.199999999999996</v>
      </c>
      <c r="T201" s="7">
        <f t="shared" si="475"/>
        <v>1.5</v>
      </c>
      <c r="U201" s="7">
        <f t="shared" si="459"/>
        <v>1.5</v>
      </c>
      <c r="V201" s="7">
        <f t="shared" si="472"/>
        <v>4</v>
      </c>
      <c r="W201" s="7">
        <f t="shared" si="472"/>
        <v>4</v>
      </c>
      <c r="X201" s="7">
        <f t="shared" si="431"/>
        <v>5</v>
      </c>
      <c r="Y201" s="7">
        <f t="shared" si="552"/>
        <v>49.640709100495329</v>
      </c>
      <c r="Z201" s="7">
        <f t="shared" si="461"/>
        <v>679</v>
      </c>
      <c r="AA201" s="7">
        <v>8</v>
      </c>
      <c r="AB201" s="7">
        <f>(735+703)/2</f>
        <v>719</v>
      </c>
      <c r="AC201" s="7"/>
      <c r="AD201" s="4">
        <f t="shared" si="476"/>
        <v>1</v>
      </c>
      <c r="AE201" s="7">
        <v>9.5</v>
      </c>
      <c r="AF201" s="7">
        <v>2</v>
      </c>
      <c r="AG201" s="7">
        <v>52</v>
      </c>
      <c r="AH201" s="7">
        <v>4</v>
      </c>
      <c r="AI201" s="7">
        <f t="shared" si="584"/>
        <v>2</v>
      </c>
      <c r="AJ201" s="7">
        <f t="shared" si="473"/>
        <v>0.88977955911823625</v>
      </c>
      <c r="AK201" s="4">
        <f t="shared" si="569"/>
        <v>88.8</v>
      </c>
      <c r="AL201" s="4">
        <f t="shared" si="505"/>
        <v>1.25</v>
      </c>
      <c r="AM201" s="4">
        <f t="shared" si="506"/>
        <v>123.19645135939774</v>
      </c>
      <c r="AN201" s="4">
        <f t="shared" si="507"/>
        <v>0.77499999999999991</v>
      </c>
      <c r="AO201" s="4">
        <v>1.25</v>
      </c>
      <c r="AP201" s="47">
        <f t="shared" si="574"/>
        <v>5</v>
      </c>
      <c r="AQ201" s="38">
        <f t="shared" si="509"/>
        <v>745.91601409010343</v>
      </c>
      <c r="AR201" s="38">
        <f t="shared" si="510"/>
        <v>745.91601409010343</v>
      </c>
      <c r="AS201" s="38">
        <f t="shared" si="511"/>
        <v>5.7111767066521422</v>
      </c>
      <c r="AT201" s="38">
        <f t="shared" si="450"/>
        <v>819.83561909002367</v>
      </c>
      <c r="AU201" s="38">
        <f t="shared" si="400"/>
        <v>0.90983606557377039</v>
      </c>
      <c r="AV201" s="38">
        <f t="shared" si="537"/>
        <v>0.9506783821677508</v>
      </c>
      <c r="AW201" s="4">
        <f t="shared" si="529"/>
        <v>1</v>
      </c>
      <c r="AX201" s="4">
        <f t="shared" si="570"/>
        <v>239.94459194200661</v>
      </c>
      <c r="AY201" s="4">
        <f t="shared" si="571"/>
        <v>1</v>
      </c>
      <c r="AZ201" s="38">
        <f t="shared" si="438"/>
        <v>779.40000000000009</v>
      </c>
      <c r="BA201" s="4">
        <f t="shared" si="572"/>
        <v>0.44000000000000006</v>
      </c>
      <c r="BB201" s="4">
        <f t="shared" si="401"/>
        <v>55.163261687467326</v>
      </c>
      <c r="BC201" s="4">
        <f t="shared" si="402"/>
        <v>834.56326168746739</v>
      </c>
      <c r="BE201" s="4">
        <f t="shared" si="451"/>
        <v>1.4</v>
      </c>
      <c r="BF201" s="4">
        <f t="shared" si="452"/>
        <v>670.16524529402443</v>
      </c>
      <c r="BH201" s="4">
        <f t="shared" si="463"/>
        <v>747.53991440910613</v>
      </c>
      <c r="BI201" s="4">
        <f t="shared" si="464"/>
        <v>3704.4961984911101</v>
      </c>
      <c r="BJ201" s="4">
        <f t="shared" si="465"/>
        <v>4.9555831429005819</v>
      </c>
      <c r="BR201" s="4">
        <f t="shared" si="539"/>
        <v>22.2</v>
      </c>
      <c r="BV201" s="9"/>
      <c r="BX201" s="9"/>
      <c r="BY201" s="9"/>
      <c r="BZ201" s="9">
        <f t="shared" si="577"/>
        <v>22.2</v>
      </c>
      <c r="CA201" s="9">
        <f t="shared" si="578"/>
        <v>138.60000000000002</v>
      </c>
      <c r="CB201" s="9">
        <f t="shared" si="403"/>
        <v>1.3161686388047049</v>
      </c>
      <c r="CC201" s="9">
        <v>20</v>
      </c>
      <c r="CD201" s="9">
        <f t="shared" si="518"/>
        <v>0.05</v>
      </c>
      <c r="CE201" s="9">
        <f t="shared" si="404"/>
        <v>0.8</v>
      </c>
      <c r="CF201" s="9">
        <f t="shared" si="579"/>
        <v>1</v>
      </c>
      <c r="CG201" s="9">
        <f t="shared" si="580"/>
        <v>0.77100000000000002</v>
      </c>
      <c r="CH201" s="9">
        <f t="shared" si="405"/>
        <v>3.0755797864386483</v>
      </c>
      <c r="CI201" s="9">
        <f t="shared" si="406"/>
        <v>6.5084454902031403</v>
      </c>
      <c r="CJ201" s="9">
        <v>1</v>
      </c>
      <c r="CK201" s="9">
        <f t="shared" si="407"/>
        <v>494.64185725543865</v>
      </c>
      <c r="CM201" s="4">
        <f t="shared" si="477"/>
        <v>2.9965251318261785</v>
      </c>
      <c r="CN201" s="4">
        <f t="shared" si="478"/>
        <v>0.86152845806583767</v>
      </c>
      <c r="CO201" s="4">
        <f t="shared" si="479"/>
        <v>1.0728697213842386</v>
      </c>
      <c r="CP201" s="4">
        <f t="shared" si="480"/>
        <v>1.4535769455286924</v>
      </c>
      <c r="CQ201" s="44">
        <f t="shared" si="481"/>
        <v>1</v>
      </c>
      <c r="CR201" s="4">
        <f t="shared" si="482"/>
        <v>1</v>
      </c>
      <c r="CS201" s="4">
        <f t="shared" si="483"/>
        <v>2.7074357826389104</v>
      </c>
      <c r="DA201" s="4">
        <f t="shared" si="585"/>
        <v>2.9965251318261785</v>
      </c>
      <c r="DB201" s="4">
        <f t="shared" si="585"/>
        <v>0.86152845806583767</v>
      </c>
      <c r="DC201" s="4">
        <f t="shared" si="586"/>
        <v>1.4535769455286924</v>
      </c>
      <c r="DD201" s="4">
        <f t="shared" si="587"/>
        <v>2.7074357826389104</v>
      </c>
      <c r="DE201" s="4">
        <f t="shared" si="588"/>
        <v>1</v>
      </c>
      <c r="DF201" s="4">
        <f t="shared" si="588"/>
        <v>1</v>
      </c>
      <c r="DH201" s="4">
        <f t="shared" si="557"/>
        <v>2</v>
      </c>
      <c r="DI201" s="4">
        <f t="shared" si="453"/>
        <v>88.8</v>
      </c>
      <c r="DL201" s="4">
        <f t="shared" si="485"/>
        <v>1.3307058507295954E-5</v>
      </c>
      <c r="DM201" s="4">
        <f t="shared" si="558"/>
        <v>14.311999279173566</v>
      </c>
      <c r="DN201" s="4">
        <f t="shared" si="486"/>
        <v>0.30476317818160303</v>
      </c>
      <c r="DO201" s="4">
        <f t="shared" si="487"/>
        <v>8.8978545711564809</v>
      </c>
      <c r="DP201" s="4">
        <f t="shared" si="488"/>
        <v>11.918098036137676</v>
      </c>
      <c r="DQ201" s="4">
        <f t="shared" si="489"/>
        <v>14.007544153387153</v>
      </c>
      <c r="DR201" s="38">
        <f t="shared" si="513"/>
        <v>719</v>
      </c>
      <c r="DS201" s="4">
        <f t="shared" si="411"/>
        <v>1</v>
      </c>
      <c r="DT201" s="4">
        <f t="shared" si="490"/>
        <v>2.2360679774997898</v>
      </c>
      <c r="DU201" s="4">
        <f t="shared" si="441"/>
        <v>819.83561909002367</v>
      </c>
      <c r="DY201" s="4">
        <f t="shared" si="581"/>
        <v>0.85</v>
      </c>
      <c r="DZ201" s="4">
        <f t="shared" si="412"/>
        <v>1</v>
      </c>
      <c r="EA201" s="4">
        <f t="shared" si="514"/>
        <v>0.8552532261991721</v>
      </c>
      <c r="EB201" s="4">
        <f t="shared" si="414"/>
        <v>0.8552532261991721</v>
      </c>
      <c r="ED201" s="4">
        <f t="shared" si="515"/>
        <v>719</v>
      </c>
      <c r="EE201" s="25">
        <f t="shared" si="573"/>
        <v>792.6169156169592</v>
      </c>
      <c r="EH201" s="4">
        <f t="shared" si="517"/>
        <v>14.311999279173566</v>
      </c>
      <c r="EK201" s="4">
        <f t="shared" si="491"/>
        <v>49.640709100495329</v>
      </c>
      <c r="EL201" s="4">
        <f t="shared" si="492"/>
        <v>2.2360679774997898</v>
      </c>
      <c r="EM201" s="4">
        <f t="shared" si="493"/>
        <v>0.18993383393437455</v>
      </c>
      <c r="EP201" s="4">
        <f t="shared" si="541"/>
        <v>0.18993383393437455</v>
      </c>
      <c r="EQ201" s="4">
        <f t="shared" si="542"/>
        <v>0.30425458523735305</v>
      </c>
      <c r="ER201" s="4">
        <f t="shared" si="559"/>
        <v>8.8919120505313884</v>
      </c>
      <c r="ES201" s="4">
        <f t="shared" si="582"/>
        <v>11.915888053300256</v>
      </c>
      <c r="ET201" s="4">
        <f t="shared" si="560"/>
        <v>16.959290899504666</v>
      </c>
      <c r="EU201" s="4">
        <f t="shared" si="561"/>
        <v>22.200000000000003</v>
      </c>
      <c r="EV201" s="4">
        <f t="shared" si="415"/>
        <v>1.3307058507295955E-5</v>
      </c>
      <c r="EW201" s="4">
        <f t="shared" si="583"/>
        <v>14.007670258702035</v>
      </c>
      <c r="EX201" s="4">
        <f t="shared" si="466"/>
        <v>719</v>
      </c>
      <c r="FG201" s="23">
        <f t="shared" si="563"/>
        <v>2.2000000000000002</v>
      </c>
      <c r="FH201" s="23">
        <f t="shared" si="563"/>
        <v>1</v>
      </c>
      <c r="FI201" s="23">
        <f t="shared" si="495"/>
        <v>2.2000000000000002</v>
      </c>
      <c r="FJ201" s="23">
        <f t="shared" si="564"/>
        <v>1.6</v>
      </c>
      <c r="FK201" s="23">
        <f t="shared" si="564"/>
        <v>1.2</v>
      </c>
      <c r="FL201" s="23">
        <f t="shared" si="564"/>
        <v>1.2</v>
      </c>
      <c r="FM201" s="23">
        <f t="shared" si="497"/>
        <v>0</v>
      </c>
      <c r="FN201" s="23"/>
      <c r="FX201" s="4">
        <f t="shared" si="416"/>
        <v>1.25</v>
      </c>
      <c r="FY201" s="4">
        <f t="shared" si="469"/>
        <v>0.4338950222651346</v>
      </c>
      <c r="FZ201" s="4">
        <f t="shared" si="417"/>
        <v>0.3</v>
      </c>
      <c r="GA201" s="4">
        <f t="shared" si="418"/>
        <v>265.56493218066208</v>
      </c>
    </row>
    <row r="202" spans="1:183" ht="12" customHeight="1" x14ac:dyDescent="0.3">
      <c r="A202" s="25">
        <v>184</v>
      </c>
      <c r="B202" s="24" t="s">
        <v>128</v>
      </c>
      <c r="C202" s="24">
        <v>2017</v>
      </c>
      <c r="D202" s="24" t="s">
        <v>309</v>
      </c>
      <c r="E202" s="24"/>
      <c r="F202" s="4" t="s">
        <v>318</v>
      </c>
      <c r="G202" s="7">
        <v>679</v>
      </c>
      <c r="H202" s="7">
        <f>6*K202</f>
        <v>133.19999999999999</v>
      </c>
      <c r="I202" s="7">
        <f t="shared" si="455"/>
        <v>133.19999999999999</v>
      </c>
      <c r="J202" s="7">
        <v>129.9</v>
      </c>
      <c r="K202" s="7">
        <v>22.2</v>
      </c>
      <c r="L202" s="7">
        <f t="shared" si="498"/>
        <v>6</v>
      </c>
      <c r="M202" s="7">
        <f t="shared" si="499"/>
        <v>6</v>
      </c>
      <c r="N202" s="7">
        <v>366</v>
      </c>
      <c r="O202" s="7">
        <f t="shared" si="566"/>
        <v>22.2</v>
      </c>
      <c r="P202" s="7">
        <f>176-I202</f>
        <v>42.800000000000011</v>
      </c>
      <c r="Q202" s="7">
        <f t="shared" si="567"/>
        <v>277.20000000000005</v>
      </c>
      <c r="R202" s="7">
        <v>2</v>
      </c>
      <c r="S202" s="7">
        <f t="shared" si="568"/>
        <v>88.799999999999983</v>
      </c>
      <c r="T202" s="7">
        <f t="shared" si="475"/>
        <v>1.5</v>
      </c>
      <c r="U202" s="7">
        <f t="shared" si="459"/>
        <v>1.5</v>
      </c>
      <c r="V202" s="7">
        <f t="shared" si="472"/>
        <v>4</v>
      </c>
      <c r="W202" s="7">
        <f t="shared" si="472"/>
        <v>4</v>
      </c>
      <c r="X202" s="7">
        <f t="shared" si="431"/>
        <v>5</v>
      </c>
      <c r="Y202" s="7">
        <f t="shared" si="552"/>
        <v>49.640709100495329</v>
      </c>
      <c r="Z202" s="7">
        <f t="shared" si="461"/>
        <v>679</v>
      </c>
      <c r="AA202" s="7">
        <v>8</v>
      </c>
      <c r="AB202" s="7">
        <f>(750+710)/2</f>
        <v>730</v>
      </c>
      <c r="AC202" s="7"/>
      <c r="AD202" s="4">
        <f t="shared" si="476"/>
        <v>1</v>
      </c>
      <c r="AE202" s="7"/>
      <c r="AF202" s="7"/>
      <c r="AG202" s="7">
        <v>1</v>
      </c>
      <c r="AH202" s="7"/>
      <c r="AI202" s="7"/>
      <c r="AJ202" s="7">
        <f t="shared" si="473"/>
        <v>1.3346693386773545</v>
      </c>
      <c r="AK202" s="4">
        <f t="shared" si="569"/>
        <v>133.19999999999999</v>
      </c>
      <c r="AL202" s="4">
        <f t="shared" si="505"/>
        <v>0.91591591591591592</v>
      </c>
      <c r="AM202" s="4">
        <f t="shared" si="506"/>
        <v>226.32633296409878</v>
      </c>
      <c r="AN202" s="4">
        <f t="shared" si="507"/>
        <v>0.75</v>
      </c>
      <c r="AO202" s="4">
        <v>1.25</v>
      </c>
      <c r="AP202" s="47">
        <f t="shared" si="574"/>
        <v>5</v>
      </c>
      <c r="AQ202" s="38">
        <f t="shared" si="509"/>
        <v>971.6994869657957</v>
      </c>
      <c r="AR202" s="38">
        <f t="shared" si="510"/>
        <v>971.6994869657957</v>
      </c>
      <c r="AS202" s="38">
        <f t="shared" si="511"/>
        <v>5.7111767066521422</v>
      </c>
      <c r="AT202" s="38">
        <f t="shared" si="450"/>
        <v>971.69948696579524</v>
      </c>
      <c r="AU202" s="38">
        <f t="shared" si="400"/>
        <v>1.0000000000000004</v>
      </c>
      <c r="AV202" s="38">
        <f t="shared" si="537"/>
        <v>0.80209983688859943</v>
      </c>
      <c r="AW202" s="4">
        <f t="shared" si="529"/>
        <v>1</v>
      </c>
      <c r="AX202" s="4">
        <f t="shared" si="570"/>
        <v>359.91688791300993</v>
      </c>
      <c r="AY202" s="4">
        <f t="shared" si="571"/>
        <v>1</v>
      </c>
      <c r="AZ202" s="38">
        <f t="shared" si="438"/>
        <v>779.40000000000009</v>
      </c>
      <c r="BA202" s="4">
        <f t="shared" si="572"/>
        <v>0.44000000000000006</v>
      </c>
      <c r="BB202" s="4">
        <f t="shared" si="401"/>
        <v>82.744892531200989</v>
      </c>
      <c r="BC202" s="4">
        <f t="shared" si="402"/>
        <v>862.14489253120109</v>
      </c>
      <c r="BE202" s="4">
        <f t="shared" si="451"/>
        <v>1</v>
      </c>
      <c r="BF202" s="4">
        <f t="shared" si="452"/>
        <v>547.07366962777508</v>
      </c>
      <c r="BH202" s="4">
        <f t="shared" si="463"/>
        <v>747.53991440910613</v>
      </c>
      <c r="BI202" s="4">
        <f t="shared" si="464"/>
        <v>3704.4961984911101</v>
      </c>
      <c r="BJ202" s="4">
        <f t="shared" si="465"/>
        <v>4.9555831429005819</v>
      </c>
      <c r="BR202" s="4">
        <f t="shared" si="539"/>
        <v>22.2</v>
      </c>
      <c r="BV202" s="9"/>
      <c r="BX202" s="9"/>
      <c r="BY202" s="9"/>
      <c r="BZ202" s="9">
        <f t="shared" si="577"/>
        <v>22.2</v>
      </c>
      <c r="CA202" s="9">
        <f t="shared" si="578"/>
        <v>138.60000000000002</v>
      </c>
      <c r="CB202" s="9">
        <f t="shared" si="403"/>
        <v>1.3161686388047049</v>
      </c>
      <c r="CC202" s="9">
        <v>0</v>
      </c>
      <c r="CD202" s="9">
        <f t="shared" si="518"/>
        <v>0</v>
      </c>
      <c r="CE202" s="9">
        <f t="shared" si="404"/>
        <v>0</v>
      </c>
      <c r="CF202" s="9">
        <f t="shared" si="579"/>
        <v>1</v>
      </c>
      <c r="CG202" s="9">
        <f t="shared" si="580"/>
        <v>0.77100000000000002</v>
      </c>
      <c r="CH202" s="9">
        <f t="shared" si="405"/>
        <v>3.0755797864386483</v>
      </c>
      <c r="CI202" s="9">
        <f t="shared" si="406"/>
        <v>4.047981661052221</v>
      </c>
      <c r="CJ202" s="9">
        <v>1</v>
      </c>
      <c r="CK202" s="9">
        <f t="shared" si="407"/>
        <v>340.03045952838659</v>
      </c>
      <c r="CM202" s="4">
        <f t="shared" si="477"/>
        <v>2.0282460326686236</v>
      </c>
      <c r="CN202" s="4">
        <f t="shared" si="478"/>
        <v>0.84672542437358489</v>
      </c>
      <c r="CO202" s="4">
        <f t="shared" si="479"/>
        <v>1.334372389913568</v>
      </c>
      <c r="CP202" s="4">
        <f t="shared" si="480"/>
        <v>2.1468664925268488</v>
      </c>
      <c r="CQ202" s="44">
        <f t="shared" si="481"/>
        <v>1</v>
      </c>
      <c r="CR202" s="4">
        <f t="shared" si="482"/>
        <v>1</v>
      </c>
      <c r="CS202" s="4">
        <f t="shared" si="483"/>
        <v>2.1117680338689433</v>
      </c>
      <c r="CU202" s="4">
        <f t="shared" si="553"/>
        <v>2.0282460326686236</v>
      </c>
      <c r="CV202" s="4">
        <f t="shared" si="553"/>
        <v>0.84672542437358489</v>
      </c>
      <c r="CW202" s="4">
        <f t="shared" si="562"/>
        <v>2.1468664925268488</v>
      </c>
      <c r="CX202" s="4">
        <f t="shared" ref="CX202:CX207" si="589">CS202</f>
        <v>2.1117680338689433</v>
      </c>
      <c r="CY202" s="4">
        <f t="shared" si="555"/>
        <v>1</v>
      </c>
      <c r="CZ202" s="4">
        <f t="shared" si="555"/>
        <v>1</v>
      </c>
      <c r="DH202" s="4">
        <f t="shared" si="557"/>
        <v>0</v>
      </c>
      <c r="DI202" s="4">
        <f t="shared" si="453"/>
        <v>133.19999999999999</v>
      </c>
      <c r="DL202" s="4">
        <f t="shared" si="485"/>
        <v>1.9960587760943928E-5</v>
      </c>
      <c r="DM202" s="4">
        <f t="shared" si="558"/>
        <v>12.240383556873418</v>
      </c>
      <c r="DN202" s="4">
        <f t="shared" si="486"/>
        <v>0.36121658658088979</v>
      </c>
      <c r="DO202" s="4">
        <f t="shared" si="487"/>
        <v>8.1452065255624326</v>
      </c>
      <c r="DP202" s="4">
        <f t="shared" si="488"/>
        <v>10.397219445794885</v>
      </c>
      <c r="DQ202" s="4">
        <f t="shared" si="489"/>
        <v>11.692328802700976</v>
      </c>
      <c r="DR202" s="38">
        <f t="shared" si="513"/>
        <v>730</v>
      </c>
      <c r="DS202" s="4">
        <f t="shared" si="411"/>
        <v>1</v>
      </c>
      <c r="DT202" s="4">
        <f t="shared" si="490"/>
        <v>2.2360679774997898</v>
      </c>
      <c r="DU202" s="4">
        <f t="shared" si="441"/>
        <v>971.69948696579524</v>
      </c>
      <c r="DY202" s="4">
        <f t="shared" si="581"/>
        <v>0.85</v>
      </c>
      <c r="DZ202" s="4">
        <f t="shared" si="412"/>
        <v>1</v>
      </c>
      <c r="EA202" s="4">
        <f t="shared" si="514"/>
        <v>1</v>
      </c>
      <c r="EB202" s="4">
        <f t="shared" si="414"/>
        <v>1</v>
      </c>
      <c r="ED202" s="4">
        <f t="shared" si="515"/>
        <v>730</v>
      </c>
      <c r="EE202" s="25">
        <f t="shared" si="573"/>
        <v>949.1812023271998</v>
      </c>
      <c r="EH202" s="4">
        <f t="shared" si="517"/>
        <v>12.240383556873418</v>
      </c>
      <c r="EK202" s="4">
        <f t="shared" si="491"/>
        <v>49.640709100495329</v>
      </c>
      <c r="EL202" s="4">
        <f t="shared" si="492"/>
        <v>2.2360679774997898</v>
      </c>
      <c r="EM202" s="4">
        <f t="shared" si="493"/>
        <v>0.22511660227245195</v>
      </c>
      <c r="EP202" s="4">
        <f t="shared" si="541"/>
        <v>0.22511660227245195</v>
      </c>
      <c r="EQ202" s="4">
        <f t="shared" si="542"/>
        <v>0.36061378341950645</v>
      </c>
      <c r="ER202" s="4">
        <f t="shared" si="559"/>
        <v>8.1397666684163408</v>
      </c>
      <c r="ES202" s="4">
        <f t="shared" si="582"/>
        <v>10.395093719934293</v>
      </c>
      <c r="ET202" s="4">
        <f t="shared" si="560"/>
        <v>50.259290899504663</v>
      </c>
      <c r="EU202" s="4">
        <f t="shared" si="561"/>
        <v>33.299999999999997</v>
      </c>
      <c r="EV202" s="4">
        <f t="shared" si="415"/>
        <v>1.9960587760943928E-5</v>
      </c>
      <c r="EW202" s="4">
        <f t="shared" si="583"/>
        <v>11.69251147702512</v>
      </c>
      <c r="EX202" s="4">
        <f t="shared" si="466"/>
        <v>730</v>
      </c>
      <c r="FG202" s="23">
        <f t="shared" si="563"/>
        <v>2.2000000000000002</v>
      </c>
      <c r="FH202" s="23">
        <f t="shared" si="563"/>
        <v>1</v>
      </c>
      <c r="FI202" s="23">
        <f t="shared" si="495"/>
        <v>2.2000000000000002</v>
      </c>
      <c r="FJ202" s="23">
        <f t="shared" si="564"/>
        <v>2.2000000000000002</v>
      </c>
      <c r="FK202" s="23">
        <f t="shared" si="564"/>
        <v>1.2</v>
      </c>
      <c r="FL202" s="23">
        <f t="shared" si="564"/>
        <v>1.2</v>
      </c>
      <c r="FM202" s="23">
        <f t="shared" si="497"/>
        <v>0</v>
      </c>
      <c r="FN202" s="23"/>
      <c r="FX202" s="4">
        <f t="shared" si="416"/>
        <v>1.25</v>
      </c>
      <c r="FY202" s="4">
        <f t="shared" si="469"/>
        <v>0.5</v>
      </c>
      <c r="FZ202" s="4">
        <f t="shared" si="417"/>
        <v>0</v>
      </c>
      <c r="GA202" s="4">
        <f t="shared" si="418"/>
        <v>345.681906484102</v>
      </c>
    </row>
    <row r="203" spans="1:183" ht="12" customHeight="1" x14ac:dyDescent="0.3">
      <c r="A203" s="25">
        <v>185</v>
      </c>
      <c r="B203" s="24" t="s">
        <v>128</v>
      </c>
      <c r="C203" s="24">
        <v>2017</v>
      </c>
      <c r="D203" s="24" t="s">
        <v>309</v>
      </c>
      <c r="E203" s="24"/>
      <c r="F203" s="4" t="s">
        <v>319</v>
      </c>
      <c r="G203" s="7">
        <v>679</v>
      </c>
      <c r="H203" s="7">
        <f t="shared" ref="H203" si="590">6*K203</f>
        <v>133.19999999999999</v>
      </c>
      <c r="I203" s="7">
        <f t="shared" si="455"/>
        <v>133.19999999999999</v>
      </c>
      <c r="J203" s="7">
        <v>129.9</v>
      </c>
      <c r="K203" s="7">
        <v>22.2</v>
      </c>
      <c r="L203" s="7">
        <f t="shared" si="498"/>
        <v>6</v>
      </c>
      <c r="M203" s="7">
        <f t="shared" si="499"/>
        <v>6</v>
      </c>
      <c r="N203" s="7">
        <v>366</v>
      </c>
      <c r="O203" s="7">
        <f t="shared" si="566"/>
        <v>22.2</v>
      </c>
      <c r="P203" s="7">
        <f t="shared" ref="P203" si="591">176-I203</f>
        <v>42.800000000000011</v>
      </c>
      <c r="Q203" s="7">
        <f t="shared" si="567"/>
        <v>277.20000000000005</v>
      </c>
      <c r="R203" s="7">
        <v>2</v>
      </c>
      <c r="S203" s="7">
        <f t="shared" si="568"/>
        <v>88.799999999999983</v>
      </c>
      <c r="T203" s="7">
        <f t="shared" si="475"/>
        <v>1.5</v>
      </c>
      <c r="U203" s="7">
        <f t="shared" si="459"/>
        <v>1.5</v>
      </c>
      <c r="V203" s="7">
        <f t="shared" si="472"/>
        <v>4</v>
      </c>
      <c r="W203" s="7">
        <f t="shared" si="472"/>
        <v>4</v>
      </c>
      <c r="X203" s="7">
        <f t="shared" si="431"/>
        <v>5</v>
      </c>
      <c r="Y203" s="7">
        <f t="shared" si="552"/>
        <v>49.640709100495329</v>
      </c>
      <c r="Z203" s="7">
        <f t="shared" si="461"/>
        <v>679</v>
      </c>
      <c r="AA203" s="7">
        <v>8</v>
      </c>
      <c r="AB203" s="7">
        <f>(742+721)/2</f>
        <v>731.5</v>
      </c>
      <c r="AC203" s="7"/>
      <c r="AD203" s="4">
        <f t="shared" si="476"/>
        <v>1</v>
      </c>
      <c r="AE203" s="7"/>
      <c r="AF203" s="7"/>
      <c r="AG203" s="7">
        <v>1</v>
      </c>
      <c r="AH203" s="7"/>
      <c r="AI203" s="7"/>
      <c r="AJ203" s="7">
        <f t="shared" si="473"/>
        <v>1.3346693386773545</v>
      </c>
      <c r="AK203" s="4">
        <f t="shared" si="569"/>
        <v>133.19999999999999</v>
      </c>
      <c r="AL203" s="4">
        <f t="shared" si="505"/>
        <v>0.91591591591591592</v>
      </c>
      <c r="AM203" s="4">
        <f t="shared" si="506"/>
        <v>226.32633296409878</v>
      </c>
      <c r="AN203" s="4">
        <f t="shared" si="507"/>
        <v>0.75</v>
      </c>
      <c r="AO203" s="4">
        <v>1.25</v>
      </c>
      <c r="AP203" s="47">
        <f t="shared" si="574"/>
        <v>5</v>
      </c>
      <c r="AQ203" s="38">
        <f t="shared" si="509"/>
        <v>971.6994869657957</v>
      </c>
      <c r="AR203" s="38">
        <f t="shared" si="510"/>
        <v>971.6994869657957</v>
      </c>
      <c r="AS203" s="38">
        <f t="shared" si="511"/>
        <v>5.7111767066521422</v>
      </c>
      <c r="AT203" s="38">
        <f t="shared" si="450"/>
        <v>971.69948696579524</v>
      </c>
      <c r="AU203" s="38">
        <f t="shared" si="400"/>
        <v>1.0000000000000004</v>
      </c>
      <c r="AV203" s="38">
        <f t="shared" si="537"/>
        <v>0.80209983688859943</v>
      </c>
      <c r="AW203" s="4">
        <f t="shared" si="529"/>
        <v>1</v>
      </c>
      <c r="AX203" s="4">
        <f t="shared" si="570"/>
        <v>359.91688791300993</v>
      </c>
      <c r="AY203" s="4">
        <f t="shared" si="571"/>
        <v>1</v>
      </c>
      <c r="AZ203" s="38">
        <f t="shared" si="438"/>
        <v>779.40000000000009</v>
      </c>
      <c r="BA203" s="4">
        <f t="shared" si="572"/>
        <v>0.44000000000000006</v>
      </c>
      <c r="BB203" s="4">
        <f t="shared" si="401"/>
        <v>82.744892531200989</v>
      </c>
      <c r="BC203" s="4">
        <f t="shared" si="402"/>
        <v>862.14489253120109</v>
      </c>
      <c r="BE203" s="4">
        <f t="shared" si="451"/>
        <v>1</v>
      </c>
      <c r="BF203" s="4">
        <f t="shared" si="452"/>
        <v>547.07366962777508</v>
      </c>
      <c r="BH203" s="4">
        <f t="shared" si="463"/>
        <v>747.53991440910613</v>
      </c>
      <c r="BI203" s="4">
        <f t="shared" si="464"/>
        <v>3704.4961984911101</v>
      </c>
      <c r="BJ203" s="4">
        <f t="shared" si="465"/>
        <v>4.9555831429005819</v>
      </c>
      <c r="BR203" s="4">
        <f t="shared" si="539"/>
        <v>22.2</v>
      </c>
      <c r="BV203" s="9"/>
      <c r="BX203" s="9"/>
      <c r="BY203" s="9"/>
      <c r="BZ203" s="9">
        <f t="shared" si="577"/>
        <v>22.2</v>
      </c>
      <c r="CA203" s="9">
        <f t="shared" si="578"/>
        <v>138.60000000000002</v>
      </c>
      <c r="CB203" s="9">
        <f t="shared" si="403"/>
        <v>1.3161686388047049</v>
      </c>
      <c r="CC203" s="9">
        <v>0</v>
      </c>
      <c r="CD203" s="9">
        <f t="shared" si="518"/>
        <v>0</v>
      </c>
      <c r="CE203" s="9">
        <f t="shared" si="404"/>
        <v>0</v>
      </c>
      <c r="CF203" s="9">
        <f t="shared" si="579"/>
        <v>1</v>
      </c>
      <c r="CG203" s="9">
        <f t="shared" si="580"/>
        <v>0.77100000000000002</v>
      </c>
      <c r="CH203" s="9">
        <f t="shared" si="405"/>
        <v>3.0755797864386483</v>
      </c>
      <c r="CI203" s="9">
        <f t="shared" si="406"/>
        <v>4.047981661052221</v>
      </c>
      <c r="CJ203" s="9">
        <v>1</v>
      </c>
      <c r="CK203" s="9">
        <f t="shared" si="407"/>
        <v>340.03045952838659</v>
      </c>
      <c r="CM203" s="4">
        <f t="shared" si="477"/>
        <v>2.0324136615028738</v>
      </c>
      <c r="CN203" s="4">
        <f t="shared" si="478"/>
        <v>0.84846527113599635</v>
      </c>
      <c r="CO203" s="4">
        <f t="shared" si="479"/>
        <v>1.3371142509887328</v>
      </c>
      <c r="CP203" s="4">
        <f t="shared" si="480"/>
        <v>2.1512778620320412</v>
      </c>
      <c r="CQ203" s="44">
        <f t="shared" si="481"/>
        <v>1</v>
      </c>
      <c r="CR203" s="4">
        <f t="shared" si="482"/>
        <v>1</v>
      </c>
      <c r="CS203" s="4">
        <f t="shared" si="483"/>
        <v>2.1161072832536054</v>
      </c>
      <c r="CU203" s="4">
        <f t="shared" si="553"/>
        <v>2.0324136615028738</v>
      </c>
      <c r="CV203" s="4">
        <f t="shared" si="553"/>
        <v>0.84846527113599635</v>
      </c>
      <c r="CW203" s="4">
        <f t="shared" si="562"/>
        <v>2.1512778620320412</v>
      </c>
      <c r="CX203" s="4">
        <f t="shared" si="589"/>
        <v>2.1161072832536054</v>
      </c>
      <c r="CY203" s="4">
        <f t="shared" si="555"/>
        <v>1</v>
      </c>
      <c r="CZ203" s="4">
        <f t="shared" si="555"/>
        <v>1</v>
      </c>
      <c r="DH203" s="4">
        <f t="shared" si="557"/>
        <v>0</v>
      </c>
      <c r="DI203" s="4">
        <f t="shared" si="453"/>
        <v>133.19999999999999</v>
      </c>
      <c r="DL203" s="4">
        <f t="shared" si="485"/>
        <v>1.9960587760943928E-5</v>
      </c>
      <c r="DM203" s="4">
        <f t="shared" si="558"/>
        <v>12.240383556873418</v>
      </c>
      <c r="DN203" s="4">
        <f t="shared" si="486"/>
        <v>0.36121658658088979</v>
      </c>
      <c r="DO203" s="4">
        <f t="shared" si="487"/>
        <v>8.1452065255624326</v>
      </c>
      <c r="DP203" s="4">
        <f t="shared" si="488"/>
        <v>10.397219445794885</v>
      </c>
      <c r="DQ203" s="4">
        <f t="shared" si="489"/>
        <v>11.692328802700976</v>
      </c>
      <c r="DR203" s="38">
        <f t="shared" si="513"/>
        <v>731.5</v>
      </c>
      <c r="DS203" s="4">
        <f t="shared" si="411"/>
        <v>1</v>
      </c>
      <c r="DT203" s="4">
        <f t="shared" si="490"/>
        <v>2.2360679774997898</v>
      </c>
      <c r="DU203" s="4">
        <f t="shared" si="441"/>
        <v>971.69948696579524</v>
      </c>
      <c r="DY203" s="4">
        <f t="shared" si="581"/>
        <v>0.85</v>
      </c>
      <c r="DZ203" s="4">
        <f t="shared" si="412"/>
        <v>1</v>
      </c>
      <c r="EA203" s="4">
        <f t="shared" si="514"/>
        <v>1</v>
      </c>
      <c r="EB203" s="4">
        <f t="shared" si="414"/>
        <v>1</v>
      </c>
      <c r="ED203" s="4">
        <f t="shared" si="515"/>
        <v>731.5</v>
      </c>
      <c r="EE203" s="25">
        <f t="shared" si="573"/>
        <v>949.1812023271998</v>
      </c>
      <c r="EH203" s="4">
        <f t="shared" si="517"/>
        <v>12.240383556873418</v>
      </c>
      <c r="EK203" s="4">
        <f t="shared" si="491"/>
        <v>49.640709100495329</v>
      </c>
      <c r="EL203" s="4">
        <f t="shared" si="492"/>
        <v>2.2360679774997898</v>
      </c>
      <c r="EM203" s="4">
        <f t="shared" si="493"/>
        <v>0.22511660227245195</v>
      </c>
      <c r="EP203" s="4">
        <f t="shared" si="541"/>
        <v>0.22511660227245195</v>
      </c>
      <c r="EQ203" s="4">
        <f t="shared" si="542"/>
        <v>0.36061378341950645</v>
      </c>
      <c r="ER203" s="4">
        <f t="shared" si="559"/>
        <v>8.1397666684163408</v>
      </c>
      <c r="ES203" s="4">
        <f t="shared" si="582"/>
        <v>10.395093719934293</v>
      </c>
      <c r="ET203" s="4">
        <f t="shared" si="560"/>
        <v>50.259290899504663</v>
      </c>
      <c r="EU203" s="4">
        <f t="shared" si="561"/>
        <v>33.299999999999997</v>
      </c>
      <c r="EV203" s="4">
        <f t="shared" si="415"/>
        <v>1.9960587760943928E-5</v>
      </c>
      <c r="EW203" s="4">
        <f t="shared" si="583"/>
        <v>11.69251147702512</v>
      </c>
      <c r="EX203" s="4">
        <f t="shared" si="466"/>
        <v>731.5</v>
      </c>
      <c r="FG203" s="23">
        <f t="shared" si="563"/>
        <v>2.2000000000000002</v>
      </c>
      <c r="FH203" s="23">
        <f t="shared" si="563"/>
        <v>1</v>
      </c>
      <c r="FI203" s="23">
        <f t="shared" si="495"/>
        <v>2.2000000000000002</v>
      </c>
      <c r="FJ203" s="23">
        <f t="shared" si="564"/>
        <v>2.2000000000000002</v>
      </c>
      <c r="FK203" s="23">
        <f t="shared" si="564"/>
        <v>1.2</v>
      </c>
      <c r="FL203" s="23">
        <f t="shared" si="564"/>
        <v>1.2</v>
      </c>
      <c r="FM203" s="23">
        <f t="shared" si="497"/>
        <v>0</v>
      </c>
      <c r="FN203" s="23"/>
      <c r="FX203" s="4">
        <f t="shared" si="416"/>
        <v>1.25</v>
      </c>
      <c r="FY203" s="4">
        <f t="shared" si="469"/>
        <v>0.5</v>
      </c>
      <c r="FZ203" s="4">
        <f t="shared" si="417"/>
        <v>0</v>
      </c>
      <c r="GA203" s="4">
        <f t="shared" si="418"/>
        <v>345.681906484102</v>
      </c>
    </row>
    <row r="204" spans="1:183" ht="12" customHeight="1" x14ac:dyDescent="0.3">
      <c r="A204" s="25">
        <v>186</v>
      </c>
      <c r="B204" s="24" t="s">
        <v>128</v>
      </c>
      <c r="C204" s="24">
        <v>2017</v>
      </c>
      <c r="D204" s="24" t="s">
        <v>309</v>
      </c>
      <c r="E204" s="24"/>
      <c r="F204" s="4" t="s">
        <v>312</v>
      </c>
      <c r="G204" s="7">
        <v>649</v>
      </c>
      <c r="H204" s="7">
        <f t="shared" si="565"/>
        <v>127.2</v>
      </c>
      <c r="I204" s="7">
        <f t="shared" si="455"/>
        <v>127.2</v>
      </c>
      <c r="J204" s="7">
        <v>129.9</v>
      </c>
      <c r="K204" s="7">
        <v>31.8</v>
      </c>
      <c r="L204" s="7">
        <f t="shared" si="498"/>
        <v>4</v>
      </c>
      <c r="M204" s="7">
        <f t="shared" si="499"/>
        <v>4</v>
      </c>
      <c r="N204" s="7">
        <v>396</v>
      </c>
      <c r="O204" s="7">
        <f t="shared" si="566"/>
        <v>31.8</v>
      </c>
      <c r="P204" s="7">
        <f>171-I204</f>
        <v>43.8</v>
      </c>
      <c r="Q204" s="7">
        <f t="shared" si="567"/>
        <v>268.79999999999995</v>
      </c>
      <c r="R204" s="7">
        <v>2</v>
      </c>
      <c r="S204" s="7">
        <f t="shared" si="568"/>
        <v>84.8</v>
      </c>
      <c r="T204" s="7">
        <f t="shared" si="475"/>
        <v>1.5</v>
      </c>
      <c r="U204" s="7">
        <f t="shared" si="459"/>
        <v>1.5</v>
      </c>
      <c r="V204" s="7">
        <f t="shared" si="472"/>
        <v>4</v>
      </c>
      <c r="W204" s="7">
        <f t="shared" si="472"/>
        <v>4</v>
      </c>
      <c r="X204" s="7">
        <f t="shared" si="431"/>
        <v>5</v>
      </c>
      <c r="Y204" s="7">
        <f t="shared" si="552"/>
        <v>71.106961684493314</v>
      </c>
      <c r="Z204" s="7">
        <f t="shared" si="461"/>
        <v>649</v>
      </c>
      <c r="AA204" s="7">
        <v>11</v>
      </c>
      <c r="AB204" s="7">
        <f>(714+700)/2</f>
        <v>707</v>
      </c>
      <c r="AC204" s="7"/>
      <c r="AD204" s="4">
        <f t="shared" si="476"/>
        <v>1.0926922449567047</v>
      </c>
      <c r="AE204" s="7"/>
      <c r="AF204" s="7"/>
      <c r="AG204" s="7">
        <v>1</v>
      </c>
      <c r="AH204" s="7"/>
      <c r="AI204" s="7"/>
      <c r="AJ204" s="7">
        <f t="shared" si="473"/>
        <v>1.2694610778443116</v>
      </c>
      <c r="AK204" s="4">
        <f t="shared" si="569"/>
        <v>127.2</v>
      </c>
      <c r="AL204" s="4">
        <f t="shared" si="505"/>
        <v>1.0377358490566038</v>
      </c>
      <c r="AM204" s="4">
        <f t="shared" si="506"/>
        <v>102.93453939452981</v>
      </c>
      <c r="AN204" s="4">
        <f t="shared" si="507"/>
        <v>0.77499999999999991</v>
      </c>
      <c r="AO204" s="4">
        <v>1.25</v>
      </c>
      <c r="AP204" s="47">
        <f t="shared" si="574"/>
        <v>5</v>
      </c>
      <c r="AQ204" s="38">
        <f t="shared" si="509"/>
        <v>517.40386104856509</v>
      </c>
      <c r="AR204" s="38">
        <f t="shared" si="510"/>
        <v>517.40386104856509</v>
      </c>
      <c r="AS204" s="38">
        <f t="shared" si="511"/>
        <v>5.7111767066521422</v>
      </c>
      <c r="AT204" s="38">
        <f t="shared" si="450"/>
        <v>517.40386104856543</v>
      </c>
      <c r="AU204" s="38">
        <f t="shared" si="400"/>
        <v>0.99999999999999933</v>
      </c>
      <c r="AV204" s="38">
        <f t="shared" si="537"/>
        <v>1.5063668029466883</v>
      </c>
      <c r="AW204" s="4">
        <f t="shared" si="529"/>
        <v>0</v>
      </c>
      <c r="AX204" s="4">
        <f t="shared" si="570"/>
        <v>239.94459194200661</v>
      </c>
      <c r="AY204" s="4">
        <f t="shared" si="571"/>
        <v>1</v>
      </c>
      <c r="AZ204" s="38">
        <f t="shared" si="438"/>
        <v>779.40000000000009</v>
      </c>
      <c r="BA204" s="4">
        <f t="shared" si="572"/>
        <v>0.44000000000000006</v>
      </c>
      <c r="BB204" s="4">
        <f t="shared" si="401"/>
        <v>55.163261687467333</v>
      </c>
      <c r="BC204" s="4">
        <f t="shared" si="402"/>
        <v>834.56326168746739</v>
      </c>
      <c r="BE204" s="4">
        <f t="shared" si="451"/>
        <v>1</v>
      </c>
      <c r="BF204" s="4">
        <f t="shared" si="452"/>
        <v>478.68946092430321</v>
      </c>
      <c r="BH204" s="4">
        <f t="shared" si="463"/>
        <v>747.53991440910613</v>
      </c>
      <c r="BI204" s="4">
        <f t="shared" si="464"/>
        <v>711.96329095823319</v>
      </c>
      <c r="BJ204" s="4">
        <f t="shared" si="465"/>
        <v>0.95240839617374207</v>
      </c>
      <c r="BR204" s="4">
        <f t="shared" si="539"/>
        <v>31.8</v>
      </c>
      <c r="BV204" s="9"/>
      <c r="BX204" s="9"/>
      <c r="BY204" s="9"/>
      <c r="BZ204" s="9">
        <f t="shared" si="577"/>
        <v>31.8</v>
      </c>
      <c r="CA204" s="9">
        <f t="shared" si="578"/>
        <v>134.39999999999998</v>
      </c>
      <c r="CB204" s="9">
        <f t="shared" si="403"/>
        <v>1.2413544982455165</v>
      </c>
      <c r="CC204" s="9">
        <v>0</v>
      </c>
      <c r="CD204" s="9">
        <f t="shared" si="518"/>
        <v>0</v>
      </c>
      <c r="CE204" s="9">
        <f t="shared" si="404"/>
        <v>0</v>
      </c>
      <c r="CF204" s="9">
        <f t="shared" si="579"/>
        <v>0.93036607665491811</v>
      </c>
      <c r="CG204" s="9">
        <f t="shared" si="580"/>
        <v>0.80099999999999993</v>
      </c>
      <c r="CH204" s="9">
        <f t="shared" si="405"/>
        <v>2.9727542082721463</v>
      </c>
      <c r="CI204" s="9">
        <f t="shared" si="406"/>
        <v>3.6902418086169178</v>
      </c>
      <c r="CJ204" s="9">
        <v>1</v>
      </c>
      <c r="CK204" s="9">
        <f t="shared" si="407"/>
        <v>280.45837745488575</v>
      </c>
      <c r="CM204" s="4">
        <f t="shared" si="477"/>
        <v>2.9465135858151714</v>
      </c>
      <c r="CN204" s="4">
        <f t="shared" si="478"/>
        <v>0.84714967990618539</v>
      </c>
      <c r="CO204" s="4">
        <f t="shared" si="479"/>
        <v>1.476949165822141</v>
      </c>
      <c r="CP204" s="4">
        <f t="shared" si="480"/>
        <v>2.5208731734666308</v>
      </c>
      <c r="CQ204" s="44">
        <f t="shared" si="481"/>
        <v>1.0926922449567047</v>
      </c>
      <c r="CR204" s="4">
        <f t="shared" si="482"/>
        <v>1.1179242582161224</v>
      </c>
      <c r="CS204" s="4">
        <f t="shared" si="483"/>
        <v>3.6717330366569469</v>
      </c>
      <c r="CU204" s="4">
        <f t="shared" si="553"/>
        <v>2.9465135858151714</v>
      </c>
      <c r="CV204" s="4">
        <f t="shared" si="553"/>
        <v>0.84714967990618539</v>
      </c>
      <c r="CW204" s="4">
        <f t="shared" si="562"/>
        <v>2.5208731734666308</v>
      </c>
      <c r="CX204" s="4">
        <f t="shared" si="589"/>
        <v>3.6717330366569469</v>
      </c>
      <c r="CY204" s="4">
        <f t="shared" si="555"/>
        <v>1.0926922449567047</v>
      </c>
      <c r="CZ204" s="4">
        <f t="shared" si="555"/>
        <v>1.1179242582161224</v>
      </c>
      <c r="DH204" s="4">
        <f t="shared" si="557"/>
        <v>0</v>
      </c>
      <c r="DI204" s="4">
        <f t="shared" si="453"/>
        <v>127.2</v>
      </c>
      <c r="DL204" s="4">
        <f t="shared" si="485"/>
        <v>1.3307058507295954E-5</v>
      </c>
      <c r="DM204" s="4">
        <f t="shared" si="558"/>
        <v>11.016345201186075</v>
      </c>
      <c r="DN204" s="4">
        <f t="shared" si="486"/>
        <v>0.2755113670422118</v>
      </c>
      <c r="DO204" s="4">
        <f t="shared" si="487"/>
        <v>6.577992059640426</v>
      </c>
      <c r="DP204" s="4">
        <f t="shared" si="488"/>
        <v>9.0744139065227447</v>
      </c>
      <c r="DQ204" s="4">
        <f t="shared" si="489"/>
        <v>10.764395049922769</v>
      </c>
      <c r="DR204" s="38">
        <f t="shared" si="513"/>
        <v>647.02573232595171</v>
      </c>
      <c r="DS204" s="4">
        <f t="shared" si="411"/>
        <v>1.0000675853676408</v>
      </c>
      <c r="DT204" s="4">
        <f t="shared" si="490"/>
        <v>2.2360679774997898</v>
      </c>
      <c r="DU204" s="4">
        <f t="shared" si="441"/>
        <v>517.40386104856543</v>
      </c>
      <c r="DY204" s="4">
        <f t="shared" si="581"/>
        <v>0.85</v>
      </c>
      <c r="DZ204" s="4">
        <f t="shared" si="412"/>
        <v>1</v>
      </c>
      <c r="EA204" s="4">
        <f t="shared" si="514"/>
        <v>1</v>
      </c>
      <c r="EB204" s="4">
        <f t="shared" si="414"/>
        <v>1</v>
      </c>
      <c r="ED204" s="4">
        <f t="shared" si="515"/>
        <v>632.4220937187315</v>
      </c>
      <c r="EE204" s="25">
        <f t="shared" si="573"/>
        <v>500.22595130449861</v>
      </c>
      <c r="EH204" s="4">
        <f t="shared" si="517"/>
        <v>11.016345201186075</v>
      </c>
      <c r="EK204" s="4">
        <f t="shared" si="491"/>
        <v>71.106961684493314</v>
      </c>
      <c r="EL204" s="4">
        <f t="shared" si="492"/>
        <v>2.2360679774997898</v>
      </c>
      <c r="EM204" s="4">
        <f t="shared" si="493"/>
        <v>0.17170358488533044</v>
      </c>
      <c r="EP204" s="4">
        <f t="shared" si="541"/>
        <v>0.17170358488533044</v>
      </c>
      <c r="EQ204" s="4">
        <f t="shared" si="542"/>
        <v>0.27505158991895695</v>
      </c>
      <c r="ER204" s="4">
        <f t="shared" si="559"/>
        <v>6.5735988822544051</v>
      </c>
      <c r="ES204" s="4">
        <f t="shared" si="582"/>
        <v>9.0728292317903581</v>
      </c>
      <c r="ET204" s="4">
        <f t="shared" si="560"/>
        <v>24.293038315506692</v>
      </c>
      <c r="EU204" s="4">
        <f t="shared" si="561"/>
        <v>31.799999999999997</v>
      </c>
      <c r="EV204" s="4">
        <f t="shared" si="415"/>
        <v>1.330705850729595E-5</v>
      </c>
      <c r="EW204" s="4">
        <f t="shared" si="583"/>
        <v>10.764497447788541</v>
      </c>
      <c r="EX204" s="4">
        <f t="shared" si="466"/>
        <v>646.98200580923208</v>
      </c>
      <c r="FG204" s="23">
        <f t="shared" si="563"/>
        <v>2.2000000000000002</v>
      </c>
      <c r="FH204" s="23">
        <f t="shared" si="563"/>
        <v>1</v>
      </c>
      <c r="FI204" s="23">
        <f t="shared" si="495"/>
        <v>2.2000000000000002</v>
      </c>
      <c r="FJ204" s="23">
        <f t="shared" si="564"/>
        <v>2.2000000000000002</v>
      </c>
      <c r="FK204" s="23">
        <f t="shared" si="564"/>
        <v>1.2</v>
      </c>
      <c r="FL204" s="23">
        <f t="shared" si="564"/>
        <v>1.2</v>
      </c>
      <c r="FM204" s="23">
        <f t="shared" si="497"/>
        <v>0</v>
      </c>
      <c r="FN204" s="23"/>
      <c r="FX204" s="4">
        <f t="shared" si="416"/>
        <v>1.25</v>
      </c>
      <c r="FY204" s="4">
        <f t="shared" si="469"/>
        <v>0.5</v>
      </c>
      <c r="FZ204" s="4">
        <f t="shared" si="417"/>
        <v>0</v>
      </c>
      <c r="GA204" s="4">
        <f t="shared" si="418"/>
        <v>192.55212537012548</v>
      </c>
    </row>
    <row r="205" spans="1:183" ht="12" customHeight="1" x14ac:dyDescent="0.3">
      <c r="A205" s="25">
        <v>187</v>
      </c>
      <c r="B205" s="24" t="s">
        <v>128</v>
      </c>
      <c r="C205" s="24">
        <v>2017</v>
      </c>
      <c r="D205" s="24" t="s">
        <v>309</v>
      </c>
      <c r="E205" s="24"/>
      <c r="F205" s="4" t="s">
        <v>154</v>
      </c>
      <c r="G205" s="7">
        <v>649</v>
      </c>
      <c r="H205" s="7">
        <f t="shared" si="565"/>
        <v>127.2</v>
      </c>
      <c r="I205" s="7">
        <f t="shared" si="455"/>
        <v>127.2</v>
      </c>
      <c r="J205" s="7">
        <v>129.9</v>
      </c>
      <c r="K205" s="7">
        <v>31.8</v>
      </c>
      <c r="L205" s="7">
        <f t="shared" si="498"/>
        <v>4</v>
      </c>
      <c r="M205" s="7">
        <f t="shared" si="499"/>
        <v>4</v>
      </c>
      <c r="N205" s="7">
        <v>396</v>
      </c>
      <c r="O205" s="7">
        <f t="shared" si="566"/>
        <v>31.8</v>
      </c>
      <c r="P205" s="7">
        <f t="shared" ref="P205:P209" si="592">171-I205</f>
        <v>43.8</v>
      </c>
      <c r="Q205" s="7">
        <f t="shared" si="567"/>
        <v>268.79999999999995</v>
      </c>
      <c r="R205" s="7">
        <v>2</v>
      </c>
      <c r="S205" s="7">
        <f t="shared" si="568"/>
        <v>84.8</v>
      </c>
      <c r="T205" s="7">
        <f t="shared" si="475"/>
        <v>1.5</v>
      </c>
      <c r="U205" s="7">
        <f t="shared" si="459"/>
        <v>1.5</v>
      </c>
      <c r="V205" s="7">
        <f t="shared" si="472"/>
        <v>4</v>
      </c>
      <c r="W205" s="7">
        <f t="shared" si="472"/>
        <v>4</v>
      </c>
      <c r="X205" s="7">
        <f t="shared" si="431"/>
        <v>5</v>
      </c>
      <c r="Y205" s="7">
        <f t="shared" si="552"/>
        <v>71.106961684493314</v>
      </c>
      <c r="Z205" s="7">
        <f t="shared" si="461"/>
        <v>649</v>
      </c>
      <c r="AA205" s="7">
        <v>11</v>
      </c>
      <c r="AB205" s="7">
        <f>(720+688)/2</f>
        <v>704</v>
      </c>
      <c r="AC205" s="7"/>
      <c r="AD205" s="4">
        <f t="shared" si="476"/>
        <v>1.0880556442001699</v>
      </c>
      <c r="AE205" s="7"/>
      <c r="AF205" s="7"/>
      <c r="AG205" s="7">
        <v>1</v>
      </c>
      <c r="AH205" s="7"/>
      <c r="AI205" s="7"/>
      <c r="AJ205" s="7">
        <f t="shared" si="473"/>
        <v>1.2694610778443116</v>
      </c>
      <c r="AK205" s="4">
        <f t="shared" si="569"/>
        <v>127.2</v>
      </c>
      <c r="AL205" s="4">
        <f t="shared" si="505"/>
        <v>1.0377358490566038</v>
      </c>
      <c r="AM205" s="4">
        <f t="shared" si="506"/>
        <v>102.93453939452981</v>
      </c>
      <c r="AN205" s="4">
        <f t="shared" si="507"/>
        <v>0.77499999999999991</v>
      </c>
      <c r="AO205" s="4">
        <v>1.25</v>
      </c>
      <c r="AP205" s="47">
        <f t="shared" si="574"/>
        <v>5</v>
      </c>
      <c r="AQ205" s="38">
        <f t="shared" si="509"/>
        <v>517.40386104856509</v>
      </c>
      <c r="AR205" s="38">
        <f t="shared" si="510"/>
        <v>517.40386104856509</v>
      </c>
      <c r="AS205" s="38">
        <f t="shared" si="511"/>
        <v>5.7111767066521422</v>
      </c>
      <c r="AT205" s="38">
        <f t="shared" si="450"/>
        <v>517.40386104856543</v>
      </c>
      <c r="AU205" s="38">
        <f t="shared" si="400"/>
        <v>0.99999999999999933</v>
      </c>
      <c r="AV205" s="38">
        <f t="shared" si="537"/>
        <v>1.5063668029466883</v>
      </c>
      <c r="AW205" s="4">
        <f t="shared" si="529"/>
        <v>0</v>
      </c>
      <c r="AX205" s="4">
        <f t="shared" si="570"/>
        <v>239.94459194200661</v>
      </c>
      <c r="AY205" s="4">
        <f t="shared" si="571"/>
        <v>1</v>
      </c>
      <c r="AZ205" s="38">
        <f t="shared" si="438"/>
        <v>779.40000000000009</v>
      </c>
      <c r="BA205" s="4">
        <f t="shared" si="572"/>
        <v>0.44000000000000006</v>
      </c>
      <c r="BB205" s="4">
        <f t="shared" si="401"/>
        <v>55.163261687467333</v>
      </c>
      <c r="BC205" s="4">
        <f t="shared" si="402"/>
        <v>834.56326168746739</v>
      </c>
      <c r="BE205" s="4">
        <f t="shared" si="451"/>
        <v>1</v>
      </c>
      <c r="BF205" s="4">
        <f t="shared" si="452"/>
        <v>478.68946092430321</v>
      </c>
      <c r="BH205" s="4">
        <f t="shared" si="463"/>
        <v>747.53991440910613</v>
      </c>
      <c r="BI205" s="4">
        <f t="shared" si="464"/>
        <v>711.96329095823319</v>
      </c>
      <c r="BJ205" s="4">
        <f t="shared" si="465"/>
        <v>0.95240839617374207</v>
      </c>
      <c r="BR205" s="4">
        <f t="shared" si="539"/>
        <v>31.8</v>
      </c>
      <c r="BV205" s="9"/>
      <c r="BX205" s="9"/>
      <c r="BY205" s="9"/>
      <c r="BZ205" s="9">
        <f t="shared" si="577"/>
        <v>31.8</v>
      </c>
      <c r="CA205" s="9">
        <f t="shared" si="578"/>
        <v>134.39999999999998</v>
      </c>
      <c r="CB205" s="9">
        <f t="shared" si="403"/>
        <v>1.2413544982455165</v>
      </c>
      <c r="CC205" s="9">
        <v>0</v>
      </c>
      <c r="CD205" s="9">
        <f t="shared" si="518"/>
        <v>0</v>
      </c>
      <c r="CE205" s="9">
        <f t="shared" si="404"/>
        <v>0</v>
      </c>
      <c r="CF205" s="9">
        <f t="shared" si="579"/>
        <v>0.93036607665491811</v>
      </c>
      <c r="CG205" s="9">
        <f t="shared" si="580"/>
        <v>0.80099999999999993</v>
      </c>
      <c r="CH205" s="9">
        <f t="shared" si="405"/>
        <v>2.9727542082721463</v>
      </c>
      <c r="CI205" s="9">
        <f t="shared" si="406"/>
        <v>3.6902418086169178</v>
      </c>
      <c r="CJ205" s="9">
        <v>1</v>
      </c>
      <c r="CK205" s="9">
        <f t="shared" si="407"/>
        <v>280.45837745488575</v>
      </c>
      <c r="CM205" s="4">
        <f t="shared" si="477"/>
        <v>2.9340106993124198</v>
      </c>
      <c r="CN205" s="4">
        <f t="shared" si="478"/>
        <v>0.84355498536627227</v>
      </c>
      <c r="CO205" s="4">
        <f t="shared" si="479"/>
        <v>1.4706820547931927</v>
      </c>
      <c r="CP205" s="4">
        <f t="shared" si="480"/>
        <v>2.5101763990389081</v>
      </c>
      <c r="CQ205" s="44">
        <f t="shared" si="481"/>
        <v>1.0880556442001699</v>
      </c>
      <c r="CR205" s="4">
        <f t="shared" si="482"/>
        <v>1.1131805909252479</v>
      </c>
      <c r="CS205" s="4">
        <f t="shared" si="483"/>
        <v>3.6561528398960266</v>
      </c>
      <c r="CU205" s="4">
        <f t="shared" ref="CU205:CV224" si="593">CM205</f>
        <v>2.9340106993124198</v>
      </c>
      <c r="CV205" s="4">
        <f t="shared" si="593"/>
        <v>0.84355498536627227</v>
      </c>
      <c r="CW205" s="4">
        <f t="shared" si="562"/>
        <v>2.5101763990389081</v>
      </c>
      <c r="CX205" s="4">
        <f t="shared" si="589"/>
        <v>3.6561528398960266</v>
      </c>
      <c r="CY205" s="4">
        <f t="shared" ref="CY205:CZ224" si="594">CQ205</f>
        <v>1.0880556442001699</v>
      </c>
      <c r="CZ205" s="4">
        <f t="shared" si="594"/>
        <v>1.1131805909252479</v>
      </c>
      <c r="DH205" s="4">
        <f t="shared" si="557"/>
        <v>0</v>
      </c>
      <c r="DI205" s="4">
        <f t="shared" si="453"/>
        <v>127.2</v>
      </c>
      <c r="DL205" s="4">
        <f t="shared" si="485"/>
        <v>1.3307058507295954E-5</v>
      </c>
      <c r="DM205" s="4">
        <f t="shared" si="558"/>
        <v>11.016345201186075</v>
      </c>
      <c r="DN205" s="4">
        <f t="shared" si="486"/>
        <v>0.2755113670422118</v>
      </c>
      <c r="DO205" s="4">
        <f t="shared" si="487"/>
        <v>6.577992059640426</v>
      </c>
      <c r="DP205" s="4">
        <f t="shared" si="488"/>
        <v>9.0744139065227447</v>
      </c>
      <c r="DQ205" s="4">
        <f t="shared" si="489"/>
        <v>10.764395049922769</v>
      </c>
      <c r="DR205" s="38">
        <f t="shared" si="513"/>
        <v>647.02573232595171</v>
      </c>
      <c r="DS205" s="4">
        <f t="shared" si="411"/>
        <v>1.0000675853676408</v>
      </c>
      <c r="DT205" s="4">
        <f t="shared" si="490"/>
        <v>2.2360679774997898</v>
      </c>
      <c r="DU205" s="4">
        <f t="shared" si="441"/>
        <v>517.40386104856543</v>
      </c>
      <c r="DY205" s="4">
        <f t="shared" si="581"/>
        <v>0.85</v>
      </c>
      <c r="DZ205" s="4">
        <f t="shared" si="412"/>
        <v>1</v>
      </c>
      <c r="EA205" s="4">
        <f t="shared" si="514"/>
        <v>1</v>
      </c>
      <c r="EB205" s="4">
        <f t="shared" si="414"/>
        <v>1</v>
      </c>
      <c r="ED205" s="4">
        <f t="shared" si="515"/>
        <v>632.4220937187315</v>
      </c>
      <c r="EE205" s="25">
        <f t="shared" si="573"/>
        <v>500.22595130449861</v>
      </c>
      <c r="EH205" s="4">
        <f t="shared" si="517"/>
        <v>11.016345201186075</v>
      </c>
      <c r="EK205" s="4">
        <f t="shared" si="491"/>
        <v>71.106961684493314</v>
      </c>
      <c r="EL205" s="4">
        <f t="shared" si="492"/>
        <v>2.2360679774997898</v>
      </c>
      <c r="EM205" s="4">
        <f t="shared" si="493"/>
        <v>0.17170358488533044</v>
      </c>
      <c r="EP205" s="4">
        <f t="shared" si="541"/>
        <v>0.17170358488533044</v>
      </c>
      <c r="EQ205" s="4">
        <f t="shared" si="542"/>
        <v>0.27505158991895695</v>
      </c>
      <c r="ER205" s="4">
        <f t="shared" si="559"/>
        <v>6.5735988822544051</v>
      </c>
      <c r="ES205" s="4">
        <f t="shared" si="582"/>
        <v>9.0728292317903581</v>
      </c>
      <c r="ET205" s="4">
        <f t="shared" si="560"/>
        <v>24.293038315506692</v>
      </c>
      <c r="EU205" s="4">
        <f t="shared" si="561"/>
        <v>31.799999999999997</v>
      </c>
      <c r="EV205" s="4">
        <f t="shared" si="415"/>
        <v>1.330705850729595E-5</v>
      </c>
      <c r="EW205" s="4">
        <f t="shared" si="583"/>
        <v>10.764497447788541</v>
      </c>
      <c r="EX205" s="4">
        <f t="shared" si="466"/>
        <v>646.98200580923208</v>
      </c>
      <c r="FG205" s="23">
        <f t="shared" si="563"/>
        <v>2.2000000000000002</v>
      </c>
      <c r="FH205" s="23">
        <f t="shared" si="563"/>
        <v>1</v>
      </c>
      <c r="FI205" s="23">
        <f t="shared" si="495"/>
        <v>2.2000000000000002</v>
      </c>
      <c r="FJ205" s="23">
        <f t="shared" si="564"/>
        <v>2.2000000000000002</v>
      </c>
      <c r="FK205" s="23">
        <f t="shared" si="564"/>
        <v>1.2</v>
      </c>
      <c r="FL205" s="23">
        <f t="shared" si="564"/>
        <v>1.2</v>
      </c>
      <c r="FM205" s="23">
        <f t="shared" si="497"/>
        <v>0</v>
      </c>
      <c r="FN205" s="23"/>
      <c r="FX205" s="4">
        <f t="shared" si="416"/>
        <v>1.25</v>
      </c>
      <c r="FY205" s="4">
        <f t="shared" si="469"/>
        <v>0.5</v>
      </c>
      <c r="FZ205" s="4">
        <f t="shared" si="417"/>
        <v>0</v>
      </c>
      <c r="GA205" s="4">
        <f t="shared" si="418"/>
        <v>192.55212537012548</v>
      </c>
    </row>
    <row r="206" spans="1:183" ht="12" customHeight="1" x14ac:dyDescent="0.3">
      <c r="A206" s="25">
        <v>188</v>
      </c>
      <c r="B206" s="24" t="s">
        <v>128</v>
      </c>
      <c r="C206" s="24">
        <v>2017</v>
      </c>
      <c r="D206" s="24" t="s">
        <v>309</v>
      </c>
      <c r="E206" s="24"/>
      <c r="F206" s="4" t="s">
        <v>320</v>
      </c>
      <c r="G206" s="7">
        <v>649</v>
      </c>
      <c r="H206" s="7">
        <f t="shared" si="565"/>
        <v>127.2</v>
      </c>
      <c r="I206" s="7">
        <f t="shared" si="455"/>
        <v>127.2</v>
      </c>
      <c r="J206" s="7">
        <v>129.9</v>
      </c>
      <c r="K206" s="7">
        <v>31.8</v>
      </c>
      <c r="L206" s="7">
        <f t="shared" si="498"/>
        <v>4</v>
      </c>
      <c r="M206" s="7">
        <f t="shared" si="499"/>
        <v>4</v>
      </c>
      <c r="N206" s="7">
        <v>428</v>
      </c>
      <c r="O206" s="7">
        <f t="shared" ref="O206:O207" si="595">1.5*K206</f>
        <v>47.7</v>
      </c>
      <c r="P206" s="7">
        <f t="shared" si="592"/>
        <v>43.8</v>
      </c>
      <c r="Q206" s="7">
        <f t="shared" si="567"/>
        <v>269</v>
      </c>
      <c r="R206" s="7">
        <v>2</v>
      </c>
      <c r="S206" s="7">
        <f t="shared" si="568"/>
        <v>84.8</v>
      </c>
      <c r="T206" s="7">
        <f t="shared" si="475"/>
        <v>2</v>
      </c>
      <c r="U206" s="7">
        <f t="shared" si="459"/>
        <v>2</v>
      </c>
      <c r="V206" s="7">
        <f t="shared" si="472"/>
        <v>4</v>
      </c>
      <c r="W206" s="7">
        <f t="shared" si="472"/>
        <v>4</v>
      </c>
      <c r="X206" s="7">
        <f t="shared" si="431"/>
        <v>5</v>
      </c>
      <c r="Y206" s="7">
        <f t="shared" si="552"/>
        <v>71.106961684493314</v>
      </c>
      <c r="Z206" s="7">
        <f t="shared" si="461"/>
        <v>649</v>
      </c>
      <c r="AA206" s="7">
        <v>11</v>
      </c>
      <c r="AB206" s="7">
        <f>(741+710)/2</f>
        <v>725.5</v>
      </c>
      <c r="AC206" s="7"/>
      <c r="AD206" s="4">
        <f t="shared" si="476"/>
        <v>1.0122350649057119</v>
      </c>
      <c r="AE206" s="7"/>
      <c r="AF206" s="7"/>
      <c r="AG206" s="7">
        <v>1</v>
      </c>
      <c r="AH206" s="7"/>
      <c r="AI206" s="7"/>
      <c r="AJ206" s="7">
        <f t="shared" si="473"/>
        <v>1.2686170212765957</v>
      </c>
      <c r="AK206" s="4">
        <f t="shared" si="569"/>
        <v>127.2</v>
      </c>
      <c r="AL206" s="4">
        <f t="shared" si="505"/>
        <v>1.1215932914046123</v>
      </c>
      <c r="AM206" s="4">
        <f t="shared" si="506"/>
        <v>102.93453939452981</v>
      </c>
      <c r="AN206" s="4">
        <f t="shared" si="507"/>
        <v>0.79999999999999993</v>
      </c>
      <c r="AO206" s="4">
        <v>1.25</v>
      </c>
      <c r="AP206" s="47">
        <f t="shared" si="574"/>
        <v>5</v>
      </c>
      <c r="AQ206" s="38">
        <f t="shared" si="509"/>
        <v>577.25344419364194</v>
      </c>
      <c r="AR206" s="38">
        <f t="shared" si="510"/>
        <v>577.25344419364194</v>
      </c>
      <c r="AS206" s="38">
        <f t="shared" si="511"/>
        <v>5.7111767066521422</v>
      </c>
      <c r="AT206" s="38">
        <f t="shared" si="450"/>
        <v>577.25344419364239</v>
      </c>
      <c r="AU206" s="38">
        <f t="shared" si="400"/>
        <v>0.99999999999999922</v>
      </c>
      <c r="AV206" s="38">
        <f t="shared" si="537"/>
        <v>1.8002491114654926</v>
      </c>
      <c r="AW206" s="4">
        <f t="shared" si="529"/>
        <v>0</v>
      </c>
      <c r="AX206" s="4">
        <f t="shared" si="570"/>
        <v>239.94459194200661</v>
      </c>
      <c r="AY206" s="4">
        <f t="shared" si="571"/>
        <v>1</v>
      </c>
      <c r="AZ206" s="38">
        <f t="shared" si="438"/>
        <v>1039.2</v>
      </c>
      <c r="BA206" s="4">
        <f t="shared" si="572"/>
        <v>0.44000000000000006</v>
      </c>
      <c r="BB206" s="4">
        <f t="shared" si="401"/>
        <v>55.163261687467333</v>
      </c>
      <c r="BC206" s="4">
        <f t="shared" si="402"/>
        <v>1094.3632616874675</v>
      </c>
      <c r="BE206" s="4">
        <f t="shared" si="451"/>
        <v>1.125</v>
      </c>
      <c r="BF206" s="4">
        <f t="shared" si="452"/>
        <v>538.5256435398411</v>
      </c>
      <c r="BH206" s="4">
        <f t="shared" si="463"/>
        <v>996.71988587880821</v>
      </c>
      <c r="BI206" s="4">
        <f t="shared" si="464"/>
        <v>711.96329095823319</v>
      </c>
      <c r="BJ206" s="4">
        <f t="shared" si="465"/>
        <v>0.71430629713030647</v>
      </c>
      <c r="BR206" s="4">
        <f t="shared" si="539"/>
        <v>47.7</v>
      </c>
      <c r="BV206" s="9"/>
      <c r="BX206" s="9"/>
      <c r="BY206" s="9"/>
      <c r="BZ206" s="9">
        <f t="shared" si="577"/>
        <v>43.8</v>
      </c>
      <c r="CA206" s="9">
        <f t="shared" si="578"/>
        <v>134.5</v>
      </c>
      <c r="CB206" s="9">
        <f t="shared" si="403"/>
        <v>1.3887073091970812</v>
      </c>
      <c r="CC206" s="9">
        <v>0</v>
      </c>
      <c r="CD206" s="9">
        <f t="shared" si="518"/>
        <v>0</v>
      </c>
      <c r="CE206" s="9">
        <f t="shared" si="404"/>
        <v>0</v>
      </c>
      <c r="CF206" s="9">
        <f t="shared" si="579"/>
        <v>0.93036607665491811</v>
      </c>
      <c r="CG206" s="9">
        <f t="shared" si="580"/>
        <v>0.80099999999999993</v>
      </c>
      <c r="CH206" s="9">
        <f t="shared" si="405"/>
        <v>2.9727542082721463</v>
      </c>
      <c r="CI206" s="9">
        <f t="shared" si="406"/>
        <v>4.1282854974739118</v>
      </c>
      <c r="CJ206" s="9">
        <v>1</v>
      </c>
      <c r="CK206" s="9">
        <f t="shared" si="407"/>
        <v>313.74969780801729</v>
      </c>
      <c r="CM206" s="4">
        <f t="shared" si="477"/>
        <v>3.0236147192488074</v>
      </c>
      <c r="CN206" s="4">
        <f t="shared" si="478"/>
        <v>0.66294257619842423</v>
      </c>
      <c r="CO206" s="4">
        <f t="shared" si="479"/>
        <v>1.3471967560005826</v>
      </c>
      <c r="CP206" s="4">
        <f t="shared" si="480"/>
        <v>2.3123528247792344</v>
      </c>
      <c r="CQ206" s="44">
        <f t="shared" si="481"/>
        <v>1.0122350649057119</v>
      </c>
      <c r="CR206" s="4">
        <f t="shared" si="482"/>
        <v>1.0396608877230671</v>
      </c>
      <c r="CS206" s="4">
        <f t="shared" si="483"/>
        <v>3.7678109166826239</v>
      </c>
      <c r="CU206" s="4">
        <f t="shared" si="593"/>
        <v>3.0236147192488074</v>
      </c>
      <c r="CV206" s="4">
        <f t="shared" si="593"/>
        <v>0.66294257619842423</v>
      </c>
      <c r="CW206" s="4">
        <f t="shared" si="562"/>
        <v>2.3123528247792344</v>
      </c>
      <c r="CX206" s="4">
        <f t="shared" si="589"/>
        <v>3.7678109166826239</v>
      </c>
      <c r="CY206" s="4">
        <f t="shared" si="594"/>
        <v>1.0122350649057119</v>
      </c>
      <c r="CZ206" s="4">
        <f t="shared" si="594"/>
        <v>1.0396608877230671</v>
      </c>
      <c r="DH206" s="4">
        <f t="shared" si="557"/>
        <v>0</v>
      </c>
      <c r="DI206" s="4">
        <f t="shared" si="453"/>
        <v>127.2</v>
      </c>
      <c r="DL206" s="4">
        <f t="shared" si="485"/>
        <v>1.3307058507295954E-5</v>
      </c>
      <c r="DM206" s="4">
        <f t="shared" si="558"/>
        <v>11.596152843353764</v>
      </c>
      <c r="DN206" s="4">
        <f t="shared" si="486"/>
        <v>0.30738055417156512</v>
      </c>
      <c r="DO206" s="4">
        <f t="shared" si="487"/>
        <v>7.2340996459405771</v>
      </c>
      <c r="DP206" s="4">
        <f t="shared" si="488"/>
        <v>9.6657193846819744</v>
      </c>
      <c r="DQ206" s="4">
        <f t="shared" si="489"/>
        <v>11.309436008935599</v>
      </c>
      <c r="DR206" s="38">
        <f t="shared" si="513"/>
        <v>716.73075272054439</v>
      </c>
      <c r="DS206" s="4">
        <f t="shared" si="411"/>
        <v>1.0000673124475594</v>
      </c>
      <c r="DT206" s="4">
        <f t="shared" si="490"/>
        <v>2.2360679774997898</v>
      </c>
      <c r="DU206" s="4">
        <f t="shared" si="441"/>
        <v>577.25344419364239</v>
      </c>
      <c r="DY206" s="4">
        <f t="shared" si="581"/>
        <v>0.85</v>
      </c>
      <c r="DZ206" s="4">
        <f t="shared" si="412"/>
        <v>0.95</v>
      </c>
      <c r="EA206" s="4">
        <f t="shared" si="514"/>
        <v>1</v>
      </c>
      <c r="EB206" s="4">
        <f t="shared" si="414"/>
        <v>0.95</v>
      </c>
      <c r="ED206" s="4">
        <f t="shared" si="515"/>
        <v>697.82369286671712</v>
      </c>
      <c r="EE206" s="25">
        <f t="shared" si="573"/>
        <v>558.66985874647196</v>
      </c>
      <c r="EH206" s="4">
        <f t="shared" si="517"/>
        <v>11.596152843353764</v>
      </c>
      <c r="EK206" s="4">
        <f t="shared" si="491"/>
        <v>71.106961684493314</v>
      </c>
      <c r="EL206" s="4">
        <f t="shared" si="492"/>
        <v>2.2360679774997898</v>
      </c>
      <c r="EM206" s="4">
        <f t="shared" si="493"/>
        <v>0.19156502921061311</v>
      </c>
      <c r="EP206" s="4">
        <f t="shared" si="541"/>
        <v>0.19156502921061311</v>
      </c>
      <c r="EQ206" s="4">
        <f t="shared" si="542"/>
        <v>0.30686759331460051</v>
      </c>
      <c r="ER206" s="4">
        <f t="shared" si="559"/>
        <v>7.2292682805809623</v>
      </c>
      <c r="ES206" s="4">
        <f t="shared" si="582"/>
        <v>9.6639180482033353</v>
      </c>
      <c r="ET206" s="4">
        <f t="shared" si="560"/>
        <v>24.293038315506692</v>
      </c>
      <c r="EU206" s="4">
        <f t="shared" si="561"/>
        <v>31.799999999999997</v>
      </c>
      <c r="EV206" s="4">
        <f t="shared" si="415"/>
        <v>1.330705850729595E-5</v>
      </c>
      <c r="EW206" s="4">
        <f t="shared" si="583"/>
        <v>11.309554955437452</v>
      </c>
      <c r="EX206" s="4">
        <f t="shared" si="466"/>
        <v>716.68251106660148</v>
      </c>
      <c r="FG206" s="23">
        <f t="shared" si="563"/>
        <v>2.2000000000000002</v>
      </c>
      <c r="FH206" s="23">
        <f t="shared" si="563"/>
        <v>0.8</v>
      </c>
      <c r="FI206" s="23">
        <f t="shared" si="495"/>
        <v>2.2000000000000002</v>
      </c>
      <c r="FJ206" s="23">
        <f t="shared" si="564"/>
        <v>2.2000000000000002</v>
      </c>
      <c r="FK206" s="23">
        <f t="shared" si="564"/>
        <v>1.2</v>
      </c>
      <c r="FL206" s="23">
        <f t="shared" si="564"/>
        <v>1.2</v>
      </c>
      <c r="FM206" s="23">
        <f t="shared" si="497"/>
        <v>0</v>
      </c>
      <c r="FN206" s="23"/>
      <c r="FX206" s="4">
        <f t="shared" si="416"/>
        <v>1.25</v>
      </c>
      <c r="FY206" s="4">
        <f t="shared" si="469"/>
        <v>0.5</v>
      </c>
      <c r="FZ206" s="4">
        <f t="shared" si="417"/>
        <v>0</v>
      </c>
      <c r="GA206" s="4">
        <f t="shared" si="418"/>
        <v>192.55212537012548</v>
      </c>
    </row>
    <row r="207" spans="1:183" ht="12" customHeight="1" x14ac:dyDescent="0.3">
      <c r="A207" s="25">
        <v>189</v>
      </c>
      <c r="B207" s="24" t="s">
        <v>128</v>
      </c>
      <c r="C207" s="24">
        <v>2017</v>
      </c>
      <c r="D207" s="24" t="s">
        <v>309</v>
      </c>
      <c r="E207" s="24"/>
      <c r="F207" s="4" t="s">
        <v>321</v>
      </c>
      <c r="G207" s="7">
        <v>649</v>
      </c>
      <c r="H207" s="7">
        <f t="shared" si="565"/>
        <v>127.2</v>
      </c>
      <c r="I207" s="7">
        <f t="shared" si="455"/>
        <v>127.2</v>
      </c>
      <c r="J207" s="7">
        <v>129.9</v>
      </c>
      <c r="K207" s="7">
        <v>31.8</v>
      </c>
      <c r="L207" s="7">
        <f t="shared" si="498"/>
        <v>4</v>
      </c>
      <c r="M207" s="7">
        <f t="shared" si="499"/>
        <v>4</v>
      </c>
      <c r="N207" s="7">
        <v>428</v>
      </c>
      <c r="O207" s="7">
        <f t="shared" si="595"/>
        <v>47.7</v>
      </c>
      <c r="P207" s="7">
        <f t="shared" si="592"/>
        <v>43.8</v>
      </c>
      <c r="Q207" s="7">
        <f t="shared" si="567"/>
        <v>269</v>
      </c>
      <c r="R207" s="7">
        <v>2</v>
      </c>
      <c r="S207" s="7">
        <f t="shared" si="568"/>
        <v>84.8</v>
      </c>
      <c r="T207" s="7">
        <f t="shared" si="475"/>
        <v>2</v>
      </c>
      <c r="U207" s="7">
        <f t="shared" si="459"/>
        <v>2</v>
      </c>
      <c r="V207" s="7">
        <f t="shared" si="472"/>
        <v>4</v>
      </c>
      <c r="W207" s="7">
        <f t="shared" si="472"/>
        <v>4</v>
      </c>
      <c r="X207" s="7">
        <f t="shared" si="431"/>
        <v>5</v>
      </c>
      <c r="Y207" s="7">
        <f t="shared" si="552"/>
        <v>71.106961684493314</v>
      </c>
      <c r="Z207" s="7">
        <f t="shared" si="461"/>
        <v>649</v>
      </c>
      <c r="AA207" s="7">
        <v>11</v>
      </c>
      <c r="AB207" s="7">
        <f>(728+714)/2</f>
        <v>721</v>
      </c>
      <c r="AC207" s="7"/>
      <c r="AD207" s="4">
        <f t="shared" si="476"/>
        <v>1.0059565565775579</v>
      </c>
      <c r="AE207" s="7"/>
      <c r="AF207" s="7"/>
      <c r="AG207" s="7">
        <v>1</v>
      </c>
      <c r="AH207" s="7"/>
      <c r="AI207" s="7"/>
      <c r="AJ207" s="7">
        <f t="shared" si="473"/>
        <v>1.2686170212765957</v>
      </c>
      <c r="AK207" s="4">
        <f t="shared" si="569"/>
        <v>127.2</v>
      </c>
      <c r="AL207" s="4">
        <f t="shared" si="505"/>
        <v>1.1215932914046123</v>
      </c>
      <c r="AM207" s="4">
        <f t="shared" si="506"/>
        <v>102.93453939452981</v>
      </c>
      <c r="AN207" s="4">
        <f t="shared" si="507"/>
        <v>0.79999999999999993</v>
      </c>
      <c r="AO207" s="4">
        <v>1.25</v>
      </c>
      <c r="AP207" s="47">
        <f t="shared" si="574"/>
        <v>5</v>
      </c>
      <c r="AQ207" s="38">
        <f t="shared" si="509"/>
        <v>577.25344419364194</v>
      </c>
      <c r="AR207" s="38">
        <f t="shared" si="510"/>
        <v>577.25344419364194</v>
      </c>
      <c r="AS207" s="38">
        <f t="shared" si="511"/>
        <v>5.7111767066521422</v>
      </c>
      <c r="AT207" s="38">
        <f t="shared" si="450"/>
        <v>577.25344419364239</v>
      </c>
      <c r="AU207" s="38">
        <f t="shared" si="400"/>
        <v>0.99999999999999922</v>
      </c>
      <c r="AV207" s="38">
        <f t="shared" si="537"/>
        <v>1.8002491114654926</v>
      </c>
      <c r="AW207" s="4">
        <f t="shared" si="529"/>
        <v>0</v>
      </c>
      <c r="AX207" s="4">
        <f t="shared" si="570"/>
        <v>239.94459194200661</v>
      </c>
      <c r="AY207" s="4">
        <f t="shared" si="571"/>
        <v>1</v>
      </c>
      <c r="AZ207" s="38">
        <f t="shared" si="438"/>
        <v>1039.2</v>
      </c>
      <c r="BA207" s="4">
        <f t="shared" si="572"/>
        <v>0.44000000000000006</v>
      </c>
      <c r="BB207" s="4">
        <f t="shared" si="401"/>
        <v>55.163261687467333</v>
      </c>
      <c r="BC207" s="4">
        <f t="shared" si="402"/>
        <v>1094.3632616874675</v>
      </c>
      <c r="BE207" s="4">
        <f t="shared" si="451"/>
        <v>1.125</v>
      </c>
      <c r="BF207" s="4">
        <f t="shared" si="452"/>
        <v>538.5256435398411</v>
      </c>
      <c r="BH207" s="4">
        <f t="shared" si="463"/>
        <v>996.71988587880821</v>
      </c>
      <c r="BI207" s="4">
        <f t="shared" si="464"/>
        <v>711.96329095823319</v>
      </c>
      <c r="BJ207" s="4">
        <f t="shared" si="465"/>
        <v>0.71430629713030647</v>
      </c>
      <c r="BR207" s="4">
        <f t="shared" si="539"/>
        <v>47.7</v>
      </c>
      <c r="BV207" s="9"/>
      <c r="BX207" s="9"/>
      <c r="BY207" s="9"/>
      <c r="BZ207" s="9">
        <f t="shared" si="577"/>
        <v>43.8</v>
      </c>
      <c r="CA207" s="9">
        <f t="shared" si="578"/>
        <v>134.5</v>
      </c>
      <c r="CB207" s="9">
        <f t="shared" si="403"/>
        <v>1.3887073091970812</v>
      </c>
      <c r="CC207" s="9">
        <v>0</v>
      </c>
      <c r="CD207" s="9">
        <f t="shared" si="518"/>
        <v>0</v>
      </c>
      <c r="CE207" s="9">
        <f t="shared" si="404"/>
        <v>0</v>
      </c>
      <c r="CF207" s="9">
        <f t="shared" si="579"/>
        <v>0.93036607665491811</v>
      </c>
      <c r="CG207" s="9">
        <f t="shared" si="580"/>
        <v>0.80099999999999993</v>
      </c>
      <c r="CH207" s="9">
        <f t="shared" si="405"/>
        <v>2.9727542082721463</v>
      </c>
      <c r="CI207" s="9">
        <f t="shared" si="406"/>
        <v>4.1282854974739118</v>
      </c>
      <c r="CJ207" s="9">
        <v>1</v>
      </c>
      <c r="CK207" s="9">
        <f t="shared" si="407"/>
        <v>313.74969780801729</v>
      </c>
      <c r="CM207" s="4">
        <f t="shared" si="477"/>
        <v>3.0048603894946799</v>
      </c>
      <c r="CN207" s="4">
        <f t="shared" si="478"/>
        <v>0.65883059605660077</v>
      </c>
      <c r="CO207" s="4">
        <f t="shared" si="479"/>
        <v>1.3388406079619848</v>
      </c>
      <c r="CP207" s="4">
        <f t="shared" si="480"/>
        <v>2.2980101814828782</v>
      </c>
      <c r="CQ207" s="44">
        <f t="shared" si="481"/>
        <v>1.0059565565775579</v>
      </c>
      <c r="CR207" s="4">
        <f t="shared" si="482"/>
        <v>1.0332122674684099</v>
      </c>
      <c r="CS207" s="4">
        <f t="shared" si="483"/>
        <v>3.7444406215412429</v>
      </c>
      <c r="CU207" s="4">
        <f t="shared" si="593"/>
        <v>3.0048603894946799</v>
      </c>
      <c r="CV207" s="4">
        <f t="shared" si="593"/>
        <v>0.65883059605660077</v>
      </c>
      <c r="CW207" s="4">
        <f t="shared" si="562"/>
        <v>2.2980101814828782</v>
      </c>
      <c r="CX207" s="4">
        <f t="shared" si="589"/>
        <v>3.7444406215412429</v>
      </c>
      <c r="CY207" s="4">
        <f t="shared" si="594"/>
        <v>1.0059565565775579</v>
      </c>
      <c r="CZ207" s="4">
        <f t="shared" si="594"/>
        <v>1.0332122674684099</v>
      </c>
      <c r="DH207" s="4">
        <f t="shared" si="557"/>
        <v>0</v>
      </c>
      <c r="DI207" s="4">
        <f t="shared" si="453"/>
        <v>127.2</v>
      </c>
      <c r="DL207" s="4">
        <f t="shared" si="485"/>
        <v>1.3307058507295954E-5</v>
      </c>
      <c r="DM207" s="4">
        <f t="shared" si="558"/>
        <v>11.596152843353764</v>
      </c>
      <c r="DN207" s="4">
        <f t="shared" si="486"/>
        <v>0.30738055417156512</v>
      </c>
      <c r="DO207" s="4">
        <f t="shared" si="487"/>
        <v>7.2340996459405771</v>
      </c>
      <c r="DP207" s="4">
        <f t="shared" si="488"/>
        <v>9.6657193846819744</v>
      </c>
      <c r="DQ207" s="4">
        <f t="shared" si="489"/>
        <v>11.309436008935599</v>
      </c>
      <c r="DR207" s="38">
        <f t="shared" si="513"/>
        <v>716.73075272054439</v>
      </c>
      <c r="DS207" s="4">
        <f t="shared" si="411"/>
        <v>1.0000673124475594</v>
      </c>
      <c r="DT207" s="4">
        <f t="shared" si="490"/>
        <v>2.2360679774997898</v>
      </c>
      <c r="DU207" s="4">
        <f t="shared" si="441"/>
        <v>577.25344419364239</v>
      </c>
      <c r="DY207" s="4">
        <f t="shared" si="581"/>
        <v>0.85</v>
      </c>
      <c r="DZ207" s="4">
        <f t="shared" si="412"/>
        <v>0.95</v>
      </c>
      <c r="EA207" s="4">
        <f t="shared" si="514"/>
        <v>1</v>
      </c>
      <c r="EB207" s="4">
        <f t="shared" si="414"/>
        <v>0.95</v>
      </c>
      <c r="ED207" s="4">
        <f t="shared" si="515"/>
        <v>697.82369286671712</v>
      </c>
      <c r="EE207" s="25">
        <f t="shared" si="573"/>
        <v>558.66985874647196</v>
      </c>
      <c r="EH207" s="4">
        <f t="shared" si="517"/>
        <v>11.596152843353764</v>
      </c>
      <c r="EK207" s="4">
        <f t="shared" si="491"/>
        <v>71.106961684493314</v>
      </c>
      <c r="EL207" s="4">
        <f t="shared" si="492"/>
        <v>2.2360679774997898</v>
      </c>
      <c r="EM207" s="4">
        <f t="shared" si="493"/>
        <v>0.19156502921061311</v>
      </c>
      <c r="EP207" s="4">
        <f t="shared" si="541"/>
        <v>0.19156502921061311</v>
      </c>
      <c r="EQ207" s="4">
        <f t="shared" si="542"/>
        <v>0.30686759331460051</v>
      </c>
      <c r="ER207" s="4">
        <f t="shared" si="559"/>
        <v>7.2292682805809623</v>
      </c>
      <c r="ES207" s="4">
        <f t="shared" si="582"/>
        <v>9.6639180482033353</v>
      </c>
      <c r="ET207" s="4">
        <f t="shared" si="560"/>
        <v>24.293038315506692</v>
      </c>
      <c r="EU207" s="4">
        <f t="shared" si="561"/>
        <v>31.799999999999997</v>
      </c>
      <c r="EV207" s="4">
        <f t="shared" si="415"/>
        <v>1.330705850729595E-5</v>
      </c>
      <c r="EW207" s="4">
        <f t="shared" si="583"/>
        <v>11.309554955437452</v>
      </c>
      <c r="EX207" s="4">
        <f t="shared" si="466"/>
        <v>716.68251106660148</v>
      </c>
      <c r="FG207" s="23">
        <f t="shared" si="563"/>
        <v>2.2000000000000002</v>
      </c>
      <c r="FH207" s="23">
        <f t="shared" si="563"/>
        <v>0.8</v>
      </c>
      <c r="FI207" s="23">
        <f t="shared" si="495"/>
        <v>2.2000000000000002</v>
      </c>
      <c r="FJ207" s="23">
        <f t="shared" si="564"/>
        <v>2.2000000000000002</v>
      </c>
      <c r="FK207" s="23">
        <f t="shared" si="564"/>
        <v>1.2</v>
      </c>
      <c r="FL207" s="23">
        <f t="shared" si="564"/>
        <v>1.2</v>
      </c>
      <c r="FM207" s="23">
        <f t="shared" si="497"/>
        <v>0</v>
      </c>
      <c r="FN207" s="23"/>
      <c r="FX207" s="4">
        <f t="shared" si="416"/>
        <v>1.25</v>
      </c>
      <c r="FY207" s="4">
        <f t="shared" si="469"/>
        <v>0.5</v>
      </c>
      <c r="FZ207" s="4">
        <f t="shared" si="417"/>
        <v>0</v>
      </c>
      <c r="GA207" s="4">
        <f t="shared" si="418"/>
        <v>192.55212537012548</v>
      </c>
    </row>
    <row r="208" spans="1:183" ht="12" customHeight="1" x14ac:dyDescent="0.3">
      <c r="A208" s="25">
        <v>190</v>
      </c>
      <c r="B208" s="24" t="s">
        <v>128</v>
      </c>
      <c r="C208" s="24">
        <v>2017</v>
      </c>
      <c r="D208" s="24" t="s">
        <v>309</v>
      </c>
      <c r="E208" s="24"/>
      <c r="F208" s="4" t="s">
        <v>322</v>
      </c>
      <c r="G208" s="7">
        <v>649</v>
      </c>
      <c r="H208" s="7">
        <f t="shared" si="565"/>
        <v>127.2</v>
      </c>
      <c r="I208" s="7">
        <f t="shared" si="455"/>
        <v>127.2</v>
      </c>
      <c r="J208" s="7">
        <v>129.9</v>
      </c>
      <c r="K208" s="7">
        <v>31.8</v>
      </c>
      <c r="L208" s="7">
        <f t="shared" si="498"/>
        <v>4</v>
      </c>
      <c r="M208" s="7">
        <f t="shared" si="499"/>
        <v>4</v>
      </c>
      <c r="N208" s="7">
        <v>396</v>
      </c>
      <c r="O208" s="7">
        <f t="shared" si="566"/>
        <v>31.8</v>
      </c>
      <c r="P208" s="7">
        <f t="shared" si="592"/>
        <v>43.8</v>
      </c>
      <c r="Q208" s="7">
        <f t="shared" si="567"/>
        <v>268.79999999999995</v>
      </c>
      <c r="R208" s="7">
        <v>2</v>
      </c>
      <c r="S208" s="7">
        <f t="shared" si="568"/>
        <v>84.8</v>
      </c>
      <c r="T208" s="7">
        <f t="shared" si="475"/>
        <v>1.5</v>
      </c>
      <c r="U208" s="7">
        <f t="shared" si="459"/>
        <v>1.5</v>
      </c>
      <c r="V208" s="7">
        <f t="shared" si="472"/>
        <v>4</v>
      </c>
      <c r="W208" s="7">
        <f t="shared" si="472"/>
        <v>4</v>
      </c>
      <c r="X208" s="7">
        <f t="shared" si="431"/>
        <v>5</v>
      </c>
      <c r="Y208" s="7">
        <f t="shared" si="552"/>
        <v>71.106961684493314</v>
      </c>
      <c r="Z208" s="7">
        <f t="shared" si="461"/>
        <v>649</v>
      </c>
      <c r="AA208" s="7">
        <v>11</v>
      </c>
      <c r="AB208" s="7">
        <f>(738+710)/2</f>
        <v>724</v>
      </c>
      <c r="AC208" s="7"/>
      <c r="AD208" s="4">
        <f t="shared" si="476"/>
        <v>1.0904414032234904</v>
      </c>
      <c r="AE208" s="7">
        <v>12.7</v>
      </c>
      <c r="AF208" s="7">
        <v>2</v>
      </c>
      <c r="AG208" s="7">
        <v>64</v>
      </c>
      <c r="AH208" s="7">
        <v>4</v>
      </c>
      <c r="AI208" s="7">
        <f t="shared" ref="AI208:AI209" si="596">AF208</f>
        <v>2</v>
      </c>
      <c r="AJ208" s="7">
        <f t="shared" si="473"/>
        <v>1.2694610778443116</v>
      </c>
      <c r="AK208" s="4">
        <f t="shared" si="569"/>
        <v>127.2</v>
      </c>
      <c r="AL208" s="4">
        <f t="shared" si="505"/>
        <v>1.0377358490566038</v>
      </c>
      <c r="AM208" s="4">
        <f t="shared" si="506"/>
        <v>102.93453939452981</v>
      </c>
      <c r="AN208" s="4">
        <f t="shared" si="507"/>
        <v>0.77499999999999991</v>
      </c>
      <c r="AO208" s="4">
        <v>1.25</v>
      </c>
      <c r="AP208" s="47">
        <f t="shared" si="574"/>
        <v>5</v>
      </c>
      <c r="AQ208" s="38">
        <f t="shared" si="509"/>
        <v>517.40386104856509</v>
      </c>
      <c r="AR208" s="38">
        <f t="shared" si="510"/>
        <v>517.40386104856509</v>
      </c>
      <c r="AS208" s="38">
        <f t="shared" si="511"/>
        <v>5.7111767066521422</v>
      </c>
      <c r="AT208" s="38">
        <f t="shared" si="450"/>
        <v>517.40386104856543</v>
      </c>
      <c r="AU208" s="38">
        <f t="shared" si="400"/>
        <v>0.99999999999999933</v>
      </c>
      <c r="AV208" s="38">
        <f t="shared" si="537"/>
        <v>1.5063668029466883</v>
      </c>
      <c r="AW208" s="4">
        <f t="shared" si="529"/>
        <v>0</v>
      </c>
      <c r="AX208" s="4">
        <f t="shared" si="570"/>
        <v>239.94459194200661</v>
      </c>
      <c r="AY208" s="4">
        <f t="shared" si="571"/>
        <v>1</v>
      </c>
      <c r="AZ208" s="38">
        <f t="shared" si="438"/>
        <v>779.40000000000009</v>
      </c>
      <c r="BA208" s="4">
        <f t="shared" si="572"/>
        <v>0.44000000000000006</v>
      </c>
      <c r="BB208" s="4">
        <f t="shared" si="401"/>
        <v>55.163261687467333</v>
      </c>
      <c r="BC208" s="4">
        <f t="shared" si="402"/>
        <v>834.56326168746739</v>
      </c>
      <c r="BE208" s="4">
        <f t="shared" si="451"/>
        <v>1.4</v>
      </c>
      <c r="BF208" s="4">
        <f t="shared" si="452"/>
        <v>670.16524529402443</v>
      </c>
      <c r="BH208" s="4">
        <f t="shared" si="463"/>
        <v>747.53991440910613</v>
      </c>
      <c r="BI208" s="4">
        <f t="shared" si="464"/>
        <v>711.96329095823319</v>
      </c>
      <c r="BJ208" s="4">
        <f t="shared" si="465"/>
        <v>0.95240839617374207</v>
      </c>
      <c r="BR208" s="4">
        <f t="shared" si="539"/>
        <v>31.8</v>
      </c>
      <c r="BV208" s="9"/>
      <c r="BX208" s="9"/>
      <c r="BY208" s="9"/>
      <c r="BZ208" s="9">
        <f t="shared" si="577"/>
        <v>31.8</v>
      </c>
      <c r="CA208" s="9">
        <f t="shared" si="578"/>
        <v>134.39999999999998</v>
      </c>
      <c r="CB208" s="9">
        <f t="shared" si="403"/>
        <v>1.2413544982455165</v>
      </c>
      <c r="CC208" s="9">
        <v>20</v>
      </c>
      <c r="CD208" s="9">
        <f t="shared" si="518"/>
        <v>0.05</v>
      </c>
      <c r="CE208" s="9">
        <f t="shared" si="404"/>
        <v>0.8</v>
      </c>
      <c r="CF208" s="9">
        <f t="shared" si="579"/>
        <v>0.93036607665491811</v>
      </c>
      <c r="CG208" s="9">
        <f t="shared" si="580"/>
        <v>0.80099999999999993</v>
      </c>
      <c r="CH208" s="9">
        <f t="shared" si="405"/>
        <v>2.9727542082721463</v>
      </c>
      <c r="CI208" s="9">
        <f t="shared" si="406"/>
        <v>6.0684451752346353</v>
      </c>
      <c r="CJ208" s="9">
        <v>1</v>
      </c>
      <c r="CK208" s="9">
        <f t="shared" si="407"/>
        <v>461.20183331783232</v>
      </c>
      <c r="CM208" s="4">
        <f t="shared" si="477"/>
        <v>3.0173632759974316</v>
      </c>
      <c r="CN208" s="4">
        <f t="shared" si="478"/>
        <v>0.86751961563235958</v>
      </c>
      <c r="CO208" s="4">
        <f t="shared" si="479"/>
        <v>1.0803305678472723</v>
      </c>
      <c r="CP208" s="4">
        <f t="shared" si="480"/>
        <v>1.5698116262713619</v>
      </c>
      <c r="CQ208" s="44">
        <f t="shared" si="481"/>
        <v>1.0904414032234904</v>
      </c>
      <c r="CR208" s="4">
        <f t="shared" si="482"/>
        <v>1.1141268495754608</v>
      </c>
      <c r="CS208" s="4">
        <f t="shared" si="483"/>
        <v>3.0790396611328834</v>
      </c>
      <c r="DA208" s="4">
        <f t="shared" si="585"/>
        <v>3.0173632759974316</v>
      </c>
      <c r="DB208" s="4">
        <f t="shared" si="585"/>
        <v>0.86751961563235958</v>
      </c>
      <c r="DC208" s="4">
        <f t="shared" si="586"/>
        <v>1.5698116262713619</v>
      </c>
      <c r="DD208" s="4">
        <f t="shared" ref="DD208:DD209" si="597">CS208</f>
        <v>3.0790396611328834</v>
      </c>
      <c r="DE208" s="4">
        <f t="shared" si="588"/>
        <v>1.0904414032234904</v>
      </c>
      <c r="DF208" s="4">
        <f t="shared" si="588"/>
        <v>1.1141268495754608</v>
      </c>
      <c r="DH208" s="4">
        <f t="shared" si="557"/>
        <v>2</v>
      </c>
      <c r="DI208" s="4">
        <f t="shared" si="453"/>
        <v>127.2</v>
      </c>
      <c r="DL208" s="4">
        <f t="shared" si="485"/>
        <v>1.3307058507295954E-5</v>
      </c>
      <c r="DM208" s="4">
        <f t="shared" si="558"/>
        <v>12.467523847691927</v>
      </c>
      <c r="DN208" s="4">
        <f t="shared" si="486"/>
        <v>0.2755113670422118</v>
      </c>
      <c r="DO208" s="4">
        <f t="shared" si="487"/>
        <v>7.4445082625647387</v>
      </c>
      <c r="DP208" s="4">
        <f t="shared" si="488"/>
        <v>10.269782738037188</v>
      </c>
      <c r="DQ208" s="4">
        <f t="shared" si="489"/>
        <v>12.145020230488436</v>
      </c>
      <c r="DR208" s="38">
        <f t="shared" si="513"/>
        <v>663.95131169795957</v>
      </c>
      <c r="DS208" s="4">
        <f t="shared" si="411"/>
        <v>1.000074447522397</v>
      </c>
      <c r="DT208" s="4">
        <f t="shared" si="490"/>
        <v>2.2360679774997898</v>
      </c>
      <c r="DU208" s="4">
        <f t="shared" si="441"/>
        <v>517.40386104856543</v>
      </c>
      <c r="DY208" s="4">
        <f t="shared" si="581"/>
        <v>0.85</v>
      </c>
      <c r="DZ208" s="4">
        <f t="shared" si="412"/>
        <v>1</v>
      </c>
      <c r="EA208" s="4">
        <f t="shared" si="514"/>
        <v>0.88360329892013767</v>
      </c>
      <c r="EB208" s="4">
        <f t="shared" si="414"/>
        <v>0.88360329892013767</v>
      </c>
      <c r="ED208" s="4">
        <f t="shared" si="515"/>
        <v>649.83623747680167</v>
      </c>
      <c r="EE208" s="25">
        <f t="shared" si="573"/>
        <v>500.22595130449861</v>
      </c>
      <c r="EH208" s="4">
        <f t="shared" si="517"/>
        <v>12.467523847691927</v>
      </c>
      <c r="EK208" s="4">
        <f t="shared" si="491"/>
        <v>71.106961684493314</v>
      </c>
      <c r="EL208" s="4">
        <f t="shared" si="492"/>
        <v>2.2360679774997898</v>
      </c>
      <c r="EM208" s="4">
        <f t="shared" si="493"/>
        <v>0.17170358488533044</v>
      </c>
      <c r="EP208" s="4">
        <f t="shared" si="541"/>
        <v>0.17170358488533044</v>
      </c>
      <c r="EQ208" s="4">
        <f t="shared" si="542"/>
        <v>0.27505158991895695</v>
      </c>
      <c r="ER208" s="4">
        <f t="shared" si="559"/>
        <v>7.43953637371893</v>
      </c>
      <c r="ES208" s="4">
        <f t="shared" si="582"/>
        <v>10.267989314750604</v>
      </c>
      <c r="ET208" s="4">
        <f t="shared" si="560"/>
        <v>24.293038315506692</v>
      </c>
      <c r="EU208" s="4">
        <f t="shared" si="561"/>
        <v>31.799999999999997</v>
      </c>
      <c r="EV208" s="4">
        <f t="shared" si="415"/>
        <v>1.330705850729595E-5</v>
      </c>
      <c r="EW208" s="4">
        <f t="shared" si="583"/>
        <v>12.145151302773725</v>
      </c>
      <c r="EX208" s="4">
        <f t="shared" si="466"/>
        <v>663.90188584744351</v>
      </c>
      <c r="FG208" s="23">
        <f t="shared" si="563"/>
        <v>2.2000000000000002</v>
      </c>
      <c r="FH208" s="23">
        <f t="shared" si="563"/>
        <v>1</v>
      </c>
      <c r="FI208" s="23">
        <f t="shared" si="495"/>
        <v>2.2000000000000002</v>
      </c>
      <c r="FJ208" s="23">
        <f t="shared" si="564"/>
        <v>1.6</v>
      </c>
      <c r="FK208" s="23">
        <f t="shared" si="564"/>
        <v>1.2</v>
      </c>
      <c r="FL208" s="23">
        <f t="shared" si="564"/>
        <v>1.2</v>
      </c>
      <c r="FM208" s="23">
        <f t="shared" si="497"/>
        <v>0</v>
      </c>
      <c r="FN208" s="23"/>
      <c r="FX208" s="4">
        <f t="shared" si="416"/>
        <v>1.25</v>
      </c>
      <c r="FY208" s="4">
        <f t="shared" si="469"/>
        <v>0.40944449644340308</v>
      </c>
      <c r="FZ208" s="4">
        <f t="shared" si="417"/>
        <v>0.3</v>
      </c>
      <c r="GA208" s="4">
        <f t="shared" si="418"/>
        <v>235.13825077966541</v>
      </c>
    </row>
    <row r="209" spans="1:183" ht="12" customHeight="1" x14ac:dyDescent="0.3">
      <c r="A209" s="25">
        <v>191</v>
      </c>
      <c r="B209" s="24" t="s">
        <v>128</v>
      </c>
      <c r="C209" s="24">
        <v>2017</v>
      </c>
      <c r="D209" s="24" t="s">
        <v>309</v>
      </c>
      <c r="E209" s="24"/>
      <c r="F209" s="4" t="s">
        <v>323</v>
      </c>
      <c r="G209" s="7">
        <v>649</v>
      </c>
      <c r="H209" s="7">
        <f t="shared" si="565"/>
        <v>127.2</v>
      </c>
      <c r="I209" s="7">
        <f t="shared" si="455"/>
        <v>127.2</v>
      </c>
      <c r="J209" s="7">
        <v>129.9</v>
      </c>
      <c r="K209" s="7">
        <v>31.8</v>
      </c>
      <c r="L209" s="7">
        <f t="shared" si="498"/>
        <v>4</v>
      </c>
      <c r="M209" s="7">
        <f t="shared" si="499"/>
        <v>4</v>
      </c>
      <c r="N209" s="7">
        <v>396</v>
      </c>
      <c r="O209" s="7">
        <f t="shared" si="566"/>
        <v>31.8</v>
      </c>
      <c r="P209" s="7">
        <f t="shared" si="592"/>
        <v>43.8</v>
      </c>
      <c r="Q209" s="7">
        <f t="shared" si="567"/>
        <v>268.79999999999995</v>
      </c>
      <c r="R209" s="7">
        <v>2</v>
      </c>
      <c r="S209" s="7">
        <f t="shared" si="568"/>
        <v>84.8</v>
      </c>
      <c r="T209" s="7">
        <f t="shared" si="475"/>
        <v>1.5</v>
      </c>
      <c r="U209" s="7">
        <f t="shared" si="459"/>
        <v>1.5</v>
      </c>
      <c r="V209" s="7">
        <f t="shared" si="472"/>
        <v>4</v>
      </c>
      <c r="W209" s="7">
        <f t="shared" si="472"/>
        <v>4</v>
      </c>
      <c r="X209" s="7">
        <f t="shared" si="431"/>
        <v>5</v>
      </c>
      <c r="Y209" s="7">
        <f t="shared" si="552"/>
        <v>71.106961684493314</v>
      </c>
      <c r="Z209" s="7">
        <f t="shared" si="461"/>
        <v>649</v>
      </c>
      <c r="AA209" s="7">
        <v>11</v>
      </c>
      <c r="AB209" s="7">
        <f>(732+713)/2</f>
        <v>722.5</v>
      </c>
      <c r="AC209" s="7"/>
      <c r="AD209" s="4">
        <f t="shared" si="476"/>
        <v>1.0881822014212317</v>
      </c>
      <c r="AE209" s="7">
        <v>12.7</v>
      </c>
      <c r="AF209" s="7">
        <v>2</v>
      </c>
      <c r="AG209" s="7">
        <v>64</v>
      </c>
      <c r="AH209" s="7">
        <v>4</v>
      </c>
      <c r="AI209" s="7">
        <f t="shared" si="596"/>
        <v>2</v>
      </c>
      <c r="AJ209" s="7">
        <f t="shared" si="473"/>
        <v>1.2694610778443116</v>
      </c>
      <c r="AK209" s="4">
        <f t="shared" si="569"/>
        <v>127.2</v>
      </c>
      <c r="AL209" s="4">
        <f t="shared" si="505"/>
        <v>1.0377358490566038</v>
      </c>
      <c r="AM209" s="4">
        <f t="shared" si="506"/>
        <v>102.93453939452981</v>
      </c>
      <c r="AN209" s="4">
        <f t="shared" si="507"/>
        <v>0.77499999999999991</v>
      </c>
      <c r="AO209" s="4">
        <v>1.25</v>
      </c>
      <c r="AP209" s="47">
        <f t="shared" si="574"/>
        <v>5</v>
      </c>
      <c r="AQ209" s="38">
        <f t="shared" si="509"/>
        <v>517.40386104856509</v>
      </c>
      <c r="AR209" s="38">
        <f t="shared" si="510"/>
        <v>517.40386104856509</v>
      </c>
      <c r="AS209" s="38">
        <f t="shared" si="511"/>
        <v>5.7111767066521422</v>
      </c>
      <c r="AT209" s="38">
        <f t="shared" si="450"/>
        <v>517.40386104856543</v>
      </c>
      <c r="AU209" s="38">
        <f t="shared" si="400"/>
        <v>0.99999999999999933</v>
      </c>
      <c r="AV209" s="38">
        <f t="shared" si="537"/>
        <v>1.5063668029466883</v>
      </c>
      <c r="AW209" s="4">
        <f t="shared" si="529"/>
        <v>0</v>
      </c>
      <c r="AX209" s="4">
        <f t="shared" si="570"/>
        <v>239.94459194200661</v>
      </c>
      <c r="AY209" s="4">
        <f t="shared" si="571"/>
        <v>1</v>
      </c>
      <c r="AZ209" s="38">
        <f t="shared" si="438"/>
        <v>779.40000000000009</v>
      </c>
      <c r="BA209" s="4">
        <f t="shared" si="572"/>
        <v>0.44000000000000006</v>
      </c>
      <c r="BB209" s="4">
        <f t="shared" si="401"/>
        <v>55.163261687467333</v>
      </c>
      <c r="BC209" s="4">
        <f t="shared" si="402"/>
        <v>834.56326168746739</v>
      </c>
      <c r="BE209" s="4">
        <f t="shared" si="451"/>
        <v>1.4</v>
      </c>
      <c r="BF209" s="4">
        <f t="shared" si="452"/>
        <v>670.16524529402443</v>
      </c>
      <c r="BH209" s="4">
        <f t="shared" si="463"/>
        <v>747.53991440910613</v>
      </c>
      <c r="BI209" s="4">
        <f t="shared" si="464"/>
        <v>711.96329095823319</v>
      </c>
      <c r="BJ209" s="4">
        <f t="shared" si="465"/>
        <v>0.95240839617374207</v>
      </c>
      <c r="BR209" s="4">
        <f t="shared" si="539"/>
        <v>31.8</v>
      </c>
      <c r="BV209" s="9"/>
      <c r="BX209" s="9"/>
      <c r="BY209" s="9"/>
      <c r="BZ209" s="9">
        <f t="shared" si="577"/>
        <v>31.8</v>
      </c>
      <c r="CA209" s="9">
        <f t="shared" si="578"/>
        <v>134.39999999999998</v>
      </c>
      <c r="CB209" s="9">
        <f t="shared" si="403"/>
        <v>1.2413544982455165</v>
      </c>
      <c r="CC209" s="9">
        <v>20</v>
      </c>
      <c r="CD209" s="9">
        <f t="shared" si="518"/>
        <v>0.05</v>
      </c>
      <c r="CE209" s="9">
        <f t="shared" si="404"/>
        <v>0.8</v>
      </c>
      <c r="CF209" s="9">
        <f t="shared" si="579"/>
        <v>0.93036607665491811</v>
      </c>
      <c r="CG209" s="9">
        <f t="shared" si="580"/>
        <v>0.80099999999999993</v>
      </c>
      <c r="CH209" s="9">
        <f t="shared" si="405"/>
        <v>2.9727542082721463</v>
      </c>
      <c r="CI209" s="9">
        <f t="shared" si="406"/>
        <v>6.0684451752346353</v>
      </c>
      <c r="CJ209" s="9">
        <v>1</v>
      </c>
      <c r="CK209" s="9">
        <f t="shared" si="407"/>
        <v>461.20183331783232</v>
      </c>
      <c r="CM209" s="4">
        <f t="shared" si="477"/>
        <v>3.0111118327460558</v>
      </c>
      <c r="CN209" s="4">
        <f t="shared" si="478"/>
        <v>0.86572226836240296</v>
      </c>
      <c r="CO209" s="4">
        <f t="shared" si="479"/>
        <v>1.0780923139083622</v>
      </c>
      <c r="CP209" s="4">
        <f t="shared" si="480"/>
        <v>1.5665592541174849</v>
      </c>
      <c r="CQ209" s="44">
        <f t="shared" si="481"/>
        <v>1.0881822014212317</v>
      </c>
      <c r="CR209" s="4">
        <f t="shared" si="482"/>
        <v>1.111818575715843</v>
      </c>
      <c r="CS209" s="4">
        <f t="shared" si="483"/>
        <v>3.0726604353156195</v>
      </c>
      <c r="DA209" s="4">
        <f t="shared" si="585"/>
        <v>3.0111118327460558</v>
      </c>
      <c r="DB209" s="4">
        <f t="shared" si="585"/>
        <v>0.86572226836240296</v>
      </c>
      <c r="DC209" s="4">
        <f t="shared" si="586"/>
        <v>1.5665592541174849</v>
      </c>
      <c r="DD209" s="4">
        <f t="shared" si="597"/>
        <v>3.0726604353156195</v>
      </c>
      <c r="DE209" s="4">
        <f t="shared" si="588"/>
        <v>1.0881822014212317</v>
      </c>
      <c r="DF209" s="4">
        <f t="shared" si="588"/>
        <v>1.111818575715843</v>
      </c>
      <c r="DH209" s="4">
        <f t="shared" si="557"/>
        <v>2</v>
      </c>
      <c r="DI209" s="4">
        <f t="shared" si="453"/>
        <v>127.2</v>
      </c>
      <c r="DL209" s="4">
        <f t="shared" si="485"/>
        <v>1.3307058507295954E-5</v>
      </c>
      <c r="DM209" s="4">
        <f t="shared" si="558"/>
        <v>12.467523847691927</v>
      </c>
      <c r="DN209" s="4">
        <f t="shared" si="486"/>
        <v>0.2755113670422118</v>
      </c>
      <c r="DO209" s="4">
        <f t="shared" si="487"/>
        <v>7.4445082625647387</v>
      </c>
      <c r="DP209" s="4">
        <f t="shared" si="488"/>
        <v>10.269782738037188</v>
      </c>
      <c r="DQ209" s="4">
        <f t="shared" si="489"/>
        <v>12.145020230488436</v>
      </c>
      <c r="DR209" s="38">
        <f t="shared" si="513"/>
        <v>663.95131169795957</v>
      </c>
      <c r="DS209" s="4">
        <f t="shared" si="411"/>
        <v>1.000074447522397</v>
      </c>
      <c r="DT209" s="4">
        <f t="shared" si="490"/>
        <v>2.2360679774997898</v>
      </c>
      <c r="DU209" s="4">
        <f t="shared" si="441"/>
        <v>517.40386104856543</v>
      </c>
      <c r="DY209" s="4">
        <f t="shared" si="581"/>
        <v>0.85</v>
      </c>
      <c r="DZ209" s="4">
        <f t="shared" si="412"/>
        <v>1</v>
      </c>
      <c r="EA209" s="4">
        <f t="shared" si="514"/>
        <v>0.88360329892013767</v>
      </c>
      <c r="EB209" s="4">
        <f t="shared" si="414"/>
        <v>0.88360329892013767</v>
      </c>
      <c r="ED209" s="4">
        <f t="shared" si="515"/>
        <v>649.83623747680167</v>
      </c>
      <c r="EE209" s="25">
        <f t="shared" si="573"/>
        <v>500.22595130449861</v>
      </c>
      <c r="EH209" s="4">
        <f t="shared" si="517"/>
        <v>12.467523847691927</v>
      </c>
      <c r="EK209" s="4">
        <f t="shared" si="491"/>
        <v>71.106961684493314</v>
      </c>
      <c r="EL209" s="4">
        <f t="shared" si="492"/>
        <v>2.2360679774997898</v>
      </c>
      <c r="EM209" s="4">
        <f t="shared" si="493"/>
        <v>0.17170358488533044</v>
      </c>
      <c r="EP209" s="4">
        <f t="shared" si="541"/>
        <v>0.17170358488533044</v>
      </c>
      <c r="EQ209" s="4">
        <f t="shared" si="542"/>
        <v>0.27505158991895695</v>
      </c>
      <c r="ER209" s="4">
        <f t="shared" si="559"/>
        <v>7.43953637371893</v>
      </c>
      <c r="ES209" s="4">
        <f t="shared" si="582"/>
        <v>10.267989314750604</v>
      </c>
      <c r="ET209" s="4">
        <f t="shared" si="560"/>
        <v>24.293038315506692</v>
      </c>
      <c r="EU209" s="4">
        <f t="shared" si="561"/>
        <v>31.799999999999997</v>
      </c>
      <c r="EV209" s="4">
        <f t="shared" si="415"/>
        <v>1.330705850729595E-5</v>
      </c>
      <c r="EW209" s="4">
        <f t="shared" si="583"/>
        <v>12.145151302773725</v>
      </c>
      <c r="EX209" s="4">
        <f t="shared" si="466"/>
        <v>663.90188584744351</v>
      </c>
      <c r="FG209" s="23">
        <f t="shared" si="563"/>
        <v>2.2000000000000002</v>
      </c>
      <c r="FH209" s="23">
        <f t="shared" si="563"/>
        <v>1</v>
      </c>
      <c r="FI209" s="23">
        <f t="shared" si="495"/>
        <v>2.2000000000000002</v>
      </c>
      <c r="FJ209" s="23">
        <f t="shared" si="564"/>
        <v>1.6</v>
      </c>
      <c r="FK209" s="23">
        <f t="shared" si="564"/>
        <v>1.2</v>
      </c>
      <c r="FL209" s="23">
        <f t="shared" si="564"/>
        <v>1.2</v>
      </c>
      <c r="FM209" s="23">
        <f t="shared" si="497"/>
        <v>0</v>
      </c>
      <c r="FN209" s="23"/>
      <c r="FX209" s="4">
        <f t="shared" si="416"/>
        <v>1.25</v>
      </c>
      <c r="FY209" s="4">
        <f t="shared" si="469"/>
        <v>0.40944449644340308</v>
      </c>
      <c r="FZ209" s="4">
        <f t="shared" si="417"/>
        <v>0.3</v>
      </c>
      <c r="GA209" s="4">
        <f t="shared" si="418"/>
        <v>235.13825077966541</v>
      </c>
    </row>
    <row r="210" spans="1:183" ht="12" customHeight="1" x14ac:dyDescent="0.3">
      <c r="A210" s="25">
        <v>192</v>
      </c>
      <c r="B210" s="24" t="s">
        <v>128</v>
      </c>
      <c r="C210" s="24">
        <v>2017</v>
      </c>
      <c r="D210" s="24" t="s">
        <v>309</v>
      </c>
      <c r="E210" s="24"/>
      <c r="F210" s="4" t="s">
        <v>324</v>
      </c>
      <c r="G210" s="7">
        <v>649</v>
      </c>
      <c r="H210" s="7">
        <f>6*K210</f>
        <v>190.8</v>
      </c>
      <c r="I210" s="7">
        <f t="shared" si="455"/>
        <v>190.8</v>
      </c>
      <c r="J210" s="7">
        <v>129.9</v>
      </c>
      <c r="K210" s="7">
        <v>31.8</v>
      </c>
      <c r="L210" s="7">
        <f t="shared" si="498"/>
        <v>6</v>
      </c>
      <c r="M210" s="7">
        <f t="shared" si="499"/>
        <v>6</v>
      </c>
      <c r="N210" s="7">
        <v>396</v>
      </c>
      <c r="O210" s="7">
        <f t="shared" si="566"/>
        <v>31.8</v>
      </c>
      <c r="P210" s="7">
        <f>256-I210</f>
        <v>65.199999999999989</v>
      </c>
      <c r="Q210" s="7">
        <f t="shared" si="567"/>
        <v>268.79999999999995</v>
      </c>
      <c r="R210" s="7">
        <v>2</v>
      </c>
      <c r="S210" s="7">
        <f t="shared" si="568"/>
        <v>127.2</v>
      </c>
      <c r="T210" s="7">
        <f t="shared" si="475"/>
        <v>1.5</v>
      </c>
      <c r="U210" s="7">
        <f t="shared" si="459"/>
        <v>1.5</v>
      </c>
      <c r="V210" s="7">
        <f t="shared" si="472"/>
        <v>4</v>
      </c>
      <c r="W210" s="7">
        <f t="shared" si="472"/>
        <v>4</v>
      </c>
      <c r="X210" s="7">
        <f t="shared" si="431"/>
        <v>5</v>
      </c>
      <c r="Y210" s="7">
        <f t="shared" si="552"/>
        <v>71.106961684493314</v>
      </c>
      <c r="Z210" s="7">
        <f t="shared" si="461"/>
        <v>649</v>
      </c>
      <c r="AA210" s="7">
        <v>11</v>
      </c>
      <c r="AB210" s="7">
        <f>(723+708)/2</f>
        <v>715.5</v>
      </c>
      <c r="AC210" s="7"/>
      <c r="AD210" s="4">
        <f t="shared" si="476"/>
        <v>1</v>
      </c>
      <c r="AE210" s="7"/>
      <c r="AF210" s="7"/>
      <c r="AG210" s="7">
        <v>1</v>
      </c>
      <c r="AH210" s="7"/>
      <c r="AI210" s="7"/>
      <c r="AJ210" s="7">
        <f t="shared" si="473"/>
        <v>1.9041916167664676</v>
      </c>
      <c r="AK210" s="4">
        <f t="shared" si="569"/>
        <v>190.8</v>
      </c>
      <c r="AL210" s="4">
        <f t="shared" si="505"/>
        <v>0.69182389937106914</v>
      </c>
      <c r="AM210" s="4">
        <f t="shared" si="506"/>
        <v>189.10282381875894</v>
      </c>
      <c r="AN210" s="4">
        <f t="shared" si="507"/>
        <v>0.75</v>
      </c>
      <c r="AO210" s="4">
        <v>1.25</v>
      </c>
      <c r="AP210" s="47">
        <f t="shared" si="574"/>
        <v>5</v>
      </c>
      <c r="AQ210" s="38">
        <f t="shared" si="509"/>
        <v>613.2461857330037</v>
      </c>
      <c r="AR210" s="38">
        <f t="shared" si="510"/>
        <v>613.2461857330037</v>
      </c>
      <c r="AS210" s="38">
        <f t="shared" si="511"/>
        <v>5.7111767066521422</v>
      </c>
      <c r="AT210" s="38">
        <f t="shared" si="450"/>
        <v>613.24618573300347</v>
      </c>
      <c r="AU210" s="38">
        <f t="shared" si="400"/>
        <v>1.0000000000000004</v>
      </c>
      <c r="AV210" s="38">
        <f t="shared" si="537"/>
        <v>1.2709414557033005</v>
      </c>
      <c r="AW210" s="4">
        <f t="shared" si="529"/>
        <v>0</v>
      </c>
      <c r="AX210" s="4">
        <f t="shared" si="570"/>
        <v>359.91688791300993</v>
      </c>
      <c r="AY210" s="4">
        <f t="shared" si="571"/>
        <v>1</v>
      </c>
      <c r="AZ210" s="38">
        <f t="shared" si="438"/>
        <v>779.40000000000009</v>
      </c>
      <c r="BA210" s="4">
        <f t="shared" si="572"/>
        <v>0.44000000000000006</v>
      </c>
      <c r="BB210" s="4">
        <f t="shared" si="401"/>
        <v>82.744892531200989</v>
      </c>
      <c r="BC210" s="4">
        <f t="shared" si="402"/>
        <v>862.14489253120109</v>
      </c>
      <c r="BE210" s="4">
        <f t="shared" si="451"/>
        <v>1</v>
      </c>
      <c r="BF210" s="4">
        <f t="shared" si="452"/>
        <v>547.07366962777508</v>
      </c>
      <c r="BH210" s="4">
        <f t="shared" si="463"/>
        <v>747.53991440910613</v>
      </c>
      <c r="BI210" s="4">
        <f t="shared" si="464"/>
        <v>711.96329095823319</v>
      </c>
      <c r="BJ210" s="4">
        <f t="shared" si="465"/>
        <v>0.95240839617374207</v>
      </c>
      <c r="BR210" s="4">
        <f t="shared" si="539"/>
        <v>31.8</v>
      </c>
      <c r="BV210" s="9"/>
      <c r="BX210" s="9"/>
      <c r="BY210" s="9"/>
      <c r="BZ210" s="9">
        <f t="shared" si="577"/>
        <v>31.8</v>
      </c>
      <c r="CA210" s="9">
        <f t="shared" si="578"/>
        <v>134.39999999999998</v>
      </c>
      <c r="CB210" s="9">
        <f t="shared" si="403"/>
        <v>1.2413544982455165</v>
      </c>
      <c r="CC210" s="9">
        <v>0</v>
      </c>
      <c r="CD210" s="9">
        <f t="shared" si="518"/>
        <v>0</v>
      </c>
      <c r="CE210" s="9">
        <f t="shared" si="404"/>
        <v>0</v>
      </c>
      <c r="CF210" s="9">
        <f t="shared" si="579"/>
        <v>0.93036607665491811</v>
      </c>
      <c r="CG210" s="9">
        <f t="shared" si="580"/>
        <v>0.80099999999999993</v>
      </c>
      <c r="CH210" s="9">
        <f t="shared" si="405"/>
        <v>2.9727542082721463</v>
      </c>
      <c r="CI210" s="9">
        <f t="shared" si="406"/>
        <v>3.6902418086169178</v>
      </c>
      <c r="CJ210" s="9">
        <v>1</v>
      </c>
      <c r="CK210" s="9">
        <f t="shared" si="407"/>
        <v>309.98031192382109</v>
      </c>
      <c r="CM210" s="4">
        <f t="shared" si="477"/>
        <v>1.9879589539375342</v>
      </c>
      <c r="CN210" s="4">
        <f t="shared" si="478"/>
        <v>0.82990690567027392</v>
      </c>
      <c r="CO210" s="4">
        <f t="shared" si="479"/>
        <v>1.307867732853641</v>
      </c>
      <c r="CP210" s="4">
        <f t="shared" si="480"/>
        <v>2.3082111104392879</v>
      </c>
      <c r="CQ210" s="44">
        <f t="shared" si="481"/>
        <v>1</v>
      </c>
      <c r="CR210" s="4">
        <f t="shared" si="482"/>
        <v>1</v>
      </c>
      <c r="CS210" s="4">
        <f t="shared" si="483"/>
        <v>2.4772512849863699</v>
      </c>
      <c r="CU210" s="4">
        <f t="shared" si="593"/>
        <v>1.9879589539375342</v>
      </c>
      <c r="CV210" s="4">
        <f t="shared" si="593"/>
        <v>0.82990690567027392</v>
      </c>
      <c r="CW210" s="4">
        <f t="shared" si="562"/>
        <v>2.3082111104392879</v>
      </c>
      <c r="CX210" s="4">
        <f t="shared" ref="CX210:CX211" si="598">CS210</f>
        <v>2.4772512849863699</v>
      </c>
      <c r="CY210" s="4">
        <f t="shared" si="594"/>
        <v>1</v>
      </c>
      <c r="CZ210" s="4">
        <f t="shared" si="594"/>
        <v>1</v>
      </c>
      <c r="DH210" s="4">
        <f t="shared" si="557"/>
        <v>0</v>
      </c>
      <c r="DI210" s="4">
        <f t="shared" si="453"/>
        <v>190.8</v>
      </c>
      <c r="DL210" s="4">
        <f t="shared" si="485"/>
        <v>1.9960587760943931E-5</v>
      </c>
      <c r="DM210" s="4">
        <f t="shared" si="558"/>
        <v>11.016345201186075</v>
      </c>
      <c r="DN210" s="4">
        <f t="shared" si="486"/>
        <v>0.32654625851132374</v>
      </c>
      <c r="DO210" s="4">
        <f t="shared" si="487"/>
        <v>7.0406932135075824</v>
      </c>
      <c r="DP210" s="4">
        <f t="shared" si="488"/>
        <v>9.245765137822632</v>
      </c>
      <c r="DQ210" s="4">
        <f t="shared" si="489"/>
        <v>10.394409547490856</v>
      </c>
      <c r="DR210" s="38">
        <f t="shared" si="513"/>
        <v>715.5</v>
      </c>
      <c r="DS210" s="4">
        <f t="shared" si="411"/>
        <v>1</v>
      </c>
      <c r="DT210" s="4">
        <f t="shared" si="490"/>
        <v>2.2360679774997898</v>
      </c>
      <c r="DU210" s="4">
        <f t="shared" si="441"/>
        <v>613.24618573300347</v>
      </c>
      <c r="DY210" s="4">
        <f t="shared" si="581"/>
        <v>0.85</v>
      </c>
      <c r="DZ210" s="4">
        <f t="shared" si="412"/>
        <v>1</v>
      </c>
      <c r="EA210" s="4">
        <f t="shared" si="514"/>
        <v>1</v>
      </c>
      <c r="EB210" s="4">
        <f t="shared" si="414"/>
        <v>1</v>
      </c>
      <c r="ED210" s="4">
        <f t="shared" si="515"/>
        <v>715.5</v>
      </c>
      <c r="EE210" s="25">
        <f t="shared" si="573"/>
        <v>599.03474243278185</v>
      </c>
      <c r="EH210" s="4">
        <f t="shared" si="517"/>
        <v>11.016345201186075</v>
      </c>
      <c r="EK210" s="4">
        <f t="shared" si="491"/>
        <v>71.106961684493314</v>
      </c>
      <c r="EL210" s="4">
        <f t="shared" si="492"/>
        <v>2.2360679774997898</v>
      </c>
      <c r="EM210" s="4">
        <f t="shared" si="493"/>
        <v>0.2035094370850247</v>
      </c>
      <c r="EP210" s="4">
        <f t="shared" si="541"/>
        <v>0.2035094370850247</v>
      </c>
      <c r="EQ210" s="4">
        <f t="shared" si="542"/>
        <v>0.3260013136658178</v>
      </c>
      <c r="ER210" s="4">
        <f t="shared" si="559"/>
        <v>7.0359910165564381</v>
      </c>
      <c r="ES210" s="4">
        <f t="shared" si="582"/>
        <v>9.243980381251852</v>
      </c>
      <c r="ET210" s="4">
        <f t="shared" si="560"/>
        <v>71.993038315506709</v>
      </c>
      <c r="EU210" s="4">
        <f t="shared" si="561"/>
        <v>47.699999999999989</v>
      </c>
      <c r="EV210" s="4">
        <f t="shared" si="415"/>
        <v>1.9960587760943925E-5</v>
      </c>
      <c r="EW210" s="4">
        <f t="shared" si="583"/>
        <v>10.394610988846095</v>
      </c>
      <c r="EX210" s="4">
        <f t="shared" si="466"/>
        <v>715.5</v>
      </c>
      <c r="FG210" s="23">
        <f t="shared" si="563"/>
        <v>2</v>
      </c>
      <c r="FH210" s="23">
        <f t="shared" si="563"/>
        <v>1</v>
      </c>
      <c r="FI210" s="23">
        <f t="shared" si="495"/>
        <v>2.2000000000000002</v>
      </c>
      <c r="FJ210" s="23">
        <f t="shared" si="564"/>
        <v>2.2000000000000002</v>
      </c>
      <c r="FK210" s="23">
        <f t="shared" si="564"/>
        <v>1.2</v>
      </c>
      <c r="FL210" s="23">
        <f t="shared" si="564"/>
        <v>1.2</v>
      </c>
      <c r="FM210" s="23">
        <f t="shared" si="497"/>
        <v>0</v>
      </c>
      <c r="FN210" s="23"/>
      <c r="FX210" s="4">
        <f t="shared" si="416"/>
        <v>1.25</v>
      </c>
      <c r="FY210" s="4">
        <f t="shared" si="469"/>
        <v>0.5</v>
      </c>
      <c r="FZ210" s="4">
        <f t="shared" si="417"/>
        <v>0</v>
      </c>
      <c r="GA210" s="4">
        <f t="shared" si="418"/>
        <v>288.82818805518826</v>
      </c>
    </row>
    <row r="211" spans="1:183" ht="12" customHeight="1" x14ac:dyDescent="0.3">
      <c r="A211" s="25">
        <v>193</v>
      </c>
      <c r="B211" s="24" t="s">
        <v>128</v>
      </c>
      <c r="C211" s="24">
        <v>2017</v>
      </c>
      <c r="D211" s="24" t="s">
        <v>309</v>
      </c>
      <c r="E211" s="24"/>
      <c r="F211" s="4" t="s">
        <v>325</v>
      </c>
      <c r="G211" s="7">
        <v>649</v>
      </c>
      <c r="H211" s="7">
        <f t="shared" ref="H211" si="599">6*K211</f>
        <v>190.8</v>
      </c>
      <c r="I211" s="7">
        <f t="shared" si="455"/>
        <v>190.8</v>
      </c>
      <c r="J211" s="7">
        <v>129.9</v>
      </c>
      <c r="K211" s="7">
        <v>31.8</v>
      </c>
      <c r="L211" s="7">
        <f t="shared" si="498"/>
        <v>6</v>
      </c>
      <c r="M211" s="7">
        <f t="shared" si="499"/>
        <v>6</v>
      </c>
      <c r="N211" s="7">
        <v>396</v>
      </c>
      <c r="O211" s="7">
        <f t="shared" si="566"/>
        <v>31.8</v>
      </c>
      <c r="P211" s="7">
        <f t="shared" ref="P211" si="600">256-I211</f>
        <v>65.199999999999989</v>
      </c>
      <c r="Q211" s="7">
        <f t="shared" si="567"/>
        <v>268.79999999999995</v>
      </c>
      <c r="R211" s="7">
        <v>2</v>
      </c>
      <c r="S211" s="7">
        <f t="shared" si="568"/>
        <v>127.2</v>
      </c>
      <c r="T211" s="7">
        <f t="shared" si="475"/>
        <v>1.5</v>
      </c>
      <c r="U211" s="7">
        <f t="shared" si="459"/>
        <v>1.5</v>
      </c>
      <c r="V211" s="7">
        <f t="shared" si="472"/>
        <v>4</v>
      </c>
      <c r="W211" s="7">
        <f t="shared" si="472"/>
        <v>4</v>
      </c>
      <c r="X211" s="7">
        <f t="shared" si="431"/>
        <v>5</v>
      </c>
      <c r="Y211" s="7">
        <f t="shared" si="552"/>
        <v>71.106961684493314</v>
      </c>
      <c r="Z211" s="7">
        <f t="shared" si="461"/>
        <v>649</v>
      </c>
      <c r="AA211" s="7">
        <v>11</v>
      </c>
      <c r="AB211" s="7">
        <f>(736+710)/2</f>
        <v>723</v>
      </c>
      <c r="AC211" s="7"/>
      <c r="AD211" s="4">
        <f t="shared" si="476"/>
        <v>1</v>
      </c>
      <c r="AE211" s="7"/>
      <c r="AF211" s="7"/>
      <c r="AG211" s="7">
        <v>1</v>
      </c>
      <c r="AH211" s="7"/>
      <c r="AI211" s="7"/>
      <c r="AJ211" s="7">
        <f t="shared" si="473"/>
        <v>1.9041916167664676</v>
      </c>
      <c r="AK211" s="4">
        <f t="shared" si="569"/>
        <v>190.8</v>
      </c>
      <c r="AL211" s="4">
        <f t="shared" si="505"/>
        <v>0.69182389937106914</v>
      </c>
      <c r="AM211" s="4">
        <f t="shared" si="506"/>
        <v>189.10282381875894</v>
      </c>
      <c r="AN211" s="4">
        <f t="shared" si="507"/>
        <v>0.75</v>
      </c>
      <c r="AO211" s="4">
        <v>1.25</v>
      </c>
      <c r="AP211" s="47">
        <f t="shared" si="574"/>
        <v>5</v>
      </c>
      <c r="AQ211" s="38">
        <f t="shared" si="509"/>
        <v>613.2461857330037</v>
      </c>
      <c r="AR211" s="38">
        <f t="shared" si="510"/>
        <v>613.2461857330037</v>
      </c>
      <c r="AS211" s="38">
        <f t="shared" si="511"/>
        <v>5.7111767066521422</v>
      </c>
      <c r="AT211" s="38">
        <f t="shared" si="450"/>
        <v>613.24618573300347</v>
      </c>
      <c r="AU211" s="38">
        <f t="shared" ref="AU211:AU274" si="601">AQ211/AT211</f>
        <v>1.0000000000000004</v>
      </c>
      <c r="AV211" s="38">
        <f t="shared" si="537"/>
        <v>1.2709414557033005</v>
      </c>
      <c r="AW211" s="4">
        <f t="shared" si="529"/>
        <v>0</v>
      </c>
      <c r="AX211" s="4">
        <f t="shared" si="570"/>
        <v>359.91688791300993</v>
      </c>
      <c r="AY211" s="4">
        <f t="shared" si="571"/>
        <v>1</v>
      </c>
      <c r="AZ211" s="38">
        <f t="shared" si="438"/>
        <v>779.40000000000009</v>
      </c>
      <c r="BA211" s="4">
        <f t="shared" si="572"/>
        <v>0.44000000000000006</v>
      </c>
      <c r="BB211" s="4">
        <f t="shared" ref="BB211:BB243" si="602">BA211*G211*I211/(G211*K211/2.75/J211^0.5)</f>
        <v>82.744892531200989</v>
      </c>
      <c r="BC211" s="4">
        <f t="shared" ref="BC211:BC243" si="603">AZ211+BB211</f>
        <v>862.14489253120109</v>
      </c>
      <c r="BE211" s="4">
        <f t="shared" si="451"/>
        <v>1</v>
      </c>
      <c r="BF211" s="4">
        <f t="shared" si="452"/>
        <v>547.07366962777508</v>
      </c>
      <c r="BH211" s="4">
        <f t="shared" si="463"/>
        <v>747.53991440910613</v>
      </c>
      <c r="BI211" s="4">
        <f t="shared" si="464"/>
        <v>711.96329095823319</v>
      </c>
      <c r="BJ211" s="4">
        <f t="shared" si="465"/>
        <v>0.95240839617374207</v>
      </c>
      <c r="BR211" s="4">
        <f t="shared" si="539"/>
        <v>31.8</v>
      </c>
      <c r="BV211" s="9"/>
      <c r="BX211" s="9"/>
      <c r="BY211" s="9"/>
      <c r="BZ211" s="9">
        <f t="shared" si="577"/>
        <v>31.8</v>
      </c>
      <c r="CA211" s="9">
        <f t="shared" si="578"/>
        <v>134.39999999999998</v>
      </c>
      <c r="CB211" s="9">
        <f t="shared" ref="CB211:CB274" si="604">(BZ211/K211)^0.5*(CA211/BZ211)^0.15</f>
        <v>1.2413544982455165</v>
      </c>
      <c r="CC211" s="9">
        <v>0</v>
      </c>
      <c r="CD211" s="9">
        <f t="shared" si="518"/>
        <v>0</v>
      </c>
      <c r="CE211" s="9">
        <f t="shared" ref="CE211:CE243" si="605">MAX(0,CC211*(CD211-0.5/50))</f>
        <v>0</v>
      </c>
      <c r="CF211" s="9">
        <f t="shared" si="579"/>
        <v>0.93036607665491811</v>
      </c>
      <c r="CG211" s="9">
        <f t="shared" si="580"/>
        <v>0.80099999999999993</v>
      </c>
      <c r="CH211" s="9">
        <f t="shared" ref="CH211:CH274" si="606">1.75*CF211*CG211*(J211/25)^0.5</f>
        <v>2.9727542082721463</v>
      </c>
      <c r="CI211" s="9">
        <f t="shared" ref="CI211:CI274" si="607">MIN((CB211+CE211)*CH211,2.5*CH211,J211^0.5)</f>
        <v>3.6902418086169178</v>
      </c>
      <c r="CJ211" s="9">
        <v>1</v>
      </c>
      <c r="CK211" s="9">
        <f t="shared" ref="CK211:CK274" si="608">4*CI211*M211+60*CI211</f>
        <v>309.98031192382109</v>
      </c>
      <c r="CM211" s="4">
        <f t="shared" si="477"/>
        <v>2.0087970981087873</v>
      </c>
      <c r="CN211" s="4">
        <f t="shared" si="478"/>
        <v>0.83860613948233131</v>
      </c>
      <c r="CO211" s="4">
        <f t="shared" si="479"/>
        <v>1.3215770382294654</v>
      </c>
      <c r="CP211" s="4">
        <f t="shared" si="480"/>
        <v>2.3324061954543751</v>
      </c>
      <c r="CQ211" s="44">
        <f t="shared" si="481"/>
        <v>1</v>
      </c>
      <c r="CR211" s="4">
        <f t="shared" si="482"/>
        <v>1</v>
      </c>
      <c r="CS211" s="4">
        <f t="shared" si="483"/>
        <v>2.5032182795879043</v>
      </c>
      <c r="CU211" s="4">
        <f t="shared" si="593"/>
        <v>2.0087970981087873</v>
      </c>
      <c r="CV211" s="4">
        <f t="shared" si="593"/>
        <v>0.83860613948233131</v>
      </c>
      <c r="CW211" s="4">
        <f t="shared" si="562"/>
        <v>2.3324061954543751</v>
      </c>
      <c r="CX211" s="4">
        <f t="shared" si="598"/>
        <v>2.5032182795879043</v>
      </c>
      <c r="CY211" s="4">
        <f t="shared" si="594"/>
        <v>1</v>
      </c>
      <c r="CZ211" s="4">
        <f t="shared" si="594"/>
        <v>1</v>
      </c>
      <c r="DH211" s="4">
        <f t="shared" si="557"/>
        <v>0</v>
      </c>
      <c r="DI211" s="4">
        <f t="shared" si="453"/>
        <v>190.8</v>
      </c>
      <c r="DL211" s="4">
        <f t="shared" si="485"/>
        <v>1.9960587760943931E-5</v>
      </c>
      <c r="DM211" s="4">
        <f t="shared" si="558"/>
        <v>11.016345201186075</v>
      </c>
      <c r="DN211" s="4">
        <f t="shared" si="486"/>
        <v>0.32654625851132374</v>
      </c>
      <c r="DO211" s="4">
        <f t="shared" si="487"/>
        <v>7.0406932135075824</v>
      </c>
      <c r="DP211" s="4">
        <f t="shared" si="488"/>
        <v>9.245765137822632</v>
      </c>
      <c r="DQ211" s="4">
        <f t="shared" si="489"/>
        <v>10.394409547490856</v>
      </c>
      <c r="DR211" s="38">
        <f t="shared" si="513"/>
        <v>723</v>
      </c>
      <c r="DS211" s="4">
        <f t="shared" ref="DS211:DS274" si="609">DR211/EX211</f>
        <v>1</v>
      </c>
      <c r="DT211" s="4">
        <f t="shared" si="490"/>
        <v>2.2360679774997898</v>
      </c>
      <c r="DU211" s="4">
        <f t="shared" si="441"/>
        <v>613.24618573300347</v>
      </c>
      <c r="DY211" s="4">
        <f t="shared" si="581"/>
        <v>0.85</v>
      </c>
      <c r="DZ211" s="4">
        <f t="shared" ref="DZ211:DZ274" si="610">MIN(1,MAX(0.7,(1-0.1*(BR211-1*K211)/K211)))</f>
        <v>1</v>
      </c>
      <c r="EA211" s="4">
        <f t="shared" si="514"/>
        <v>1</v>
      </c>
      <c r="EB211" s="4">
        <f t="shared" ref="EB211:EB274" si="611">IF(DZ211*EA211&lt;0.7,0.7,DZ211*EA211)</f>
        <v>1</v>
      </c>
      <c r="ED211" s="4">
        <f t="shared" si="515"/>
        <v>723</v>
      </c>
      <c r="EE211" s="25">
        <f t="shared" si="573"/>
        <v>599.03474243278185</v>
      </c>
      <c r="EH211" s="4">
        <f t="shared" si="517"/>
        <v>11.016345201186075</v>
      </c>
      <c r="EK211" s="4">
        <f t="shared" si="491"/>
        <v>71.106961684493314</v>
      </c>
      <c r="EL211" s="4">
        <f t="shared" si="492"/>
        <v>2.2360679774997898</v>
      </c>
      <c r="EM211" s="4">
        <f t="shared" si="493"/>
        <v>0.2035094370850247</v>
      </c>
      <c r="EP211" s="4">
        <f t="shared" si="541"/>
        <v>0.2035094370850247</v>
      </c>
      <c r="EQ211" s="4">
        <f t="shared" si="542"/>
        <v>0.3260013136658178</v>
      </c>
      <c r="ER211" s="4">
        <f t="shared" si="559"/>
        <v>7.0359910165564381</v>
      </c>
      <c r="ES211" s="4">
        <f t="shared" si="582"/>
        <v>9.243980381251852</v>
      </c>
      <c r="ET211" s="4">
        <f t="shared" si="560"/>
        <v>71.993038315506709</v>
      </c>
      <c r="EU211" s="4">
        <f t="shared" si="561"/>
        <v>47.699999999999989</v>
      </c>
      <c r="EV211" s="4">
        <f t="shared" ref="EV211:EV274" si="612">EU211/(1-0.3*(J211/30)^0.5)/200000/K211</f>
        <v>1.9960587760943925E-5</v>
      </c>
      <c r="EW211" s="4">
        <f t="shared" si="583"/>
        <v>10.394610988846095</v>
      </c>
      <c r="EX211" s="4">
        <f t="shared" si="466"/>
        <v>723</v>
      </c>
      <c r="FG211" s="23">
        <f t="shared" si="563"/>
        <v>2.2000000000000002</v>
      </c>
      <c r="FH211" s="23">
        <f t="shared" si="563"/>
        <v>1</v>
      </c>
      <c r="FI211" s="23">
        <f t="shared" si="495"/>
        <v>2.2000000000000002</v>
      </c>
      <c r="FJ211" s="23">
        <f t="shared" si="564"/>
        <v>2.2000000000000002</v>
      </c>
      <c r="FK211" s="23">
        <f t="shared" si="564"/>
        <v>1.2</v>
      </c>
      <c r="FL211" s="23">
        <f t="shared" si="564"/>
        <v>1.2</v>
      </c>
      <c r="FM211" s="23">
        <f t="shared" si="497"/>
        <v>0</v>
      </c>
      <c r="FN211" s="23"/>
      <c r="FX211" s="4">
        <f t="shared" ref="FX211:FX274" si="613">IF(O211&gt;=2.5*25.4,1,1.25)</f>
        <v>1.25</v>
      </c>
      <c r="FY211" s="4">
        <f t="shared" si="469"/>
        <v>0.5</v>
      </c>
      <c r="FZ211" s="4">
        <f t="shared" ref="FZ211:FZ274" si="614">MIN(0.3, AE211^2*PI()/4*2*AH211/(K211^2*PI()/4*R211))</f>
        <v>0</v>
      </c>
      <c r="GA211" s="4">
        <f t="shared" ref="GA211:GA274" si="615">(H211/25.4)/(K211/25.4)^1.5/0.0024*(J211*145)^0.25/FX211/FY211/145</f>
        <v>288.82818805518826</v>
      </c>
    </row>
    <row r="212" spans="1:183" ht="12" customHeight="1" x14ac:dyDescent="0.3">
      <c r="A212" s="25">
        <v>194</v>
      </c>
      <c r="B212" s="24" t="s">
        <v>182</v>
      </c>
      <c r="C212" s="4">
        <v>1996</v>
      </c>
      <c r="D212" s="24" t="s">
        <v>309</v>
      </c>
      <c r="E212" s="24"/>
      <c r="F212" s="4" t="s">
        <v>328</v>
      </c>
      <c r="G212" s="7">
        <v>556</v>
      </c>
      <c r="H212" s="7">
        <f>381-P212-25</f>
        <v>280</v>
      </c>
      <c r="I212" s="7">
        <f t="shared" si="455"/>
        <v>280</v>
      </c>
      <c r="J212" s="7">
        <v>26.7</v>
      </c>
      <c r="K212" s="7">
        <v>35.799999999999997</v>
      </c>
      <c r="L212" s="7">
        <f t="shared" si="498"/>
        <v>7.8212290502793298</v>
      </c>
      <c r="M212" s="7">
        <f t="shared" si="499"/>
        <v>7.8212290502793298</v>
      </c>
      <c r="N212" s="7">
        <v>305</v>
      </c>
      <c r="O212" s="7">
        <v>76</v>
      </c>
      <c r="P212" s="7">
        <v>76</v>
      </c>
      <c r="Q212" s="7">
        <f>N212-2*K212-2*O212</f>
        <v>81.400000000000006</v>
      </c>
      <c r="R212" s="7">
        <v>2</v>
      </c>
      <c r="S212" s="7">
        <f>775-(343+152)</f>
        <v>280</v>
      </c>
      <c r="T212" s="7">
        <f>MIN(O212/K212+0.5, Q212/2/K212+0.5)</f>
        <v>1.6368715083798884</v>
      </c>
      <c r="U212" s="7">
        <f>O212/K212+0.5</f>
        <v>2.6229050279329611</v>
      </c>
      <c r="V212" s="7">
        <f>5500/(K212^2*PI()/4)-1</f>
        <v>4.4639504822285474</v>
      </c>
      <c r="W212" s="7">
        <f>5500/(K212^2*PI()/4)-1</f>
        <v>4.4639504822285474</v>
      </c>
      <c r="X212" s="7">
        <f t="shared" ref="X212:X243" si="616">W212+1</f>
        <v>5.4639504822285474</v>
      </c>
      <c r="Y212" s="7">
        <f t="shared" si="552"/>
        <v>83.682838718840046</v>
      </c>
      <c r="Z212" s="7">
        <f t="shared" si="461"/>
        <v>556</v>
      </c>
      <c r="AA212" s="7">
        <v>25</v>
      </c>
      <c r="AB212" s="7"/>
      <c r="AC212" s="32" t="s">
        <v>183</v>
      </c>
      <c r="AD212" s="4">
        <f t="shared" si="476"/>
        <v>0</v>
      </c>
      <c r="AE212" s="7"/>
      <c r="AF212" s="7"/>
      <c r="AG212" s="7">
        <v>1</v>
      </c>
      <c r="AH212" s="7"/>
      <c r="AI212" s="7"/>
      <c r="AJ212" s="7">
        <f t="shared" si="473"/>
        <v>7.1672354948805461</v>
      </c>
      <c r="AK212" s="4">
        <f t="shared" si="569"/>
        <v>280</v>
      </c>
      <c r="AL212" s="4">
        <f t="shared" si="505"/>
        <v>0.36309523809523808</v>
      </c>
      <c r="AM212" s="4">
        <f t="shared" si="506"/>
        <v>120.25599814291758</v>
      </c>
      <c r="AN212" s="4">
        <f t="shared" si="507"/>
        <v>0.76707142857142852</v>
      </c>
      <c r="AO212" s="4">
        <v>1.25</v>
      </c>
      <c r="AP212" s="4">
        <f>AP165</f>
        <v>2.5</v>
      </c>
      <c r="AQ212" s="38">
        <f t="shared" si="509"/>
        <v>104.66780799248551</v>
      </c>
      <c r="AR212" s="38">
        <f t="shared" si="510"/>
        <v>104.66780799248551</v>
      </c>
      <c r="AS212" s="38">
        <f t="shared" si="511"/>
        <v>2.6799627788697054</v>
      </c>
      <c r="AT212" s="38">
        <f t="shared" si="450"/>
        <v>104.66780799248556</v>
      </c>
      <c r="AU212" s="38">
        <f t="shared" si="601"/>
        <v>0.99999999999999944</v>
      </c>
      <c r="AV212" s="38">
        <f t="shared" si="537"/>
        <v>2.1895691011964828</v>
      </c>
      <c r="AW212" s="4">
        <f t="shared" si="529"/>
        <v>0</v>
      </c>
      <c r="AX212" s="4">
        <f t="shared" si="570"/>
        <v>212.70467457652856</v>
      </c>
      <c r="AY212" s="4">
        <f t="shared" si="571"/>
        <v>1.2409556313993173</v>
      </c>
      <c r="AZ212" s="38">
        <f t="shared" ref="AZ212:AZ275" si="617">2*J212*T212*V212^0.5*AY212*0.7/0.7</f>
        <v>229.17739827031264</v>
      </c>
      <c r="BA212" s="4">
        <f t="shared" si="572"/>
        <v>0.37504693248800336</v>
      </c>
      <c r="BB212" s="4">
        <f t="shared" si="602"/>
        <v>41.682038166723196</v>
      </c>
      <c r="BC212" s="4">
        <f t="shared" si="603"/>
        <v>270.85943643703581</v>
      </c>
      <c r="BE212" s="4">
        <f t="shared" si="451"/>
        <v>1.2807262569832403</v>
      </c>
      <c r="BF212" s="4">
        <f t="shared" si="452"/>
        <v>353.81060880941163</v>
      </c>
      <c r="BH212" s="4">
        <f t="shared" si="463"/>
        <v>219.80915151076618</v>
      </c>
      <c r="BI212" s="4">
        <f t="shared" si="464"/>
        <v>1562.4220485187734</v>
      </c>
      <c r="BJ212" s="4">
        <f t="shared" si="465"/>
        <v>7.1080846169512029</v>
      </c>
      <c r="BR212" s="4">
        <f t="shared" si="539"/>
        <v>40.700000000000003</v>
      </c>
      <c r="BV212" s="9"/>
      <c r="BX212" s="9"/>
      <c r="BY212" s="9"/>
      <c r="BZ212" s="9">
        <f t="shared" si="577"/>
        <v>40.700000000000003</v>
      </c>
      <c r="CA212" s="9">
        <f t="shared" si="578"/>
        <v>76</v>
      </c>
      <c r="CB212" s="9">
        <f t="shared" si="604"/>
        <v>1.1709505872794554</v>
      </c>
      <c r="CC212" s="9">
        <v>0</v>
      </c>
      <c r="CD212" s="9">
        <f t="shared" si="518"/>
        <v>0</v>
      </c>
      <c r="CE212" s="9">
        <f t="shared" si="605"/>
        <v>0</v>
      </c>
      <c r="CF212" s="9">
        <f t="shared" si="579"/>
        <v>0.89787751228078194</v>
      </c>
      <c r="CG212" s="9">
        <f t="shared" si="580"/>
        <v>0.91600000000000004</v>
      </c>
      <c r="CH212" s="9">
        <f t="shared" si="606"/>
        <v>1.4874289957293467</v>
      </c>
      <c r="CI212" s="9">
        <f t="shared" si="607"/>
        <v>1.7417058560857692</v>
      </c>
      <c r="CJ212" s="9">
        <v>1</v>
      </c>
      <c r="CK212" s="9">
        <f t="shared" si="608"/>
        <v>158.99147311978476</v>
      </c>
      <c r="DH212" s="4">
        <f t="shared" si="557"/>
        <v>0</v>
      </c>
      <c r="DI212" s="4">
        <f t="shared" si="453"/>
        <v>280</v>
      </c>
      <c r="DL212" s="4">
        <f t="shared" si="485"/>
        <v>1.3635706148731076E-5</v>
      </c>
      <c r="DM212" s="4">
        <f t="shared" si="558"/>
        <v>5.0637691717870918</v>
      </c>
      <c r="DN212" s="4">
        <f t="shared" si="486"/>
        <v>0.28594715504203178</v>
      </c>
      <c r="DO212" s="4">
        <f t="shared" si="487"/>
        <v>3.0689386907352811</v>
      </c>
      <c r="DP212" s="4">
        <f t="shared" si="488"/>
        <v>4.187580106722991</v>
      </c>
      <c r="DQ212" s="4">
        <f t="shared" si="489"/>
        <v>4.931420533735495</v>
      </c>
      <c r="DR212" s="38">
        <f t="shared" si="513"/>
        <v>231.03430749807197</v>
      </c>
      <c r="DS212" s="4">
        <f t="shared" si="609"/>
        <v>1.0001274074983466</v>
      </c>
      <c r="DT212" s="4">
        <f t="shared" si="490"/>
        <v>2.3375094614201131</v>
      </c>
      <c r="DU212" s="4">
        <f t="shared" ref="DU212:DU275" si="618">MIN(DT$10*AT212)</f>
        <v>104.66780799248556</v>
      </c>
      <c r="DY212" s="4">
        <f t="shared" si="581"/>
        <v>0.85</v>
      </c>
      <c r="DZ212" s="4">
        <f t="shared" si="610"/>
        <v>0.98631284916201112</v>
      </c>
      <c r="EA212" s="4">
        <f t="shared" si="514"/>
        <v>1</v>
      </c>
      <c r="EB212" s="4">
        <f t="shared" si="611"/>
        <v>0.98631284916201112</v>
      </c>
      <c r="ED212" s="4">
        <f t="shared" si="515"/>
        <v>222.0256895508856</v>
      </c>
      <c r="EE212" s="25">
        <f t="shared" si="516"/>
        <v>103.2109939000153</v>
      </c>
      <c r="EG212" s="4">
        <f t="shared" ref="EG212:EG275" si="619">DY212*EB212</f>
        <v>0.83836592178770941</v>
      </c>
      <c r="EH212" s="4">
        <f t="shared" si="517"/>
        <v>5.0637691717870918</v>
      </c>
      <c r="EK212" s="4">
        <f t="shared" si="491"/>
        <v>83.682838718840046</v>
      </c>
      <c r="EL212" s="4">
        <f t="shared" si="492"/>
        <v>2.3375094614201131</v>
      </c>
      <c r="EM212" s="4">
        <f t="shared" si="493"/>
        <v>8.0793547209318639E-2</v>
      </c>
      <c r="EP212" s="4">
        <f t="shared" si="541"/>
        <v>8.0793547209318639E-2</v>
      </c>
      <c r="EQ212" s="4">
        <f t="shared" si="542"/>
        <v>0.28546996253357176</v>
      </c>
      <c r="ER212" s="4">
        <f t="shared" si="559"/>
        <v>3.0668890695236737</v>
      </c>
      <c r="ES212" s="4">
        <f t="shared" si="582"/>
        <v>4.1868323477407055</v>
      </c>
      <c r="ET212" s="4">
        <f t="shared" si="560"/>
        <v>126.31716128115995</v>
      </c>
      <c r="EU212" s="4">
        <f t="shared" si="561"/>
        <v>69.999999999999986</v>
      </c>
      <c r="EV212" s="4">
        <f t="shared" si="612"/>
        <v>1.3635706148731075E-5</v>
      </c>
      <c r="EW212" s="4">
        <f t="shared" si="583"/>
        <v>4.931457086892582</v>
      </c>
      <c r="EX212" s="4">
        <f t="shared" si="466"/>
        <v>231.00487574474744</v>
      </c>
      <c r="FG212" s="23"/>
      <c r="FH212" s="23"/>
      <c r="FI212" s="23"/>
      <c r="FJ212" s="23"/>
      <c r="FK212" s="23"/>
      <c r="FL212" s="23"/>
      <c r="FM212" s="23"/>
      <c r="FN212" s="23"/>
      <c r="FX212" s="4">
        <f t="shared" si="613"/>
        <v>1</v>
      </c>
      <c r="FY212" s="4">
        <f t="shared" si="469"/>
        <v>0.8938547486033519</v>
      </c>
      <c r="FZ212" s="4">
        <f t="shared" si="614"/>
        <v>0</v>
      </c>
      <c r="GA212" s="4">
        <f t="shared" si="615"/>
        <v>167.06057427224937</v>
      </c>
    </row>
    <row r="213" spans="1:183" ht="12" customHeight="1" x14ac:dyDescent="0.3">
      <c r="A213" s="25">
        <v>195</v>
      </c>
      <c r="B213" s="24" t="s">
        <v>182</v>
      </c>
      <c r="C213" s="4">
        <v>1996</v>
      </c>
      <c r="D213" s="24" t="s">
        <v>309</v>
      </c>
      <c r="F213" s="4" t="s">
        <v>329</v>
      </c>
      <c r="G213" s="7">
        <v>556</v>
      </c>
      <c r="H213" s="7">
        <f>381-P213-25</f>
        <v>280</v>
      </c>
      <c r="I213" s="7">
        <f t="shared" si="455"/>
        <v>280</v>
      </c>
      <c r="J213" s="7">
        <v>29.4</v>
      </c>
      <c r="K213" s="7">
        <v>35.799999999999997</v>
      </c>
      <c r="L213" s="7">
        <f t="shared" si="498"/>
        <v>7.8212290502793298</v>
      </c>
      <c r="M213" s="7">
        <f t="shared" si="499"/>
        <v>7.8212290502793298</v>
      </c>
      <c r="N213" s="7">
        <v>305</v>
      </c>
      <c r="O213" s="7">
        <v>76</v>
      </c>
      <c r="P213" s="7">
        <v>76</v>
      </c>
      <c r="Q213" s="7">
        <f>N213-2*K213-2*O213</f>
        <v>81.400000000000006</v>
      </c>
      <c r="R213" s="7">
        <v>2</v>
      </c>
      <c r="S213" s="7">
        <f t="shared" ref="S213:S243" si="620">775-(343+152)</f>
        <v>280</v>
      </c>
      <c r="T213" s="7">
        <f t="shared" ref="T213:T247" si="621">MIN(O213/K213+0.5, Q213/2/K213+0.5)</f>
        <v>1.6368715083798884</v>
      </c>
      <c r="U213" s="7">
        <f t="shared" si="459"/>
        <v>2.6229050279329611</v>
      </c>
      <c r="V213" s="7">
        <f>5500/(K213^2*PI()/4)-1</f>
        <v>4.4639504822285474</v>
      </c>
      <c r="W213" s="7">
        <f t="shared" ref="W213:W240" si="622">5500/(K213^2*PI()/4)-1</f>
        <v>4.4639504822285474</v>
      </c>
      <c r="X213" s="7">
        <f t="shared" si="616"/>
        <v>5.4639504822285474</v>
      </c>
      <c r="Y213" s="7">
        <f t="shared" si="552"/>
        <v>83.682838718840046</v>
      </c>
      <c r="Z213" s="7">
        <f t="shared" si="461"/>
        <v>556</v>
      </c>
      <c r="AA213" s="7">
        <v>25</v>
      </c>
      <c r="AB213" s="7"/>
      <c r="AC213" s="32" t="s">
        <v>183</v>
      </c>
      <c r="AD213" s="4">
        <f t="shared" si="476"/>
        <v>0</v>
      </c>
      <c r="AE213" s="7"/>
      <c r="AF213" s="7"/>
      <c r="AG213" s="7">
        <v>1</v>
      </c>
      <c r="AH213" s="7"/>
      <c r="AI213" s="7"/>
      <c r="AJ213" s="7">
        <f t="shared" si="473"/>
        <v>7.1672354948805461</v>
      </c>
      <c r="AK213" s="4">
        <f t="shared" si="569"/>
        <v>280</v>
      </c>
      <c r="AL213" s="4">
        <f t="shared" si="505"/>
        <v>0.36309523809523808</v>
      </c>
      <c r="AM213" s="4">
        <f t="shared" si="506"/>
        <v>126.18995395992187</v>
      </c>
      <c r="AN213" s="4">
        <f t="shared" si="507"/>
        <v>0.76707142857142852</v>
      </c>
      <c r="AO213" s="4">
        <v>1.25</v>
      </c>
      <c r="AP213" s="4">
        <f>AP212</f>
        <v>2.5</v>
      </c>
      <c r="AQ213" s="38">
        <f t="shared" si="509"/>
        <v>109.83257447134307</v>
      </c>
      <c r="AR213" s="38">
        <f t="shared" si="510"/>
        <v>109.83257447134307</v>
      </c>
      <c r="AS213" s="38">
        <f t="shared" si="511"/>
        <v>2.8577186887004142</v>
      </c>
      <c r="AT213" s="38">
        <f t="shared" si="450"/>
        <v>109.83257447134312</v>
      </c>
      <c r="AU213" s="38">
        <f t="shared" si="601"/>
        <v>0.99999999999999944</v>
      </c>
      <c r="AV213" s="38">
        <f t="shared" si="537"/>
        <v>2.2976119972301303</v>
      </c>
      <c r="AW213" s="4">
        <f t="shared" si="529"/>
        <v>0</v>
      </c>
      <c r="AX213" s="4">
        <f t="shared" si="570"/>
        <v>223.20045158972471</v>
      </c>
      <c r="AY213" s="4">
        <f t="shared" si="571"/>
        <v>1.2409556313993173</v>
      </c>
      <c r="AZ213" s="38">
        <f t="shared" si="617"/>
        <v>252.35264079202972</v>
      </c>
      <c r="BA213" s="4">
        <f t="shared" si="572"/>
        <v>0.37504693248800336</v>
      </c>
      <c r="BB213" s="4">
        <f t="shared" si="602"/>
        <v>43.738811855051594</v>
      </c>
      <c r="BC213" s="4">
        <f t="shared" si="603"/>
        <v>296.09145264708133</v>
      </c>
      <c r="BE213" s="4">
        <f t="shared" si="451"/>
        <v>1.2807262569832403</v>
      </c>
      <c r="BF213" s="4">
        <f t="shared" si="452"/>
        <v>371.26916848780127</v>
      </c>
      <c r="BH213" s="4">
        <f t="shared" si="463"/>
        <v>242.03704323657402</v>
      </c>
      <c r="BI213" s="4">
        <f t="shared" si="464"/>
        <v>1562.4220485187734</v>
      </c>
      <c r="BJ213" s="4">
        <f t="shared" si="465"/>
        <v>6.4553013358026226</v>
      </c>
      <c r="BR213" s="4">
        <f t="shared" si="539"/>
        <v>40.700000000000003</v>
      </c>
      <c r="BV213" s="9"/>
      <c r="BX213" s="9"/>
      <c r="BY213" s="9"/>
      <c r="BZ213" s="9">
        <f t="shared" si="577"/>
        <v>40.700000000000003</v>
      </c>
      <c r="CA213" s="9">
        <f t="shared" si="578"/>
        <v>76</v>
      </c>
      <c r="CB213" s="9">
        <f t="shared" si="604"/>
        <v>1.1709505872794554</v>
      </c>
      <c r="CC213" s="9">
        <v>0</v>
      </c>
      <c r="CD213" s="9">
        <f t="shared" si="518"/>
        <v>0</v>
      </c>
      <c r="CE213" s="9">
        <f t="shared" si="605"/>
        <v>0</v>
      </c>
      <c r="CF213" s="9">
        <f t="shared" si="579"/>
        <v>0.89787751228078194</v>
      </c>
      <c r="CG213" s="9">
        <f t="shared" si="580"/>
        <v>0.91600000000000004</v>
      </c>
      <c r="CH213" s="9">
        <f t="shared" si="606"/>
        <v>1.560825234402609</v>
      </c>
      <c r="CI213" s="9">
        <f t="shared" si="607"/>
        <v>1.8276492248643288</v>
      </c>
      <c r="CJ213" s="9">
        <v>1</v>
      </c>
      <c r="CK213" s="9">
        <f t="shared" si="608"/>
        <v>166.83680633677727</v>
      </c>
      <c r="DH213" s="4">
        <f t="shared" si="557"/>
        <v>0</v>
      </c>
      <c r="DI213" s="4">
        <f t="shared" si="453"/>
        <v>280</v>
      </c>
      <c r="DL213" s="4">
        <f t="shared" si="485"/>
        <v>1.3906579803299705E-5</v>
      </c>
      <c r="DM213" s="4">
        <f t="shared" si="558"/>
        <v>5.3136376440206563</v>
      </c>
      <c r="DN213" s="4">
        <f t="shared" si="486"/>
        <v>0.27250077733310263</v>
      </c>
      <c r="DO213" s="4">
        <f t="shared" si="487"/>
        <v>3.1589229508698327</v>
      </c>
      <c r="DP213" s="4">
        <f t="shared" si="488"/>
        <v>4.3719523242236811</v>
      </c>
      <c r="DQ213" s="4">
        <f t="shared" si="489"/>
        <v>5.1662301389039698</v>
      </c>
      <c r="DR213" s="38">
        <f t="shared" si="513"/>
        <v>241.47909473935039</v>
      </c>
      <c r="DS213" s="4">
        <f t="shared" si="609"/>
        <v>1.0001247348077087</v>
      </c>
      <c r="DT213" s="4">
        <f t="shared" si="490"/>
        <v>2.3375094614201131</v>
      </c>
      <c r="DU213" s="4">
        <f t="shared" si="618"/>
        <v>109.83257447134312</v>
      </c>
      <c r="DY213" s="4">
        <f t="shared" si="581"/>
        <v>0.85</v>
      </c>
      <c r="DZ213" s="4">
        <f t="shared" si="610"/>
        <v>0.98631284916201112</v>
      </c>
      <c r="EA213" s="4">
        <f t="shared" si="514"/>
        <v>1</v>
      </c>
      <c r="EB213" s="4">
        <f t="shared" si="611"/>
        <v>0.98631284916201112</v>
      </c>
      <c r="ED213" s="4">
        <f t="shared" si="515"/>
        <v>232.98140612536457</v>
      </c>
      <c r="EE213" s="25">
        <f t="shared" si="516"/>
        <v>108.30387481314804</v>
      </c>
      <c r="EG213" s="4">
        <f t="shared" si="619"/>
        <v>0.83836592178770941</v>
      </c>
      <c r="EH213" s="4">
        <f t="shared" si="517"/>
        <v>5.3136376440206563</v>
      </c>
      <c r="EK213" s="4">
        <f t="shared" si="491"/>
        <v>83.682838718840046</v>
      </c>
      <c r="EL213" s="4">
        <f t="shared" si="492"/>
        <v>2.3375094614201131</v>
      </c>
      <c r="EM213" s="4">
        <f t="shared" si="493"/>
        <v>8.0793547209318639E-2</v>
      </c>
      <c r="EP213" s="4">
        <f t="shared" si="541"/>
        <v>8.0793547209318639E-2</v>
      </c>
      <c r="EQ213" s="4">
        <f t="shared" si="542"/>
        <v>0.27204602432297464</v>
      </c>
      <c r="ER213" s="4">
        <f t="shared" si="559"/>
        <v>3.1568132327755998</v>
      </c>
      <c r="ES213" s="4">
        <f t="shared" si="582"/>
        <v>4.3711938856443737</v>
      </c>
      <c r="ET213" s="4">
        <f t="shared" si="560"/>
        <v>126.31716128115995</v>
      </c>
      <c r="EU213" s="4">
        <f t="shared" si="561"/>
        <v>69.999999999999986</v>
      </c>
      <c r="EV213" s="4">
        <f t="shared" si="612"/>
        <v>1.3906579803299705E-5</v>
      </c>
      <c r="EW213" s="4">
        <f t="shared" si="583"/>
        <v>5.1662701822721298</v>
      </c>
      <c r="EX213" s="4">
        <f t="shared" si="466"/>
        <v>241.44897764755208</v>
      </c>
      <c r="FG213" s="23"/>
      <c r="FH213" s="23"/>
      <c r="FI213" s="23"/>
      <c r="FJ213" s="23"/>
      <c r="FK213" s="23"/>
      <c r="FL213" s="23"/>
      <c r="FM213" s="23"/>
      <c r="FN213" s="23"/>
      <c r="FX213" s="4">
        <f t="shared" si="613"/>
        <v>1</v>
      </c>
      <c r="FY213" s="4">
        <f t="shared" si="469"/>
        <v>0.8938547486033519</v>
      </c>
      <c r="FZ213" s="4">
        <f t="shared" si="614"/>
        <v>0</v>
      </c>
      <c r="GA213" s="4">
        <f t="shared" si="615"/>
        <v>171.13269403318475</v>
      </c>
    </row>
    <row r="214" spans="1:183" ht="12" customHeight="1" x14ac:dyDescent="0.3">
      <c r="A214" s="25">
        <v>196</v>
      </c>
      <c r="B214" s="24" t="s">
        <v>182</v>
      </c>
      <c r="C214" s="4">
        <v>1996</v>
      </c>
      <c r="D214" s="24" t="s">
        <v>309</v>
      </c>
      <c r="E214" s="24"/>
      <c r="F214" s="4" t="s">
        <v>330</v>
      </c>
      <c r="G214" s="7">
        <v>556</v>
      </c>
      <c r="H214" s="7">
        <f>381-P214-20</f>
        <v>285</v>
      </c>
      <c r="I214" s="7">
        <f t="shared" si="455"/>
        <v>285</v>
      </c>
      <c r="J214" s="7">
        <v>29.4</v>
      </c>
      <c r="K214" s="7">
        <v>35.799999999999997</v>
      </c>
      <c r="L214" s="7">
        <f t="shared" si="498"/>
        <v>7.9608938547486039</v>
      </c>
      <c r="M214" s="7">
        <f t="shared" si="499"/>
        <v>7.9608938547486039</v>
      </c>
      <c r="N214" s="7">
        <v>305</v>
      </c>
      <c r="O214" s="7">
        <v>76</v>
      </c>
      <c r="P214" s="7">
        <v>76</v>
      </c>
      <c r="Q214" s="7">
        <f t="shared" ref="Q214:Q243" si="623">N214-2*K214-2*O214</f>
        <v>81.400000000000006</v>
      </c>
      <c r="R214" s="7">
        <v>2</v>
      </c>
      <c r="S214" s="7">
        <f t="shared" si="620"/>
        <v>280</v>
      </c>
      <c r="T214" s="7">
        <f t="shared" si="621"/>
        <v>1.6368715083798884</v>
      </c>
      <c r="U214" s="7">
        <f t="shared" si="459"/>
        <v>2.6229050279329611</v>
      </c>
      <c r="V214" s="7">
        <f>8100/(K214^2*PI()/4)-1</f>
        <v>7.0469088920093164</v>
      </c>
      <c r="W214" s="7">
        <f>8100/(K214^2*PI()/4)-1</f>
        <v>7.0469088920093164</v>
      </c>
      <c r="X214" s="7">
        <f t="shared" si="616"/>
        <v>8.0469088920093164</v>
      </c>
      <c r="Y214" s="7">
        <f t="shared" si="552"/>
        <v>101.55412503859614</v>
      </c>
      <c r="Z214" s="7">
        <f t="shared" si="461"/>
        <v>556</v>
      </c>
      <c r="AA214" s="7">
        <v>20</v>
      </c>
      <c r="AB214" s="7"/>
      <c r="AC214" s="32" t="s">
        <v>183</v>
      </c>
      <c r="AD214" s="4">
        <f t="shared" si="476"/>
        <v>0</v>
      </c>
      <c r="AE214" s="7"/>
      <c r="AF214" s="7"/>
      <c r="AG214" s="7">
        <v>1</v>
      </c>
      <c r="AH214" s="7"/>
      <c r="AI214" s="7"/>
      <c r="AJ214" s="7">
        <f t="shared" si="473"/>
        <v>7.2952218430034126</v>
      </c>
      <c r="AK214" s="4">
        <f t="shared" si="569"/>
        <v>285</v>
      </c>
      <c r="AL214" s="4">
        <f t="shared" si="505"/>
        <v>0.35672514619883039</v>
      </c>
      <c r="AM214" s="4">
        <f t="shared" si="506"/>
        <v>129.58508707954471</v>
      </c>
      <c r="AN214" s="4">
        <f t="shared" si="507"/>
        <v>0.76589473684210518</v>
      </c>
      <c r="AO214" s="4">
        <v>1.25</v>
      </c>
      <c r="AP214" s="4">
        <f t="shared" ref="AP214:AP277" si="624">AP213</f>
        <v>2.5</v>
      </c>
      <c r="AQ214" s="38">
        <f t="shared" si="509"/>
        <v>110.63890179485381</v>
      </c>
      <c r="AR214" s="38">
        <f t="shared" si="510"/>
        <v>110.63890179485381</v>
      </c>
      <c r="AS214" s="38">
        <f t="shared" si="511"/>
        <v>2.8577186887004142</v>
      </c>
      <c r="AT214" s="38">
        <f t="shared" si="450"/>
        <v>110.63890179485385</v>
      </c>
      <c r="AU214" s="38">
        <f t="shared" si="601"/>
        <v>0.99999999999999967</v>
      </c>
      <c r="AV214" s="38">
        <f t="shared" si="537"/>
        <v>2.8657588460091983</v>
      </c>
      <c r="AW214" s="4">
        <f t="shared" si="529"/>
        <v>0</v>
      </c>
      <c r="AX214" s="4">
        <f t="shared" si="570"/>
        <v>227.18617393954122</v>
      </c>
      <c r="AY214" s="4">
        <f t="shared" si="571"/>
        <v>1.2409556313993173</v>
      </c>
      <c r="AZ214" s="38">
        <f t="shared" si="617"/>
        <v>317.0644115313454</v>
      </c>
      <c r="BA214" s="4">
        <f t="shared" si="572"/>
        <v>0.3</v>
      </c>
      <c r="BB214" s="4">
        <f t="shared" si="602"/>
        <v>35.611432765023082</v>
      </c>
      <c r="BC214" s="4">
        <f t="shared" si="603"/>
        <v>352.6758442963685</v>
      </c>
      <c r="BE214" s="4">
        <f t="shared" si="451"/>
        <v>1.2807262569832403</v>
      </c>
      <c r="BF214" s="4">
        <f t="shared" si="452"/>
        <v>374.17880146968059</v>
      </c>
      <c r="BH214" s="4">
        <f t="shared" si="463"/>
        <v>304.10354510946308</v>
      </c>
      <c r="BI214" s="4">
        <f t="shared" si="464"/>
        <v>490.43773856597932</v>
      </c>
      <c r="BJ214" s="4">
        <f t="shared" si="465"/>
        <v>1.6127327236170319</v>
      </c>
      <c r="BR214" s="4">
        <f t="shared" si="539"/>
        <v>40.700000000000003</v>
      </c>
      <c r="BV214" s="9"/>
      <c r="BX214" s="9"/>
      <c r="BY214" s="9"/>
      <c r="BZ214" s="9">
        <f t="shared" si="577"/>
        <v>40.700000000000003</v>
      </c>
      <c r="CA214" s="9">
        <f t="shared" si="578"/>
        <v>76</v>
      </c>
      <c r="CB214" s="9">
        <f t="shared" si="604"/>
        <v>1.1709505872794554</v>
      </c>
      <c r="CC214" s="9">
        <v>0</v>
      </c>
      <c r="CD214" s="9">
        <f t="shared" si="518"/>
        <v>0</v>
      </c>
      <c r="CE214" s="9">
        <f t="shared" si="605"/>
        <v>0</v>
      </c>
      <c r="CF214" s="9">
        <f t="shared" si="579"/>
        <v>0.89787751228078194</v>
      </c>
      <c r="CG214" s="9">
        <f t="shared" si="580"/>
        <v>0.91600000000000004</v>
      </c>
      <c r="CH214" s="9">
        <f t="shared" si="606"/>
        <v>1.560825234402609</v>
      </c>
      <c r="CI214" s="9">
        <f t="shared" si="607"/>
        <v>1.8276492248643288</v>
      </c>
      <c r="CJ214" s="9">
        <v>1</v>
      </c>
      <c r="CK214" s="9">
        <f t="shared" si="608"/>
        <v>167.85783942329368</v>
      </c>
      <c r="DH214" s="4">
        <f t="shared" si="557"/>
        <v>0</v>
      </c>
      <c r="DI214" s="4">
        <f t="shared" si="453"/>
        <v>285</v>
      </c>
      <c r="DL214" s="4">
        <f t="shared" si="485"/>
        <v>1.4154911585501488E-5</v>
      </c>
      <c r="DM214" s="4">
        <f t="shared" si="558"/>
        <v>5.3136376440206563</v>
      </c>
      <c r="DN214" s="4">
        <f t="shared" si="486"/>
        <v>0.21102130995889065</v>
      </c>
      <c r="DO214" s="4">
        <f t="shared" si="487"/>
        <v>2.8518223011626525</v>
      </c>
      <c r="DP214" s="4">
        <f t="shared" si="488"/>
        <v>4.2657700805707144</v>
      </c>
      <c r="DQ214" s="4">
        <f t="shared" si="489"/>
        <v>5.1703683026065779</v>
      </c>
      <c r="DR214" s="38">
        <f t="shared" si="513"/>
        <v>237.63385896744128</v>
      </c>
      <c r="DS214" s="4">
        <f t="shared" si="609"/>
        <v>1.0001229347243812</v>
      </c>
      <c r="DT214" s="4">
        <f t="shared" si="490"/>
        <v>2.8367074033127415</v>
      </c>
      <c r="DU214" s="4">
        <f t="shared" si="618"/>
        <v>110.63890179485385</v>
      </c>
      <c r="DY214" s="4">
        <f t="shared" si="581"/>
        <v>0.85</v>
      </c>
      <c r="DZ214" s="4">
        <f t="shared" si="610"/>
        <v>0.98631284916201112</v>
      </c>
      <c r="EA214" s="4">
        <f t="shared" si="514"/>
        <v>1</v>
      </c>
      <c r="EB214" s="4">
        <f t="shared" si="611"/>
        <v>0.98631284916201112</v>
      </c>
      <c r="ED214" s="4">
        <f t="shared" si="515"/>
        <v>236.03254778315886</v>
      </c>
      <c r="EE214" s="25">
        <f t="shared" si="516"/>
        <v>109.12863198322417</v>
      </c>
      <c r="EG214" s="4">
        <f t="shared" si="619"/>
        <v>0.83836592178770941</v>
      </c>
      <c r="EH214" s="4">
        <f t="shared" si="517"/>
        <v>5.3136376440206563</v>
      </c>
      <c r="EK214" s="4">
        <f t="shared" si="491"/>
        <v>101.55412503859614</v>
      </c>
      <c r="EL214" s="4">
        <f t="shared" si="492"/>
        <v>2.8367074033127415</v>
      </c>
      <c r="EM214" s="4">
        <f t="shared" si="493"/>
        <v>6.2565546914000694E-2</v>
      </c>
      <c r="EP214" s="4">
        <f t="shared" si="541"/>
        <v>6.2565546914000694E-2</v>
      </c>
      <c r="EQ214" s="4">
        <f t="shared" si="542"/>
        <v>0.21066915472159506</v>
      </c>
      <c r="ER214" s="4">
        <f t="shared" si="559"/>
        <v>2.8499176832900814</v>
      </c>
      <c r="ES214" s="4">
        <f t="shared" si="582"/>
        <v>4.2651388314267988</v>
      </c>
      <c r="ET214" s="4">
        <f t="shared" si="560"/>
        <v>112.19587496140386</v>
      </c>
      <c r="EU214" s="4">
        <f t="shared" si="561"/>
        <v>71.25</v>
      </c>
      <c r="EV214" s="4">
        <f t="shared" si="612"/>
        <v>1.4154911585501488E-5</v>
      </c>
      <c r="EW214" s="4">
        <f t="shared" si="583"/>
        <v>5.170407840659351</v>
      </c>
      <c r="EX214" s="4">
        <f t="shared" si="466"/>
        <v>237.60464910539184</v>
      </c>
      <c r="FG214" s="23"/>
      <c r="FH214" s="23"/>
      <c r="FI214" s="23"/>
      <c r="FJ214" s="23"/>
      <c r="FK214" s="23"/>
      <c r="FL214" s="23"/>
      <c r="FM214" s="23"/>
      <c r="FN214" s="23"/>
      <c r="FX214" s="4">
        <f t="shared" si="613"/>
        <v>1</v>
      </c>
      <c r="FY214" s="4">
        <f t="shared" si="469"/>
        <v>0.8938547486033519</v>
      </c>
      <c r="FZ214" s="4">
        <f t="shared" si="614"/>
        <v>0</v>
      </c>
      <c r="GA214" s="4">
        <f t="shared" si="615"/>
        <v>174.18863499806304</v>
      </c>
    </row>
    <row r="215" spans="1:183" ht="12" customHeight="1" x14ac:dyDescent="0.3">
      <c r="A215" s="25">
        <v>197</v>
      </c>
      <c r="B215" s="24" t="s">
        <v>182</v>
      </c>
      <c r="C215" s="4">
        <v>1996</v>
      </c>
      <c r="D215" s="24" t="s">
        <v>309</v>
      </c>
      <c r="E215" s="24"/>
      <c r="F215" s="4" t="s">
        <v>331</v>
      </c>
      <c r="G215" s="7">
        <v>578</v>
      </c>
      <c r="H215" s="7">
        <f>305-P215-18</f>
        <v>211</v>
      </c>
      <c r="I215" s="7">
        <f t="shared" si="455"/>
        <v>211</v>
      </c>
      <c r="J215" s="7">
        <v>26.7</v>
      </c>
      <c r="K215" s="7">
        <v>25.4</v>
      </c>
      <c r="L215" s="7">
        <f t="shared" si="498"/>
        <v>8.3070866141732296</v>
      </c>
      <c r="M215" s="7">
        <f t="shared" si="499"/>
        <v>8.3070866141732296</v>
      </c>
      <c r="N215" s="7">
        <v>305</v>
      </c>
      <c r="O215" s="7">
        <v>76</v>
      </c>
      <c r="P215" s="7">
        <v>76</v>
      </c>
      <c r="Q215" s="7">
        <f t="shared" si="623"/>
        <v>102.19999999999999</v>
      </c>
      <c r="R215" s="7">
        <v>2</v>
      </c>
      <c r="S215" s="7">
        <f t="shared" si="620"/>
        <v>280</v>
      </c>
      <c r="T215" s="7">
        <f t="shared" si="621"/>
        <v>2.5118110236220472</v>
      </c>
      <c r="U215" s="7">
        <f t="shared" si="459"/>
        <v>3.4921259842519685</v>
      </c>
      <c r="V215" s="7">
        <f>3200/(K215^2*PI()/4)-1</f>
        <v>5.3152807724479523</v>
      </c>
      <c r="W215" s="7">
        <f>3200/(K215^2*PI()/4)-1</f>
        <v>5.3152807724479523</v>
      </c>
      <c r="X215" s="7">
        <f t="shared" si="616"/>
        <v>6.3152807724479523</v>
      </c>
      <c r="Y215" s="7">
        <f t="shared" si="552"/>
        <v>63.830764864229231</v>
      </c>
      <c r="Z215" s="7">
        <f t="shared" si="461"/>
        <v>578</v>
      </c>
      <c r="AA215" s="7">
        <v>18</v>
      </c>
      <c r="AB215" s="7"/>
      <c r="AC215" s="32" t="s">
        <v>183</v>
      </c>
      <c r="AD215" s="4">
        <f t="shared" si="476"/>
        <v>0</v>
      </c>
      <c r="AE215" s="7"/>
      <c r="AF215" s="7"/>
      <c r="AG215" s="7">
        <v>1</v>
      </c>
      <c r="AH215" s="7"/>
      <c r="AI215" s="7"/>
      <c r="AJ215" s="7">
        <f t="shared" si="473"/>
        <v>4.9608150470219439</v>
      </c>
      <c r="AK215" s="4">
        <f t="shared" si="569"/>
        <v>211</v>
      </c>
      <c r="AL215" s="4">
        <f t="shared" si="505"/>
        <v>0.48183254344391785</v>
      </c>
      <c r="AM215" s="4">
        <f t="shared" si="506"/>
        <v>156.27589807670793</v>
      </c>
      <c r="AN215" s="4">
        <f t="shared" si="507"/>
        <v>0.7840758293838862</v>
      </c>
      <c r="AO215" s="4">
        <v>1.25</v>
      </c>
      <c r="AP215" s="4">
        <f t="shared" si="624"/>
        <v>2.5</v>
      </c>
      <c r="AQ215" s="38">
        <f t="shared" si="509"/>
        <v>184.49993627146509</v>
      </c>
      <c r="AR215" s="38">
        <f t="shared" si="510"/>
        <v>184.49993627146509</v>
      </c>
      <c r="AS215" s="38">
        <f t="shared" si="511"/>
        <v>2.6799627788697054</v>
      </c>
      <c r="AT215" s="38">
        <f t="shared" si="450"/>
        <v>184.49993627146509</v>
      </c>
      <c r="AU215" s="38">
        <f t="shared" si="601"/>
        <v>1</v>
      </c>
      <c r="AV215" s="38">
        <f t="shared" si="537"/>
        <v>1.937739236514296</v>
      </c>
      <c r="AW215" s="4">
        <f t="shared" si="529"/>
        <v>0</v>
      </c>
      <c r="AX215" s="4">
        <f t="shared" si="570"/>
        <v>225.91796552533489</v>
      </c>
      <c r="AY215" s="4">
        <f t="shared" si="571"/>
        <v>1.1561128526645768</v>
      </c>
      <c r="AZ215" s="38">
        <f t="shared" si="617"/>
        <v>357.51276564760502</v>
      </c>
      <c r="BA215" s="4">
        <f t="shared" si="572"/>
        <v>0.3</v>
      </c>
      <c r="BB215" s="4">
        <f t="shared" si="602"/>
        <v>35.412641096096245</v>
      </c>
      <c r="BC215" s="4">
        <f t="shared" si="603"/>
        <v>392.92540674370127</v>
      </c>
      <c r="BE215" s="4">
        <f t="shared" si="451"/>
        <v>1.4980314960629921</v>
      </c>
      <c r="BF215" s="4">
        <f t="shared" si="452"/>
        <v>425.12541232465287</v>
      </c>
      <c r="BH215" s="4">
        <f t="shared" si="463"/>
        <v>342.89846321833909</v>
      </c>
      <c r="BI215" s="4">
        <f t="shared" si="464"/>
        <v>2245.2309649218914</v>
      </c>
      <c r="BJ215" s="4">
        <f t="shared" si="465"/>
        <v>6.5478011882842724</v>
      </c>
      <c r="BR215" s="4">
        <f t="shared" si="539"/>
        <v>51.099999999999994</v>
      </c>
      <c r="BV215" s="9"/>
      <c r="BX215" s="9"/>
      <c r="BY215" s="9"/>
      <c r="BZ215" s="9">
        <f t="shared" si="577"/>
        <v>51.099999999999994</v>
      </c>
      <c r="CA215" s="9">
        <f t="shared" si="578"/>
        <v>76</v>
      </c>
      <c r="CB215" s="9">
        <f t="shared" si="604"/>
        <v>1.5054020239149992</v>
      </c>
      <c r="CC215" s="9">
        <v>0</v>
      </c>
      <c r="CD215" s="9">
        <f t="shared" si="518"/>
        <v>0</v>
      </c>
      <c r="CE215" s="9">
        <f t="shared" si="605"/>
        <v>0</v>
      </c>
      <c r="CF215" s="9">
        <f t="shared" si="579"/>
        <v>0.99524931562137331</v>
      </c>
      <c r="CG215" s="9">
        <f t="shared" si="580"/>
        <v>0.88300000000000001</v>
      </c>
      <c r="CH215" s="9">
        <f t="shared" si="606"/>
        <v>1.5893379964194141</v>
      </c>
      <c r="CI215" s="9">
        <f t="shared" si="607"/>
        <v>2.3925926364947956</v>
      </c>
      <c r="CJ215" s="9">
        <v>1</v>
      </c>
      <c r="CK215" s="9">
        <f t="shared" si="608"/>
        <v>223.05745524486912</v>
      </c>
      <c r="DH215" s="4">
        <f t="shared" si="557"/>
        <v>0</v>
      </c>
      <c r="DI215" s="4">
        <f t="shared" si="453"/>
        <v>211</v>
      </c>
      <c r="DL215" s="4">
        <f t="shared" si="485"/>
        <v>1.4482761122930935E-5</v>
      </c>
      <c r="DM215" s="4">
        <f t="shared" si="558"/>
        <v>6.1741032375934068</v>
      </c>
      <c r="DN215" s="4">
        <f t="shared" si="486"/>
        <v>0.32289080206314286</v>
      </c>
      <c r="DO215" s="4">
        <f t="shared" si="487"/>
        <v>3.9282232030926831</v>
      </c>
      <c r="DP215" s="4">
        <f t="shared" si="488"/>
        <v>5.1750632497803224</v>
      </c>
      <c r="DQ215" s="4">
        <f t="shared" si="489"/>
        <v>6.0135131520244283</v>
      </c>
      <c r="DR215" s="38">
        <f t="shared" si="513"/>
        <v>350.89045976809524</v>
      </c>
      <c r="DS215" s="4">
        <f t="shared" si="609"/>
        <v>1.0001161267300582</v>
      </c>
      <c r="DT215" s="4">
        <f t="shared" si="490"/>
        <v>2.5130222387491825</v>
      </c>
      <c r="DU215" s="4">
        <f t="shared" si="618"/>
        <v>184.49993627146509</v>
      </c>
      <c r="DY215" s="4">
        <f t="shared" si="581"/>
        <v>0.85</v>
      </c>
      <c r="DZ215" s="4">
        <f t="shared" si="610"/>
        <v>0.89881889763779532</v>
      </c>
      <c r="EA215" s="4">
        <f t="shared" si="514"/>
        <v>1</v>
      </c>
      <c r="EB215" s="4">
        <f t="shared" si="611"/>
        <v>0.89881889763779532</v>
      </c>
      <c r="ED215" s="4">
        <f t="shared" si="515"/>
        <v>336.04175011156474</v>
      </c>
      <c r="EE215" s="25">
        <f t="shared" si="516"/>
        <v>182.17531903295736</v>
      </c>
      <c r="EG215" s="4">
        <f t="shared" si="619"/>
        <v>0.76399606299212597</v>
      </c>
      <c r="EH215" s="4">
        <f t="shared" si="517"/>
        <v>6.1741032375934068</v>
      </c>
      <c r="EK215" s="4">
        <f t="shared" si="491"/>
        <v>63.830764864229231</v>
      </c>
      <c r="EL215" s="4">
        <f t="shared" si="492"/>
        <v>2.5130222387491825</v>
      </c>
      <c r="EM215" s="4">
        <f t="shared" si="493"/>
        <v>9.1231868546160749E-2</v>
      </c>
      <c r="EP215" s="4">
        <f t="shared" si="541"/>
        <v>9.1231868546160749E-2</v>
      </c>
      <c r="EQ215" s="4">
        <f t="shared" si="542"/>
        <v>0.32235195749316436</v>
      </c>
      <c r="ER215" s="4">
        <f t="shared" si="559"/>
        <v>3.9255997001777194</v>
      </c>
      <c r="ES215" s="4">
        <f t="shared" si="582"/>
        <v>5.1740707586068853</v>
      </c>
      <c r="ET215" s="4">
        <f t="shared" si="560"/>
        <v>94.419235135770776</v>
      </c>
      <c r="EU215" s="4">
        <f t="shared" si="561"/>
        <v>52.75</v>
      </c>
      <c r="EV215" s="4">
        <f t="shared" si="612"/>
        <v>1.4482761122930935E-5</v>
      </c>
      <c r="EW215" s="4">
        <f t="shared" si="583"/>
        <v>6.0135596394644217</v>
      </c>
      <c r="EX215" s="4">
        <f t="shared" si="466"/>
        <v>350.84971673774862</v>
      </c>
      <c r="FG215" s="23"/>
      <c r="FH215" s="23"/>
      <c r="FI215" s="23"/>
      <c r="FJ215" s="23"/>
      <c r="FK215" s="23"/>
      <c r="FL215" s="23"/>
      <c r="FM215" s="23"/>
      <c r="FN215" s="23"/>
      <c r="FX215" s="4">
        <f t="shared" si="613"/>
        <v>1</v>
      </c>
      <c r="FY215" s="4">
        <f t="shared" si="469"/>
        <v>0.74803149606299213</v>
      </c>
      <c r="FZ215" s="4">
        <f t="shared" si="614"/>
        <v>0</v>
      </c>
      <c r="GA215" s="4">
        <f t="shared" si="615"/>
        <v>251.72098720127065</v>
      </c>
    </row>
    <row r="216" spans="1:183" ht="12" customHeight="1" x14ac:dyDescent="0.3">
      <c r="A216" s="25">
        <v>198</v>
      </c>
      <c r="B216" s="24" t="s">
        <v>182</v>
      </c>
      <c r="C216" s="4">
        <v>1996</v>
      </c>
      <c r="D216" s="24" t="s">
        <v>309</v>
      </c>
      <c r="E216" s="24"/>
      <c r="F216" s="4" t="s">
        <v>332</v>
      </c>
      <c r="G216" s="7">
        <v>556</v>
      </c>
      <c r="H216" s="7">
        <f>381-P216-25</f>
        <v>280</v>
      </c>
      <c r="I216" s="7">
        <f t="shared" si="455"/>
        <v>280</v>
      </c>
      <c r="J216" s="7">
        <v>22.5</v>
      </c>
      <c r="K216" s="7">
        <v>35.799999999999997</v>
      </c>
      <c r="L216" s="7">
        <f t="shared" si="498"/>
        <v>7.8212290502793298</v>
      </c>
      <c r="M216" s="7">
        <f t="shared" si="499"/>
        <v>7.8212290502793298</v>
      </c>
      <c r="N216" s="7">
        <v>305</v>
      </c>
      <c r="O216" s="7">
        <v>76</v>
      </c>
      <c r="P216" s="7">
        <v>76</v>
      </c>
      <c r="Q216" s="7">
        <f t="shared" si="623"/>
        <v>81.400000000000006</v>
      </c>
      <c r="R216" s="7">
        <v>2</v>
      </c>
      <c r="S216" s="7">
        <f t="shared" si="620"/>
        <v>280</v>
      </c>
      <c r="T216" s="7">
        <f t="shared" si="621"/>
        <v>1.6368715083798884</v>
      </c>
      <c r="U216" s="7">
        <f t="shared" si="459"/>
        <v>2.6229050279329611</v>
      </c>
      <c r="V216" s="7">
        <f>5500/(K216^2*PI()/4)-1</f>
        <v>4.4639504822285474</v>
      </c>
      <c r="W216" s="7">
        <f t="shared" si="622"/>
        <v>4.4639504822285474</v>
      </c>
      <c r="X216" s="7">
        <f t="shared" si="616"/>
        <v>5.4639504822285474</v>
      </c>
      <c r="Y216" s="7">
        <f t="shared" si="552"/>
        <v>83.682838718840046</v>
      </c>
      <c r="Z216" s="7">
        <f t="shared" si="461"/>
        <v>556</v>
      </c>
      <c r="AA216" s="7">
        <v>25</v>
      </c>
      <c r="AB216" s="7"/>
      <c r="AC216" s="32" t="s">
        <v>183</v>
      </c>
      <c r="AD216" s="4">
        <f t="shared" si="476"/>
        <v>0</v>
      </c>
      <c r="AE216" s="7"/>
      <c r="AF216" s="7"/>
      <c r="AG216" s="7">
        <v>1</v>
      </c>
      <c r="AH216" s="7"/>
      <c r="AI216" s="7"/>
      <c r="AJ216" s="7">
        <f t="shared" si="473"/>
        <v>7.1672354948805461</v>
      </c>
      <c r="AK216" s="4">
        <f t="shared" si="569"/>
        <v>280</v>
      </c>
      <c r="AL216" s="4">
        <f t="shared" si="505"/>
        <v>0.36309523809523808</v>
      </c>
      <c r="AM216" s="4">
        <f t="shared" si="506"/>
        <v>110.3932135239679</v>
      </c>
      <c r="AN216" s="4">
        <f t="shared" si="507"/>
        <v>0.76707142857142852</v>
      </c>
      <c r="AO216" s="4">
        <v>1.25</v>
      </c>
      <c r="AP216" s="4">
        <f t="shared" si="624"/>
        <v>2.5</v>
      </c>
      <c r="AQ216" s="38">
        <f t="shared" si="509"/>
        <v>96.083487353937286</v>
      </c>
      <c r="AR216" s="38">
        <f t="shared" si="510"/>
        <v>96.083487353937286</v>
      </c>
      <c r="AS216" s="38">
        <f t="shared" si="511"/>
        <v>2.3909817806608746</v>
      </c>
      <c r="AT216" s="38">
        <f t="shared" si="450"/>
        <v>96.083487353937329</v>
      </c>
      <c r="AU216" s="38">
        <f t="shared" si="601"/>
        <v>0.99999999999999956</v>
      </c>
      <c r="AV216" s="38">
        <f t="shared" si="537"/>
        <v>2.0099917928967055</v>
      </c>
      <c r="AW216" s="4">
        <f t="shared" si="529"/>
        <v>0</v>
      </c>
      <c r="AX216" s="4">
        <f t="shared" si="570"/>
        <v>195.25972026914428</v>
      </c>
      <c r="AY216" s="4">
        <f t="shared" si="571"/>
        <v>1.2409556313993173</v>
      </c>
      <c r="AZ216" s="38">
        <f t="shared" si="617"/>
        <v>193.12702101430844</v>
      </c>
      <c r="BA216" s="4">
        <f t="shared" si="572"/>
        <v>0.37504693248800336</v>
      </c>
      <c r="BB216" s="4">
        <f t="shared" si="602"/>
        <v>38.263489643025764</v>
      </c>
      <c r="BC216" s="4">
        <f t="shared" si="603"/>
        <v>231.3905106573342</v>
      </c>
      <c r="BE216" s="4">
        <f t="shared" si="451"/>
        <v>1.2807262569832403</v>
      </c>
      <c r="BF216" s="4">
        <f t="shared" si="452"/>
        <v>324.7928642937531</v>
      </c>
      <c r="BH216" s="4">
        <f t="shared" si="463"/>
        <v>185.23243104839844</v>
      </c>
      <c r="BI216" s="4">
        <f t="shared" si="464"/>
        <v>1562.4220485187734</v>
      </c>
      <c r="BJ216" s="4">
        <f t="shared" si="465"/>
        <v>8.4349270787820956</v>
      </c>
      <c r="BR216" s="4">
        <f t="shared" si="539"/>
        <v>40.700000000000003</v>
      </c>
      <c r="BV216" s="9"/>
      <c r="BX216" s="9"/>
      <c r="BY216" s="9"/>
      <c r="BZ216" s="9">
        <f t="shared" si="577"/>
        <v>40.700000000000003</v>
      </c>
      <c r="CA216" s="9">
        <f t="shared" si="578"/>
        <v>76</v>
      </c>
      <c r="CB216" s="9">
        <f t="shared" si="604"/>
        <v>1.1709505872794554</v>
      </c>
      <c r="CC216" s="9">
        <v>0</v>
      </c>
      <c r="CD216" s="9">
        <f t="shared" si="518"/>
        <v>0</v>
      </c>
      <c r="CE216" s="9">
        <f t="shared" si="605"/>
        <v>0</v>
      </c>
      <c r="CF216" s="9">
        <f t="shared" si="579"/>
        <v>0.89787751228078194</v>
      </c>
      <c r="CG216" s="9">
        <f t="shared" si="580"/>
        <v>0.91600000000000004</v>
      </c>
      <c r="CH216" s="9">
        <f t="shared" si="606"/>
        <v>1.3654376435522646</v>
      </c>
      <c r="CI216" s="9">
        <f t="shared" si="607"/>
        <v>1.598860010611</v>
      </c>
      <c r="CJ216" s="9">
        <v>1</v>
      </c>
      <c r="CK216" s="9">
        <f t="shared" si="608"/>
        <v>145.95180208594269</v>
      </c>
      <c r="DH216" s="4">
        <f t="shared" si="557"/>
        <v>0</v>
      </c>
      <c r="DI216" s="4">
        <f t="shared" si="453"/>
        <v>280</v>
      </c>
      <c r="DL216" s="4">
        <f t="shared" si="485"/>
        <v>1.3208101828668835E-5</v>
      </c>
      <c r="DM216" s="4">
        <f t="shared" si="558"/>
        <v>4.6484646092482738</v>
      </c>
      <c r="DN216" s="4">
        <f t="shared" si="486"/>
        <v>0.31149433418967626</v>
      </c>
      <c r="DO216" s="4">
        <f t="shared" si="487"/>
        <v>2.9153425379443894</v>
      </c>
      <c r="DP216" s="4">
        <f t="shared" si="488"/>
        <v>3.8804037208967719</v>
      </c>
      <c r="DQ216" s="4">
        <f t="shared" si="489"/>
        <v>4.5388108160927203</v>
      </c>
      <c r="DR216" s="38">
        <f t="shared" si="513"/>
        <v>213.60778670455136</v>
      </c>
      <c r="DS216" s="4">
        <f t="shared" si="609"/>
        <v>1.0001322563224397</v>
      </c>
      <c r="DT216" s="4">
        <f t="shared" si="490"/>
        <v>2.3375094614201131</v>
      </c>
      <c r="DU216" s="4">
        <f t="shared" si="618"/>
        <v>96.083487353937329</v>
      </c>
      <c r="DY216" s="4">
        <f t="shared" si="581"/>
        <v>0.85</v>
      </c>
      <c r="DZ216" s="4">
        <f t="shared" si="610"/>
        <v>0.98631284916201112</v>
      </c>
      <c r="EA216" s="4">
        <f t="shared" si="514"/>
        <v>1</v>
      </c>
      <c r="EB216" s="4">
        <f t="shared" si="611"/>
        <v>0.98631284916201112</v>
      </c>
      <c r="ED216" s="4">
        <f t="shared" si="515"/>
        <v>203.81627305831509</v>
      </c>
      <c r="EE216" s="25">
        <f t="shared" si="516"/>
        <v>94.746153735171248</v>
      </c>
      <c r="EG216" s="4">
        <f t="shared" si="619"/>
        <v>0.83836592178770941</v>
      </c>
      <c r="EH216" s="4">
        <f t="shared" si="517"/>
        <v>4.6484646092482738</v>
      </c>
      <c r="EK216" s="4">
        <f t="shared" si="491"/>
        <v>83.682838718840046</v>
      </c>
      <c r="EL216" s="4">
        <f t="shared" si="492"/>
        <v>2.3375094614201131</v>
      </c>
      <c r="EM216" s="4">
        <f t="shared" si="493"/>
        <v>8.0793547209318639E-2</v>
      </c>
      <c r="EP216" s="4">
        <f t="shared" si="541"/>
        <v>8.0793547209318639E-2</v>
      </c>
      <c r="EQ216" s="4">
        <f t="shared" si="542"/>
        <v>0.31097450820056571</v>
      </c>
      <c r="ER216" s="4">
        <f t="shared" si="559"/>
        <v>2.9133954974502569</v>
      </c>
      <c r="ES216" s="4">
        <f t="shared" si="582"/>
        <v>3.8796749091669303</v>
      </c>
      <c r="ET216" s="4">
        <f t="shared" si="560"/>
        <v>126.31716128115995</v>
      </c>
      <c r="EU216" s="4">
        <f t="shared" si="561"/>
        <v>69.999999999999986</v>
      </c>
      <c r="EV216" s="4">
        <f t="shared" si="612"/>
        <v>1.3208101828668833E-5</v>
      </c>
      <c r="EW216" s="4">
        <f t="shared" si="583"/>
        <v>4.538841994189255</v>
      </c>
      <c r="EX216" s="4">
        <f t="shared" si="466"/>
        <v>213.57953946011401</v>
      </c>
      <c r="FG216" s="23"/>
      <c r="FH216" s="23"/>
      <c r="FI216" s="23"/>
      <c r="FJ216" s="23"/>
      <c r="FK216" s="23"/>
      <c r="FL216" s="23"/>
      <c r="FM216" s="23"/>
      <c r="FN216" s="23"/>
      <c r="FX216" s="4">
        <f t="shared" si="613"/>
        <v>1</v>
      </c>
      <c r="FY216" s="4">
        <f t="shared" si="469"/>
        <v>0.8938547486033519</v>
      </c>
      <c r="FZ216" s="4">
        <f t="shared" si="614"/>
        <v>0</v>
      </c>
      <c r="GA216" s="4">
        <f t="shared" si="615"/>
        <v>160.06330653041465</v>
      </c>
    </row>
    <row r="217" spans="1:183" ht="12" customHeight="1" x14ac:dyDescent="0.3">
      <c r="A217" s="25">
        <v>199</v>
      </c>
      <c r="B217" s="24" t="s">
        <v>182</v>
      </c>
      <c r="C217" s="4">
        <v>1996</v>
      </c>
      <c r="D217" s="24" t="s">
        <v>309</v>
      </c>
      <c r="E217" s="24"/>
      <c r="F217" s="4" t="s">
        <v>333</v>
      </c>
      <c r="G217" s="7">
        <v>556</v>
      </c>
      <c r="H217" s="7">
        <f>381-P217-25</f>
        <v>280</v>
      </c>
      <c r="I217" s="7">
        <f t="shared" si="455"/>
        <v>280</v>
      </c>
      <c r="J217" s="7">
        <v>22.5</v>
      </c>
      <c r="K217" s="7">
        <v>35.799999999999997</v>
      </c>
      <c r="L217" s="7">
        <f t="shared" si="498"/>
        <v>7.8212290502793298</v>
      </c>
      <c r="M217" s="7">
        <f t="shared" si="499"/>
        <v>7.8212290502793298</v>
      </c>
      <c r="N217" s="7">
        <v>305</v>
      </c>
      <c r="O217" s="7">
        <v>76</v>
      </c>
      <c r="P217" s="7">
        <v>76</v>
      </c>
      <c r="Q217" s="7">
        <f t="shared" si="623"/>
        <v>81.400000000000006</v>
      </c>
      <c r="R217" s="7">
        <v>2</v>
      </c>
      <c r="S217" s="7">
        <f t="shared" si="620"/>
        <v>280</v>
      </c>
      <c r="T217" s="7">
        <f t="shared" si="621"/>
        <v>1.6368715083798884</v>
      </c>
      <c r="U217" s="7">
        <f t="shared" si="459"/>
        <v>2.6229050279329611</v>
      </c>
      <c r="V217" s="7">
        <f>5500/(K217^2*PI()/4)-1</f>
        <v>4.4639504822285474</v>
      </c>
      <c r="W217" s="7">
        <f t="shared" si="622"/>
        <v>4.4639504822285474</v>
      </c>
      <c r="X217" s="7">
        <f t="shared" si="616"/>
        <v>5.4639504822285474</v>
      </c>
      <c r="Y217" s="7">
        <f t="shared" si="552"/>
        <v>83.682838718840046</v>
      </c>
      <c r="Z217" s="7">
        <f t="shared" si="461"/>
        <v>556</v>
      </c>
      <c r="AA217" s="7">
        <v>25</v>
      </c>
      <c r="AB217" s="7"/>
      <c r="AC217" s="32" t="s">
        <v>183</v>
      </c>
      <c r="AD217" s="4">
        <f t="shared" si="476"/>
        <v>0</v>
      </c>
      <c r="AE217" s="7">
        <v>9.5</v>
      </c>
      <c r="AF217" s="7">
        <v>2</v>
      </c>
      <c r="AG217" s="7">
        <v>102</v>
      </c>
      <c r="AH217" s="7">
        <v>4</v>
      </c>
      <c r="AI217" s="7">
        <f t="shared" ref="AI217:AI219" si="625">AF217</f>
        <v>2</v>
      </c>
      <c r="AJ217" s="7">
        <f t="shared" si="473"/>
        <v>7.1672354948805461</v>
      </c>
      <c r="AK217" s="4">
        <f t="shared" si="569"/>
        <v>280</v>
      </c>
      <c r="AL217" s="4">
        <f t="shared" si="505"/>
        <v>0.36309523809523808</v>
      </c>
      <c r="AM217" s="4">
        <f t="shared" si="506"/>
        <v>110.3932135239679</v>
      </c>
      <c r="AN217" s="4">
        <f t="shared" si="507"/>
        <v>0.76707142857142852</v>
      </c>
      <c r="AO217" s="4">
        <v>1.25</v>
      </c>
      <c r="AP217" s="4">
        <f t="shared" si="624"/>
        <v>2.5</v>
      </c>
      <c r="AQ217" s="38">
        <f t="shared" si="509"/>
        <v>96.083487353937286</v>
      </c>
      <c r="AR217" s="38">
        <f t="shared" si="510"/>
        <v>96.083487353937286</v>
      </c>
      <c r="AS217" s="38">
        <f t="shared" si="511"/>
        <v>2.3909817806608746</v>
      </c>
      <c r="AT217" s="38">
        <f t="shared" ref="AT217:AT280" si="626">AP217* (J217^0.5/AK217^0.5)/(PI()/4*K217^2)/R217/0.72 *(0.7+(MIN(O217,S217)+0.5*K217)/5/H217) *(3*N217*H217)</f>
        <v>96.083487353937329</v>
      </c>
      <c r="AU217" s="38">
        <f t="shared" si="601"/>
        <v>0.99999999999999956</v>
      </c>
      <c r="AV217" s="38">
        <f t="shared" si="537"/>
        <v>2.0099917928967055</v>
      </c>
      <c r="AW217" s="4">
        <f t="shared" si="529"/>
        <v>0</v>
      </c>
      <c r="AX217" s="4">
        <f t="shared" si="570"/>
        <v>195.25972026914428</v>
      </c>
      <c r="AY217" s="4">
        <f t="shared" si="571"/>
        <v>1.2409556313993173</v>
      </c>
      <c r="AZ217" s="38">
        <f t="shared" si="617"/>
        <v>193.12702101430844</v>
      </c>
      <c r="BA217" s="4">
        <f t="shared" si="572"/>
        <v>0.37504693248800336</v>
      </c>
      <c r="BB217" s="4">
        <f t="shared" si="602"/>
        <v>38.263489643025764</v>
      </c>
      <c r="BC217" s="4">
        <f t="shared" si="603"/>
        <v>231.3905106573342</v>
      </c>
      <c r="BE217" s="4">
        <f t="shared" ref="BE217:BE280" si="627">MIN(1.5, 0.75+0.25*MIN(3,MAX(1,O217/K217))+0.4*MIN(1,(40*2*PI()*AE217^2/4/AG217/R217)/K217))</f>
        <v>1.5</v>
      </c>
      <c r="BF217" s="4">
        <f t="shared" ref="BF217:BF281" si="628">(3*M217+30)*BE217*J217^0.5</f>
        <v>380.40080289148398</v>
      </c>
      <c r="BH217" s="4">
        <f t="shared" si="463"/>
        <v>185.23243104839844</v>
      </c>
      <c r="BI217" s="4">
        <f t="shared" si="464"/>
        <v>1562.4220485187734</v>
      </c>
      <c r="BJ217" s="4">
        <f t="shared" si="465"/>
        <v>8.4349270787820956</v>
      </c>
      <c r="BR217" s="4">
        <f t="shared" si="539"/>
        <v>40.700000000000003</v>
      </c>
      <c r="BV217" s="9"/>
      <c r="BX217" s="9"/>
      <c r="BY217" s="9"/>
      <c r="BZ217" s="9">
        <f t="shared" si="577"/>
        <v>40.700000000000003</v>
      </c>
      <c r="CA217" s="9">
        <f t="shared" si="578"/>
        <v>76</v>
      </c>
      <c r="CB217" s="9">
        <f t="shared" si="604"/>
        <v>1.1709505872794554</v>
      </c>
      <c r="CC217" s="9">
        <v>20</v>
      </c>
      <c r="CD217" s="9">
        <f t="shared" si="518"/>
        <v>3.8822534914349713E-2</v>
      </c>
      <c r="CE217" s="9">
        <f t="shared" si="605"/>
        <v>0.57645069828699425</v>
      </c>
      <c r="CF217" s="9">
        <f t="shared" si="579"/>
        <v>0.89787751228078194</v>
      </c>
      <c r="CG217" s="9">
        <f t="shared" si="580"/>
        <v>0.91600000000000004</v>
      </c>
      <c r="CH217" s="9">
        <f t="shared" si="606"/>
        <v>1.3654376435522646</v>
      </c>
      <c r="CI217" s="9">
        <f t="shared" si="607"/>
        <v>2.3859674937040509</v>
      </c>
      <c r="CJ217" s="9">
        <v>1</v>
      </c>
      <c r="CK217" s="9">
        <f t="shared" si="608"/>
        <v>217.80284272136419</v>
      </c>
      <c r="DH217" s="4">
        <f t="shared" si="557"/>
        <v>2</v>
      </c>
      <c r="DI217" s="4">
        <f t="shared" ref="DI217:DI243" si="629">I217</f>
        <v>280</v>
      </c>
      <c r="DL217" s="4">
        <f t="shared" si="485"/>
        <v>1.3208101828668835E-5</v>
      </c>
      <c r="DM217" s="4">
        <f t="shared" si="558"/>
        <v>4.6930538202349794</v>
      </c>
      <c r="DN217" s="4">
        <f t="shared" si="486"/>
        <v>0.31149433418967626</v>
      </c>
      <c r="DO217" s="4">
        <f t="shared" si="487"/>
        <v>2.9433072175644721</v>
      </c>
      <c r="DP217" s="4">
        <f t="shared" si="488"/>
        <v>3.9176255037367289</v>
      </c>
      <c r="DQ217" s="4">
        <f t="shared" si="489"/>
        <v>4.5812908734182951</v>
      </c>
      <c r="DR217" s="38">
        <f t="shared" si="513"/>
        <v>214.72683896526962</v>
      </c>
      <c r="DS217" s="4">
        <f t="shared" si="609"/>
        <v>1.000132818213</v>
      </c>
      <c r="DT217" s="4">
        <f t="shared" si="490"/>
        <v>2.3375094614201131</v>
      </c>
      <c r="DU217" s="4">
        <f t="shared" si="618"/>
        <v>96.083487353937329</v>
      </c>
      <c r="DY217" s="4">
        <f t="shared" si="581"/>
        <v>0.85</v>
      </c>
      <c r="DZ217" s="4">
        <f t="shared" si="610"/>
        <v>0.98631284916201112</v>
      </c>
      <c r="EA217" s="4">
        <f t="shared" si="514"/>
        <v>0.99049889204456787</v>
      </c>
      <c r="EB217" s="4">
        <f t="shared" si="611"/>
        <v>0.97694178430429301</v>
      </c>
      <c r="ED217" s="4">
        <f t="shared" si="515"/>
        <v>204.86250035520987</v>
      </c>
      <c r="EE217" s="25">
        <f t="shared" si="516"/>
        <v>94.746153735171248</v>
      </c>
      <c r="EG217" s="4">
        <f t="shared" si="619"/>
        <v>0.830400516658649</v>
      </c>
      <c r="EH217" s="4">
        <f t="shared" si="517"/>
        <v>4.6930538202349794</v>
      </c>
      <c r="EK217" s="4">
        <f t="shared" si="491"/>
        <v>83.682838718840046</v>
      </c>
      <c r="EL217" s="4">
        <f t="shared" si="492"/>
        <v>2.3375094614201131</v>
      </c>
      <c r="EM217" s="4">
        <f t="shared" si="493"/>
        <v>8.0793547209318639E-2</v>
      </c>
      <c r="EP217" s="4">
        <f t="shared" si="541"/>
        <v>8.0793547209318639E-2</v>
      </c>
      <c r="EQ217" s="4">
        <f t="shared" si="542"/>
        <v>0.31097450820056571</v>
      </c>
      <c r="ER217" s="4">
        <f t="shared" si="559"/>
        <v>2.9413415005810704</v>
      </c>
      <c r="ES217" s="4">
        <f t="shared" si="582"/>
        <v>3.9168897010662813</v>
      </c>
      <c r="ET217" s="4">
        <f t="shared" si="560"/>
        <v>126.31716128115995</v>
      </c>
      <c r="EU217" s="4">
        <f t="shared" si="561"/>
        <v>69.999999999999986</v>
      </c>
      <c r="EV217" s="4">
        <f t="shared" si="612"/>
        <v>1.3208101828668833E-5</v>
      </c>
      <c r="EW217" s="4">
        <f t="shared" si="583"/>
        <v>4.5813226512149816</v>
      </c>
      <c r="EX217" s="4">
        <f t="shared" si="466"/>
        <v>214.69832311765902</v>
      </c>
      <c r="FG217" s="23"/>
      <c r="FH217" s="23"/>
      <c r="FI217" s="23"/>
      <c r="FJ217" s="23"/>
      <c r="FK217" s="23"/>
      <c r="FL217" s="23"/>
      <c r="FM217" s="23"/>
      <c r="FN217" s="23"/>
      <c r="FX217" s="4">
        <f t="shared" si="613"/>
        <v>1</v>
      </c>
      <c r="FY217" s="4">
        <f t="shared" si="469"/>
        <v>0.57658194354098002</v>
      </c>
      <c r="FZ217" s="4">
        <f t="shared" si="614"/>
        <v>0.28167035985144034</v>
      </c>
      <c r="GA217" s="4">
        <f t="shared" si="615"/>
        <v>248.14052576933713</v>
      </c>
    </row>
    <row r="218" spans="1:183" ht="12" customHeight="1" x14ac:dyDescent="0.3">
      <c r="A218" s="25">
        <v>200</v>
      </c>
      <c r="B218" s="24" t="s">
        <v>182</v>
      </c>
      <c r="C218" s="4">
        <v>1996</v>
      </c>
      <c r="D218" s="24" t="s">
        <v>309</v>
      </c>
      <c r="E218" s="24"/>
      <c r="F218" s="4" t="s">
        <v>334</v>
      </c>
      <c r="G218" s="7">
        <v>556</v>
      </c>
      <c r="H218" s="7">
        <f>381-P218-25</f>
        <v>280</v>
      </c>
      <c r="I218" s="7">
        <f t="shared" ref="I218:I243" si="630">H218</f>
        <v>280</v>
      </c>
      <c r="J218" s="7">
        <v>23.2</v>
      </c>
      <c r="K218" s="7">
        <v>35.799999999999997</v>
      </c>
      <c r="L218" s="7">
        <f t="shared" si="498"/>
        <v>7.8212290502793298</v>
      </c>
      <c r="M218" s="7">
        <f t="shared" si="499"/>
        <v>7.8212290502793298</v>
      </c>
      <c r="N218" s="7">
        <v>305</v>
      </c>
      <c r="O218" s="7">
        <v>76</v>
      </c>
      <c r="P218" s="7">
        <v>76</v>
      </c>
      <c r="Q218" s="7">
        <f t="shared" si="623"/>
        <v>81.400000000000006</v>
      </c>
      <c r="R218" s="7">
        <v>2</v>
      </c>
      <c r="S218" s="7">
        <f t="shared" si="620"/>
        <v>280</v>
      </c>
      <c r="T218" s="7">
        <f t="shared" si="621"/>
        <v>1.6368715083798884</v>
      </c>
      <c r="U218" s="7">
        <f t="shared" ref="U218:U281" si="631">O218/K218+0.5</f>
        <v>2.6229050279329611</v>
      </c>
      <c r="V218" s="7">
        <f>5500/(K218^2*PI()/4)-1</f>
        <v>4.4639504822285474</v>
      </c>
      <c r="W218" s="7">
        <f t="shared" si="622"/>
        <v>4.4639504822285474</v>
      </c>
      <c r="X218" s="7">
        <f t="shared" si="616"/>
        <v>5.4639504822285474</v>
      </c>
      <c r="Y218" s="7">
        <f t="shared" si="552"/>
        <v>83.682838718840046</v>
      </c>
      <c r="Z218" s="7">
        <f t="shared" ref="Z218:Z243" si="632">G218</f>
        <v>556</v>
      </c>
      <c r="AA218" s="7">
        <v>25</v>
      </c>
      <c r="AB218" s="7"/>
      <c r="AC218" s="32" t="s">
        <v>183</v>
      </c>
      <c r="AD218" s="4">
        <f t="shared" si="476"/>
        <v>0</v>
      </c>
      <c r="AE218" s="7">
        <v>9.5</v>
      </c>
      <c r="AF218" s="7">
        <v>2</v>
      </c>
      <c r="AG218" s="7">
        <v>64</v>
      </c>
      <c r="AH218" s="7">
        <v>6</v>
      </c>
      <c r="AI218" s="7">
        <f t="shared" si="625"/>
        <v>2</v>
      </c>
      <c r="AJ218" s="7">
        <f t="shared" si="473"/>
        <v>7.1672354948805461</v>
      </c>
      <c r="AK218" s="4">
        <f t="shared" si="569"/>
        <v>280</v>
      </c>
      <c r="AL218" s="4">
        <f t="shared" si="505"/>
        <v>0.36309523809523808</v>
      </c>
      <c r="AM218" s="4">
        <f t="shared" si="506"/>
        <v>112.09728888343021</v>
      </c>
      <c r="AN218" s="4">
        <f t="shared" si="507"/>
        <v>0.76707142857142852</v>
      </c>
      <c r="AO218" s="4">
        <v>1.25</v>
      </c>
      <c r="AP218" s="4">
        <f t="shared" si="624"/>
        <v>2.5</v>
      </c>
      <c r="AQ218" s="38">
        <f t="shared" si="509"/>
        <v>97.56667185436406</v>
      </c>
      <c r="AR218" s="38">
        <f t="shared" si="510"/>
        <v>97.56667185436406</v>
      </c>
      <c r="AS218" s="38">
        <f t="shared" si="511"/>
        <v>2.4403188690141904</v>
      </c>
      <c r="AT218" s="38">
        <f t="shared" si="626"/>
        <v>97.566671854364117</v>
      </c>
      <c r="AU218" s="38">
        <f t="shared" si="601"/>
        <v>0.99999999999999944</v>
      </c>
      <c r="AV218" s="38">
        <f t="shared" si="537"/>
        <v>2.0410188585799882</v>
      </c>
      <c r="AW218" s="4">
        <f t="shared" si="529"/>
        <v>0</v>
      </c>
      <c r="AX218" s="4">
        <f t="shared" si="570"/>
        <v>198.27383017123452</v>
      </c>
      <c r="AY218" s="4">
        <f t="shared" si="571"/>
        <v>1.2409556313993173</v>
      </c>
      <c r="AZ218" s="38">
        <f t="shared" si="617"/>
        <v>199.13541722364249</v>
      </c>
      <c r="BA218" s="4">
        <f t="shared" si="572"/>
        <v>0.37504693248800336</v>
      </c>
      <c r="BB218" s="4">
        <f t="shared" si="602"/>
        <v>38.854140714647713</v>
      </c>
      <c r="BC218" s="4">
        <f t="shared" si="603"/>
        <v>237.9895579382902</v>
      </c>
      <c r="BE218" s="4">
        <f t="shared" si="627"/>
        <v>1.5</v>
      </c>
      <c r="BF218" s="4">
        <f t="shared" si="628"/>
        <v>386.2728272146669</v>
      </c>
      <c r="BH218" s="4">
        <f t="shared" ref="BH218:BH281" si="633">3.4/PI()^0.5*J218*T218*W218^0.5*AY218</f>
        <v>190.99521779212648</v>
      </c>
      <c r="BI218" s="4">
        <f t="shared" ref="BI218:BI259" si="634">8/3*Z218*AA218^2/(Y218-K218-22)/K218*(Y218^2-K218^2)/(Y218^2-(K218+22)^2)</f>
        <v>1562.4220485187734</v>
      </c>
      <c r="BJ218" s="4">
        <f t="shared" ref="BJ218:BJ281" si="635">BI218/BH218</f>
        <v>8.1804249686464257</v>
      </c>
      <c r="BR218" s="4">
        <f t="shared" si="539"/>
        <v>40.700000000000003</v>
      </c>
      <c r="BV218" s="9"/>
      <c r="BX218" s="9"/>
      <c r="BY218" s="9"/>
      <c r="BZ218" s="9">
        <f t="shared" si="577"/>
        <v>40.700000000000003</v>
      </c>
      <c r="CA218" s="9">
        <f t="shared" si="578"/>
        <v>76</v>
      </c>
      <c r="CB218" s="9">
        <f t="shared" si="604"/>
        <v>1.1709505872794554</v>
      </c>
      <c r="CC218" s="9">
        <v>20</v>
      </c>
      <c r="CD218" s="9">
        <f t="shared" si="518"/>
        <v>0.05</v>
      </c>
      <c r="CE218" s="9">
        <f t="shared" si="605"/>
        <v>0.8</v>
      </c>
      <c r="CF218" s="9">
        <f t="shared" si="579"/>
        <v>0.89787751228078194</v>
      </c>
      <c r="CG218" s="9">
        <f t="shared" si="580"/>
        <v>0.91600000000000004</v>
      </c>
      <c r="CH218" s="9">
        <f t="shared" si="606"/>
        <v>1.3865151044666033</v>
      </c>
      <c r="CI218" s="9">
        <f t="shared" si="607"/>
        <v>2.7327527594202872</v>
      </c>
      <c r="CJ218" s="9">
        <v>1</v>
      </c>
      <c r="CK218" s="9">
        <f t="shared" si="608"/>
        <v>249.45910664205303</v>
      </c>
      <c r="DH218" s="4">
        <f t="shared" si="557"/>
        <v>2</v>
      </c>
      <c r="DI218" s="4">
        <f t="shared" si="629"/>
        <v>280</v>
      </c>
      <c r="DL218" s="4">
        <f t="shared" si="485"/>
        <v>1.3280055604963279E-5</v>
      </c>
      <c r="DM218" s="4">
        <f t="shared" si="558"/>
        <v>4.765497742468991</v>
      </c>
      <c r="DN218" s="4">
        <f t="shared" si="486"/>
        <v>0.30675907408845532</v>
      </c>
      <c r="DO218" s="4">
        <f t="shared" si="487"/>
        <v>2.970484122953561</v>
      </c>
      <c r="DP218" s="4">
        <f t="shared" si="488"/>
        <v>3.9712794120387733</v>
      </c>
      <c r="DQ218" s="4">
        <f t="shared" si="489"/>
        <v>4.6499415161614266</v>
      </c>
      <c r="DR218" s="38">
        <f t="shared" si="513"/>
        <v>217.75831340658192</v>
      </c>
      <c r="DS218" s="4">
        <f t="shared" si="609"/>
        <v>1.0001319376329623</v>
      </c>
      <c r="DT218" s="4">
        <f t="shared" si="490"/>
        <v>2.3375094614201131</v>
      </c>
      <c r="DU218" s="4">
        <f t="shared" si="618"/>
        <v>97.566671854364117</v>
      </c>
      <c r="DY218" s="4">
        <f t="shared" si="581"/>
        <v>0.85</v>
      </c>
      <c r="DZ218" s="4">
        <f t="shared" si="610"/>
        <v>0.98631284916201112</v>
      </c>
      <c r="EA218" s="4">
        <f t="shared" si="514"/>
        <v>0.99049889204456787</v>
      </c>
      <c r="EB218" s="4">
        <f t="shared" si="611"/>
        <v>0.97694178430429301</v>
      </c>
      <c r="ED218" s="4">
        <f t="shared" si="515"/>
        <v>208.02484274736571</v>
      </c>
      <c r="EE218" s="25">
        <f t="shared" si="516"/>
        <v>96.208694600048602</v>
      </c>
      <c r="EG218" s="4">
        <f t="shared" si="619"/>
        <v>0.830400516658649</v>
      </c>
      <c r="EH218" s="4">
        <f t="shared" si="517"/>
        <v>4.765497742468991</v>
      </c>
      <c r="EK218" s="4">
        <f t="shared" si="491"/>
        <v>83.682838718840046</v>
      </c>
      <c r="EL218" s="4">
        <f t="shared" si="492"/>
        <v>2.3375094614201131</v>
      </c>
      <c r="EM218" s="4">
        <f t="shared" si="493"/>
        <v>8.0793547209318639E-2</v>
      </c>
      <c r="EP218" s="4">
        <f t="shared" si="541"/>
        <v>8.0793547209318639E-2</v>
      </c>
      <c r="EQ218" s="4">
        <f t="shared" si="542"/>
        <v>0.30624715036592115</v>
      </c>
      <c r="ER218" s="4">
        <f t="shared" si="559"/>
        <v>2.9685002556037405</v>
      </c>
      <c r="ES218" s="4">
        <f t="shared" si="582"/>
        <v>3.970540188322834</v>
      </c>
      <c r="ET218" s="4">
        <f t="shared" si="560"/>
        <v>126.31716128115995</v>
      </c>
      <c r="EU218" s="4">
        <f t="shared" si="561"/>
        <v>69.999999999999986</v>
      </c>
      <c r="EV218" s="4">
        <f t="shared" si="612"/>
        <v>1.3280055604963274E-5</v>
      </c>
      <c r="EW218" s="4">
        <f t="shared" si="583"/>
        <v>4.6499742031972318</v>
      </c>
      <c r="EX218" s="4">
        <f t="shared" ref="EX218:EX281" si="636">MIN(4/K218*(1*ER218*EK218+ES218*ET218+EU218*EW218)+DU218,MAX(G218,AB218))</f>
        <v>217.72958668028949</v>
      </c>
      <c r="FG218" s="23"/>
      <c r="FH218" s="23"/>
      <c r="FI218" s="23"/>
      <c r="FJ218" s="23"/>
      <c r="FK218" s="23"/>
      <c r="FL218" s="23"/>
      <c r="FM218" s="23"/>
      <c r="FN218" s="23"/>
      <c r="FX218" s="4">
        <f t="shared" si="613"/>
        <v>1</v>
      </c>
      <c r="FY218" s="4">
        <f t="shared" si="469"/>
        <v>0.56618748804278263</v>
      </c>
      <c r="FZ218" s="4">
        <f t="shared" si="614"/>
        <v>0.3</v>
      </c>
      <c r="GA218" s="4">
        <f t="shared" si="615"/>
        <v>254.63894993046731</v>
      </c>
    </row>
    <row r="219" spans="1:183" ht="12" customHeight="1" x14ac:dyDescent="0.3">
      <c r="A219" s="25">
        <v>201</v>
      </c>
      <c r="B219" s="24" t="s">
        <v>182</v>
      </c>
      <c r="C219" s="4">
        <v>1996</v>
      </c>
      <c r="D219" s="24" t="s">
        <v>309</v>
      </c>
      <c r="E219" s="24"/>
      <c r="F219" s="4" t="s">
        <v>335</v>
      </c>
      <c r="G219" s="7">
        <v>578</v>
      </c>
      <c r="H219" s="7">
        <f>305-P219-18</f>
        <v>211</v>
      </c>
      <c r="I219" s="7">
        <f t="shared" si="630"/>
        <v>211</v>
      </c>
      <c r="J219" s="7">
        <v>29.6</v>
      </c>
      <c r="K219" s="7">
        <v>25.4</v>
      </c>
      <c r="L219" s="7">
        <f t="shared" si="498"/>
        <v>8.3070866141732296</v>
      </c>
      <c r="M219" s="7">
        <f t="shared" si="499"/>
        <v>8.3070866141732296</v>
      </c>
      <c r="N219" s="7">
        <v>305</v>
      </c>
      <c r="O219" s="7">
        <v>76</v>
      </c>
      <c r="P219" s="7">
        <v>76</v>
      </c>
      <c r="Q219" s="7">
        <f t="shared" si="623"/>
        <v>102.19999999999999</v>
      </c>
      <c r="R219" s="7">
        <v>2</v>
      </c>
      <c r="S219" s="7">
        <f t="shared" si="620"/>
        <v>280</v>
      </c>
      <c r="T219" s="7">
        <f t="shared" si="621"/>
        <v>2.5118110236220472</v>
      </c>
      <c r="U219" s="7">
        <f t="shared" si="631"/>
        <v>3.4921259842519685</v>
      </c>
      <c r="V219" s="7">
        <f>3200/(K219^2*PI()/4)-1</f>
        <v>5.3152807724479523</v>
      </c>
      <c r="W219" s="7">
        <f>3200/(K219^2*PI()/4)-1</f>
        <v>5.3152807724479523</v>
      </c>
      <c r="X219" s="7">
        <f t="shared" si="616"/>
        <v>6.3152807724479523</v>
      </c>
      <c r="Y219" s="7">
        <f t="shared" si="552"/>
        <v>63.830764864229231</v>
      </c>
      <c r="Z219" s="7">
        <f t="shared" si="632"/>
        <v>578</v>
      </c>
      <c r="AA219" s="7">
        <v>18</v>
      </c>
      <c r="AB219" s="7"/>
      <c r="AC219" s="32" t="s">
        <v>183</v>
      </c>
      <c r="AD219" s="4">
        <f t="shared" si="476"/>
        <v>0</v>
      </c>
      <c r="AE219" s="7">
        <v>9.5</v>
      </c>
      <c r="AF219" s="7">
        <v>2</v>
      </c>
      <c r="AG219" s="7">
        <v>102</v>
      </c>
      <c r="AH219" s="7">
        <v>4</v>
      </c>
      <c r="AI219" s="7">
        <f t="shared" si="625"/>
        <v>2</v>
      </c>
      <c r="AJ219" s="7">
        <f t="shared" si="473"/>
        <v>4.9608150470219439</v>
      </c>
      <c r="AK219" s="4">
        <f t="shared" si="569"/>
        <v>211</v>
      </c>
      <c r="AL219" s="4">
        <f t="shared" si="505"/>
        <v>0.48183254344391785</v>
      </c>
      <c r="AM219" s="4">
        <f t="shared" si="506"/>
        <v>164.54406728062244</v>
      </c>
      <c r="AN219" s="4">
        <f t="shared" si="507"/>
        <v>0.7840758293838862</v>
      </c>
      <c r="AO219" s="4">
        <v>1.25</v>
      </c>
      <c r="AP219" s="4">
        <f t="shared" si="624"/>
        <v>2.5</v>
      </c>
      <c r="AQ219" s="38">
        <f t="shared" si="509"/>
        <v>194.26136916020866</v>
      </c>
      <c r="AR219" s="38">
        <f t="shared" si="510"/>
        <v>194.26136916020866</v>
      </c>
      <c r="AS219" s="38">
        <f t="shared" si="511"/>
        <v>2.8706642143339227</v>
      </c>
      <c r="AT219" s="38">
        <f t="shared" si="626"/>
        <v>194.26136916020874</v>
      </c>
      <c r="AU219" s="38">
        <f t="shared" si="601"/>
        <v>0.99999999999999956</v>
      </c>
      <c r="AV219" s="38">
        <f t="shared" si="537"/>
        <v>2.0402602015366833</v>
      </c>
      <c r="AW219" s="4">
        <f t="shared" si="529"/>
        <v>0</v>
      </c>
      <c r="AX219" s="4">
        <f t="shared" si="570"/>
        <v>237.87072336039611</v>
      </c>
      <c r="AY219" s="4">
        <f t="shared" si="571"/>
        <v>1.1561128526645768</v>
      </c>
      <c r="AZ219" s="38">
        <f t="shared" si="617"/>
        <v>396.34374019359956</v>
      </c>
      <c r="BA219" s="4">
        <f t="shared" si="572"/>
        <v>0.3</v>
      </c>
      <c r="BB219" s="4">
        <f t="shared" si="602"/>
        <v>37.286235886742084</v>
      </c>
      <c r="BC219" s="4">
        <f t="shared" si="603"/>
        <v>433.62997608034163</v>
      </c>
      <c r="BE219" s="4">
        <f t="shared" si="627"/>
        <v>1.5</v>
      </c>
      <c r="BF219" s="4">
        <f t="shared" si="628"/>
        <v>448.20593763037658</v>
      </c>
      <c r="BH219" s="4">
        <f t="shared" si="633"/>
        <v>380.14211652669815</v>
      </c>
      <c r="BI219" s="4">
        <f t="shared" si="634"/>
        <v>2245.2309649218914</v>
      </c>
      <c r="BJ219" s="4">
        <f t="shared" si="635"/>
        <v>5.9062936394320946</v>
      </c>
      <c r="BR219" s="4">
        <f t="shared" si="539"/>
        <v>51.099999999999994</v>
      </c>
      <c r="BV219" s="9"/>
      <c r="BX219" s="9"/>
      <c r="BY219" s="9"/>
      <c r="BZ219" s="9">
        <f t="shared" si="577"/>
        <v>51.099999999999994</v>
      </c>
      <c r="CA219" s="9">
        <f t="shared" si="578"/>
        <v>76</v>
      </c>
      <c r="CB219" s="9">
        <f t="shared" si="604"/>
        <v>1.5054020239149992</v>
      </c>
      <c r="CC219" s="9">
        <v>20</v>
      </c>
      <c r="CD219" s="9">
        <f t="shared" si="518"/>
        <v>0.05</v>
      </c>
      <c r="CE219" s="9">
        <f t="shared" si="605"/>
        <v>0.8</v>
      </c>
      <c r="CF219" s="9">
        <f t="shared" si="579"/>
        <v>0.99524931562137331</v>
      </c>
      <c r="CG219" s="9">
        <f t="shared" si="580"/>
        <v>0.88300000000000001</v>
      </c>
      <c r="CH219" s="9">
        <f t="shared" si="606"/>
        <v>1.673425918090842</v>
      </c>
      <c r="CI219" s="9">
        <f t="shared" si="607"/>
        <v>3.8579194984384428</v>
      </c>
      <c r="CJ219" s="9">
        <v>1</v>
      </c>
      <c r="CK219" s="9">
        <f t="shared" si="608"/>
        <v>359.6674556024501</v>
      </c>
      <c r="DH219" s="4">
        <f t="shared" si="557"/>
        <v>2</v>
      </c>
      <c r="DI219" s="4">
        <f t="shared" si="629"/>
        <v>211</v>
      </c>
      <c r="DL219" s="4">
        <f t="shared" si="485"/>
        <v>1.4791679478037025E-5</v>
      </c>
      <c r="DM219" s="4">
        <f t="shared" si="558"/>
        <v>7.1662565049066815</v>
      </c>
      <c r="DN219" s="4">
        <f t="shared" si="486"/>
        <v>0.30666587320385641</v>
      </c>
      <c r="DO219" s="4">
        <f t="shared" si="487"/>
        <v>4.4664093970676291</v>
      </c>
      <c r="DP219" s="4">
        <f t="shared" si="488"/>
        <v>5.971725137421525</v>
      </c>
      <c r="DQ219" s="4">
        <f t="shared" si="489"/>
        <v>6.9474326441800711</v>
      </c>
      <c r="DR219" s="38">
        <f t="shared" si="513"/>
        <v>385.66564001194138</v>
      </c>
      <c r="DS219" s="4">
        <f t="shared" si="609"/>
        <v>1.0001192703791044</v>
      </c>
      <c r="DT219" s="4">
        <f t="shared" si="490"/>
        <v>2.5130222387491825</v>
      </c>
      <c r="DU219" s="4">
        <f t="shared" si="618"/>
        <v>194.26136916020874</v>
      </c>
      <c r="DY219" s="4">
        <f t="shared" si="581"/>
        <v>0.85</v>
      </c>
      <c r="DZ219" s="4">
        <f t="shared" si="610"/>
        <v>0.89881889763779532</v>
      </c>
      <c r="EA219" s="4">
        <f t="shared" si="514"/>
        <v>0.90713466426932854</v>
      </c>
      <c r="EB219" s="4">
        <f t="shared" si="611"/>
        <v>0.81534977894758942</v>
      </c>
      <c r="ED219" s="4">
        <f t="shared" si="515"/>
        <v>370.40590266045024</v>
      </c>
      <c r="EE219" s="25">
        <f t="shared" si="516"/>
        <v>191.81376220352391</v>
      </c>
      <c r="EG219" s="4">
        <f t="shared" si="619"/>
        <v>0.69304731210545101</v>
      </c>
      <c r="EH219" s="4">
        <f t="shared" si="517"/>
        <v>7.1662565049066815</v>
      </c>
      <c r="EK219" s="4">
        <f t="shared" si="491"/>
        <v>63.830764864229231</v>
      </c>
      <c r="EL219" s="4">
        <f t="shared" si="492"/>
        <v>2.5130222387491825</v>
      </c>
      <c r="EM219" s="4">
        <f t="shared" si="493"/>
        <v>9.1231868546160763E-2</v>
      </c>
      <c r="EP219" s="4">
        <f t="shared" si="541"/>
        <v>9.1231868546160763E-2</v>
      </c>
      <c r="EQ219" s="4">
        <f t="shared" si="542"/>
        <v>0.30615410501622836</v>
      </c>
      <c r="ER219" s="4">
        <f t="shared" si="559"/>
        <v>4.4634264611531416</v>
      </c>
      <c r="ES219" s="4">
        <f t="shared" si="582"/>
        <v>5.970613743851005</v>
      </c>
      <c r="ET219" s="4">
        <f t="shared" si="560"/>
        <v>94.419235135770776</v>
      </c>
      <c r="EU219" s="4">
        <f t="shared" si="561"/>
        <v>52.75</v>
      </c>
      <c r="EV219" s="4">
        <f t="shared" si="612"/>
        <v>1.4791679478037025E-5</v>
      </c>
      <c r="EW219" s="4">
        <f t="shared" si="583"/>
        <v>6.9474949086799773</v>
      </c>
      <c r="EX219" s="4">
        <f t="shared" si="636"/>
        <v>385.6196470104523</v>
      </c>
      <c r="FG219" s="23"/>
      <c r="FH219" s="23"/>
      <c r="FI219" s="23"/>
      <c r="FJ219" s="23"/>
      <c r="FK219" s="23"/>
      <c r="FL219" s="23"/>
      <c r="FM219" s="23"/>
      <c r="FN219" s="23"/>
      <c r="FX219" s="4">
        <f t="shared" si="613"/>
        <v>1</v>
      </c>
      <c r="FY219" s="4">
        <f t="shared" si="469"/>
        <v>0.53734064771553958</v>
      </c>
      <c r="FZ219" s="4">
        <f t="shared" si="614"/>
        <v>0.3</v>
      </c>
      <c r="GA219" s="4">
        <f t="shared" si="615"/>
        <v>359.57105850766999</v>
      </c>
    </row>
    <row r="220" spans="1:183" ht="12" customHeight="1" x14ac:dyDescent="0.3">
      <c r="A220" s="25">
        <v>202</v>
      </c>
      <c r="B220" s="24" t="s">
        <v>182</v>
      </c>
      <c r="C220" s="4">
        <v>1996</v>
      </c>
      <c r="D220" s="24" t="s">
        <v>309</v>
      </c>
      <c r="E220" s="24"/>
      <c r="F220" s="4" t="s">
        <v>336</v>
      </c>
      <c r="G220" s="7">
        <v>556</v>
      </c>
      <c r="H220" s="7">
        <f>381-P220-25</f>
        <v>280</v>
      </c>
      <c r="I220" s="7">
        <f t="shared" si="630"/>
        <v>280</v>
      </c>
      <c r="J220" s="7">
        <v>34.5</v>
      </c>
      <c r="K220" s="7">
        <v>35.799999999999997</v>
      </c>
      <c r="L220" s="7">
        <f t="shared" si="498"/>
        <v>7.8212290502793298</v>
      </c>
      <c r="M220" s="7">
        <f t="shared" si="499"/>
        <v>7.8212290502793298</v>
      </c>
      <c r="N220" s="7">
        <v>305</v>
      </c>
      <c r="O220" s="7">
        <v>76</v>
      </c>
      <c r="P220" s="7">
        <v>76</v>
      </c>
      <c r="Q220" s="7">
        <f t="shared" si="623"/>
        <v>81.400000000000006</v>
      </c>
      <c r="R220" s="7">
        <v>2</v>
      </c>
      <c r="S220" s="7">
        <f t="shared" si="620"/>
        <v>280</v>
      </c>
      <c r="T220" s="7">
        <f t="shared" si="621"/>
        <v>1.6368715083798884</v>
      </c>
      <c r="U220" s="7">
        <f t="shared" si="631"/>
        <v>2.6229050279329611</v>
      </c>
      <c r="V220" s="7">
        <f>3025/(K220^2*PI()/4)-1</f>
        <v>2.0051727652257014</v>
      </c>
      <c r="W220" s="7">
        <f>3025/(K220^2*PI()/4)-1</f>
        <v>2.0051727652257014</v>
      </c>
      <c r="X220" s="7">
        <f t="shared" si="616"/>
        <v>3.0051727652257014</v>
      </c>
      <c r="Y220" s="7">
        <f t="shared" si="552"/>
        <v>62.060854190253195</v>
      </c>
      <c r="Z220" s="7">
        <f t="shared" si="632"/>
        <v>556</v>
      </c>
      <c r="AA220" s="7">
        <v>25</v>
      </c>
      <c r="AB220" s="7">
        <f>340*1000/(K220^2*PI()/4)</f>
        <v>337.7714843559466</v>
      </c>
      <c r="AC220" s="7"/>
      <c r="AD220" s="4">
        <f t="shared" si="476"/>
        <v>1.2380919937878554</v>
      </c>
      <c r="AE220" s="7"/>
      <c r="AF220" s="7"/>
      <c r="AG220" s="7">
        <v>1</v>
      </c>
      <c r="AH220" s="7"/>
      <c r="AI220" s="7"/>
      <c r="AJ220" s="7">
        <f t="shared" si="473"/>
        <v>7.1672354948805461</v>
      </c>
      <c r="AK220" s="4">
        <f t="shared" si="569"/>
        <v>280</v>
      </c>
      <c r="AL220" s="4">
        <f t="shared" si="505"/>
        <v>0.36309523809523808</v>
      </c>
      <c r="AM220" s="4">
        <f t="shared" si="506"/>
        <v>136.69752902409817</v>
      </c>
      <c r="AN220" s="4">
        <f t="shared" si="507"/>
        <v>0.76707142857142852</v>
      </c>
      <c r="AO220" s="4">
        <v>1.25</v>
      </c>
      <c r="AP220" s="4">
        <f t="shared" si="624"/>
        <v>2.5</v>
      </c>
      <c r="AQ220" s="38">
        <f t="shared" si="509"/>
        <v>118.97810455938722</v>
      </c>
      <c r="AR220" s="38">
        <f t="shared" si="510"/>
        <v>118.97810455938722</v>
      </c>
      <c r="AS220" s="38">
        <f t="shared" si="511"/>
        <v>3.1793181165219675</v>
      </c>
      <c r="AT220" s="38">
        <f t="shared" si="626"/>
        <v>118.97810455938726</v>
      </c>
      <c r="AU220" s="38">
        <f t="shared" si="601"/>
        <v>0.99999999999999967</v>
      </c>
      <c r="AV220" s="38">
        <f t="shared" si="537"/>
        <v>1.6681257525259441</v>
      </c>
      <c r="AW220" s="4">
        <f t="shared" si="529"/>
        <v>0</v>
      </c>
      <c r="AX220" s="4">
        <f t="shared" si="570"/>
        <v>241.78588906584861</v>
      </c>
      <c r="AY220" s="4">
        <f t="shared" si="571"/>
        <v>1.2409556313993173</v>
      </c>
      <c r="AZ220" s="38">
        <f t="shared" si="617"/>
        <v>198.47044020223834</v>
      </c>
      <c r="BA220" s="4">
        <f t="shared" si="572"/>
        <v>0.71927581286840181</v>
      </c>
      <c r="BB220" s="4">
        <f t="shared" si="602"/>
        <v>90.868362641677564</v>
      </c>
      <c r="BC220" s="4">
        <f t="shared" si="603"/>
        <v>289.33880284391591</v>
      </c>
      <c r="BE220" s="4">
        <f t="shared" si="627"/>
        <v>1.2807262569832403</v>
      </c>
      <c r="BF220" s="4">
        <f t="shared" si="628"/>
        <v>402.18398012279795</v>
      </c>
      <c r="BH220" s="4">
        <f t="shared" si="633"/>
        <v>190.35742350720918</v>
      </c>
      <c r="BI220" s="4">
        <f t="shared" si="634"/>
        <v>30569.451870773988</v>
      </c>
      <c r="BJ220" s="4">
        <f t="shared" si="635"/>
        <v>160.58975430299554</v>
      </c>
      <c r="BR220" s="4">
        <f t="shared" si="539"/>
        <v>40.700000000000003</v>
      </c>
      <c r="BV220" s="9"/>
      <c r="BX220" s="9"/>
      <c r="BY220" s="9"/>
      <c r="BZ220" s="9">
        <f t="shared" si="577"/>
        <v>40.700000000000003</v>
      </c>
      <c r="CA220" s="9">
        <f t="shared" si="578"/>
        <v>76</v>
      </c>
      <c r="CB220" s="9">
        <f t="shared" si="604"/>
        <v>1.1709505872794554</v>
      </c>
      <c r="CC220" s="9">
        <v>0</v>
      </c>
      <c r="CD220" s="9">
        <f t="shared" si="518"/>
        <v>0</v>
      </c>
      <c r="CE220" s="9">
        <f t="shared" si="605"/>
        <v>0</v>
      </c>
      <c r="CF220" s="9">
        <f t="shared" si="579"/>
        <v>0.89787751228078194</v>
      </c>
      <c r="CG220" s="9">
        <f t="shared" si="580"/>
        <v>0.91600000000000004</v>
      </c>
      <c r="CH220" s="9">
        <f t="shared" si="606"/>
        <v>1.6907919060582215</v>
      </c>
      <c r="CI220" s="9">
        <f t="shared" si="607"/>
        <v>1.9798337753662243</v>
      </c>
      <c r="CJ220" s="9">
        <v>1</v>
      </c>
      <c r="CK220" s="9">
        <f t="shared" si="608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637">AB220/BF220</f>
        <v>0.83984320870467188</v>
      </c>
      <c r="CP220" s="4">
        <f>AB220/CK220</f>
        <v>1.8689394540824167</v>
      </c>
      <c r="CQ220" s="4">
        <f t="shared" ref="CQ220:CQ227" si="638">AB220/DR220</f>
        <v>1.2380919937878554</v>
      </c>
      <c r="CR220" s="4">
        <f t="shared" ref="CR220:CR221" si="639">AB220/ED220</f>
        <v>1.3383380886118024</v>
      </c>
      <c r="CS220" s="4">
        <f>AB220/GA220</f>
        <v>1.8963655360936886</v>
      </c>
      <c r="CU220" s="4">
        <f t="shared" si="593"/>
        <v>1.3969859269328866</v>
      </c>
      <c r="CV220" s="4">
        <f t="shared" si="593"/>
        <v>1.1673908961949973</v>
      </c>
      <c r="CW220" s="4">
        <f t="shared" si="562"/>
        <v>1.8689394540824167</v>
      </c>
      <c r="CX220" s="4">
        <f t="shared" ref="CX220:CX221" si="640">CS220</f>
        <v>1.8963655360936886</v>
      </c>
      <c r="CY220" s="4">
        <f t="shared" si="594"/>
        <v>1.2380919937878554</v>
      </c>
      <c r="CZ220" s="4">
        <f t="shared" si="594"/>
        <v>1.3383380886118024</v>
      </c>
      <c r="DH220" s="4">
        <f t="shared" si="557"/>
        <v>0</v>
      </c>
      <c r="DI220" s="4">
        <f t="shared" si="629"/>
        <v>280</v>
      </c>
      <c r="DL220" s="4">
        <f t="shared" si="485"/>
        <v>1.4413593384422284E-5</v>
      </c>
      <c r="DM220" s="4">
        <f t="shared" si="558"/>
        <v>5.7560932013474524</v>
      </c>
      <c r="DN220" s="4">
        <f t="shared" si="486"/>
        <v>0.41531802396359924</v>
      </c>
      <c r="DO220" s="4">
        <f t="shared" si="487"/>
        <v>4.0502341293306188</v>
      </c>
      <c r="DP220" s="4">
        <f t="shared" si="488"/>
        <v>4.9770133082573631</v>
      </c>
      <c r="DQ220" s="4">
        <f t="shared" si="489"/>
        <v>5.5599195823198233</v>
      </c>
      <c r="DR220" s="38">
        <f t="shared" si="513"/>
        <v>272.8161445601134</v>
      </c>
      <c r="DS220" s="4">
        <f t="shared" si="609"/>
        <v>1.0001337893468336</v>
      </c>
      <c r="DT220" s="4">
        <f t="shared" si="490"/>
        <v>1.7335434131355643</v>
      </c>
      <c r="DU220" s="4">
        <f t="shared" si="618"/>
        <v>118.97810455938726</v>
      </c>
      <c r="DY220" s="4">
        <f t="shared" si="581"/>
        <v>0.85</v>
      </c>
      <c r="DZ220" s="4">
        <f t="shared" si="610"/>
        <v>0.98631284916201112</v>
      </c>
      <c r="EA220" s="4">
        <f t="shared" si="514"/>
        <v>1</v>
      </c>
      <c r="EB220" s="4">
        <f t="shared" si="611"/>
        <v>0.98631284916201112</v>
      </c>
      <c r="ED220" s="4">
        <f t="shared" si="515"/>
        <v>252.38128334694687</v>
      </c>
      <c r="EE220" s="25">
        <f t="shared" si="516"/>
        <v>117.32211325946476</v>
      </c>
      <c r="EG220" s="4">
        <f t="shared" si="619"/>
        <v>0.83836592178770941</v>
      </c>
      <c r="EH220" s="4">
        <f t="shared" si="517"/>
        <v>5.7560932013474524</v>
      </c>
      <c r="EK220" s="4">
        <f t="shared" si="491"/>
        <v>62.060854190253195</v>
      </c>
      <c r="EL220" s="4">
        <f t="shared" si="492"/>
        <v>1.7335434131355643</v>
      </c>
      <c r="EM220" s="4">
        <f t="shared" si="493"/>
        <v>0.13339071238746128</v>
      </c>
      <c r="EP220" s="4">
        <f t="shared" si="541"/>
        <v>0.13339071238746128</v>
      </c>
      <c r="EQ220" s="4">
        <f t="shared" si="542"/>
        <v>0.41462493558636138</v>
      </c>
      <c r="ER220" s="4">
        <f t="shared" si="559"/>
        <v>4.0475291402057101</v>
      </c>
      <c r="ES220" s="4">
        <f t="shared" si="582"/>
        <v>4.9759143938040786</v>
      </c>
      <c r="ET220" s="4">
        <f t="shared" si="560"/>
        <v>147.9391458097468</v>
      </c>
      <c r="EU220" s="4">
        <f t="shared" si="561"/>
        <v>70</v>
      </c>
      <c r="EV220" s="4">
        <f t="shared" si="612"/>
        <v>1.4413593384422284E-5</v>
      </c>
      <c r="EW220" s="4">
        <f t="shared" si="583"/>
        <v>5.5599740973409251</v>
      </c>
      <c r="EX220" s="4">
        <f t="shared" si="636"/>
        <v>272.77964954897072</v>
      </c>
      <c r="FG220" s="23">
        <f t="shared" ref="FG220:FH221" si="641">IF(CM220&lt;0.6,0.6,IF(CM220&lt;0.8,0.8,IF(CM220&lt;1,1,IF(CM220&lt;1.2,1.2,IF(CM220&lt;1.4,1.4,IF(CM220&lt;1.6,1.6,IF(CM220&lt;1.8,1.8,IF(CM220&lt;2,2,2.2))))))))</f>
        <v>1.4</v>
      </c>
      <c r="FH220" s="23">
        <f t="shared" si="641"/>
        <v>1.2</v>
      </c>
      <c r="FI220" s="23">
        <f t="shared" ref="FI220:FI221" si="642">IF(CS220&lt;0.6,0.6,IF(CS220&lt;0.8,0.8,IF(CS220&lt;1,1,IF(CS220&lt;1.2,1.2,IF(CS220&lt;1.4,1.4,IF(CS220&lt;1.6,1.6,IF(CS220&lt;1.8,1.8,IF(CS220&lt;2,2,2.2))))))))</f>
        <v>2</v>
      </c>
      <c r="FJ220" s="23">
        <f t="shared" ref="FJ220:FL221" si="643">IF(CP220&lt;0.6,0.6,IF(CP220&lt;0.8,0.8,IF(CP220&lt;1,1,IF(CP220&lt;1.2,1.2,IF(CP220&lt;1.4,1.4,IF(CP220&lt;1.6,1.6,IF(CP220&lt;1.8,1.8,IF(CP220&lt;2,2,2.2))))))))</f>
        <v>2</v>
      </c>
      <c r="FK220" s="23">
        <f t="shared" si="643"/>
        <v>1.4</v>
      </c>
      <c r="FL220" s="23">
        <f t="shared" si="643"/>
        <v>1.4</v>
      </c>
      <c r="FM220" s="23">
        <f t="shared" ref="FM220:FM221" si="644">IF(FK220&lt;1,1,0)</f>
        <v>0</v>
      </c>
      <c r="FN220" s="23"/>
      <c r="FX220" s="4">
        <f t="shared" si="613"/>
        <v>1</v>
      </c>
      <c r="FY220" s="4">
        <f t="shared" si="469"/>
        <v>0.8938547486033519</v>
      </c>
      <c r="FZ220" s="4">
        <f t="shared" si="614"/>
        <v>0</v>
      </c>
      <c r="GA220" s="4">
        <f t="shared" si="615"/>
        <v>178.11517765278521</v>
      </c>
    </row>
    <row r="221" spans="1:183" ht="12" customHeight="1" x14ac:dyDescent="0.3">
      <c r="A221" s="25">
        <v>203</v>
      </c>
      <c r="B221" s="24" t="s">
        <v>182</v>
      </c>
      <c r="C221" s="4">
        <v>1996</v>
      </c>
      <c r="D221" s="24" t="s">
        <v>309</v>
      </c>
      <c r="E221" s="24"/>
      <c r="F221" s="4" t="s">
        <v>337</v>
      </c>
      <c r="G221" s="7">
        <v>556</v>
      </c>
      <c r="H221" s="7">
        <f>381-P221-25</f>
        <v>280</v>
      </c>
      <c r="I221" s="7">
        <f t="shared" si="630"/>
        <v>280</v>
      </c>
      <c r="J221" s="7">
        <v>34.5</v>
      </c>
      <c r="K221" s="7">
        <v>35.799999999999997</v>
      </c>
      <c r="L221" s="7">
        <f t="shared" si="498"/>
        <v>7.8212290502793298</v>
      </c>
      <c r="M221" s="7">
        <f t="shared" si="499"/>
        <v>7.8212290502793298</v>
      </c>
      <c r="N221" s="7">
        <v>305</v>
      </c>
      <c r="O221" s="7">
        <v>76</v>
      </c>
      <c r="P221" s="7">
        <v>76</v>
      </c>
      <c r="Q221" s="7">
        <f t="shared" si="623"/>
        <v>81.400000000000006</v>
      </c>
      <c r="R221" s="7">
        <v>2</v>
      </c>
      <c r="S221" s="7">
        <f t="shared" si="620"/>
        <v>280</v>
      </c>
      <c r="T221" s="7">
        <f t="shared" si="621"/>
        <v>1.6368715083798884</v>
      </c>
      <c r="U221" s="7">
        <f t="shared" si="631"/>
        <v>2.6229050279329611</v>
      </c>
      <c r="V221" s="7">
        <f>2970/(K221^2*PI()/4)-1</f>
        <v>1.9505332604034158</v>
      </c>
      <c r="W221" s="7">
        <f>2970/(K221^2*PI()/4)-1</f>
        <v>1.9505332604034158</v>
      </c>
      <c r="X221" s="7">
        <f t="shared" si="616"/>
        <v>2.9505332604034158</v>
      </c>
      <c r="Y221" s="7">
        <f t="shared" si="552"/>
        <v>61.494076526633307</v>
      </c>
      <c r="Z221" s="7">
        <f t="shared" si="632"/>
        <v>556</v>
      </c>
      <c r="AA221" s="7">
        <v>25</v>
      </c>
      <c r="AB221" s="7">
        <f>271*1000/(K221^2*PI()/4)</f>
        <v>269.22374194253388</v>
      </c>
      <c r="AC221" s="7"/>
      <c r="AD221" s="4">
        <f t="shared" si="476"/>
        <v>0.98516281921633742</v>
      </c>
      <c r="AE221" s="7"/>
      <c r="AF221" s="7"/>
      <c r="AG221" s="7">
        <v>1</v>
      </c>
      <c r="AH221" s="7"/>
      <c r="AI221" s="7"/>
      <c r="AJ221" s="7">
        <f t="shared" si="473"/>
        <v>7.1672354948805461</v>
      </c>
      <c r="AK221" s="4">
        <f t="shared" si="569"/>
        <v>280</v>
      </c>
      <c r="AL221" s="4">
        <f t="shared" si="505"/>
        <v>0.36309523809523808</v>
      </c>
      <c r="AM221" s="4">
        <f t="shared" si="506"/>
        <v>136.69752902409817</v>
      </c>
      <c r="AN221" s="4">
        <f t="shared" si="507"/>
        <v>0.76707142857142852</v>
      </c>
      <c r="AO221" s="4">
        <v>1.25</v>
      </c>
      <c r="AP221" s="4">
        <f t="shared" si="624"/>
        <v>2.5</v>
      </c>
      <c r="AQ221" s="38">
        <f t="shared" si="509"/>
        <v>118.97810455938722</v>
      </c>
      <c r="AR221" s="38">
        <f t="shared" si="510"/>
        <v>118.97810455938722</v>
      </c>
      <c r="AS221" s="38">
        <f t="shared" si="511"/>
        <v>3.1793181165219675</v>
      </c>
      <c r="AT221" s="38">
        <f t="shared" si="626"/>
        <v>118.97810455938726</v>
      </c>
      <c r="AU221" s="38">
        <f t="shared" si="601"/>
        <v>0.99999999999999967</v>
      </c>
      <c r="AV221" s="38">
        <f t="shared" si="537"/>
        <v>1.6452411697278291</v>
      </c>
      <c r="AW221" s="4">
        <f t="shared" si="529"/>
        <v>0</v>
      </c>
      <c r="AX221" s="4">
        <f t="shared" si="570"/>
        <v>241.78588906584861</v>
      </c>
      <c r="AY221" s="4">
        <f t="shared" si="571"/>
        <v>1.2409556313993173</v>
      </c>
      <c r="AZ221" s="38">
        <f t="shared" si="617"/>
        <v>195.74767591728624</v>
      </c>
      <c r="BA221" s="4">
        <f t="shared" si="572"/>
        <v>0.72692534354352178</v>
      </c>
      <c r="BB221" s="4">
        <f t="shared" si="602"/>
        <v>91.834751772230206</v>
      </c>
      <c r="BC221" s="4">
        <f t="shared" si="603"/>
        <v>287.58242768951646</v>
      </c>
      <c r="BE221" s="4">
        <f t="shared" si="627"/>
        <v>1.2807262569832403</v>
      </c>
      <c r="BF221" s="4">
        <f t="shared" si="628"/>
        <v>402.18398012279795</v>
      </c>
      <c r="BH221" s="4">
        <f t="shared" si="633"/>
        <v>187.74595958556532</v>
      </c>
      <c r="BI221" s="4">
        <f t="shared" si="634"/>
        <v>39749.280546165857</v>
      </c>
      <c r="BJ221" s="4">
        <f t="shared" si="635"/>
        <v>211.7184339620907</v>
      </c>
      <c r="BR221" s="4">
        <f t="shared" si="539"/>
        <v>40.700000000000003</v>
      </c>
      <c r="BV221" s="9"/>
      <c r="BX221" s="9"/>
      <c r="BY221" s="9"/>
      <c r="BZ221" s="9">
        <f t="shared" si="577"/>
        <v>40.700000000000003</v>
      </c>
      <c r="CA221" s="9">
        <f t="shared" si="578"/>
        <v>76</v>
      </c>
      <c r="CB221" s="9">
        <f t="shared" si="604"/>
        <v>1.1709505872794554</v>
      </c>
      <c r="CC221" s="9">
        <v>0</v>
      </c>
      <c r="CD221" s="9">
        <f t="shared" si="518"/>
        <v>0</v>
      </c>
      <c r="CE221" s="9">
        <f t="shared" si="605"/>
        <v>0</v>
      </c>
      <c r="CF221" s="9">
        <f t="shared" si="579"/>
        <v>0.89787751228078194</v>
      </c>
      <c r="CG221" s="9">
        <f t="shared" si="580"/>
        <v>0.91600000000000004</v>
      </c>
      <c r="CH221" s="9">
        <f t="shared" si="606"/>
        <v>1.6907919060582215</v>
      </c>
      <c r="CI221" s="9">
        <f t="shared" si="607"/>
        <v>1.9798337753662243</v>
      </c>
      <c r="CJ221" s="9">
        <v>1</v>
      </c>
      <c r="CK221" s="9">
        <f t="shared" si="608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637"/>
        <v>0.66940443987931186</v>
      </c>
      <c r="CP221" s="4">
        <f>AB221/CK221</f>
        <v>1.4896546825186321</v>
      </c>
      <c r="CQ221" s="4">
        <f t="shared" si="638"/>
        <v>0.98516281921633742</v>
      </c>
      <c r="CR221" s="4">
        <f t="shared" si="639"/>
        <v>1.0667341823935248</v>
      </c>
      <c r="CS221" s="4">
        <f>AB221/GA221</f>
        <v>1.5115148831805576</v>
      </c>
      <c r="CU221" s="4">
        <f t="shared" si="593"/>
        <v>1.1134799594082712</v>
      </c>
      <c r="CV221" s="4">
        <f t="shared" si="593"/>
        <v>0.93616200442259556</v>
      </c>
      <c r="CW221" s="4">
        <f t="shared" si="562"/>
        <v>1.4896546825186321</v>
      </c>
      <c r="CX221" s="4">
        <f t="shared" si="640"/>
        <v>1.5115148831805576</v>
      </c>
      <c r="CY221" s="4">
        <f t="shared" si="594"/>
        <v>0.98516281921633742</v>
      </c>
      <c r="CZ221" s="4">
        <f t="shared" si="594"/>
        <v>1.0667341823935248</v>
      </c>
      <c r="DH221" s="4">
        <f t="shared" si="557"/>
        <v>0</v>
      </c>
      <c r="DI221" s="4">
        <f t="shared" si="629"/>
        <v>280</v>
      </c>
      <c r="DL221" s="4">
        <f t="shared" si="485"/>
        <v>1.4413593384422284E-5</v>
      </c>
      <c r="DM221" s="4">
        <f t="shared" si="558"/>
        <v>5.7560932013474524</v>
      </c>
      <c r="DN221" s="4">
        <f t="shared" si="486"/>
        <v>0.4230529727962522</v>
      </c>
      <c r="DO221" s="4">
        <f t="shared" si="487"/>
        <v>4.0802400819337299</v>
      </c>
      <c r="DP221" s="4">
        <f t="shared" si="488"/>
        <v>4.9892368362464685</v>
      </c>
      <c r="DQ221" s="4">
        <f t="shared" si="489"/>
        <v>5.5592290458545044</v>
      </c>
      <c r="DR221" s="38">
        <f t="shared" si="513"/>
        <v>273.2784233135107</v>
      </c>
      <c r="DS221" s="4">
        <f t="shared" si="609"/>
        <v>1.0001345161737132</v>
      </c>
      <c r="DT221" s="4">
        <f t="shared" si="490"/>
        <v>1.7177116348221595</v>
      </c>
      <c r="DU221" s="4">
        <f t="shared" si="618"/>
        <v>118.97810455938726</v>
      </c>
      <c r="DY221" s="4">
        <f t="shared" si="581"/>
        <v>0.85</v>
      </c>
      <c r="DZ221" s="4">
        <f t="shared" si="610"/>
        <v>0.98631284916201112</v>
      </c>
      <c r="EA221" s="4">
        <f t="shared" si="514"/>
        <v>1</v>
      </c>
      <c r="EB221" s="4">
        <f t="shared" si="611"/>
        <v>0.98631284916201112</v>
      </c>
      <c r="ED221" s="4">
        <f t="shared" si="515"/>
        <v>252.38128334694687</v>
      </c>
      <c r="EE221" s="25">
        <f t="shared" si="516"/>
        <v>117.32211325946476</v>
      </c>
      <c r="EG221" s="4">
        <f t="shared" si="619"/>
        <v>0.83836592178770941</v>
      </c>
      <c r="EH221" s="4">
        <f t="shared" si="517"/>
        <v>5.7560932013474524</v>
      </c>
      <c r="EK221" s="4">
        <f t="shared" si="491"/>
        <v>61.494076526633307</v>
      </c>
      <c r="EL221" s="4">
        <f t="shared" si="492"/>
        <v>1.7177116348221595</v>
      </c>
      <c r="EM221" s="4">
        <f t="shared" si="493"/>
        <v>0.1358750021980055</v>
      </c>
      <c r="EP221" s="4">
        <f t="shared" si="541"/>
        <v>0.1358750021980055</v>
      </c>
      <c r="EQ221" s="4">
        <f t="shared" si="542"/>
        <v>0.42234697623101108</v>
      </c>
      <c r="ER221" s="4">
        <f t="shared" si="559"/>
        <v>4.0775150530350981</v>
      </c>
      <c r="ES221" s="4">
        <f t="shared" si="582"/>
        <v>4.9881242126995069</v>
      </c>
      <c r="ET221" s="4">
        <f t="shared" si="560"/>
        <v>148.50592347336669</v>
      </c>
      <c r="EU221" s="4">
        <f t="shared" si="561"/>
        <v>70</v>
      </c>
      <c r="EV221" s="4">
        <f t="shared" si="612"/>
        <v>1.4413593384422284E-5</v>
      </c>
      <c r="EW221" s="4">
        <f t="shared" si="583"/>
        <v>5.5592839498710775</v>
      </c>
      <c r="EX221" s="4">
        <f t="shared" si="636"/>
        <v>273.24166788984712</v>
      </c>
      <c r="FG221" s="23">
        <f t="shared" si="641"/>
        <v>1.2</v>
      </c>
      <c r="FH221" s="23">
        <f t="shared" si="641"/>
        <v>1</v>
      </c>
      <c r="FI221" s="23">
        <f t="shared" si="642"/>
        <v>1.6</v>
      </c>
      <c r="FJ221" s="23">
        <f t="shared" si="643"/>
        <v>1.6</v>
      </c>
      <c r="FK221" s="23">
        <f t="shared" si="643"/>
        <v>1</v>
      </c>
      <c r="FL221" s="23">
        <f t="shared" si="643"/>
        <v>1.2</v>
      </c>
      <c r="FM221" s="23">
        <f t="shared" si="644"/>
        <v>0</v>
      </c>
      <c r="FN221" s="23"/>
      <c r="FX221" s="4">
        <f t="shared" si="613"/>
        <v>1</v>
      </c>
      <c r="FY221" s="4">
        <f t="shared" si="469"/>
        <v>0.8938547486033519</v>
      </c>
      <c r="FZ221" s="4">
        <f t="shared" si="614"/>
        <v>0</v>
      </c>
      <c r="GA221" s="4">
        <f t="shared" si="615"/>
        <v>178.11517765278521</v>
      </c>
    </row>
    <row r="222" spans="1:183" ht="12" customHeight="1" x14ac:dyDescent="0.3">
      <c r="A222" s="25">
        <v>204</v>
      </c>
      <c r="B222" s="24" t="s">
        <v>182</v>
      </c>
      <c r="C222" s="4">
        <v>1996</v>
      </c>
      <c r="D222" s="24" t="s">
        <v>309</v>
      </c>
      <c r="E222" s="24"/>
      <c r="F222" s="4" t="s">
        <v>338</v>
      </c>
      <c r="G222" s="7">
        <v>556</v>
      </c>
      <c r="H222" s="7">
        <f>381-P222-25</f>
        <v>280</v>
      </c>
      <c r="I222" s="7">
        <f t="shared" si="630"/>
        <v>280</v>
      </c>
      <c r="J222" s="7">
        <v>35</v>
      </c>
      <c r="K222" s="7">
        <v>35.799999999999997</v>
      </c>
      <c r="L222" s="7">
        <f t="shared" si="498"/>
        <v>7.8212290502793298</v>
      </c>
      <c r="M222" s="7">
        <f t="shared" si="499"/>
        <v>7.8212290502793298</v>
      </c>
      <c r="N222" s="7">
        <v>305</v>
      </c>
      <c r="O222" s="7">
        <v>76</v>
      </c>
      <c r="P222" s="7">
        <v>76</v>
      </c>
      <c r="Q222" s="7">
        <f t="shared" si="623"/>
        <v>81.400000000000006</v>
      </c>
      <c r="R222" s="7">
        <v>2</v>
      </c>
      <c r="S222" s="7">
        <f t="shared" si="620"/>
        <v>280</v>
      </c>
      <c r="T222" s="7">
        <f t="shared" si="621"/>
        <v>1.6368715083798884</v>
      </c>
      <c r="U222" s="7">
        <f t="shared" si="631"/>
        <v>2.6229050279329611</v>
      </c>
      <c r="V222" s="7">
        <f>5500/(K222^2*PI()/4)-1</f>
        <v>4.4639504822285474</v>
      </c>
      <c r="W222" s="7">
        <f t="shared" si="622"/>
        <v>4.4639504822285474</v>
      </c>
      <c r="X222" s="7">
        <f t="shared" si="616"/>
        <v>5.4639504822285474</v>
      </c>
      <c r="Y222" s="7">
        <f t="shared" si="552"/>
        <v>83.682838718840046</v>
      </c>
      <c r="Z222" s="7">
        <f t="shared" si="632"/>
        <v>556</v>
      </c>
      <c r="AA222" s="7">
        <v>25</v>
      </c>
      <c r="AB222" s="7"/>
      <c r="AC222" s="32" t="s">
        <v>183</v>
      </c>
      <c r="AD222" s="4">
        <f t="shared" si="476"/>
        <v>0</v>
      </c>
      <c r="AE222" s="7">
        <v>9.5</v>
      </c>
      <c r="AF222" s="7">
        <v>2</v>
      </c>
      <c r="AG222" s="7">
        <v>102</v>
      </c>
      <c r="AH222" s="7">
        <v>4</v>
      </c>
      <c r="AI222" s="7">
        <f>AF222</f>
        <v>2</v>
      </c>
      <c r="AJ222" s="7">
        <f t="shared" si="473"/>
        <v>7.1672354948805461</v>
      </c>
      <c r="AK222" s="4">
        <f t="shared" si="569"/>
        <v>280</v>
      </c>
      <c r="AL222" s="4">
        <f t="shared" si="505"/>
        <v>0.36309523809523808</v>
      </c>
      <c r="AM222" s="4">
        <f t="shared" si="506"/>
        <v>137.68452761055582</v>
      </c>
      <c r="AN222" s="4">
        <f t="shared" si="507"/>
        <v>0.76707142857142852</v>
      </c>
      <c r="AO222" s="4">
        <v>1.25</v>
      </c>
      <c r="AP222" s="4">
        <f t="shared" si="624"/>
        <v>2.5</v>
      </c>
      <c r="AQ222" s="38">
        <f t="shared" si="509"/>
        <v>119.83716340162</v>
      </c>
      <c r="AR222" s="38">
        <f t="shared" si="510"/>
        <v>119.83716340162</v>
      </c>
      <c r="AS222" s="38">
        <f t="shared" si="511"/>
        <v>3.2099624416952368</v>
      </c>
      <c r="AT222" s="38">
        <f t="shared" si="626"/>
        <v>119.83716340162006</v>
      </c>
      <c r="AU222" s="38">
        <f t="shared" si="601"/>
        <v>0.99999999999999956</v>
      </c>
      <c r="AV222" s="38">
        <f t="shared" si="537"/>
        <v>2.5069002130823193</v>
      </c>
      <c r="AW222" s="4">
        <f t="shared" si="529"/>
        <v>0</v>
      </c>
      <c r="AX222" s="4">
        <f t="shared" si="570"/>
        <v>243.53165822815239</v>
      </c>
      <c r="AY222" s="4">
        <f t="shared" si="571"/>
        <v>1.2409556313993173</v>
      </c>
      <c r="AZ222" s="38">
        <f t="shared" si="617"/>
        <v>300.41981046670202</v>
      </c>
      <c r="BA222" s="4">
        <f t="shared" si="572"/>
        <v>0.37504693248800336</v>
      </c>
      <c r="BB222" s="4">
        <f t="shared" si="602"/>
        <v>47.722956222191854</v>
      </c>
      <c r="BC222" s="4">
        <f t="shared" si="603"/>
        <v>348.14276668889386</v>
      </c>
      <c r="BE222" s="4">
        <f t="shared" si="627"/>
        <v>1.5</v>
      </c>
      <c r="BF222" s="4">
        <f t="shared" si="628"/>
        <v>474.44315802455304</v>
      </c>
      <c r="BH222" s="4">
        <f t="shared" si="633"/>
        <v>288.13933718639765</v>
      </c>
      <c r="BI222" s="4">
        <f t="shared" si="634"/>
        <v>1562.4220485187734</v>
      </c>
      <c r="BJ222" s="4">
        <f t="shared" si="635"/>
        <v>5.4224531220742032</v>
      </c>
      <c r="BR222" s="4">
        <f t="shared" si="539"/>
        <v>40.700000000000003</v>
      </c>
      <c r="BV222" s="9"/>
      <c r="BX222" s="9"/>
      <c r="BY222" s="9"/>
      <c r="BZ222" s="9">
        <f t="shared" si="577"/>
        <v>40.700000000000003</v>
      </c>
      <c r="CA222" s="9">
        <f t="shared" si="578"/>
        <v>76</v>
      </c>
      <c r="CB222" s="9">
        <f t="shared" si="604"/>
        <v>1.1709505872794554</v>
      </c>
      <c r="CC222" s="9">
        <v>20</v>
      </c>
      <c r="CD222" s="9">
        <f t="shared" si="518"/>
        <v>3.8822534914349713E-2</v>
      </c>
      <c r="CE222" s="9">
        <f t="shared" si="605"/>
        <v>0.57645069828699425</v>
      </c>
      <c r="CF222" s="9">
        <f t="shared" si="579"/>
        <v>0.89787751228078194</v>
      </c>
      <c r="CG222" s="9">
        <f t="shared" si="580"/>
        <v>0.91600000000000004</v>
      </c>
      <c r="CH222" s="9">
        <f t="shared" si="606"/>
        <v>1.7029999483921783</v>
      </c>
      <c r="CI222" s="9">
        <f t="shared" si="607"/>
        <v>2.9758242991400894</v>
      </c>
      <c r="CJ222" s="9">
        <v>1</v>
      </c>
      <c r="CK222" s="9">
        <f t="shared" si="608"/>
        <v>271.64787177625175</v>
      </c>
      <c r="DH222" s="4">
        <f t="shared" si="557"/>
        <v>2</v>
      </c>
      <c r="DI222" s="4">
        <f t="shared" si="629"/>
        <v>280</v>
      </c>
      <c r="DL222" s="4">
        <f t="shared" si="485"/>
        <v>1.4463124191571349E-5</v>
      </c>
      <c r="DM222" s="4">
        <f t="shared" si="558"/>
        <v>5.8532664976699591</v>
      </c>
      <c r="DN222" s="4">
        <f t="shared" si="486"/>
        <v>0.24975108781264987</v>
      </c>
      <c r="DO222" s="4">
        <f t="shared" si="487"/>
        <v>3.3604795222157038</v>
      </c>
      <c r="DP222" s="4">
        <f t="shared" si="488"/>
        <v>4.7736376935091256</v>
      </c>
      <c r="DQ222" s="4">
        <f t="shared" si="489"/>
        <v>5.669958822199864</v>
      </c>
      <c r="DR222" s="38">
        <f t="shared" si="513"/>
        <v>262.9772690841171</v>
      </c>
      <c r="DS222" s="4">
        <f t="shared" si="609"/>
        <v>1.0001205169272527</v>
      </c>
      <c r="DT222" s="4">
        <f t="shared" si="490"/>
        <v>2.3375094614201131</v>
      </c>
      <c r="DU222" s="4">
        <f t="shared" si="618"/>
        <v>119.83716340162006</v>
      </c>
      <c r="DY222" s="4">
        <f t="shared" si="581"/>
        <v>0.85</v>
      </c>
      <c r="DZ222" s="4">
        <f t="shared" si="610"/>
        <v>0.98631284916201112</v>
      </c>
      <c r="EA222" s="4">
        <f t="shared" si="514"/>
        <v>0.99049889204456787</v>
      </c>
      <c r="EB222" s="4">
        <f t="shared" si="611"/>
        <v>0.97694178430429301</v>
      </c>
      <c r="ED222" s="4">
        <f t="shared" si="515"/>
        <v>255.5084292423501</v>
      </c>
      <c r="EE222" s="25">
        <f t="shared" si="516"/>
        <v>118.16921533054099</v>
      </c>
      <c r="EG222" s="4">
        <f t="shared" si="619"/>
        <v>0.830400516658649</v>
      </c>
      <c r="EH222" s="4">
        <f t="shared" si="517"/>
        <v>5.8532664976699591</v>
      </c>
      <c r="EK222" s="4">
        <f t="shared" si="491"/>
        <v>83.682838718840046</v>
      </c>
      <c r="EL222" s="4">
        <f t="shared" si="492"/>
        <v>2.3375094614201131</v>
      </c>
      <c r="EM222" s="4">
        <f t="shared" si="493"/>
        <v>8.0793547209318639E-2</v>
      </c>
      <c r="EP222" s="4">
        <f t="shared" si="541"/>
        <v>8.0793547209318639E-2</v>
      </c>
      <c r="EQ222" s="4">
        <f t="shared" si="542"/>
        <v>0.24933429979436575</v>
      </c>
      <c r="ER222" s="4">
        <f t="shared" si="559"/>
        <v>3.3582351925617111</v>
      </c>
      <c r="ES222" s="4">
        <f t="shared" si="582"/>
        <v>4.7728524504637697</v>
      </c>
      <c r="ET222" s="4">
        <f t="shared" si="560"/>
        <v>126.31716128115995</v>
      </c>
      <c r="EU222" s="4">
        <f t="shared" si="561"/>
        <v>69.999999999999986</v>
      </c>
      <c r="EV222" s="4">
        <f t="shared" si="612"/>
        <v>1.4463124191571347E-5</v>
      </c>
      <c r="EW222" s="4">
        <f t="shared" si="583"/>
        <v>5.6700071290405187</v>
      </c>
      <c r="EX222" s="4">
        <f t="shared" si="636"/>
        <v>262.94557969081808</v>
      </c>
      <c r="FG222" s="23"/>
      <c r="FH222" s="23"/>
      <c r="FI222" s="23"/>
      <c r="FJ222" s="23"/>
      <c r="FK222" s="23"/>
      <c r="FL222" s="23"/>
      <c r="FM222" s="23"/>
      <c r="FN222" s="23"/>
      <c r="FX222" s="4">
        <f t="shared" si="613"/>
        <v>1</v>
      </c>
      <c r="FY222" s="4">
        <f t="shared" si="469"/>
        <v>0.57658194354098002</v>
      </c>
      <c r="FZ222" s="4">
        <f t="shared" si="614"/>
        <v>0.28167035985144034</v>
      </c>
      <c r="GA222" s="4">
        <f t="shared" si="615"/>
        <v>277.12077165548715</v>
      </c>
    </row>
    <row r="223" spans="1:183" ht="12" customHeight="1" x14ac:dyDescent="0.3">
      <c r="A223" s="25">
        <v>205</v>
      </c>
      <c r="B223" s="24" t="s">
        <v>182</v>
      </c>
      <c r="C223" s="4">
        <v>1996</v>
      </c>
      <c r="D223" s="24" t="s">
        <v>309</v>
      </c>
      <c r="E223" s="24"/>
      <c r="F223" s="4" t="s">
        <v>339</v>
      </c>
      <c r="G223" s="7">
        <v>578</v>
      </c>
      <c r="H223" s="7">
        <f>305-P223-18</f>
        <v>211</v>
      </c>
      <c r="I223" s="7">
        <f t="shared" si="630"/>
        <v>211</v>
      </c>
      <c r="J223" s="7">
        <v>35</v>
      </c>
      <c r="K223" s="7">
        <v>25.4</v>
      </c>
      <c r="L223" s="7">
        <f t="shared" si="498"/>
        <v>8.3070866141732296</v>
      </c>
      <c r="M223" s="7">
        <f t="shared" si="499"/>
        <v>8.3070866141732296</v>
      </c>
      <c r="N223" s="7">
        <v>305</v>
      </c>
      <c r="O223" s="7">
        <v>38</v>
      </c>
      <c r="P223" s="7">
        <v>76</v>
      </c>
      <c r="Q223" s="7">
        <f>N223-2*K223-2*O223</f>
        <v>178.2</v>
      </c>
      <c r="R223" s="7">
        <v>2</v>
      </c>
      <c r="S223" s="7">
        <f t="shared" si="620"/>
        <v>280</v>
      </c>
      <c r="T223" s="7">
        <f t="shared" si="621"/>
        <v>1.9960629921259843</v>
      </c>
      <c r="U223" s="7">
        <f t="shared" si="631"/>
        <v>1.9960629921259843</v>
      </c>
      <c r="V223" s="7">
        <f>3200/(K223^2*PI()/4)-1</f>
        <v>5.3152807724479523</v>
      </c>
      <c r="W223" s="7">
        <f>3200/(K223^2*PI()/4)-1</f>
        <v>5.3152807724479523</v>
      </c>
      <c r="X223" s="7">
        <f t="shared" si="616"/>
        <v>6.3152807724479523</v>
      </c>
      <c r="Y223" s="7">
        <f t="shared" si="552"/>
        <v>63.830764864229231</v>
      </c>
      <c r="Z223" s="7">
        <f t="shared" si="632"/>
        <v>578</v>
      </c>
      <c r="AA223" s="7">
        <v>18</v>
      </c>
      <c r="AB223" s="7">
        <f>178*1000/(K223^2*PI()/4)</f>
        <v>351.28749296741734</v>
      </c>
      <c r="AC223" s="7"/>
      <c r="AD223" s="4">
        <f t="shared" si="476"/>
        <v>0.93206382246205521</v>
      </c>
      <c r="AE223" s="7"/>
      <c r="AF223" s="7"/>
      <c r="AG223" s="7">
        <v>1</v>
      </c>
      <c r="AH223" s="7"/>
      <c r="AI223" s="7"/>
      <c r="AJ223" s="7">
        <f t="shared" si="473"/>
        <v>3.1090373280943027</v>
      </c>
      <c r="AK223" s="4">
        <f t="shared" si="569"/>
        <v>211</v>
      </c>
      <c r="AL223" s="4">
        <f t="shared" si="505"/>
        <v>0.48183254344391785</v>
      </c>
      <c r="AM223" s="4">
        <f t="shared" si="506"/>
        <v>178.92474002033066</v>
      </c>
      <c r="AN223" s="4">
        <f t="shared" si="507"/>
        <v>0.7480568720379146</v>
      </c>
      <c r="AO223" s="4">
        <v>1.25</v>
      </c>
      <c r="AP223" s="4">
        <f t="shared" si="624"/>
        <v>2.5</v>
      </c>
      <c r="AQ223" s="38">
        <f t="shared" si="509"/>
        <v>201.53531700084281</v>
      </c>
      <c r="AR223" s="38">
        <f t="shared" si="510"/>
        <v>201.53531700084281</v>
      </c>
      <c r="AS223" s="38">
        <f t="shared" si="511"/>
        <v>3.2099624416952368</v>
      </c>
      <c r="AT223" s="38">
        <f t="shared" si="626"/>
        <v>201.53531700084287</v>
      </c>
      <c r="AU223" s="38">
        <f t="shared" si="601"/>
        <v>0.99999999999999967</v>
      </c>
      <c r="AV223" s="38">
        <f t="shared" si="537"/>
        <v>1.5983954151836357</v>
      </c>
      <c r="AW223" s="4">
        <f t="shared" si="529"/>
        <v>0</v>
      </c>
      <c r="AX223" s="4">
        <f t="shared" si="570"/>
        <v>258.6599324977247</v>
      </c>
      <c r="AY223" s="4">
        <f t="shared" si="571"/>
        <v>1</v>
      </c>
      <c r="AZ223" s="38">
        <f t="shared" si="617"/>
        <v>322.13312669172785</v>
      </c>
      <c r="BA223" s="4">
        <f t="shared" si="572"/>
        <v>0.3</v>
      </c>
      <c r="BB223" s="4">
        <f t="shared" si="602"/>
        <v>40.544944419018336</v>
      </c>
      <c r="BC223" s="4">
        <f t="shared" si="603"/>
        <v>362.6780711107462</v>
      </c>
      <c r="BE223" s="4">
        <f t="shared" si="627"/>
        <v>1.1240157480314961</v>
      </c>
      <c r="BF223" s="4">
        <f t="shared" si="628"/>
        <v>365.21357266639933</v>
      </c>
      <c r="BH223" s="4">
        <f t="shared" si="633"/>
        <v>308.96506281174231</v>
      </c>
      <c r="BI223" s="4">
        <f t="shared" si="634"/>
        <v>2245.2309649218914</v>
      </c>
      <c r="BJ223" s="4">
        <f t="shared" si="635"/>
        <v>7.2669412667216324</v>
      </c>
      <c r="BR223" s="4">
        <f t="shared" si="539"/>
        <v>38</v>
      </c>
      <c r="BV223" s="9"/>
      <c r="BX223" s="9"/>
      <c r="BY223" s="9"/>
      <c r="BZ223" s="9">
        <f t="shared" si="577"/>
        <v>38</v>
      </c>
      <c r="CA223" s="9">
        <f t="shared" si="578"/>
        <v>89.1</v>
      </c>
      <c r="CB223" s="9">
        <f t="shared" si="604"/>
        <v>1.3899176059121618</v>
      </c>
      <c r="CC223" s="9">
        <v>0</v>
      </c>
      <c r="CD223" s="9">
        <f t="shared" si="518"/>
        <v>0</v>
      </c>
      <c r="CE223" s="9">
        <f t="shared" si="605"/>
        <v>0</v>
      </c>
      <c r="CF223" s="9">
        <f t="shared" si="579"/>
        <v>0.99524931562137331</v>
      </c>
      <c r="CG223" s="9">
        <f t="shared" si="580"/>
        <v>0.88300000000000001</v>
      </c>
      <c r="CH223" s="9">
        <f t="shared" si="606"/>
        <v>1.8196784745027872</v>
      </c>
      <c r="CI223" s="9">
        <f t="shared" si="607"/>
        <v>2.5292031488108089</v>
      </c>
      <c r="CJ223" s="9">
        <v>1</v>
      </c>
      <c r="CK223" s="9">
        <f t="shared" si="608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645">AB223/BF223</f>
        <v>0.96186866879752408</v>
      </c>
      <c r="CP223" s="4">
        <f>AB223/CK223</f>
        <v>1.4898103684061734</v>
      </c>
      <c r="CQ223" s="4">
        <f t="shared" si="638"/>
        <v>0.93206382246205521</v>
      </c>
      <c r="CR223" s="4">
        <f t="shared" ref="CR223:CR225" si="646">AB223/ED223</f>
        <v>0.96123910886210173</v>
      </c>
      <c r="CS223" s="4">
        <f>AB223/GA223</f>
        <v>1.08971818573285</v>
      </c>
      <c r="CU223" s="4">
        <f t="shared" si="593"/>
        <v>1.358105561906104</v>
      </c>
      <c r="CV223" s="4">
        <f t="shared" si="593"/>
        <v>0.96859314347723358</v>
      </c>
      <c r="CW223" s="4">
        <f t="shared" si="562"/>
        <v>1.4898103684061734</v>
      </c>
      <c r="CX223" s="4">
        <f t="shared" ref="CX223:CX224" si="647">CS223</f>
        <v>1.08971818573285</v>
      </c>
      <c r="CY223" s="4">
        <f t="shared" si="594"/>
        <v>0.93206382246205521</v>
      </c>
      <c r="CZ223" s="4">
        <f t="shared" si="594"/>
        <v>0.96123910886210173</v>
      </c>
      <c r="DH223" s="4">
        <f t="shared" si="557"/>
        <v>0</v>
      </c>
      <c r="DI223" s="4">
        <f t="shared" si="629"/>
        <v>211</v>
      </c>
      <c r="DL223" s="4">
        <f t="shared" si="485"/>
        <v>1.5361578672425713E-5</v>
      </c>
      <c r="DM223" s="4">
        <f t="shared" si="558"/>
        <v>6.6853003614357291</v>
      </c>
      <c r="DN223" s="4">
        <f t="shared" si="486"/>
        <v>0.26906290889067602</v>
      </c>
      <c r="DO223" s="4">
        <f t="shared" si="487"/>
        <v>3.9542348333817863</v>
      </c>
      <c r="DP223" s="4">
        <f t="shared" si="488"/>
        <v>5.4933029542331306</v>
      </c>
      <c r="DQ223" s="4">
        <f t="shared" si="489"/>
        <v>6.4917589700897658</v>
      </c>
      <c r="DR223" s="38">
        <f t="shared" si="513"/>
        <v>376.89210170124204</v>
      </c>
      <c r="DS223" s="4">
        <f t="shared" si="609"/>
        <v>1.0001065941860563</v>
      </c>
      <c r="DT223" s="4">
        <f t="shared" si="490"/>
        <v>2.5130222387491825</v>
      </c>
      <c r="DU223" s="4">
        <f t="shared" si="618"/>
        <v>201.53531700084287</v>
      </c>
      <c r="DY223" s="4">
        <f t="shared" si="581"/>
        <v>0.85</v>
      </c>
      <c r="DZ223" s="4">
        <f t="shared" si="610"/>
        <v>0.9503937007874016</v>
      </c>
      <c r="EA223" s="4">
        <f t="shared" si="514"/>
        <v>1</v>
      </c>
      <c r="EB223" s="4">
        <f t="shared" si="611"/>
        <v>0.9503937007874016</v>
      </c>
      <c r="ED223" s="4">
        <f t="shared" si="515"/>
        <v>365.45276792084064</v>
      </c>
      <c r="EE223" s="25">
        <f t="shared" si="516"/>
        <v>198.84666048821009</v>
      </c>
      <c r="EG223" s="4">
        <f t="shared" si="619"/>
        <v>0.80783464566929131</v>
      </c>
      <c r="EH223" s="4">
        <f t="shared" si="517"/>
        <v>6.6853003614357291</v>
      </c>
      <c r="EK223" s="4">
        <f t="shared" si="491"/>
        <v>63.830764864229231</v>
      </c>
      <c r="EL223" s="4">
        <f t="shared" si="492"/>
        <v>2.5130222387491825</v>
      </c>
      <c r="EM223" s="4">
        <f t="shared" si="493"/>
        <v>8.7040849439833257E-2</v>
      </c>
      <c r="EP223" s="4">
        <f t="shared" si="541"/>
        <v>8.7040849439833257E-2</v>
      </c>
      <c r="EQ223" s="4">
        <f t="shared" si="542"/>
        <v>0.26861389304224681</v>
      </c>
      <c r="ER223" s="4">
        <f t="shared" si="559"/>
        <v>3.9515939583409634</v>
      </c>
      <c r="ES223" s="4">
        <f t="shared" si="582"/>
        <v>5.4923572720963749</v>
      </c>
      <c r="ET223" s="4">
        <f t="shared" si="560"/>
        <v>94.419235135770776</v>
      </c>
      <c r="EU223" s="4">
        <f t="shared" si="561"/>
        <v>52.75</v>
      </c>
      <c r="EV223" s="4">
        <f t="shared" si="612"/>
        <v>1.5361578672425713E-5</v>
      </c>
      <c r="EW223" s="4">
        <f t="shared" si="583"/>
        <v>6.4918116474298335</v>
      </c>
      <c r="EX223" s="4">
        <f t="shared" si="636"/>
        <v>376.85193147634254</v>
      </c>
      <c r="FG223" s="23">
        <f t="shared" ref="FG223:FH225" si="648">IF(CM223&lt;0.6,0.6,IF(CM223&lt;0.8,0.8,IF(CM223&lt;1,1,IF(CM223&lt;1.2,1.2,IF(CM223&lt;1.4,1.4,IF(CM223&lt;1.6,1.6,IF(CM223&lt;1.8,1.8,IF(CM223&lt;2,2,2.2))))))))</f>
        <v>1.4</v>
      </c>
      <c r="FH223" s="23">
        <f t="shared" si="648"/>
        <v>1</v>
      </c>
      <c r="FI223" s="23">
        <f t="shared" ref="FI223:FI225" si="649">IF(CS223&lt;0.6,0.6,IF(CS223&lt;0.8,0.8,IF(CS223&lt;1,1,IF(CS223&lt;1.2,1.2,IF(CS223&lt;1.4,1.4,IF(CS223&lt;1.6,1.6,IF(CS223&lt;1.8,1.8,IF(CS223&lt;2,2,2.2))))))))</f>
        <v>1.2</v>
      </c>
      <c r="FJ223" s="23">
        <f t="shared" ref="FJ223:FL225" si="650">IF(CP223&lt;0.6,0.6,IF(CP223&lt;0.8,0.8,IF(CP223&lt;1,1,IF(CP223&lt;1.2,1.2,IF(CP223&lt;1.4,1.4,IF(CP223&lt;1.6,1.6,IF(CP223&lt;1.8,1.8,IF(CP223&lt;2,2,2.2))))))))</f>
        <v>1.6</v>
      </c>
      <c r="FK223" s="23">
        <f t="shared" si="650"/>
        <v>1</v>
      </c>
      <c r="FL223" s="23">
        <f t="shared" si="650"/>
        <v>1</v>
      </c>
      <c r="FM223" s="23">
        <f t="shared" ref="FM223:FM225" si="651">IF(FK223&lt;1,1,0)</f>
        <v>0</v>
      </c>
      <c r="FN223" s="23"/>
      <c r="FX223" s="4">
        <f t="shared" si="613"/>
        <v>1.25</v>
      </c>
      <c r="FY223" s="4">
        <f t="shared" ref="FY223:FY286" si="652">IF(AG223&gt;1, 0.05*(18-MIN(8,(Q223+K223)/K223))*(1-48000/MAX(60000,(G223*145))*(K223/25.4)^0.75*FZ223), 1/12*(14-MIN(8,(Q223+K223)/K223)))</f>
        <v>0.5</v>
      </c>
      <c r="FZ223" s="4">
        <f t="shared" si="614"/>
        <v>0</v>
      </c>
      <c r="GA223" s="4">
        <f t="shared" si="615"/>
        <v>322.36544967924146</v>
      </c>
    </row>
    <row r="224" spans="1:183" ht="12" customHeight="1" x14ac:dyDescent="0.3">
      <c r="A224" s="25">
        <v>206</v>
      </c>
      <c r="B224" s="24" t="s">
        <v>182</v>
      </c>
      <c r="C224" s="4">
        <v>1996</v>
      </c>
      <c r="D224" s="24" t="s">
        <v>309</v>
      </c>
      <c r="E224" s="24"/>
      <c r="F224" s="4" t="s">
        <v>340</v>
      </c>
      <c r="G224" s="7">
        <v>578</v>
      </c>
      <c r="H224" s="7">
        <f>381-P224-18</f>
        <v>287</v>
      </c>
      <c r="I224" s="7">
        <f t="shared" si="630"/>
        <v>287</v>
      </c>
      <c r="J224" s="7">
        <v>38.299999999999997</v>
      </c>
      <c r="K224" s="7">
        <v>25.4</v>
      </c>
      <c r="L224" s="7">
        <f t="shared" si="498"/>
        <v>11.299212598425198</v>
      </c>
      <c r="M224" s="7">
        <f t="shared" si="499"/>
        <v>11.299212598425198</v>
      </c>
      <c r="N224" s="7">
        <v>305</v>
      </c>
      <c r="O224" s="7">
        <v>76</v>
      </c>
      <c r="P224" s="7">
        <v>76</v>
      </c>
      <c r="Q224" s="7">
        <f t="shared" si="623"/>
        <v>102.19999999999999</v>
      </c>
      <c r="R224" s="7">
        <v>2</v>
      </c>
      <c r="S224" s="7">
        <f t="shared" si="620"/>
        <v>280</v>
      </c>
      <c r="T224" s="7">
        <f t="shared" si="621"/>
        <v>2.5118110236220472</v>
      </c>
      <c r="U224" s="7">
        <f t="shared" si="631"/>
        <v>3.4921259842519685</v>
      </c>
      <c r="V224" s="7">
        <f>3200/(K224^2*PI()/4)-1</f>
        <v>5.3152807724479523</v>
      </c>
      <c r="W224" s="7">
        <f>3200/(K224^2*PI()/4)-1</f>
        <v>5.3152807724479523</v>
      </c>
      <c r="X224" s="7">
        <f t="shared" si="616"/>
        <v>6.3152807724479523</v>
      </c>
      <c r="Y224" s="7">
        <f t="shared" si="552"/>
        <v>63.830764864229231</v>
      </c>
      <c r="Z224" s="7">
        <f t="shared" si="632"/>
        <v>578</v>
      </c>
      <c r="AA224" s="7">
        <v>18</v>
      </c>
      <c r="AB224" s="7">
        <f>273*1000/(K224^2*PI()/4)</f>
        <v>538.7723908994659</v>
      </c>
      <c r="AC224" s="7"/>
      <c r="AD224" s="4">
        <f t="shared" si="476"/>
        <v>1.0324950798962937</v>
      </c>
      <c r="AE224" s="7"/>
      <c r="AF224" s="7"/>
      <c r="AG224" s="7">
        <v>1</v>
      </c>
      <c r="AH224" s="7"/>
      <c r="AI224" s="7"/>
      <c r="AJ224" s="7">
        <f t="shared" si="473"/>
        <v>6.7476489028213171</v>
      </c>
      <c r="AK224" s="4">
        <f t="shared" si="569"/>
        <v>287</v>
      </c>
      <c r="AL224" s="4">
        <f t="shared" si="505"/>
        <v>0.35423925667828104</v>
      </c>
      <c r="AM224" s="4">
        <f t="shared" si="506"/>
        <v>296.91690288490338</v>
      </c>
      <c r="AN224" s="4">
        <f t="shared" si="507"/>
        <v>0.76181184668989543</v>
      </c>
      <c r="AO224" s="4">
        <v>1.25</v>
      </c>
      <c r="AP224" s="4">
        <f t="shared" si="624"/>
        <v>2.5</v>
      </c>
      <c r="AQ224" s="38">
        <f t="shared" si="509"/>
        <v>250.39713378541933</v>
      </c>
      <c r="AR224" s="38">
        <f t="shared" si="510"/>
        <v>250.39713378541933</v>
      </c>
      <c r="AS224" s="38">
        <f t="shared" si="511"/>
        <v>3.408686840836292</v>
      </c>
      <c r="AT224" s="38">
        <f t="shared" si="626"/>
        <v>250.39713378541916</v>
      </c>
      <c r="AU224" s="38">
        <f t="shared" si="601"/>
        <v>1.0000000000000007</v>
      </c>
      <c r="AV224" s="38">
        <f t="shared" si="537"/>
        <v>2.0480931873248389</v>
      </c>
      <c r="AW224" s="4">
        <f t="shared" si="529"/>
        <v>0</v>
      </c>
      <c r="AX224" s="4">
        <f t="shared" si="570"/>
        <v>368.03910519865605</v>
      </c>
      <c r="AY224" s="4">
        <f t="shared" si="571"/>
        <v>1.1561128526645768</v>
      </c>
      <c r="AZ224" s="38">
        <f t="shared" si="617"/>
        <v>512.83666383158322</v>
      </c>
      <c r="BA224" s="4">
        <f t="shared" si="572"/>
        <v>0.3</v>
      </c>
      <c r="BB224" s="4">
        <f t="shared" si="602"/>
        <v>57.690129739889343</v>
      </c>
      <c r="BC224" s="4">
        <f t="shared" si="603"/>
        <v>570.52679357147258</v>
      </c>
      <c r="BE224" s="4">
        <f t="shared" si="627"/>
        <v>1.4980314960629921</v>
      </c>
      <c r="BF224" s="4">
        <f t="shared" si="628"/>
        <v>592.38647535016992</v>
      </c>
      <c r="BH224" s="4">
        <f t="shared" si="633"/>
        <v>491.87307645177486</v>
      </c>
      <c r="BI224" s="4">
        <f t="shared" si="634"/>
        <v>2245.2309649218914</v>
      </c>
      <c r="BJ224" s="4">
        <f t="shared" si="635"/>
        <v>4.564655136480158</v>
      </c>
      <c r="BR224" s="4">
        <f t="shared" si="539"/>
        <v>51.099999999999994</v>
      </c>
      <c r="BV224" s="9"/>
      <c r="BX224" s="9"/>
      <c r="BY224" s="9"/>
      <c r="BZ224" s="9">
        <f t="shared" si="577"/>
        <v>51.099999999999994</v>
      </c>
      <c r="CA224" s="9">
        <f t="shared" si="578"/>
        <v>76</v>
      </c>
      <c r="CB224" s="9">
        <f t="shared" si="604"/>
        <v>1.5054020239149992</v>
      </c>
      <c r="CC224" s="9">
        <v>0</v>
      </c>
      <c r="CD224" s="9">
        <f t="shared" si="518"/>
        <v>0</v>
      </c>
      <c r="CE224" s="9">
        <f t="shared" si="605"/>
        <v>0</v>
      </c>
      <c r="CF224" s="9">
        <f t="shared" si="579"/>
        <v>0.99524931562137331</v>
      </c>
      <c r="CG224" s="9">
        <f t="shared" si="580"/>
        <v>0.88300000000000001</v>
      </c>
      <c r="CH224" s="9">
        <f t="shared" si="606"/>
        <v>1.9035313007054222</v>
      </c>
      <c r="CI224" s="9">
        <f t="shared" si="607"/>
        <v>2.8655798726674937</v>
      </c>
      <c r="CJ224" s="9">
        <v>1</v>
      </c>
      <c r="CK224" s="9">
        <f t="shared" si="608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645"/>
        <v>0.90949475269668878</v>
      </c>
      <c r="CP224" s="4">
        <f>AB224/CK224</f>
        <v>1.7872696358516886</v>
      </c>
      <c r="CQ224" s="4">
        <f t="shared" si="638"/>
        <v>1.0324950798962937</v>
      </c>
      <c r="CR224" s="4">
        <f t="shared" si="646"/>
        <v>1.0800473563193289</v>
      </c>
      <c r="CS224" s="4">
        <f>AB224/GA224</f>
        <v>1.4378533266448839</v>
      </c>
      <c r="CU224" s="4">
        <f t="shared" si="593"/>
        <v>1.4638998500136373</v>
      </c>
      <c r="CV224" s="4">
        <f t="shared" si="593"/>
        <v>0.94434196074609311</v>
      </c>
      <c r="CW224" s="4">
        <f t="shared" si="562"/>
        <v>1.7872696358516886</v>
      </c>
      <c r="CX224" s="4">
        <f t="shared" si="647"/>
        <v>1.4378533266448839</v>
      </c>
      <c r="CY224" s="4">
        <f t="shared" si="594"/>
        <v>1.0324950798962937</v>
      </c>
      <c r="CZ224" s="4">
        <f t="shared" si="594"/>
        <v>1.0800473563193289</v>
      </c>
      <c r="DH224" s="4">
        <f t="shared" si="557"/>
        <v>0</v>
      </c>
      <c r="DI224" s="4">
        <f t="shared" si="629"/>
        <v>287</v>
      </c>
      <c r="DL224" s="4">
        <f t="shared" si="485"/>
        <v>2.13666473812144E-5</v>
      </c>
      <c r="DM224" s="4">
        <f t="shared" si="558"/>
        <v>7.3946503468884011</v>
      </c>
      <c r="DN224" s="4">
        <f t="shared" si="486"/>
        <v>0.30549302157709252</v>
      </c>
      <c r="DO224" s="4">
        <f t="shared" si="487"/>
        <v>4.6016985041395433</v>
      </c>
      <c r="DP224" s="4">
        <f t="shared" si="488"/>
        <v>6.1594193049739197</v>
      </c>
      <c r="DQ224" s="4">
        <f t="shared" si="489"/>
        <v>6.9285703929324711</v>
      </c>
      <c r="DR224" s="38">
        <f t="shared" si="513"/>
        <v>521.81594023051571</v>
      </c>
      <c r="DS224" s="4">
        <f t="shared" si="609"/>
        <v>1.0001089820011146</v>
      </c>
      <c r="DT224" s="4">
        <f t="shared" si="490"/>
        <v>2.5130222387491825</v>
      </c>
      <c r="DU224" s="4">
        <f t="shared" si="618"/>
        <v>250.39713378541916</v>
      </c>
      <c r="DY224" s="4">
        <f t="shared" si="581"/>
        <v>0.85</v>
      </c>
      <c r="DZ224" s="4">
        <f t="shared" si="610"/>
        <v>0.89881889763779532</v>
      </c>
      <c r="EA224" s="4">
        <f t="shared" si="514"/>
        <v>1</v>
      </c>
      <c r="EB224" s="4">
        <f t="shared" si="611"/>
        <v>0.89881889763779532</v>
      </c>
      <c r="ED224" s="4">
        <f t="shared" si="515"/>
        <v>498.84145148555075</v>
      </c>
      <c r="EE224" s="25">
        <f t="shared" si="516"/>
        <v>248.18027240401869</v>
      </c>
      <c r="EG224" s="4">
        <f t="shared" si="619"/>
        <v>0.76399606299212597</v>
      </c>
      <c r="EH224" s="4">
        <f t="shared" si="517"/>
        <v>7.3946503468884011</v>
      </c>
      <c r="EK224" s="4">
        <f t="shared" si="491"/>
        <v>63.830764864229231</v>
      </c>
      <c r="EL224" s="4">
        <f t="shared" si="492"/>
        <v>2.5130222387491825</v>
      </c>
      <c r="EM224" s="4">
        <f t="shared" si="493"/>
        <v>0.10337986159960641</v>
      </c>
      <c r="EP224" s="4">
        <f t="shared" si="541"/>
        <v>0.10337986159960641</v>
      </c>
      <c r="EQ224" s="4">
        <f t="shared" si="542"/>
        <v>0.3049832106602397</v>
      </c>
      <c r="ER224" s="4">
        <f t="shared" si="559"/>
        <v>4.5986252140500472</v>
      </c>
      <c r="ES224" s="4">
        <f t="shared" si="582"/>
        <v>6.1582755537013707</v>
      </c>
      <c r="ET224" s="4">
        <f t="shared" si="560"/>
        <v>151.41923513577078</v>
      </c>
      <c r="EU224" s="4">
        <f t="shared" si="561"/>
        <v>71.75</v>
      </c>
      <c r="EV224" s="4">
        <f t="shared" si="612"/>
        <v>2.13666473812144E-5</v>
      </c>
      <c r="EW224" s="4">
        <f t="shared" si="583"/>
        <v>6.9286858004244598</v>
      </c>
      <c r="EX224" s="4">
        <f t="shared" si="636"/>
        <v>521.75907788210839</v>
      </c>
      <c r="FG224" s="23">
        <f t="shared" si="648"/>
        <v>1.6</v>
      </c>
      <c r="FH224" s="23">
        <f t="shared" si="648"/>
        <v>1</v>
      </c>
      <c r="FI224" s="23">
        <f t="shared" si="649"/>
        <v>1.6</v>
      </c>
      <c r="FJ224" s="23">
        <f t="shared" si="650"/>
        <v>1.8</v>
      </c>
      <c r="FK224" s="23">
        <f t="shared" si="650"/>
        <v>1.2</v>
      </c>
      <c r="FL224" s="23">
        <f t="shared" si="650"/>
        <v>1.2</v>
      </c>
      <c r="FM224" s="23">
        <f t="shared" si="651"/>
        <v>0</v>
      </c>
      <c r="FN224" s="23"/>
      <c r="FX224" s="4">
        <f t="shared" si="613"/>
        <v>1</v>
      </c>
      <c r="FY224" s="4">
        <f t="shared" si="652"/>
        <v>0.74803149606299213</v>
      </c>
      <c r="FZ224" s="4">
        <f t="shared" si="614"/>
        <v>0</v>
      </c>
      <c r="GA224" s="4">
        <f t="shared" si="615"/>
        <v>374.70608504738681</v>
      </c>
    </row>
    <row r="225" spans="1:183" ht="12" customHeight="1" x14ac:dyDescent="0.3">
      <c r="A225" s="25">
        <v>207</v>
      </c>
      <c r="B225" s="24" t="s">
        <v>182</v>
      </c>
      <c r="C225" s="4">
        <v>1996</v>
      </c>
      <c r="D225" s="24" t="s">
        <v>309</v>
      </c>
      <c r="E225" s="24"/>
      <c r="F225" s="4" t="s">
        <v>341</v>
      </c>
      <c r="G225" s="7">
        <v>556</v>
      </c>
      <c r="H225" s="7">
        <f>381-P225-25</f>
        <v>280</v>
      </c>
      <c r="I225" s="7">
        <f t="shared" si="630"/>
        <v>280</v>
      </c>
      <c r="J225" s="7">
        <v>37.200000000000003</v>
      </c>
      <c r="K225" s="7">
        <v>35.799999999999997</v>
      </c>
      <c r="L225" s="7">
        <f t="shared" si="498"/>
        <v>7.8212290502793298</v>
      </c>
      <c r="M225" s="7">
        <f t="shared" si="499"/>
        <v>7.8212290502793298</v>
      </c>
      <c r="N225" s="7">
        <v>305</v>
      </c>
      <c r="O225" s="7">
        <v>76</v>
      </c>
      <c r="P225" s="7">
        <v>76</v>
      </c>
      <c r="Q225" s="7">
        <f t="shared" si="623"/>
        <v>81.400000000000006</v>
      </c>
      <c r="R225" s="7">
        <v>2</v>
      </c>
      <c r="S225" s="7">
        <f t="shared" si="620"/>
        <v>280</v>
      </c>
      <c r="T225" s="7">
        <f t="shared" si="621"/>
        <v>1.6368715083798884</v>
      </c>
      <c r="U225" s="7">
        <f t="shared" si="631"/>
        <v>2.6229050279329611</v>
      </c>
      <c r="V225" s="7">
        <f>3025/(K225^2*PI()/4)-1</f>
        <v>2.0051727652257014</v>
      </c>
      <c r="W225" s="7">
        <f>3025/(K225^2*PI()/4)-1</f>
        <v>2.0051727652257014</v>
      </c>
      <c r="X225" s="7">
        <f t="shared" si="616"/>
        <v>3.0051727652257014</v>
      </c>
      <c r="Y225" s="7">
        <f t="shared" si="552"/>
        <v>62.060854190253195</v>
      </c>
      <c r="Z225" s="7">
        <f t="shared" si="632"/>
        <v>556</v>
      </c>
      <c r="AA225" s="7">
        <v>25</v>
      </c>
      <c r="AB225" s="7">
        <f>416*1000/(K225^2*PI()/4)</f>
        <v>413.27334556492286</v>
      </c>
      <c r="AC225" s="7"/>
      <c r="AD225" s="4">
        <f t="shared" si="476"/>
        <v>1.4559039363893846</v>
      </c>
      <c r="AE225" s="7">
        <v>9.5</v>
      </c>
      <c r="AF225" s="7">
        <v>2</v>
      </c>
      <c r="AG225" s="7">
        <v>102</v>
      </c>
      <c r="AH225" s="7">
        <v>4</v>
      </c>
      <c r="AI225" s="7">
        <f>AF225</f>
        <v>2</v>
      </c>
      <c r="AJ225" s="7">
        <f t="shared" si="473"/>
        <v>7.1672354948805461</v>
      </c>
      <c r="AK225" s="4">
        <f t="shared" si="569"/>
        <v>280</v>
      </c>
      <c r="AL225" s="4">
        <f t="shared" si="505"/>
        <v>0.36309523809523808</v>
      </c>
      <c r="AM225" s="4">
        <f t="shared" si="506"/>
        <v>141.94581301451609</v>
      </c>
      <c r="AN225" s="4">
        <f t="shared" si="507"/>
        <v>0.76707142857142852</v>
      </c>
      <c r="AO225" s="4">
        <v>1.25</v>
      </c>
      <c r="AP225" s="4">
        <f t="shared" si="624"/>
        <v>2.5</v>
      </c>
      <c r="AQ225" s="38">
        <f t="shared" si="509"/>
        <v>123.54607945862055</v>
      </c>
      <c r="AR225" s="38">
        <f t="shared" si="510"/>
        <v>123.54607945862055</v>
      </c>
      <c r="AS225" s="38">
        <f t="shared" si="511"/>
        <v>3.3431039547269137</v>
      </c>
      <c r="AT225" s="38">
        <f t="shared" si="626"/>
        <v>123.54607945862062</v>
      </c>
      <c r="AU225" s="38">
        <f t="shared" si="601"/>
        <v>0.99999999999999944</v>
      </c>
      <c r="AV225" s="38">
        <f t="shared" si="537"/>
        <v>1.7321707849671844</v>
      </c>
      <c r="AW225" s="4">
        <f t="shared" si="529"/>
        <v>0</v>
      </c>
      <c r="AX225" s="4">
        <f t="shared" si="570"/>
        <v>251.06887332864065</v>
      </c>
      <c r="AY225" s="4">
        <f t="shared" si="571"/>
        <v>1.2409556313993173</v>
      </c>
      <c r="AZ225" s="38">
        <f t="shared" si="617"/>
        <v>214.00290943545701</v>
      </c>
      <c r="BA225" s="4">
        <f t="shared" si="572"/>
        <v>0.71927581286840181</v>
      </c>
      <c r="BB225" s="4">
        <f t="shared" si="602"/>
        <v>94.357108753567658</v>
      </c>
      <c r="BC225" s="4">
        <f t="shared" si="603"/>
        <v>308.36001818902469</v>
      </c>
      <c r="BE225" s="4">
        <f t="shared" si="627"/>
        <v>1.5</v>
      </c>
      <c r="BF225" s="4">
        <f t="shared" si="628"/>
        <v>489.12699897157211</v>
      </c>
      <c r="BH225" s="4">
        <f t="shared" si="633"/>
        <v>205.25496099907775</v>
      </c>
      <c r="BI225" s="4">
        <f t="shared" si="634"/>
        <v>30569.451870773988</v>
      </c>
      <c r="BJ225" s="4">
        <f t="shared" si="635"/>
        <v>148.93404632939101</v>
      </c>
      <c r="BR225" s="4">
        <f t="shared" si="539"/>
        <v>40.700000000000003</v>
      </c>
      <c r="BV225" s="9"/>
      <c r="BX225" s="9"/>
      <c r="BY225" s="9"/>
      <c r="BZ225" s="9">
        <f t="shared" si="577"/>
        <v>40.700000000000003</v>
      </c>
      <c r="CA225" s="9">
        <f t="shared" si="578"/>
        <v>76</v>
      </c>
      <c r="CB225" s="9">
        <f t="shared" si="604"/>
        <v>1.1709505872794554</v>
      </c>
      <c r="CC225" s="9">
        <v>20</v>
      </c>
      <c r="CD225" s="9">
        <f t="shared" si="518"/>
        <v>3.8822534914349713E-2</v>
      </c>
      <c r="CE225" s="9">
        <f t="shared" si="605"/>
        <v>0.57645069828699425</v>
      </c>
      <c r="CF225" s="9">
        <f t="shared" si="579"/>
        <v>0.89787751228078194</v>
      </c>
      <c r="CG225" s="9">
        <f t="shared" si="580"/>
        <v>0.91600000000000004</v>
      </c>
      <c r="CH225" s="9">
        <f t="shared" si="606"/>
        <v>1.7557071693774966</v>
      </c>
      <c r="CI225" s="9">
        <f t="shared" si="607"/>
        <v>3.0679249648484697</v>
      </c>
      <c r="CJ225" s="9">
        <v>1</v>
      </c>
      <c r="CK225" s="9">
        <f t="shared" si="608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645"/>
        <v>0.84492033037199443</v>
      </c>
      <c r="CP225" s="4">
        <f>AB225/CK225</f>
        <v>1.4756849269594856</v>
      </c>
      <c r="CQ225" s="4">
        <f t="shared" si="638"/>
        <v>1.4559039363893846</v>
      </c>
      <c r="CR225" s="4">
        <f t="shared" si="646"/>
        <v>1.5688980242628909</v>
      </c>
      <c r="CS225" s="4">
        <f>AB225/GA225</f>
        <v>1.468755792642539</v>
      </c>
      <c r="DA225" s="4">
        <f t="shared" si="585"/>
        <v>1.6460556821950687</v>
      </c>
      <c r="DB225" s="4">
        <f t="shared" si="585"/>
        <v>1.3402299947705487</v>
      </c>
      <c r="DC225" s="4">
        <f t="shared" si="586"/>
        <v>1.4756849269594856</v>
      </c>
      <c r="DD225" s="4">
        <f t="shared" ref="DD225" si="653">CS225</f>
        <v>1.468755792642539</v>
      </c>
      <c r="DE225" s="4">
        <f t="shared" si="588"/>
        <v>1.4559039363893846</v>
      </c>
      <c r="DF225" s="4">
        <f t="shared" si="588"/>
        <v>1.5688980242628909</v>
      </c>
      <c r="DH225" s="4">
        <f t="shared" si="557"/>
        <v>2</v>
      </c>
      <c r="DI225" s="4">
        <f t="shared" si="629"/>
        <v>280</v>
      </c>
      <c r="DL225" s="4">
        <f t="shared" si="485"/>
        <v>1.4680935773666002E-5</v>
      </c>
      <c r="DM225" s="4">
        <f t="shared" si="558"/>
        <v>6.0344229393186612</v>
      </c>
      <c r="DN225" s="4">
        <f t="shared" si="486"/>
        <v>0.39996211532628534</v>
      </c>
      <c r="DO225" s="4">
        <f t="shared" si="487"/>
        <v>4.1825706759744072</v>
      </c>
      <c r="DP225" s="4">
        <f t="shared" si="488"/>
        <v>5.1919973193811018</v>
      </c>
      <c r="DQ225" s="4">
        <f t="shared" si="489"/>
        <v>5.8162689076432361</v>
      </c>
      <c r="DR225" s="38">
        <f t="shared" si="513"/>
        <v>283.8603119583791</v>
      </c>
      <c r="DS225" s="4">
        <f t="shared" si="609"/>
        <v>1.0001320096652284</v>
      </c>
      <c r="DT225" s="4">
        <f t="shared" si="490"/>
        <v>1.7335434131355643</v>
      </c>
      <c r="DU225" s="4">
        <f t="shared" si="618"/>
        <v>123.54607945862062</v>
      </c>
      <c r="DY225" s="4">
        <f t="shared" si="581"/>
        <v>0.85</v>
      </c>
      <c r="DZ225" s="4">
        <f t="shared" si="610"/>
        <v>0.98631284916201112</v>
      </c>
      <c r="EA225" s="4">
        <f t="shared" si="514"/>
        <v>0.99049889204456787</v>
      </c>
      <c r="EB225" s="4">
        <f t="shared" si="611"/>
        <v>0.97694178430429301</v>
      </c>
      <c r="ED225" s="4">
        <f t="shared" si="515"/>
        <v>263.41632099325858</v>
      </c>
      <c r="EE225" s="25">
        <f t="shared" si="516"/>
        <v>121.8265090092453</v>
      </c>
      <c r="EG225" s="4">
        <f t="shared" si="619"/>
        <v>0.830400516658649</v>
      </c>
      <c r="EH225" s="4">
        <f t="shared" si="517"/>
        <v>6.0344229393186612</v>
      </c>
      <c r="EK225" s="4">
        <f t="shared" si="491"/>
        <v>62.060854190253195</v>
      </c>
      <c r="EL225" s="4">
        <f t="shared" si="492"/>
        <v>1.7335434131355643</v>
      </c>
      <c r="EM225" s="4">
        <f t="shared" si="493"/>
        <v>0.13339071238746128</v>
      </c>
      <c r="EP225" s="4">
        <f t="shared" si="541"/>
        <v>0.13339071238746128</v>
      </c>
      <c r="EQ225" s="4">
        <f t="shared" si="542"/>
        <v>0.39929465309861079</v>
      </c>
      <c r="ER225" s="4">
        <f t="shared" si="559"/>
        <v>4.1797773045713216</v>
      </c>
      <c r="ES225" s="4">
        <f t="shared" si="582"/>
        <v>5.1908741626807178</v>
      </c>
      <c r="ET225" s="4">
        <f t="shared" si="560"/>
        <v>147.9391458097468</v>
      </c>
      <c r="EU225" s="4">
        <f t="shared" si="561"/>
        <v>70</v>
      </c>
      <c r="EV225" s="4">
        <f t="shared" si="612"/>
        <v>1.4680935773666002E-5</v>
      </c>
      <c r="EW225" s="4">
        <f t="shared" si="583"/>
        <v>5.8163286933267813</v>
      </c>
      <c r="EX225" s="4">
        <f t="shared" si="636"/>
        <v>283.82284459967934</v>
      </c>
      <c r="FG225" s="23">
        <f t="shared" si="648"/>
        <v>1.8</v>
      </c>
      <c r="FH225" s="23">
        <f t="shared" si="648"/>
        <v>1.4</v>
      </c>
      <c r="FI225" s="23">
        <f t="shared" si="649"/>
        <v>1.6</v>
      </c>
      <c r="FJ225" s="23">
        <f t="shared" si="650"/>
        <v>1.6</v>
      </c>
      <c r="FK225" s="23">
        <f t="shared" si="650"/>
        <v>1.6</v>
      </c>
      <c r="FL225" s="23">
        <f t="shared" si="650"/>
        <v>1.6</v>
      </c>
      <c r="FM225" s="23">
        <f t="shared" si="651"/>
        <v>0</v>
      </c>
      <c r="FN225" s="23"/>
      <c r="FX225" s="4">
        <f t="shared" si="613"/>
        <v>1</v>
      </c>
      <c r="FY225" s="4">
        <f t="shared" si="652"/>
        <v>0.57658194354098002</v>
      </c>
      <c r="FZ225" s="4">
        <f t="shared" si="614"/>
        <v>0.28167035985144034</v>
      </c>
      <c r="GA225" s="4">
        <f t="shared" si="615"/>
        <v>281.37648725209419</v>
      </c>
    </row>
    <row r="226" spans="1:183" ht="12" customHeight="1" x14ac:dyDescent="0.3">
      <c r="A226" s="25">
        <v>208</v>
      </c>
      <c r="B226" s="24" t="s">
        <v>182</v>
      </c>
      <c r="C226" s="4">
        <v>1996</v>
      </c>
      <c r="D226" s="24" t="s">
        <v>309</v>
      </c>
      <c r="E226" s="24"/>
      <c r="F226" s="4" t="s">
        <v>342</v>
      </c>
      <c r="G226" s="7">
        <v>556</v>
      </c>
      <c r="H226" s="7">
        <f>381-P226-20</f>
        <v>343</v>
      </c>
      <c r="I226" s="7">
        <f t="shared" si="630"/>
        <v>343</v>
      </c>
      <c r="J226" s="7">
        <v>40</v>
      </c>
      <c r="K226" s="7">
        <v>35.799999999999997</v>
      </c>
      <c r="L226" s="7">
        <f t="shared" si="498"/>
        <v>9.5810055865921804</v>
      </c>
      <c r="M226" s="7">
        <f t="shared" si="499"/>
        <v>9.5810055865921804</v>
      </c>
      <c r="N226" s="7">
        <v>305</v>
      </c>
      <c r="O226" s="7">
        <v>76</v>
      </c>
      <c r="P226" s="7">
        <v>18</v>
      </c>
      <c r="Q226" s="7">
        <f t="shared" si="623"/>
        <v>81.400000000000006</v>
      </c>
      <c r="R226" s="7">
        <v>2</v>
      </c>
      <c r="S226" s="7">
        <f t="shared" si="620"/>
        <v>280</v>
      </c>
      <c r="T226" s="7">
        <f t="shared" si="621"/>
        <v>1.6368715083798884</v>
      </c>
      <c r="U226" s="7">
        <f t="shared" si="631"/>
        <v>2.6229050279329611</v>
      </c>
      <c r="V226" s="7">
        <f>3025/(K226^2*PI()/4)-1</f>
        <v>2.0051727652257014</v>
      </c>
      <c r="W226" s="7">
        <f t="shared" ref="W226:W228" si="654">3025/(K226^2*PI()/4)-1</f>
        <v>2.0051727652257014</v>
      </c>
      <c r="X226" s="7">
        <f t="shared" si="616"/>
        <v>3.0051727652257014</v>
      </c>
      <c r="Y226" s="7">
        <f t="shared" si="552"/>
        <v>62.060854190253195</v>
      </c>
      <c r="Z226" s="7">
        <f t="shared" si="632"/>
        <v>556</v>
      </c>
      <c r="AA226" s="7">
        <v>20</v>
      </c>
      <c r="AB226" s="7"/>
      <c r="AC226" s="32" t="s">
        <v>183</v>
      </c>
      <c r="AD226" s="4">
        <f t="shared" si="476"/>
        <v>0</v>
      </c>
      <c r="AE226" s="7"/>
      <c r="AF226" s="7"/>
      <c r="AG226" s="7">
        <v>1</v>
      </c>
      <c r="AH226" s="7"/>
      <c r="AI226" s="7"/>
      <c r="AJ226" s="7">
        <f t="shared" si="473"/>
        <v>8.7798634812286682</v>
      </c>
      <c r="AK226" s="4">
        <f t="shared" si="569"/>
        <v>343</v>
      </c>
      <c r="AL226" s="4">
        <f t="shared" si="505"/>
        <v>0.29640427599611274</v>
      </c>
      <c r="AM226" s="4">
        <f t="shared" si="506"/>
        <v>199.56539930939542</v>
      </c>
      <c r="AN226" s="4">
        <f t="shared" si="507"/>
        <v>0.75475218658892129</v>
      </c>
      <c r="AO226" s="4">
        <v>1.25</v>
      </c>
      <c r="AP226" s="4">
        <f t="shared" si="624"/>
        <v>2.5</v>
      </c>
      <c r="AQ226" s="38">
        <f t="shared" si="509"/>
        <v>139.51603060118595</v>
      </c>
      <c r="AR226" s="38">
        <f t="shared" si="510"/>
        <v>139.51603060118595</v>
      </c>
      <c r="AS226" s="38">
        <f t="shared" si="511"/>
        <v>3.5088212858554391</v>
      </c>
      <c r="AT226" s="38">
        <f t="shared" si="626"/>
        <v>139.51603060118595</v>
      </c>
      <c r="AU226" s="38">
        <f t="shared" si="601"/>
        <v>1</v>
      </c>
      <c r="AV226" s="38">
        <f t="shared" si="537"/>
        <v>1.6493492132436494</v>
      </c>
      <c r="AW226" s="4">
        <f t="shared" si="529"/>
        <v>0</v>
      </c>
      <c r="AX226" s="4">
        <f t="shared" si="570"/>
        <v>318.92420977293574</v>
      </c>
      <c r="AY226" s="4">
        <f t="shared" si="571"/>
        <v>1.2409556313993173</v>
      </c>
      <c r="AZ226" s="38">
        <f t="shared" si="617"/>
        <v>230.11065530694296</v>
      </c>
      <c r="BA226" s="4">
        <f t="shared" si="572"/>
        <v>0.71927581286840181</v>
      </c>
      <c r="BB226" s="4">
        <f t="shared" si="602"/>
        <v>119.85861069404693</v>
      </c>
      <c r="BC226" s="4">
        <f t="shared" si="603"/>
        <v>349.96926600098988</v>
      </c>
      <c r="BE226" s="4">
        <f t="shared" si="627"/>
        <v>1.2807262569832403</v>
      </c>
      <c r="BF226" s="4">
        <f t="shared" si="628"/>
        <v>475.8198492579329</v>
      </c>
      <c r="BH226" s="4">
        <f t="shared" si="633"/>
        <v>220.70425913879328</v>
      </c>
      <c r="BI226" s="4">
        <f t="shared" si="634"/>
        <v>19564.449197295351</v>
      </c>
      <c r="BJ226" s="4">
        <f t="shared" si="635"/>
        <v>88.645544375253522</v>
      </c>
      <c r="BR226" s="4">
        <f t="shared" si="539"/>
        <v>40.700000000000003</v>
      </c>
      <c r="BV226" s="9"/>
      <c r="BX226" s="9"/>
      <c r="BY226" s="9"/>
      <c r="BZ226" s="9">
        <f t="shared" si="577"/>
        <v>18</v>
      </c>
      <c r="CA226" s="9">
        <f t="shared" si="578"/>
        <v>76</v>
      </c>
      <c r="CB226" s="9">
        <f t="shared" si="604"/>
        <v>0.88008760053944035</v>
      </c>
      <c r="CC226" s="9">
        <v>0</v>
      </c>
      <c r="CD226" s="9">
        <f t="shared" si="518"/>
        <v>0</v>
      </c>
      <c r="CE226" s="9">
        <f t="shared" si="605"/>
        <v>0</v>
      </c>
      <c r="CF226" s="9">
        <f t="shared" si="579"/>
        <v>0.89787751228078194</v>
      </c>
      <c r="CG226" s="9">
        <f t="shared" si="580"/>
        <v>0.91600000000000004</v>
      </c>
      <c r="CH226" s="9">
        <f t="shared" si="606"/>
        <v>1.8205835247363529</v>
      </c>
      <c r="CI226" s="9">
        <f t="shared" si="607"/>
        <v>1.6022729858668536</v>
      </c>
      <c r="CJ226" s="9">
        <v>1</v>
      </c>
      <c r="CK226" s="9">
        <f t="shared" si="608"/>
        <v>157.54192486735545</v>
      </c>
      <c r="DH226" s="4">
        <f t="shared" si="557"/>
        <v>0</v>
      </c>
      <c r="DI226" s="4">
        <f t="shared" si="629"/>
        <v>343</v>
      </c>
      <c r="DL226" s="4">
        <f t="shared" si="485"/>
        <v>1.8323811476289715E-5</v>
      </c>
      <c r="DM226" s="4">
        <f t="shared" si="558"/>
        <v>5.2682598904813771</v>
      </c>
      <c r="DN226" s="4">
        <f t="shared" si="486"/>
        <v>0.42004609193670067</v>
      </c>
      <c r="DO226" s="4">
        <f t="shared" si="487"/>
        <v>3.7237967669270295</v>
      </c>
      <c r="DP226" s="4">
        <f t="shared" si="488"/>
        <v>4.5620541808432229</v>
      </c>
      <c r="DQ226" s="4">
        <f t="shared" si="489"/>
        <v>5.0102461147907276</v>
      </c>
      <c r="DR226" s="38">
        <f t="shared" si="513"/>
        <v>312.83380392255719</v>
      </c>
      <c r="DS226" s="4">
        <f t="shared" si="609"/>
        <v>1.0001237279128437</v>
      </c>
      <c r="DT226" s="4">
        <f t="shared" si="490"/>
        <v>1.7335434131355643</v>
      </c>
      <c r="DU226" s="4">
        <f t="shared" si="618"/>
        <v>139.51603060118595</v>
      </c>
      <c r="DY226" s="4">
        <f t="shared" si="581"/>
        <v>1</v>
      </c>
      <c r="DZ226" s="4">
        <f t="shared" si="610"/>
        <v>0.98631284916201112</v>
      </c>
      <c r="EA226" s="4">
        <f t="shared" si="514"/>
        <v>1</v>
      </c>
      <c r="EB226" s="4">
        <f t="shared" si="611"/>
        <v>0.98631284916201112</v>
      </c>
      <c r="ED226" s="4">
        <f t="shared" si="515"/>
        <v>289.39711749331366</v>
      </c>
      <c r="EE226" s="25">
        <f t="shared" si="516"/>
        <v>137.97143516634895</v>
      </c>
      <c r="EG226" s="4">
        <f t="shared" si="619"/>
        <v>0.98631284916201112</v>
      </c>
      <c r="EH226" s="4">
        <f t="shared" si="517"/>
        <v>5.2682598904813771</v>
      </c>
      <c r="EK226" s="4">
        <f t="shared" si="491"/>
        <v>62.060854190253195</v>
      </c>
      <c r="EL226" s="4">
        <f t="shared" si="492"/>
        <v>1.7335434131355643</v>
      </c>
      <c r="EM226" s="4">
        <f t="shared" si="493"/>
        <v>0.14526540842660543</v>
      </c>
      <c r="EP226" s="4">
        <f t="shared" si="541"/>
        <v>0.14526540842660543</v>
      </c>
      <c r="EQ226" s="4">
        <f t="shared" si="542"/>
        <v>0.41934511329520796</v>
      </c>
      <c r="ER226" s="4">
        <f t="shared" si="559"/>
        <v>3.7213097922395755</v>
      </c>
      <c r="ES226" s="4">
        <f t="shared" si="582"/>
        <v>4.5610407181665344</v>
      </c>
      <c r="ET226" s="4">
        <f t="shared" si="560"/>
        <v>195.1891458097468</v>
      </c>
      <c r="EU226" s="4">
        <f t="shared" si="561"/>
        <v>85.750000000000028</v>
      </c>
      <c r="EV226" s="4">
        <f t="shared" si="612"/>
        <v>1.8323811476289719E-5</v>
      </c>
      <c r="EW226" s="4">
        <f t="shared" si="583"/>
        <v>5.0103135479724656</v>
      </c>
      <c r="EX226" s="4">
        <f t="shared" si="636"/>
        <v>312.79510243738491</v>
      </c>
      <c r="FG226" s="23"/>
      <c r="FH226" s="23"/>
      <c r="FI226" s="23"/>
      <c r="FJ226" s="23"/>
      <c r="FK226" s="23"/>
      <c r="FL226" s="23"/>
      <c r="FM226" s="23"/>
      <c r="FN226" s="23"/>
      <c r="FX226" s="4">
        <f t="shared" si="613"/>
        <v>1</v>
      </c>
      <c r="FY226" s="4">
        <f t="shared" si="652"/>
        <v>0.8938547486033519</v>
      </c>
      <c r="FZ226" s="4">
        <f t="shared" si="614"/>
        <v>0</v>
      </c>
      <c r="GA226" s="4">
        <f t="shared" si="615"/>
        <v>226.41085312615539</v>
      </c>
    </row>
    <row r="227" spans="1:183" ht="12" customHeight="1" x14ac:dyDescent="0.3">
      <c r="A227" s="25">
        <v>209</v>
      </c>
      <c r="B227" s="24" t="s">
        <v>182</v>
      </c>
      <c r="C227" s="4">
        <v>1996</v>
      </c>
      <c r="D227" s="24" t="s">
        <v>309</v>
      </c>
      <c r="E227" s="24"/>
      <c r="F227" s="4" t="s">
        <v>343</v>
      </c>
      <c r="G227" s="7">
        <v>556</v>
      </c>
      <c r="H227" s="7">
        <f>457-P227-25</f>
        <v>356</v>
      </c>
      <c r="I227" s="7">
        <f t="shared" si="630"/>
        <v>356</v>
      </c>
      <c r="J227" s="7">
        <v>39.6</v>
      </c>
      <c r="K227" s="7">
        <v>35.799999999999997</v>
      </c>
      <c r="L227" s="7">
        <f t="shared" si="498"/>
        <v>9.9441340782122918</v>
      </c>
      <c r="M227" s="7">
        <f t="shared" si="499"/>
        <v>9.9441340782122918</v>
      </c>
      <c r="N227" s="7">
        <v>305</v>
      </c>
      <c r="O227" s="7">
        <v>76</v>
      </c>
      <c r="P227" s="7">
        <v>76</v>
      </c>
      <c r="Q227" s="7">
        <f t="shared" si="623"/>
        <v>81.400000000000006</v>
      </c>
      <c r="R227" s="7">
        <v>2</v>
      </c>
      <c r="S227" s="7">
        <f t="shared" si="620"/>
        <v>280</v>
      </c>
      <c r="T227" s="7">
        <f t="shared" si="621"/>
        <v>1.6368715083798884</v>
      </c>
      <c r="U227" s="7">
        <f t="shared" si="631"/>
        <v>2.6229050279329611</v>
      </c>
      <c r="V227" s="7">
        <f>3025/(K227^2*PI()/4)-1</f>
        <v>2.0051727652257014</v>
      </c>
      <c r="W227" s="7">
        <f t="shared" si="654"/>
        <v>2.0051727652257014</v>
      </c>
      <c r="X227" s="7">
        <f t="shared" si="616"/>
        <v>3.0051727652257014</v>
      </c>
      <c r="Y227" s="7">
        <f t="shared" si="552"/>
        <v>62.060854190253195</v>
      </c>
      <c r="Z227" s="7">
        <f t="shared" si="632"/>
        <v>556</v>
      </c>
      <c r="AA227" s="7">
        <v>25</v>
      </c>
      <c r="AB227" s="7">
        <f>426*1000/(K227^2*PI()/4)</f>
        <v>423.20780098715659</v>
      </c>
      <c r="AC227" s="7"/>
      <c r="AD227" s="4">
        <f t="shared" si="476"/>
        <v>1.2033493663218637</v>
      </c>
      <c r="AE227" s="7"/>
      <c r="AF227" s="7"/>
      <c r="AG227" s="7">
        <v>1</v>
      </c>
      <c r="AH227" s="7"/>
      <c r="AI227" s="7"/>
      <c r="AJ227" s="7">
        <f t="shared" ref="AJ227:AJ243" si="655">3*AK227/(Q227+K227)</f>
        <v>9.112627986348123</v>
      </c>
      <c r="AK227" s="4">
        <f t="shared" si="569"/>
        <v>356</v>
      </c>
      <c r="AL227" s="4">
        <f t="shared" si="505"/>
        <v>0.28558052434456926</v>
      </c>
      <c r="AM227" s="4">
        <f t="shared" si="506"/>
        <v>209.96004617345227</v>
      </c>
      <c r="AN227" s="4">
        <f t="shared" si="507"/>
        <v>0.75275280898876396</v>
      </c>
      <c r="AO227" s="4">
        <v>1.25</v>
      </c>
      <c r="AP227" s="4">
        <f t="shared" si="624"/>
        <v>2.5</v>
      </c>
      <c r="AQ227" s="38">
        <f t="shared" si="509"/>
        <v>141.04823394313382</v>
      </c>
      <c r="AR227" s="38">
        <f t="shared" si="510"/>
        <v>141.04823394313382</v>
      </c>
      <c r="AS227" s="38">
        <f t="shared" si="511"/>
        <v>3.4853899827538752</v>
      </c>
      <c r="AT227" s="38">
        <f t="shared" si="626"/>
        <v>141.04823394313374</v>
      </c>
      <c r="AU227" s="38">
        <f t="shared" si="601"/>
        <v>1.0000000000000007</v>
      </c>
      <c r="AV227" s="38">
        <f t="shared" si="537"/>
        <v>1.6151180513590784</v>
      </c>
      <c r="AW227" s="4">
        <f t="shared" si="529"/>
        <v>0</v>
      </c>
      <c r="AX227" s="4">
        <f t="shared" si="570"/>
        <v>329.35249921955955</v>
      </c>
      <c r="AY227" s="4">
        <f t="shared" si="571"/>
        <v>1.2409556313993173</v>
      </c>
      <c r="AZ227" s="38">
        <f t="shared" si="617"/>
        <v>227.80954875387357</v>
      </c>
      <c r="BA227" s="4">
        <f t="shared" si="572"/>
        <v>0.71927581286840181</v>
      </c>
      <c r="BB227" s="4">
        <f t="shared" si="602"/>
        <v>123.77778724661293</v>
      </c>
      <c r="BC227" s="4">
        <f t="shared" si="603"/>
        <v>351.58733600048652</v>
      </c>
      <c r="BE227" s="4">
        <f t="shared" si="627"/>
        <v>1.2807262569832403</v>
      </c>
      <c r="BF227" s="4">
        <f t="shared" si="628"/>
        <v>482.21458979893413</v>
      </c>
      <c r="BH227" s="4">
        <f t="shared" si="633"/>
        <v>218.49721654740532</v>
      </c>
      <c r="BI227" s="4">
        <f t="shared" si="634"/>
        <v>30569.451870773988</v>
      </c>
      <c r="BJ227" s="4">
        <f t="shared" si="635"/>
        <v>139.9077404912461</v>
      </c>
      <c r="BR227" s="4">
        <f t="shared" si="539"/>
        <v>40.700000000000003</v>
      </c>
      <c r="BV227" s="9"/>
      <c r="BX227" s="9"/>
      <c r="BY227" s="9"/>
      <c r="BZ227" s="9">
        <f t="shared" si="577"/>
        <v>40.700000000000003</v>
      </c>
      <c r="CA227" s="9">
        <f t="shared" si="578"/>
        <v>76</v>
      </c>
      <c r="CB227" s="9">
        <f t="shared" si="604"/>
        <v>1.1709505872794554</v>
      </c>
      <c r="CC227" s="9">
        <v>0</v>
      </c>
      <c r="CD227" s="9">
        <f t="shared" si="518"/>
        <v>0</v>
      </c>
      <c r="CE227" s="9">
        <f t="shared" si="605"/>
        <v>0</v>
      </c>
      <c r="CF227" s="9">
        <f t="shared" si="579"/>
        <v>0.89787751228078194</v>
      </c>
      <c r="CG227" s="9">
        <f t="shared" si="580"/>
        <v>0.91600000000000004</v>
      </c>
      <c r="CH227" s="9">
        <f t="shared" si="606"/>
        <v>1.8114577353159602</v>
      </c>
      <c r="CI227" s="9">
        <f t="shared" si="607"/>
        <v>2.1211274990001359</v>
      </c>
      <c r="CJ227" s="9">
        <v>1</v>
      </c>
      <c r="CK227" s="9">
        <f t="shared" si="608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656">AB227/BF227</f>
        <v>0.87763375463944127</v>
      </c>
      <c r="CP227" s="4">
        <f>AB227/CK227</f>
        <v>1.9996706233260206</v>
      </c>
      <c r="CQ227" s="4">
        <f t="shared" si="638"/>
        <v>1.2033493663218637</v>
      </c>
      <c r="CR227" s="4">
        <f t="shared" ref="CR227" si="657">AB227/ED227</f>
        <v>1.3081102480693489</v>
      </c>
      <c r="CS227" s="4">
        <f>AB227/GA227</f>
        <v>1.805476112010334</v>
      </c>
      <c r="CU227" s="4">
        <f t="shared" ref="CU227:CV243" si="658">CM227</f>
        <v>1.2849691500444007</v>
      </c>
      <c r="CV227" s="4">
        <f t="shared" si="658"/>
        <v>1.2037060430031272</v>
      </c>
      <c r="CW227" s="4">
        <f t="shared" ref="CW227:CW243" si="659">CP227</f>
        <v>1.9996706233260206</v>
      </c>
      <c r="CX227" s="4">
        <f t="shared" ref="CX227" si="660">CS227</f>
        <v>1.805476112010334</v>
      </c>
      <c r="CY227" s="4">
        <f t="shared" ref="CY227:CZ243" si="661">CQ227</f>
        <v>1.2033493663218637</v>
      </c>
      <c r="CZ227" s="4">
        <f t="shared" si="661"/>
        <v>1.3081102480693489</v>
      </c>
      <c r="DH227" s="4">
        <f t="shared" si="557"/>
        <v>0</v>
      </c>
      <c r="DI227" s="4">
        <f t="shared" si="629"/>
        <v>356</v>
      </c>
      <c r="DL227" s="4">
        <f t="shared" si="485"/>
        <v>1.8967907610196526E-5</v>
      </c>
      <c r="DM227" s="4">
        <f t="shared" si="558"/>
        <v>6.1668851840490211</v>
      </c>
      <c r="DN227" s="4">
        <f t="shared" si="486"/>
        <v>0.42894863980926484</v>
      </c>
      <c r="DO227" s="4">
        <f t="shared" si="487"/>
        <v>4.3956993516638692</v>
      </c>
      <c r="DP227" s="4">
        <f t="shared" si="488"/>
        <v>5.3552300003182269</v>
      </c>
      <c r="DQ227" s="4">
        <f t="shared" si="489"/>
        <v>5.7860734734060939</v>
      </c>
      <c r="DR227" s="38">
        <f t="shared" si="513"/>
        <v>351.69154763485358</v>
      </c>
      <c r="DS227" s="4">
        <f t="shared" si="609"/>
        <v>1.0001334282748957</v>
      </c>
      <c r="DT227" s="4">
        <f t="shared" si="490"/>
        <v>1.7335434131355643</v>
      </c>
      <c r="DU227" s="4">
        <f t="shared" si="618"/>
        <v>141.04823394313374</v>
      </c>
      <c r="DY227" s="4">
        <f t="shared" si="581"/>
        <v>0.85</v>
      </c>
      <c r="DZ227" s="4">
        <f t="shared" si="610"/>
        <v>0.98631284916201112</v>
      </c>
      <c r="EA227" s="4">
        <f t="shared" si="514"/>
        <v>1</v>
      </c>
      <c r="EB227" s="4">
        <f t="shared" si="611"/>
        <v>0.98631284916201112</v>
      </c>
      <c r="ED227" s="4">
        <f t="shared" si="515"/>
        <v>323.52609545852317</v>
      </c>
      <c r="EE227" s="25">
        <f t="shared" si="516"/>
        <v>139.55309611315016</v>
      </c>
      <c r="EG227" s="4">
        <f t="shared" si="619"/>
        <v>0.83836592178770941</v>
      </c>
      <c r="EH227" s="4">
        <f t="shared" si="517"/>
        <v>6.1668851840490211</v>
      </c>
      <c r="EK227" s="4">
        <f t="shared" si="491"/>
        <v>62.060854190253195</v>
      </c>
      <c r="EL227" s="4">
        <f t="shared" si="492"/>
        <v>1.7335434131355643</v>
      </c>
      <c r="EM227" s="4">
        <f t="shared" si="493"/>
        <v>0.14760061035641445</v>
      </c>
      <c r="EP227" s="4">
        <f t="shared" si="541"/>
        <v>0.14760061035641445</v>
      </c>
      <c r="EQ227" s="4">
        <f t="shared" si="542"/>
        <v>0.42823280447458212</v>
      </c>
      <c r="ER227" s="4">
        <f t="shared" si="559"/>
        <v>4.3927636401561037</v>
      </c>
      <c r="ES227" s="4">
        <f t="shared" si="582"/>
        <v>5.3540268593966776</v>
      </c>
      <c r="ET227" s="4">
        <f t="shared" si="560"/>
        <v>204.9391458097468</v>
      </c>
      <c r="EU227" s="4">
        <f t="shared" si="561"/>
        <v>89.000000000000028</v>
      </c>
      <c r="EV227" s="4">
        <f t="shared" si="612"/>
        <v>1.8967907610196532E-5</v>
      </c>
      <c r="EW227" s="4">
        <f t="shared" si="583"/>
        <v>5.7861727473186031</v>
      </c>
      <c r="EX227" s="4">
        <f t="shared" si="636"/>
        <v>351.64462829872332</v>
      </c>
      <c r="FG227" s="23">
        <f t="shared" ref="FG227:FH227" si="662">IF(CM227&lt;0.6,0.6,IF(CM227&lt;0.8,0.8,IF(CM227&lt;1,1,IF(CM227&lt;1.2,1.2,IF(CM227&lt;1.4,1.4,IF(CM227&lt;1.6,1.6,IF(CM227&lt;1.8,1.8,IF(CM227&lt;2,2,2.2))))))))</f>
        <v>1.4</v>
      </c>
      <c r="FH227" s="23">
        <f t="shared" si="662"/>
        <v>1.4</v>
      </c>
      <c r="FI227" s="23">
        <f t="shared" ref="FI227" si="663">IF(CS227&lt;0.6,0.6,IF(CS227&lt;0.8,0.8,IF(CS227&lt;1,1,IF(CS227&lt;1.2,1.2,IF(CS227&lt;1.4,1.4,IF(CS227&lt;1.6,1.6,IF(CS227&lt;1.8,1.8,IF(CS227&lt;2,2,2.2))))))))</f>
        <v>2</v>
      </c>
      <c r="FJ227" s="23">
        <f t="shared" ref="FJ227:FL227" si="664">IF(CP227&lt;0.6,0.6,IF(CP227&lt;0.8,0.8,IF(CP227&lt;1,1,IF(CP227&lt;1.2,1.2,IF(CP227&lt;1.4,1.4,IF(CP227&lt;1.6,1.6,IF(CP227&lt;1.8,1.8,IF(CP227&lt;2,2,2.2))))))))</f>
        <v>2</v>
      </c>
      <c r="FK227" s="23">
        <f t="shared" si="664"/>
        <v>1.4</v>
      </c>
      <c r="FL227" s="23">
        <f t="shared" si="664"/>
        <v>1.4</v>
      </c>
      <c r="FM227" s="23">
        <f t="shared" ref="FM227" si="665">IF(FK227&lt;1,1,0)</f>
        <v>0</v>
      </c>
      <c r="FN227" s="23"/>
      <c r="FX227" s="4">
        <f t="shared" si="613"/>
        <v>1</v>
      </c>
      <c r="FY227" s="4">
        <f t="shared" si="652"/>
        <v>0.8938547486033519</v>
      </c>
      <c r="FZ227" s="4">
        <f t="shared" si="614"/>
        <v>0</v>
      </c>
      <c r="GA227" s="4">
        <f t="shared" si="615"/>
        <v>234.40232644004888</v>
      </c>
    </row>
    <row r="228" spans="1:183" ht="12" customHeight="1" x14ac:dyDescent="0.3">
      <c r="A228" s="25">
        <v>210</v>
      </c>
      <c r="B228" s="24" t="s">
        <v>182</v>
      </c>
      <c r="C228" s="4">
        <v>1996</v>
      </c>
      <c r="D228" s="24" t="s">
        <v>309</v>
      </c>
      <c r="E228" s="24"/>
      <c r="F228" s="4" t="s">
        <v>344</v>
      </c>
      <c r="G228" s="7">
        <v>556</v>
      </c>
      <c r="H228" s="7">
        <f>305-P228-25</f>
        <v>204</v>
      </c>
      <c r="I228" s="7">
        <f t="shared" si="630"/>
        <v>204</v>
      </c>
      <c r="J228" s="7">
        <v>36.1</v>
      </c>
      <c r="K228" s="7">
        <v>35.799999999999997</v>
      </c>
      <c r="L228" s="7">
        <f t="shared" si="498"/>
        <v>5.6983240223463696</v>
      </c>
      <c r="M228" s="7">
        <f t="shared" si="499"/>
        <v>5.6983240223463696</v>
      </c>
      <c r="N228" s="7">
        <v>305</v>
      </c>
      <c r="O228" s="7">
        <v>76</v>
      </c>
      <c r="P228" s="7">
        <v>76</v>
      </c>
      <c r="Q228" s="7">
        <f t="shared" si="623"/>
        <v>81.400000000000006</v>
      </c>
      <c r="R228" s="7">
        <v>2</v>
      </c>
      <c r="S228" s="7">
        <f t="shared" si="620"/>
        <v>280</v>
      </c>
      <c r="T228" s="7">
        <f t="shared" si="621"/>
        <v>1.6368715083798884</v>
      </c>
      <c r="U228" s="7">
        <f t="shared" si="631"/>
        <v>2.6229050279329611</v>
      </c>
      <c r="V228" s="7">
        <f>3025/(K228^2*PI()/4)-1</f>
        <v>2.0051727652257014</v>
      </c>
      <c r="W228" s="7">
        <f t="shared" si="654"/>
        <v>2.0051727652257014</v>
      </c>
      <c r="X228" s="7">
        <f t="shared" si="616"/>
        <v>3.0051727652257014</v>
      </c>
      <c r="Y228" s="7">
        <f t="shared" si="552"/>
        <v>62.060854190253195</v>
      </c>
      <c r="Z228" s="7">
        <f t="shared" si="632"/>
        <v>556</v>
      </c>
      <c r="AA228" s="7">
        <v>25</v>
      </c>
      <c r="AB228" s="7"/>
      <c r="AC228" s="32" t="s">
        <v>183</v>
      </c>
      <c r="AD228" s="4">
        <f t="shared" si="476"/>
        <v>0</v>
      </c>
      <c r="AE228" s="7"/>
      <c r="AF228" s="7"/>
      <c r="AG228" s="7">
        <v>1</v>
      </c>
      <c r="AH228" s="7"/>
      <c r="AI228" s="7"/>
      <c r="AJ228" s="7">
        <f t="shared" si="655"/>
        <v>5.2218430034129693</v>
      </c>
      <c r="AK228" s="4">
        <f t="shared" si="569"/>
        <v>204</v>
      </c>
      <c r="AL228" s="4">
        <f t="shared" si="505"/>
        <v>0.49836601307189543</v>
      </c>
      <c r="AM228" s="4">
        <f t="shared" si="506"/>
        <v>86.958676610533459</v>
      </c>
      <c r="AN228" s="4">
        <f t="shared" si="507"/>
        <v>0.7920588235294117</v>
      </c>
      <c r="AO228" s="4">
        <v>1.25</v>
      </c>
      <c r="AP228" s="4">
        <f t="shared" si="624"/>
        <v>2.5</v>
      </c>
      <c r="AQ228" s="38">
        <f t="shared" si="509"/>
        <v>107.26765759294925</v>
      </c>
      <c r="AR228" s="38">
        <f t="shared" si="510"/>
        <v>107.26765759294925</v>
      </c>
      <c r="AS228" s="38">
        <f t="shared" si="511"/>
        <v>3.2768713349985528</v>
      </c>
      <c r="AT228" s="38">
        <f t="shared" si="626"/>
        <v>107.26765759294932</v>
      </c>
      <c r="AU228" s="38">
        <f t="shared" si="601"/>
        <v>0.99999999999999933</v>
      </c>
      <c r="AV228" s="38">
        <f t="shared" si="537"/>
        <v>1.9360436414355566</v>
      </c>
      <c r="AW228" s="4">
        <f t="shared" si="529"/>
        <v>0</v>
      </c>
      <c r="AX228" s="4">
        <f t="shared" si="570"/>
        <v>180.19682756266744</v>
      </c>
      <c r="AY228" s="4">
        <f t="shared" si="571"/>
        <v>1.2409556313993173</v>
      </c>
      <c r="AZ228" s="38">
        <f t="shared" si="617"/>
        <v>207.67486641451603</v>
      </c>
      <c r="BA228" s="4">
        <f t="shared" si="572"/>
        <v>0.71927581286840181</v>
      </c>
      <c r="BB228" s="4">
        <f t="shared" si="602"/>
        <v>67.721862252204929</v>
      </c>
      <c r="BC228" s="4">
        <f t="shared" si="603"/>
        <v>275.39672866672095</v>
      </c>
      <c r="BE228" s="4">
        <f t="shared" si="627"/>
        <v>1.2807262569832403</v>
      </c>
      <c r="BF228" s="4">
        <f t="shared" si="628"/>
        <v>362.3968866174186</v>
      </c>
      <c r="BH228" s="4">
        <f t="shared" si="633"/>
        <v>199.18559387276096</v>
      </c>
      <c r="BI228" s="4">
        <f t="shared" si="634"/>
        <v>30569.451870773988</v>
      </c>
      <c r="BJ228" s="4">
        <f t="shared" si="635"/>
        <v>153.47220286574361</v>
      </c>
      <c r="BR228" s="4">
        <f t="shared" si="539"/>
        <v>40.700000000000003</v>
      </c>
      <c r="BV228" s="9"/>
      <c r="BX228" s="9"/>
      <c r="BY228" s="9"/>
      <c r="BZ228" s="9">
        <f t="shared" si="577"/>
        <v>40.700000000000003</v>
      </c>
      <c r="CA228" s="9">
        <f t="shared" si="578"/>
        <v>76</v>
      </c>
      <c r="CB228" s="9">
        <f t="shared" si="604"/>
        <v>1.1709505872794554</v>
      </c>
      <c r="CC228" s="9">
        <v>0</v>
      </c>
      <c r="CD228" s="9">
        <f t="shared" si="518"/>
        <v>0</v>
      </c>
      <c r="CE228" s="9">
        <f t="shared" si="605"/>
        <v>0</v>
      </c>
      <c r="CF228" s="9">
        <f t="shared" si="579"/>
        <v>0.89787751228078194</v>
      </c>
      <c r="CG228" s="9">
        <f t="shared" si="580"/>
        <v>0.91600000000000004</v>
      </c>
      <c r="CH228" s="9">
        <f t="shared" si="606"/>
        <v>1.7295543484995353</v>
      </c>
      <c r="CI228" s="9">
        <f t="shared" si="607"/>
        <v>2.0252226801072668</v>
      </c>
      <c r="CJ228" s="9">
        <v>1</v>
      </c>
      <c r="CK228" s="9">
        <f t="shared" si="608"/>
        <v>167.67486100105975</v>
      </c>
      <c r="DH228" s="4">
        <f t="shared" si="557"/>
        <v>0</v>
      </c>
      <c r="DI228" s="4">
        <f t="shared" si="629"/>
        <v>204</v>
      </c>
      <c r="DL228" s="4">
        <f t="shared" si="485"/>
        <v>1.0616776242063277E-5</v>
      </c>
      <c r="DM228" s="4">
        <f t="shared" si="558"/>
        <v>5.8880551717144805</v>
      </c>
      <c r="DN228" s="4">
        <f t="shared" si="486"/>
        <v>0.35784456322904007</v>
      </c>
      <c r="DO228" s="4">
        <f t="shared" si="487"/>
        <v>3.903459161346345</v>
      </c>
      <c r="DP228" s="4">
        <f t="shared" si="488"/>
        <v>4.9957013919335163</v>
      </c>
      <c r="DQ228" s="4">
        <f t="shared" si="489"/>
        <v>5.7825332101658145</v>
      </c>
      <c r="DR228" s="38">
        <f t="shared" si="513"/>
        <v>218.04598394729314</v>
      </c>
      <c r="DS228" s="4">
        <f t="shared" si="609"/>
        <v>1.0001294391593079</v>
      </c>
      <c r="DT228" s="4">
        <f t="shared" si="490"/>
        <v>1.7335434131355643</v>
      </c>
      <c r="DU228" s="4">
        <f t="shared" si="618"/>
        <v>107.26765759294932</v>
      </c>
      <c r="DY228" s="4">
        <f t="shared" si="581"/>
        <v>0.85</v>
      </c>
      <c r="DZ228" s="4">
        <f t="shared" si="610"/>
        <v>0.98631284916201112</v>
      </c>
      <c r="EA228" s="4">
        <f t="shared" si="514"/>
        <v>1</v>
      </c>
      <c r="EB228" s="4">
        <f t="shared" si="611"/>
        <v>0.98631284916201112</v>
      </c>
      <c r="ED228" s="4">
        <f t="shared" si="515"/>
        <v>205.84046641765849</v>
      </c>
      <c r="EE228" s="25">
        <f t="shared" si="516"/>
        <v>105.18432772801428</v>
      </c>
      <c r="EG228" s="4">
        <f t="shared" si="619"/>
        <v>0.83836592178770941</v>
      </c>
      <c r="EH228" s="4">
        <f t="shared" si="517"/>
        <v>5.8880551717144805</v>
      </c>
      <c r="EK228" s="4">
        <f t="shared" si="491"/>
        <v>62.060854190253195</v>
      </c>
      <c r="EL228" s="4">
        <f t="shared" si="492"/>
        <v>1.7335434131355643</v>
      </c>
      <c r="EM228" s="4">
        <f t="shared" si="493"/>
        <v>0.1175664188934134</v>
      </c>
      <c r="EP228" s="4">
        <f t="shared" si="541"/>
        <v>0.1175664188934134</v>
      </c>
      <c r="EQ228" s="4">
        <f t="shared" si="542"/>
        <v>0.35724738734617123</v>
      </c>
      <c r="ER228" s="4">
        <f t="shared" si="559"/>
        <v>3.900852197342831</v>
      </c>
      <c r="ES228" s="4">
        <f t="shared" si="582"/>
        <v>4.994685388289958</v>
      </c>
      <c r="ET228" s="4">
        <f t="shared" si="560"/>
        <v>90.939145809746805</v>
      </c>
      <c r="EU228" s="4">
        <f t="shared" si="561"/>
        <v>51</v>
      </c>
      <c r="EV228" s="4">
        <f t="shared" si="612"/>
        <v>1.0616776242063277E-5</v>
      </c>
      <c r="EW228" s="4">
        <f t="shared" si="583"/>
        <v>5.7825648884700565</v>
      </c>
      <c r="EX228" s="4">
        <f t="shared" si="636"/>
        <v>218.01776391121831</v>
      </c>
      <c r="FG228" s="23"/>
      <c r="FH228" s="23"/>
      <c r="FI228" s="23"/>
      <c r="FJ228" s="23"/>
      <c r="FK228" s="23"/>
      <c r="FL228" s="23"/>
      <c r="FM228" s="23"/>
      <c r="FN228" s="23"/>
      <c r="FX228" s="4">
        <f t="shared" si="613"/>
        <v>1</v>
      </c>
      <c r="FY228" s="4">
        <f t="shared" si="652"/>
        <v>0.8938547486033519</v>
      </c>
      <c r="FZ228" s="4">
        <f t="shared" si="614"/>
        <v>0</v>
      </c>
      <c r="GA228" s="4">
        <f t="shared" si="615"/>
        <v>131.24872439128001</v>
      </c>
    </row>
    <row r="229" spans="1:183" ht="12" customHeight="1" x14ac:dyDescent="0.3">
      <c r="A229" s="25">
        <v>211</v>
      </c>
      <c r="B229" s="24" t="s">
        <v>182</v>
      </c>
      <c r="C229" s="4">
        <v>1996</v>
      </c>
      <c r="D229" s="24" t="s">
        <v>309</v>
      </c>
      <c r="E229" s="24"/>
      <c r="F229" s="4" t="s">
        <v>345</v>
      </c>
      <c r="G229" s="7">
        <v>556</v>
      </c>
      <c r="H229" s="7">
        <f>381-P229-20</f>
        <v>343</v>
      </c>
      <c r="I229" s="7">
        <f t="shared" si="630"/>
        <v>343</v>
      </c>
      <c r="J229" s="7">
        <v>36.200000000000003</v>
      </c>
      <c r="K229" s="7">
        <v>35.799999999999997</v>
      </c>
      <c r="L229" s="7">
        <f t="shared" si="498"/>
        <v>9.5810055865921804</v>
      </c>
      <c r="M229" s="7">
        <f t="shared" si="499"/>
        <v>9.5810055865921804</v>
      </c>
      <c r="N229" s="7">
        <v>305</v>
      </c>
      <c r="O229" s="7">
        <v>76</v>
      </c>
      <c r="P229" s="7">
        <v>18</v>
      </c>
      <c r="Q229" s="7">
        <f t="shared" si="623"/>
        <v>81.400000000000006</v>
      </c>
      <c r="R229" s="7">
        <v>2</v>
      </c>
      <c r="S229" s="7">
        <f t="shared" si="620"/>
        <v>280</v>
      </c>
      <c r="T229" s="7">
        <f t="shared" si="621"/>
        <v>1.6368715083798884</v>
      </c>
      <c r="U229" s="7">
        <f t="shared" si="631"/>
        <v>2.6229050279329611</v>
      </c>
      <c r="V229" s="7">
        <f>3150/(K229^2*PI()/4)-1</f>
        <v>2.1293534580036226</v>
      </c>
      <c r="W229" s="7">
        <f>3150/(K229^2*PI()/4)-1</f>
        <v>2.1293534580036226</v>
      </c>
      <c r="X229" s="7">
        <f t="shared" si="616"/>
        <v>3.1293534580036226</v>
      </c>
      <c r="Y229" s="7">
        <f t="shared" si="552"/>
        <v>63.330123684671278</v>
      </c>
      <c r="Z229" s="7">
        <f t="shared" si="632"/>
        <v>556</v>
      </c>
      <c r="AA229" s="7">
        <v>20</v>
      </c>
      <c r="AB229" s="7"/>
      <c r="AC229" s="32" t="s">
        <v>183</v>
      </c>
      <c r="AD229" s="4">
        <f t="shared" ref="AD229:AD292" si="666">CQ229</f>
        <v>0</v>
      </c>
      <c r="AE229" s="7"/>
      <c r="AF229" s="7"/>
      <c r="AG229" s="7">
        <v>1</v>
      </c>
      <c r="AH229" s="7"/>
      <c r="AI229" s="7"/>
      <c r="AJ229" s="7">
        <f t="shared" si="655"/>
        <v>8.7798634812286682</v>
      </c>
      <c r="AK229" s="4">
        <f t="shared" si="569"/>
        <v>343</v>
      </c>
      <c r="AL229" s="4">
        <f t="shared" si="505"/>
        <v>0.29640427599611274</v>
      </c>
      <c r="AM229" s="4">
        <f t="shared" si="506"/>
        <v>189.84953380078178</v>
      </c>
      <c r="AN229" s="4">
        <f t="shared" si="507"/>
        <v>0.75475218658892129</v>
      </c>
      <c r="AO229" s="4">
        <v>1.25</v>
      </c>
      <c r="AP229" s="4">
        <f t="shared" si="624"/>
        <v>2.5</v>
      </c>
      <c r="AQ229" s="38">
        <f t="shared" si="509"/>
        <v>132.72367584275798</v>
      </c>
      <c r="AR229" s="38">
        <f t="shared" si="510"/>
        <v>132.72367584275798</v>
      </c>
      <c r="AS229" s="38">
        <f t="shared" si="511"/>
        <v>3.282920015195979</v>
      </c>
      <c r="AT229" s="38">
        <f t="shared" si="626"/>
        <v>132.72367584275801</v>
      </c>
      <c r="AU229" s="38">
        <f t="shared" si="601"/>
        <v>0.99999999999999978</v>
      </c>
      <c r="AV229" s="38">
        <f t="shared" si="537"/>
        <v>1.6169064268162814</v>
      </c>
      <c r="AW229" s="4">
        <f t="shared" si="529"/>
        <v>0</v>
      </c>
      <c r="AX229" s="4">
        <f t="shared" si="570"/>
        <v>303.39734619679649</v>
      </c>
      <c r="AY229" s="4">
        <f t="shared" si="571"/>
        <v>1.2409556313993173</v>
      </c>
      <c r="AZ229" s="38">
        <f t="shared" si="617"/>
        <v>214.60176446083625</v>
      </c>
      <c r="BA229" s="4">
        <f t="shared" si="572"/>
        <v>0.7018905158794928</v>
      </c>
      <c r="BB229" s="4">
        <f t="shared" si="602"/>
        <v>111.2672736156364</v>
      </c>
      <c r="BC229" s="4">
        <f t="shared" si="603"/>
        <v>325.86903807647263</v>
      </c>
      <c r="BE229" s="4">
        <f t="shared" si="627"/>
        <v>1.2807262569832403</v>
      </c>
      <c r="BF229" s="4">
        <f t="shared" si="628"/>
        <v>452.65450257099729</v>
      </c>
      <c r="BH229" s="4">
        <f t="shared" si="633"/>
        <v>205.82933620361388</v>
      </c>
      <c r="BI229" s="4">
        <f t="shared" si="634"/>
        <v>12204.288039811765</v>
      </c>
      <c r="BJ229" s="4">
        <f t="shared" si="635"/>
        <v>59.29323907326232</v>
      </c>
      <c r="BR229" s="4">
        <f t="shared" si="539"/>
        <v>40.700000000000003</v>
      </c>
      <c r="BV229" s="9"/>
      <c r="BX229" s="9"/>
      <c r="BY229" s="9"/>
      <c r="BZ229" s="9">
        <f t="shared" si="577"/>
        <v>18</v>
      </c>
      <c r="CA229" s="9">
        <f t="shared" si="578"/>
        <v>76</v>
      </c>
      <c r="CB229" s="9">
        <f t="shared" si="604"/>
        <v>0.88008760053944035</v>
      </c>
      <c r="CC229" s="9">
        <v>0</v>
      </c>
      <c r="CD229" s="9">
        <f t="shared" si="518"/>
        <v>0</v>
      </c>
      <c r="CE229" s="9">
        <f t="shared" si="605"/>
        <v>0</v>
      </c>
      <c r="CF229" s="9">
        <f t="shared" si="579"/>
        <v>0.89787751228078194</v>
      </c>
      <c r="CG229" s="9">
        <f t="shared" si="580"/>
        <v>0.91600000000000004</v>
      </c>
      <c r="CH229" s="9">
        <f t="shared" si="606"/>
        <v>1.7319481964943424</v>
      </c>
      <c r="CI229" s="9">
        <f t="shared" si="607"/>
        <v>1.5242661325113169</v>
      </c>
      <c r="CJ229" s="9">
        <v>1</v>
      </c>
      <c r="CK229" s="9">
        <f t="shared" si="608"/>
        <v>149.87197727485574</v>
      </c>
      <c r="DH229" s="4">
        <f t="shared" si="557"/>
        <v>0</v>
      </c>
      <c r="DI229" s="4">
        <f t="shared" si="629"/>
        <v>343</v>
      </c>
      <c r="DL229" s="4">
        <f t="shared" ref="DL229:DL292" si="667">H229/4/(1-0.3*(J229/30)^0.5)/200000/K229</f>
        <v>1.7862883419588262E-5</v>
      </c>
      <c r="DM229" s="4">
        <f t="shared" si="558"/>
        <v>5.0117740230039942</v>
      </c>
      <c r="DN229" s="4">
        <f t="shared" ref="DN229:DN292" si="668">DU229*Y229/257/J229/V229</f>
        <v>0.42429634064630556</v>
      </c>
      <c r="DO229" s="4">
        <f t="shared" ref="DO229:DO292" si="669">DM229*DN229^0.4</f>
        <v>3.556797951623889</v>
      </c>
      <c r="DP229" s="4">
        <f t="shared" ref="DP229:DP292" si="670">MIN(DM229, DM229/1.4*(1-DN229^1.4)/(1-DN229))</f>
        <v>4.3457845155512942</v>
      </c>
      <c r="DQ229" s="4">
        <f t="shared" ref="DQ229:DQ292" si="671">MAX(DM229/2, (4-DL229*(8*Y229*(DO229-DP229)+6*H229*DP229))/(4+DL229*H229*DM229)*DM229)</f>
        <v>4.7838273870400245</v>
      </c>
      <c r="DR229" s="38">
        <f t="shared" si="513"/>
        <v>297.88564772937099</v>
      </c>
      <c r="DS229" s="4">
        <f t="shared" si="609"/>
        <v>1.0001251085431455</v>
      </c>
      <c r="DT229" s="4">
        <f t="shared" ref="DT229:DT292" si="672">Y229/K229</f>
        <v>1.7689978682869074</v>
      </c>
      <c r="DU229" s="4">
        <f t="shared" si="618"/>
        <v>132.72367584275801</v>
      </c>
      <c r="DY229" s="4">
        <f t="shared" si="581"/>
        <v>1</v>
      </c>
      <c r="DZ229" s="4">
        <f t="shared" si="610"/>
        <v>0.98631284916201112</v>
      </c>
      <c r="EA229" s="4">
        <f t="shared" si="514"/>
        <v>1</v>
      </c>
      <c r="EB229" s="4">
        <f t="shared" si="611"/>
        <v>0.98631284916201112</v>
      </c>
      <c r="ED229" s="4">
        <f t="shared" si="515"/>
        <v>275.30778396217227</v>
      </c>
      <c r="EE229" s="25">
        <f t="shared" si="516"/>
        <v>131.2542792227558</v>
      </c>
      <c r="EG229" s="4">
        <f t="shared" si="619"/>
        <v>0.98631284916201112</v>
      </c>
      <c r="EH229" s="4">
        <f t="shared" si="517"/>
        <v>5.0117740230039942</v>
      </c>
      <c r="EK229" s="4">
        <f t="shared" ref="EK229:EK292" si="673">EL229*K229</f>
        <v>63.330123684671278</v>
      </c>
      <c r="EL229" s="4">
        <f t="shared" ref="EL229:EL292" si="674">X229^0.5</f>
        <v>1.7689978682869074</v>
      </c>
      <c r="EM229" s="4">
        <f t="shared" ref="EM229:EM292" si="675">MIN(DU229)/(4700*J229^0.5)/W229*EK229</f>
        <v>0.13959145590482508</v>
      </c>
      <c r="EP229" s="4">
        <f t="shared" si="541"/>
        <v>0.13959145590482508</v>
      </c>
      <c r="EQ229" s="4">
        <f t="shared" si="542"/>
        <v>0.42358826913185504</v>
      </c>
      <c r="ER229" s="4">
        <f t="shared" si="559"/>
        <v>3.5544225087552985</v>
      </c>
      <c r="ES229" s="4">
        <f t="shared" si="582"/>
        <v>4.3448138556349702</v>
      </c>
      <c r="ET229" s="4">
        <f t="shared" si="560"/>
        <v>193.91987631532874</v>
      </c>
      <c r="EU229" s="4">
        <f t="shared" si="561"/>
        <v>85.75</v>
      </c>
      <c r="EV229" s="4">
        <f t="shared" si="612"/>
        <v>1.7862883419588262E-5</v>
      </c>
      <c r="EW229" s="4">
        <f t="shared" si="583"/>
        <v>4.7838875632903193</v>
      </c>
      <c r="EX229" s="4">
        <f t="shared" si="636"/>
        <v>297.84838435192648</v>
      </c>
      <c r="FG229" s="23"/>
      <c r="FH229" s="23"/>
      <c r="FI229" s="23"/>
      <c r="FJ229" s="23"/>
      <c r="FK229" s="23"/>
      <c r="FL229" s="23"/>
      <c r="FM229" s="23"/>
      <c r="FN229" s="23"/>
      <c r="FX229" s="4">
        <f t="shared" si="613"/>
        <v>1</v>
      </c>
      <c r="FY229" s="4">
        <f t="shared" si="652"/>
        <v>0.8938547486033519</v>
      </c>
      <c r="FZ229" s="4">
        <f t="shared" si="614"/>
        <v>0</v>
      </c>
      <c r="GA229" s="4">
        <f t="shared" si="615"/>
        <v>220.83066789188138</v>
      </c>
    </row>
    <row r="230" spans="1:183" ht="12" customHeight="1" x14ac:dyDescent="0.3">
      <c r="A230" s="25">
        <v>212</v>
      </c>
      <c r="B230" s="24" t="s">
        <v>182</v>
      </c>
      <c r="C230" s="4">
        <v>1996</v>
      </c>
      <c r="D230" s="24" t="s">
        <v>309</v>
      </c>
      <c r="E230" s="24"/>
      <c r="F230" s="4" t="s">
        <v>346</v>
      </c>
      <c r="G230" s="7">
        <v>556</v>
      </c>
      <c r="H230" s="7">
        <f>381-P230-25</f>
        <v>338</v>
      </c>
      <c r="I230" s="7">
        <f t="shared" si="630"/>
        <v>338</v>
      </c>
      <c r="J230" s="7">
        <v>36.200000000000003</v>
      </c>
      <c r="K230" s="7">
        <v>35.799999999999997</v>
      </c>
      <c r="L230" s="7">
        <f t="shared" ref="L230:L243" si="676">H230/K230</f>
        <v>9.4413407821229054</v>
      </c>
      <c r="M230" s="7">
        <f t="shared" ref="M230:M243" si="677">I230/K230</f>
        <v>9.4413407821229054</v>
      </c>
      <c r="N230" s="7">
        <v>305</v>
      </c>
      <c r="O230" s="7">
        <v>76</v>
      </c>
      <c r="P230" s="7">
        <v>18</v>
      </c>
      <c r="Q230" s="7">
        <f t="shared" si="623"/>
        <v>81.400000000000006</v>
      </c>
      <c r="R230" s="7">
        <v>2</v>
      </c>
      <c r="S230" s="7">
        <f t="shared" si="620"/>
        <v>280</v>
      </c>
      <c r="T230" s="7">
        <f t="shared" si="621"/>
        <v>1.6368715083798884</v>
      </c>
      <c r="U230" s="7">
        <f t="shared" si="631"/>
        <v>2.6229050279329611</v>
      </c>
      <c r="V230" s="7">
        <f>2970/(K230^2*PI()/4)-1</f>
        <v>1.9505332604034158</v>
      </c>
      <c r="W230" s="7">
        <f>2970/(K230^2*PI()/4)-1</f>
        <v>1.9505332604034158</v>
      </c>
      <c r="X230" s="7">
        <f t="shared" si="616"/>
        <v>2.9505332604034158</v>
      </c>
      <c r="Y230" s="7">
        <f t="shared" si="552"/>
        <v>61.494076526633307</v>
      </c>
      <c r="Z230" s="7">
        <f t="shared" si="632"/>
        <v>556</v>
      </c>
      <c r="AA230" s="7">
        <v>25</v>
      </c>
      <c r="AB230" s="7"/>
      <c r="AC230" s="32" t="s">
        <v>183</v>
      </c>
      <c r="AD230" s="4">
        <f t="shared" si="666"/>
        <v>0</v>
      </c>
      <c r="AE230" s="7"/>
      <c r="AF230" s="7"/>
      <c r="AG230" s="7">
        <v>1</v>
      </c>
      <c r="AH230" s="7"/>
      <c r="AI230" s="7"/>
      <c r="AJ230" s="7">
        <f t="shared" si="655"/>
        <v>8.6518771331058026</v>
      </c>
      <c r="AK230" s="4">
        <f t="shared" si="569"/>
        <v>338</v>
      </c>
      <c r="AL230" s="4">
        <f t="shared" ref="AL230:AL293" si="678">IF(H230*3&gt;Q230+K230, N230, (O230+K230/2)*2+1.5*H230*(2*R230-2))*(3*H230)/(9*H230^2)</f>
        <v>0.30078895463510846</v>
      </c>
      <c r="AM230" s="4">
        <f t="shared" ref="AM230:AM293" si="679">MIN(10*J230^0.5*H230^1.5,100*3.9*J230^0.5*H230^(5/3))/(PI()/4*K230^2)/R230</f>
        <v>185.71347027015665</v>
      </c>
      <c r="AN230" s="4">
        <f t="shared" ref="AN230:AN293" si="680">MIN(0.7+0.3*(MIN(O230,S230)+0.5*K230)/1.5/H230,1)</f>
        <v>0.75556213017751472</v>
      </c>
      <c r="AO230" s="4">
        <v>1.25</v>
      </c>
      <c r="AP230" s="4">
        <f t="shared" si="624"/>
        <v>2.5</v>
      </c>
      <c r="AQ230" s="38">
        <f t="shared" ref="AQ230:AQ243" si="681">AL230*AN230*AO230*AP230*AM230</f>
        <v>131.8941379622575</v>
      </c>
      <c r="AR230" s="38">
        <f t="shared" ref="AR230:AR293" si="682">AQ230</f>
        <v>131.8941379622575</v>
      </c>
      <c r="AS230" s="38">
        <f t="shared" ref="AS230:AS293" si="683">IF(J230&lt;50, 0.3*J230^(2/3), 2.12*LN(1+0.1*(J230+8)))</f>
        <v>3.282920015195979</v>
      </c>
      <c r="AT230" s="38">
        <f t="shared" si="626"/>
        <v>131.89413796225756</v>
      </c>
      <c r="AU230" s="38">
        <f t="shared" si="601"/>
        <v>0.99999999999999956</v>
      </c>
      <c r="AV230" s="38">
        <f t="shared" si="537"/>
        <v>1.5572580915609477</v>
      </c>
      <c r="AW230" s="4">
        <f t="shared" si="529"/>
        <v>0</v>
      </c>
      <c r="AX230" s="4">
        <f t="shared" si="570"/>
        <v>298.97464435719303</v>
      </c>
      <c r="AY230" s="4">
        <f t="shared" si="571"/>
        <v>1.2409556313993173</v>
      </c>
      <c r="AZ230" s="38">
        <f t="shared" si="617"/>
        <v>205.39321357118155</v>
      </c>
      <c r="BA230" s="4">
        <f t="shared" si="572"/>
        <v>0.72692534354352178</v>
      </c>
      <c r="BB230" s="4">
        <f t="shared" si="602"/>
        <v>113.55609856643088</v>
      </c>
      <c r="BC230" s="4">
        <f t="shared" si="603"/>
        <v>318.94931213761242</v>
      </c>
      <c r="BE230" s="4">
        <f t="shared" si="627"/>
        <v>1.2807262569832403</v>
      </c>
      <c r="BF230" s="4">
        <f t="shared" si="628"/>
        <v>449.42586845850803</v>
      </c>
      <c r="BH230" s="4">
        <f t="shared" si="633"/>
        <v>196.99720976804247</v>
      </c>
      <c r="BI230" s="4">
        <f t="shared" si="634"/>
        <v>39749.280546165857</v>
      </c>
      <c r="BJ230" s="4">
        <f t="shared" si="635"/>
        <v>201.77585557160575</v>
      </c>
      <c r="BR230" s="4">
        <f t="shared" si="539"/>
        <v>40.700000000000003</v>
      </c>
      <c r="BV230" s="9"/>
      <c r="BX230" s="9"/>
      <c r="BY230" s="9"/>
      <c r="BZ230" s="9">
        <f t="shared" si="577"/>
        <v>18</v>
      </c>
      <c r="CA230" s="9">
        <f t="shared" si="578"/>
        <v>76</v>
      </c>
      <c r="CB230" s="9">
        <f t="shared" si="604"/>
        <v>0.88008760053944035</v>
      </c>
      <c r="CC230" s="9">
        <v>0</v>
      </c>
      <c r="CD230" s="9">
        <f t="shared" si="518"/>
        <v>0</v>
      </c>
      <c r="CE230" s="9">
        <f t="shared" si="605"/>
        <v>0</v>
      </c>
      <c r="CF230" s="9">
        <f t="shared" si="579"/>
        <v>0.89787751228078194</v>
      </c>
      <c r="CG230" s="9">
        <f t="shared" si="580"/>
        <v>0.91600000000000004</v>
      </c>
      <c r="CH230" s="9">
        <f t="shared" si="606"/>
        <v>1.7319481964943424</v>
      </c>
      <c r="CI230" s="9">
        <f t="shared" si="607"/>
        <v>1.5242661325113169</v>
      </c>
      <c r="CJ230" s="9">
        <v>1</v>
      </c>
      <c r="CK230" s="9">
        <f t="shared" si="608"/>
        <v>149.02043194943042</v>
      </c>
      <c r="DH230" s="4">
        <f t="shared" si="557"/>
        <v>0</v>
      </c>
      <c r="DI230" s="4">
        <f t="shared" si="629"/>
        <v>338</v>
      </c>
      <c r="DL230" s="4">
        <f t="shared" si="667"/>
        <v>1.7602491533005343E-5</v>
      </c>
      <c r="DM230" s="4">
        <f t="shared" si="558"/>
        <v>5.0117740230039942</v>
      </c>
      <c r="DN230" s="4">
        <f t="shared" si="668"/>
        <v>0.44695492134028231</v>
      </c>
      <c r="DO230" s="4">
        <f t="shared" si="669"/>
        <v>3.631591326605518</v>
      </c>
      <c r="DP230" s="4">
        <f t="shared" si="670"/>
        <v>4.3765696221017283</v>
      </c>
      <c r="DQ230" s="4">
        <f t="shared" si="671"/>
        <v>4.788408964910424</v>
      </c>
      <c r="DR230" s="38">
        <f t="shared" ref="DR230:DR293" si="684">MIN(1/K230*(4*Y230*(DO230-DP230)+(3*DP230+DQ230)*H230)+DU230 -FB230,MAX(G230,AB230))</f>
        <v>295.94656303754186</v>
      </c>
      <c r="DS230" s="4">
        <f t="shared" si="609"/>
        <v>1.0001272680051456</v>
      </c>
      <c r="DT230" s="4">
        <f t="shared" si="672"/>
        <v>1.7177116348221595</v>
      </c>
      <c r="DU230" s="4">
        <f t="shared" si="618"/>
        <v>131.89413796225756</v>
      </c>
      <c r="DY230" s="4">
        <f t="shared" si="581"/>
        <v>1</v>
      </c>
      <c r="DZ230" s="4">
        <f t="shared" si="610"/>
        <v>0.98631284916201112</v>
      </c>
      <c r="EA230" s="4">
        <f t="shared" ref="EA230:EA293" si="685">MIN(1,MAX(0.7,1-0.3*(PI()*AE230^2/4*AI230*2-0.25*PI()/4*K230^2)/(PI()/4*K230^2)))</f>
        <v>1</v>
      </c>
      <c r="EB230" s="4">
        <f t="shared" si="611"/>
        <v>0.98631284916201112</v>
      </c>
      <c r="ED230" s="4">
        <f t="shared" ref="ED230:ED293" si="686">MIN(DM230/K230*3*H230+EE230-FB230,MAX(G230,AB230))</f>
        <v>272.36245756768136</v>
      </c>
      <c r="EE230" s="25">
        <f t="shared" ref="EE230:EE293" si="687">13.3*N230*H230^0.5*J230^0.5/R230/K230^2*(0.7+O230/5/H230)</f>
        <v>130.40885814516599</v>
      </c>
      <c r="EG230" s="4">
        <f t="shared" si="619"/>
        <v>0.98631284916201112</v>
      </c>
      <c r="EH230" s="4">
        <f t="shared" ref="EH230:EH293" si="688">IF(K230&lt;22.2,1.1*5*(J230/30)^0.5,IF(K230&gt;=31.8,0.9*5*(J230/30)^0.5,1*5*(J230/30)^0.5))/DY230/EB230</f>
        <v>5.0117740230039942</v>
      </c>
      <c r="EK230" s="4">
        <f t="shared" si="673"/>
        <v>61.494076526633307</v>
      </c>
      <c r="EL230" s="4">
        <f t="shared" si="674"/>
        <v>1.7177116348221595</v>
      </c>
      <c r="EM230" s="4">
        <f t="shared" si="675"/>
        <v>0.14704602000262343</v>
      </c>
      <c r="EP230" s="4">
        <f t="shared" si="541"/>
        <v>0.14704602000262343</v>
      </c>
      <c r="EQ230" s="4">
        <f t="shared" si="542"/>
        <v>0.44620903687763885</v>
      </c>
      <c r="ER230" s="4">
        <f t="shared" si="559"/>
        <v>3.6291659322379566</v>
      </c>
      <c r="ES230" s="4">
        <f t="shared" si="582"/>
        <v>4.3755646000742985</v>
      </c>
      <c r="ET230" s="4">
        <f t="shared" si="560"/>
        <v>192.00592347336669</v>
      </c>
      <c r="EU230" s="4">
        <f t="shared" si="561"/>
        <v>84.5</v>
      </c>
      <c r="EV230" s="4">
        <f t="shared" si="612"/>
        <v>1.7602491533005343E-5</v>
      </c>
      <c r="EW230" s="4">
        <f t="shared" si="583"/>
        <v>4.7884688812852563</v>
      </c>
      <c r="EX230" s="4">
        <f t="shared" si="636"/>
        <v>295.90890330171385</v>
      </c>
      <c r="FG230" s="23"/>
      <c r="FH230" s="23"/>
      <c r="FI230" s="23"/>
      <c r="FJ230" s="23"/>
      <c r="FK230" s="23"/>
      <c r="FL230" s="23"/>
      <c r="FM230" s="23"/>
      <c r="FN230" s="23"/>
      <c r="FX230" s="4">
        <f t="shared" si="613"/>
        <v>1</v>
      </c>
      <c r="FY230" s="4">
        <f t="shared" si="652"/>
        <v>0.8938547486033519</v>
      </c>
      <c r="FZ230" s="4">
        <f t="shared" si="614"/>
        <v>0</v>
      </c>
      <c r="GA230" s="4">
        <f t="shared" si="615"/>
        <v>217.61156194593562</v>
      </c>
    </row>
    <row r="231" spans="1:183" ht="12" customHeight="1" x14ac:dyDescent="0.3">
      <c r="A231" s="25">
        <v>213</v>
      </c>
      <c r="B231" s="24" t="s">
        <v>182</v>
      </c>
      <c r="C231" s="4">
        <v>1996</v>
      </c>
      <c r="D231" s="24" t="s">
        <v>309</v>
      </c>
      <c r="E231" s="24"/>
      <c r="F231" s="4" t="s">
        <v>347</v>
      </c>
      <c r="G231" s="7">
        <v>556</v>
      </c>
      <c r="H231" s="7">
        <f>305-P231-20</f>
        <v>209</v>
      </c>
      <c r="I231" s="7">
        <f t="shared" si="630"/>
        <v>209</v>
      </c>
      <c r="J231" s="7">
        <v>35.200000000000003</v>
      </c>
      <c r="K231" s="7">
        <v>35.799999999999997</v>
      </c>
      <c r="L231" s="7">
        <f t="shared" si="676"/>
        <v>5.8379888268156428</v>
      </c>
      <c r="M231" s="7">
        <f t="shared" si="677"/>
        <v>5.8379888268156428</v>
      </c>
      <c r="N231" s="7">
        <v>305</v>
      </c>
      <c r="O231" s="7">
        <v>76</v>
      </c>
      <c r="P231" s="7">
        <v>76</v>
      </c>
      <c r="Q231" s="7">
        <f t="shared" si="623"/>
        <v>81.400000000000006</v>
      </c>
      <c r="R231" s="7">
        <v>2</v>
      </c>
      <c r="S231" s="7">
        <f t="shared" si="620"/>
        <v>280</v>
      </c>
      <c r="T231" s="7">
        <f t="shared" si="621"/>
        <v>1.6368715083798884</v>
      </c>
      <c r="U231" s="7">
        <f t="shared" si="631"/>
        <v>2.6229050279329611</v>
      </c>
      <c r="V231" s="7">
        <f>4225/(K231^2*PI()/4)-1</f>
        <v>3.1973074158937482</v>
      </c>
      <c r="W231" s="7">
        <f>4225/(K231^2*PI()/4)-1</f>
        <v>3.1973074158937482</v>
      </c>
      <c r="X231" s="7">
        <f t="shared" si="616"/>
        <v>4.1973074158937482</v>
      </c>
      <c r="Y231" s="7">
        <f t="shared" si="552"/>
        <v>73.344645861208321</v>
      </c>
      <c r="Z231" s="7">
        <f t="shared" si="632"/>
        <v>556</v>
      </c>
      <c r="AA231" s="7">
        <v>20</v>
      </c>
      <c r="AB231" s="7">
        <f>349*1000/(K231^2*PI()/4)</f>
        <v>346.71249423595691</v>
      </c>
      <c r="AC231" s="7"/>
      <c r="AD231" s="4">
        <f t="shared" si="666"/>
        <v>1.6270397075880396</v>
      </c>
      <c r="AE231" s="7"/>
      <c r="AF231" s="7"/>
      <c r="AG231" s="7">
        <v>1</v>
      </c>
      <c r="AH231" s="7"/>
      <c r="AI231" s="7"/>
      <c r="AJ231" s="7">
        <f t="shared" si="655"/>
        <v>5.3498293515358357</v>
      </c>
      <c r="AK231" s="4">
        <f>H231</f>
        <v>209</v>
      </c>
      <c r="AL231" s="4">
        <f t="shared" si="678"/>
        <v>0.48644338118022329</v>
      </c>
      <c r="AM231" s="4">
        <f t="shared" si="679"/>
        <v>89.044034776358373</v>
      </c>
      <c r="AN231" s="4">
        <f t="shared" si="680"/>
        <v>0.78985645933014348</v>
      </c>
      <c r="AO231" s="4">
        <v>1.25</v>
      </c>
      <c r="AP231" s="4">
        <f t="shared" si="624"/>
        <v>2.5</v>
      </c>
      <c r="AQ231" s="38">
        <f t="shared" si="681"/>
        <v>106.91418381201157</v>
      </c>
      <c r="AR231" s="38">
        <f t="shared" si="682"/>
        <v>106.91418381201157</v>
      </c>
      <c r="AS231" s="38">
        <f t="shared" si="683"/>
        <v>3.222179253401551</v>
      </c>
      <c r="AT231" s="38">
        <f t="shared" si="626"/>
        <v>106.91418381201159</v>
      </c>
      <c r="AU231" s="38">
        <f t="shared" si="601"/>
        <v>0.99999999999999989</v>
      </c>
      <c r="AV231" s="38">
        <f t="shared" si="537"/>
        <v>2.3916651502566055</v>
      </c>
      <c r="AW231" s="4">
        <f t="shared" si="529"/>
        <v>0</v>
      </c>
      <c r="AX231" s="4">
        <f t="shared" si="570"/>
        <v>182.29761644257499</v>
      </c>
      <c r="AY231" s="4">
        <f t="shared" si="571"/>
        <v>1.2409556313993173</v>
      </c>
      <c r="AZ231" s="38">
        <f t="shared" si="617"/>
        <v>255.70292749131704</v>
      </c>
      <c r="BA231" s="4">
        <f t="shared" si="572"/>
        <v>0.55237696177487527</v>
      </c>
      <c r="BB231" s="4">
        <f t="shared" si="602"/>
        <v>52.614184333635947</v>
      </c>
      <c r="BC231" s="4">
        <f t="shared" si="603"/>
        <v>308.31711182495297</v>
      </c>
      <c r="BE231" s="4">
        <f t="shared" si="627"/>
        <v>1.2807262569832403</v>
      </c>
      <c r="BF231" s="4">
        <f t="shared" si="628"/>
        <v>361.03468916532245</v>
      </c>
      <c r="BH231" s="4">
        <f t="shared" si="633"/>
        <v>245.25037789455612</v>
      </c>
      <c r="BI231" s="4">
        <f t="shared" si="634"/>
        <v>2142.1935501129287</v>
      </c>
      <c r="BJ231" s="4">
        <f t="shared" si="635"/>
        <v>8.7347206903548642</v>
      </c>
      <c r="BR231" s="4">
        <f t="shared" si="539"/>
        <v>40.700000000000003</v>
      </c>
      <c r="BV231" s="9"/>
      <c r="BX231" s="9"/>
      <c r="BY231" s="9"/>
      <c r="BZ231" s="9">
        <f t="shared" si="577"/>
        <v>40.700000000000003</v>
      </c>
      <c r="CA231" s="9">
        <f t="shared" si="578"/>
        <v>76</v>
      </c>
      <c r="CB231" s="9">
        <f t="shared" si="604"/>
        <v>1.1709505872794554</v>
      </c>
      <c r="CC231" s="9">
        <v>0</v>
      </c>
      <c r="CD231" s="9">
        <f t="shared" ref="CD231:CD243" si="689">MIN(PI()*AE231^2/4*AF231*2/R231/K231/MAX(0.01,AG231),0.05)</f>
        <v>0</v>
      </c>
      <c r="CE231" s="9">
        <f t="shared" si="605"/>
        <v>0</v>
      </c>
      <c r="CF231" s="9">
        <f t="shared" si="579"/>
        <v>0.89787751228078194</v>
      </c>
      <c r="CG231" s="9">
        <f t="shared" si="580"/>
        <v>0.91600000000000004</v>
      </c>
      <c r="CH231" s="9">
        <f t="shared" si="606"/>
        <v>1.7078587312996556</v>
      </c>
      <c r="CI231" s="9">
        <f t="shared" si="607"/>
        <v>1.9998181844056775</v>
      </c>
      <c r="CJ231" s="9">
        <v>1</v>
      </c>
      <c r="CK231" s="9">
        <f t="shared" si="608"/>
        <v>166.68875592923303</v>
      </c>
      <c r="CM231" s="4">
        <f t="shared" ref="CM231:CM241" si="690">AB231/AX231</f>
        <v>1.9019036068701081</v>
      </c>
      <c r="CN231" s="4">
        <f t="shared" ref="CN231:CN241" si="691">AB231/BC231</f>
        <v>1.1245321162479069</v>
      </c>
      <c r="CO231" s="4">
        <f t="shared" ref="CO231:CO241" si="692">AB231/BF231</f>
        <v>0.96033014178643861</v>
      </c>
      <c r="CP231" s="4">
        <f t="shared" ref="CP231:CP241" si="693">AB231/CK231</f>
        <v>2.0799992915128129</v>
      </c>
      <c r="CQ231" s="4">
        <f t="shared" ref="CQ231:CQ294" si="694">AB231/DR231</f>
        <v>1.6270397075880396</v>
      </c>
      <c r="CR231" s="4">
        <f t="shared" ref="CR231:CR294" si="695">AB231/ED231</f>
        <v>1.6772269266410664</v>
      </c>
      <c r="CS231" s="4">
        <f t="shared" ref="CS231:CS241" si="696">AB231/GA231</f>
        <v>2.5947732797879901</v>
      </c>
      <c r="CU231" s="4">
        <f t="shared" si="658"/>
        <v>1.9019036068701081</v>
      </c>
      <c r="CV231" s="4">
        <f t="shared" si="658"/>
        <v>1.1245321162479069</v>
      </c>
      <c r="CW231" s="4">
        <f t="shared" si="659"/>
        <v>2.0799992915128129</v>
      </c>
      <c r="CX231" s="4">
        <f t="shared" ref="CX231:CX235" si="697">CS231</f>
        <v>2.5947732797879901</v>
      </c>
      <c r="CY231" s="4">
        <f t="shared" si="661"/>
        <v>1.6270397075880396</v>
      </c>
      <c r="CZ231" s="4">
        <f t="shared" si="661"/>
        <v>1.6772269266410664</v>
      </c>
      <c r="DH231" s="4">
        <f t="shared" si="557"/>
        <v>0</v>
      </c>
      <c r="DI231" s="4">
        <f t="shared" si="629"/>
        <v>209</v>
      </c>
      <c r="DL231" s="4">
        <f t="shared" si="667"/>
        <v>1.0810474402128634E-5</v>
      </c>
      <c r="DM231" s="4">
        <f t="shared" si="558"/>
        <v>5.8141951099198845</v>
      </c>
      <c r="DN231" s="4">
        <f t="shared" si="668"/>
        <v>0.27110876525544425</v>
      </c>
      <c r="DO231" s="4">
        <f t="shared" si="669"/>
        <v>3.4494275298066173</v>
      </c>
      <c r="DP231" s="4">
        <f t="shared" si="670"/>
        <v>4.7812591811704239</v>
      </c>
      <c r="DQ231" s="4">
        <f t="shared" si="671"/>
        <v>5.7134970421870559</v>
      </c>
      <c r="DR231" s="38">
        <f t="shared" si="684"/>
        <v>213.09405825745418</v>
      </c>
      <c r="DS231" s="4">
        <f t="shared" si="609"/>
        <v>1.0001239543067137</v>
      </c>
      <c r="DT231" s="4">
        <f t="shared" si="672"/>
        <v>2.0487331246147575</v>
      </c>
      <c r="DU231" s="4">
        <f t="shared" si="618"/>
        <v>106.91418381201159</v>
      </c>
      <c r="DY231" s="4">
        <f t="shared" si="581"/>
        <v>0.85</v>
      </c>
      <c r="DZ231" s="4">
        <f t="shared" si="610"/>
        <v>0.98631284916201112</v>
      </c>
      <c r="EA231" s="4">
        <f t="shared" si="685"/>
        <v>1</v>
      </c>
      <c r="EB231" s="4">
        <f t="shared" si="611"/>
        <v>0.98631284916201112</v>
      </c>
      <c r="ED231" s="4">
        <f t="shared" si="686"/>
        <v>206.71770094360932</v>
      </c>
      <c r="EE231" s="25">
        <f t="shared" si="687"/>
        <v>104.88808267769402</v>
      </c>
      <c r="EG231" s="4">
        <f t="shared" si="619"/>
        <v>0.83836592178770941</v>
      </c>
      <c r="EH231" s="4">
        <f t="shared" si="688"/>
        <v>5.8141951099198845</v>
      </c>
      <c r="EK231" s="4">
        <f t="shared" si="673"/>
        <v>73.344645861208321</v>
      </c>
      <c r="EL231" s="4">
        <f t="shared" si="674"/>
        <v>2.0487331246147575</v>
      </c>
      <c r="EM231" s="4">
        <f t="shared" si="675"/>
        <v>8.7952898482473257E-2</v>
      </c>
      <c r="EP231" s="4">
        <f t="shared" si="541"/>
        <v>8.7952898482473257E-2</v>
      </c>
      <c r="EQ231" s="4">
        <f t="shared" si="542"/>
        <v>0.27065633525403809</v>
      </c>
      <c r="ER231" s="4">
        <f t="shared" si="559"/>
        <v>3.4471237953415605</v>
      </c>
      <c r="ES231" s="4">
        <f t="shared" si="582"/>
        <v>4.7804322984849321</v>
      </c>
      <c r="ET231" s="4">
        <f t="shared" si="560"/>
        <v>83.405354138791679</v>
      </c>
      <c r="EU231" s="4">
        <f t="shared" si="561"/>
        <v>52.249999999999986</v>
      </c>
      <c r="EV231" s="4">
        <f t="shared" si="612"/>
        <v>1.0810474402128631E-5</v>
      </c>
      <c r="EW231" s="4">
        <f t="shared" si="583"/>
        <v>5.7135268544638409</v>
      </c>
      <c r="EX231" s="4">
        <f t="shared" si="636"/>
        <v>213.0676476049122</v>
      </c>
      <c r="FG231" s="23">
        <f t="shared" ref="FG231:FH241" si="698">IF(CM231&lt;0.6,0.6,IF(CM231&lt;0.8,0.8,IF(CM231&lt;1,1,IF(CM231&lt;1.2,1.2,IF(CM231&lt;1.4,1.4,IF(CM231&lt;1.6,1.6,IF(CM231&lt;1.8,1.8,IF(CM231&lt;2,2,2.2))))))))</f>
        <v>2</v>
      </c>
      <c r="FH231" s="23">
        <f t="shared" si="698"/>
        <v>1.2</v>
      </c>
      <c r="FI231" s="23">
        <f t="shared" ref="FI231:FI241" si="699">IF(CS231&lt;0.6,0.6,IF(CS231&lt;0.8,0.8,IF(CS231&lt;1,1,IF(CS231&lt;1.2,1.2,IF(CS231&lt;1.4,1.4,IF(CS231&lt;1.6,1.6,IF(CS231&lt;1.8,1.8,IF(CS231&lt;2,2,2.2))))))))</f>
        <v>2.2000000000000002</v>
      </c>
      <c r="FJ231" s="23">
        <f t="shared" ref="FJ231:FL241" si="700">IF(CP231&lt;0.6,0.6,IF(CP231&lt;0.8,0.8,IF(CP231&lt;1,1,IF(CP231&lt;1.2,1.2,IF(CP231&lt;1.4,1.4,IF(CP231&lt;1.6,1.6,IF(CP231&lt;1.8,1.8,IF(CP231&lt;2,2,2.2))))))))</f>
        <v>2.2000000000000002</v>
      </c>
      <c r="FK231" s="23">
        <f t="shared" si="700"/>
        <v>1.8</v>
      </c>
      <c r="FL231" s="23">
        <f t="shared" si="700"/>
        <v>1.8</v>
      </c>
      <c r="FM231" s="23">
        <f t="shared" ref="FM231:FM294" si="701">IF(FK231&lt;1,1,0)</f>
        <v>0</v>
      </c>
      <c r="FN231" s="23"/>
      <c r="FX231" s="4">
        <f t="shared" si="613"/>
        <v>1</v>
      </c>
      <c r="FY231" s="4">
        <f t="shared" si="652"/>
        <v>0.8938547486033519</v>
      </c>
      <c r="FZ231" s="4">
        <f t="shared" si="614"/>
        <v>0</v>
      </c>
      <c r="GA231" s="4">
        <f t="shared" si="615"/>
        <v>133.61957167382485</v>
      </c>
    </row>
    <row r="232" spans="1:183" ht="12" customHeight="1" x14ac:dyDescent="0.3">
      <c r="A232" s="25">
        <v>214</v>
      </c>
      <c r="B232" s="24" t="s">
        <v>182</v>
      </c>
      <c r="C232" s="4">
        <v>1996</v>
      </c>
      <c r="D232" s="24" t="s">
        <v>309</v>
      </c>
      <c r="E232" s="24"/>
      <c r="F232" s="4" t="s">
        <v>348</v>
      </c>
      <c r="G232" s="7">
        <v>578</v>
      </c>
      <c r="H232" s="7">
        <f>305-P232-18</f>
        <v>211</v>
      </c>
      <c r="I232" s="7">
        <f t="shared" si="630"/>
        <v>211</v>
      </c>
      <c r="J232" s="7">
        <v>35.200000000000003</v>
      </c>
      <c r="K232" s="7">
        <v>25.4</v>
      </c>
      <c r="L232" s="7">
        <f t="shared" si="676"/>
        <v>8.3070866141732296</v>
      </c>
      <c r="M232" s="7">
        <f t="shared" si="677"/>
        <v>8.3070866141732296</v>
      </c>
      <c r="N232" s="7">
        <v>305</v>
      </c>
      <c r="O232" s="7">
        <v>76</v>
      </c>
      <c r="P232" s="7">
        <v>76</v>
      </c>
      <c r="Q232" s="7">
        <f t="shared" si="623"/>
        <v>102.19999999999999</v>
      </c>
      <c r="R232" s="7">
        <v>2</v>
      </c>
      <c r="S232" s="7">
        <f t="shared" si="620"/>
        <v>280</v>
      </c>
      <c r="T232" s="7">
        <f t="shared" si="621"/>
        <v>2.5118110236220472</v>
      </c>
      <c r="U232" s="7">
        <f t="shared" si="631"/>
        <v>3.4921259842519685</v>
      </c>
      <c r="V232" s="7">
        <f>3200/(K232^2*PI()/4)-1</f>
        <v>5.3152807724479523</v>
      </c>
      <c r="W232" s="7">
        <f>3200/(K232^2*PI()/4)-1</f>
        <v>5.3152807724479523</v>
      </c>
      <c r="X232" s="7">
        <f t="shared" si="616"/>
        <v>6.3152807724479523</v>
      </c>
      <c r="Y232" s="7">
        <f t="shared" si="552"/>
        <v>63.830764864229231</v>
      </c>
      <c r="Z232" s="7">
        <f t="shared" si="632"/>
        <v>578</v>
      </c>
      <c r="AA232" s="7">
        <v>18</v>
      </c>
      <c r="AB232" s="7">
        <f>218*1000/(K232^2*PI()/4)</f>
        <v>430.22850262301677</v>
      </c>
      <c r="AC232" s="7"/>
      <c r="AD232" s="4">
        <f t="shared" si="666"/>
        <v>1.0787425247853666</v>
      </c>
      <c r="AE232" s="7"/>
      <c r="AF232" s="7"/>
      <c r="AG232" s="7">
        <v>1</v>
      </c>
      <c r="AH232" s="7"/>
      <c r="AI232" s="7"/>
      <c r="AJ232" s="7">
        <f t="shared" si="655"/>
        <v>4.9608150470219439</v>
      </c>
      <c r="AK232" s="4">
        <f t="shared" si="569"/>
        <v>211</v>
      </c>
      <c r="AL232" s="4">
        <f t="shared" si="678"/>
        <v>0.48183254344391785</v>
      </c>
      <c r="AM232" s="4">
        <f t="shared" si="679"/>
        <v>179.43522533734807</v>
      </c>
      <c r="AN232" s="4">
        <f t="shared" si="680"/>
        <v>0.7840758293838862</v>
      </c>
      <c r="AO232" s="4">
        <v>1.25</v>
      </c>
      <c r="AP232" s="4">
        <f t="shared" si="624"/>
        <v>2.5</v>
      </c>
      <c r="AQ232" s="38">
        <f t="shared" si="681"/>
        <v>211.84192858291391</v>
      </c>
      <c r="AR232" s="38">
        <f t="shared" si="682"/>
        <v>211.84192858291391</v>
      </c>
      <c r="AS232" s="38">
        <f t="shared" si="683"/>
        <v>3.222179253401551</v>
      </c>
      <c r="AT232" s="38">
        <f t="shared" si="626"/>
        <v>211.84192858291399</v>
      </c>
      <c r="AU232" s="38">
        <f t="shared" si="601"/>
        <v>0.99999999999999956</v>
      </c>
      <c r="AV232" s="38">
        <f t="shared" si="537"/>
        <v>2.2249027574187785</v>
      </c>
      <c r="AW232" s="4">
        <f t="shared" si="529"/>
        <v>0</v>
      </c>
      <c r="AX232" s="4">
        <f t="shared" si="570"/>
        <v>259.3979081271753</v>
      </c>
      <c r="AY232" s="4">
        <f t="shared" si="571"/>
        <v>1.1561128526645768</v>
      </c>
      <c r="AZ232" s="38">
        <f t="shared" si="617"/>
        <v>471.32769104103733</v>
      </c>
      <c r="BA232" s="4">
        <f t="shared" si="572"/>
        <v>0.3</v>
      </c>
      <c r="BB232" s="4">
        <f t="shared" si="602"/>
        <v>40.660622098934731</v>
      </c>
      <c r="BC232" s="4">
        <f t="shared" si="603"/>
        <v>511.98831313997204</v>
      </c>
      <c r="BE232" s="4">
        <f t="shared" si="627"/>
        <v>1.4980314960629921</v>
      </c>
      <c r="BF232" s="4">
        <f t="shared" si="628"/>
        <v>488.12692869417333</v>
      </c>
      <c r="BH232" s="4">
        <f t="shared" si="633"/>
        <v>452.06089532904645</v>
      </c>
      <c r="BI232" s="4">
        <f t="shared" si="634"/>
        <v>2245.2309649218914</v>
      </c>
      <c r="BJ232" s="4">
        <f t="shared" si="635"/>
        <v>4.9666560149769889</v>
      </c>
      <c r="BR232" s="4">
        <f t="shared" si="539"/>
        <v>51.099999999999994</v>
      </c>
      <c r="BV232" s="9"/>
      <c r="BX232" s="9"/>
      <c r="BY232" s="9"/>
      <c r="BZ232" s="9">
        <f t="shared" si="577"/>
        <v>51.099999999999994</v>
      </c>
      <c r="CA232" s="9">
        <f t="shared" si="578"/>
        <v>76</v>
      </c>
      <c r="CB232" s="9">
        <f t="shared" si="604"/>
        <v>1.5054020239149992</v>
      </c>
      <c r="CC232" s="9">
        <v>0</v>
      </c>
      <c r="CD232" s="9">
        <f t="shared" si="689"/>
        <v>0</v>
      </c>
      <c r="CE232" s="9">
        <f t="shared" si="605"/>
        <v>0</v>
      </c>
      <c r="CF232" s="9">
        <f t="shared" si="579"/>
        <v>0.99524931562137331</v>
      </c>
      <c r="CG232" s="9">
        <f t="shared" si="580"/>
        <v>0.88300000000000001</v>
      </c>
      <c r="CH232" s="9">
        <f t="shared" si="606"/>
        <v>1.8248701497446835</v>
      </c>
      <c r="CI232" s="9">
        <f t="shared" si="607"/>
        <v>2.7471632168077145</v>
      </c>
      <c r="CJ232" s="9">
        <v>1</v>
      </c>
      <c r="CK232" s="9">
        <f t="shared" si="608"/>
        <v>256.1134841496326</v>
      </c>
      <c r="CM232" s="4">
        <f t="shared" si="690"/>
        <v>1.6585658139235577</v>
      </c>
      <c r="CN232" s="4">
        <f t="shared" si="691"/>
        <v>0.84030922499865146</v>
      </c>
      <c r="CO232" s="4">
        <f t="shared" si="692"/>
        <v>0.88138653561678071</v>
      </c>
      <c r="CP232" s="4">
        <f t="shared" si="693"/>
        <v>1.6798354215963835</v>
      </c>
      <c r="CQ232" s="4">
        <f t="shared" si="694"/>
        <v>1.0787425247853666</v>
      </c>
      <c r="CR232" s="4">
        <f t="shared" si="695"/>
        <v>1.1150394683014302</v>
      </c>
      <c r="CS232" s="4">
        <f t="shared" si="696"/>
        <v>1.5950411881888569</v>
      </c>
      <c r="CU232" s="4">
        <f t="shared" si="658"/>
        <v>1.6585658139235577</v>
      </c>
      <c r="CV232" s="4">
        <f t="shared" si="658"/>
        <v>0.84030922499865146</v>
      </c>
      <c r="CW232" s="4">
        <f t="shared" si="659"/>
        <v>1.6798354215963835</v>
      </c>
      <c r="CX232" s="4">
        <f t="shared" si="697"/>
        <v>1.5950411881888569</v>
      </c>
      <c r="CY232" s="4">
        <f t="shared" si="661"/>
        <v>1.0787425247853666</v>
      </c>
      <c r="CZ232" s="4">
        <f t="shared" si="661"/>
        <v>1.1150394683014302</v>
      </c>
      <c r="DH232" s="4">
        <f t="shared" si="557"/>
        <v>0</v>
      </c>
      <c r="DI232" s="4">
        <f t="shared" si="629"/>
        <v>211</v>
      </c>
      <c r="DL232" s="4">
        <f t="shared" si="667"/>
        <v>1.5382617175677067E-5</v>
      </c>
      <c r="DM232" s="4">
        <f t="shared" si="558"/>
        <v>7.0890752785809319</v>
      </c>
      <c r="DN232" s="4">
        <f t="shared" si="668"/>
        <v>0.28121596513872082</v>
      </c>
      <c r="DO232" s="4">
        <f t="shared" si="669"/>
        <v>4.2678149187599521</v>
      </c>
      <c r="DP232" s="4">
        <f t="shared" si="670"/>
        <v>5.8520434725818786</v>
      </c>
      <c r="DQ232" s="4">
        <f t="shared" si="671"/>
        <v>6.8696369122175298</v>
      </c>
      <c r="DR232" s="38">
        <f t="shared" si="684"/>
        <v>398.82408706249691</v>
      </c>
      <c r="DS232" s="4">
        <f t="shared" si="609"/>
        <v>1.0001091615168982</v>
      </c>
      <c r="DT232" s="4">
        <f t="shared" si="672"/>
        <v>2.5130222387491825</v>
      </c>
      <c r="DU232" s="4">
        <f t="shared" si="618"/>
        <v>211.84192858291399</v>
      </c>
      <c r="DY232" s="4">
        <f t="shared" si="581"/>
        <v>0.85</v>
      </c>
      <c r="DZ232" s="4">
        <f t="shared" si="610"/>
        <v>0.89881889763779532</v>
      </c>
      <c r="EA232" s="4">
        <f t="shared" si="685"/>
        <v>1</v>
      </c>
      <c r="EB232" s="4">
        <f t="shared" si="611"/>
        <v>0.89881889763779532</v>
      </c>
      <c r="ED232" s="4">
        <f t="shared" si="686"/>
        <v>385.84150144783257</v>
      </c>
      <c r="EE232" s="25">
        <f t="shared" si="687"/>
        <v>209.17281438713454</v>
      </c>
      <c r="EG232" s="4">
        <f t="shared" si="619"/>
        <v>0.76399606299212597</v>
      </c>
      <c r="EH232" s="4">
        <f t="shared" si="688"/>
        <v>7.0890752785809319</v>
      </c>
      <c r="EK232" s="4">
        <f t="shared" si="673"/>
        <v>63.830764864229231</v>
      </c>
      <c r="EL232" s="4">
        <f t="shared" si="674"/>
        <v>2.5130222387491825</v>
      </c>
      <c r="EM232" s="4">
        <f t="shared" si="675"/>
        <v>9.1231868546160763E-2</v>
      </c>
      <c r="EP232" s="4">
        <f t="shared" si="541"/>
        <v>9.1231868546160763E-2</v>
      </c>
      <c r="EQ232" s="4">
        <f t="shared" si="542"/>
        <v>0.28074666810443544</v>
      </c>
      <c r="ER232" s="4">
        <f t="shared" si="559"/>
        <v>4.2649646161419463</v>
      </c>
      <c r="ES232" s="4">
        <f t="shared" si="582"/>
        <v>5.85100886844935</v>
      </c>
      <c r="ET232" s="4">
        <f t="shared" si="560"/>
        <v>94.419235135770776</v>
      </c>
      <c r="EU232" s="4">
        <f t="shared" si="561"/>
        <v>52.75</v>
      </c>
      <c r="EV232" s="4">
        <f t="shared" si="612"/>
        <v>1.5382617175677067E-5</v>
      </c>
      <c r="EW232" s="4">
        <f t="shared" si="583"/>
        <v>6.8696975484886966</v>
      </c>
      <c r="EX232" s="4">
        <f t="shared" si="636"/>
        <v>398.78055557214111</v>
      </c>
      <c r="FG232" s="23">
        <f t="shared" si="698"/>
        <v>1.8</v>
      </c>
      <c r="FH232" s="23">
        <f t="shared" si="698"/>
        <v>1</v>
      </c>
      <c r="FI232" s="23">
        <f t="shared" si="699"/>
        <v>1.6</v>
      </c>
      <c r="FJ232" s="23">
        <f t="shared" si="700"/>
        <v>1.8</v>
      </c>
      <c r="FK232" s="23">
        <f t="shared" si="700"/>
        <v>1.2</v>
      </c>
      <c r="FL232" s="23">
        <f t="shared" si="700"/>
        <v>1.2</v>
      </c>
      <c r="FM232" s="23">
        <f t="shared" si="701"/>
        <v>0</v>
      </c>
      <c r="FN232" s="23"/>
      <c r="FX232" s="4">
        <f t="shared" si="613"/>
        <v>1</v>
      </c>
      <c r="FY232" s="4">
        <f t="shared" si="652"/>
        <v>0.74803149606299213</v>
      </c>
      <c r="FZ232" s="4">
        <f t="shared" si="614"/>
        <v>0</v>
      </c>
      <c r="GA232" s="4">
        <f t="shared" si="615"/>
        <v>269.72877303032794</v>
      </c>
    </row>
    <row r="233" spans="1:183" ht="12" customHeight="1" x14ac:dyDescent="0.3">
      <c r="A233" s="25">
        <v>215</v>
      </c>
      <c r="B233" s="24" t="s">
        <v>182</v>
      </c>
      <c r="C233" s="4">
        <v>1996</v>
      </c>
      <c r="D233" s="24" t="s">
        <v>309</v>
      </c>
      <c r="E233" s="24"/>
      <c r="F233" s="4" t="s">
        <v>349</v>
      </c>
      <c r="G233" s="7">
        <v>578</v>
      </c>
      <c r="H233" s="7">
        <f>305-P233-18</f>
        <v>211</v>
      </c>
      <c r="I233" s="7">
        <f t="shared" si="630"/>
        <v>211</v>
      </c>
      <c r="J233" s="7">
        <v>35.200000000000003</v>
      </c>
      <c r="K233" s="7">
        <v>25.4</v>
      </c>
      <c r="L233" s="7">
        <f t="shared" si="676"/>
        <v>8.3070866141732296</v>
      </c>
      <c r="M233" s="7">
        <f t="shared" si="677"/>
        <v>8.3070866141732296</v>
      </c>
      <c r="N233" s="7">
        <v>305</v>
      </c>
      <c r="O233" s="7">
        <v>76</v>
      </c>
      <c r="P233" s="7">
        <v>76</v>
      </c>
      <c r="Q233" s="7">
        <f t="shared" si="623"/>
        <v>102.19999999999999</v>
      </c>
      <c r="R233" s="7">
        <v>2</v>
      </c>
      <c r="S233" s="7">
        <f t="shared" si="620"/>
        <v>280</v>
      </c>
      <c r="T233" s="7">
        <f t="shared" si="621"/>
        <v>2.5118110236220472</v>
      </c>
      <c r="U233" s="7">
        <f t="shared" si="631"/>
        <v>3.4921259842519685</v>
      </c>
      <c r="V233" s="7">
        <f>1624/(K233^2*PI()/4)-1</f>
        <v>2.205004992017336</v>
      </c>
      <c r="W233" s="7">
        <f>1624/(K233^2*PI()/4)-1</f>
        <v>2.205004992017336</v>
      </c>
      <c r="X233" s="7">
        <f t="shared" si="616"/>
        <v>3.205004992017336</v>
      </c>
      <c r="Y233" s="7">
        <f t="shared" si="552"/>
        <v>45.472420439755616</v>
      </c>
      <c r="Z233" s="7">
        <f t="shared" si="632"/>
        <v>578</v>
      </c>
      <c r="AA233" s="7">
        <v>18</v>
      </c>
      <c r="AB233" s="7">
        <f>183*1000/(K233^2*PI()/4)</f>
        <v>361.15511917436726</v>
      </c>
      <c r="AC233" s="7"/>
      <c r="AD233" s="4">
        <f t="shared" si="666"/>
        <v>0.864466025227837</v>
      </c>
      <c r="AE233" s="7"/>
      <c r="AF233" s="7"/>
      <c r="AG233" s="7">
        <v>1</v>
      </c>
      <c r="AH233" s="7"/>
      <c r="AI233" s="7"/>
      <c r="AJ233" s="7">
        <f t="shared" si="655"/>
        <v>4.9608150470219439</v>
      </c>
      <c r="AK233" s="4">
        <f t="shared" si="569"/>
        <v>211</v>
      </c>
      <c r="AL233" s="4">
        <f t="shared" si="678"/>
        <v>0.48183254344391785</v>
      </c>
      <c r="AM233" s="4">
        <f t="shared" si="679"/>
        <v>179.43522533734807</v>
      </c>
      <c r="AN233" s="4">
        <f t="shared" si="680"/>
        <v>0.7840758293838862</v>
      </c>
      <c r="AO233" s="4">
        <v>1.25</v>
      </c>
      <c r="AP233" s="4">
        <f t="shared" si="624"/>
        <v>2.5</v>
      </c>
      <c r="AQ233" s="38">
        <f t="shared" si="681"/>
        <v>211.84192858291391</v>
      </c>
      <c r="AR233" s="38">
        <f t="shared" si="682"/>
        <v>211.84192858291391</v>
      </c>
      <c r="AS233" s="38">
        <f t="shared" si="683"/>
        <v>3.222179253401551</v>
      </c>
      <c r="AT233" s="38">
        <f t="shared" si="626"/>
        <v>211.84192858291399</v>
      </c>
      <c r="AU233" s="38">
        <f t="shared" si="601"/>
        <v>0.99999999999999956</v>
      </c>
      <c r="AV233" s="38">
        <f t="shared" si="537"/>
        <v>1.4330215371477693</v>
      </c>
      <c r="AW233" s="4">
        <f t="shared" si="529"/>
        <v>0</v>
      </c>
      <c r="AX233" s="4">
        <f t="shared" si="570"/>
        <v>259.3979081271753</v>
      </c>
      <c r="AY233" s="4">
        <f t="shared" si="571"/>
        <v>1.1561128526645768</v>
      </c>
      <c r="AZ233" s="38">
        <f t="shared" si="617"/>
        <v>303.57404613023539</v>
      </c>
      <c r="BA233" s="4">
        <f t="shared" si="572"/>
        <v>0.69129930111757298</v>
      </c>
      <c r="BB233" s="4">
        <f t="shared" si="602"/>
        <v>93.695532133331071</v>
      </c>
      <c r="BC233" s="4">
        <f t="shared" si="603"/>
        <v>397.26957826356647</v>
      </c>
      <c r="BE233" s="4">
        <f t="shared" si="627"/>
        <v>1.4980314960629921</v>
      </c>
      <c r="BF233" s="4">
        <f t="shared" si="628"/>
        <v>488.12692869417333</v>
      </c>
      <c r="BH233" s="4">
        <f t="shared" si="633"/>
        <v>291.16463492561229</v>
      </c>
      <c r="BI233" s="4">
        <f t="shared" si="634"/>
        <v>81053.819577985545</v>
      </c>
      <c r="BJ233" s="4">
        <f t="shared" si="635"/>
        <v>278.37796852867604</v>
      </c>
      <c r="BR233" s="4">
        <f t="shared" si="539"/>
        <v>51.099999999999994</v>
      </c>
      <c r="BV233" s="9"/>
      <c r="BX233" s="9"/>
      <c r="BY233" s="9"/>
      <c r="BZ233" s="9">
        <f t="shared" si="577"/>
        <v>51.099999999999994</v>
      </c>
      <c r="CA233" s="9">
        <f t="shared" si="578"/>
        <v>76</v>
      </c>
      <c r="CB233" s="9">
        <f t="shared" si="604"/>
        <v>1.5054020239149992</v>
      </c>
      <c r="CC233" s="9">
        <v>0</v>
      </c>
      <c r="CD233" s="9">
        <f t="shared" si="689"/>
        <v>0</v>
      </c>
      <c r="CE233" s="9">
        <f t="shared" si="605"/>
        <v>0</v>
      </c>
      <c r="CF233" s="9">
        <f t="shared" si="579"/>
        <v>0.99524931562137331</v>
      </c>
      <c r="CG233" s="9">
        <f t="shared" si="580"/>
        <v>0.88300000000000001</v>
      </c>
      <c r="CH233" s="9">
        <f t="shared" si="606"/>
        <v>1.8248701497446835</v>
      </c>
      <c r="CI233" s="9">
        <f t="shared" si="607"/>
        <v>2.7471632168077145</v>
      </c>
      <c r="CJ233" s="9">
        <v>1</v>
      </c>
      <c r="CK233" s="9">
        <f t="shared" si="608"/>
        <v>256.1134841496326</v>
      </c>
      <c r="CM233" s="4">
        <f t="shared" si="690"/>
        <v>1.392282311688124</v>
      </c>
      <c r="CN233" s="4">
        <f t="shared" si="691"/>
        <v>0.90909331832794082</v>
      </c>
      <c r="CO233" s="4">
        <f t="shared" si="692"/>
        <v>0.73987952301775617</v>
      </c>
      <c r="CP233" s="4">
        <f t="shared" si="693"/>
        <v>1.4101370740923769</v>
      </c>
      <c r="CQ233" s="4">
        <f t="shared" si="694"/>
        <v>0.864466025227837</v>
      </c>
      <c r="CR233" s="4">
        <f t="shared" si="695"/>
        <v>0.93601937017964099</v>
      </c>
      <c r="CS233" s="4">
        <f t="shared" si="696"/>
        <v>1.338956593754866</v>
      </c>
      <c r="CU233" s="4">
        <f t="shared" si="658"/>
        <v>1.392282311688124</v>
      </c>
      <c r="CV233" s="4">
        <f t="shared" si="658"/>
        <v>0.90909331832794082</v>
      </c>
      <c r="CW233" s="4">
        <f t="shared" si="659"/>
        <v>1.4101370740923769</v>
      </c>
      <c r="CX233" s="4">
        <f t="shared" si="697"/>
        <v>1.338956593754866</v>
      </c>
      <c r="CY233" s="4">
        <f t="shared" si="661"/>
        <v>0.864466025227837</v>
      </c>
      <c r="CZ233" s="4">
        <f t="shared" si="661"/>
        <v>0.93601937017964099</v>
      </c>
      <c r="DH233" s="4">
        <f t="shared" si="557"/>
        <v>0</v>
      </c>
      <c r="DI233" s="4">
        <f t="shared" si="629"/>
        <v>211</v>
      </c>
      <c r="DL233" s="4">
        <f t="shared" si="667"/>
        <v>1.5382617175677067E-5</v>
      </c>
      <c r="DM233" s="4">
        <f t="shared" si="558"/>
        <v>7.0890752785809319</v>
      </c>
      <c r="DN233" s="4">
        <f t="shared" si="668"/>
        <v>0.48291937453805894</v>
      </c>
      <c r="DO233" s="4">
        <f t="shared" si="669"/>
        <v>5.298335314469159</v>
      </c>
      <c r="DP233" s="4">
        <f t="shared" si="670"/>
        <v>6.2582206434403789</v>
      </c>
      <c r="DQ233" s="4">
        <f t="shared" si="671"/>
        <v>6.8432350850706829</v>
      </c>
      <c r="DR233" s="38">
        <f t="shared" si="684"/>
        <v>417.7782684740929</v>
      </c>
      <c r="DS233" s="4">
        <f t="shared" si="609"/>
        <v>1.0001228632795345</v>
      </c>
      <c r="DT233" s="4">
        <f t="shared" si="672"/>
        <v>1.7902527732187252</v>
      </c>
      <c r="DU233" s="4">
        <f t="shared" si="618"/>
        <v>211.84192858291399</v>
      </c>
      <c r="DY233" s="4">
        <f t="shared" si="581"/>
        <v>0.85</v>
      </c>
      <c r="DZ233" s="4">
        <f t="shared" si="610"/>
        <v>0.89881889763779532</v>
      </c>
      <c r="EA233" s="4">
        <f t="shared" si="685"/>
        <v>1</v>
      </c>
      <c r="EB233" s="4">
        <f t="shared" si="611"/>
        <v>0.89881889763779532</v>
      </c>
      <c r="ED233" s="4">
        <f t="shared" si="686"/>
        <v>385.84150144783257</v>
      </c>
      <c r="EE233" s="25">
        <f t="shared" si="687"/>
        <v>209.17281438713454</v>
      </c>
      <c r="EG233" s="4">
        <f t="shared" si="619"/>
        <v>0.76399606299212597</v>
      </c>
      <c r="EH233" s="4">
        <f t="shared" si="688"/>
        <v>7.0890752785809319</v>
      </c>
      <c r="EK233" s="4">
        <f t="shared" si="673"/>
        <v>45.472420439755616</v>
      </c>
      <c r="EL233" s="4">
        <f t="shared" si="674"/>
        <v>1.7902527732187252</v>
      </c>
      <c r="EM233" s="4">
        <f t="shared" si="675"/>
        <v>0.15666833451122594</v>
      </c>
      <c r="EP233" s="4">
        <f t="shared" si="541"/>
        <v>0.15666833451122594</v>
      </c>
      <c r="EQ233" s="4">
        <f t="shared" si="542"/>
        <v>0.48211347210589123</v>
      </c>
      <c r="ER233" s="4">
        <f t="shared" si="559"/>
        <v>5.2947967685609179</v>
      </c>
      <c r="ES233" s="4">
        <f t="shared" si="582"/>
        <v>6.2567241775106712</v>
      </c>
      <c r="ET233" s="4">
        <f t="shared" si="560"/>
        <v>112.77757956024439</v>
      </c>
      <c r="EU233" s="4">
        <f t="shared" si="561"/>
        <v>52.75</v>
      </c>
      <c r="EV233" s="4">
        <f t="shared" si="612"/>
        <v>1.5382617175677067E-5</v>
      </c>
      <c r="EW233" s="4">
        <f t="shared" si="583"/>
        <v>6.84330657478211</v>
      </c>
      <c r="EX233" s="4">
        <f t="shared" si="636"/>
        <v>417.72694517165917</v>
      </c>
      <c r="FG233" s="23">
        <f t="shared" si="698"/>
        <v>1.4</v>
      </c>
      <c r="FH233" s="23">
        <f t="shared" si="698"/>
        <v>1</v>
      </c>
      <c r="FI233" s="23">
        <f t="shared" si="699"/>
        <v>1.4</v>
      </c>
      <c r="FJ233" s="23">
        <f t="shared" si="700"/>
        <v>1.6</v>
      </c>
      <c r="FK233" s="23">
        <f t="shared" si="700"/>
        <v>1</v>
      </c>
      <c r="FL233" s="23">
        <f t="shared" si="700"/>
        <v>1</v>
      </c>
      <c r="FM233" s="23">
        <f t="shared" si="701"/>
        <v>0</v>
      </c>
      <c r="FN233" s="23"/>
      <c r="FX233" s="4">
        <f t="shared" si="613"/>
        <v>1</v>
      </c>
      <c r="FY233" s="4">
        <f t="shared" si="652"/>
        <v>0.74803149606299213</v>
      </c>
      <c r="FZ233" s="4">
        <f t="shared" si="614"/>
        <v>0</v>
      </c>
      <c r="GA233" s="4">
        <f t="shared" si="615"/>
        <v>269.72877303032794</v>
      </c>
    </row>
    <row r="234" spans="1:183" ht="12" customHeight="1" x14ac:dyDescent="0.3">
      <c r="A234" s="25">
        <v>216</v>
      </c>
      <c r="B234" s="24" t="s">
        <v>182</v>
      </c>
      <c r="C234" s="4">
        <v>1996</v>
      </c>
      <c r="D234" s="24" t="s">
        <v>309</v>
      </c>
      <c r="E234" s="24"/>
      <c r="F234" s="4" t="s">
        <v>350</v>
      </c>
      <c r="G234" s="7">
        <v>556</v>
      </c>
      <c r="H234" s="7">
        <f>381-P234-20</f>
        <v>285</v>
      </c>
      <c r="I234" s="7">
        <f t="shared" si="630"/>
        <v>285</v>
      </c>
      <c r="J234" s="7">
        <v>33.200000000000003</v>
      </c>
      <c r="K234" s="7">
        <v>35.799999999999997</v>
      </c>
      <c r="L234" s="7">
        <f t="shared" si="676"/>
        <v>7.9608938547486039</v>
      </c>
      <c r="M234" s="7">
        <f t="shared" si="677"/>
        <v>7.9608938547486039</v>
      </c>
      <c r="N234" s="7">
        <v>305</v>
      </c>
      <c r="O234" s="7">
        <v>76</v>
      </c>
      <c r="P234" s="7">
        <v>76</v>
      </c>
      <c r="Q234" s="7">
        <f t="shared" si="623"/>
        <v>81.400000000000006</v>
      </c>
      <c r="R234" s="7">
        <v>2</v>
      </c>
      <c r="S234" s="7">
        <f t="shared" si="620"/>
        <v>280</v>
      </c>
      <c r="T234" s="7">
        <f t="shared" si="621"/>
        <v>1.6368715083798884</v>
      </c>
      <c r="U234" s="7">
        <f t="shared" si="631"/>
        <v>2.6229050279329611</v>
      </c>
      <c r="V234" s="7">
        <f>2970/(K234^2*PI()/4)-1</f>
        <v>1.9505332604034158</v>
      </c>
      <c r="W234" s="7">
        <f>2970/(K234^2*PI()/4)-1</f>
        <v>1.9505332604034158</v>
      </c>
      <c r="X234" s="7">
        <f t="shared" si="616"/>
        <v>2.9505332604034158</v>
      </c>
      <c r="Y234" s="7">
        <f t="shared" si="552"/>
        <v>61.494076526633307</v>
      </c>
      <c r="Z234" s="7">
        <f t="shared" si="632"/>
        <v>556</v>
      </c>
      <c r="AA234" s="7">
        <v>20</v>
      </c>
      <c r="AB234" s="7">
        <f>306*1000/(K234^2*PI()/4)</f>
        <v>303.99433592035194</v>
      </c>
      <c r="AC234" s="7"/>
      <c r="AD234" s="4">
        <f t="shared" si="666"/>
        <v>1.1163081599228812</v>
      </c>
      <c r="AE234" s="7"/>
      <c r="AF234" s="7"/>
      <c r="AG234" s="7">
        <v>1</v>
      </c>
      <c r="AH234" s="7"/>
      <c r="AI234" s="7"/>
      <c r="AJ234" s="7">
        <f t="shared" si="655"/>
        <v>7.2952218430034126</v>
      </c>
      <c r="AK234" s="4">
        <f t="shared" si="569"/>
        <v>285</v>
      </c>
      <c r="AL234" s="4">
        <f t="shared" si="678"/>
        <v>0.35672514619883039</v>
      </c>
      <c r="AM234" s="4">
        <f t="shared" si="679"/>
        <v>137.70521941374017</v>
      </c>
      <c r="AN234" s="4">
        <f t="shared" si="680"/>
        <v>0.76589473684210518</v>
      </c>
      <c r="AO234" s="4">
        <v>1.25</v>
      </c>
      <c r="AP234" s="4">
        <f t="shared" si="624"/>
        <v>2.5</v>
      </c>
      <c r="AQ234" s="38">
        <f t="shared" si="681"/>
        <v>117.57181779723911</v>
      </c>
      <c r="AR234" s="38">
        <f t="shared" si="682"/>
        <v>117.57181779723911</v>
      </c>
      <c r="AS234" s="38">
        <f t="shared" si="683"/>
        <v>3.098941018792384</v>
      </c>
      <c r="AT234" s="38">
        <f t="shared" si="626"/>
        <v>117.57181779723915</v>
      </c>
      <c r="AU234" s="38">
        <f t="shared" si="601"/>
        <v>0.99999999999999967</v>
      </c>
      <c r="AV234" s="38">
        <f t="shared" si="537"/>
        <v>1.6021839252307555</v>
      </c>
      <c r="AW234" s="4">
        <f t="shared" si="529"/>
        <v>0</v>
      </c>
      <c r="AX234" s="4">
        <f t="shared" si="570"/>
        <v>241.42223951208828</v>
      </c>
      <c r="AY234" s="4">
        <f t="shared" si="571"/>
        <v>1.2409556313993173</v>
      </c>
      <c r="AZ234" s="38">
        <f t="shared" si="617"/>
        <v>188.37167653489581</v>
      </c>
      <c r="BA234" s="4">
        <f t="shared" si="572"/>
        <v>0.72692534354352178</v>
      </c>
      <c r="BB234" s="4">
        <f t="shared" si="602"/>
        <v>91.696630947103927</v>
      </c>
      <c r="BC234" s="4">
        <f t="shared" si="603"/>
        <v>280.06830748199974</v>
      </c>
      <c r="BE234" s="4">
        <f t="shared" si="627"/>
        <v>1.2807262569832403</v>
      </c>
      <c r="BF234" s="4">
        <f t="shared" si="628"/>
        <v>397.62580029539703</v>
      </c>
      <c r="BH234" s="4">
        <f t="shared" si="633"/>
        <v>180.67147415190635</v>
      </c>
      <c r="BI234" s="4">
        <f t="shared" si="634"/>
        <v>25439.539549546142</v>
      </c>
      <c r="BJ234" s="4">
        <f t="shared" si="635"/>
        <v>140.80551270731809</v>
      </c>
      <c r="BR234" s="4">
        <f t="shared" si="539"/>
        <v>40.700000000000003</v>
      </c>
      <c r="BV234" s="9"/>
      <c r="BX234" s="9"/>
      <c r="BY234" s="9"/>
      <c r="BZ234" s="9">
        <f t="shared" si="577"/>
        <v>40.700000000000003</v>
      </c>
      <c r="CA234" s="9">
        <f t="shared" si="578"/>
        <v>76</v>
      </c>
      <c r="CB234" s="9">
        <f t="shared" si="604"/>
        <v>1.1709505872794554</v>
      </c>
      <c r="CC234" s="9">
        <v>0</v>
      </c>
      <c r="CD234" s="9">
        <f t="shared" si="689"/>
        <v>0</v>
      </c>
      <c r="CE234" s="9">
        <f t="shared" si="605"/>
        <v>0</v>
      </c>
      <c r="CF234" s="9">
        <f t="shared" si="579"/>
        <v>0.89787751228078194</v>
      </c>
      <c r="CG234" s="9">
        <f t="shared" si="580"/>
        <v>0.91600000000000004</v>
      </c>
      <c r="CH234" s="9">
        <f t="shared" si="606"/>
        <v>1.6586305277394953</v>
      </c>
      <c r="CI234" s="9">
        <f t="shared" si="607"/>
        <v>1.942174390536195</v>
      </c>
      <c r="CJ234" s="9">
        <v>1</v>
      </c>
      <c r="CK234" s="9">
        <f t="shared" si="608"/>
        <v>178.37624011405055</v>
      </c>
      <c r="CM234" s="4">
        <f t="shared" si="690"/>
        <v>1.2591811613326145</v>
      </c>
      <c r="CN234" s="4">
        <f t="shared" si="691"/>
        <v>1.0854292606452445</v>
      </c>
      <c r="CO234" s="4">
        <f t="shared" si="692"/>
        <v>0.76452366947646233</v>
      </c>
      <c r="CP234" s="4">
        <f t="shared" si="693"/>
        <v>1.7042311000948527</v>
      </c>
      <c r="CQ234" s="4">
        <f t="shared" si="694"/>
        <v>1.1163081599228812</v>
      </c>
      <c r="CR234" s="4">
        <f t="shared" si="695"/>
        <v>1.2119877238401617</v>
      </c>
      <c r="CS234" s="4">
        <f t="shared" si="696"/>
        <v>1.6929650308865152</v>
      </c>
      <c r="CU234" s="4">
        <f t="shared" si="658"/>
        <v>1.2591811613326145</v>
      </c>
      <c r="CV234" s="4">
        <f t="shared" si="658"/>
        <v>1.0854292606452445</v>
      </c>
      <c r="CW234" s="4">
        <f t="shared" si="659"/>
        <v>1.7042311000948527</v>
      </c>
      <c r="CX234" s="4">
        <f t="shared" si="697"/>
        <v>1.6929650308865152</v>
      </c>
      <c r="CY234" s="4">
        <f t="shared" si="661"/>
        <v>1.1163081599228812</v>
      </c>
      <c r="CZ234" s="4">
        <f t="shared" si="661"/>
        <v>1.2119877238401617</v>
      </c>
      <c r="DH234" s="4">
        <f t="shared" si="557"/>
        <v>0</v>
      </c>
      <c r="DI234" s="4">
        <f t="shared" si="629"/>
        <v>285</v>
      </c>
      <c r="DL234" s="4">
        <f t="shared" si="667"/>
        <v>1.4539801168325371E-5</v>
      </c>
      <c r="DM234" s="4">
        <f t="shared" si="558"/>
        <v>5.6466037423412478</v>
      </c>
      <c r="DN234" s="4">
        <f t="shared" si="668"/>
        <v>0.43442213896878051</v>
      </c>
      <c r="DO234" s="4">
        <f t="shared" si="669"/>
        <v>4.0453126399641084</v>
      </c>
      <c r="DP234" s="4">
        <f t="shared" si="670"/>
        <v>4.9118289205503318</v>
      </c>
      <c r="DQ234" s="4">
        <f t="shared" si="671"/>
        <v>5.4510711945142196</v>
      </c>
      <c r="DR234" s="38">
        <f t="shared" si="684"/>
        <v>272.32116259129828</v>
      </c>
      <c r="DS234" s="4">
        <f t="shared" si="609"/>
        <v>1.0001359896403019</v>
      </c>
      <c r="DT234" s="4">
        <f t="shared" si="672"/>
        <v>1.7177116348221595</v>
      </c>
      <c r="DU234" s="4">
        <f t="shared" si="618"/>
        <v>117.57181779723915</v>
      </c>
      <c r="DY234" s="4">
        <f t="shared" si="581"/>
        <v>0.85</v>
      </c>
      <c r="DZ234" s="4">
        <f t="shared" si="610"/>
        <v>0.98631284916201112</v>
      </c>
      <c r="EA234" s="4">
        <f t="shared" si="685"/>
        <v>1</v>
      </c>
      <c r="EB234" s="4">
        <f t="shared" si="611"/>
        <v>0.98631284916201112</v>
      </c>
      <c r="ED234" s="4">
        <f t="shared" si="686"/>
        <v>250.82294972192562</v>
      </c>
      <c r="EE234" s="25">
        <f t="shared" si="687"/>
        <v>115.96691062411087</v>
      </c>
      <c r="EG234" s="4">
        <f t="shared" si="619"/>
        <v>0.83836592178770941</v>
      </c>
      <c r="EH234" s="4">
        <f t="shared" si="688"/>
        <v>5.6466037423412478</v>
      </c>
      <c r="EK234" s="4">
        <f t="shared" si="673"/>
        <v>61.494076526633307</v>
      </c>
      <c r="EL234" s="4">
        <f t="shared" si="674"/>
        <v>1.7177116348221595</v>
      </c>
      <c r="EM234" s="4">
        <f t="shared" si="675"/>
        <v>0.13687251798402508</v>
      </c>
      <c r="EP234" s="4">
        <f t="shared" si="541"/>
        <v>0.13687251798402508</v>
      </c>
      <c r="EQ234" s="4">
        <f t="shared" si="542"/>
        <v>0.43369716938412217</v>
      </c>
      <c r="ER234" s="4">
        <f t="shared" si="559"/>
        <v>4.0426109377047954</v>
      </c>
      <c r="ES234" s="4">
        <f t="shared" si="582"/>
        <v>4.9107178946531684</v>
      </c>
      <c r="ET234" s="4">
        <f t="shared" si="560"/>
        <v>152.25592347336669</v>
      </c>
      <c r="EU234" s="4">
        <f t="shared" si="561"/>
        <v>71.25</v>
      </c>
      <c r="EV234" s="4">
        <f t="shared" si="612"/>
        <v>1.4539801168325371E-5</v>
      </c>
      <c r="EW234" s="4">
        <f t="shared" si="583"/>
        <v>5.451125930747402</v>
      </c>
      <c r="EX234" s="4">
        <f t="shared" si="636"/>
        <v>272.28413476975101</v>
      </c>
      <c r="FG234" s="23">
        <f t="shared" si="698"/>
        <v>1.4</v>
      </c>
      <c r="FH234" s="23">
        <f t="shared" si="698"/>
        <v>1.2</v>
      </c>
      <c r="FI234" s="23">
        <f t="shared" si="699"/>
        <v>1.8</v>
      </c>
      <c r="FJ234" s="23">
        <f t="shared" si="700"/>
        <v>1.8</v>
      </c>
      <c r="FK234" s="23">
        <f t="shared" si="700"/>
        <v>1.2</v>
      </c>
      <c r="FL234" s="23">
        <f t="shared" si="700"/>
        <v>1.4</v>
      </c>
      <c r="FM234" s="23">
        <f t="shared" si="701"/>
        <v>0</v>
      </c>
      <c r="FN234" s="23"/>
      <c r="FX234" s="4">
        <f t="shared" si="613"/>
        <v>1</v>
      </c>
      <c r="FY234" s="4">
        <f t="shared" si="652"/>
        <v>0.8938547486033519</v>
      </c>
      <c r="FZ234" s="4">
        <f t="shared" si="614"/>
        <v>0</v>
      </c>
      <c r="GA234" s="4">
        <f t="shared" si="615"/>
        <v>179.56326939674966</v>
      </c>
    </row>
    <row r="235" spans="1:183" ht="12" customHeight="1" x14ac:dyDescent="0.3">
      <c r="A235" s="25">
        <v>217</v>
      </c>
      <c r="B235" s="24" t="s">
        <v>182</v>
      </c>
      <c r="C235" s="4">
        <v>1996</v>
      </c>
      <c r="D235" s="24" t="s">
        <v>309</v>
      </c>
      <c r="E235" s="24"/>
      <c r="F235" s="4" t="s">
        <v>351</v>
      </c>
      <c r="G235" s="7">
        <v>556</v>
      </c>
      <c r="H235" s="7">
        <f>381-P235-20</f>
        <v>285</v>
      </c>
      <c r="I235" s="7">
        <f t="shared" si="630"/>
        <v>285</v>
      </c>
      <c r="J235" s="7">
        <v>32.299999999999997</v>
      </c>
      <c r="K235" s="7">
        <v>35.799999999999997</v>
      </c>
      <c r="L235" s="7">
        <f t="shared" si="676"/>
        <v>7.9608938547486039</v>
      </c>
      <c r="M235" s="7">
        <f t="shared" si="677"/>
        <v>7.9608938547486039</v>
      </c>
      <c r="N235" s="7">
        <v>305</v>
      </c>
      <c r="O235" s="7">
        <v>76</v>
      </c>
      <c r="P235" s="7">
        <v>76</v>
      </c>
      <c r="Q235" s="7">
        <f t="shared" si="623"/>
        <v>81.400000000000006</v>
      </c>
      <c r="R235" s="7">
        <v>2</v>
      </c>
      <c r="S235" s="7">
        <f t="shared" si="620"/>
        <v>280</v>
      </c>
      <c r="T235" s="7">
        <f t="shared" si="621"/>
        <v>1.6368715083798884</v>
      </c>
      <c r="U235" s="7">
        <f t="shared" si="631"/>
        <v>2.6229050279329611</v>
      </c>
      <c r="V235" s="7">
        <f>2970/(K235^2*PI()/4)-1</f>
        <v>1.9505332604034158</v>
      </c>
      <c r="W235" s="7">
        <f>2970/(K235^2*PI()/4)-1</f>
        <v>1.9505332604034158</v>
      </c>
      <c r="X235" s="7">
        <f t="shared" si="616"/>
        <v>2.9505332604034158</v>
      </c>
      <c r="Y235" s="7">
        <f t="shared" si="552"/>
        <v>61.494076526633307</v>
      </c>
      <c r="Z235" s="7">
        <f t="shared" si="632"/>
        <v>556</v>
      </c>
      <c r="AA235" s="7">
        <v>20</v>
      </c>
      <c r="AB235" s="7">
        <f>357*1000/(K235^2*PI()/4)</f>
        <v>354.66005857374392</v>
      </c>
      <c r="AC235" s="7"/>
      <c r="AD235" s="4">
        <f t="shared" si="666"/>
        <v>1.3187489627900544</v>
      </c>
      <c r="AE235" s="7"/>
      <c r="AF235" s="7"/>
      <c r="AG235" s="7">
        <v>1</v>
      </c>
      <c r="AH235" s="7"/>
      <c r="AI235" s="7"/>
      <c r="AJ235" s="7">
        <f t="shared" si="655"/>
        <v>7.2952218430034126</v>
      </c>
      <c r="AK235" s="4">
        <f t="shared" si="569"/>
        <v>285</v>
      </c>
      <c r="AL235" s="4">
        <f t="shared" si="678"/>
        <v>0.35672514619883039</v>
      </c>
      <c r="AM235" s="4">
        <f t="shared" si="679"/>
        <v>135.82590921165087</v>
      </c>
      <c r="AN235" s="4">
        <f t="shared" si="680"/>
        <v>0.76589473684210518</v>
      </c>
      <c r="AO235" s="4">
        <v>1.25</v>
      </c>
      <c r="AP235" s="4">
        <f t="shared" si="624"/>
        <v>2.5</v>
      </c>
      <c r="AQ235" s="38">
        <f t="shared" si="681"/>
        <v>115.9672750093534</v>
      </c>
      <c r="AR235" s="38">
        <f t="shared" si="682"/>
        <v>115.9672750093534</v>
      </c>
      <c r="AS235" s="38">
        <f t="shared" si="683"/>
        <v>3.042679928466983</v>
      </c>
      <c r="AT235" s="38">
        <f t="shared" si="626"/>
        <v>115.96727500935347</v>
      </c>
      <c r="AU235" s="38">
        <f t="shared" si="601"/>
        <v>0.99999999999999933</v>
      </c>
      <c r="AV235" s="38">
        <f t="shared" si="537"/>
        <v>1.5803183735172579</v>
      </c>
      <c r="AW235" s="4">
        <f t="shared" si="529"/>
        <v>0</v>
      </c>
      <c r="AX235" s="4">
        <f t="shared" si="570"/>
        <v>238.12746768239367</v>
      </c>
      <c r="AY235" s="4">
        <f t="shared" si="571"/>
        <v>1.2409556313993173</v>
      </c>
      <c r="AZ235" s="38">
        <f t="shared" si="617"/>
        <v>183.26521542401002</v>
      </c>
      <c r="BA235" s="4">
        <f t="shared" si="572"/>
        <v>0.72692534354352178</v>
      </c>
      <c r="BB235" s="4">
        <f t="shared" si="602"/>
        <v>90.445215679260329</v>
      </c>
      <c r="BC235" s="4">
        <f t="shared" si="603"/>
        <v>273.71043110327037</v>
      </c>
      <c r="BE235" s="4">
        <f t="shared" si="627"/>
        <v>1.2807262569832403</v>
      </c>
      <c r="BF235" s="4">
        <f t="shared" si="628"/>
        <v>392.19926507552367</v>
      </c>
      <c r="BH235" s="4">
        <f t="shared" si="633"/>
        <v>175.77375346706549</v>
      </c>
      <c r="BI235" s="4">
        <f t="shared" si="634"/>
        <v>25439.539549546142</v>
      </c>
      <c r="BJ235" s="4">
        <f t="shared" si="635"/>
        <v>144.72888612640747</v>
      </c>
      <c r="BR235" s="4">
        <f t="shared" si="539"/>
        <v>40.700000000000003</v>
      </c>
      <c r="BV235" s="9"/>
      <c r="BX235" s="9"/>
      <c r="BY235" s="9"/>
      <c r="BZ235" s="9">
        <f t="shared" si="577"/>
        <v>40.700000000000003</v>
      </c>
      <c r="CA235" s="9">
        <f t="shared" si="578"/>
        <v>76</v>
      </c>
      <c r="CB235" s="9">
        <f t="shared" si="604"/>
        <v>1.1709505872794554</v>
      </c>
      <c r="CC235" s="9">
        <v>0</v>
      </c>
      <c r="CD235" s="9">
        <f t="shared" si="689"/>
        <v>0</v>
      </c>
      <c r="CE235" s="9">
        <f t="shared" si="605"/>
        <v>0</v>
      </c>
      <c r="CF235" s="9">
        <f t="shared" si="579"/>
        <v>0.89787751228078194</v>
      </c>
      <c r="CG235" s="9">
        <f t="shared" si="580"/>
        <v>0.91600000000000004</v>
      </c>
      <c r="CH235" s="9">
        <f t="shared" si="606"/>
        <v>1.6359946299460197</v>
      </c>
      <c r="CI235" s="9">
        <f t="shared" si="607"/>
        <v>1.9156688727213271</v>
      </c>
      <c r="CJ235" s="9">
        <v>1</v>
      </c>
      <c r="CK235" s="9">
        <f t="shared" si="608"/>
        <v>175.94187858960123</v>
      </c>
      <c r="CM235" s="4">
        <f t="shared" si="690"/>
        <v>1.4893706384463696</v>
      </c>
      <c r="CN235" s="4">
        <f t="shared" si="691"/>
        <v>1.2957491504586884</v>
      </c>
      <c r="CO235" s="4">
        <f t="shared" si="692"/>
        <v>0.90428537265476261</v>
      </c>
      <c r="CP235" s="4">
        <f t="shared" si="693"/>
        <v>2.0157796507391934</v>
      </c>
      <c r="CQ235" s="4">
        <f t="shared" si="694"/>
        <v>1.3187489627900544</v>
      </c>
      <c r="CR235" s="4">
        <f t="shared" si="695"/>
        <v>1.4335498222786425</v>
      </c>
      <c r="CS235" s="4">
        <f t="shared" si="696"/>
        <v>1.9887430163203406</v>
      </c>
      <c r="CU235" s="4">
        <f t="shared" si="658"/>
        <v>1.4893706384463696</v>
      </c>
      <c r="CV235" s="4">
        <f t="shared" si="658"/>
        <v>1.2957491504586884</v>
      </c>
      <c r="CW235" s="4">
        <f t="shared" si="659"/>
        <v>2.0157796507391934</v>
      </c>
      <c r="CX235" s="4">
        <f t="shared" si="697"/>
        <v>1.9887430163203406</v>
      </c>
      <c r="CY235" s="4">
        <f t="shared" si="661"/>
        <v>1.3187489627900544</v>
      </c>
      <c r="CZ235" s="4">
        <f t="shared" si="661"/>
        <v>1.4335498222786425</v>
      </c>
      <c r="DH235" s="4">
        <f t="shared" si="557"/>
        <v>0</v>
      </c>
      <c r="DI235" s="4">
        <f t="shared" si="629"/>
        <v>285</v>
      </c>
      <c r="DL235" s="4">
        <f t="shared" si="667"/>
        <v>1.4448873022591579E-5</v>
      </c>
      <c r="DM235" s="4">
        <f t="shared" si="558"/>
        <v>5.5695426108509878</v>
      </c>
      <c r="DN235" s="4">
        <f t="shared" si="668"/>
        <v>0.44043287699745309</v>
      </c>
      <c r="DO235" s="4">
        <f t="shared" si="669"/>
        <v>4.0120969880188291</v>
      </c>
      <c r="DP235" s="4">
        <f t="shared" si="670"/>
        <v>4.8538581180670093</v>
      </c>
      <c r="DQ235" s="4">
        <f t="shared" si="671"/>
        <v>5.3800412813062595</v>
      </c>
      <c r="DR235" s="38">
        <f t="shared" si="684"/>
        <v>268.93674882852287</v>
      </c>
      <c r="DS235" s="4">
        <f t="shared" si="609"/>
        <v>1.0001368566870967</v>
      </c>
      <c r="DT235" s="4">
        <f t="shared" si="672"/>
        <v>1.7177116348221595</v>
      </c>
      <c r="DU235" s="4">
        <f t="shared" si="618"/>
        <v>115.96727500935347</v>
      </c>
      <c r="DY235" s="4">
        <f t="shared" si="581"/>
        <v>0.85</v>
      </c>
      <c r="DZ235" s="4">
        <f t="shared" si="610"/>
        <v>0.98631284916201112</v>
      </c>
      <c r="EA235" s="4">
        <f t="shared" si="685"/>
        <v>1</v>
      </c>
      <c r="EB235" s="4">
        <f t="shared" si="611"/>
        <v>0.98631284916201112</v>
      </c>
      <c r="ED235" s="4">
        <f t="shared" si="686"/>
        <v>247.39988318648602</v>
      </c>
      <c r="EE235" s="25">
        <f t="shared" si="687"/>
        <v>114.38427055303366</v>
      </c>
      <c r="EG235" s="4">
        <f t="shared" si="619"/>
        <v>0.83836592178770941</v>
      </c>
      <c r="EH235" s="4">
        <f t="shared" si="688"/>
        <v>5.5695426108509878</v>
      </c>
      <c r="EK235" s="4">
        <f t="shared" si="673"/>
        <v>61.494076526633307</v>
      </c>
      <c r="EL235" s="4">
        <f t="shared" si="674"/>
        <v>1.7177116348221595</v>
      </c>
      <c r="EM235" s="4">
        <f t="shared" si="675"/>
        <v>0.13687251798402508</v>
      </c>
      <c r="EP235" s="4">
        <f t="shared" si="541"/>
        <v>0.13687251798402508</v>
      </c>
      <c r="EQ235" s="4">
        <f t="shared" si="542"/>
        <v>0.43969787661127396</v>
      </c>
      <c r="ER235" s="4">
        <f t="shared" si="559"/>
        <v>4.009417469162849</v>
      </c>
      <c r="ES235" s="4">
        <f t="shared" si="582"/>
        <v>4.8527521445412711</v>
      </c>
      <c r="ET235" s="4">
        <f t="shared" si="560"/>
        <v>152.25592347336669</v>
      </c>
      <c r="EU235" s="4">
        <f t="shared" si="561"/>
        <v>71.25</v>
      </c>
      <c r="EV235" s="4">
        <f t="shared" si="612"/>
        <v>1.4448873022591579E-5</v>
      </c>
      <c r="EW235" s="4">
        <f t="shared" si="583"/>
        <v>5.38009459767681</v>
      </c>
      <c r="EX235" s="4">
        <f t="shared" si="636"/>
        <v>268.89994807246916</v>
      </c>
      <c r="FG235" s="23">
        <f t="shared" si="698"/>
        <v>1.6</v>
      </c>
      <c r="FH235" s="23">
        <f t="shared" si="698"/>
        <v>1.4</v>
      </c>
      <c r="FI235" s="23">
        <f t="shared" si="699"/>
        <v>2</v>
      </c>
      <c r="FJ235" s="23">
        <f t="shared" si="700"/>
        <v>2.2000000000000002</v>
      </c>
      <c r="FK235" s="23">
        <f t="shared" si="700"/>
        <v>1.4</v>
      </c>
      <c r="FL235" s="23">
        <f t="shared" si="700"/>
        <v>1.6</v>
      </c>
      <c r="FM235" s="23">
        <f t="shared" si="701"/>
        <v>0</v>
      </c>
      <c r="FN235" s="23"/>
      <c r="FX235" s="4">
        <f t="shared" si="613"/>
        <v>1</v>
      </c>
      <c r="FY235" s="4">
        <f t="shared" si="652"/>
        <v>0.8938547486033519</v>
      </c>
      <c r="FZ235" s="4">
        <f t="shared" si="614"/>
        <v>0</v>
      </c>
      <c r="GA235" s="4">
        <f t="shared" si="615"/>
        <v>178.33377950960778</v>
      </c>
    </row>
    <row r="236" spans="1:183" ht="12" customHeight="1" x14ac:dyDescent="0.3">
      <c r="A236" s="25">
        <v>218</v>
      </c>
      <c r="B236" s="24" t="s">
        <v>182</v>
      </c>
      <c r="C236" s="4">
        <v>1996</v>
      </c>
      <c r="D236" s="24" t="s">
        <v>309</v>
      </c>
      <c r="E236" s="24"/>
      <c r="F236" s="4" t="s">
        <v>352</v>
      </c>
      <c r="G236" s="7">
        <v>556</v>
      </c>
      <c r="H236" s="7">
        <f>381-P236-25</f>
        <v>280</v>
      </c>
      <c r="I236" s="7">
        <f t="shared" si="630"/>
        <v>280</v>
      </c>
      <c r="J236" s="7">
        <v>32.299999999999997</v>
      </c>
      <c r="K236" s="7">
        <v>35.799999999999997</v>
      </c>
      <c r="L236" s="7">
        <f t="shared" si="676"/>
        <v>7.8212290502793298</v>
      </c>
      <c r="M236" s="7">
        <f t="shared" si="677"/>
        <v>7.8212290502793298</v>
      </c>
      <c r="N236" s="7">
        <v>305</v>
      </c>
      <c r="O236" s="7">
        <v>76</v>
      </c>
      <c r="P236" s="7">
        <v>76</v>
      </c>
      <c r="Q236" s="7">
        <f t="shared" si="623"/>
        <v>81.400000000000006</v>
      </c>
      <c r="R236" s="7">
        <v>2</v>
      </c>
      <c r="S236" s="7">
        <f t="shared" si="620"/>
        <v>280</v>
      </c>
      <c r="T236" s="7">
        <f t="shared" si="621"/>
        <v>1.6368715083798884</v>
      </c>
      <c r="U236" s="7">
        <f t="shared" si="631"/>
        <v>2.6229050279329611</v>
      </c>
      <c r="V236" s="7">
        <f>3025/(K236^2*PI()/4)-1</f>
        <v>2.0051727652257014</v>
      </c>
      <c r="W236" s="7">
        <f>3025/(K236^2*PI()/4)-1</f>
        <v>2.0051727652257014</v>
      </c>
      <c r="X236" s="7">
        <f t="shared" si="616"/>
        <v>3.0051727652257014</v>
      </c>
      <c r="Y236" s="7">
        <f t="shared" si="552"/>
        <v>62.060854190253195</v>
      </c>
      <c r="Z236" s="7">
        <f t="shared" si="632"/>
        <v>556</v>
      </c>
      <c r="AA236" s="7">
        <v>25</v>
      </c>
      <c r="AB236" s="7">
        <f>426*1000/(K236^2*PI()/4)</f>
        <v>423.20780098715659</v>
      </c>
      <c r="AC236" s="7"/>
      <c r="AD236" s="4">
        <f t="shared" si="666"/>
        <v>1.5899976895949632</v>
      </c>
      <c r="AE236" s="7">
        <v>9.5</v>
      </c>
      <c r="AF236" s="7">
        <v>2</v>
      </c>
      <c r="AG236" s="7">
        <v>102</v>
      </c>
      <c r="AH236" s="7">
        <v>4</v>
      </c>
      <c r="AI236" s="7">
        <f>AF236</f>
        <v>2</v>
      </c>
      <c r="AJ236" s="7">
        <f t="shared" si="655"/>
        <v>7.1672354948805461</v>
      </c>
      <c r="AK236" s="4">
        <f t="shared" si="569"/>
        <v>280</v>
      </c>
      <c r="AL236" s="4">
        <f t="shared" si="678"/>
        <v>0.36309523809523808</v>
      </c>
      <c r="AM236" s="4">
        <f t="shared" si="679"/>
        <v>132.26726636732195</v>
      </c>
      <c r="AN236" s="4">
        <f t="shared" si="680"/>
        <v>0.76707142857142852</v>
      </c>
      <c r="AO236" s="4">
        <v>1.25</v>
      </c>
      <c r="AP236" s="4">
        <f t="shared" si="624"/>
        <v>2.5</v>
      </c>
      <c r="AQ236" s="38">
        <f t="shared" si="681"/>
        <v>115.1221149349475</v>
      </c>
      <c r="AR236" s="38">
        <f t="shared" si="682"/>
        <v>115.1221149349475</v>
      </c>
      <c r="AS236" s="38">
        <f t="shared" si="683"/>
        <v>3.042679928466983</v>
      </c>
      <c r="AT236" s="38">
        <f t="shared" si="626"/>
        <v>115.12211493494758</v>
      </c>
      <c r="AU236" s="38">
        <f t="shared" si="601"/>
        <v>0.99999999999999933</v>
      </c>
      <c r="AV236" s="38">
        <f t="shared" si="537"/>
        <v>1.6140630691622992</v>
      </c>
      <c r="AW236" s="4">
        <f t="shared" si="529"/>
        <v>0</v>
      </c>
      <c r="AX236" s="4">
        <f t="shared" si="570"/>
        <v>233.94979281077272</v>
      </c>
      <c r="AY236" s="4">
        <f t="shared" si="571"/>
        <v>1.2409556313993173</v>
      </c>
      <c r="AZ236" s="38">
        <f t="shared" si="617"/>
        <v>185.81435416035646</v>
      </c>
      <c r="BA236" s="4">
        <f t="shared" si="572"/>
        <v>0.71927581286840181</v>
      </c>
      <c r="BB236" s="4">
        <f t="shared" si="602"/>
        <v>87.923388313554526</v>
      </c>
      <c r="BC236" s="4">
        <f t="shared" si="603"/>
        <v>273.737742473911</v>
      </c>
      <c r="BE236" s="4">
        <f t="shared" si="627"/>
        <v>1.5</v>
      </c>
      <c r="BF236" s="4">
        <f t="shared" si="628"/>
        <v>455.7759731441015</v>
      </c>
      <c r="BH236" s="4">
        <f t="shared" si="633"/>
        <v>178.21868925457557</v>
      </c>
      <c r="BI236" s="4">
        <f t="shared" si="634"/>
        <v>30569.451870773988</v>
      </c>
      <c r="BJ236" s="4">
        <f t="shared" si="635"/>
        <v>171.52775614406642</v>
      </c>
      <c r="BR236" s="4">
        <f t="shared" si="539"/>
        <v>40.700000000000003</v>
      </c>
      <c r="BV236" s="9"/>
      <c r="BX236" s="9"/>
      <c r="BY236" s="9"/>
      <c r="BZ236" s="9">
        <f t="shared" si="577"/>
        <v>40.700000000000003</v>
      </c>
      <c r="CA236" s="9">
        <f t="shared" si="578"/>
        <v>76</v>
      </c>
      <c r="CB236" s="9">
        <f t="shared" si="604"/>
        <v>1.1709505872794554</v>
      </c>
      <c r="CC236" s="9">
        <v>20</v>
      </c>
      <c r="CD236" s="9">
        <f t="shared" si="689"/>
        <v>3.8822534914349713E-2</v>
      </c>
      <c r="CE236" s="9">
        <f t="shared" si="605"/>
        <v>0.57645069828699425</v>
      </c>
      <c r="CF236" s="9">
        <f t="shared" si="579"/>
        <v>0.89787751228078194</v>
      </c>
      <c r="CG236" s="9">
        <f t="shared" si="580"/>
        <v>0.91600000000000004</v>
      </c>
      <c r="CH236" s="9">
        <f t="shared" si="606"/>
        <v>1.6359946299460197</v>
      </c>
      <c r="CI236" s="9">
        <f t="shared" si="607"/>
        <v>2.8587391195474829</v>
      </c>
      <c r="CJ236" s="9">
        <v>1</v>
      </c>
      <c r="CK236" s="9">
        <f t="shared" si="608"/>
        <v>260.9597609687479</v>
      </c>
      <c r="CM236" s="4">
        <f t="shared" si="690"/>
        <v>1.8089684795295491</v>
      </c>
      <c r="CN236" s="4">
        <f t="shared" si="691"/>
        <v>1.5460337955680008</v>
      </c>
      <c r="CO236" s="4">
        <f t="shared" si="692"/>
        <v>0.92854346416666433</v>
      </c>
      <c r="CP236" s="4">
        <f t="shared" si="693"/>
        <v>1.621735854662433</v>
      </c>
      <c r="CQ236" s="4">
        <f t="shared" si="694"/>
        <v>1.5899976895949632</v>
      </c>
      <c r="CR236" s="4">
        <f t="shared" si="695"/>
        <v>1.7241744032031006</v>
      </c>
      <c r="CS236" s="4">
        <f t="shared" si="696"/>
        <v>1.5581202263866585</v>
      </c>
      <c r="DA236" s="4">
        <f t="shared" ref="DA236:DB247" si="702">CM236</f>
        <v>1.8089684795295491</v>
      </c>
      <c r="DB236" s="4">
        <f t="shared" si="702"/>
        <v>1.5460337955680008</v>
      </c>
      <c r="DC236" s="4">
        <f t="shared" ref="DC236:DC247" si="703">CP236</f>
        <v>1.621735854662433</v>
      </c>
      <c r="DD236" s="4">
        <f t="shared" ref="DD236" si="704">CS236</f>
        <v>1.5581202263866585</v>
      </c>
      <c r="DE236" s="4">
        <f t="shared" ref="DE236:DF247" si="705">CQ236</f>
        <v>1.5899976895949632</v>
      </c>
      <c r="DF236" s="4">
        <f t="shared" si="705"/>
        <v>1.7241744032031006</v>
      </c>
      <c r="DH236" s="4">
        <f t="shared" si="557"/>
        <v>2</v>
      </c>
      <c r="DI236" s="4">
        <f t="shared" si="629"/>
        <v>280</v>
      </c>
      <c r="DL236" s="4">
        <f t="shared" si="667"/>
        <v>1.4195384022195234E-5</v>
      </c>
      <c r="DM236" s="4">
        <f t="shared" si="558"/>
        <v>5.6229670276101471</v>
      </c>
      <c r="DN236" s="4">
        <f t="shared" si="668"/>
        <v>0.42922900876570613</v>
      </c>
      <c r="DO236" s="4">
        <f t="shared" si="669"/>
        <v>4.0090471412339257</v>
      </c>
      <c r="DP236" s="4">
        <f t="shared" si="670"/>
        <v>4.8833291873266678</v>
      </c>
      <c r="DQ236" s="4">
        <f t="shared" si="671"/>
        <v>5.4375361051668163</v>
      </c>
      <c r="DR236" s="38">
        <f t="shared" si="684"/>
        <v>266.16881505970287</v>
      </c>
      <c r="DS236" s="4">
        <f t="shared" si="609"/>
        <v>1.0001363960359797</v>
      </c>
      <c r="DT236" s="4">
        <f t="shared" si="672"/>
        <v>1.7335434131355643</v>
      </c>
      <c r="DU236" s="4">
        <f t="shared" si="618"/>
        <v>115.12211493494758</v>
      </c>
      <c r="DY236" s="4">
        <f t="shared" si="581"/>
        <v>0.85</v>
      </c>
      <c r="DZ236" s="4">
        <f t="shared" si="610"/>
        <v>0.98631284916201112</v>
      </c>
      <c r="EA236" s="4">
        <f t="shared" si="685"/>
        <v>0.99049889204456787</v>
      </c>
      <c r="EB236" s="4">
        <f t="shared" si="611"/>
        <v>0.97694178430429301</v>
      </c>
      <c r="ED236" s="4">
        <f t="shared" si="686"/>
        <v>245.45533224535666</v>
      </c>
      <c r="EE236" s="25">
        <f t="shared" si="687"/>
        <v>113.51979305003475</v>
      </c>
      <c r="EG236" s="4">
        <f t="shared" si="619"/>
        <v>0.830400516658649</v>
      </c>
      <c r="EH236" s="4">
        <f t="shared" si="688"/>
        <v>5.6229670276101471</v>
      </c>
      <c r="EK236" s="4">
        <f t="shared" si="673"/>
        <v>62.060854190253195</v>
      </c>
      <c r="EL236" s="4">
        <f t="shared" si="674"/>
        <v>1.7335434131355643</v>
      </c>
      <c r="EM236" s="4">
        <f t="shared" si="675"/>
        <v>0.13339071238746131</v>
      </c>
      <c r="EP236" s="4">
        <f t="shared" si="541"/>
        <v>0.13339071238746131</v>
      </c>
      <c r="EQ236" s="4">
        <f t="shared" si="542"/>
        <v>0.42851270554748871</v>
      </c>
      <c r="ER236" s="4">
        <f t="shared" si="559"/>
        <v>4.0063696592484384</v>
      </c>
      <c r="ES236" s="4">
        <f t="shared" si="582"/>
        <v>4.8822316829137922</v>
      </c>
      <c r="ET236" s="4">
        <f t="shared" si="560"/>
        <v>147.9391458097468</v>
      </c>
      <c r="EU236" s="4">
        <f t="shared" si="561"/>
        <v>70</v>
      </c>
      <c r="EV236" s="4">
        <f t="shared" si="612"/>
        <v>1.4195384022195234E-5</v>
      </c>
      <c r="EW236" s="4">
        <f t="shared" si="583"/>
        <v>5.437588260507729</v>
      </c>
      <c r="EX236" s="4">
        <f t="shared" si="636"/>
        <v>266.13251563952434</v>
      </c>
      <c r="FG236" s="23">
        <f t="shared" si="698"/>
        <v>2</v>
      </c>
      <c r="FH236" s="23">
        <f t="shared" si="698"/>
        <v>1.6</v>
      </c>
      <c r="FI236" s="23">
        <f t="shared" si="699"/>
        <v>1.6</v>
      </c>
      <c r="FJ236" s="23">
        <f t="shared" si="700"/>
        <v>1.8</v>
      </c>
      <c r="FK236" s="23">
        <f t="shared" si="700"/>
        <v>1.6</v>
      </c>
      <c r="FL236" s="23">
        <f t="shared" si="700"/>
        <v>1.8</v>
      </c>
      <c r="FM236" s="23">
        <f t="shared" si="701"/>
        <v>0</v>
      </c>
      <c r="FN236" s="23"/>
      <c r="FX236" s="4">
        <f t="shared" si="613"/>
        <v>1</v>
      </c>
      <c r="FY236" s="4">
        <f t="shared" si="652"/>
        <v>0.57658194354098002</v>
      </c>
      <c r="FZ236" s="4">
        <f t="shared" si="614"/>
        <v>0.28167035985144034</v>
      </c>
      <c r="GA236" s="4">
        <f t="shared" si="615"/>
        <v>271.61434260345362</v>
      </c>
    </row>
    <row r="237" spans="1:183" ht="12" customHeight="1" x14ac:dyDescent="0.3">
      <c r="A237" s="25">
        <v>219</v>
      </c>
      <c r="B237" s="24" t="s">
        <v>182</v>
      </c>
      <c r="C237" s="4">
        <v>1996</v>
      </c>
      <c r="D237" s="24" t="s">
        <v>309</v>
      </c>
      <c r="E237" s="24"/>
      <c r="F237" s="4" t="s">
        <v>353</v>
      </c>
      <c r="G237" s="7">
        <v>556</v>
      </c>
      <c r="H237" s="7">
        <f>533-P237-25</f>
        <v>432</v>
      </c>
      <c r="I237" s="7">
        <f t="shared" si="630"/>
        <v>432</v>
      </c>
      <c r="J237" s="7">
        <v>31.4</v>
      </c>
      <c r="K237" s="7">
        <v>35.799999999999997</v>
      </c>
      <c r="L237" s="7">
        <f t="shared" si="676"/>
        <v>12.067039106145252</v>
      </c>
      <c r="M237" s="7">
        <f t="shared" si="677"/>
        <v>12.067039106145252</v>
      </c>
      <c r="N237" s="7">
        <v>305</v>
      </c>
      <c r="O237" s="7">
        <v>76</v>
      </c>
      <c r="P237" s="7">
        <v>76</v>
      </c>
      <c r="Q237" s="7">
        <f t="shared" si="623"/>
        <v>81.400000000000006</v>
      </c>
      <c r="R237" s="7">
        <v>2</v>
      </c>
      <c r="S237" s="7">
        <f t="shared" si="620"/>
        <v>280</v>
      </c>
      <c r="T237" s="7">
        <f t="shared" si="621"/>
        <v>1.6368715083798884</v>
      </c>
      <c r="U237" s="7">
        <f t="shared" si="631"/>
        <v>2.6229050279329611</v>
      </c>
      <c r="V237" s="7">
        <f>2970/(K237^2*PI()/4)-1</f>
        <v>1.9505332604034158</v>
      </c>
      <c r="W237" s="7">
        <f>2970/(K237^2*PI()/4)-1</f>
        <v>1.9505332604034158</v>
      </c>
      <c r="X237" s="7">
        <f t="shared" si="616"/>
        <v>2.9505332604034158</v>
      </c>
      <c r="Y237" s="7">
        <f t="shared" si="552"/>
        <v>61.494076526633307</v>
      </c>
      <c r="Z237" s="7">
        <f t="shared" si="632"/>
        <v>556</v>
      </c>
      <c r="AA237" s="7">
        <v>25</v>
      </c>
      <c r="AB237" s="7">
        <f>495*1000/(K237^2*PI()/4)</f>
        <v>491.75554340056931</v>
      </c>
      <c r="AC237" s="7"/>
      <c r="AD237" s="4">
        <f t="shared" si="666"/>
        <v>1.3244193650535829</v>
      </c>
      <c r="AE237" s="7"/>
      <c r="AF237" s="7"/>
      <c r="AG237" s="7">
        <v>1</v>
      </c>
      <c r="AH237" s="7"/>
      <c r="AI237" s="7"/>
      <c r="AJ237" s="7">
        <f t="shared" si="655"/>
        <v>11.058020477815699</v>
      </c>
      <c r="AK237" s="4">
        <f t="shared" si="569"/>
        <v>432</v>
      </c>
      <c r="AL237" s="4">
        <f t="shared" si="678"/>
        <v>0.2353395061728395</v>
      </c>
      <c r="AM237" s="4">
        <f t="shared" si="679"/>
        <v>249.92201512888658</v>
      </c>
      <c r="AN237" s="4">
        <f t="shared" si="680"/>
        <v>0.7434722222222222</v>
      </c>
      <c r="AO237" s="4">
        <v>1.25</v>
      </c>
      <c r="AP237" s="4">
        <f t="shared" si="624"/>
        <v>2.5</v>
      </c>
      <c r="AQ237" s="38">
        <f t="shared" si="681"/>
        <v>136.65141100233745</v>
      </c>
      <c r="AR237" s="38">
        <f t="shared" si="682"/>
        <v>136.65141100233745</v>
      </c>
      <c r="AS237" s="38">
        <f t="shared" si="683"/>
        <v>2.9858937754367516</v>
      </c>
      <c r="AT237" s="38">
        <f t="shared" si="626"/>
        <v>136.65141100233737</v>
      </c>
      <c r="AU237" s="38">
        <f t="shared" si="601"/>
        <v>1.0000000000000007</v>
      </c>
      <c r="AV237" s="38">
        <f t="shared" si="537"/>
        <v>1.3037461743448588</v>
      </c>
      <c r="AW237" s="4">
        <f t="shared" si="529"/>
        <v>0</v>
      </c>
      <c r="AX237" s="4">
        <f t="shared" si="570"/>
        <v>355.88685173094154</v>
      </c>
      <c r="AY237" s="4">
        <f t="shared" si="571"/>
        <v>1.2409556313993173</v>
      </c>
      <c r="AZ237" s="38">
        <f t="shared" si="617"/>
        <v>178.15875431312429</v>
      </c>
      <c r="BA237" s="4">
        <f t="shared" si="572"/>
        <v>0.72692534354352178</v>
      </c>
      <c r="BB237" s="4">
        <f t="shared" si="602"/>
        <v>135.17240734760412</v>
      </c>
      <c r="BC237" s="4">
        <f t="shared" si="603"/>
        <v>313.33116166072841</v>
      </c>
      <c r="BE237" s="4">
        <f t="shared" si="627"/>
        <v>1.2807262569832403</v>
      </c>
      <c r="BF237" s="4">
        <f t="shared" si="628"/>
        <v>475.10156036521124</v>
      </c>
      <c r="BH237" s="4">
        <f t="shared" si="633"/>
        <v>170.87603278222466</v>
      </c>
      <c r="BI237" s="4">
        <f t="shared" si="634"/>
        <v>39749.280546165857</v>
      </c>
      <c r="BJ237" s="4">
        <f t="shared" si="635"/>
        <v>232.62057234688308</v>
      </c>
      <c r="BR237" s="4">
        <f t="shared" si="539"/>
        <v>40.700000000000003</v>
      </c>
      <c r="BV237" s="9"/>
      <c r="BX237" s="9"/>
      <c r="BY237" s="9"/>
      <c r="BZ237" s="9">
        <f t="shared" si="577"/>
        <v>40.700000000000003</v>
      </c>
      <c r="CA237" s="9">
        <f t="shared" si="578"/>
        <v>76</v>
      </c>
      <c r="CB237" s="9">
        <f t="shared" si="604"/>
        <v>1.1709505872794554</v>
      </c>
      <c r="CC237" s="9">
        <v>0</v>
      </c>
      <c r="CD237" s="9">
        <f t="shared" si="689"/>
        <v>0</v>
      </c>
      <c r="CE237" s="9">
        <f t="shared" si="605"/>
        <v>0</v>
      </c>
      <c r="CF237" s="9">
        <f t="shared" si="579"/>
        <v>0.89787751228078194</v>
      </c>
      <c r="CG237" s="9">
        <f t="shared" si="580"/>
        <v>0.91600000000000004</v>
      </c>
      <c r="CH237" s="9">
        <f t="shared" si="606"/>
        <v>1.6130411125805293</v>
      </c>
      <c r="CI237" s="9">
        <f t="shared" si="607"/>
        <v>1.8887914380820769</v>
      </c>
      <c r="CJ237" s="9">
        <v>1</v>
      </c>
      <c r="CK237" s="9">
        <f t="shared" si="608"/>
        <v>204.49596687167963</v>
      </c>
      <c r="CM237" s="4">
        <f t="shared" si="690"/>
        <v>1.3817749686699512</v>
      </c>
      <c r="CN237" s="4">
        <f t="shared" si="691"/>
        <v>1.5694434629296043</v>
      </c>
      <c r="CO237" s="4">
        <f t="shared" si="692"/>
        <v>1.0350535220775872</v>
      </c>
      <c r="CP237" s="4">
        <f t="shared" si="693"/>
        <v>2.40472000951072</v>
      </c>
      <c r="CQ237" s="4">
        <f t="shared" si="694"/>
        <v>1.3244193650535829</v>
      </c>
      <c r="CR237" s="4">
        <f t="shared" si="695"/>
        <v>1.4709966291791812</v>
      </c>
      <c r="CS237" s="4">
        <f t="shared" si="696"/>
        <v>1.832082313538461</v>
      </c>
      <c r="CU237" s="4">
        <f t="shared" si="658"/>
        <v>1.3817749686699512</v>
      </c>
      <c r="CV237" s="4">
        <f t="shared" si="658"/>
        <v>1.5694434629296043</v>
      </c>
      <c r="CW237" s="4">
        <f t="shared" si="659"/>
        <v>2.40472000951072</v>
      </c>
      <c r="CX237" s="4">
        <f t="shared" ref="CX237:CX241" si="706">CS237</f>
        <v>1.832082313538461</v>
      </c>
      <c r="CY237" s="4">
        <f t="shared" si="661"/>
        <v>1.3244193650535829</v>
      </c>
      <c r="CZ237" s="4">
        <f t="shared" si="661"/>
        <v>1.4709966291791812</v>
      </c>
      <c r="DH237" s="4">
        <f t="shared" si="557"/>
        <v>0</v>
      </c>
      <c r="DI237" s="4">
        <f t="shared" si="629"/>
        <v>432</v>
      </c>
      <c r="DL237" s="4">
        <f t="shared" si="667"/>
        <v>2.176343699186269E-5</v>
      </c>
      <c r="DM237" s="4">
        <f t="shared" si="558"/>
        <v>5.4914001825716072</v>
      </c>
      <c r="DN237" s="4">
        <f t="shared" si="668"/>
        <v>0.53386478251404901</v>
      </c>
      <c r="DO237" s="4">
        <f t="shared" si="669"/>
        <v>4.2722396162260505</v>
      </c>
      <c r="DP237" s="4">
        <f t="shared" si="670"/>
        <v>4.9197893483158488</v>
      </c>
      <c r="DQ237" s="4">
        <f t="shared" si="671"/>
        <v>5.0546699885538677</v>
      </c>
      <c r="DR237" s="38">
        <f t="shared" si="684"/>
        <v>371.29896796750177</v>
      </c>
      <c r="DS237" s="4">
        <f t="shared" si="609"/>
        <v>1.0001467782873257</v>
      </c>
      <c r="DT237" s="4">
        <f t="shared" si="672"/>
        <v>1.7177116348221595</v>
      </c>
      <c r="DU237" s="4">
        <f t="shared" si="618"/>
        <v>136.65141100233737</v>
      </c>
      <c r="DY237" s="4">
        <f t="shared" si="581"/>
        <v>0.85</v>
      </c>
      <c r="DZ237" s="4">
        <f t="shared" si="610"/>
        <v>0.98631284916201112</v>
      </c>
      <c r="EA237" s="4">
        <f t="shared" si="685"/>
        <v>1</v>
      </c>
      <c r="EB237" s="4">
        <f t="shared" si="611"/>
        <v>0.98631284916201112</v>
      </c>
      <c r="ED237" s="4">
        <f t="shared" si="686"/>
        <v>334.30093152216796</v>
      </c>
      <c r="EE237" s="25">
        <f t="shared" si="687"/>
        <v>135.50610927041362</v>
      </c>
      <c r="EG237" s="4">
        <f t="shared" si="619"/>
        <v>0.83836592178770941</v>
      </c>
      <c r="EH237" s="4">
        <f t="shared" si="688"/>
        <v>5.4914001825716072</v>
      </c>
      <c r="EK237" s="4">
        <f t="shared" si="673"/>
        <v>61.494076526633307</v>
      </c>
      <c r="EL237" s="4">
        <f t="shared" si="674"/>
        <v>1.7177116348221595</v>
      </c>
      <c r="EM237" s="4">
        <f t="shared" si="675"/>
        <v>0.16358043626468974</v>
      </c>
      <c r="EP237" s="4">
        <f t="shared" si="541"/>
        <v>0.16358043626468974</v>
      </c>
      <c r="EQ237" s="4">
        <f t="shared" si="542"/>
        <v>0.53297386169090288</v>
      </c>
      <c r="ER237" s="4">
        <f t="shared" si="559"/>
        <v>4.2693863585298581</v>
      </c>
      <c r="ES237" s="4">
        <f t="shared" si="582"/>
        <v>4.9185513312243492</v>
      </c>
      <c r="ET237" s="4">
        <f t="shared" si="560"/>
        <v>262.50592347336669</v>
      </c>
      <c r="EU237" s="4">
        <f t="shared" si="561"/>
        <v>108</v>
      </c>
      <c r="EV237" s="4">
        <f t="shared" si="612"/>
        <v>2.176343699186269E-5</v>
      </c>
      <c r="EW237" s="4">
        <f t="shared" si="583"/>
        <v>5.0547880824553584</v>
      </c>
      <c r="EX237" s="4">
        <f t="shared" si="636"/>
        <v>371.24447733893885</v>
      </c>
      <c r="FG237" s="23">
        <f t="shared" si="698"/>
        <v>1.4</v>
      </c>
      <c r="FH237" s="23">
        <f t="shared" si="698"/>
        <v>1.6</v>
      </c>
      <c r="FI237" s="23">
        <f t="shared" si="699"/>
        <v>2</v>
      </c>
      <c r="FJ237" s="23">
        <f t="shared" si="700"/>
        <v>2.2000000000000002</v>
      </c>
      <c r="FK237" s="23">
        <f t="shared" si="700"/>
        <v>1.4</v>
      </c>
      <c r="FL237" s="23">
        <f t="shared" si="700"/>
        <v>1.6</v>
      </c>
      <c r="FM237" s="23">
        <f t="shared" si="701"/>
        <v>0</v>
      </c>
      <c r="FN237" s="23"/>
      <c r="FX237" s="4">
        <f t="shared" si="613"/>
        <v>1</v>
      </c>
      <c r="FY237" s="4">
        <f t="shared" si="652"/>
        <v>0.8938547486033519</v>
      </c>
      <c r="FZ237" s="4">
        <f t="shared" si="614"/>
        <v>0</v>
      </c>
      <c r="GA237" s="4">
        <f t="shared" si="615"/>
        <v>268.41345487954567</v>
      </c>
    </row>
    <row r="238" spans="1:183" ht="12" customHeight="1" x14ac:dyDescent="0.3">
      <c r="A238" s="25">
        <v>220</v>
      </c>
      <c r="B238" s="24" t="s">
        <v>182</v>
      </c>
      <c r="C238" s="4">
        <v>1996</v>
      </c>
      <c r="D238" s="24" t="s">
        <v>309</v>
      </c>
      <c r="E238" s="24"/>
      <c r="F238" s="4" t="s">
        <v>354</v>
      </c>
      <c r="G238" s="7">
        <v>556</v>
      </c>
      <c r="H238" s="7">
        <f>305-P238-25</f>
        <v>204</v>
      </c>
      <c r="I238" s="7">
        <f t="shared" si="630"/>
        <v>204</v>
      </c>
      <c r="J238" s="7">
        <v>31.4</v>
      </c>
      <c r="K238" s="7">
        <v>35.799999999999997</v>
      </c>
      <c r="L238" s="7">
        <f t="shared" si="676"/>
        <v>5.6983240223463696</v>
      </c>
      <c r="M238" s="7">
        <f t="shared" si="677"/>
        <v>5.6983240223463696</v>
      </c>
      <c r="N238" s="7">
        <v>305</v>
      </c>
      <c r="O238" s="7">
        <v>76</v>
      </c>
      <c r="P238" s="7">
        <v>76</v>
      </c>
      <c r="Q238" s="7">
        <f t="shared" si="623"/>
        <v>81.400000000000006</v>
      </c>
      <c r="R238" s="7">
        <v>2</v>
      </c>
      <c r="S238" s="7">
        <f t="shared" si="620"/>
        <v>280</v>
      </c>
      <c r="T238" s="7">
        <f t="shared" si="621"/>
        <v>1.6368715083798884</v>
      </c>
      <c r="U238" s="7">
        <f t="shared" si="631"/>
        <v>2.6229050279329611</v>
      </c>
      <c r="V238" s="7">
        <f>3025/(K238^2*PI()/4)-1</f>
        <v>2.0051727652257014</v>
      </c>
      <c r="W238" s="7">
        <f>3025/(K238^2*PI()/4)-1</f>
        <v>2.0051727652257014</v>
      </c>
      <c r="X238" s="7">
        <f t="shared" si="616"/>
        <v>3.0051727652257014</v>
      </c>
      <c r="Y238" s="7">
        <f t="shared" si="552"/>
        <v>62.060854190253195</v>
      </c>
      <c r="Z238" s="7">
        <f t="shared" si="632"/>
        <v>556</v>
      </c>
      <c r="AA238" s="7">
        <v>25</v>
      </c>
      <c r="AB238" s="7">
        <f>198*1000/(K238^2*PI()/4)</f>
        <v>196.70221736022771</v>
      </c>
      <c r="AC238" s="7"/>
      <c r="AD238" s="4">
        <f t="shared" si="666"/>
        <v>0.96172270015417394</v>
      </c>
      <c r="AE238" s="7"/>
      <c r="AF238" s="7"/>
      <c r="AG238" s="7">
        <v>1</v>
      </c>
      <c r="AH238" s="7"/>
      <c r="AI238" s="7"/>
      <c r="AJ238" s="7">
        <f t="shared" si="655"/>
        <v>5.2218430034129693</v>
      </c>
      <c r="AK238" s="4">
        <f t="shared" si="569"/>
        <v>204</v>
      </c>
      <c r="AL238" s="4">
        <f t="shared" si="678"/>
        <v>0.49836601307189543</v>
      </c>
      <c r="AM238" s="4">
        <f t="shared" si="679"/>
        <v>81.100614496488049</v>
      </c>
      <c r="AN238" s="4">
        <f t="shared" si="680"/>
        <v>0.7920588235294117</v>
      </c>
      <c r="AO238" s="4">
        <v>1.25</v>
      </c>
      <c r="AP238" s="4">
        <f t="shared" si="624"/>
        <v>2.5</v>
      </c>
      <c r="AQ238" s="38">
        <f t="shared" si="681"/>
        <v>100.04145975392262</v>
      </c>
      <c r="AR238" s="38">
        <f t="shared" si="682"/>
        <v>100.04145975392262</v>
      </c>
      <c r="AS238" s="38">
        <f t="shared" si="683"/>
        <v>2.9858937754367516</v>
      </c>
      <c r="AT238" s="38">
        <f t="shared" si="626"/>
        <v>100.04145975392271</v>
      </c>
      <c r="AU238" s="38">
        <f t="shared" si="601"/>
        <v>0.99999999999999911</v>
      </c>
      <c r="AV238" s="38">
        <f t="shared" si="537"/>
        <v>1.8056200385347467</v>
      </c>
      <c r="AW238" s="4">
        <f t="shared" si="529"/>
        <v>0</v>
      </c>
      <c r="AX238" s="4">
        <f t="shared" si="570"/>
        <v>168.05767998405574</v>
      </c>
      <c r="AY238" s="4">
        <f t="shared" si="571"/>
        <v>1.2409556313993173</v>
      </c>
      <c r="AZ238" s="38">
        <f t="shared" si="617"/>
        <v>180.63686441595024</v>
      </c>
      <c r="BA238" s="4">
        <f t="shared" si="572"/>
        <v>0.71927581286840181</v>
      </c>
      <c r="BB238" s="4">
        <f t="shared" si="602"/>
        <v>63.159708238189161</v>
      </c>
      <c r="BC238" s="4">
        <f t="shared" si="603"/>
        <v>243.7965726541394</v>
      </c>
      <c r="BE238" s="4">
        <f t="shared" si="627"/>
        <v>1.2807262569832403</v>
      </c>
      <c r="BF238" s="4">
        <f t="shared" si="628"/>
        <v>337.98364167752999</v>
      </c>
      <c r="BH238" s="4">
        <f t="shared" si="633"/>
        <v>173.2528434239527</v>
      </c>
      <c r="BI238" s="4">
        <f t="shared" si="634"/>
        <v>30569.451870773988</v>
      </c>
      <c r="BJ238" s="4">
        <f t="shared" si="635"/>
        <v>176.44415679787727</v>
      </c>
      <c r="BR238" s="4">
        <f t="shared" si="539"/>
        <v>40.700000000000003</v>
      </c>
      <c r="BV238" s="9"/>
      <c r="BX238" s="9"/>
      <c r="BY238" s="9"/>
      <c r="BZ238" s="9">
        <f t="shared" si="577"/>
        <v>40.700000000000003</v>
      </c>
      <c r="CA238" s="9">
        <f t="shared" si="578"/>
        <v>76</v>
      </c>
      <c r="CB238" s="9">
        <f t="shared" si="604"/>
        <v>1.1709505872794554</v>
      </c>
      <c r="CC238" s="9">
        <v>0</v>
      </c>
      <c r="CD238" s="9">
        <f t="shared" si="689"/>
        <v>0</v>
      </c>
      <c r="CE238" s="9">
        <f t="shared" si="605"/>
        <v>0</v>
      </c>
      <c r="CF238" s="9">
        <f t="shared" si="579"/>
        <v>0.89787751228078194</v>
      </c>
      <c r="CG238" s="9">
        <f t="shared" si="580"/>
        <v>0.91600000000000004</v>
      </c>
      <c r="CH238" s="9">
        <f t="shared" si="606"/>
        <v>1.6130411125805293</v>
      </c>
      <c r="CI238" s="9">
        <f t="shared" si="607"/>
        <v>1.8887914380820769</v>
      </c>
      <c r="CJ238" s="9">
        <v>1</v>
      </c>
      <c r="CK238" s="9">
        <f t="shared" si="608"/>
        <v>156.37926878422559</v>
      </c>
      <c r="CM238" s="4">
        <f t="shared" si="690"/>
        <v>1.1704446793439585</v>
      </c>
      <c r="CN238" s="4">
        <f t="shared" si="691"/>
        <v>0.80682929714224561</v>
      </c>
      <c r="CO238" s="4">
        <f t="shared" si="692"/>
        <v>0.58198738963793162</v>
      </c>
      <c r="CP238" s="4">
        <f t="shared" si="693"/>
        <v>1.2578535434363767</v>
      </c>
      <c r="CQ238" s="4">
        <f t="shared" si="694"/>
        <v>0.96172270015417394</v>
      </c>
      <c r="CR238" s="4">
        <f t="shared" si="695"/>
        <v>1.024630490427666</v>
      </c>
      <c r="CS238" s="4">
        <f t="shared" si="696"/>
        <v>1.5518814891149317</v>
      </c>
      <c r="CU238" s="4">
        <f t="shared" si="658"/>
        <v>1.1704446793439585</v>
      </c>
      <c r="CV238" s="4">
        <f t="shared" si="658"/>
        <v>0.80682929714224561</v>
      </c>
      <c r="CW238" s="4">
        <f t="shared" si="659"/>
        <v>1.2578535434363767</v>
      </c>
      <c r="CX238" s="4">
        <f t="shared" si="706"/>
        <v>1.5518814891149317</v>
      </c>
      <c r="CY238" s="4">
        <f t="shared" si="661"/>
        <v>0.96172270015417394</v>
      </c>
      <c r="CZ238" s="4">
        <f t="shared" si="661"/>
        <v>1.024630490427666</v>
      </c>
      <c r="DH238" s="4">
        <f t="shared" si="557"/>
        <v>0</v>
      </c>
      <c r="DI238" s="4">
        <f t="shared" si="629"/>
        <v>204</v>
      </c>
      <c r="DL238" s="4">
        <f t="shared" si="667"/>
        <v>1.0277178579490715E-5</v>
      </c>
      <c r="DM238" s="4">
        <f t="shared" si="558"/>
        <v>5.4914001825716072</v>
      </c>
      <c r="DN238" s="4">
        <f t="shared" si="668"/>
        <v>0.38369240287346035</v>
      </c>
      <c r="DO238" s="4">
        <f t="shared" si="669"/>
        <v>3.7434873846016892</v>
      </c>
      <c r="DP238" s="4">
        <f t="shared" si="670"/>
        <v>4.6997085450668452</v>
      </c>
      <c r="DQ238" s="4">
        <f t="shared" si="671"/>
        <v>5.4013905886816325</v>
      </c>
      <c r="DR238" s="38">
        <f t="shared" si="684"/>
        <v>204.53111622372472</v>
      </c>
      <c r="DS238" s="4">
        <f t="shared" si="609"/>
        <v>1.0001333760827469</v>
      </c>
      <c r="DT238" s="4">
        <f t="shared" si="672"/>
        <v>1.7335434131355643</v>
      </c>
      <c r="DU238" s="4">
        <f t="shared" si="618"/>
        <v>100.04145975392271</v>
      </c>
      <c r="DY238" s="4">
        <f t="shared" si="581"/>
        <v>0.85</v>
      </c>
      <c r="DZ238" s="4">
        <f t="shared" si="610"/>
        <v>0.98631284916201112</v>
      </c>
      <c r="EA238" s="4">
        <f t="shared" si="685"/>
        <v>1</v>
      </c>
      <c r="EB238" s="4">
        <f t="shared" si="611"/>
        <v>0.98631284916201112</v>
      </c>
      <c r="ED238" s="4">
        <f t="shared" si="686"/>
        <v>191.97380831223074</v>
      </c>
      <c r="EE238" s="25">
        <f t="shared" si="687"/>
        <v>98.098475582235665</v>
      </c>
      <c r="EG238" s="4">
        <f t="shared" si="619"/>
        <v>0.83836592178770941</v>
      </c>
      <c r="EH238" s="4">
        <f t="shared" si="688"/>
        <v>5.4914001825716072</v>
      </c>
      <c r="EK238" s="4">
        <f t="shared" si="673"/>
        <v>62.060854190253195</v>
      </c>
      <c r="EL238" s="4">
        <f t="shared" si="674"/>
        <v>1.7335434131355643</v>
      </c>
      <c r="EM238" s="4">
        <f t="shared" si="675"/>
        <v>0.11756641889341342</v>
      </c>
      <c r="EP238" s="4">
        <f t="shared" si="541"/>
        <v>0.11756641889341342</v>
      </c>
      <c r="EQ238" s="4">
        <f t="shared" si="542"/>
        <v>0.38305209176360744</v>
      </c>
      <c r="ER238" s="4">
        <f t="shared" si="559"/>
        <v>3.7409872593394851</v>
      </c>
      <c r="ES238" s="4">
        <f t="shared" si="582"/>
        <v>4.6987148155807104</v>
      </c>
      <c r="ET238" s="4">
        <f t="shared" si="560"/>
        <v>90.939145809746805</v>
      </c>
      <c r="EU238" s="4">
        <f t="shared" si="561"/>
        <v>51</v>
      </c>
      <c r="EV238" s="4">
        <f t="shared" si="612"/>
        <v>1.0277178579490715E-5</v>
      </c>
      <c r="EW238" s="4">
        <f t="shared" si="583"/>
        <v>5.4014182225230103</v>
      </c>
      <c r="EX238" s="4">
        <f t="shared" si="636"/>
        <v>204.50384030259846</v>
      </c>
      <c r="FG238" s="23">
        <f t="shared" si="698"/>
        <v>1.2</v>
      </c>
      <c r="FH238" s="23">
        <f t="shared" si="698"/>
        <v>1</v>
      </c>
      <c r="FI238" s="23">
        <f t="shared" si="699"/>
        <v>1.6</v>
      </c>
      <c r="FJ238" s="23">
        <f t="shared" si="700"/>
        <v>1.4</v>
      </c>
      <c r="FK238" s="23">
        <f t="shared" si="700"/>
        <v>1</v>
      </c>
      <c r="FL238" s="23">
        <f t="shared" si="700"/>
        <v>1.2</v>
      </c>
      <c r="FM238" s="23">
        <f t="shared" si="701"/>
        <v>0</v>
      </c>
      <c r="FN238" s="23"/>
      <c r="FX238" s="4">
        <f t="shared" si="613"/>
        <v>1</v>
      </c>
      <c r="FY238" s="4">
        <f t="shared" si="652"/>
        <v>0.8938547486033519</v>
      </c>
      <c r="FZ238" s="4">
        <f t="shared" si="614"/>
        <v>0</v>
      </c>
      <c r="GA238" s="4">
        <f t="shared" si="615"/>
        <v>126.75079813756321</v>
      </c>
    </row>
    <row r="239" spans="1:183" ht="12" customHeight="1" x14ac:dyDescent="0.3">
      <c r="A239" s="25">
        <v>221</v>
      </c>
      <c r="B239" s="24" t="s">
        <v>182</v>
      </c>
      <c r="C239" s="4">
        <v>1996</v>
      </c>
      <c r="D239" s="24" t="s">
        <v>309</v>
      </c>
      <c r="E239" s="24"/>
      <c r="F239" s="4" t="s">
        <v>355</v>
      </c>
      <c r="G239" s="7">
        <v>556</v>
      </c>
      <c r="H239" s="7">
        <f>381-P239-20</f>
        <v>285</v>
      </c>
      <c r="I239" s="7">
        <f t="shared" si="630"/>
        <v>285</v>
      </c>
      <c r="J239" s="7">
        <v>33.299999999999997</v>
      </c>
      <c r="K239" s="7">
        <v>35.799999999999997</v>
      </c>
      <c r="L239" s="7">
        <f t="shared" si="676"/>
        <v>7.9608938547486039</v>
      </c>
      <c r="M239" s="7">
        <f t="shared" si="677"/>
        <v>7.9608938547486039</v>
      </c>
      <c r="N239" s="7">
        <v>305</v>
      </c>
      <c r="O239" s="7">
        <v>76</v>
      </c>
      <c r="P239" s="7">
        <v>76</v>
      </c>
      <c r="Q239" s="7">
        <f t="shared" si="623"/>
        <v>81.400000000000006</v>
      </c>
      <c r="R239" s="7">
        <v>2</v>
      </c>
      <c r="S239" s="7">
        <f t="shared" si="620"/>
        <v>280</v>
      </c>
      <c r="T239" s="7">
        <f t="shared" si="621"/>
        <v>1.6368715083798884</v>
      </c>
      <c r="U239" s="7">
        <f t="shared" si="631"/>
        <v>2.6229050279329611</v>
      </c>
      <c r="V239" s="7">
        <f>8100/(K239^2*PI()/4)-1</f>
        <v>7.0469088920093164</v>
      </c>
      <c r="W239" s="7">
        <f>8100/(K239^2*PI()/4)-1</f>
        <v>7.0469088920093164</v>
      </c>
      <c r="X239" s="7">
        <f t="shared" si="616"/>
        <v>8.0469088920093164</v>
      </c>
      <c r="Y239" s="7">
        <f t="shared" si="552"/>
        <v>101.55412503859614</v>
      </c>
      <c r="Z239" s="7">
        <f t="shared" si="632"/>
        <v>556</v>
      </c>
      <c r="AA239" s="7">
        <v>20</v>
      </c>
      <c r="AB239" s="7">
        <f>432*1000/(K239^2*PI()/4)</f>
        <v>429.16847424049683</v>
      </c>
      <c r="AC239" s="7"/>
      <c r="AD239" s="4">
        <f t="shared" si="666"/>
        <v>1.7054171816068107</v>
      </c>
      <c r="AE239" s="7"/>
      <c r="AF239" s="7"/>
      <c r="AG239" s="7">
        <v>1</v>
      </c>
      <c r="AH239" s="7"/>
      <c r="AI239" s="7"/>
      <c r="AJ239" s="7">
        <f t="shared" si="655"/>
        <v>7.2952218430034126</v>
      </c>
      <c r="AK239" s="4">
        <f t="shared" si="569"/>
        <v>285</v>
      </c>
      <c r="AL239" s="4">
        <f t="shared" si="678"/>
        <v>0.35672514619883039</v>
      </c>
      <c r="AM239" s="4">
        <f t="shared" si="679"/>
        <v>137.91245086192728</v>
      </c>
      <c r="AN239" s="4">
        <f t="shared" si="680"/>
        <v>0.76589473684210518</v>
      </c>
      <c r="AO239" s="4">
        <v>1.25</v>
      </c>
      <c r="AP239" s="4">
        <f t="shared" si="624"/>
        <v>2.5</v>
      </c>
      <c r="AQ239" s="38">
        <f t="shared" si="681"/>
        <v>117.74875065549853</v>
      </c>
      <c r="AR239" s="38">
        <f t="shared" si="682"/>
        <v>117.74875065549853</v>
      </c>
      <c r="AS239" s="38">
        <f t="shared" si="683"/>
        <v>3.1051606722149665</v>
      </c>
      <c r="AT239" s="38">
        <f t="shared" si="626"/>
        <v>117.74875065549857</v>
      </c>
      <c r="AU239" s="38">
        <f t="shared" si="601"/>
        <v>0.99999999999999967</v>
      </c>
      <c r="AV239" s="38">
        <f t="shared" si="537"/>
        <v>3.0499175093332469</v>
      </c>
      <c r="AW239" s="4">
        <f t="shared" si="529"/>
        <v>0</v>
      </c>
      <c r="AX239" s="4">
        <f t="shared" si="570"/>
        <v>241.78555384782416</v>
      </c>
      <c r="AY239" s="4">
        <f t="shared" si="571"/>
        <v>1.2409556313993173</v>
      </c>
      <c r="AZ239" s="38">
        <f t="shared" si="617"/>
        <v>359.12397632631973</v>
      </c>
      <c r="BA239" s="4">
        <f t="shared" si="572"/>
        <v>0.3</v>
      </c>
      <c r="BB239" s="4">
        <f t="shared" si="602"/>
        <v>37.899885565646429</v>
      </c>
      <c r="BC239" s="4">
        <f t="shared" si="603"/>
        <v>397.02386189196613</v>
      </c>
      <c r="BE239" s="4">
        <f t="shared" si="627"/>
        <v>1.2807262569832403</v>
      </c>
      <c r="BF239" s="4">
        <f t="shared" si="628"/>
        <v>398.22418408057655</v>
      </c>
      <c r="BH239" s="4">
        <f t="shared" si="633"/>
        <v>344.44381129745312</v>
      </c>
      <c r="BI239" s="4">
        <f t="shared" si="634"/>
        <v>490.43773856597932</v>
      </c>
      <c r="BJ239" s="4">
        <f t="shared" si="635"/>
        <v>1.4238541163465686</v>
      </c>
      <c r="BR239" s="4">
        <f t="shared" si="539"/>
        <v>40.700000000000003</v>
      </c>
      <c r="BV239" s="9"/>
      <c r="BX239" s="9"/>
      <c r="BY239" s="9"/>
      <c r="BZ239" s="9">
        <f t="shared" si="577"/>
        <v>40.700000000000003</v>
      </c>
      <c r="CA239" s="9">
        <f t="shared" si="578"/>
        <v>76</v>
      </c>
      <c r="CB239" s="9">
        <f t="shared" si="604"/>
        <v>1.1709505872794554</v>
      </c>
      <c r="CC239" s="9">
        <v>0</v>
      </c>
      <c r="CD239" s="9">
        <f t="shared" si="689"/>
        <v>0</v>
      </c>
      <c r="CE239" s="9">
        <f t="shared" si="605"/>
        <v>0</v>
      </c>
      <c r="CF239" s="9">
        <f t="shared" si="579"/>
        <v>0.89787751228078194</v>
      </c>
      <c r="CG239" s="9">
        <f t="shared" si="580"/>
        <v>0.91600000000000004</v>
      </c>
      <c r="CH239" s="9">
        <f t="shared" si="606"/>
        <v>1.661126587131682</v>
      </c>
      <c r="CI239" s="9">
        <f t="shared" si="607"/>
        <v>1.9450971527473606</v>
      </c>
      <c r="CJ239" s="9">
        <v>1</v>
      </c>
      <c r="CK239" s="9">
        <f t="shared" si="608"/>
        <v>178.6446770456235</v>
      </c>
      <c r="CM239" s="4">
        <f t="shared" si="690"/>
        <v>1.7749963445318506</v>
      </c>
      <c r="CN239" s="4">
        <f t="shared" si="691"/>
        <v>1.0809639304684351</v>
      </c>
      <c r="CO239" s="4">
        <f t="shared" si="692"/>
        <v>1.0777057029606696</v>
      </c>
      <c r="CP239" s="4">
        <f t="shared" si="693"/>
        <v>2.4023580290102506</v>
      </c>
      <c r="CQ239" s="4">
        <f t="shared" si="694"/>
        <v>1.7054171816068107</v>
      </c>
      <c r="CR239" s="4">
        <f t="shared" si="695"/>
        <v>1.7084704294313242</v>
      </c>
      <c r="CS239" s="4">
        <f t="shared" si="696"/>
        <v>2.3882719091374538</v>
      </c>
      <c r="CU239" s="4">
        <f t="shared" si="658"/>
        <v>1.7749963445318506</v>
      </c>
      <c r="CV239" s="4">
        <f t="shared" si="658"/>
        <v>1.0809639304684351</v>
      </c>
      <c r="CW239" s="4">
        <f t="shared" si="659"/>
        <v>2.4023580290102506</v>
      </c>
      <c r="CX239" s="4">
        <f t="shared" si="706"/>
        <v>2.3882719091374538</v>
      </c>
      <c r="CY239" s="4">
        <f t="shared" si="661"/>
        <v>1.7054171816068107</v>
      </c>
      <c r="CZ239" s="4">
        <f t="shared" si="661"/>
        <v>1.7084704294313242</v>
      </c>
      <c r="DH239" s="4">
        <f t="shared" si="557"/>
        <v>0</v>
      </c>
      <c r="DI239" s="4">
        <f t="shared" si="629"/>
        <v>285</v>
      </c>
      <c r="DL239" s="4">
        <f t="shared" si="667"/>
        <v>1.4549897915862038E-5</v>
      </c>
      <c r="DM239" s="4">
        <f t="shared" si="558"/>
        <v>5.6551012697105509</v>
      </c>
      <c r="DN239" s="4">
        <f t="shared" si="668"/>
        <v>0.19827952194134693</v>
      </c>
      <c r="DO239" s="4">
        <f t="shared" si="669"/>
        <v>2.960407745355111</v>
      </c>
      <c r="DP239" s="4">
        <f t="shared" si="670"/>
        <v>4.5153901390049072</v>
      </c>
      <c r="DQ239" s="4">
        <f t="shared" si="671"/>
        <v>5.4900726728617038</v>
      </c>
      <c r="DR239" s="38">
        <f t="shared" si="684"/>
        <v>251.65014101484701</v>
      </c>
      <c r="DS239" s="4">
        <f t="shared" si="609"/>
        <v>1.0001197282404417</v>
      </c>
      <c r="DT239" s="4">
        <f t="shared" si="672"/>
        <v>2.8367074033127415</v>
      </c>
      <c r="DU239" s="4">
        <f t="shared" si="618"/>
        <v>117.74875065549857</v>
      </c>
      <c r="DY239" s="4">
        <f t="shared" si="581"/>
        <v>0.85</v>
      </c>
      <c r="DZ239" s="4">
        <f t="shared" si="610"/>
        <v>0.98631284916201112</v>
      </c>
      <c r="EA239" s="4">
        <f t="shared" si="685"/>
        <v>1</v>
      </c>
      <c r="EB239" s="4">
        <f t="shared" si="611"/>
        <v>0.98631284916201112</v>
      </c>
      <c r="ED239" s="4">
        <f t="shared" si="686"/>
        <v>251.2004111088703</v>
      </c>
      <c r="EE239" s="25">
        <f t="shared" si="687"/>
        <v>116.14142827081106</v>
      </c>
      <c r="EG239" s="4">
        <f t="shared" si="619"/>
        <v>0.83836592178770941</v>
      </c>
      <c r="EH239" s="4">
        <f t="shared" si="688"/>
        <v>5.6551012697105509</v>
      </c>
      <c r="EK239" s="4">
        <f t="shared" si="673"/>
        <v>101.55412503859614</v>
      </c>
      <c r="EL239" s="4">
        <f t="shared" si="674"/>
        <v>2.8367074033127415</v>
      </c>
      <c r="EM239" s="4">
        <f t="shared" si="675"/>
        <v>6.2565546914000694E-2</v>
      </c>
      <c r="EP239" s="4">
        <f t="shared" si="541"/>
        <v>6.2565546914000694E-2</v>
      </c>
      <c r="EQ239" s="4">
        <f t="shared" si="542"/>
        <v>0.19794863037350618</v>
      </c>
      <c r="ER239" s="4">
        <f t="shared" si="559"/>
        <v>2.9584306076142348</v>
      </c>
      <c r="ES239" s="4">
        <f t="shared" si="582"/>
        <v>4.51474821301841</v>
      </c>
      <c r="ET239" s="4">
        <f t="shared" si="560"/>
        <v>112.19587496140386</v>
      </c>
      <c r="EU239" s="4">
        <f t="shared" si="561"/>
        <v>71.25</v>
      </c>
      <c r="EV239" s="4">
        <f t="shared" si="612"/>
        <v>1.4549897915862038E-5</v>
      </c>
      <c r="EW239" s="4">
        <f t="shared" si="583"/>
        <v>5.4901173051039267</v>
      </c>
      <c r="EX239" s="4">
        <f t="shared" si="636"/>
        <v>251.62001499319194</v>
      </c>
      <c r="FG239" s="23">
        <f t="shared" si="698"/>
        <v>1.8</v>
      </c>
      <c r="FH239" s="23">
        <f t="shared" si="698"/>
        <v>1.2</v>
      </c>
      <c r="FI239" s="23">
        <f t="shared" si="699"/>
        <v>2.2000000000000002</v>
      </c>
      <c r="FJ239" s="23">
        <f t="shared" si="700"/>
        <v>2.2000000000000002</v>
      </c>
      <c r="FK239" s="23">
        <f t="shared" si="700"/>
        <v>1.8</v>
      </c>
      <c r="FL239" s="23">
        <f t="shared" si="700"/>
        <v>1.8</v>
      </c>
      <c r="FM239" s="23">
        <f t="shared" si="701"/>
        <v>0</v>
      </c>
      <c r="FN239" s="23"/>
      <c r="FX239" s="4">
        <f t="shared" si="613"/>
        <v>1</v>
      </c>
      <c r="FY239" s="4">
        <f t="shared" si="652"/>
        <v>0.8938547486033519</v>
      </c>
      <c r="FZ239" s="4">
        <f t="shared" si="614"/>
        <v>0</v>
      </c>
      <c r="GA239" s="4">
        <f t="shared" si="615"/>
        <v>179.69833024393566</v>
      </c>
    </row>
    <row r="240" spans="1:183" ht="12" customHeight="1" x14ac:dyDescent="0.3">
      <c r="A240" s="25">
        <v>222</v>
      </c>
      <c r="B240" s="24" t="s">
        <v>182</v>
      </c>
      <c r="C240" s="4">
        <v>1996</v>
      </c>
      <c r="D240" s="24" t="s">
        <v>309</v>
      </c>
      <c r="E240" s="24"/>
      <c r="F240" s="4" t="s">
        <v>356</v>
      </c>
      <c r="G240" s="7">
        <v>556</v>
      </c>
      <c r="H240" s="7">
        <f>381-P240-25</f>
        <v>280</v>
      </c>
      <c r="I240" s="7">
        <f t="shared" si="630"/>
        <v>280</v>
      </c>
      <c r="J240" s="7">
        <v>33.299999999999997</v>
      </c>
      <c r="K240" s="7">
        <v>35.799999999999997</v>
      </c>
      <c r="L240" s="7">
        <f t="shared" si="676"/>
        <v>7.8212290502793298</v>
      </c>
      <c r="M240" s="7">
        <f t="shared" si="677"/>
        <v>7.8212290502793298</v>
      </c>
      <c r="N240" s="7">
        <v>305</v>
      </c>
      <c r="O240" s="7">
        <v>76</v>
      </c>
      <c r="P240" s="7">
        <v>76</v>
      </c>
      <c r="Q240" s="7">
        <f t="shared" si="623"/>
        <v>81.400000000000006</v>
      </c>
      <c r="R240" s="7">
        <v>2</v>
      </c>
      <c r="S240" s="7">
        <f t="shared" si="620"/>
        <v>280</v>
      </c>
      <c r="T240" s="7">
        <f t="shared" si="621"/>
        <v>1.6368715083798884</v>
      </c>
      <c r="U240" s="7">
        <f t="shared" si="631"/>
        <v>2.6229050279329611</v>
      </c>
      <c r="V240" s="7">
        <f>5500/(K240^2*PI()/4)-1</f>
        <v>4.4639504822285474</v>
      </c>
      <c r="W240" s="7">
        <f t="shared" si="622"/>
        <v>4.4639504822285474</v>
      </c>
      <c r="X240" s="7">
        <f t="shared" si="616"/>
        <v>5.4639504822285474</v>
      </c>
      <c r="Y240" s="7">
        <f t="shared" si="552"/>
        <v>83.682838718840046</v>
      </c>
      <c r="Z240" s="7">
        <f t="shared" si="632"/>
        <v>556</v>
      </c>
      <c r="AA240" s="7">
        <v>25</v>
      </c>
      <c r="AB240" s="7">
        <f>385*1000/(K240^2*PI()/4)</f>
        <v>382.47653375599833</v>
      </c>
      <c r="AC240" s="7"/>
      <c r="AD240" s="4">
        <f t="shared" si="666"/>
        <v>1.4957640290850434</v>
      </c>
      <c r="AE240" s="7"/>
      <c r="AF240" s="7"/>
      <c r="AG240" s="7">
        <v>1</v>
      </c>
      <c r="AH240" s="7"/>
      <c r="AI240" s="7"/>
      <c r="AJ240" s="7">
        <f t="shared" si="655"/>
        <v>7.1672354948805461</v>
      </c>
      <c r="AK240" s="4">
        <f t="shared" si="569"/>
        <v>280</v>
      </c>
      <c r="AL240" s="4">
        <f t="shared" si="678"/>
        <v>0.36309523809523808</v>
      </c>
      <c r="AM240" s="4">
        <f t="shared" si="679"/>
        <v>134.2991405645605</v>
      </c>
      <c r="AN240" s="4">
        <f t="shared" si="680"/>
        <v>0.76707142857142852</v>
      </c>
      <c r="AO240" s="4">
        <v>1.25</v>
      </c>
      <c r="AP240" s="4">
        <f t="shared" si="624"/>
        <v>2.5</v>
      </c>
      <c r="AQ240" s="38">
        <f t="shared" si="681"/>
        <v>116.8906073313825</v>
      </c>
      <c r="AR240" s="38">
        <f t="shared" si="682"/>
        <v>116.8906073313825</v>
      </c>
      <c r="AS240" s="38">
        <f t="shared" si="683"/>
        <v>3.1051606722149665</v>
      </c>
      <c r="AT240" s="38">
        <f t="shared" si="626"/>
        <v>116.89060733138254</v>
      </c>
      <c r="AU240" s="38">
        <f t="shared" si="601"/>
        <v>0.99999999999999967</v>
      </c>
      <c r="AV240" s="38">
        <f t="shared" si="537"/>
        <v>2.4452605528078042</v>
      </c>
      <c r="AW240" s="4">
        <f t="shared" ref="AW240:AW303" si="707">IF(AV240&lt;1,1,0)</f>
        <v>0</v>
      </c>
      <c r="AX240" s="4">
        <f t="shared" si="570"/>
        <v>237.5437020259325</v>
      </c>
      <c r="AY240" s="4">
        <f t="shared" si="571"/>
        <v>1.2409556313993173</v>
      </c>
      <c r="AZ240" s="38">
        <f t="shared" si="617"/>
        <v>285.82799110117645</v>
      </c>
      <c r="BA240" s="4">
        <f t="shared" si="572"/>
        <v>0.37504693248800336</v>
      </c>
      <c r="BB240" s="4">
        <f t="shared" si="602"/>
        <v>46.549544215810222</v>
      </c>
      <c r="BC240" s="4">
        <f t="shared" si="603"/>
        <v>332.37753531698667</v>
      </c>
      <c r="BE240" s="4">
        <f t="shared" si="627"/>
        <v>1.2807262569832403</v>
      </c>
      <c r="BF240" s="4">
        <f t="shared" si="628"/>
        <v>395.12757300685513</v>
      </c>
      <c r="BH240" s="4">
        <f t="shared" si="633"/>
        <v>274.14399795162973</v>
      </c>
      <c r="BI240" s="4">
        <f>8/3*Z240*AA240^2/(Y240-K240-22)/K240*(Y240^2-K240^2)/(Y240^2-(K240+22)^2)</f>
        <v>1562.4220485187734</v>
      </c>
      <c r="BJ240" s="4">
        <f t="shared" si="635"/>
        <v>5.6992750532311449</v>
      </c>
      <c r="BR240" s="4">
        <f t="shared" si="539"/>
        <v>40.700000000000003</v>
      </c>
      <c r="BV240" s="9"/>
      <c r="BX240" s="9"/>
      <c r="BY240" s="9"/>
      <c r="BZ240" s="9">
        <f t="shared" si="577"/>
        <v>40.700000000000003</v>
      </c>
      <c r="CA240" s="9">
        <f t="shared" si="578"/>
        <v>76</v>
      </c>
      <c r="CB240" s="9">
        <f t="shared" si="604"/>
        <v>1.1709505872794554</v>
      </c>
      <c r="CC240" s="9">
        <v>0</v>
      </c>
      <c r="CD240" s="9">
        <f t="shared" si="689"/>
        <v>0</v>
      </c>
      <c r="CE240" s="9">
        <f t="shared" si="605"/>
        <v>0</v>
      </c>
      <c r="CF240" s="9">
        <f t="shared" si="579"/>
        <v>0.89787751228078194</v>
      </c>
      <c r="CG240" s="9">
        <f t="shared" si="580"/>
        <v>0.91600000000000004</v>
      </c>
      <c r="CH240" s="9">
        <f t="shared" si="606"/>
        <v>1.661126587131682</v>
      </c>
      <c r="CI240" s="9">
        <f t="shared" si="607"/>
        <v>1.9450971527473606</v>
      </c>
      <c r="CJ240" s="9">
        <v>1</v>
      </c>
      <c r="CK240" s="9">
        <f t="shared" si="608"/>
        <v>177.55803059157469</v>
      </c>
      <c r="CM240" s="4">
        <f t="shared" si="690"/>
        <v>1.6101312326699513</v>
      </c>
      <c r="CN240" s="4">
        <f t="shared" si="691"/>
        <v>1.150729195314697</v>
      </c>
      <c r="CO240" s="4">
        <f t="shared" si="692"/>
        <v>0.96798239324432744</v>
      </c>
      <c r="CP240" s="4">
        <f t="shared" si="693"/>
        <v>2.1540931293374417</v>
      </c>
      <c r="CQ240" s="4">
        <f t="shared" si="694"/>
        <v>1.4957640290850434</v>
      </c>
      <c r="CR240" s="4">
        <f t="shared" si="695"/>
        <v>1.5425351929470028</v>
      </c>
      <c r="CS240" s="4">
        <f t="shared" si="696"/>
        <v>2.1664445703547215</v>
      </c>
      <c r="CU240" s="4">
        <f t="shared" si="658"/>
        <v>1.6101312326699513</v>
      </c>
      <c r="CV240" s="4">
        <f t="shared" si="658"/>
        <v>1.150729195314697</v>
      </c>
      <c r="CW240" s="4">
        <f t="shared" si="659"/>
        <v>2.1540931293374417</v>
      </c>
      <c r="CX240" s="4">
        <f t="shared" si="706"/>
        <v>2.1664445703547215</v>
      </c>
      <c r="CY240" s="4">
        <f t="shared" si="661"/>
        <v>1.4957640290850434</v>
      </c>
      <c r="CZ240" s="4">
        <f t="shared" si="661"/>
        <v>1.5425351929470028</v>
      </c>
      <c r="DH240" s="4">
        <f t="shared" si="557"/>
        <v>0</v>
      </c>
      <c r="DI240" s="4">
        <f t="shared" si="629"/>
        <v>280</v>
      </c>
      <c r="DL240" s="4">
        <f t="shared" si="667"/>
        <v>1.4294636548917093E-5</v>
      </c>
      <c r="DM240" s="4">
        <f t="shared" si="558"/>
        <v>5.6551012697105509</v>
      </c>
      <c r="DN240" s="4">
        <f t="shared" si="668"/>
        <v>0.25604676546069649</v>
      </c>
      <c r="DO240" s="4">
        <f t="shared" si="669"/>
        <v>3.2792015010621469</v>
      </c>
      <c r="DP240" s="4">
        <f t="shared" si="670"/>
        <v>4.6234399349920459</v>
      </c>
      <c r="DQ240" s="4">
        <f t="shared" si="671"/>
        <v>5.485274803656603</v>
      </c>
      <c r="DR240" s="38">
        <f t="shared" si="684"/>
        <v>255.70646593898817</v>
      </c>
      <c r="DS240" s="4">
        <f t="shared" si="609"/>
        <v>1.0001213385863128</v>
      </c>
      <c r="DT240" s="4">
        <f t="shared" si="672"/>
        <v>2.3375094614201131</v>
      </c>
      <c r="DU240" s="4">
        <f t="shared" si="618"/>
        <v>116.89060733138254</v>
      </c>
      <c r="DY240" s="4">
        <f t="shared" si="581"/>
        <v>0.85</v>
      </c>
      <c r="DZ240" s="4">
        <f t="shared" si="610"/>
        <v>0.98631284916201112</v>
      </c>
      <c r="EA240" s="4">
        <f t="shared" si="685"/>
        <v>1</v>
      </c>
      <c r="EB240" s="4">
        <f t="shared" si="611"/>
        <v>0.98631284916201112</v>
      </c>
      <c r="ED240" s="4">
        <f t="shared" si="686"/>
        <v>247.95319776482995</v>
      </c>
      <c r="EE240" s="25">
        <f t="shared" si="687"/>
        <v>115.26367076603489</v>
      </c>
      <c r="EG240" s="4">
        <f t="shared" si="619"/>
        <v>0.83836592178770941</v>
      </c>
      <c r="EH240" s="4">
        <f t="shared" si="688"/>
        <v>5.6551012697105509</v>
      </c>
      <c r="EK240" s="4">
        <f t="shared" si="673"/>
        <v>83.682838718840046</v>
      </c>
      <c r="EL240" s="4">
        <f t="shared" si="674"/>
        <v>2.3375094614201131</v>
      </c>
      <c r="EM240" s="4">
        <f t="shared" si="675"/>
        <v>8.0793547209318639E-2</v>
      </c>
      <c r="EP240" s="4">
        <f t="shared" si="541"/>
        <v>8.0793547209318639E-2</v>
      </c>
      <c r="EQ240" s="4">
        <f t="shared" si="542"/>
        <v>0.25561947112977262</v>
      </c>
      <c r="ER240" s="4">
        <f t="shared" si="559"/>
        <v>3.2770114537425306</v>
      </c>
      <c r="ES240" s="4">
        <f t="shared" si="582"/>
        <v>4.6226676777134283</v>
      </c>
      <c r="ET240" s="4">
        <f t="shared" si="560"/>
        <v>126.31716128115995</v>
      </c>
      <c r="EU240" s="4">
        <f t="shared" si="561"/>
        <v>69.999999999999986</v>
      </c>
      <c r="EV240" s="4">
        <f t="shared" si="612"/>
        <v>1.4294636548917086E-5</v>
      </c>
      <c r="EW240" s="4">
        <f t="shared" si="583"/>
        <v>5.4853199496251825</v>
      </c>
      <c r="EX240" s="4">
        <f t="shared" si="636"/>
        <v>255.67544264222309</v>
      </c>
      <c r="FG240" s="23">
        <f t="shared" si="698"/>
        <v>1.8</v>
      </c>
      <c r="FH240" s="23">
        <f t="shared" si="698"/>
        <v>1.2</v>
      </c>
      <c r="FI240" s="23">
        <f t="shared" si="699"/>
        <v>2.2000000000000002</v>
      </c>
      <c r="FJ240" s="23">
        <f t="shared" si="700"/>
        <v>2.2000000000000002</v>
      </c>
      <c r="FK240" s="23">
        <f t="shared" si="700"/>
        <v>1.6</v>
      </c>
      <c r="FL240" s="23">
        <f t="shared" si="700"/>
        <v>1.6</v>
      </c>
      <c r="FM240" s="23">
        <f t="shared" si="701"/>
        <v>0</v>
      </c>
      <c r="FN240" s="23"/>
      <c r="FX240" s="4">
        <f t="shared" si="613"/>
        <v>1</v>
      </c>
      <c r="FY240" s="4">
        <f t="shared" si="652"/>
        <v>0.8938547486033519</v>
      </c>
      <c r="FZ240" s="4">
        <f t="shared" si="614"/>
        <v>0</v>
      </c>
      <c r="GA240" s="4">
        <f t="shared" si="615"/>
        <v>176.54572795895433</v>
      </c>
    </row>
    <row r="241" spans="1:183" ht="12" customHeight="1" x14ac:dyDescent="0.3">
      <c r="A241" s="25">
        <v>223</v>
      </c>
      <c r="B241" s="24" t="s">
        <v>182</v>
      </c>
      <c r="C241" s="4">
        <v>1996</v>
      </c>
      <c r="D241" s="24" t="s">
        <v>309</v>
      </c>
      <c r="E241" s="24"/>
      <c r="F241" s="4" t="s">
        <v>357</v>
      </c>
      <c r="G241" s="7">
        <v>578</v>
      </c>
      <c r="H241" s="7">
        <f>381-P241-18</f>
        <v>287</v>
      </c>
      <c r="I241" s="7">
        <f t="shared" si="630"/>
        <v>287</v>
      </c>
      <c r="J241" s="7">
        <v>22.1</v>
      </c>
      <c r="K241" s="7">
        <v>25.4</v>
      </c>
      <c r="L241" s="7">
        <f t="shared" si="676"/>
        <v>11.299212598425198</v>
      </c>
      <c r="M241" s="7">
        <f t="shared" si="677"/>
        <v>11.299212598425198</v>
      </c>
      <c r="N241" s="7">
        <v>305</v>
      </c>
      <c r="O241" s="7">
        <v>76</v>
      </c>
      <c r="P241" s="7">
        <v>76</v>
      </c>
      <c r="Q241" s="7">
        <f t="shared" si="623"/>
        <v>102.19999999999999</v>
      </c>
      <c r="R241" s="7">
        <v>2</v>
      </c>
      <c r="S241" s="7">
        <f t="shared" si="620"/>
        <v>280</v>
      </c>
      <c r="T241" s="7">
        <f t="shared" si="621"/>
        <v>2.5118110236220472</v>
      </c>
      <c r="U241" s="7">
        <f t="shared" si="631"/>
        <v>3.4921259842519685</v>
      </c>
      <c r="V241" s="7">
        <f>3200/(K241^2*PI()/4)-1</f>
        <v>5.3152807724479523</v>
      </c>
      <c r="W241" s="7">
        <f>3200/(K241^2*PI()/4)-1</f>
        <v>5.3152807724479523</v>
      </c>
      <c r="X241" s="7">
        <f t="shared" si="616"/>
        <v>6.3152807724479523</v>
      </c>
      <c r="Y241" s="7">
        <f t="shared" si="552"/>
        <v>63.830764864229231</v>
      </c>
      <c r="Z241" s="7">
        <f t="shared" si="632"/>
        <v>578</v>
      </c>
      <c r="AA241" s="7">
        <v>18</v>
      </c>
      <c r="AB241" s="7">
        <f>279*1000/(K241^2*PI()/4)</f>
        <v>550.61354234780583</v>
      </c>
      <c r="AC241" s="7"/>
      <c r="AD241" s="4">
        <f t="shared" si="666"/>
        <v>1.3582301682762954</v>
      </c>
      <c r="AE241" s="7"/>
      <c r="AF241" s="7"/>
      <c r="AG241" s="7">
        <v>1</v>
      </c>
      <c r="AH241" s="7"/>
      <c r="AI241" s="7"/>
      <c r="AJ241" s="7">
        <f t="shared" si="655"/>
        <v>6.7476489028213171</v>
      </c>
      <c r="AK241" s="4">
        <f t="shared" si="569"/>
        <v>287</v>
      </c>
      <c r="AL241" s="4">
        <f t="shared" si="678"/>
        <v>0.35423925667828104</v>
      </c>
      <c r="AM241" s="4">
        <f t="shared" si="679"/>
        <v>225.54420427456137</v>
      </c>
      <c r="AN241" s="4">
        <f t="shared" si="680"/>
        <v>0.76181184668989543</v>
      </c>
      <c r="AO241" s="4">
        <v>1.25</v>
      </c>
      <c r="AP241" s="4">
        <f t="shared" si="624"/>
        <v>2.5</v>
      </c>
      <c r="AQ241" s="38">
        <f t="shared" si="681"/>
        <v>190.20682805032305</v>
      </c>
      <c r="AR241" s="38">
        <f t="shared" si="682"/>
        <v>190.20682805032305</v>
      </c>
      <c r="AS241" s="38">
        <f t="shared" si="683"/>
        <v>2.3625595852948513</v>
      </c>
      <c r="AT241" s="38">
        <f t="shared" si="626"/>
        <v>190.20682805032291</v>
      </c>
      <c r="AU241" s="38">
        <f t="shared" si="601"/>
        <v>1.0000000000000007</v>
      </c>
      <c r="AV241" s="38">
        <f t="shared" si="537"/>
        <v>1.5557738334432083</v>
      </c>
      <c r="AW241" s="4">
        <f t="shared" si="707"/>
        <v>0</v>
      </c>
      <c r="AX241" s="4">
        <f t="shared" si="570"/>
        <v>279.57009627077383</v>
      </c>
      <c r="AY241" s="4">
        <f t="shared" si="571"/>
        <v>1.1561128526645768</v>
      </c>
      <c r="AZ241" s="38">
        <f t="shared" si="617"/>
        <v>295.91880602292406</v>
      </c>
      <c r="BA241" s="4">
        <f t="shared" si="572"/>
        <v>0.3</v>
      </c>
      <c r="BB241" s="4">
        <f t="shared" si="602"/>
        <v>43.822612590443811</v>
      </c>
      <c r="BC241" s="4">
        <f t="shared" si="603"/>
        <v>339.74141861336784</v>
      </c>
      <c r="BE241" s="4">
        <f t="shared" si="627"/>
        <v>1.4980314960629921</v>
      </c>
      <c r="BF241" s="4">
        <f t="shared" si="628"/>
        <v>449.98898650663324</v>
      </c>
      <c r="BH241" s="4">
        <f t="shared" si="633"/>
        <v>283.82232348783879</v>
      </c>
      <c r="BI241" s="4">
        <f>8/3*Z241*AA241^2/(Y241-K241-22)/K241*(Y241^2-K241^2)/(Y241^2-(K241+22)^2)</f>
        <v>2245.2309649218914</v>
      </c>
      <c r="BJ241" s="4">
        <f t="shared" si="635"/>
        <v>7.9106919333570147</v>
      </c>
      <c r="BR241" s="4">
        <f t="shared" si="539"/>
        <v>51.099999999999994</v>
      </c>
      <c r="BV241" s="9"/>
      <c r="BX241" s="9"/>
      <c r="BY241" s="9"/>
      <c r="BZ241" s="9">
        <f t="shared" si="577"/>
        <v>51.099999999999994</v>
      </c>
      <c r="CA241" s="9">
        <f t="shared" si="578"/>
        <v>76</v>
      </c>
      <c r="CB241" s="9">
        <f t="shared" si="604"/>
        <v>1.5054020239149992</v>
      </c>
      <c r="CC241" s="9">
        <v>0</v>
      </c>
      <c r="CD241" s="9">
        <f t="shared" si="689"/>
        <v>0</v>
      </c>
      <c r="CE241" s="9">
        <f t="shared" si="605"/>
        <v>0</v>
      </c>
      <c r="CF241" s="9">
        <f t="shared" si="579"/>
        <v>0.99524931562137331</v>
      </c>
      <c r="CG241" s="9">
        <f t="shared" si="580"/>
        <v>0.88300000000000001</v>
      </c>
      <c r="CH241" s="9">
        <f t="shared" si="606"/>
        <v>1.4459616423243864</v>
      </c>
      <c r="CI241" s="9">
        <f t="shared" si="607"/>
        <v>2.1767535828585873</v>
      </c>
      <c r="CJ241" s="9">
        <v>1</v>
      </c>
      <c r="CK241" s="9">
        <f t="shared" si="608"/>
        <v>228.987620999927</v>
      </c>
      <c r="CM241" s="4">
        <f t="shared" si="690"/>
        <v>1.9695008503860747</v>
      </c>
      <c r="CN241" s="4">
        <f t="shared" si="691"/>
        <v>1.6206841797361613</v>
      </c>
      <c r="CO241" s="4">
        <f t="shared" si="692"/>
        <v>1.223615596955703</v>
      </c>
      <c r="CP241" s="4">
        <f t="shared" si="693"/>
        <v>2.4045559316413061</v>
      </c>
      <c r="CQ241" s="4">
        <f t="shared" si="694"/>
        <v>1.3582301682762954</v>
      </c>
      <c r="CR241" s="4">
        <f t="shared" si="695"/>
        <v>1.4530735737887628</v>
      </c>
      <c r="CS241" s="4">
        <f t="shared" si="696"/>
        <v>1.6860007669757939</v>
      </c>
      <c r="CU241" s="4">
        <f t="shared" si="658"/>
        <v>1.9695008503860747</v>
      </c>
      <c r="CV241" s="4">
        <f t="shared" si="658"/>
        <v>1.6206841797361613</v>
      </c>
      <c r="CW241" s="4">
        <f t="shared" si="659"/>
        <v>2.4045559316413061</v>
      </c>
      <c r="CX241" s="4">
        <f t="shared" si="706"/>
        <v>1.6860007669757939</v>
      </c>
      <c r="CY241" s="4">
        <f t="shared" si="661"/>
        <v>1.3582301682762954</v>
      </c>
      <c r="CZ241" s="4">
        <f t="shared" si="661"/>
        <v>1.4530735737887628</v>
      </c>
      <c r="DH241" s="4">
        <f t="shared" si="557"/>
        <v>0</v>
      </c>
      <c r="DI241" s="4">
        <f t="shared" si="629"/>
        <v>287</v>
      </c>
      <c r="DL241" s="4">
        <f t="shared" si="667"/>
        <v>1.9021932517031272E-5</v>
      </c>
      <c r="DM241" s="4">
        <f t="shared" si="558"/>
        <v>5.6171289413727514</v>
      </c>
      <c r="DN241" s="4">
        <f t="shared" si="668"/>
        <v>0.40216525231214639</v>
      </c>
      <c r="DO241" s="4">
        <f t="shared" si="669"/>
        <v>3.9019006831634799</v>
      </c>
      <c r="DP241" s="4">
        <f t="shared" si="670"/>
        <v>4.8364058609445459</v>
      </c>
      <c r="DQ241" s="4">
        <f t="shared" si="671"/>
        <v>5.3662694517765832</v>
      </c>
      <c r="DR241" s="38">
        <f t="shared" si="684"/>
        <v>405.39045237566711</v>
      </c>
      <c r="DS241" s="4">
        <f t="shared" si="609"/>
        <v>1.0001244351707343</v>
      </c>
      <c r="DT241" s="4">
        <f t="shared" si="672"/>
        <v>2.5130222387491825</v>
      </c>
      <c r="DU241" s="4">
        <f t="shared" si="618"/>
        <v>190.20682805032291</v>
      </c>
      <c r="DY241" s="4">
        <f t="shared" si="581"/>
        <v>0.85</v>
      </c>
      <c r="DZ241" s="4">
        <f t="shared" si="610"/>
        <v>0.89881889763779532</v>
      </c>
      <c r="EA241" s="4">
        <f t="shared" si="685"/>
        <v>1</v>
      </c>
      <c r="EB241" s="4">
        <f t="shared" si="611"/>
        <v>0.89881889763779532</v>
      </c>
      <c r="ED241" s="4">
        <f t="shared" si="686"/>
        <v>378.93025671929945</v>
      </c>
      <c r="EE241" s="25">
        <f t="shared" si="687"/>
        <v>188.52285441528608</v>
      </c>
      <c r="EG241" s="4">
        <f t="shared" si="619"/>
        <v>0.76399606299212597</v>
      </c>
      <c r="EH241" s="4">
        <f t="shared" si="688"/>
        <v>5.6171289413727514</v>
      </c>
      <c r="EK241" s="4">
        <f t="shared" si="673"/>
        <v>63.830764864229231</v>
      </c>
      <c r="EL241" s="4">
        <f t="shared" si="674"/>
        <v>2.5130222387491825</v>
      </c>
      <c r="EM241" s="4">
        <f t="shared" si="675"/>
        <v>0.10337986159960641</v>
      </c>
      <c r="EP241" s="4">
        <f t="shared" si="541"/>
        <v>0.10337986159960641</v>
      </c>
      <c r="EQ241" s="4">
        <f t="shared" si="542"/>
        <v>0.40149411345945146</v>
      </c>
      <c r="ER241" s="4">
        <f t="shared" si="559"/>
        <v>3.8992947600051124</v>
      </c>
      <c r="ES241" s="4">
        <f t="shared" si="582"/>
        <v>4.8353564860443772</v>
      </c>
      <c r="ET241" s="4">
        <f t="shared" si="560"/>
        <v>151.41923513577078</v>
      </c>
      <c r="EU241" s="4">
        <f t="shared" si="561"/>
        <v>71.75</v>
      </c>
      <c r="EV241" s="4">
        <f t="shared" si="612"/>
        <v>1.9021932517031272E-5</v>
      </c>
      <c r="EW241" s="4">
        <f t="shared" si="583"/>
        <v>5.3663384245478616</v>
      </c>
      <c r="EX241" s="4">
        <f t="shared" si="636"/>
        <v>405.34001382184169</v>
      </c>
      <c r="FG241" s="23">
        <f t="shared" si="698"/>
        <v>2</v>
      </c>
      <c r="FH241" s="23">
        <f t="shared" si="698"/>
        <v>1.8</v>
      </c>
      <c r="FI241" s="23">
        <f t="shared" si="699"/>
        <v>1.8</v>
      </c>
      <c r="FJ241" s="23">
        <f t="shared" si="700"/>
        <v>2.2000000000000002</v>
      </c>
      <c r="FK241" s="23">
        <f t="shared" si="700"/>
        <v>1.4</v>
      </c>
      <c r="FL241" s="23">
        <f t="shared" si="700"/>
        <v>1.6</v>
      </c>
      <c r="FM241" s="23">
        <f t="shared" si="701"/>
        <v>0</v>
      </c>
      <c r="FN241" s="23"/>
      <c r="FX241" s="4">
        <f t="shared" si="613"/>
        <v>1</v>
      </c>
      <c r="FY241" s="4">
        <f t="shared" si="652"/>
        <v>0.74803149606299213</v>
      </c>
      <c r="FZ241" s="4">
        <f t="shared" si="614"/>
        <v>0</v>
      </c>
      <c r="GA241" s="4">
        <f t="shared" si="615"/>
        <v>326.57965116792326</v>
      </c>
    </row>
    <row r="242" spans="1:183" ht="12" customHeight="1" x14ac:dyDescent="0.3">
      <c r="A242" s="25">
        <v>224</v>
      </c>
      <c r="B242" s="24" t="s">
        <v>182</v>
      </c>
      <c r="C242" s="4">
        <v>1996</v>
      </c>
      <c r="D242" s="24" t="s">
        <v>309</v>
      </c>
      <c r="E242" s="24"/>
      <c r="F242" s="4" t="s">
        <v>358</v>
      </c>
      <c r="G242" s="7">
        <v>556</v>
      </c>
      <c r="H242" s="7">
        <f>305-P242-20</f>
        <v>209</v>
      </c>
      <c r="I242" s="7">
        <f t="shared" si="630"/>
        <v>209</v>
      </c>
      <c r="J242" s="7">
        <v>33.299999999999997</v>
      </c>
      <c r="K242" s="7">
        <v>35.799999999999997</v>
      </c>
      <c r="L242" s="7">
        <f t="shared" si="676"/>
        <v>5.8379888268156428</v>
      </c>
      <c r="M242" s="7">
        <f t="shared" si="677"/>
        <v>5.8379888268156428</v>
      </c>
      <c r="N242" s="7">
        <v>305</v>
      </c>
      <c r="O242" s="7">
        <v>76</v>
      </c>
      <c r="P242" s="7">
        <v>76</v>
      </c>
      <c r="Q242" s="7">
        <f t="shared" si="623"/>
        <v>81.400000000000006</v>
      </c>
      <c r="R242" s="7">
        <v>2</v>
      </c>
      <c r="S242" s="7">
        <f t="shared" si="620"/>
        <v>280</v>
      </c>
      <c r="T242" s="7">
        <f t="shared" si="621"/>
        <v>1.6368715083798884</v>
      </c>
      <c r="U242" s="7">
        <f>O242/K242+0.5</f>
        <v>2.6229050279329611</v>
      </c>
      <c r="V242" s="7">
        <f>3844/(K242^2*PI()/4)-1</f>
        <v>2.8188046643066431</v>
      </c>
      <c r="W242" s="7">
        <f>3844/(K242^2*PI()/4)-1</f>
        <v>2.8188046643066431</v>
      </c>
      <c r="X242" s="7">
        <f t="shared" si="616"/>
        <v>3.8188046643066431</v>
      </c>
      <c r="Y242" s="7">
        <f t="shared" si="552"/>
        <v>69.95950835992177</v>
      </c>
      <c r="Z242" s="7">
        <f t="shared" si="632"/>
        <v>556</v>
      </c>
      <c r="AA242" s="7">
        <v>20</v>
      </c>
      <c r="AB242" s="7"/>
      <c r="AC242" s="32" t="s">
        <v>183</v>
      </c>
      <c r="AD242" s="4">
        <f t="shared" si="666"/>
        <v>0</v>
      </c>
      <c r="AE242" s="7"/>
      <c r="AF242" s="7"/>
      <c r="AG242" s="7">
        <v>1</v>
      </c>
      <c r="AH242" s="7"/>
      <c r="AI242" s="7"/>
      <c r="AJ242" s="7">
        <f t="shared" si="655"/>
        <v>5.3498293515358357</v>
      </c>
      <c r="AK242" s="4">
        <f t="shared" si="569"/>
        <v>209</v>
      </c>
      <c r="AL242" s="4">
        <f t="shared" si="678"/>
        <v>0.48644338118022329</v>
      </c>
      <c r="AM242" s="4">
        <f t="shared" si="679"/>
        <v>86.607522555408934</v>
      </c>
      <c r="AN242" s="4">
        <f t="shared" si="680"/>
        <v>0.78985645933014348</v>
      </c>
      <c r="AO242" s="4">
        <v>1.25</v>
      </c>
      <c r="AP242" s="4">
        <f t="shared" si="624"/>
        <v>2.5</v>
      </c>
      <c r="AQ242" s="38">
        <f t="shared" si="681"/>
        <v>103.98869064332192</v>
      </c>
      <c r="AR242" s="38">
        <f t="shared" si="682"/>
        <v>103.98869064332192</v>
      </c>
      <c r="AS242" s="38">
        <f t="shared" si="683"/>
        <v>3.1051606722149665</v>
      </c>
      <c r="AT242" s="38">
        <f t="shared" si="626"/>
        <v>103.98869064332189</v>
      </c>
      <c r="AU242" s="38">
        <f t="shared" si="601"/>
        <v>1.0000000000000002</v>
      </c>
      <c r="AV242" s="38">
        <f t="shared" si="537"/>
        <v>2.1841952262281148</v>
      </c>
      <c r="AW242" s="4">
        <f t="shared" si="707"/>
        <v>0</v>
      </c>
      <c r="AX242" s="4">
        <f t="shared" si="570"/>
        <v>177.30940615507106</v>
      </c>
      <c r="AY242" s="4">
        <f t="shared" si="571"/>
        <v>1.2409556313993173</v>
      </c>
      <c r="AZ242" s="38">
        <f t="shared" si="617"/>
        <v>227.13160168485589</v>
      </c>
      <c r="BA242" s="4">
        <f t="shared" si="572"/>
        <v>0.60536734699706995</v>
      </c>
      <c r="BB242" s="4">
        <f t="shared" si="602"/>
        <v>56.083752208899391</v>
      </c>
      <c r="BC242" s="4">
        <f t="shared" si="603"/>
        <v>283.21535389375526</v>
      </c>
      <c r="BE242" s="4">
        <f t="shared" si="627"/>
        <v>1.2807262569832403</v>
      </c>
      <c r="BF242" s="4">
        <f t="shared" si="628"/>
        <v>351.1556957600107</v>
      </c>
      <c r="BH242" s="4">
        <f t="shared" si="633"/>
        <v>217.84698240069329</v>
      </c>
      <c r="BI242" s="4">
        <f t="shared" si="634"/>
        <v>3168.2997281821408</v>
      </c>
      <c r="BJ242" s="4">
        <f t="shared" si="635"/>
        <v>14.543693436866526</v>
      </c>
      <c r="BR242" s="4">
        <f t="shared" si="539"/>
        <v>40.700000000000003</v>
      </c>
      <c r="BV242" s="9"/>
      <c r="BX242" s="9"/>
      <c r="BY242" s="9"/>
      <c r="BZ242" s="9">
        <f t="shared" si="577"/>
        <v>40.700000000000003</v>
      </c>
      <c r="CA242" s="9">
        <f t="shared" si="578"/>
        <v>76</v>
      </c>
      <c r="CB242" s="9">
        <f t="shared" si="604"/>
        <v>1.1709505872794554</v>
      </c>
      <c r="CC242" s="9">
        <v>0</v>
      </c>
      <c r="CD242" s="9">
        <f t="shared" si="689"/>
        <v>0</v>
      </c>
      <c r="CE242" s="9">
        <f t="shared" si="605"/>
        <v>0</v>
      </c>
      <c r="CF242" s="9">
        <f t="shared" si="579"/>
        <v>0.89787751228078194</v>
      </c>
      <c r="CG242" s="9">
        <f t="shared" si="580"/>
        <v>0.91600000000000004</v>
      </c>
      <c r="CH242" s="9">
        <f t="shared" si="606"/>
        <v>1.661126587131682</v>
      </c>
      <c r="CI242" s="9">
        <f t="shared" si="607"/>
        <v>1.9450971527473606</v>
      </c>
      <c r="CJ242" s="9">
        <v>1</v>
      </c>
      <c r="CK242" s="9">
        <f t="shared" si="608"/>
        <v>162.12765094408167</v>
      </c>
      <c r="DH242" s="4">
        <f t="shared" si="557"/>
        <v>0</v>
      </c>
      <c r="DI242" s="4">
        <f t="shared" si="629"/>
        <v>209</v>
      </c>
      <c r="DL242" s="4">
        <f t="shared" si="667"/>
        <v>1.0669925138298828E-5</v>
      </c>
      <c r="DM242" s="4">
        <f t="shared" si="558"/>
        <v>5.6551012697105509</v>
      </c>
      <c r="DN242" s="4">
        <f t="shared" si="668"/>
        <v>0.30157165572085265</v>
      </c>
      <c r="DO242" s="4">
        <f t="shared" si="669"/>
        <v>3.5010361467581061</v>
      </c>
      <c r="DP242" s="4">
        <f t="shared" si="670"/>
        <v>4.7037119022476839</v>
      </c>
      <c r="DQ242" s="4">
        <f t="shared" si="671"/>
        <v>5.5587522742613205</v>
      </c>
      <c r="DR242" s="38">
        <f t="shared" si="684"/>
        <v>209.42031549662136</v>
      </c>
      <c r="DS242" s="4">
        <f t="shared" si="609"/>
        <v>1.0001266283648229</v>
      </c>
      <c r="DT242" s="4">
        <f t="shared" si="672"/>
        <v>1.9541762111709993</v>
      </c>
      <c r="DU242" s="4">
        <f t="shared" si="618"/>
        <v>103.98869064332189</v>
      </c>
      <c r="DY242" s="4">
        <f t="shared" si="581"/>
        <v>0.85</v>
      </c>
      <c r="DZ242" s="4">
        <f t="shared" si="610"/>
        <v>0.98631284916201112</v>
      </c>
      <c r="EA242" s="4">
        <f t="shared" si="685"/>
        <v>1</v>
      </c>
      <c r="EB242" s="4">
        <f t="shared" si="611"/>
        <v>0.98631284916201112</v>
      </c>
      <c r="ED242" s="4">
        <f t="shared" si="686"/>
        <v>201.06128380235231</v>
      </c>
      <c r="EE242" s="25">
        <f t="shared" si="687"/>
        <v>102.01802972110887</v>
      </c>
      <c r="EG242" s="4">
        <f t="shared" si="619"/>
        <v>0.83836592178770941</v>
      </c>
      <c r="EH242" s="4">
        <f t="shared" si="688"/>
        <v>5.6551012697105509</v>
      </c>
      <c r="EK242" s="4">
        <f t="shared" si="673"/>
        <v>69.95950835992177</v>
      </c>
      <c r="EL242" s="4">
        <f t="shared" si="674"/>
        <v>1.9541762111709995</v>
      </c>
      <c r="EM242" s="4">
        <f t="shared" si="675"/>
        <v>9.5158569020139236E-2</v>
      </c>
      <c r="EP242" s="4">
        <f t="shared" si="541"/>
        <v>9.5158569020139236E-2</v>
      </c>
      <c r="EQ242" s="4">
        <f t="shared" si="542"/>
        <v>0.30106838883277071</v>
      </c>
      <c r="ER242" s="4">
        <f t="shared" si="559"/>
        <v>3.4986979449651985</v>
      </c>
      <c r="ES242" s="4">
        <f t="shared" si="582"/>
        <v>4.7028450718644867</v>
      </c>
      <c r="ET242" s="4">
        <f t="shared" si="560"/>
        <v>86.79049164007823</v>
      </c>
      <c r="EU242" s="4">
        <f t="shared" si="561"/>
        <v>52.250000000000014</v>
      </c>
      <c r="EV242" s="4">
        <f t="shared" si="612"/>
        <v>1.0669925138298833E-5</v>
      </c>
      <c r="EW242" s="4">
        <f t="shared" si="583"/>
        <v>5.5587810032929781</v>
      </c>
      <c r="EX242" s="4">
        <f t="shared" si="636"/>
        <v>209.39380030208503</v>
      </c>
      <c r="FG242" s="23"/>
      <c r="FH242" s="23"/>
      <c r="FI242" s="23"/>
      <c r="FJ242" s="23"/>
      <c r="FK242" s="23"/>
      <c r="FL242" s="23"/>
      <c r="FM242" s="23"/>
      <c r="FN242" s="23"/>
      <c r="FX242" s="4">
        <f t="shared" si="613"/>
        <v>1</v>
      </c>
      <c r="FY242" s="4">
        <f t="shared" si="652"/>
        <v>0.8938547486033519</v>
      </c>
      <c r="FZ242" s="4">
        <f t="shared" si="614"/>
        <v>0</v>
      </c>
      <c r="GA242" s="4">
        <f t="shared" si="615"/>
        <v>131.77877551221948</v>
      </c>
    </row>
    <row r="243" spans="1:183" ht="12" customHeight="1" x14ac:dyDescent="0.3">
      <c r="A243" s="25">
        <v>225</v>
      </c>
      <c r="B243" s="24" t="s">
        <v>182</v>
      </c>
      <c r="C243" s="4">
        <v>1996</v>
      </c>
      <c r="D243" s="24" t="s">
        <v>309</v>
      </c>
      <c r="E243" s="24"/>
      <c r="F243" s="4" t="s">
        <v>359</v>
      </c>
      <c r="G243" s="7">
        <v>578</v>
      </c>
      <c r="H243" s="7">
        <f>305-P243-25</f>
        <v>204</v>
      </c>
      <c r="I243" s="7">
        <f t="shared" si="630"/>
        <v>204</v>
      </c>
      <c r="J243" s="7">
        <v>33.299999999999997</v>
      </c>
      <c r="K243" s="7">
        <v>25.4</v>
      </c>
      <c r="L243" s="7">
        <f t="shared" si="676"/>
        <v>8.0314960629921259</v>
      </c>
      <c r="M243" s="7">
        <f t="shared" si="677"/>
        <v>8.0314960629921259</v>
      </c>
      <c r="N243" s="7">
        <v>305</v>
      </c>
      <c r="O243" s="7">
        <v>76</v>
      </c>
      <c r="P243" s="7">
        <v>76</v>
      </c>
      <c r="Q243" s="7">
        <f t="shared" si="623"/>
        <v>102.19999999999999</v>
      </c>
      <c r="R243" s="7">
        <v>2</v>
      </c>
      <c r="S243" s="7">
        <f t="shared" si="620"/>
        <v>280</v>
      </c>
      <c r="T243" s="7">
        <f t="shared" si="621"/>
        <v>2.5118110236220472</v>
      </c>
      <c r="U243" s="7">
        <f t="shared" si="631"/>
        <v>3.4921259842519685</v>
      </c>
      <c r="V243" s="7">
        <f>3800/(K243^2*PI()/4)-1</f>
        <v>6.4993959172819435</v>
      </c>
      <c r="W243" s="7">
        <f>3800/(K243^2*PI()/4)-1</f>
        <v>6.4993959172819435</v>
      </c>
      <c r="X243" s="7">
        <f t="shared" si="616"/>
        <v>7.4993959172819435</v>
      </c>
      <c r="Y243" s="7">
        <f t="shared" si="552"/>
        <v>69.557963383020478</v>
      </c>
      <c r="Z243" s="7">
        <f t="shared" si="632"/>
        <v>578</v>
      </c>
      <c r="AA243" s="7">
        <v>25</v>
      </c>
      <c r="AB243" s="7">
        <f>216*1000/(K243^2*PI()/4)</f>
        <v>426.28145214023681</v>
      </c>
      <c r="AC243" s="7"/>
      <c r="AD243" s="4">
        <f t="shared" si="666"/>
        <v>1.1369631936734077</v>
      </c>
      <c r="AE243" s="7"/>
      <c r="AF243" s="7"/>
      <c r="AG243" s="7">
        <v>1</v>
      </c>
      <c r="AH243" s="7"/>
      <c r="AI243" s="7"/>
      <c r="AJ243" s="7">
        <f t="shared" si="655"/>
        <v>4.7962382445141065</v>
      </c>
      <c r="AK243" s="4">
        <f t="shared" si="569"/>
        <v>204</v>
      </c>
      <c r="AL243" s="4">
        <f t="shared" si="678"/>
        <v>0.49836601307189543</v>
      </c>
      <c r="AM243" s="4">
        <f t="shared" si="679"/>
        <v>165.91286301077704</v>
      </c>
      <c r="AN243" s="4">
        <f t="shared" si="680"/>
        <v>0.7869607843137254</v>
      </c>
      <c r="AO243" s="4">
        <v>1.25</v>
      </c>
      <c r="AP243" s="4">
        <f t="shared" si="624"/>
        <v>2.5</v>
      </c>
      <c r="AQ243" s="38">
        <f t="shared" si="681"/>
        <v>203.34410551890588</v>
      </c>
      <c r="AR243" s="38">
        <f t="shared" si="682"/>
        <v>203.34410551890588</v>
      </c>
      <c r="AS243" s="38">
        <f t="shared" si="683"/>
        <v>3.1051606722149665</v>
      </c>
      <c r="AT243" s="38">
        <f t="shared" si="626"/>
        <v>203.34410551890599</v>
      </c>
      <c r="AU243" s="38">
        <f t="shared" si="601"/>
        <v>0.99999999999999944</v>
      </c>
      <c r="AV243" s="38">
        <f t="shared" si="537"/>
        <v>2.4247464351615653</v>
      </c>
      <c r="AW243" s="4">
        <f t="shared" si="707"/>
        <v>0</v>
      </c>
      <c r="AX243" s="4">
        <f t="shared" si="570"/>
        <v>243.92986004440246</v>
      </c>
      <c r="AY243" s="4">
        <f t="shared" si="571"/>
        <v>1.1561128526645768</v>
      </c>
      <c r="AZ243" s="38">
        <f t="shared" si="617"/>
        <v>493.05789496808444</v>
      </c>
      <c r="BA243" s="4">
        <f t="shared" si="572"/>
        <v>0.3</v>
      </c>
      <c r="BB243" s="4">
        <f t="shared" si="602"/>
        <v>38.236005561960084</v>
      </c>
      <c r="BC243" s="4">
        <f t="shared" si="603"/>
        <v>531.29390053004454</v>
      </c>
      <c r="BE243" s="4">
        <f t="shared" si="627"/>
        <v>1.4980314960629921</v>
      </c>
      <c r="BF243" s="4">
        <f t="shared" si="628"/>
        <v>467.62322998001468</v>
      </c>
      <c r="BH243" s="4">
        <f t="shared" si="633"/>
        <v>472.90281832586072</v>
      </c>
      <c r="BI243" s="4">
        <f t="shared" si="634"/>
        <v>2769.4518574340823</v>
      </c>
      <c r="BJ243" s="4">
        <f t="shared" si="635"/>
        <v>5.8562811430016692</v>
      </c>
      <c r="BR243" s="4">
        <f t="shared" si="539"/>
        <v>51.099999999999994</v>
      </c>
      <c r="BV243" s="9"/>
      <c r="BX243" s="9"/>
      <c r="BY243" s="9"/>
      <c r="BZ243" s="9">
        <f t="shared" si="577"/>
        <v>51.099999999999994</v>
      </c>
      <c r="CA243" s="9">
        <f t="shared" si="578"/>
        <v>76</v>
      </c>
      <c r="CB243" s="9">
        <f t="shared" si="604"/>
        <v>1.5054020239149992</v>
      </c>
      <c r="CC243" s="9">
        <v>0</v>
      </c>
      <c r="CD243" s="9">
        <f t="shared" si="689"/>
        <v>0</v>
      </c>
      <c r="CE243" s="9">
        <f t="shared" si="605"/>
        <v>0</v>
      </c>
      <c r="CF243" s="9">
        <f t="shared" si="579"/>
        <v>0.99524931562137331</v>
      </c>
      <c r="CG243" s="9">
        <f t="shared" si="580"/>
        <v>0.88300000000000001</v>
      </c>
      <c r="CH243" s="9">
        <f t="shared" si="606"/>
        <v>1.7749362217430373</v>
      </c>
      <c r="CI243" s="9">
        <f t="shared" si="607"/>
        <v>2.6719925805320104</v>
      </c>
      <c r="CJ243" s="9">
        <v>1</v>
      </c>
      <c r="CK243" s="9">
        <f t="shared" si="608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708">AB243/BF243</f>
        <v>0.91159169350602032</v>
      </c>
      <c r="CP243" s="4">
        <f>AB243/CK243</f>
        <v>1.7317254832977322</v>
      </c>
      <c r="CQ243" s="4">
        <f t="shared" si="694"/>
        <v>1.1369631936734077</v>
      </c>
      <c r="CR243" s="4">
        <f t="shared" si="695"/>
        <v>1.162098744070923</v>
      </c>
      <c r="CS243" s="4">
        <f t="shared" ref="CS243:CS306" si="709">AB243/GA243</f>
        <v>1.6574714449565529</v>
      </c>
      <c r="CU243" s="4">
        <f t="shared" si="658"/>
        <v>1.7475574825592937</v>
      </c>
      <c r="CV243" s="4">
        <f t="shared" si="658"/>
        <v>0.8023458423199622</v>
      </c>
      <c r="CW243" s="4">
        <f t="shared" si="659"/>
        <v>1.7317254832977322</v>
      </c>
      <c r="CX243" s="4">
        <f t="shared" ref="CX243" si="710">CS243</f>
        <v>1.6574714449565529</v>
      </c>
      <c r="CY243" s="4">
        <f t="shared" si="661"/>
        <v>1.1369631936734077</v>
      </c>
      <c r="CZ243" s="4">
        <f t="shared" si="661"/>
        <v>1.162098744070923</v>
      </c>
      <c r="DH243" s="4">
        <f t="shared" si="557"/>
        <v>0</v>
      </c>
      <c r="DI243" s="4">
        <f t="shared" si="629"/>
        <v>204</v>
      </c>
      <c r="DL243" s="4">
        <f t="shared" si="667"/>
        <v>1.4678935551750747E-5</v>
      </c>
      <c r="DM243" s="4">
        <f t="shared" si="558"/>
        <v>6.8950968880590437</v>
      </c>
      <c r="DN243" s="4">
        <f t="shared" si="668"/>
        <v>0.25428930524237559</v>
      </c>
      <c r="DO243" s="4">
        <f t="shared" si="669"/>
        <v>3.9872329649554095</v>
      </c>
      <c r="DP243" s="4">
        <f t="shared" si="670"/>
        <v>5.6333472301811316</v>
      </c>
      <c r="DQ243" s="4">
        <f t="shared" si="671"/>
        <v>6.7091720926999621</v>
      </c>
      <c r="DR243" s="38">
        <f t="shared" si="684"/>
        <v>374.92986097726396</v>
      </c>
      <c r="DS243" s="4">
        <f t="shared" si="609"/>
        <v>1.0001095148019092</v>
      </c>
      <c r="DT243" s="4">
        <f t="shared" si="672"/>
        <v>2.7385024953945072</v>
      </c>
      <c r="DU243" s="4">
        <f t="shared" si="618"/>
        <v>203.34410551890599</v>
      </c>
      <c r="DY243" s="4">
        <f t="shared" si="581"/>
        <v>0.85</v>
      </c>
      <c r="DZ243" s="4">
        <f t="shared" si="610"/>
        <v>0.89881889763779532</v>
      </c>
      <c r="EA243" s="4">
        <f t="shared" si="685"/>
        <v>1</v>
      </c>
      <c r="EB243" s="4">
        <f t="shared" si="611"/>
        <v>0.89881889763779532</v>
      </c>
      <c r="ED243" s="4">
        <f t="shared" si="686"/>
        <v>366.82033632266007</v>
      </c>
      <c r="EE243" s="25">
        <f t="shared" si="687"/>
        <v>200.68650579147365</v>
      </c>
      <c r="EG243" s="4">
        <f t="shared" si="619"/>
        <v>0.76399606299212597</v>
      </c>
      <c r="EH243" s="4">
        <f t="shared" si="688"/>
        <v>6.8950968880590437</v>
      </c>
      <c r="EK243" s="4">
        <f t="shared" si="673"/>
        <v>69.557963383020478</v>
      </c>
      <c r="EL243" s="4">
        <f t="shared" si="674"/>
        <v>2.7385024953945072</v>
      </c>
      <c r="EM243" s="4">
        <f t="shared" si="675"/>
        <v>8.0238994431188704E-2</v>
      </c>
      <c r="EP243" s="4">
        <f t="shared" si="541"/>
        <v>8.0238994431188704E-2</v>
      </c>
      <c r="EQ243" s="4">
        <f t="shared" si="542"/>
        <v>0.25386494378501001</v>
      </c>
      <c r="ER243" s="4">
        <f t="shared" si="559"/>
        <v>3.9845700517843952</v>
      </c>
      <c r="ES243" s="4">
        <f t="shared" si="582"/>
        <v>5.6324102518589836</v>
      </c>
      <c r="ET243" s="4">
        <f t="shared" si="560"/>
        <v>83.442036616979522</v>
      </c>
      <c r="EU243" s="4">
        <f t="shared" si="561"/>
        <v>51</v>
      </c>
      <c r="EV243" s="4">
        <f t="shared" si="612"/>
        <v>1.4678935551750747E-5</v>
      </c>
      <c r="EW243" s="4">
        <f t="shared" si="583"/>
        <v>6.7092251397843503</v>
      </c>
      <c r="EX243" s="4">
        <f t="shared" si="636"/>
        <v>374.88880510403499</v>
      </c>
      <c r="FG243" s="23">
        <f t="shared" ref="FG243:FH258" si="711">IF(CM243&lt;0.6,0.6,IF(CM243&lt;0.8,0.8,IF(CM243&lt;1,1,IF(CM243&lt;1.2,1.2,IF(CM243&lt;1.4,1.4,IF(CM243&lt;1.6,1.6,IF(CM243&lt;1.8,1.8,IF(CM243&lt;2,2,2.2))))))))</f>
        <v>1.8</v>
      </c>
      <c r="FH243" s="23">
        <f t="shared" si="711"/>
        <v>1</v>
      </c>
      <c r="FI243" s="23">
        <f t="shared" ref="FI243:FI306" si="712">IF(CS243&lt;0.6,0.6,IF(CS243&lt;0.8,0.8,IF(CS243&lt;1,1,IF(CS243&lt;1.2,1.2,IF(CS243&lt;1.4,1.4,IF(CS243&lt;1.6,1.6,IF(CS243&lt;1.8,1.8,IF(CS243&lt;2,2,2.2))))))))</f>
        <v>1.8</v>
      </c>
      <c r="FJ243" s="23">
        <f t="shared" ref="FJ243:FL258" si="713">IF(CP243&lt;0.6,0.6,IF(CP243&lt;0.8,0.8,IF(CP243&lt;1,1,IF(CP243&lt;1.2,1.2,IF(CP243&lt;1.4,1.4,IF(CP243&lt;1.6,1.6,IF(CP243&lt;1.8,1.8,IF(CP243&lt;2,2,2.2))))))))</f>
        <v>1.8</v>
      </c>
      <c r="FK243" s="23">
        <f t="shared" si="713"/>
        <v>1.2</v>
      </c>
      <c r="FL243" s="23">
        <f t="shared" si="713"/>
        <v>1.2</v>
      </c>
      <c r="FM243" s="23">
        <f t="shared" si="701"/>
        <v>0</v>
      </c>
      <c r="FN243" s="23"/>
      <c r="FX243" s="4">
        <f t="shared" si="613"/>
        <v>1</v>
      </c>
      <c r="FY243" s="4">
        <f t="shared" si="652"/>
        <v>0.74803149606299213</v>
      </c>
      <c r="FZ243" s="4">
        <f t="shared" si="614"/>
        <v>0</v>
      </c>
      <c r="GA243" s="4">
        <f t="shared" si="615"/>
        <v>257.18781064817131</v>
      </c>
    </row>
    <row r="244" spans="1:183" ht="12" customHeight="1" x14ac:dyDescent="0.3">
      <c r="A244" s="25">
        <v>226</v>
      </c>
      <c r="B244" s="24" t="s">
        <v>660</v>
      </c>
      <c r="C244" s="24">
        <v>2002</v>
      </c>
      <c r="D244" s="24" t="s">
        <v>309</v>
      </c>
      <c r="E244" s="24"/>
      <c r="F244" s="7" t="s">
        <v>361</v>
      </c>
      <c r="G244" s="7">
        <v>506</v>
      </c>
      <c r="H244" s="7">
        <v>190</v>
      </c>
      <c r="I244" s="7">
        <f>H244</f>
        <v>190</v>
      </c>
      <c r="J244" s="7">
        <v>27.1</v>
      </c>
      <c r="K244" s="7">
        <v>19.100000000000001</v>
      </c>
      <c r="L244" s="7">
        <f>H244/K244</f>
        <v>9.9476439790575917</v>
      </c>
      <c r="M244" s="7">
        <f>I244/K244</f>
        <v>9.9476439790575917</v>
      </c>
      <c r="N244" s="7">
        <v>240</v>
      </c>
      <c r="O244" s="7">
        <f>63-K244/2</f>
        <v>53.45</v>
      </c>
      <c r="P244" s="7">
        <f>400-K244-I244</f>
        <v>190.89999999999998</v>
      </c>
      <c r="Q244" s="7">
        <f>114-K244</f>
        <v>94.9</v>
      </c>
      <c r="R244" s="7">
        <v>2</v>
      </c>
      <c r="S244" s="7"/>
      <c r="T244" s="7">
        <f t="shared" si="621"/>
        <v>2.9842931937172774</v>
      </c>
      <c r="U244" s="7">
        <f t="shared" si="631"/>
        <v>3.2984293193717278</v>
      </c>
      <c r="V244" s="7">
        <f>32^2/(PI()/4*K244^2)-1</f>
        <v>2.5739077706444626</v>
      </c>
      <c r="W244" s="7">
        <f>32^2/(PI()/4*K244^2)-1</f>
        <v>2.5739077706444626</v>
      </c>
      <c r="X244" s="7">
        <f>W244+1</f>
        <v>3.5739077706444626</v>
      </c>
      <c r="Y244" s="7">
        <f>K244*X244^0.5</f>
        <v>36.108133347056402</v>
      </c>
      <c r="Z244" s="7"/>
      <c r="AA244" s="7"/>
      <c r="AB244" s="7">
        <f>290/(PI()/4*K244^2)*1000/R244</f>
        <v>506.0709245541475</v>
      </c>
      <c r="AC244" s="7"/>
      <c r="AD244" s="4">
        <f t="shared" si="666"/>
        <v>1</v>
      </c>
      <c r="AE244" s="7">
        <v>9.5</v>
      </c>
      <c r="AF244" s="10">
        <v>3</v>
      </c>
      <c r="AG244" s="7">
        <v>57</v>
      </c>
      <c r="AH244" s="7">
        <v>4</v>
      </c>
      <c r="AI244" s="7">
        <f t="shared" ref="AI244:AI247" si="714">AF244</f>
        <v>3</v>
      </c>
      <c r="AJ244" s="7"/>
      <c r="AK244" s="4">
        <f>H244</f>
        <v>190</v>
      </c>
      <c r="AL244" s="4">
        <f t="shared" si="678"/>
        <v>0.42105263157894735</v>
      </c>
      <c r="AM244" s="4">
        <f t="shared" si="679"/>
        <v>237.91862175035638</v>
      </c>
      <c r="AN244" s="4">
        <f t="shared" si="680"/>
        <v>0.76631578947368417</v>
      </c>
      <c r="AO244" s="4">
        <v>1.25</v>
      </c>
      <c r="AP244" s="4">
        <f t="shared" si="624"/>
        <v>2.5</v>
      </c>
      <c r="AQ244" s="38">
        <f>AL244*AN244*AO244*AP244*AM244</f>
        <v>239.89578481199368</v>
      </c>
      <c r="AR244" s="38">
        <f t="shared" si="682"/>
        <v>239.89578481199368</v>
      </c>
      <c r="AS244" s="38">
        <f t="shared" si="683"/>
        <v>2.7066625581997639</v>
      </c>
      <c r="AT244" s="38">
        <f t="shared" si="626"/>
        <v>239.89578481199356</v>
      </c>
      <c r="AU244" s="38">
        <f t="shared" si="601"/>
        <v>1.0000000000000004</v>
      </c>
      <c r="AV244" s="38">
        <f t="shared" ref="AV244:AV307" si="715">AZ244/AT244</f>
        <v>1.1272655573426391</v>
      </c>
      <c r="AW244" s="4">
        <f t="shared" si="707"/>
        <v>0</v>
      </c>
      <c r="AX244" s="4">
        <f>I244/K244*J244^0.5/0.19</f>
        <v>272.55319549362031</v>
      </c>
      <c r="AY244" s="4">
        <f>MIN(0.6+0.4*(U244/T244),2)</f>
        <v>1.0421052631578949</v>
      </c>
      <c r="AZ244" s="38">
        <f t="shared" si="617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27"/>
        <v>1.5</v>
      </c>
      <c r="BF244" s="4">
        <f t="shared" si="628"/>
        <v>467.29245367381208</v>
      </c>
      <c r="BH244" s="4">
        <f t="shared" si="633"/>
        <v>259.37185006794141</v>
      </c>
      <c r="BI244" s="4">
        <f t="shared" si="634"/>
        <v>0</v>
      </c>
      <c r="BJ244" s="4">
        <f t="shared" si="635"/>
        <v>0</v>
      </c>
      <c r="BR244" s="4">
        <f>IF(Q244=0,O244,MIN(Q244/2,O244))</f>
        <v>47.45</v>
      </c>
      <c r="BV244" s="9"/>
      <c r="BX244" s="9"/>
      <c r="BY244" s="9"/>
      <c r="BZ244" s="9">
        <f>IF(Q244=0,MIN(O244,P244),MIN(Q244/2,O244,P244))</f>
        <v>47.45</v>
      </c>
      <c r="CA244" s="9">
        <f>MAX(Q244/2,O244)</f>
        <v>53.45</v>
      </c>
      <c r="CB244" s="9">
        <f t="shared" si="604"/>
        <v>1.6045680808545388</v>
      </c>
      <c r="CC244" s="9">
        <v>20</v>
      </c>
      <c r="CD244" s="9">
        <f>MIN(PI()*AE244^2/4*AF244*2/R244/K244/MAX(0.01,AG244),0.05)</f>
        <v>0.05</v>
      </c>
      <c r="CE244" s="9">
        <f>MAX(0,CC244*(CD244-0.5/50))</f>
        <v>0.8</v>
      </c>
      <c r="CF244" s="9">
        <f>MIN(1,(25/K244)^0.3)</f>
        <v>1</v>
      </c>
      <c r="CG244" s="9">
        <f>IF(G244&gt;=800,0.68,IF(G244&gt;=700,0.75-(G244-700)*0.07/100,IF(G244&gt;=600,0.85-(G244-600)*0.1/100,IF(G244&gt;=500,1-(G244-500)*0.15/100,1.2-(G244-400)*0.2/100))))</f>
        <v>0.99099999999999999</v>
      </c>
      <c r="CH244" s="9">
        <f t="shared" si="606"/>
        <v>1.8056199488679785</v>
      </c>
      <c r="CI244" s="9">
        <f t="shared" si="607"/>
        <v>4.3417360952021458</v>
      </c>
      <c r="CJ244" s="9">
        <v>1</v>
      </c>
      <c r="CK244" s="9">
        <f t="shared" si="608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708"/>
        <v>1.0829854421475513</v>
      </c>
      <c r="CP244" s="4">
        <f>AB244/CK244</f>
        <v>1.1680419353862352</v>
      </c>
      <c r="CQ244" s="4">
        <f t="shared" si="694"/>
        <v>1</v>
      </c>
      <c r="CR244" s="4">
        <f t="shared" si="695"/>
        <v>1.0129564999845371</v>
      </c>
      <c r="CS244" s="4">
        <f t="shared" si="709"/>
        <v>1.2269966870795557</v>
      </c>
      <c r="DA244" s="4">
        <f t="shared" si="702"/>
        <v>1.856778540561977</v>
      </c>
      <c r="DB244" s="4">
        <f t="shared" si="702"/>
        <v>1.3998474838990453</v>
      </c>
      <c r="DC244" s="4">
        <f t="shared" si="703"/>
        <v>1.1680419353862352</v>
      </c>
      <c r="DD244" s="4">
        <f t="shared" ref="DD244:DD247" si="716">CS244</f>
        <v>1.2269966870795557</v>
      </c>
      <c r="DE244" s="4">
        <f t="shared" si="705"/>
        <v>1</v>
      </c>
      <c r="DF244" s="4">
        <f t="shared" si="705"/>
        <v>1.0129564999845371</v>
      </c>
      <c r="DH244" s="4">
        <f t="shared" si="557"/>
        <v>3</v>
      </c>
      <c r="DI244" s="4">
        <f>I244</f>
        <v>190</v>
      </c>
      <c r="DL244" s="4">
        <f t="shared" si="667"/>
        <v>1.7394186230005775E-5</v>
      </c>
      <c r="DM244" s="4">
        <f t="shared" si="558"/>
        <v>8.7855659228692318</v>
      </c>
      <c r="DN244" s="4">
        <f t="shared" si="668"/>
        <v>0.48320593455916955</v>
      </c>
      <c r="DO244" s="4">
        <f t="shared" si="669"/>
        <v>6.567841229558697</v>
      </c>
      <c r="DP244" s="4">
        <f t="shared" si="670"/>
        <v>7.7565381852510118</v>
      </c>
      <c r="DQ244" s="4">
        <f t="shared" si="671"/>
        <v>8.3998898005854343</v>
      </c>
      <c r="DR244" s="38">
        <f t="shared" si="684"/>
        <v>506.0709245541475</v>
      </c>
      <c r="DS244" s="4">
        <f t="shared" si="609"/>
        <v>1</v>
      </c>
      <c r="DT244" s="4">
        <f t="shared" si="672"/>
        <v>1.8904781857097592</v>
      </c>
      <c r="DU244" s="4">
        <f t="shared" si="618"/>
        <v>239.89578481199356</v>
      </c>
      <c r="DY244" s="4">
        <f t="shared" si="581"/>
        <v>0.85</v>
      </c>
      <c r="DZ244" s="4">
        <f t="shared" si="610"/>
        <v>0.85157068062827224</v>
      </c>
      <c r="EA244" s="4">
        <f t="shared" si="685"/>
        <v>0.7</v>
      </c>
      <c r="EB244" s="4">
        <f t="shared" si="611"/>
        <v>0.7</v>
      </c>
      <c r="ED244" s="4">
        <f t="shared" si="686"/>
        <v>499.59788457043589</v>
      </c>
      <c r="EE244" s="25">
        <f t="shared" si="687"/>
        <v>237.4108387047049</v>
      </c>
      <c r="EG244" s="4">
        <f t="shared" si="619"/>
        <v>0.59499999999999997</v>
      </c>
      <c r="EH244" s="4">
        <f t="shared" si="688"/>
        <v>8.7855659228692318</v>
      </c>
      <c r="EK244" s="4">
        <f t="shared" si="673"/>
        <v>36.108133347056402</v>
      </c>
      <c r="EL244" s="4">
        <f t="shared" si="674"/>
        <v>1.8904781857097592</v>
      </c>
      <c r="EM244" s="4">
        <f t="shared" si="675"/>
        <v>0.1375473318448516</v>
      </c>
      <c r="EP244" s="4">
        <f>EM244</f>
        <v>0.1375473318448516</v>
      </c>
      <c r="EQ244" s="4">
        <f t="shared" si="542"/>
        <v>0.48239955391173428</v>
      </c>
      <c r="ER244" s="4">
        <f t="shared" si="559"/>
        <v>6.5634548315054522</v>
      </c>
      <c r="ES244" s="4">
        <f>EH244/1.4*(1-EQ244^1.4)/(1-EQ244)</f>
        <v>7.7546828729423405</v>
      </c>
      <c r="ET244" s="4">
        <f t="shared" si="560"/>
        <v>106.39186665294361</v>
      </c>
      <c r="EU244" s="4">
        <f t="shared" si="561"/>
        <v>47.5</v>
      </c>
      <c r="EV244" s="4">
        <f t="shared" si="612"/>
        <v>1.7394186230005775E-5</v>
      </c>
      <c r="EW244" s="4">
        <f>MAX(0.5*EH244, (1-2*EV244*(EK244*ER244+ET244*ES244))/(1/EH244+EV244*EU244))</f>
        <v>8.3999977543842039</v>
      </c>
      <c r="EX244" s="4">
        <f t="shared" si="636"/>
        <v>506.0709245541475</v>
      </c>
      <c r="FG244" s="23">
        <f t="shared" si="711"/>
        <v>2</v>
      </c>
      <c r="FH244" s="23">
        <f t="shared" si="711"/>
        <v>1.4</v>
      </c>
      <c r="FI244" s="23">
        <f t="shared" si="712"/>
        <v>1.4</v>
      </c>
      <c r="FJ244" s="23">
        <f t="shared" si="713"/>
        <v>1.2</v>
      </c>
      <c r="FK244" s="23">
        <f t="shared" si="713"/>
        <v>1.2</v>
      </c>
      <c r="FL244" s="23">
        <f t="shared" si="713"/>
        <v>1.2</v>
      </c>
      <c r="FM244" s="23">
        <f t="shared" si="701"/>
        <v>0</v>
      </c>
      <c r="FN244" s="23"/>
      <c r="FX244" s="4">
        <f t="shared" si="613"/>
        <v>1.25</v>
      </c>
      <c r="FY244" s="4">
        <f t="shared" si="652"/>
        <v>0.50622953362009215</v>
      </c>
      <c r="FZ244" s="4">
        <f t="shared" si="614"/>
        <v>0.3</v>
      </c>
      <c r="GA244" s="4">
        <f t="shared" si="615"/>
        <v>412.44685489630422</v>
      </c>
    </row>
    <row r="245" spans="1:183" ht="12" customHeight="1" x14ac:dyDescent="0.3">
      <c r="A245" s="25">
        <v>227</v>
      </c>
      <c r="B245" s="24" t="s">
        <v>660</v>
      </c>
      <c r="C245" s="24">
        <v>2002</v>
      </c>
      <c r="D245" s="24" t="s">
        <v>309</v>
      </c>
      <c r="E245" s="24"/>
      <c r="F245" s="7" t="s">
        <v>362</v>
      </c>
      <c r="G245" s="7">
        <v>506</v>
      </c>
      <c r="H245" s="7">
        <v>190</v>
      </c>
      <c r="I245" s="7">
        <f>H245</f>
        <v>190</v>
      </c>
      <c r="J245" s="7">
        <v>27.1</v>
      </c>
      <c r="K245" s="7">
        <v>19.100000000000001</v>
      </c>
      <c r="L245" s="7">
        <f>H245/K245</f>
        <v>9.9476439790575917</v>
      </c>
      <c r="M245" s="7">
        <f>I245/K245</f>
        <v>9.9476439790575917</v>
      </c>
      <c r="N245" s="7">
        <v>240</v>
      </c>
      <c r="O245" s="7">
        <f t="shared" ref="O245:O247" si="717">63-K245/2</f>
        <v>53.45</v>
      </c>
      <c r="P245" s="7">
        <f>400-K245-I245</f>
        <v>190.89999999999998</v>
      </c>
      <c r="Q245" s="7">
        <f t="shared" ref="Q245:Q247" si="718">114-K245</f>
        <v>94.9</v>
      </c>
      <c r="R245" s="7">
        <v>2</v>
      </c>
      <c r="S245" s="7"/>
      <c r="T245" s="7">
        <f>MIN(O245/K245+0.5, Q245/2/K245+0.5)</f>
        <v>2.9842931937172774</v>
      </c>
      <c r="U245" s="7">
        <f t="shared" si="631"/>
        <v>3.2984293193717278</v>
      </c>
      <c r="V245" s="7">
        <f t="shared" ref="V245:V247" si="719">32^2/(PI()/4*K245^2)-1</f>
        <v>2.5739077706444626</v>
      </c>
      <c r="W245" s="7">
        <f t="shared" ref="W245:W247" si="720">32^2/(PI()/4*K245^2)-1</f>
        <v>2.5739077706444626</v>
      </c>
      <c r="X245" s="7">
        <f>W245+1</f>
        <v>3.5739077706444626</v>
      </c>
      <c r="Y245" s="7">
        <f>K245*X245^0.5</f>
        <v>36.108133347056402</v>
      </c>
      <c r="Z245" s="7"/>
      <c r="AA245" s="7"/>
      <c r="AB245" s="7">
        <f>302/(PI()/4*K245^2)*1000/R245</f>
        <v>527.0117903977673</v>
      </c>
      <c r="AC245" s="7"/>
      <c r="AD245" s="4">
        <f t="shared" si="666"/>
        <v>1</v>
      </c>
      <c r="AE245" s="7">
        <v>9.5</v>
      </c>
      <c r="AF245" s="10">
        <v>3</v>
      </c>
      <c r="AG245" s="7">
        <v>57</v>
      </c>
      <c r="AH245" s="7">
        <v>4</v>
      </c>
      <c r="AI245" s="7">
        <f t="shared" si="714"/>
        <v>3</v>
      </c>
      <c r="AJ245" s="7"/>
      <c r="AK245" s="4">
        <f>H245</f>
        <v>190</v>
      </c>
      <c r="AL245" s="4">
        <f t="shared" si="678"/>
        <v>0.42105263157894735</v>
      </c>
      <c r="AM245" s="4">
        <f t="shared" si="679"/>
        <v>237.91862175035638</v>
      </c>
      <c r="AN245" s="4">
        <f t="shared" si="680"/>
        <v>0.76631578947368417</v>
      </c>
      <c r="AO245" s="4">
        <v>1.25</v>
      </c>
      <c r="AP245" s="4">
        <f t="shared" si="624"/>
        <v>2.5</v>
      </c>
      <c r="AQ245" s="38">
        <f>AL245*AN245*AO245*AP245*AM245</f>
        <v>239.89578481199368</v>
      </c>
      <c r="AR245" s="38">
        <f t="shared" si="682"/>
        <v>239.89578481199368</v>
      </c>
      <c r="AS245" s="38">
        <f t="shared" si="683"/>
        <v>2.7066625581997639</v>
      </c>
      <c r="AT245" s="38">
        <f t="shared" si="626"/>
        <v>239.89578481199356</v>
      </c>
      <c r="AU245" s="38">
        <f t="shared" si="601"/>
        <v>1.0000000000000004</v>
      </c>
      <c r="AV245" s="38">
        <f t="shared" si="715"/>
        <v>1.1272655573426391</v>
      </c>
      <c r="AW245" s="4">
        <f t="shared" si="707"/>
        <v>0</v>
      </c>
      <c r="AX245" s="4">
        <f>I245/K245*J245^0.5/0.19</f>
        <v>272.55319549362031</v>
      </c>
      <c r="AY245" s="4">
        <f>MIN(0.6+0.4*(U245/T245),2)</f>
        <v>1.0421052631578949</v>
      </c>
      <c r="AZ245" s="38">
        <f t="shared" si="617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27"/>
        <v>1.5</v>
      </c>
      <c r="BF245" s="4">
        <f t="shared" si="628"/>
        <v>467.29245367381208</v>
      </c>
      <c r="BH245" s="4">
        <f t="shared" si="633"/>
        <v>259.37185006794141</v>
      </c>
      <c r="BI245" s="4">
        <f t="shared" si="634"/>
        <v>0</v>
      </c>
      <c r="BJ245" s="4">
        <f t="shared" si="635"/>
        <v>0</v>
      </c>
      <c r="BR245" s="4">
        <f>IF(Q245=0,O245,MIN(Q245/2,O245))</f>
        <v>47.45</v>
      </c>
      <c r="BV245" s="9"/>
      <c r="BX245" s="9"/>
      <c r="BY245" s="9"/>
      <c r="BZ245" s="9">
        <f>IF(Q245=0,MIN(O245,P245),MIN(Q245/2,O245,P245))</f>
        <v>47.45</v>
      </c>
      <c r="CA245" s="9">
        <f>MAX(Q245/2,O245)</f>
        <v>53.45</v>
      </c>
      <c r="CB245" s="9">
        <f t="shared" si="604"/>
        <v>1.6045680808545388</v>
      </c>
      <c r="CC245" s="9">
        <v>20</v>
      </c>
      <c r="CD245" s="9">
        <f>MIN(PI()*AE245^2/4*AF245*2/R245/K245/MAX(0.01,AG245),0.05)</f>
        <v>0.05</v>
      </c>
      <c r="CE245" s="9">
        <f>MAX(0,CC245*(CD245-0.5/50))</f>
        <v>0.8</v>
      </c>
      <c r="CF245" s="9">
        <f>MIN(1,(25/K245)^0.3)</f>
        <v>1</v>
      </c>
      <c r="CG245" s="9">
        <f>IF(G245&gt;=800,0.68,IF(G245&gt;=700,0.75-(G245-700)*0.07/100,IF(G245&gt;=600,0.85-(G245-600)*0.1/100,IF(G245&gt;=500,1-(G245-500)*0.15/100,1.2-(G245-400)*0.2/100))))</f>
        <v>0.99099999999999999</v>
      </c>
      <c r="CH245" s="9">
        <f t="shared" si="606"/>
        <v>1.8056199488679785</v>
      </c>
      <c r="CI245" s="9">
        <f t="shared" si="607"/>
        <v>4.3417360952021458</v>
      </c>
      <c r="CJ245" s="9">
        <v>1</v>
      </c>
      <c r="CK245" s="9">
        <f t="shared" si="608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708"/>
        <v>1.127798632857105</v>
      </c>
      <c r="CP245" s="4">
        <f>AB245/CK245</f>
        <v>1.2163747051263551</v>
      </c>
      <c r="CQ245" s="4">
        <f t="shared" si="694"/>
        <v>1</v>
      </c>
      <c r="CR245" s="4">
        <f t="shared" si="695"/>
        <v>1.0548719413632073</v>
      </c>
      <c r="CS245" s="4">
        <f t="shared" si="709"/>
        <v>1.2777689637862957</v>
      </c>
      <c r="DA245" s="4">
        <f t="shared" si="702"/>
        <v>1.9336107560335067</v>
      </c>
      <c r="DB245" s="4">
        <f t="shared" si="702"/>
        <v>1.4577722073707298</v>
      </c>
      <c r="DC245" s="4">
        <f t="shared" si="703"/>
        <v>1.2163747051263551</v>
      </c>
      <c r="DD245" s="4">
        <f t="shared" si="716"/>
        <v>1.2777689637862957</v>
      </c>
      <c r="DE245" s="4">
        <f t="shared" si="705"/>
        <v>1</v>
      </c>
      <c r="DF245" s="4">
        <f t="shared" si="705"/>
        <v>1.0548719413632073</v>
      </c>
      <c r="DH245" s="4">
        <f t="shared" si="557"/>
        <v>3</v>
      </c>
      <c r="DI245" s="4">
        <f>I245</f>
        <v>190</v>
      </c>
      <c r="DL245" s="4">
        <f t="shared" si="667"/>
        <v>1.7394186230005775E-5</v>
      </c>
      <c r="DM245" s="4">
        <f t="shared" si="558"/>
        <v>8.7855659228692318</v>
      </c>
      <c r="DN245" s="4">
        <f t="shared" si="668"/>
        <v>0.48320593455916955</v>
      </c>
      <c r="DO245" s="4">
        <f t="shared" si="669"/>
        <v>6.567841229558697</v>
      </c>
      <c r="DP245" s="4">
        <f t="shared" si="670"/>
        <v>7.7565381852510118</v>
      </c>
      <c r="DQ245" s="4">
        <f t="shared" si="671"/>
        <v>8.3998898005854343</v>
      </c>
      <c r="DR245" s="38">
        <f t="shared" si="684"/>
        <v>527.0117903977673</v>
      </c>
      <c r="DS245" s="4">
        <f t="shared" si="609"/>
        <v>1</v>
      </c>
      <c r="DT245" s="4">
        <f t="shared" si="672"/>
        <v>1.8904781857097592</v>
      </c>
      <c r="DU245" s="4">
        <f t="shared" si="618"/>
        <v>239.89578481199356</v>
      </c>
      <c r="DY245" s="4">
        <f t="shared" si="581"/>
        <v>0.85</v>
      </c>
      <c r="DZ245" s="4">
        <f t="shared" si="610"/>
        <v>0.85157068062827224</v>
      </c>
      <c r="EA245" s="4">
        <f t="shared" si="685"/>
        <v>0.7</v>
      </c>
      <c r="EB245" s="4">
        <f t="shared" si="611"/>
        <v>0.7</v>
      </c>
      <c r="ED245" s="4">
        <f t="shared" si="686"/>
        <v>499.59788457043589</v>
      </c>
      <c r="EE245" s="25">
        <f t="shared" si="687"/>
        <v>237.4108387047049</v>
      </c>
      <c r="EG245" s="4">
        <f t="shared" si="619"/>
        <v>0.59499999999999997</v>
      </c>
      <c r="EH245" s="4">
        <f t="shared" si="688"/>
        <v>8.7855659228692318</v>
      </c>
      <c r="EK245" s="4">
        <f t="shared" si="673"/>
        <v>36.108133347056402</v>
      </c>
      <c r="EL245" s="4">
        <f t="shared" si="674"/>
        <v>1.8904781857097592</v>
      </c>
      <c r="EM245" s="4">
        <f t="shared" si="675"/>
        <v>0.1375473318448516</v>
      </c>
      <c r="EP245" s="4">
        <f>EM245</f>
        <v>0.1375473318448516</v>
      </c>
      <c r="EQ245" s="4">
        <f t="shared" ref="EQ245:EQ308" si="721">MIN(0.999, EP245/(0.3*(J245/30)^0.5))</f>
        <v>0.48239955391173428</v>
      </c>
      <c r="ER245" s="4">
        <f t="shared" si="559"/>
        <v>6.5634548315054522</v>
      </c>
      <c r="ES245" s="4">
        <f>EH245/1.4*(1-EQ245^1.4)/(1-EQ245)</f>
        <v>7.7546828729423405</v>
      </c>
      <c r="ET245" s="4">
        <f t="shared" si="560"/>
        <v>106.39186665294361</v>
      </c>
      <c r="EU245" s="4">
        <f t="shared" si="561"/>
        <v>47.5</v>
      </c>
      <c r="EV245" s="4">
        <f t="shared" si="612"/>
        <v>1.7394186230005775E-5</v>
      </c>
      <c r="EW245" s="4">
        <f>MAX(0.5*EH245, (1-2*EV245*(EK245*ER245+ET245*ES245))/(1/EH245+EV245*EU245))</f>
        <v>8.3999977543842039</v>
      </c>
      <c r="EX245" s="4">
        <f t="shared" si="636"/>
        <v>527.0117903977673</v>
      </c>
      <c r="FG245" s="23">
        <f t="shared" si="711"/>
        <v>2</v>
      </c>
      <c r="FH245" s="23">
        <f t="shared" si="711"/>
        <v>1.6</v>
      </c>
      <c r="FI245" s="23">
        <f t="shared" si="712"/>
        <v>1.4</v>
      </c>
      <c r="FJ245" s="23">
        <f t="shared" si="713"/>
        <v>1.4</v>
      </c>
      <c r="FK245" s="23">
        <f t="shared" si="713"/>
        <v>1.2</v>
      </c>
      <c r="FL245" s="23">
        <f t="shared" si="713"/>
        <v>1.2</v>
      </c>
      <c r="FM245" s="23">
        <f t="shared" si="701"/>
        <v>0</v>
      </c>
      <c r="FN245" s="23"/>
      <c r="FX245" s="4">
        <f t="shared" si="613"/>
        <v>1.25</v>
      </c>
      <c r="FY245" s="4">
        <f t="shared" si="652"/>
        <v>0.50622953362009215</v>
      </c>
      <c r="FZ245" s="4">
        <f t="shared" si="614"/>
        <v>0.3</v>
      </c>
      <c r="GA245" s="4">
        <f t="shared" si="615"/>
        <v>412.44685489630422</v>
      </c>
    </row>
    <row r="246" spans="1:183" ht="12" customHeight="1" x14ac:dyDescent="0.3">
      <c r="A246" s="25">
        <v>228</v>
      </c>
      <c r="B246" s="24" t="s">
        <v>660</v>
      </c>
      <c r="C246" s="24">
        <v>2002</v>
      </c>
      <c r="D246" s="24" t="s">
        <v>309</v>
      </c>
      <c r="E246" s="24"/>
      <c r="F246" s="7" t="s">
        <v>127</v>
      </c>
      <c r="G246" s="7">
        <v>506</v>
      </c>
      <c r="H246" s="7">
        <v>190</v>
      </c>
      <c r="I246" s="7">
        <f>H246</f>
        <v>190</v>
      </c>
      <c r="J246" s="7">
        <v>27.1</v>
      </c>
      <c r="K246" s="7">
        <v>19.100000000000001</v>
      </c>
      <c r="L246" s="7">
        <f>H246/K246</f>
        <v>9.9476439790575917</v>
      </c>
      <c r="M246" s="7">
        <f>I246/K246</f>
        <v>9.9476439790575917</v>
      </c>
      <c r="N246" s="7">
        <v>240</v>
      </c>
      <c r="O246" s="7">
        <f t="shared" si="717"/>
        <v>53.45</v>
      </c>
      <c r="P246" s="7">
        <f>400-K246-I246</f>
        <v>190.89999999999998</v>
      </c>
      <c r="Q246" s="7">
        <f t="shared" si="718"/>
        <v>94.9</v>
      </c>
      <c r="R246" s="7">
        <v>2</v>
      </c>
      <c r="S246" s="7"/>
      <c r="T246" s="7">
        <f t="shared" si="621"/>
        <v>2.9842931937172774</v>
      </c>
      <c r="U246" s="7">
        <f t="shared" si="631"/>
        <v>3.2984293193717278</v>
      </c>
      <c r="V246" s="7">
        <f t="shared" si="719"/>
        <v>2.5739077706444626</v>
      </c>
      <c r="W246" s="7">
        <f t="shared" si="720"/>
        <v>2.5739077706444626</v>
      </c>
      <c r="X246" s="7">
        <f>W246+1</f>
        <v>3.5739077706444626</v>
      </c>
      <c r="Y246" s="7">
        <f>K246*X246^0.5</f>
        <v>36.108133347056402</v>
      </c>
      <c r="Z246" s="7"/>
      <c r="AA246" s="7"/>
      <c r="AB246" s="7">
        <f>284/(PI()/4*K246^2)*1000/R246</f>
        <v>495.60049163233754</v>
      </c>
      <c r="AC246" s="7"/>
      <c r="AD246" s="4">
        <f t="shared" si="666"/>
        <v>0.97944761192161567</v>
      </c>
      <c r="AE246" s="7">
        <v>9.5</v>
      </c>
      <c r="AF246" s="10">
        <v>2</v>
      </c>
      <c r="AG246" s="7">
        <v>114</v>
      </c>
      <c r="AH246" s="7">
        <v>2</v>
      </c>
      <c r="AI246" s="7">
        <f t="shared" si="714"/>
        <v>2</v>
      </c>
      <c r="AJ246" s="7"/>
      <c r="AK246" s="4">
        <f>H246</f>
        <v>190</v>
      </c>
      <c r="AL246" s="4">
        <f t="shared" si="678"/>
        <v>0.42105263157894735</v>
      </c>
      <c r="AM246" s="4">
        <f t="shared" si="679"/>
        <v>237.91862175035638</v>
      </c>
      <c r="AN246" s="4">
        <f t="shared" si="680"/>
        <v>0.76631578947368417</v>
      </c>
      <c r="AO246" s="4">
        <v>1.25</v>
      </c>
      <c r="AP246" s="4">
        <f t="shared" si="624"/>
        <v>2.5</v>
      </c>
      <c r="AQ246" s="38">
        <f>AL246*AN246*AO246*AP246*AM246</f>
        <v>239.89578481199368</v>
      </c>
      <c r="AR246" s="38">
        <f t="shared" si="682"/>
        <v>239.89578481199368</v>
      </c>
      <c r="AS246" s="38">
        <f t="shared" si="683"/>
        <v>2.7066625581997639</v>
      </c>
      <c r="AT246" s="38">
        <f t="shared" si="626"/>
        <v>239.89578481199356</v>
      </c>
      <c r="AU246" s="38">
        <f t="shared" si="601"/>
        <v>1.0000000000000004</v>
      </c>
      <c r="AV246" s="38">
        <f t="shared" si="715"/>
        <v>1.1272655573426391</v>
      </c>
      <c r="AW246" s="4">
        <f t="shared" si="707"/>
        <v>0</v>
      </c>
      <c r="AX246" s="4">
        <f>I246/K246*J246^0.5/0.19</f>
        <v>272.55319549362031</v>
      </c>
      <c r="AY246" s="4">
        <f>MIN(0.6+0.4*(U246/T246),2)</f>
        <v>1.0421052631578949</v>
      </c>
      <c r="AZ246" s="38">
        <f t="shared" si="617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27"/>
        <v>1.5</v>
      </c>
      <c r="BF246" s="4">
        <f t="shared" si="628"/>
        <v>467.29245367381208</v>
      </c>
      <c r="BH246" s="4">
        <f t="shared" si="633"/>
        <v>259.37185006794141</v>
      </c>
      <c r="BI246" s="4">
        <f t="shared" si="634"/>
        <v>0</v>
      </c>
      <c r="BJ246" s="4">
        <f t="shared" si="635"/>
        <v>0</v>
      </c>
      <c r="BR246" s="4">
        <f>IF(Q246=0,O246,MIN(Q246/2,O246))</f>
        <v>47.45</v>
      </c>
      <c r="BV246" s="9"/>
      <c r="BX246" s="9"/>
      <c r="BY246" s="9"/>
      <c r="BZ246" s="9">
        <f>IF(Q246=0,MIN(O246,P246),MIN(Q246/2,O246,P246))</f>
        <v>47.45</v>
      </c>
      <c r="CA246" s="9">
        <f>MAX(Q246/2,O246)</f>
        <v>53.45</v>
      </c>
      <c r="CB246" s="9">
        <f t="shared" si="604"/>
        <v>1.6045680808545388</v>
      </c>
      <c r="CC246" s="9">
        <v>20</v>
      </c>
      <c r="CD246" s="9">
        <f>MIN(PI()*AE246^2/4*AF246*2/R246/K246/MAX(0.01,AG246),0.05)</f>
        <v>0.05</v>
      </c>
      <c r="CE246" s="9">
        <f>MAX(0,CC246*(CD246-0.5/50))</f>
        <v>0.8</v>
      </c>
      <c r="CF246" s="9">
        <f>MIN(1,(25/K246)^0.3)</f>
        <v>1</v>
      </c>
      <c r="CG246" s="9">
        <f>IF(G246&gt;=800,0.68,IF(G246&gt;=700,0.75-(G246-700)*0.07/100,IF(G246&gt;=600,0.85-(G246-600)*0.1/100,IF(G246&gt;=500,1-(G246-500)*0.15/100,1.2-(G246-400)*0.2/100))))</f>
        <v>0.99099999999999999</v>
      </c>
      <c r="CH246" s="9">
        <f t="shared" si="606"/>
        <v>1.8056199488679785</v>
      </c>
      <c r="CI246" s="9">
        <f t="shared" si="607"/>
        <v>4.3417360952021458</v>
      </c>
      <c r="CJ246" s="9">
        <v>1</v>
      </c>
      <c r="CK246" s="9">
        <f t="shared" si="608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708"/>
        <v>1.0605788467927744</v>
      </c>
      <c r="CP246" s="4">
        <f>AB246/CK246</f>
        <v>1.1438755505161751</v>
      </c>
      <c r="CQ246" s="4">
        <f t="shared" si="694"/>
        <v>0.97944761192161567</v>
      </c>
      <c r="CR246" s="4">
        <f t="shared" si="695"/>
        <v>0.99199877929520175</v>
      </c>
      <c r="CS246" s="4">
        <f t="shared" si="709"/>
        <v>1.2016105487261854</v>
      </c>
      <c r="DA246" s="4">
        <f t="shared" si="702"/>
        <v>1.8183624328262118</v>
      </c>
      <c r="DB246" s="4">
        <f t="shared" si="702"/>
        <v>1.370885122163203</v>
      </c>
      <c r="DC246" s="4">
        <f t="shared" si="703"/>
        <v>1.1438755505161751</v>
      </c>
      <c r="DD246" s="4">
        <f t="shared" si="716"/>
        <v>1.2016105487261854</v>
      </c>
      <c r="DE246" s="4">
        <f t="shared" si="705"/>
        <v>0.97944761192161567</v>
      </c>
      <c r="DF246" s="4">
        <f t="shared" si="705"/>
        <v>0.99199877929520175</v>
      </c>
      <c r="DH246" s="4">
        <f t="shared" si="557"/>
        <v>2</v>
      </c>
      <c r="DI246" s="4">
        <f>I246</f>
        <v>190</v>
      </c>
      <c r="DL246" s="4">
        <f t="shared" si="667"/>
        <v>1.7394186230005775E-5</v>
      </c>
      <c r="DM246" s="4">
        <f t="shared" si="558"/>
        <v>8.7855659228692318</v>
      </c>
      <c r="DN246" s="4">
        <f t="shared" si="668"/>
        <v>0.48320593455916955</v>
      </c>
      <c r="DO246" s="4">
        <f t="shared" si="669"/>
        <v>6.567841229558697</v>
      </c>
      <c r="DP246" s="4">
        <f t="shared" si="670"/>
        <v>7.7565381852510118</v>
      </c>
      <c r="DQ246" s="4">
        <f t="shared" si="671"/>
        <v>8.3998898005854343</v>
      </c>
      <c r="DR246" s="38">
        <f t="shared" si="684"/>
        <v>506</v>
      </c>
      <c r="DS246" s="4">
        <f t="shared" si="609"/>
        <v>1</v>
      </c>
      <c r="DT246" s="4">
        <f t="shared" si="672"/>
        <v>1.8904781857097592</v>
      </c>
      <c r="DU246" s="4">
        <f t="shared" si="618"/>
        <v>239.89578481199356</v>
      </c>
      <c r="DY246" s="4">
        <f t="shared" si="581"/>
        <v>0.85</v>
      </c>
      <c r="DZ246" s="4">
        <f t="shared" si="610"/>
        <v>0.85157068062827224</v>
      </c>
      <c r="EA246" s="4">
        <f t="shared" si="685"/>
        <v>0.77813313779775783</v>
      </c>
      <c r="EB246" s="4">
        <f t="shared" si="611"/>
        <v>0.7</v>
      </c>
      <c r="ED246" s="4">
        <f t="shared" si="686"/>
        <v>499.59788457043589</v>
      </c>
      <c r="EE246" s="25">
        <f t="shared" si="687"/>
        <v>237.4108387047049</v>
      </c>
      <c r="EG246" s="4">
        <f t="shared" si="619"/>
        <v>0.59499999999999997</v>
      </c>
      <c r="EH246" s="4">
        <f t="shared" si="688"/>
        <v>8.7855659228692318</v>
      </c>
      <c r="EK246" s="4">
        <f t="shared" si="673"/>
        <v>36.108133347056402</v>
      </c>
      <c r="EL246" s="4">
        <f t="shared" si="674"/>
        <v>1.8904781857097592</v>
      </c>
      <c r="EM246" s="4">
        <f t="shared" si="675"/>
        <v>0.1375473318448516</v>
      </c>
      <c r="EP246" s="4">
        <f>EM246</f>
        <v>0.1375473318448516</v>
      </c>
      <c r="EQ246" s="4">
        <f t="shared" si="721"/>
        <v>0.48239955391173428</v>
      </c>
      <c r="ER246" s="4">
        <f t="shared" si="559"/>
        <v>6.5634548315054522</v>
      </c>
      <c r="ES246" s="4">
        <f>EH246/1.4*(1-EQ246^1.4)/(1-EQ246)</f>
        <v>7.7546828729423405</v>
      </c>
      <c r="ET246" s="4">
        <f t="shared" si="560"/>
        <v>106.39186665294361</v>
      </c>
      <c r="EU246" s="4">
        <f t="shared" si="561"/>
        <v>47.5</v>
      </c>
      <c r="EV246" s="4">
        <f t="shared" si="612"/>
        <v>1.7394186230005775E-5</v>
      </c>
      <c r="EW246" s="4">
        <f>MAX(0.5*EH246, (1-2*EV246*(EK246*ER246+ET246*ES246))/(1/EH246+EV246*EU246))</f>
        <v>8.3999977543842039</v>
      </c>
      <c r="EX246" s="4">
        <f t="shared" si="636"/>
        <v>506</v>
      </c>
      <c r="FG246" s="23">
        <f t="shared" si="711"/>
        <v>2</v>
      </c>
      <c r="FH246" s="23">
        <f t="shared" si="711"/>
        <v>1.4</v>
      </c>
      <c r="FI246" s="23">
        <f t="shared" si="712"/>
        <v>1.4</v>
      </c>
      <c r="FJ246" s="23">
        <f t="shared" si="713"/>
        <v>1.2</v>
      </c>
      <c r="FK246" s="23">
        <f t="shared" si="713"/>
        <v>1</v>
      </c>
      <c r="FL246" s="23">
        <f t="shared" si="713"/>
        <v>1</v>
      </c>
      <c r="FM246" s="23">
        <f t="shared" si="701"/>
        <v>0</v>
      </c>
      <c r="FN246" s="23"/>
      <c r="FX246" s="4">
        <f t="shared" si="613"/>
        <v>1.25</v>
      </c>
      <c r="FY246" s="4">
        <f t="shared" si="652"/>
        <v>0.50622953362009215</v>
      </c>
      <c r="FZ246" s="4">
        <f t="shared" si="614"/>
        <v>0.3</v>
      </c>
      <c r="GA246" s="4">
        <f t="shared" si="615"/>
        <v>412.44685489630422</v>
      </c>
    </row>
    <row r="247" spans="1:183" ht="12" customHeight="1" x14ac:dyDescent="0.3">
      <c r="A247" s="25">
        <v>229</v>
      </c>
      <c r="B247" s="24" t="s">
        <v>660</v>
      </c>
      <c r="C247" s="24">
        <v>2002</v>
      </c>
      <c r="D247" s="24" t="s">
        <v>309</v>
      </c>
      <c r="E247" s="24"/>
      <c r="F247" s="7" t="s">
        <v>364</v>
      </c>
      <c r="G247" s="7">
        <v>506</v>
      </c>
      <c r="H247" s="7">
        <v>190</v>
      </c>
      <c r="I247" s="7">
        <f>H247</f>
        <v>190</v>
      </c>
      <c r="J247" s="7">
        <v>27.1</v>
      </c>
      <c r="K247" s="7">
        <v>19.100000000000001</v>
      </c>
      <c r="L247" s="7">
        <f>H247/K247</f>
        <v>9.9476439790575917</v>
      </c>
      <c r="M247" s="7">
        <f>I247/K247</f>
        <v>9.9476439790575917</v>
      </c>
      <c r="N247" s="7">
        <v>240</v>
      </c>
      <c r="O247" s="7">
        <f t="shared" si="717"/>
        <v>53.45</v>
      </c>
      <c r="P247" s="7">
        <f>400-K247-I247</f>
        <v>190.89999999999998</v>
      </c>
      <c r="Q247" s="7">
        <f t="shared" si="718"/>
        <v>94.9</v>
      </c>
      <c r="R247" s="7">
        <v>2</v>
      </c>
      <c r="S247" s="7"/>
      <c r="T247" s="7">
        <f t="shared" si="621"/>
        <v>2.9842931937172774</v>
      </c>
      <c r="U247" s="7">
        <f t="shared" si="631"/>
        <v>3.2984293193717278</v>
      </c>
      <c r="V247" s="7">
        <f t="shared" si="719"/>
        <v>2.5739077706444626</v>
      </c>
      <c r="W247" s="7">
        <f t="shared" si="720"/>
        <v>2.5739077706444626</v>
      </c>
      <c r="X247" s="7">
        <f>W247+1</f>
        <v>3.5739077706444626</v>
      </c>
      <c r="Y247" s="7">
        <f>K247*X247^0.5</f>
        <v>36.108133347056402</v>
      </c>
      <c r="Z247" s="7"/>
      <c r="AA247" s="7"/>
      <c r="AB247" s="7">
        <f>287/(PI()/4*K247^2)*1000/R247</f>
        <v>500.83570809324249</v>
      </c>
      <c r="AC247" s="7"/>
      <c r="AD247" s="4">
        <f t="shared" si="666"/>
        <v>0.98979388951233693</v>
      </c>
      <c r="AE247" s="7">
        <v>9.5</v>
      </c>
      <c r="AF247" s="10">
        <v>2</v>
      </c>
      <c r="AG247" s="7">
        <v>114</v>
      </c>
      <c r="AH247" s="7">
        <v>2</v>
      </c>
      <c r="AI247" s="7">
        <f t="shared" si="714"/>
        <v>2</v>
      </c>
      <c r="AJ247" s="7"/>
      <c r="AK247" s="4">
        <f>H247</f>
        <v>190</v>
      </c>
      <c r="AL247" s="4">
        <f t="shared" si="678"/>
        <v>0.42105263157894735</v>
      </c>
      <c r="AM247" s="4">
        <f t="shared" si="679"/>
        <v>237.91862175035638</v>
      </c>
      <c r="AN247" s="4">
        <f t="shared" si="680"/>
        <v>0.76631578947368417</v>
      </c>
      <c r="AO247" s="4">
        <v>1.25</v>
      </c>
      <c r="AP247" s="4">
        <f t="shared" si="624"/>
        <v>2.5</v>
      </c>
      <c r="AQ247" s="38">
        <f>AL247*AN247*AO247*AP247*AM247</f>
        <v>239.89578481199368</v>
      </c>
      <c r="AR247" s="38">
        <f t="shared" si="682"/>
        <v>239.89578481199368</v>
      </c>
      <c r="AS247" s="38">
        <f t="shared" si="683"/>
        <v>2.7066625581997639</v>
      </c>
      <c r="AT247" s="38">
        <f t="shared" si="626"/>
        <v>239.89578481199356</v>
      </c>
      <c r="AU247" s="38">
        <f t="shared" si="601"/>
        <v>1.0000000000000004</v>
      </c>
      <c r="AV247" s="38">
        <f t="shared" si="715"/>
        <v>1.1272655573426391</v>
      </c>
      <c r="AW247" s="4">
        <f t="shared" si="707"/>
        <v>0</v>
      </c>
      <c r="AX247" s="4">
        <f>I247/K247*J247^0.5/0.19</f>
        <v>272.55319549362031</v>
      </c>
      <c r="AY247" s="4">
        <f>MIN(0.6+0.4*(U247/T247),2)</f>
        <v>1.0421052631578949</v>
      </c>
      <c r="AZ247" s="38">
        <f t="shared" si="617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27"/>
        <v>1.5</v>
      </c>
      <c r="BF247" s="4">
        <f t="shared" si="628"/>
        <v>467.29245367381208</v>
      </c>
      <c r="BH247" s="4">
        <f t="shared" si="633"/>
        <v>259.37185006794141</v>
      </c>
      <c r="BI247" s="4">
        <f t="shared" si="634"/>
        <v>0</v>
      </c>
      <c r="BJ247" s="4">
        <f t="shared" si="635"/>
        <v>0</v>
      </c>
      <c r="BR247" s="4">
        <f>IF(Q247=0,O247,MIN(Q247/2,O247))</f>
        <v>47.45</v>
      </c>
      <c r="BV247" s="9"/>
      <c r="BX247" s="9"/>
      <c r="BY247" s="9"/>
      <c r="BZ247" s="9">
        <f>IF(Q247=0,MIN(O247,P247),MIN(Q247/2,O247,P247))</f>
        <v>47.45</v>
      </c>
      <c r="CA247" s="9">
        <f>MAX(Q247/2,O247)</f>
        <v>53.45</v>
      </c>
      <c r="CB247" s="9">
        <f t="shared" si="604"/>
        <v>1.6045680808545388</v>
      </c>
      <c r="CC247" s="9">
        <v>20</v>
      </c>
      <c r="CD247" s="9">
        <f>MIN(PI()*AE247^2/4*AF247*2/R247/K247/MAX(0.01,AG247),0.05)</f>
        <v>0.05</v>
      </c>
      <c r="CE247" s="9">
        <f>MAX(0,CC247*(CD247-0.5/50))</f>
        <v>0.8</v>
      </c>
      <c r="CF247" s="9">
        <f>MIN(1,(25/K247)^0.3)</f>
        <v>1</v>
      </c>
      <c r="CG247" s="9">
        <f>IF(G247&gt;=800,0.68,IF(G247&gt;=700,0.75-(G247-700)*0.07/100,IF(G247&gt;=600,0.85-(G247-600)*0.1/100,IF(G247&gt;=500,1-(G247-500)*0.15/100,1.2-(G247-400)*0.2/100))))</f>
        <v>0.99099999999999999</v>
      </c>
      <c r="CH247" s="9">
        <f t="shared" si="606"/>
        <v>1.8056199488679785</v>
      </c>
      <c r="CI247" s="9">
        <f t="shared" si="607"/>
        <v>4.3417360952021458</v>
      </c>
      <c r="CJ247" s="9">
        <v>1</v>
      </c>
      <c r="CK247" s="9">
        <f t="shared" si="608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708"/>
        <v>1.0717821444701627</v>
      </c>
      <c r="CP247" s="4">
        <f>AB247/CK247</f>
        <v>1.155958742951205</v>
      </c>
      <c r="CQ247" s="4">
        <f t="shared" si="694"/>
        <v>0.98979388951233693</v>
      </c>
      <c r="CR247" s="4">
        <f t="shared" si="695"/>
        <v>1.0024776396398694</v>
      </c>
      <c r="CS247" s="4">
        <f t="shared" si="709"/>
        <v>1.2143036179028706</v>
      </c>
      <c r="DA247" s="4">
        <f t="shared" si="702"/>
        <v>1.8375704866940943</v>
      </c>
      <c r="DB247" s="4">
        <f t="shared" si="702"/>
        <v>1.3853663030311241</v>
      </c>
      <c r="DC247" s="4">
        <f t="shared" si="703"/>
        <v>1.155958742951205</v>
      </c>
      <c r="DD247" s="4">
        <f t="shared" si="716"/>
        <v>1.2143036179028706</v>
      </c>
      <c r="DE247" s="4">
        <f t="shared" si="705"/>
        <v>0.98979388951233693</v>
      </c>
      <c r="DF247" s="4">
        <f t="shared" si="705"/>
        <v>1.0024776396398694</v>
      </c>
      <c r="DH247" s="4">
        <f t="shared" si="557"/>
        <v>2</v>
      </c>
      <c r="DI247" s="4">
        <f>I247</f>
        <v>190</v>
      </c>
      <c r="DL247" s="4">
        <f t="shared" si="667"/>
        <v>1.7394186230005775E-5</v>
      </c>
      <c r="DM247" s="4">
        <f t="shared" si="558"/>
        <v>8.7855659228692318</v>
      </c>
      <c r="DN247" s="4">
        <f t="shared" si="668"/>
        <v>0.48320593455916955</v>
      </c>
      <c r="DO247" s="4">
        <f t="shared" si="669"/>
        <v>6.567841229558697</v>
      </c>
      <c r="DP247" s="4">
        <f t="shared" si="670"/>
        <v>7.7565381852510118</v>
      </c>
      <c r="DQ247" s="4">
        <f t="shared" si="671"/>
        <v>8.3998898005854343</v>
      </c>
      <c r="DR247" s="38">
        <f t="shared" si="684"/>
        <v>506</v>
      </c>
      <c r="DS247" s="4">
        <f t="shared" si="609"/>
        <v>1</v>
      </c>
      <c r="DT247" s="4">
        <f t="shared" si="672"/>
        <v>1.8904781857097592</v>
      </c>
      <c r="DU247" s="4">
        <f t="shared" si="618"/>
        <v>239.89578481199356</v>
      </c>
      <c r="DY247" s="4">
        <f t="shared" si="581"/>
        <v>0.85</v>
      </c>
      <c r="DZ247" s="4">
        <f t="shared" si="610"/>
        <v>0.85157068062827224</v>
      </c>
      <c r="EA247" s="4">
        <f t="shared" si="685"/>
        <v>0.77813313779775783</v>
      </c>
      <c r="EB247" s="4">
        <f t="shared" si="611"/>
        <v>0.7</v>
      </c>
      <c r="ED247" s="4">
        <f t="shared" si="686"/>
        <v>499.59788457043589</v>
      </c>
      <c r="EE247" s="25">
        <f t="shared" si="687"/>
        <v>237.4108387047049</v>
      </c>
      <c r="EG247" s="4">
        <f t="shared" si="619"/>
        <v>0.59499999999999997</v>
      </c>
      <c r="EH247" s="4">
        <f t="shared" si="688"/>
        <v>8.7855659228692318</v>
      </c>
      <c r="EK247" s="4">
        <f t="shared" si="673"/>
        <v>36.108133347056402</v>
      </c>
      <c r="EL247" s="4">
        <f t="shared" si="674"/>
        <v>1.8904781857097592</v>
      </c>
      <c r="EM247" s="4">
        <f t="shared" si="675"/>
        <v>0.1375473318448516</v>
      </c>
      <c r="EP247" s="4">
        <f>EM247</f>
        <v>0.1375473318448516</v>
      </c>
      <c r="EQ247" s="4">
        <f t="shared" si="721"/>
        <v>0.48239955391173428</v>
      </c>
      <c r="ER247" s="4">
        <f t="shared" si="559"/>
        <v>6.5634548315054522</v>
      </c>
      <c r="ES247" s="4">
        <f>EH247/1.4*(1-EQ247^1.4)/(1-EQ247)</f>
        <v>7.7546828729423405</v>
      </c>
      <c r="ET247" s="4">
        <f t="shared" si="560"/>
        <v>106.39186665294361</v>
      </c>
      <c r="EU247" s="4">
        <f t="shared" si="561"/>
        <v>47.5</v>
      </c>
      <c r="EV247" s="4">
        <f t="shared" si="612"/>
        <v>1.7394186230005775E-5</v>
      </c>
      <c r="EW247" s="4">
        <f>MAX(0.5*EH247, (1-2*EV247*(EK247*ER247+ET247*ES247))/(1/EH247+EV247*EU247))</f>
        <v>8.3999977543842039</v>
      </c>
      <c r="EX247" s="4">
        <f t="shared" si="636"/>
        <v>506</v>
      </c>
      <c r="FG247" s="23">
        <f t="shared" si="711"/>
        <v>2</v>
      </c>
      <c r="FH247" s="23">
        <f t="shared" si="711"/>
        <v>1.4</v>
      </c>
      <c r="FI247" s="23">
        <f t="shared" si="712"/>
        <v>1.4</v>
      </c>
      <c r="FJ247" s="23">
        <f t="shared" si="713"/>
        <v>1.2</v>
      </c>
      <c r="FK247" s="23">
        <f t="shared" si="713"/>
        <v>1</v>
      </c>
      <c r="FL247" s="23">
        <f t="shared" si="713"/>
        <v>1.2</v>
      </c>
      <c r="FM247" s="23">
        <f t="shared" si="701"/>
        <v>0</v>
      </c>
      <c r="FN247" s="23"/>
      <c r="FX247" s="4">
        <f t="shared" si="613"/>
        <v>1.25</v>
      </c>
      <c r="FY247" s="4">
        <f t="shared" si="652"/>
        <v>0.50622953362009215</v>
      </c>
      <c r="FZ247" s="4">
        <f t="shared" si="614"/>
        <v>0.3</v>
      </c>
      <c r="GA247" s="4">
        <f t="shared" si="615"/>
        <v>412.44685489630422</v>
      </c>
    </row>
    <row r="248" spans="1:183" ht="12" customHeight="1" x14ac:dyDescent="0.3">
      <c r="A248" s="25">
        <v>230</v>
      </c>
      <c r="B248" s="4" t="s">
        <v>605</v>
      </c>
      <c r="C248" s="4">
        <v>2016</v>
      </c>
      <c r="D248" s="4" t="s">
        <v>309</v>
      </c>
      <c r="E248" s="24" t="s">
        <v>661</v>
      </c>
      <c r="F248" s="4" t="s">
        <v>383</v>
      </c>
      <c r="G248" s="38">
        <f>120/0.145</f>
        <v>827.58620689655174</v>
      </c>
      <c r="H248" s="38">
        <f>15.75*25.4</f>
        <v>400.04999999999995</v>
      </c>
      <c r="I248" s="4">
        <f>H248</f>
        <v>400.04999999999995</v>
      </c>
      <c r="J248" s="38">
        <f>4850/145</f>
        <v>33.448275862068968</v>
      </c>
      <c r="K248" s="38">
        <f>1*25.4</f>
        <v>25.4</v>
      </c>
      <c r="L248" s="7">
        <f>H248/K248</f>
        <v>15.749999999999998</v>
      </c>
      <c r="M248" s="7">
        <f>I248/K248</f>
        <v>15.749999999999998</v>
      </c>
      <c r="N248" s="38">
        <f>17.9*25.4</f>
        <v>454.65999999999991</v>
      </c>
      <c r="O248" s="38">
        <f>2.95*25.4</f>
        <v>74.930000000000007</v>
      </c>
      <c r="P248" s="39">
        <f>3.05*25.4</f>
        <v>77.469999999999985</v>
      </c>
      <c r="Q248" s="7">
        <f>(N248-R248*K248-2*O248)/(R248-1)</f>
        <v>253.99999999999989</v>
      </c>
      <c r="R248" s="38">
        <v>2</v>
      </c>
      <c r="S248" s="4">
        <f t="shared" ref="S248:S311" si="722">10.25*25.4</f>
        <v>260.34999999999997</v>
      </c>
      <c r="T248" s="7">
        <f>MIN(O248/K248+0.5, Q248/2/K248+0.5)</f>
        <v>3.4500000000000006</v>
      </c>
      <c r="U248" s="7">
        <f t="shared" si="631"/>
        <v>3.4500000000000006</v>
      </c>
      <c r="V248" s="38">
        <v>4</v>
      </c>
      <c r="W248" s="4">
        <f>V248</f>
        <v>4</v>
      </c>
      <c r="X248" s="4">
        <f>W248+1</f>
        <v>5</v>
      </c>
      <c r="Y248" s="7">
        <f>K248*X248^0.5</f>
        <v>56.796126628494655</v>
      </c>
      <c r="AB248" s="38">
        <f>101.8/0.145</f>
        <v>702.06896551724139</v>
      </c>
      <c r="AD248" s="4">
        <f t="shared" si="666"/>
        <v>0.84833333333333338</v>
      </c>
      <c r="AE248" s="38"/>
      <c r="AF248" s="38"/>
      <c r="AG248" s="39">
        <v>1</v>
      </c>
      <c r="AH248" s="39"/>
      <c r="AI248" s="39"/>
      <c r="AK248" s="4">
        <f>H248</f>
        <v>400.04999999999995</v>
      </c>
      <c r="AL248" s="4">
        <f t="shared" si="678"/>
        <v>0.37883597883597875</v>
      </c>
      <c r="AM248" s="4">
        <f t="shared" si="679"/>
        <v>456.63686520766981</v>
      </c>
      <c r="AN248" s="4">
        <f t="shared" si="680"/>
        <v>0.74380952380952381</v>
      </c>
      <c r="AO248" s="4">
        <v>1.25</v>
      </c>
      <c r="AP248" s="4">
        <f t="shared" si="624"/>
        <v>2.5</v>
      </c>
      <c r="AQ248" s="38">
        <f t="shared" ref="AQ248:AQ311" si="723">AL248*AN248*AO248*AP248*AM248</f>
        <v>402.09988107311045</v>
      </c>
      <c r="AR248" s="38">
        <f t="shared" si="682"/>
        <v>402.09988107311045</v>
      </c>
      <c r="AS248" s="38">
        <f t="shared" si="683"/>
        <v>3.1143714702560636</v>
      </c>
      <c r="AT248" s="38">
        <f t="shared" si="626"/>
        <v>402.09988107311091</v>
      </c>
      <c r="AU248" s="38">
        <f t="shared" si="601"/>
        <v>0.99999999999999889</v>
      </c>
      <c r="AV248" s="38">
        <f t="shared" si="715"/>
        <v>1.1479391778597043</v>
      </c>
      <c r="AW248" s="4">
        <f t="shared" si="707"/>
        <v>0</v>
      </c>
      <c r="AX248" s="4">
        <f>I248/K248*J248^0.5/0.19</f>
        <v>479.41743650185254</v>
      </c>
      <c r="AY248" s="4">
        <f t="shared" ref="AY248:AY311" si="724">MIN(0.6+0.4*(U248/T248),2)</f>
        <v>1</v>
      </c>
      <c r="AZ248" s="38">
        <f t="shared" si="617"/>
        <v>461.58620689655186</v>
      </c>
      <c r="BA248" s="4">
        <f t="shared" ref="BA248:BA311" si="725">MAX(1-0.7*W248/5,0.3)</f>
        <v>0.44000000000000006</v>
      </c>
      <c r="BB248" s="4">
        <f t="shared" ref="BB248:BB311" si="726">BA248*G248*I248/(G248*K248/2.75/J248^0.5)</f>
        <v>110.21806865177589</v>
      </c>
      <c r="BC248" s="4">
        <f t="shared" ref="BC248:BC311" si="727">AZ248+BB248</f>
        <v>571.80427554832772</v>
      </c>
      <c r="BE248" s="4">
        <f t="shared" si="627"/>
        <v>1.4875000000000003</v>
      </c>
      <c r="BF248" s="4">
        <f t="shared" si="628"/>
        <v>664.57244562417236</v>
      </c>
      <c r="BH248" s="4">
        <f t="shared" si="633"/>
        <v>442.7176207286019</v>
      </c>
      <c r="BI248" s="4">
        <f t="shared" si="634"/>
        <v>0</v>
      </c>
      <c r="BJ248" s="4">
        <f t="shared" si="635"/>
        <v>0</v>
      </c>
      <c r="BR248" s="4">
        <f t="shared" ref="BR248:BR311" si="728">IF(Q248=0,O248,MIN(Q248/2,O248))</f>
        <v>74.930000000000007</v>
      </c>
      <c r="BZ248" s="9">
        <f t="shared" ref="BZ248:BZ311" si="729">IF(Q248=0,MIN(O248,P248),MIN(Q248/2,O248,P248))</f>
        <v>74.930000000000007</v>
      </c>
      <c r="CA248" s="9">
        <f t="shared" ref="CA248:CA311" si="730">MAX(Q248/2,O248)</f>
        <v>126.99999999999994</v>
      </c>
      <c r="CB248" s="9">
        <f t="shared" si="604"/>
        <v>1.8590163364970096</v>
      </c>
      <c r="CC248" s="40">
        <f>IF(AG248&gt;1,20,0)</f>
        <v>0</v>
      </c>
      <c r="CD248" s="9">
        <f t="shared" ref="CD248:CD311" si="731">MIN(PI()*AE248^2/4*AF248*2/R248/K248/MAX(0.01,AG248),0.05)</f>
        <v>0</v>
      </c>
      <c r="CE248" s="9">
        <f t="shared" ref="CE248:CE311" si="732">MAX(0,CC248*(CD248-0.5/50))</f>
        <v>0</v>
      </c>
      <c r="CF248" s="9">
        <f t="shared" ref="CF248:CF311" si="733">MIN(1,(25/K248)^0.3)</f>
        <v>0.99524931562137331</v>
      </c>
      <c r="CG248" s="9">
        <f t="shared" ref="CG248:CG311" si="734">IF(G248&gt;=800,0.68,IF(G248&gt;=700,0.75-(G248-700)*0.07/100,IF(G248&gt;=600,0.85-(G248-600)*0.1/100,IF(G248&gt;=500,1-(G248-500)*0.15/100,1.2-(G248-400)*0.2/100))))</f>
        <v>0.68</v>
      </c>
      <c r="CH248" s="9">
        <f t="shared" si="606"/>
        <v>1.3699215983187671</v>
      </c>
      <c r="CI248" s="9">
        <f t="shared" si="607"/>
        <v>2.5467066309946826</v>
      </c>
      <c r="CJ248" s="40">
        <v>1</v>
      </c>
      <c r="CK248" s="9">
        <f t="shared" si="608"/>
        <v>313.24491561234595</v>
      </c>
      <c r="CM248" s="4">
        <f t="shared" ref="CM248:CM311" si="735">AB248/AX248</f>
        <v>1.4644210077964666</v>
      </c>
      <c r="CN248" s="4">
        <f t="shared" ref="CN248:CN311" si="736">AB248/BC248</f>
        <v>1.2278134241721037</v>
      </c>
      <c r="CO248" s="4">
        <f t="shared" si="708"/>
        <v>1.0564220201122723</v>
      </c>
      <c r="CP248" s="4">
        <f t="shared" ref="CP248:CP311" si="737">AB248/CK248</f>
        <v>2.2412780879293885</v>
      </c>
      <c r="CQ248" s="4">
        <f t="shared" si="694"/>
        <v>0.84833333333333338</v>
      </c>
      <c r="CR248" s="4">
        <f t="shared" si="695"/>
        <v>0.91851247644247092</v>
      </c>
      <c r="CS248" s="4">
        <f t="shared" si="709"/>
        <v>0.92942217759542134</v>
      </c>
      <c r="CT248" s="4">
        <f>AF248</f>
        <v>0</v>
      </c>
      <c r="CU248" s="4">
        <f t="shared" ref="CU248:CV249" si="738">CM248</f>
        <v>1.4644210077964666</v>
      </c>
      <c r="CV248" s="4">
        <f t="shared" si="738"/>
        <v>1.2278134241721037</v>
      </c>
      <c r="CW248" s="4">
        <f t="shared" ref="CW248:CW249" si="739">CP248</f>
        <v>2.2412780879293885</v>
      </c>
      <c r="CX248" s="4">
        <f t="shared" ref="CX248:CX249" si="740">CS248</f>
        <v>0.92942217759542134</v>
      </c>
      <c r="CY248" s="4">
        <f t="shared" ref="CY248:CZ249" si="741">CQ248</f>
        <v>0.84833333333333338</v>
      </c>
      <c r="CZ248" s="4">
        <f t="shared" si="741"/>
        <v>0.91851247644247092</v>
      </c>
      <c r="DI248" s="4">
        <f t="shared" ref="DI248:DI311" si="742">I248</f>
        <v>400.04999999999995</v>
      </c>
      <c r="DL248" s="4">
        <f t="shared" si="667"/>
        <v>2.8815439209600622E-5</v>
      </c>
      <c r="DM248" s="4">
        <f t="shared" si="558"/>
        <v>7.7158084787289836</v>
      </c>
      <c r="DN248" s="4">
        <f t="shared" si="668"/>
        <v>0.66418002839985602</v>
      </c>
      <c r="DO248" s="4">
        <f t="shared" si="669"/>
        <v>6.5508214746578313</v>
      </c>
      <c r="DP248" s="4">
        <f t="shared" si="670"/>
        <v>7.157073879314968</v>
      </c>
      <c r="DQ248" s="4">
        <f t="shared" si="671"/>
        <v>6.628841658831333</v>
      </c>
      <c r="DR248" s="38">
        <f t="shared" si="684"/>
        <v>827.58620689655174</v>
      </c>
      <c r="DS248" s="4">
        <f t="shared" si="609"/>
        <v>1</v>
      </c>
      <c r="DT248" s="4">
        <f t="shared" si="672"/>
        <v>2.2360679774997898</v>
      </c>
      <c r="DU248" s="4">
        <f t="shared" si="618"/>
        <v>402.09988107311091</v>
      </c>
      <c r="DY248" s="4">
        <f t="shared" si="581"/>
        <v>0.85</v>
      </c>
      <c r="DZ248" s="4">
        <f t="shared" si="610"/>
        <v>0.80499999999999994</v>
      </c>
      <c r="EA248" s="4">
        <f t="shared" si="685"/>
        <v>1</v>
      </c>
      <c r="EB248" s="4">
        <f t="shared" si="611"/>
        <v>0.80499999999999994</v>
      </c>
      <c r="ED248" s="4">
        <f t="shared" si="686"/>
        <v>764.35430494798948</v>
      </c>
      <c r="EE248" s="25">
        <f t="shared" si="687"/>
        <v>399.78235432804496</v>
      </c>
      <c r="EG248" s="4">
        <f t="shared" si="619"/>
        <v>0.68424999999999991</v>
      </c>
      <c r="EH248" s="4">
        <f t="shared" si="688"/>
        <v>7.7158084787289836</v>
      </c>
      <c r="EK248" s="4">
        <f t="shared" si="673"/>
        <v>56.796126628494655</v>
      </c>
      <c r="EL248" s="4">
        <f t="shared" si="674"/>
        <v>2.2360679774997898</v>
      </c>
      <c r="EM248" s="4">
        <f t="shared" si="675"/>
        <v>0.21004287106042069</v>
      </c>
      <c r="EP248" s="4">
        <f>EM248</f>
        <v>0.21004287106042069</v>
      </c>
      <c r="EQ248" s="4">
        <f t="shared" si="721"/>
        <v>0.66307163571878669</v>
      </c>
      <c r="ER248" s="4">
        <f t="shared" si="559"/>
        <v>6.5464464434170813</v>
      </c>
      <c r="ES248" s="4">
        <f t="shared" ref="ES248:ES311" si="743">EH248/1.4*(1-EQ248^1.4)/(1-EQ248)</f>
        <v>7.1550722967204541</v>
      </c>
      <c r="ET248" s="4">
        <f t="shared" si="560"/>
        <v>243.24137337150532</v>
      </c>
      <c r="EU248" s="4">
        <f t="shared" si="561"/>
        <v>100.01249999999996</v>
      </c>
      <c r="EV248" s="4">
        <f t="shared" si="612"/>
        <v>2.8815439209600615E-5</v>
      </c>
      <c r="EW248" s="4">
        <f t="shared" ref="EW248:EW311" si="744">MAX(0.5*EH248, (1-2*EV248*(EK248*ER248+ET248*ES248))/(1/EH248+EV248*EU248))</f>
        <v>6.6291615343498345</v>
      </c>
      <c r="EX248" s="4">
        <f t="shared" si="636"/>
        <v>827.58620689655174</v>
      </c>
      <c r="FG248" s="23">
        <f t="shared" si="711"/>
        <v>1.6</v>
      </c>
      <c r="FH248" s="23">
        <f t="shared" si="711"/>
        <v>1.4</v>
      </c>
      <c r="FI248" s="23">
        <f t="shared" si="712"/>
        <v>1</v>
      </c>
      <c r="FJ248" s="23">
        <f t="shared" si="713"/>
        <v>2.2000000000000002</v>
      </c>
      <c r="FK248" s="23">
        <f t="shared" si="713"/>
        <v>1</v>
      </c>
      <c r="FL248" s="23">
        <f t="shared" si="713"/>
        <v>1</v>
      </c>
      <c r="FM248" s="23">
        <f t="shared" si="701"/>
        <v>0</v>
      </c>
      <c r="FX248" s="4">
        <f t="shared" si="613"/>
        <v>1</v>
      </c>
      <c r="FY248" s="4">
        <f t="shared" si="652"/>
        <v>0.5</v>
      </c>
      <c r="FZ248" s="4">
        <f t="shared" si="614"/>
        <v>0</v>
      </c>
      <c r="GA248" s="4">
        <f t="shared" si="615"/>
        <v>755.38219599366278</v>
      </c>
    </row>
    <row r="249" spans="1:183" ht="12" customHeight="1" x14ac:dyDescent="0.3">
      <c r="A249" s="25">
        <v>231</v>
      </c>
      <c r="B249" s="4" t="s">
        <v>605</v>
      </c>
      <c r="C249" s="4">
        <v>2016</v>
      </c>
      <c r="D249" s="4" t="s">
        <v>309</v>
      </c>
      <c r="E249" s="24" t="s">
        <v>661</v>
      </c>
      <c r="F249" s="4" t="s">
        <v>384</v>
      </c>
      <c r="G249" s="38">
        <f t="shared" ref="G249:G265" si="745">120/0.145</f>
        <v>827.58620689655174</v>
      </c>
      <c r="H249" s="38">
        <f>15.28*25.4</f>
        <v>388.11199999999997</v>
      </c>
      <c r="I249" s="4">
        <f t="shared" ref="I249:I312" si="746">H249</f>
        <v>388.11199999999997</v>
      </c>
      <c r="J249" s="38">
        <f>5070/145</f>
        <v>34.96551724137931</v>
      </c>
      <c r="K249" s="38">
        <f t="shared" ref="K249:K312" si="747">1*25.4</f>
        <v>25.4</v>
      </c>
      <c r="L249" s="7">
        <f t="shared" ref="L249:L312" si="748">H249/K249</f>
        <v>15.28</v>
      </c>
      <c r="M249" s="7">
        <f t="shared" ref="M249:M312" si="749">I249/K249</f>
        <v>15.28</v>
      </c>
      <c r="N249" s="38">
        <f>19.6*25.4</f>
        <v>497.84000000000003</v>
      </c>
      <c r="O249" s="38">
        <f>3.85*25.4</f>
        <v>97.789999999999992</v>
      </c>
      <c r="P249" s="39">
        <f>3.5*25.4</f>
        <v>88.899999999999991</v>
      </c>
      <c r="Q249" s="7">
        <f t="shared" ref="Q249:Q312" si="750">(N249-R249*K249-2*O249)/(R249-1)</f>
        <v>251.46000000000004</v>
      </c>
      <c r="R249" s="38">
        <v>2</v>
      </c>
      <c r="S249" s="4">
        <f t="shared" si="722"/>
        <v>260.34999999999997</v>
      </c>
      <c r="T249" s="7">
        <f t="shared" ref="T249:T312" si="751">MIN(O249/K249+0.5, Q249/2/K249+0.5)</f>
        <v>4.3499999999999996</v>
      </c>
      <c r="U249" s="7">
        <f t="shared" si="631"/>
        <v>4.3499999999999996</v>
      </c>
      <c r="V249" s="38">
        <v>4</v>
      </c>
      <c r="W249" s="4">
        <f t="shared" ref="W249:W312" si="752">V249</f>
        <v>4</v>
      </c>
      <c r="X249" s="4">
        <f t="shared" ref="X249:X312" si="753">W249+1</f>
        <v>5</v>
      </c>
      <c r="Y249" s="7">
        <f t="shared" ref="Y249:Y312" si="754">K249*X249^0.5</f>
        <v>56.796126628494655</v>
      </c>
      <c r="AB249" s="38">
        <f>120.8/0.145</f>
        <v>833.10344827586209</v>
      </c>
      <c r="AD249" s="4">
        <f t="shared" si="666"/>
        <v>1</v>
      </c>
      <c r="AE249" s="38"/>
      <c r="AF249" s="38"/>
      <c r="AG249" s="39">
        <v>1</v>
      </c>
      <c r="AH249" s="39"/>
      <c r="AI249" s="39"/>
      <c r="AK249" s="4">
        <f t="shared" ref="AK249:AK312" si="755">H249</f>
        <v>388.11199999999997</v>
      </c>
      <c r="AL249" s="4">
        <f t="shared" si="678"/>
        <v>0.42757417102966838</v>
      </c>
      <c r="AM249" s="4">
        <f t="shared" si="679"/>
        <v>446.1370328547896</v>
      </c>
      <c r="AN249" s="4">
        <f t="shared" si="680"/>
        <v>0.75693717277486905</v>
      </c>
      <c r="AO249" s="4">
        <v>1.25</v>
      </c>
      <c r="AP249" s="4">
        <f t="shared" si="624"/>
        <v>2.5</v>
      </c>
      <c r="AQ249" s="38">
        <f t="shared" si="723"/>
        <v>451.22129994667296</v>
      </c>
      <c r="AR249" s="38">
        <f t="shared" si="682"/>
        <v>451.22129994667296</v>
      </c>
      <c r="AS249" s="38">
        <f t="shared" si="683"/>
        <v>3.2078537456295186</v>
      </c>
      <c r="AT249" s="38">
        <f t="shared" si="626"/>
        <v>451.22129994667353</v>
      </c>
      <c r="AU249" s="38">
        <f t="shared" si="601"/>
        <v>0.99999999999999878</v>
      </c>
      <c r="AV249" s="38">
        <f t="shared" si="715"/>
        <v>1.3483406037611749</v>
      </c>
      <c r="AW249" s="4">
        <f t="shared" si="707"/>
        <v>0</v>
      </c>
      <c r="AX249" s="4">
        <f t="shared" ref="AX249:AX312" si="756">I249/K249*J249^0.5/0.19</f>
        <v>475.54293276793692</v>
      </c>
      <c r="AY249" s="4">
        <f t="shared" si="724"/>
        <v>1</v>
      </c>
      <c r="AZ249" s="38">
        <f t="shared" si="617"/>
        <v>608.4</v>
      </c>
      <c r="BA249" s="4">
        <f t="shared" si="725"/>
        <v>0.44000000000000006</v>
      </c>
      <c r="BB249" s="4">
        <f t="shared" si="726"/>
        <v>109.32732024334872</v>
      </c>
      <c r="BC249" s="4">
        <f t="shared" si="727"/>
        <v>717.72732024334869</v>
      </c>
      <c r="BE249" s="4">
        <f t="shared" si="627"/>
        <v>1.5</v>
      </c>
      <c r="BF249" s="4">
        <f t="shared" si="628"/>
        <v>672.68162081278126</v>
      </c>
      <c r="BH249" s="4">
        <f t="shared" si="633"/>
        <v>583.53000247177329</v>
      </c>
      <c r="BI249" s="4">
        <f t="shared" si="634"/>
        <v>0</v>
      </c>
      <c r="BJ249" s="4">
        <f t="shared" si="635"/>
        <v>0</v>
      </c>
      <c r="BR249" s="4">
        <f t="shared" si="728"/>
        <v>97.789999999999992</v>
      </c>
      <c r="BZ249" s="9">
        <f t="shared" si="729"/>
        <v>88.899999999999991</v>
      </c>
      <c r="CA249" s="9">
        <f t="shared" si="730"/>
        <v>125.73000000000002</v>
      </c>
      <c r="CB249" s="9">
        <f t="shared" si="604"/>
        <v>1.9706731314151338</v>
      </c>
      <c r="CC249" s="40">
        <f t="shared" ref="CC249:CC312" si="757">IF(AG249&gt;1,20,0)</f>
        <v>0</v>
      </c>
      <c r="CD249" s="9">
        <f t="shared" si="731"/>
        <v>0</v>
      </c>
      <c r="CE249" s="9">
        <f t="shared" si="732"/>
        <v>0</v>
      </c>
      <c r="CF249" s="9">
        <f t="shared" si="733"/>
        <v>0.99524931562137331</v>
      </c>
      <c r="CG249" s="9">
        <f t="shared" si="734"/>
        <v>0.68</v>
      </c>
      <c r="CH249" s="9">
        <f t="shared" si="606"/>
        <v>1.4006474122126336</v>
      </c>
      <c r="CI249" s="9">
        <f t="shared" si="607"/>
        <v>2.7602182218335742</v>
      </c>
      <c r="CJ249" s="40">
        <v>1</v>
      </c>
      <c r="CK249" s="9">
        <f t="shared" si="608"/>
        <v>334.31763102848254</v>
      </c>
      <c r="CM249" s="4">
        <f t="shared" si="735"/>
        <v>1.7518995465387628</v>
      </c>
      <c r="CN249" s="4">
        <f t="shared" si="736"/>
        <v>1.1607520360147285</v>
      </c>
      <c r="CO249" s="4">
        <f t="shared" si="708"/>
        <v>1.2384810622137228</v>
      </c>
      <c r="CP249" s="4">
        <f t="shared" si="737"/>
        <v>2.4919518773596629</v>
      </c>
      <c r="CQ249" s="4">
        <f t="shared" si="694"/>
        <v>1</v>
      </c>
      <c r="CR249" s="4">
        <f t="shared" si="695"/>
        <v>1</v>
      </c>
      <c r="CS249" s="4">
        <f t="shared" si="709"/>
        <v>1.1242757318376362</v>
      </c>
      <c r="CT249" s="4">
        <f t="shared" ref="CT249:CT312" si="758">AF249</f>
        <v>0</v>
      </c>
      <c r="CU249" s="4">
        <f t="shared" si="738"/>
        <v>1.7518995465387628</v>
      </c>
      <c r="CV249" s="4">
        <f t="shared" si="738"/>
        <v>1.1607520360147285</v>
      </c>
      <c r="CW249" s="4">
        <f t="shared" si="739"/>
        <v>2.4919518773596629</v>
      </c>
      <c r="CX249" s="4">
        <f t="shared" si="740"/>
        <v>1.1242757318376362</v>
      </c>
      <c r="CY249" s="4">
        <f t="shared" si="741"/>
        <v>1</v>
      </c>
      <c r="CZ249" s="4">
        <f t="shared" si="741"/>
        <v>1</v>
      </c>
      <c r="DI249" s="4">
        <f t="shared" si="742"/>
        <v>388.11199999999997</v>
      </c>
      <c r="DL249" s="4">
        <f t="shared" si="667"/>
        <v>2.824931335368085E-5</v>
      </c>
      <c r="DM249" s="4">
        <f t="shared" si="558"/>
        <v>8.8818695030737906</v>
      </c>
      <c r="DN249" s="4">
        <f t="shared" si="668"/>
        <v>0.71297653914085279</v>
      </c>
      <c r="DO249" s="4">
        <f t="shared" si="669"/>
        <v>7.757726845919704</v>
      </c>
      <c r="DP249" s="4">
        <f t="shared" si="670"/>
        <v>8.3387714689642198</v>
      </c>
      <c r="DQ249" s="4">
        <f t="shared" si="671"/>
        <v>7.4978516818718992</v>
      </c>
      <c r="DR249" s="38">
        <f t="shared" si="684"/>
        <v>833.10344827586209</v>
      </c>
      <c r="DS249" s="4">
        <f t="shared" si="609"/>
        <v>1</v>
      </c>
      <c r="DT249" s="4">
        <f t="shared" si="672"/>
        <v>2.2360679774997898</v>
      </c>
      <c r="DU249" s="4">
        <f t="shared" si="618"/>
        <v>451.22129994667353</v>
      </c>
      <c r="DY249" s="4">
        <f t="shared" si="581"/>
        <v>0.85</v>
      </c>
      <c r="DZ249" s="4">
        <f t="shared" si="610"/>
        <v>0.71500000000000008</v>
      </c>
      <c r="EA249" s="4">
        <f t="shared" si="685"/>
        <v>1</v>
      </c>
      <c r="EB249" s="4">
        <f t="shared" si="611"/>
        <v>0.71500000000000008</v>
      </c>
      <c r="ED249" s="4">
        <f t="shared" si="686"/>
        <v>833.10344827586209</v>
      </c>
      <c r="EE249" s="25">
        <f t="shared" si="687"/>
        <v>448.57090093705455</v>
      </c>
      <c r="EG249" s="4">
        <f t="shared" si="619"/>
        <v>0.60775000000000001</v>
      </c>
      <c r="EH249" s="4">
        <f t="shared" si="688"/>
        <v>8.8818695030737906</v>
      </c>
      <c r="EK249" s="4">
        <f t="shared" si="673"/>
        <v>56.796126628494655</v>
      </c>
      <c r="EL249" s="4">
        <f t="shared" si="674"/>
        <v>2.2360679774997898</v>
      </c>
      <c r="EM249" s="4">
        <f t="shared" si="675"/>
        <v>0.23053161000640462</v>
      </c>
      <c r="EP249" s="4">
        <f t="shared" ref="EP249:EP312" si="759">EM249</f>
        <v>0.23053161000640462</v>
      </c>
      <c r="EQ249" s="4">
        <f t="shared" si="721"/>
        <v>0.71178671417779027</v>
      </c>
      <c r="ER249" s="4">
        <f t="shared" si="559"/>
        <v>7.7525457709294319</v>
      </c>
      <c r="ES249" s="4">
        <f t="shared" si="743"/>
        <v>8.3363620617554428</v>
      </c>
      <c r="ET249" s="4">
        <f t="shared" si="560"/>
        <v>234.2878733715053</v>
      </c>
      <c r="EU249" s="4">
        <f t="shared" si="561"/>
        <v>97.027999999999992</v>
      </c>
      <c r="EV249" s="4">
        <f t="shared" si="612"/>
        <v>2.824931335368085E-5</v>
      </c>
      <c r="EW249" s="4">
        <f t="shared" si="744"/>
        <v>7.4982723772933024</v>
      </c>
      <c r="EX249" s="4">
        <f t="shared" si="636"/>
        <v>833.10344827586209</v>
      </c>
      <c r="FG249" s="23">
        <f t="shared" si="711"/>
        <v>1.8</v>
      </c>
      <c r="FH249" s="23">
        <f t="shared" si="711"/>
        <v>1.2</v>
      </c>
      <c r="FI249" s="23">
        <f t="shared" si="712"/>
        <v>1.2</v>
      </c>
      <c r="FJ249" s="23">
        <f t="shared" si="713"/>
        <v>2.2000000000000002</v>
      </c>
      <c r="FK249" s="23">
        <f t="shared" si="713"/>
        <v>1.2</v>
      </c>
      <c r="FL249" s="23">
        <f t="shared" si="713"/>
        <v>1.2</v>
      </c>
      <c r="FM249" s="23">
        <f t="shared" si="701"/>
        <v>0</v>
      </c>
      <c r="FX249" s="4">
        <f t="shared" si="613"/>
        <v>1</v>
      </c>
      <c r="FY249" s="4">
        <f t="shared" si="652"/>
        <v>0.5</v>
      </c>
      <c r="FZ249" s="4">
        <f t="shared" si="614"/>
        <v>0</v>
      </c>
      <c r="GA249" s="4">
        <f t="shared" si="615"/>
        <v>741.0134584281642</v>
      </c>
    </row>
    <row r="250" spans="1:183" ht="12" customHeight="1" x14ac:dyDescent="0.3">
      <c r="A250" s="25">
        <v>232</v>
      </c>
      <c r="B250" s="4" t="s">
        <v>605</v>
      </c>
      <c r="C250" s="4">
        <v>2016</v>
      </c>
      <c r="D250" s="4" t="s">
        <v>309</v>
      </c>
      <c r="E250" s="24" t="s">
        <v>661</v>
      </c>
      <c r="F250" s="4" t="s">
        <v>385</v>
      </c>
      <c r="G250" s="38">
        <f t="shared" si="745"/>
        <v>827.58620689655174</v>
      </c>
      <c r="H250" s="38">
        <f>12.38*25.4</f>
        <v>314.452</v>
      </c>
      <c r="I250" s="4">
        <f t="shared" si="746"/>
        <v>314.452</v>
      </c>
      <c r="J250" s="38">
        <f>5070/145</f>
        <v>34.96551724137931</v>
      </c>
      <c r="K250" s="38">
        <f t="shared" si="747"/>
        <v>25.4</v>
      </c>
      <c r="L250" s="7">
        <f t="shared" si="748"/>
        <v>12.38</v>
      </c>
      <c r="M250" s="7">
        <f t="shared" si="749"/>
        <v>12.38</v>
      </c>
      <c r="N250" s="38">
        <f>17.6*25.4</f>
        <v>447.04</v>
      </c>
      <c r="O250" s="38">
        <f>2.9*25.4</f>
        <v>73.66</v>
      </c>
      <c r="P250" s="39">
        <f>3.5*25.4</f>
        <v>88.899999999999991</v>
      </c>
      <c r="Q250" s="7">
        <f t="shared" si="750"/>
        <v>248.92000000000002</v>
      </c>
      <c r="R250" s="38">
        <v>2</v>
      </c>
      <c r="S250" s="4">
        <f t="shared" si="722"/>
        <v>260.34999999999997</v>
      </c>
      <c r="T250" s="7">
        <f t="shared" si="751"/>
        <v>3.4</v>
      </c>
      <c r="U250" s="7">
        <f t="shared" si="631"/>
        <v>3.4</v>
      </c>
      <c r="V250" s="38">
        <v>4</v>
      </c>
      <c r="W250" s="4">
        <f t="shared" si="752"/>
        <v>4</v>
      </c>
      <c r="X250" s="4">
        <f t="shared" si="753"/>
        <v>5</v>
      </c>
      <c r="Y250" s="7">
        <f t="shared" si="754"/>
        <v>56.796126628494655</v>
      </c>
      <c r="AB250" s="38">
        <f>110.8/0.145</f>
        <v>764.13793103448279</v>
      </c>
      <c r="AD250" s="4">
        <f t="shared" si="666"/>
        <v>1.0732340453544049</v>
      </c>
      <c r="AE250" s="38">
        <f>0.375*25.4</f>
        <v>9.5249999999999986</v>
      </c>
      <c r="AF250" s="38">
        <v>8</v>
      </c>
      <c r="AG250" s="39">
        <f>3*25.4</f>
        <v>76.199999999999989</v>
      </c>
      <c r="AH250" s="39">
        <v>3</v>
      </c>
      <c r="AI250" s="39">
        <v>1</v>
      </c>
      <c r="AK250" s="4">
        <f t="shared" si="755"/>
        <v>314.452</v>
      </c>
      <c r="AL250" s="4">
        <f t="shared" si="678"/>
        <v>0.47388260635433493</v>
      </c>
      <c r="AM250" s="4">
        <f t="shared" si="679"/>
        <v>325.36003808676742</v>
      </c>
      <c r="AN250" s="4">
        <f t="shared" si="680"/>
        <v>0.75492730210016146</v>
      </c>
      <c r="AO250" s="4">
        <v>1.25</v>
      </c>
      <c r="AP250" s="4">
        <f t="shared" si="624"/>
        <v>2.5</v>
      </c>
      <c r="AQ250" s="38">
        <f>AL250*AN250*AO250*AP250*AM250</f>
        <v>363.73922097530163</v>
      </c>
      <c r="AR250" s="38">
        <f t="shared" si="682"/>
        <v>363.73922097530163</v>
      </c>
      <c r="AS250" s="38">
        <f t="shared" si="683"/>
        <v>3.2078537456295186</v>
      </c>
      <c r="AT250" s="38">
        <f t="shared" si="626"/>
        <v>363.73922097530118</v>
      </c>
      <c r="AU250" s="38">
        <f t="shared" si="601"/>
        <v>1.0000000000000013</v>
      </c>
      <c r="AV250" s="38">
        <f t="shared" si="715"/>
        <v>1.3073405535089337</v>
      </c>
      <c r="AW250" s="4">
        <f t="shared" si="707"/>
        <v>0</v>
      </c>
      <c r="AX250" s="4">
        <f t="shared" si="756"/>
        <v>385.289365685017</v>
      </c>
      <c r="AY250" s="4">
        <f t="shared" si="724"/>
        <v>1</v>
      </c>
      <c r="AZ250" s="38">
        <f t="shared" si="617"/>
        <v>475.53103448275857</v>
      </c>
      <c r="BA250" s="4">
        <f t="shared" si="725"/>
        <v>0.44000000000000006</v>
      </c>
      <c r="BB250" s="4">
        <f t="shared" si="726"/>
        <v>88.578025170985427</v>
      </c>
      <c r="BC250" s="4">
        <f t="shared" si="727"/>
        <v>564.109059653744</v>
      </c>
      <c r="BE250" s="4">
        <f t="shared" si="627"/>
        <v>1.5</v>
      </c>
      <c r="BF250" s="4">
        <f t="shared" si="628"/>
        <v>595.51482095688459</v>
      </c>
      <c r="BH250" s="4">
        <f t="shared" si="633"/>
        <v>456.0924157250642</v>
      </c>
      <c r="BI250" s="4">
        <f t="shared" si="634"/>
        <v>0</v>
      </c>
      <c r="BJ250" s="4">
        <f t="shared" si="635"/>
        <v>0</v>
      </c>
      <c r="BR250" s="4">
        <f t="shared" si="728"/>
        <v>73.66</v>
      </c>
      <c r="BZ250" s="9">
        <f t="shared" si="729"/>
        <v>73.66</v>
      </c>
      <c r="CA250" s="9">
        <f t="shared" si="730"/>
        <v>124.46000000000001</v>
      </c>
      <c r="CB250" s="9">
        <f t="shared" si="604"/>
        <v>1.842335460367019</v>
      </c>
      <c r="CC250" s="40">
        <f t="shared" si="757"/>
        <v>20</v>
      </c>
      <c r="CD250" s="9">
        <f t="shared" si="731"/>
        <v>0.05</v>
      </c>
      <c r="CE250" s="9">
        <f t="shared" si="732"/>
        <v>0.8</v>
      </c>
      <c r="CF250" s="9">
        <f t="shared" si="733"/>
        <v>0.99524931562137331</v>
      </c>
      <c r="CG250" s="9">
        <f t="shared" si="734"/>
        <v>0.68</v>
      </c>
      <c r="CH250" s="9">
        <f t="shared" si="606"/>
        <v>1.4006474122126336</v>
      </c>
      <c r="CI250" s="9">
        <f t="shared" si="607"/>
        <v>3.5016185305315837</v>
      </c>
      <c r="CJ250" s="40">
        <v>1</v>
      </c>
      <c r="CK250" s="9">
        <f t="shared" si="608"/>
        <v>383.49726146381903</v>
      </c>
      <c r="CM250" s="4">
        <f t="shared" si="735"/>
        <v>1.9832832128026687</v>
      </c>
      <c r="CN250" s="4">
        <f t="shared" si="736"/>
        <v>1.3545925525527256</v>
      </c>
      <c r="CO250" s="4">
        <f t="shared" si="708"/>
        <v>1.2831551863086319</v>
      </c>
      <c r="CP250" s="4">
        <f t="shared" si="737"/>
        <v>1.9925512065399069</v>
      </c>
      <c r="CQ250" s="4">
        <f t="shared" si="694"/>
        <v>1.0732340453544049</v>
      </c>
      <c r="CR250" s="4">
        <f t="shared" si="695"/>
        <v>1.1669913938500407</v>
      </c>
      <c r="CS250" s="4">
        <f t="shared" si="709"/>
        <v>1.1200335813374223</v>
      </c>
      <c r="CT250" s="4">
        <f t="shared" si="758"/>
        <v>8</v>
      </c>
      <c r="DA250" s="4">
        <f t="shared" ref="DA250:DB253" si="760">CM250</f>
        <v>1.9832832128026687</v>
      </c>
      <c r="DB250" s="4">
        <f t="shared" si="760"/>
        <v>1.3545925525527256</v>
      </c>
      <c r="DC250" s="4">
        <f t="shared" ref="DC250:DC253" si="761">CP250</f>
        <v>1.9925512065399069</v>
      </c>
      <c r="DD250" s="4">
        <f t="shared" ref="DD250:DD253" si="762">CS250</f>
        <v>1.1200335813374223</v>
      </c>
      <c r="DE250" s="4">
        <f t="shared" ref="DE250:DF253" si="763">CQ250</f>
        <v>1.0732340453544049</v>
      </c>
      <c r="DF250" s="4">
        <f t="shared" si="763"/>
        <v>1.1669913938500407</v>
      </c>
      <c r="DI250" s="4">
        <f t="shared" si="742"/>
        <v>314.452</v>
      </c>
      <c r="DL250" s="4">
        <f t="shared" si="667"/>
        <v>2.288785990304771E-5</v>
      </c>
      <c r="DM250" s="4">
        <f t="shared" si="558"/>
        <v>7.9143659395695911</v>
      </c>
      <c r="DN250" s="4">
        <f t="shared" si="668"/>
        <v>0.57474576433206792</v>
      </c>
      <c r="DO250" s="4">
        <f t="shared" si="669"/>
        <v>6.3417108831781732</v>
      </c>
      <c r="DP250" s="4">
        <f t="shared" si="670"/>
        <v>7.1713310578929521</v>
      </c>
      <c r="DQ250" s="4">
        <f t="shared" si="671"/>
        <v>7.2159534770603102</v>
      </c>
      <c r="DR250" s="38">
        <f t="shared" si="684"/>
        <v>711.9956120867821</v>
      </c>
      <c r="DS250" s="4">
        <f t="shared" si="609"/>
        <v>1.0001237680321675</v>
      </c>
      <c r="DT250" s="4">
        <f t="shared" si="672"/>
        <v>2.2360679774997898</v>
      </c>
      <c r="DU250" s="4">
        <f t="shared" si="618"/>
        <v>363.73922097530118</v>
      </c>
      <c r="DY250" s="4">
        <f t="shared" si="581"/>
        <v>0.85</v>
      </c>
      <c r="DZ250" s="4">
        <f t="shared" si="610"/>
        <v>0.80999999999999994</v>
      </c>
      <c r="EA250" s="4">
        <f t="shared" si="685"/>
        <v>0.99062499999999998</v>
      </c>
      <c r="EB250" s="4">
        <f t="shared" si="611"/>
        <v>0.80240624999999988</v>
      </c>
      <c r="ED250" s="4">
        <f t="shared" si="686"/>
        <v>654.79311592307693</v>
      </c>
      <c r="EE250" s="25">
        <f t="shared" si="687"/>
        <v>360.85356492746229</v>
      </c>
      <c r="EG250" s="4">
        <f t="shared" si="619"/>
        <v>0.68204531249999989</v>
      </c>
      <c r="EH250" s="4">
        <f t="shared" si="688"/>
        <v>7.9143659395695911</v>
      </c>
      <c r="EK250" s="4">
        <f t="shared" si="673"/>
        <v>56.796126628494655</v>
      </c>
      <c r="EL250" s="4">
        <f t="shared" si="674"/>
        <v>2.2360679774997898</v>
      </c>
      <c r="EM250" s="4">
        <f t="shared" si="675"/>
        <v>0.18583650249627301</v>
      </c>
      <c r="EP250" s="4">
        <f t="shared" si="759"/>
        <v>0.18583650249627301</v>
      </c>
      <c r="EQ250" s="4">
        <f t="shared" si="721"/>
        <v>0.57378662076944675</v>
      </c>
      <c r="ER250" s="4">
        <f t="shared" si="559"/>
        <v>6.3374755085246219</v>
      </c>
      <c r="ES250" s="4">
        <f t="shared" si="743"/>
        <v>7.169459329515119</v>
      </c>
      <c r="ET250" s="4">
        <f t="shared" si="560"/>
        <v>179.04287337150535</v>
      </c>
      <c r="EU250" s="4">
        <f t="shared" si="561"/>
        <v>78.612999999999971</v>
      </c>
      <c r="EV250" s="4">
        <f t="shared" si="612"/>
        <v>2.28878599030477E-5</v>
      </c>
      <c r="EW250" s="4">
        <f t="shared" si="744"/>
        <v>7.2161591068256854</v>
      </c>
      <c r="EX250" s="4">
        <f t="shared" si="636"/>
        <v>711.90750069633555</v>
      </c>
      <c r="FG250" s="23">
        <f t="shared" si="711"/>
        <v>2</v>
      </c>
      <c r="FH250" s="23">
        <f t="shared" si="711"/>
        <v>1.4</v>
      </c>
      <c r="FI250" s="23">
        <f t="shared" si="712"/>
        <v>1.2</v>
      </c>
      <c r="FJ250" s="23">
        <f t="shared" si="713"/>
        <v>2</v>
      </c>
      <c r="FK250" s="23">
        <f t="shared" si="713"/>
        <v>1.2</v>
      </c>
      <c r="FL250" s="23">
        <f t="shared" si="713"/>
        <v>1.2</v>
      </c>
      <c r="FM250" s="23">
        <f t="shared" si="701"/>
        <v>0</v>
      </c>
      <c r="FX250" s="4">
        <f t="shared" si="613"/>
        <v>1</v>
      </c>
      <c r="FY250" s="4">
        <f t="shared" si="652"/>
        <v>0.44</v>
      </c>
      <c r="FZ250" s="4">
        <f t="shared" si="614"/>
        <v>0.3</v>
      </c>
      <c r="GA250" s="4">
        <f t="shared" si="615"/>
        <v>682.24555385386964</v>
      </c>
    </row>
    <row r="251" spans="1:183" ht="12" customHeight="1" x14ac:dyDescent="0.3">
      <c r="A251" s="25">
        <v>233</v>
      </c>
      <c r="B251" s="4" t="s">
        <v>605</v>
      </c>
      <c r="C251" s="4">
        <v>2016</v>
      </c>
      <c r="D251" s="4" t="s">
        <v>309</v>
      </c>
      <c r="E251" s="24" t="s">
        <v>661</v>
      </c>
      <c r="F251" s="7" t="s">
        <v>386</v>
      </c>
      <c r="G251" s="38">
        <f t="shared" si="745"/>
        <v>827.58620689655174</v>
      </c>
      <c r="H251" s="38">
        <f>12.06*25.4</f>
        <v>306.32400000000001</v>
      </c>
      <c r="I251" s="4">
        <f t="shared" si="746"/>
        <v>306.32400000000001</v>
      </c>
      <c r="J251" s="38">
        <f>5380/145</f>
        <v>37.103448275862071</v>
      </c>
      <c r="K251" s="38">
        <f t="shared" si="747"/>
        <v>25.4</v>
      </c>
      <c r="L251" s="7">
        <f t="shared" si="748"/>
        <v>12.06</v>
      </c>
      <c r="M251" s="7">
        <f t="shared" si="749"/>
        <v>12.06</v>
      </c>
      <c r="N251" s="38">
        <f>20*25.4</f>
        <v>508</v>
      </c>
      <c r="O251" s="38">
        <f>4*25.4</f>
        <v>101.6</v>
      </c>
      <c r="P251" s="39">
        <f>3.75*25.4</f>
        <v>95.25</v>
      </c>
      <c r="Q251" s="7">
        <f t="shared" si="750"/>
        <v>254</v>
      </c>
      <c r="R251" s="38">
        <v>2</v>
      </c>
      <c r="S251" s="4">
        <f t="shared" si="722"/>
        <v>260.34999999999997</v>
      </c>
      <c r="T251" s="7">
        <f t="shared" si="751"/>
        <v>4.5</v>
      </c>
      <c r="U251" s="7">
        <f t="shared" si="631"/>
        <v>4.5</v>
      </c>
      <c r="V251" s="38">
        <v>4</v>
      </c>
      <c r="W251" s="4">
        <f t="shared" si="752"/>
        <v>4</v>
      </c>
      <c r="X251" s="4">
        <f t="shared" si="753"/>
        <v>5</v>
      </c>
      <c r="Y251" s="7">
        <f t="shared" si="754"/>
        <v>56.796126628494655</v>
      </c>
      <c r="AB251" s="38">
        <f>121.7/0.145</f>
        <v>839.31034482758628</v>
      </c>
      <c r="AD251" s="4">
        <f t="shared" si="666"/>
        <v>1.0025154962900582</v>
      </c>
      <c r="AE251" s="38">
        <f t="shared" ref="AE251:AE253" si="764">0.375*25.4</f>
        <v>9.5249999999999986</v>
      </c>
      <c r="AF251" s="38">
        <v>8</v>
      </c>
      <c r="AG251" s="39">
        <f>3*25.4</f>
        <v>76.199999999999989</v>
      </c>
      <c r="AH251" s="39">
        <v>3</v>
      </c>
      <c r="AI251" s="39">
        <v>1</v>
      </c>
      <c r="AJ251" s="7"/>
      <c r="AK251" s="4">
        <f t="shared" si="755"/>
        <v>306.32400000000001</v>
      </c>
      <c r="AL251" s="4">
        <f t="shared" si="678"/>
        <v>0.55279159756771701</v>
      </c>
      <c r="AM251" s="4">
        <f t="shared" si="679"/>
        <v>322.24884028531784</v>
      </c>
      <c r="AN251" s="4">
        <f t="shared" si="680"/>
        <v>0.77462686567164174</v>
      </c>
      <c r="AO251" s="4">
        <v>1.25</v>
      </c>
      <c r="AP251" s="4">
        <f t="shared" si="624"/>
        <v>2.5</v>
      </c>
      <c r="AQ251" s="38">
        <f t="shared" si="723"/>
        <v>431.21650275797623</v>
      </c>
      <c r="AR251" s="38">
        <f t="shared" si="682"/>
        <v>431.21650275797623</v>
      </c>
      <c r="AS251" s="38">
        <f t="shared" si="683"/>
        <v>3.3373168177886376</v>
      </c>
      <c r="AT251" s="38">
        <f t="shared" si="626"/>
        <v>431.21650275797634</v>
      </c>
      <c r="AU251" s="38">
        <f t="shared" si="601"/>
        <v>0.99999999999999978</v>
      </c>
      <c r="AV251" s="38">
        <f t="shared" si="715"/>
        <v>1.5487859687512009</v>
      </c>
      <c r="AW251" s="4">
        <f t="shared" si="707"/>
        <v>0</v>
      </c>
      <c r="AX251" s="4">
        <f t="shared" si="756"/>
        <v>386.63471310203067</v>
      </c>
      <c r="AY251" s="4">
        <f t="shared" si="724"/>
        <v>1</v>
      </c>
      <c r="AZ251" s="38">
        <f t="shared" si="617"/>
        <v>667.86206896551732</v>
      </c>
      <c r="BA251" s="4">
        <f t="shared" si="725"/>
        <v>0.44000000000000006</v>
      </c>
      <c r="BB251" s="4">
        <f t="shared" si="726"/>
        <v>88.887320542156857</v>
      </c>
      <c r="BC251" s="4">
        <f t="shared" si="727"/>
        <v>756.74938950767421</v>
      </c>
      <c r="BE251" s="4">
        <f t="shared" si="627"/>
        <v>1.5</v>
      </c>
      <c r="BF251" s="4">
        <f t="shared" si="628"/>
        <v>604.67937928949675</v>
      </c>
      <c r="BH251" s="4">
        <f t="shared" si="633"/>
        <v>640.56139834689668</v>
      </c>
      <c r="BI251" s="4">
        <f t="shared" si="634"/>
        <v>0</v>
      </c>
      <c r="BJ251" s="4">
        <f t="shared" si="635"/>
        <v>0</v>
      </c>
      <c r="BR251" s="4">
        <f t="shared" si="728"/>
        <v>101.6</v>
      </c>
      <c r="BV251" s="9"/>
      <c r="BX251" s="9"/>
      <c r="BY251" s="9"/>
      <c r="BZ251" s="9">
        <f t="shared" si="729"/>
        <v>95.25</v>
      </c>
      <c r="CA251" s="9">
        <f t="shared" si="730"/>
        <v>127</v>
      </c>
      <c r="CB251" s="9">
        <f t="shared" si="604"/>
        <v>2.0218849722190098</v>
      </c>
      <c r="CC251" s="40">
        <f t="shared" si="757"/>
        <v>20</v>
      </c>
      <c r="CD251" s="9">
        <f t="shared" si="731"/>
        <v>0.05</v>
      </c>
      <c r="CE251" s="9">
        <f t="shared" si="732"/>
        <v>0.8</v>
      </c>
      <c r="CF251" s="9">
        <f t="shared" si="733"/>
        <v>0.99524931562137331</v>
      </c>
      <c r="CG251" s="9">
        <f t="shared" si="734"/>
        <v>0.68</v>
      </c>
      <c r="CH251" s="9">
        <f t="shared" si="606"/>
        <v>1.4428327162401366</v>
      </c>
      <c r="CI251" s="9">
        <f t="shared" si="607"/>
        <v>3.6070817906003416</v>
      </c>
      <c r="CJ251" s="40">
        <v>1</v>
      </c>
      <c r="CK251" s="9">
        <f t="shared" si="608"/>
        <v>390.43053301458099</v>
      </c>
      <c r="CM251" s="4">
        <f t="shared" si="735"/>
        <v>2.1708095946524519</v>
      </c>
      <c r="CN251" s="4">
        <f t="shared" si="736"/>
        <v>1.1090994673594974</v>
      </c>
      <c r="CO251" s="4">
        <f t="shared" si="708"/>
        <v>1.3880254124322593</v>
      </c>
      <c r="CP251" s="4">
        <f t="shared" si="737"/>
        <v>2.1497046820266013</v>
      </c>
      <c r="CQ251" s="4">
        <f t="shared" si="694"/>
        <v>1.0025154962900582</v>
      </c>
      <c r="CR251" s="4">
        <f t="shared" si="695"/>
        <v>1.0958321519136152</v>
      </c>
      <c r="CS251" s="4">
        <f t="shared" si="709"/>
        <v>1.2442613749021638</v>
      </c>
      <c r="CT251" s="4">
        <f t="shared" si="758"/>
        <v>8</v>
      </c>
      <c r="DA251" s="4">
        <f t="shared" si="760"/>
        <v>2.1708095946524519</v>
      </c>
      <c r="DB251" s="4">
        <f t="shared" si="760"/>
        <v>1.1090994673594974</v>
      </c>
      <c r="DC251" s="4">
        <f t="shared" si="761"/>
        <v>2.1497046820266013</v>
      </c>
      <c r="DD251" s="4">
        <f t="shared" si="762"/>
        <v>1.2442613749021638</v>
      </c>
      <c r="DE251" s="4">
        <f t="shared" si="763"/>
        <v>1.0025154962900582</v>
      </c>
      <c r="DF251" s="4">
        <f t="shared" si="763"/>
        <v>1.0958321519136152</v>
      </c>
      <c r="DI251" s="4">
        <f t="shared" si="742"/>
        <v>306.32400000000001</v>
      </c>
      <c r="DL251" s="4">
        <f t="shared" si="667"/>
        <v>2.2622636639966186E-5</v>
      </c>
      <c r="DM251" s="4">
        <f t="shared" si="558"/>
        <v>9.3454355759249683</v>
      </c>
      <c r="DN251" s="4">
        <f t="shared" si="668"/>
        <v>0.6421059640052692</v>
      </c>
      <c r="DO251" s="4">
        <f t="shared" si="669"/>
        <v>7.827845214538236</v>
      </c>
      <c r="DP251" s="4">
        <f t="shared" si="670"/>
        <v>8.6201282342357342</v>
      </c>
      <c r="DQ251" s="4">
        <f t="shared" si="671"/>
        <v>8.3912116791286806</v>
      </c>
      <c r="DR251" s="38">
        <f t="shared" si="684"/>
        <v>837.20436036506749</v>
      </c>
      <c r="DS251" s="4">
        <f t="shared" si="609"/>
        <v>1.0001288226971616</v>
      </c>
      <c r="DT251" s="4">
        <f t="shared" si="672"/>
        <v>2.2360679774997898</v>
      </c>
      <c r="DU251" s="4">
        <f t="shared" si="618"/>
        <v>431.21650275797634</v>
      </c>
      <c r="DY251" s="4">
        <f t="shared" si="581"/>
        <v>0.85</v>
      </c>
      <c r="DZ251" s="4">
        <f t="shared" si="610"/>
        <v>0.7</v>
      </c>
      <c r="EA251" s="4">
        <f t="shared" si="685"/>
        <v>0.99062499999999998</v>
      </c>
      <c r="EB251" s="4">
        <f t="shared" si="611"/>
        <v>0.7</v>
      </c>
      <c r="ED251" s="4">
        <f t="shared" si="686"/>
        <v>765.91140656160405</v>
      </c>
      <c r="EE251" s="25">
        <f t="shared" si="687"/>
        <v>427.79354742463875</v>
      </c>
      <c r="EG251" s="4">
        <f t="shared" si="619"/>
        <v>0.59499999999999997</v>
      </c>
      <c r="EH251" s="4">
        <f t="shared" si="688"/>
        <v>9.3454355759249683</v>
      </c>
      <c r="EK251" s="4">
        <f t="shared" si="673"/>
        <v>56.796126628494655</v>
      </c>
      <c r="EL251" s="4">
        <f t="shared" si="674"/>
        <v>2.2360679774997898</v>
      </c>
      <c r="EM251" s="4">
        <f t="shared" si="675"/>
        <v>0.21386962397516138</v>
      </c>
      <c r="EP251" s="4">
        <f t="shared" si="759"/>
        <v>0.21386962397516138</v>
      </c>
      <c r="EQ251" s="4">
        <f t="shared" si="721"/>
        <v>0.64103440882362794</v>
      </c>
      <c r="ER251" s="4">
        <f t="shared" si="559"/>
        <v>7.8226173102984617</v>
      </c>
      <c r="ES251" s="4">
        <f t="shared" si="743"/>
        <v>8.6177553730976868</v>
      </c>
      <c r="ET251" s="4">
        <f t="shared" si="560"/>
        <v>172.94687337150535</v>
      </c>
      <c r="EU251" s="4">
        <f t="shared" si="561"/>
        <v>76.581000000000017</v>
      </c>
      <c r="EV251" s="4">
        <f t="shared" si="612"/>
        <v>2.262263663996619E-5</v>
      </c>
      <c r="EW251" s="4">
        <f t="shared" si="744"/>
        <v>8.3915059880731953</v>
      </c>
      <c r="EX251" s="4">
        <f t="shared" si="636"/>
        <v>837.09652333314716</v>
      </c>
      <c r="FG251" s="23">
        <f t="shared" si="711"/>
        <v>2.2000000000000002</v>
      </c>
      <c r="FH251" s="23">
        <f t="shared" si="711"/>
        <v>1.2</v>
      </c>
      <c r="FI251" s="23">
        <f t="shared" si="712"/>
        <v>1.4</v>
      </c>
      <c r="FJ251" s="23">
        <f t="shared" si="713"/>
        <v>2.2000000000000002</v>
      </c>
      <c r="FK251" s="23">
        <f t="shared" si="713"/>
        <v>1.2</v>
      </c>
      <c r="FL251" s="23">
        <f t="shared" si="713"/>
        <v>1.2</v>
      </c>
      <c r="FM251" s="23">
        <f t="shared" si="701"/>
        <v>0</v>
      </c>
      <c r="FN251" s="23"/>
      <c r="FX251" s="4">
        <f t="shared" si="613"/>
        <v>1</v>
      </c>
      <c r="FY251" s="4">
        <f t="shared" si="652"/>
        <v>0.44</v>
      </c>
      <c r="FZ251" s="4">
        <f t="shared" si="614"/>
        <v>0.3</v>
      </c>
      <c r="GA251" s="4">
        <f t="shared" si="615"/>
        <v>674.54504476085754</v>
      </c>
    </row>
    <row r="252" spans="1:183" ht="12" customHeight="1" x14ac:dyDescent="0.3">
      <c r="A252" s="25">
        <v>234</v>
      </c>
      <c r="B252" s="4" t="s">
        <v>605</v>
      </c>
      <c r="C252" s="4">
        <v>2016</v>
      </c>
      <c r="D252" s="4" t="s">
        <v>309</v>
      </c>
      <c r="E252" s="24" t="s">
        <v>661</v>
      </c>
      <c r="F252" s="7" t="s">
        <v>387</v>
      </c>
      <c r="G252" s="38">
        <f t="shared" si="745"/>
        <v>827.58620689655174</v>
      </c>
      <c r="H252" s="38">
        <f>12.44*25.4</f>
        <v>315.97599999999994</v>
      </c>
      <c r="I252" s="4">
        <f t="shared" si="746"/>
        <v>315.97599999999994</v>
      </c>
      <c r="J252" s="38">
        <f>5070/145</f>
        <v>34.96551724137931</v>
      </c>
      <c r="K252" s="38">
        <f t="shared" si="747"/>
        <v>25.4</v>
      </c>
      <c r="L252" s="7">
        <f t="shared" si="748"/>
        <v>12.439999999999998</v>
      </c>
      <c r="M252" s="7">
        <f t="shared" si="749"/>
        <v>12.439999999999998</v>
      </c>
      <c r="N252" s="38">
        <f>17.5*25.4</f>
        <v>444.5</v>
      </c>
      <c r="O252" s="38">
        <f>2.95*25.4</f>
        <v>74.930000000000007</v>
      </c>
      <c r="P252" s="39">
        <f>3.3*25.4</f>
        <v>83.82</v>
      </c>
      <c r="Q252" s="7">
        <f t="shared" si="750"/>
        <v>243.83999999999997</v>
      </c>
      <c r="R252" s="38">
        <v>2</v>
      </c>
      <c r="S252" s="4">
        <f t="shared" si="722"/>
        <v>260.34999999999997</v>
      </c>
      <c r="T252" s="7">
        <f t="shared" si="751"/>
        <v>3.4500000000000006</v>
      </c>
      <c r="U252" s="7">
        <f t="shared" si="631"/>
        <v>3.4500000000000006</v>
      </c>
      <c r="V252" s="38">
        <v>4</v>
      </c>
      <c r="W252" s="4">
        <f t="shared" si="752"/>
        <v>4</v>
      </c>
      <c r="X252" s="4">
        <f t="shared" si="753"/>
        <v>5</v>
      </c>
      <c r="Y252" s="7">
        <f t="shared" si="754"/>
        <v>56.796126628494655</v>
      </c>
      <c r="AB252" s="38">
        <f>138/0.145</f>
        <v>951.72413793103453</v>
      </c>
      <c r="AD252" s="4">
        <f t="shared" si="666"/>
        <v>1.3316690082587483</v>
      </c>
      <c r="AE252" s="38">
        <f t="shared" si="764"/>
        <v>9.5249999999999986</v>
      </c>
      <c r="AF252" s="38">
        <v>8</v>
      </c>
      <c r="AG252" s="39">
        <f>4*25.4</f>
        <v>101.6</v>
      </c>
      <c r="AH252" s="39">
        <v>2</v>
      </c>
      <c r="AI252" s="39">
        <v>1</v>
      </c>
      <c r="AJ252" s="7"/>
      <c r="AK252" s="4">
        <f t="shared" si="755"/>
        <v>315.97599999999994</v>
      </c>
      <c r="AL252" s="4">
        <f t="shared" si="678"/>
        <v>0.46891747052518773</v>
      </c>
      <c r="AM252" s="4">
        <f t="shared" si="679"/>
        <v>327.72820079341074</v>
      </c>
      <c r="AN252" s="4">
        <f t="shared" si="680"/>
        <v>0.7554662379421222</v>
      </c>
      <c r="AO252" s="4">
        <v>1.25</v>
      </c>
      <c r="AP252" s="4">
        <f t="shared" si="624"/>
        <v>2.5</v>
      </c>
      <c r="AQ252" s="38">
        <f t="shared" si="723"/>
        <v>362.80670896272306</v>
      </c>
      <c r="AR252" s="38">
        <f t="shared" si="682"/>
        <v>362.80670896272306</v>
      </c>
      <c r="AS252" s="38">
        <f t="shared" si="683"/>
        <v>3.2078537456295186</v>
      </c>
      <c r="AT252" s="38">
        <f t="shared" si="626"/>
        <v>362.80670896272267</v>
      </c>
      <c r="AU252" s="38">
        <f t="shared" si="601"/>
        <v>1.0000000000000011</v>
      </c>
      <c r="AV252" s="38">
        <f t="shared" si="715"/>
        <v>1.329975786033804</v>
      </c>
      <c r="AW252" s="4">
        <f t="shared" si="707"/>
        <v>0</v>
      </c>
      <c r="AX252" s="4">
        <f t="shared" si="756"/>
        <v>387.15668086604285</v>
      </c>
      <c r="AY252" s="4">
        <f t="shared" si="724"/>
        <v>1</v>
      </c>
      <c r="AZ252" s="38">
        <f t="shared" si="617"/>
        <v>482.5241379310346</v>
      </c>
      <c r="BA252" s="4">
        <f t="shared" si="725"/>
        <v>0.44000000000000006</v>
      </c>
      <c r="BB252" s="4">
        <f t="shared" si="726"/>
        <v>89.007320931103266</v>
      </c>
      <c r="BC252" s="4">
        <f t="shared" si="727"/>
        <v>571.53145886213792</v>
      </c>
      <c r="BE252" s="4">
        <f t="shared" si="627"/>
        <v>1.5</v>
      </c>
      <c r="BF252" s="4">
        <f t="shared" si="628"/>
        <v>597.11137543666166</v>
      </c>
      <c r="BH252" s="4">
        <f t="shared" si="633"/>
        <v>462.79965713278585</v>
      </c>
      <c r="BI252" s="4">
        <f t="shared" si="634"/>
        <v>0</v>
      </c>
      <c r="BJ252" s="4">
        <f t="shared" si="635"/>
        <v>0</v>
      </c>
      <c r="BR252" s="4">
        <f t="shared" si="728"/>
        <v>74.930000000000007</v>
      </c>
      <c r="BV252" s="9"/>
      <c r="BX252" s="9"/>
      <c r="BY252" s="9"/>
      <c r="BZ252" s="9">
        <f t="shared" si="729"/>
        <v>74.930000000000007</v>
      </c>
      <c r="CA252" s="9">
        <f t="shared" si="730"/>
        <v>121.91999999999999</v>
      </c>
      <c r="CB252" s="9">
        <f t="shared" si="604"/>
        <v>1.8476678039809094</v>
      </c>
      <c r="CC252" s="40">
        <f t="shared" si="757"/>
        <v>20</v>
      </c>
      <c r="CD252" s="9">
        <f t="shared" si="731"/>
        <v>0.05</v>
      </c>
      <c r="CE252" s="9">
        <f t="shared" si="732"/>
        <v>0.8</v>
      </c>
      <c r="CF252" s="9">
        <f t="shared" si="733"/>
        <v>0.99524931562137331</v>
      </c>
      <c r="CG252" s="9">
        <f t="shared" si="734"/>
        <v>0.68</v>
      </c>
      <c r="CH252" s="9">
        <f t="shared" si="606"/>
        <v>1.4006474122126336</v>
      </c>
      <c r="CI252" s="9">
        <f t="shared" si="607"/>
        <v>3.5016185305315837</v>
      </c>
      <c r="CJ252" s="40">
        <v>1</v>
      </c>
      <c r="CK252" s="9">
        <f t="shared" si="608"/>
        <v>384.33764991114657</v>
      </c>
      <c r="CM252" s="4">
        <f t="shared" si="735"/>
        <v>2.4582402550876643</v>
      </c>
      <c r="CN252" s="4">
        <f t="shared" si="736"/>
        <v>1.6652174139737159</v>
      </c>
      <c r="CO252" s="4">
        <f t="shared" si="708"/>
        <v>1.5938804335037966</v>
      </c>
      <c r="CP252" s="4">
        <f t="shared" si="737"/>
        <v>2.4762708991717561</v>
      </c>
      <c r="CQ252" s="4">
        <f t="shared" si="694"/>
        <v>1.3316690082587483</v>
      </c>
      <c r="CR252" s="4">
        <f t="shared" si="695"/>
        <v>1.4482630142707176</v>
      </c>
      <c r="CS252" s="4">
        <f t="shared" si="709"/>
        <v>1.400091193706031</v>
      </c>
      <c r="CT252" s="4">
        <f t="shared" si="758"/>
        <v>8</v>
      </c>
      <c r="DA252" s="4">
        <f t="shared" si="760"/>
        <v>2.4582402550876643</v>
      </c>
      <c r="DB252" s="4">
        <f t="shared" si="760"/>
        <v>1.6652174139737159</v>
      </c>
      <c r="DC252" s="4">
        <f t="shared" si="761"/>
        <v>2.4762708991717561</v>
      </c>
      <c r="DD252" s="4">
        <f t="shared" si="762"/>
        <v>1.400091193706031</v>
      </c>
      <c r="DE252" s="4">
        <f t="shared" si="763"/>
        <v>1.3316690082587483</v>
      </c>
      <c r="DF252" s="4">
        <f t="shared" si="763"/>
        <v>1.4482630142707176</v>
      </c>
      <c r="DI252" s="4">
        <f t="shared" si="742"/>
        <v>315.97599999999994</v>
      </c>
      <c r="DL252" s="4">
        <f t="shared" si="667"/>
        <v>2.2998786526164252E-5</v>
      </c>
      <c r="DM252" s="4">
        <f t="shared" si="558"/>
        <v>7.9635234919892781</v>
      </c>
      <c r="DN252" s="4">
        <f t="shared" si="668"/>
        <v>0.57327229845730976</v>
      </c>
      <c r="DO252" s="4">
        <f t="shared" si="669"/>
        <v>6.3745517050009441</v>
      </c>
      <c r="DP252" s="4">
        <f t="shared" si="670"/>
        <v>7.212979760780323</v>
      </c>
      <c r="DQ252" s="4">
        <f t="shared" si="671"/>
        <v>7.2499372750174791</v>
      </c>
      <c r="DR252" s="38">
        <f t="shared" si="684"/>
        <v>714.68520482839904</v>
      </c>
      <c r="DS252" s="4">
        <f t="shared" si="609"/>
        <v>1.0001242990621564</v>
      </c>
      <c r="DT252" s="4">
        <f t="shared" si="672"/>
        <v>2.2360679774997898</v>
      </c>
      <c r="DU252" s="4">
        <f t="shared" si="618"/>
        <v>362.80670896272267</v>
      </c>
      <c r="DY252" s="4">
        <f t="shared" si="581"/>
        <v>0.85</v>
      </c>
      <c r="DZ252" s="4">
        <f t="shared" si="610"/>
        <v>0.80499999999999994</v>
      </c>
      <c r="EA252" s="4">
        <f t="shared" si="685"/>
        <v>0.99062499999999998</v>
      </c>
      <c r="EB252" s="4">
        <f t="shared" si="611"/>
        <v>0.79745312499999987</v>
      </c>
      <c r="ED252" s="4">
        <f t="shared" si="686"/>
        <v>657.1486867737774</v>
      </c>
      <c r="EE252" s="25">
        <f t="shared" si="687"/>
        <v>359.94999005273769</v>
      </c>
      <c r="EG252" s="4">
        <f t="shared" si="619"/>
        <v>0.6778351562499999</v>
      </c>
      <c r="EH252" s="4">
        <f t="shared" si="688"/>
        <v>7.9635234919892781</v>
      </c>
      <c r="EK252" s="4">
        <f t="shared" si="673"/>
        <v>56.796126628494655</v>
      </c>
      <c r="EL252" s="4">
        <f t="shared" si="674"/>
        <v>2.2360679774997898</v>
      </c>
      <c r="EM252" s="4">
        <f t="shared" si="675"/>
        <v>0.18536007663686557</v>
      </c>
      <c r="EP252" s="4">
        <f t="shared" si="759"/>
        <v>0.18536007663686557</v>
      </c>
      <c r="EQ252" s="4">
        <f t="shared" si="721"/>
        <v>0.57231561383461671</v>
      </c>
      <c r="ER252" s="4">
        <f t="shared" si="559"/>
        <v>6.3702943972780819</v>
      </c>
      <c r="ES252" s="4">
        <f t="shared" si="743"/>
        <v>7.2110995253438732</v>
      </c>
      <c r="ET252" s="4">
        <f t="shared" si="560"/>
        <v>180.18587337150532</v>
      </c>
      <c r="EU252" s="4">
        <f t="shared" si="561"/>
        <v>78.993999999999943</v>
      </c>
      <c r="EV252" s="4">
        <f t="shared" si="612"/>
        <v>2.2998786526164242E-5</v>
      </c>
      <c r="EW252" s="4">
        <f t="shared" si="744"/>
        <v>7.2501469138734471</v>
      </c>
      <c r="EX252" s="4">
        <f t="shared" si="636"/>
        <v>714.59638116839949</v>
      </c>
      <c r="FG252" s="23">
        <f t="shared" si="711"/>
        <v>2.2000000000000002</v>
      </c>
      <c r="FH252" s="23">
        <f t="shared" si="711"/>
        <v>1.8</v>
      </c>
      <c r="FI252" s="23">
        <f t="shared" si="712"/>
        <v>1.6</v>
      </c>
      <c r="FJ252" s="23">
        <f t="shared" si="713"/>
        <v>2.2000000000000002</v>
      </c>
      <c r="FK252" s="23">
        <f t="shared" si="713"/>
        <v>1.4</v>
      </c>
      <c r="FL252" s="23">
        <f t="shared" si="713"/>
        <v>1.6</v>
      </c>
      <c r="FM252" s="23">
        <f t="shared" si="701"/>
        <v>0</v>
      </c>
      <c r="FN252" s="23"/>
      <c r="FX252" s="4">
        <f t="shared" si="613"/>
        <v>1</v>
      </c>
      <c r="FY252" s="4">
        <f t="shared" si="652"/>
        <v>0.44374999999999998</v>
      </c>
      <c r="FZ252" s="4">
        <f t="shared" si="614"/>
        <v>0.28124999999999994</v>
      </c>
      <c r="GA252" s="4">
        <f t="shared" si="615"/>
        <v>679.75867729860352</v>
      </c>
    </row>
    <row r="253" spans="1:183" ht="12" customHeight="1" x14ac:dyDescent="0.3">
      <c r="A253" s="25">
        <v>235</v>
      </c>
      <c r="B253" s="4" t="s">
        <v>605</v>
      </c>
      <c r="C253" s="4">
        <v>2016</v>
      </c>
      <c r="D253" s="4" t="s">
        <v>309</v>
      </c>
      <c r="E253" s="24" t="s">
        <v>661</v>
      </c>
      <c r="F253" s="7" t="s">
        <v>388</v>
      </c>
      <c r="G253" s="38">
        <f t="shared" si="745"/>
        <v>827.58620689655174</v>
      </c>
      <c r="H253" s="38">
        <f>12.19*25.4</f>
        <v>309.62599999999998</v>
      </c>
      <c r="I253" s="4">
        <f t="shared" si="746"/>
        <v>309.62599999999998</v>
      </c>
      <c r="J253" s="38">
        <f>4850/145</f>
        <v>33.448275862068968</v>
      </c>
      <c r="K253" s="38">
        <f t="shared" si="747"/>
        <v>25.4</v>
      </c>
      <c r="L253" s="7">
        <f t="shared" si="748"/>
        <v>12.19</v>
      </c>
      <c r="M253" s="7">
        <f t="shared" si="749"/>
        <v>12.19</v>
      </c>
      <c r="N253" s="38">
        <f>20.1*25.4</f>
        <v>510.54</v>
      </c>
      <c r="O253" s="38">
        <f>4*25.4</f>
        <v>101.6</v>
      </c>
      <c r="P253" s="39">
        <f>3.55*25.4</f>
        <v>90.169999999999987</v>
      </c>
      <c r="Q253" s="7">
        <f t="shared" si="750"/>
        <v>256.54000000000002</v>
      </c>
      <c r="R253" s="38">
        <v>2</v>
      </c>
      <c r="S253" s="4">
        <f t="shared" si="722"/>
        <v>260.34999999999997</v>
      </c>
      <c r="T253" s="7">
        <f t="shared" si="751"/>
        <v>4.5</v>
      </c>
      <c r="U253" s="7">
        <f t="shared" si="631"/>
        <v>4.5</v>
      </c>
      <c r="V253" s="38">
        <v>4</v>
      </c>
      <c r="W253" s="4">
        <f t="shared" si="752"/>
        <v>4</v>
      </c>
      <c r="X253" s="4">
        <f t="shared" si="753"/>
        <v>5</v>
      </c>
      <c r="Y253" s="7">
        <f t="shared" si="754"/>
        <v>56.796126628494655</v>
      </c>
      <c r="AB253" s="38">
        <f>128.5/0.145</f>
        <v>886.20689655172418</v>
      </c>
      <c r="AD253" s="4">
        <f t="shared" si="666"/>
        <v>1.097611405753202</v>
      </c>
      <c r="AE253" s="38">
        <f t="shared" si="764"/>
        <v>9.5249999999999986</v>
      </c>
      <c r="AF253" s="38">
        <v>8</v>
      </c>
      <c r="AG253" s="39">
        <f>4*25.4</f>
        <v>101.6</v>
      </c>
      <c r="AH253" s="39">
        <v>2</v>
      </c>
      <c r="AI253" s="39">
        <v>1</v>
      </c>
      <c r="AJ253" s="7"/>
      <c r="AK253" s="4">
        <f t="shared" si="755"/>
        <v>309.62599999999998</v>
      </c>
      <c r="AL253" s="4">
        <f t="shared" si="678"/>
        <v>0.54963084495488113</v>
      </c>
      <c r="AM253" s="4">
        <f t="shared" si="679"/>
        <v>310.92503455862817</v>
      </c>
      <c r="AN253" s="4">
        <f t="shared" si="680"/>
        <v>0.77383100902378998</v>
      </c>
      <c r="AO253" s="4">
        <v>1.25</v>
      </c>
      <c r="AP253" s="4">
        <f t="shared" si="624"/>
        <v>2.5</v>
      </c>
      <c r="AQ253" s="38">
        <f t="shared" si="723"/>
        <v>413.25958844233031</v>
      </c>
      <c r="AR253" s="38">
        <f t="shared" si="682"/>
        <v>413.25958844233031</v>
      </c>
      <c r="AS253" s="38">
        <f t="shared" si="683"/>
        <v>3.1143714702560636</v>
      </c>
      <c r="AT253" s="38">
        <f t="shared" si="626"/>
        <v>413.25958844233008</v>
      </c>
      <c r="AU253" s="38">
        <f t="shared" si="601"/>
        <v>1.0000000000000004</v>
      </c>
      <c r="AV253" s="38">
        <f t="shared" si="715"/>
        <v>1.4568783940055137</v>
      </c>
      <c r="AW253" s="4">
        <f t="shared" si="707"/>
        <v>0</v>
      </c>
      <c r="AX253" s="4">
        <f t="shared" si="756"/>
        <v>371.05387625127508</v>
      </c>
      <c r="AY253" s="4">
        <f t="shared" si="724"/>
        <v>1</v>
      </c>
      <c r="AZ253" s="38">
        <f t="shared" si="617"/>
        <v>602.06896551724139</v>
      </c>
      <c r="BA253" s="4">
        <f t="shared" si="725"/>
        <v>0.44000000000000006</v>
      </c>
      <c r="BB253" s="4">
        <f t="shared" si="726"/>
        <v>85.305286150168143</v>
      </c>
      <c r="BC253" s="4">
        <f t="shared" si="727"/>
        <v>687.37425166740957</v>
      </c>
      <c r="BE253" s="4">
        <f t="shared" si="627"/>
        <v>1.5</v>
      </c>
      <c r="BF253" s="4">
        <f t="shared" si="628"/>
        <v>577.50624401013158</v>
      </c>
      <c r="BH253" s="4">
        <f t="shared" si="633"/>
        <v>577.45776616774151</v>
      </c>
      <c r="BI253" s="4">
        <f t="shared" si="634"/>
        <v>0</v>
      </c>
      <c r="BJ253" s="4">
        <f t="shared" si="635"/>
        <v>0</v>
      </c>
      <c r="BR253" s="4">
        <f t="shared" si="728"/>
        <v>101.6</v>
      </c>
      <c r="BV253" s="9"/>
      <c r="BX253" s="9"/>
      <c r="BY253" s="9"/>
      <c r="BZ253" s="9">
        <f t="shared" si="729"/>
        <v>90.169999999999987</v>
      </c>
      <c r="CA253" s="9">
        <f t="shared" si="730"/>
        <v>128.27000000000001</v>
      </c>
      <c r="CB253" s="9">
        <f t="shared" si="604"/>
        <v>1.9864316684380796</v>
      </c>
      <c r="CC253" s="40">
        <f t="shared" si="757"/>
        <v>20</v>
      </c>
      <c r="CD253" s="9">
        <f t="shared" si="731"/>
        <v>0.05</v>
      </c>
      <c r="CE253" s="9">
        <f t="shared" si="732"/>
        <v>0.8</v>
      </c>
      <c r="CF253" s="9">
        <f t="shared" si="733"/>
        <v>0.99524931562137331</v>
      </c>
      <c r="CG253" s="9">
        <f t="shared" si="734"/>
        <v>0.68</v>
      </c>
      <c r="CH253" s="9">
        <f t="shared" si="606"/>
        <v>1.3699215983187671</v>
      </c>
      <c r="CI253" s="9">
        <f t="shared" si="607"/>
        <v>3.4248039957969176</v>
      </c>
      <c r="CJ253" s="40">
        <v>1</v>
      </c>
      <c r="CK253" s="9">
        <f t="shared" si="608"/>
        <v>372.48168258287274</v>
      </c>
      <c r="CM253" s="4">
        <f t="shared" si="735"/>
        <v>2.3883510004126491</v>
      </c>
      <c r="CN253" s="4">
        <f t="shared" si="736"/>
        <v>1.2892640281505934</v>
      </c>
      <c r="CO253" s="4">
        <f t="shared" si="708"/>
        <v>1.5345408049582523</v>
      </c>
      <c r="CP253" s="4">
        <f t="shared" si="737"/>
        <v>2.3791959121494619</v>
      </c>
      <c r="CQ253" s="4">
        <f t="shared" si="694"/>
        <v>1.097611405753202</v>
      </c>
      <c r="CR253" s="4">
        <f t="shared" si="695"/>
        <v>1.2065212017848979</v>
      </c>
      <c r="CS253" s="4">
        <f t="shared" si="709"/>
        <v>1.3452828172806048</v>
      </c>
      <c r="CT253" s="4">
        <f t="shared" si="758"/>
        <v>8</v>
      </c>
      <c r="DA253" s="4">
        <f t="shared" si="760"/>
        <v>2.3883510004126491</v>
      </c>
      <c r="DB253" s="4">
        <f t="shared" si="760"/>
        <v>1.2892640281505934</v>
      </c>
      <c r="DC253" s="4">
        <f t="shared" si="761"/>
        <v>2.3791959121494619</v>
      </c>
      <c r="DD253" s="4">
        <f t="shared" si="762"/>
        <v>1.3452828172806048</v>
      </c>
      <c r="DE253" s="4">
        <f t="shared" si="763"/>
        <v>1.097611405753202</v>
      </c>
      <c r="DF253" s="4">
        <f t="shared" si="763"/>
        <v>1.2065212017848979</v>
      </c>
      <c r="DI253" s="4">
        <f t="shared" si="742"/>
        <v>309.62599999999998</v>
      </c>
      <c r="DL253" s="4">
        <f t="shared" si="667"/>
        <v>2.2302235172382959E-5</v>
      </c>
      <c r="DM253" s="4">
        <f t="shared" si="558"/>
        <v>8.8731797505383305</v>
      </c>
      <c r="DN253" s="4">
        <f t="shared" si="668"/>
        <v>0.68261339559618783</v>
      </c>
      <c r="DO253" s="4">
        <f t="shared" si="669"/>
        <v>7.6163904897469754</v>
      </c>
      <c r="DP253" s="4">
        <f t="shared" si="670"/>
        <v>8.2687115091235786</v>
      </c>
      <c r="DQ253" s="4">
        <f t="shared" si="671"/>
        <v>8.0052518981639746</v>
      </c>
      <c r="DR253" s="38">
        <f t="shared" si="684"/>
        <v>807.39585239968596</v>
      </c>
      <c r="DS253" s="4">
        <f t="shared" si="609"/>
        <v>1.0001323830681572</v>
      </c>
      <c r="DT253" s="4">
        <f t="shared" si="672"/>
        <v>2.2360679774997898</v>
      </c>
      <c r="DU253" s="4">
        <f t="shared" si="618"/>
        <v>413.25958844233008</v>
      </c>
      <c r="DY253" s="4">
        <f t="shared" si="581"/>
        <v>0.85</v>
      </c>
      <c r="DZ253" s="4">
        <f t="shared" si="610"/>
        <v>0.7</v>
      </c>
      <c r="EA253" s="4">
        <f t="shared" si="685"/>
        <v>0.99062499999999998</v>
      </c>
      <c r="EB253" s="4">
        <f t="shared" si="611"/>
        <v>0.7</v>
      </c>
      <c r="ED253" s="4">
        <f t="shared" si="686"/>
        <v>734.51415129770737</v>
      </c>
      <c r="EE253" s="25">
        <f t="shared" si="687"/>
        <v>410.02196782052062</v>
      </c>
      <c r="EG253" s="4">
        <f t="shared" si="619"/>
        <v>0.59499999999999997</v>
      </c>
      <c r="EH253" s="4">
        <f t="shared" si="688"/>
        <v>8.8731797505383305</v>
      </c>
      <c r="EK253" s="4">
        <f t="shared" si="673"/>
        <v>56.796126628494655</v>
      </c>
      <c r="EL253" s="4">
        <f t="shared" si="674"/>
        <v>2.2360679774997898</v>
      </c>
      <c r="EM253" s="4">
        <f t="shared" si="675"/>
        <v>0.21587231067569562</v>
      </c>
      <c r="EP253" s="4">
        <f t="shared" si="759"/>
        <v>0.21587231067569562</v>
      </c>
      <c r="EQ253" s="4">
        <f t="shared" si="721"/>
        <v>0.68147424106078058</v>
      </c>
      <c r="ER253" s="4">
        <f t="shared" si="559"/>
        <v>7.6113038076471362</v>
      </c>
      <c r="ES253" s="4">
        <f t="shared" si="743"/>
        <v>8.2663694968956261</v>
      </c>
      <c r="ET253" s="4">
        <f t="shared" si="560"/>
        <v>175.42337337150533</v>
      </c>
      <c r="EU253" s="4">
        <f t="shared" si="561"/>
        <v>77.406499999999994</v>
      </c>
      <c r="EV253" s="4">
        <f t="shared" si="612"/>
        <v>2.2302235172382959E-5</v>
      </c>
      <c r="EW253" s="4">
        <f t="shared" si="744"/>
        <v>8.0055246683541501</v>
      </c>
      <c r="EX253" s="4">
        <f t="shared" si="636"/>
        <v>807.28898100749075</v>
      </c>
      <c r="FG253" s="23">
        <f t="shared" si="711"/>
        <v>2.2000000000000002</v>
      </c>
      <c r="FH253" s="23">
        <f t="shared" si="711"/>
        <v>1.4</v>
      </c>
      <c r="FI253" s="23">
        <f t="shared" si="712"/>
        <v>1.4</v>
      </c>
      <c r="FJ253" s="23">
        <f t="shared" si="713"/>
        <v>2.2000000000000002</v>
      </c>
      <c r="FK253" s="23">
        <f t="shared" si="713"/>
        <v>1.2</v>
      </c>
      <c r="FL253" s="23">
        <f t="shared" si="713"/>
        <v>1.4</v>
      </c>
      <c r="FM253" s="23">
        <f t="shared" si="701"/>
        <v>0</v>
      </c>
      <c r="FN253" s="23"/>
      <c r="FX253" s="4">
        <f t="shared" si="613"/>
        <v>1</v>
      </c>
      <c r="FY253" s="4">
        <f t="shared" si="652"/>
        <v>0.44374999999999998</v>
      </c>
      <c r="FZ253" s="4">
        <f t="shared" si="614"/>
        <v>0.28124999999999994</v>
      </c>
      <c r="GA253" s="4">
        <f t="shared" si="615"/>
        <v>658.75136823878381</v>
      </c>
    </row>
    <row r="254" spans="1:183" ht="12" customHeight="1" x14ac:dyDescent="0.3">
      <c r="A254" s="25">
        <v>236</v>
      </c>
      <c r="B254" s="4" t="s">
        <v>605</v>
      </c>
      <c r="C254" s="4">
        <v>2016</v>
      </c>
      <c r="D254" s="4" t="s">
        <v>309</v>
      </c>
      <c r="E254" s="24" t="s">
        <v>404</v>
      </c>
      <c r="F254" s="7" t="s">
        <v>389</v>
      </c>
      <c r="G254" s="38">
        <f t="shared" si="745"/>
        <v>827.58620689655174</v>
      </c>
      <c r="H254" s="38">
        <f>12.56*25.4</f>
        <v>319.024</v>
      </c>
      <c r="I254" s="4">
        <f t="shared" si="746"/>
        <v>319.024</v>
      </c>
      <c r="J254" s="38">
        <f>5910/145</f>
        <v>40.758620689655174</v>
      </c>
      <c r="K254" s="38">
        <f t="shared" si="747"/>
        <v>25.4</v>
      </c>
      <c r="L254" s="7">
        <f t="shared" si="748"/>
        <v>12.56</v>
      </c>
      <c r="M254" s="7">
        <f t="shared" si="749"/>
        <v>12.56</v>
      </c>
      <c r="N254" s="38">
        <f>16.8*25.4</f>
        <v>426.71999999999997</v>
      </c>
      <c r="O254" s="38">
        <f>2.5*25.4</f>
        <v>63.5</v>
      </c>
      <c r="P254" s="39">
        <f>3.15*25.4</f>
        <v>80.009999999999991</v>
      </c>
      <c r="Q254" s="7">
        <f t="shared" si="750"/>
        <v>248.91999999999996</v>
      </c>
      <c r="R254" s="38">
        <v>2</v>
      </c>
      <c r="S254" s="4">
        <f t="shared" si="722"/>
        <v>260.34999999999997</v>
      </c>
      <c r="T254" s="7">
        <f t="shared" si="751"/>
        <v>3</v>
      </c>
      <c r="U254" s="7">
        <f t="shared" si="631"/>
        <v>3</v>
      </c>
      <c r="V254" s="38">
        <v>4</v>
      </c>
      <c r="W254" s="4">
        <f t="shared" si="752"/>
        <v>4</v>
      </c>
      <c r="X254" s="4">
        <f t="shared" si="753"/>
        <v>5</v>
      </c>
      <c r="Y254" s="7">
        <f t="shared" si="754"/>
        <v>56.796126628494655</v>
      </c>
      <c r="AB254" s="38">
        <f>123.7/0.145</f>
        <v>853.10344827586209</v>
      </c>
      <c r="AD254" s="4">
        <f t="shared" si="666"/>
        <v>1.1737171323264513</v>
      </c>
      <c r="AE254" s="38"/>
      <c r="AF254" s="38"/>
      <c r="AG254" s="39">
        <v>1</v>
      </c>
      <c r="AH254" s="39"/>
      <c r="AI254" s="39"/>
      <c r="AJ254" s="7"/>
      <c r="AK254" s="4">
        <f t="shared" si="755"/>
        <v>319.024</v>
      </c>
      <c r="AL254" s="4">
        <f t="shared" si="678"/>
        <v>0.44585987261146492</v>
      </c>
      <c r="AM254" s="4">
        <f t="shared" si="679"/>
        <v>358.96942805546695</v>
      </c>
      <c r="AN254" s="4">
        <f t="shared" si="680"/>
        <v>0.74777070063694262</v>
      </c>
      <c r="AO254" s="4">
        <v>1.25</v>
      </c>
      <c r="AP254" s="4">
        <f t="shared" si="624"/>
        <v>2.5</v>
      </c>
      <c r="AQ254" s="38">
        <f t="shared" si="723"/>
        <v>374.00233779258627</v>
      </c>
      <c r="AR254" s="38">
        <f t="shared" si="682"/>
        <v>374.00233779258627</v>
      </c>
      <c r="AS254" s="38">
        <f t="shared" si="683"/>
        <v>3.5530466297176955</v>
      </c>
      <c r="AT254" s="38">
        <f t="shared" si="626"/>
        <v>374.0023377925865</v>
      </c>
      <c r="AU254" s="38">
        <f t="shared" si="601"/>
        <v>0.99999999999999944</v>
      </c>
      <c r="AV254" s="38">
        <f t="shared" si="715"/>
        <v>1.3077550561919431</v>
      </c>
      <c r="AW254" s="4">
        <f t="shared" si="707"/>
        <v>0</v>
      </c>
      <c r="AX254" s="4">
        <f t="shared" si="756"/>
        <v>422.03238460067695</v>
      </c>
      <c r="AY254" s="4">
        <f t="shared" si="724"/>
        <v>1</v>
      </c>
      <c r="AZ254" s="38">
        <f t="shared" si="617"/>
        <v>489.10344827586204</v>
      </c>
      <c r="BA254" s="4">
        <f t="shared" si="725"/>
        <v>0.44000000000000006</v>
      </c>
      <c r="BB254" s="4">
        <f t="shared" si="726"/>
        <v>97.025245219695648</v>
      </c>
      <c r="BC254" s="4">
        <f t="shared" si="727"/>
        <v>586.12869349555763</v>
      </c>
      <c r="BE254" s="4">
        <f t="shared" si="627"/>
        <v>1.375</v>
      </c>
      <c r="BF254" s="4">
        <f t="shared" si="628"/>
        <v>594.11810549987342</v>
      </c>
      <c r="BH254" s="4">
        <f t="shared" si="633"/>
        <v>469.11002035070135</v>
      </c>
      <c r="BI254" s="4">
        <f t="shared" si="634"/>
        <v>0</v>
      </c>
      <c r="BJ254" s="4">
        <f t="shared" si="635"/>
        <v>0</v>
      </c>
      <c r="BR254" s="4">
        <f t="shared" si="728"/>
        <v>63.5</v>
      </c>
      <c r="BV254" s="9"/>
      <c r="BX254" s="9"/>
      <c r="BY254" s="9"/>
      <c r="BZ254" s="9">
        <f t="shared" si="729"/>
        <v>63.5</v>
      </c>
      <c r="CA254" s="9">
        <f t="shared" si="730"/>
        <v>124.45999999999998</v>
      </c>
      <c r="CB254" s="9">
        <f t="shared" si="604"/>
        <v>1.7490749303163509</v>
      </c>
      <c r="CC254" s="40">
        <f t="shared" si="757"/>
        <v>0</v>
      </c>
      <c r="CD254" s="9">
        <f t="shared" si="731"/>
        <v>0</v>
      </c>
      <c r="CE254" s="9">
        <f t="shared" si="732"/>
        <v>0</v>
      </c>
      <c r="CF254" s="9">
        <f t="shared" si="733"/>
        <v>0.99524931562137331</v>
      </c>
      <c r="CG254" s="9">
        <f t="shared" si="734"/>
        <v>0.68</v>
      </c>
      <c r="CH254" s="9">
        <f t="shared" si="606"/>
        <v>1.5122325576992237</v>
      </c>
      <c r="CI254" s="9">
        <f t="shared" si="607"/>
        <v>2.6450080554798867</v>
      </c>
      <c r="CJ254" s="40">
        <v>1</v>
      </c>
      <c r="CK254" s="9">
        <f t="shared" si="608"/>
        <v>291.58568803610274</v>
      </c>
      <c r="CM254" s="4">
        <f t="shared" si="735"/>
        <v>2.0214170272337286</v>
      </c>
      <c r="CN254" s="4">
        <f t="shared" si="736"/>
        <v>1.4554882873727251</v>
      </c>
      <c r="CO254" s="4">
        <f t="shared" si="708"/>
        <v>1.4359155871172888</v>
      </c>
      <c r="CP254" s="4">
        <f t="shared" si="737"/>
        <v>2.925738413369023</v>
      </c>
      <c r="CQ254" s="4">
        <f t="shared" si="694"/>
        <v>1.1737171323264513</v>
      </c>
      <c r="CR254" s="4">
        <f t="shared" si="695"/>
        <v>1.2638608456589822</v>
      </c>
      <c r="CS254" s="4">
        <f t="shared" si="709"/>
        <v>1.3479209893794599</v>
      </c>
      <c r="CT254" s="4">
        <f t="shared" si="758"/>
        <v>0</v>
      </c>
      <c r="CU254" s="4">
        <f t="shared" ref="CU254:CV255" si="765">CM254</f>
        <v>2.0214170272337286</v>
      </c>
      <c r="CV254" s="4">
        <f t="shared" si="765"/>
        <v>1.4554882873727251</v>
      </c>
      <c r="CW254" s="4">
        <f t="shared" ref="CW254:CW255" si="766">CP254</f>
        <v>2.925738413369023</v>
      </c>
      <c r="CX254" s="4">
        <f t="shared" ref="CX254:CX255" si="767">CS254</f>
        <v>1.3479209893794599</v>
      </c>
      <c r="CY254" s="4">
        <f t="shared" ref="CY254:CZ255" si="768">CQ254</f>
        <v>1.1737171323264513</v>
      </c>
      <c r="CZ254" s="4">
        <f t="shared" si="768"/>
        <v>1.2638608456589822</v>
      </c>
      <c r="DI254" s="4">
        <f t="shared" si="742"/>
        <v>319.024</v>
      </c>
      <c r="DL254" s="4">
        <f t="shared" si="667"/>
        <v>2.4141948123623064E-5</v>
      </c>
      <c r="DM254" s="4">
        <f t="shared" si="558"/>
        <v>8.0664280589525461</v>
      </c>
      <c r="DN254" s="4">
        <f t="shared" si="668"/>
        <v>0.50696787740392724</v>
      </c>
      <c r="DO254" s="4">
        <f t="shared" si="669"/>
        <v>6.1471447785115361</v>
      </c>
      <c r="DP254" s="4">
        <f t="shared" si="670"/>
        <v>7.1714004765210388</v>
      </c>
      <c r="DQ254" s="4">
        <f t="shared" si="671"/>
        <v>7.3072902982542649</v>
      </c>
      <c r="DR254" s="38">
        <f t="shared" si="684"/>
        <v>726.83905242560991</v>
      </c>
      <c r="DS254" s="4">
        <f t="shared" si="609"/>
        <v>1.0001163696362081</v>
      </c>
      <c r="DT254" s="4">
        <f t="shared" si="672"/>
        <v>2.2360679774997898</v>
      </c>
      <c r="DU254" s="4">
        <f t="shared" si="618"/>
        <v>374.0023377925865</v>
      </c>
      <c r="DY254" s="4">
        <f t="shared" si="581"/>
        <v>0.85</v>
      </c>
      <c r="DZ254" s="4">
        <f t="shared" si="610"/>
        <v>0.85</v>
      </c>
      <c r="EA254" s="4">
        <f t="shared" si="685"/>
        <v>1</v>
      </c>
      <c r="EB254" s="4">
        <f t="shared" si="611"/>
        <v>0.85</v>
      </c>
      <c r="ED254" s="4">
        <f t="shared" si="686"/>
        <v>674.99792497413</v>
      </c>
      <c r="EE254" s="25">
        <f t="shared" si="687"/>
        <v>371.05491571279799</v>
      </c>
      <c r="EG254" s="4">
        <f t="shared" si="619"/>
        <v>0.72249999999999992</v>
      </c>
      <c r="EH254" s="4">
        <f t="shared" si="688"/>
        <v>8.0664280589525461</v>
      </c>
      <c r="EK254" s="4">
        <f t="shared" si="673"/>
        <v>56.796126628494655</v>
      </c>
      <c r="EL254" s="4">
        <f t="shared" si="674"/>
        <v>2.2360679774997898</v>
      </c>
      <c r="EM254" s="4">
        <f t="shared" si="675"/>
        <v>0.17698051196033657</v>
      </c>
      <c r="EP254" s="4">
        <f t="shared" si="759"/>
        <v>0.17698051196033657</v>
      </c>
      <c r="EQ254" s="4">
        <f t="shared" si="721"/>
        <v>0.50612184250250825</v>
      </c>
      <c r="ER254" s="4">
        <f t="shared" si="559"/>
        <v>6.1430393467650841</v>
      </c>
      <c r="ES254" s="4">
        <f t="shared" si="743"/>
        <v>7.1696423658726474</v>
      </c>
      <c r="ET254" s="4">
        <f t="shared" si="560"/>
        <v>182.47187337150535</v>
      </c>
      <c r="EU254" s="4">
        <f t="shared" si="561"/>
        <v>79.755999999999972</v>
      </c>
      <c r="EV254" s="4">
        <f t="shared" si="612"/>
        <v>2.4141948123623051E-5</v>
      </c>
      <c r="EW254" s="4">
        <f t="shared" si="744"/>
        <v>7.3075027610656313</v>
      </c>
      <c r="EX254" s="4">
        <f t="shared" si="636"/>
        <v>726.75448027112816</v>
      </c>
      <c r="FG254" s="23">
        <f t="shared" si="711"/>
        <v>2.2000000000000002</v>
      </c>
      <c r="FH254" s="23">
        <f t="shared" si="711"/>
        <v>1.6</v>
      </c>
      <c r="FI254" s="23">
        <f t="shared" si="712"/>
        <v>1.4</v>
      </c>
      <c r="FJ254" s="23">
        <f t="shared" si="713"/>
        <v>2.2000000000000002</v>
      </c>
      <c r="FK254" s="23">
        <f t="shared" si="713"/>
        <v>1.2</v>
      </c>
      <c r="FL254" s="23">
        <f t="shared" si="713"/>
        <v>1.4</v>
      </c>
      <c r="FM254" s="23">
        <f t="shared" si="701"/>
        <v>0</v>
      </c>
      <c r="FN254" s="23"/>
      <c r="FX254" s="4">
        <f t="shared" si="613"/>
        <v>1</v>
      </c>
      <c r="FY254" s="4">
        <f t="shared" si="652"/>
        <v>0.5</v>
      </c>
      <c r="FZ254" s="4">
        <f t="shared" si="614"/>
        <v>0</v>
      </c>
      <c r="GA254" s="4">
        <f t="shared" si="615"/>
        <v>632.90315604374098</v>
      </c>
    </row>
    <row r="255" spans="1:183" ht="12" customHeight="1" x14ac:dyDescent="0.3">
      <c r="A255" s="25">
        <v>237</v>
      </c>
      <c r="B255" s="4" t="s">
        <v>605</v>
      </c>
      <c r="C255" s="4">
        <v>2016</v>
      </c>
      <c r="D255" s="4" t="s">
        <v>309</v>
      </c>
      <c r="E255" s="24" t="s">
        <v>404</v>
      </c>
      <c r="F255" s="7" t="s">
        <v>390</v>
      </c>
      <c r="G255" s="38">
        <f t="shared" si="745"/>
        <v>827.58620689655174</v>
      </c>
      <c r="H255" s="38">
        <f>12.5*25.4</f>
        <v>317.5</v>
      </c>
      <c r="I255" s="4">
        <f t="shared" si="746"/>
        <v>317.5</v>
      </c>
      <c r="J255" s="38">
        <f>6320/145</f>
        <v>43.586206896551722</v>
      </c>
      <c r="K255" s="38">
        <f t="shared" si="747"/>
        <v>25.4</v>
      </c>
      <c r="L255" s="7">
        <f t="shared" si="748"/>
        <v>12.5</v>
      </c>
      <c r="M255" s="7">
        <f t="shared" si="749"/>
        <v>12.5</v>
      </c>
      <c r="N255" s="38">
        <f>18.7*25.4</f>
        <v>474.97999999999996</v>
      </c>
      <c r="O255" s="38">
        <f>3.35*25.4</f>
        <v>85.09</v>
      </c>
      <c r="P255" s="39">
        <f>3.15*25.4</f>
        <v>80.009999999999991</v>
      </c>
      <c r="Q255" s="7">
        <f t="shared" si="750"/>
        <v>253.99999999999994</v>
      </c>
      <c r="R255" s="38">
        <v>2</v>
      </c>
      <c r="S255" s="4">
        <f t="shared" si="722"/>
        <v>260.34999999999997</v>
      </c>
      <c r="T255" s="7">
        <f t="shared" si="751"/>
        <v>3.8500000000000005</v>
      </c>
      <c r="U255" s="7">
        <f t="shared" si="631"/>
        <v>3.8500000000000005</v>
      </c>
      <c r="V255" s="38">
        <v>4</v>
      </c>
      <c r="W255" s="4">
        <f t="shared" si="752"/>
        <v>4</v>
      </c>
      <c r="X255" s="4">
        <f t="shared" si="753"/>
        <v>5</v>
      </c>
      <c r="Y255" s="7">
        <f t="shared" si="754"/>
        <v>56.796126628494655</v>
      </c>
      <c r="AB255" s="38">
        <f>118.2/0.145</f>
        <v>815.17241379310349</v>
      </c>
      <c r="AD255" s="4">
        <f t="shared" si="666"/>
        <v>0.98499999999999999</v>
      </c>
      <c r="AE255" s="38"/>
      <c r="AF255" s="38"/>
      <c r="AG255" s="39">
        <v>1</v>
      </c>
      <c r="AH255" s="39"/>
      <c r="AI255" s="39"/>
      <c r="AJ255" s="7"/>
      <c r="AK255" s="4">
        <f t="shared" si="755"/>
        <v>317.5</v>
      </c>
      <c r="AL255" s="4">
        <f t="shared" si="678"/>
        <v>0.49866666666666659</v>
      </c>
      <c r="AM255" s="4">
        <f t="shared" si="679"/>
        <v>368.55543684532665</v>
      </c>
      <c r="AN255" s="4">
        <f t="shared" si="680"/>
        <v>0.76159999999999994</v>
      </c>
      <c r="AO255" s="4">
        <v>1.25</v>
      </c>
      <c r="AP255" s="4">
        <f t="shared" si="624"/>
        <v>2.5</v>
      </c>
      <c r="AQ255" s="38">
        <f t="shared" si="723"/>
        <v>437.41142059301609</v>
      </c>
      <c r="AR255" s="38">
        <f t="shared" si="682"/>
        <v>437.41142059301609</v>
      </c>
      <c r="AS255" s="38">
        <f t="shared" si="683"/>
        <v>3.7155288579258352</v>
      </c>
      <c r="AT255" s="38">
        <f t="shared" si="626"/>
        <v>437.41142059301598</v>
      </c>
      <c r="AU255" s="38">
        <f t="shared" si="601"/>
        <v>1.0000000000000002</v>
      </c>
      <c r="AV255" s="38">
        <f t="shared" si="715"/>
        <v>1.5345451778485499</v>
      </c>
      <c r="AW255" s="4">
        <f t="shared" si="707"/>
        <v>0</v>
      </c>
      <c r="AX255" s="4">
        <f t="shared" si="756"/>
        <v>434.34112318600074</v>
      </c>
      <c r="AY255" s="4">
        <f t="shared" si="724"/>
        <v>1</v>
      </c>
      <c r="AZ255" s="38">
        <f t="shared" si="617"/>
        <v>671.2275862068966</v>
      </c>
      <c r="BA255" s="4">
        <f t="shared" si="725"/>
        <v>0.44000000000000006</v>
      </c>
      <c r="BB255" s="4">
        <f t="shared" si="726"/>
        <v>99.855024220461587</v>
      </c>
      <c r="BC255" s="4">
        <f t="shared" si="727"/>
        <v>771.08261042735819</v>
      </c>
      <c r="BE255" s="4">
        <f t="shared" si="627"/>
        <v>1.5</v>
      </c>
      <c r="BF255" s="4">
        <f t="shared" si="628"/>
        <v>668.45098858325514</v>
      </c>
      <c r="BH255" s="4">
        <f t="shared" si="633"/>
        <v>643.78934095731893</v>
      </c>
      <c r="BI255" s="4">
        <f t="shared" si="634"/>
        <v>0</v>
      </c>
      <c r="BJ255" s="4">
        <f t="shared" si="635"/>
        <v>0</v>
      </c>
      <c r="BR255" s="4">
        <f t="shared" si="728"/>
        <v>85.09</v>
      </c>
      <c r="BV255" s="9"/>
      <c r="BX255" s="9"/>
      <c r="BY255" s="9"/>
      <c r="BZ255" s="9">
        <f t="shared" si="729"/>
        <v>80.009999999999991</v>
      </c>
      <c r="CA255" s="9">
        <f t="shared" si="730"/>
        <v>126.99999999999997</v>
      </c>
      <c r="CB255" s="9">
        <f t="shared" si="604"/>
        <v>1.9021913151302714</v>
      </c>
      <c r="CC255" s="40">
        <f t="shared" si="757"/>
        <v>0</v>
      </c>
      <c r="CD255" s="9">
        <f t="shared" si="731"/>
        <v>0</v>
      </c>
      <c r="CE255" s="9">
        <f t="shared" si="732"/>
        <v>0</v>
      </c>
      <c r="CF255" s="9">
        <f t="shared" si="733"/>
        <v>0.99524931562137331</v>
      </c>
      <c r="CG255" s="9">
        <f t="shared" si="734"/>
        <v>0.68</v>
      </c>
      <c r="CH255" s="9">
        <f t="shared" si="606"/>
        <v>1.5638078277680176</v>
      </c>
      <c r="CI255" s="9">
        <f t="shared" si="607"/>
        <v>2.9746616685130585</v>
      </c>
      <c r="CJ255" s="40">
        <v>1</v>
      </c>
      <c r="CK255" s="9">
        <f t="shared" si="608"/>
        <v>327.2127835364364</v>
      </c>
      <c r="CM255" s="4">
        <f t="shared" si="735"/>
        <v>1.8768022880578519</v>
      </c>
      <c r="CN255" s="4">
        <f t="shared" si="736"/>
        <v>1.0571790917983603</v>
      </c>
      <c r="CO255" s="4">
        <f t="shared" si="708"/>
        <v>1.2194946641051669</v>
      </c>
      <c r="CP255" s="4">
        <f t="shared" si="737"/>
        <v>2.4912609005764317</v>
      </c>
      <c r="CQ255" s="4">
        <f t="shared" si="694"/>
        <v>0.98499999999999999</v>
      </c>
      <c r="CR255" s="4">
        <f t="shared" si="695"/>
        <v>1.0429653107588621</v>
      </c>
      <c r="CS255" s="4">
        <f t="shared" si="709"/>
        <v>1.2726513426267121</v>
      </c>
      <c r="CT255" s="4">
        <f t="shared" si="758"/>
        <v>0</v>
      </c>
      <c r="CU255" s="4">
        <f t="shared" si="765"/>
        <v>1.8768022880578519</v>
      </c>
      <c r="CV255" s="4">
        <f t="shared" si="765"/>
        <v>1.0571790917983603</v>
      </c>
      <c r="CW255" s="4">
        <f t="shared" si="766"/>
        <v>2.4912609005764317</v>
      </c>
      <c r="CX255" s="4">
        <f t="shared" si="767"/>
        <v>1.2726513426267121</v>
      </c>
      <c r="CY255" s="4">
        <f t="shared" si="768"/>
        <v>0.98499999999999999</v>
      </c>
      <c r="CZ255" s="4">
        <f t="shared" si="768"/>
        <v>1.0429653107588621</v>
      </c>
      <c r="DI255" s="4">
        <f t="shared" si="742"/>
        <v>317.5</v>
      </c>
      <c r="DL255" s="4">
        <f t="shared" si="667"/>
        <v>2.4475465892892514E-5</v>
      </c>
      <c r="DM255" s="4">
        <f t="shared" ref="DM255:DM318" si="769">EH255</f>
        <v>9.2683740829956722</v>
      </c>
      <c r="DN255" s="4">
        <f t="shared" si="668"/>
        <v>0.55445543650397222</v>
      </c>
      <c r="DO255" s="4">
        <f t="shared" si="669"/>
        <v>7.3206595886437924</v>
      </c>
      <c r="DP255" s="4">
        <f t="shared" si="670"/>
        <v>8.3515689115375462</v>
      </c>
      <c r="DQ255" s="4">
        <f t="shared" si="671"/>
        <v>8.2442207183689185</v>
      </c>
      <c r="DR255" s="38">
        <f t="shared" si="684"/>
        <v>827.58620689655174</v>
      </c>
      <c r="DS255" s="4">
        <f t="shared" si="609"/>
        <v>1</v>
      </c>
      <c r="DT255" s="4">
        <f t="shared" si="672"/>
        <v>2.2360679774997898</v>
      </c>
      <c r="DU255" s="4">
        <f t="shared" si="618"/>
        <v>437.41142059301598</v>
      </c>
      <c r="DY255" s="4">
        <f t="shared" si="581"/>
        <v>0.85</v>
      </c>
      <c r="DZ255" s="4">
        <f t="shared" si="610"/>
        <v>0.7649999999999999</v>
      </c>
      <c r="EA255" s="4">
        <f t="shared" si="685"/>
        <v>1</v>
      </c>
      <c r="EB255" s="4">
        <f t="shared" si="611"/>
        <v>0.7649999999999999</v>
      </c>
      <c r="ED255" s="4">
        <f t="shared" si="686"/>
        <v>781.59110891232194</v>
      </c>
      <c r="EE255" s="25">
        <f t="shared" si="687"/>
        <v>434.02708079998422</v>
      </c>
      <c r="EG255" s="4">
        <f t="shared" si="619"/>
        <v>0.65024999999999988</v>
      </c>
      <c r="EH255" s="4">
        <f t="shared" si="688"/>
        <v>9.2683740829956722</v>
      </c>
      <c r="EK255" s="4">
        <f t="shared" si="673"/>
        <v>56.796126628494655</v>
      </c>
      <c r="EL255" s="4">
        <f t="shared" si="674"/>
        <v>2.2360679774997898</v>
      </c>
      <c r="EM255" s="4">
        <f t="shared" si="675"/>
        <v>0.20015961157174716</v>
      </c>
      <c r="EP255" s="4">
        <f t="shared" si="759"/>
        <v>0.20015961157174716</v>
      </c>
      <c r="EQ255" s="4">
        <f t="shared" si="721"/>
        <v>0.55353015371689307</v>
      </c>
      <c r="ER255" s="4">
        <f t="shared" ref="ER255:ER318" si="770">EH255/1*EQ255^0.4</f>
        <v>7.3157704133659873</v>
      </c>
      <c r="ES255" s="4">
        <f t="shared" si="743"/>
        <v>8.3494273465101507</v>
      </c>
      <c r="ET255" s="4">
        <f t="shared" ref="ET255:ET318" si="771">MAX(0,DI255*ET$9-EK255)</f>
        <v>181.32887337150535</v>
      </c>
      <c r="EU255" s="4">
        <f t="shared" ref="EU255:EU318" si="772">MAX(0,DI255-EK255-ET255)</f>
        <v>79.374999999999972</v>
      </c>
      <c r="EV255" s="4">
        <f t="shared" si="612"/>
        <v>2.4475465892892504E-5</v>
      </c>
      <c r="EW255" s="4">
        <f t="shared" si="744"/>
        <v>8.244517541255485</v>
      </c>
      <c r="EX255" s="4">
        <f t="shared" si="636"/>
        <v>827.58620689655174</v>
      </c>
      <c r="FG255" s="23">
        <f t="shared" si="711"/>
        <v>2</v>
      </c>
      <c r="FH255" s="23">
        <f t="shared" si="711"/>
        <v>1.2</v>
      </c>
      <c r="FI255" s="23">
        <f t="shared" si="712"/>
        <v>1.4</v>
      </c>
      <c r="FJ255" s="23">
        <f t="shared" si="713"/>
        <v>2.2000000000000002</v>
      </c>
      <c r="FK255" s="23">
        <f t="shared" si="713"/>
        <v>1</v>
      </c>
      <c r="FL255" s="23">
        <f t="shared" si="713"/>
        <v>1.2</v>
      </c>
      <c r="FM255" s="23">
        <f t="shared" si="701"/>
        <v>0</v>
      </c>
      <c r="FN255" s="23"/>
      <c r="FX255" s="4">
        <f t="shared" si="613"/>
        <v>1</v>
      </c>
      <c r="FY255" s="4">
        <f t="shared" si="652"/>
        <v>0.5</v>
      </c>
      <c r="FZ255" s="4">
        <f t="shared" si="614"/>
        <v>0</v>
      </c>
      <c r="GA255" s="4">
        <f t="shared" si="615"/>
        <v>640.53082449951569</v>
      </c>
    </row>
    <row r="256" spans="1:183" ht="12" customHeight="1" x14ac:dyDescent="0.3">
      <c r="A256" s="25">
        <v>238</v>
      </c>
      <c r="B256" s="4" t="s">
        <v>605</v>
      </c>
      <c r="C256" s="4">
        <v>2016</v>
      </c>
      <c r="D256" s="4" t="s">
        <v>309</v>
      </c>
      <c r="E256" s="24" t="s">
        <v>662</v>
      </c>
      <c r="F256" s="7" t="s">
        <v>391</v>
      </c>
      <c r="G256" s="38">
        <f t="shared" si="745"/>
        <v>827.58620689655174</v>
      </c>
      <c r="H256" s="38">
        <f>9.56*25.4</f>
        <v>242.82400000000001</v>
      </c>
      <c r="I256" s="4">
        <f t="shared" si="746"/>
        <v>242.82400000000001</v>
      </c>
      <c r="J256" s="38">
        <f>5090/145</f>
        <v>35.103448275862071</v>
      </c>
      <c r="K256" s="38">
        <f t="shared" si="747"/>
        <v>25.4</v>
      </c>
      <c r="L256" s="7">
        <f t="shared" si="748"/>
        <v>9.56</v>
      </c>
      <c r="M256" s="7">
        <f t="shared" si="749"/>
        <v>9.56</v>
      </c>
      <c r="N256" s="38">
        <f>17.3*25.4</f>
        <v>439.42</v>
      </c>
      <c r="O256" s="38">
        <f>2.8*25.4</f>
        <v>71.11999999999999</v>
      </c>
      <c r="P256" s="39">
        <f>3.05*25.4</f>
        <v>77.469999999999985</v>
      </c>
      <c r="Q256" s="7">
        <f t="shared" si="750"/>
        <v>246.38000000000002</v>
      </c>
      <c r="R256" s="38">
        <v>2</v>
      </c>
      <c r="S256" s="4">
        <f t="shared" si="722"/>
        <v>260.34999999999997</v>
      </c>
      <c r="T256" s="7">
        <f t="shared" si="751"/>
        <v>3.3</v>
      </c>
      <c r="U256" s="7">
        <f t="shared" si="631"/>
        <v>3.3</v>
      </c>
      <c r="V256" s="38">
        <v>4</v>
      </c>
      <c r="W256" s="4">
        <f t="shared" si="752"/>
        <v>4</v>
      </c>
      <c r="X256" s="4">
        <f t="shared" si="753"/>
        <v>5</v>
      </c>
      <c r="Y256" s="7">
        <f t="shared" si="754"/>
        <v>56.796126628494655</v>
      </c>
      <c r="AB256" s="38">
        <f>99.6/0.145</f>
        <v>686.89655172413791</v>
      </c>
      <c r="AD256" s="4">
        <f t="shared" si="666"/>
        <v>1.1793748514869569</v>
      </c>
      <c r="AE256" s="38">
        <f>0.375*25.4</f>
        <v>9.5249999999999986</v>
      </c>
      <c r="AF256" s="38">
        <v>10</v>
      </c>
      <c r="AG256" s="39">
        <f>3*25.4</f>
        <v>76.199999999999989</v>
      </c>
      <c r="AH256" s="39">
        <v>3</v>
      </c>
      <c r="AI256" s="39">
        <v>1</v>
      </c>
      <c r="AJ256" s="7"/>
      <c r="AK256" s="4">
        <f t="shared" si="755"/>
        <v>242.82400000000001</v>
      </c>
      <c r="AL256" s="4">
        <f t="shared" si="678"/>
        <v>0.60320781032078097</v>
      </c>
      <c r="AM256" s="4">
        <f t="shared" si="679"/>
        <v>221.2203082426764</v>
      </c>
      <c r="AN256" s="4">
        <f t="shared" si="680"/>
        <v>0.76903765690376569</v>
      </c>
      <c r="AO256" s="4">
        <v>1.25</v>
      </c>
      <c r="AP256" s="4">
        <f t="shared" si="624"/>
        <v>2.5</v>
      </c>
      <c r="AQ256" s="38">
        <f t="shared" si="723"/>
        <v>320.69307138372187</v>
      </c>
      <c r="AR256" s="38">
        <f t="shared" si="682"/>
        <v>320.69307138372187</v>
      </c>
      <c r="AS256" s="38">
        <f t="shared" si="683"/>
        <v>3.2162843791396258</v>
      </c>
      <c r="AT256" s="38">
        <f t="shared" si="626"/>
        <v>320.69307138372176</v>
      </c>
      <c r="AU256" s="38">
        <f t="shared" si="601"/>
        <v>1.0000000000000004</v>
      </c>
      <c r="AV256" s="38">
        <f t="shared" si="715"/>
        <v>1.4448878338470383</v>
      </c>
      <c r="AW256" s="4">
        <f t="shared" si="707"/>
        <v>0</v>
      </c>
      <c r="AX256" s="4">
        <f t="shared" si="756"/>
        <v>298.11180999096536</v>
      </c>
      <c r="AY256" s="4">
        <f t="shared" si="724"/>
        <v>1</v>
      </c>
      <c r="AZ256" s="38">
        <f t="shared" si="617"/>
        <v>463.36551724137934</v>
      </c>
      <c r="BA256" s="4">
        <f t="shared" si="725"/>
        <v>0.44000000000000006</v>
      </c>
      <c r="BB256" s="4">
        <f t="shared" si="726"/>
        <v>68.535905116922933</v>
      </c>
      <c r="BC256" s="4">
        <f t="shared" si="727"/>
        <v>531.90142235830228</v>
      </c>
      <c r="BE256" s="4">
        <f t="shared" si="627"/>
        <v>1.5</v>
      </c>
      <c r="BF256" s="4">
        <f t="shared" si="628"/>
        <v>521.50233137310727</v>
      </c>
      <c r="BH256" s="4">
        <f t="shared" si="633"/>
        <v>444.42419694476757</v>
      </c>
      <c r="BI256" s="4">
        <f t="shared" si="634"/>
        <v>0</v>
      </c>
      <c r="BJ256" s="4">
        <f t="shared" si="635"/>
        <v>0</v>
      </c>
      <c r="BR256" s="4">
        <f t="shared" si="728"/>
        <v>71.11999999999999</v>
      </c>
      <c r="BV256" s="9"/>
      <c r="BX256" s="9"/>
      <c r="BY256" s="9"/>
      <c r="BZ256" s="9">
        <f t="shared" si="729"/>
        <v>71.11999999999999</v>
      </c>
      <c r="CA256" s="9">
        <f t="shared" si="730"/>
        <v>123.19000000000001</v>
      </c>
      <c r="CB256" s="9">
        <f t="shared" si="604"/>
        <v>1.8170487186781425</v>
      </c>
      <c r="CC256" s="40">
        <f t="shared" si="757"/>
        <v>20</v>
      </c>
      <c r="CD256" s="9">
        <f t="shared" si="731"/>
        <v>0.05</v>
      </c>
      <c r="CE256" s="9">
        <f t="shared" si="732"/>
        <v>0.8</v>
      </c>
      <c r="CF256" s="9">
        <f t="shared" si="733"/>
        <v>0.99524931562137331</v>
      </c>
      <c r="CG256" s="9">
        <f t="shared" si="734"/>
        <v>0.68</v>
      </c>
      <c r="CH256" s="9">
        <f t="shared" si="606"/>
        <v>1.4034073112676719</v>
      </c>
      <c r="CI256" s="9">
        <f t="shared" si="607"/>
        <v>3.5085182781691797</v>
      </c>
      <c r="CJ256" s="40">
        <v>1</v>
      </c>
      <c r="CK256" s="9">
        <f t="shared" si="608"/>
        <v>344.67683564734023</v>
      </c>
      <c r="CM256" s="4">
        <f t="shared" si="735"/>
        <v>2.3041574627484738</v>
      </c>
      <c r="CN256" s="4">
        <f t="shared" si="736"/>
        <v>1.291398223149377</v>
      </c>
      <c r="CO256" s="4">
        <f t="shared" si="708"/>
        <v>1.317149532036703</v>
      </c>
      <c r="CP256" s="4">
        <f t="shared" si="737"/>
        <v>1.9928712367167702</v>
      </c>
      <c r="CQ256" s="4">
        <f t="shared" si="694"/>
        <v>1.1793748514869569</v>
      </c>
      <c r="CR256" s="4">
        <f t="shared" si="695"/>
        <v>1.267632927019867</v>
      </c>
      <c r="CS256" s="4">
        <f t="shared" si="709"/>
        <v>1.3025245533720942</v>
      </c>
      <c r="CT256" s="4">
        <f t="shared" si="758"/>
        <v>10</v>
      </c>
      <c r="DA256" s="4">
        <f t="shared" ref="DA256:DB259" si="773">CM256</f>
        <v>2.3041574627484738</v>
      </c>
      <c r="DB256" s="4">
        <f t="shared" si="773"/>
        <v>1.291398223149377</v>
      </c>
      <c r="DC256" s="4">
        <f t="shared" ref="DC256:DC259" si="774">CP256</f>
        <v>1.9928712367167702</v>
      </c>
      <c r="DD256" s="4">
        <f t="shared" ref="DD256:DD259" si="775">CS256</f>
        <v>1.3025245533720942</v>
      </c>
      <c r="DE256" s="4">
        <f t="shared" ref="DE256:DF259" si="776">CQ256</f>
        <v>1.1793748514869569</v>
      </c>
      <c r="DF256" s="4">
        <f t="shared" si="776"/>
        <v>1.267632927019867</v>
      </c>
      <c r="DI256" s="4">
        <f t="shared" si="742"/>
        <v>242.82400000000001</v>
      </c>
      <c r="DL256" s="4">
        <f t="shared" si="667"/>
        <v>1.7691006908959997E-5</v>
      </c>
      <c r="DM256" s="4">
        <f t="shared" si="769"/>
        <v>7.8332539258345992</v>
      </c>
      <c r="DN256" s="4">
        <f t="shared" si="668"/>
        <v>0.50473730099887937</v>
      </c>
      <c r="DO256" s="4">
        <f t="shared" si="669"/>
        <v>5.958931120908705</v>
      </c>
      <c r="DP256" s="4">
        <f t="shared" si="670"/>
        <v>6.9595952738984037</v>
      </c>
      <c r="DQ256" s="4">
        <f t="shared" si="671"/>
        <v>7.4351706042633126</v>
      </c>
      <c r="DR256" s="38">
        <f t="shared" si="684"/>
        <v>582.42428254095648</v>
      </c>
      <c r="DS256" s="4">
        <f t="shared" si="609"/>
        <v>1.0001168332714179</v>
      </c>
      <c r="DT256" s="4">
        <f t="shared" si="672"/>
        <v>2.2360679774997898</v>
      </c>
      <c r="DU256" s="4">
        <f t="shared" si="618"/>
        <v>320.69307138372176</v>
      </c>
      <c r="DY256" s="4">
        <f t="shared" si="581"/>
        <v>0.85</v>
      </c>
      <c r="DZ256" s="4">
        <f t="shared" si="610"/>
        <v>0.82000000000000006</v>
      </c>
      <c r="EA256" s="4">
        <f t="shared" si="685"/>
        <v>0.99062499999999998</v>
      </c>
      <c r="EB256" s="4">
        <f t="shared" si="611"/>
        <v>0.81231249999999999</v>
      </c>
      <c r="ED256" s="4">
        <f t="shared" si="686"/>
        <v>541.87339022424476</v>
      </c>
      <c r="EE256" s="25">
        <f t="shared" si="687"/>
        <v>317.21566763130841</v>
      </c>
      <c r="EG256" s="4">
        <f t="shared" si="619"/>
        <v>0.69046562499999997</v>
      </c>
      <c r="EH256" s="4">
        <f t="shared" si="688"/>
        <v>7.8332539258345992</v>
      </c>
      <c r="EK256" s="4">
        <f t="shared" si="673"/>
        <v>56.796126628494655</v>
      </c>
      <c r="EL256" s="4">
        <f t="shared" si="674"/>
        <v>2.2360679774997898</v>
      </c>
      <c r="EM256" s="4">
        <f t="shared" si="675"/>
        <v>0.16352176138615632</v>
      </c>
      <c r="EP256" s="4">
        <f t="shared" si="759"/>
        <v>0.16352176138615632</v>
      </c>
      <c r="EQ256" s="4">
        <f t="shared" si="721"/>
        <v>0.50389498851375736</v>
      </c>
      <c r="ER256" s="4">
        <f t="shared" si="770"/>
        <v>5.9549513895244344</v>
      </c>
      <c r="ES256" s="4">
        <f t="shared" si="743"/>
        <v>6.9578929171418729</v>
      </c>
      <c r="ET256" s="4">
        <f t="shared" si="771"/>
        <v>125.32187337150535</v>
      </c>
      <c r="EU256" s="4">
        <f t="shared" si="772"/>
        <v>60.706000000000017</v>
      </c>
      <c r="EV256" s="4">
        <f t="shared" si="612"/>
        <v>1.7691006908960001E-5</v>
      </c>
      <c r="EW256" s="4">
        <f t="shared" si="744"/>
        <v>7.4352913641562788</v>
      </c>
      <c r="EX256" s="4">
        <f t="shared" si="636"/>
        <v>582.35624395584443</v>
      </c>
      <c r="FG256" s="23">
        <f t="shared" si="711"/>
        <v>2.2000000000000002</v>
      </c>
      <c r="FH256" s="23">
        <f t="shared" si="711"/>
        <v>1.4</v>
      </c>
      <c r="FI256" s="23">
        <f t="shared" si="712"/>
        <v>1.4</v>
      </c>
      <c r="FJ256" s="23">
        <f t="shared" si="713"/>
        <v>2</v>
      </c>
      <c r="FK256" s="23">
        <f t="shared" si="713"/>
        <v>1.2</v>
      </c>
      <c r="FL256" s="23">
        <f t="shared" si="713"/>
        <v>1.4</v>
      </c>
      <c r="FM256" s="23">
        <f t="shared" si="701"/>
        <v>0</v>
      </c>
      <c r="FN256" s="23"/>
      <c r="FX256" s="4">
        <f t="shared" si="613"/>
        <v>1</v>
      </c>
      <c r="FY256" s="4">
        <f t="shared" si="652"/>
        <v>0.44</v>
      </c>
      <c r="FZ256" s="4">
        <f t="shared" si="614"/>
        <v>0.3</v>
      </c>
      <c r="GA256" s="4">
        <f t="shared" si="615"/>
        <v>527.35785282959739</v>
      </c>
    </row>
    <row r="257" spans="1:183" ht="12" customHeight="1" x14ac:dyDescent="0.3">
      <c r="A257" s="25">
        <v>239</v>
      </c>
      <c r="B257" s="4" t="s">
        <v>605</v>
      </c>
      <c r="C257" s="4">
        <v>2016</v>
      </c>
      <c r="D257" s="4" t="s">
        <v>309</v>
      </c>
      <c r="E257" s="24" t="s">
        <v>662</v>
      </c>
      <c r="F257" s="7" t="s">
        <v>392</v>
      </c>
      <c r="G257" s="38">
        <f t="shared" si="745"/>
        <v>827.58620689655174</v>
      </c>
      <c r="H257" s="38">
        <f>9.56*25.4</f>
        <v>242.82400000000001</v>
      </c>
      <c r="I257" s="4">
        <f t="shared" si="746"/>
        <v>242.82400000000001</v>
      </c>
      <c r="J257" s="38">
        <f>5910/145</f>
        <v>40.758620689655174</v>
      </c>
      <c r="K257" s="38">
        <f t="shared" si="747"/>
        <v>25.4</v>
      </c>
      <c r="L257" s="7">
        <f t="shared" si="748"/>
        <v>9.56</v>
      </c>
      <c r="M257" s="7">
        <f t="shared" si="749"/>
        <v>9.56</v>
      </c>
      <c r="N257" s="38">
        <f>18.9*25.4</f>
        <v>480.05999999999995</v>
      </c>
      <c r="O257" s="38">
        <f>3.35*25.4</f>
        <v>85.09</v>
      </c>
      <c r="P257" s="39">
        <f>3.15*25.4</f>
        <v>80.009999999999991</v>
      </c>
      <c r="Q257" s="7">
        <f t="shared" si="750"/>
        <v>259.07999999999993</v>
      </c>
      <c r="R257" s="38">
        <v>2</v>
      </c>
      <c r="S257" s="4">
        <f t="shared" si="722"/>
        <v>260.34999999999997</v>
      </c>
      <c r="T257" s="7">
        <f t="shared" si="751"/>
        <v>3.8500000000000005</v>
      </c>
      <c r="U257" s="7">
        <f t="shared" si="631"/>
        <v>3.8500000000000005</v>
      </c>
      <c r="V257" s="38">
        <v>4</v>
      </c>
      <c r="W257" s="4">
        <f t="shared" si="752"/>
        <v>4</v>
      </c>
      <c r="X257" s="4">
        <f t="shared" si="753"/>
        <v>5</v>
      </c>
      <c r="Y257" s="7">
        <f t="shared" si="754"/>
        <v>56.796126628494655</v>
      </c>
      <c r="AB257" s="38">
        <f>100.6/0.145</f>
        <v>693.79310344827582</v>
      </c>
      <c r="AD257" s="4">
        <f t="shared" si="666"/>
        <v>1.0114255979953197</v>
      </c>
      <c r="AE257" s="38">
        <f t="shared" ref="AE257" si="777">0.375*25.4</f>
        <v>9.5249999999999986</v>
      </c>
      <c r="AF257" s="38">
        <v>10</v>
      </c>
      <c r="AG257" s="39">
        <f>3*25.4</f>
        <v>76.199999999999989</v>
      </c>
      <c r="AH257" s="39">
        <v>3</v>
      </c>
      <c r="AI257" s="39">
        <v>1</v>
      </c>
      <c r="AJ257" s="7"/>
      <c r="AK257" s="4">
        <f t="shared" si="755"/>
        <v>242.82400000000001</v>
      </c>
      <c r="AL257" s="4">
        <f t="shared" si="678"/>
        <v>0.65899581589958145</v>
      </c>
      <c r="AM257" s="4">
        <f t="shared" si="679"/>
        <v>238.37452595758</v>
      </c>
      <c r="AN257" s="4">
        <f t="shared" si="680"/>
        <v>0.78054393305439329</v>
      </c>
      <c r="AO257" s="4">
        <v>1.25</v>
      </c>
      <c r="AP257" s="4">
        <f t="shared" si="624"/>
        <v>2.5</v>
      </c>
      <c r="AQ257" s="38">
        <f t="shared" si="723"/>
        <v>383.16856602860486</v>
      </c>
      <c r="AR257" s="38">
        <f t="shared" si="682"/>
        <v>383.16856602860486</v>
      </c>
      <c r="AS257" s="38">
        <f t="shared" si="683"/>
        <v>3.5530466297176955</v>
      </c>
      <c r="AT257" s="38">
        <f t="shared" si="626"/>
        <v>383.16856602860469</v>
      </c>
      <c r="AU257" s="38">
        <f t="shared" si="601"/>
        <v>1.0000000000000004</v>
      </c>
      <c r="AV257" s="38">
        <f t="shared" si="715"/>
        <v>1.6381374002736733</v>
      </c>
      <c r="AW257" s="4">
        <f t="shared" si="707"/>
        <v>0</v>
      </c>
      <c r="AX257" s="4">
        <f t="shared" si="756"/>
        <v>321.22847108140701</v>
      </c>
      <c r="AY257" s="4">
        <f t="shared" si="724"/>
        <v>1</v>
      </c>
      <c r="AZ257" s="38">
        <f t="shared" si="617"/>
        <v>627.68275862068981</v>
      </c>
      <c r="BA257" s="4">
        <f t="shared" si="725"/>
        <v>0.44000000000000006</v>
      </c>
      <c r="BB257" s="4">
        <f t="shared" si="726"/>
        <v>73.850425501615476</v>
      </c>
      <c r="BC257" s="4">
        <f t="shared" si="727"/>
        <v>701.53318412230533</v>
      </c>
      <c r="BE257" s="4">
        <f t="shared" si="627"/>
        <v>1.5</v>
      </c>
      <c r="BF257" s="4">
        <f t="shared" si="628"/>
        <v>561.94149630452239</v>
      </c>
      <c r="BH257" s="4">
        <f t="shared" si="633"/>
        <v>602.02452611673345</v>
      </c>
      <c r="BI257" s="4">
        <f t="shared" si="634"/>
        <v>0</v>
      </c>
      <c r="BJ257" s="4">
        <f t="shared" si="635"/>
        <v>0</v>
      </c>
      <c r="BR257" s="4">
        <f t="shared" si="728"/>
        <v>85.09</v>
      </c>
      <c r="BV257" s="9"/>
      <c r="BX257" s="9"/>
      <c r="BY257" s="9"/>
      <c r="BZ257" s="9">
        <f t="shared" si="729"/>
        <v>80.009999999999991</v>
      </c>
      <c r="CA257" s="9">
        <f t="shared" si="730"/>
        <v>129.53999999999996</v>
      </c>
      <c r="CB257" s="9">
        <f t="shared" si="604"/>
        <v>1.9078499730405829</v>
      </c>
      <c r="CC257" s="40">
        <f t="shared" si="757"/>
        <v>20</v>
      </c>
      <c r="CD257" s="9">
        <f t="shared" si="731"/>
        <v>0.05</v>
      </c>
      <c r="CE257" s="9">
        <f t="shared" si="732"/>
        <v>0.8</v>
      </c>
      <c r="CF257" s="9">
        <f t="shared" si="733"/>
        <v>0.99524931562137331</v>
      </c>
      <c r="CG257" s="9">
        <f t="shared" si="734"/>
        <v>0.68</v>
      </c>
      <c r="CH257" s="9">
        <f t="shared" si="606"/>
        <v>1.5122325576992237</v>
      </c>
      <c r="CI257" s="9">
        <f t="shared" si="607"/>
        <v>3.7805813942480593</v>
      </c>
      <c r="CJ257" s="40">
        <v>1</v>
      </c>
      <c r="CK257" s="9">
        <f t="shared" si="608"/>
        <v>371.40431617092935</v>
      </c>
      <c r="CM257" s="4">
        <f t="shared" si="735"/>
        <v>2.1598119902405912</v>
      </c>
      <c r="CN257" s="4">
        <f t="shared" si="736"/>
        <v>0.98896690726937853</v>
      </c>
      <c r="CO257" s="4">
        <f t="shared" si="708"/>
        <v>1.2346358259905077</v>
      </c>
      <c r="CP257" s="4">
        <f t="shared" si="737"/>
        <v>1.8680264963021465</v>
      </c>
      <c r="CQ257" s="4">
        <f t="shared" si="694"/>
        <v>1.0114255979953197</v>
      </c>
      <c r="CR257" s="4">
        <f t="shared" si="695"/>
        <v>1.0864732280294513</v>
      </c>
      <c r="CS257" s="4">
        <f t="shared" si="709"/>
        <v>1.2673808375373148</v>
      </c>
      <c r="CT257" s="4">
        <f t="shared" si="758"/>
        <v>10</v>
      </c>
      <c r="DA257" s="4">
        <f t="shared" si="773"/>
        <v>2.1598119902405912</v>
      </c>
      <c r="DB257" s="4">
        <f t="shared" si="773"/>
        <v>0.98896690726937853</v>
      </c>
      <c r="DC257" s="4">
        <f t="shared" si="774"/>
        <v>1.8680264963021465</v>
      </c>
      <c r="DD257" s="4">
        <f t="shared" si="775"/>
        <v>1.2673808375373148</v>
      </c>
      <c r="DE257" s="4">
        <f t="shared" si="776"/>
        <v>1.0114255979953197</v>
      </c>
      <c r="DF257" s="4">
        <f t="shared" si="776"/>
        <v>1.0864732280294513</v>
      </c>
      <c r="DI257" s="4">
        <f t="shared" si="742"/>
        <v>242.82400000000001</v>
      </c>
      <c r="DL257" s="4">
        <f t="shared" si="667"/>
        <v>1.8375559240592081E-5</v>
      </c>
      <c r="DM257" s="4">
        <f t="shared" si="769"/>
        <v>9.0475183276018765</v>
      </c>
      <c r="DN257" s="4">
        <f t="shared" si="668"/>
        <v>0.5193928887020951</v>
      </c>
      <c r="DO257" s="4">
        <f t="shared" si="669"/>
        <v>6.9619014486186845</v>
      </c>
      <c r="DP257" s="4">
        <f t="shared" si="670"/>
        <v>8.0724627777507614</v>
      </c>
      <c r="DQ257" s="4">
        <f t="shared" si="671"/>
        <v>8.4939345141555673</v>
      </c>
      <c r="DR257" s="38">
        <f t="shared" si="684"/>
        <v>685.95564994933648</v>
      </c>
      <c r="DS257" s="4">
        <f t="shared" si="609"/>
        <v>1.0001159184527728</v>
      </c>
      <c r="DT257" s="4">
        <f t="shared" si="672"/>
        <v>2.2360679774997898</v>
      </c>
      <c r="DU257" s="4">
        <f t="shared" si="618"/>
        <v>383.16856602860469</v>
      </c>
      <c r="DY257" s="4">
        <f t="shared" si="581"/>
        <v>0.85</v>
      </c>
      <c r="DZ257" s="4">
        <f t="shared" si="610"/>
        <v>0.7649999999999999</v>
      </c>
      <c r="EA257" s="4">
        <f t="shared" si="685"/>
        <v>0.99062499999999998</v>
      </c>
      <c r="EB257" s="4">
        <f t="shared" si="611"/>
        <v>0.75782812499999985</v>
      </c>
      <c r="ED257" s="4">
        <f t="shared" si="686"/>
        <v>638.57358428114799</v>
      </c>
      <c r="EE257" s="25">
        <f t="shared" si="687"/>
        <v>379.09075864552608</v>
      </c>
      <c r="EG257" s="4">
        <f t="shared" si="619"/>
        <v>0.64415390624999991</v>
      </c>
      <c r="EH257" s="4">
        <f t="shared" si="688"/>
        <v>9.0475183276018765</v>
      </c>
      <c r="EK257" s="4">
        <f t="shared" si="673"/>
        <v>56.796126628494655</v>
      </c>
      <c r="EL257" s="4">
        <f t="shared" si="674"/>
        <v>2.2360679774997898</v>
      </c>
      <c r="EM257" s="4">
        <f t="shared" si="675"/>
        <v>0.18131803502377647</v>
      </c>
      <c r="EP257" s="4">
        <f t="shared" si="759"/>
        <v>0.18131803502377647</v>
      </c>
      <c r="EQ257" s="4">
        <f t="shared" si="721"/>
        <v>0.51852611877252675</v>
      </c>
      <c r="ER257" s="4">
        <f t="shared" si="770"/>
        <v>6.9572518735309554</v>
      </c>
      <c r="ES257" s="4">
        <f t="shared" si="743"/>
        <v>8.0704593131350855</v>
      </c>
      <c r="ET257" s="4">
        <f t="shared" si="771"/>
        <v>125.32187337150535</v>
      </c>
      <c r="EU257" s="4">
        <f t="shared" si="772"/>
        <v>60.706000000000017</v>
      </c>
      <c r="EV257" s="4">
        <f t="shared" si="612"/>
        <v>1.8375559240592081E-5</v>
      </c>
      <c r="EW257" s="4">
        <f t="shared" si="744"/>
        <v>8.4941040952547997</v>
      </c>
      <c r="EX257" s="4">
        <f t="shared" si="636"/>
        <v>685.87614424790149</v>
      </c>
      <c r="FG257" s="23">
        <f t="shared" si="711"/>
        <v>2.2000000000000002</v>
      </c>
      <c r="FH257" s="23">
        <f t="shared" si="711"/>
        <v>1</v>
      </c>
      <c r="FI257" s="23">
        <f t="shared" si="712"/>
        <v>1.4</v>
      </c>
      <c r="FJ257" s="23">
        <f t="shared" si="713"/>
        <v>2</v>
      </c>
      <c r="FK257" s="23">
        <f t="shared" si="713"/>
        <v>1.2</v>
      </c>
      <c r="FL257" s="23">
        <f t="shared" si="713"/>
        <v>1.2</v>
      </c>
      <c r="FM257" s="23">
        <f t="shared" si="701"/>
        <v>0</v>
      </c>
      <c r="FN257" s="23"/>
      <c r="FX257" s="4">
        <f t="shared" si="613"/>
        <v>1</v>
      </c>
      <c r="FY257" s="4">
        <f t="shared" si="652"/>
        <v>0.44</v>
      </c>
      <c r="FZ257" s="4">
        <f t="shared" si="614"/>
        <v>0.3</v>
      </c>
      <c r="GA257" s="4">
        <f t="shared" si="615"/>
        <v>547.4227500523092</v>
      </c>
    </row>
    <row r="258" spans="1:183" ht="12" customHeight="1" x14ac:dyDescent="0.3">
      <c r="A258" s="25">
        <v>240</v>
      </c>
      <c r="B258" s="4" t="s">
        <v>605</v>
      </c>
      <c r="C258" s="4">
        <v>2016</v>
      </c>
      <c r="D258" s="4" t="s">
        <v>309</v>
      </c>
      <c r="E258" s="24" t="s">
        <v>662</v>
      </c>
      <c r="F258" s="7" t="s">
        <v>393</v>
      </c>
      <c r="G258" s="38">
        <f t="shared" si="745"/>
        <v>827.58620689655174</v>
      </c>
      <c r="H258" s="38">
        <f>9.19*25.4</f>
        <v>233.42599999999999</v>
      </c>
      <c r="I258" s="4">
        <f t="shared" si="746"/>
        <v>233.42599999999999</v>
      </c>
      <c r="J258" s="38">
        <f>5180/145</f>
        <v>35.724137931034484</v>
      </c>
      <c r="K258" s="38">
        <f t="shared" si="747"/>
        <v>25.4</v>
      </c>
      <c r="L258" s="7">
        <f t="shared" si="748"/>
        <v>9.19</v>
      </c>
      <c r="M258" s="7">
        <f t="shared" si="749"/>
        <v>9.19</v>
      </c>
      <c r="N258" s="38">
        <f>16.5*25.4</f>
        <v>419.09999999999997</v>
      </c>
      <c r="O258" s="38">
        <f>2.5*25.4</f>
        <v>63.5</v>
      </c>
      <c r="P258" s="39">
        <f>3.45*25.4</f>
        <v>87.63</v>
      </c>
      <c r="Q258" s="7">
        <f t="shared" si="750"/>
        <v>241.29999999999995</v>
      </c>
      <c r="R258" s="38">
        <v>2</v>
      </c>
      <c r="S258" s="4">
        <f t="shared" si="722"/>
        <v>260.34999999999997</v>
      </c>
      <c r="T258" s="7">
        <f t="shared" si="751"/>
        <v>3</v>
      </c>
      <c r="U258" s="7">
        <f t="shared" si="631"/>
        <v>3</v>
      </c>
      <c r="V258" s="38">
        <v>4</v>
      </c>
      <c r="W258" s="4">
        <f t="shared" si="752"/>
        <v>4</v>
      </c>
      <c r="X258" s="4">
        <f t="shared" si="753"/>
        <v>5</v>
      </c>
      <c r="Y258" s="7">
        <f t="shared" si="754"/>
        <v>56.796126628494655</v>
      </c>
      <c r="AB258" s="38">
        <f>114.8/0.145</f>
        <v>791.72413793103453</v>
      </c>
      <c r="AD258" s="4">
        <f t="shared" si="666"/>
        <v>1.4143463626576895</v>
      </c>
      <c r="AE258" s="38">
        <f>0.5*25.4</f>
        <v>12.7</v>
      </c>
      <c r="AF258" s="38">
        <v>8</v>
      </c>
      <c r="AG258" s="39">
        <f>4*25.4</f>
        <v>101.6</v>
      </c>
      <c r="AH258" s="39">
        <v>2</v>
      </c>
      <c r="AI258" s="39">
        <v>1</v>
      </c>
      <c r="AJ258" s="7"/>
      <c r="AK258" s="4">
        <f t="shared" si="755"/>
        <v>233.42599999999999</v>
      </c>
      <c r="AL258" s="4">
        <f t="shared" si="678"/>
        <v>0.59847660500544075</v>
      </c>
      <c r="AM258" s="4">
        <f t="shared" si="679"/>
        <v>210.33784035951044</v>
      </c>
      <c r="AN258" s="4">
        <f t="shared" si="680"/>
        <v>0.76528835690968444</v>
      </c>
      <c r="AO258" s="4">
        <v>1.25</v>
      </c>
      <c r="AP258" s="4">
        <f t="shared" si="624"/>
        <v>2.5</v>
      </c>
      <c r="AQ258" s="38">
        <f t="shared" si="723"/>
        <v>301.05075195376668</v>
      </c>
      <c r="AR258" s="38">
        <f t="shared" si="682"/>
        <v>301.05075195376668</v>
      </c>
      <c r="AS258" s="38">
        <f t="shared" si="683"/>
        <v>3.2540864993004175</v>
      </c>
      <c r="AT258" s="38">
        <f t="shared" si="626"/>
        <v>301.05075195376651</v>
      </c>
      <c r="AU258" s="38">
        <f t="shared" si="601"/>
        <v>1.0000000000000007</v>
      </c>
      <c r="AV258" s="38">
        <f t="shared" si="715"/>
        <v>1.4239780249353082</v>
      </c>
      <c r="AW258" s="4">
        <f t="shared" si="707"/>
        <v>0</v>
      </c>
      <c r="AX258" s="4">
        <f t="shared" si="756"/>
        <v>289.09647027921568</v>
      </c>
      <c r="AY258" s="4">
        <f t="shared" si="724"/>
        <v>1</v>
      </c>
      <c r="AZ258" s="38">
        <f t="shared" si="617"/>
        <v>428.68965517241384</v>
      </c>
      <c r="BA258" s="4">
        <f t="shared" si="725"/>
        <v>0.44000000000000006</v>
      </c>
      <c r="BB258" s="4">
        <f t="shared" si="726"/>
        <v>66.463278517191682</v>
      </c>
      <c r="BC258" s="4">
        <f t="shared" si="727"/>
        <v>495.1529336896055</v>
      </c>
      <c r="BE258" s="4">
        <f t="shared" si="627"/>
        <v>1.5</v>
      </c>
      <c r="BF258" s="4">
        <f t="shared" si="628"/>
        <v>516.14100993283103</v>
      </c>
      <c r="BH258" s="4">
        <f t="shared" si="633"/>
        <v>411.16580463902415</v>
      </c>
      <c r="BI258" s="4">
        <f t="shared" si="634"/>
        <v>0</v>
      </c>
      <c r="BJ258" s="4">
        <f t="shared" si="635"/>
        <v>0</v>
      </c>
      <c r="BR258" s="4">
        <f t="shared" si="728"/>
        <v>63.5</v>
      </c>
      <c r="BV258" s="9"/>
      <c r="BX258" s="9"/>
      <c r="BY258" s="9"/>
      <c r="BZ258" s="9">
        <f t="shared" si="729"/>
        <v>63.5</v>
      </c>
      <c r="CA258" s="9">
        <f t="shared" si="730"/>
        <v>120.64999999999998</v>
      </c>
      <c r="CB258" s="9">
        <f t="shared" si="604"/>
        <v>1.7409369561833321</v>
      </c>
      <c r="CC258" s="40">
        <f t="shared" si="757"/>
        <v>20</v>
      </c>
      <c r="CD258" s="9">
        <f t="shared" si="731"/>
        <v>0.05</v>
      </c>
      <c r="CE258" s="9">
        <f t="shared" si="732"/>
        <v>0.8</v>
      </c>
      <c r="CF258" s="9">
        <f t="shared" si="733"/>
        <v>0.99524931562137331</v>
      </c>
      <c r="CG258" s="9">
        <f t="shared" si="734"/>
        <v>0.68</v>
      </c>
      <c r="CH258" s="9">
        <f t="shared" si="606"/>
        <v>1.4157602788737922</v>
      </c>
      <c r="CI258" s="9">
        <f t="shared" si="607"/>
        <v>3.5394006971844805</v>
      </c>
      <c r="CJ258" s="40">
        <v>1</v>
      </c>
      <c r="CK258" s="9">
        <f t="shared" si="608"/>
        <v>342.47241145957031</v>
      </c>
      <c r="CM258" s="4">
        <f t="shared" si="735"/>
        <v>2.7386157194045646</v>
      </c>
      <c r="CN258" s="4">
        <f t="shared" si="736"/>
        <v>1.5989486965805586</v>
      </c>
      <c r="CO258" s="4">
        <f t="shared" si="708"/>
        <v>1.5339299197210992</v>
      </c>
      <c r="CP258" s="4">
        <f t="shared" si="737"/>
        <v>2.3117895381902884</v>
      </c>
      <c r="CQ258" s="4">
        <f t="shared" si="694"/>
        <v>1.4143463626576895</v>
      </c>
      <c r="CR258" s="4">
        <f t="shared" si="695"/>
        <v>1.5147236131087898</v>
      </c>
      <c r="CS258" s="4">
        <f t="shared" si="709"/>
        <v>1.5549193028146699</v>
      </c>
      <c r="CT258" s="4">
        <f t="shared" si="758"/>
        <v>8</v>
      </c>
      <c r="DA258" s="4">
        <f t="shared" si="773"/>
        <v>2.7386157194045646</v>
      </c>
      <c r="DB258" s="4">
        <f t="shared" si="773"/>
        <v>1.5989486965805586</v>
      </c>
      <c r="DC258" s="4">
        <f t="shared" si="774"/>
        <v>2.3117895381902884</v>
      </c>
      <c r="DD258" s="4">
        <f t="shared" si="775"/>
        <v>1.5549193028146699</v>
      </c>
      <c r="DE258" s="4">
        <f t="shared" si="776"/>
        <v>1.4143463626576895</v>
      </c>
      <c r="DF258" s="4">
        <f t="shared" si="776"/>
        <v>1.5147236131087898</v>
      </c>
      <c r="DI258" s="4">
        <f t="shared" si="742"/>
        <v>233.42599999999999</v>
      </c>
      <c r="DL258" s="4">
        <f t="shared" si="667"/>
        <v>1.7078533262925979E-5</v>
      </c>
      <c r="DM258" s="4">
        <f t="shared" si="769"/>
        <v>8.1641442880324373</v>
      </c>
      <c r="DN258" s="4">
        <f t="shared" si="668"/>
        <v>0.46558991318142223</v>
      </c>
      <c r="DO258" s="4">
        <f t="shared" si="669"/>
        <v>6.0132892782925138</v>
      </c>
      <c r="DP258" s="4">
        <f t="shared" si="670"/>
        <v>7.1700120340069331</v>
      </c>
      <c r="DQ258" s="4">
        <f t="shared" si="671"/>
        <v>7.769205682379722</v>
      </c>
      <c r="DR258" s="38">
        <f t="shared" si="684"/>
        <v>559.78094110081395</v>
      </c>
      <c r="DS258" s="4">
        <f t="shared" si="609"/>
        <v>1.0001182170996981</v>
      </c>
      <c r="DT258" s="4">
        <f t="shared" si="672"/>
        <v>2.2360679774997898</v>
      </c>
      <c r="DU258" s="4">
        <f t="shared" si="618"/>
        <v>301.05075195376651</v>
      </c>
      <c r="DY258" s="4">
        <f t="shared" si="581"/>
        <v>0.85</v>
      </c>
      <c r="DZ258" s="4">
        <f t="shared" si="610"/>
        <v>0.85</v>
      </c>
      <c r="EA258" s="4">
        <f t="shared" si="685"/>
        <v>0.92500000000000004</v>
      </c>
      <c r="EB258" s="4">
        <f t="shared" si="611"/>
        <v>0.78625</v>
      </c>
      <c r="ED258" s="4">
        <f t="shared" si="686"/>
        <v>522.68554545480083</v>
      </c>
      <c r="EE258" s="25">
        <f t="shared" si="687"/>
        <v>297.60008743374652</v>
      </c>
      <c r="EG258" s="4">
        <f t="shared" si="619"/>
        <v>0.66831249999999998</v>
      </c>
      <c r="EH258" s="4">
        <f t="shared" si="688"/>
        <v>8.1641442880324373</v>
      </c>
      <c r="EK258" s="4">
        <f t="shared" si="673"/>
        <v>56.796126628494655</v>
      </c>
      <c r="EL258" s="4">
        <f t="shared" si="674"/>
        <v>2.2360679774997898</v>
      </c>
      <c r="EM258" s="4">
        <f t="shared" si="675"/>
        <v>0.15216672970932105</v>
      </c>
      <c r="EP258" s="4">
        <f t="shared" si="759"/>
        <v>0.15216672970932105</v>
      </c>
      <c r="EQ258" s="4">
        <f t="shared" si="721"/>
        <v>0.46481293039048616</v>
      </c>
      <c r="ER258" s="4">
        <f t="shared" si="770"/>
        <v>6.0092732432724834</v>
      </c>
      <c r="ES258" s="4">
        <f t="shared" si="743"/>
        <v>7.1683297930473469</v>
      </c>
      <c r="ET258" s="4">
        <f t="shared" si="771"/>
        <v>118.27337337150536</v>
      </c>
      <c r="EU258" s="4">
        <f t="shared" si="772"/>
        <v>58.356499999999983</v>
      </c>
      <c r="EV258" s="4">
        <f t="shared" si="612"/>
        <v>1.7078533262925975E-5</v>
      </c>
      <c r="EW258" s="4">
        <f t="shared" si="744"/>
        <v>7.7693238123866122</v>
      </c>
      <c r="EX258" s="4">
        <f t="shared" si="636"/>
        <v>559.71477324366288</v>
      </c>
      <c r="FG258" s="23">
        <f t="shared" si="711"/>
        <v>2.2000000000000002</v>
      </c>
      <c r="FH258" s="23">
        <f t="shared" si="711"/>
        <v>1.6</v>
      </c>
      <c r="FI258" s="23">
        <f t="shared" si="712"/>
        <v>1.6</v>
      </c>
      <c r="FJ258" s="23">
        <f t="shared" si="713"/>
        <v>2.2000000000000002</v>
      </c>
      <c r="FK258" s="23">
        <f t="shared" si="713"/>
        <v>1.6</v>
      </c>
      <c r="FL258" s="23">
        <f t="shared" si="713"/>
        <v>1.6</v>
      </c>
      <c r="FM258" s="23">
        <f t="shared" si="701"/>
        <v>0</v>
      </c>
      <c r="FN258" s="23"/>
      <c r="FX258" s="4">
        <f t="shared" si="613"/>
        <v>1</v>
      </c>
      <c r="FY258" s="4">
        <f t="shared" si="652"/>
        <v>0.44</v>
      </c>
      <c r="FZ258" s="4">
        <f t="shared" si="614"/>
        <v>0.3</v>
      </c>
      <c r="GA258" s="4">
        <f t="shared" si="615"/>
        <v>509.17377930666783</v>
      </c>
    </row>
    <row r="259" spans="1:183" ht="12" customHeight="1" x14ac:dyDescent="0.3">
      <c r="A259" s="25">
        <v>241</v>
      </c>
      <c r="B259" s="4" t="s">
        <v>605</v>
      </c>
      <c r="C259" s="4">
        <v>2016</v>
      </c>
      <c r="D259" s="4" t="s">
        <v>309</v>
      </c>
      <c r="E259" s="24" t="s">
        <v>662</v>
      </c>
      <c r="F259" s="7" t="s">
        <v>394</v>
      </c>
      <c r="G259" s="38">
        <f t="shared" si="745"/>
        <v>827.58620689655174</v>
      </c>
      <c r="H259" s="38">
        <f>9.5*25.4</f>
        <v>241.29999999999998</v>
      </c>
      <c r="I259" s="4">
        <f t="shared" si="746"/>
        <v>241.29999999999998</v>
      </c>
      <c r="J259" s="38">
        <f>5910/145</f>
        <v>40.758620689655174</v>
      </c>
      <c r="K259" s="38">
        <f t="shared" si="747"/>
        <v>25.4</v>
      </c>
      <c r="L259" s="7">
        <f t="shared" si="748"/>
        <v>9.5</v>
      </c>
      <c r="M259" s="7">
        <f t="shared" si="749"/>
        <v>9.5</v>
      </c>
      <c r="N259" s="38">
        <f>19*25.4</f>
        <v>482.59999999999997</v>
      </c>
      <c r="O259" s="38">
        <f>3.9*25.4</f>
        <v>99.059999999999988</v>
      </c>
      <c r="P259" s="39">
        <f>3.25*25.4</f>
        <v>82.55</v>
      </c>
      <c r="Q259" s="7">
        <f t="shared" si="750"/>
        <v>233.67999999999998</v>
      </c>
      <c r="R259" s="38">
        <v>2</v>
      </c>
      <c r="S259" s="4">
        <f t="shared" si="722"/>
        <v>260.34999999999997</v>
      </c>
      <c r="T259" s="7">
        <f t="shared" si="751"/>
        <v>4.4000000000000004</v>
      </c>
      <c r="U259" s="7">
        <f t="shared" si="631"/>
        <v>4.4000000000000004</v>
      </c>
      <c r="V259" s="38">
        <v>4</v>
      </c>
      <c r="W259" s="4">
        <f t="shared" si="752"/>
        <v>4</v>
      </c>
      <c r="X259" s="4">
        <f t="shared" si="753"/>
        <v>5</v>
      </c>
      <c r="Y259" s="7">
        <f t="shared" si="754"/>
        <v>56.796126628494655</v>
      </c>
      <c r="AB259" s="38">
        <f>122.4/0.145</f>
        <v>844.1379310344829</v>
      </c>
      <c r="AD259" s="4">
        <f t="shared" si="666"/>
        <v>1.1787643163301271</v>
      </c>
      <c r="AE259" s="38">
        <f>0.5*25.4</f>
        <v>12.7</v>
      </c>
      <c r="AF259" s="38">
        <v>8</v>
      </c>
      <c r="AG259" s="39">
        <f>4*25.4</f>
        <v>101.6</v>
      </c>
      <c r="AH259" s="39">
        <v>2</v>
      </c>
      <c r="AI259" s="39">
        <v>1</v>
      </c>
      <c r="AJ259" s="7"/>
      <c r="AK259" s="4">
        <f t="shared" si="755"/>
        <v>241.29999999999998</v>
      </c>
      <c r="AL259" s="4">
        <f t="shared" si="678"/>
        <v>0.66666666666666663</v>
      </c>
      <c r="AM259" s="4">
        <f t="shared" si="679"/>
        <v>236.13393909906492</v>
      </c>
      <c r="AN259" s="4">
        <f t="shared" si="680"/>
        <v>0.79263157894736835</v>
      </c>
      <c r="AO259" s="4">
        <v>1.25</v>
      </c>
      <c r="AP259" s="4">
        <f t="shared" si="624"/>
        <v>2.5</v>
      </c>
      <c r="AQ259" s="38">
        <f t="shared" si="723"/>
        <v>389.93170206490322</v>
      </c>
      <c r="AR259" s="38">
        <f t="shared" si="682"/>
        <v>389.93170206490322</v>
      </c>
      <c r="AS259" s="38">
        <f t="shared" si="683"/>
        <v>3.5530466297176955</v>
      </c>
      <c r="AT259" s="38">
        <f t="shared" si="626"/>
        <v>389.93170206490333</v>
      </c>
      <c r="AU259" s="38">
        <f t="shared" si="601"/>
        <v>0.99999999999999967</v>
      </c>
      <c r="AV259" s="38">
        <f t="shared" si="715"/>
        <v>1.8396855663162504</v>
      </c>
      <c r="AW259" s="4">
        <f t="shared" si="707"/>
        <v>0</v>
      </c>
      <c r="AX259" s="4">
        <f t="shared" si="756"/>
        <v>319.21239281102157</v>
      </c>
      <c r="AY259" s="4">
        <f t="shared" si="724"/>
        <v>1</v>
      </c>
      <c r="AZ259" s="38">
        <f t="shared" si="617"/>
        <v>717.35172413793111</v>
      </c>
      <c r="BA259" s="4">
        <f t="shared" si="725"/>
        <v>0.44000000000000006</v>
      </c>
      <c r="BB259" s="4">
        <f t="shared" si="726"/>
        <v>73.386929107253877</v>
      </c>
      <c r="BC259" s="4">
        <f t="shared" si="727"/>
        <v>790.73865324518499</v>
      </c>
      <c r="BE259" s="4">
        <f t="shared" si="627"/>
        <v>1.5</v>
      </c>
      <c r="BF259" s="4">
        <f t="shared" si="628"/>
        <v>560.21774938334283</v>
      </c>
      <c r="BH259" s="4">
        <f t="shared" si="633"/>
        <v>688.02802984769528</v>
      </c>
      <c r="BI259" s="4">
        <f t="shared" si="634"/>
        <v>0</v>
      </c>
      <c r="BJ259" s="4">
        <f t="shared" si="635"/>
        <v>0</v>
      </c>
      <c r="BR259" s="4">
        <f t="shared" si="728"/>
        <v>99.059999999999988</v>
      </c>
      <c r="BV259" s="9"/>
      <c r="BX259" s="9"/>
      <c r="BY259" s="9"/>
      <c r="BZ259" s="9">
        <f t="shared" si="729"/>
        <v>82.55</v>
      </c>
      <c r="CA259" s="9">
        <f t="shared" si="730"/>
        <v>116.83999999999999</v>
      </c>
      <c r="CB259" s="9">
        <f t="shared" si="604"/>
        <v>1.8992093998678425</v>
      </c>
      <c r="CC259" s="40">
        <f t="shared" si="757"/>
        <v>20</v>
      </c>
      <c r="CD259" s="9">
        <f t="shared" si="731"/>
        <v>0.05</v>
      </c>
      <c r="CE259" s="9">
        <f t="shared" si="732"/>
        <v>0.8</v>
      </c>
      <c r="CF259" s="9">
        <f t="shared" si="733"/>
        <v>0.99524931562137331</v>
      </c>
      <c r="CG259" s="9">
        <f t="shared" si="734"/>
        <v>0.68</v>
      </c>
      <c r="CH259" s="9">
        <f t="shared" si="606"/>
        <v>1.5122325576992237</v>
      </c>
      <c r="CI259" s="9">
        <f t="shared" si="607"/>
        <v>3.7805813942480593</v>
      </c>
      <c r="CJ259" s="40">
        <v>1</v>
      </c>
      <c r="CK259" s="9">
        <f t="shared" si="608"/>
        <v>370.4969766363098</v>
      </c>
      <c r="CM259" s="4">
        <f t="shared" si="735"/>
        <v>2.6444397211552655</v>
      </c>
      <c r="CN259" s="4">
        <f t="shared" si="736"/>
        <v>1.0675308808670825</v>
      </c>
      <c r="CO259" s="4">
        <f t="shared" si="708"/>
        <v>1.5068032599175301</v>
      </c>
      <c r="CP259" s="4">
        <f t="shared" si="737"/>
        <v>2.2783935747554356</v>
      </c>
      <c r="CQ259" s="4">
        <f t="shared" si="694"/>
        <v>1.1787643163301271</v>
      </c>
      <c r="CR259" s="4">
        <f t="shared" si="695"/>
        <v>1.2694084672363284</v>
      </c>
      <c r="CS259" s="4">
        <f t="shared" si="709"/>
        <v>1.5517610994655895</v>
      </c>
      <c r="CT259" s="4">
        <f t="shared" si="758"/>
        <v>8</v>
      </c>
      <c r="DA259" s="4">
        <f t="shared" si="773"/>
        <v>2.6444397211552655</v>
      </c>
      <c r="DB259" s="4">
        <f t="shared" si="773"/>
        <v>1.0675308808670825</v>
      </c>
      <c r="DC259" s="4">
        <f t="shared" si="774"/>
        <v>2.2783935747554356</v>
      </c>
      <c r="DD259" s="4">
        <f t="shared" si="775"/>
        <v>1.5517610994655895</v>
      </c>
      <c r="DE259" s="4">
        <f t="shared" si="776"/>
        <v>1.1787643163301271</v>
      </c>
      <c r="DF259" s="4">
        <f t="shared" si="776"/>
        <v>1.2694084672363284</v>
      </c>
      <c r="DI259" s="4">
        <f t="shared" si="742"/>
        <v>241.29999999999998</v>
      </c>
      <c r="DL259" s="4">
        <f t="shared" si="667"/>
        <v>1.8260231462931454E-5</v>
      </c>
      <c r="DM259" s="4">
        <f t="shared" si="769"/>
        <v>9.7949483572995213</v>
      </c>
      <c r="DN259" s="4">
        <f t="shared" si="668"/>
        <v>0.5285604589936419</v>
      </c>
      <c r="DO259" s="4">
        <f t="shared" si="669"/>
        <v>7.5899692945005892</v>
      </c>
      <c r="DP259" s="4">
        <f t="shared" si="670"/>
        <v>8.7622062704031336</v>
      </c>
      <c r="DQ259" s="4">
        <f t="shared" si="671"/>
        <v>9.1527650475891438</v>
      </c>
      <c r="DR259" s="38">
        <f t="shared" si="684"/>
        <v>716.12104246806189</v>
      </c>
      <c r="DS259" s="4">
        <f t="shared" si="609"/>
        <v>1.0001206064320898</v>
      </c>
      <c r="DT259" s="4">
        <f t="shared" si="672"/>
        <v>2.2360679774997898</v>
      </c>
      <c r="DU259" s="4">
        <f t="shared" si="618"/>
        <v>389.93170206490333</v>
      </c>
      <c r="DY259" s="4">
        <f t="shared" si="581"/>
        <v>0.85</v>
      </c>
      <c r="DZ259" s="4">
        <f t="shared" si="610"/>
        <v>0.71</v>
      </c>
      <c r="EA259" s="4">
        <f t="shared" si="685"/>
        <v>0.92500000000000004</v>
      </c>
      <c r="EB259" s="4">
        <f t="shared" si="611"/>
        <v>0.7</v>
      </c>
      <c r="ED259" s="4">
        <f t="shared" si="686"/>
        <v>664.98526898302782</v>
      </c>
      <c r="EE259" s="25">
        <f t="shared" si="687"/>
        <v>385.82924079999151</v>
      </c>
      <c r="EG259" s="4">
        <f t="shared" si="619"/>
        <v>0.59499999999999997</v>
      </c>
      <c r="EH259" s="4">
        <f t="shared" si="688"/>
        <v>9.7949483572995213</v>
      </c>
      <c r="EK259" s="4">
        <f t="shared" si="673"/>
        <v>56.796126628494655</v>
      </c>
      <c r="EL259" s="4">
        <f t="shared" si="674"/>
        <v>2.2360679774997898</v>
      </c>
      <c r="EM259" s="4">
        <f t="shared" si="675"/>
        <v>0.18451839811569204</v>
      </c>
      <c r="EP259" s="4">
        <f t="shared" si="759"/>
        <v>0.18451839811569204</v>
      </c>
      <c r="EQ259" s="4">
        <f t="shared" si="721"/>
        <v>0.52767839009785966</v>
      </c>
      <c r="ER259" s="4">
        <f t="shared" si="770"/>
        <v>7.584900258058636</v>
      </c>
      <c r="ES259" s="4">
        <f t="shared" si="743"/>
        <v>8.7600123648110575</v>
      </c>
      <c r="ET259" s="4">
        <f t="shared" si="771"/>
        <v>124.17887337150535</v>
      </c>
      <c r="EU259" s="4">
        <f t="shared" si="772"/>
        <v>60.324999999999989</v>
      </c>
      <c r="EV259" s="4">
        <f t="shared" si="612"/>
        <v>1.8260231462931451E-5</v>
      </c>
      <c r="EW259" s="4">
        <f t="shared" si="744"/>
        <v>9.1529633500073277</v>
      </c>
      <c r="EX259" s="4">
        <f t="shared" si="636"/>
        <v>716.03468407956245</v>
      </c>
      <c r="FG259" s="23">
        <f t="shared" ref="FG259:FH322" si="778">IF(CM259&lt;0.6,0.6,IF(CM259&lt;0.8,0.8,IF(CM259&lt;1,1,IF(CM259&lt;1.2,1.2,IF(CM259&lt;1.4,1.4,IF(CM259&lt;1.6,1.6,IF(CM259&lt;1.8,1.8,IF(CM259&lt;2,2,2.2))))))))</f>
        <v>2.2000000000000002</v>
      </c>
      <c r="FH259" s="23">
        <f t="shared" si="778"/>
        <v>1.2</v>
      </c>
      <c r="FI259" s="23">
        <f t="shared" si="712"/>
        <v>1.6</v>
      </c>
      <c r="FJ259" s="23">
        <f t="shared" ref="FJ259:FL322" si="779">IF(CP259&lt;0.6,0.6,IF(CP259&lt;0.8,0.8,IF(CP259&lt;1,1,IF(CP259&lt;1.2,1.2,IF(CP259&lt;1.4,1.4,IF(CP259&lt;1.6,1.6,IF(CP259&lt;1.8,1.8,IF(CP259&lt;2,2,2.2))))))))</f>
        <v>2.2000000000000002</v>
      </c>
      <c r="FK259" s="23">
        <f t="shared" si="779"/>
        <v>1.2</v>
      </c>
      <c r="FL259" s="23">
        <f t="shared" si="779"/>
        <v>1.4</v>
      </c>
      <c r="FM259" s="23">
        <f t="shared" si="701"/>
        <v>0</v>
      </c>
      <c r="FN259" s="23"/>
      <c r="FX259" s="4">
        <f t="shared" si="613"/>
        <v>1</v>
      </c>
      <c r="FY259" s="4">
        <f t="shared" si="652"/>
        <v>0.44</v>
      </c>
      <c r="FZ259" s="4">
        <f t="shared" si="614"/>
        <v>0.3</v>
      </c>
      <c r="GA259" s="4">
        <f t="shared" si="615"/>
        <v>543.98704241599773</v>
      </c>
    </row>
    <row r="260" spans="1:183" ht="12" customHeight="1" x14ac:dyDescent="0.3">
      <c r="A260" s="25">
        <v>242</v>
      </c>
      <c r="B260" s="4" t="s">
        <v>605</v>
      </c>
      <c r="C260" s="4">
        <v>2016</v>
      </c>
      <c r="D260" s="4" t="s">
        <v>309</v>
      </c>
      <c r="E260" s="24" t="s">
        <v>405</v>
      </c>
      <c r="F260" s="7" t="s">
        <v>395</v>
      </c>
      <c r="G260" s="38">
        <f t="shared" si="745"/>
        <v>827.58620689655174</v>
      </c>
      <c r="H260" s="38">
        <f>12.59*25.4</f>
        <v>319.786</v>
      </c>
      <c r="I260" s="4">
        <f t="shared" si="746"/>
        <v>319.786</v>
      </c>
      <c r="J260" s="38">
        <f>6210/145</f>
        <v>42.827586206896555</v>
      </c>
      <c r="K260" s="38">
        <f t="shared" si="747"/>
        <v>25.4</v>
      </c>
      <c r="L260" s="7">
        <f t="shared" si="748"/>
        <v>12.590000000000002</v>
      </c>
      <c r="M260" s="7">
        <f t="shared" si="749"/>
        <v>12.590000000000002</v>
      </c>
      <c r="N260" s="38">
        <f>16.6*25.4</f>
        <v>421.64</v>
      </c>
      <c r="O260" s="38">
        <f>2.45*25.4</f>
        <v>62.230000000000004</v>
      </c>
      <c r="P260" s="39">
        <f>3.1*25.4</f>
        <v>78.739999999999995</v>
      </c>
      <c r="Q260" s="7">
        <f t="shared" si="750"/>
        <v>246.37999999999997</v>
      </c>
      <c r="R260" s="38">
        <v>2</v>
      </c>
      <c r="S260" s="4">
        <f t="shared" si="722"/>
        <v>260.34999999999997</v>
      </c>
      <c r="T260" s="7">
        <f t="shared" si="751"/>
        <v>2.95</v>
      </c>
      <c r="U260" s="7">
        <f t="shared" si="631"/>
        <v>2.95</v>
      </c>
      <c r="V260" s="38">
        <v>4</v>
      </c>
      <c r="W260" s="4">
        <f t="shared" si="752"/>
        <v>4</v>
      </c>
      <c r="X260" s="4">
        <f t="shared" si="753"/>
        <v>5</v>
      </c>
      <c r="Y260" s="7">
        <f t="shared" si="754"/>
        <v>56.796126628494655</v>
      </c>
      <c r="AB260" s="38">
        <f>AC260/0.145</f>
        <v>726.89655172413802</v>
      </c>
      <c r="AC260" s="4">
        <v>105.4</v>
      </c>
      <c r="AD260" s="4">
        <f t="shared" si="666"/>
        <v>0.98628051473021827</v>
      </c>
      <c r="AE260" s="38"/>
      <c r="AF260" s="38"/>
      <c r="AG260" s="39">
        <v>1</v>
      </c>
      <c r="AH260" s="39"/>
      <c r="AI260" s="39"/>
      <c r="AJ260" s="7"/>
      <c r="AK260" s="4">
        <f t="shared" si="755"/>
        <v>319.786</v>
      </c>
      <c r="AL260" s="4">
        <f t="shared" si="678"/>
        <v>0.43950225046333069</v>
      </c>
      <c r="AM260" s="4">
        <f t="shared" si="679"/>
        <v>369.2866933162444</v>
      </c>
      <c r="AN260" s="4">
        <f t="shared" si="680"/>
        <v>0.74686258935663219</v>
      </c>
      <c r="AO260" s="4">
        <v>1.25</v>
      </c>
      <c r="AP260" s="4">
        <f t="shared" si="624"/>
        <v>2.5</v>
      </c>
      <c r="AQ260" s="38">
        <f t="shared" si="723"/>
        <v>378.80481411776645</v>
      </c>
      <c r="AR260" s="38">
        <f t="shared" si="682"/>
        <v>378.80481411776645</v>
      </c>
      <c r="AS260" s="38">
        <f t="shared" si="683"/>
        <v>3.6722901407859458</v>
      </c>
      <c r="AT260" s="38">
        <f t="shared" si="626"/>
        <v>378.80481411776617</v>
      </c>
      <c r="AU260" s="38">
        <f t="shared" si="601"/>
        <v>1.0000000000000007</v>
      </c>
      <c r="AV260" s="38">
        <f t="shared" si="715"/>
        <v>1.3341053186411378</v>
      </c>
      <c r="AW260" s="4">
        <f t="shared" si="707"/>
        <v>0</v>
      </c>
      <c r="AX260" s="4">
        <f t="shared" si="756"/>
        <v>433.64458548030063</v>
      </c>
      <c r="AY260" s="4">
        <f t="shared" si="724"/>
        <v>1</v>
      </c>
      <c r="AZ260" s="38">
        <f t="shared" si="617"/>
        <v>505.36551724137939</v>
      </c>
      <c r="BA260" s="4">
        <f t="shared" si="725"/>
        <v>0.44000000000000006</v>
      </c>
      <c r="BB260" s="4">
        <f t="shared" si="726"/>
        <v>99.694890201921126</v>
      </c>
      <c r="BC260" s="4">
        <f t="shared" si="727"/>
        <v>605.06040744330051</v>
      </c>
      <c r="BE260" s="4">
        <f t="shared" si="627"/>
        <v>1.3625</v>
      </c>
      <c r="BF260" s="4">
        <f t="shared" si="628"/>
        <v>604.27662587984457</v>
      </c>
      <c r="BH260" s="4">
        <f t="shared" si="633"/>
        <v>484.70733321007748</v>
      </c>
      <c r="BI260" s="4">
        <f t="shared" ref="BI260:BI268" si="780">8/3*AC260*AA260^2/(Y260-K260-22)/K260*(Y260^2-K260^2)/(Y260^2-(K260+22)^2)</f>
        <v>0</v>
      </c>
      <c r="BJ260" s="4">
        <f t="shared" si="635"/>
        <v>0</v>
      </c>
      <c r="BR260" s="4">
        <f t="shared" si="728"/>
        <v>62.230000000000004</v>
      </c>
      <c r="BV260" s="9"/>
      <c r="BX260" s="9"/>
      <c r="BY260" s="9"/>
      <c r="BZ260" s="9">
        <f t="shared" si="729"/>
        <v>62.230000000000004</v>
      </c>
      <c r="CA260" s="9">
        <f t="shared" si="730"/>
        <v>123.18999999999998</v>
      </c>
      <c r="CB260" s="9">
        <f t="shared" si="604"/>
        <v>1.7340810420811554</v>
      </c>
      <c r="CC260" s="40">
        <f t="shared" si="757"/>
        <v>0</v>
      </c>
      <c r="CD260" s="9">
        <f t="shared" si="731"/>
        <v>0</v>
      </c>
      <c r="CE260" s="9">
        <f t="shared" si="732"/>
        <v>0</v>
      </c>
      <c r="CF260" s="9">
        <f t="shared" si="733"/>
        <v>0.99524931562137331</v>
      </c>
      <c r="CG260" s="9">
        <f t="shared" si="734"/>
        <v>0.68</v>
      </c>
      <c r="CH260" s="9">
        <f t="shared" si="606"/>
        <v>1.5501390028928617</v>
      </c>
      <c r="CI260" s="9">
        <f t="shared" si="607"/>
        <v>2.6880666575070968</v>
      </c>
      <c r="CJ260" s="40">
        <v>1</v>
      </c>
      <c r="CK260" s="9">
        <f t="shared" si="608"/>
        <v>296.65503632248323</v>
      </c>
      <c r="CM260" s="4">
        <f t="shared" si="735"/>
        <v>1.6762495741046421</v>
      </c>
      <c r="CN260" s="4">
        <f t="shared" si="736"/>
        <v>1.20136195127303</v>
      </c>
      <c r="CO260" s="4">
        <f t="shared" si="708"/>
        <v>1.2029201868693087</v>
      </c>
      <c r="CP260" s="4">
        <f t="shared" si="737"/>
        <v>2.4503091561673487</v>
      </c>
      <c r="CQ260" s="4">
        <f t="shared" si="694"/>
        <v>0.98628051473021827</v>
      </c>
      <c r="CR260" s="4">
        <f t="shared" si="695"/>
        <v>1.0591467407093387</v>
      </c>
      <c r="CS260" s="4">
        <f t="shared" si="709"/>
        <v>1.4145986516145845</v>
      </c>
      <c r="CT260" s="4">
        <f t="shared" si="758"/>
        <v>0</v>
      </c>
      <c r="CU260" s="4">
        <f t="shared" ref="CU260:CV261" si="781">CM260</f>
        <v>1.6762495741046421</v>
      </c>
      <c r="CV260" s="4">
        <f t="shared" si="781"/>
        <v>1.20136195127303</v>
      </c>
      <c r="CW260" s="4">
        <f t="shared" ref="CW260:CW261" si="782">CP260</f>
        <v>2.4503091561673487</v>
      </c>
      <c r="CX260" s="4">
        <f t="shared" ref="CX260:CX261" si="783">CS260</f>
        <v>1.4145986516145845</v>
      </c>
      <c r="CY260" s="4">
        <f t="shared" ref="CY260:CZ261" si="784">CQ260</f>
        <v>0.98628051473021827</v>
      </c>
      <c r="CZ260" s="4">
        <f t="shared" si="784"/>
        <v>1.0591467407093387</v>
      </c>
      <c r="DI260" s="4">
        <f t="shared" si="742"/>
        <v>319.786</v>
      </c>
      <c r="DL260" s="4">
        <f t="shared" si="667"/>
        <v>2.4530239757040505E-5</v>
      </c>
      <c r="DM260" s="4">
        <f t="shared" si="769"/>
        <v>8.2202710041526839</v>
      </c>
      <c r="DN260" s="4">
        <f t="shared" si="668"/>
        <v>0.48867204545931681</v>
      </c>
      <c r="DO260" s="4">
        <f t="shared" si="669"/>
        <v>6.1729553243941799</v>
      </c>
      <c r="DP260" s="4">
        <f t="shared" si="670"/>
        <v>7.2691959003750313</v>
      </c>
      <c r="DQ260" s="4">
        <f t="shared" si="671"/>
        <v>7.4226093372503703</v>
      </c>
      <c r="DR260" s="38">
        <f t="shared" si="684"/>
        <v>737.00792104056654</v>
      </c>
      <c r="DS260" s="4">
        <f t="shared" si="609"/>
        <v>1.0001146887971195</v>
      </c>
      <c r="DT260" s="4">
        <f t="shared" si="672"/>
        <v>2.2360679774997898</v>
      </c>
      <c r="DU260" s="4">
        <f t="shared" si="618"/>
        <v>378.80481411776617</v>
      </c>
      <c r="DY260" s="4">
        <f t="shared" ref="DY260:DY323" si="785">IF(P260&gt;1*K260,0.85,1)</f>
        <v>0.85</v>
      </c>
      <c r="DZ260" s="4">
        <f t="shared" si="610"/>
        <v>0.85499999999999998</v>
      </c>
      <c r="EA260" s="4">
        <f t="shared" si="685"/>
        <v>1</v>
      </c>
      <c r="EB260" s="4">
        <f t="shared" si="611"/>
        <v>0.85499999999999998</v>
      </c>
      <c r="ED260" s="4">
        <f t="shared" si="686"/>
        <v>686.30391218247632</v>
      </c>
      <c r="EE260" s="25">
        <f t="shared" si="687"/>
        <v>375.82427635562937</v>
      </c>
      <c r="EG260" s="4">
        <f t="shared" si="619"/>
        <v>0.72675000000000001</v>
      </c>
      <c r="EH260" s="4">
        <f t="shared" si="688"/>
        <v>8.2202710041526839</v>
      </c>
      <c r="EK260" s="4">
        <f t="shared" si="673"/>
        <v>56.796126628494655</v>
      </c>
      <c r="EL260" s="4">
        <f t="shared" si="674"/>
        <v>2.2360679774997898</v>
      </c>
      <c r="EM260" s="4">
        <f t="shared" si="675"/>
        <v>0.17486969809104916</v>
      </c>
      <c r="EP260" s="4">
        <f t="shared" si="759"/>
        <v>0.17486969809104916</v>
      </c>
      <c r="EQ260" s="4">
        <f t="shared" si="721"/>
        <v>0.48785654289153363</v>
      </c>
      <c r="ER260" s="4">
        <f t="shared" si="770"/>
        <v>6.1688326548180887</v>
      </c>
      <c r="ES260" s="4">
        <f t="shared" si="743"/>
        <v>7.2674470393181627</v>
      </c>
      <c r="ET260" s="4">
        <f t="shared" si="771"/>
        <v>183.04337337150534</v>
      </c>
      <c r="EU260" s="4">
        <f t="shared" si="772"/>
        <v>79.946499999999986</v>
      </c>
      <c r="EV260" s="4">
        <f t="shared" si="612"/>
        <v>2.4530239757040502E-5</v>
      </c>
      <c r="EW260" s="4">
        <f t="shared" si="744"/>
        <v>7.4228293223322925</v>
      </c>
      <c r="EX260" s="4">
        <f t="shared" si="636"/>
        <v>736.92340418177173</v>
      </c>
      <c r="FG260" s="23">
        <f t="shared" si="778"/>
        <v>1.8</v>
      </c>
      <c r="FH260" s="23">
        <f t="shared" si="778"/>
        <v>1.4</v>
      </c>
      <c r="FI260" s="23">
        <f t="shared" si="712"/>
        <v>1.6</v>
      </c>
      <c r="FJ260" s="23">
        <f t="shared" si="779"/>
        <v>2.2000000000000002</v>
      </c>
      <c r="FK260" s="23">
        <f t="shared" si="779"/>
        <v>1</v>
      </c>
      <c r="FL260" s="23">
        <f t="shared" si="779"/>
        <v>1.2</v>
      </c>
      <c r="FM260" s="23">
        <f t="shared" si="701"/>
        <v>0</v>
      </c>
      <c r="FN260" s="23"/>
      <c r="FX260" s="4">
        <f t="shared" si="613"/>
        <v>1.25</v>
      </c>
      <c r="FY260" s="4">
        <f t="shared" si="652"/>
        <v>0.5</v>
      </c>
      <c r="FZ260" s="4">
        <f t="shared" si="614"/>
        <v>0</v>
      </c>
      <c r="GA260" s="4">
        <f t="shared" si="615"/>
        <v>513.85355902501249</v>
      </c>
    </row>
    <row r="261" spans="1:183" ht="12" customHeight="1" x14ac:dyDescent="0.3">
      <c r="A261" s="25">
        <v>243</v>
      </c>
      <c r="B261" s="4" t="s">
        <v>605</v>
      </c>
      <c r="C261" s="4">
        <v>2016</v>
      </c>
      <c r="D261" s="4" t="s">
        <v>309</v>
      </c>
      <c r="E261" s="24" t="s">
        <v>405</v>
      </c>
      <c r="F261" s="7" t="s">
        <v>396</v>
      </c>
      <c r="G261" s="38">
        <f t="shared" si="745"/>
        <v>827.58620689655174</v>
      </c>
      <c r="H261" s="38">
        <f>12.66*25.4</f>
        <v>321.56399999999996</v>
      </c>
      <c r="I261" s="4">
        <f t="shared" si="746"/>
        <v>321.56399999999996</v>
      </c>
      <c r="J261" s="38">
        <f>6440/145</f>
        <v>44.413793103448278</v>
      </c>
      <c r="K261" s="38">
        <f t="shared" si="747"/>
        <v>25.4</v>
      </c>
      <c r="L261" s="7">
        <f t="shared" si="748"/>
        <v>12.66</v>
      </c>
      <c r="M261" s="7">
        <f t="shared" si="749"/>
        <v>12.66</v>
      </c>
      <c r="N261" s="38">
        <f>18.5*25.4</f>
        <v>469.9</v>
      </c>
      <c r="O261" s="38">
        <f>3.55*25.4</f>
        <v>90.169999999999987</v>
      </c>
      <c r="P261" s="39">
        <f>3.05*25.4</f>
        <v>77.469999999999985</v>
      </c>
      <c r="Q261" s="7">
        <f t="shared" si="750"/>
        <v>238.76</v>
      </c>
      <c r="R261" s="38">
        <v>2</v>
      </c>
      <c r="S261" s="4">
        <f t="shared" si="722"/>
        <v>260.34999999999997</v>
      </c>
      <c r="T261" s="7">
        <f t="shared" si="751"/>
        <v>4.05</v>
      </c>
      <c r="U261" s="7">
        <f t="shared" si="631"/>
        <v>4.05</v>
      </c>
      <c r="V261" s="38">
        <v>4</v>
      </c>
      <c r="W261" s="4">
        <f t="shared" si="752"/>
        <v>4</v>
      </c>
      <c r="X261" s="4">
        <f t="shared" si="753"/>
        <v>5</v>
      </c>
      <c r="Y261" s="7">
        <f t="shared" si="754"/>
        <v>56.796126628494655</v>
      </c>
      <c r="AB261" s="38">
        <f t="shared" ref="AB261:AB324" si="786">AC261/0.145</f>
        <v>802.06896551724139</v>
      </c>
      <c r="AC261" s="4">
        <v>116.3</v>
      </c>
      <c r="AD261" s="4">
        <f t="shared" si="666"/>
        <v>0.96916666666666662</v>
      </c>
      <c r="AE261" s="38"/>
      <c r="AF261" s="38"/>
      <c r="AG261" s="39">
        <v>1</v>
      </c>
      <c r="AH261" s="39"/>
      <c r="AI261" s="39"/>
      <c r="AJ261" s="7"/>
      <c r="AK261" s="4">
        <f t="shared" si="755"/>
        <v>321.56399999999996</v>
      </c>
      <c r="AL261" s="4">
        <f t="shared" si="678"/>
        <v>0.48709847288046343</v>
      </c>
      <c r="AM261" s="4">
        <f t="shared" si="679"/>
        <v>379.20386548000778</v>
      </c>
      <c r="AN261" s="4">
        <f t="shared" si="680"/>
        <v>0.76398104265402833</v>
      </c>
      <c r="AO261" s="4">
        <v>1.25</v>
      </c>
      <c r="AP261" s="4">
        <f t="shared" si="624"/>
        <v>2.5</v>
      </c>
      <c r="AQ261" s="38">
        <f t="shared" si="723"/>
        <v>440.98328427505464</v>
      </c>
      <c r="AR261" s="38">
        <f t="shared" si="682"/>
        <v>440.98328427505464</v>
      </c>
      <c r="AS261" s="38">
        <f t="shared" si="683"/>
        <v>3.7624132755662103</v>
      </c>
      <c r="AT261" s="38">
        <f t="shared" si="626"/>
        <v>440.98328427505481</v>
      </c>
      <c r="AU261" s="38">
        <f t="shared" si="601"/>
        <v>0.99999999999999967</v>
      </c>
      <c r="AV261" s="38">
        <f t="shared" si="715"/>
        <v>1.6315889375686305</v>
      </c>
      <c r="AW261" s="4">
        <f t="shared" si="707"/>
        <v>0</v>
      </c>
      <c r="AX261" s="4">
        <f t="shared" si="756"/>
        <v>444.05732385345885</v>
      </c>
      <c r="AY261" s="4">
        <f t="shared" si="724"/>
        <v>1</v>
      </c>
      <c r="AZ261" s="38">
        <f t="shared" si="617"/>
        <v>719.50344827586207</v>
      </c>
      <c r="BA261" s="4">
        <f t="shared" si="725"/>
        <v>0.44000000000000006</v>
      </c>
      <c r="BB261" s="4">
        <f t="shared" si="726"/>
        <v>102.08877875391019</v>
      </c>
      <c r="BC261" s="4">
        <f t="shared" si="727"/>
        <v>821.59222702977229</v>
      </c>
      <c r="BE261" s="4">
        <f t="shared" si="627"/>
        <v>1.5</v>
      </c>
      <c r="BF261" s="4">
        <f t="shared" si="628"/>
        <v>679.56554577678264</v>
      </c>
      <c r="BH261" s="4">
        <f t="shared" si="633"/>
        <v>690.09179643468656</v>
      </c>
      <c r="BI261" s="4">
        <f t="shared" si="780"/>
        <v>0</v>
      </c>
      <c r="BJ261" s="4">
        <f t="shared" si="635"/>
        <v>0</v>
      </c>
      <c r="BR261" s="4">
        <f t="shared" si="728"/>
        <v>90.169999999999987</v>
      </c>
      <c r="BV261" s="9"/>
      <c r="BX261" s="9"/>
      <c r="BY261" s="9"/>
      <c r="BZ261" s="9">
        <f t="shared" si="729"/>
        <v>77.469999999999985</v>
      </c>
      <c r="CA261" s="9">
        <f t="shared" si="730"/>
        <v>119.38</v>
      </c>
      <c r="CB261" s="9">
        <f t="shared" si="604"/>
        <v>1.8634580588395866</v>
      </c>
      <c r="CC261" s="40">
        <f t="shared" si="757"/>
        <v>0</v>
      </c>
      <c r="CD261" s="9">
        <f t="shared" si="731"/>
        <v>0</v>
      </c>
      <c r="CE261" s="9">
        <f t="shared" si="732"/>
        <v>0</v>
      </c>
      <c r="CF261" s="9">
        <f t="shared" si="733"/>
        <v>0.99524931562137331</v>
      </c>
      <c r="CG261" s="9">
        <f t="shared" si="734"/>
        <v>0.68</v>
      </c>
      <c r="CH261" s="9">
        <f t="shared" si="606"/>
        <v>1.5785842929910907</v>
      </c>
      <c r="CI261" s="9">
        <f t="shared" si="607"/>
        <v>2.9416256223318391</v>
      </c>
      <c r="CJ261" s="40">
        <v>1</v>
      </c>
      <c r="CK261" s="9">
        <f t="shared" si="608"/>
        <v>325.46145885479467</v>
      </c>
      <c r="CM261" s="4">
        <f t="shared" si="735"/>
        <v>1.8062284359078113</v>
      </c>
      <c r="CN261" s="4">
        <f t="shared" si="736"/>
        <v>0.97623728551679267</v>
      </c>
      <c r="CO261" s="4">
        <f t="shared" si="708"/>
        <v>1.1802672611961667</v>
      </c>
      <c r="CP261" s="4">
        <f t="shared" si="737"/>
        <v>2.464405365659859</v>
      </c>
      <c r="CQ261" s="4">
        <f t="shared" si="694"/>
        <v>0.96916666666666662</v>
      </c>
      <c r="CR261" s="4">
        <f t="shared" si="695"/>
        <v>0.99943469121787187</v>
      </c>
      <c r="CS261" s="4">
        <f t="shared" si="709"/>
        <v>1.2305684841268119</v>
      </c>
      <c r="CT261" s="4">
        <f t="shared" si="758"/>
        <v>0</v>
      </c>
      <c r="CU261" s="4">
        <f t="shared" si="781"/>
        <v>1.8062284359078113</v>
      </c>
      <c r="CV261" s="4">
        <f t="shared" si="781"/>
        <v>0.97623728551679267</v>
      </c>
      <c r="CW261" s="4">
        <f t="shared" si="782"/>
        <v>2.464405365659859</v>
      </c>
      <c r="CX261" s="4">
        <f t="shared" si="783"/>
        <v>1.2305684841268119</v>
      </c>
      <c r="CY261" s="4">
        <f t="shared" si="784"/>
        <v>0.96916666666666662</v>
      </c>
      <c r="CZ261" s="4">
        <f t="shared" si="784"/>
        <v>0.99943469121787187</v>
      </c>
      <c r="DI261" s="4">
        <f t="shared" si="742"/>
        <v>321.56399999999996</v>
      </c>
      <c r="DL261" s="4">
        <f t="shared" si="667"/>
        <v>2.4922140426979919E-5</v>
      </c>
      <c r="DM261" s="4">
        <f t="shared" si="769"/>
        <v>9.607117692376189</v>
      </c>
      <c r="DN261" s="4">
        <f t="shared" si="668"/>
        <v>0.54856723782787586</v>
      </c>
      <c r="DO261" s="4">
        <f t="shared" si="669"/>
        <v>7.5558800997634963</v>
      </c>
      <c r="DP261" s="4">
        <f t="shared" si="670"/>
        <v>8.6426561865068745</v>
      </c>
      <c r="DQ261" s="4">
        <f t="shared" si="671"/>
        <v>8.4754165416165588</v>
      </c>
      <c r="DR261" s="38">
        <f t="shared" si="684"/>
        <v>827.58620689655174</v>
      </c>
      <c r="DS261" s="4">
        <f t="shared" si="609"/>
        <v>1</v>
      </c>
      <c r="DT261" s="4">
        <f t="shared" si="672"/>
        <v>2.2360679774997898</v>
      </c>
      <c r="DU261" s="4">
        <f t="shared" si="618"/>
        <v>440.98328427505481</v>
      </c>
      <c r="DY261" s="4">
        <f t="shared" si="785"/>
        <v>0.85</v>
      </c>
      <c r="DZ261" s="4">
        <f t="shared" si="610"/>
        <v>0.74500000000000011</v>
      </c>
      <c r="EA261" s="4">
        <f t="shared" si="685"/>
        <v>1</v>
      </c>
      <c r="EB261" s="4">
        <f t="shared" si="611"/>
        <v>0.74500000000000011</v>
      </c>
      <c r="ED261" s="4">
        <f t="shared" si="686"/>
        <v>802.5226386127058</v>
      </c>
      <c r="EE261" s="25">
        <f t="shared" si="687"/>
        <v>437.64430865625809</v>
      </c>
      <c r="EG261" s="4">
        <f t="shared" si="619"/>
        <v>0.63325000000000009</v>
      </c>
      <c r="EH261" s="4">
        <f t="shared" si="688"/>
        <v>9.607117692376189</v>
      </c>
      <c r="EK261" s="4">
        <f t="shared" si="673"/>
        <v>56.796126628494655</v>
      </c>
      <c r="EL261" s="4">
        <f t="shared" si="674"/>
        <v>2.2360679774997898</v>
      </c>
      <c r="EM261" s="4">
        <f t="shared" si="675"/>
        <v>0.19990518770232588</v>
      </c>
      <c r="EP261" s="4">
        <f t="shared" si="759"/>
        <v>0.19990518770232588</v>
      </c>
      <c r="EQ261" s="4">
        <f t="shared" si="721"/>
        <v>0.54765178134697612</v>
      </c>
      <c r="ER261" s="4">
        <f t="shared" si="770"/>
        <v>7.5508338301291147</v>
      </c>
      <c r="ES261" s="4">
        <f t="shared" si="743"/>
        <v>8.6404516776680875</v>
      </c>
      <c r="ET261" s="4">
        <f t="shared" si="771"/>
        <v>184.37687337150533</v>
      </c>
      <c r="EU261" s="4">
        <f t="shared" si="772"/>
        <v>80.390999999999963</v>
      </c>
      <c r="EV261" s="4">
        <f t="shared" si="612"/>
        <v>2.4922140426979916E-5</v>
      </c>
      <c r="EW261" s="4">
        <f t="shared" si="744"/>
        <v>8.4757421571063887</v>
      </c>
      <c r="EX261" s="4">
        <f t="shared" si="636"/>
        <v>827.58620689655174</v>
      </c>
      <c r="FG261" s="23">
        <f t="shared" si="778"/>
        <v>2</v>
      </c>
      <c r="FH261" s="23">
        <f t="shared" si="778"/>
        <v>1</v>
      </c>
      <c r="FI261" s="23">
        <f t="shared" si="712"/>
        <v>1.4</v>
      </c>
      <c r="FJ261" s="23">
        <f t="shared" si="779"/>
        <v>2.2000000000000002</v>
      </c>
      <c r="FK261" s="23">
        <f t="shared" si="779"/>
        <v>1</v>
      </c>
      <c r="FL261" s="23">
        <f t="shared" si="779"/>
        <v>1</v>
      </c>
      <c r="FM261" s="23">
        <f t="shared" si="701"/>
        <v>0</v>
      </c>
      <c r="FN261" s="23"/>
      <c r="FX261" s="4">
        <f t="shared" si="613"/>
        <v>1</v>
      </c>
      <c r="FY261" s="4">
        <f t="shared" si="652"/>
        <v>0.5</v>
      </c>
      <c r="FZ261" s="4">
        <f t="shared" si="614"/>
        <v>0</v>
      </c>
      <c r="GA261" s="4">
        <f t="shared" si="615"/>
        <v>651.78734533119007</v>
      </c>
    </row>
    <row r="262" spans="1:183" ht="12" customHeight="1" x14ac:dyDescent="0.3">
      <c r="A262" s="25">
        <v>244</v>
      </c>
      <c r="B262" s="4" t="s">
        <v>605</v>
      </c>
      <c r="C262" s="4">
        <v>2016</v>
      </c>
      <c r="D262" s="4" t="s">
        <v>309</v>
      </c>
      <c r="E262" s="24" t="s">
        <v>405</v>
      </c>
      <c r="F262" s="7" t="s">
        <v>397</v>
      </c>
      <c r="G262" s="38">
        <f t="shared" si="745"/>
        <v>827.58620689655174</v>
      </c>
      <c r="H262" s="38">
        <f>9.31*25.4</f>
        <v>236.47399999999999</v>
      </c>
      <c r="I262" s="4">
        <f t="shared" si="746"/>
        <v>236.47399999999999</v>
      </c>
      <c r="J262" s="38">
        <f>5960/145</f>
        <v>41.103448275862071</v>
      </c>
      <c r="K262" s="38">
        <f t="shared" si="747"/>
        <v>25.4</v>
      </c>
      <c r="L262" s="7">
        <f t="shared" si="748"/>
        <v>9.31</v>
      </c>
      <c r="M262" s="7">
        <f t="shared" si="749"/>
        <v>9.31</v>
      </c>
      <c r="N262" s="38">
        <f>16.5*25.4</f>
        <v>419.09999999999997</v>
      </c>
      <c r="O262" s="38">
        <f>2.5*25.4</f>
        <v>63.5</v>
      </c>
      <c r="P262" s="39">
        <f>3.45*25.4</f>
        <v>87.63</v>
      </c>
      <c r="Q262" s="7">
        <f t="shared" si="750"/>
        <v>241.29999999999995</v>
      </c>
      <c r="R262" s="38">
        <v>2</v>
      </c>
      <c r="S262" s="4">
        <f t="shared" si="722"/>
        <v>260.34999999999997</v>
      </c>
      <c r="T262" s="7">
        <f t="shared" si="751"/>
        <v>3</v>
      </c>
      <c r="U262" s="7">
        <f t="shared" si="631"/>
        <v>3</v>
      </c>
      <c r="V262" s="38">
        <v>4</v>
      </c>
      <c r="W262" s="4">
        <f t="shared" si="752"/>
        <v>4</v>
      </c>
      <c r="X262" s="4">
        <f t="shared" si="753"/>
        <v>5</v>
      </c>
      <c r="Y262" s="7">
        <f t="shared" si="754"/>
        <v>56.796126628494655</v>
      </c>
      <c r="AB262" s="38">
        <f t="shared" si="786"/>
        <v>647.58620689655186</v>
      </c>
      <c r="AC262" s="4">
        <v>93.9</v>
      </c>
      <c r="AD262" s="4">
        <f t="shared" si="666"/>
        <v>1.1078590441518625</v>
      </c>
      <c r="AE262" s="38">
        <f>0.375*25.4</f>
        <v>9.5249999999999986</v>
      </c>
      <c r="AF262" s="38">
        <v>10</v>
      </c>
      <c r="AG262" s="39">
        <f>3*25.4</f>
        <v>76.199999999999989</v>
      </c>
      <c r="AH262" s="39">
        <v>3</v>
      </c>
      <c r="AI262" s="39">
        <v>1</v>
      </c>
      <c r="AJ262" s="7"/>
      <c r="AK262" s="4">
        <f t="shared" si="755"/>
        <v>236.47399999999999</v>
      </c>
      <c r="AL262" s="4">
        <f t="shared" si="678"/>
        <v>0.59076262083780873</v>
      </c>
      <c r="AM262" s="4">
        <f t="shared" si="679"/>
        <v>230.0524776158949</v>
      </c>
      <c r="AN262" s="4">
        <f t="shared" si="680"/>
        <v>0.76444683136412461</v>
      </c>
      <c r="AO262" s="4">
        <v>1.25</v>
      </c>
      <c r="AP262" s="4">
        <f t="shared" si="624"/>
        <v>2.5</v>
      </c>
      <c r="AQ262" s="38">
        <f t="shared" si="723"/>
        <v>324.66631363626266</v>
      </c>
      <c r="AR262" s="38">
        <f t="shared" si="682"/>
        <v>324.66631363626266</v>
      </c>
      <c r="AS262" s="38">
        <f t="shared" si="683"/>
        <v>3.5730582227190051</v>
      </c>
      <c r="AT262" s="38">
        <f t="shared" si="626"/>
        <v>324.66631363626226</v>
      </c>
      <c r="AU262" s="38">
        <f t="shared" si="601"/>
        <v>1.0000000000000013</v>
      </c>
      <c r="AV262" s="38">
        <f t="shared" si="715"/>
        <v>1.519225612863996</v>
      </c>
      <c r="AW262" s="4">
        <f t="shared" si="707"/>
        <v>0</v>
      </c>
      <c r="AX262" s="4">
        <f t="shared" si="756"/>
        <v>314.1486579795382</v>
      </c>
      <c r="AY262" s="4">
        <f t="shared" si="724"/>
        <v>1</v>
      </c>
      <c r="AZ262" s="38">
        <f t="shared" si="617"/>
        <v>493.24137931034488</v>
      </c>
      <c r="BA262" s="4">
        <f t="shared" si="725"/>
        <v>0.44000000000000006</v>
      </c>
      <c r="BB262" s="4">
        <f t="shared" si="726"/>
        <v>72.222776469495813</v>
      </c>
      <c r="BC262" s="4">
        <f t="shared" si="727"/>
        <v>565.46415577984067</v>
      </c>
      <c r="BE262" s="4">
        <f t="shared" si="627"/>
        <v>1.5</v>
      </c>
      <c r="BF262" s="4">
        <f t="shared" si="628"/>
        <v>557.10097214555037</v>
      </c>
      <c r="BH262" s="4">
        <f t="shared" si="633"/>
        <v>473.07880224876135</v>
      </c>
      <c r="BI262" s="4">
        <f t="shared" si="780"/>
        <v>0</v>
      </c>
      <c r="BJ262" s="4">
        <f t="shared" si="635"/>
        <v>0</v>
      </c>
      <c r="BR262" s="4">
        <f t="shared" si="728"/>
        <v>63.5</v>
      </c>
      <c r="BV262" s="9"/>
      <c r="BX262" s="9"/>
      <c r="BY262" s="9"/>
      <c r="BZ262" s="9">
        <f t="shared" si="729"/>
        <v>63.5</v>
      </c>
      <c r="CA262" s="9">
        <f t="shared" si="730"/>
        <v>120.64999999999998</v>
      </c>
      <c r="CB262" s="9">
        <f t="shared" si="604"/>
        <v>1.7409369561833321</v>
      </c>
      <c r="CC262" s="40">
        <f t="shared" si="757"/>
        <v>20</v>
      </c>
      <c r="CD262" s="9">
        <f t="shared" si="731"/>
        <v>0.05</v>
      </c>
      <c r="CE262" s="9">
        <f t="shared" si="732"/>
        <v>0.8</v>
      </c>
      <c r="CF262" s="9">
        <f t="shared" si="733"/>
        <v>0.99524931562137331</v>
      </c>
      <c r="CG262" s="9">
        <f t="shared" si="734"/>
        <v>0.68</v>
      </c>
      <c r="CH262" s="9">
        <f t="shared" si="606"/>
        <v>1.5186160075936113</v>
      </c>
      <c r="CI262" s="9">
        <f t="shared" si="607"/>
        <v>3.7965400189840279</v>
      </c>
      <c r="CJ262" s="40">
        <v>1</v>
      </c>
      <c r="CK262" s="9">
        <f t="shared" si="608"/>
        <v>369.17555144600692</v>
      </c>
      <c r="CM262" s="4">
        <f t="shared" si="735"/>
        <v>2.0614005199370671</v>
      </c>
      <c r="CN262" s="4">
        <f t="shared" si="736"/>
        <v>1.1452294549129385</v>
      </c>
      <c r="CO262" s="4">
        <f t="shared" si="708"/>
        <v>1.162421606270974</v>
      </c>
      <c r="CP262" s="4">
        <f t="shared" si="737"/>
        <v>1.7541416390117137</v>
      </c>
      <c r="CQ262" s="4">
        <f t="shared" si="694"/>
        <v>1.1078590441518625</v>
      </c>
      <c r="CR262" s="4">
        <f t="shared" si="695"/>
        <v>1.1787430355325779</v>
      </c>
      <c r="CS262" s="4">
        <f t="shared" si="709"/>
        <v>1.2121832107334114</v>
      </c>
      <c r="CT262" s="4">
        <f t="shared" si="758"/>
        <v>10</v>
      </c>
      <c r="DA262" s="4">
        <f t="shared" ref="DA262:DB265" si="787">CM262</f>
        <v>2.0614005199370671</v>
      </c>
      <c r="DB262" s="4">
        <f t="shared" si="787"/>
        <v>1.1452294549129385</v>
      </c>
      <c r="DC262" s="4">
        <f t="shared" ref="DC262:DC265" si="788">CP262</f>
        <v>1.7541416390117137</v>
      </c>
      <c r="DD262" s="4">
        <f t="shared" ref="DD262:DD265" si="789">CS262</f>
        <v>1.2121832107334114</v>
      </c>
      <c r="DE262" s="4">
        <f t="shared" ref="DE262:DF265" si="790">CQ262</f>
        <v>1.1078590441518625</v>
      </c>
      <c r="DF262" s="4">
        <f t="shared" si="790"/>
        <v>1.1787430355325779</v>
      </c>
      <c r="DI262" s="4">
        <f t="shared" si="742"/>
        <v>236.47399999999999</v>
      </c>
      <c r="DL262" s="4">
        <f t="shared" si="667"/>
        <v>1.7935736647377375E-5</v>
      </c>
      <c r="DM262" s="4">
        <f t="shared" si="769"/>
        <v>8.1771388151947182</v>
      </c>
      <c r="DN262" s="4">
        <f t="shared" si="668"/>
        <v>0.43639983382852249</v>
      </c>
      <c r="DO262" s="4">
        <f t="shared" si="669"/>
        <v>5.8688796130071648</v>
      </c>
      <c r="DP262" s="4">
        <f t="shared" si="670"/>
        <v>7.1174580141854262</v>
      </c>
      <c r="DQ262" s="4">
        <f t="shared" si="671"/>
        <v>7.7603820959198675</v>
      </c>
      <c r="DR262" s="38">
        <f t="shared" si="684"/>
        <v>584.53844856438468</v>
      </c>
      <c r="DS262" s="4">
        <f t="shared" si="609"/>
        <v>1.0001104721941727</v>
      </c>
      <c r="DT262" s="4">
        <f t="shared" si="672"/>
        <v>2.2360679774997898</v>
      </c>
      <c r="DU262" s="4">
        <f t="shared" si="618"/>
        <v>324.66631363626226</v>
      </c>
      <c r="DY262" s="4">
        <f t="shared" si="785"/>
        <v>0.85</v>
      </c>
      <c r="DZ262" s="4">
        <f t="shared" si="610"/>
        <v>0.85</v>
      </c>
      <c r="EA262" s="4">
        <f t="shared" si="685"/>
        <v>0.99062499999999998</v>
      </c>
      <c r="EB262" s="4">
        <f t="shared" si="611"/>
        <v>0.84203125000000001</v>
      </c>
      <c r="ED262" s="4">
        <f t="shared" si="686"/>
        <v>549.38709063418594</v>
      </c>
      <c r="EE262" s="25">
        <f t="shared" si="687"/>
        <v>320.9996035257974</v>
      </c>
      <c r="EG262" s="4">
        <f t="shared" si="619"/>
        <v>0.7157265625</v>
      </c>
      <c r="EH262" s="4">
        <f t="shared" si="688"/>
        <v>8.1771388151947182</v>
      </c>
      <c r="EK262" s="4">
        <f t="shared" si="673"/>
        <v>56.796126628494655</v>
      </c>
      <c r="EL262" s="4">
        <f t="shared" si="674"/>
        <v>2.2360679774997898</v>
      </c>
      <c r="EM262" s="4">
        <f t="shared" si="675"/>
        <v>0.15298856487151113</v>
      </c>
      <c r="EP262" s="4">
        <f t="shared" si="759"/>
        <v>0.15298856487151113</v>
      </c>
      <c r="EQ262" s="4">
        <f t="shared" si="721"/>
        <v>0.43567156383973532</v>
      </c>
      <c r="ER262" s="4">
        <f t="shared" si="770"/>
        <v>5.8649600234176082</v>
      </c>
      <c r="ES262" s="4">
        <f t="shared" si="743"/>
        <v>7.1158441858875401</v>
      </c>
      <c r="ET262" s="4">
        <f t="shared" si="771"/>
        <v>120.55937337150536</v>
      </c>
      <c r="EU262" s="4">
        <f t="shared" si="772"/>
        <v>59.118499999999983</v>
      </c>
      <c r="EV262" s="4">
        <f t="shared" si="612"/>
        <v>1.7935736647377372E-5</v>
      </c>
      <c r="EW262" s="4">
        <f t="shared" si="744"/>
        <v>7.7605034136751785</v>
      </c>
      <c r="EX262" s="4">
        <f t="shared" si="636"/>
        <v>584.47388045237449</v>
      </c>
      <c r="FG262" s="23">
        <f t="shared" si="778"/>
        <v>2.2000000000000002</v>
      </c>
      <c r="FH262" s="23">
        <f t="shared" si="778"/>
        <v>1.2</v>
      </c>
      <c r="FI262" s="23">
        <f t="shared" si="712"/>
        <v>1.4</v>
      </c>
      <c r="FJ262" s="23">
        <f t="shared" si="779"/>
        <v>1.8</v>
      </c>
      <c r="FK262" s="23">
        <f t="shared" si="779"/>
        <v>1.2</v>
      </c>
      <c r="FL262" s="23">
        <f t="shared" si="779"/>
        <v>1.2</v>
      </c>
      <c r="FM262" s="23">
        <f t="shared" si="701"/>
        <v>0</v>
      </c>
      <c r="FN262" s="23"/>
      <c r="FX262" s="4">
        <f t="shared" si="613"/>
        <v>1</v>
      </c>
      <c r="FY262" s="4">
        <f t="shared" si="652"/>
        <v>0.44</v>
      </c>
      <c r="FZ262" s="4">
        <f t="shared" si="614"/>
        <v>0.3</v>
      </c>
      <c r="GA262" s="4">
        <f t="shared" si="615"/>
        <v>534.23129537055752</v>
      </c>
    </row>
    <row r="263" spans="1:183" ht="12" customHeight="1" x14ac:dyDescent="0.3">
      <c r="A263" s="25">
        <v>245</v>
      </c>
      <c r="B263" s="4" t="s">
        <v>605</v>
      </c>
      <c r="C263" s="4">
        <v>2016</v>
      </c>
      <c r="D263" s="4" t="s">
        <v>309</v>
      </c>
      <c r="E263" s="24" t="s">
        <v>663</v>
      </c>
      <c r="F263" s="7" t="s">
        <v>398</v>
      </c>
      <c r="G263" s="38">
        <f t="shared" si="745"/>
        <v>827.58620689655174</v>
      </c>
      <c r="H263" s="38">
        <f>9.06*25.4</f>
        <v>230.124</v>
      </c>
      <c r="I263" s="4">
        <f t="shared" si="746"/>
        <v>230.124</v>
      </c>
      <c r="J263" s="38">
        <f>6440/145</f>
        <v>44.413793103448278</v>
      </c>
      <c r="K263" s="38">
        <f t="shared" si="747"/>
        <v>25.4</v>
      </c>
      <c r="L263" s="7">
        <f t="shared" si="748"/>
        <v>9.06</v>
      </c>
      <c r="M263" s="7">
        <f t="shared" si="749"/>
        <v>9.06</v>
      </c>
      <c r="N263" s="38">
        <f>18.6*25.4</f>
        <v>472.44</v>
      </c>
      <c r="O263" s="38">
        <f>3.45*25.4</f>
        <v>87.63</v>
      </c>
      <c r="P263" s="39">
        <f>3.7*25.4</f>
        <v>93.98</v>
      </c>
      <c r="Q263" s="7">
        <f t="shared" si="750"/>
        <v>246.38</v>
      </c>
      <c r="R263" s="38">
        <v>2</v>
      </c>
      <c r="S263" s="4">
        <f t="shared" si="722"/>
        <v>260.34999999999997</v>
      </c>
      <c r="T263" s="7">
        <f t="shared" si="751"/>
        <v>3.95</v>
      </c>
      <c r="U263" s="7">
        <f t="shared" si="631"/>
        <v>3.95</v>
      </c>
      <c r="V263" s="38">
        <v>4</v>
      </c>
      <c r="W263" s="4">
        <f t="shared" si="752"/>
        <v>4</v>
      </c>
      <c r="X263" s="4">
        <f t="shared" si="753"/>
        <v>5</v>
      </c>
      <c r="Y263" s="7">
        <f t="shared" si="754"/>
        <v>56.796126628494655</v>
      </c>
      <c r="AB263" s="38">
        <f t="shared" si="786"/>
        <v>703.44827586206907</v>
      </c>
      <c r="AC263" s="4">
        <v>102</v>
      </c>
      <c r="AD263" s="4">
        <f t="shared" si="666"/>
        <v>1.0255837865554474</v>
      </c>
      <c r="AE263" s="38">
        <f t="shared" ref="AE263" si="791">0.375*25.4</f>
        <v>9.5249999999999986</v>
      </c>
      <c r="AF263" s="38">
        <v>10</v>
      </c>
      <c r="AG263" s="39">
        <f>3*25.4</f>
        <v>76.199999999999989</v>
      </c>
      <c r="AH263" s="39">
        <v>3</v>
      </c>
      <c r="AI263" s="39">
        <v>1</v>
      </c>
      <c r="AJ263" s="7"/>
      <c r="AK263" s="4">
        <f t="shared" si="755"/>
        <v>230.124</v>
      </c>
      <c r="AL263" s="4">
        <f t="shared" si="678"/>
        <v>0.6843267108167771</v>
      </c>
      <c r="AM263" s="4">
        <f t="shared" si="679"/>
        <v>229.56966143640747</v>
      </c>
      <c r="AN263" s="4">
        <f t="shared" si="680"/>
        <v>0.78719646799116993</v>
      </c>
      <c r="AO263" s="4">
        <v>1.25</v>
      </c>
      <c r="AP263" s="4">
        <f t="shared" si="624"/>
        <v>2.5</v>
      </c>
      <c r="AQ263" s="38">
        <f t="shared" si="723"/>
        <v>386.46586822990668</v>
      </c>
      <c r="AR263" s="38">
        <f t="shared" si="682"/>
        <v>386.46586822990668</v>
      </c>
      <c r="AS263" s="38">
        <f t="shared" si="683"/>
        <v>3.7624132755662103</v>
      </c>
      <c r="AT263" s="38">
        <f t="shared" si="626"/>
        <v>386.46586822990719</v>
      </c>
      <c r="AU263" s="38">
        <f t="shared" si="601"/>
        <v>0.99999999999999867</v>
      </c>
      <c r="AV263" s="38">
        <f t="shared" si="715"/>
        <v>1.8157824240691325</v>
      </c>
      <c r="AW263" s="4">
        <f t="shared" si="707"/>
        <v>0</v>
      </c>
      <c r="AX263" s="4">
        <f t="shared" si="756"/>
        <v>317.78509906100612</v>
      </c>
      <c r="AY263" s="4">
        <f t="shared" si="724"/>
        <v>1</v>
      </c>
      <c r="AZ263" s="38">
        <f t="shared" si="617"/>
        <v>701.73793103448281</v>
      </c>
      <c r="BA263" s="4">
        <f t="shared" si="725"/>
        <v>0.44000000000000006</v>
      </c>
      <c r="BB263" s="4">
        <f t="shared" si="726"/>
        <v>73.058794274125319</v>
      </c>
      <c r="BC263" s="4">
        <f t="shared" si="727"/>
        <v>774.79672530860807</v>
      </c>
      <c r="BE263" s="4">
        <f t="shared" si="627"/>
        <v>1.5</v>
      </c>
      <c r="BF263" s="4">
        <f t="shared" si="628"/>
        <v>571.60279357923548</v>
      </c>
      <c r="BH263" s="4">
        <f t="shared" si="633"/>
        <v>673.05249281901524</v>
      </c>
      <c r="BI263" s="4">
        <f t="shared" si="780"/>
        <v>0</v>
      </c>
      <c r="BJ263" s="4">
        <f t="shared" si="635"/>
        <v>0</v>
      </c>
      <c r="BR263" s="4">
        <f t="shared" si="728"/>
        <v>87.63</v>
      </c>
      <c r="BV263" s="9"/>
      <c r="BX263" s="9"/>
      <c r="BY263" s="9"/>
      <c r="BZ263" s="9">
        <f t="shared" si="729"/>
        <v>87.63</v>
      </c>
      <c r="CA263" s="9">
        <f t="shared" si="730"/>
        <v>123.19</v>
      </c>
      <c r="CB263" s="9">
        <f t="shared" si="604"/>
        <v>1.9547802569983255</v>
      </c>
      <c r="CC263" s="40">
        <f t="shared" si="757"/>
        <v>20</v>
      </c>
      <c r="CD263" s="9">
        <f t="shared" si="731"/>
        <v>0.05</v>
      </c>
      <c r="CE263" s="9">
        <f t="shared" si="732"/>
        <v>0.8</v>
      </c>
      <c r="CF263" s="9">
        <f t="shared" si="733"/>
        <v>0.99524931562137331</v>
      </c>
      <c r="CG263" s="9">
        <f t="shared" si="734"/>
        <v>0.68</v>
      </c>
      <c r="CH263" s="9">
        <f t="shared" si="606"/>
        <v>1.5785842929910907</v>
      </c>
      <c r="CI263" s="9">
        <f t="shared" si="607"/>
        <v>3.9464607324777266</v>
      </c>
      <c r="CJ263" s="40">
        <v>1</v>
      </c>
      <c r="CK263" s="9">
        <f t="shared" si="608"/>
        <v>379.80738089365639</v>
      </c>
      <c r="CM263" s="4">
        <f t="shared" si="735"/>
        <v>2.2135974214669707</v>
      </c>
      <c r="CN263" s="4">
        <f t="shared" si="736"/>
        <v>0.90791333117970996</v>
      </c>
      <c r="CO263" s="4">
        <f t="shared" si="708"/>
        <v>1.2306592685757356</v>
      </c>
      <c r="CP263" s="4">
        <f t="shared" si="737"/>
        <v>1.8521184980842436</v>
      </c>
      <c r="CQ263" s="4">
        <f t="shared" si="694"/>
        <v>1.0255837865554474</v>
      </c>
      <c r="CR263" s="4">
        <f t="shared" si="695"/>
        <v>1.0953486974677027</v>
      </c>
      <c r="CS263" s="4">
        <f t="shared" si="709"/>
        <v>1.327132930109501</v>
      </c>
      <c r="CT263" s="4">
        <f t="shared" si="758"/>
        <v>10</v>
      </c>
      <c r="DA263" s="4">
        <f t="shared" si="787"/>
        <v>2.2135974214669707</v>
      </c>
      <c r="DB263" s="4">
        <f t="shared" si="787"/>
        <v>0.90791333117970996</v>
      </c>
      <c r="DC263" s="4">
        <f t="shared" si="788"/>
        <v>1.8521184980842436</v>
      </c>
      <c r="DD263" s="4">
        <f t="shared" si="789"/>
        <v>1.327132930109501</v>
      </c>
      <c r="DE263" s="4">
        <f t="shared" si="790"/>
        <v>1.0255837865554474</v>
      </c>
      <c r="DF263" s="4">
        <f t="shared" si="790"/>
        <v>1.0953486974677027</v>
      </c>
      <c r="DI263" s="4">
        <f t="shared" si="742"/>
        <v>230.124</v>
      </c>
      <c r="DL263" s="4">
        <f t="shared" si="667"/>
        <v>1.7835275850587528E-5</v>
      </c>
      <c r="DM263" s="4">
        <f t="shared" si="769"/>
        <v>9.5695859688824623</v>
      </c>
      <c r="DN263" s="4">
        <f t="shared" si="668"/>
        <v>0.48074954631931027</v>
      </c>
      <c r="DO263" s="4">
        <f t="shared" si="669"/>
        <v>7.1393833409390375</v>
      </c>
      <c r="DP263" s="4">
        <f t="shared" si="670"/>
        <v>8.4425686834085472</v>
      </c>
      <c r="DQ263" s="4">
        <f t="shared" si="671"/>
        <v>9.0089963326407201</v>
      </c>
      <c r="DR263" s="38">
        <f t="shared" si="684"/>
        <v>685.90034776650373</v>
      </c>
      <c r="DS263" s="4">
        <f t="shared" si="609"/>
        <v>1.0001134871288546</v>
      </c>
      <c r="DT263" s="4">
        <f t="shared" si="672"/>
        <v>2.2360679774997898</v>
      </c>
      <c r="DU263" s="4">
        <f t="shared" si="618"/>
        <v>386.46586822990719</v>
      </c>
      <c r="DY263" s="4">
        <f t="shared" si="785"/>
        <v>0.85</v>
      </c>
      <c r="DZ263" s="4">
        <f t="shared" si="610"/>
        <v>0.755</v>
      </c>
      <c r="EA263" s="4">
        <f t="shared" si="685"/>
        <v>0.99062499999999998</v>
      </c>
      <c r="EB263" s="4">
        <f t="shared" si="611"/>
        <v>0.74792187499999996</v>
      </c>
      <c r="ED263" s="4">
        <f t="shared" si="686"/>
        <v>642.21400681659259</v>
      </c>
      <c r="EE263" s="25">
        <f t="shared" si="687"/>
        <v>382.11266018236722</v>
      </c>
      <c r="EG263" s="4">
        <f t="shared" si="619"/>
        <v>0.63573359374999994</v>
      </c>
      <c r="EH263" s="4">
        <f t="shared" si="688"/>
        <v>9.5695859688824623</v>
      </c>
      <c r="EK263" s="4">
        <f t="shared" si="673"/>
        <v>56.796126628494655</v>
      </c>
      <c r="EL263" s="4">
        <f t="shared" si="674"/>
        <v>2.2360679774997898</v>
      </c>
      <c r="EM263" s="4">
        <f t="shared" si="675"/>
        <v>0.17519152014128195</v>
      </c>
      <c r="EP263" s="4">
        <f t="shared" si="759"/>
        <v>0.17519152014128195</v>
      </c>
      <c r="EQ263" s="4">
        <f t="shared" si="721"/>
        <v>0.47994726492603873</v>
      </c>
      <c r="ER263" s="4">
        <f t="shared" si="770"/>
        <v>7.1346152328052508</v>
      </c>
      <c r="ES263" s="4">
        <f t="shared" si="743"/>
        <v>8.4405545920590228</v>
      </c>
      <c r="ET263" s="4">
        <f t="shared" si="771"/>
        <v>115.79687337150534</v>
      </c>
      <c r="EU263" s="4">
        <f t="shared" si="772"/>
        <v>57.531000000000006</v>
      </c>
      <c r="EV263" s="4">
        <f t="shared" si="612"/>
        <v>1.7835275850587531E-5</v>
      </c>
      <c r="EW263" s="4">
        <f t="shared" si="744"/>
        <v>9.0091667133943858</v>
      </c>
      <c r="EX263" s="4">
        <f t="shared" si="636"/>
        <v>685.82251573828876</v>
      </c>
      <c r="FG263" s="23">
        <f t="shared" si="778"/>
        <v>2.2000000000000002</v>
      </c>
      <c r="FH263" s="23">
        <f t="shared" si="778"/>
        <v>1</v>
      </c>
      <c r="FI263" s="23">
        <f t="shared" si="712"/>
        <v>1.4</v>
      </c>
      <c r="FJ263" s="23">
        <f t="shared" si="779"/>
        <v>2</v>
      </c>
      <c r="FK263" s="23">
        <f t="shared" si="779"/>
        <v>1.2</v>
      </c>
      <c r="FL263" s="23">
        <f t="shared" si="779"/>
        <v>1.2</v>
      </c>
      <c r="FM263" s="23">
        <f t="shared" si="701"/>
        <v>0</v>
      </c>
      <c r="FN263" s="23"/>
      <c r="FX263" s="4">
        <f t="shared" si="613"/>
        <v>1</v>
      </c>
      <c r="FY263" s="4">
        <f t="shared" si="652"/>
        <v>0.44</v>
      </c>
      <c r="FZ263" s="4">
        <f t="shared" si="614"/>
        <v>0.3</v>
      </c>
      <c r="GA263" s="4">
        <f t="shared" si="615"/>
        <v>530.05110483094404</v>
      </c>
    </row>
    <row r="264" spans="1:183" ht="12" customHeight="1" x14ac:dyDescent="0.3">
      <c r="A264" s="25">
        <v>246</v>
      </c>
      <c r="B264" s="4" t="s">
        <v>605</v>
      </c>
      <c r="C264" s="4">
        <v>2016</v>
      </c>
      <c r="D264" s="4" t="s">
        <v>309</v>
      </c>
      <c r="E264" s="24" t="s">
        <v>663</v>
      </c>
      <c r="F264" s="7" t="s">
        <v>399</v>
      </c>
      <c r="G264" s="38">
        <f t="shared" si="745"/>
        <v>827.58620689655174</v>
      </c>
      <c r="H264" s="38">
        <f>9.25*25.4</f>
        <v>234.95</v>
      </c>
      <c r="I264" s="4">
        <f t="shared" si="746"/>
        <v>234.95</v>
      </c>
      <c r="J264" s="38">
        <f>6440/145</f>
        <v>44.413793103448278</v>
      </c>
      <c r="K264" s="38">
        <f t="shared" si="747"/>
        <v>25.4</v>
      </c>
      <c r="L264" s="7">
        <f t="shared" si="748"/>
        <v>9.25</v>
      </c>
      <c r="M264" s="7">
        <f t="shared" si="749"/>
        <v>9.25</v>
      </c>
      <c r="N264" s="38">
        <f>16.6*25.4</f>
        <v>421.64</v>
      </c>
      <c r="O264" s="38">
        <f>2.55*25.4</f>
        <v>64.77</v>
      </c>
      <c r="P264" s="39">
        <f>3.35*25.4</f>
        <v>85.09</v>
      </c>
      <c r="Q264" s="7">
        <f t="shared" si="750"/>
        <v>241.29999999999998</v>
      </c>
      <c r="R264" s="38">
        <v>2</v>
      </c>
      <c r="S264" s="4">
        <f t="shared" si="722"/>
        <v>260.34999999999997</v>
      </c>
      <c r="T264" s="7">
        <f t="shared" si="751"/>
        <v>3.05</v>
      </c>
      <c r="U264" s="7">
        <f t="shared" si="631"/>
        <v>3.05</v>
      </c>
      <c r="V264" s="38">
        <v>4</v>
      </c>
      <c r="W264" s="4">
        <f t="shared" si="752"/>
        <v>4</v>
      </c>
      <c r="X264" s="4">
        <f t="shared" si="753"/>
        <v>5</v>
      </c>
      <c r="Y264" s="7">
        <f t="shared" si="754"/>
        <v>56.796126628494655</v>
      </c>
      <c r="AB264" s="38">
        <f t="shared" si="786"/>
        <v>790.34482758620686</v>
      </c>
      <c r="AC264" s="4">
        <v>114.6</v>
      </c>
      <c r="AD264" s="4">
        <f t="shared" si="666"/>
        <v>1.2622199993298189</v>
      </c>
      <c r="AE264" s="38">
        <f>0.5*25.4</f>
        <v>12.7</v>
      </c>
      <c r="AF264" s="38">
        <v>8</v>
      </c>
      <c r="AG264" s="39">
        <f>4*25.4</f>
        <v>101.6</v>
      </c>
      <c r="AH264" s="39">
        <v>2</v>
      </c>
      <c r="AI264" s="39">
        <v>1</v>
      </c>
      <c r="AJ264" s="7"/>
      <c r="AK264" s="4">
        <f t="shared" si="755"/>
        <v>234.95</v>
      </c>
      <c r="AL264" s="4">
        <f t="shared" si="678"/>
        <v>0.59819819819819819</v>
      </c>
      <c r="AM264" s="4">
        <f t="shared" si="679"/>
        <v>236.82895372126541</v>
      </c>
      <c r="AN264" s="4">
        <f t="shared" si="680"/>
        <v>0.76594594594594589</v>
      </c>
      <c r="AO264" s="4">
        <v>1.25</v>
      </c>
      <c r="AP264" s="4">
        <f t="shared" si="624"/>
        <v>2.5</v>
      </c>
      <c r="AQ264" s="38">
        <f t="shared" si="723"/>
        <v>339.10019571599395</v>
      </c>
      <c r="AR264" s="38">
        <f t="shared" si="682"/>
        <v>339.10019571599395</v>
      </c>
      <c r="AS264" s="38">
        <f t="shared" si="683"/>
        <v>3.7624132755662103</v>
      </c>
      <c r="AT264" s="38">
        <f t="shared" si="626"/>
        <v>339.10019571599406</v>
      </c>
      <c r="AU264" s="38">
        <f t="shared" si="601"/>
        <v>0.99999999999999967</v>
      </c>
      <c r="AV264" s="38">
        <f t="shared" si="715"/>
        <v>1.5979002156515476</v>
      </c>
      <c r="AW264" s="4">
        <f t="shared" si="707"/>
        <v>0</v>
      </c>
      <c r="AX264" s="4">
        <f t="shared" si="756"/>
        <v>324.44946648060778</v>
      </c>
      <c r="AY264" s="4">
        <f t="shared" si="724"/>
        <v>1</v>
      </c>
      <c r="AZ264" s="38">
        <f t="shared" si="617"/>
        <v>541.84827586206893</v>
      </c>
      <c r="BA264" s="4">
        <f t="shared" si="725"/>
        <v>0.44000000000000006</v>
      </c>
      <c r="BB264" s="4">
        <f t="shared" si="726"/>
        <v>74.590932343891737</v>
      </c>
      <c r="BC264" s="4">
        <f t="shared" si="727"/>
        <v>616.43920820596065</v>
      </c>
      <c r="BE264" s="4">
        <f t="shared" si="627"/>
        <v>1.5</v>
      </c>
      <c r="BF264" s="4">
        <f t="shared" si="628"/>
        <v>577.300827722995</v>
      </c>
      <c r="BH264" s="4">
        <f t="shared" si="633"/>
        <v>519.69876027797375</v>
      </c>
      <c r="BI264" s="4">
        <f t="shared" si="780"/>
        <v>0</v>
      </c>
      <c r="BJ264" s="4">
        <f t="shared" si="635"/>
        <v>0</v>
      </c>
      <c r="BR264" s="4">
        <f t="shared" si="728"/>
        <v>64.77</v>
      </c>
      <c r="BV264" s="9"/>
      <c r="BX264" s="9"/>
      <c r="BY264" s="9"/>
      <c r="BZ264" s="9">
        <f t="shared" si="729"/>
        <v>64.77</v>
      </c>
      <c r="CA264" s="9">
        <f t="shared" si="730"/>
        <v>120.64999999999999</v>
      </c>
      <c r="CB264" s="9">
        <f t="shared" si="604"/>
        <v>1.753045162204804</v>
      </c>
      <c r="CC264" s="40">
        <f t="shared" si="757"/>
        <v>20</v>
      </c>
      <c r="CD264" s="9">
        <f t="shared" si="731"/>
        <v>0.05</v>
      </c>
      <c r="CE264" s="9">
        <f t="shared" si="732"/>
        <v>0.8</v>
      </c>
      <c r="CF264" s="9">
        <f t="shared" si="733"/>
        <v>0.99524931562137331</v>
      </c>
      <c r="CG264" s="9">
        <f t="shared" si="734"/>
        <v>0.68</v>
      </c>
      <c r="CH264" s="9">
        <f t="shared" si="606"/>
        <v>1.5785842929910907</v>
      </c>
      <c r="CI264" s="9">
        <f t="shared" si="607"/>
        <v>3.9464607324777266</v>
      </c>
      <c r="CJ264" s="40">
        <v>1</v>
      </c>
      <c r="CK264" s="9">
        <f t="shared" si="608"/>
        <v>382.80669105033951</v>
      </c>
      <c r="CM264" s="4">
        <f t="shared" si="735"/>
        <v>2.4359566257244731</v>
      </c>
      <c r="CN264" s="4">
        <f t="shared" si="736"/>
        <v>1.2821131703909106</v>
      </c>
      <c r="CO264" s="4">
        <f t="shared" si="708"/>
        <v>1.36903463434048</v>
      </c>
      <c r="CP264" s="4">
        <f t="shared" si="737"/>
        <v>2.0646055726394699</v>
      </c>
      <c r="CQ264" s="4">
        <f t="shared" si="694"/>
        <v>1.2622199993298189</v>
      </c>
      <c r="CR264" s="4">
        <f t="shared" si="695"/>
        <v>1.3410351127446876</v>
      </c>
      <c r="CS264" s="4">
        <f t="shared" si="709"/>
        <v>1.4604454373528053</v>
      </c>
      <c r="CT264" s="4">
        <f t="shared" si="758"/>
        <v>8</v>
      </c>
      <c r="DA264" s="4">
        <f t="shared" si="787"/>
        <v>2.4359566257244731</v>
      </c>
      <c r="DB264" s="4">
        <f t="shared" si="787"/>
        <v>1.2821131703909106</v>
      </c>
      <c r="DC264" s="4">
        <f t="shared" si="788"/>
        <v>2.0646055726394699</v>
      </c>
      <c r="DD264" s="4">
        <f t="shared" si="789"/>
        <v>1.4604454373528053</v>
      </c>
      <c r="DE264" s="4">
        <f t="shared" si="790"/>
        <v>1.2622199993298189</v>
      </c>
      <c r="DF264" s="4">
        <f t="shared" si="790"/>
        <v>1.3410351127446876</v>
      </c>
      <c r="DI264" s="4">
        <f t="shared" si="742"/>
        <v>234.95</v>
      </c>
      <c r="DL264" s="4">
        <f t="shared" si="667"/>
        <v>1.8209304814341571E-5</v>
      </c>
      <c r="DM264" s="4">
        <f t="shared" si="769"/>
        <v>9.1569520944446019</v>
      </c>
      <c r="DN264" s="4">
        <f t="shared" si="668"/>
        <v>0.42182836480212033</v>
      </c>
      <c r="DO264" s="4">
        <f t="shared" si="669"/>
        <v>6.4834363846303589</v>
      </c>
      <c r="DP264" s="4">
        <f t="shared" si="670"/>
        <v>7.9339449877808761</v>
      </c>
      <c r="DQ264" s="4">
        <f t="shared" si="671"/>
        <v>8.6336377842407881</v>
      </c>
      <c r="DR264" s="38">
        <f t="shared" si="684"/>
        <v>626.15457527676938</v>
      </c>
      <c r="DS264" s="4">
        <f t="shared" si="609"/>
        <v>1.0001126918088037</v>
      </c>
      <c r="DT264" s="4">
        <f t="shared" si="672"/>
        <v>2.2360679774997898</v>
      </c>
      <c r="DU264" s="4">
        <f t="shared" si="618"/>
        <v>339.10019571599406</v>
      </c>
      <c r="DY264" s="4">
        <f t="shared" si="785"/>
        <v>0.85</v>
      </c>
      <c r="DZ264" s="4">
        <f t="shared" si="610"/>
        <v>0.84499999999999997</v>
      </c>
      <c r="EA264" s="4">
        <f t="shared" si="685"/>
        <v>0.92500000000000004</v>
      </c>
      <c r="EB264" s="4">
        <f t="shared" si="611"/>
        <v>0.78162500000000001</v>
      </c>
      <c r="ED264" s="4">
        <f t="shared" si="686"/>
        <v>589.35431300423852</v>
      </c>
      <c r="EE264" s="25">
        <f t="shared" si="687"/>
        <v>335.24889238340086</v>
      </c>
      <c r="EG264" s="4">
        <f t="shared" si="619"/>
        <v>0.66438125000000003</v>
      </c>
      <c r="EH264" s="4">
        <f t="shared" si="688"/>
        <v>9.1569520944446019</v>
      </c>
      <c r="EK264" s="4">
        <f t="shared" si="673"/>
        <v>56.796126628494655</v>
      </c>
      <c r="EL264" s="4">
        <f t="shared" si="674"/>
        <v>2.2360679774997898</v>
      </c>
      <c r="EM264" s="4">
        <f t="shared" si="675"/>
        <v>0.15371985898726231</v>
      </c>
      <c r="EP264" s="4">
        <f t="shared" si="759"/>
        <v>0.15371985898726231</v>
      </c>
      <c r="EQ264" s="4">
        <f t="shared" si="721"/>
        <v>0.42112441187938565</v>
      </c>
      <c r="ER264" s="4">
        <f t="shared" si="770"/>
        <v>6.4791063571918306</v>
      </c>
      <c r="ES264" s="4">
        <f t="shared" si="743"/>
        <v>7.9321784362025918</v>
      </c>
      <c r="ET264" s="4">
        <f t="shared" si="771"/>
        <v>119.41637337150533</v>
      </c>
      <c r="EU264" s="4">
        <f t="shared" si="772"/>
        <v>58.737500000000011</v>
      </c>
      <c r="EV264" s="4">
        <f t="shared" si="612"/>
        <v>1.8209304814341575E-5</v>
      </c>
      <c r="EW264" s="4">
        <f t="shared" si="744"/>
        <v>8.6337886697182409</v>
      </c>
      <c r="EX264" s="4">
        <f t="shared" si="636"/>
        <v>626.08402073600962</v>
      </c>
      <c r="FG264" s="23">
        <f t="shared" si="778"/>
        <v>2.2000000000000002</v>
      </c>
      <c r="FH264" s="23">
        <f t="shared" si="778"/>
        <v>1.4</v>
      </c>
      <c r="FI264" s="23">
        <f t="shared" si="712"/>
        <v>1.6</v>
      </c>
      <c r="FJ264" s="23">
        <f t="shared" si="779"/>
        <v>2.2000000000000002</v>
      </c>
      <c r="FK264" s="23">
        <f t="shared" si="779"/>
        <v>1.4</v>
      </c>
      <c r="FL264" s="23">
        <f t="shared" si="779"/>
        <v>1.4</v>
      </c>
      <c r="FM264" s="23">
        <f t="shared" si="701"/>
        <v>0</v>
      </c>
      <c r="FN264" s="23"/>
      <c r="FX264" s="4">
        <f t="shared" si="613"/>
        <v>1</v>
      </c>
      <c r="FY264" s="4">
        <f t="shared" si="652"/>
        <v>0.44</v>
      </c>
      <c r="FZ264" s="4">
        <f t="shared" si="614"/>
        <v>0.3</v>
      </c>
      <c r="GA264" s="4">
        <f t="shared" si="615"/>
        <v>541.16696685278509</v>
      </c>
    </row>
    <row r="265" spans="1:183" ht="12" customHeight="1" x14ac:dyDescent="0.3">
      <c r="A265" s="25">
        <v>247</v>
      </c>
      <c r="B265" s="4" t="s">
        <v>605</v>
      </c>
      <c r="C265" s="4">
        <v>2016</v>
      </c>
      <c r="D265" s="4" t="s">
        <v>309</v>
      </c>
      <c r="E265" s="24" t="s">
        <v>663</v>
      </c>
      <c r="F265" s="7" t="s">
        <v>400</v>
      </c>
      <c r="G265" s="38">
        <f t="shared" si="745"/>
        <v>827.58620689655174</v>
      </c>
      <c r="H265" s="38">
        <f>9.25*25.4</f>
        <v>234.95</v>
      </c>
      <c r="I265" s="4">
        <f t="shared" si="746"/>
        <v>234.95</v>
      </c>
      <c r="J265" s="38">
        <f>6210/145</f>
        <v>42.827586206896555</v>
      </c>
      <c r="K265" s="38">
        <f t="shared" si="747"/>
        <v>25.4</v>
      </c>
      <c r="L265" s="7">
        <f t="shared" si="748"/>
        <v>9.25</v>
      </c>
      <c r="M265" s="7">
        <f t="shared" si="749"/>
        <v>9.25</v>
      </c>
      <c r="N265" s="38">
        <f>18.6*25.4</f>
        <v>472.44</v>
      </c>
      <c r="O265" s="38">
        <f>3.45*25.4</f>
        <v>87.63</v>
      </c>
      <c r="P265" s="39">
        <f>3.45*25.4</f>
        <v>87.63</v>
      </c>
      <c r="Q265" s="7">
        <f t="shared" si="750"/>
        <v>246.38</v>
      </c>
      <c r="R265" s="38">
        <v>2</v>
      </c>
      <c r="S265" s="4">
        <f t="shared" si="722"/>
        <v>260.34999999999997</v>
      </c>
      <c r="T265" s="7">
        <f t="shared" si="751"/>
        <v>3.95</v>
      </c>
      <c r="U265" s="7">
        <f t="shared" si="631"/>
        <v>3.95</v>
      </c>
      <c r="V265" s="38">
        <v>4</v>
      </c>
      <c r="W265" s="4">
        <f t="shared" si="752"/>
        <v>4</v>
      </c>
      <c r="X265" s="4">
        <f t="shared" si="753"/>
        <v>5</v>
      </c>
      <c r="Y265" s="7">
        <f t="shared" si="754"/>
        <v>56.796126628494655</v>
      </c>
      <c r="AB265" s="38">
        <f t="shared" si="786"/>
        <v>747.58620689655186</v>
      </c>
      <c r="AC265" s="4">
        <v>108.4</v>
      </c>
      <c r="AD265" s="4">
        <f t="shared" si="666"/>
        <v>1.0612133921380551</v>
      </c>
      <c r="AE265" s="38">
        <f>0.5*25.4</f>
        <v>12.7</v>
      </c>
      <c r="AF265" s="38">
        <v>8</v>
      </c>
      <c r="AG265" s="39">
        <f>4*25.4</f>
        <v>101.6</v>
      </c>
      <c r="AH265" s="39">
        <v>2</v>
      </c>
      <c r="AI265" s="39">
        <v>1</v>
      </c>
      <c r="AJ265" s="7"/>
      <c r="AK265" s="4">
        <f t="shared" si="755"/>
        <v>234.95</v>
      </c>
      <c r="AL265" s="4">
        <f t="shared" si="678"/>
        <v>0.67027027027027031</v>
      </c>
      <c r="AM265" s="4">
        <f t="shared" si="679"/>
        <v>232.56141582533411</v>
      </c>
      <c r="AN265" s="4">
        <f t="shared" si="680"/>
        <v>0.78540540540540538</v>
      </c>
      <c r="AO265" s="4">
        <v>1.25</v>
      </c>
      <c r="AP265" s="4">
        <f t="shared" si="624"/>
        <v>2.5</v>
      </c>
      <c r="AQ265" s="38">
        <f t="shared" si="723"/>
        <v>382.58816117679049</v>
      </c>
      <c r="AR265" s="38">
        <f t="shared" si="682"/>
        <v>382.58816117679049</v>
      </c>
      <c r="AS265" s="38">
        <f t="shared" si="683"/>
        <v>3.6722901407859458</v>
      </c>
      <c r="AT265" s="38">
        <f t="shared" si="626"/>
        <v>382.58816117679044</v>
      </c>
      <c r="AU265" s="38">
        <f t="shared" si="601"/>
        <v>1.0000000000000002</v>
      </c>
      <c r="AV265" s="38">
        <f t="shared" si="715"/>
        <v>1.7686795639143678</v>
      </c>
      <c r="AW265" s="4">
        <f t="shared" si="707"/>
        <v>0</v>
      </c>
      <c r="AX265" s="4">
        <f t="shared" si="756"/>
        <v>318.6030512861621</v>
      </c>
      <c r="AY265" s="4">
        <f t="shared" si="724"/>
        <v>1</v>
      </c>
      <c r="AZ265" s="38">
        <f t="shared" si="617"/>
        <v>676.67586206896556</v>
      </c>
      <c r="BA265" s="4">
        <f t="shared" si="725"/>
        <v>0.44000000000000006</v>
      </c>
      <c r="BB265" s="4">
        <f t="shared" si="726"/>
        <v>73.246841490688666</v>
      </c>
      <c r="BC265" s="4">
        <f t="shared" si="727"/>
        <v>749.92270355965422</v>
      </c>
      <c r="BE265" s="4">
        <f t="shared" si="627"/>
        <v>1.5</v>
      </c>
      <c r="BF265" s="4">
        <f t="shared" si="628"/>
        <v>566.89815895741845</v>
      </c>
      <c r="BH265" s="4">
        <f t="shared" si="633"/>
        <v>649.01490378976473</v>
      </c>
      <c r="BI265" s="4">
        <f t="shared" si="780"/>
        <v>0</v>
      </c>
      <c r="BJ265" s="4">
        <f t="shared" si="635"/>
        <v>0</v>
      </c>
      <c r="BR265" s="4">
        <f t="shared" si="728"/>
        <v>87.63</v>
      </c>
      <c r="BV265" s="9"/>
      <c r="BX265" s="9"/>
      <c r="BY265" s="9"/>
      <c r="BZ265" s="9">
        <f t="shared" si="729"/>
        <v>87.63</v>
      </c>
      <c r="CA265" s="9">
        <f t="shared" si="730"/>
        <v>123.19</v>
      </c>
      <c r="CB265" s="9">
        <f t="shared" si="604"/>
        <v>1.9547802569983255</v>
      </c>
      <c r="CC265" s="40">
        <f t="shared" si="757"/>
        <v>20</v>
      </c>
      <c r="CD265" s="9">
        <f t="shared" si="731"/>
        <v>0.05</v>
      </c>
      <c r="CE265" s="9">
        <f t="shared" si="732"/>
        <v>0.8</v>
      </c>
      <c r="CF265" s="9">
        <f t="shared" si="733"/>
        <v>0.99524931562137331</v>
      </c>
      <c r="CG265" s="9">
        <f t="shared" si="734"/>
        <v>0.68</v>
      </c>
      <c r="CH265" s="9">
        <f t="shared" si="606"/>
        <v>1.5501390028928617</v>
      </c>
      <c r="CI265" s="9">
        <f t="shared" si="607"/>
        <v>3.8753475072321542</v>
      </c>
      <c r="CJ265" s="40">
        <v>1</v>
      </c>
      <c r="CK265" s="9">
        <f t="shared" si="608"/>
        <v>375.90870820151895</v>
      </c>
      <c r="CM265" s="4">
        <f t="shared" si="735"/>
        <v>2.3464502423270477</v>
      </c>
      <c r="CN265" s="4">
        <f t="shared" si="736"/>
        <v>0.99688435001099218</v>
      </c>
      <c r="CO265" s="4">
        <f t="shared" si="708"/>
        <v>1.3187310543950901</v>
      </c>
      <c r="CP265" s="4">
        <f t="shared" si="737"/>
        <v>1.9887440503128282</v>
      </c>
      <c r="CQ265" s="4">
        <f t="shared" si="694"/>
        <v>1.0612133921380551</v>
      </c>
      <c r="CR265" s="4">
        <f t="shared" si="695"/>
        <v>1.1378780950693508</v>
      </c>
      <c r="CS265" s="4">
        <f t="shared" si="709"/>
        <v>1.3940506960947452</v>
      </c>
      <c r="CT265" s="4">
        <f t="shared" si="758"/>
        <v>8</v>
      </c>
      <c r="DA265" s="4">
        <f t="shared" si="787"/>
        <v>2.3464502423270477</v>
      </c>
      <c r="DB265" s="4">
        <f t="shared" si="787"/>
        <v>0.99688435001099218</v>
      </c>
      <c r="DC265" s="4">
        <f t="shared" si="788"/>
        <v>1.9887440503128282</v>
      </c>
      <c r="DD265" s="4">
        <f t="shared" si="789"/>
        <v>1.3940506960947452</v>
      </c>
      <c r="DE265" s="4">
        <f t="shared" si="790"/>
        <v>1.0612133921380551</v>
      </c>
      <c r="DF265" s="4">
        <f t="shared" si="790"/>
        <v>1.1378780950693508</v>
      </c>
      <c r="DI265" s="4">
        <f t="shared" si="742"/>
        <v>234.95</v>
      </c>
      <c r="DL265" s="4">
        <f t="shared" si="667"/>
        <v>1.8022614595125072E-5</v>
      </c>
      <c r="DM265" s="4">
        <f t="shared" si="769"/>
        <v>10.040473869357923</v>
      </c>
      <c r="DN265" s="4">
        <f t="shared" si="668"/>
        <v>0.49355270134623253</v>
      </c>
      <c r="DO265" s="4">
        <f t="shared" si="669"/>
        <v>7.5698560949832281</v>
      </c>
      <c r="DP265" s="4">
        <f t="shared" si="670"/>
        <v>8.8915625174409794</v>
      </c>
      <c r="DQ265" s="4">
        <f t="shared" si="671"/>
        <v>9.400679013749011</v>
      </c>
      <c r="DR265" s="38">
        <f t="shared" si="684"/>
        <v>704.4636002853016</v>
      </c>
      <c r="DS265" s="4">
        <f t="shared" si="609"/>
        <v>1.0001190436330836</v>
      </c>
      <c r="DT265" s="4">
        <f t="shared" si="672"/>
        <v>2.2360679774997898</v>
      </c>
      <c r="DU265" s="4">
        <f t="shared" si="618"/>
        <v>382.58816117679044</v>
      </c>
      <c r="DY265" s="4">
        <f t="shared" si="785"/>
        <v>0.85</v>
      </c>
      <c r="DZ265" s="4">
        <f t="shared" si="610"/>
        <v>0.755</v>
      </c>
      <c r="EA265" s="4">
        <f t="shared" si="685"/>
        <v>0.92500000000000004</v>
      </c>
      <c r="EB265" s="4">
        <f t="shared" si="611"/>
        <v>0.7</v>
      </c>
      <c r="ED265" s="4">
        <f t="shared" si="686"/>
        <v>657.00026227413082</v>
      </c>
      <c r="EE265" s="25">
        <f t="shared" si="687"/>
        <v>378.37711239944844</v>
      </c>
      <c r="EG265" s="4">
        <f t="shared" si="619"/>
        <v>0.59499999999999997</v>
      </c>
      <c r="EH265" s="4">
        <f t="shared" si="688"/>
        <v>10.040473869357923</v>
      </c>
      <c r="EK265" s="4">
        <f t="shared" si="673"/>
        <v>56.796126628494655</v>
      </c>
      <c r="EL265" s="4">
        <f t="shared" si="674"/>
        <v>2.2360679774997898</v>
      </c>
      <c r="EM265" s="4">
        <f t="shared" si="675"/>
        <v>0.17661622488619055</v>
      </c>
      <c r="EP265" s="4">
        <f t="shared" si="759"/>
        <v>0.17661622488619055</v>
      </c>
      <c r="EQ265" s="4">
        <f t="shared" si="721"/>
        <v>0.49272905387340471</v>
      </c>
      <c r="ER265" s="4">
        <f t="shared" si="770"/>
        <v>7.5648004913415097</v>
      </c>
      <c r="ES265" s="4">
        <f t="shared" si="743"/>
        <v>8.8894123808466254</v>
      </c>
      <c r="ET265" s="4">
        <f t="shared" si="771"/>
        <v>119.41637337150533</v>
      </c>
      <c r="EU265" s="4">
        <f t="shared" si="772"/>
        <v>58.737500000000011</v>
      </c>
      <c r="EV265" s="4">
        <f t="shared" si="612"/>
        <v>1.8022614595125075E-5</v>
      </c>
      <c r="EW265" s="4">
        <f t="shared" si="744"/>
        <v>9.4008737870976802</v>
      </c>
      <c r="EX265" s="4">
        <f t="shared" si="636"/>
        <v>704.37974836098624</v>
      </c>
      <c r="FG265" s="23">
        <f t="shared" si="778"/>
        <v>2.2000000000000002</v>
      </c>
      <c r="FH265" s="23">
        <f t="shared" si="778"/>
        <v>1</v>
      </c>
      <c r="FI265" s="23">
        <f t="shared" si="712"/>
        <v>1.4</v>
      </c>
      <c r="FJ265" s="23">
        <f t="shared" si="779"/>
        <v>2</v>
      </c>
      <c r="FK265" s="23">
        <f t="shared" si="779"/>
        <v>1.2</v>
      </c>
      <c r="FL265" s="23">
        <f t="shared" si="779"/>
        <v>1.2</v>
      </c>
      <c r="FM265" s="23">
        <f t="shared" si="701"/>
        <v>0</v>
      </c>
      <c r="FN265" s="23"/>
      <c r="FX265" s="4">
        <f t="shared" si="613"/>
        <v>1</v>
      </c>
      <c r="FY265" s="4">
        <f t="shared" si="652"/>
        <v>0.44</v>
      </c>
      <c r="FZ265" s="4">
        <f t="shared" si="614"/>
        <v>0.3</v>
      </c>
      <c r="GA265" s="4">
        <f t="shared" si="615"/>
        <v>536.269024498764</v>
      </c>
    </row>
    <row r="266" spans="1:183" ht="12" customHeight="1" x14ac:dyDescent="0.3">
      <c r="A266" s="25">
        <v>248</v>
      </c>
      <c r="B266" s="4" t="s">
        <v>605</v>
      </c>
      <c r="C266" s="4">
        <v>2016</v>
      </c>
      <c r="D266" s="4" t="s">
        <v>309</v>
      </c>
      <c r="E266" s="24" t="s">
        <v>406</v>
      </c>
      <c r="F266" s="7" t="s">
        <v>401</v>
      </c>
      <c r="G266" s="38">
        <f>129/0.145</f>
        <v>889.65517241379314</v>
      </c>
      <c r="H266" s="38">
        <f>10.5*25.4</f>
        <v>266.7</v>
      </c>
      <c r="I266" s="4">
        <f t="shared" si="746"/>
        <v>266.7</v>
      </c>
      <c r="J266" s="38">
        <f>8450/145</f>
        <v>58.275862068965516</v>
      </c>
      <c r="K266" s="38">
        <f t="shared" si="747"/>
        <v>25.4</v>
      </c>
      <c r="L266" s="7">
        <f t="shared" si="748"/>
        <v>10.5</v>
      </c>
      <c r="M266" s="7">
        <f t="shared" si="749"/>
        <v>10.5</v>
      </c>
      <c r="N266" s="38">
        <f>16.8*25.4</f>
        <v>426.71999999999997</v>
      </c>
      <c r="O266" s="38">
        <f>2.45*25.4</f>
        <v>62.230000000000004</v>
      </c>
      <c r="P266" s="39">
        <f>3.25*25.4</f>
        <v>82.55</v>
      </c>
      <c r="Q266" s="7">
        <f t="shared" si="750"/>
        <v>251.45999999999995</v>
      </c>
      <c r="R266" s="38">
        <v>2</v>
      </c>
      <c r="S266" s="4">
        <f t="shared" si="722"/>
        <v>260.34999999999997</v>
      </c>
      <c r="T266" s="7">
        <f t="shared" si="751"/>
        <v>2.95</v>
      </c>
      <c r="U266" s="7">
        <f t="shared" si="631"/>
        <v>2.95</v>
      </c>
      <c r="V266" s="38">
        <v>4.0999999999999996</v>
      </c>
      <c r="W266" s="4">
        <f t="shared" si="752"/>
        <v>4.0999999999999996</v>
      </c>
      <c r="X266" s="4">
        <f t="shared" si="753"/>
        <v>5.0999999999999996</v>
      </c>
      <c r="Y266" s="7">
        <f t="shared" si="754"/>
        <v>57.361276136431961</v>
      </c>
      <c r="AB266" s="38">
        <f t="shared" si="786"/>
        <v>673.10344827586209</v>
      </c>
      <c r="AC266" s="4">
        <v>97.6</v>
      </c>
      <c r="AD266" s="4">
        <f t="shared" si="666"/>
        <v>0.89800579941581282</v>
      </c>
      <c r="AE266" s="38"/>
      <c r="AF266" s="38"/>
      <c r="AG266" s="39">
        <v>1</v>
      </c>
      <c r="AH266" s="39"/>
      <c r="AI266" s="39"/>
      <c r="AJ266" s="7"/>
      <c r="AK266" s="4">
        <f t="shared" si="755"/>
        <v>266.7</v>
      </c>
      <c r="AL266" s="4">
        <f t="shared" si="678"/>
        <v>0.53333333333333321</v>
      </c>
      <c r="AM266" s="4">
        <f t="shared" si="679"/>
        <v>328.0889220335178</v>
      </c>
      <c r="AN266" s="4">
        <f t="shared" si="680"/>
        <v>0.75619047619047619</v>
      </c>
      <c r="AO266" s="4">
        <v>1.25</v>
      </c>
      <c r="AP266" s="4">
        <f t="shared" si="624"/>
        <v>2.5</v>
      </c>
      <c r="AQ266" s="38">
        <f t="shared" si="723"/>
        <v>413.49619697557625</v>
      </c>
      <c r="AR266" s="38">
        <f t="shared" si="682"/>
        <v>413.49619697557625</v>
      </c>
      <c r="AS266" s="38">
        <f t="shared" si="683"/>
        <v>4.3073554520828159</v>
      </c>
      <c r="AT266" s="38">
        <f t="shared" si="626"/>
        <v>413.49619697557631</v>
      </c>
      <c r="AU266" s="38">
        <f t="shared" si="601"/>
        <v>0.99999999999999989</v>
      </c>
      <c r="AV266" s="38">
        <f t="shared" si="715"/>
        <v>1.6836861023789744</v>
      </c>
      <c r="AW266" s="4">
        <f t="shared" si="707"/>
        <v>0</v>
      </c>
      <c r="AX266" s="4">
        <f t="shared" si="756"/>
        <v>421.87136823030016</v>
      </c>
      <c r="AY266" s="4">
        <f t="shared" si="724"/>
        <v>1</v>
      </c>
      <c r="AZ266" s="38">
        <f t="shared" si="617"/>
        <v>696.1978002343368</v>
      </c>
      <c r="BA266" s="4">
        <f t="shared" si="725"/>
        <v>0.42600000000000005</v>
      </c>
      <c r="BB266" s="4">
        <f t="shared" si="726"/>
        <v>93.902238497541347</v>
      </c>
      <c r="BC266" s="4">
        <f t="shared" si="727"/>
        <v>790.10003873187816</v>
      </c>
      <c r="BE266" s="4">
        <f t="shared" si="627"/>
        <v>1.3625</v>
      </c>
      <c r="BF266" s="4">
        <f t="shared" si="628"/>
        <v>639.66999549648244</v>
      </c>
      <c r="BH266" s="4">
        <f t="shared" si="633"/>
        <v>667.73882986782667</v>
      </c>
      <c r="BI266" s="4">
        <f t="shared" si="780"/>
        <v>0</v>
      </c>
      <c r="BJ266" s="4">
        <f t="shared" si="635"/>
        <v>0</v>
      </c>
      <c r="BR266" s="4">
        <f t="shared" si="728"/>
        <v>62.230000000000004</v>
      </c>
      <c r="BV266" s="9"/>
      <c r="BX266" s="9"/>
      <c r="BY266" s="9"/>
      <c r="BZ266" s="9">
        <f t="shared" si="729"/>
        <v>62.230000000000004</v>
      </c>
      <c r="CA266" s="9">
        <f t="shared" si="730"/>
        <v>125.72999999999998</v>
      </c>
      <c r="CB266" s="9">
        <f t="shared" si="604"/>
        <v>1.7393977716706714</v>
      </c>
      <c r="CC266" s="40">
        <f t="shared" si="757"/>
        <v>0</v>
      </c>
      <c r="CD266" s="9">
        <f t="shared" si="731"/>
        <v>0</v>
      </c>
      <c r="CE266" s="9">
        <f t="shared" si="732"/>
        <v>0</v>
      </c>
      <c r="CF266" s="9">
        <f t="shared" si="733"/>
        <v>0.99524931562137331</v>
      </c>
      <c r="CG266" s="9">
        <f t="shared" si="734"/>
        <v>0.68</v>
      </c>
      <c r="CH266" s="9">
        <f t="shared" si="606"/>
        <v>1.8082280338026815</v>
      </c>
      <c r="CI266" s="9">
        <f t="shared" si="607"/>
        <v>3.1452278126688236</v>
      </c>
      <c r="CJ266" s="40">
        <v>1</v>
      </c>
      <c r="CK266" s="9">
        <f t="shared" si="608"/>
        <v>320.81323689222</v>
      </c>
      <c r="CM266" s="4">
        <f t="shared" si="735"/>
        <v>1.5955182052279357</v>
      </c>
      <c r="CN266" s="4">
        <f t="shared" si="736"/>
        <v>0.85192180139138174</v>
      </c>
      <c r="CO266" s="4">
        <f t="shared" si="708"/>
        <v>1.0522667203632556</v>
      </c>
      <c r="CP266" s="4">
        <f t="shared" si="737"/>
        <v>2.0981161961904866</v>
      </c>
      <c r="CQ266" s="4">
        <f t="shared" si="694"/>
        <v>0.89800579941581282</v>
      </c>
      <c r="CR266" s="4">
        <f t="shared" si="695"/>
        <v>0.94606036381909953</v>
      </c>
      <c r="CS266" s="4">
        <f t="shared" si="709"/>
        <v>1.4542450707802723</v>
      </c>
      <c r="CT266" s="4">
        <f t="shared" si="758"/>
        <v>0</v>
      </c>
      <c r="CU266" s="4">
        <f t="shared" ref="CU266:CV266" si="792">CM266</f>
        <v>1.5955182052279357</v>
      </c>
      <c r="CV266" s="4">
        <f t="shared" si="792"/>
        <v>0.85192180139138174</v>
      </c>
      <c r="CW266" s="4">
        <f t="shared" ref="CW266" si="793">CP266</f>
        <v>2.0981161961904866</v>
      </c>
      <c r="CX266" s="4">
        <f t="shared" ref="CX266" si="794">CS266</f>
        <v>1.4542450707802723</v>
      </c>
      <c r="CY266" s="4">
        <f t="shared" ref="CY266:CZ266" si="795">CQ266</f>
        <v>0.89800579941581282</v>
      </c>
      <c r="CZ266" s="4">
        <f t="shared" si="795"/>
        <v>0.94606036381909953</v>
      </c>
      <c r="DI266" s="4">
        <f t="shared" si="742"/>
        <v>266.7</v>
      </c>
      <c r="DL266" s="4">
        <f t="shared" si="667"/>
        <v>2.255634789357827E-5</v>
      </c>
      <c r="DM266" s="4">
        <f t="shared" si="769"/>
        <v>9.5888978004068353</v>
      </c>
      <c r="DN266" s="4">
        <f t="shared" si="668"/>
        <v>0.38626435926056812</v>
      </c>
      <c r="DO266" s="4">
        <f t="shared" si="669"/>
        <v>6.5542430902842153</v>
      </c>
      <c r="DP266" s="4">
        <f t="shared" si="670"/>
        <v>8.2134331184835929</v>
      </c>
      <c r="DQ266" s="4">
        <f t="shared" si="671"/>
        <v>8.7925846918253416</v>
      </c>
      <c r="DR266" s="38">
        <f t="shared" si="684"/>
        <v>749.5535649254623</v>
      </c>
      <c r="DS266" s="4">
        <f t="shared" si="609"/>
        <v>1.0001020253405035</v>
      </c>
      <c r="DT266" s="4">
        <f t="shared" si="672"/>
        <v>2.2583179581272428</v>
      </c>
      <c r="DU266" s="4">
        <f t="shared" si="618"/>
        <v>413.49619697557631</v>
      </c>
      <c r="DY266" s="4">
        <f t="shared" si="785"/>
        <v>0.85</v>
      </c>
      <c r="DZ266" s="4">
        <f t="shared" si="610"/>
        <v>0.85499999999999998</v>
      </c>
      <c r="EA266" s="4">
        <f t="shared" si="685"/>
        <v>1</v>
      </c>
      <c r="EB266" s="4">
        <f t="shared" si="611"/>
        <v>0.85499999999999998</v>
      </c>
      <c r="ED266" s="4">
        <f t="shared" si="686"/>
        <v>711.48044460783399</v>
      </c>
      <c r="EE266" s="25">
        <f t="shared" si="687"/>
        <v>409.43016389501861</v>
      </c>
      <c r="EG266" s="4">
        <f t="shared" si="619"/>
        <v>0.72675000000000001</v>
      </c>
      <c r="EH266" s="4">
        <f t="shared" si="688"/>
        <v>9.5888978004068353</v>
      </c>
      <c r="EK266" s="4">
        <f t="shared" si="673"/>
        <v>57.361276136431961</v>
      </c>
      <c r="EL266" s="4">
        <f t="shared" si="674"/>
        <v>2.2583179581272428</v>
      </c>
      <c r="EM266" s="4">
        <f t="shared" si="675"/>
        <v>0.16123683190916255</v>
      </c>
      <c r="EP266" s="4">
        <f t="shared" si="759"/>
        <v>0.16123683190916255</v>
      </c>
      <c r="EQ266" s="4">
        <f t="shared" si="721"/>
        <v>0.38561975603485255</v>
      </c>
      <c r="ER266" s="4">
        <f t="shared" si="770"/>
        <v>6.5498657738834565</v>
      </c>
      <c r="ES266" s="4">
        <f t="shared" si="743"/>
        <v>8.21169001258904</v>
      </c>
      <c r="ET266" s="4">
        <f t="shared" si="771"/>
        <v>142.66372386356801</v>
      </c>
      <c r="EU266" s="4">
        <f t="shared" si="772"/>
        <v>66.675000000000011</v>
      </c>
      <c r="EV266" s="4">
        <f t="shared" si="612"/>
        <v>2.2556347893578273E-5</v>
      </c>
      <c r="EW266" s="4">
        <f t="shared" si="744"/>
        <v>8.7927978079198628</v>
      </c>
      <c r="EX266" s="4">
        <f t="shared" si="636"/>
        <v>749.47709926920982</v>
      </c>
      <c r="FG266" s="23">
        <f t="shared" si="778"/>
        <v>1.6</v>
      </c>
      <c r="FH266" s="23">
        <f t="shared" si="778"/>
        <v>1</v>
      </c>
      <c r="FI266" s="23">
        <f t="shared" si="712"/>
        <v>1.6</v>
      </c>
      <c r="FJ266" s="23">
        <f t="shared" si="779"/>
        <v>2.2000000000000002</v>
      </c>
      <c r="FK266" s="23">
        <f t="shared" si="779"/>
        <v>1</v>
      </c>
      <c r="FL266" s="23">
        <f t="shared" si="779"/>
        <v>1</v>
      </c>
      <c r="FM266" s="23">
        <f t="shared" si="701"/>
        <v>0</v>
      </c>
      <c r="FN266" s="23"/>
      <c r="FX266" s="4">
        <f t="shared" si="613"/>
        <v>1.25</v>
      </c>
      <c r="FY266" s="4">
        <f t="shared" si="652"/>
        <v>0.5</v>
      </c>
      <c r="FZ266" s="4">
        <f t="shared" si="614"/>
        <v>0</v>
      </c>
      <c r="GA266" s="4">
        <f t="shared" si="615"/>
        <v>462.8542064885321</v>
      </c>
    </row>
    <row r="267" spans="1:183" ht="12" customHeight="1" x14ac:dyDescent="0.3">
      <c r="A267" s="25">
        <v>249</v>
      </c>
      <c r="B267" s="4" t="s">
        <v>605</v>
      </c>
      <c r="C267" s="4">
        <v>2016</v>
      </c>
      <c r="D267" s="4" t="s">
        <v>309</v>
      </c>
      <c r="E267" s="24" t="s">
        <v>406</v>
      </c>
      <c r="F267" s="7" t="s">
        <v>402</v>
      </c>
      <c r="G267" s="38">
        <f>129/0.145</f>
        <v>889.65517241379314</v>
      </c>
      <c r="H267" s="38">
        <f>9.88*25.4</f>
        <v>250.952</v>
      </c>
      <c r="I267" s="4">
        <f t="shared" si="746"/>
        <v>250.952</v>
      </c>
      <c r="J267" s="38">
        <f>8450/145</f>
        <v>58.275862068965516</v>
      </c>
      <c r="K267" s="38">
        <f t="shared" si="747"/>
        <v>25.4</v>
      </c>
      <c r="L267" s="7">
        <f t="shared" si="748"/>
        <v>9.8800000000000008</v>
      </c>
      <c r="M267" s="7">
        <f t="shared" si="749"/>
        <v>9.8800000000000008</v>
      </c>
      <c r="N267" s="38">
        <f>17*25.4</f>
        <v>431.79999999999995</v>
      </c>
      <c r="O267" s="38">
        <f>2.45*25.4</f>
        <v>62.230000000000004</v>
      </c>
      <c r="P267" s="39">
        <f>3.2*25.4</f>
        <v>81.28</v>
      </c>
      <c r="Q267" s="7">
        <f t="shared" si="750"/>
        <v>256.53999999999996</v>
      </c>
      <c r="R267" s="38">
        <v>2</v>
      </c>
      <c r="S267" s="4">
        <f t="shared" si="722"/>
        <v>260.34999999999997</v>
      </c>
      <c r="T267" s="7">
        <f t="shared" si="751"/>
        <v>2.95</v>
      </c>
      <c r="U267" s="7">
        <f t="shared" si="631"/>
        <v>2.95</v>
      </c>
      <c r="V267" s="38">
        <v>4.0999999999999996</v>
      </c>
      <c r="W267" s="4">
        <f t="shared" si="752"/>
        <v>4.0999999999999996</v>
      </c>
      <c r="X267" s="4">
        <f t="shared" si="753"/>
        <v>5.0999999999999996</v>
      </c>
      <c r="Y267" s="7">
        <f t="shared" si="754"/>
        <v>57.361276136431961</v>
      </c>
      <c r="AB267" s="38">
        <f t="shared" si="786"/>
        <v>640.68965517241384</v>
      </c>
      <c r="AC267" s="4">
        <v>92.9</v>
      </c>
      <c r="AD267" s="4">
        <f t="shared" si="666"/>
        <v>0.88210240843168164</v>
      </c>
      <c r="AE267" s="38">
        <f>0.375*25.4</f>
        <v>9.5249999999999986</v>
      </c>
      <c r="AF267" s="38">
        <v>4</v>
      </c>
      <c r="AG267" s="39">
        <f>5*25.4</f>
        <v>127</v>
      </c>
      <c r="AH267" s="39">
        <v>2</v>
      </c>
      <c r="AI267" s="39">
        <v>1</v>
      </c>
      <c r="AJ267" s="7"/>
      <c r="AK267" s="4">
        <f t="shared" si="755"/>
        <v>250.952</v>
      </c>
      <c r="AL267" s="4">
        <f t="shared" si="678"/>
        <v>0.57354925775978405</v>
      </c>
      <c r="AM267" s="4">
        <f t="shared" si="679"/>
        <v>299.46290614995218</v>
      </c>
      <c r="AN267" s="4">
        <f t="shared" si="680"/>
        <v>0.75971659919028334</v>
      </c>
      <c r="AO267" s="4">
        <v>1.25</v>
      </c>
      <c r="AP267" s="4">
        <f t="shared" si="624"/>
        <v>2.5</v>
      </c>
      <c r="AQ267" s="38">
        <f t="shared" si="723"/>
        <v>407.77011544217817</v>
      </c>
      <c r="AR267" s="38">
        <f t="shared" si="682"/>
        <v>407.77011544217817</v>
      </c>
      <c r="AS267" s="38">
        <f t="shared" si="683"/>
        <v>4.3073554520828159</v>
      </c>
      <c r="AT267" s="38">
        <f t="shared" si="626"/>
        <v>407.77011544217788</v>
      </c>
      <c r="AU267" s="38">
        <f t="shared" si="601"/>
        <v>1.0000000000000007</v>
      </c>
      <c r="AV267" s="38">
        <f t="shared" si="715"/>
        <v>1.7073291393102548</v>
      </c>
      <c r="AW267" s="4">
        <f t="shared" si="707"/>
        <v>0</v>
      </c>
      <c r="AX267" s="4">
        <f t="shared" si="756"/>
        <v>396.96086839193953</v>
      </c>
      <c r="AY267" s="4">
        <f t="shared" si="724"/>
        <v>1</v>
      </c>
      <c r="AZ267" s="38">
        <f t="shared" si="617"/>
        <v>696.1978002343368</v>
      </c>
      <c r="BA267" s="4">
        <f t="shared" si="725"/>
        <v>0.42600000000000005</v>
      </c>
      <c r="BB267" s="4">
        <f t="shared" si="726"/>
        <v>88.357534891019867</v>
      </c>
      <c r="BC267" s="4">
        <f t="shared" si="727"/>
        <v>784.55533512535669</v>
      </c>
      <c r="BE267" s="4">
        <f t="shared" si="627"/>
        <v>1.5</v>
      </c>
      <c r="BF267" s="4">
        <f t="shared" si="628"/>
        <v>682.92537089120992</v>
      </c>
      <c r="BH267" s="4">
        <f t="shared" si="633"/>
        <v>667.73882986782667</v>
      </c>
      <c r="BI267" s="4">
        <f t="shared" si="780"/>
        <v>0</v>
      </c>
      <c r="BJ267" s="4">
        <f t="shared" si="635"/>
        <v>0</v>
      </c>
      <c r="BR267" s="4">
        <f t="shared" si="728"/>
        <v>62.230000000000004</v>
      </c>
      <c r="BV267" s="9"/>
      <c r="BX267" s="9"/>
      <c r="BY267" s="9"/>
      <c r="BZ267" s="9">
        <f t="shared" si="729"/>
        <v>62.230000000000004</v>
      </c>
      <c r="CA267" s="9">
        <f t="shared" si="730"/>
        <v>128.26999999999998</v>
      </c>
      <c r="CB267" s="9">
        <f t="shared" si="604"/>
        <v>1.7446239745816772</v>
      </c>
      <c r="CC267" s="40">
        <f t="shared" si="757"/>
        <v>20</v>
      </c>
      <c r="CD267" s="9">
        <f t="shared" si="731"/>
        <v>0.05</v>
      </c>
      <c r="CE267" s="9">
        <f t="shared" si="732"/>
        <v>0.8</v>
      </c>
      <c r="CF267" s="9">
        <f t="shared" si="733"/>
        <v>0.99524931562137331</v>
      </c>
      <c r="CG267" s="9">
        <f t="shared" si="734"/>
        <v>0.68</v>
      </c>
      <c r="CH267" s="9">
        <f t="shared" si="606"/>
        <v>1.8082280338026815</v>
      </c>
      <c r="CI267" s="9">
        <f t="shared" si="607"/>
        <v>4.5205700845067041</v>
      </c>
      <c r="CJ267" s="40">
        <v>1</v>
      </c>
      <c r="CK267" s="9">
        <f t="shared" si="608"/>
        <v>449.88713481010723</v>
      </c>
      <c r="CM267" s="4">
        <f t="shared" si="735"/>
        <v>1.6139869347016558</v>
      </c>
      <c r="CN267" s="4">
        <f t="shared" si="736"/>
        <v>0.81662774630172397</v>
      </c>
      <c r="CO267" s="4">
        <f t="shared" si="708"/>
        <v>0.93815471277091533</v>
      </c>
      <c r="CP267" s="4">
        <f t="shared" si="737"/>
        <v>1.4241119729792726</v>
      </c>
      <c r="CQ267" s="4">
        <f t="shared" si="694"/>
        <v>0.88210240843168164</v>
      </c>
      <c r="CR267" s="4">
        <f t="shared" si="695"/>
        <v>0.9280417512964777</v>
      </c>
      <c r="CS267" s="4">
        <f t="shared" si="709"/>
        <v>1.3171284334108457</v>
      </c>
      <c r="CT267" s="4">
        <f t="shared" si="758"/>
        <v>4</v>
      </c>
      <c r="DA267" s="4">
        <f t="shared" ref="DA267:DB267" si="796">CM267</f>
        <v>1.6139869347016558</v>
      </c>
      <c r="DB267" s="4">
        <f t="shared" si="796"/>
        <v>0.81662774630172397</v>
      </c>
      <c r="DC267" s="4">
        <f t="shared" ref="DC267" si="797">CP267</f>
        <v>1.4241119729792726</v>
      </c>
      <c r="DD267" s="4">
        <f t="shared" ref="DD267" si="798">CS267</f>
        <v>1.3171284334108457</v>
      </c>
      <c r="DE267" s="4">
        <f t="shared" ref="DE267:DF267" si="799">CQ267</f>
        <v>0.88210240843168164</v>
      </c>
      <c r="DF267" s="4">
        <f t="shared" si="799"/>
        <v>0.9280417512964777</v>
      </c>
      <c r="DI267" s="4">
        <f t="shared" si="742"/>
        <v>250.952</v>
      </c>
      <c r="DL267" s="4">
        <f t="shared" si="667"/>
        <v>2.1224449256052693E-5</v>
      </c>
      <c r="DM267" s="4">
        <f t="shared" si="769"/>
        <v>9.6796444672876554</v>
      </c>
      <c r="DN267" s="4">
        <f t="shared" si="668"/>
        <v>0.38091538330686042</v>
      </c>
      <c r="DO267" s="4">
        <f t="shared" si="669"/>
        <v>6.5794684815608173</v>
      </c>
      <c r="DP267" s="4">
        <f t="shared" si="670"/>
        <v>8.276532705653139</v>
      </c>
      <c r="DQ267" s="4">
        <f t="shared" si="671"/>
        <v>8.9640353926650587</v>
      </c>
      <c r="DR267" s="38">
        <f t="shared" si="684"/>
        <v>726.32117206381588</v>
      </c>
      <c r="DS267" s="4">
        <f t="shared" si="609"/>
        <v>1.0001014628399951</v>
      </c>
      <c r="DT267" s="4">
        <f t="shared" si="672"/>
        <v>2.2583179581272428</v>
      </c>
      <c r="DU267" s="4">
        <f t="shared" si="618"/>
        <v>407.77011544217788</v>
      </c>
      <c r="DY267" s="4">
        <f t="shared" si="785"/>
        <v>0.85</v>
      </c>
      <c r="DZ267" s="4">
        <f t="shared" si="610"/>
        <v>0.85499999999999998</v>
      </c>
      <c r="EA267" s="4">
        <f t="shared" si="685"/>
        <v>0.99062499999999998</v>
      </c>
      <c r="EB267" s="4">
        <f t="shared" si="611"/>
        <v>0.84698437500000001</v>
      </c>
      <c r="ED267" s="4">
        <f t="shared" si="686"/>
        <v>690.36727526252787</v>
      </c>
      <c r="EE267" s="25">
        <f t="shared" si="687"/>
        <v>403.46261325212174</v>
      </c>
      <c r="EG267" s="4">
        <f t="shared" si="619"/>
        <v>0.71993671874999998</v>
      </c>
      <c r="EH267" s="4">
        <f t="shared" si="688"/>
        <v>9.6796444672876554</v>
      </c>
      <c r="EK267" s="4">
        <f t="shared" si="673"/>
        <v>57.361276136431961</v>
      </c>
      <c r="EL267" s="4">
        <f t="shared" si="674"/>
        <v>2.2583179581272428</v>
      </c>
      <c r="EM267" s="4">
        <f t="shared" si="675"/>
        <v>0.15900402964289828</v>
      </c>
      <c r="EP267" s="4">
        <f t="shared" si="759"/>
        <v>0.15900402964289828</v>
      </c>
      <c r="EQ267" s="4">
        <f t="shared" si="721"/>
        <v>0.38027970652509807</v>
      </c>
      <c r="ER267" s="4">
        <f t="shared" si="770"/>
        <v>6.5750743181317404</v>
      </c>
      <c r="ES267" s="4">
        <f t="shared" si="743"/>
        <v>8.274789692335105</v>
      </c>
      <c r="ET267" s="4">
        <f t="shared" si="771"/>
        <v>130.85272386356803</v>
      </c>
      <c r="EU267" s="4">
        <f t="shared" si="772"/>
        <v>62.738</v>
      </c>
      <c r="EV267" s="4">
        <f t="shared" si="612"/>
        <v>2.1224449256052693E-5</v>
      </c>
      <c r="EW267" s="4">
        <f t="shared" si="744"/>
        <v>8.9642301641233377</v>
      </c>
      <c r="EX267" s="4">
        <f t="shared" si="636"/>
        <v>726.24748493145535</v>
      </c>
      <c r="FG267" s="23">
        <f t="shared" si="778"/>
        <v>1.8</v>
      </c>
      <c r="FH267" s="23">
        <f t="shared" si="778"/>
        <v>1</v>
      </c>
      <c r="FI267" s="23">
        <f t="shared" si="712"/>
        <v>1.4</v>
      </c>
      <c r="FJ267" s="23">
        <f t="shared" si="779"/>
        <v>1.6</v>
      </c>
      <c r="FK267" s="23">
        <f t="shared" si="779"/>
        <v>1</v>
      </c>
      <c r="FL267" s="23">
        <f t="shared" si="779"/>
        <v>1</v>
      </c>
      <c r="FM267" s="23">
        <f t="shared" si="701"/>
        <v>0</v>
      </c>
      <c r="FN267" s="23"/>
      <c r="FX267" s="4">
        <f t="shared" si="613"/>
        <v>1.25</v>
      </c>
      <c r="FY267" s="4">
        <f t="shared" si="652"/>
        <v>0.44767441860465118</v>
      </c>
      <c r="FZ267" s="4">
        <f t="shared" si="614"/>
        <v>0.28124999999999994</v>
      </c>
      <c r="GA267" s="4">
        <f t="shared" si="615"/>
        <v>486.42914306638954</v>
      </c>
    </row>
    <row r="268" spans="1:183" ht="12" customHeight="1" x14ac:dyDescent="0.3">
      <c r="A268" s="25">
        <v>250</v>
      </c>
      <c r="B268" s="4" t="s">
        <v>605</v>
      </c>
      <c r="C268" s="4">
        <v>2016</v>
      </c>
      <c r="D268" s="4" t="s">
        <v>309</v>
      </c>
      <c r="E268" s="24" t="s">
        <v>664</v>
      </c>
      <c r="F268" s="7" t="s">
        <v>403</v>
      </c>
      <c r="G268" s="38">
        <f>129/0.145</f>
        <v>889.65517241379314</v>
      </c>
      <c r="H268" s="38">
        <f>10.58*25.4</f>
        <v>268.73199999999997</v>
      </c>
      <c r="I268" s="4">
        <f t="shared" si="746"/>
        <v>268.73199999999997</v>
      </c>
      <c r="J268" s="38">
        <f>8450/145</f>
        <v>58.275862068965516</v>
      </c>
      <c r="K268" s="38">
        <f t="shared" si="747"/>
        <v>25.4</v>
      </c>
      <c r="L268" s="7">
        <f t="shared" si="748"/>
        <v>10.58</v>
      </c>
      <c r="M268" s="7">
        <f t="shared" si="749"/>
        <v>10.58</v>
      </c>
      <c r="N268" s="38">
        <f>11.9*25.4</f>
        <v>302.26</v>
      </c>
      <c r="O268" s="38">
        <f>2.45*25.4</f>
        <v>62.230000000000004</v>
      </c>
      <c r="P268" s="39">
        <f>3*25.4</f>
        <v>76.199999999999989</v>
      </c>
      <c r="Q268" s="7">
        <f t="shared" si="750"/>
        <v>50.8</v>
      </c>
      <c r="R268" s="38">
        <v>3</v>
      </c>
      <c r="S268" s="4">
        <f t="shared" si="722"/>
        <v>260.34999999999997</v>
      </c>
      <c r="T268" s="7">
        <f>MIN(O268/K268+0.5, Q268/2/K268+0.5)</f>
        <v>1.5</v>
      </c>
      <c r="U268" s="7">
        <f t="shared" si="631"/>
        <v>2.95</v>
      </c>
      <c r="V268" s="38">
        <v>4.0999999999999996</v>
      </c>
      <c r="W268" s="4">
        <f t="shared" si="752"/>
        <v>4.0999999999999996</v>
      </c>
      <c r="X268" s="4">
        <f t="shared" si="753"/>
        <v>5.0999999999999996</v>
      </c>
      <c r="Y268" s="7">
        <f t="shared" si="754"/>
        <v>57.361276136431961</v>
      </c>
      <c r="AB268" s="38">
        <f t="shared" si="786"/>
        <v>478.6206896551725</v>
      </c>
      <c r="AC268" s="4">
        <v>69.400000000000006</v>
      </c>
      <c r="AD268" s="4">
        <f t="shared" si="666"/>
        <v>1.0355623876435345</v>
      </c>
      <c r="AE268" s="38"/>
      <c r="AF268" s="38"/>
      <c r="AG268" s="39">
        <v>1</v>
      </c>
      <c r="AH268" s="39"/>
      <c r="AI268" s="39"/>
      <c r="AJ268" s="7"/>
      <c r="AK268" s="4">
        <f t="shared" si="755"/>
        <v>268.73199999999997</v>
      </c>
      <c r="AL268" s="4">
        <f t="shared" si="678"/>
        <v>0.37492123503465657</v>
      </c>
      <c r="AM268" s="4">
        <f t="shared" si="679"/>
        <v>221.23042849479285</v>
      </c>
      <c r="AN268" s="4">
        <f t="shared" si="680"/>
        <v>0.75576559546313793</v>
      </c>
      <c r="AO268" s="4">
        <v>1.25</v>
      </c>
      <c r="AP268" s="4">
        <f t="shared" si="624"/>
        <v>2.5</v>
      </c>
      <c r="AQ268" s="38">
        <f t="shared" si="723"/>
        <v>195.8944080476719</v>
      </c>
      <c r="AR268" s="38">
        <f t="shared" si="682"/>
        <v>195.8944080476719</v>
      </c>
      <c r="AS268" s="38">
        <f t="shared" si="683"/>
        <v>4.3073554520828159</v>
      </c>
      <c r="AT268" s="38">
        <f t="shared" si="626"/>
        <v>195.89440804767207</v>
      </c>
      <c r="AU268" s="38">
        <f t="shared" si="601"/>
        <v>0.99999999999999911</v>
      </c>
      <c r="AV268" s="38">
        <f t="shared" si="715"/>
        <v>2.5058318604956216</v>
      </c>
      <c r="AW268" s="4">
        <f t="shared" si="707"/>
        <v>0</v>
      </c>
      <c r="AX268" s="4">
        <f t="shared" si="756"/>
        <v>425.08562627395958</v>
      </c>
      <c r="AY268" s="4">
        <f t="shared" si="724"/>
        <v>1.3866666666666667</v>
      </c>
      <c r="AZ268" s="38">
        <f t="shared" si="617"/>
        <v>490.87844897878659</v>
      </c>
      <c r="BA268" s="4">
        <f t="shared" si="725"/>
        <v>0.42600000000000005</v>
      </c>
      <c r="BB268" s="4">
        <f t="shared" si="726"/>
        <v>94.617684124189267</v>
      </c>
      <c r="BC268" s="4">
        <f t="shared" si="727"/>
        <v>585.49613310297582</v>
      </c>
      <c r="BE268" s="4">
        <f t="shared" si="627"/>
        <v>1.3625</v>
      </c>
      <c r="BF268" s="4">
        <f t="shared" si="628"/>
        <v>642.16626864963939</v>
      </c>
      <c r="BH268" s="4">
        <f t="shared" si="633"/>
        <v>470.81246309324723</v>
      </c>
      <c r="BI268" s="4">
        <f t="shared" si="780"/>
        <v>0</v>
      </c>
      <c r="BJ268" s="4">
        <f t="shared" si="635"/>
        <v>0</v>
      </c>
      <c r="BR268" s="4">
        <f t="shared" si="728"/>
        <v>25.4</v>
      </c>
      <c r="BV268" s="9"/>
      <c r="BX268" s="9"/>
      <c r="BY268" s="9"/>
      <c r="BZ268" s="9">
        <f t="shared" si="729"/>
        <v>25.4</v>
      </c>
      <c r="CA268" s="9">
        <f t="shared" si="730"/>
        <v>62.230000000000004</v>
      </c>
      <c r="CB268" s="9">
        <f t="shared" si="604"/>
        <v>1.1438653713927442</v>
      </c>
      <c r="CC268" s="40">
        <f t="shared" si="757"/>
        <v>0</v>
      </c>
      <c r="CD268" s="9">
        <f t="shared" si="731"/>
        <v>0</v>
      </c>
      <c r="CE268" s="9">
        <f t="shared" si="732"/>
        <v>0</v>
      </c>
      <c r="CF268" s="9">
        <f t="shared" si="733"/>
        <v>0.99524931562137331</v>
      </c>
      <c r="CG268" s="9">
        <f t="shared" si="734"/>
        <v>0.68</v>
      </c>
      <c r="CH268" s="9">
        <f t="shared" si="606"/>
        <v>1.8082280338026815</v>
      </c>
      <c r="CI268" s="9">
        <f t="shared" si="607"/>
        <v>2.0683694314484757</v>
      </c>
      <c r="CJ268" s="40">
        <v>1</v>
      </c>
      <c r="CK268" s="9">
        <f t="shared" si="608"/>
        <v>211.63556022580804</v>
      </c>
      <c r="CM268" s="4">
        <f t="shared" si="735"/>
        <v>1.1259394815356814</v>
      </c>
      <c r="CN268" s="4">
        <f t="shared" si="736"/>
        <v>0.81746174328873611</v>
      </c>
      <c r="CO268" s="4">
        <f t="shared" si="708"/>
        <v>0.74532206536108792</v>
      </c>
      <c r="CP268" s="4">
        <f t="shared" si="737"/>
        <v>2.2615324624297557</v>
      </c>
      <c r="CQ268" s="4">
        <f t="shared" si="694"/>
        <v>1.0355623876435345</v>
      </c>
      <c r="CR268" s="4">
        <f t="shared" si="695"/>
        <v>1.0537522781326267</v>
      </c>
      <c r="CS268" s="4">
        <f t="shared" si="709"/>
        <v>1.8814484318433564</v>
      </c>
      <c r="CT268" s="4">
        <f t="shared" si="758"/>
        <v>0</v>
      </c>
      <c r="CU268" s="4">
        <f t="shared" ref="CU268:CV268" si="800">CM268</f>
        <v>1.1259394815356814</v>
      </c>
      <c r="CV268" s="4">
        <f t="shared" si="800"/>
        <v>0.81746174328873611</v>
      </c>
      <c r="CW268" s="4">
        <f t="shared" ref="CW268" si="801">CP268</f>
        <v>2.2615324624297557</v>
      </c>
      <c r="CX268" s="4">
        <f t="shared" ref="CX268" si="802">CS268</f>
        <v>1.8814484318433564</v>
      </c>
      <c r="CY268" s="4">
        <f t="shared" ref="CY268:CZ268" si="803">CQ268</f>
        <v>1.0355623876435345</v>
      </c>
      <c r="CZ268" s="4">
        <f t="shared" si="803"/>
        <v>1.0537522781326267</v>
      </c>
      <c r="DI268" s="4">
        <f t="shared" si="742"/>
        <v>268.73199999999997</v>
      </c>
      <c r="DL268" s="4">
        <f t="shared" si="667"/>
        <v>2.2728205782291242E-5</v>
      </c>
      <c r="DM268" s="4">
        <f t="shared" si="769"/>
        <v>8.1985076193478434</v>
      </c>
      <c r="DN268" s="4">
        <f t="shared" si="668"/>
        <v>0.18299328642128165</v>
      </c>
      <c r="DO268" s="4">
        <f t="shared" si="669"/>
        <v>4.1563189503887896</v>
      </c>
      <c r="DP268" s="4">
        <f t="shared" si="670"/>
        <v>6.5027697461111531</v>
      </c>
      <c r="DQ268" s="4">
        <f t="shared" si="671"/>
        <v>7.664283561396096</v>
      </c>
      <c r="DR268" s="38">
        <f t="shared" si="684"/>
        <v>462.18431198944364</v>
      </c>
      <c r="DS268" s="4">
        <f t="shared" si="609"/>
        <v>1.0000949533164578</v>
      </c>
      <c r="DT268" s="4">
        <f t="shared" si="672"/>
        <v>2.2583179581272428</v>
      </c>
      <c r="DU268" s="4">
        <f t="shared" si="618"/>
        <v>195.89440804767207</v>
      </c>
      <c r="DY268" s="4">
        <f t="shared" si="785"/>
        <v>0.85</v>
      </c>
      <c r="DZ268" s="4">
        <f t="shared" si="610"/>
        <v>1</v>
      </c>
      <c r="EA268" s="4">
        <f t="shared" si="685"/>
        <v>1</v>
      </c>
      <c r="EB268" s="4">
        <f t="shared" si="611"/>
        <v>1</v>
      </c>
      <c r="ED268" s="4">
        <f t="shared" si="686"/>
        <v>454.20607820971429</v>
      </c>
      <c r="EE268" s="25">
        <f t="shared" si="687"/>
        <v>193.98544637161379</v>
      </c>
      <c r="EG268" s="4">
        <f t="shared" si="619"/>
        <v>0.85</v>
      </c>
      <c r="EH268" s="4">
        <f t="shared" si="688"/>
        <v>8.1985076193478434</v>
      </c>
      <c r="EK268" s="4">
        <f t="shared" si="673"/>
        <v>57.361276136431961</v>
      </c>
      <c r="EL268" s="4">
        <f t="shared" si="674"/>
        <v>2.2583179581272428</v>
      </c>
      <c r="EM268" s="4">
        <f t="shared" si="675"/>
        <v>7.6386177124122462E-2</v>
      </c>
      <c r="EP268" s="4">
        <f t="shared" si="759"/>
        <v>7.6386177124122462E-2</v>
      </c>
      <c r="EQ268" s="4">
        <f t="shared" si="721"/>
        <v>0.18268790473155688</v>
      </c>
      <c r="ER268" s="4">
        <f t="shared" si="770"/>
        <v>4.1535431114615937</v>
      </c>
      <c r="ES268" s="4">
        <f t="shared" si="743"/>
        <v>6.5018924962975211</v>
      </c>
      <c r="ET268" s="4">
        <f t="shared" si="771"/>
        <v>144.18772386356801</v>
      </c>
      <c r="EU268" s="4">
        <f t="shared" si="772"/>
        <v>67.182999999999993</v>
      </c>
      <c r="EV268" s="4">
        <f t="shared" si="612"/>
        <v>2.2728205782291242E-5</v>
      </c>
      <c r="EW268" s="4">
        <f t="shared" si="744"/>
        <v>7.6643887234118671</v>
      </c>
      <c r="EX268" s="4">
        <f t="shared" si="636"/>
        <v>462.14043022292475</v>
      </c>
      <c r="FG268" s="23">
        <f t="shared" si="778"/>
        <v>1.2</v>
      </c>
      <c r="FH268" s="23">
        <f t="shared" si="778"/>
        <v>1</v>
      </c>
      <c r="FI268" s="23">
        <f t="shared" si="712"/>
        <v>2</v>
      </c>
      <c r="FJ268" s="23">
        <f t="shared" si="779"/>
        <v>2.2000000000000002</v>
      </c>
      <c r="FK268" s="23">
        <f t="shared" si="779"/>
        <v>1.2</v>
      </c>
      <c r="FL268" s="23">
        <f t="shared" si="779"/>
        <v>1.2</v>
      </c>
      <c r="FM268" s="23">
        <f t="shared" si="701"/>
        <v>0</v>
      </c>
      <c r="FN268" s="23"/>
      <c r="FX268" s="4">
        <f t="shared" si="613"/>
        <v>1.25</v>
      </c>
      <c r="FY268" s="4">
        <f t="shared" si="652"/>
        <v>0.91666666666666663</v>
      </c>
      <c r="FZ268" s="4">
        <f t="shared" si="614"/>
        <v>0</v>
      </c>
      <c r="GA268" s="4">
        <f t="shared" si="615"/>
        <v>254.38948076096989</v>
      </c>
    </row>
    <row r="269" spans="1:183" ht="12" customHeight="1" x14ac:dyDescent="0.3">
      <c r="A269" s="25">
        <v>251</v>
      </c>
      <c r="B269" s="4" t="s">
        <v>605</v>
      </c>
      <c r="C269" s="4">
        <v>2016</v>
      </c>
      <c r="D269" s="4" t="s">
        <v>309</v>
      </c>
      <c r="E269" s="24" t="s">
        <v>664</v>
      </c>
      <c r="F269" s="7" t="s">
        <v>407</v>
      </c>
      <c r="G269" s="38">
        <f t="shared" ref="G269:G286" si="804">129/0.145</f>
        <v>889.65517241379314</v>
      </c>
      <c r="H269" s="38">
        <f>10.33*25.4</f>
        <v>262.38200000000001</v>
      </c>
      <c r="I269" s="4">
        <f t="shared" si="746"/>
        <v>262.38200000000001</v>
      </c>
      <c r="J269" s="38">
        <f>8450/145</f>
        <v>58.275862068965516</v>
      </c>
      <c r="K269" s="38">
        <f t="shared" si="747"/>
        <v>25.4</v>
      </c>
      <c r="L269" s="7">
        <f t="shared" si="748"/>
        <v>10.33</v>
      </c>
      <c r="M269" s="7">
        <f t="shared" si="749"/>
        <v>10.33</v>
      </c>
      <c r="N269" s="38">
        <f>11.8*25.4</f>
        <v>299.72000000000003</v>
      </c>
      <c r="O269" s="38">
        <f>2.5*25.4</f>
        <v>63.5</v>
      </c>
      <c r="P269" s="39">
        <f>3.2*25.4</f>
        <v>81.28</v>
      </c>
      <c r="Q269" s="7">
        <f t="shared" si="750"/>
        <v>48.260000000000019</v>
      </c>
      <c r="R269" s="38">
        <v>3</v>
      </c>
      <c r="S269" s="4">
        <f t="shared" si="722"/>
        <v>260.34999999999997</v>
      </c>
      <c r="T269" s="7">
        <f t="shared" si="751"/>
        <v>1.4500000000000004</v>
      </c>
      <c r="U269" s="7">
        <f t="shared" si="631"/>
        <v>3</v>
      </c>
      <c r="V269" s="38">
        <v>4.0999999999999996</v>
      </c>
      <c r="W269" s="4">
        <f t="shared" si="752"/>
        <v>4.0999999999999996</v>
      </c>
      <c r="X269" s="4">
        <f t="shared" si="753"/>
        <v>5.0999999999999996</v>
      </c>
      <c r="Y269" s="7">
        <f t="shared" si="754"/>
        <v>57.361276136431961</v>
      </c>
      <c r="AB269" s="38">
        <f t="shared" si="786"/>
        <v>440.68965517241384</v>
      </c>
      <c r="AC269" s="4">
        <v>63.9</v>
      </c>
      <c r="AD269" s="4">
        <f t="shared" si="666"/>
        <v>0.97531366488201143</v>
      </c>
      <c r="AE269" s="38">
        <f t="shared" ref="AE269:AE271" si="805">0.375*25.4</f>
        <v>9.5249999999999986</v>
      </c>
      <c r="AF269" s="38">
        <v>2</v>
      </c>
      <c r="AG269" s="39">
        <f>3*25.4</f>
        <v>76.199999999999989</v>
      </c>
      <c r="AH269" s="39">
        <v>2</v>
      </c>
      <c r="AI269" s="39"/>
      <c r="AJ269" s="7"/>
      <c r="AK269" s="4">
        <f t="shared" si="755"/>
        <v>262.38200000000001</v>
      </c>
      <c r="AL269" s="4">
        <f t="shared" si="678"/>
        <v>0.38076798967408843</v>
      </c>
      <c r="AM269" s="4">
        <f t="shared" si="679"/>
        <v>213.43559112635208</v>
      </c>
      <c r="AN269" s="4">
        <f t="shared" si="680"/>
        <v>0.75808325266214904</v>
      </c>
      <c r="AO269" s="4">
        <v>1.25</v>
      </c>
      <c r="AP269" s="4">
        <f t="shared" si="624"/>
        <v>2.5</v>
      </c>
      <c r="AQ269" s="38">
        <f t="shared" si="723"/>
        <v>192.52813169855349</v>
      </c>
      <c r="AR269" s="38">
        <f t="shared" si="682"/>
        <v>192.52813169855349</v>
      </c>
      <c r="AS269" s="38">
        <f t="shared" si="683"/>
        <v>4.3073554520828159</v>
      </c>
      <c r="AT269" s="38">
        <f t="shared" si="626"/>
        <v>192.52813169855358</v>
      </c>
      <c r="AU269" s="38">
        <f t="shared" si="601"/>
        <v>0.99999999999999956</v>
      </c>
      <c r="AV269" s="38">
        <f t="shared" si="715"/>
        <v>2.5373874047690124</v>
      </c>
      <c r="AW269" s="4">
        <f t="shared" si="707"/>
        <v>0</v>
      </c>
      <c r="AX269" s="4">
        <f t="shared" si="756"/>
        <v>415.04106988752386</v>
      </c>
      <c r="AY269" s="4">
        <f t="shared" si="724"/>
        <v>1.4275862068965515</v>
      </c>
      <c r="AZ269" s="38">
        <f t="shared" si="617"/>
        <v>488.5184564356195</v>
      </c>
      <c r="BA269" s="4">
        <f t="shared" si="725"/>
        <v>0.42600000000000005</v>
      </c>
      <c r="BB269" s="4">
        <f t="shared" si="726"/>
        <v>92.381916540914503</v>
      </c>
      <c r="BC269" s="4">
        <f t="shared" si="727"/>
        <v>580.90037297653396</v>
      </c>
      <c r="BE269" s="4">
        <f t="shared" si="627"/>
        <v>1.5</v>
      </c>
      <c r="BF269" s="4">
        <f t="shared" si="628"/>
        <v>698.38394316993435</v>
      </c>
      <c r="BH269" s="4">
        <f t="shared" si="633"/>
        <v>468.54894163606815</v>
      </c>
      <c r="BI269" s="4">
        <f t="shared" ref="BI269:BI332" si="806">8/3*Z269*AA269^2/(Y269-K269-22)/K269*(Y269^2-K269^2)/(Y269^2-(K269+22)^2)</f>
        <v>0</v>
      </c>
      <c r="BJ269" s="4">
        <f t="shared" si="635"/>
        <v>0</v>
      </c>
      <c r="BR269" s="4">
        <f t="shared" si="728"/>
        <v>24.13000000000001</v>
      </c>
      <c r="BV269" s="9"/>
      <c r="BX269" s="9"/>
      <c r="BY269" s="9"/>
      <c r="BZ269" s="9">
        <f t="shared" si="729"/>
        <v>24.13000000000001</v>
      </c>
      <c r="CA269" s="9">
        <f t="shared" si="730"/>
        <v>63.5</v>
      </c>
      <c r="CB269" s="9">
        <f t="shared" si="604"/>
        <v>1.1269230529691339</v>
      </c>
      <c r="CC269" s="40">
        <f t="shared" si="757"/>
        <v>20</v>
      </c>
      <c r="CD269" s="9">
        <f t="shared" si="731"/>
        <v>4.9087385212340517E-2</v>
      </c>
      <c r="CE269" s="9">
        <f t="shared" si="732"/>
        <v>0.78174770424681028</v>
      </c>
      <c r="CF269" s="9">
        <f t="shared" si="733"/>
        <v>0.99524931562137331</v>
      </c>
      <c r="CG269" s="9">
        <f t="shared" si="734"/>
        <v>0.68</v>
      </c>
      <c r="CH269" s="9">
        <f t="shared" si="606"/>
        <v>1.8082280338026815</v>
      </c>
      <c r="CI269" s="9">
        <f t="shared" si="607"/>
        <v>3.4513119704972617</v>
      </c>
      <c r="CJ269" s="40">
        <v>1</v>
      </c>
      <c r="CK269" s="9">
        <f t="shared" si="608"/>
        <v>349.68692885078258</v>
      </c>
      <c r="CM269" s="4">
        <f t="shared" si="735"/>
        <v>1.0617977042412712</v>
      </c>
      <c r="CN269" s="4">
        <f t="shared" si="736"/>
        <v>0.7586320747468619</v>
      </c>
      <c r="CO269" s="4">
        <f t="shared" si="708"/>
        <v>0.63101344107675594</v>
      </c>
      <c r="CP269" s="4">
        <f t="shared" si="737"/>
        <v>1.2602405718186387</v>
      </c>
      <c r="CQ269" s="4">
        <f t="shared" si="694"/>
        <v>0.97531366488201143</v>
      </c>
      <c r="CR269" s="4">
        <f t="shared" si="695"/>
        <v>0.99104241411838778</v>
      </c>
      <c r="CS269" s="4">
        <f t="shared" si="709"/>
        <v>1.0875170850034528</v>
      </c>
      <c r="CT269" s="4">
        <f>AF269</f>
        <v>2</v>
      </c>
      <c r="DA269" s="4">
        <f t="shared" ref="DA269:DB271" si="807">CM269</f>
        <v>1.0617977042412712</v>
      </c>
      <c r="DB269" s="4">
        <f t="shared" si="807"/>
        <v>0.7586320747468619</v>
      </c>
      <c r="DC269" s="4">
        <f t="shared" ref="DC269:DC271" si="808">CP269</f>
        <v>1.2602405718186387</v>
      </c>
      <c r="DD269" s="4">
        <f t="shared" ref="DD269:DD271" si="809">CS269</f>
        <v>1.0875170850034528</v>
      </c>
      <c r="DE269" s="4">
        <f t="shared" ref="DE269:DF271" si="810">CQ269</f>
        <v>0.97531366488201143</v>
      </c>
      <c r="DF269" s="4">
        <f t="shared" si="810"/>
        <v>0.99104241411838778</v>
      </c>
      <c r="DI269" s="4">
        <f t="shared" si="742"/>
        <v>262.38200000000001</v>
      </c>
      <c r="DL269" s="4">
        <f t="shared" si="667"/>
        <v>2.2191149880063189E-5</v>
      </c>
      <c r="DM269" s="4">
        <f t="shared" si="769"/>
        <v>8.1985076193478434</v>
      </c>
      <c r="DN269" s="4">
        <f t="shared" si="668"/>
        <v>0.17984870471388795</v>
      </c>
      <c r="DO269" s="4">
        <f t="shared" si="669"/>
        <v>4.1276012029721132</v>
      </c>
      <c r="DP269" s="4">
        <f t="shared" si="670"/>
        <v>6.4937181471209255</v>
      </c>
      <c r="DQ269" s="4">
        <f t="shared" si="671"/>
        <v>7.6911276613412358</v>
      </c>
      <c r="DR269" s="38">
        <f t="shared" si="684"/>
        <v>451.84402827548433</v>
      </c>
      <c r="DS269" s="4">
        <f t="shared" si="609"/>
        <v>1.0000949129412946</v>
      </c>
      <c r="DT269" s="4">
        <f t="shared" si="672"/>
        <v>2.2583179581272428</v>
      </c>
      <c r="DU269" s="4">
        <f t="shared" si="618"/>
        <v>192.52813169855358</v>
      </c>
      <c r="DY269" s="4">
        <f t="shared" si="785"/>
        <v>0.85</v>
      </c>
      <c r="DZ269" s="4">
        <f t="shared" si="610"/>
        <v>1</v>
      </c>
      <c r="EA269" s="4">
        <f t="shared" si="685"/>
        <v>1</v>
      </c>
      <c r="EB269" s="4">
        <f t="shared" si="611"/>
        <v>1</v>
      </c>
      <c r="ED269" s="4">
        <f t="shared" si="686"/>
        <v>444.67285041926573</v>
      </c>
      <c r="EE269" s="25">
        <f t="shared" si="687"/>
        <v>190.60109929567602</v>
      </c>
      <c r="EG269" s="4">
        <f t="shared" si="619"/>
        <v>0.85</v>
      </c>
      <c r="EH269" s="4">
        <f t="shared" si="688"/>
        <v>8.1985076193478434</v>
      </c>
      <c r="EK269" s="4">
        <f t="shared" si="673"/>
        <v>57.361276136431961</v>
      </c>
      <c r="EL269" s="4">
        <f t="shared" si="674"/>
        <v>2.2583179581272428</v>
      </c>
      <c r="EM269" s="4">
        <f t="shared" si="675"/>
        <v>7.5073546590075091E-2</v>
      </c>
      <c r="EP269" s="4">
        <f t="shared" si="759"/>
        <v>7.5073546590075091E-2</v>
      </c>
      <c r="EQ269" s="4">
        <f t="shared" si="721"/>
        <v>0.17954857074496247</v>
      </c>
      <c r="ER269" s="4">
        <f t="shared" si="770"/>
        <v>4.1248445434779999</v>
      </c>
      <c r="ES269" s="4">
        <f t="shared" si="743"/>
        <v>6.4928520803940772</v>
      </c>
      <c r="ET269" s="4">
        <f t="shared" si="771"/>
        <v>139.42522386356802</v>
      </c>
      <c r="EU269" s="4">
        <f t="shared" si="772"/>
        <v>65.595500000000015</v>
      </c>
      <c r="EV269" s="4">
        <f t="shared" si="612"/>
        <v>2.2191149880063196E-5</v>
      </c>
      <c r="EW269" s="4">
        <f t="shared" si="744"/>
        <v>7.6912279392271685</v>
      </c>
      <c r="EX269" s="4">
        <f t="shared" si="636"/>
        <v>451.80114649978975</v>
      </c>
      <c r="FG269" s="23">
        <f t="shared" si="778"/>
        <v>1.2</v>
      </c>
      <c r="FH269" s="23">
        <f t="shared" si="778"/>
        <v>0.8</v>
      </c>
      <c r="FI269" s="23">
        <f t="shared" si="712"/>
        <v>1.2</v>
      </c>
      <c r="FJ269" s="23">
        <f t="shared" si="779"/>
        <v>1.4</v>
      </c>
      <c r="FK269" s="23">
        <f t="shared" si="779"/>
        <v>1</v>
      </c>
      <c r="FL269" s="23">
        <f t="shared" si="779"/>
        <v>1</v>
      </c>
      <c r="FM269" s="23">
        <f t="shared" si="701"/>
        <v>0</v>
      </c>
      <c r="FN269" s="23"/>
      <c r="FX269" s="4">
        <f t="shared" si="613"/>
        <v>1</v>
      </c>
      <c r="FY269" s="4">
        <f t="shared" si="652"/>
        <v>0.70232558139534873</v>
      </c>
      <c r="FZ269" s="4">
        <f t="shared" si="614"/>
        <v>0.18749999999999997</v>
      </c>
      <c r="GA269" s="4">
        <f t="shared" si="615"/>
        <v>405.2255005915743</v>
      </c>
    </row>
    <row r="270" spans="1:183" ht="12" customHeight="1" x14ac:dyDescent="0.3">
      <c r="A270" s="25">
        <v>252</v>
      </c>
      <c r="B270" s="4" t="s">
        <v>605</v>
      </c>
      <c r="C270" s="4">
        <v>2016</v>
      </c>
      <c r="D270" s="4" t="s">
        <v>309</v>
      </c>
      <c r="E270" s="24" t="s">
        <v>664</v>
      </c>
      <c r="F270" s="7" t="s">
        <v>408</v>
      </c>
      <c r="G270" s="38">
        <f t="shared" si="804"/>
        <v>889.65517241379314</v>
      </c>
      <c r="H270" s="38">
        <f>10.08*25.4</f>
        <v>256.03199999999998</v>
      </c>
      <c r="I270" s="4">
        <f t="shared" si="746"/>
        <v>256.03199999999998</v>
      </c>
      <c r="J270" s="38">
        <f>8260/145</f>
        <v>56.96551724137931</v>
      </c>
      <c r="K270" s="38">
        <f t="shared" si="747"/>
        <v>25.4</v>
      </c>
      <c r="L270" s="7">
        <f t="shared" si="748"/>
        <v>10.08</v>
      </c>
      <c r="M270" s="7">
        <f t="shared" si="749"/>
        <v>10.08</v>
      </c>
      <c r="N270" s="38">
        <f>11.8*25.4</f>
        <v>299.72000000000003</v>
      </c>
      <c r="O270" s="38">
        <f>2.45*25.4</f>
        <v>62.230000000000004</v>
      </c>
      <c r="P270" s="39">
        <f>3.13*25.4</f>
        <v>79.501999999999995</v>
      </c>
      <c r="Q270" s="7">
        <f t="shared" si="750"/>
        <v>49.530000000000015</v>
      </c>
      <c r="R270" s="38">
        <v>3</v>
      </c>
      <c r="S270" s="4">
        <f t="shared" si="722"/>
        <v>260.34999999999997</v>
      </c>
      <c r="T270" s="7">
        <f t="shared" si="751"/>
        <v>1.4750000000000003</v>
      </c>
      <c r="U270" s="7">
        <f t="shared" si="631"/>
        <v>2.95</v>
      </c>
      <c r="V270" s="38">
        <v>4.0999999999999996</v>
      </c>
      <c r="W270" s="4">
        <f t="shared" si="752"/>
        <v>4.0999999999999996</v>
      </c>
      <c r="X270" s="4">
        <f t="shared" si="753"/>
        <v>5.0999999999999996</v>
      </c>
      <c r="Y270" s="7">
        <f t="shared" si="754"/>
        <v>57.361276136431961</v>
      </c>
      <c r="AB270" s="38">
        <f t="shared" si="786"/>
        <v>540.68965517241384</v>
      </c>
      <c r="AC270" s="4">
        <v>78.400000000000006</v>
      </c>
      <c r="AD270" s="4">
        <f t="shared" si="666"/>
        <v>1.2275313013278444</v>
      </c>
      <c r="AE270" s="38">
        <f t="shared" si="805"/>
        <v>9.5249999999999986</v>
      </c>
      <c r="AF270" s="38">
        <v>4</v>
      </c>
      <c r="AG270" s="39">
        <f>5*25.4</f>
        <v>127</v>
      </c>
      <c r="AH270" s="39">
        <v>2</v>
      </c>
      <c r="AI270" s="39">
        <v>1</v>
      </c>
      <c r="AJ270" s="7"/>
      <c r="AK270" s="4">
        <f t="shared" si="755"/>
        <v>256.03199999999998</v>
      </c>
      <c r="AL270" s="4">
        <f t="shared" si="678"/>
        <v>0.39021164021164034</v>
      </c>
      <c r="AM270" s="4">
        <f t="shared" si="679"/>
        <v>203.40837312963279</v>
      </c>
      <c r="AN270" s="4">
        <f t="shared" si="680"/>
        <v>0.758531746031746</v>
      </c>
      <c r="AO270" s="4">
        <v>1.25</v>
      </c>
      <c r="AP270" s="4">
        <f t="shared" si="624"/>
        <v>2.5</v>
      </c>
      <c r="AQ270" s="38">
        <f t="shared" si="723"/>
        <v>188.14506442671836</v>
      </c>
      <c r="AR270" s="38">
        <f t="shared" si="682"/>
        <v>188.14506442671836</v>
      </c>
      <c r="AS270" s="38">
        <f t="shared" si="683"/>
        <v>4.2706194667653463</v>
      </c>
      <c r="AT270" s="38">
        <f t="shared" si="626"/>
        <v>188.14506442671828</v>
      </c>
      <c r="AU270" s="38">
        <f t="shared" si="601"/>
        <v>1.0000000000000004</v>
      </c>
      <c r="AV270" s="38">
        <f t="shared" si="715"/>
        <v>2.5319853880339886</v>
      </c>
      <c r="AW270" s="4">
        <f t="shared" si="707"/>
        <v>0</v>
      </c>
      <c r="AX270" s="4">
        <f t="shared" si="756"/>
        <v>400.41741140059798</v>
      </c>
      <c r="AY270" s="4">
        <f t="shared" si="724"/>
        <v>1.4</v>
      </c>
      <c r="AZ270" s="38">
        <f t="shared" si="617"/>
        <v>476.38055395916405</v>
      </c>
      <c r="BA270" s="4">
        <f t="shared" si="725"/>
        <v>0.42600000000000005</v>
      </c>
      <c r="BB270" s="4">
        <f t="shared" si="726"/>
        <v>89.126909516602112</v>
      </c>
      <c r="BC270" s="4">
        <f t="shared" si="727"/>
        <v>565.50746347576614</v>
      </c>
      <c r="BE270" s="4">
        <f t="shared" si="627"/>
        <v>1.5</v>
      </c>
      <c r="BF270" s="4">
        <f t="shared" si="628"/>
        <v>681.99665534623284</v>
      </c>
      <c r="BH270" s="4">
        <f t="shared" si="633"/>
        <v>456.90720879239922</v>
      </c>
      <c r="BI270" s="4">
        <f t="shared" si="806"/>
        <v>0</v>
      </c>
      <c r="BJ270" s="4">
        <f t="shared" si="635"/>
        <v>0</v>
      </c>
      <c r="BR270" s="4">
        <f t="shared" si="728"/>
        <v>24.765000000000008</v>
      </c>
      <c r="BV270" s="9"/>
      <c r="BX270" s="9"/>
      <c r="BY270" s="9"/>
      <c r="BZ270" s="9">
        <f t="shared" si="729"/>
        <v>24.765000000000008</v>
      </c>
      <c r="CA270" s="9">
        <f t="shared" si="730"/>
        <v>62.230000000000004</v>
      </c>
      <c r="CB270" s="9">
        <f t="shared" si="604"/>
        <v>1.1337740906768172</v>
      </c>
      <c r="CC270" s="40">
        <f t="shared" si="757"/>
        <v>20</v>
      </c>
      <c r="CD270" s="9">
        <f t="shared" si="731"/>
        <v>0.05</v>
      </c>
      <c r="CE270" s="9">
        <f t="shared" si="732"/>
        <v>0.8</v>
      </c>
      <c r="CF270" s="9">
        <f t="shared" si="733"/>
        <v>0.99524931562137331</v>
      </c>
      <c r="CG270" s="9">
        <f t="shared" si="734"/>
        <v>0.68</v>
      </c>
      <c r="CH270" s="9">
        <f t="shared" si="606"/>
        <v>1.7877832632633699</v>
      </c>
      <c r="CI270" s="9">
        <f t="shared" si="607"/>
        <v>3.4571689542443562</v>
      </c>
      <c r="CJ270" s="40">
        <v>1</v>
      </c>
      <c r="CK270" s="9">
        <f t="shared" si="608"/>
        <v>346.82318948979378</v>
      </c>
      <c r="CM270" s="4">
        <f t="shared" si="735"/>
        <v>1.3503150456948545</v>
      </c>
      <c r="CN270" s="4">
        <f t="shared" si="736"/>
        <v>0.95611409237498801</v>
      </c>
      <c r="CO270" s="4">
        <f t="shared" si="708"/>
        <v>0.79280396895483174</v>
      </c>
      <c r="CP270" s="4">
        <f t="shared" si="737"/>
        <v>1.558977806437378</v>
      </c>
      <c r="CQ270" s="4">
        <f t="shared" si="694"/>
        <v>1.2275313013278444</v>
      </c>
      <c r="CR270" s="4">
        <f t="shared" si="695"/>
        <v>1.246854111705707</v>
      </c>
      <c r="CS270" s="4">
        <f t="shared" si="709"/>
        <v>1.7132857924449365</v>
      </c>
      <c r="CT270" s="4">
        <f t="shared" si="758"/>
        <v>4</v>
      </c>
      <c r="DA270" s="4">
        <f t="shared" si="807"/>
        <v>1.3503150456948545</v>
      </c>
      <c r="DB270" s="4">
        <f t="shared" si="807"/>
        <v>0.95611409237498801</v>
      </c>
      <c r="DC270" s="4">
        <f t="shared" si="808"/>
        <v>1.558977806437378</v>
      </c>
      <c r="DD270" s="4">
        <f t="shared" si="809"/>
        <v>1.7132857924449365</v>
      </c>
      <c r="DE270" s="4">
        <f t="shared" si="810"/>
        <v>1.2275313013278444</v>
      </c>
      <c r="DF270" s="4">
        <f t="shared" si="810"/>
        <v>1.246854111705707</v>
      </c>
      <c r="DI270" s="4">
        <f t="shared" si="742"/>
        <v>256.03199999999998</v>
      </c>
      <c r="DL270" s="4">
        <f t="shared" si="667"/>
        <v>2.1479580373570616E-5</v>
      </c>
      <c r="DM270" s="4">
        <f t="shared" si="769"/>
        <v>8.182522155550533</v>
      </c>
      <c r="DN270" s="4">
        <f t="shared" si="668"/>
        <v>0.17979706977117263</v>
      </c>
      <c r="DO270" s="4">
        <f t="shared" si="669"/>
        <v>4.1190800655574753</v>
      </c>
      <c r="DP270" s="4">
        <f t="shared" si="670"/>
        <v>6.4809080040143563</v>
      </c>
      <c r="DQ270" s="4">
        <f t="shared" si="671"/>
        <v>7.7059970380125735</v>
      </c>
      <c r="DR270" s="38">
        <f t="shared" si="684"/>
        <v>440.4691388215839</v>
      </c>
      <c r="DS270" s="4">
        <f t="shared" si="609"/>
        <v>1.0000958531675284</v>
      </c>
      <c r="DT270" s="4">
        <f t="shared" si="672"/>
        <v>2.2583179581272428</v>
      </c>
      <c r="DU270" s="4">
        <f t="shared" si="618"/>
        <v>188.14506442671828</v>
      </c>
      <c r="DY270" s="4">
        <f t="shared" si="785"/>
        <v>0.85</v>
      </c>
      <c r="DZ270" s="4">
        <f t="shared" si="610"/>
        <v>1</v>
      </c>
      <c r="EA270" s="4">
        <f t="shared" si="685"/>
        <v>0.99062499999999998</v>
      </c>
      <c r="EB270" s="4">
        <f t="shared" si="611"/>
        <v>0.99062499999999998</v>
      </c>
      <c r="ED270" s="4">
        <f t="shared" si="686"/>
        <v>433.64307828503354</v>
      </c>
      <c r="EE270" s="25">
        <f t="shared" si="687"/>
        <v>186.20360830118545</v>
      </c>
      <c r="EG270" s="4">
        <f t="shared" si="619"/>
        <v>0.84203125000000001</v>
      </c>
      <c r="EH270" s="4">
        <f t="shared" si="688"/>
        <v>8.182522155550533</v>
      </c>
      <c r="EK270" s="4">
        <f t="shared" si="673"/>
        <v>57.361276136431961</v>
      </c>
      <c r="EL270" s="4">
        <f t="shared" si="674"/>
        <v>2.2583179581272428</v>
      </c>
      <c r="EM270" s="4">
        <f t="shared" si="675"/>
        <v>7.4203415787966812E-2</v>
      </c>
      <c r="EP270" s="4">
        <f t="shared" si="759"/>
        <v>7.4203415787966812E-2</v>
      </c>
      <c r="EQ270" s="4">
        <f t="shared" si="721"/>
        <v>0.1794970219713431</v>
      </c>
      <c r="ER270" s="4">
        <f t="shared" si="770"/>
        <v>4.1163290969896895</v>
      </c>
      <c r="ES270" s="4">
        <f t="shared" si="743"/>
        <v>6.4800438098095814</v>
      </c>
      <c r="ET270" s="4">
        <f t="shared" si="771"/>
        <v>134.66272386356803</v>
      </c>
      <c r="EU270" s="4">
        <f t="shared" si="772"/>
        <v>64.007999999999981</v>
      </c>
      <c r="EV270" s="4">
        <f t="shared" si="612"/>
        <v>2.1479580373570609E-5</v>
      </c>
      <c r="EW270" s="4">
        <f t="shared" si="744"/>
        <v>7.7060923418690388</v>
      </c>
      <c r="EX270" s="4">
        <f t="shared" si="636"/>
        <v>440.42692250599691</v>
      </c>
      <c r="FG270" s="23">
        <f t="shared" si="778"/>
        <v>1.4</v>
      </c>
      <c r="FH270" s="23">
        <f t="shared" si="778"/>
        <v>1</v>
      </c>
      <c r="FI270" s="23">
        <f t="shared" si="712"/>
        <v>1.8</v>
      </c>
      <c r="FJ270" s="23">
        <f t="shared" si="779"/>
        <v>1.6</v>
      </c>
      <c r="FK270" s="23">
        <f t="shared" si="779"/>
        <v>1.4</v>
      </c>
      <c r="FL270" s="23">
        <f t="shared" si="779"/>
        <v>1.4</v>
      </c>
      <c r="FM270" s="23">
        <f t="shared" si="701"/>
        <v>0</v>
      </c>
      <c r="FN270" s="23"/>
      <c r="FX270" s="4">
        <f t="shared" si="613"/>
        <v>1.25</v>
      </c>
      <c r="FY270" s="4">
        <f t="shared" si="652"/>
        <v>0.7</v>
      </c>
      <c r="FZ270" s="4">
        <f t="shared" si="614"/>
        <v>0.18749999999999997</v>
      </c>
      <c r="GA270" s="4">
        <f t="shared" si="615"/>
        <v>315.58637651505018</v>
      </c>
    </row>
    <row r="271" spans="1:183" ht="12" customHeight="1" x14ac:dyDescent="0.3">
      <c r="A271" s="25">
        <v>253</v>
      </c>
      <c r="B271" s="4" t="s">
        <v>605</v>
      </c>
      <c r="C271" s="4">
        <v>2016</v>
      </c>
      <c r="D271" s="4" t="s">
        <v>309</v>
      </c>
      <c r="E271" s="24" t="s">
        <v>664</v>
      </c>
      <c r="F271" s="7" t="s">
        <v>409</v>
      </c>
      <c r="G271" s="38">
        <f t="shared" si="804"/>
        <v>889.65517241379314</v>
      </c>
      <c r="H271" s="38">
        <f>10.29*25.4</f>
        <v>261.36599999999999</v>
      </c>
      <c r="I271" s="4">
        <f t="shared" si="746"/>
        <v>261.36599999999999</v>
      </c>
      <c r="J271" s="38">
        <f>8260/145</f>
        <v>56.96551724137931</v>
      </c>
      <c r="K271" s="38">
        <f t="shared" si="747"/>
        <v>25.4</v>
      </c>
      <c r="L271" s="7">
        <f t="shared" si="748"/>
        <v>10.29</v>
      </c>
      <c r="M271" s="7">
        <f t="shared" si="749"/>
        <v>10.29</v>
      </c>
      <c r="N271" s="38">
        <f>12.1*25.4</f>
        <v>307.33999999999997</v>
      </c>
      <c r="O271" s="38">
        <f>2.55*25.4</f>
        <v>64.77</v>
      </c>
      <c r="P271" s="39">
        <f>(2.8+2.9+2.5)/3*25.4</f>
        <v>69.426666666666648</v>
      </c>
      <c r="Q271" s="7">
        <f t="shared" si="750"/>
        <v>50.8</v>
      </c>
      <c r="R271" s="38">
        <v>3</v>
      </c>
      <c r="S271" s="4">
        <f t="shared" si="722"/>
        <v>260.34999999999997</v>
      </c>
      <c r="T271" s="7">
        <f t="shared" si="751"/>
        <v>1.5</v>
      </c>
      <c r="U271" s="7">
        <f t="shared" si="631"/>
        <v>3.05</v>
      </c>
      <c r="V271" s="38">
        <v>4.0999999999999996</v>
      </c>
      <c r="W271" s="4">
        <f t="shared" si="752"/>
        <v>4.0999999999999996</v>
      </c>
      <c r="X271" s="4">
        <f t="shared" si="753"/>
        <v>5.0999999999999996</v>
      </c>
      <c r="Y271" s="7">
        <f t="shared" si="754"/>
        <v>57.361276136431961</v>
      </c>
      <c r="AB271" s="38">
        <f t="shared" si="786"/>
        <v>495.17241379310349</v>
      </c>
      <c r="AC271" s="4">
        <v>71.8</v>
      </c>
      <c r="AD271" s="4">
        <f t="shared" si="666"/>
        <v>1.0909962422431996</v>
      </c>
      <c r="AE271" s="38">
        <f t="shared" si="805"/>
        <v>9.5249999999999986</v>
      </c>
      <c r="AF271" s="38">
        <v>4</v>
      </c>
      <c r="AG271" s="39">
        <f>5*25.4</f>
        <v>127</v>
      </c>
      <c r="AH271" s="39">
        <f>2+2</f>
        <v>4</v>
      </c>
      <c r="AI271" s="39">
        <v>1</v>
      </c>
      <c r="AJ271" s="7"/>
      <c r="AK271" s="4">
        <f t="shared" si="755"/>
        <v>261.36599999999999</v>
      </c>
      <c r="AL271" s="4">
        <f t="shared" si="678"/>
        <v>0.39196631033365731</v>
      </c>
      <c r="AM271" s="4">
        <f t="shared" si="679"/>
        <v>209.79787755605903</v>
      </c>
      <c r="AN271" s="4">
        <f t="shared" si="680"/>
        <v>0.7592808551992225</v>
      </c>
      <c r="AO271" s="4">
        <v>1.25</v>
      </c>
      <c r="AP271" s="4">
        <f t="shared" si="624"/>
        <v>2.5</v>
      </c>
      <c r="AQ271" s="38">
        <f t="shared" si="723"/>
        <v>195.12023140042214</v>
      </c>
      <c r="AR271" s="38">
        <f t="shared" si="682"/>
        <v>195.12023140042214</v>
      </c>
      <c r="AS271" s="38">
        <f t="shared" si="683"/>
        <v>4.2706194667653463</v>
      </c>
      <c r="AT271" s="38">
        <f t="shared" si="626"/>
        <v>195.12023140042217</v>
      </c>
      <c r="AU271" s="38">
        <f t="shared" si="601"/>
        <v>0.99999999999999989</v>
      </c>
      <c r="AV271" s="38">
        <f t="shared" si="715"/>
        <v>2.5064989538523901</v>
      </c>
      <c r="AW271" s="4">
        <f t="shared" si="707"/>
        <v>0</v>
      </c>
      <c r="AX271" s="4">
        <f t="shared" si="756"/>
        <v>408.75944080477711</v>
      </c>
      <c r="AY271" s="4">
        <f t="shared" si="724"/>
        <v>1.4133333333333333</v>
      </c>
      <c r="AZ271" s="38">
        <f t="shared" si="617"/>
        <v>489.06865588059446</v>
      </c>
      <c r="BA271" s="4">
        <f t="shared" si="725"/>
        <v>0.42600000000000005</v>
      </c>
      <c r="BB271" s="4">
        <f t="shared" si="726"/>
        <v>90.983720131531314</v>
      </c>
      <c r="BC271" s="4">
        <f t="shared" si="727"/>
        <v>580.05237601212582</v>
      </c>
      <c r="BE271" s="4">
        <f t="shared" si="627"/>
        <v>1.5</v>
      </c>
      <c r="BF271" s="4">
        <f t="shared" si="628"/>
        <v>689.12909048680592</v>
      </c>
      <c r="BH271" s="4">
        <f t="shared" si="633"/>
        <v>469.07665018880698</v>
      </c>
      <c r="BI271" s="4">
        <f t="shared" si="806"/>
        <v>0</v>
      </c>
      <c r="BJ271" s="4">
        <f t="shared" si="635"/>
        <v>0</v>
      </c>
      <c r="BR271" s="4">
        <f t="shared" si="728"/>
        <v>25.4</v>
      </c>
      <c r="BV271" s="9"/>
      <c r="BX271" s="9"/>
      <c r="BY271" s="9"/>
      <c r="BZ271" s="9">
        <f t="shared" si="729"/>
        <v>25.4</v>
      </c>
      <c r="CA271" s="9">
        <f t="shared" si="730"/>
        <v>64.77</v>
      </c>
      <c r="CB271" s="9">
        <f t="shared" si="604"/>
        <v>1.150750115259513</v>
      </c>
      <c r="CC271" s="40">
        <f t="shared" si="757"/>
        <v>20</v>
      </c>
      <c r="CD271" s="9">
        <f t="shared" si="731"/>
        <v>0.05</v>
      </c>
      <c r="CE271" s="9">
        <f t="shared" si="732"/>
        <v>0.8</v>
      </c>
      <c r="CF271" s="9">
        <f t="shared" si="733"/>
        <v>0.99524931562137331</v>
      </c>
      <c r="CG271" s="9">
        <f t="shared" si="734"/>
        <v>0.68</v>
      </c>
      <c r="CH271" s="9">
        <f t="shared" si="606"/>
        <v>1.7877832632633699</v>
      </c>
      <c r="CI271" s="9">
        <f t="shared" si="607"/>
        <v>3.4875184068700471</v>
      </c>
      <c r="CJ271" s="40">
        <v>1</v>
      </c>
      <c r="CK271" s="9">
        <f t="shared" si="608"/>
        <v>352.79736203897397</v>
      </c>
      <c r="CM271" s="4">
        <f t="shared" si="735"/>
        <v>1.2114030022601903</v>
      </c>
      <c r="CN271" s="4">
        <f t="shared" si="736"/>
        <v>0.85366845179986306</v>
      </c>
      <c r="CO271" s="4">
        <f t="shared" si="708"/>
        <v>0.71854812201195861</v>
      </c>
      <c r="CP271" s="4">
        <f t="shared" si="737"/>
        <v>1.403560420438748</v>
      </c>
      <c r="CQ271" s="4">
        <f t="shared" si="694"/>
        <v>1.0909962422431996</v>
      </c>
      <c r="CR271" s="4">
        <f t="shared" si="695"/>
        <v>1.1108598911062268</v>
      </c>
      <c r="CS271" s="4">
        <f t="shared" si="709"/>
        <v>1.1703923382083732</v>
      </c>
      <c r="CT271" s="4">
        <f t="shared" si="758"/>
        <v>4</v>
      </c>
      <c r="DA271" s="4">
        <f t="shared" si="807"/>
        <v>1.2114030022601903</v>
      </c>
      <c r="DB271" s="4">
        <f t="shared" si="807"/>
        <v>0.85366845179986306</v>
      </c>
      <c r="DC271" s="4">
        <f t="shared" si="808"/>
        <v>1.403560420438748</v>
      </c>
      <c r="DD271" s="4">
        <f t="shared" si="809"/>
        <v>1.1703923382083732</v>
      </c>
      <c r="DE271" s="4">
        <f t="shared" si="810"/>
        <v>1.0909962422431996</v>
      </c>
      <c r="DF271" s="4">
        <f t="shared" si="810"/>
        <v>1.1108598911062268</v>
      </c>
      <c r="DI271" s="4">
        <f t="shared" si="742"/>
        <v>261.36599999999999</v>
      </c>
      <c r="DL271" s="4">
        <f t="shared" si="667"/>
        <v>2.1927071631353337E-5</v>
      </c>
      <c r="DM271" s="4">
        <f t="shared" si="769"/>
        <v>8.182522155550533</v>
      </c>
      <c r="DN271" s="4">
        <f t="shared" si="668"/>
        <v>0.18646274865495269</v>
      </c>
      <c r="DO271" s="4">
        <f t="shared" si="669"/>
        <v>4.1794970464391463</v>
      </c>
      <c r="DP271" s="4">
        <f t="shared" si="670"/>
        <v>6.5000111163899925</v>
      </c>
      <c r="DQ271" s="4">
        <f t="shared" si="671"/>
        <v>7.6829977221807759</v>
      </c>
      <c r="DR271" s="38">
        <f t="shared" si="684"/>
        <v>453.87178673959363</v>
      </c>
      <c r="DS271" s="4">
        <f t="shared" si="609"/>
        <v>1.0000959992100831</v>
      </c>
      <c r="DT271" s="4">
        <f t="shared" si="672"/>
        <v>2.2583179581272428</v>
      </c>
      <c r="DU271" s="4">
        <f t="shared" si="618"/>
        <v>195.12023140042217</v>
      </c>
      <c r="DY271" s="4">
        <f t="shared" si="785"/>
        <v>0.85</v>
      </c>
      <c r="DZ271" s="4">
        <f t="shared" si="610"/>
        <v>1</v>
      </c>
      <c r="EA271" s="4">
        <f t="shared" si="685"/>
        <v>0.99062499999999998</v>
      </c>
      <c r="EB271" s="4">
        <f t="shared" si="611"/>
        <v>0.99062499999999998</v>
      </c>
      <c r="ED271" s="4">
        <f t="shared" si="686"/>
        <v>445.75595694610621</v>
      </c>
      <c r="EE271" s="25">
        <f t="shared" si="687"/>
        <v>193.16149800426129</v>
      </c>
      <c r="EG271" s="4">
        <f t="shared" si="619"/>
        <v>0.84203125000000001</v>
      </c>
      <c r="EH271" s="4">
        <f t="shared" si="688"/>
        <v>8.182522155550533</v>
      </c>
      <c r="EK271" s="4">
        <f t="shared" si="673"/>
        <v>57.361276136431961</v>
      </c>
      <c r="EL271" s="4">
        <f t="shared" si="674"/>
        <v>2.2583179581272428</v>
      </c>
      <c r="EM271" s="4">
        <f t="shared" si="675"/>
        <v>7.6954384657213118E-2</v>
      </c>
      <c r="EP271" s="4">
        <f t="shared" si="759"/>
        <v>7.6954384657213118E-2</v>
      </c>
      <c r="EQ271" s="4">
        <f t="shared" si="721"/>
        <v>0.18615157707937979</v>
      </c>
      <c r="ER271" s="4">
        <f t="shared" si="770"/>
        <v>4.1767057277900994</v>
      </c>
      <c r="ES271" s="4">
        <f t="shared" si="743"/>
        <v>6.4991233439056897</v>
      </c>
      <c r="ET271" s="4">
        <f t="shared" si="771"/>
        <v>138.66322386356802</v>
      </c>
      <c r="EU271" s="4">
        <f t="shared" si="772"/>
        <v>65.341499999999996</v>
      </c>
      <c r="EV271" s="4">
        <f t="shared" si="612"/>
        <v>2.1927071631353337E-5</v>
      </c>
      <c r="EW271" s="4">
        <f t="shared" si="744"/>
        <v>7.683098172710257</v>
      </c>
      <c r="EX271" s="4">
        <f t="shared" si="636"/>
        <v>453.82821958899967</v>
      </c>
      <c r="FG271" s="23">
        <f t="shared" si="778"/>
        <v>1.4</v>
      </c>
      <c r="FH271" s="23">
        <f t="shared" si="778"/>
        <v>1</v>
      </c>
      <c r="FI271" s="23">
        <f t="shared" si="712"/>
        <v>1.2</v>
      </c>
      <c r="FJ271" s="23">
        <f t="shared" si="779"/>
        <v>1.6</v>
      </c>
      <c r="FK271" s="23">
        <f t="shared" si="779"/>
        <v>1.2</v>
      </c>
      <c r="FL271" s="23">
        <f t="shared" si="779"/>
        <v>1.2</v>
      </c>
      <c r="FM271" s="23">
        <f t="shared" si="701"/>
        <v>0</v>
      </c>
      <c r="FN271" s="23"/>
      <c r="FX271" s="4">
        <f t="shared" si="613"/>
        <v>1</v>
      </c>
      <c r="FY271" s="4">
        <f t="shared" si="652"/>
        <v>0.66627906976744189</v>
      </c>
      <c r="FZ271" s="4">
        <f t="shared" si="614"/>
        <v>0.3</v>
      </c>
      <c r="GA271" s="4">
        <f t="shared" si="615"/>
        <v>423.08241230552591</v>
      </c>
    </row>
    <row r="272" spans="1:183" ht="12" customHeight="1" x14ac:dyDescent="0.3">
      <c r="A272" s="25">
        <v>254</v>
      </c>
      <c r="B272" s="4" t="s">
        <v>605</v>
      </c>
      <c r="C272" s="4">
        <v>2016</v>
      </c>
      <c r="D272" s="4" t="s">
        <v>309</v>
      </c>
      <c r="E272" s="24" t="s">
        <v>664</v>
      </c>
      <c r="F272" s="7" t="s">
        <v>410</v>
      </c>
      <c r="G272" s="38">
        <f t="shared" si="804"/>
        <v>889.65517241379314</v>
      </c>
      <c r="H272" s="38">
        <f>10.83*25.4</f>
        <v>275.08199999999999</v>
      </c>
      <c r="I272" s="4">
        <f t="shared" si="746"/>
        <v>275.08199999999999</v>
      </c>
      <c r="J272" s="38">
        <f>8450/145</f>
        <v>58.275862068965516</v>
      </c>
      <c r="K272" s="38">
        <f t="shared" si="747"/>
        <v>25.4</v>
      </c>
      <c r="L272" s="7">
        <f t="shared" si="748"/>
        <v>10.83</v>
      </c>
      <c r="M272" s="7">
        <f t="shared" si="749"/>
        <v>10.83</v>
      </c>
      <c r="N272" s="38">
        <f>13.9*25.4</f>
        <v>353.06</v>
      </c>
      <c r="O272" s="38">
        <f>2.5*25.4</f>
        <v>63.5</v>
      </c>
      <c r="P272" s="39">
        <f>(2.8+3+2.8)/3*25.4</f>
        <v>72.813333333333333</v>
      </c>
      <c r="Q272" s="7">
        <f t="shared" si="750"/>
        <v>74.930000000000007</v>
      </c>
      <c r="R272" s="38">
        <v>3</v>
      </c>
      <c r="S272" s="4">
        <f t="shared" si="722"/>
        <v>260.34999999999997</v>
      </c>
      <c r="T272" s="7">
        <f t="shared" si="751"/>
        <v>1.9750000000000003</v>
      </c>
      <c r="U272" s="7">
        <f t="shared" si="631"/>
        <v>3</v>
      </c>
      <c r="V272" s="38">
        <v>4.0999999999999996</v>
      </c>
      <c r="W272" s="4">
        <f t="shared" si="752"/>
        <v>4.0999999999999996</v>
      </c>
      <c r="X272" s="4">
        <f t="shared" si="753"/>
        <v>5.0999999999999996</v>
      </c>
      <c r="Y272" s="7">
        <f t="shared" si="754"/>
        <v>57.361276136431961</v>
      </c>
      <c r="AB272" s="38">
        <f t="shared" si="786"/>
        <v>512.41379310344826</v>
      </c>
      <c r="AC272" s="4">
        <v>74.3</v>
      </c>
      <c r="AD272" s="4">
        <f t="shared" si="666"/>
        <v>0.98097068748379734</v>
      </c>
      <c r="AE272" s="38"/>
      <c r="AF272" s="38"/>
      <c r="AG272" s="39">
        <v>1</v>
      </c>
      <c r="AH272" s="39"/>
      <c r="AI272" s="39"/>
      <c r="AJ272" s="7"/>
      <c r="AK272" s="4">
        <f t="shared" si="755"/>
        <v>275.08199999999999</v>
      </c>
      <c r="AL272" s="4">
        <f t="shared" si="678"/>
        <v>0.42782394582948602</v>
      </c>
      <c r="AM272" s="4">
        <f t="shared" si="679"/>
        <v>229.11791256513948</v>
      </c>
      <c r="AN272" s="4">
        <f t="shared" si="680"/>
        <v>0.75540166204986148</v>
      </c>
      <c r="AO272" s="4">
        <v>1.25</v>
      </c>
      <c r="AP272" s="4">
        <f t="shared" si="624"/>
        <v>2.5</v>
      </c>
      <c r="AQ272" s="38">
        <f t="shared" si="723"/>
        <v>231.39399836523808</v>
      </c>
      <c r="AR272" s="38">
        <f t="shared" si="682"/>
        <v>231.39399836523808</v>
      </c>
      <c r="AS272" s="38">
        <f t="shared" si="683"/>
        <v>4.3073554520828159</v>
      </c>
      <c r="AT272" s="38">
        <f t="shared" si="626"/>
        <v>231.39399836523816</v>
      </c>
      <c r="AU272" s="38">
        <f t="shared" si="601"/>
        <v>0.99999999999999967</v>
      </c>
      <c r="AV272" s="38">
        <f t="shared" si="715"/>
        <v>2.4324668121122044</v>
      </c>
      <c r="AW272" s="4">
        <f t="shared" si="707"/>
        <v>0</v>
      </c>
      <c r="AX272" s="4">
        <f t="shared" si="756"/>
        <v>435.13018266039529</v>
      </c>
      <c r="AY272" s="4">
        <f t="shared" si="724"/>
        <v>1.2075949367088605</v>
      </c>
      <c r="AZ272" s="38">
        <f t="shared" si="617"/>
        <v>562.85822154538755</v>
      </c>
      <c r="BA272" s="4">
        <f t="shared" si="725"/>
        <v>0.42600000000000005</v>
      </c>
      <c r="BB272" s="4">
        <f t="shared" si="726"/>
        <v>96.853451707464089</v>
      </c>
      <c r="BC272" s="4">
        <f t="shared" si="727"/>
        <v>659.7116732528516</v>
      </c>
      <c r="BE272" s="4">
        <f t="shared" si="627"/>
        <v>1.375</v>
      </c>
      <c r="BF272" s="4">
        <f t="shared" si="628"/>
        <v>655.93012337484447</v>
      </c>
      <c r="BH272" s="4">
        <f t="shared" si="633"/>
        <v>539.84986753720898</v>
      </c>
      <c r="BI272" s="4">
        <f t="shared" si="806"/>
        <v>0</v>
      </c>
      <c r="BJ272" s="4">
        <f t="shared" si="635"/>
        <v>0</v>
      </c>
      <c r="BR272" s="4">
        <f t="shared" si="728"/>
        <v>37.465000000000003</v>
      </c>
      <c r="BV272" s="9"/>
      <c r="BX272" s="9"/>
      <c r="BY272" s="9"/>
      <c r="BZ272" s="9">
        <f t="shared" si="729"/>
        <v>37.465000000000003</v>
      </c>
      <c r="CA272" s="9">
        <f t="shared" si="730"/>
        <v>63.5</v>
      </c>
      <c r="CB272" s="9">
        <f t="shared" si="604"/>
        <v>1.3145230578736085</v>
      </c>
      <c r="CC272" s="40">
        <f t="shared" si="757"/>
        <v>0</v>
      </c>
      <c r="CD272" s="9">
        <f t="shared" si="731"/>
        <v>0</v>
      </c>
      <c r="CE272" s="9">
        <f t="shared" si="732"/>
        <v>0</v>
      </c>
      <c r="CF272" s="9">
        <f t="shared" si="733"/>
        <v>0.99524931562137331</v>
      </c>
      <c r="CG272" s="9">
        <f t="shared" si="734"/>
        <v>0.68</v>
      </c>
      <c r="CH272" s="9">
        <f t="shared" si="606"/>
        <v>1.8082280338026815</v>
      </c>
      <c r="CI272" s="9">
        <f t="shared" si="607"/>
        <v>2.3769574443270836</v>
      </c>
      <c r="CJ272" s="40">
        <v>1</v>
      </c>
      <c r="CK272" s="9">
        <f t="shared" si="608"/>
        <v>245.58724314787429</v>
      </c>
      <c r="CM272" s="4">
        <f t="shared" si="735"/>
        <v>1.1776103187568816</v>
      </c>
      <c r="CN272" s="4">
        <f t="shared" si="736"/>
        <v>0.77672385358421936</v>
      </c>
      <c r="CO272" s="4">
        <f t="shared" si="708"/>
        <v>0.78120180007439466</v>
      </c>
      <c r="CP272" s="4">
        <f t="shared" si="737"/>
        <v>2.086483754349207</v>
      </c>
      <c r="CQ272" s="4">
        <f t="shared" si="694"/>
        <v>0.98097068748379734</v>
      </c>
      <c r="CR272" s="4">
        <f t="shared" si="695"/>
        <v>1.0069882788145434</v>
      </c>
      <c r="CS272" s="4">
        <f t="shared" si="709"/>
        <v>1.4382760123279739</v>
      </c>
      <c r="CT272" s="4">
        <f t="shared" si="758"/>
        <v>0</v>
      </c>
      <c r="CU272" s="4">
        <f t="shared" ref="CU272:CV272" si="811">CM272</f>
        <v>1.1776103187568816</v>
      </c>
      <c r="CV272" s="4">
        <f t="shared" si="811"/>
        <v>0.77672385358421936</v>
      </c>
      <c r="CW272" s="4">
        <f t="shared" ref="CW272" si="812">CP272</f>
        <v>2.086483754349207</v>
      </c>
      <c r="CX272" s="4">
        <f t="shared" ref="CX272" si="813">CS272</f>
        <v>1.4382760123279739</v>
      </c>
      <c r="CY272" s="4">
        <f t="shared" ref="CY272:CZ272" si="814">CQ272</f>
        <v>0.98097068748379734</v>
      </c>
      <c r="CZ272" s="4">
        <f t="shared" si="814"/>
        <v>1.0069882788145434</v>
      </c>
      <c r="DI272" s="4">
        <f t="shared" si="742"/>
        <v>275.08199999999999</v>
      </c>
      <c r="DL272" s="4">
        <f t="shared" si="667"/>
        <v>2.3265261684519301E-5</v>
      </c>
      <c r="DM272" s="4">
        <f t="shared" si="769"/>
        <v>8.6073570806801509</v>
      </c>
      <c r="DN272" s="4">
        <f t="shared" si="668"/>
        <v>0.21615496144591859</v>
      </c>
      <c r="DO272" s="4">
        <f t="shared" si="669"/>
        <v>4.6641864575427334</v>
      </c>
      <c r="DP272" s="4">
        <f t="shared" si="670"/>
        <v>6.9248108117237273</v>
      </c>
      <c r="DQ272" s="4">
        <f t="shared" si="671"/>
        <v>7.9772446899415055</v>
      </c>
      <c r="DR272" s="38">
        <f t="shared" si="684"/>
        <v>522.35382732770165</v>
      </c>
      <c r="DS272" s="4">
        <f t="shared" si="609"/>
        <v>1.0000978733813339</v>
      </c>
      <c r="DT272" s="4">
        <f t="shared" si="672"/>
        <v>2.2583179581272428</v>
      </c>
      <c r="DU272" s="4">
        <f t="shared" si="618"/>
        <v>231.39399836523816</v>
      </c>
      <c r="DY272" s="4">
        <f t="shared" si="785"/>
        <v>0.85</v>
      </c>
      <c r="DZ272" s="4">
        <f t="shared" si="610"/>
        <v>0.95250000000000001</v>
      </c>
      <c r="EA272" s="4">
        <f t="shared" si="685"/>
        <v>1</v>
      </c>
      <c r="EB272" s="4">
        <f t="shared" si="611"/>
        <v>0.95250000000000001</v>
      </c>
      <c r="ED272" s="4">
        <f t="shared" si="686"/>
        <v>508.85775324681737</v>
      </c>
      <c r="EE272" s="25">
        <f t="shared" si="687"/>
        <v>229.20472169551925</v>
      </c>
      <c r="EG272" s="4">
        <f t="shared" si="619"/>
        <v>0.80962500000000004</v>
      </c>
      <c r="EH272" s="4">
        <f t="shared" si="688"/>
        <v>8.6073570806801509</v>
      </c>
      <c r="EK272" s="4">
        <f t="shared" si="673"/>
        <v>57.361276136431961</v>
      </c>
      <c r="EL272" s="4">
        <f t="shared" si="674"/>
        <v>2.2583179581272428</v>
      </c>
      <c r="EM272" s="4">
        <f t="shared" si="675"/>
        <v>9.0228726387557703E-2</v>
      </c>
      <c r="EP272" s="4">
        <f t="shared" si="759"/>
        <v>9.0228726387557703E-2</v>
      </c>
      <c r="EQ272" s="4">
        <f t="shared" si="721"/>
        <v>0.21579423910107379</v>
      </c>
      <c r="ER272" s="4">
        <f t="shared" si="770"/>
        <v>4.6610714342523911</v>
      </c>
      <c r="ES272" s="4">
        <f t="shared" si="743"/>
        <v>6.9237702436815676</v>
      </c>
      <c r="ET272" s="4">
        <f t="shared" si="771"/>
        <v>148.95022386356803</v>
      </c>
      <c r="EU272" s="4">
        <f t="shared" si="772"/>
        <v>68.770499999999998</v>
      </c>
      <c r="EV272" s="4">
        <f t="shared" si="612"/>
        <v>2.3265261684519301E-5</v>
      </c>
      <c r="EW272" s="4">
        <f t="shared" si="744"/>
        <v>7.9773765128186334</v>
      </c>
      <c r="EX272" s="4">
        <f t="shared" si="636"/>
        <v>522.30270779560988</v>
      </c>
      <c r="FG272" s="23">
        <f t="shared" si="778"/>
        <v>1.2</v>
      </c>
      <c r="FH272" s="23">
        <f t="shared" si="778"/>
        <v>0.8</v>
      </c>
      <c r="FI272" s="23">
        <f t="shared" si="712"/>
        <v>1.6</v>
      </c>
      <c r="FJ272" s="23">
        <f t="shared" si="779"/>
        <v>2.2000000000000002</v>
      </c>
      <c r="FK272" s="23">
        <f t="shared" si="779"/>
        <v>1</v>
      </c>
      <c r="FL272" s="23">
        <f t="shared" si="779"/>
        <v>1.2</v>
      </c>
      <c r="FM272" s="23">
        <f t="shared" si="701"/>
        <v>0</v>
      </c>
      <c r="FN272" s="23"/>
      <c r="FX272" s="4">
        <f t="shared" si="613"/>
        <v>1</v>
      </c>
      <c r="FY272" s="4">
        <f t="shared" si="652"/>
        <v>0.83749999999999991</v>
      </c>
      <c r="FZ272" s="4">
        <f t="shared" si="614"/>
        <v>0</v>
      </c>
      <c r="GA272" s="4">
        <f t="shared" si="615"/>
        <v>356.26944252102368</v>
      </c>
    </row>
    <row r="273" spans="1:183" ht="12" customHeight="1" x14ac:dyDescent="0.3">
      <c r="A273" s="25">
        <v>255</v>
      </c>
      <c r="B273" s="4" t="s">
        <v>605</v>
      </c>
      <c r="C273" s="4">
        <v>2016</v>
      </c>
      <c r="D273" s="4" t="s">
        <v>309</v>
      </c>
      <c r="E273" s="24" t="s">
        <v>664</v>
      </c>
      <c r="F273" s="7" t="s">
        <v>411</v>
      </c>
      <c r="G273" s="38">
        <f t="shared" si="804"/>
        <v>889.65517241379314</v>
      </c>
      <c r="H273" s="38">
        <f>9.88*25.4</f>
        <v>250.952</v>
      </c>
      <c r="I273" s="4">
        <f t="shared" si="746"/>
        <v>250.952</v>
      </c>
      <c r="J273" s="38">
        <f>8050/145</f>
        <v>55.517241379310342</v>
      </c>
      <c r="K273" s="38">
        <f t="shared" si="747"/>
        <v>25.4</v>
      </c>
      <c r="L273" s="7">
        <f t="shared" si="748"/>
        <v>9.8800000000000008</v>
      </c>
      <c r="M273" s="7">
        <f t="shared" si="749"/>
        <v>9.8800000000000008</v>
      </c>
      <c r="N273" s="38">
        <f>13.8*25.4</f>
        <v>350.52</v>
      </c>
      <c r="O273" s="38">
        <f>2.4*25.4</f>
        <v>60.959999999999994</v>
      </c>
      <c r="P273" s="39">
        <f>(3.4+3.5+2.9)/3*25.4</f>
        <v>82.973333333333343</v>
      </c>
      <c r="Q273" s="7">
        <f t="shared" si="750"/>
        <v>76.2</v>
      </c>
      <c r="R273" s="38">
        <v>3</v>
      </c>
      <c r="S273" s="4">
        <f t="shared" si="722"/>
        <v>260.34999999999997</v>
      </c>
      <c r="T273" s="7">
        <f t="shared" si="751"/>
        <v>2</v>
      </c>
      <c r="U273" s="7">
        <f t="shared" si="631"/>
        <v>2.9</v>
      </c>
      <c r="V273" s="38">
        <v>4.0999999999999996</v>
      </c>
      <c r="W273" s="4">
        <f t="shared" si="752"/>
        <v>4.0999999999999996</v>
      </c>
      <c r="X273" s="4">
        <f t="shared" si="753"/>
        <v>5.0999999999999996</v>
      </c>
      <c r="Y273" s="7">
        <f t="shared" si="754"/>
        <v>57.361276136431961</v>
      </c>
      <c r="AB273" s="38">
        <f t="shared" si="786"/>
        <v>484.82758620689657</v>
      </c>
      <c r="AC273" s="4">
        <v>70.3</v>
      </c>
      <c r="AD273" s="4">
        <f t="shared" si="666"/>
        <v>1.0184221931806774</v>
      </c>
      <c r="AE273" s="38">
        <f t="shared" ref="AE273:AE274" si="815">0.375*25.4</f>
        <v>9.5249999999999986</v>
      </c>
      <c r="AF273" s="38">
        <v>4</v>
      </c>
      <c r="AG273" s="39">
        <f>5*25.4</f>
        <v>127</v>
      </c>
      <c r="AH273" s="39">
        <v>2</v>
      </c>
      <c r="AI273" s="39">
        <v>1</v>
      </c>
      <c r="AJ273" s="7"/>
      <c r="AK273" s="4">
        <f t="shared" si="755"/>
        <v>250.952</v>
      </c>
      <c r="AL273" s="4">
        <f t="shared" si="678"/>
        <v>0.46558704453441296</v>
      </c>
      <c r="AM273" s="4">
        <f t="shared" si="679"/>
        <v>194.8594002652321</v>
      </c>
      <c r="AN273" s="4">
        <f t="shared" si="680"/>
        <v>0.75870445344129545</v>
      </c>
      <c r="AO273" s="4">
        <v>1.25</v>
      </c>
      <c r="AP273" s="4">
        <f t="shared" si="624"/>
        <v>2.5</v>
      </c>
      <c r="AQ273" s="38">
        <f t="shared" si="723"/>
        <v>215.10222544604159</v>
      </c>
      <c r="AR273" s="38">
        <f t="shared" si="682"/>
        <v>215.10222544604159</v>
      </c>
      <c r="AS273" s="38">
        <f t="shared" si="683"/>
        <v>4.2292619080870573</v>
      </c>
      <c r="AT273" s="38">
        <f t="shared" si="626"/>
        <v>215.10222544604153</v>
      </c>
      <c r="AU273" s="38">
        <f t="shared" si="601"/>
        <v>1.0000000000000002</v>
      </c>
      <c r="AV273" s="38">
        <f t="shared" si="715"/>
        <v>2.4667032243750677</v>
      </c>
      <c r="AW273" s="4">
        <f t="shared" si="707"/>
        <v>0</v>
      </c>
      <c r="AX273" s="4">
        <f t="shared" si="756"/>
        <v>387.45144300886943</v>
      </c>
      <c r="AY273" s="4">
        <f t="shared" si="724"/>
        <v>1.18</v>
      </c>
      <c r="AZ273" s="38">
        <f t="shared" si="617"/>
        <v>530.59335307800336</v>
      </c>
      <c r="BA273" s="4">
        <f t="shared" si="725"/>
        <v>0.42600000000000005</v>
      </c>
      <c r="BB273" s="4">
        <f t="shared" si="726"/>
        <v>86.240879442129199</v>
      </c>
      <c r="BC273" s="4">
        <f t="shared" si="727"/>
        <v>616.83423252013256</v>
      </c>
      <c r="BE273" s="4">
        <f t="shared" si="627"/>
        <v>1.5</v>
      </c>
      <c r="BF273" s="4">
        <f t="shared" si="628"/>
        <v>666.56550176102803</v>
      </c>
      <c r="BH273" s="4">
        <f t="shared" si="633"/>
        <v>508.90391294068667</v>
      </c>
      <c r="BI273" s="4">
        <f t="shared" si="806"/>
        <v>0</v>
      </c>
      <c r="BJ273" s="4">
        <f t="shared" si="635"/>
        <v>0</v>
      </c>
      <c r="BR273" s="4">
        <f t="shared" si="728"/>
        <v>38.1</v>
      </c>
      <c r="BV273" s="9"/>
      <c r="BX273" s="9"/>
      <c r="BY273" s="9"/>
      <c r="BZ273" s="9">
        <f t="shared" si="729"/>
        <v>38.1</v>
      </c>
      <c r="CA273" s="9">
        <f t="shared" si="730"/>
        <v>60.959999999999994</v>
      </c>
      <c r="CB273" s="9">
        <f t="shared" si="604"/>
        <v>1.3142065486214438</v>
      </c>
      <c r="CC273" s="40">
        <f t="shared" si="757"/>
        <v>20</v>
      </c>
      <c r="CD273" s="9">
        <f t="shared" si="731"/>
        <v>0.05</v>
      </c>
      <c r="CE273" s="9">
        <f t="shared" si="732"/>
        <v>0.8</v>
      </c>
      <c r="CF273" s="9">
        <f t="shared" si="733"/>
        <v>0.99524931562137331</v>
      </c>
      <c r="CG273" s="9">
        <f t="shared" si="734"/>
        <v>0.68</v>
      </c>
      <c r="CH273" s="9">
        <f t="shared" si="606"/>
        <v>1.7649108936707618</v>
      </c>
      <c r="CI273" s="9">
        <f t="shared" si="607"/>
        <v>3.7313861691320489</v>
      </c>
      <c r="CJ273" s="40">
        <v>1</v>
      </c>
      <c r="CK273" s="9">
        <f t="shared" si="608"/>
        <v>371.34755155202151</v>
      </c>
      <c r="CM273" s="4">
        <f t="shared" si="735"/>
        <v>1.2513247658643978</v>
      </c>
      <c r="CN273" s="4">
        <f t="shared" si="736"/>
        <v>0.7859933198358483</v>
      </c>
      <c r="CO273" s="4">
        <f t="shared" si="708"/>
        <v>0.72735175301753507</v>
      </c>
      <c r="CP273" s="4">
        <f t="shared" si="737"/>
        <v>1.3055898286674923</v>
      </c>
      <c r="CQ273" s="4">
        <f t="shared" si="694"/>
        <v>1.0184221931806774</v>
      </c>
      <c r="CR273" s="4">
        <f t="shared" si="695"/>
        <v>1.0429659273597731</v>
      </c>
      <c r="CS273" s="4">
        <f t="shared" si="709"/>
        <v>1.4674396207834461</v>
      </c>
      <c r="CT273" s="4">
        <f t="shared" si="758"/>
        <v>4</v>
      </c>
      <c r="DA273" s="4">
        <f t="shared" ref="DA273:DB274" si="816">CM273</f>
        <v>1.2513247658643978</v>
      </c>
      <c r="DB273" s="4">
        <f t="shared" si="816"/>
        <v>0.7859933198358483</v>
      </c>
      <c r="DC273" s="4">
        <f t="shared" ref="DC273:DC274" si="817">CP273</f>
        <v>1.3055898286674923</v>
      </c>
      <c r="DD273" s="4">
        <f t="shared" ref="DD273:DD274" si="818">CS273</f>
        <v>1.4674396207834461</v>
      </c>
      <c r="DE273" s="4">
        <f t="shared" ref="DE273:DF274" si="819">CQ273</f>
        <v>1.0184221931806774</v>
      </c>
      <c r="DF273" s="4">
        <f t="shared" si="819"/>
        <v>1.0429659273597731</v>
      </c>
      <c r="DI273" s="4">
        <f t="shared" si="742"/>
        <v>250.952</v>
      </c>
      <c r="DL273" s="4">
        <f t="shared" si="667"/>
        <v>2.0865275046333813E-5</v>
      </c>
      <c r="DM273" s="4">
        <f t="shared" si="769"/>
        <v>8.5029867268035648</v>
      </c>
      <c r="DN273" s="4">
        <f t="shared" si="668"/>
        <v>0.21092052812996231</v>
      </c>
      <c r="DO273" s="4">
        <f t="shared" si="669"/>
        <v>4.562669811822742</v>
      </c>
      <c r="DP273" s="4">
        <f t="shared" si="670"/>
        <v>6.8258795481024821</v>
      </c>
      <c r="DQ273" s="4">
        <f t="shared" si="671"/>
        <v>8.0040946708095877</v>
      </c>
      <c r="DR273" s="38">
        <f t="shared" si="684"/>
        <v>476.05756183760201</v>
      </c>
      <c r="DS273" s="4">
        <f t="shared" si="609"/>
        <v>1.0000993058875141</v>
      </c>
      <c r="DT273" s="4">
        <f t="shared" si="672"/>
        <v>2.2583179581272428</v>
      </c>
      <c r="DU273" s="4">
        <f t="shared" si="618"/>
        <v>215.10222544604153</v>
      </c>
      <c r="DY273" s="4">
        <f t="shared" si="785"/>
        <v>0.85</v>
      </c>
      <c r="DZ273" s="4">
        <f t="shared" si="610"/>
        <v>0.95</v>
      </c>
      <c r="EA273" s="4">
        <f t="shared" si="685"/>
        <v>0.99062499999999998</v>
      </c>
      <c r="EB273" s="4">
        <f t="shared" si="611"/>
        <v>0.94109374999999995</v>
      </c>
      <c r="ED273" s="4">
        <f t="shared" si="686"/>
        <v>464.85467404886219</v>
      </c>
      <c r="EE273" s="25">
        <f t="shared" si="687"/>
        <v>212.82614746640451</v>
      </c>
      <c r="EG273" s="4">
        <f t="shared" si="619"/>
        <v>0.79992968749999993</v>
      </c>
      <c r="EH273" s="4">
        <f t="shared" si="688"/>
        <v>8.5029867268035648</v>
      </c>
      <c r="EK273" s="4">
        <f t="shared" si="673"/>
        <v>57.361276136431961</v>
      </c>
      <c r="EL273" s="4">
        <f t="shared" si="674"/>
        <v>2.2583179581272428</v>
      </c>
      <c r="EM273" s="4">
        <f t="shared" si="675"/>
        <v>8.5934598964507822E-2</v>
      </c>
      <c r="EP273" s="4">
        <f t="shared" si="759"/>
        <v>8.5934598964507822E-2</v>
      </c>
      <c r="EQ273" s="4">
        <f t="shared" si="721"/>
        <v>0.21056854107875611</v>
      </c>
      <c r="ER273" s="4">
        <f t="shared" si="770"/>
        <v>4.5596225874333776</v>
      </c>
      <c r="ES273" s="4">
        <f t="shared" si="743"/>
        <v>6.8248697622439156</v>
      </c>
      <c r="ET273" s="4">
        <f t="shared" si="771"/>
        <v>130.85272386356803</v>
      </c>
      <c r="EU273" s="4">
        <f t="shared" si="772"/>
        <v>62.738</v>
      </c>
      <c r="EV273" s="4">
        <f t="shared" si="612"/>
        <v>2.0865275046333813E-5</v>
      </c>
      <c r="EW273" s="4">
        <f t="shared" si="744"/>
        <v>8.0042023797674791</v>
      </c>
      <c r="EX273" s="4">
        <f t="shared" si="636"/>
        <v>476.01029121316731</v>
      </c>
      <c r="FG273" s="23">
        <f t="shared" si="778"/>
        <v>1.4</v>
      </c>
      <c r="FH273" s="23">
        <f t="shared" si="778"/>
        <v>0.8</v>
      </c>
      <c r="FI273" s="23">
        <f t="shared" si="712"/>
        <v>1.6</v>
      </c>
      <c r="FJ273" s="23">
        <f t="shared" si="779"/>
        <v>1.4</v>
      </c>
      <c r="FK273" s="23">
        <f t="shared" si="779"/>
        <v>1.2</v>
      </c>
      <c r="FL273" s="23">
        <f t="shared" si="779"/>
        <v>1.2</v>
      </c>
      <c r="FM273" s="23">
        <f t="shared" si="701"/>
        <v>0</v>
      </c>
      <c r="FN273" s="23"/>
      <c r="FX273" s="4">
        <f t="shared" si="613"/>
        <v>1.25</v>
      </c>
      <c r="FY273" s="4">
        <f t="shared" si="652"/>
        <v>0.65116279069767447</v>
      </c>
      <c r="FZ273" s="4">
        <f t="shared" si="614"/>
        <v>0.18749999999999997</v>
      </c>
      <c r="GA273" s="4">
        <f t="shared" si="615"/>
        <v>330.39014303570031</v>
      </c>
    </row>
    <row r="274" spans="1:183" ht="12" customHeight="1" x14ac:dyDescent="0.3">
      <c r="A274" s="25">
        <v>256</v>
      </c>
      <c r="B274" s="4" t="s">
        <v>605</v>
      </c>
      <c r="C274" s="4">
        <v>2016</v>
      </c>
      <c r="D274" s="4" t="s">
        <v>309</v>
      </c>
      <c r="E274" s="24" t="s">
        <v>664</v>
      </c>
      <c r="F274" s="7" t="s">
        <v>412</v>
      </c>
      <c r="G274" s="38">
        <f t="shared" si="804"/>
        <v>889.65517241379314</v>
      </c>
      <c r="H274" s="38">
        <f>10.33*25.4</f>
        <v>262.38200000000001</v>
      </c>
      <c r="I274" s="4">
        <f t="shared" si="746"/>
        <v>262.38200000000001</v>
      </c>
      <c r="J274" s="38">
        <f>8050/145</f>
        <v>55.517241379310342</v>
      </c>
      <c r="K274" s="38">
        <f t="shared" si="747"/>
        <v>25.4</v>
      </c>
      <c r="L274" s="7">
        <f t="shared" si="748"/>
        <v>10.33</v>
      </c>
      <c r="M274" s="7">
        <f t="shared" si="749"/>
        <v>10.33</v>
      </c>
      <c r="N274" s="38">
        <f>14.3*25.4</f>
        <v>363.21999999999997</v>
      </c>
      <c r="O274" s="38">
        <f>2.5*25.4</f>
        <v>63.5</v>
      </c>
      <c r="P274" s="39">
        <f>(3.8+3+3.5)/3*25.4</f>
        <v>87.206666666666663</v>
      </c>
      <c r="Q274" s="7">
        <f t="shared" si="750"/>
        <v>80.009999999999991</v>
      </c>
      <c r="R274" s="38">
        <v>3</v>
      </c>
      <c r="S274" s="4">
        <f t="shared" si="722"/>
        <v>260.34999999999997</v>
      </c>
      <c r="T274" s="7">
        <f t="shared" si="751"/>
        <v>2.0750000000000002</v>
      </c>
      <c r="U274" s="7">
        <f t="shared" si="631"/>
        <v>3</v>
      </c>
      <c r="V274" s="38">
        <v>4.0999999999999996</v>
      </c>
      <c r="W274" s="4">
        <f t="shared" si="752"/>
        <v>4.0999999999999996</v>
      </c>
      <c r="X274" s="4">
        <f t="shared" si="753"/>
        <v>5.0999999999999996</v>
      </c>
      <c r="Y274" s="7">
        <f t="shared" si="754"/>
        <v>57.361276136431961</v>
      </c>
      <c r="AB274" s="38">
        <f t="shared" si="786"/>
        <v>609.65517241379314</v>
      </c>
      <c r="AC274" s="4">
        <v>88.4</v>
      </c>
      <c r="AD274" s="4">
        <f t="shared" si="666"/>
        <v>1.2076437156812905</v>
      </c>
      <c r="AE274" s="38">
        <f t="shared" si="815"/>
        <v>9.5249999999999986</v>
      </c>
      <c r="AF274" s="38">
        <v>4</v>
      </c>
      <c r="AG274" s="39">
        <f>5*25.4</f>
        <v>127</v>
      </c>
      <c r="AH274" s="39">
        <f>2+2</f>
        <v>4</v>
      </c>
      <c r="AI274" s="39">
        <v>1</v>
      </c>
      <c r="AJ274" s="7"/>
      <c r="AK274" s="4">
        <f t="shared" si="755"/>
        <v>262.38200000000001</v>
      </c>
      <c r="AL274" s="4">
        <f t="shared" si="678"/>
        <v>0.46143917392707318</v>
      </c>
      <c r="AM274" s="4">
        <f t="shared" si="679"/>
        <v>208.32261906910756</v>
      </c>
      <c r="AN274" s="4">
        <f t="shared" si="680"/>
        <v>0.75808325266214904</v>
      </c>
      <c r="AO274" s="4">
        <v>1.25</v>
      </c>
      <c r="AP274" s="4">
        <f t="shared" si="624"/>
        <v>2.5</v>
      </c>
      <c r="AQ274" s="38">
        <f t="shared" si="723"/>
        <v>227.72872377563311</v>
      </c>
      <c r="AR274" s="38">
        <f t="shared" si="682"/>
        <v>227.72872377563311</v>
      </c>
      <c r="AS274" s="38">
        <f t="shared" si="683"/>
        <v>4.2292619080870573</v>
      </c>
      <c r="AT274" s="38">
        <f t="shared" si="626"/>
        <v>227.72872377563314</v>
      </c>
      <c r="AU274" s="38">
        <f t="shared" si="601"/>
        <v>0.99999999999999989</v>
      </c>
      <c r="AV274" s="38">
        <f t="shared" si="715"/>
        <v>2.4138531924417204</v>
      </c>
      <c r="AW274" s="4">
        <f t="shared" si="707"/>
        <v>0</v>
      </c>
      <c r="AX274" s="4">
        <f t="shared" si="756"/>
        <v>405.09852290299807</v>
      </c>
      <c r="AY274" s="4">
        <f t="shared" si="724"/>
        <v>1.1783132530120481</v>
      </c>
      <c r="AZ274" s="38">
        <f t="shared" si="617"/>
        <v>549.70370689649076</v>
      </c>
      <c r="BA274" s="4">
        <f t="shared" si="725"/>
        <v>0.42600000000000005</v>
      </c>
      <c r="BB274" s="4">
        <f t="shared" si="726"/>
        <v>90.168854720363839</v>
      </c>
      <c r="BC274" s="4">
        <f t="shared" si="727"/>
        <v>639.87256161685457</v>
      </c>
      <c r="BE274" s="4">
        <f t="shared" si="627"/>
        <v>1.5</v>
      </c>
      <c r="BF274" s="4">
        <f t="shared" si="628"/>
        <v>681.65375507050805</v>
      </c>
      <c r="BH274" s="4">
        <f t="shared" si="633"/>
        <v>527.23307929660132</v>
      </c>
      <c r="BI274" s="4">
        <f t="shared" si="806"/>
        <v>0</v>
      </c>
      <c r="BJ274" s="4">
        <f t="shared" si="635"/>
        <v>0</v>
      </c>
      <c r="BR274" s="4">
        <f t="shared" si="728"/>
        <v>40.004999999999995</v>
      </c>
      <c r="BV274" s="9"/>
      <c r="BX274" s="9"/>
      <c r="BY274" s="9"/>
      <c r="BZ274" s="9">
        <f t="shared" si="729"/>
        <v>40.004999999999995</v>
      </c>
      <c r="CA274" s="9">
        <f t="shared" si="730"/>
        <v>63.5</v>
      </c>
      <c r="CB274" s="9">
        <f t="shared" si="604"/>
        <v>1.3450523780427719</v>
      </c>
      <c r="CC274" s="40">
        <f t="shared" si="757"/>
        <v>20</v>
      </c>
      <c r="CD274" s="9">
        <f t="shared" si="731"/>
        <v>0.05</v>
      </c>
      <c r="CE274" s="9">
        <f t="shared" si="732"/>
        <v>0.8</v>
      </c>
      <c r="CF274" s="9">
        <f t="shared" si="733"/>
        <v>0.99524931562137331</v>
      </c>
      <c r="CG274" s="9">
        <f t="shared" si="734"/>
        <v>0.68</v>
      </c>
      <c r="CH274" s="9">
        <f t="shared" si="606"/>
        <v>1.7649108936707618</v>
      </c>
      <c r="CI274" s="9">
        <f t="shared" si="607"/>
        <v>3.7858263095020614</v>
      </c>
      <c r="CJ274" s="40">
        <v>1</v>
      </c>
      <c r="CK274" s="9">
        <f t="shared" si="608"/>
        <v>383.57992167874886</v>
      </c>
      <c r="CM274" s="4">
        <f t="shared" si="735"/>
        <v>1.5049553082665195</v>
      </c>
      <c r="CN274" s="4">
        <f t="shared" si="736"/>
        <v>0.95277592599578431</v>
      </c>
      <c r="CO274" s="4">
        <f t="shared" si="708"/>
        <v>0.89437660671396491</v>
      </c>
      <c r="CP274" s="4">
        <f t="shared" si="737"/>
        <v>1.5893823893222023</v>
      </c>
      <c r="CQ274" s="4">
        <f t="shared" si="694"/>
        <v>1.2076437156812905</v>
      </c>
      <c r="CR274" s="4">
        <f t="shared" si="695"/>
        <v>1.2415241895472264</v>
      </c>
      <c r="CS274" s="4">
        <f t="shared" si="709"/>
        <v>1.3339172849165912</v>
      </c>
      <c r="CT274" s="4">
        <f t="shared" si="758"/>
        <v>4</v>
      </c>
      <c r="DA274" s="4">
        <f t="shared" si="816"/>
        <v>1.5049553082665195</v>
      </c>
      <c r="DB274" s="4">
        <f t="shared" si="816"/>
        <v>0.95277592599578431</v>
      </c>
      <c r="DC274" s="4">
        <f t="shared" si="817"/>
        <v>1.5893823893222023</v>
      </c>
      <c r="DD274" s="4">
        <f t="shared" si="818"/>
        <v>1.3339172849165912</v>
      </c>
      <c r="DE274" s="4">
        <f t="shared" si="819"/>
        <v>1.2076437156812905</v>
      </c>
      <c r="DF274" s="4">
        <f t="shared" si="819"/>
        <v>1.2415241895472264</v>
      </c>
      <c r="DI274" s="4">
        <f t="shared" si="742"/>
        <v>262.38200000000001</v>
      </c>
      <c r="DL274" s="4">
        <f t="shared" si="667"/>
        <v>2.1815616521116227E-5</v>
      </c>
      <c r="DM274" s="4">
        <f t="shared" si="769"/>
        <v>8.5706497511547859</v>
      </c>
      <c r="DN274" s="4">
        <f t="shared" si="668"/>
        <v>0.22330156087189282</v>
      </c>
      <c r="DO274" s="4">
        <f t="shared" si="669"/>
        <v>4.7051172574974487</v>
      </c>
      <c r="DP274" s="4">
        <f t="shared" si="670"/>
        <v>6.9157100883065903</v>
      </c>
      <c r="DQ274" s="4">
        <f t="shared" si="671"/>
        <v>8.0109035794534709</v>
      </c>
      <c r="DR274" s="38">
        <f t="shared" si="684"/>
        <v>504.83032743631429</v>
      </c>
      <c r="DS274" s="4">
        <f t="shared" si="609"/>
        <v>1.0000998978203688</v>
      </c>
      <c r="DT274" s="4">
        <f t="shared" si="672"/>
        <v>2.2583179581272428</v>
      </c>
      <c r="DU274" s="4">
        <f t="shared" si="618"/>
        <v>227.72872377563314</v>
      </c>
      <c r="DY274" s="4">
        <f t="shared" si="785"/>
        <v>0.85</v>
      </c>
      <c r="DZ274" s="4">
        <f t="shared" si="610"/>
        <v>0.9425</v>
      </c>
      <c r="EA274" s="4">
        <f t="shared" si="685"/>
        <v>0.99062499999999998</v>
      </c>
      <c r="EB274" s="4">
        <f t="shared" si="611"/>
        <v>0.9336640625</v>
      </c>
      <c r="ED274" s="4">
        <f t="shared" si="686"/>
        <v>491.05380108311005</v>
      </c>
      <c r="EE274" s="25">
        <f t="shared" si="687"/>
        <v>225.44936529482322</v>
      </c>
      <c r="EG274" s="4">
        <f t="shared" si="619"/>
        <v>0.79361445312500001</v>
      </c>
      <c r="EH274" s="4">
        <f t="shared" si="688"/>
        <v>8.5706497511547859</v>
      </c>
      <c r="EK274" s="4">
        <f t="shared" si="673"/>
        <v>57.361276136431961</v>
      </c>
      <c r="EL274" s="4">
        <f t="shared" si="674"/>
        <v>2.2583179581272428</v>
      </c>
      <c r="EM274" s="4">
        <f t="shared" si="675"/>
        <v>9.097895900322657E-2</v>
      </c>
      <c r="EP274" s="4">
        <f t="shared" si="759"/>
        <v>9.097895900322657E-2</v>
      </c>
      <c r="EQ274" s="4">
        <f t="shared" si="721"/>
        <v>0.22292891218455113</v>
      </c>
      <c r="ER274" s="4">
        <f t="shared" si="770"/>
        <v>4.7019748981654814</v>
      </c>
      <c r="ES274" s="4">
        <f t="shared" si="743"/>
        <v>6.9146492330903513</v>
      </c>
      <c r="ET274" s="4">
        <f t="shared" si="771"/>
        <v>139.42522386356802</v>
      </c>
      <c r="EU274" s="4">
        <f t="shared" si="772"/>
        <v>65.595500000000015</v>
      </c>
      <c r="EV274" s="4">
        <f t="shared" si="612"/>
        <v>2.1815616521116233E-5</v>
      </c>
      <c r="EW274" s="4">
        <f t="shared" si="744"/>
        <v>8.0110248073112391</v>
      </c>
      <c r="EX274" s="4">
        <f t="shared" si="636"/>
        <v>504.77990102443596</v>
      </c>
      <c r="FG274" s="23">
        <f t="shared" si="778"/>
        <v>1.6</v>
      </c>
      <c r="FH274" s="23">
        <f t="shared" si="778"/>
        <v>1</v>
      </c>
      <c r="FI274" s="23">
        <f t="shared" si="712"/>
        <v>1.4</v>
      </c>
      <c r="FJ274" s="23">
        <f t="shared" si="779"/>
        <v>1.6</v>
      </c>
      <c r="FK274" s="23">
        <f t="shared" si="779"/>
        <v>1.4</v>
      </c>
      <c r="FL274" s="23">
        <f t="shared" si="779"/>
        <v>1.4</v>
      </c>
      <c r="FM274" s="23">
        <f t="shared" si="701"/>
        <v>0</v>
      </c>
      <c r="FN274" s="23"/>
      <c r="FX274" s="4">
        <f t="shared" si="613"/>
        <v>1</v>
      </c>
      <c r="FY274" s="4">
        <f t="shared" si="652"/>
        <v>0.61519767441860462</v>
      </c>
      <c r="FZ274" s="4">
        <f t="shared" si="614"/>
        <v>0.3</v>
      </c>
      <c r="GA274" s="4">
        <f t="shared" si="615"/>
        <v>457.04121185588684</v>
      </c>
    </row>
    <row r="275" spans="1:183" ht="12" customHeight="1" x14ac:dyDescent="0.3">
      <c r="A275" s="25">
        <v>257</v>
      </c>
      <c r="B275" s="4" t="s">
        <v>605</v>
      </c>
      <c r="C275" s="4">
        <v>2016</v>
      </c>
      <c r="D275" s="4" t="s">
        <v>309</v>
      </c>
      <c r="E275" s="24" t="s">
        <v>664</v>
      </c>
      <c r="F275" s="7" t="s">
        <v>413</v>
      </c>
      <c r="G275" s="38">
        <f t="shared" si="804"/>
        <v>889.65517241379314</v>
      </c>
      <c r="H275" s="38">
        <f>10.35*25.4</f>
        <v>262.89</v>
      </c>
      <c r="I275" s="4">
        <f t="shared" si="746"/>
        <v>262.89</v>
      </c>
      <c r="J275" s="38">
        <f>8050/145</f>
        <v>55.517241379310342</v>
      </c>
      <c r="K275" s="38">
        <f t="shared" si="747"/>
        <v>25.4</v>
      </c>
      <c r="L275" s="7">
        <f t="shared" si="748"/>
        <v>10.35</v>
      </c>
      <c r="M275" s="7">
        <f t="shared" si="749"/>
        <v>10.35</v>
      </c>
      <c r="N275" s="38">
        <f>15.9*25.4</f>
        <v>403.86</v>
      </c>
      <c r="O275" s="38">
        <f>2.45*25.4</f>
        <v>62.230000000000004</v>
      </c>
      <c r="P275" s="39">
        <f>(3.2+3.3+3.5)/3*25.4</f>
        <v>84.666666666666671</v>
      </c>
      <c r="Q275" s="7">
        <f t="shared" si="750"/>
        <v>101.60000000000001</v>
      </c>
      <c r="R275" s="38">
        <v>3</v>
      </c>
      <c r="S275" s="4">
        <f t="shared" si="722"/>
        <v>260.34999999999997</v>
      </c>
      <c r="T275" s="7">
        <f t="shared" si="751"/>
        <v>2.5000000000000004</v>
      </c>
      <c r="U275" s="7">
        <f t="shared" si="631"/>
        <v>2.95</v>
      </c>
      <c r="V275" s="38">
        <v>4.0999999999999996</v>
      </c>
      <c r="W275" s="4">
        <f t="shared" si="752"/>
        <v>4.0999999999999996</v>
      </c>
      <c r="X275" s="4">
        <f t="shared" si="753"/>
        <v>5.0999999999999996</v>
      </c>
      <c r="Y275" s="7">
        <f t="shared" si="754"/>
        <v>57.361276136431961</v>
      </c>
      <c r="AB275" s="38">
        <f t="shared" si="786"/>
        <v>558.62068965517244</v>
      </c>
      <c r="AC275" s="4">
        <v>81</v>
      </c>
      <c r="AD275" s="4">
        <f t="shared" si="666"/>
        <v>1.026278911927931</v>
      </c>
      <c r="AE275" s="38"/>
      <c r="AF275" s="38"/>
      <c r="AG275" s="39">
        <v>1</v>
      </c>
      <c r="AH275" s="39"/>
      <c r="AI275" s="39"/>
      <c r="AJ275" s="7"/>
      <c r="AK275" s="4">
        <f t="shared" si="755"/>
        <v>262.89</v>
      </c>
      <c r="AL275" s="4">
        <f t="shared" si="678"/>
        <v>0.5120772946859905</v>
      </c>
      <c r="AM275" s="4">
        <f t="shared" si="679"/>
        <v>208.92791457835131</v>
      </c>
      <c r="AN275" s="4">
        <f t="shared" si="680"/>
        <v>0.75700483091787441</v>
      </c>
      <c r="AO275" s="4">
        <v>1.25</v>
      </c>
      <c r="AP275" s="4">
        <f t="shared" si="624"/>
        <v>2.5</v>
      </c>
      <c r="AQ275" s="38">
        <f t="shared" si="723"/>
        <v>253.09330780249627</v>
      </c>
      <c r="AR275" s="38">
        <f t="shared" si="682"/>
        <v>253.09330780249627</v>
      </c>
      <c r="AS275" s="38">
        <f t="shared" si="683"/>
        <v>4.2292619080870573</v>
      </c>
      <c r="AT275" s="38">
        <f t="shared" si="626"/>
        <v>253.0933078024959</v>
      </c>
      <c r="AU275" s="38">
        <f t="shared" ref="AU275:AU338" si="820">AQ275/AT275</f>
        <v>1.0000000000000016</v>
      </c>
      <c r="AV275" s="38">
        <f t="shared" si="715"/>
        <v>2.3806959565383146</v>
      </c>
      <c r="AW275" s="4">
        <f t="shared" si="707"/>
        <v>0</v>
      </c>
      <c r="AX275" s="4">
        <f t="shared" si="756"/>
        <v>405.88283756495929</v>
      </c>
      <c r="AY275" s="4">
        <f t="shared" si="724"/>
        <v>1.0720000000000001</v>
      </c>
      <c r="AZ275" s="38">
        <f t="shared" si="617"/>
        <v>602.53821451230908</v>
      </c>
      <c r="BA275" s="4">
        <f t="shared" si="725"/>
        <v>0.42600000000000005</v>
      </c>
      <c r="BB275" s="4">
        <f t="shared" si="726"/>
        <v>90.343431399396465</v>
      </c>
      <c r="BC275" s="4">
        <f t="shared" si="727"/>
        <v>692.8816459117055</v>
      </c>
      <c r="BE275" s="4">
        <f t="shared" si="627"/>
        <v>1.3625</v>
      </c>
      <c r="BF275" s="4">
        <f t="shared" si="628"/>
        <v>619.77794589672374</v>
      </c>
      <c r="BH275" s="4">
        <f t="shared" si="633"/>
        <v>577.90783333942409</v>
      </c>
      <c r="BI275" s="4">
        <f t="shared" si="806"/>
        <v>0</v>
      </c>
      <c r="BJ275" s="4">
        <f t="shared" si="635"/>
        <v>0</v>
      </c>
      <c r="BR275" s="4">
        <f t="shared" si="728"/>
        <v>50.800000000000004</v>
      </c>
      <c r="BV275" s="9"/>
      <c r="BX275" s="9"/>
      <c r="BY275" s="9"/>
      <c r="BZ275" s="9">
        <f t="shared" si="729"/>
        <v>50.800000000000004</v>
      </c>
      <c r="CA275" s="9">
        <f t="shared" si="730"/>
        <v>62.230000000000004</v>
      </c>
      <c r="CB275" s="9">
        <f t="shared" ref="CB275:CB338" si="821">(BZ275/K275)^0.5*(CA275/BZ275)^0.15</f>
        <v>1.4579257653311168</v>
      </c>
      <c r="CC275" s="40">
        <f t="shared" si="757"/>
        <v>0</v>
      </c>
      <c r="CD275" s="9">
        <f t="shared" si="731"/>
        <v>0</v>
      </c>
      <c r="CE275" s="9">
        <f t="shared" si="732"/>
        <v>0</v>
      </c>
      <c r="CF275" s="9">
        <f t="shared" si="733"/>
        <v>0.99524931562137331</v>
      </c>
      <c r="CG275" s="9">
        <f t="shared" si="734"/>
        <v>0.68</v>
      </c>
      <c r="CH275" s="9">
        <f t="shared" ref="CH275:CH338" si="822">1.75*CF275*CG275*(J275/25)^0.5</f>
        <v>1.7649108936707618</v>
      </c>
      <c r="CI275" s="9">
        <f t="shared" ref="CI275:CI338" si="823">MIN((CB275+CE275)*CH275,2.5*CH275,J275^0.5)</f>
        <v>2.5731090653961708</v>
      </c>
      <c r="CJ275" s="40">
        <v>1</v>
      </c>
      <c r="CK275" s="9">
        <f t="shared" ref="CK275:CK338" si="824">4*CI275*M275+60*CI275</f>
        <v>260.91325923117171</v>
      </c>
      <c r="CM275" s="4">
        <f t="shared" si="735"/>
        <v>1.3763102007627221</v>
      </c>
      <c r="CN275" s="4">
        <f t="shared" si="736"/>
        <v>0.80622815303489503</v>
      </c>
      <c r="CO275" s="4">
        <f t="shared" si="708"/>
        <v>0.90132392311400156</v>
      </c>
      <c r="CP275" s="4">
        <f t="shared" si="737"/>
        <v>2.1410207028238033</v>
      </c>
      <c r="CQ275" s="4">
        <f t="shared" si="694"/>
        <v>1.026278911927931</v>
      </c>
      <c r="CR275" s="4">
        <f t="shared" si="695"/>
        <v>1.0607370982090985</v>
      </c>
      <c r="CS275" s="4">
        <f t="shared" si="709"/>
        <v>1.8589949803999117</v>
      </c>
      <c r="CT275" s="4">
        <f t="shared" si="758"/>
        <v>0</v>
      </c>
      <c r="CU275" s="4">
        <f t="shared" ref="CU275:CV275" si="825">CM275</f>
        <v>1.3763102007627221</v>
      </c>
      <c r="CV275" s="4">
        <f t="shared" si="825"/>
        <v>0.80622815303489503</v>
      </c>
      <c r="CW275" s="4">
        <f t="shared" ref="CW275" si="826">CP275</f>
        <v>2.1410207028238033</v>
      </c>
      <c r="CX275" s="4">
        <f t="shared" ref="CX275" si="827">CS275</f>
        <v>1.8589949803999117</v>
      </c>
      <c r="CY275" s="4">
        <f t="shared" ref="CY275:CZ275" si="828">CQ275</f>
        <v>1.026278911927931</v>
      </c>
      <c r="CZ275" s="4">
        <f t="shared" si="828"/>
        <v>1.0607370982090985</v>
      </c>
      <c r="DI275" s="4">
        <f t="shared" si="742"/>
        <v>262.89</v>
      </c>
      <c r="DL275" s="4">
        <f t="shared" si="667"/>
        <v>2.1857853919995441E-5</v>
      </c>
      <c r="DM275" s="4">
        <f t="shared" si="769"/>
        <v>8.8912307388086589</v>
      </c>
      <c r="DN275" s="4">
        <f t="shared" si="668"/>
        <v>0.24817304440791377</v>
      </c>
      <c r="DO275" s="4">
        <f t="shared" si="669"/>
        <v>5.0917107494561256</v>
      </c>
      <c r="DP275" s="4">
        <f t="shared" si="670"/>
        <v>7.2467334633868781</v>
      </c>
      <c r="DQ275" s="4">
        <f t="shared" si="671"/>
        <v>8.2781801676860916</v>
      </c>
      <c r="DR275" s="38">
        <f t="shared" si="684"/>
        <v>544.31664059604179</v>
      </c>
      <c r="DS275" s="4">
        <f t="shared" ref="DS275:DS338" si="829">DR275/EX275</f>
        <v>1.0001018384037037</v>
      </c>
      <c r="DT275" s="4">
        <f t="shared" si="672"/>
        <v>2.2583179581272428</v>
      </c>
      <c r="DU275" s="4">
        <f t="shared" si="618"/>
        <v>253.0933078024959</v>
      </c>
      <c r="DY275" s="4">
        <f t="shared" si="785"/>
        <v>0.85</v>
      </c>
      <c r="DZ275" s="4">
        <f t="shared" ref="DZ275:DZ338" si="830">MIN(1,MAX(0.7,(1-0.1*(BR275-1*K275)/K275)))</f>
        <v>0.89999999999999991</v>
      </c>
      <c r="EA275" s="4">
        <f t="shared" si="685"/>
        <v>1</v>
      </c>
      <c r="EB275" s="4">
        <f t="shared" ref="EB275:EB338" si="831">IF(DZ275*EA275&lt;0.7,0.7,DZ275*EA275)</f>
        <v>0.89999999999999991</v>
      </c>
      <c r="ED275" s="4">
        <f t="shared" si="686"/>
        <v>526.63444184079435</v>
      </c>
      <c r="EE275" s="25">
        <f t="shared" si="687"/>
        <v>250.56172740078549</v>
      </c>
      <c r="EG275" s="4">
        <f t="shared" si="619"/>
        <v>0.7649999999999999</v>
      </c>
      <c r="EH275" s="4">
        <f t="shared" si="688"/>
        <v>8.8912307388086589</v>
      </c>
      <c r="EK275" s="4">
        <f t="shared" si="673"/>
        <v>57.361276136431961</v>
      </c>
      <c r="EL275" s="4">
        <f t="shared" si="674"/>
        <v>2.2583179581272428</v>
      </c>
      <c r="EM275" s="4">
        <f t="shared" si="675"/>
        <v>0.10111225888764264</v>
      </c>
      <c r="EP275" s="4">
        <f t="shared" si="759"/>
        <v>0.10111225888764264</v>
      </c>
      <c r="EQ275" s="4">
        <f t="shared" si="721"/>
        <v>0.24775888984996491</v>
      </c>
      <c r="ER275" s="4">
        <f t="shared" si="770"/>
        <v>5.0883101998175952</v>
      </c>
      <c r="ES275" s="4">
        <f t="shared" si="743"/>
        <v>7.2455460561495464</v>
      </c>
      <c r="ET275" s="4">
        <f t="shared" si="771"/>
        <v>139.80622386356802</v>
      </c>
      <c r="EU275" s="4">
        <f t="shared" si="772"/>
        <v>65.722499999999997</v>
      </c>
      <c r="EV275" s="4">
        <f t="shared" ref="EV275:EV338" si="832">EU275/(1-0.3*(J275/30)^0.5)/200000/K275</f>
        <v>2.1857853919995441E-5</v>
      </c>
      <c r="EW275" s="4">
        <f t="shared" si="744"/>
        <v>8.2783187395132902</v>
      </c>
      <c r="EX275" s="4">
        <f t="shared" si="636"/>
        <v>544.26121390282003</v>
      </c>
      <c r="FG275" s="23">
        <f t="shared" si="778"/>
        <v>1.4</v>
      </c>
      <c r="FH275" s="23">
        <f t="shared" si="778"/>
        <v>1</v>
      </c>
      <c r="FI275" s="23">
        <f t="shared" si="712"/>
        <v>2</v>
      </c>
      <c r="FJ275" s="23">
        <f t="shared" si="779"/>
        <v>2.2000000000000002</v>
      </c>
      <c r="FK275" s="23">
        <f t="shared" si="779"/>
        <v>1.2</v>
      </c>
      <c r="FL275" s="23">
        <f t="shared" si="779"/>
        <v>1.2</v>
      </c>
      <c r="FM275" s="23">
        <f t="shared" si="701"/>
        <v>0</v>
      </c>
      <c r="FN275" s="23"/>
      <c r="FX275" s="4">
        <f t="shared" ref="FX275:FX338" si="833">IF(O275&gt;=2.5*25.4,1,1.25)</f>
        <v>1.25</v>
      </c>
      <c r="FY275" s="4">
        <f t="shared" si="652"/>
        <v>0.75</v>
      </c>
      <c r="FZ275" s="4">
        <f t="shared" ref="FZ275:FZ338" si="834">MIN(0.3, AE275^2*PI()/4*2*AH275/(K275^2*PI()/4*R275))</f>
        <v>0</v>
      </c>
      <c r="GA275" s="4">
        <f t="shared" ref="GA275:GA338" si="835">(H275/25.4)/(K275/25.4)^1.5/0.0024*(J275*145)^0.25/FX275/FY275/145</f>
        <v>300.49607209536441</v>
      </c>
    </row>
    <row r="276" spans="1:183" ht="12" customHeight="1" x14ac:dyDescent="0.3">
      <c r="A276" s="25">
        <v>258</v>
      </c>
      <c r="B276" s="4" t="s">
        <v>605</v>
      </c>
      <c r="C276" s="4">
        <v>2016</v>
      </c>
      <c r="D276" s="4" t="s">
        <v>309</v>
      </c>
      <c r="E276" s="24" t="s">
        <v>664</v>
      </c>
      <c r="F276" s="7" t="s">
        <v>414</v>
      </c>
      <c r="G276" s="38">
        <f t="shared" si="804"/>
        <v>889.65517241379314</v>
      </c>
      <c r="H276" s="38">
        <f>10.25*25.4</f>
        <v>260.34999999999997</v>
      </c>
      <c r="I276" s="4">
        <f t="shared" si="746"/>
        <v>260.34999999999997</v>
      </c>
      <c r="J276" s="38">
        <f>8260/145</f>
        <v>56.96551724137931</v>
      </c>
      <c r="K276" s="38">
        <f t="shared" si="747"/>
        <v>25.4</v>
      </c>
      <c r="L276" s="7">
        <f t="shared" si="748"/>
        <v>10.25</v>
      </c>
      <c r="M276" s="7">
        <f t="shared" si="749"/>
        <v>10.25</v>
      </c>
      <c r="N276" s="38">
        <f>16*25.4</f>
        <v>406.4</v>
      </c>
      <c r="O276" s="38">
        <f>2.45*25.4</f>
        <v>62.230000000000004</v>
      </c>
      <c r="P276" s="39">
        <f>(4+3.3+3.3)/3*25.4</f>
        <v>89.746666666666655</v>
      </c>
      <c r="Q276" s="7">
        <f t="shared" si="750"/>
        <v>102.86999999999999</v>
      </c>
      <c r="R276" s="38">
        <v>3</v>
      </c>
      <c r="S276" s="4">
        <f t="shared" si="722"/>
        <v>260.34999999999997</v>
      </c>
      <c r="T276" s="7">
        <f t="shared" si="751"/>
        <v>2.5249999999999999</v>
      </c>
      <c r="U276" s="7">
        <f t="shared" si="631"/>
        <v>2.95</v>
      </c>
      <c r="V276" s="38">
        <v>4.0999999999999996</v>
      </c>
      <c r="W276" s="4">
        <f t="shared" si="752"/>
        <v>4.0999999999999996</v>
      </c>
      <c r="X276" s="4">
        <f t="shared" si="753"/>
        <v>5.0999999999999996</v>
      </c>
      <c r="Y276" s="7">
        <f t="shared" si="754"/>
        <v>57.361276136431961</v>
      </c>
      <c r="AB276" s="38">
        <f t="shared" si="786"/>
        <v>522.75862068965523</v>
      </c>
      <c r="AC276" s="4">
        <v>75.8</v>
      </c>
      <c r="AD276" s="4">
        <f t="shared" si="666"/>
        <v>0.95166687424883689</v>
      </c>
      <c r="AE276" s="38">
        <f t="shared" ref="AE276:AE286" si="836">0.375*25.4</f>
        <v>9.5249999999999986</v>
      </c>
      <c r="AF276" s="38">
        <v>2</v>
      </c>
      <c r="AG276" s="39">
        <f>3*25.4</f>
        <v>76.199999999999989</v>
      </c>
      <c r="AH276" s="39">
        <v>2</v>
      </c>
      <c r="AI276" s="39"/>
      <c r="AJ276" s="7"/>
      <c r="AK276" s="4">
        <f t="shared" si="755"/>
        <v>260.34999999999997</v>
      </c>
      <c r="AL276" s="4">
        <f t="shared" si="678"/>
        <v>0.52032520325203269</v>
      </c>
      <c r="AM276" s="4">
        <f t="shared" si="679"/>
        <v>208.575755923034</v>
      </c>
      <c r="AN276" s="4">
        <f t="shared" si="680"/>
        <v>0.7575609756097561</v>
      </c>
      <c r="AO276" s="4">
        <v>1.25</v>
      </c>
      <c r="AP276" s="4">
        <f t="shared" si="624"/>
        <v>2.5</v>
      </c>
      <c r="AQ276" s="38">
        <f t="shared" si="723"/>
        <v>256.92496446438383</v>
      </c>
      <c r="AR276" s="38">
        <f t="shared" si="682"/>
        <v>256.92496446438383</v>
      </c>
      <c r="AS276" s="38">
        <f t="shared" si="683"/>
        <v>4.2706194667653463</v>
      </c>
      <c r="AT276" s="38">
        <f t="shared" si="626"/>
        <v>256.92496446438389</v>
      </c>
      <c r="AU276" s="38">
        <f t="shared" si="820"/>
        <v>0.99999999999999978</v>
      </c>
      <c r="AV276" s="38">
        <f t="shared" si="715"/>
        <v>2.4198387861849078</v>
      </c>
      <c r="AW276" s="4">
        <f t="shared" si="707"/>
        <v>0</v>
      </c>
      <c r="AX276" s="4">
        <f t="shared" si="756"/>
        <v>407.17048282302869</v>
      </c>
      <c r="AY276" s="4">
        <f t="shared" si="724"/>
        <v>1.0673267326732674</v>
      </c>
      <c r="AZ276" s="38">
        <f t="shared" ref="AZ276:AZ339" si="837">2*J276*T276*V276^0.5*AY276*0.7/0.7</f>
        <v>621.71699415009527</v>
      </c>
      <c r="BA276" s="4">
        <f t="shared" si="725"/>
        <v>0.42600000000000005</v>
      </c>
      <c r="BB276" s="4">
        <f t="shared" si="726"/>
        <v>90.630041919163844</v>
      </c>
      <c r="BC276" s="4">
        <f t="shared" si="727"/>
        <v>712.34703606925916</v>
      </c>
      <c r="BE276" s="4">
        <f t="shared" si="627"/>
        <v>1.5</v>
      </c>
      <c r="BF276" s="4">
        <f t="shared" si="628"/>
        <v>687.77053141241106</v>
      </c>
      <c r="BH276" s="4">
        <f t="shared" si="633"/>
        <v>596.30262842397872</v>
      </c>
      <c r="BI276" s="4">
        <f t="shared" si="806"/>
        <v>0</v>
      </c>
      <c r="BJ276" s="4">
        <f t="shared" si="635"/>
        <v>0</v>
      </c>
      <c r="BR276" s="4">
        <f t="shared" si="728"/>
        <v>51.434999999999995</v>
      </c>
      <c r="BV276" s="9"/>
      <c r="BX276" s="9"/>
      <c r="BY276" s="9"/>
      <c r="BZ276" s="9">
        <f t="shared" si="729"/>
        <v>51.434999999999995</v>
      </c>
      <c r="CA276" s="9">
        <f t="shared" si="730"/>
        <v>62.230000000000004</v>
      </c>
      <c r="CB276" s="9">
        <f t="shared" si="821"/>
        <v>1.4642784548874435</v>
      </c>
      <c r="CC276" s="40">
        <f t="shared" si="757"/>
        <v>20</v>
      </c>
      <c r="CD276" s="9">
        <f t="shared" si="731"/>
        <v>4.9087385212340517E-2</v>
      </c>
      <c r="CE276" s="9">
        <f t="shared" si="732"/>
        <v>0.78174770424681028</v>
      </c>
      <c r="CF276" s="9">
        <f t="shared" si="733"/>
        <v>0.99524931562137331</v>
      </c>
      <c r="CG276" s="9">
        <f t="shared" si="734"/>
        <v>0.68</v>
      </c>
      <c r="CH276" s="9">
        <f t="shared" si="822"/>
        <v>1.7877832632633699</v>
      </c>
      <c r="CI276" s="9">
        <f t="shared" si="823"/>
        <v>4.0154079761519297</v>
      </c>
      <c r="CJ276" s="40">
        <v>1</v>
      </c>
      <c r="CK276" s="9">
        <f t="shared" si="824"/>
        <v>405.55620559134491</v>
      </c>
      <c r="CM276" s="4">
        <f t="shared" si="735"/>
        <v>1.2838814274188568</v>
      </c>
      <c r="CN276" s="4">
        <f t="shared" si="736"/>
        <v>0.73385385804964465</v>
      </c>
      <c r="CO276" s="4">
        <f t="shared" si="708"/>
        <v>0.76007708503607152</v>
      </c>
      <c r="CP276" s="4">
        <f t="shared" si="737"/>
        <v>1.2889917932026622</v>
      </c>
      <c r="CQ276" s="4">
        <f t="shared" si="694"/>
        <v>0.95166687424883689</v>
      </c>
      <c r="CR276" s="4">
        <f t="shared" si="695"/>
        <v>0.98254513569119484</v>
      </c>
      <c r="CS276" s="4">
        <f t="shared" si="709"/>
        <v>1.4016929584772584</v>
      </c>
      <c r="CT276" s="4">
        <f t="shared" si="758"/>
        <v>2</v>
      </c>
      <c r="DA276" s="4">
        <f t="shared" ref="DA276:DB278" si="838">CM276</f>
        <v>1.2838814274188568</v>
      </c>
      <c r="DB276" s="4">
        <f t="shared" si="838"/>
        <v>0.73385385804964465</v>
      </c>
      <c r="DC276" s="4">
        <f t="shared" ref="DC276:DC278" si="839">CP276</f>
        <v>1.2889917932026622</v>
      </c>
      <c r="DD276" s="4">
        <f t="shared" ref="DD276:DD278" si="840">CS276</f>
        <v>1.4016929584772584</v>
      </c>
      <c r="DE276" s="4">
        <f t="shared" ref="DE276:DF278" si="841">CQ276</f>
        <v>0.95166687424883689</v>
      </c>
      <c r="DF276" s="4">
        <f t="shared" si="841"/>
        <v>0.98254513569119484</v>
      </c>
      <c r="DI276" s="4">
        <f t="shared" si="742"/>
        <v>260.34999999999997</v>
      </c>
      <c r="DL276" s="4">
        <f t="shared" si="667"/>
        <v>2.1841835201299478E-5</v>
      </c>
      <c r="DM276" s="4">
        <f t="shared" si="769"/>
        <v>9.0315443012169894</v>
      </c>
      <c r="DN276" s="4">
        <f t="shared" si="668"/>
        <v>0.24552520632159011</v>
      </c>
      <c r="DO276" s="4">
        <f t="shared" si="669"/>
        <v>5.1499196176140778</v>
      </c>
      <c r="DP276" s="4">
        <f t="shared" si="670"/>
        <v>7.3533737732352842</v>
      </c>
      <c r="DQ276" s="4">
        <f t="shared" si="671"/>
        <v>8.4069859193153622</v>
      </c>
      <c r="DR276" s="38">
        <f t="shared" si="684"/>
        <v>549.3084133061534</v>
      </c>
      <c r="DS276" s="4">
        <f t="shared" si="829"/>
        <v>1.0001012571546577</v>
      </c>
      <c r="DT276" s="4">
        <f t="shared" si="672"/>
        <v>2.2583179581272428</v>
      </c>
      <c r="DU276" s="4">
        <f t="shared" ref="DU276:DU339" si="842">MIN(DT$10*AT276)</f>
        <v>256.92496446438389</v>
      </c>
      <c r="DY276" s="4">
        <f t="shared" si="785"/>
        <v>0.85</v>
      </c>
      <c r="DZ276" s="4">
        <f t="shared" si="830"/>
        <v>0.89749999999999996</v>
      </c>
      <c r="EA276" s="4">
        <f t="shared" si="685"/>
        <v>1</v>
      </c>
      <c r="EB276" s="4">
        <f t="shared" si="831"/>
        <v>0.89749999999999996</v>
      </c>
      <c r="ED276" s="4">
        <f t="shared" si="686"/>
        <v>532.04540096970527</v>
      </c>
      <c r="EE276" s="25">
        <f t="shared" si="687"/>
        <v>254.32541370728282</v>
      </c>
      <c r="EG276" s="4">
        <f t="shared" ref="EG276:EG339" si="843">DY276*EB276</f>
        <v>0.76287499999999997</v>
      </c>
      <c r="EH276" s="4">
        <f t="shared" si="688"/>
        <v>9.0315443012169894</v>
      </c>
      <c r="EK276" s="4">
        <f t="shared" si="673"/>
        <v>57.361276136431961</v>
      </c>
      <c r="EL276" s="4">
        <f t="shared" si="674"/>
        <v>2.2583179581272428</v>
      </c>
      <c r="EM276" s="4">
        <f t="shared" si="675"/>
        <v>0.10132984366371672</v>
      </c>
      <c r="EP276" s="4">
        <f t="shared" si="759"/>
        <v>0.10132984366371672</v>
      </c>
      <c r="EQ276" s="4">
        <f t="shared" si="721"/>
        <v>0.24511547051191737</v>
      </c>
      <c r="ER276" s="4">
        <f t="shared" si="770"/>
        <v>5.1464801926043178</v>
      </c>
      <c r="ES276" s="4">
        <f t="shared" si="743"/>
        <v>7.3521768503320528</v>
      </c>
      <c r="ET276" s="4">
        <f t="shared" si="771"/>
        <v>137.90122386356802</v>
      </c>
      <c r="EU276" s="4">
        <f t="shared" si="772"/>
        <v>65.087499999999977</v>
      </c>
      <c r="EV276" s="4">
        <f t="shared" si="832"/>
        <v>2.1841835201299478E-5</v>
      </c>
      <c r="EW276" s="4">
        <f t="shared" si="744"/>
        <v>8.40712706418579</v>
      </c>
      <c r="EX276" s="4">
        <f t="shared" si="636"/>
        <v>549.25279753068764</v>
      </c>
      <c r="FG276" s="23">
        <f t="shared" si="778"/>
        <v>1.4</v>
      </c>
      <c r="FH276" s="23">
        <f t="shared" si="778"/>
        <v>0.8</v>
      </c>
      <c r="FI276" s="23">
        <f t="shared" si="712"/>
        <v>1.6</v>
      </c>
      <c r="FJ276" s="23">
        <f t="shared" si="779"/>
        <v>1.4</v>
      </c>
      <c r="FK276" s="23">
        <f t="shared" si="779"/>
        <v>1</v>
      </c>
      <c r="FL276" s="23">
        <f t="shared" si="779"/>
        <v>1</v>
      </c>
      <c r="FM276" s="23">
        <f t="shared" si="701"/>
        <v>0</v>
      </c>
      <c r="FN276" s="23"/>
      <c r="FX276" s="4">
        <f t="shared" si="833"/>
        <v>1.25</v>
      </c>
      <c r="FY276" s="4">
        <f t="shared" si="652"/>
        <v>0.60232558139534875</v>
      </c>
      <c r="FZ276" s="4">
        <f t="shared" si="834"/>
        <v>0.18749999999999997</v>
      </c>
      <c r="GA276" s="4">
        <f t="shared" si="835"/>
        <v>372.94802512067884</v>
      </c>
    </row>
    <row r="277" spans="1:183" ht="12" customHeight="1" x14ac:dyDescent="0.3">
      <c r="A277" s="25">
        <v>259</v>
      </c>
      <c r="B277" s="4" t="s">
        <v>605</v>
      </c>
      <c r="C277" s="4">
        <v>2016</v>
      </c>
      <c r="D277" s="4" t="s">
        <v>309</v>
      </c>
      <c r="E277" s="24" t="s">
        <v>664</v>
      </c>
      <c r="F277" s="7" t="s">
        <v>415</v>
      </c>
      <c r="G277" s="38">
        <f t="shared" si="804"/>
        <v>889.65517241379314</v>
      </c>
      <c r="H277" s="38">
        <f>9.79*25.4</f>
        <v>248.66599999999997</v>
      </c>
      <c r="I277" s="4">
        <f t="shared" si="746"/>
        <v>248.66599999999997</v>
      </c>
      <c r="J277" s="38">
        <f>8260/145</f>
        <v>56.96551724137931</v>
      </c>
      <c r="K277" s="38">
        <f t="shared" si="747"/>
        <v>25.4</v>
      </c>
      <c r="L277" s="7">
        <f t="shared" si="748"/>
        <v>9.7899999999999991</v>
      </c>
      <c r="M277" s="7">
        <f t="shared" si="749"/>
        <v>9.7899999999999991</v>
      </c>
      <c r="N277" s="38">
        <f>15.3*25.4</f>
        <v>388.62</v>
      </c>
      <c r="O277" s="38">
        <f>2.4*25.4</f>
        <v>60.959999999999994</v>
      </c>
      <c r="P277" s="39">
        <f>(3.6+3.4+3.2)/3*25.4</f>
        <v>86.36</v>
      </c>
      <c r="Q277" s="7">
        <f t="shared" si="750"/>
        <v>95.250000000000014</v>
      </c>
      <c r="R277" s="38">
        <v>3</v>
      </c>
      <c r="S277" s="4">
        <f t="shared" si="722"/>
        <v>260.34999999999997</v>
      </c>
      <c r="T277" s="7">
        <f t="shared" si="751"/>
        <v>2.3750000000000004</v>
      </c>
      <c r="U277" s="7">
        <f t="shared" si="631"/>
        <v>2.9</v>
      </c>
      <c r="V277" s="38">
        <v>4.0999999999999996</v>
      </c>
      <c r="W277" s="4">
        <f t="shared" si="752"/>
        <v>4.0999999999999996</v>
      </c>
      <c r="X277" s="4">
        <f t="shared" si="753"/>
        <v>5.0999999999999996</v>
      </c>
      <c r="Y277" s="7">
        <f t="shared" si="754"/>
        <v>57.361276136431961</v>
      </c>
      <c r="AB277" s="38">
        <f t="shared" si="786"/>
        <v>489.65517241379314</v>
      </c>
      <c r="AC277" s="4">
        <v>71</v>
      </c>
      <c r="AD277" s="4">
        <f t="shared" si="666"/>
        <v>0.94979047422646845</v>
      </c>
      <c r="AE277" s="38">
        <f t="shared" si="836"/>
        <v>9.5249999999999986</v>
      </c>
      <c r="AF277" s="38">
        <v>4</v>
      </c>
      <c r="AG277" s="39">
        <f>5*25.4</f>
        <v>127</v>
      </c>
      <c r="AH277" s="39">
        <v>2</v>
      </c>
      <c r="AI277" s="39">
        <v>1</v>
      </c>
      <c r="AJ277" s="7"/>
      <c r="AK277" s="4">
        <f t="shared" si="755"/>
        <v>248.66599999999997</v>
      </c>
      <c r="AL277" s="4">
        <f t="shared" si="678"/>
        <v>0.52093973442288066</v>
      </c>
      <c r="AM277" s="4">
        <f t="shared" si="679"/>
        <v>194.69377496943841</v>
      </c>
      <c r="AN277" s="4">
        <f t="shared" si="680"/>
        <v>0.75924412665985697</v>
      </c>
      <c r="AO277" s="4">
        <v>1.25</v>
      </c>
      <c r="AP277" s="4">
        <f t="shared" si="624"/>
        <v>2.5</v>
      </c>
      <c r="AQ277" s="38">
        <f t="shared" si="723"/>
        <v>240.64176973575979</v>
      </c>
      <c r="AR277" s="38">
        <f t="shared" si="682"/>
        <v>240.64176973575979</v>
      </c>
      <c r="AS277" s="38">
        <f t="shared" si="683"/>
        <v>4.2706194667653463</v>
      </c>
      <c r="AT277" s="38">
        <f t="shared" si="626"/>
        <v>240.64176973575968</v>
      </c>
      <c r="AU277" s="38">
        <f t="shared" si="820"/>
        <v>1.0000000000000004</v>
      </c>
      <c r="AV277" s="38">
        <f t="shared" si="715"/>
        <v>2.478126681673158</v>
      </c>
      <c r="AW277" s="4">
        <f t="shared" si="707"/>
        <v>0</v>
      </c>
      <c r="AX277" s="4">
        <f t="shared" si="756"/>
        <v>388.89746603292207</v>
      </c>
      <c r="AY277" s="4">
        <f t="shared" si="724"/>
        <v>1.088421052631579</v>
      </c>
      <c r="AZ277" s="38">
        <f t="shared" si="837"/>
        <v>596.34079030723433</v>
      </c>
      <c r="BA277" s="4">
        <f t="shared" si="725"/>
        <v>0.42600000000000005</v>
      </c>
      <c r="BB277" s="4">
        <f t="shared" si="726"/>
        <v>86.562742476937942</v>
      </c>
      <c r="BC277" s="4">
        <f t="shared" si="727"/>
        <v>682.90353278417228</v>
      </c>
      <c r="BE277" s="4">
        <f t="shared" si="627"/>
        <v>1.5</v>
      </c>
      <c r="BF277" s="4">
        <f t="shared" si="628"/>
        <v>672.14710205686981</v>
      </c>
      <c r="BH277" s="4">
        <f t="shared" si="633"/>
        <v>571.96374563116331</v>
      </c>
      <c r="BI277" s="4">
        <f t="shared" si="806"/>
        <v>0</v>
      </c>
      <c r="BJ277" s="4">
        <f t="shared" si="635"/>
        <v>0</v>
      </c>
      <c r="BR277" s="4">
        <f t="shared" si="728"/>
        <v>47.625000000000007</v>
      </c>
      <c r="BV277" s="9"/>
      <c r="BX277" s="9"/>
      <c r="BY277" s="9"/>
      <c r="BZ277" s="9">
        <f t="shared" si="729"/>
        <v>47.625000000000007</v>
      </c>
      <c r="CA277" s="9">
        <f t="shared" si="730"/>
        <v>60.959999999999994</v>
      </c>
      <c r="CB277" s="9">
        <f t="shared" si="821"/>
        <v>1.4209609120759505</v>
      </c>
      <c r="CC277" s="40">
        <f t="shared" si="757"/>
        <v>20</v>
      </c>
      <c r="CD277" s="9">
        <f t="shared" si="731"/>
        <v>0.05</v>
      </c>
      <c r="CE277" s="9">
        <f t="shared" si="732"/>
        <v>0.8</v>
      </c>
      <c r="CF277" s="9">
        <f t="shared" si="733"/>
        <v>0.99524931562137331</v>
      </c>
      <c r="CG277" s="9">
        <f t="shared" si="734"/>
        <v>0.68</v>
      </c>
      <c r="CH277" s="9">
        <f t="shared" si="822"/>
        <v>1.7877832632633699</v>
      </c>
      <c r="CI277" s="9">
        <f t="shared" si="823"/>
        <v>3.9705967469715331</v>
      </c>
      <c r="CJ277" s="40">
        <v>1</v>
      </c>
      <c r="CK277" s="9">
        <f t="shared" si="824"/>
        <v>393.72437342969721</v>
      </c>
      <c r="CM277" s="4">
        <f t="shared" si="735"/>
        <v>1.2590855307150328</v>
      </c>
      <c r="CN277" s="4">
        <f t="shared" si="736"/>
        <v>0.71701953337023638</v>
      </c>
      <c r="CO277" s="4">
        <f t="shared" si="708"/>
        <v>0.72849406166503683</v>
      </c>
      <c r="CP277" s="4">
        <f t="shared" si="737"/>
        <v>1.2436496327327959</v>
      </c>
      <c r="CQ277" s="4">
        <f t="shared" si="694"/>
        <v>0.94979047422646845</v>
      </c>
      <c r="CR277" s="4">
        <f t="shared" si="695"/>
        <v>0.97651110382324768</v>
      </c>
      <c r="CS277" s="4">
        <f t="shared" si="709"/>
        <v>1.4064662597202062</v>
      </c>
      <c r="CT277" s="4">
        <f t="shared" si="758"/>
        <v>4</v>
      </c>
      <c r="DA277" s="4">
        <f t="shared" si="838"/>
        <v>1.2590855307150328</v>
      </c>
      <c r="DB277" s="4">
        <f t="shared" si="838"/>
        <v>0.71701953337023638</v>
      </c>
      <c r="DC277" s="4">
        <f t="shared" si="839"/>
        <v>1.2436496327327959</v>
      </c>
      <c r="DD277" s="4">
        <f t="shared" si="840"/>
        <v>1.4064662597202062</v>
      </c>
      <c r="DE277" s="4">
        <f t="shared" si="841"/>
        <v>0.94979047422646845</v>
      </c>
      <c r="DF277" s="4">
        <f t="shared" si="841"/>
        <v>0.97651110382324768</v>
      </c>
      <c r="DI277" s="4">
        <f t="shared" si="742"/>
        <v>248.66599999999997</v>
      </c>
      <c r="DL277" s="4">
        <f t="shared" si="667"/>
        <v>2.0861616255680189E-5</v>
      </c>
      <c r="DM277" s="4">
        <f t="shared" si="769"/>
        <v>8.9671475677266113</v>
      </c>
      <c r="DN277" s="4">
        <f t="shared" si="668"/>
        <v>0.22996449678269945</v>
      </c>
      <c r="DO277" s="4">
        <f t="shared" si="669"/>
        <v>4.9810239934527845</v>
      </c>
      <c r="DP277" s="4">
        <f t="shared" si="670"/>
        <v>7.2554065540111337</v>
      </c>
      <c r="DQ277" s="4">
        <f t="shared" si="671"/>
        <v>8.4118750908213116</v>
      </c>
      <c r="DR277" s="38">
        <f t="shared" si="684"/>
        <v>515.54020144556591</v>
      </c>
      <c r="DS277" s="4">
        <f t="shared" si="829"/>
        <v>1.000100654738947</v>
      </c>
      <c r="DT277" s="4">
        <f t="shared" si="672"/>
        <v>2.2583179581272428</v>
      </c>
      <c r="DU277" s="4">
        <f t="shared" si="842"/>
        <v>240.64176973575968</v>
      </c>
      <c r="DY277" s="4">
        <f t="shared" si="785"/>
        <v>0.85</v>
      </c>
      <c r="DZ277" s="4">
        <f t="shared" si="830"/>
        <v>0.91249999999999998</v>
      </c>
      <c r="EA277" s="4">
        <f t="shared" si="685"/>
        <v>0.99062499999999998</v>
      </c>
      <c r="EB277" s="4">
        <f t="shared" si="831"/>
        <v>0.90394531249999999</v>
      </c>
      <c r="ED277" s="4">
        <f t="shared" si="686"/>
        <v>501.43328682765559</v>
      </c>
      <c r="EE277" s="25">
        <f t="shared" si="687"/>
        <v>238.06816276352504</v>
      </c>
      <c r="EG277" s="4">
        <f t="shared" si="843"/>
        <v>0.76835351562499998</v>
      </c>
      <c r="EH277" s="4">
        <f t="shared" si="688"/>
        <v>8.9671475677266113</v>
      </c>
      <c r="EK277" s="4">
        <f t="shared" si="673"/>
        <v>57.361276136431961</v>
      </c>
      <c r="EL277" s="4">
        <f t="shared" si="674"/>
        <v>2.2583179581272428</v>
      </c>
      <c r="EM277" s="4">
        <f t="shared" si="675"/>
        <v>9.4907838002892445E-2</v>
      </c>
      <c r="EP277" s="4">
        <f t="shared" si="759"/>
        <v>9.4907838002892445E-2</v>
      </c>
      <c r="EQ277" s="4">
        <f t="shared" si="721"/>
        <v>0.22958072889712505</v>
      </c>
      <c r="ER277" s="4">
        <f t="shared" si="770"/>
        <v>4.9776973670645397</v>
      </c>
      <c r="ES277" s="4">
        <f t="shared" si="743"/>
        <v>7.2542727905675264</v>
      </c>
      <c r="ET277" s="4">
        <f t="shared" si="771"/>
        <v>129.13822386356802</v>
      </c>
      <c r="EU277" s="4">
        <f t="shared" si="772"/>
        <v>62.166499999999985</v>
      </c>
      <c r="EV277" s="4">
        <f t="shared" si="832"/>
        <v>2.0861616255680189E-5</v>
      </c>
      <c r="EW277" s="4">
        <f t="shared" si="744"/>
        <v>8.4119998117224384</v>
      </c>
      <c r="EX277" s="4">
        <f t="shared" si="636"/>
        <v>515.48831510377886</v>
      </c>
      <c r="FG277" s="23">
        <f t="shared" si="778"/>
        <v>1.4</v>
      </c>
      <c r="FH277" s="23">
        <f t="shared" si="778"/>
        <v>0.8</v>
      </c>
      <c r="FI277" s="23">
        <f t="shared" si="712"/>
        <v>1.6</v>
      </c>
      <c r="FJ277" s="23">
        <f t="shared" si="779"/>
        <v>1.4</v>
      </c>
      <c r="FK277" s="23">
        <f t="shared" si="779"/>
        <v>1</v>
      </c>
      <c r="FL277" s="23">
        <f t="shared" si="779"/>
        <v>1</v>
      </c>
      <c r="FM277" s="23">
        <f t="shared" si="701"/>
        <v>0</v>
      </c>
      <c r="FN277" s="23"/>
      <c r="FX277" s="4">
        <f t="shared" si="833"/>
        <v>1.25</v>
      </c>
      <c r="FY277" s="4">
        <f t="shared" si="652"/>
        <v>0.61627906976744196</v>
      </c>
      <c r="FZ277" s="4">
        <f t="shared" si="834"/>
        <v>0.18749999999999997</v>
      </c>
      <c r="GA277" s="4">
        <f t="shared" si="835"/>
        <v>348.14569423883808</v>
      </c>
    </row>
    <row r="278" spans="1:183" ht="12" customHeight="1" x14ac:dyDescent="0.3">
      <c r="A278" s="25">
        <v>260</v>
      </c>
      <c r="B278" s="4" t="s">
        <v>605</v>
      </c>
      <c r="C278" s="4">
        <v>2016</v>
      </c>
      <c r="D278" s="4" t="s">
        <v>309</v>
      </c>
      <c r="E278" s="24" t="s">
        <v>664</v>
      </c>
      <c r="F278" s="7" t="s">
        <v>416</v>
      </c>
      <c r="G278" s="38">
        <f t="shared" si="804"/>
        <v>889.65517241379314</v>
      </c>
      <c r="H278" s="38">
        <f>10*25.4</f>
        <v>254</v>
      </c>
      <c r="I278" s="4">
        <f t="shared" si="746"/>
        <v>254</v>
      </c>
      <c r="J278" s="38">
        <f>8260/145</f>
        <v>56.96551724137931</v>
      </c>
      <c r="K278" s="38">
        <f t="shared" si="747"/>
        <v>25.4</v>
      </c>
      <c r="L278" s="7">
        <f t="shared" si="748"/>
        <v>10</v>
      </c>
      <c r="M278" s="7">
        <f t="shared" si="749"/>
        <v>10</v>
      </c>
      <c r="N278" s="38">
        <f>16*25.4</f>
        <v>406.4</v>
      </c>
      <c r="O278" s="38">
        <f>2.45*25.4</f>
        <v>62.230000000000004</v>
      </c>
      <c r="P278" s="39">
        <f>(3.2+3.1+2.9)/3*25.4</f>
        <v>77.893333333333331</v>
      </c>
      <c r="Q278" s="7">
        <f t="shared" si="750"/>
        <v>102.86999999999999</v>
      </c>
      <c r="R278" s="38">
        <v>3</v>
      </c>
      <c r="S278" s="4">
        <f t="shared" si="722"/>
        <v>260.34999999999997</v>
      </c>
      <c r="T278" s="7">
        <f t="shared" si="751"/>
        <v>2.5249999999999999</v>
      </c>
      <c r="U278" s="7">
        <f t="shared" si="631"/>
        <v>2.95</v>
      </c>
      <c r="V278" s="38">
        <v>4.0999999999999996</v>
      </c>
      <c r="W278" s="4">
        <f t="shared" si="752"/>
        <v>4.0999999999999996</v>
      </c>
      <c r="X278" s="4">
        <f t="shared" si="753"/>
        <v>5.0999999999999996</v>
      </c>
      <c r="Y278" s="7">
        <f t="shared" si="754"/>
        <v>57.361276136431961</v>
      </c>
      <c r="AB278" s="38">
        <f t="shared" si="786"/>
        <v>571.72413793103453</v>
      </c>
      <c r="AC278" s="4">
        <v>82.9</v>
      </c>
      <c r="AD278" s="4">
        <f t="shared" si="666"/>
        <v>1.0555684263285166</v>
      </c>
      <c r="AE278" s="38">
        <f t="shared" si="836"/>
        <v>9.5249999999999986</v>
      </c>
      <c r="AF278" s="38">
        <v>4</v>
      </c>
      <c r="AG278" s="39">
        <f>5*25.4</f>
        <v>127</v>
      </c>
      <c r="AH278" s="39">
        <f>2+2</f>
        <v>4</v>
      </c>
      <c r="AI278" s="39">
        <v>1</v>
      </c>
      <c r="AJ278" s="7"/>
      <c r="AK278" s="4">
        <f t="shared" si="755"/>
        <v>254</v>
      </c>
      <c r="AL278" s="4">
        <f t="shared" si="678"/>
        <v>0.53333333333333333</v>
      </c>
      <c r="AM278" s="4">
        <f t="shared" si="679"/>
        <v>200.9916558719431</v>
      </c>
      <c r="AN278" s="4">
        <f t="shared" si="680"/>
        <v>0.75900000000000001</v>
      </c>
      <c r="AO278" s="4">
        <v>1.25</v>
      </c>
      <c r="AP278" s="4">
        <f t="shared" ref="AP278:AP341" si="844">AP277</f>
        <v>2.5</v>
      </c>
      <c r="AQ278" s="38">
        <f t="shared" si="723"/>
        <v>254.25444467800804</v>
      </c>
      <c r="AR278" s="38">
        <f t="shared" si="682"/>
        <v>254.25444467800804</v>
      </c>
      <c r="AS278" s="38">
        <f t="shared" si="683"/>
        <v>4.2706194667653463</v>
      </c>
      <c r="AT278" s="38">
        <f t="shared" si="626"/>
        <v>254.25444467800801</v>
      </c>
      <c r="AU278" s="38">
        <f t="shared" si="820"/>
        <v>1.0000000000000002</v>
      </c>
      <c r="AV278" s="38">
        <f t="shared" si="715"/>
        <v>2.4452551653028047</v>
      </c>
      <c r="AW278" s="4">
        <f t="shared" si="707"/>
        <v>0</v>
      </c>
      <c r="AX278" s="4">
        <f t="shared" si="756"/>
        <v>397.2394954371012</v>
      </c>
      <c r="AY278" s="4">
        <f t="shared" si="724"/>
        <v>1.0673267326732674</v>
      </c>
      <c r="AZ278" s="38">
        <f t="shared" si="837"/>
        <v>621.71699415009527</v>
      </c>
      <c r="BA278" s="4">
        <f t="shared" si="725"/>
        <v>0.42600000000000005</v>
      </c>
      <c r="BB278" s="4">
        <f t="shared" si="726"/>
        <v>88.419553091867186</v>
      </c>
      <c r="BC278" s="4">
        <f t="shared" si="727"/>
        <v>710.13654724196249</v>
      </c>
      <c r="BE278" s="4">
        <f t="shared" si="627"/>
        <v>1.5</v>
      </c>
      <c r="BF278" s="4">
        <f t="shared" si="628"/>
        <v>679.27953719744312</v>
      </c>
      <c r="BH278" s="4">
        <f t="shared" si="633"/>
        <v>596.30262842397872</v>
      </c>
      <c r="BI278" s="4">
        <f t="shared" si="806"/>
        <v>0</v>
      </c>
      <c r="BJ278" s="4">
        <f t="shared" si="635"/>
        <v>0</v>
      </c>
      <c r="BR278" s="4">
        <f t="shared" si="728"/>
        <v>51.434999999999995</v>
      </c>
      <c r="BV278" s="9"/>
      <c r="BX278" s="9"/>
      <c r="BY278" s="9"/>
      <c r="BZ278" s="9">
        <f t="shared" si="729"/>
        <v>51.434999999999995</v>
      </c>
      <c r="CA278" s="9">
        <f t="shared" si="730"/>
        <v>62.230000000000004</v>
      </c>
      <c r="CB278" s="9">
        <f t="shared" si="821"/>
        <v>1.4642784548874435</v>
      </c>
      <c r="CC278" s="40">
        <f t="shared" si="757"/>
        <v>20</v>
      </c>
      <c r="CD278" s="9">
        <f t="shared" si="731"/>
        <v>0.05</v>
      </c>
      <c r="CE278" s="9">
        <f t="shared" si="732"/>
        <v>0.8</v>
      </c>
      <c r="CF278" s="9">
        <f t="shared" si="733"/>
        <v>0.99524931562137331</v>
      </c>
      <c r="CG278" s="9">
        <f t="shared" si="734"/>
        <v>0.68</v>
      </c>
      <c r="CH278" s="9">
        <f t="shared" si="822"/>
        <v>1.7877832632633699</v>
      </c>
      <c r="CI278" s="9">
        <f t="shared" si="823"/>
        <v>4.048039125015614</v>
      </c>
      <c r="CJ278" s="40">
        <v>1</v>
      </c>
      <c r="CK278" s="9">
        <f t="shared" si="824"/>
        <v>404.8039125015614</v>
      </c>
      <c r="CM278" s="4">
        <f t="shared" si="735"/>
        <v>1.43924293656133</v>
      </c>
      <c r="CN278" s="4">
        <f t="shared" si="736"/>
        <v>0.80509042965258459</v>
      </c>
      <c r="CO278" s="4">
        <f t="shared" si="708"/>
        <v>0.84166253600077767</v>
      </c>
      <c r="CP278" s="4">
        <f t="shared" si="737"/>
        <v>1.4123483500887095</v>
      </c>
      <c r="CQ278" s="4">
        <f t="shared" si="694"/>
        <v>1.0555684263285166</v>
      </c>
      <c r="CR278" s="4">
        <f t="shared" si="695"/>
        <v>1.0887563493315389</v>
      </c>
      <c r="CS278" s="4">
        <f t="shared" si="709"/>
        <v>1.500601767058964</v>
      </c>
      <c r="CT278" s="4">
        <f t="shared" si="758"/>
        <v>4</v>
      </c>
      <c r="DA278" s="4">
        <f t="shared" si="838"/>
        <v>1.43924293656133</v>
      </c>
      <c r="DB278" s="4">
        <f t="shared" si="838"/>
        <v>0.80509042965258459</v>
      </c>
      <c r="DC278" s="4">
        <f t="shared" si="839"/>
        <v>1.4123483500887095</v>
      </c>
      <c r="DD278" s="4">
        <f t="shared" si="840"/>
        <v>1.500601767058964</v>
      </c>
      <c r="DE278" s="4">
        <f t="shared" si="841"/>
        <v>1.0555684263285166</v>
      </c>
      <c r="DF278" s="4">
        <f t="shared" si="841"/>
        <v>1.0887563493315389</v>
      </c>
      <c r="DI278" s="4">
        <f t="shared" si="742"/>
        <v>254</v>
      </c>
      <c r="DL278" s="4">
        <f t="shared" si="667"/>
        <v>2.1309107513462914E-5</v>
      </c>
      <c r="DM278" s="4">
        <f t="shared" si="769"/>
        <v>9.1170163293042155</v>
      </c>
      <c r="DN278" s="4">
        <f t="shared" si="668"/>
        <v>0.24297317747183342</v>
      </c>
      <c r="DO278" s="4">
        <f t="shared" si="669"/>
        <v>5.1769749783827637</v>
      </c>
      <c r="DP278" s="4">
        <f t="shared" si="670"/>
        <v>7.4154291454372627</v>
      </c>
      <c r="DQ278" s="4">
        <f t="shared" si="671"/>
        <v>8.5130035511370519</v>
      </c>
      <c r="DR278" s="38">
        <f t="shared" si="684"/>
        <v>541.6267895768807</v>
      </c>
      <c r="DS278" s="4">
        <f t="shared" si="829"/>
        <v>1.0001015610075588</v>
      </c>
      <c r="DT278" s="4">
        <f t="shared" si="672"/>
        <v>2.2583179581272428</v>
      </c>
      <c r="DU278" s="4">
        <f t="shared" si="842"/>
        <v>254.25444467800801</v>
      </c>
      <c r="DY278" s="4">
        <f t="shared" si="785"/>
        <v>0.85</v>
      </c>
      <c r="DZ278" s="4">
        <f t="shared" si="830"/>
        <v>0.89749999999999996</v>
      </c>
      <c r="EA278" s="4">
        <f t="shared" si="685"/>
        <v>0.99062499999999998</v>
      </c>
      <c r="EB278" s="4">
        <f t="shared" si="831"/>
        <v>0.88908593749999998</v>
      </c>
      <c r="ED278" s="4">
        <f t="shared" si="686"/>
        <v>525.11669693779936</v>
      </c>
      <c r="EE278" s="25">
        <f t="shared" si="687"/>
        <v>251.60620705867285</v>
      </c>
      <c r="EG278" s="4">
        <f t="shared" si="843"/>
        <v>0.75572304687499992</v>
      </c>
      <c r="EH278" s="4">
        <f t="shared" si="688"/>
        <v>9.1170163293042155</v>
      </c>
      <c r="EK278" s="4">
        <f t="shared" si="673"/>
        <v>57.361276136431961</v>
      </c>
      <c r="EL278" s="4">
        <f t="shared" si="674"/>
        <v>2.2583179581272428</v>
      </c>
      <c r="EM278" s="4">
        <f t="shared" si="675"/>
        <v>0.10027660482015607</v>
      </c>
      <c r="EP278" s="4">
        <f t="shared" si="759"/>
        <v>0.10027660482015607</v>
      </c>
      <c r="EQ278" s="4">
        <f t="shared" si="721"/>
        <v>0.2425677005226774</v>
      </c>
      <c r="ER278" s="4">
        <f t="shared" si="770"/>
        <v>5.1735174841813691</v>
      </c>
      <c r="ES278" s="4">
        <f t="shared" si="743"/>
        <v>7.4142299063539356</v>
      </c>
      <c r="ET278" s="4">
        <f t="shared" si="771"/>
        <v>133.13872386356803</v>
      </c>
      <c r="EU278" s="4">
        <f t="shared" si="772"/>
        <v>63.5</v>
      </c>
      <c r="EV278" s="4">
        <f t="shared" si="832"/>
        <v>2.1309107513462914E-5</v>
      </c>
      <c r="EW278" s="4">
        <f t="shared" si="744"/>
        <v>8.513140953986575</v>
      </c>
      <c r="EX278" s="4">
        <f t="shared" si="636"/>
        <v>541.57178700052748</v>
      </c>
      <c r="FG278" s="23">
        <f t="shared" si="778"/>
        <v>1.6</v>
      </c>
      <c r="FH278" s="23">
        <f t="shared" si="778"/>
        <v>1</v>
      </c>
      <c r="FI278" s="23">
        <f t="shared" si="712"/>
        <v>1.6</v>
      </c>
      <c r="FJ278" s="23">
        <f t="shared" si="779"/>
        <v>1.6</v>
      </c>
      <c r="FK278" s="23">
        <f t="shared" si="779"/>
        <v>1.2</v>
      </c>
      <c r="FL278" s="23">
        <f t="shared" si="779"/>
        <v>1.2</v>
      </c>
      <c r="FM278" s="23">
        <f t="shared" si="701"/>
        <v>0</v>
      </c>
      <c r="FN278" s="23"/>
      <c r="FX278" s="4">
        <f t="shared" si="833"/>
        <v>1.25</v>
      </c>
      <c r="FY278" s="4">
        <f t="shared" si="652"/>
        <v>0.57522093023255816</v>
      </c>
      <c r="FZ278" s="4">
        <f t="shared" si="834"/>
        <v>0.3</v>
      </c>
      <c r="GA278" s="4">
        <f t="shared" si="835"/>
        <v>380.99657782728002</v>
      </c>
    </row>
    <row r="279" spans="1:183" ht="12" customHeight="1" x14ac:dyDescent="0.3">
      <c r="A279" s="25">
        <v>261</v>
      </c>
      <c r="B279" s="4" t="s">
        <v>605</v>
      </c>
      <c r="C279" s="4">
        <v>2016</v>
      </c>
      <c r="D279" s="4" t="s">
        <v>309</v>
      </c>
      <c r="E279" s="24" t="s">
        <v>417</v>
      </c>
      <c r="F279" s="7" t="s">
        <v>418</v>
      </c>
      <c r="G279" s="38">
        <f t="shared" si="804"/>
        <v>889.65517241379314</v>
      </c>
      <c r="H279" s="38">
        <f>9.69*25.4</f>
        <v>246.12599999999998</v>
      </c>
      <c r="I279" s="4">
        <f t="shared" si="746"/>
        <v>246.12599999999998</v>
      </c>
      <c r="J279" s="38">
        <f>11760/145</f>
        <v>81.103448275862064</v>
      </c>
      <c r="K279" s="38">
        <f t="shared" si="747"/>
        <v>25.4</v>
      </c>
      <c r="L279" s="7">
        <f t="shared" si="748"/>
        <v>9.69</v>
      </c>
      <c r="M279" s="7">
        <f t="shared" si="749"/>
        <v>9.69</v>
      </c>
      <c r="N279" s="38">
        <f>16.9*25.4</f>
        <v>429.25999999999993</v>
      </c>
      <c r="O279" s="38">
        <f>2.5*25.4</f>
        <v>63.5</v>
      </c>
      <c r="P279" s="39">
        <f>3.45*25.4</f>
        <v>87.63</v>
      </c>
      <c r="Q279" s="7">
        <f t="shared" si="750"/>
        <v>251.45999999999992</v>
      </c>
      <c r="R279" s="38">
        <v>2</v>
      </c>
      <c r="S279" s="4">
        <f t="shared" si="722"/>
        <v>260.34999999999997</v>
      </c>
      <c r="T279" s="7">
        <f t="shared" si="751"/>
        <v>3</v>
      </c>
      <c r="U279" s="7">
        <f t="shared" si="631"/>
        <v>3</v>
      </c>
      <c r="V279" s="38">
        <v>4.0999999999999996</v>
      </c>
      <c r="W279" s="4">
        <f t="shared" si="752"/>
        <v>4.0999999999999996</v>
      </c>
      <c r="X279" s="4">
        <f t="shared" si="753"/>
        <v>5.0999999999999996</v>
      </c>
      <c r="Y279" s="7">
        <f t="shared" si="754"/>
        <v>57.361276136431961</v>
      </c>
      <c r="AB279" s="38">
        <f t="shared" si="786"/>
        <v>626.89655172413802</v>
      </c>
      <c r="AC279" s="4">
        <v>90.9</v>
      </c>
      <c r="AD279" s="4">
        <f t="shared" si="666"/>
        <v>0.75449639049580097</v>
      </c>
      <c r="AE279" s="38"/>
      <c r="AF279" s="38"/>
      <c r="AG279" s="39">
        <v>1</v>
      </c>
      <c r="AH279" s="39"/>
      <c r="AI279" s="39"/>
      <c r="AJ279" s="7"/>
      <c r="AK279" s="4">
        <f t="shared" si="755"/>
        <v>246.12599999999998</v>
      </c>
      <c r="AL279" s="4">
        <f t="shared" si="678"/>
        <v>0.58135534915720666</v>
      </c>
      <c r="AM279" s="4">
        <f t="shared" si="679"/>
        <v>343.13782172231606</v>
      </c>
      <c r="AN279" s="4">
        <f t="shared" si="680"/>
        <v>0.76191950464396285</v>
      </c>
      <c r="AO279" s="4">
        <v>1.25</v>
      </c>
      <c r="AP279" s="4">
        <f t="shared" si="844"/>
        <v>2.5</v>
      </c>
      <c r="AQ279" s="38">
        <f t="shared" si="723"/>
        <v>474.9734956201147</v>
      </c>
      <c r="AR279" s="38">
        <f t="shared" si="682"/>
        <v>474.9734956201147</v>
      </c>
      <c r="AS279" s="38">
        <f t="shared" si="683"/>
        <v>4.8623877845559145</v>
      </c>
      <c r="AT279" s="38">
        <f t="shared" si="626"/>
        <v>474.97349562011482</v>
      </c>
      <c r="AU279" s="38">
        <f t="shared" si="820"/>
        <v>0.99999999999999978</v>
      </c>
      <c r="AV279" s="38">
        <f t="shared" si="715"/>
        <v>2.0744984867380696</v>
      </c>
      <c r="AW279" s="4">
        <f t="shared" si="707"/>
        <v>0</v>
      </c>
      <c r="AX279" s="4">
        <f t="shared" si="756"/>
        <v>459.29300992451124</v>
      </c>
      <c r="AY279" s="4">
        <f t="shared" si="724"/>
        <v>1</v>
      </c>
      <c r="AZ279" s="38">
        <f t="shared" si="837"/>
        <v>985.33179790461941</v>
      </c>
      <c r="BA279" s="4">
        <f t="shared" si="725"/>
        <v>0.42600000000000005</v>
      </c>
      <c r="BB279" s="4">
        <f t="shared" si="726"/>
        <v>102.23173461404734</v>
      </c>
      <c r="BC279" s="4">
        <f t="shared" si="727"/>
        <v>1087.5635325186668</v>
      </c>
      <c r="BE279" s="4">
        <f t="shared" si="627"/>
        <v>1.375</v>
      </c>
      <c r="BF279" s="4">
        <f t="shared" si="628"/>
        <v>731.45788984963156</v>
      </c>
      <c r="BH279" s="4">
        <f t="shared" si="633"/>
        <v>945.05369241748747</v>
      </c>
      <c r="BI279" s="4">
        <f t="shared" si="806"/>
        <v>0</v>
      </c>
      <c r="BJ279" s="4">
        <f t="shared" si="635"/>
        <v>0</v>
      </c>
      <c r="BR279" s="4">
        <f t="shared" si="728"/>
        <v>63.5</v>
      </c>
      <c r="BV279" s="9"/>
      <c r="BX279" s="9"/>
      <c r="BY279" s="9"/>
      <c r="BZ279" s="9">
        <f t="shared" si="729"/>
        <v>63.5</v>
      </c>
      <c r="CA279" s="9">
        <f t="shared" si="730"/>
        <v>125.72999999999996</v>
      </c>
      <c r="CB279" s="9">
        <f t="shared" si="821"/>
        <v>1.7517405482385959</v>
      </c>
      <c r="CC279" s="40">
        <f t="shared" si="757"/>
        <v>0</v>
      </c>
      <c r="CD279" s="9">
        <f t="shared" si="731"/>
        <v>0</v>
      </c>
      <c r="CE279" s="9">
        <f t="shared" si="732"/>
        <v>0</v>
      </c>
      <c r="CF279" s="9">
        <f t="shared" si="733"/>
        <v>0.99524931562137331</v>
      </c>
      <c r="CG279" s="9">
        <f t="shared" si="734"/>
        <v>0.68</v>
      </c>
      <c r="CH279" s="9">
        <f t="shared" si="822"/>
        <v>2.1331849177195688</v>
      </c>
      <c r="CI279" s="9">
        <f t="shared" si="823"/>
        <v>3.7367865172603816</v>
      </c>
      <c r="CJ279" s="40">
        <v>1</v>
      </c>
      <c r="CK279" s="9">
        <f t="shared" si="824"/>
        <v>369.04503644463523</v>
      </c>
      <c r="CM279" s="4">
        <f t="shared" si="735"/>
        <v>1.3649163783859324</v>
      </c>
      <c r="CN279" s="4">
        <f t="shared" si="736"/>
        <v>0.57642292425190167</v>
      </c>
      <c r="CO279" s="4">
        <f t="shared" si="708"/>
        <v>0.85705077547664621</v>
      </c>
      <c r="CP279" s="4">
        <f t="shared" si="737"/>
        <v>1.69869931801179</v>
      </c>
      <c r="CQ279" s="4">
        <f t="shared" si="694"/>
        <v>0.75449639049580097</v>
      </c>
      <c r="CR279" s="4">
        <f t="shared" si="695"/>
        <v>0.78300596637240216</v>
      </c>
      <c r="CS279" s="4">
        <f t="shared" si="709"/>
        <v>1.0809846369960703</v>
      </c>
      <c r="CT279" s="4">
        <f t="shared" si="758"/>
        <v>0</v>
      </c>
      <c r="CU279" s="4">
        <f t="shared" ref="CU279:CV279" si="845">CM279</f>
        <v>1.3649163783859324</v>
      </c>
      <c r="CV279" s="4">
        <f t="shared" si="845"/>
        <v>0.57642292425190167</v>
      </c>
      <c r="CW279" s="4">
        <f t="shared" ref="CW279" si="846">CP279</f>
        <v>1.69869931801179</v>
      </c>
      <c r="CX279" s="4">
        <f t="shared" ref="CX279" si="847">CS279</f>
        <v>1.0809846369960703</v>
      </c>
      <c r="CY279" s="4">
        <f t="shared" ref="CY279:CZ279" si="848">CQ279</f>
        <v>0.75449639049580097</v>
      </c>
      <c r="CZ279" s="4">
        <f t="shared" si="848"/>
        <v>0.78300596637240216</v>
      </c>
      <c r="DI279" s="4">
        <f t="shared" si="742"/>
        <v>246.12599999999998</v>
      </c>
      <c r="DL279" s="4">
        <f t="shared" si="667"/>
        <v>2.3903025500369944E-5</v>
      </c>
      <c r="DM279" s="4">
        <f t="shared" si="769"/>
        <v>11.378661693018476</v>
      </c>
      <c r="DN279" s="4">
        <f t="shared" si="668"/>
        <v>0.31880996013755275</v>
      </c>
      <c r="DO279" s="4">
        <f t="shared" si="669"/>
        <v>7.2028428194447898</v>
      </c>
      <c r="DP279" s="4">
        <f t="shared" si="670"/>
        <v>9.5235891070744145</v>
      </c>
      <c r="DQ279" s="4">
        <f t="shared" si="671"/>
        <v>10.322031386165987</v>
      </c>
      <c r="DR279" s="38">
        <f t="shared" si="684"/>
        <v>830.88078302427198</v>
      </c>
      <c r="DS279" s="4">
        <f t="shared" si="829"/>
        <v>1.0000928686500341</v>
      </c>
      <c r="DT279" s="4">
        <f t="shared" si="672"/>
        <v>2.2583179581272428</v>
      </c>
      <c r="DU279" s="4">
        <f t="shared" si="842"/>
        <v>474.97349562011482</v>
      </c>
      <c r="DY279" s="4">
        <f t="shared" si="785"/>
        <v>0.85</v>
      </c>
      <c r="DZ279" s="4">
        <f t="shared" si="830"/>
        <v>0.85</v>
      </c>
      <c r="EA279" s="4">
        <f t="shared" si="685"/>
        <v>1</v>
      </c>
      <c r="EB279" s="4">
        <f t="shared" si="831"/>
        <v>0.85</v>
      </c>
      <c r="ED279" s="4">
        <f t="shared" si="686"/>
        <v>800.62806497949771</v>
      </c>
      <c r="EE279" s="25">
        <f t="shared" si="687"/>
        <v>469.85036956345061</v>
      </c>
      <c r="EG279" s="4">
        <f t="shared" si="843"/>
        <v>0.72249999999999992</v>
      </c>
      <c r="EH279" s="4">
        <f t="shared" si="688"/>
        <v>11.378661693018476</v>
      </c>
      <c r="EK279" s="4">
        <f t="shared" si="673"/>
        <v>57.361276136431961</v>
      </c>
      <c r="EL279" s="4">
        <f t="shared" si="674"/>
        <v>2.2583179581272428</v>
      </c>
      <c r="EM279" s="4">
        <f t="shared" si="675"/>
        <v>0.15699535606871484</v>
      </c>
      <c r="EP279" s="4">
        <f t="shared" si="759"/>
        <v>0.15699535606871484</v>
      </c>
      <c r="EQ279" s="4">
        <f t="shared" si="721"/>
        <v>0.31827792573218255</v>
      </c>
      <c r="ER279" s="4">
        <f t="shared" si="770"/>
        <v>7.1980323292674591</v>
      </c>
      <c r="ES279" s="4">
        <f t="shared" si="743"/>
        <v>9.5217760568927989</v>
      </c>
      <c r="ET279" s="4">
        <f t="shared" si="771"/>
        <v>127.23322386356801</v>
      </c>
      <c r="EU279" s="4">
        <f t="shared" si="772"/>
        <v>61.531499999999994</v>
      </c>
      <c r="EV279" s="4">
        <f t="shared" si="832"/>
        <v>2.3903025500369944E-5</v>
      </c>
      <c r="EW279" s="4">
        <f t="shared" si="744"/>
        <v>10.322302433404497</v>
      </c>
      <c r="EX279" s="4">
        <f t="shared" si="636"/>
        <v>830.80362741295062</v>
      </c>
      <c r="FG279" s="23">
        <f t="shared" si="778"/>
        <v>1.4</v>
      </c>
      <c r="FH279" s="23">
        <f t="shared" si="778"/>
        <v>0.6</v>
      </c>
      <c r="FI279" s="23">
        <f t="shared" si="712"/>
        <v>1.2</v>
      </c>
      <c r="FJ279" s="23">
        <f t="shared" si="779"/>
        <v>1.8</v>
      </c>
      <c r="FK279" s="23">
        <f t="shared" si="779"/>
        <v>0.8</v>
      </c>
      <c r="FL279" s="23">
        <f t="shared" si="779"/>
        <v>0.8</v>
      </c>
      <c r="FM279" s="23">
        <f t="shared" si="701"/>
        <v>1</v>
      </c>
      <c r="FN279" s="23"/>
      <c r="FX279" s="4">
        <f t="shared" si="833"/>
        <v>1</v>
      </c>
      <c r="FY279" s="4">
        <f t="shared" si="652"/>
        <v>0.5</v>
      </c>
      <c r="FZ279" s="4">
        <f t="shared" si="834"/>
        <v>0</v>
      </c>
      <c r="GA279" s="4">
        <f t="shared" si="835"/>
        <v>579.93104644503558</v>
      </c>
    </row>
    <row r="280" spans="1:183" ht="12" customHeight="1" x14ac:dyDescent="0.3">
      <c r="A280" s="25">
        <v>262</v>
      </c>
      <c r="B280" s="4" t="s">
        <v>605</v>
      </c>
      <c r="C280" s="4">
        <v>2016</v>
      </c>
      <c r="D280" s="4" t="s">
        <v>309</v>
      </c>
      <c r="E280" s="24" t="s">
        <v>417</v>
      </c>
      <c r="F280" s="7" t="s">
        <v>419</v>
      </c>
      <c r="G280" s="38">
        <f t="shared" si="804"/>
        <v>889.65517241379314</v>
      </c>
      <c r="H280" s="38">
        <f>10*25.4</f>
        <v>254</v>
      </c>
      <c r="I280" s="4">
        <f t="shared" si="746"/>
        <v>254</v>
      </c>
      <c r="J280" s="38">
        <f>11760/145</f>
        <v>81.103448275862064</v>
      </c>
      <c r="K280" s="38">
        <f t="shared" si="747"/>
        <v>25.4</v>
      </c>
      <c r="L280" s="7">
        <f t="shared" si="748"/>
        <v>10</v>
      </c>
      <c r="M280" s="7">
        <f t="shared" si="749"/>
        <v>10</v>
      </c>
      <c r="N280" s="38">
        <f>17*25.4</f>
        <v>431.79999999999995</v>
      </c>
      <c r="O280" s="38">
        <f>2.5*25.4</f>
        <v>63.5</v>
      </c>
      <c r="P280" s="39">
        <f>3.2*25.4</f>
        <v>81.28</v>
      </c>
      <c r="Q280" s="7">
        <f t="shared" si="750"/>
        <v>253.99999999999994</v>
      </c>
      <c r="R280" s="38">
        <v>2</v>
      </c>
      <c r="S280" s="4">
        <f t="shared" si="722"/>
        <v>260.34999999999997</v>
      </c>
      <c r="T280" s="7">
        <f t="shared" si="751"/>
        <v>3</v>
      </c>
      <c r="U280" s="7">
        <f t="shared" si="631"/>
        <v>3</v>
      </c>
      <c r="V280" s="38">
        <v>4.0999999999999996</v>
      </c>
      <c r="W280" s="4">
        <f t="shared" si="752"/>
        <v>4.0999999999999996</v>
      </c>
      <c r="X280" s="4">
        <f t="shared" si="753"/>
        <v>5.0999999999999996</v>
      </c>
      <c r="Y280" s="7">
        <f t="shared" si="754"/>
        <v>57.361276136431961</v>
      </c>
      <c r="AB280" s="38">
        <f t="shared" si="786"/>
        <v>761.37931034482767</v>
      </c>
      <c r="AC280" s="4">
        <v>110.4</v>
      </c>
      <c r="AD280" s="4">
        <f t="shared" si="666"/>
        <v>0.85631332847185648</v>
      </c>
      <c r="AE280" s="38">
        <f t="shared" si="836"/>
        <v>9.5249999999999986</v>
      </c>
      <c r="AF280" s="38">
        <v>10</v>
      </c>
      <c r="AG280" s="39">
        <f>3*25.4</f>
        <v>76.199999999999989</v>
      </c>
      <c r="AH280" s="39">
        <v>3</v>
      </c>
      <c r="AI280" s="39">
        <v>2</v>
      </c>
      <c r="AJ280" s="7"/>
      <c r="AK280" s="4">
        <f t="shared" si="755"/>
        <v>254</v>
      </c>
      <c r="AL280" s="4">
        <f t="shared" si="678"/>
        <v>0.56666666666666665</v>
      </c>
      <c r="AM280" s="4">
        <f t="shared" si="679"/>
        <v>359.73519081184224</v>
      </c>
      <c r="AN280" s="4">
        <f t="shared" si="680"/>
        <v>0.76</v>
      </c>
      <c r="AO280" s="4">
        <v>1.25</v>
      </c>
      <c r="AP280" s="4">
        <f t="shared" si="844"/>
        <v>2.5</v>
      </c>
      <c r="AQ280" s="38">
        <f t="shared" si="723"/>
        <v>484.14361096760433</v>
      </c>
      <c r="AR280" s="38">
        <f t="shared" si="682"/>
        <v>484.14361096760433</v>
      </c>
      <c r="AS280" s="38">
        <f t="shared" si="683"/>
        <v>4.8623877845559145</v>
      </c>
      <c r="AT280" s="38">
        <f t="shared" si="626"/>
        <v>484.14361096760422</v>
      </c>
      <c r="AU280" s="38">
        <f t="shared" si="820"/>
        <v>1.0000000000000002</v>
      </c>
      <c r="AV280" s="38">
        <f t="shared" si="715"/>
        <v>2.0352056199509603</v>
      </c>
      <c r="AW280" s="4">
        <f t="shared" si="707"/>
        <v>0</v>
      </c>
      <c r="AX280" s="4">
        <f t="shared" si="756"/>
        <v>473.98659434934086</v>
      </c>
      <c r="AY280" s="4">
        <f t="shared" si="724"/>
        <v>1</v>
      </c>
      <c r="AZ280" s="38">
        <f t="shared" si="837"/>
        <v>985.33179790461941</v>
      </c>
      <c r="BA280" s="4">
        <f t="shared" si="725"/>
        <v>0.42600000000000005</v>
      </c>
      <c r="BB280" s="4">
        <f t="shared" si="726"/>
        <v>105.50230610324805</v>
      </c>
      <c r="BC280" s="4">
        <f t="shared" si="727"/>
        <v>1090.8341040078674</v>
      </c>
      <c r="BE280" s="4">
        <f t="shared" si="627"/>
        <v>1.5</v>
      </c>
      <c r="BF280" s="4">
        <f t="shared" si="628"/>
        <v>810.51707633737283</v>
      </c>
      <c r="BH280" s="4">
        <f t="shared" si="633"/>
        <v>945.05369241748747</v>
      </c>
      <c r="BI280" s="4">
        <f t="shared" si="806"/>
        <v>0</v>
      </c>
      <c r="BJ280" s="4">
        <f t="shared" si="635"/>
        <v>0</v>
      </c>
      <c r="BR280" s="4">
        <f t="shared" si="728"/>
        <v>63.5</v>
      </c>
      <c r="BV280" s="9"/>
      <c r="BX280" s="9"/>
      <c r="BY280" s="9"/>
      <c r="BZ280" s="9">
        <f t="shared" si="729"/>
        <v>63.5</v>
      </c>
      <c r="CA280" s="9">
        <f t="shared" si="730"/>
        <v>126.99999999999997</v>
      </c>
      <c r="CB280" s="9">
        <f t="shared" si="821"/>
        <v>1.7543833769624846</v>
      </c>
      <c r="CC280" s="40">
        <f t="shared" si="757"/>
        <v>20</v>
      </c>
      <c r="CD280" s="9">
        <f t="shared" si="731"/>
        <v>0.05</v>
      </c>
      <c r="CE280" s="9">
        <f t="shared" si="732"/>
        <v>0.8</v>
      </c>
      <c r="CF280" s="9">
        <f t="shared" si="733"/>
        <v>0.99524931562137331</v>
      </c>
      <c r="CG280" s="9">
        <f t="shared" si="734"/>
        <v>0.68</v>
      </c>
      <c r="CH280" s="9">
        <f t="shared" si="822"/>
        <v>2.1331849177195688</v>
      </c>
      <c r="CI280" s="9">
        <f t="shared" si="823"/>
        <v>5.3329622942989214</v>
      </c>
      <c r="CJ280" s="40">
        <v>1</v>
      </c>
      <c r="CK280" s="9">
        <f t="shared" si="824"/>
        <v>533.29622942989215</v>
      </c>
      <c r="CM280" s="4">
        <f t="shared" si="735"/>
        <v>1.6063308950541133</v>
      </c>
      <c r="CN280" s="4">
        <f t="shared" si="736"/>
        <v>0.69797901215906277</v>
      </c>
      <c r="CO280" s="4">
        <f t="shared" si="708"/>
        <v>0.9393747924293061</v>
      </c>
      <c r="CP280" s="4">
        <f t="shared" si="737"/>
        <v>1.4276855307204448</v>
      </c>
      <c r="CQ280" s="4">
        <f t="shared" si="694"/>
        <v>0.85631332847185648</v>
      </c>
      <c r="CR280" s="4">
        <f t="shared" si="695"/>
        <v>0.88968810745173232</v>
      </c>
      <c r="CS280" s="4">
        <f t="shared" si="709"/>
        <v>1.130169014844719</v>
      </c>
      <c r="CT280" s="4">
        <f t="shared" si="758"/>
        <v>10</v>
      </c>
      <c r="DA280" s="4">
        <f t="shared" ref="DA280:DB280" si="849">CM280</f>
        <v>1.6063308950541133</v>
      </c>
      <c r="DB280" s="4">
        <f t="shared" si="849"/>
        <v>0.69797901215906277</v>
      </c>
      <c r="DC280" s="4">
        <f t="shared" ref="DC280" si="850">CP280</f>
        <v>1.4276855307204448</v>
      </c>
      <c r="DD280" s="4">
        <f t="shared" ref="DD280" si="851">CS280</f>
        <v>1.130169014844719</v>
      </c>
      <c r="DE280" s="4">
        <f t="shared" ref="DE280:DF280" si="852">CQ280</f>
        <v>0.85631332847185648</v>
      </c>
      <c r="DF280" s="4">
        <f t="shared" si="852"/>
        <v>0.88968810745173232</v>
      </c>
      <c r="DI280" s="4">
        <f t="shared" si="742"/>
        <v>254</v>
      </c>
      <c r="DL280" s="4">
        <f t="shared" si="667"/>
        <v>2.4667724974581991E-5</v>
      </c>
      <c r="DM280" s="4">
        <f t="shared" si="769"/>
        <v>12.555764626779007</v>
      </c>
      <c r="DN280" s="4">
        <f t="shared" si="668"/>
        <v>0.32496509118243971</v>
      </c>
      <c r="DO280" s="4">
        <f t="shared" si="669"/>
        <v>8.0089918141589269</v>
      </c>
      <c r="DP280" s="4">
        <f t="shared" si="670"/>
        <v>10.531859423226024</v>
      </c>
      <c r="DQ280" s="4">
        <f t="shared" si="671"/>
        <v>11.18267087619982</v>
      </c>
      <c r="DR280" s="38">
        <f t="shared" si="684"/>
        <v>889.13635351624816</v>
      </c>
      <c r="DS280" s="4">
        <f t="shared" si="829"/>
        <v>1.0000982181242293</v>
      </c>
      <c r="DT280" s="4">
        <f t="shared" si="672"/>
        <v>2.2583179581272428</v>
      </c>
      <c r="DU280" s="4">
        <f t="shared" si="842"/>
        <v>484.14361096760422</v>
      </c>
      <c r="DY280" s="4">
        <f t="shared" si="785"/>
        <v>0.85</v>
      </c>
      <c r="DZ280" s="4">
        <f t="shared" si="830"/>
        <v>0.85</v>
      </c>
      <c r="EA280" s="4">
        <f t="shared" si="685"/>
        <v>0.90625</v>
      </c>
      <c r="EB280" s="4">
        <f t="shared" si="831"/>
        <v>0.77031249999999996</v>
      </c>
      <c r="ED280" s="4">
        <f t="shared" si="686"/>
        <v>855.78227242532216</v>
      </c>
      <c r="EE280" s="25">
        <f t="shared" si="687"/>
        <v>479.10933362195192</v>
      </c>
      <c r="EG280" s="4">
        <f t="shared" si="843"/>
        <v>0.65476562499999991</v>
      </c>
      <c r="EH280" s="4">
        <f t="shared" si="688"/>
        <v>12.555764626779007</v>
      </c>
      <c r="EK280" s="4">
        <f t="shared" si="673"/>
        <v>57.361276136431961</v>
      </c>
      <c r="EL280" s="4">
        <f t="shared" si="674"/>
        <v>2.2583179581272428</v>
      </c>
      <c r="EM280" s="4">
        <f t="shared" si="675"/>
        <v>0.16002639998473522</v>
      </c>
      <c r="EP280" s="4">
        <f t="shared" si="759"/>
        <v>0.16002639998473522</v>
      </c>
      <c r="EQ280" s="4">
        <f t="shared" si="721"/>
        <v>0.32442278501051608</v>
      </c>
      <c r="ER280" s="4">
        <f t="shared" si="770"/>
        <v>8.0036429293618987</v>
      </c>
      <c r="ES280" s="4">
        <f t="shared" si="743"/>
        <v>10.529832094936477</v>
      </c>
      <c r="ET280" s="4">
        <f t="shared" si="771"/>
        <v>133.13872386356803</v>
      </c>
      <c r="EU280" s="4">
        <f t="shared" si="772"/>
        <v>63.5</v>
      </c>
      <c r="EV280" s="4">
        <f t="shared" si="832"/>
        <v>2.4667724974581991E-5</v>
      </c>
      <c r="EW280" s="4">
        <f t="shared" si="744"/>
        <v>11.183021240517544</v>
      </c>
      <c r="EX280" s="4">
        <f t="shared" si="636"/>
        <v>889.04903278789982</v>
      </c>
      <c r="FG280" s="23">
        <f t="shared" si="778"/>
        <v>1.8</v>
      </c>
      <c r="FH280" s="23">
        <f t="shared" si="778"/>
        <v>0.8</v>
      </c>
      <c r="FI280" s="23">
        <f t="shared" si="712"/>
        <v>1.2</v>
      </c>
      <c r="FJ280" s="23">
        <f t="shared" si="779"/>
        <v>1.6</v>
      </c>
      <c r="FK280" s="23">
        <f t="shared" si="779"/>
        <v>1</v>
      </c>
      <c r="FL280" s="23">
        <f t="shared" si="779"/>
        <v>1</v>
      </c>
      <c r="FM280" s="23">
        <f t="shared" si="701"/>
        <v>0</v>
      </c>
      <c r="FN280" s="23"/>
      <c r="FX280" s="4">
        <f t="shared" si="833"/>
        <v>1</v>
      </c>
      <c r="FY280" s="4">
        <f t="shared" si="652"/>
        <v>0.44418604651162791</v>
      </c>
      <c r="FZ280" s="4">
        <f t="shared" si="834"/>
        <v>0.3</v>
      </c>
      <c r="GA280" s="4">
        <f t="shared" si="835"/>
        <v>673.6862366107589</v>
      </c>
    </row>
    <row r="281" spans="1:183" ht="12" customHeight="1" x14ac:dyDescent="0.3">
      <c r="A281" s="25">
        <v>263</v>
      </c>
      <c r="B281" s="4" t="s">
        <v>605</v>
      </c>
      <c r="C281" s="4">
        <v>2016</v>
      </c>
      <c r="D281" s="4" t="s">
        <v>309</v>
      </c>
      <c r="E281" s="24" t="s">
        <v>417</v>
      </c>
      <c r="F281" s="7" t="s">
        <v>420</v>
      </c>
      <c r="G281" s="38">
        <f t="shared" si="804"/>
        <v>889.65517241379314</v>
      </c>
      <c r="H281" s="38">
        <f>9.9*25.4</f>
        <v>251.46</v>
      </c>
      <c r="I281" s="4">
        <f t="shared" si="746"/>
        <v>251.46</v>
      </c>
      <c r="J281" s="38">
        <f>11040/145</f>
        <v>76.137931034482762</v>
      </c>
      <c r="K281" s="38">
        <f t="shared" si="747"/>
        <v>25.4</v>
      </c>
      <c r="L281" s="7">
        <f t="shared" si="748"/>
        <v>9.9</v>
      </c>
      <c r="M281" s="7">
        <f t="shared" si="749"/>
        <v>9.9</v>
      </c>
      <c r="N281" s="38">
        <f>12*25.4</f>
        <v>304.79999999999995</v>
      </c>
      <c r="O281" s="38">
        <f>2.45*25.4</f>
        <v>62.230000000000004</v>
      </c>
      <c r="P281" s="39">
        <f>(3.3+3.2+3.3)/3*25.4</f>
        <v>82.973333333333343</v>
      </c>
      <c r="Q281" s="7">
        <f t="shared" si="750"/>
        <v>52.069999999999979</v>
      </c>
      <c r="R281" s="38">
        <v>3</v>
      </c>
      <c r="S281" s="4">
        <f t="shared" si="722"/>
        <v>260.34999999999997</v>
      </c>
      <c r="T281" s="7">
        <f t="shared" si="751"/>
        <v>1.5249999999999997</v>
      </c>
      <c r="U281" s="7">
        <f t="shared" si="631"/>
        <v>2.95</v>
      </c>
      <c r="V281" s="38">
        <v>4.0999999999999996</v>
      </c>
      <c r="W281" s="4">
        <f t="shared" si="752"/>
        <v>4.0999999999999996</v>
      </c>
      <c r="X281" s="4">
        <f t="shared" si="753"/>
        <v>5.0999999999999996</v>
      </c>
      <c r="Y281" s="7">
        <f t="shared" si="754"/>
        <v>57.361276136431961</v>
      </c>
      <c r="AB281" s="38">
        <f t="shared" si="786"/>
        <v>368.27586206896552</v>
      </c>
      <c r="AC281" s="4">
        <v>53.4</v>
      </c>
      <c r="AD281" s="4">
        <f t="shared" si="666"/>
        <v>0.73864862864762737</v>
      </c>
      <c r="AE281" s="38"/>
      <c r="AF281" s="38"/>
      <c r="AG281" s="39">
        <v>1</v>
      </c>
      <c r="AH281" s="39"/>
      <c r="AI281" s="39"/>
      <c r="AJ281" s="7"/>
      <c r="AK281" s="4">
        <f t="shared" si="755"/>
        <v>251.46</v>
      </c>
      <c r="AL281" s="4">
        <f t="shared" si="678"/>
        <v>0.40404040404040398</v>
      </c>
      <c r="AM281" s="4">
        <f t="shared" si="679"/>
        <v>228.88921678455287</v>
      </c>
      <c r="AN281" s="4">
        <f t="shared" si="680"/>
        <v>0.7595959595959596</v>
      </c>
      <c r="AO281" s="4">
        <v>1.25</v>
      </c>
      <c r="AP281" s="4">
        <f t="shared" si="844"/>
        <v>2.5</v>
      </c>
      <c r="AQ281" s="38">
        <f t="shared" si="723"/>
        <v>219.52439932402783</v>
      </c>
      <c r="AR281" s="38">
        <f t="shared" si="682"/>
        <v>219.52439932402783</v>
      </c>
      <c r="AS281" s="38">
        <f t="shared" si="683"/>
        <v>4.75341304622079</v>
      </c>
      <c r="AT281" s="38">
        <f t="shared" ref="AT281:AT344" si="853">AP281* (J281^0.5/AK281^0.5)/(PI()/4*K281^2)/R281/0.72 *(0.7+(MIN(O281,S281)+0.5*K281)/5/H281) *(3*N281*H281)</f>
        <v>219.52439932402797</v>
      </c>
      <c r="AU281" s="38">
        <f t="shared" si="820"/>
        <v>0.99999999999999933</v>
      </c>
      <c r="AV281" s="38">
        <f t="shared" si="715"/>
        <v>2.9425525330927655</v>
      </c>
      <c r="AW281" s="4">
        <f t="shared" si="707"/>
        <v>0</v>
      </c>
      <c r="AX281" s="4">
        <f t="shared" si="756"/>
        <v>454.65516507863128</v>
      </c>
      <c r="AY281" s="4">
        <f t="shared" si="724"/>
        <v>1.3737704918032789</v>
      </c>
      <c r="AZ281" s="38">
        <f t="shared" si="837"/>
        <v>645.96207730658625</v>
      </c>
      <c r="BA281" s="4">
        <f t="shared" si="725"/>
        <v>0.42600000000000005</v>
      </c>
      <c r="BB281" s="4">
        <f t="shared" si="726"/>
        <v>101.19941991902715</v>
      </c>
      <c r="BC281" s="4">
        <f t="shared" si="727"/>
        <v>747.1614972256134</v>
      </c>
      <c r="BE281" s="4">
        <f t="shared" ref="BE281:BE344" si="854">MIN(1.5, 0.75+0.25*MIN(3,MAX(1,O281/K281))+0.4*MIN(1,(40*2*PI()*AE281^2/4/AG281/R281)/K281))</f>
        <v>1.3625</v>
      </c>
      <c r="BF281" s="4">
        <f t="shared" si="628"/>
        <v>709.75976715413344</v>
      </c>
      <c r="BH281" s="4">
        <f t="shared" si="633"/>
        <v>619.55662815151902</v>
      </c>
      <c r="BI281" s="4">
        <f t="shared" si="806"/>
        <v>0</v>
      </c>
      <c r="BJ281" s="4">
        <f t="shared" si="635"/>
        <v>0</v>
      </c>
      <c r="BR281" s="4">
        <f t="shared" si="728"/>
        <v>26.034999999999989</v>
      </c>
      <c r="BV281" s="9"/>
      <c r="BX281" s="9"/>
      <c r="BY281" s="9"/>
      <c r="BZ281" s="9">
        <f t="shared" si="729"/>
        <v>26.034999999999989</v>
      </c>
      <c r="CA281" s="9">
        <f t="shared" si="730"/>
        <v>62.230000000000004</v>
      </c>
      <c r="CB281" s="9">
        <f t="shared" si="821"/>
        <v>1.1537939716985905</v>
      </c>
      <c r="CC281" s="40">
        <f t="shared" si="757"/>
        <v>0</v>
      </c>
      <c r="CD281" s="9">
        <f t="shared" si="731"/>
        <v>0</v>
      </c>
      <c r="CE281" s="9">
        <f t="shared" si="732"/>
        <v>0</v>
      </c>
      <c r="CF281" s="9">
        <f t="shared" si="733"/>
        <v>0.99524931562137331</v>
      </c>
      <c r="CG281" s="9">
        <f t="shared" si="734"/>
        <v>0.68</v>
      </c>
      <c r="CH281" s="9">
        <f t="shared" si="822"/>
        <v>2.0668520038571487</v>
      </c>
      <c r="CI281" s="9">
        <f t="shared" si="823"/>
        <v>2.38472138244353</v>
      </c>
      <c r="CJ281" s="40">
        <v>1</v>
      </c>
      <c r="CK281" s="9">
        <f t="shared" si="824"/>
        <v>237.51824969137562</v>
      </c>
      <c r="CM281" s="4">
        <f t="shared" si="735"/>
        <v>0.81001138963256536</v>
      </c>
      <c r="CN281" s="4">
        <f t="shared" si="736"/>
        <v>0.4928999465797696</v>
      </c>
      <c r="CO281" s="4">
        <f t="shared" si="708"/>
        <v>0.51887396146108922</v>
      </c>
      <c r="CP281" s="4">
        <f t="shared" si="737"/>
        <v>1.5505160658075436</v>
      </c>
      <c r="CQ281" s="4">
        <f t="shared" si="694"/>
        <v>0.73864862864762737</v>
      </c>
      <c r="CR281" s="4">
        <f t="shared" si="695"/>
        <v>0.74214693971252432</v>
      </c>
      <c r="CS281" s="4">
        <f t="shared" si="709"/>
        <v>1.4405154544410637</v>
      </c>
      <c r="CT281" s="4">
        <f t="shared" si="758"/>
        <v>0</v>
      </c>
      <c r="CU281" s="4">
        <f t="shared" ref="CU281:CV281" si="855">CM281</f>
        <v>0.81001138963256536</v>
      </c>
      <c r="CV281" s="4">
        <f t="shared" si="855"/>
        <v>0.4928999465797696</v>
      </c>
      <c r="CW281" s="4">
        <f t="shared" ref="CW281" si="856">CP281</f>
        <v>1.5505160658075436</v>
      </c>
      <c r="CX281" s="4">
        <f t="shared" ref="CX281" si="857">CS281</f>
        <v>1.4405154544410637</v>
      </c>
      <c r="CY281" s="4">
        <f t="shared" ref="CY281:CZ281" si="858">CQ281</f>
        <v>0.73864862864762737</v>
      </c>
      <c r="CZ281" s="4">
        <f t="shared" si="858"/>
        <v>0.74214693971252432</v>
      </c>
      <c r="DI281" s="4">
        <f t="shared" si="742"/>
        <v>251.46</v>
      </c>
      <c r="DL281" s="4">
        <f t="shared" si="667"/>
        <v>2.3703561532428188E-5</v>
      </c>
      <c r="DM281" s="4">
        <f t="shared" si="769"/>
        <v>9.3945954333173542</v>
      </c>
      <c r="DN281" s="4">
        <f t="shared" si="668"/>
        <v>0.15695803424964713</v>
      </c>
      <c r="DO281" s="4">
        <f t="shared" si="669"/>
        <v>4.4791076762040252</v>
      </c>
      <c r="DP281" s="4">
        <f t="shared" si="670"/>
        <v>7.3641169634775325</v>
      </c>
      <c r="DQ281" s="4">
        <f t="shared" si="671"/>
        <v>8.727573788747403</v>
      </c>
      <c r="DR281" s="38">
        <f t="shared" si="684"/>
        <v>498.58058051665546</v>
      </c>
      <c r="DS281" s="4">
        <f t="shared" si="829"/>
        <v>1.0000888470978735</v>
      </c>
      <c r="DT281" s="4">
        <f t="shared" si="672"/>
        <v>2.2583179581272428</v>
      </c>
      <c r="DU281" s="4">
        <f t="shared" si="842"/>
        <v>219.52439932402797</v>
      </c>
      <c r="DY281" s="4">
        <f t="shared" si="785"/>
        <v>0.85</v>
      </c>
      <c r="DZ281" s="4">
        <f t="shared" si="830"/>
        <v>0.99750000000000005</v>
      </c>
      <c r="EA281" s="4">
        <f t="shared" si="685"/>
        <v>1</v>
      </c>
      <c r="EB281" s="4">
        <f t="shared" si="831"/>
        <v>0.99750000000000005</v>
      </c>
      <c r="ED281" s="4">
        <f t="shared" si="686"/>
        <v>496.23038560479642</v>
      </c>
      <c r="EE281" s="25">
        <f t="shared" si="687"/>
        <v>217.210901235271</v>
      </c>
      <c r="EG281" s="4">
        <f t="shared" si="843"/>
        <v>0.84787500000000005</v>
      </c>
      <c r="EH281" s="4">
        <f t="shared" si="688"/>
        <v>9.3945954333173542</v>
      </c>
      <c r="EK281" s="4">
        <f t="shared" si="673"/>
        <v>57.361276136431961</v>
      </c>
      <c r="EL281" s="4">
        <f t="shared" si="674"/>
        <v>2.2583179581272428</v>
      </c>
      <c r="EM281" s="4">
        <f t="shared" si="675"/>
        <v>7.4889227699808214E-2</v>
      </c>
      <c r="EP281" s="4">
        <f t="shared" si="759"/>
        <v>7.4889227699808214E-2</v>
      </c>
      <c r="EQ281" s="4">
        <f t="shared" si="721"/>
        <v>0.15669610054348546</v>
      </c>
      <c r="ER281" s="4">
        <f t="shared" si="770"/>
        <v>4.476116259617589</v>
      </c>
      <c r="ES281" s="4">
        <f t="shared" si="743"/>
        <v>7.3632204030722086</v>
      </c>
      <c r="ET281" s="4">
        <f t="shared" si="771"/>
        <v>131.23372386356803</v>
      </c>
      <c r="EU281" s="4">
        <f t="shared" si="772"/>
        <v>62.865000000000009</v>
      </c>
      <c r="EV281" s="4">
        <f t="shared" si="832"/>
        <v>2.3703561532428195E-5</v>
      </c>
      <c r="EW281" s="4">
        <f t="shared" si="744"/>
        <v>8.7277008339076421</v>
      </c>
      <c r="EX281" s="4">
        <f t="shared" si="636"/>
        <v>498.53628701436963</v>
      </c>
      <c r="FG281" s="23">
        <f t="shared" si="778"/>
        <v>1</v>
      </c>
      <c r="FH281" s="23">
        <f t="shared" si="778"/>
        <v>0.6</v>
      </c>
      <c r="FI281" s="23">
        <f t="shared" si="712"/>
        <v>1.6</v>
      </c>
      <c r="FJ281" s="23">
        <f t="shared" si="779"/>
        <v>1.6</v>
      </c>
      <c r="FK281" s="23">
        <f t="shared" si="779"/>
        <v>0.8</v>
      </c>
      <c r="FL281" s="23">
        <f t="shared" si="779"/>
        <v>0.8</v>
      </c>
      <c r="FM281" s="23">
        <f t="shared" si="701"/>
        <v>1</v>
      </c>
      <c r="FN281" s="23"/>
      <c r="FX281" s="4">
        <f t="shared" si="833"/>
        <v>1.25</v>
      </c>
      <c r="FY281" s="4">
        <f t="shared" si="652"/>
        <v>0.91250000000000009</v>
      </c>
      <c r="FZ281" s="4">
        <f t="shared" si="834"/>
        <v>0</v>
      </c>
      <c r="GA281" s="4">
        <f t="shared" si="835"/>
        <v>255.65561336643952</v>
      </c>
    </row>
    <row r="282" spans="1:183" ht="12" customHeight="1" x14ac:dyDescent="0.3">
      <c r="A282" s="25">
        <v>264</v>
      </c>
      <c r="B282" s="4" t="s">
        <v>605</v>
      </c>
      <c r="C282" s="4">
        <v>2016</v>
      </c>
      <c r="D282" s="4" t="s">
        <v>309</v>
      </c>
      <c r="E282" s="24" t="s">
        <v>665</v>
      </c>
      <c r="F282" s="7" t="s">
        <v>421</v>
      </c>
      <c r="G282" s="38">
        <f t="shared" si="804"/>
        <v>889.65517241379314</v>
      </c>
      <c r="H282" s="38">
        <f>10*25.4</f>
        <v>254</v>
      </c>
      <c r="I282" s="4">
        <f t="shared" si="746"/>
        <v>254</v>
      </c>
      <c r="J282" s="38">
        <f>11040/145</f>
        <v>76.137931034482762</v>
      </c>
      <c r="K282" s="38">
        <f t="shared" si="747"/>
        <v>25.4</v>
      </c>
      <c r="L282" s="7">
        <f t="shared" si="748"/>
        <v>10</v>
      </c>
      <c r="M282" s="7">
        <f t="shared" si="749"/>
        <v>10</v>
      </c>
      <c r="N282" s="38">
        <f>12*25.4</f>
        <v>304.79999999999995</v>
      </c>
      <c r="O282" s="38">
        <f>2.4*25.4</f>
        <v>60.959999999999994</v>
      </c>
      <c r="P282" s="39">
        <f>(2.9+2.8+3.1)/3*25.4</f>
        <v>74.506666666666661</v>
      </c>
      <c r="Q282" s="7">
        <f t="shared" si="750"/>
        <v>53.339999999999989</v>
      </c>
      <c r="R282" s="38">
        <v>3</v>
      </c>
      <c r="S282" s="4">
        <f t="shared" si="722"/>
        <v>260.34999999999997</v>
      </c>
      <c r="T282" s="7">
        <f t="shared" si="751"/>
        <v>1.5499999999999998</v>
      </c>
      <c r="U282" s="7">
        <f t="shared" ref="U282:U345" si="859">O282/K282+0.5</f>
        <v>2.9</v>
      </c>
      <c r="V282" s="38">
        <v>4.0999999999999996</v>
      </c>
      <c r="W282" s="4">
        <f t="shared" si="752"/>
        <v>4.0999999999999996</v>
      </c>
      <c r="X282" s="4">
        <f t="shared" si="753"/>
        <v>5.0999999999999996</v>
      </c>
      <c r="Y282" s="7">
        <f t="shared" si="754"/>
        <v>57.361276136431961</v>
      </c>
      <c r="AB282" s="38">
        <f t="shared" si="786"/>
        <v>537.93103448275861</v>
      </c>
      <c r="AC282" s="4">
        <v>78</v>
      </c>
      <c r="AD282" s="4">
        <f t="shared" si="666"/>
        <v>1.0122595831277816</v>
      </c>
      <c r="AE282" s="38">
        <f t="shared" si="836"/>
        <v>9.5249999999999986</v>
      </c>
      <c r="AF282" s="38">
        <v>10</v>
      </c>
      <c r="AG282" s="39">
        <f>3*25.4</f>
        <v>76.199999999999989</v>
      </c>
      <c r="AH282" s="39">
        <v>3</v>
      </c>
      <c r="AI282" s="39">
        <v>2</v>
      </c>
      <c r="AJ282" s="7"/>
      <c r="AK282" s="4">
        <f t="shared" si="755"/>
        <v>254</v>
      </c>
      <c r="AL282" s="4">
        <f t="shared" si="678"/>
        <v>0.39999999999999997</v>
      </c>
      <c r="AM282" s="4">
        <f t="shared" si="679"/>
        <v>232.36597815509018</v>
      </c>
      <c r="AN282" s="4">
        <f t="shared" si="680"/>
        <v>0.75800000000000001</v>
      </c>
      <c r="AO282" s="4">
        <v>1.25</v>
      </c>
      <c r="AP282" s="4">
        <f t="shared" si="844"/>
        <v>2.5</v>
      </c>
      <c r="AQ282" s="38">
        <f t="shared" si="723"/>
        <v>220.16676430194792</v>
      </c>
      <c r="AR282" s="38">
        <f t="shared" si="682"/>
        <v>220.16676430194792</v>
      </c>
      <c r="AS282" s="38">
        <f t="shared" si="683"/>
        <v>4.75341304622079</v>
      </c>
      <c r="AT282" s="38">
        <f t="shared" si="853"/>
        <v>220.16676430194792</v>
      </c>
      <c r="AU282" s="38">
        <f t="shared" si="820"/>
        <v>1</v>
      </c>
      <c r="AV282" s="38">
        <f t="shared" si="715"/>
        <v>2.9269649474460713</v>
      </c>
      <c r="AW282" s="4">
        <f t="shared" si="707"/>
        <v>0</v>
      </c>
      <c r="AX282" s="4">
        <f t="shared" si="756"/>
        <v>459.24764149356696</v>
      </c>
      <c r="AY282" s="4">
        <f t="shared" si="724"/>
        <v>1.3483870967741938</v>
      </c>
      <c r="AZ282" s="38">
        <f t="shared" si="837"/>
        <v>644.4204017044226</v>
      </c>
      <c r="BA282" s="4">
        <f t="shared" si="725"/>
        <v>0.42600000000000005</v>
      </c>
      <c r="BB282" s="4">
        <f t="shared" si="726"/>
        <v>102.22163628184562</v>
      </c>
      <c r="BC282" s="4">
        <f t="shared" si="727"/>
        <v>746.64203798626818</v>
      </c>
      <c r="BE282" s="4">
        <f t="shared" si="854"/>
        <v>1.5</v>
      </c>
      <c r="BF282" s="4">
        <f t="shared" ref="BF282:BF345" si="860">(3*M282+30)*BE282*J282^0.5</f>
        <v>785.31346695399941</v>
      </c>
      <c r="BH282" s="4">
        <f t="shared" ref="BH282:BH345" si="861">3.4/PI()^0.5*J282*T282*W282^0.5*AY282</f>
        <v>618.07797271440324</v>
      </c>
      <c r="BI282" s="4">
        <f t="shared" si="806"/>
        <v>0</v>
      </c>
      <c r="BJ282" s="4">
        <f t="shared" ref="BJ282:BJ345" si="862">BI282/BH282</f>
        <v>0</v>
      </c>
      <c r="BR282" s="4">
        <f t="shared" si="728"/>
        <v>26.669999999999995</v>
      </c>
      <c r="BV282" s="9"/>
      <c r="BX282" s="9"/>
      <c r="BY282" s="9"/>
      <c r="BZ282" s="9">
        <f t="shared" si="729"/>
        <v>26.669999999999995</v>
      </c>
      <c r="CA282" s="9">
        <f t="shared" si="730"/>
        <v>60.959999999999994</v>
      </c>
      <c r="CB282" s="9">
        <f t="shared" si="821"/>
        <v>1.1599731613256561</v>
      </c>
      <c r="CC282" s="40">
        <f t="shared" si="757"/>
        <v>20</v>
      </c>
      <c r="CD282" s="9">
        <f t="shared" si="731"/>
        <v>0.05</v>
      </c>
      <c r="CE282" s="9">
        <f t="shared" si="732"/>
        <v>0.8</v>
      </c>
      <c r="CF282" s="9">
        <f t="shared" si="733"/>
        <v>0.99524931562137331</v>
      </c>
      <c r="CG282" s="9">
        <f t="shared" si="734"/>
        <v>0.68</v>
      </c>
      <c r="CH282" s="9">
        <f t="shared" si="822"/>
        <v>2.0668520038571487</v>
      </c>
      <c r="CI282" s="9">
        <f t="shared" si="823"/>
        <v>4.0509744559921632</v>
      </c>
      <c r="CJ282" s="40">
        <v>1</v>
      </c>
      <c r="CK282" s="9">
        <f t="shared" si="824"/>
        <v>405.09744559921631</v>
      </c>
      <c r="CM282" s="4">
        <f t="shared" si="735"/>
        <v>1.1713310769181029</v>
      </c>
      <c r="CN282" s="4">
        <f t="shared" si="736"/>
        <v>0.72046711424605314</v>
      </c>
      <c r="CO282" s="4">
        <f t="shared" si="708"/>
        <v>0.68498893387023563</v>
      </c>
      <c r="CP282" s="4">
        <f t="shared" si="737"/>
        <v>1.327905273969467</v>
      </c>
      <c r="CQ282" s="4">
        <f t="shared" si="694"/>
        <v>1.0122595831277816</v>
      </c>
      <c r="CR282" s="4">
        <f t="shared" si="695"/>
        <v>1.015645214075779</v>
      </c>
      <c r="CS282" s="4">
        <f t="shared" si="709"/>
        <v>1.5227273061218662</v>
      </c>
      <c r="CT282" s="4">
        <f t="shared" si="758"/>
        <v>10</v>
      </c>
      <c r="DA282" s="4">
        <f t="shared" ref="DA282:DB282" si="863">CM282</f>
        <v>1.1713310769181029</v>
      </c>
      <c r="DB282" s="4">
        <f t="shared" si="863"/>
        <v>0.72046711424605314</v>
      </c>
      <c r="DC282" s="4">
        <f t="shared" ref="DC282" si="864">CP282</f>
        <v>1.327905273969467</v>
      </c>
      <c r="DD282" s="4">
        <f t="shared" ref="DD282" si="865">CS282</f>
        <v>1.5227273061218662</v>
      </c>
      <c r="DE282" s="4">
        <f t="shared" ref="DE282:DF282" si="866">CQ282</f>
        <v>1.0122595831277816</v>
      </c>
      <c r="DF282" s="4">
        <f t="shared" si="866"/>
        <v>1.015645214075779</v>
      </c>
      <c r="DI282" s="4">
        <f t="shared" si="742"/>
        <v>254</v>
      </c>
      <c r="DL282" s="4">
        <f t="shared" si="667"/>
        <v>2.3942991446897161E-5</v>
      </c>
      <c r="DM282" s="4">
        <f t="shared" si="769"/>
        <v>10.392496490434585</v>
      </c>
      <c r="DN282" s="4">
        <f t="shared" si="668"/>
        <v>0.15741731961617406</v>
      </c>
      <c r="DO282" s="4">
        <f t="shared" si="669"/>
        <v>4.9606763339604125</v>
      </c>
      <c r="DP282" s="4">
        <f t="shared" si="670"/>
        <v>8.1480771156069896</v>
      </c>
      <c r="DQ282" s="4">
        <f t="shared" si="671"/>
        <v>9.5599674624018807</v>
      </c>
      <c r="DR282" s="38">
        <f t="shared" si="684"/>
        <v>531.41609469441141</v>
      </c>
      <c r="DS282" s="4">
        <f t="shared" si="829"/>
        <v>1.0000925698694281</v>
      </c>
      <c r="DT282" s="4">
        <f t="shared" si="672"/>
        <v>2.2583179581272428</v>
      </c>
      <c r="DU282" s="4">
        <f t="shared" si="842"/>
        <v>220.16676430194792</v>
      </c>
      <c r="DY282" s="4">
        <f t="shared" si="785"/>
        <v>0.85</v>
      </c>
      <c r="DZ282" s="4">
        <f t="shared" si="830"/>
        <v>0.995</v>
      </c>
      <c r="EA282" s="4">
        <f t="shared" si="685"/>
        <v>0.90625</v>
      </c>
      <c r="EB282" s="4">
        <f t="shared" si="831"/>
        <v>0.90171875000000001</v>
      </c>
      <c r="ED282" s="4">
        <f t="shared" si="686"/>
        <v>529.64463084903844</v>
      </c>
      <c r="EE282" s="25">
        <f t="shared" si="687"/>
        <v>217.86973613600091</v>
      </c>
      <c r="EG282" s="4">
        <f t="shared" si="843"/>
        <v>0.76646093749999999</v>
      </c>
      <c r="EH282" s="4">
        <f t="shared" si="688"/>
        <v>10.392496490434585</v>
      </c>
      <c r="EK282" s="4">
        <f t="shared" si="673"/>
        <v>57.361276136431961</v>
      </c>
      <c r="EL282" s="4">
        <f t="shared" si="674"/>
        <v>2.2583179581272428</v>
      </c>
      <c r="EM282" s="4">
        <f t="shared" si="675"/>
        <v>7.5108366060946924E-2</v>
      </c>
      <c r="EP282" s="4">
        <f t="shared" si="759"/>
        <v>7.5108366060946924E-2</v>
      </c>
      <c r="EQ282" s="4">
        <f t="shared" si="721"/>
        <v>0.15715461944833478</v>
      </c>
      <c r="ER282" s="4">
        <f t="shared" si="770"/>
        <v>4.9573632969588264</v>
      </c>
      <c r="ES282" s="4">
        <f t="shared" si="743"/>
        <v>8.1470831422939138</v>
      </c>
      <c r="ET282" s="4">
        <f t="shared" si="771"/>
        <v>133.13872386356803</v>
      </c>
      <c r="EU282" s="4">
        <f t="shared" si="772"/>
        <v>63.5</v>
      </c>
      <c r="EV282" s="4">
        <f t="shared" si="832"/>
        <v>2.3942991446897161E-5</v>
      </c>
      <c r="EW282" s="4">
        <f t="shared" si="744"/>
        <v>9.5601253990987622</v>
      </c>
      <c r="EX282" s="4">
        <f t="shared" ref="EX282:EX345" si="867">MIN(4/K282*(1*ER282*EK282+ES282*ET282+EU282*EW282)+DU282,MAX(G282,AB282))</f>
        <v>531.3669061292926</v>
      </c>
      <c r="FG282" s="23">
        <f t="shared" si="778"/>
        <v>1.2</v>
      </c>
      <c r="FH282" s="23">
        <f t="shared" si="778"/>
        <v>0.8</v>
      </c>
      <c r="FI282" s="23">
        <f t="shared" si="712"/>
        <v>1.6</v>
      </c>
      <c r="FJ282" s="23">
        <f t="shared" si="779"/>
        <v>1.4</v>
      </c>
      <c r="FK282" s="23">
        <f t="shared" si="779"/>
        <v>1.2</v>
      </c>
      <c r="FL282" s="23">
        <f t="shared" si="779"/>
        <v>1.2</v>
      </c>
      <c r="FM282" s="23">
        <f t="shared" si="701"/>
        <v>0</v>
      </c>
      <c r="FN282" s="23"/>
      <c r="FX282" s="4">
        <f t="shared" si="833"/>
        <v>1.25</v>
      </c>
      <c r="FY282" s="4">
        <f t="shared" si="652"/>
        <v>0.66703488372093034</v>
      </c>
      <c r="FZ282" s="4">
        <f t="shared" si="834"/>
        <v>0.28124999999999994</v>
      </c>
      <c r="GA282" s="4">
        <f t="shared" si="835"/>
        <v>353.26813430093381</v>
      </c>
    </row>
    <row r="283" spans="1:183" ht="12" customHeight="1" x14ac:dyDescent="0.3">
      <c r="A283" s="25">
        <v>265</v>
      </c>
      <c r="B283" s="4" t="s">
        <v>605</v>
      </c>
      <c r="C283" s="4">
        <v>2016</v>
      </c>
      <c r="D283" s="4" t="s">
        <v>309</v>
      </c>
      <c r="E283" s="24" t="s">
        <v>665</v>
      </c>
      <c r="F283" s="7" t="s">
        <v>422</v>
      </c>
      <c r="G283" s="38">
        <f t="shared" si="804"/>
        <v>889.65517241379314</v>
      </c>
      <c r="H283" s="38">
        <f>9.92*25.4</f>
        <v>251.96799999999999</v>
      </c>
      <c r="I283" s="4">
        <f t="shared" si="746"/>
        <v>251.96799999999999</v>
      </c>
      <c r="J283" s="38">
        <f>11440/145</f>
        <v>78.896551724137936</v>
      </c>
      <c r="K283" s="38">
        <f t="shared" si="747"/>
        <v>25.4</v>
      </c>
      <c r="L283" s="7">
        <f t="shared" si="748"/>
        <v>9.92</v>
      </c>
      <c r="M283" s="7">
        <f t="shared" si="749"/>
        <v>9.92</v>
      </c>
      <c r="N283" s="38">
        <f>14*25.4</f>
        <v>355.59999999999997</v>
      </c>
      <c r="O283" s="38">
        <f>2.5*25.4</f>
        <v>63.5</v>
      </c>
      <c r="P283" s="39">
        <f>(3+3.3+3)/3*25.4</f>
        <v>78.739999999999995</v>
      </c>
      <c r="Q283" s="7">
        <f t="shared" si="750"/>
        <v>76.199999999999989</v>
      </c>
      <c r="R283" s="38">
        <v>3</v>
      </c>
      <c r="S283" s="4">
        <f t="shared" si="722"/>
        <v>260.34999999999997</v>
      </c>
      <c r="T283" s="7">
        <f t="shared" si="751"/>
        <v>1.9999999999999998</v>
      </c>
      <c r="U283" s="7">
        <f t="shared" si="859"/>
        <v>3</v>
      </c>
      <c r="V283" s="38">
        <v>4.0999999999999996</v>
      </c>
      <c r="W283" s="4">
        <f t="shared" si="752"/>
        <v>4.0999999999999996</v>
      </c>
      <c r="X283" s="4">
        <f t="shared" si="753"/>
        <v>5.0999999999999996</v>
      </c>
      <c r="Y283" s="7">
        <f t="shared" si="754"/>
        <v>57.361276136431961</v>
      </c>
      <c r="AB283" s="38">
        <f t="shared" si="786"/>
        <v>426.89655172413796</v>
      </c>
      <c r="AC283" s="4">
        <v>61.9</v>
      </c>
      <c r="AD283" s="4">
        <f t="shared" si="666"/>
        <v>0.75738494469674067</v>
      </c>
      <c r="AE283" s="38"/>
      <c r="AF283" s="38"/>
      <c r="AG283" s="39">
        <v>1</v>
      </c>
      <c r="AH283" s="39"/>
      <c r="AI283" s="39"/>
      <c r="AJ283" s="7"/>
      <c r="AK283" s="4">
        <f t="shared" si="755"/>
        <v>251.96799999999999</v>
      </c>
      <c r="AL283" s="4">
        <f t="shared" si="678"/>
        <v>0.47043010752688169</v>
      </c>
      <c r="AM283" s="4">
        <f t="shared" si="679"/>
        <v>233.70528033380882</v>
      </c>
      <c r="AN283" s="4">
        <f t="shared" si="680"/>
        <v>0.76048387096774195</v>
      </c>
      <c r="AO283" s="4">
        <v>1.25</v>
      </c>
      <c r="AP283" s="4">
        <f t="shared" si="844"/>
        <v>2.5</v>
      </c>
      <c r="AQ283" s="38">
        <f t="shared" si="723"/>
        <v>261.27849331674088</v>
      </c>
      <c r="AR283" s="38">
        <f t="shared" si="682"/>
        <v>261.27849331674088</v>
      </c>
      <c r="AS283" s="38">
        <f t="shared" si="683"/>
        <v>4.8146447394162166</v>
      </c>
      <c r="AT283" s="38">
        <f t="shared" si="853"/>
        <v>261.27849331674076</v>
      </c>
      <c r="AU283" s="38">
        <f t="shared" si="820"/>
        <v>1.0000000000000004</v>
      </c>
      <c r="AV283" s="38">
        <f t="shared" si="715"/>
        <v>2.9348609175873812</v>
      </c>
      <c r="AW283" s="4">
        <f t="shared" si="707"/>
        <v>0</v>
      </c>
      <c r="AX283" s="4">
        <f t="shared" si="756"/>
        <v>463.7533740037855</v>
      </c>
      <c r="AY283" s="4">
        <f t="shared" si="724"/>
        <v>1.2000000000000002</v>
      </c>
      <c r="AZ283" s="38">
        <f t="shared" si="837"/>
        <v>766.81603864141823</v>
      </c>
      <c r="BA283" s="4">
        <f t="shared" si="725"/>
        <v>0.42600000000000005</v>
      </c>
      <c r="BB283" s="4">
        <f t="shared" si="726"/>
        <v>103.2245447526326</v>
      </c>
      <c r="BC283" s="4">
        <f t="shared" si="727"/>
        <v>870.04058339405083</v>
      </c>
      <c r="BE283" s="4">
        <f t="shared" si="854"/>
        <v>1.375</v>
      </c>
      <c r="BF283" s="4">
        <f t="shared" si="860"/>
        <v>729.86459687089723</v>
      </c>
      <c r="BH283" s="4">
        <f t="shared" si="861"/>
        <v>735.4703565480313</v>
      </c>
      <c r="BI283" s="4">
        <f t="shared" si="806"/>
        <v>0</v>
      </c>
      <c r="BJ283" s="4">
        <f t="shared" si="862"/>
        <v>0</v>
      </c>
      <c r="BR283" s="4">
        <f t="shared" si="728"/>
        <v>38.099999999999994</v>
      </c>
      <c r="BV283" s="9"/>
      <c r="BX283" s="9"/>
      <c r="BY283" s="9"/>
      <c r="BZ283" s="9">
        <f t="shared" si="729"/>
        <v>38.099999999999994</v>
      </c>
      <c r="CA283" s="9">
        <f t="shared" si="730"/>
        <v>63.5</v>
      </c>
      <c r="CB283" s="9">
        <f t="shared" si="821"/>
        <v>1.3222785168171165</v>
      </c>
      <c r="CC283" s="40">
        <f t="shared" si="757"/>
        <v>0</v>
      </c>
      <c r="CD283" s="9">
        <f t="shared" si="731"/>
        <v>0</v>
      </c>
      <c r="CE283" s="9">
        <f t="shared" si="732"/>
        <v>0</v>
      </c>
      <c r="CF283" s="9">
        <f t="shared" si="733"/>
        <v>0.99524931562137331</v>
      </c>
      <c r="CG283" s="9">
        <f t="shared" si="734"/>
        <v>0.68</v>
      </c>
      <c r="CH283" s="9">
        <f t="shared" si="822"/>
        <v>2.1039618260511515</v>
      </c>
      <c r="CI283" s="9">
        <f t="shared" si="823"/>
        <v>2.7820235227907486</v>
      </c>
      <c r="CJ283" s="40">
        <v>1</v>
      </c>
      <c r="CK283" s="9">
        <f t="shared" si="824"/>
        <v>277.31210475178182</v>
      </c>
      <c r="CM283" s="4">
        <f t="shared" si="735"/>
        <v>0.92052495066192941</v>
      </c>
      <c r="CN283" s="4">
        <f t="shared" si="736"/>
        <v>0.49066280340487506</v>
      </c>
      <c r="CO283" s="4">
        <f t="shared" si="708"/>
        <v>0.58489828600310911</v>
      </c>
      <c r="CP283" s="4">
        <f t="shared" si="737"/>
        <v>1.5394082854992828</v>
      </c>
      <c r="CQ283" s="4">
        <f t="shared" si="694"/>
        <v>0.75738494469674067</v>
      </c>
      <c r="CR283" s="4">
        <f t="shared" si="695"/>
        <v>0.76591341717817985</v>
      </c>
      <c r="CS283" s="4">
        <f t="shared" si="709"/>
        <v>1.2067087626321074</v>
      </c>
      <c r="CT283" s="4">
        <f t="shared" si="758"/>
        <v>0</v>
      </c>
      <c r="CU283" s="4">
        <f t="shared" ref="CU283:CV283" si="868">CM283</f>
        <v>0.92052495066192941</v>
      </c>
      <c r="CV283" s="4">
        <f t="shared" si="868"/>
        <v>0.49066280340487506</v>
      </c>
      <c r="CW283" s="4">
        <f t="shared" ref="CW283" si="869">CP283</f>
        <v>1.5394082854992828</v>
      </c>
      <c r="CX283" s="4">
        <f t="shared" ref="CX283" si="870">CS283</f>
        <v>1.2067087626321074</v>
      </c>
      <c r="CY283" s="4">
        <f t="shared" ref="CY283:CZ283" si="871">CQ283</f>
        <v>0.75738494469674067</v>
      </c>
      <c r="CZ283" s="4">
        <f t="shared" si="871"/>
        <v>0.76591341717817985</v>
      </c>
      <c r="DI283" s="4">
        <f t="shared" si="742"/>
        <v>251.96799999999999</v>
      </c>
      <c r="DL283" s="4">
        <f t="shared" si="667"/>
        <v>2.4148361798518977E-5</v>
      </c>
      <c r="DM283" s="4">
        <f t="shared" si="769"/>
        <v>10.04143675130468</v>
      </c>
      <c r="DN283" s="4">
        <f t="shared" si="668"/>
        <v>0.18027996513199299</v>
      </c>
      <c r="DO283" s="4">
        <f t="shared" si="669"/>
        <v>5.0602834368430525</v>
      </c>
      <c r="DP283" s="4">
        <f t="shared" si="670"/>
        <v>7.9549538182287627</v>
      </c>
      <c r="DQ283" s="4">
        <f t="shared" si="671"/>
        <v>9.2515968559547055</v>
      </c>
      <c r="DR283" s="38">
        <f t="shared" si="684"/>
        <v>563.6454153377299</v>
      </c>
      <c r="DS283" s="4">
        <f t="shared" si="829"/>
        <v>1.0000904410420515</v>
      </c>
      <c r="DT283" s="4">
        <f t="shared" si="672"/>
        <v>2.2583179581272428</v>
      </c>
      <c r="DU283" s="4">
        <f t="shared" si="842"/>
        <v>261.27849331674076</v>
      </c>
      <c r="DY283" s="4">
        <f t="shared" si="785"/>
        <v>0.85</v>
      </c>
      <c r="DZ283" s="4">
        <f t="shared" si="830"/>
        <v>0.95</v>
      </c>
      <c r="EA283" s="4">
        <f t="shared" si="685"/>
        <v>1</v>
      </c>
      <c r="EB283" s="4">
        <f t="shared" si="831"/>
        <v>0.95</v>
      </c>
      <c r="ED283" s="4">
        <f t="shared" si="686"/>
        <v>557.36920407653076</v>
      </c>
      <c r="EE283" s="25">
        <f t="shared" si="687"/>
        <v>258.53604635770347</v>
      </c>
      <c r="EG283" s="4">
        <f t="shared" si="843"/>
        <v>0.8075</v>
      </c>
      <c r="EH283" s="4">
        <f t="shared" si="688"/>
        <v>10.04143675130468</v>
      </c>
      <c r="EK283" s="4">
        <f t="shared" si="673"/>
        <v>57.361276136431961</v>
      </c>
      <c r="EL283" s="4">
        <f t="shared" si="674"/>
        <v>2.2583179581272428</v>
      </c>
      <c r="EM283" s="4">
        <f t="shared" si="675"/>
        <v>8.7561207479214337E-2</v>
      </c>
      <c r="EP283" s="4">
        <f t="shared" si="759"/>
        <v>8.7561207479214337E-2</v>
      </c>
      <c r="EQ283" s="4">
        <f t="shared" si="721"/>
        <v>0.17997911146980572</v>
      </c>
      <c r="ER283" s="4">
        <f t="shared" si="770"/>
        <v>5.056903876247655</v>
      </c>
      <c r="ES283" s="4">
        <f t="shared" si="743"/>
        <v>7.9538911861800736</v>
      </c>
      <c r="ET283" s="4">
        <f t="shared" si="771"/>
        <v>131.61472386356803</v>
      </c>
      <c r="EU283" s="4">
        <f t="shared" si="772"/>
        <v>62.99199999999999</v>
      </c>
      <c r="EV283" s="4">
        <f t="shared" si="832"/>
        <v>2.414836179851897E-5</v>
      </c>
      <c r="EW283" s="4">
        <f t="shared" si="744"/>
        <v>9.2517562618422335</v>
      </c>
      <c r="EX283" s="4">
        <f t="shared" si="867"/>
        <v>563.5944432689862</v>
      </c>
      <c r="FG283" s="23">
        <f t="shared" si="778"/>
        <v>1</v>
      </c>
      <c r="FH283" s="23">
        <f t="shared" si="778"/>
        <v>0.6</v>
      </c>
      <c r="FI283" s="23">
        <f t="shared" si="712"/>
        <v>1.4</v>
      </c>
      <c r="FJ283" s="23">
        <f t="shared" si="779"/>
        <v>1.6</v>
      </c>
      <c r="FK283" s="23">
        <f t="shared" si="779"/>
        <v>0.8</v>
      </c>
      <c r="FL283" s="23">
        <f t="shared" si="779"/>
        <v>0.8</v>
      </c>
      <c r="FM283" s="23">
        <f t="shared" si="701"/>
        <v>1</v>
      </c>
      <c r="FN283" s="23"/>
      <c r="FX283" s="4">
        <f t="shared" si="833"/>
        <v>1</v>
      </c>
      <c r="FY283" s="4">
        <f t="shared" si="652"/>
        <v>0.83333333333333326</v>
      </c>
      <c r="FZ283" s="4">
        <f t="shared" si="834"/>
        <v>0</v>
      </c>
      <c r="GA283" s="4">
        <f t="shared" si="835"/>
        <v>353.76933104635714</v>
      </c>
    </row>
    <row r="284" spans="1:183" ht="12" customHeight="1" x14ac:dyDescent="0.3">
      <c r="A284" s="25">
        <v>266</v>
      </c>
      <c r="B284" s="4" t="s">
        <v>605</v>
      </c>
      <c r="C284" s="4">
        <v>2016</v>
      </c>
      <c r="D284" s="4" t="s">
        <v>309</v>
      </c>
      <c r="E284" s="24" t="s">
        <v>665</v>
      </c>
      <c r="F284" s="7" t="s">
        <v>423</v>
      </c>
      <c r="G284" s="38">
        <f t="shared" si="804"/>
        <v>889.65517241379314</v>
      </c>
      <c r="H284" s="38">
        <f>9.77*25.4</f>
        <v>248.15799999999999</v>
      </c>
      <c r="I284" s="4">
        <f t="shared" si="746"/>
        <v>248.15799999999999</v>
      </c>
      <c r="J284" s="38">
        <f t="shared" ref="J284" si="872">11440/145</f>
        <v>78.896551724137936</v>
      </c>
      <c r="K284" s="38">
        <f t="shared" si="747"/>
        <v>25.4</v>
      </c>
      <c r="L284" s="7">
        <f t="shared" si="748"/>
        <v>9.77</v>
      </c>
      <c r="M284" s="7">
        <f t="shared" si="749"/>
        <v>9.77</v>
      </c>
      <c r="N284" s="38">
        <f>13.8*25.4</f>
        <v>350.52</v>
      </c>
      <c r="O284" s="38">
        <f>2.45*25.4</f>
        <v>62.230000000000004</v>
      </c>
      <c r="P284" s="39">
        <f>(3.2+3.1+3.3)/3*25.4</f>
        <v>81.280000000000015</v>
      </c>
      <c r="Q284" s="7">
        <f t="shared" si="750"/>
        <v>74.929999999999993</v>
      </c>
      <c r="R284" s="38">
        <v>3</v>
      </c>
      <c r="S284" s="4">
        <f t="shared" si="722"/>
        <v>260.34999999999997</v>
      </c>
      <c r="T284" s="7">
        <f t="shared" si="751"/>
        <v>1.9749999999999999</v>
      </c>
      <c r="U284" s="7">
        <f t="shared" si="859"/>
        <v>2.95</v>
      </c>
      <c r="V284" s="38">
        <v>4.0999999999999996</v>
      </c>
      <c r="W284" s="4">
        <f t="shared" si="752"/>
        <v>4.0999999999999996</v>
      </c>
      <c r="X284" s="4">
        <f t="shared" si="753"/>
        <v>5.0999999999999996</v>
      </c>
      <c r="Y284" s="7">
        <f t="shared" si="754"/>
        <v>57.361276136431961</v>
      </c>
      <c r="AB284" s="38">
        <f t="shared" si="786"/>
        <v>573.79310344827593</v>
      </c>
      <c r="AC284" s="4">
        <v>83.2</v>
      </c>
      <c r="AD284" s="4">
        <f t="shared" si="666"/>
        <v>0.98660780016235983</v>
      </c>
      <c r="AE284" s="38">
        <f t="shared" si="836"/>
        <v>9.5249999999999986</v>
      </c>
      <c r="AF284" s="38">
        <v>10</v>
      </c>
      <c r="AG284" s="39">
        <f>3*25.4</f>
        <v>76.199999999999989</v>
      </c>
      <c r="AH284" s="39">
        <v>3</v>
      </c>
      <c r="AI284" s="39">
        <v>2</v>
      </c>
      <c r="AJ284" s="7"/>
      <c r="AK284" s="4">
        <f t="shared" si="755"/>
        <v>248.15799999999999</v>
      </c>
      <c r="AL284" s="4">
        <f t="shared" si="678"/>
        <v>0.47082906857727741</v>
      </c>
      <c r="AM284" s="4">
        <f t="shared" si="679"/>
        <v>228.42459432627268</v>
      </c>
      <c r="AN284" s="4">
        <f t="shared" si="680"/>
        <v>0.76038894575230298</v>
      </c>
      <c r="AO284" s="4">
        <v>1.25</v>
      </c>
      <c r="AP284" s="4">
        <f t="shared" si="844"/>
        <v>2.5</v>
      </c>
      <c r="AQ284" s="38">
        <f t="shared" si="723"/>
        <v>255.55945104042959</v>
      </c>
      <c r="AR284" s="38">
        <f t="shared" si="682"/>
        <v>255.55945104042959</v>
      </c>
      <c r="AS284" s="38">
        <f t="shared" si="683"/>
        <v>4.8146447394162166</v>
      </c>
      <c r="AT284" s="38">
        <f t="shared" si="853"/>
        <v>255.55945104042956</v>
      </c>
      <c r="AU284" s="38">
        <f t="shared" si="820"/>
        <v>1.0000000000000002</v>
      </c>
      <c r="AV284" s="38">
        <f t="shared" si="715"/>
        <v>2.9567809042797739</v>
      </c>
      <c r="AW284" s="4">
        <f t="shared" si="707"/>
        <v>0</v>
      </c>
      <c r="AX284" s="4">
        <f t="shared" si="756"/>
        <v>456.74097419526049</v>
      </c>
      <c r="AY284" s="4">
        <f t="shared" si="724"/>
        <v>1.1974683544303799</v>
      </c>
      <c r="AZ284" s="38">
        <f t="shared" si="837"/>
        <v>755.63330474456393</v>
      </c>
      <c r="BA284" s="4">
        <f t="shared" si="725"/>
        <v>0.42600000000000005</v>
      </c>
      <c r="BB284" s="4">
        <f t="shared" si="726"/>
        <v>101.66368974125207</v>
      </c>
      <c r="BC284" s="4">
        <f t="shared" si="727"/>
        <v>857.29699448581596</v>
      </c>
      <c r="BE284" s="4">
        <f t="shared" si="854"/>
        <v>1.5</v>
      </c>
      <c r="BF284" s="4">
        <f t="shared" si="860"/>
        <v>790.22032202287176</v>
      </c>
      <c r="BH284" s="4">
        <f t="shared" si="861"/>
        <v>724.74474718170586</v>
      </c>
      <c r="BI284" s="4">
        <f t="shared" si="806"/>
        <v>0</v>
      </c>
      <c r="BJ284" s="4">
        <f t="shared" si="862"/>
        <v>0</v>
      </c>
      <c r="BR284" s="4">
        <f t="shared" si="728"/>
        <v>37.464999999999996</v>
      </c>
      <c r="BV284" s="9"/>
      <c r="BX284" s="9"/>
      <c r="BY284" s="9"/>
      <c r="BZ284" s="9">
        <f t="shared" si="729"/>
        <v>37.464999999999996</v>
      </c>
      <c r="CA284" s="9">
        <f t="shared" si="730"/>
        <v>62.230000000000004</v>
      </c>
      <c r="CB284" s="9">
        <f t="shared" si="821"/>
        <v>1.3105455489610944</v>
      </c>
      <c r="CC284" s="40">
        <f t="shared" si="757"/>
        <v>20</v>
      </c>
      <c r="CD284" s="9">
        <f t="shared" si="731"/>
        <v>0.05</v>
      </c>
      <c r="CE284" s="9">
        <f t="shared" si="732"/>
        <v>0.8</v>
      </c>
      <c r="CF284" s="9">
        <f t="shared" si="733"/>
        <v>0.99524931562137331</v>
      </c>
      <c r="CG284" s="9">
        <f t="shared" si="734"/>
        <v>0.68</v>
      </c>
      <c r="CH284" s="9">
        <f t="shared" si="822"/>
        <v>2.1039618260511515</v>
      </c>
      <c r="CI284" s="9">
        <f t="shared" si="823"/>
        <v>4.4405072671563142</v>
      </c>
      <c r="CJ284" s="40">
        <v>1</v>
      </c>
      <c r="CK284" s="9">
        <f t="shared" si="824"/>
        <v>439.96546002984758</v>
      </c>
      <c r="CM284" s="4">
        <f t="shared" si="735"/>
        <v>1.2562768305586147</v>
      </c>
      <c r="CN284" s="4">
        <f t="shared" si="736"/>
        <v>0.669304928325827</v>
      </c>
      <c r="CO284" s="4">
        <f t="shared" si="708"/>
        <v>0.72611787808674999</v>
      </c>
      <c r="CP284" s="4">
        <f t="shared" si="737"/>
        <v>1.3041776129638663</v>
      </c>
      <c r="CQ284" s="4">
        <f t="shared" si="694"/>
        <v>0.98660780016235983</v>
      </c>
      <c r="CR284" s="4">
        <f t="shared" si="695"/>
        <v>0.99490267950518141</v>
      </c>
      <c r="CS284" s="4">
        <f t="shared" si="709"/>
        <v>1.5537534775920558</v>
      </c>
      <c r="CT284" s="4">
        <f t="shared" si="758"/>
        <v>10</v>
      </c>
      <c r="DA284" s="4">
        <f t="shared" ref="DA284:DB284" si="873">CM284</f>
        <v>1.2562768305586147</v>
      </c>
      <c r="DB284" s="4">
        <f t="shared" si="873"/>
        <v>0.669304928325827</v>
      </c>
      <c r="DC284" s="4">
        <f t="shared" ref="DC284" si="874">CP284</f>
        <v>1.3041776129638663</v>
      </c>
      <c r="DD284" s="4">
        <f t="shared" ref="DD284" si="875">CS284</f>
        <v>1.5537534775920558</v>
      </c>
      <c r="DE284" s="4">
        <f t="shared" ref="DE284:DF284" si="876">CQ284</f>
        <v>0.98660780016235983</v>
      </c>
      <c r="DF284" s="4">
        <f t="shared" si="876"/>
        <v>0.99490267950518141</v>
      </c>
      <c r="DI284" s="4">
        <f t="shared" si="742"/>
        <v>248.15799999999999</v>
      </c>
      <c r="DL284" s="4">
        <f t="shared" si="667"/>
        <v>2.3783215198742983E-5</v>
      </c>
      <c r="DM284" s="4">
        <f t="shared" si="769"/>
        <v>11.051124164708563</v>
      </c>
      <c r="DN284" s="4">
        <f t="shared" si="668"/>
        <v>0.17633387401261452</v>
      </c>
      <c r="DO284" s="4">
        <f t="shared" si="669"/>
        <v>5.5200213571306262</v>
      </c>
      <c r="DP284" s="4">
        <f t="shared" si="670"/>
        <v>8.739461203836381</v>
      </c>
      <c r="DQ284" s="4">
        <f t="shared" si="671"/>
        <v>10.128022414968948</v>
      </c>
      <c r="DR284" s="38">
        <f t="shared" si="684"/>
        <v>581.58176263541645</v>
      </c>
      <c r="DS284" s="4">
        <f t="shared" si="829"/>
        <v>1.0000942556269328</v>
      </c>
      <c r="DT284" s="4">
        <f t="shared" si="672"/>
        <v>2.2583179581272428</v>
      </c>
      <c r="DU284" s="4">
        <f t="shared" si="842"/>
        <v>255.55945104042956</v>
      </c>
      <c r="DY284" s="4">
        <f t="shared" si="785"/>
        <v>0.85</v>
      </c>
      <c r="DZ284" s="4">
        <f t="shared" si="830"/>
        <v>0.95250000000000001</v>
      </c>
      <c r="EA284" s="4">
        <f t="shared" si="685"/>
        <v>0.90625</v>
      </c>
      <c r="EB284" s="4">
        <f t="shared" si="831"/>
        <v>0.86320312499999996</v>
      </c>
      <c r="ED284" s="4">
        <f t="shared" si="686"/>
        <v>576.73289585837085</v>
      </c>
      <c r="EE284" s="25">
        <f t="shared" si="687"/>
        <v>252.82444659076288</v>
      </c>
      <c r="EG284" s="4">
        <f t="shared" si="843"/>
        <v>0.73372265624999999</v>
      </c>
      <c r="EH284" s="4">
        <f t="shared" si="688"/>
        <v>11.051124164708563</v>
      </c>
      <c r="EK284" s="4">
        <f t="shared" si="673"/>
        <v>57.361276136431961</v>
      </c>
      <c r="EL284" s="4">
        <f t="shared" si="674"/>
        <v>2.2583179581272428</v>
      </c>
      <c r="EM284" s="4">
        <f t="shared" si="675"/>
        <v>8.5644607911520801E-2</v>
      </c>
      <c r="EP284" s="4">
        <f t="shared" si="759"/>
        <v>8.5644607911520801E-2</v>
      </c>
      <c r="EQ284" s="4">
        <f t="shared" si="721"/>
        <v>0.17603960564105409</v>
      </c>
      <c r="ER284" s="4">
        <f t="shared" si="770"/>
        <v>5.5163347559951079</v>
      </c>
      <c r="ES284" s="4">
        <f t="shared" si="743"/>
        <v>8.7383107581814947</v>
      </c>
      <c r="ET284" s="4">
        <f t="shared" si="771"/>
        <v>128.75722386356802</v>
      </c>
      <c r="EU284" s="4">
        <f t="shared" si="772"/>
        <v>62.039500000000004</v>
      </c>
      <c r="EV284" s="4">
        <f t="shared" si="832"/>
        <v>2.3783215198742983E-5</v>
      </c>
      <c r="EW284" s="4">
        <f t="shared" si="744"/>
        <v>10.12820840849178</v>
      </c>
      <c r="EX284" s="4">
        <f t="shared" si="867"/>
        <v>581.52695044812367</v>
      </c>
      <c r="FG284" s="23">
        <f t="shared" si="778"/>
        <v>1.4</v>
      </c>
      <c r="FH284" s="23">
        <f t="shared" si="778"/>
        <v>0.8</v>
      </c>
      <c r="FI284" s="23">
        <f t="shared" si="712"/>
        <v>1.6</v>
      </c>
      <c r="FJ284" s="23">
        <f t="shared" si="779"/>
        <v>1.4</v>
      </c>
      <c r="FK284" s="23">
        <f t="shared" si="779"/>
        <v>1</v>
      </c>
      <c r="FL284" s="23">
        <f t="shared" si="779"/>
        <v>1</v>
      </c>
      <c r="FM284" s="23">
        <f t="shared" si="701"/>
        <v>0</v>
      </c>
      <c r="FN284" s="23"/>
      <c r="FX284" s="4">
        <f t="shared" si="833"/>
        <v>1.25</v>
      </c>
      <c r="FY284" s="4">
        <f t="shared" si="652"/>
        <v>0.62898255813953508</v>
      </c>
      <c r="FZ284" s="4">
        <f t="shared" si="834"/>
        <v>0.28124999999999994</v>
      </c>
      <c r="GA284" s="4">
        <f t="shared" si="835"/>
        <v>369.29481524798723</v>
      </c>
    </row>
    <row r="285" spans="1:183" ht="12" customHeight="1" x14ac:dyDescent="0.3">
      <c r="A285" s="25">
        <v>267</v>
      </c>
      <c r="B285" s="4" t="s">
        <v>605</v>
      </c>
      <c r="C285" s="4">
        <v>2016</v>
      </c>
      <c r="D285" s="4" t="s">
        <v>309</v>
      </c>
      <c r="E285" s="24" t="s">
        <v>665</v>
      </c>
      <c r="F285" s="7" t="s">
        <v>424</v>
      </c>
      <c r="G285" s="38">
        <f t="shared" si="804"/>
        <v>889.65517241379314</v>
      </c>
      <c r="H285" s="38">
        <f>9.92*25.4</f>
        <v>251.96799999999999</v>
      </c>
      <c r="I285" s="4">
        <f t="shared" si="746"/>
        <v>251.96799999999999</v>
      </c>
      <c r="J285" s="38">
        <f>11460/145</f>
        <v>79.034482758620683</v>
      </c>
      <c r="K285" s="38">
        <f t="shared" si="747"/>
        <v>25.4</v>
      </c>
      <c r="L285" s="7">
        <f t="shared" si="748"/>
        <v>9.92</v>
      </c>
      <c r="M285" s="7">
        <f t="shared" si="749"/>
        <v>9.92</v>
      </c>
      <c r="N285" s="38">
        <f>16.1*25.4</f>
        <v>408.94</v>
      </c>
      <c r="O285" s="38">
        <f>2.5*25.4</f>
        <v>63.5</v>
      </c>
      <c r="P285" s="39">
        <f>(3.2+3+3.3)/3*25.4</f>
        <v>80.433333333333323</v>
      </c>
      <c r="Q285" s="7">
        <f t="shared" si="750"/>
        <v>102.87</v>
      </c>
      <c r="R285" s="38">
        <v>3</v>
      </c>
      <c r="S285" s="4">
        <f t="shared" si="722"/>
        <v>260.34999999999997</v>
      </c>
      <c r="T285" s="7">
        <f t="shared" si="751"/>
        <v>2.5250000000000004</v>
      </c>
      <c r="U285" s="7">
        <f t="shared" si="859"/>
        <v>3</v>
      </c>
      <c r="V285" s="38">
        <v>4.0999999999999996</v>
      </c>
      <c r="W285" s="4">
        <f t="shared" si="752"/>
        <v>4.0999999999999996</v>
      </c>
      <c r="X285" s="4">
        <f t="shared" si="753"/>
        <v>5.0999999999999996</v>
      </c>
      <c r="Y285" s="7">
        <f t="shared" si="754"/>
        <v>57.361276136431961</v>
      </c>
      <c r="AB285" s="38">
        <f t="shared" si="786"/>
        <v>480.68965517241384</v>
      </c>
      <c r="AC285" s="4">
        <v>69.7</v>
      </c>
      <c r="AD285" s="4">
        <f t="shared" si="666"/>
        <v>0.7688185795271586</v>
      </c>
      <c r="AE285" s="38"/>
      <c r="AF285" s="38"/>
      <c r="AG285" s="39">
        <v>1</v>
      </c>
      <c r="AH285" s="39"/>
      <c r="AI285" s="39"/>
      <c r="AJ285" s="7"/>
      <c r="AK285" s="4">
        <f t="shared" si="755"/>
        <v>251.96799999999999</v>
      </c>
      <c r="AL285" s="4">
        <f t="shared" si="678"/>
        <v>0.540994623655914</v>
      </c>
      <c r="AM285" s="4">
        <f t="shared" si="679"/>
        <v>233.90947895759095</v>
      </c>
      <c r="AN285" s="4">
        <f t="shared" si="680"/>
        <v>0.76048387096774195</v>
      </c>
      <c r="AO285" s="4">
        <v>1.25</v>
      </c>
      <c r="AP285" s="4">
        <f t="shared" si="844"/>
        <v>2.5</v>
      </c>
      <c r="AQ285" s="38">
        <f t="shared" si="723"/>
        <v>300.73280145548068</v>
      </c>
      <c r="AR285" s="38">
        <f t="shared" si="682"/>
        <v>300.73280145548068</v>
      </c>
      <c r="AS285" s="38">
        <f t="shared" si="683"/>
        <v>4.8176603871508874</v>
      </c>
      <c r="AT285" s="38">
        <f t="shared" si="853"/>
        <v>300.73280145548046</v>
      </c>
      <c r="AU285" s="38">
        <f t="shared" si="820"/>
        <v>1.0000000000000007</v>
      </c>
      <c r="AV285" s="38">
        <f t="shared" si="715"/>
        <v>2.8895324324262508</v>
      </c>
      <c r="AW285" s="4">
        <f t="shared" si="707"/>
        <v>0</v>
      </c>
      <c r="AX285" s="4">
        <f t="shared" si="756"/>
        <v>464.15857580586129</v>
      </c>
      <c r="AY285" s="4">
        <f t="shared" si="724"/>
        <v>1.0752475247524751</v>
      </c>
      <c r="AZ285" s="38">
        <f t="shared" si="837"/>
        <v>868.97718330001521</v>
      </c>
      <c r="BA285" s="4">
        <f t="shared" si="725"/>
        <v>0.42600000000000005</v>
      </c>
      <c r="BB285" s="4">
        <f t="shared" si="726"/>
        <v>103.31473659574765</v>
      </c>
      <c r="BC285" s="4">
        <f t="shared" si="727"/>
        <v>972.29191989576282</v>
      </c>
      <c r="BE285" s="4">
        <f t="shared" si="854"/>
        <v>1.375</v>
      </c>
      <c r="BF285" s="4">
        <f t="shared" si="860"/>
        <v>730.50231179978312</v>
      </c>
      <c r="BH285" s="4">
        <f t="shared" si="861"/>
        <v>833.45538776951423</v>
      </c>
      <c r="BI285" s="4">
        <f t="shared" si="806"/>
        <v>0</v>
      </c>
      <c r="BJ285" s="4">
        <f t="shared" si="862"/>
        <v>0</v>
      </c>
      <c r="BR285" s="4">
        <f t="shared" si="728"/>
        <v>51.435000000000002</v>
      </c>
      <c r="BV285" s="9"/>
      <c r="BX285" s="9"/>
      <c r="BY285" s="9"/>
      <c r="BZ285" s="9">
        <f t="shared" si="729"/>
        <v>51.435000000000002</v>
      </c>
      <c r="CA285" s="9">
        <f t="shared" si="730"/>
        <v>63.5</v>
      </c>
      <c r="CB285" s="9">
        <f t="shared" si="821"/>
        <v>1.4687225435414653</v>
      </c>
      <c r="CC285" s="40">
        <f t="shared" si="757"/>
        <v>0</v>
      </c>
      <c r="CD285" s="9">
        <f t="shared" si="731"/>
        <v>0</v>
      </c>
      <c r="CE285" s="9">
        <f t="shared" si="732"/>
        <v>0</v>
      </c>
      <c r="CF285" s="9">
        <f t="shared" si="733"/>
        <v>0.99524931562137331</v>
      </c>
      <c r="CG285" s="9">
        <f t="shared" si="734"/>
        <v>0.68</v>
      </c>
      <c r="CH285" s="9">
        <f t="shared" si="822"/>
        <v>2.1058001504088901</v>
      </c>
      <c r="CI285" s="9">
        <f t="shared" si="823"/>
        <v>3.0928361530985451</v>
      </c>
      <c r="CJ285" s="40">
        <v>1</v>
      </c>
      <c r="CK285" s="9">
        <f t="shared" si="824"/>
        <v>308.29390774086301</v>
      </c>
      <c r="CM285" s="4">
        <f t="shared" si="735"/>
        <v>1.0356151544498595</v>
      </c>
      <c r="CN285" s="4">
        <f t="shared" si="736"/>
        <v>0.49438820310668369</v>
      </c>
      <c r="CO285" s="4">
        <f t="shared" si="708"/>
        <v>0.65802619294675391</v>
      </c>
      <c r="CP285" s="4">
        <f t="shared" si="737"/>
        <v>1.5591928452133359</v>
      </c>
      <c r="CQ285" s="4">
        <f t="shared" si="694"/>
        <v>0.7688185795271586</v>
      </c>
      <c r="CR285" s="4">
        <f t="shared" si="695"/>
        <v>0.782670244439856</v>
      </c>
      <c r="CS285" s="4">
        <f t="shared" si="709"/>
        <v>1.2155644280465276</v>
      </c>
      <c r="CT285" s="4">
        <f t="shared" si="758"/>
        <v>0</v>
      </c>
      <c r="CU285" s="4">
        <f t="shared" ref="CU285:CV285" si="877">CM285</f>
        <v>1.0356151544498595</v>
      </c>
      <c r="CV285" s="4">
        <f t="shared" si="877"/>
        <v>0.49438820310668369</v>
      </c>
      <c r="CW285" s="4">
        <f t="shared" ref="CW285" si="878">CP285</f>
        <v>1.5591928452133359</v>
      </c>
      <c r="CX285" s="4">
        <f t="shared" ref="CX285" si="879">CS285</f>
        <v>1.2155644280465276</v>
      </c>
      <c r="CY285" s="4">
        <f t="shared" ref="CY285:CZ285" si="880">CQ285</f>
        <v>0.7688185795271586</v>
      </c>
      <c r="CZ285" s="4">
        <f t="shared" si="880"/>
        <v>0.782670244439856</v>
      </c>
      <c r="DI285" s="4">
        <f t="shared" si="742"/>
        <v>251.96799999999999</v>
      </c>
      <c r="DL285" s="4">
        <f t="shared" si="667"/>
        <v>2.4168369041980222E-5</v>
      </c>
      <c r="DM285" s="4">
        <f t="shared" si="769"/>
        <v>10.638105713782785</v>
      </c>
      <c r="DN285" s="4">
        <f t="shared" si="668"/>
        <v>0.20714097168754586</v>
      </c>
      <c r="DO285" s="4">
        <f t="shared" si="669"/>
        <v>5.6672282629254962</v>
      </c>
      <c r="DP285" s="4">
        <f t="shared" si="670"/>
        <v>8.5262775120215917</v>
      </c>
      <c r="DQ285" s="4">
        <f t="shared" si="671"/>
        <v>9.7362226598816992</v>
      </c>
      <c r="DR285" s="38">
        <f t="shared" si="684"/>
        <v>625.23157994965368</v>
      </c>
      <c r="DS285" s="4">
        <f t="shared" si="829"/>
        <v>1.0000929642221095</v>
      </c>
      <c r="DT285" s="4">
        <f t="shared" si="672"/>
        <v>2.2583179581272428</v>
      </c>
      <c r="DU285" s="4">
        <f t="shared" si="842"/>
        <v>300.73280145548046</v>
      </c>
      <c r="DY285" s="4">
        <f t="shared" si="785"/>
        <v>0.85</v>
      </c>
      <c r="DZ285" s="4">
        <f t="shared" si="830"/>
        <v>0.89749999999999996</v>
      </c>
      <c r="EA285" s="4">
        <f t="shared" si="685"/>
        <v>1</v>
      </c>
      <c r="EB285" s="4">
        <f t="shared" si="831"/>
        <v>0.89749999999999996</v>
      </c>
      <c r="ED285" s="4">
        <f t="shared" si="686"/>
        <v>614.16625786819759</v>
      </c>
      <c r="EE285" s="25">
        <f t="shared" si="687"/>
        <v>297.5762318260218</v>
      </c>
      <c r="EG285" s="4">
        <f t="shared" si="843"/>
        <v>0.76287499999999997</v>
      </c>
      <c r="EH285" s="4">
        <f t="shared" si="688"/>
        <v>10.638105713782785</v>
      </c>
      <c r="EK285" s="4">
        <f t="shared" si="673"/>
        <v>57.361276136431961</v>
      </c>
      <c r="EL285" s="4">
        <f t="shared" si="674"/>
        <v>2.2583179581272428</v>
      </c>
      <c r="EM285" s="4">
        <f t="shared" si="675"/>
        <v>0.10069538860109649</v>
      </c>
      <c r="EP285" s="4">
        <f t="shared" si="759"/>
        <v>0.10069538860109649</v>
      </c>
      <c r="EQ285" s="4">
        <f t="shared" si="721"/>
        <v>0.2067952920116285</v>
      </c>
      <c r="ER285" s="4">
        <f t="shared" si="770"/>
        <v>5.6634433481946225</v>
      </c>
      <c r="ES285" s="4">
        <f t="shared" si="743"/>
        <v>8.5250307099253781</v>
      </c>
      <c r="ET285" s="4">
        <f t="shared" si="771"/>
        <v>131.61472386356803</v>
      </c>
      <c r="EU285" s="4">
        <f t="shared" si="772"/>
        <v>62.99199999999999</v>
      </c>
      <c r="EV285" s="4">
        <f t="shared" si="832"/>
        <v>2.4168369041980216E-5</v>
      </c>
      <c r="EW285" s="4">
        <f t="shared" si="744"/>
        <v>9.7364155557739451</v>
      </c>
      <c r="EX285" s="4">
        <f t="shared" si="867"/>
        <v>625.17346118515115</v>
      </c>
      <c r="FG285" s="23">
        <f t="shared" si="778"/>
        <v>1.2</v>
      </c>
      <c r="FH285" s="23">
        <f t="shared" si="778"/>
        <v>0.6</v>
      </c>
      <c r="FI285" s="23">
        <f t="shared" si="712"/>
        <v>1.4</v>
      </c>
      <c r="FJ285" s="23">
        <f t="shared" si="779"/>
        <v>1.6</v>
      </c>
      <c r="FK285" s="23">
        <f t="shared" si="779"/>
        <v>0.8</v>
      </c>
      <c r="FL285" s="23">
        <f t="shared" si="779"/>
        <v>0.8</v>
      </c>
      <c r="FM285" s="23">
        <f t="shared" si="701"/>
        <v>1</v>
      </c>
      <c r="FN285" s="23"/>
      <c r="FX285" s="4">
        <f t="shared" si="833"/>
        <v>1</v>
      </c>
      <c r="FY285" s="4">
        <f t="shared" si="652"/>
        <v>0.74583333333333324</v>
      </c>
      <c r="FZ285" s="4">
        <f t="shared" si="834"/>
        <v>0</v>
      </c>
      <c r="GA285" s="4">
        <f t="shared" si="835"/>
        <v>395.44564161432885</v>
      </c>
    </row>
    <row r="286" spans="1:183" ht="12" customHeight="1" x14ac:dyDescent="0.3">
      <c r="A286" s="25">
        <v>268</v>
      </c>
      <c r="B286" s="4" t="s">
        <v>605</v>
      </c>
      <c r="C286" s="4">
        <v>2016</v>
      </c>
      <c r="D286" s="4" t="s">
        <v>309</v>
      </c>
      <c r="E286" s="24" t="s">
        <v>665</v>
      </c>
      <c r="F286" s="7" t="s">
        <v>425</v>
      </c>
      <c r="G286" s="38">
        <f t="shared" si="804"/>
        <v>889.65517241379314</v>
      </c>
      <c r="H286" s="38">
        <f>9.6*25.4</f>
        <v>243.83999999999997</v>
      </c>
      <c r="I286" s="4">
        <f t="shared" si="746"/>
        <v>243.83999999999997</v>
      </c>
      <c r="J286" s="38">
        <f>11460/145</f>
        <v>79.034482758620683</v>
      </c>
      <c r="K286" s="38">
        <f t="shared" si="747"/>
        <v>25.4</v>
      </c>
      <c r="L286" s="7">
        <f t="shared" si="748"/>
        <v>9.6</v>
      </c>
      <c r="M286" s="7">
        <f t="shared" si="749"/>
        <v>9.6</v>
      </c>
      <c r="N286" s="38">
        <f>16.3*25.4</f>
        <v>414.02</v>
      </c>
      <c r="O286" s="38">
        <f t="shared" ref="O286:O293" si="881">2.5*25.4</f>
        <v>63.5</v>
      </c>
      <c r="P286" s="39">
        <f>(3.5+3.9+3.6)/3*25.4</f>
        <v>93.133333333333326</v>
      </c>
      <c r="Q286" s="7">
        <f t="shared" si="750"/>
        <v>105.41</v>
      </c>
      <c r="R286" s="38">
        <v>3</v>
      </c>
      <c r="S286" s="4">
        <f t="shared" si="722"/>
        <v>260.34999999999997</v>
      </c>
      <c r="T286" s="7">
        <f t="shared" si="751"/>
        <v>2.5750000000000002</v>
      </c>
      <c r="U286" s="7">
        <f t="shared" si="859"/>
        <v>3</v>
      </c>
      <c r="V286" s="38">
        <v>4.0999999999999996</v>
      </c>
      <c r="W286" s="4">
        <f t="shared" si="752"/>
        <v>4.0999999999999996</v>
      </c>
      <c r="X286" s="4">
        <f t="shared" si="753"/>
        <v>5.0999999999999996</v>
      </c>
      <c r="Y286" s="7">
        <f t="shared" si="754"/>
        <v>57.361276136431961</v>
      </c>
      <c r="AB286" s="38">
        <f t="shared" si="786"/>
        <v>608.27586206896558</v>
      </c>
      <c r="AC286" s="4">
        <v>88.2</v>
      </c>
      <c r="AD286" s="4">
        <f t="shared" si="666"/>
        <v>0.93949066396852476</v>
      </c>
      <c r="AE286" s="38">
        <f t="shared" si="836"/>
        <v>9.5249999999999986</v>
      </c>
      <c r="AF286" s="38">
        <v>10</v>
      </c>
      <c r="AG286" s="39">
        <f>3*25.4</f>
        <v>76.199999999999989</v>
      </c>
      <c r="AH286" s="39">
        <v>3</v>
      </c>
      <c r="AI286" s="39">
        <v>2</v>
      </c>
      <c r="AJ286" s="7"/>
      <c r="AK286" s="4">
        <f t="shared" si="755"/>
        <v>243.83999999999997</v>
      </c>
      <c r="AL286" s="4">
        <f t="shared" si="678"/>
        <v>0.56597222222222232</v>
      </c>
      <c r="AM286" s="4">
        <f t="shared" si="679"/>
        <v>222.68305093812236</v>
      </c>
      <c r="AN286" s="4">
        <f t="shared" si="680"/>
        <v>0.76249999999999996</v>
      </c>
      <c r="AO286" s="4">
        <v>1.25</v>
      </c>
      <c r="AP286" s="4">
        <f t="shared" si="844"/>
        <v>2.5</v>
      </c>
      <c r="AQ286" s="38">
        <f t="shared" si="723"/>
        <v>300.31162861840153</v>
      </c>
      <c r="AR286" s="38">
        <f t="shared" si="682"/>
        <v>300.31162861840153</v>
      </c>
      <c r="AS286" s="38">
        <f t="shared" si="683"/>
        <v>4.8176603871508874</v>
      </c>
      <c r="AT286" s="38">
        <f t="shared" si="853"/>
        <v>300.31162861840153</v>
      </c>
      <c r="AU286" s="38">
        <f t="shared" si="820"/>
        <v>1</v>
      </c>
      <c r="AV286" s="38">
        <f t="shared" si="715"/>
        <v>2.9255581782446503</v>
      </c>
      <c r="AW286" s="4">
        <f t="shared" si="707"/>
        <v>0</v>
      </c>
      <c r="AX286" s="4">
        <f t="shared" si="756"/>
        <v>449.18571852180122</v>
      </c>
      <c r="AY286" s="4">
        <f t="shared" si="724"/>
        <v>1.066019417475728</v>
      </c>
      <c r="AZ286" s="38">
        <f t="shared" si="837"/>
        <v>878.57914112653475</v>
      </c>
      <c r="BA286" s="4">
        <f t="shared" si="725"/>
        <v>0.42600000000000005</v>
      </c>
      <c r="BB286" s="4">
        <f t="shared" si="726"/>
        <v>99.982003157175143</v>
      </c>
      <c r="BC286" s="4">
        <f t="shared" si="727"/>
        <v>978.56114428370984</v>
      </c>
      <c r="BE286" s="4">
        <f t="shared" si="854"/>
        <v>1.5</v>
      </c>
      <c r="BF286" s="4">
        <f t="shared" si="860"/>
        <v>784.10981989461925</v>
      </c>
      <c r="BH286" s="4">
        <f t="shared" si="861"/>
        <v>842.66483956807247</v>
      </c>
      <c r="BI286" s="4">
        <f t="shared" si="806"/>
        <v>0</v>
      </c>
      <c r="BJ286" s="4">
        <f t="shared" si="862"/>
        <v>0</v>
      </c>
      <c r="BR286" s="4">
        <f t="shared" si="728"/>
        <v>52.704999999999998</v>
      </c>
      <c r="BV286" s="9"/>
      <c r="BX286" s="9"/>
      <c r="BY286" s="9"/>
      <c r="BZ286" s="9">
        <f t="shared" si="729"/>
        <v>52.704999999999998</v>
      </c>
      <c r="CA286" s="9">
        <f t="shared" si="730"/>
        <v>63.5</v>
      </c>
      <c r="CB286" s="9">
        <f t="shared" si="821"/>
        <v>1.4813147137729235</v>
      </c>
      <c r="CC286" s="40">
        <f t="shared" si="757"/>
        <v>20</v>
      </c>
      <c r="CD286" s="9">
        <f t="shared" si="731"/>
        <v>0.05</v>
      </c>
      <c r="CE286" s="9">
        <f t="shared" si="732"/>
        <v>0.8</v>
      </c>
      <c r="CF286" s="9">
        <f t="shared" si="733"/>
        <v>0.99524931562137331</v>
      </c>
      <c r="CG286" s="9">
        <f t="shared" si="734"/>
        <v>0.68</v>
      </c>
      <c r="CH286" s="9">
        <f t="shared" si="822"/>
        <v>2.1058001504088901</v>
      </c>
      <c r="CI286" s="9">
        <f t="shared" si="823"/>
        <v>4.8039928673930365</v>
      </c>
      <c r="CJ286" s="40">
        <v>1</v>
      </c>
      <c r="CK286" s="9">
        <f t="shared" si="824"/>
        <v>472.7128981514748</v>
      </c>
      <c r="CM286" s="4">
        <f t="shared" si="735"/>
        <v>1.3541745362490702</v>
      </c>
      <c r="CN286" s="4">
        <f t="shared" si="736"/>
        <v>0.62160230418122031</v>
      </c>
      <c r="CO286" s="4">
        <f t="shared" si="708"/>
        <v>0.77575340422431527</v>
      </c>
      <c r="CP286" s="4">
        <f t="shared" si="737"/>
        <v>1.2867765285178476</v>
      </c>
      <c r="CQ286" s="4">
        <f t="shared" si="694"/>
        <v>0.93949066396852476</v>
      </c>
      <c r="CR286" s="4">
        <f t="shared" si="695"/>
        <v>0.95490274844904621</v>
      </c>
      <c r="CS286" s="4">
        <f t="shared" si="709"/>
        <v>1.225964360942069</v>
      </c>
      <c r="CT286" s="4">
        <f t="shared" si="758"/>
        <v>10</v>
      </c>
      <c r="DA286" s="4">
        <f t="shared" ref="DA286:DB286" si="882">CM286</f>
        <v>1.3541745362490702</v>
      </c>
      <c r="DB286" s="4">
        <f t="shared" si="882"/>
        <v>0.62160230418122031</v>
      </c>
      <c r="DC286" s="4">
        <f t="shared" ref="DC286" si="883">CP286</f>
        <v>1.2867765285178476</v>
      </c>
      <c r="DD286" s="4">
        <f t="shared" ref="DD286" si="884">CS286</f>
        <v>1.225964360942069</v>
      </c>
      <c r="DE286" s="4">
        <f t="shared" ref="DE286:DF286" si="885">CQ286</f>
        <v>0.93949066396852476</v>
      </c>
      <c r="DF286" s="4">
        <f t="shared" si="885"/>
        <v>0.95490274844904621</v>
      </c>
      <c r="DI286" s="4">
        <f t="shared" si="742"/>
        <v>243.83999999999997</v>
      </c>
      <c r="DL286" s="4">
        <f t="shared" si="667"/>
        <v>2.338874423417441E-5</v>
      </c>
      <c r="DM286" s="4">
        <f t="shared" si="769"/>
        <v>11.804361869983254</v>
      </c>
      <c r="DN286" s="4">
        <f t="shared" si="668"/>
        <v>0.20685087313395045</v>
      </c>
      <c r="DO286" s="4">
        <f t="shared" si="669"/>
        <v>6.2850025462405528</v>
      </c>
      <c r="DP286" s="4">
        <f t="shared" si="670"/>
        <v>9.459852819454456</v>
      </c>
      <c r="DQ286" s="4">
        <f t="shared" si="671"/>
        <v>10.76840592779776</v>
      </c>
      <c r="DR286" s="38">
        <f t="shared" si="684"/>
        <v>647.45280118009168</v>
      </c>
      <c r="DS286" s="4">
        <f t="shared" si="829"/>
        <v>1.0000974323638177</v>
      </c>
      <c r="DT286" s="4">
        <f t="shared" si="672"/>
        <v>2.2583179581272428</v>
      </c>
      <c r="DU286" s="4">
        <f t="shared" si="842"/>
        <v>300.31162861840153</v>
      </c>
      <c r="DY286" s="4">
        <f t="shared" si="785"/>
        <v>0.85</v>
      </c>
      <c r="DZ286" s="4">
        <f t="shared" si="830"/>
        <v>0.89249999999999996</v>
      </c>
      <c r="EA286" s="4">
        <f t="shared" si="685"/>
        <v>0.90625</v>
      </c>
      <c r="EB286" s="4">
        <f t="shared" si="831"/>
        <v>0.80882812500000001</v>
      </c>
      <c r="ED286" s="4">
        <f t="shared" si="686"/>
        <v>637.00294407669026</v>
      </c>
      <c r="EE286" s="25">
        <f t="shared" si="687"/>
        <v>297.03732222117264</v>
      </c>
      <c r="EG286" s="4">
        <f t="shared" si="843"/>
        <v>0.68750390625000002</v>
      </c>
      <c r="EH286" s="4">
        <f t="shared" si="688"/>
        <v>11.804361869983254</v>
      </c>
      <c r="EK286" s="4">
        <f t="shared" si="673"/>
        <v>57.361276136431961</v>
      </c>
      <c r="EL286" s="4">
        <f t="shared" si="674"/>
        <v>2.2583179581272428</v>
      </c>
      <c r="EM286" s="4">
        <f t="shared" si="675"/>
        <v>0.1005543658649911</v>
      </c>
      <c r="EP286" s="4">
        <f t="shared" si="759"/>
        <v>0.1005543658649911</v>
      </c>
      <c r="EQ286" s="4">
        <f t="shared" si="721"/>
        <v>0.20650567757845198</v>
      </c>
      <c r="ER286" s="4">
        <f t="shared" si="770"/>
        <v>6.2808050448135386</v>
      </c>
      <c r="ES286" s="4">
        <f t="shared" si="743"/>
        <v>9.4584707445849645</v>
      </c>
      <c r="ET286" s="4">
        <f t="shared" si="771"/>
        <v>125.51872386356803</v>
      </c>
      <c r="EU286" s="4">
        <f t="shared" si="772"/>
        <v>60.95999999999998</v>
      </c>
      <c r="EV286" s="4">
        <f t="shared" si="832"/>
        <v>2.33887442341744E-5</v>
      </c>
      <c r="EW286" s="4">
        <f t="shared" si="744"/>
        <v>10.768630881807505</v>
      </c>
      <c r="EX286" s="4">
        <f t="shared" si="867"/>
        <v>647.38972446892535</v>
      </c>
      <c r="FG286" s="23">
        <f t="shared" si="778"/>
        <v>1.4</v>
      </c>
      <c r="FH286" s="23">
        <f t="shared" si="778"/>
        <v>0.8</v>
      </c>
      <c r="FI286" s="23">
        <f t="shared" si="712"/>
        <v>1.4</v>
      </c>
      <c r="FJ286" s="23">
        <f t="shared" si="779"/>
        <v>1.4</v>
      </c>
      <c r="FK286" s="23">
        <f t="shared" si="779"/>
        <v>1</v>
      </c>
      <c r="FL286" s="23">
        <f t="shared" si="779"/>
        <v>1</v>
      </c>
      <c r="FM286" s="23">
        <f t="shared" si="701"/>
        <v>0</v>
      </c>
      <c r="FN286" s="23"/>
      <c r="FX286" s="4">
        <f t="shared" si="833"/>
        <v>1</v>
      </c>
      <c r="FY286" s="4">
        <f t="shared" si="652"/>
        <v>0.57526162790697688</v>
      </c>
      <c r="FZ286" s="4">
        <f t="shared" si="834"/>
        <v>0.28124999999999994</v>
      </c>
      <c r="GA286" s="4">
        <f t="shared" si="835"/>
        <v>496.16112951403221</v>
      </c>
    </row>
    <row r="287" spans="1:183" ht="12" customHeight="1" x14ac:dyDescent="0.3">
      <c r="A287" s="25">
        <v>269</v>
      </c>
      <c r="B287" s="4" t="s">
        <v>605</v>
      </c>
      <c r="C287" s="4">
        <v>2016</v>
      </c>
      <c r="D287" s="4" t="s">
        <v>309</v>
      </c>
      <c r="E287" s="24" t="s">
        <v>426</v>
      </c>
      <c r="F287" s="7" t="s">
        <v>427</v>
      </c>
      <c r="G287" s="38">
        <f>115.9/0.145</f>
        <v>799.31034482758628</v>
      </c>
      <c r="H287" s="38">
        <f>11.06*25.4</f>
        <v>280.92399999999998</v>
      </c>
      <c r="I287" s="4">
        <f t="shared" si="746"/>
        <v>280.92399999999998</v>
      </c>
      <c r="J287" s="38">
        <f>5500/145</f>
        <v>37.931034482758619</v>
      </c>
      <c r="K287" s="38">
        <f t="shared" si="747"/>
        <v>25.4</v>
      </c>
      <c r="L287" s="7">
        <f t="shared" si="748"/>
        <v>11.06</v>
      </c>
      <c r="M287" s="7">
        <f t="shared" si="749"/>
        <v>11.06</v>
      </c>
      <c r="N287" s="38">
        <f>16.8*25.4</f>
        <v>426.71999999999997</v>
      </c>
      <c r="O287" s="38">
        <f t="shared" si="881"/>
        <v>63.5</v>
      </c>
      <c r="P287" s="39">
        <f>3.35*25.4</f>
        <v>85.09</v>
      </c>
      <c r="Q287" s="7">
        <f t="shared" si="750"/>
        <v>248.91999999999996</v>
      </c>
      <c r="R287" s="38">
        <v>2</v>
      </c>
      <c r="S287" s="4">
        <f t="shared" si="722"/>
        <v>260.34999999999997</v>
      </c>
      <c r="T287" s="7">
        <f t="shared" si="751"/>
        <v>3</v>
      </c>
      <c r="U287" s="7">
        <f t="shared" si="859"/>
        <v>3</v>
      </c>
      <c r="V287" s="38">
        <v>6.5</v>
      </c>
      <c r="W287" s="4">
        <f t="shared" si="752"/>
        <v>6.5</v>
      </c>
      <c r="X287" s="4">
        <f t="shared" si="753"/>
        <v>7.5</v>
      </c>
      <c r="Y287" s="7">
        <f t="shared" si="754"/>
        <v>69.56076480315609</v>
      </c>
      <c r="AB287" s="38">
        <f t="shared" si="786"/>
        <v>659.31034482758616</v>
      </c>
      <c r="AC287" s="4">
        <v>95.6</v>
      </c>
      <c r="AD287" s="4">
        <f t="shared" si="666"/>
        <v>1.051317145691999</v>
      </c>
      <c r="AE287" s="38"/>
      <c r="AF287" s="38"/>
      <c r="AG287" s="39">
        <v>1</v>
      </c>
      <c r="AH287" s="39"/>
      <c r="AI287" s="39"/>
      <c r="AJ287" s="7"/>
      <c r="AK287" s="4">
        <f t="shared" si="755"/>
        <v>280.92399999999998</v>
      </c>
      <c r="AL287" s="4">
        <f t="shared" si="678"/>
        <v>0.50632911392405056</v>
      </c>
      <c r="AM287" s="4">
        <f t="shared" si="679"/>
        <v>286.14970251246518</v>
      </c>
      <c r="AN287" s="4">
        <f t="shared" si="680"/>
        <v>0.75424954792043397</v>
      </c>
      <c r="AO287" s="4">
        <v>1.25</v>
      </c>
      <c r="AP287" s="4">
        <f t="shared" si="844"/>
        <v>2.5</v>
      </c>
      <c r="AQ287" s="38">
        <f t="shared" si="723"/>
        <v>341.500448983534</v>
      </c>
      <c r="AR287" s="38">
        <f t="shared" si="682"/>
        <v>341.500448983534</v>
      </c>
      <c r="AS287" s="38">
        <f t="shared" si="683"/>
        <v>3.3867596705239982</v>
      </c>
      <c r="AT287" s="38">
        <f t="shared" si="853"/>
        <v>341.50044898353462</v>
      </c>
      <c r="AU287" s="38">
        <f t="shared" si="820"/>
        <v>0.99999999999999822</v>
      </c>
      <c r="AV287" s="38">
        <f t="shared" si="715"/>
        <v>1.6990702551697576</v>
      </c>
      <c r="AW287" s="4">
        <f t="shared" si="707"/>
        <v>0</v>
      </c>
      <c r="AX287" s="4">
        <f t="shared" si="756"/>
        <v>358.50801517310128</v>
      </c>
      <c r="AY287" s="4">
        <f t="shared" si="724"/>
        <v>1</v>
      </c>
      <c r="AZ287" s="38">
        <f t="shared" si="837"/>
        <v>580.23325499504097</v>
      </c>
      <c r="BA287" s="4">
        <f t="shared" si="725"/>
        <v>0.3</v>
      </c>
      <c r="BB287" s="4">
        <f t="shared" si="726"/>
        <v>56.196131378383619</v>
      </c>
      <c r="BC287" s="4">
        <f t="shared" si="727"/>
        <v>636.42938637342456</v>
      </c>
      <c r="BE287" s="4">
        <f t="shared" si="854"/>
        <v>1.375</v>
      </c>
      <c r="BF287" s="4">
        <f t="shared" si="860"/>
        <v>535.03188373813703</v>
      </c>
      <c r="BH287" s="4">
        <f t="shared" si="861"/>
        <v>556.51464944355905</v>
      </c>
      <c r="BI287" s="4">
        <f t="shared" si="806"/>
        <v>0</v>
      </c>
      <c r="BJ287" s="4">
        <f t="shared" si="862"/>
        <v>0</v>
      </c>
      <c r="BR287" s="4">
        <f t="shared" si="728"/>
        <v>63.5</v>
      </c>
      <c r="BV287" s="9"/>
      <c r="BX287" s="9"/>
      <c r="BY287" s="9"/>
      <c r="BZ287" s="9">
        <f t="shared" si="729"/>
        <v>63.5</v>
      </c>
      <c r="CA287" s="9">
        <f t="shared" si="730"/>
        <v>124.45999999999998</v>
      </c>
      <c r="CB287" s="9">
        <f t="shared" si="821"/>
        <v>1.7490749303163509</v>
      </c>
      <c r="CC287" s="40">
        <f t="shared" si="757"/>
        <v>0</v>
      </c>
      <c r="CD287" s="9">
        <f t="shared" si="731"/>
        <v>0</v>
      </c>
      <c r="CE287" s="9">
        <f t="shared" si="732"/>
        <v>0</v>
      </c>
      <c r="CF287" s="9">
        <f t="shared" si="733"/>
        <v>0.99524931562137331</v>
      </c>
      <c r="CG287" s="9">
        <f t="shared" si="734"/>
        <v>0.68048275862068963</v>
      </c>
      <c r="CH287" s="9">
        <f t="shared" si="822"/>
        <v>1.4598707313117956</v>
      </c>
      <c r="CI287" s="9">
        <f t="shared" si="823"/>
        <v>2.5534232976400588</v>
      </c>
      <c r="CJ287" s="40">
        <v>1</v>
      </c>
      <c r="CK287" s="9">
        <f t="shared" si="824"/>
        <v>266.16884454599972</v>
      </c>
      <c r="CM287" s="4">
        <f t="shared" si="735"/>
        <v>1.8390393434000243</v>
      </c>
      <c r="CN287" s="4">
        <f t="shared" si="736"/>
        <v>1.0359520772360065</v>
      </c>
      <c r="CO287" s="4">
        <f t="shared" si="708"/>
        <v>1.2322823459064642</v>
      </c>
      <c r="CP287" s="4">
        <f t="shared" si="737"/>
        <v>2.4770380092837767</v>
      </c>
      <c r="CQ287" s="4">
        <f t="shared" si="694"/>
        <v>1.051317145691999</v>
      </c>
      <c r="CR287" s="4">
        <f t="shared" si="695"/>
        <v>1.10521720654621</v>
      </c>
      <c r="CS287" s="4">
        <f t="shared" si="709"/>
        <v>1.2044626549109341</v>
      </c>
      <c r="CT287" s="4">
        <f t="shared" si="758"/>
        <v>0</v>
      </c>
      <c r="CU287" s="4">
        <f t="shared" ref="CU287:CV290" si="886">CM287</f>
        <v>1.8390393434000243</v>
      </c>
      <c r="CV287" s="4">
        <f t="shared" si="886"/>
        <v>1.0359520772360065</v>
      </c>
      <c r="CW287" s="4">
        <f t="shared" ref="CW287:CW290" si="887">CP287</f>
        <v>2.4770380092837767</v>
      </c>
      <c r="CX287" s="4">
        <f t="shared" ref="CX287:CX290" si="888">CS287</f>
        <v>1.2044626549109341</v>
      </c>
      <c r="CY287" s="4">
        <f t="shared" ref="CY287:CZ290" si="889">CQ287</f>
        <v>1.051317145691999</v>
      </c>
      <c r="CZ287" s="4">
        <f t="shared" si="889"/>
        <v>1.10521720654621</v>
      </c>
      <c r="DI287" s="4">
        <f t="shared" si="742"/>
        <v>280.92399999999998</v>
      </c>
      <c r="DL287" s="4">
        <f t="shared" si="667"/>
        <v>2.0862644589160908E-5</v>
      </c>
      <c r="DM287" s="4">
        <f t="shared" si="769"/>
        <v>7.7815993963460848</v>
      </c>
      <c r="DN287" s="4">
        <f t="shared" si="668"/>
        <v>0.37489915373489696</v>
      </c>
      <c r="DO287" s="4">
        <f t="shared" si="669"/>
        <v>5.2557494461216852</v>
      </c>
      <c r="DP287" s="4">
        <f t="shared" si="670"/>
        <v>6.6403267014248541</v>
      </c>
      <c r="DQ287" s="4">
        <f t="shared" si="671"/>
        <v>7.2756532072125752</v>
      </c>
      <c r="DR287" s="38">
        <f t="shared" si="684"/>
        <v>627.12792950181961</v>
      </c>
      <c r="DS287" s="4">
        <f t="shared" si="829"/>
        <v>1.000107959834613</v>
      </c>
      <c r="DT287" s="4">
        <f t="shared" si="672"/>
        <v>2.7386127875258306</v>
      </c>
      <c r="DU287" s="4">
        <f t="shared" si="842"/>
        <v>341.50044898353462</v>
      </c>
      <c r="DY287" s="4">
        <f t="shared" si="785"/>
        <v>0.85</v>
      </c>
      <c r="DZ287" s="4">
        <f t="shared" si="830"/>
        <v>0.85</v>
      </c>
      <c r="EA287" s="4">
        <f t="shared" si="685"/>
        <v>1</v>
      </c>
      <c r="EB287" s="4">
        <f t="shared" si="831"/>
        <v>0.85</v>
      </c>
      <c r="ED287" s="4">
        <f t="shared" si="686"/>
        <v>596.54368473679733</v>
      </c>
      <c r="EE287" s="25">
        <f t="shared" si="687"/>
        <v>338.35021676603429</v>
      </c>
      <c r="EG287" s="4">
        <f t="shared" si="843"/>
        <v>0.72249999999999992</v>
      </c>
      <c r="EH287" s="4">
        <f t="shared" si="688"/>
        <v>7.7815993963460848</v>
      </c>
      <c r="EK287" s="4">
        <f t="shared" si="673"/>
        <v>69.56076480315609</v>
      </c>
      <c r="EL287" s="4">
        <f t="shared" si="674"/>
        <v>2.7386127875258306</v>
      </c>
      <c r="EM287" s="4">
        <f t="shared" si="675"/>
        <v>0.12625455895365398</v>
      </c>
      <c r="EP287" s="4">
        <f t="shared" si="759"/>
        <v>0.12625455895365398</v>
      </c>
      <c r="EQ287" s="4">
        <f t="shared" si="721"/>
        <v>0.37427351691901739</v>
      </c>
      <c r="ER287" s="4">
        <f t="shared" si="770"/>
        <v>5.2522393416089468</v>
      </c>
      <c r="ES287" s="4">
        <f t="shared" si="743"/>
        <v>6.6389405680731253</v>
      </c>
      <c r="ET287" s="4">
        <f t="shared" si="771"/>
        <v>141.13223519684391</v>
      </c>
      <c r="EU287" s="4">
        <f t="shared" si="772"/>
        <v>70.230999999999995</v>
      </c>
      <c r="EV287" s="4">
        <f t="shared" si="832"/>
        <v>2.0862644589160908E-5</v>
      </c>
      <c r="EW287" s="4">
        <f t="shared" si="744"/>
        <v>7.2757943938291234</v>
      </c>
      <c r="EX287" s="4">
        <f t="shared" si="867"/>
        <v>627.06023218286077</v>
      </c>
      <c r="FG287" s="23">
        <f t="shared" si="778"/>
        <v>2</v>
      </c>
      <c r="FH287" s="23">
        <f t="shared" si="778"/>
        <v>1.2</v>
      </c>
      <c r="FI287" s="23">
        <f t="shared" si="712"/>
        <v>1.4</v>
      </c>
      <c r="FJ287" s="23">
        <f t="shared" si="779"/>
        <v>2.2000000000000002</v>
      </c>
      <c r="FK287" s="23">
        <f t="shared" si="779"/>
        <v>1.2</v>
      </c>
      <c r="FL287" s="23">
        <f t="shared" si="779"/>
        <v>1.2</v>
      </c>
      <c r="FM287" s="23">
        <f t="shared" si="701"/>
        <v>0</v>
      </c>
      <c r="FN287" s="23"/>
      <c r="FX287" s="4">
        <f t="shared" si="833"/>
        <v>1</v>
      </c>
      <c r="FY287" s="4">
        <f t="shared" ref="FY287:FY350" si="890">IF(AG287&gt;1, 0.05*(18-MIN(8,(Q287+K287)/K287))*(1-48000/MAX(60000,(G287*145))*(K287/25.4)^0.75*FZ287), 1/12*(14-MIN(8,(Q287+K287)/K287)))</f>
        <v>0.5</v>
      </c>
      <c r="FZ287" s="4">
        <f t="shared" si="834"/>
        <v>0</v>
      </c>
      <c r="GA287" s="4">
        <f t="shared" si="835"/>
        <v>547.38961157441611</v>
      </c>
    </row>
    <row r="288" spans="1:183" ht="12" customHeight="1" x14ac:dyDescent="0.3">
      <c r="A288" s="25">
        <v>270</v>
      </c>
      <c r="B288" s="4" t="s">
        <v>605</v>
      </c>
      <c r="C288" s="4">
        <v>2016</v>
      </c>
      <c r="D288" s="4" t="s">
        <v>309</v>
      </c>
      <c r="E288" s="24" t="s">
        <v>426</v>
      </c>
      <c r="F288" s="7" t="s">
        <v>428</v>
      </c>
      <c r="G288" s="38">
        <f t="shared" ref="G288:G298" si="891">115.9/0.145</f>
        <v>799.31034482758628</v>
      </c>
      <c r="H288" s="38">
        <f>14.25*25.4</f>
        <v>361.95</v>
      </c>
      <c r="I288" s="4">
        <f t="shared" si="746"/>
        <v>361.95</v>
      </c>
      <c r="J288" s="38">
        <f t="shared" ref="J288:J290" si="892">5500/145</f>
        <v>37.931034482758619</v>
      </c>
      <c r="K288" s="38">
        <f t="shared" si="747"/>
        <v>25.4</v>
      </c>
      <c r="L288" s="7">
        <f t="shared" si="748"/>
        <v>14.25</v>
      </c>
      <c r="M288" s="7">
        <f t="shared" si="749"/>
        <v>14.25</v>
      </c>
      <c r="N288" s="38">
        <f>16.3*25.4</f>
        <v>414.02</v>
      </c>
      <c r="O288" s="38">
        <f>2.35*25.4</f>
        <v>59.69</v>
      </c>
      <c r="P288" s="39">
        <f>3.15*25.4</f>
        <v>80.009999999999991</v>
      </c>
      <c r="Q288" s="7">
        <f t="shared" si="750"/>
        <v>243.83999999999997</v>
      </c>
      <c r="R288" s="38">
        <v>2</v>
      </c>
      <c r="S288" s="4">
        <f t="shared" si="722"/>
        <v>260.34999999999997</v>
      </c>
      <c r="T288" s="7">
        <f t="shared" si="751"/>
        <v>2.85</v>
      </c>
      <c r="U288" s="7">
        <f t="shared" si="859"/>
        <v>2.85</v>
      </c>
      <c r="V288" s="38">
        <v>6.5</v>
      </c>
      <c r="W288" s="4">
        <f t="shared" si="752"/>
        <v>6.5</v>
      </c>
      <c r="X288" s="4">
        <f t="shared" si="753"/>
        <v>7.5</v>
      </c>
      <c r="Y288" s="7">
        <f t="shared" si="754"/>
        <v>69.56076480315609</v>
      </c>
      <c r="AB288" s="38">
        <f t="shared" si="786"/>
        <v>765.51724137931035</v>
      </c>
      <c r="AC288" s="4">
        <v>111</v>
      </c>
      <c r="AD288" s="4">
        <f t="shared" si="666"/>
        <v>1.0428358329621183</v>
      </c>
      <c r="AE288" s="38"/>
      <c r="AF288" s="38"/>
      <c r="AG288" s="39">
        <v>1</v>
      </c>
      <c r="AH288" s="39"/>
      <c r="AI288" s="39"/>
      <c r="AJ288" s="7"/>
      <c r="AK288" s="4">
        <f t="shared" si="755"/>
        <v>361.95</v>
      </c>
      <c r="AL288" s="4">
        <f t="shared" si="678"/>
        <v>0.38128654970760234</v>
      </c>
      <c r="AM288" s="4">
        <f t="shared" si="679"/>
        <v>418.48789934570812</v>
      </c>
      <c r="AN288" s="4">
        <f t="shared" si="680"/>
        <v>0.74</v>
      </c>
      <c r="AO288" s="4">
        <v>1.25</v>
      </c>
      <c r="AP288" s="4">
        <f t="shared" si="844"/>
        <v>2.5</v>
      </c>
      <c r="AQ288" s="38">
        <f t="shared" si="723"/>
        <v>368.99130423303592</v>
      </c>
      <c r="AR288" s="38">
        <f t="shared" si="682"/>
        <v>368.99130423303592</v>
      </c>
      <c r="AS288" s="38">
        <f t="shared" si="683"/>
        <v>3.3867596705239982</v>
      </c>
      <c r="AT288" s="38">
        <f t="shared" si="853"/>
        <v>368.99130423303569</v>
      </c>
      <c r="AU288" s="38">
        <f t="shared" si="820"/>
        <v>1.0000000000000007</v>
      </c>
      <c r="AV288" s="38">
        <f t="shared" si="715"/>
        <v>1.4938606572071575</v>
      </c>
      <c r="AW288" s="4">
        <f t="shared" si="707"/>
        <v>0</v>
      </c>
      <c r="AX288" s="4">
        <f t="shared" si="756"/>
        <v>461.91132153857978</v>
      </c>
      <c r="AY288" s="4">
        <f t="shared" si="724"/>
        <v>1</v>
      </c>
      <c r="AZ288" s="38">
        <f t="shared" si="837"/>
        <v>551.22159224528889</v>
      </c>
      <c r="BA288" s="4">
        <f t="shared" si="725"/>
        <v>0.3</v>
      </c>
      <c r="BB288" s="4">
        <f t="shared" si="726"/>
        <v>72.404599651172376</v>
      </c>
      <c r="BC288" s="4">
        <f t="shared" si="727"/>
        <v>623.62619189646125</v>
      </c>
      <c r="BE288" s="4">
        <f t="shared" si="854"/>
        <v>1.3374999999999999</v>
      </c>
      <c r="BF288" s="4">
        <f t="shared" si="860"/>
        <v>599.27220078111498</v>
      </c>
      <c r="BH288" s="4">
        <f t="shared" si="861"/>
        <v>528.68891697138122</v>
      </c>
      <c r="BI288" s="4">
        <f t="shared" si="806"/>
        <v>0</v>
      </c>
      <c r="BJ288" s="4">
        <f t="shared" si="862"/>
        <v>0</v>
      </c>
      <c r="BR288" s="4">
        <f t="shared" si="728"/>
        <v>59.69</v>
      </c>
      <c r="BV288" s="9"/>
      <c r="BX288" s="9"/>
      <c r="BY288" s="9"/>
      <c r="BZ288" s="9">
        <f t="shared" si="729"/>
        <v>59.69</v>
      </c>
      <c r="CA288" s="9">
        <f t="shared" si="730"/>
        <v>121.91999999999999</v>
      </c>
      <c r="CB288" s="9">
        <f t="shared" si="821"/>
        <v>1.7063178633321976</v>
      </c>
      <c r="CC288" s="40">
        <f t="shared" si="757"/>
        <v>0</v>
      </c>
      <c r="CD288" s="9">
        <f t="shared" si="731"/>
        <v>0</v>
      </c>
      <c r="CE288" s="9">
        <f t="shared" si="732"/>
        <v>0</v>
      </c>
      <c r="CF288" s="9">
        <f t="shared" si="733"/>
        <v>0.99524931562137331</v>
      </c>
      <c r="CG288" s="9">
        <f t="shared" si="734"/>
        <v>0.68048275862068963</v>
      </c>
      <c r="CH288" s="9">
        <f t="shared" si="822"/>
        <v>1.4598707313117956</v>
      </c>
      <c r="CI288" s="9">
        <f t="shared" si="823"/>
        <v>2.4910035069931555</v>
      </c>
      <c r="CJ288" s="40">
        <v>1</v>
      </c>
      <c r="CK288" s="9">
        <f t="shared" si="824"/>
        <v>291.44741031819922</v>
      </c>
      <c r="CM288" s="4">
        <f t="shared" si="735"/>
        <v>1.6572818324293288</v>
      </c>
      <c r="CN288" s="4">
        <f t="shared" si="736"/>
        <v>1.2275258020375239</v>
      </c>
      <c r="CO288" s="4">
        <f t="shared" si="708"/>
        <v>1.277411567533927</v>
      </c>
      <c r="CP288" s="4">
        <f t="shared" si="737"/>
        <v>2.6266050555862779</v>
      </c>
      <c r="CQ288" s="4">
        <f t="shared" si="694"/>
        <v>1.0428358329621183</v>
      </c>
      <c r="CR288" s="4">
        <f t="shared" si="695"/>
        <v>1.1039912468916053</v>
      </c>
      <c r="CS288" s="4">
        <f t="shared" si="709"/>
        <v>1.3567777131762069</v>
      </c>
      <c r="CT288" s="4">
        <f t="shared" si="758"/>
        <v>0</v>
      </c>
      <c r="CU288" s="4">
        <f t="shared" si="886"/>
        <v>1.6572818324293288</v>
      </c>
      <c r="CV288" s="4">
        <f t="shared" si="886"/>
        <v>1.2275258020375239</v>
      </c>
      <c r="CW288" s="4">
        <f t="shared" si="887"/>
        <v>2.6266050555862779</v>
      </c>
      <c r="CX288" s="4">
        <f t="shared" si="888"/>
        <v>1.3567777131762069</v>
      </c>
      <c r="CY288" s="4">
        <f t="shared" si="889"/>
        <v>1.0428358329621183</v>
      </c>
      <c r="CZ288" s="4">
        <f t="shared" si="889"/>
        <v>1.1039912468916053</v>
      </c>
      <c r="DI288" s="4">
        <f t="shared" si="742"/>
        <v>361.95</v>
      </c>
      <c r="DL288" s="4">
        <f t="shared" si="667"/>
        <v>2.6879989637933361E-5</v>
      </c>
      <c r="DM288" s="4">
        <f t="shared" si="769"/>
        <v>7.6466583663516436</v>
      </c>
      <c r="DN288" s="4">
        <f t="shared" si="668"/>
        <v>0.40507861147547347</v>
      </c>
      <c r="DO288" s="4">
        <f t="shared" si="669"/>
        <v>5.3270578424525894</v>
      </c>
      <c r="DP288" s="4">
        <f t="shared" si="670"/>
        <v>6.5900437533847063</v>
      </c>
      <c r="DQ288" s="4">
        <f t="shared" si="671"/>
        <v>6.8205102906273032</v>
      </c>
      <c r="DR288" s="38">
        <f t="shared" si="684"/>
        <v>734.07262886709634</v>
      </c>
      <c r="DS288" s="4">
        <f t="shared" si="829"/>
        <v>1.0001110715160444</v>
      </c>
      <c r="DT288" s="4">
        <f t="shared" si="672"/>
        <v>2.7386127875258306</v>
      </c>
      <c r="DU288" s="4">
        <f t="shared" si="842"/>
        <v>368.99130423303569</v>
      </c>
      <c r="DY288" s="4">
        <f t="shared" si="785"/>
        <v>0.85</v>
      </c>
      <c r="DZ288" s="4">
        <f t="shared" si="830"/>
        <v>0.86499999999999999</v>
      </c>
      <c r="EA288" s="4">
        <f t="shared" si="685"/>
        <v>1</v>
      </c>
      <c r="EB288" s="4">
        <f t="shared" si="831"/>
        <v>0.86499999999999999</v>
      </c>
      <c r="ED288" s="4">
        <f t="shared" si="686"/>
        <v>693.40879607034799</v>
      </c>
      <c r="EE288" s="25">
        <f t="shared" si="687"/>
        <v>366.51415090881522</v>
      </c>
      <c r="EG288" s="4">
        <f t="shared" si="843"/>
        <v>0.73524999999999996</v>
      </c>
      <c r="EH288" s="4">
        <f t="shared" si="688"/>
        <v>7.6466583663516436</v>
      </c>
      <c r="EK288" s="4">
        <f t="shared" si="673"/>
        <v>69.56076480315609</v>
      </c>
      <c r="EL288" s="4">
        <f t="shared" si="674"/>
        <v>2.7386127875258306</v>
      </c>
      <c r="EM288" s="4">
        <f t="shared" si="675"/>
        <v>0.13641807649840498</v>
      </c>
      <c r="EP288" s="4">
        <f t="shared" si="759"/>
        <v>0.13641807649840498</v>
      </c>
      <c r="EQ288" s="4">
        <f t="shared" si="721"/>
        <v>0.40440261076931122</v>
      </c>
      <c r="ER288" s="4">
        <f t="shared" si="770"/>
        <v>5.3235001139185165</v>
      </c>
      <c r="ES288" s="4">
        <f t="shared" si="743"/>
        <v>6.5886082506511858</v>
      </c>
      <c r="ET288" s="4">
        <f t="shared" si="771"/>
        <v>201.9017351968439</v>
      </c>
      <c r="EU288" s="4">
        <f t="shared" si="772"/>
        <v>90.487500000000011</v>
      </c>
      <c r="EV288" s="4">
        <f t="shared" si="832"/>
        <v>2.6879989637933364E-5</v>
      </c>
      <c r="EW288" s="4">
        <f t="shared" si="744"/>
        <v>6.8207271366698272</v>
      </c>
      <c r="EX288" s="4">
        <f t="shared" si="867"/>
        <v>733.9911033624827</v>
      </c>
      <c r="FG288" s="23">
        <f t="shared" si="778"/>
        <v>1.8</v>
      </c>
      <c r="FH288" s="23">
        <f t="shared" si="778"/>
        <v>1.4</v>
      </c>
      <c r="FI288" s="23">
        <f t="shared" si="712"/>
        <v>1.4</v>
      </c>
      <c r="FJ288" s="23">
        <f t="shared" si="779"/>
        <v>2.2000000000000002</v>
      </c>
      <c r="FK288" s="23">
        <f t="shared" si="779"/>
        <v>1.2</v>
      </c>
      <c r="FL288" s="23">
        <f t="shared" si="779"/>
        <v>1.2</v>
      </c>
      <c r="FM288" s="23">
        <f t="shared" si="701"/>
        <v>0</v>
      </c>
      <c r="FN288" s="23"/>
      <c r="FX288" s="4">
        <f t="shared" si="833"/>
        <v>1.25</v>
      </c>
      <c r="FY288" s="4">
        <f t="shared" si="890"/>
        <v>0.5</v>
      </c>
      <c r="FZ288" s="4">
        <f t="shared" si="834"/>
        <v>0</v>
      </c>
      <c r="GA288" s="4">
        <f t="shared" si="835"/>
        <v>564.21714032082673</v>
      </c>
    </row>
    <row r="289" spans="1:183" ht="12" customHeight="1" x14ac:dyDescent="0.3">
      <c r="A289" s="25">
        <v>271</v>
      </c>
      <c r="B289" s="4" t="s">
        <v>605</v>
      </c>
      <c r="C289" s="4">
        <v>2016</v>
      </c>
      <c r="D289" s="4" t="s">
        <v>309</v>
      </c>
      <c r="E289" s="24" t="s">
        <v>666</v>
      </c>
      <c r="F289" s="48" t="s">
        <v>429</v>
      </c>
      <c r="G289" s="38">
        <f t="shared" si="891"/>
        <v>799.31034482758628</v>
      </c>
      <c r="H289" s="38">
        <f>11.25*25.4</f>
        <v>285.75</v>
      </c>
      <c r="I289" s="4">
        <f t="shared" si="746"/>
        <v>285.75</v>
      </c>
      <c r="J289" s="38">
        <f t="shared" si="892"/>
        <v>37.931034482758619</v>
      </c>
      <c r="K289" s="38">
        <f t="shared" si="747"/>
        <v>25.4</v>
      </c>
      <c r="L289" s="7">
        <f t="shared" si="748"/>
        <v>11.25</v>
      </c>
      <c r="M289" s="7">
        <f t="shared" si="749"/>
        <v>11.25</v>
      </c>
      <c r="N289" s="38">
        <f>16.9*25.4</f>
        <v>429.25999999999993</v>
      </c>
      <c r="O289" s="38">
        <f t="shared" si="881"/>
        <v>63.5</v>
      </c>
      <c r="P289" s="39">
        <f>3.25*25.4</f>
        <v>82.55</v>
      </c>
      <c r="Q289" s="7">
        <f t="shared" si="750"/>
        <v>251.45999999999992</v>
      </c>
      <c r="R289" s="38">
        <v>2</v>
      </c>
      <c r="S289" s="4">
        <f t="shared" si="722"/>
        <v>260.34999999999997</v>
      </c>
      <c r="T289" s="7">
        <f t="shared" si="751"/>
        <v>3</v>
      </c>
      <c r="U289" s="7">
        <f t="shared" si="859"/>
        <v>3</v>
      </c>
      <c r="V289" s="38">
        <v>4.5</v>
      </c>
      <c r="W289" s="4">
        <f t="shared" si="752"/>
        <v>4.5</v>
      </c>
      <c r="X289" s="4">
        <f t="shared" si="753"/>
        <v>5.5</v>
      </c>
      <c r="Y289" s="7">
        <f t="shared" si="754"/>
        <v>59.568280149757555</v>
      </c>
      <c r="AB289" s="38">
        <f t="shared" si="786"/>
        <v>588.27586206896558</v>
      </c>
      <c r="AC289" s="4">
        <v>85.3</v>
      </c>
      <c r="AD289" s="4">
        <f t="shared" si="666"/>
        <v>0.90762534595970545</v>
      </c>
      <c r="AE289" s="38"/>
      <c r="AF289" s="38"/>
      <c r="AG289" s="39">
        <v>1</v>
      </c>
      <c r="AH289" s="39"/>
      <c r="AI289" s="39"/>
      <c r="AJ289" s="7"/>
      <c r="AK289" s="4">
        <f t="shared" si="755"/>
        <v>285.75</v>
      </c>
      <c r="AL289" s="4">
        <f t="shared" si="678"/>
        <v>0.50074074074074071</v>
      </c>
      <c r="AM289" s="4">
        <f t="shared" si="679"/>
        <v>293.55493918404102</v>
      </c>
      <c r="AN289" s="4">
        <f t="shared" si="680"/>
        <v>0.7533333333333333</v>
      </c>
      <c r="AO289" s="4">
        <v>1.25</v>
      </c>
      <c r="AP289" s="4">
        <f t="shared" si="844"/>
        <v>2.5</v>
      </c>
      <c r="AQ289" s="38">
        <f t="shared" si="723"/>
        <v>346.05053540726112</v>
      </c>
      <c r="AR289" s="38">
        <f t="shared" si="682"/>
        <v>346.05053540726112</v>
      </c>
      <c r="AS289" s="38">
        <f t="shared" si="683"/>
        <v>3.3867596705239982</v>
      </c>
      <c r="AT289" s="38">
        <f t="shared" si="853"/>
        <v>346.05053540726101</v>
      </c>
      <c r="AU289" s="38">
        <f t="shared" si="820"/>
        <v>1.0000000000000002</v>
      </c>
      <c r="AV289" s="38">
        <f t="shared" si="715"/>
        <v>1.3951235475912487</v>
      </c>
      <c r="AW289" s="4">
        <f t="shared" si="707"/>
        <v>0</v>
      </c>
      <c r="AX289" s="4">
        <f t="shared" si="756"/>
        <v>364.66683279361564</v>
      </c>
      <c r="AY289" s="4">
        <f t="shared" si="724"/>
        <v>1</v>
      </c>
      <c r="AZ289" s="38">
        <f t="shared" si="837"/>
        <v>482.78325060322902</v>
      </c>
      <c r="BA289" s="4">
        <f t="shared" si="725"/>
        <v>0.37</v>
      </c>
      <c r="BB289" s="4">
        <f t="shared" si="726"/>
        <v>70.499215449825741</v>
      </c>
      <c r="BC289" s="4">
        <f t="shared" si="727"/>
        <v>553.2824660530548</v>
      </c>
      <c r="BE289" s="4">
        <f t="shared" si="854"/>
        <v>1.375</v>
      </c>
      <c r="BF289" s="4">
        <f t="shared" si="860"/>
        <v>539.8588570482151</v>
      </c>
      <c r="BH289" s="4">
        <f t="shared" si="861"/>
        <v>463.04817787283525</v>
      </c>
      <c r="BI289" s="4">
        <f t="shared" si="806"/>
        <v>0</v>
      </c>
      <c r="BJ289" s="4">
        <f t="shared" si="862"/>
        <v>0</v>
      </c>
      <c r="BR289" s="4">
        <f t="shared" si="728"/>
        <v>63.5</v>
      </c>
      <c r="BV289" s="9"/>
      <c r="BX289" s="9"/>
      <c r="BY289" s="9"/>
      <c r="BZ289" s="9">
        <f t="shared" si="729"/>
        <v>63.5</v>
      </c>
      <c r="CA289" s="9">
        <f t="shared" si="730"/>
        <v>125.72999999999996</v>
      </c>
      <c r="CB289" s="9">
        <f t="shared" si="821"/>
        <v>1.7517405482385959</v>
      </c>
      <c r="CC289" s="40">
        <f t="shared" si="757"/>
        <v>0</v>
      </c>
      <c r="CD289" s="9">
        <f t="shared" si="731"/>
        <v>0</v>
      </c>
      <c r="CE289" s="9">
        <f t="shared" si="732"/>
        <v>0</v>
      </c>
      <c r="CF289" s="9">
        <f t="shared" si="733"/>
        <v>0.99524931562137331</v>
      </c>
      <c r="CG289" s="9">
        <f t="shared" si="734"/>
        <v>0.68048275862068963</v>
      </c>
      <c r="CH289" s="9">
        <f t="shared" si="822"/>
        <v>1.4598707313117956</v>
      </c>
      <c r="CI289" s="9">
        <f t="shared" si="823"/>
        <v>2.5573147552256046</v>
      </c>
      <c r="CJ289" s="40">
        <v>1</v>
      </c>
      <c r="CK289" s="9">
        <f t="shared" si="824"/>
        <v>268.51804929868848</v>
      </c>
      <c r="CM289" s="4">
        <f t="shared" si="735"/>
        <v>1.6131871866776055</v>
      </c>
      <c r="CN289" s="4">
        <f t="shared" si="736"/>
        <v>1.0632468913492648</v>
      </c>
      <c r="CO289" s="4">
        <f t="shared" si="708"/>
        <v>1.0896845617861677</v>
      </c>
      <c r="CP289" s="4">
        <f t="shared" si="737"/>
        <v>2.1908242801756375</v>
      </c>
      <c r="CQ289" s="4">
        <f t="shared" si="694"/>
        <v>0.90762534595970545</v>
      </c>
      <c r="CR289" s="4">
        <f t="shared" si="695"/>
        <v>0.97146948096887209</v>
      </c>
      <c r="CS289" s="4">
        <f t="shared" si="709"/>
        <v>1.0565427698472931</v>
      </c>
      <c r="CT289" s="4">
        <f t="shared" si="758"/>
        <v>0</v>
      </c>
      <c r="CU289" s="4">
        <f t="shared" si="886"/>
        <v>1.6131871866776055</v>
      </c>
      <c r="CV289" s="4">
        <f t="shared" si="886"/>
        <v>1.0632468913492648</v>
      </c>
      <c r="CW289" s="4">
        <f t="shared" si="887"/>
        <v>2.1908242801756375</v>
      </c>
      <c r="CX289" s="4">
        <f t="shared" si="888"/>
        <v>1.0565427698472931</v>
      </c>
      <c r="CY289" s="4">
        <f t="shared" si="889"/>
        <v>0.90762534595970545</v>
      </c>
      <c r="CZ289" s="4">
        <f t="shared" si="889"/>
        <v>0.97146948096887209</v>
      </c>
      <c r="DI289" s="4">
        <f t="shared" si="742"/>
        <v>285.75</v>
      </c>
      <c r="DL289" s="4">
        <f t="shared" si="667"/>
        <v>2.1221044451000022E-5</v>
      </c>
      <c r="DM289" s="4">
        <f t="shared" si="769"/>
        <v>7.7815993963460848</v>
      </c>
      <c r="DN289" s="4">
        <f t="shared" si="668"/>
        <v>0.4699095404899471</v>
      </c>
      <c r="DO289" s="4">
        <f t="shared" si="669"/>
        <v>5.7527377219882574</v>
      </c>
      <c r="DP289" s="4">
        <f t="shared" si="670"/>
        <v>6.8429466892191968</v>
      </c>
      <c r="DQ289" s="4">
        <f t="shared" si="671"/>
        <v>7.2333707816262507</v>
      </c>
      <c r="DR289" s="38">
        <f t="shared" si="684"/>
        <v>648.14834081890262</v>
      </c>
      <c r="DS289" s="4">
        <f t="shared" si="829"/>
        <v>1.0001135640764247</v>
      </c>
      <c r="DT289" s="4">
        <f t="shared" si="672"/>
        <v>2.3452078799117149</v>
      </c>
      <c r="DU289" s="4">
        <f t="shared" si="842"/>
        <v>346.05053540726101</v>
      </c>
      <c r="DY289" s="4">
        <f t="shared" si="785"/>
        <v>0.85</v>
      </c>
      <c r="DZ289" s="4">
        <f t="shared" si="830"/>
        <v>0.85</v>
      </c>
      <c r="EA289" s="4">
        <f t="shared" si="685"/>
        <v>1</v>
      </c>
      <c r="EB289" s="4">
        <f t="shared" si="831"/>
        <v>0.85</v>
      </c>
      <c r="ED289" s="4">
        <f t="shared" si="686"/>
        <v>605.55259181406564</v>
      </c>
      <c r="EE289" s="25">
        <f t="shared" si="687"/>
        <v>342.92361218738517</v>
      </c>
      <c r="EG289" s="4">
        <f t="shared" si="843"/>
        <v>0.72249999999999992</v>
      </c>
      <c r="EH289" s="4">
        <f t="shared" si="688"/>
        <v>7.7815993963460848</v>
      </c>
      <c r="EK289" s="4">
        <f t="shared" si="673"/>
        <v>59.568280149757555</v>
      </c>
      <c r="EL289" s="4">
        <f t="shared" si="674"/>
        <v>2.3452078799117149</v>
      </c>
      <c r="EM289" s="4">
        <f t="shared" si="675"/>
        <v>0.15825114885328698</v>
      </c>
      <c r="EP289" s="4">
        <f t="shared" si="759"/>
        <v>0.15825114885328698</v>
      </c>
      <c r="EQ289" s="4">
        <f t="shared" si="721"/>
        <v>0.46912534904610242</v>
      </c>
      <c r="ER289" s="4">
        <f t="shared" si="770"/>
        <v>5.7488956989151347</v>
      </c>
      <c r="ES289" s="4">
        <f t="shared" si="743"/>
        <v>6.8413334294190342</v>
      </c>
      <c r="ET289" s="4">
        <f t="shared" si="771"/>
        <v>154.74421985024244</v>
      </c>
      <c r="EU289" s="4">
        <f t="shared" si="772"/>
        <v>71.4375</v>
      </c>
      <c r="EV289" s="4">
        <f t="shared" si="832"/>
        <v>2.1221044451000022E-5</v>
      </c>
      <c r="EW289" s="4">
        <f t="shared" si="744"/>
        <v>7.233526973750263</v>
      </c>
      <c r="EX289" s="4">
        <f t="shared" si="867"/>
        <v>648.07474280928136</v>
      </c>
      <c r="FA289" s="4">
        <f>5.25*25.4</f>
        <v>133.35</v>
      </c>
      <c r="FG289" s="23">
        <f t="shared" si="778"/>
        <v>1.8</v>
      </c>
      <c r="FH289" s="23">
        <f t="shared" si="778"/>
        <v>1.2</v>
      </c>
      <c r="FI289" s="23">
        <f t="shared" si="712"/>
        <v>1.2</v>
      </c>
      <c r="FJ289" s="23">
        <f t="shared" si="779"/>
        <v>2.2000000000000002</v>
      </c>
      <c r="FK289" s="23">
        <f t="shared" si="779"/>
        <v>1</v>
      </c>
      <c r="FL289" s="23">
        <f t="shared" si="779"/>
        <v>1</v>
      </c>
      <c r="FM289" s="23">
        <f t="shared" si="701"/>
        <v>0</v>
      </c>
      <c r="FN289" s="23"/>
      <c r="FX289" s="4">
        <f t="shared" si="833"/>
        <v>1</v>
      </c>
      <c r="FY289" s="4">
        <f t="shared" si="890"/>
        <v>0.5</v>
      </c>
      <c r="FZ289" s="4">
        <f t="shared" si="834"/>
        <v>0</v>
      </c>
      <c r="GA289" s="4">
        <f t="shared" si="835"/>
        <v>556.79323057976319</v>
      </c>
    </row>
    <row r="290" spans="1:183" ht="12" customHeight="1" x14ac:dyDescent="0.3">
      <c r="A290" s="25">
        <v>272</v>
      </c>
      <c r="B290" s="4" t="s">
        <v>605</v>
      </c>
      <c r="C290" s="4">
        <v>2016</v>
      </c>
      <c r="D290" s="4" t="s">
        <v>309</v>
      </c>
      <c r="E290" s="24" t="s">
        <v>666</v>
      </c>
      <c r="F290" s="48" t="s">
        <v>430</v>
      </c>
      <c r="G290" s="38">
        <f t="shared" si="891"/>
        <v>799.31034482758628</v>
      </c>
      <c r="H290" s="38">
        <f>14.13*25.4</f>
        <v>358.90199999999999</v>
      </c>
      <c r="I290" s="4">
        <f t="shared" si="746"/>
        <v>358.90199999999999</v>
      </c>
      <c r="J290" s="38">
        <f t="shared" si="892"/>
        <v>37.931034482758619</v>
      </c>
      <c r="K290" s="38">
        <f t="shared" si="747"/>
        <v>25.4</v>
      </c>
      <c r="L290" s="7">
        <f t="shared" si="748"/>
        <v>14.13</v>
      </c>
      <c r="M290" s="7">
        <f t="shared" si="749"/>
        <v>14.13</v>
      </c>
      <c r="N290" s="38">
        <f>17*25.4</f>
        <v>431.79999999999995</v>
      </c>
      <c r="O290" s="38">
        <f t="shared" si="881"/>
        <v>63.5</v>
      </c>
      <c r="P290" s="39">
        <f>3.35*25.4</f>
        <v>85.09</v>
      </c>
      <c r="Q290" s="7">
        <f t="shared" si="750"/>
        <v>253.99999999999994</v>
      </c>
      <c r="R290" s="38">
        <v>2</v>
      </c>
      <c r="S290" s="4">
        <f t="shared" si="722"/>
        <v>260.34999999999997</v>
      </c>
      <c r="T290" s="7">
        <f t="shared" si="751"/>
        <v>3</v>
      </c>
      <c r="U290" s="7">
        <f t="shared" si="859"/>
        <v>3</v>
      </c>
      <c r="V290" s="38">
        <v>4.5</v>
      </c>
      <c r="W290" s="4">
        <f t="shared" si="752"/>
        <v>4.5</v>
      </c>
      <c r="X290" s="4">
        <f t="shared" si="753"/>
        <v>5.5</v>
      </c>
      <c r="Y290" s="7">
        <f t="shared" si="754"/>
        <v>59.568280149757555</v>
      </c>
      <c r="AB290" s="38">
        <f t="shared" si="786"/>
        <v>742.06896551724139</v>
      </c>
      <c r="AC290" s="4">
        <v>107.6</v>
      </c>
      <c r="AD290" s="4">
        <f t="shared" si="666"/>
        <v>0.96668345094347008</v>
      </c>
      <c r="AE290" s="38"/>
      <c r="AF290" s="38"/>
      <c r="AG290" s="39">
        <v>1</v>
      </c>
      <c r="AH290" s="39"/>
      <c r="AI290" s="39"/>
      <c r="AJ290" s="7"/>
      <c r="AK290" s="4">
        <f t="shared" si="755"/>
        <v>358.90199999999999</v>
      </c>
      <c r="AL290" s="4">
        <f t="shared" si="678"/>
        <v>0.40103798065581497</v>
      </c>
      <c r="AM290" s="4">
        <f t="shared" si="679"/>
        <v>413.21288083953738</v>
      </c>
      <c r="AN290" s="4">
        <f t="shared" si="680"/>
        <v>0.74246284501061566</v>
      </c>
      <c r="AO290" s="4">
        <v>1.25</v>
      </c>
      <c r="AP290" s="4">
        <f t="shared" si="844"/>
        <v>2.5</v>
      </c>
      <c r="AQ290" s="38">
        <f t="shared" si="723"/>
        <v>384.48916229901221</v>
      </c>
      <c r="AR290" s="38">
        <f t="shared" si="682"/>
        <v>384.48916229901221</v>
      </c>
      <c r="AS290" s="38">
        <f t="shared" si="683"/>
        <v>3.3867596705239982</v>
      </c>
      <c r="AT290" s="38">
        <f t="shared" si="853"/>
        <v>384.48916229901232</v>
      </c>
      <c r="AU290" s="38">
        <f t="shared" si="820"/>
        <v>0.99999999999999967</v>
      </c>
      <c r="AV290" s="38">
        <f t="shared" si="715"/>
        <v>1.2556485278192955</v>
      </c>
      <c r="AW290" s="4">
        <f t="shared" si="707"/>
        <v>0</v>
      </c>
      <c r="AX290" s="4">
        <f t="shared" si="756"/>
        <v>458.02154198878122</v>
      </c>
      <c r="AY290" s="4">
        <f t="shared" si="724"/>
        <v>1</v>
      </c>
      <c r="AZ290" s="38">
        <f t="shared" si="837"/>
        <v>482.78325060322902</v>
      </c>
      <c r="BA290" s="4">
        <f t="shared" si="725"/>
        <v>0.37</v>
      </c>
      <c r="BB290" s="4">
        <f t="shared" si="726"/>
        <v>88.547014604981115</v>
      </c>
      <c r="BC290" s="4">
        <f t="shared" si="727"/>
        <v>571.33026520821011</v>
      </c>
      <c r="BE290" s="4">
        <f t="shared" si="854"/>
        <v>1.375</v>
      </c>
      <c r="BF290" s="4">
        <f t="shared" si="860"/>
        <v>613.02561037992609</v>
      </c>
      <c r="BH290" s="4">
        <f t="shared" si="861"/>
        <v>463.04817787283525</v>
      </c>
      <c r="BI290" s="4">
        <f t="shared" si="806"/>
        <v>0</v>
      </c>
      <c r="BJ290" s="4">
        <f t="shared" si="862"/>
        <v>0</v>
      </c>
      <c r="BR290" s="4">
        <f t="shared" si="728"/>
        <v>63.5</v>
      </c>
      <c r="BV290" s="9"/>
      <c r="BX290" s="9"/>
      <c r="BY290" s="9"/>
      <c r="BZ290" s="9">
        <f t="shared" si="729"/>
        <v>63.5</v>
      </c>
      <c r="CA290" s="9">
        <f t="shared" si="730"/>
        <v>126.99999999999997</v>
      </c>
      <c r="CB290" s="9">
        <f t="shared" si="821"/>
        <v>1.7543833769624846</v>
      </c>
      <c r="CC290" s="40">
        <f t="shared" si="757"/>
        <v>0</v>
      </c>
      <c r="CD290" s="9">
        <f t="shared" si="731"/>
        <v>0</v>
      </c>
      <c r="CE290" s="9">
        <f t="shared" si="732"/>
        <v>0</v>
      </c>
      <c r="CF290" s="9">
        <f t="shared" si="733"/>
        <v>0.99524931562137331</v>
      </c>
      <c r="CG290" s="9">
        <f t="shared" si="734"/>
        <v>0.68048275862068963</v>
      </c>
      <c r="CH290" s="9">
        <f t="shared" si="822"/>
        <v>1.4598707313117956</v>
      </c>
      <c r="CI290" s="9">
        <f t="shared" si="823"/>
        <v>2.5611729435274797</v>
      </c>
      <c r="CJ290" s="40">
        <v>1</v>
      </c>
      <c r="CK290" s="9">
        <f t="shared" si="824"/>
        <v>298.42787137982191</v>
      </c>
      <c r="CM290" s="4">
        <f t="shared" si="735"/>
        <v>1.6201617118162046</v>
      </c>
      <c r="CN290" s="4">
        <f t="shared" si="736"/>
        <v>1.2988441374566582</v>
      </c>
      <c r="CO290" s="4">
        <f t="shared" si="708"/>
        <v>1.2105023884032184</v>
      </c>
      <c r="CP290" s="4">
        <f t="shared" si="737"/>
        <v>2.4865940372331328</v>
      </c>
      <c r="CQ290" s="4">
        <f t="shared" si="694"/>
        <v>0.96668345094347008</v>
      </c>
      <c r="CR290" s="4">
        <f t="shared" si="695"/>
        <v>1.0425960964081298</v>
      </c>
      <c r="CS290" s="4">
        <f t="shared" si="709"/>
        <v>1.0611106737887328</v>
      </c>
      <c r="CT290" s="4">
        <f t="shared" si="758"/>
        <v>0</v>
      </c>
      <c r="CU290" s="4">
        <f t="shared" si="886"/>
        <v>1.6201617118162046</v>
      </c>
      <c r="CV290" s="4">
        <f t="shared" si="886"/>
        <v>1.2988441374566582</v>
      </c>
      <c r="CW290" s="4">
        <f t="shared" si="887"/>
        <v>2.4865940372331328</v>
      </c>
      <c r="CX290" s="4">
        <f t="shared" si="888"/>
        <v>1.0611106737887328</v>
      </c>
      <c r="CY290" s="4">
        <f t="shared" si="889"/>
        <v>0.96668345094347008</v>
      </c>
      <c r="CZ290" s="4">
        <f t="shared" si="889"/>
        <v>1.0425960964081298</v>
      </c>
      <c r="DI290" s="4">
        <f t="shared" si="742"/>
        <v>358.90199999999999</v>
      </c>
      <c r="DL290" s="4">
        <f t="shared" si="667"/>
        <v>2.6653631830456028E-5</v>
      </c>
      <c r="DM290" s="4">
        <f t="shared" si="769"/>
        <v>7.7815993963460848</v>
      </c>
      <c r="DN290" s="4">
        <f t="shared" si="668"/>
        <v>0.52210618708235812</v>
      </c>
      <c r="DO290" s="4">
        <f t="shared" si="669"/>
        <v>6.0002922699225048</v>
      </c>
      <c r="DP290" s="4">
        <f t="shared" si="670"/>
        <v>6.948360182979834</v>
      </c>
      <c r="DQ290" s="4">
        <f t="shared" si="671"/>
        <v>6.900759858455694</v>
      </c>
      <c r="DR290" s="38">
        <f t="shared" si="684"/>
        <v>767.64422189393235</v>
      </c>
      <c r="DS290" s="4">
        <f t="shared" si="829"/>
        <v>1.0001188280509947</v>
      </c>
      <c r="DT290" s="4">
        <f t="shared" si="672"/>
        <v>2.3452078799117149</v>
      </c>
      <c r="DU290" s="4">
        <f t="shared" si="842"/>
        <v>384.48916229901232</v>
      </c>
      <c r="DY290" s="4">
        <f t="shared" si="785"/>
        <v>0.85</v>
      </c>
      <c r="DZ290" s="4">
        <f t="shared" si="830"/>
        <v>0.85</v>
      </c>
      <c r="EA290" s="4">
        <f t="shared" si="685"/>
        <v>1</v>
      </c>
      <c r="EB290" s="4">
        <f t="shared" si="831"/>
        <v>0.85</v>
      </c>
      <c r="ED290" s="4">
        <f t="shared" si="686"/>
        <v>711.75114512106757</v>
      </c>
      <c r="EE290" s="25">
        <f t="shared" si="687"/>
        <v>381.889146709957</v>
      </c>
      <c r="EG290" s="4">
        <f t="shared" si="843"/>
        <v>0.72249999999999992</v>
      </c>
      <c r="EH290" s="4">
        <f t="shared" si="688"/>
        <v>7.7815993963460848</v>
      </c>
      <c r="EK290" s="4">
        <f t="shared" si="673"/>
        <v>59.568280149757555</v>
      </c>
      <c r="EL290" s="4">
        <f t="shared" si="674"/>
        <v>2.3452078799117149</v>
      </c>
      <c r="EM290" s="4">
        <f t="shared" si="675"/>
        <v>0.1758293816359745</v>
      </c>
      <c r="EP290" s="4">
        <f t="shared" si="759"/>
        <v>0.1758293816359745</v>
      </c>
      <c r="EQ290" s="4">
        <f t="shared" si="721"/>
        <v>0.52123488916348304</v>
      </c>
      <c r="ER290" s="4">
        <f t="shared" si="770"/>
        <v>5.9962849150837112</v>
      </c>
      <c r="ES290" s="4">
        <f t="shared" si="743"/>
        <v>6.9466311616095533</v>
      </c>
      <c r="ET290" s="4">
        <f t="shared" si="771"/>
        <v>209.60821985024242</v>
      </c>
      <c r="EU290" s="4">
        <f t="shared" si="772"/>
        <v>89.725500000000039</v>
      </c>
      <c r="EV290" s="4">
        <f t="shared" si="832"/>
        <v>2.6653631830456038E-5</v>
      </c>
      <c r="EW290" s="4">
        <f t="shared" si="744"/>
        <v>6.9010046602592654</v>
      </c>
      <c r="EX290" s="4">
        <f t="shared" si="867"/>
        <v>767.55301506511705</v>
      </c>
      <c r="FA290" s="4">
        <f>5.25*25.4</f>
        <v>133.35</v>
      </c>
      <c r="FG290" s="23">
        <f t="shared" si="778"/>
        <v>1.8</v>
      </c>
      <c r="FH290" s="23">
        <f t="shared" si="778"/>
        <v>1.4</v>
      </c>
      <c r="FI290" s="23">
        <f t="shared" si="712"/>
        <v>1.2</v>
      </c>
      <c r="FJ290" s="23">
        <f t="shared" si="779"/>
        <v>2.2000000000000002</v>
      </c>
      <c r="FK290" s="23">
        <f t="shared" si="779"/>
        <v>1</v>
      </c>
      <c r="FL290" s="23">
        <f t="shared" si="779"/>
        <v>1.2</v>
      </c>
      <c r="FM290" s="23">
        <f t="shared" si="701"/>
        <v>0</v>
      </c>
      <c r="FN290" s="23"/>
      <c r="FX290" s="4">
        <f t="shared" si="833"/>
        <v>1</v>
      </c>
      <c r="FY290" s="4">
        <f t="shared" si="890"/>
        <v>0.5</v>
      </c>
      <c r="FZ290" s="4">
        <f t="shared" si="834"/>
        <v>0</v>
      </c>
      <c r="GA290" s="4">
        <f t="shared" si="835"/>
        <v>699.33229760818267</v>
      </c>
    </row>
    <row r="291" spans="1:183" ht="12" customHeight="1" x14ac:dyDescent="0.3">
      <c r="A291" s="25">
        <v>273</v>
      </c>
      <c r="B291" s="4" t="s">
        <v>605</v>
      </c>
      <c r="C291" s="4">
        <v>2016</v>
      </c>
      <c r="D291" s="4" t="s">
        <v>309</v>
      </c>
      <c r="E291" s="24" t="s">
        <v>666</v>
      </c>
      <c r="F291" s="7" t="s">
        <v>431</v>
      </c>
      <c r="G291" s="38">
        <f t="shared" si="891"/>
        <v>799.31034482758628</v>
      </c>
      <c r="H291" s="38">
        <f>9.13*25.4</f>
        <v>231.90200000000002</v>
      </c>
      <c r="I291" s="4">
        <f t="shared" si="746"/>
        <v>231.90200000000002</v>
      </c>
      <c r="J291" s="38">
        <f>5750/145</f>
        <v>39.655172413793103</v>
      </c>
      <c r="K291" s="38">
        <f t="shared" si="747"/>
        <v>25.4</v>
      </c>
      <c r="L291" s="7">
        <f t="shared" si="748"/>
        <v>9.1300000000000008</v>
      </c>
      <c r="M291" s="7">
        <f t="shared" si="749"/>
        <v>9.1300000000000008</v>
      </c>
      <c r="N291" s="38">
        <f>17.5*25.4</f>
        <v>444.5</v>
      </c>
      <c r="O291" s="38">
        <f>2.65*25.4</f>
        <v>67.309999999999988</v>
      </c>
      <c r="P291" s="39">
        <f>3.15*25.4</f>
        <v>80.009999999999991</v>
      </c>
      <c r="Q291" s="7">
        <f t="shared" si="750"/>
        <v>259.08000000000004</v>
      </c>
      <c r="R291" s="38">
        <v>2</v>
      </c>
      <c r="S291" s="4">
        <f t="shared" si="722"/>
        <v>260.34999999999997</v>
      </c>
      <c r="T291" s="7">
        <f t="shared" si="751"/>
        <v>3.1499999999999995</v>
      </c>
      <c r="U291" s="7">
        <f t="shared" si="859"/>
        <v>3.1499999999999995</v>
      </c>
      <c r="V291" s="38">
        <v>6.5</v>
      </c>
      <c r="W291" s="4">
        <f t="shared" si="752"/>
        <v>6.5</v>
      </c>
      <c r="X291" s="4">
        <f t="shared" si="753"/>
        <v>7.5</v>
      </c>
      <c r="Y291" s="7">
        <f t="shared" si="754"/>
        <v>69.56076480315609</v>
      </c>
      <c r="AB291" s="38">
        <f t="shared" si="786"/>
        <v>553.10344827586209</v>
      </c>
      <c r="AC291" s="4">
        <v>80.2</v>
      </c>
      <c r="AD291" s="4">
        <f t="shared" si="666"/>
        <v>0.92467198904083814</v>
      </c>
      <c r="AE291" s="38">
        <f>0.5*25.4</f>
        <v>12.7</v>
      </c>
      <c r="AF291" s="38">
        <v>4</v>
      </c>
      <c r="AG291" s="39">
        <f>5.5*25.4</f>
        <v>139.69999999999999</v>
      </c>
      <c r="AH291" s="39">
        <v>1</v>
      </c>
      <c r="AI291" s="39">
        <v>1</v>
      </c>
      <c r="AJ291" s="7"/>
      <c r="AK291" s="4">
        <f t="shared" si="755"/>
        <v>231.90200000000002</v>
      </c>
      <c r="AL291" s="4">
        <f t="shared" si="678"/>
        <v>0.63891931361810872</v>
      </c>
      <c r="AM291" s="4">
        <f t="shared" si="679"/>
        <v>219.44179758495289</v>
      </c>
      <c r="AN291" s="4">
        <f t="shared" si="680"/>
        <v>0.76900328587075573</v>
      </c>
      <c r="AO291" s="4">
        <v>1.25</v>
      </c>
      <c r="AP291" s="4">
        <f t="shared" si="844"/>
        <v>2.5</v>
      </c>
      <c r="AQ291" s="38">
        <f t="shared" si="723"/>
        <v>336.933028649113</v>
      </c>
      <c r="AR291" s="38">
        <f t="shared" si="682"/>
        <v>336.933028649113</v>
      </c>
      <c r="AS291" s="38">
        <f t="shared" si="683"/>
        <v>3.4886265610899732</v>
      </c>
      <c r="AT291" s="38">
        <f t="shared" si="853"/>
        <v>336.93302864911328</v>
      </c>
      <c r="AU291" s="38">
        <f t="shared" si="820"/>
        <v>0.99999999999999911</v>
      </c>
      <c r="AV291" s="38">
        <f t="shared" si="715"/>
        <v>1.8903990241179067</v>
      </c>
      <c r="AW291" s="4">
        <f t="shared" si="707"/>
        <v>0</v>
      </c>
      <c r="AX291" s="4">
        <f t="shared" si="756"/>
        <v>302.59872779955452</v>
      </c>
      <c r="AY291" s="4">
        <f t="shared" si="724"/>
        <v>1</v>
      </c>
      <c r="AZ291" s="38">
        <f t="shared" si="837"/>
        <v>636.93786855137444</v>
      </c>
      <c r="BA291" s="4">
        <f t="shared" si="725"/>
        <v>0.3</v>
      </c>
      <c r="BB291" s="4">
        <f t="shared" si="726"/>
        <v>47.432350582580163</v>
      </c>
      <c r="BC291" s="4">
        <f t="shared" si="727"/>
        <v>684.37021913395461</v>
      </c>
      <c r="BE291" s="4">
        <f t="shared" si="854"/>
        <v>1.5</v>
      </c>
      <c r="BF291" s="4">
        <f t="shared" si="860"/>
        <v>542.09750073370026</v>
      </c>
      <c r="BH291" s="4">
        <f t="shared" si="861"/>
        <v>610.90130836645233</v>
      </c>
      <c r="BI291" s="4">
        <f t="shared" si="806"/>
        <v>0</v>
      </c>
      <c r="BJ291" s="4">
        <f t="shared" si="862"/>
        <v>0</v>
      </c>
      <c r="BR291" s="4">
        <f t="shared" si="728"/>
        <v>67.309999999999988</v>
      </c>
      <c r="BV291" s="9"/>
      <c r="BX291" s="9"/>
      <c r="BY291" s="9"/>
      <c r="BZ291" s="9">
        <f t="shared" si="729"/>
        <v>67.309999999999988</v>
      </c>
      <c r="CA291" s="9">
        <f t="shared" si="730"/>
        <v>129.54000000000002</v>
      </c>
      <c r="CB291" s="9">
        <f t="shared" si="821"/>
        <v>1.7958562989508591</v>
      </c>
      <c r="CC291" s="40">
        <f t="shared" si="757"/>
        <v>20</v>
      </c>
      <c r="CD291" s="9">
        <f t="shared" si="731"/>
        <v>0.05</v>
      </c>
      <c r="CE291" s="9">
        <f t="shared" si="732"/>
        <v>0.8</v>
      </c>
      <c r="CF291" s="9">
        <f t="shared" si="733"/>
        <v>0.99524931562137331</v>
      </c>
      <c r="CG291" s="9">
        <f t="shared" si="734"/>
        <v>0.68048275862068963</v>
      </c>
      <c r="CH291" s="9">
        <f t="shared" si="822"/>
        <v>1.4926809118196944</v>
      </c>
      <c r="CI291" s="9">
        <f t="shared" si="823"/>
        <v>3.7317022795492361</v>
      </c>
      <c r="CJ291" s="40">
        <v>1</v>
      </c>
      <c r="CK291" s="9">
        <f t="shared" si="824"/>
        <v>360.18390402209229</v>
      </c>
      <c r="CM291" s="4">
        <f t="shared" si="735"/>
        <v>1.82784459240108</v>
      </c>
      <c r="CN291" s="4">
        <f t="shared" si="736"/>
        <v>0.80819333280719641</v>
      </c>
      <c r="CO291" s="4">
        <f t="shared" si="708"/>
        <v>1.0203025240427521</v>
      </c>
      <c r="CP291" s="4">
        <f t="shared" si="737"/>
        <v>1.5356140074541944</v>
      </c>
      <c r="CQ291" s="4">
        <f t="shared" si="694"/>
        <v>0.92467198904083814</v>
      </c>
      <c r="CR291" s="4">
        <f t="shared" si="695"/>
        <v>0.96545639129394512</v>
      </c>
      <c r="CS291" s="4">
        <f t="shared" si="709"/>
        <v>1.085175517695939</v>
      </c>
      <c r="CT291" s="4">
        <f t="shared" si="758"/>
        <v>4</v>
      </c>
      <c r="DA291" s="4">
        <f t="shared" ref="DA291:DB298" si="893">CM291</f>
        <v>1.82784459240108</v>
      </c>
      <c r="DB291" s="4">
        <f t="shared" si="893"/>
        <v>0.80819333280719641</v>
      </c>
      <c r="DC291" s="4">
        <f t="shared" ref="DC291:DC298" si="894">CP291</f>
        <v>1.5356140074541944</v>
      </c>
      <c r="DD291" s="4">
        <f t="shared" ref="DD291:DD298" si="895">CS291</f>
        <v>1.085175517695939</v>
      </c>
      <c r="DE291" s="4">
        <f t="shared" ref="DE291:DF298" si="896">CQ291</f>
        <v>0.92467198904083814</v>
      </c>
      <c r="DF291" s="4">
        <f t="shared" si="896"/>
        <v>0.96545639129394512</v>
      </c>
      <c r="DI291" s="4">
        <f t="shared" si="742"/>
        <v>231.90200000000002</v>
      </c>
      <c r="DL291" s="4">
        <f t="shared" si="667"/>
        <v>1.7421370946555192E-5</v>
      </c>
      <c r="DM291" s="4">
        <f t="shared" si="769"/>
        <v>8.7561292633881198</v>
      </c>
      <c r="DN291" s="4">
        <f t="shared" si="668"/>
        <v>0.35380308194526749</v>
      </c>
      <c r="DO291" s="4">
        <f t="shared" si="669"/>
        <v>5.7785225040000663</v>
      </c>
      <c r="DP291" s="4">
        <f t="shared" si="670"/>
        <v>7.4188687743172457</v>
      </c>
      <c r="DQ291" s="4">
        <f t="shared" si="671"/>
        <v>8.3236620530493592</v>
      </c>
      <c r="DR291" s="38">
        <f t="shared" si="684"/>
        <v>598.16178583455962</v>
      </c>
      <c r="DS291" s="4">
        <f t="shared" si="829"/>
        <v>1.0001099197196661</v>
      </c>
      <c r="DT291" s="4">
        <f t="shared" si="672"/>
        <v>2.7386127875258306</v>
      </c>
      <c r="DU291" s="4">
        <f t="shared" si="842"/>
        <v>336.93302864911328</v>
      </c>
      <c r="DY291" s="4">
        <f t="shared" si="785"/>
        <v>0.85</v>
      </c>
      <c r="DZ291" s="4">
        <f t="shared" si="830"/>
        <v>0.83499999999999996</v>
      </c>
      <c r="EA291" s="4">
        <f t="shared" si="685"/>
        <v>0.92500000000000004</v>
      </c>
      <c r="EB291" s="4">
        <f t="shared" si="831"/>
        <v>0.77237500000000003</v>
      </c>
      <c r="ED291" s="4">
        <f t="shared" si="686"/>
        <v>572.89324848175659</v>
      </c>
      <c r="EE291" s="25">
        <f t="shared" si="687"/>
        <v>333.06286795755597</v>
      </c>
      <c r="EG291" s="4">
        <f t="shared" si="843"/>
        <v>0.65651875000000004</v>
      </c>
      <c r="EH291" s="4">
        <f t="shared" si="688"/>
        <v>8.7561292633881198</v>
      </c>
      <c r="EK291" s="4">
        <f t="shared" si="673"/>
        <v>69.56076480315609</v>
      </c>
      <c r="EL291" s="4">
        <f t="shared" si="674"/>
        <v>2.7386127875258306</v>
      </c>
      <c r="EM291" s="4">
        <f t="shared" si="675"/>
        <v>0.12182791126514832</v>
      </c>
      <c r="EP291" s="4">
        <f t="shared" si="759"/>
        <v>0.12182791126514832</v>
      </c>
      <c r="EQ291" s="4">
        <f t="shared" si="721"/>
        <v>0.35321265054143147</v>
      </c>
      <c r="ER291" s="4">
        <f t="shared" si="770"/>
        <v>5.7746632603039609</v>
      </c>
      <c r="ES291" s="4">
        <f t="shared" si="743"/>
        <v>7.4173695936807951</v>
      </c>
      <c r="ET291" s="4">
        <f t="shared" si="771"/>
        <v>104.36573519684391</v>
      </c>
      <c r="EU291" s="4">
        <f t="shared" si="772"/>
        <v>57.975499999999997</v>
      </c>
      <c r="EV291" s="4">
        <f t="shared" si="832"/>
        <v>1.7421370946555189E-5</v>
      </c>
      <c r="EW291" s="4">
        <f t="shared" si="744"/>
        <v>8.3237905529090828</v>
      </c>
      <c r="EX291" s="4">
        <f t="shared" si="867"/>
        <v>598.09604328514831</v>
      </c>
      <c r="FG291" s="23">
        <f t="shared" si="778"/>
        <v>2</v>
      </c>
      <c r="FH291" s="23">
        <f t="shared" si="778"/>
        <v>1</v>
      </c>
      <c r="FI291" s="23">
        <f t="shared" si="712"/>
        <v>1.2</v>
      </c>
      <c r="FJ291" s="23">
        <f t="shared" si="779"/>
        <v>1.6</v>
      </c>
      <c r="FK291" s="23">
        <f t="shared" si="779"/>
        <v>1</v>
      </c>
      <c r="FL291" s="23">
        <f t="shared" si="779"/>
        <v>1</v>
      </c>
      <c r="FM291" s="23">
        <f t="shared" si="701"/>
        <v>0</v>
      </c>
      <c r="FN291" s="23"/>
      <c r="FX291" s="4">
        <f t="shared" si="833"/>
        <v>1</v>
      </c>
      <c r="FY291" s="4">
        <f t="shared" si="890"/>
        <v>0.4482312338222606</v>
      </c>
      <c r="FZ291" s="4">
        <f t="shared" si="834"/>
        <v>0.25</v>
      </c>
      <c r="GA291" s="4">
        <f t="shared" si="835"/>
        <v>509.69031207985563</v>
      </c>
    </row>
    <row r="292" spans="1:183" ht="12" customHeight="1" x14ac:dyDescent="0.3">
      <c r="A292" s="25">
        <v>274</v>
      </c>
      <c r="B292" s="4" t="s">
        <v>605</v>
      </c>
      <c r="C292" s="4">
        <v>2016</v>
      </c>
      <c r="D292" s="4" t="s">
        <v>309</v>
      </c>
      <c r="E292" s="24" t="s">
        <v>666</v>
      </c>
      <c r="F292" s="7" t="s">
        <v>432</v>
      </c>
      <c r="G292" s="38">
        <f t="shared" si="891"/>
        <v>799.31034482758628</v>
      </c>
      <c r="H292" s="38">
        <f>12.31*25.4</f>
        <v>312.67399999999998</v>
      </c>
      <c r="I292" s="4">
        <f t="shared" si="746"/>
        <v>312.67399999999998</v>
      </c>
      <c r="J292" s="38">
        <f>5750/145</f>
        <v>39.655172413793103</v>
      </c>
      <c r="K292" s="38">
        <f t="shared" si="747"/>
        <v>25.4</v>
      </c>
      <c r="L292" s="7">
        <f t="shared" si="748"/>
        <v>12.31</v>
      </c>
      <c r="M292" s="7">
        <f t="shared" si="749"/>
        <v>12.31</v>
      </c>
      <c r="N292" s="38">
        <f>16.9*25.4</f>
        <v>429.25999999999993</v>
      </c>
      <c r="O292" s="38">
        <f>2.45*25.4</f>
        <v>62.230000000000004</v>
      </c>
      <c r="P292" s="39">
        <f>3*25.4</f>
        <v>76.199999999999989</v>
      </c>
      <c r="Q292" s="7">
        <f t="shared" si="750"/>
        <v>253.99999999999991</v>
      </c>
      <c r="R292" s="38">
        <v>2</v>
      </c>
      <c r="S292" s="4">
        <f t="shared" si="722"/>
        <v>260.34999999999997</v>
      </c>
      <c r="T292" s="7">
        <f t="shared" si="751"/>
        <v>2.95</v>
      </c>
      <c r="U292" s="7">
        <f t="shared" si="859"/>
        <v>2.95</v>
      </c>
      <c r="V292" s="38">
        <v>6.5</v>
      </c>
      <c r="W292" s="4">
        <f t="shared" si="752"/>
        <v>6.5</v>
      </c>
      <c r="X292" s="4">
        <f t="shared" si="753"/>
        <v>7.5</v>
      </c>
      <c r="Y292" s="7">
        <f t="shared" si="754"/>
        <v>69.56076480315609</v>
      </c>
      <c r="AB292" s="38">
        <f t="shared" si="786"/>
        <v>750.34482758620697</v>
      </c>
      <c r="AC292" s="4">
        <v>108.8</v>
      </c>
      <c r="AD292" s="4">
        <f t="shared" si="666"/>
        <v>1.0457977173215069</v>
      </c>
      <c r="AE292" s="38">
        <f t="shared" ref="AE292:AE298" si="897">0.5*25.4</f>
        <v>12.7</v>
      </c>
      <c r="AF292" s="38">
        <v>4</v>
      </c>
      <c r="AG292" s="39">
        <f t="shared" ref="AG292:AG294" si="898">5.5*25.4</f>
        <v>139.69999999999999</v>
      </c>
      <c r="AH292" s="39">
        <v>1</v>
      </c>
      <c r="AI292" s="39">
        <v>1</v>
      </c>
      <c r="AJ292" s="7"/>
      <c r="AK292" s="4">
        <f t="shared" si="755"/>
        <v>312.67399999999998</v>
      </c>
      <c r="AL292" s="4">
        <f t="shared" si="678"/>
        <v>0.45762252910912532</v>
      </c>
      <c r="AM292" s="4">
        <f t="shared" si="679"/>
        <v>343.55815775866921</v>
      </c>
      <c r="AN292" s="4">
        <f t="shared" si="680"/>
        <v>0.74792851340373678</v>
      </c>
      <c r="AO292" s="4">
        <v>1.25</v>
      </c>
      <c r="AP292" s="4">
        <f t="shared" si="844"/>
        <v>2.5</v>
      </c>
      <c r="AQ292" s="38">
        <f t="shared" si="723"/>
        <v>367.46651800558806</v>
      </c>
      <c r="AR292" s="38">
        <f t="shared" si="682"/>
        <v>367.46651800558806</v>
      </c>
      <c r="AS292" s="38">
        <f t="shared" si="683"/>
        <v>3.4886265610899732</v>
      </c>
      <c r="AT292" s="38">
        <f t="shared" si="853"/>
        <v>367.46651800558817</v>
      </c>
      <c r="AU292" s="38">
        <f t="shared" si="820"/>
        <v>0.99999999999999967</v>
      </c>
      <c r="AV292" s="38">
        <f t="shared" si="715"/>
        <v>1.6232699844281868</v>
      </c>
      <c r="AW292" s="4">
        <f t="shared" si="707"/>
        <v>0</v>
      </c>
      <c r="AX292" s="4">
        <f t="shared" si="756"/>
        <v>407.99456070235658</v>
      </c>
      <c r="AY292" s="4">
        <f t="shared" si="724"/>
        <v>1</v>
      </c>
      <c r="AZ292" s="38">
        <f t="shared" si="837"/>
        <v>596.49736896081117</v>
      </c>
      <c r="BA292" s="4">
        <f t="shared" si="725"/>
        <v>0.3</v>
      </c>
      <c r="BB292" s="4">
        <f t="shared" si="726"/>
        <v>63.953147390094387</v>
      </c>
      <c r="BC292" s="4">
        <f t="shared" si="727"/>
        <v>660.45051635090556</v>
      </c>
      <c r="BE292" s="4">
        <f t="shared" si="854"/>
        <v>1.5</v>
      </c>
      <c r="BF292" s="4">
        <f t="shared" si="860"/>
        <v>632.21093786559618</v>
      </c>
      <c r="BH292" s="4">
        <f t="shared" si="861"/>
        <v>572.11392370826502</v>
      </c>
      <c r="BI292" s="4">
        <f t="shared" si="806"/>
        <v>0</v>
      </c>
      <c r="BJ292" s="4">
        <f t="shared" si="862"/>
        <v>0</v>
      </c>
      <c r="BR292" s="4">
        <f t="shared" si="728"/>
        <v>62.230000000000004</v>
      </c>
      <c r="BV292" s="9"/>
      <c r="BX292" s="9"/>
      <c r="BY292" s="9"/>
      <c r="BZ292" s="9">
        <f t="shared" si="729"/>
        <v>62.230000000000004</v>
      </c>
      <c r="CA292" s="9">
        <f t="shared" si="730"/>
        <v>126.99999999999996</v>
      </c>
      <c r="CB292" s="9">
        <f t="shared" si="821"/>
        <v>1.7420219790042637</v>
      </c>
      <c r="CC292" s="40">
        <f t="shared" si="757"/>
        <v>20</v>
      </c>
      <c r="CD292" s="9">
        <f t="shared" si="731"/>
        <v>0.05</v>
      </c>
      <c r="CE292" s="9">
        <f t="shared" si="732"/>
        <v>0.8</v>
      </c>
      <c r="CF292" s="9">
        <f t="shared" si="733"/>
        <v>0.99524931562137331</v>
      </c>
      <c r="CG292" s="9">
        <f t="shared" si="734"/>
        <v>0.68048275862068963</v>
      </c>
      <c r="CH292" s="9">
        <f t="shared" si="822"/>
        <v>1.4926809118196944</v>
      </c>
      <c r="CI292" s="9">
        <f t="shared" si="823"/>
        <v>3.7317022795492361</v>
      </c>
      <c r="CJ292" s="40">
        <v>1</v>
      </c>
      <c r="CK292" s="9">
        <f t="shared" si="824"/>
        <v>407.65115701795855</v>
      </c>
      <c r="CM292" s="4">
        <f t="shared" si="735"/>
        <v>1.8391049780038722</v>
      </c>
      <c r="CN292" s="4">
        <f t="shared" si="736"/>
        <v>1.1361105927087192</v>
      </c>
      <c r="CO292" s="4">
        <f t="shared" si="708"/>
        <v>1.1868583452849486</v>
      </c>
      <c r="CP292" s="4">
        <f t="shared" si="737"/>
        <v>1.8406542325921853</v>
      </c>
      <c r="CQ292" s="4">
        <f t="shared" si="694"/>
        <v>1.0457977173215069</v>
      </c>
      <c r="CR292" s="4">
        <f t="shared" si="695"/>
        <v>1.1029753689711439</v>
      </c>
      <c r="CS292" s="4">
        <f t="shared" si="709"/>
        <v>1.3648258889866054</v>
      </c>
      <c r="CT292" s="4">
        <f t="shared" si="758"/>
        <v>4</v>
      </c>
      <c r="DA292" s="4">
        <f t="shared" si="893"/>
        <v>1.8391049780038722</v>
      </c>
      <c r="DB292" s="4">
        <f t="shared" si="893"/>
        <v>1.1361105927087192</v>
      </c>
      <c r="DC292" s="4">
        <f t="shared" si="894"/>
        <v>1.8406542325921853</v>
      </c>
      <c r="DD292" s="4">
        <f t="shared" si="895"/>
        <v>1.3648258889866054</v>
      </c>
      <c r="DE292" s="4">
        <f t="shared" si="896"/>
        <v>1.0457977173215069</v>
      </c>
      <c r="DF292" s="4">
        <f t="shared" si="896"/>
        <v>1.1029753689711439</v>
      </c>
      <c r="DI292" s="4">
        <f t="shared" si="742"/>
        <v>312.67399999999998</v>
      </c>
      <c r="DL292" s="4">
        <f t="shared" si="667"/>
        <v>2.3489274518301684E-5</v>
      </c>
      <c r="DM292" s="4">
        <f t="shared" si="769"/>
        <v>8.5513075262328435</v>
      </c>
      <c r="DN292" s="4">
        <f t="shared" si="668"/>
        <v>0.38586536648939879</v>
      </c>
      <c r="DO292" s="4">
        <f t="shared" si="669"/>
        <v>5.8426092916185413</v>
      </c>
      <c r="DP292" s="4">
        <f t="shared" si="670"/>
        <v>7.3237162936001994</v>
      </c>
      <c r="DQ292" s="4">
        <f t="shared" si="671"/>
        <v>7.7805830526388018</v>
      </c>
      <c r="DR292" s="38">
        <f t="shared" si="684"/>
        <v>717.48562380494309</v>
      </c>
      <c r="DS292" s="4">
        <f t="shared" si="829"/>
        <v>1.0001122463285002</v>
      </c>
      <c r="DT292" s="4">
        <f t="shared" si="672"/>
        <v>2.7386127875258306</v>
      </c>
      <c r="DU292" s="4">
        <f t="shared" si="842"/>
        <v>367.46651800558817</v>
      </c>
      <c r="DY292" s="4">
        <f t="shared" si="785"/>
        <v>0.85</v>
      </c>
      <c r="DZ292" s="4">
        <f t="shared" si="830"/>
        <v>0.85499999999999998</v>
      </c>
      <c r="EA292" s="4">
        <f t="shared" si="685"/>
        <v>0.92500000000000004</v>
      </c>
      <c r="EB292" s="4">
        <f t="shared" si="831"/>
        <v>0.79087499999999999</v>
      </c>
      <c r="ED292" s="4">
        <f t="shared" si="686"/>
        <v>680.29155382329986</v>
      </c>
      <c r="EE292" s="25">
        <f t="shared" si="687"/>
        <v>364.49176687952098</v>
      </c>
      <c r="EG292" s="4">
        <f t="shared" si="843"/>
        <v>0.67224375000000003</v>
      </c>
      <c r="EH292" s="4">
        <f t="shared" si="688"/>
        <v>8.5513075262328435</v>
      </c>
      <c r="EK292" s="4">
        <f t="shared" si="673"/>
        <v>69.56076480315609</v>
      </c>
      <c r="EL292" s="4">
        <f t="shared" si="674"/>
        <v>2.7386127875258306</v>
      </c>
      <c r="EM292" s="4">
        <f t="shared" si="675"/>
        <v>0.13286818014840418</v>
      </c>
      <c r="EP292" s="4">
        <f t="shared" si="759"/>
        <v>0.13286818014840418</v>
      </c>
      <c r="EQ292" s="4">
        <f t="shared" si="721"/>
        <v>0.38522142910825607</v>
      </c>
      <c r="ER292" s="4">
        <f t="shared" si="770"/>
        <v>5.8387072469242662</v>
      </c>
      <c r="ES292" s="4">
        <f t="shared" si="743"/>
        <v>7.3221628948064694</v>
      </c>
      <c r="ET292" s="4">
        <f t="shared" si="771"/>
        <v>164.94473519684391</v>
      </c>
      <c r="EU292" s="4">
        <f t="shared" si="772"/>
        <v>78.168499999999995</v>
      </c>
      <c r="EV292" s="4">
        <f t="shared" si="832"/>
        <v>2.3489274518301684E-5</v>
      </c>
      <c r="EW292" s="4">
        <f t="shared" si="744"/>
        <v>7.7807917493059744</v>
      </c>
      <c r="EX292" s="4">
        <f t="shared" si="867"/>
        <v>717.40509771667712</v>
      </c>
      <c r="FG292" s="23">
        <f t="shared" si="778"/>
        <v>2</v>
      </c>
      <c r="FH292" s="23">
        <f t="shared" si="778"/>
        <v>1.2</v>
      </c>
      <c r="FI292" s="23">
        <f t="shared" si="712"/>
        <v>1.4</v>
      </c>
      <c r="FJ292" s="23">
        <f t="shared" si="779"/>
        <v>2</v>
      </c>
      <c r="FK292" s="23">
        <f t="shared" si="779"/>
        <v>1.2</v>
      </c>
      <c r="FL292" s="23">
        <f t="shared" si="779"/>
        <v>1.2</v>
      </c>
      <c r="FM292" s="23">
        <f t="shared" si="701"/>
        <v>0</v>
      </c>
      <c r="FN292" s="23"/>
      <c r="FX292" s="4">
        <f t="shared" si="833"/>
        <v>1.25</v>
      </c>
      <c r="FY292" s="4">
        <f t="shared" si="890"/>
        <v>0.4482312338222606</v>
      </c>
      <c r="FZ292" s="4">
        <f t="shared" si="834"/>
        <v>0.25</v>
      </c>
      <c r="GA292" s="4">
        <f t="shared" si="835"/>
        <v>549.77329609665026</v>
      </c>
    </row>
    <row r="293" spans="1:183" ht="12" customHeight="1" x14ac:dyDescent="0.3">
      <c r="A293" s="25">
        <v>275</v>
      </c>
      <c r="B293" s="4" t="s">
        <v>605</v>
      </c>
      <c r="C293" s="4">
        <v>2016</v>
      </c>
      <c r="D293" s="4" t="s">
        <v>309</v>
      </c>
      <c r="E293" s="24" t="s">
        <v>666</v>
      </c>
      <c r="F293" s="48" t="s">
        <v>433</v>
      </c>
      <c r="G293" s="38">
        <f t="shared" si="891"/>
        <v>799.31034482758628</v>
      </c>
      <c r="H293" s="38">
        <f>9.38*25.4</f>
        <v>238.25200000000001</v>
      </c>
      <c r="I293" s="4">
        <f t="shared" si="746"/>
        <v>238.25200000000001</v>
      </c>
      <c r="J293" s="38">
        <f>5750/145</f>
        <v>39.655172413793103</v>
      </c>
      <c r="K293" s="38">
        <f t="shared" si="747"/>
        <v>25.4</v>
      </c>
      <c r="L293" s="7">
        <f t="shared" si="748"/>
        <v>9.3800000000000008</v>
      </c>
      <c r="M293" s="7">
        <f t="shared" si="749"/>
        <v>9.3800000000000008</v>
      </c>
      <c r="N293" s="38">
        <f>17*25.4</f>
        <v>431.79999999999995</v>
      </c>
      <c r="O293" s="38">
        <f t="shared" si="881"/>
        <v>63.5</v>
      </c>
      <c r="P293" s="39">
        <f>3.1*25.4</f>
        <v>78.739999999999995</v>
      </c>
      <c r="Q293" s="7">
        <f t="shared" si="750"/>
        <v>253.99999999999994</v>
      </c>
      <c r="R293" s="38">
        <v>2</v>
      </c>
      <c r="S293" s="4">
        <f t="shared" si="722"/>
        <v>260.34999999999997</v>
      </c>
      <c r="T293" s="7">
        <f t="shared" si="751"/>
        <v>3</v>
      </c>
      <c r="U293" s="7">
        <f t="shared" si="859"/>
        <v>3</v>
      </c>
      <c r="V293" s="38">
        <v>4.5</v>
      </c>
      <c r="W293" s="4">
        <f t="shared" si="752"/>
        <v>4.5</v>
      </c>
      <c r="X293" s="4">
        <f t="shared" si="753"/>
        <v>5.5</v>
      </c>
      <c r="Y293" s="7">
        <f t="shared" si="754"/>
        <v>59.568280149757555</v>
      </c>
      <c r="AB293" s="38">
        <f t="shared" si="786"/>
        <v>593.10344827586209</v>
      </c>
      <c r="AC293" s="4">
        <v>86</v>
      </c>
      <c r="AD293" s="4">
        <f t="shared" ref="AD293:AD356" si="899">CQ293</f>
        <v>0.98277763354811387</v>
      </c>
      <c r="AE293" s="38">
        <f t="shared" si="897"/>
        <v>12.7</v>
      </c>
      <c r="AF293" s="38">
        <v>4</v>
      </c>
      <c r="AG293" s="39">
        <f t="shared" si="898"/>
        <v>139.69999999999999</v>
      </c>
      <c r="AH293" s="39">
        <v>1</v>
      </c>
      <c r="AI293" s="39">
        <v>1</v>
      </c>
      <c r="AJ293" s="7"/>
      <c r="AK293" s="4">
        <f t="shared" si="755"/>
        <v>238.25200000000001</v>
      </c>
      <c r="AL293" s="4">
        <f t="shared" si="678"/>
        <v>0.60412224591329067</v>
      </c>
      <c r="AM293" s="4">
        <f t="shared" si="679"/>
        <v>228.51643672654887</v>
      </c>
      <c r="AN293" s="4">
        <f t="shared" si="680"/>
        <v>0.76396588486140726</v>
      </c>
      <c r="AO293" s="4">
        <v>1.25</v>
      </c>
      <c r="AP293" s="4">
        <f t="shared" si="844"/>
        <v>2.5</v>
      </c>
      <c r="AQ293" s="38">
        <f t="shared" si="723"/>
        <v>329.58410519011557</v>
      </c>
      <c r="AR293" s="38">
        <f t="shared" si="682"/>
        <v>329.58410519011557</v>
      </c>
      <c r="AS293" s="38">
        <f t="shared" si="683"/>
        <v>3.4886265610899732</v>
      </c>
      <c r="AT293" s="38">
        <f t="shared" si="853"/>
        <v>329.58410519011528</v>
      </c>
      <c r="AU293" s="38">
        <f t="shared" si="820"/>
        <v>1.0000000000000009</v>
      </c>
      <c r="AV293" s="38">
        <f t="shared" si="715"/>
        <v>1.531408632468251</v>
      </c>
      <c r="AW293" s="4">
        <f t="shared" si="707"/>
        <v>0</v>
      </c>
      <c r="AX293" s="4">
        <f t="shared" si="756"/>
        <v>310.88456371958614</v>
      </c>
      <c r="AY293" s="4">
        <f t="shared" si="724"/>
        <v>1</v>
      </c>
      <c r="AZ293" s="38">
        <f t="shared" si="837"/>
        <v>504.72794381246661</v>
      </c>
      <c r="BA293" s="4">
        <f t="shared" si="725"/>
        <v>0.37</v>
      </c>
      <c r="BB293" s="4">
        <f t="shared" si="726"/>
        <v>60.101758281088976</v>
      </c>
      <c r="BC293" s="4">
        <f t="shared" si="727"/>
        <v>564.82970209355562</v>
      </c>
      <c r="BE293" s="4">
        <f t="shared" si="854"/>
        <v>1.5</v>
      </c>
      <c r="BF293" s="4">
        <f t="shared" si="860"/>
        <v>549.18189044532733</v>
      </c>
      <c r="BH293" s="4">
        <f t="shared" si="861"/>
        <v>484.09582232160056</v>
      </c>
      <c r="BI293" s="4">
        <f t="shared" si="806"/>
        <v>0</v>
      </c>
      <c r="BJ293" s="4">
        <f t="shared" si="862"/>
        <v>0</v>
      </c>
      <c r="BR293" s="4">
        <f t="shared" si="728"/>
        <v>63.5</v>
      </c>
      <c r="BV293" s="9"/>
      <c r="BX293" s="9"/>
      <c r="BY293" s="9"/>
      <c r="BZ293" s="9">
        <f t="shared" si="729"/>
        <v>63.5</v>
      </c>
      <c r="CA293" s="9">
        <f t="shared" si="730"/>
        <v>126.99999999999997</v>
      </c>
      <c r="CB293" s="9">
        <f t="shared" si="821"/>
        <v>1.7543833769624846</v>
      </c>
      <c r="CC293" s="40">
        <f t="shared" si="757"/>
        <v>20</v>
      </c>
      <c r="CD293" s="9">
        <f t="shared" si="731"/>
        <v>0.05</v>
      </c>
      <c r="CE293" s="9">
        <f t="shared" si="732"/>
        <v>0.8</v>
      </c>
      <c r="CF293" s="9">
        <f t="shared" si="733"/>
        <v>0.99524931562137331</v>
      </c>
      <c r="CG293" s="9">
        <f t="shared" si="734"/>
        <v>0.68048275862068963</v>
      </c>
      <c r="CH293" s="9">
        <f t="shared" si="822"/>
        <v>1.4926809118196944</v>
      </c>
      <c r="CI293" s="9">
        <f t="shared" si="823"/>
        <v>3.7317022795492361</v>
      </c>
      <c r="CJ293" s="40">
        <v>1</v>
      </c>
      <c r="CK293" s="9">
        <f t="shared" si="824"/>
        <v>363.9156063016415</v>
      </c>
      <c r="CM293" s="4">
        <f t="shared" si="735"/>
        <v>1.9077931730661086</v>
      </c>
      <c r="CN293" s="4">
        <f t="shared" si="736"/>
        <v>1.0500571164680419</v>
      </c>
      <c r="CO293" s="4">
        <f t="shared" si="708"/>
        <v>1.0799763404341667</v>
      </c>
      <c r="CP293" s="4">
        <f t="shared" si="737"/>
        <v>1.6297829441924288</v>
      </c>
      <c r="CQ293" s="4">
        <f t="shared" si="694"/>
        <v>0.98277763354811387</v>
      </c>
      <c r="CR293" s="4">
        <f t="shared" si="695"/>
        <v>1.0443012016693149</v>
      </c>
      <c r="CS293" s="4">
        <f t="shared" si="709"/>
        <v>1.1326402982209955</v>
      </c>
      <c r="CT293" s="4">
        <f t="shared" si="758"/>
        <v>4</v>
      </c>
      <c r="DA293" s="4">
        <f t="shared" si="893"/>
        <v>1.9077931730661086</v>
      </c>
      <c r="DB293" s="4">
        <f t="shared" si="893"/>
        <v>1.0500571164680419</v>
      </c>
      <c r="DC293" s="4">
        <f t="shared" si="894"/>
        <v>1.6297829441924288</v>
      </c>
      <c r="DD293" s="4">
        <f t="shared" si="895"/>
        <v>1.1326402982209955</v>
      </c>
      <c r="DE293" s="4">
        <f t="shared" si="896"/>
        <v>0.98277763354811387</v>
      </c>
      <c r="DF293" s="4">
        <f t="shared" si="896"/>
        <v>1.0443012016693149</v>
      </c>
      <c r="DI293" s="4">
        <f t="shared" si="742"/>
        <v>238.25200000000001</v>
      </c>
      <c r="DL293" s="4">
        <f t="shared" ref="DL293:DL356" si="900">H293/4/(1-0.3*(J293/30)^0.5)/200000/K293</f>
        <v>1.7898407390874884E-5</v>
      </c>
      <c r="DM293" s="4">
        <f t="shared" si="769"/>
        <v>8.6016093352106822</v>
      </c>
      <c r="DN293" s="4">
        <f t="shared" ref="DN293:DN356" si="901">DU293*Y293/257/J293/V293</f>
        <v>0.42809074683004311</v>
      </c>
      <c r="DO293" s="4">
        <f t="shared" ref="DO293:DO356" si="902">DM293*DN293^0.4</f>
        <v>6.1262406163308114</v>
      </c>
      <c r="DP293" s="4">
        <f t="shared" ref="DP293:DP356" si="903">MIN(DM293, DM293/1.4*(1-DN293^1.4)/(1-DN293))</f>
        <v>7.4674964120678524</v>
      </c>
      <c r="DQ293" s="4">
        <f t="shared" ref="DQ293:DQ356" si="904">MAX(DM293/2, (4-DL293*(8*Y293*(DO293-DP293)+6*H293*DP293))/(4+DL293*H293*DM293)*DM293)</f>
        <v>8.1406968914674351</v>
      </c>
      <c r="DR293" s="38">
        <f t="shared" si="684"/>
        <v>603.49709642311018</v>
      </c>
      <c r="DS293" s="4">
        <f t="shared" si="829"/>
        <v>1.0001136025152375</v>
      </c>
      <c r="DT293" s="4">
        <f t="shared" ref="DT293:DT356" si="905">Y293/K293</f>
        <v>2.3452078799117149</v>
      </c>
      <c r="DU293" s="4">
        <f t="shared" si="842"/>
        <v>329.58410519011528</v>
      </c>
      <c r="DY293" s="4">
        <f t="shared" si="785"/>
        <v>0.85</v>
      </c>
      <c r="DZ293" s="4">
        <f t="shared" si="830"/>
        <v>0.85</v>
      </c>
      <c r="EA293" s="4">
        <f t="shared" si="685"/>
        <v>0.92500000000000004</v>
      </c>
      <c r="EB293" s="4">
        <f t="shared" si="831"/>
        <v>0.78625</v>
      </c>
      <c r="ED293" s="4">
        <f t="shared" si="686"/>
        <v>567.94289552457326</v>
      </c>
      <c r="EE293" s="25">
        <f t="shared" si="687"/>
        <v>325.8936088317447</v>
      </c>
      <c r="EG293" s="4">
        <f t="shared" si="843"/>
        <v>0.66831249999999998</v>
      </c>
      <c r="EH293" s="4">
        <f t="shared" si="688"/>
        <v>8.6016093352106822</v>
      </c>
      <c r="EK293" s="4">
        <f t="shared" ref="EK293:EK356" si="906">EL293*K293</f>
        <v>59.568280149757555</v>
      </c>
      <c r="EL293" s="4">
        <f t="shared" ref="EL293:EL356" si="907">X293^0.5</f>
        <v>2.3452078799117149</v>
      </c>
      <c r="EM293" s="4">
        <f t="shared" ref="EM293:EM356" si="908">MIN(DU293)/(4700*J293^0.5)/W293*EK293</f>
        <v>0.1474079909974034</v>
      </c>
      <c r="EP293" s="4">
        <f t="shared" si="759"/>
        <v>0.1474079909974034</v>
      </c>
      <c r="EQ293" s="4">
        <f t="shared" si="721"/>
        <v>0.42737634315885298</v>
      </c>
      <c r="ER293" s="4">
        <f t="shared" si="770"/>
        <v>6.1221491456368717</v>
      </c>
      <c r="ES293" s="4">
        <f t="shared" si="743"/>
        <v>7.4658205132645818</v>
      </c>
      <c r="ET293" s="4">
        <f t="shared" si="771"/>
        <v>119.12071985024247</v>
      </c>
      <c r="EU293" s="4">
        <f t="shared" si="772"/>
        <v>59.562999999999988</v>
      </c>
      <c r="EV293" s="4">
        <f t="shared" si="832"/>
        <v>1.789840739087488E-5</v>
      </c>
      <c r="EW293" s="4">
        <f t="shared" si="744"/>
        <v>8.1408321648925881</v>
      </c>
      <c r="EX293" s="4">
        <f t="shared" si="867"/>
        <v>603.42854542258408</v>
      </c>
      <c r="FA293" s="4">
        <f t="shared" ref="FA293:FA294" si="909">5.25*25.4</f>
        <v>133.35</v>
      </c>
      <c r="FG293" s="23">
        <f t="shared" si="778"/>
        <v>2</v>
      </c>
      <c r="FH293" s="23">
        <f t="shared" si="778"/>
        <v>1.2</v>
      </c>
      <c r="FI293" s="23">
        <f t="shared" si="712"/>
        <v>1.2</v>
      </c>
      <c r="FJ293" s="23">
        <f t="shared" si="779"/>
        <v>1.8</v>
      </c>
      <c r="FK293" s="23">
        <f t="shared" si="779"/>
        <v>1</v>
      </c>
      <c r="FL293" s="23">
        <f t="shared" si="779"/>
        <v>1.2</v>
      </c>
      <c r="FM293" s="23">
        <f t="shared" si="701"/>
        <v>0</v>
      </c>
      <c r="FN293" s="23"/>
      <c r="FX293" s="4">
        <f t="shared" si="833"/>
        <v>1</v>
      </c>
      <c r="FY293" s="4">
        <f t="shared" si="890"/>
        <v>0.4482312338222606</v>
      </c>
      <c r="FZ293" s="4">
        <f t="shared" si="834"/>
        <v>0.25</v>
      </c>
      <c r="GA293" s="4">
        <f t="shared" si="835"/>
        <v>523.64678283779244</v>
      </c>
    </row>
    <row r="294" spans="1:183" ht="12" customHeight="1" x14ac:dyDescent="0.3">
      <c r="A294" s="25">
        <v>276</v>
      </c>
      <c r="B294" s="4" t="s">
        <v>605</v>
      </c>
      <c r="C294" s="4">
        <v>2016</v>
      </c>
      <c r="D294" s="4" t="s">
        <v>309</v>
      </c>
      <c r="E294" s="24" t="s">
        <v>666</v>
      </c>
      <c r="F294" s="48" t="s">
        <v>434</v>
      </c>
      <c r="G294" s="38">
        <f t="shared" si="891"/>
        <v>799.31034482758628</v>
      </c>
      <c r="H294" s="38">
        <f>12*25.4</f>
        <v>304.79999999999995</v>
      </c>
      <c r="I294" s="4">
        <f t="shared" si="746"/>
        <v>304.79999999999995</v>
      </c>
      <c r="J294" s="38">
        <f>5750/145</f>
        <v>39.655172413793103</v>
      </c>
      <c r="K294" s="38">
        <f t="shared" si="747"/>
        <v>25.4</v>
      </c>
      <c r="L294" s="7">
        <f t="shared" si="748"/>
        <v>11.999999999999998</v>
      </c>
      <c r="M294" s="7">
        <f t="shared" si="749"/>
        <v>11.999999999999998</v>
      </c>
      <c r="N294" s="38">
        <f>16.6*25.4</f>
        <v>421.64</v>
      </c>
      <c r="O294" s="38">
        <f>2.45*25.4</f>
        <v>62.230000000000004</v>
      </c>
      <c r="P294" s="39">
        <f>3.3*25.4</f>
        <v>83.82</v>
      </c>
      <c r="Q294" s="7">
        <f t="shared" si="750"/>
        <v>246.37999999999997</v>
      </c>
      <c r="R294" s="38">
        <v>2</v>
      </c>
      <c r="S294" s="4">
        <f t="shared" si="722"/>
        <v>260.34999999999997</v>
      </c>
      <c r="T294" s="7">
        <f t="shared" si="751"/>
        <v>2.95</v>
      </c>
      <c r="U294" s="7">
        <f t="shared" si="859"/>
        <v>2.95</v>
      </c>
      <c r="V294" s="38">
        <v>4.5</v>
      </c>
      <c r="W294" s="4">
        <f t="shared" si="752"/>
        <v>4.5</v>
      </c>
      <c r="X294" s="4">
        <f t="shared" si="753"/>
        <v>5.5</v>
      </c>
      <c r="Y294" s="7">
        <f t="shared" si="754"/>
        <v>59.568280149757555</v>
      </c>
      <c r="AB294" s="38">
        <f t="shared" si="786"/>
        <v>685.51724137931046</v>
      </c>
      <c r="AC294" s="4">
        <v>99.4</v>
      </c>
      <c r="AD294" s="4">
        <f t="shared" si="899"/>
        <v>0.96655501262970034</v>
      </c>
      <c r="AE294" s="38">
        <f t="shared" si="897"/>
        <v>12.7</v>
      </c>
      <c r="AF294" s="38">
        <v>4</v>
      </c>
      <c r="AG294" s="39">
        <f t="shared" si="898"/>
        <v>139.69999999999999</v>
      </c>
      <c r="AH294" s="39">
        <v>1</v>
      </c>
      <c r="AI294" s="39">
        <v>1</v>
      </c>
      <c r="AJ294" s="7"/>
      <c r="AK294" s="4">
        <f t="shared" si="755"/>
        <v>304.79999999999995</v>
      </c>
      <c r="AL294" s="4">
        <f t="shared" ref="AL294:AL357" si="910">IF(H294*3&gt;Q294+K294, N294, (O294+K294/2)*2+1.5*H294*(2*R294-2))*(3*H294)/(9*H294^2)</f>
        <v>0.46111111111111108</v>
      </c>
      <c r="AM294" s="4">
        <f t="shared" ref="AM294:AM357" si="911">MIN(10*J294^0.5*H294^1.5,100*3.9*J294^0.5*H294^(5/3))/(PI()/4*K294^2)/R294</f>
        <v>330.66258376635705</v>
      </c>
      <c r="AN294" s="4">
        <f t="shared" ref="AN294:AN357" si="912">MIN(0.7+0.3*(MIN(O294,S294)+0.5*K294)/1.5/H294,1)</f>
        <v>0.74916666666666665</v>
      </c>
      <c r="AO294" s="4">
        <v>1.25</v>
      </c>
      <c r="AP294" s="4">
        <f t="shared" si="844"/>
        <v>2.5</v>
      </c>
      <c r="AQ294" s="38">
        <f t="shared" si="723"/>
        <v>356.95963560321565</v>
      </c>
      <c r="AR294" s="38">
        <f t="shared" ref="AR294:AR357" si="913">AQ294</f>
        <v>356.95963560321565</v>
      </c>
      <c r="AS294" s="38">
        <f t="shared" ref="AS294:AS357" si="914">IF(J294&lt;50, 0.3*J294^(2/3), 2.12*LN(1+0.1*(J294+8)))</f>
        <v>3.4886265610899732</v>
      </c>
      <c r="AT294" s="38">
        <f t="shared" si="853"/>
        <v>356.95963560321547</v>
      </c>
      <c r="AU294" s="38">
        <f t="shared" si="820"/>
        <v>1.0000000000000004</v>
      </c>
      <c r="AV294" s="38">
        <f t="shared" si="715"/>
        <v>1.3903975741595627</v>
      </c>
      <c r="AW294" s="4">
        <f t="shared" si="707"/>
        <v>0</v>
      </c>
      <c r="AX294" s="4">
        <f t="shared" si="756"/>
        <v>397.72012416151739</v>
      </c>
      <c r="AY294" s="4">
        <f t="shared" si="724"/>
        <v>1</v>
      </c>
      <c r="AZ294" s="38">
        <f t="shared" si="837"/>
        <v>496.31581141559224</v>
      </c>
      <c r="BA294" s="4">
        <f t="shared" si="725"/>
        <v>0.37</v>
      </c>
      <c r="BB294" s="4">
        <f t="shared" si="726"/>
        <v>76.889243003525337</v>
      </c>
      <c r="BC294" s="4">
        <f t="shared" si="727"/>
        <v>573.20505441911757</v>
      </c>
      <c r="BE294" s="4">
        <f t="shared" si="854"/>
        <v>1.5</v>
      </c>
      <c r="BF294" s="4">
        <f t="shared" si="860"/>
        <v>623.42629462317859</v>
      </c>
      <c r="BH294" s="4">
        <f t="shared" si="861"/>
        <v>476.02755861624058</v>
      </c>
      <c r="BI294" s="4">
        <f t="shared" si="806"/>
        <v>0</v>
      </c>
      <c r="BJ294" s="4">
        <f t="shared" si="862"/>
        <v>0</v>
      </c>
      <c r="BR294" s="4">
        <f t="shared" si="728"/>
        <v>62.230000000000004</v>
      </c>
      <c r="BV294" s="9"/>
      <c r="BX294" s="9"/>
      <c r="BY294" s="9"/>
      <c r="BZ294" s="9">
        <f t="shared" si="729"/>
        <v>62.230000000000004</v>
      </c>
      <c r="CA294" s="9">
        <f t="shared" si="730"/>
        <v>123.18999999999998</v>
      </c>
      <c r="CB294" s="9">
        <f t="shared" si="821"/>
        <v>1.7340810420811554</v>
      </c>
      <c r="CC294" s="40">
        <f t="shared" si="757"/>
        <v>20</v>
      </c>
      <c r="CD294" s="9">
        <f t="shared" si="731"/>
        <v>0.05</v>
      </c>
      <c r="CE294" s="9">
        <f t="shared" si="732"/>
        <v>0.8</v>
      </c>
      <c r="CF294" s="9">
        <f t="shared" si="733"/>
        <v>0.99524931562137331</v>
      </c>
      <c r="CG294" s="9">
        <f t="shared" si="734"/>
        <v>0.68048275862068963</v>
      </c>
      <c r="CH294" s="9">
        <f t="shared" si="822"/>
        <v>1.4926809118196944</v>
      </c>
      <c r="CI294" s="9">
        <f t="shared" si="823"/>
        <v>3.7317022795492361</v>
      </c>
      <c r="CJ294" s="40">
        <v>1</v>
      </c>
      <c r="CK294" s="9">
        <f t="shared" si="824"/>
        <v>403.02384619131749</v>
      </c>
      <c r="CM294" s="4">
        <f t="shared" si="735"/>
        <v>1.7236171863934053</v>
      </c>
      <c r="CN294" s="4">
        <f t="shared" si="736"/>
        <v>1.1959371887849268</v>
      </c>
      <c r="CO294" s="4">
        <f t="shared" si="708"/>
        <v>1.0995962911600672</v>
      </c>
      <c r="CP294" s="4">
        <f t="shared" si="737"/>
        <v>1.7009346912288954</v>
      </c>
      <c r="CQ294" s="4">
        <f t="shared" si="694"/>
        <v>0.96655501262970034</v>
      </c>
      <c r="CR294" s="4">
        <f t="shared" si="695"/>
        <v>1.035801217585661</v>
      </c>
      <c r="CS294" s="4">
        <f t="shared" si="709"/>
        <v>1.279120760819896</v>
      </c>
      <c r="CT294" s="4">
        <f t="shared" si="758"/>
        <v>4</v>
      </c>
      <c r="DA294" s="4">
        <f t="shared" si="893"/>
        <v>1.7236171863934053</v>
      </c>
      <c r="DB294" s="4">
        <f t="shared" si="893"/>
        <v>1.1959371887849268</v>
      </c>
      <c r="DC294" s="4">
        <f t="shared" si="894"/>
        <v>1.7009346912288954</v>
      </c>
      <c r="DD294" s="4">
        <f t="shared" si="895"/>
        <v>1.279120760819896</v>
      </c>
      <c r="DE294" s="4">
        <f t="shared" si="896"/>
        <v>0.96655501262970034</v>
      </c>
      <c r="DF294" s="4">
        <f t="shared" si="896"/>
        <v>1.035801217585661</v>
      </c>
      <c r="DI294" s="4">
        <f t="shared" si="742"/>
        <v>304.79999999999995</v>
      </c>
      <c r="DL294" s="4">
        <f t="shared" si="900"/>
        <v>2.2897749327345264E-5</v>
      </c>
      <c r="DM294" s="4">
        <f t="shared" si="769"/>
        <v>8.5513075262328435</v>
      </c>
      <c r="DN294" s="4">
        <f t="shared" si="901"/>
        <v>0.46364832098141967</v>
      </c>
      <c r="DO294" s="4">
        <f t="shared" si="902"/>
        <v>6.2879343910670871</v>
      </c>
      <c r="DP294" s="4">
        <f t="shared" si="903"/>
        <v>7.5056262041751376</v>
      </c>
      <c r="DQ294" s="4">
        <f t="shared" si="904"/>
        <v>7.7915391372453886</v>
      </c>
      <c r="DR294" s="38">
        <f t="shared" ref="DR294:DR357" si="915">MIN(1/K294*(4*Y294*(DO294-DP294)+(3*DP294+DQ294)*H294)+DU294 -FB294,MAX(G294,AB294))</f>
        <v>709.23768685884511</v>
      </c>
      <c r="DS294" s="4">
        <f t="shared" si="829"/>
        <v>1.0001179355899652</v>
      </c>
      <c r="DT294" s="4">
        <f t="shared" si="905"/>
        <v>2.3452078799117149</v>
      </c>
      <c r="DU294" s="4">
        <f t="shared" si="842"/>
        <v>356.95963560321547</v>
      </c>
      <c r="DY294" s="4">
        <f t="shared" si="785"/>
        <v>0.85</v>
      </c>
      <c r="DZ294" s="4">
        <f t="shared" si="830"/>
        <v>0.85499999999999998</v>
      </c>
      <c r="EA294" s="4">
        <f t="shared" ref="EA294:EA357" si="916">MIN(1,MAX(0.7,1-0.3*(PI()*AE294^2/4*AI294*2-0.25*PI()/4*K294^2)/(PI()/4*K294^2)))</f>
        <v>0.92500000000000004</v>
      </c>
      <c r="EB294" s="4">
        <f t="shared" si="831"/>
        <v>0.79087499999999999</v>
      </c>
      <c r="ED294" s="4">
        <f t="shared" ref="ED294:ED357" si="917">MIN(DM294/K294*3*H294+EE294-FB294,MAX(G294,AB294))</f>
        <v>661.8231662028511</v>
      </c>
      <c r="EE294" s="25">
        <f t="shared" ref="EE294:EE357" si="918">13.3*N294*H294^0.5*J294^0.5/R294/K294^2*(0.7+O294/5/H294)</f>
        <v>353.97609525846872</v>
      </c>
      <c r="EG294" s="4">
        <f t="shared" si="843"/>
        <v>0.67224375000000003</v>
      </c>
      <c r="EH294" s="4">
        <f t="shared" ref="EH294:EH357" si="919">IF(K294&lt;22.2,1.1*5*(J294/30)^0.5,IF(K294&gt;=31.8,0.9*5*(J294/30)^0.5,1*5*(J294/30)^0.5))/DY294/EB294</f>
        <v>8.5513075262328435</v>
      </c>
      <c r="EK294" s="4">
        <f t="shared" si="906"/>
        <v>59.568280149757555</v>
      </c>
      <c r="EL294" s="4">
        <f t="shared" si="907"/>
        <v>2.3452078799117149</v>
      </c>
      <c r="EM294" s="4">
        <f t="shared" si="908"/>
        <v>0.1596518215618527</v>
      </c>
      <c r="EP294" s="4">
        <f t="shared" si="759"/>
        <v>0.1596518215618527</v>
      </c>
      <c r="EQ294" s="4">
        <f t="shared" si="721"/>
        <v>0.46287457834600176</v>
      </c>
      <c r="ER294" s="4">
        <f t="shared" si="770"/>
        <v>6.2837349315783593</v>
      </c>
      <c r="ES294" s="4">
        <f t="shared" si="743"/>
        <v>7.5038690643831485</v>
      </c>
      <c r="ET294" s="4">
        <f t="shared" si="771"/>
        <v>169.03171985024241</v>
      </c>
      <c r="EU294" s="4">
        <f t="shared" si="772"/>
        <v>76.199999999999989</v>
      </c>
      <c r="EV294" s="4">
        <f t="shared" si="832"/>
        <v>2.2897749327345264E-5</v>
      </c>
      <c r="EW294" s="4">
        <f t="shared" si="744"/>
        <v>7.7917502639589689</v>
      </c>
      <c r="EX294" s="4">
        <f t="shared" si="867"/>
        <v>709.15405235730418</v>
      </c>
      <c r="FA294" s="4">
        <f t="shared" si="909"/>
        <v>133.35</v>
      </c>
      <c r="FG294" s="23">
        <f t="shared" si="778"/>
        <v>1.8</v>
      </c>
      <c r="FH294" s="23">
        <f t="shared" si="778"/>
        <v>1.2</v>
      </c>
      <c r="FI294" s="23">
        <f t="shared" si="712"/>
        <v>1.4</v>
      </c>
      <c r="FJ294" s="23">
        <f t="shared" si="779"/>
        <v>1.8</v>
      </c>
      <c r="FK294" s="23">
        <f t="shared" si="779"/>
        <v>1</v>
      </c>
      <c r="FL294" s="23">
        <f t="shared" si="779"/>
        <v>1.2</v>
      </c>
      <c r="FM294" s="23">
        <f t="shared" si="701"/>
        <v>0</v>
      </c>
      <c r="FN294" s="23"/>
      <c r="FX294" s="4">
        <f t="shared" si="833"/>
        <v>1.25</v>
      </c>
      <c r="FY294" s="4">
        <f t="shared" si="890"/>
        <v>0.4482312338222606</v>
      </c>
      <c r="FZ294" s="4">
        <f t="shared" si="834"/>
        <v>0.25</v>
      </c>
      <c r="GA294" s="4">
        <f t="shared" si="835"/>
        <v>535.9284771047769</v>
      </c>
    </row>
    <row r="295" spans="1:183" ht="12" customHeight="1" x14ac:dyDescent="0.3">
      <c r="A295" s="25">
        <v>277</v>
      </c>
      <c r="B295" s="4" t="s">
        <v>605</v>
      </c>
      <c r="C295" s="4">
        <v>2016</v>
      </c>
      <c r="D295" s="4" t="s">
        <v>309</v>
      </c>
      <c r="E295" s="24" t="s">
        <v>666</v>
      </c>
      <c r="F295" s="7" t="s">
        <v>435</v>
      </c>
      <c r="G295" s="38">
        <f t="shared" si="891"/>
        <v>799.31034482758628</v>
      </c>
      <c r="H295" s="38">
        <f>8.31*25.4</f>
        <v>211.07400000000001</v>
      </c>
      <c r="I295" s="4">
        <f t="shared" si="746"/>
        <v>211.07400000000001</v>
      </c>
      <c r="J295" s="38">
        <f>5900/145</f>
        <v>40.689655172413794</v>
      </c>
      <c r="K295" s="38">
        <f t="shared" si="747"/>
        <v>25.4</v>
      </c>
      <c r="L295" s="7">
        <f t="shared" si="748"/>
        <v>8.31</v>
      </c>
      <c r="M295" s="7">
        <f t="shared" si="749"/>
        <v>8.31</v>
      </c>
      <c r="N295" s="38">
        <f>16.9*25.4</f>
        <v>429.25999999999993</v>
      </c>
      <c r="O295" s="38">
        <f>2.45*25.4</f>
        <v>62.230000000000004</v>
      </c>
      <c r="P295" s="39">
        <f>3.05*25.4</f>
        <v>77.469999999999985</v>
      </c>
      <c r="Q295" s="7">
        <f t="shared" si="750"/>
        <v>253.99999999999991</v>
      </c>
      <c r="R295" s="38">
        <v>2</v>
      </c>
      <c r="S295" s="4">
        <f t="shared" si="722"/>
        <v>260.34999999999997</v>
      </c>
      <c r="T295" s="7">
        <f t="shared" si="751"/>
        <v>2.95</v>
      </c>
      <c r="U295" s="7">
        <f t="shared" si="859"/>
        <v>2.95</v>
      </c>
      <c r="V295" s="38">
        <v>6.5</v>
      </c>
      <c r="W295" s="4">
        <f t="shared" si="752"/>
        <v>6.5</v>
      </c>
      <c r="X295" s="4">
        <f t="shared" si="753"/>
        <v>7.5</v>
      </c>
      <c r="Y295" s="7">
        <f t="shared" si="754"/>
        <v>69.56076480315609</v>
      </c>
      <c r="AB295" s="38">
        <f t="shared" si="786"/>
        <v>541.37931034482767</v>
      </c>
      <c r="AC295" s="4">
        <v>78.5</v>
      </c>
      <c r="AD295" s="4">
        <f t="shared" si="899"/>
        <v>0.94029242605845686</v>
      </c>
      <c r="AE295" s="38">
        <f t="shared" si="897"/>
        <v>12.7</v>
      </c>
      <c r="AF295" s="38">
        <v>10</v>
      </c>
      <c r="AG295" s="39">
        <f t="shared" ref="AG295:AG298" si="920">3*25.4</f>
        <v>76.199999999999989</v>
      </c>
      <c r="AH295" s="39">
        <v>3</v>
      </c>
      <c r="AI295" s="39">
        <v>2</v>
      </c>
      <c r="AJ295" s="7"/>
      <c r="AK295" s="4">
        <f t="shared" si="755"/>
        <v>211.07400000000001</v>
      </c>
      <c r="AL295" s="4">
        <f t="shared" si="910"/>
        <v>0.67789811472121919</v>
      </c>
      <c r="AM295" s="4">
        <f t="shared" si="911"/>
        <v>193.02199723672265</v>
      </c>
      <c r="AN295" s="4">
        <f t="shared" si="912"/>
        <v>0.77099879663056559</v>
      </c>
      <c r="AO295" s="4">
        <v>1.25</v>
      </c>
      <c r="AP295" s="4">
        <f t="shared" si="844"/>
        <v>2.5</v>
      </c>
      <c r="AQ295" s="38">
        <f t="shared" si="723"/>
        <v>315.26441490139024</v>
      </c>
      <c r="AR295" s="38">
        <f t="shared" si="913"/>
        <v>315.26441490139024</v>
      </c>
      <c r="AS295" s="38">
        <f t="shared" si="914"/>
        <v>3.5490375497727622</v>
      </c>
      <c r="AT295" s="38">
        <f t="shared" si="853"/>
        <v>315.26441490139041</v>
      </c>
      <c r="AU295" s="38">
        <f t="shared" si="820"/>
        <v>0.99999999999999944</v>
      </c>
      <c r="AV295" s="38">
        <f t="shared" si="715"/>
        <v>1.9414121637599517</v>
      </c>
      <c r="AW295" s="4">
        <f t="shared" si="707"/>
        <v>0</v>
      </c>
      <c r="AX295" s="4">
        <f t="shared" si="756"/>
        <v>278.99050791306132</v>
      </c>
      <c r="AY295" s="4">
        <f t="shared" si="724"/>
        <v>1</v>
      </c>
      <c r="AZ295" s="38">
        <f t="shared" si="837"/>
        <v>612.05816989022355</v>
      </c>
      <c r="BA295" s="4">
        <f t="shared" si="725"/>
        <v>0.3</v>
      </c>
      <c r="BB295" s="4">
        <f t="shared" si="726"/>
        <v>43.731762115372362</v>
      </c>
      <c r="BC295" s="4">
        <f t="shared" si="727"/>
        <v>655.78993200559592</v>
      </c>
      <c r="BE295" s="4">
        <f t="shared" si="854"/>
        <v>1.5</v>
      </c>
      <c r="BF295" s="4">
        <f t="shared" si="860"/>
        <v>525.58487977188565</v>
      </c>
      <c r="BH295" s="4">
        <f t="shared" si="861"/>
        <v>587.03863476152412</v>
      </c>
      <c r="BI295" s="4">
        <f t="shared" si="806"/>
        <v>0</v>
      </c>
      <c r="BJ295" s="4">
        <f t="shared" si="862"/>
        <v>0</v>
      </c>
      <c r="BR295" s="4">
        <f t="shared" si="728"/>
        <v>62.230000000000004</v>
      </c>
      <c r="BV295" s="9"/>
      <c r="BX295" s="9"/>
      <c r="BY295" s="9"/>
      <c r="BZ295" s="9">
        <f t="shared" si="729"/>
        <v>62.230000000000004</v>
      </c>
      <c r="CA295" s="9">
        <f t="shared" si="730"/>
        <v>126.99999999999996</v>
      </c>
      <c r="CB295" s="9">
        <f t="shared" si="821"/>
        <v>1.7420219790042637</v>
      </c>
      <c r="CC295" s="40">
        <f t="shared" si="757"/>
        <v>20</v>
      </c>
      <c r="CD295" s="9">
        <f t="shared" si="731"/>
        <v>0.05</v>
      </c>
      <c r="CE295" s="9">
        <f t="shared" si="732"/>
        <v>0.8</v>
      </c>
      <c r="CF295" s="9">
        <f t="shared" si="733"/>
        <v>0.99524931562137331</v>
      </c>
      <c r="CG295" s="9">
        <f t="shared" si="734"/>
        <v>0.68048275862068963</v>
      </c>
      <c r="CH295" s="9">
        <f t="shared" si="822"/>
        <v>1.51202531590344</v>
      </c>
      <c r="CI295" s="9">
        <f t="shared" si="823"/>
        <v>3.7800632897586</v>
      </c>
      <c r="CJ295" s="40">
        <v>1</v>
      </c>
      <c r="CK295" s="9">
        <f t="shared" si="824"/>
        <v>352.45310113709183</v>
      </c>
      <c r="CM295" s="4">
        <f t="shared" si="735"/>
        <v>1.9404936547645257</v>
      </c>
      <c r="CN295" s="4">
        <f t="shared" si="736"/>
        <v>0.82553769724572112</v>
      </c>
      <c r="CO295" s="4">
        <f t="shared" si="708"/>
        <v>1.0300511509764076</v>
      </c>
      <c r="CP295" s="4">
        <f t="shared" si="737"/>
        <v>1.5360321943493134</v>
      </c>
      <c r="CQ295" s="4">
        <f t="shared" ref="CQ295:CQ358" si="921">AB295/DR295</f>
        <v>0.94029242605845686</v>
      </c>
      <c r="CR295" s="4">
        <f t="shared" ref="CR295:CR358" si="922">AB295/ED295</f>
        <v>0.97511909646297612</v>
      </c>
      <c r="CS295" s="4">
        <f t="shared" si="709"/>
        <v>1.4158899377768372</v>
      </c>
      <c r="CT295" s="4">
        <f t="shared" si="758"/>
        <v>10</v>
      </c>
      <c r="DA295" s="4">
        <f t="shared" si="893"/>
        <v>1.9404936547645257</v>
      </c>
      <c r="DB295" s="4">
        <f t="shared" si="893"/>
        <v>0.82553769724572112</v>
      </c>
      <c r="DC295" s="4">
        <f t="shared" si="894"/>
        <v>1.5360321943493134</v>
      </c>
      <c r="DD295" s="4">
        <f t="shared" si="895"/>
        <v>1.4158899377768372</v>
      </c>
      <c r="DE295" s="4">
        <f t="shared" si="896"/>
        <v>0.94029242605845686</v>
      </c>
      <c r="DF295" s="4">
        <f t="shared" si="896"/>
        <v>0.97511909646297612</v>
      </c>
      <c r="DI295" s="4">
        <f t="shared" si="742"/>
        <v>211.07400000000001</v>
      </c>
      <c r="DL295" s="4">
        <f t="shared" si="900"/>
        <v>1.5965631204689113E-5</v>
      </c>
      <c r="DM295" s="4">
        <f t="shared" si="769"/>
        <v>9.7866580905942957</v>
      </c>
      <c r="DN295" s="4">
        <f t="shared" si="901"/>
        <v>0.32263301896673924</v>
      </c>
      <c r="DO295" s="4">
        <f t="shared" si="902"/>
        <v>6.2246930532920937</v>
      </c>
      <c r="DP295" s="4">
        <f t="shared" si="903"/>
        <v>8.2023131968225798</v>
      </c>
      <c r="DQ295" s="4">
        <f t="shared" si="904"/>
        <v>9.3468091415899224</v>
      </c>
      <c r="DR295" s="38">
        <f t="shared" si="915"/>
        <v>575.75632360902455</v>
      </c>
      <c r="DS295" s="4">
        <f t="shared" si="829"/>
        <v>1.0001153575858188</v>
      </c>
      <c r="DT295" s="4">
        <f t="shared" si="905"/>
        <v>2.7386127875258306</v>
      </c>
      <c r="DU295" s="4">
        <f t="shared" si="842"/>
        <v>315.26441490139041</v>
      </c>
      <c r="DY295" s="4">
        <f t="shared" si="785"/>
        <v>0.85</v>
      </c>
      <c r="DZ295" s="4">
        <f t="shared" si="830"/>
        <v>0.85499999999999998</v>
      </c>
      <c r="EA295" s="4">
        <f t="shared" si="916"/>
        <v>0.77500000000000002</v>
      </c>
      <c r="EB295" s="4">
        <f t="shared" si="831"/>
        <v>0.7</v>
      </c>
      <c r="ED295" s="4">
        <f t="shared" si="917"/>
        <v>555.19301417494398</v>
      </c>
      <c r="EE295" s="25">
        <f t="shared" si="918"/>
        <v>311.21162797642813</v>
      </c>
      <c r="EG295" s="4">
        <f t="shared" si="843"/>
        <v>0.59499999999999997</v>
      </c>
      <c r="EH295" s="4">
        <f t="shared" si="919"/>
        <v>9.7866580905942957</v>
      </c>
      <c r="EK295" s="4">
        <f t="shared" si="906"/>
        <v>69.56076480315609</v>
      </c>
      <c r="EL295" s="4">
        <f t="shared" si="907"/>
        <v>2.7386127875258306</v>
      </c>
      <c r="EM295" s="4">
        <f t="shared" si="908"/>
        <v>0.11253460271527289</v>
      </c>
      <c r="EP295" s="4">
        <f t="shared" si="759"/>
        <v>0.11253460271527289</v>
      </c>
      <c r="EQ295" s="4">
        <f t="shared" si="721"/>
        <v>0.32209460458870448</v>
      </c>
      <c r="ER295" s="4">
        <f t="shared" si="770"/>
        <v>6.2205358301594567</v>
      </c>
      <c r="ES295" s="4">
        <f t="shared" si="743"/>
        <v>8.2007408563541091</v>
      </c>
      <c r="ET295" s="4">
        <f t="shared" si="771"/>
        <v>88.744735196843905</v>
      </c>
      <c r="EU295" s="4">
        <f t="shared" si="772"/>
        <v>52.768500000000031</v>
      </c>
      <c r="EV295" s="4">
        <f t="shared" si="832"/>
        <v>1.5965631204689123E-5</v>
      </c>
      <c r="EW295" s="4">
        <f t="shared" si="744"/>
        <v>9.3469420200689974</v>
      </c>
      <c r="EX295" s="4">
        <f t="shared" si="867"/>
        <v>575.68991341043329</v>
      </c>
      <c r="FG295" s="23">
        <f t="shared" si="778"/>
        <v>2</v>
      </c>
      <c r="FH295" s="23">
        <f t="shared" si="778"/>
        <v>1</v>
      </c>
      <c r="FI295" s="23">
        <f t="shared" si="712"/>
        <v>1.6</v>
      </c>
      <c r="FJ295" s="23">
        <f t="shared" si="779"/>
        <v>1.6</v>
      </c>
      <c r="FK295" s="23">
        <f t="shared" si="779"/>
        <v>1</v>
      </c>
      <c r="FL295" s="23">
        <f t="shared" si="779"/>
        <v>1</v>
      </c>
      <c r="FM295" s="23">
        <f t="shared" ref="FM295:FM358" si="923">IF(FK295&lt;1,1,0)</f>
        <v>0</v>
      </c>
      <c r="FN295" s="23"/>
      <c r="FX295" s="4">
        <f t="shared" si="833"/>
        <v>1.25</v>
      </c>
      <c r="FY295" s="4">
        <f t="shared" si="890"/>
        <v>0.43787748058671272</v>
      </c>
      <c r="FZ295" s="4">
        <f t="shared" si="834"/>
        <v>0.3</v>
      </c>
      <c r="GA295" s="4">
        <f t="shared" si="835"/>
        <v>382.35974131921273</v>
      </c>
    </row>
    <row r="296" spans="1:183" ht="12" customHeight="1" x14ac:dyDescent="0.3">
      <c r="A296" s="25">
        <v>278</v>
      </c>
      <c r="B296" s="4" t="s">
        <v>605</v>
      </c>
      <c r="C296" s="4">
        <v>2016</v>
      </c>
      <c r="D296" s="4" t="s">
        <v>309</v>
      </c>
      <c r="E296" s="24" t="s">
        <v>666</v>
      </c>
      <c r="F296" s="7" t="s">
        <v>436</v>
      </c>
      <c r="G296" s="38">
        <f t="shared" si="891"/>
        <v>799.31034482758628</v>
      </c>
      <c r="H296" s="38">
        <f>10.94*25.4</f>
        <v>277.87599999999998</v>
      </c>
      <c r="I296" s="4">
        <f t="shared" si="746"/>
        <v>277.87599999999998</v>
      </c>
      <c r="J296" s="38">
        <f>5900/145</f>
        <v>40.689655172413794</v>
      </c>
      <c r="K296" s="38">
        <f t="shared" si="747"/>
        <v>25.4</v>
      </c>
      <c r="L296" s="7">
        <f t="shared" si="748"/>
        <v>10.94</v>
      </c>
      <c r="M296" s="7">
        <f t="shared" si="749"/>
        <v>10.94</v>
      </c>
      <c r="N296" s="38">
        <f>17.6*25.4</f>
        <v>447.04</v>
      </c>
      <c r="O296" s="38">
        <f>2.45*25.4</f>
        <v>62.230000000000004</v>
      </c>
      <c r="P296" s="39">
        <f>3.35*25.4</f>
        <v>85.09</v>
      </c>
      <c r="Q296" s="7">
        <f t="shared" si="750"/>
        <v>271.77999999999997</v>
      </c>
      <c r="R296" s="38">
        <v>2</v>
      </c>
      <c r="S296" s="4">
        <f t="shared" si="722"/>
        <v>260.34999999999997</v>
      </c>
      <c r="T296" s="7">
        <f t="shared" si="751"/>
        <v>2.95</v>
      </c>
      <c r="U296" s="7">
        <f t="shared" si="859"/>
        <v>2.95</v>
      </c>
      <c r="V296" s="38">
        <v>6.5</v>
      </c>
      <c r="W296" s="4">
        <f t="shared" si="752"/>
        <v>6.5</v>
      </c>
      <c r="X296" s="4">
        <f t="shared" si="753"/>
        <v>7.5</v>
      </c>
      <c r="Y296" s="7">
        <f t="shared" si="754"/>
        <v>69.56076480315609</v>
      </c>
      <c r="AB296" s="38">
        <f t="shared" si="786"/>
        <v>737.24137931034488</v>
      </c>
      <c r="AC296" s="4">
        <v>106.9</v>
      </c>
      <c r="AD296" s="4">
        <f t="shared" si="899"/>
        <v>1.0210557999824699</v>
      </c>
      <c r="AE296" s="38">
        <f t="shared" si="897"/>
        <v>12.7</v>
      </c>
      <c r="AF296" s="38">
        <v>10</v>
      </c>
      <c r="AG296" s="39">
        <f t="shared" si="920"/>
        <v>76.199999999999989</v>
      </c>
      <c r="AH296" s="39">
        <v>3</v>
      </c>
      <c r="AI296" s="39">
        <v>2</v>
      </c>
      <c r="AJ296" s="7"/>
      <c r="AK296" s="4">
        <f t="shared" si="755"/>
        <v>277.87599999999998</v>
      </c>
      <c r="AL296" s="4">
        <f t="shared" si="910"/>
        <v>0.53625837903717255</v>
      </c>
      <c r="AM296" s="4">
        <f t="shared" si="911"/>
        <v>291.56222268863934</v>
      </c>
      <c r="AN296" s="4">
        <f t="shared" si="912"/>
        <v>0.75393053016453382</v>
      </c>
      <c r="AO296" s="4">
        <v>1.25</v>
      </c>
      <c r="AP296" s="4">
        <f t="shared" si="844"/>
        <v>2.5</v>
      </c>
      <c r="AQ296" s="38">
        <f t="shared" si="723"/>
        <v>368.37207075008428</v>
      </c>
      <c r="AR296" s="38">
        <f t="shared" si="913"/>
        <v>368.37207075008428</v>
      </c>
      <c r="AS296" s="38">
        <f t="shared" si="914"/>
        <v>3.5490375497727622</v>
      </c>
      <c r="AT296" s="38">
        <f t="shared" si="853"/>
        <v>368.37207075008428</v>
      </c>
      <c r="AU296" s="38">
        <f t="shared" si="820"/>
        <v>1</v>
      </c>
      <c r="AV296" s="38">
        <f t="shared" si="715"/>
        <v>1.6615216475123706</v>
      </c>
      <c r="AW296" s="4">
        <f t="shared" si="707"/>
        <v>0</v>
      </c>
      <c r="AX296" s="4">
        <f t="shared" si="756"/>
        <v>367.28714278807342</v>
      </c>
      <c r="AY296" s="4">
        <f t="shared" si="724"/>
        <v>1</v>
      </c>
      <c r="AZ296" s="38">
        <f t="shared" si="837"/>
        <v>612.05816989022355</v>
      </c>
      <c r="BA296" s="4">
        <f t="shared" si="725"/>
        <v>0.3</v>
      </c>
      <c r="BB296" s="4">
        <f t="shared" si="726"/>
        <v>57.572259632030509</v>
      </c>
      <c r="BC296" s="4">
        <f t="shared" si="727"/>
        <v>669.63042952225408</v>
      </c>
      <c r="BE296" s="4">
        <f t="shared" si="854"/>
        <v>1.5</v>
      </c>
      <c r="BF296" s="4">
        <f t="shared" si="860"/>
        <v>601.07850259002112</v>
      </c>
      <c r="BH296" s="4">
        <f t="shared" si="861"/>
        <v>587.03863476152412</v>
      </c>
      <c r="BI296" s="4">
        <f t="shared" si="806"/>
        <v>0</v>
      </c>
      <c r="BJ296" s="4">
        <f t="shared" si="862"/>
        <v>0</v>
      </c>
      <c r="BR296" s="4">
        <f t="shared" si="728"/>
        <v>62.230000000000004</v>
      </c>
      <c r="BV296" s="9"/>
      <c r="BX296" s="9"/>
      <c r="BY296" s="9"/>
      <c r="BZ296" s="9">
        <f t="shared" si="729"/>
        <v>62.230000000000004</v>
      </c>
      <c r="CA296" s="9">
        <f t="shared" si="730"/>
        <v>135.88999999999999</v>
      </c>
      <c r="CB296" s="9">
        <f t="shared" si="821"/>
        <v>1.7597914236385663</v>
      </c>
      <c r="CC296" s="40">
        <f t="shared" si="757"/>
        <v>20</v>
      </c>
      <c r="CD296" s="9">
        <f t="shared" si="731"/>
        <v>0.05</v>
      </c>
      <c r="CE296" s="9">
        <f t="shared" si="732"/>
        <v>0.8</v>
      </c>
      <c r="CF296" s="9">
        <f t="shared" si="733"/>
        <v>0.99524931562137331</v>
      </c>
      <c r="CG296" s="9">
        <f t="shared" si="734"/>
        <v>0.68048275862068963</v>
      </c>
      <c r="CH296" s="9">
        <f t="shared" si="822"/>
        <v>1.51202531590344</v>
      </c>
      <c r="CI296" s="9">
        <f t="shared" si="823"/>
        <v>3.7800632897586</v>
      </c>
      <c r="CJ296" s="40">
        <v>1</v>
      </c>
      <c r="CK296" s="9">
        <f t="shared" si="824"/>
        <v>392.21936694535231</v>
      </c>
      <c r="CM296" s="4">
        <f t="shared" si="735"/>
        <v>2.0072616038610884</v>
      </c>
      <c r="CN296" s="4">
        <f t="shared" si="736"/>
        <v>1.1009675588314105</v>
      </c>
      <c r="CO296" s="4">
        <f t="shared" si="708"/>
        <v>1.2265309375291311</v>
      </c>
      <c r="CP296" s="4">
        <f t="shared" si="737"/>
        <v>1.8796659253520858</v>
      </c>
      <c r="CQ296" s="4">
        <f t="shared" si="921"/>
        <v>1.0210557999824699</v>
      </c>
      <c r="CR296" s="4">
        <f t="shared" si="922"/>
        <v>1.0745054096439952</v>
      </c>
      <c r="CS296" s="4">
        <f t="shared" si="709"/>
        <v>1.4646074726472567</v>
      </c>
      <c r="CT296" s="4">
        <f t="shared" si="758"/>
        <v>10</v>
      </c>
      <c r="DA296" s="4">
        <f t="shared" si="893"/>
        <v>2.0072616038610884</v>
      </c>
      <c r="DB296" s="4">
        <f t="shared" si="893"/>
        <v>1.1009675588314105</v>
      </c>
      <c r="DC296" s="4">
        <f t="shared" si="894"/>
        <v>1.8796659253520858</v>
      </c>
      <c r="DD296" s="4">
        <f t="shared" si="895"/>
        <v>1.4646074726472567</v>
      </c>
      <c r="DE296" s="4">
        <f t="shared" si="896"/>
        <v>1.0210557999824699</v>
      </c>
      <c r="DF296" s="4">
        <f t="shared" si="896"/>
        <v>1.0745054096439952</v>
      </c>
      <c r="DI296" s="4">
        <f t="shared" si="742"/>
        <v>277.87599999999998</v>
      </c>
      <c r="DL296" s="4">
        <f t="shared" si="900"/>
        <v>2.1018532536618391E-5</v>
      </c>
      <c r="DM296" s="4">
        <f t="shared" si="769"/>
        <v>9.7866580905942957</v>
      </c>
      <c r="DN296" s="4">
        <f t="shared" si="901"/>
        <v>0.37698194807778418</v>
      </c>
      <c r="DO296" s="4">
        <f t="shared" si="902"/>
        <v>6.6246454169545199</v>
      </c>
      <c r="DP296" s="4">
        <f t="shared" si="903"/>
        <v>8.3571143650726452</v>
      </c>
      <c r="DQ296" s="4">
        <f t="shared" si="904"/>
        <v>8.9912219231036268</v>
      </c>
      <c r="DR296" s="38">
        <f t="shared" si="915"/>
        <v>722.03828558929126</v>
      </c>
      <c r="DS296" s="4">
        <f t="shared" si="829"/>
        <v>1.000116745064352</v>
      </c>
      <c r="DT296" s="4">
        <f t="shared" si="905"/>
        <v>2.7386127875258306</v>
      </c>
      <c r="DU296" s="4">
        <f t="shared" si="842"/>
        <v>368.37207075008428</v>
      </c>
      <c r="DY296" s="4">
        <f t="shared" si="785"/>
        <v>0.85</v>
      </c>
      <c r="DZ296" s="4">
        <f t="shared" si="830"/>
        <v>0.85499999999999998</v>
      </c>
      <c r="EA296" s="4">
        <f t="shared" si="916"/>
        <v>0.77500000000000002</v>
      </c>
      <c r="EB296" s="4">
        <f t="shared" si="831"/>
        <v>0.7</v>
      </c>
      <c r="ED296" s="4">
        <f t="shared" si="917"/>
        <v>686.12160785175342</v>
      </c>
      <c r="EE296" s="25">
        <f t="shared" si="918"/>
        <v>364.92348931844867</v>
      </c>
      <c r="EG296" s="4">
        <f t="shared" si="843"/>
        <v>0.59499999999999997</v>
      </c>
      <c r="EH296" s="4">
        <f t="shared" si="919"/>
        <v>9.7866580905942957</v>
      </c>
      <c r="EK296" s="4">
        <f t="shared" si="906"/>
        <v>69.56076480315609</v>
      </c>
      <c r="EL296" s="4">
        <f t="shared" si="907"/>
        <v>2.7386127875258306</v>
      </c>
      <c r="EM296" s="4">
        <f t="shared" si="908"/>
        <v>0.13149154384020617</v>
      </c>
      <c r="EP296" s="4">
        <f t="shared" si="759"/>
        <v>0.13149154384020617</v>
      </c>
      <c r="EQ296" s="4">
        <f t="shared" si="721"/>
        <v>0.37635283546632642</v>
      </c>
      <c r="ER296" s="4">
        <f t="shared" si="770"/>
        <v>6.6202210816600546</v>
      </c>
      <c r="ES296" s="4">
        <f t="shared" si="743"/>
        <v>8.3553644821317707</v>
      </c>
      <c r="ET296" s="4">
        <f t="shared" si="771"/>
        <v>138.84623519684391</v>
      </c>
      <c r="EU296" s="4">
        <f t="shared" si="772"/>
        <v>69.468999999999994</v>
      </c>
      <c r="EV296" s="4">
        <f t="shared" si="832"/>
        <v>2.1018532536618391E-5</v>
      </c>
      <c r="EW296" s="4">
        <f t="shared" si="744"/>
        <v>8.9914453005690351</v>
      </c>
      <c r="EX296" s="4">
        <f t="shared" si="867"/>
        <v>721.95400102298265</v>
      </c>
      <c r="FG296" s="23">
        <f t="shared" si="778"/>
        <v>2.2000000000000002</v>
      </c>
      <c r="FH296" s="23">
        <f t="shared" si="778"/>
        <v>1.2</v>
      </c>
      <c r="FI296" s="23">
        <f t="shared" si="712"/>
        <v>1.6</v>
      </c>
      <c r="FJ296" s="23">
        <f t="shared" si="779"/>
        <v>2</v>
      </c>
      <c r="FK296" s="23">
        <f t="shared" si="779"/>
        <v>1.2</v>
      </c>
      <c r="FL296" s="23">
        <f t="shared" si="779"/>
        <v>1.2</v>
      </c>
      <c r="FM296" s="23">
        <f t="shared" si="923"/>
        <v>0</v>
      </c>
      <c r="FN296" s="23"/>
      <c r="FX296" s="4">
        <f t="shared" si="833"/>
        <v>1.25</v>
      </c>
      <c r="FY296" s="4">
        <f t="shared" si="890"/>
        <v>0.43787748058671272</v>
      </c>
      <c r="FZ296" s="4">
        <f t="shared" si="834"/>
        <v>0.3</v>
      </c>
      <c r="GA296" s="4">
        <f t="shared" si="835"/>
        <v>503.37130806644853</v>
      </c>
    </row>
    <row r="297" spans="1:183" ht="12" customHeight="1" x14ac:dyDescent="0.3">
      <c r="A297" s="25">
        <v>279</v>
      </c>
      <c r="B297" s="4" t="s">
        <v>605</v>
      </c>
      <c r="C297" s="4">
        <v>2016</v>
      </c>
      <c r="D297" s="4" t="s">
        <v>309</v>
      </c>
      <c r="E297" s="24" t="s">
        <v>666</v>
      </c>
      <c r="F297" s="48" t="s">
        <v>437</v>
      </c>
      <c r="G297" s="38">
        <f t="shared" si="891"/>
        <v>799.31034482758628</v>
      </c>
      <c r="H297" s="38">
        <f>8*25.4</f>
        <v>203.2</v>
      </c>
      <c r="I297" s="4">
        <f t="shared" si="746"/>
        <v>203.2</v>
      </c>
      <c r="J297" s="38">
        <f>5900/145</f>
        <v>40.689655172413794</v>
      </c>
      <c r="K297" s="38">
        <f t="shared" si="747"/>
        <v>25.4</v>
      </c>
      <c r="L297" s="7">
        <f t="shared" si="748"/>
        <v>8</v>
      </c>
      <c r="M297" s="7">
        <f t="shared" si="749"/>
        <v>8</v>
      </c>
      <c r="N297" s="38">
        <f>17.3*25.4</f>
        <v>439.42</v>
      </c>
      <c r="O297" s="38">
        <f>2.65*25.4</f>
        <v>67.309999999999988</v>
      </c>
      <c r="P297" s="39">
        <f>3.4*25.4</f>
        <v>86.36</v>
      </c>
      <c r="Q297" s="7">
        <f t="shared" si="750"/>
        <v>254.00000000000003</v>
      </c>
      <c r="R297" s="38">
        <v>2</v>
      </c>
      <c r="S297" s="4">
        <f t="shared" si="722"/>
        <v>260.34999999999997</v>
      </c>
      <c r="T297" s="7">
        <f t="shared" si="751"/>
        <v>3.1499999999999995</v>
      </c>
      <c r="U297" s="7">
        <f t="shared" si="859"/>
        <v>3.1499999999999995</v>
      </c>
      <c r="V297" s="38">
        <v>4.5</v>
      </c>
      <c r="W297" s="4">
        <f t="shared" si="752"/>
        <v>4.5</v>
      </c>
      <c r="X297" s="4">
        <f t="shared" si="753"/>
        <v>5.5</v>
      </c>
      <c r="Y297" s="7">
        <f t="shared" si="754"/>
        <v>59.568280149757555</v>
      </c>
      <c r="AB297" s="38">
        <f t="shared" si="786"/>
        <v>597.24137931034488</v>
      </c>
      <c r="AC297" s="4">
        <v>86.6</v>
      </c>
      <c r="AD297" s="4">
        <f t="shared" si="899"/>
        <v>1.0263095681968797</v>
      </c>
      <c r="AE297" s="38">
        <f t="shared" si="897"/>
        <v>12.7</v>
      </c>
      <c r="AF297" s="38">
        <v>10</v>
      </c>
      <c r="AG297" s="39">
        <f t="shared" si="920"/>
        <v>76.199999999999989</v>
      </c>
      <c r="AH297" s="39">
        <v>3</v>
      </c>
      <c r="AI297" s="39">
        <v>2</v>
      </c>
      <c r="AJ297" s="7"/>
      <c r="AK297" s="4">
        <f t="shared" si="755"/>
        <v>203.2</v>
      </c>
      <c r="AL297" s="4">
        <f t="shared" si="910"/>
        <v>0.72083333333333333</v>
      </c>
      <c r="AM297" s="4">
        <f t="shared" si="911"/>
        <v>182.32249269813812</v>
      </c>
      <c r="AN297" s="4">
        <f t="shared" si="912"/>
        <v>0.77874999999999994</v>
      </c>
      <c r="AO297" s="4">
        <v>1.25</v>
      </c>
      <c r="AP297" s="4">
        <f t="shared" si="844"/>
        <v>2.5</v>
      </c>
      <c r="AQ297" s="38">
        <f t="shared" si="723"/>
        <v>319.83294174011439</v>
      </c>
      <c r="AR297" s="38">
        <f t="shared" si="913"/>
        <v>319.83294174011439</v>
      </c>
      <c r="AS297" s="38">
        <f t="shared" si="914"/>
        <v>3.5490375497727622</v>
      </c>
      <c r="AT297" s="38">
        <f t="shared" si="853"/>
        <v>319.83294174011451</v>
      </c>
      <c r="AU297" s="38">
        <f t="shared" si="820"/>
        <v>0.99999999999999967</v>
      </c>
      <c r="AV297" s="38">
        <f t="shared" si="715"/>
        <v>1.7002297973633207</v>
      </c>
      <c r="AW297" s="4">
        <f t="shared" si="707"/>
        <v>0</v>
      </c>
      <c r="AX297" s="4">
        <f t="shared" si="756"/>
        <v>268.58291977190015</v>
      </c>
      <c r="AY297" s="4">
        <f t="shared" si="724"/>
        <v>1</v>
      </c>
      <c r="AZ297" s="38">
        <f t="shared" si="837"/>
        <v>543.78949772490967</v>
      </c>
      <c r="BA297" s="4">
        <f t="shared" si="725"/>
        <v>0.37</v>
      </c>
      <c r="BB297" s="4">
        <f t="shared" si="726"/>
        <v>51.923792964902589</v>
      </c>
      <c r="BC297" s="4">
        <f t="shared" si="727"/>
        <v>595.71329068981231</v>
      </c>
      <c r="BE297" s="4">
        <f t="shared" si="854"/>
        <v>1.5</v>
      </c>
      <c r="BF297" s="4">
        <f t="shared" si="860"/>
        <v>516.68639191119291</v>
      </c>
      <c r="BH297" s="4">
        <f t="shared" si="861"/>
        <v>521.56062944040264</v>
      </c>
      <c r="BI297" s="4">
        <f t="shared" si="806"/>
        <v>0</v>
      </c>
      <c r="BJ297" s="4">
        <f t="shared" si="862"/>
        <v>0</v>
      </c>
      <c r="BR297" s="4">
        <f t="shared" si="728"/>
        <v>67.309999999999988</v>
      </c>
      <c r="BV297" s="9"/>
      <c r="BX297" s="9"/>
      <c r="BY297" s="9"/>
      <c r="BZ297" s="9">
        <f t="shared" si="729"/>
        <v>67.309999999999988</v>
      </c>
      <c r="CA297" s="9">
        <f t="shared" si="730"/>
        <v>127.00000000000001</v>
      </c>
      <c r="CB297" s="9">
        <f t="shared" si="821"/>
        <v>1.7905298128039189</v>
      </c>
      <c r="CC297" s="40">
        <f t="shared" si="757"/>
        <v>20</v>
      </c>
      <c r="CD297" s="9">
        <f t="shared" si="731"/>
        <v>0.05</v>
      </c>
      <c r="CE297" s="9">
        <f t="shared" si="732"/>
        <v>0.8</v>
      </c>
      <c r="CF297" s="9">
        <f t="shared" si="733"/>
        <v>0.99524931562137331</v>
      </c>
      <c r="CG297" s="9">
        <f t="shared" si="734"/>
        <v>0.68048275862068963</v>
      </c>
      <c r="CH297" s="9">
        <f t="shared" si="822"/>
        <v>1.51202531590344</v>
      </c>
      <c r="CI297" s="9">
        <f t="shared" si="823"/>
        <v>3.7800632897586</v>
      </c>
      <c r="CJ297" s="40">
        <v>1</v>
      </c>
      <c r="CK297" s="9">
        <f t="shared" si="824"/>
        <v>347.7658226577912</v>
      </c>
      <c r="CM297" s="4">
        <f t="shared" si="735"/>
        <v>2.2236759501220891</v>
      </c>
      <c r="CN297" s="4">
        <f t="shared" si="736"/>
        <v>1.0025651410576439</v>
      </c>
      <c r="CO297" s="4">
        <f t="shared" si="708"/>
        <v>1.1559069266391626</v>
      </c>
      <c r="CP297" s="4">
        <f t="shared" si="737"/>
        <v>1.7173665161974321</v>
      </c>
      <c r="CQ297" s="4">
        <f t="shared" si="921"/>
        <v>1.0263095681968797</v>
      </c>
      <c r="CR297" s="4">
        <f t="shared" si="922"/>
        <v>1.0849879495526928</v>
      </c>
      <c r="CS297" s="4">
        <f t="shared" si="709"/>
        <v>1.2980121403329294</v>
      </c>
      <c r="CT297" s="4">
        <f t="shared" si="758"/>
        <v>10</v>
      </c>
      <c r="DA297" s="4">
        <f t="shared" si="893"/>
        <v>2.2236759501220891</v>
      </c>
      <c r="DB297" s="4">
        <f t="shared" si="893"/>
        <v>1.0025651410576439</v>
      </c>
      <c r="DC297" s="4">
        <f t="shared" si="894"/>
        <v>1.7173665161974321</v>
      </c>
      <c r="DD297" s="4">
        <f t="shared" si="895"/>
        <v>1.2980121403329294</v>
      </c>
      <c r="DE297" s="4">
        <f t="shared" si="896"/>
        <v>1.0263095681968797</v>
      </c>
      <c r="DF297" s="4">
        <f t="shared" si="896"/>
        <v>1.0849879495526928</v>
      </c>
      <c r="DI297" s="4">
        <f t="shared" si="742"/>
        <v>203.2</v>
      </c>
      <c r="DL297" s="4">
        <f t="shared" si="900"/>
        <v>1.5370042074309613E-5</v>
      </c>
      <c r="DM297" s="4">
        <f t="shared" si="769"/>
        <v>9.7866580905942957</v>
      </c>
      <c r="DN297" s="4">
        <f t="shared" si="901"/>
        <v>0.40486348345474776</v>
      </c>
      <c r="DO297" s="4">
        <f t="shared" si="902"/>
        <v>6.8164438083910133</v>
      </c>
      <c r="DP297" s="4">
        <f t="shared" si="903"/>
        <v>8.4337539253618328</v>
      </c>
      <c r="DQ297" s="4">
        <f t="shared" si="904"/>
        <v>9.3574628859365134</v>
      </c>
      <c r="DR297" s="38">
        <f t="shared" si="915"/>
        <v>581.93102531396698</v>
      </c>
      <c r="DS297" s="4">
        <f t="shared" si="829"/>
        <v>1.0001177253884419</v>
      </c>
      <c r="DT297" s="4">
        <f t="shared" si="905"/>
        <v>2.3452078799117149</v>
      </c>
      <c r="DU297" s="4">
        <f t="shared" si="842"/>
        <v>319.83294174011451</v>
      </c>
      <c r="DY297" s="4">
        <f t="shared" si="785"/>
        <v>0.85</v>
      </c>
      <c r="DZ297" s="4">
        <f t="shared" si="830"/>
        <v>0.83499999999999996</v>
      </c>
      <c r="EA297" s="4">
        <f t="shared" si="916"/>
        <v>0.77500000000000002</v>
      </c>
      <c r="EB297" s="4">
        <f t="shared" si="831"/>
        <v>0.7</v>
      </c>
      <c r="ED297" s="4">
        <f t="shared" si="917"/>
        <v>550.45899777649061</v>
      </c>
      <c r="EE297" s="25">
        <f t="shared" si="918"/>
        <v>315.57920360222749</v>
      </c>
      <c r="EG297" s="4">
        <f t="shared" si="843"/>
        <v>0.59499999999999997</v>
      </c>
      <c r="EH297" s="4">
        <f t="shared" si="919"/>
        <v>9.7866580905942957</v>
      </c>
      <c r="EK297" s="4">
        <f t="shared" si="906"/>
        <v>59.568280149757555</v>
      </c>
      <c r="EL297" s="4">
        <f t="shared" si="907"/>
        <v>2.3452078799117149</v>
      </c>
      <c r="EM297" s="4">
        <f t="shared" si="908"/>
        <v>0.14121664115599541</v>
      </c>
      <c r="EP297" s="4">
        <f t="shared" si="759"/>
        <v>0.14121664115599541</v>
      </c>
      <c r="EQ297" s="4">
        <f t="shared" si="721"/>
        <v>0.40418784175715761</v>
      </c>
      <c r="ER297" s="4">
        <f t="shared" si="770"/>
        <v>6.8118913786342432</v>
      </c>
      <c r="ES297" s="4">
        <f t="shared" si="743"/>
        <v>8.4319173401450929</v>
      </c>
      <c r="ET297" s="4">
        <f t="shared" si="771"/>
        <v>92.831719850242422</v>
      </c>
      <c r="EU297" s="4">
        <f t="shared" si="772"/>
        <v>50.800000000000011</v>
      </c>
      <c r="EV297" s="4">
        <f t="shared" si="832"/>
        <v>1.537004207430962E-5</v>
      </c>
      <c r="EW297" s="4">
        <f t="shared" si="744"/>
        <v>9.3575947526180077</v>
      </c>
      <c r="EX297" s="4">
        <f t="shared" si="867"/>
        <v>581.8625253221536</v>
      </c>
      <c r="FA297" s="4">
        <f t="shared" ref="FA297:FA298" si="924">5.25*25.4</f>
        <v>133.35</v>
      </c>
      <c r="FG297" s="23">
        <f t="shared" si="778"/>
        <v>2.2000000000000002</v>
      </c>
      <c r="FH297" s="23">
        <f t="shared" si="778"/>
        <v>1.2</v>
      </c>
      <c r="FI297" s="23">
        <f t="shared" si="712"/>
        <v>1.4</v>
      </c>
      <c r="FJ297" s="23">
        <f t="shared" si="779"/>
        <v>1.8</v>
      </c>
      <c r="FK297" s="23">
        <f t="shared" si="779"/>
        <v>1.2</v>
      </c>
      <c r="FL297" s="23">
        <f t="shared" si="779"/>
        <v>1.2</v>
      </c>
      <c r="FM297" s="23">
        <f t="shared" si="923"/>
        <v>0</v>
      </c>
      <c r="FN297" s="23"/>
      <c r="FX297" s="4">
        <f t="shared" si="833"/>
        <v>1</v>
      </c>
      <c r="FY297" s="4">
        <f t="shared" si="890"/>
        <v>0.43787748058671272</v>
      </c>
      <c r="FZ297" s="4">
        <f t="shared" si="834"/>
        <v>0.3</v>
      </c>
      <c r="GA297" s="4">
        <f t="shared" si="835"/>
        <v>460.12002565488899</v>
      </c>
    </row>
    <row r="298" spans="1:183" ht="12" customHeight="1" x14ac:dyDescent="0.3">
      <c r="A298" s="25">
        <v>280</v>
      </c>
      <c r="B298" s="4" t="s">
        <v>605</v>
      </c>
      <c r="C298" s="4">
        <v>2016</v>
      </c>
      <c r="D298" s="4" t="s">
        <v>309</v>
      </c>
      <c r="E298" s="24" t="s">
        <v>666</v>
      </c>
      <c r="F298" s="48" t="s">
        <v>438</v>
      </c>
      <c r="G298" s="38">
        <f t="shared" si="891"/>
        <v>799.31034482758628</v>
      </c>
      <c r="H298" s="38">
        <f>11.13*25.4</f>
        <v>282.702</v>
      </c>
      <c r="I298" s="4">
        <f t="shared" si="746"/>
        <v>282.702</v>
      </c>
      <c r="J298" s="38">
        <f>5900/145</f>
        <v>40.689655172413794</v>
      </c>
      <c r="K298" s="38">
        <f t="shared" si="747"/>
        <v>25.4</v>
      </c>
      <c r="L298" s="7">
        <f t="shared" si="748"/>
        <v>11.13</v>
      </c>
      <c r="M298" s="7">
        <f t="shared" si="749"/>
        <v>11.13</v>
      </c>
      <c r="N298" s="38">
        <f>16.6*25.4</f>
        <v>421.64</v>
      </c>
      <c r="O298" s="38">
        <f>2.45*25.4</f>
        <v>62.230000000000004</v>
      </c>
      <c r="P298" s="39">
        <f>3.15*25.4</f>
        <v>80.009999999999991</v>
      </c>
      <c r="Q298" s="7">
        <f t="shared" si="750"/>
        <v>246.37999999999997</v>
      </c>
      <c r="R298" s="38">
        <v>2</v>
      </c>
      <c r="S298" s="4">
        <f t="shared" si="722"/>
        <v>260.34999999999997</v>
      </c>
      <c r="T298" s="7">
        <f t="shared" si="751"/>
        <v>2.95</v>
      </c>
      <c r="U298" s="7">
        <f t="shared" si="859"/>
        <v>2.95</v>
      </c>
      <c r="V298" s="38">
        <v>4.5</v>
      </c>
      <c r="W298" s="4">
        <f t="shared" si="752"/>
        <v>4.5</v>
      </c>
      <c r="X298" s="4">
        <f t="shared" si="753"/>
        <v>5.5</v>
      </c>
      <c r="Y298" s="7">
        <f t="shared" si="754"/>
        <v>59.568280149757555</v>
      </c>
      <c r="AB298" s="38">
        <f t="shared" si="786"/>
        <v>717.93103448275861</v>
      </c>
      <c r="AC298" s="4">
        <v>104.1</v>
      </c>
      <c r="AD298" s="4">
        <f t="shared" si="899"/>
        <v>0.99617785069192466</v>
      </c>
      <c r="AE298" s="38">
        <f t="shared" si="897"/>
        <v>12.7</v>
      </c>
      <c r="AF298" s="38">
        <v>10</v>
      </c>
      <c r="AG298" s="39">
        <f t="shared" si="920"/>
        <v>76.199999999999989</v>
      </c>
      <c r="AH298" s="39">
        <v>3</v>
      </c>
      <c r="AI298" s="39">
        <v>2</v>
      </c>
      <c r="AJ298" s="7"/>
      <c r="AK298" s="4">
        <f t="shared" si="755"/>
        <v>282.702</v>
      </c>
      <c r="AL298" s="4">
        <f t="shared" si="910"/>
        <v>0.49715483677747829</v>
      </c>
      <c r="AM298" s="4">
        <f t="shared" si="911"/>
        <v>299.19064902706572</v>
      </c>
      <c r="AN298" s="4">
        <f t="shared" si="912"/>
        <v>0.75300988319856244</v>
      </c>
      <c r="AO298" s="4">
        <v>1.25</v>
      </c>
      <c r="AP298" s="4">
        <f t="shared" si="844"/>
        <v>2.5</v>
      </c>
      <c r="AQ298" s="38">
        <f t="shared" si="723"/>
        <v>350.01800316845885</v>
      </c>
      <c r="AR298" s="38">
        <f t="shared" si="913"/>
        <v>350.01800316845885</v>
      </c>
      <c r="AS298" s="38">
        <f t="shared" si="914"/>
        <v>3.5490375497727622</v>
      </c>
      <c r="AT298" s="38">
        <f t="shared" si="853"/>
        <v>350.01800316845902</v>
      </c>
      <c r="AU298" s="38">
        <f t="shared" si="820"/>
        <v>0.99999999999999956</v>
      </c>
      <c r="AV298" s="38">
        <f t="shared" si="715"/>
        <v>1.4549628184809134</v>
      </c>
      <c r="AW298" s="4">
        <f t="shared" si="707"/>
        <v>0</v>
      </c>
      <c r="AX298" s="4">
        <f t="shared" si="756"/>
        <v>373.66598713265614</v>
      </c>
      <c r="AY298" s="4">
        <f t="shared" si="724"/>
        <v>1</v>
      </c>
      <c r="AZ298" s="38">
        <f t="shared" si="837"/>
        <v>509.26318040904238</v>
      </c>
      <c r="BA298" s="4">
        <f t="shared" si="725"/>
        <v>0.37</v>
      </c>
      <c r="BB298" s="4">
        <f t="shared" si="726"/>
        <v>72.238976962420736</v>
      </c>
      <c r="BC298" s="4">
        <f t="shared" si="727"/>
        <v>581.50215737146311</v>
      </c>
      <c r="BE298" s="4">
        <f t="shared" si="854"/>
        <v>1.5</v>
      </c>
      <c r="BF298" s="4">
        <f t="shared" si="860"/>
        <v>606.53241450463929</v>
      </c>
      <c r="BH298" s="4">
        <f t="shared" si="861"/>
        <v>488.44566884101204</v>
      </c>
      <c r="BI298" s="4">
        <f t="shared" si="806"/>
        <v>0</v>
      </c>
      <c r="BJ298" s="4">
        <f t="shared" si="862"/>
        <v>0</v>
      </c>
      <c r="BR298" s="4">
        <f t="shared" si="728"/>
        <v>62.230000000000004</v>
      </c>
      <c r="BV298" s="9"/>
      <c r="BX298" s="9"/>
      <c r="BY298" s="9"/>
      <c r="BZ298" s="9">
        <f t="shared" si="729"/>
        <v>62.230000000000004</v>
      </c>
      <c r="CA298" s="9">
        <f t="shared" si="730"/>
        <v>123.18999999999998</v>
      </c>
      <c r="CB298" s="9">
        <f t="shared" si="821"/>
        <v>1.7340810420811554</v>
      </c>
      <c r="CC298" s="40">
        <f t="shared" si="757"/>
        <v>20</v>
      </c>
      <c r="CD298" s="9">
        <f t="shared" si="731"/>
        <v>0.05</v>
      </c>
      <c r="CE298" s="9">
        <f t="shared" si="732"/>
        <v>0.8</v>
      </c>
      <c r="CF298" s="9">
        <f t="shared" si="733"/>
        <v>0.99524931562137331</v>
      </c>
      <c r="CG298" s="9">
        <f t="shared" si="734"/>
        <v>0.68048275862068963</v>
      </c>
      <c r="CH298" s="9">
        <f t="shared" si="822"/>
        <v>1.51202531590344</v>
      </c>
      <c r="CI298" s="9">
        <f t="shared" si="823"/>
        <v>3.7800632897586</v>
      </c>
      <c r="CJ298" s="40">
        <v>1</v>
      </c>
      <c r="CK298" s="9">
        <f t="shared" si="824"/>
        <v>395.09221504556888</v>
      </c>
      <c r="CM298" s="4">
        <f t="shared" si="735"/>
        <v>1.9213175916594305</v>
      </c>
      <c r="CN298" s="4">
        <f t="shared" si="736"/>
        <v>1.234614567429962</v>
      </c>
      <c r="CO298" s="4">
        <f t="shared" si="708"/>
        <v>1.1836647429125442</v>
      </c>
      <c r="CP298" s="4">
        <f t="shared" si="737"/>
        <v>1.8171227048853755</v>
      </c>
      <c r="CQ298" s="4">
        <f t="shared" si="921"/>
        <v>0.99617785069192466</v>
      </c>
      <c r="CR298" s="4">
        <f t="shared" si="922"/>
        <v>1.0658353776281775</v>
      </c>
      <c r="CS298" s="4">
        <f t="shared" si="709"/>
        <v>1.4018980369375771</v>
      </c>
      <c r="CT298" s="4">
        <f t="shared" si="758"/>
        <v>10</v>
      </c>
      <c r="DA298" s="4">
        <f t="shared" si="893"/>
        <v>1.9213175916594305</v>
      </c>
      <c r="DB298" s="4">
        <f t="shared" si="893"/>
        <v>1.234614567429962</v>
      </c>
      <c r="DC298" s="4">
        <f t="shared" si="894"/>
        <v>1.8171227048853755</v>
      </c>
      <c r="DD298" s="4">
        <f t="shared" si="895"/>
        <v>1.4018980369375771</v>
      </c>
      <c r="DE298" s="4">
        <f t="shared" si="896"/>
        <v>0.99617785069192466</v>
      </c>
      <c r="DF298" s="4">
        <f t="shared" si="896"/>
        <v>1.0658353776281775</v>
      </c>
      <c r="DI298" s="4">
        <f t="shared" si="742"/>
        <v>282.702</v>
      </c>
      <c r="DL298" s="4">
        <f t="shared" si="900"/>
        <v>2.138357103588325E-5</v>
      </c>
      <c r="DM298" s="4">
        <f t="shared" si="769"/>
        <v>9.7866580905942957</v>
      </c>
      <c r="DN298" s="4">
        <f t="shared" si="901"/>
        <v>0.44307352226965302</v>
      </c>
      <c r="DO298" s="4">
        <f t="shared" si="902"/>
        <v>7.0668314807790713</v>
      </c>
      <c r="DP298" s="4">
        <f t="shared" si="903"/>
        <v>8.5360487312986368</v>
      </c>
      <c r="DQ298" s="4">
        <f t="shared" si="904"/>
        <v>8.9336398603685065</v>
      </c>
      <c r="DR298" s="38">
        <f t="shared" si="915"/>
        <v>720.68560245953915</v>
      </c>
      <c r="DS298" s="4">
        <f t="shared" si="829"/>
        <v>1.0001227646015325</v>
      </c>
      <c r="DT298" s="4">
        <f t="shared" si="905"/>
        <v>2.3452078799117149</v>
      </c>
      <c r="DU298" s="4">
        <f t="shared" si="842"/>
        <v>350.01800316845902</v>
      </c>
      <c r="DY298" s="4">
        <f t="shared" si="785"/>
        <v>0.85</v>
      </c>
      <c r="DZ298" s="4">
        <f t="shared" si="830"/>
        <v>0.85499999999999998</v>
      </c>
      <c r="EA298" s="4">
        <f t="shared" si="916"/>
        <v>0.77500000000000002</v>
      </c>
      <c r="EB298" s="4">
        <f t="shared" si="831"/>
        <v>0.7</v>
      </c>
      <c r="ED298" s="4">
        <f t="shared" si="917"/>
        <v>673.58529239326185</v>
      </c>
      <c r="EE298" s="25">
        <f t="shared" si="918"/>
        <v>346.80877874831833</v>
      </c>
      <c r="EG298" s="4">
        <f t="shared" si="843"/>
        <v>0.59499999999999997</v>
      </c>
      <c r="EH298" s="4">
        <f t="shared" si="919"/>
        <v>9.7866580905942957</v>
      </c>
      <c r="EK298" s="4">
        <f t="shared" si="906"/>
        <v>59.568280149757555</v>
      </c>
      <c r="EL298" s="4">
        <f t="shared" si="907"/>
        <v>2.3452078799117149</v>
      </c>
      <c r="EM298" s="4">
        <f t="shared" si="908"/>
        <v>0.15454432705603594</v>
      </c>
      <c r="EP298" s="4">
        <f t="shared" si="759"/>
        <v>0.15454432705603594</v>
      </c>
      <c r="EQ298" s="4">
        <f t="shared" si="721"/>
        <v>0.44233411513866389</v>
      </c>
      <c r="ER298" s="4">
        <f t="shared" si="770"/>
        <v>7.0621118271262979</v>
      </c>
      <c r="ES298" s="4">
        <f t="shared" si="743"/>
        <v>8.5340975732255</v>
      </c>
      <c r="ET298" s="4">
        <f t="shared" si="771"/>
        <v>152.45821985024244</v>
      </c>
      <c r="EU298" s="4">
        <f t="shared" si="772"/>
        <v>70.6755</v>
      </c>
      <c r="EV298" s="4">
        <f t="shared" si="832"/>
        <v>2.138357103588325E-5</v>
      </c>
      <c r="EW298" s="4">
        <f t="shared" si="744"/>
        <v>8.9338785070951161</v>
      </c>
      <c r="EX298" s="4">
        <f t="shared" si="867"/>
        <v>720.59713863894876</v>
      </c>
      <c r="FA298" s="4">
        <f t="shared" si="924"/>
        <v>133.35</v>
      </c>
      <c r="FG298" s="23">
        <f t="shared" si="778"/>
        <v>2</v>
      </c>
      <c r="FH298" s="23">
        <f t="shared" si="778"/>
        <v>1.4</v>
      </c>
      <c r="FI298" s="23">
        <f t="shared" si="712"/>
        <v>1.6</v>
      </c>
      <c r="FJ298" s="23">
        <f t="shared" si="779"/>
        <v>2</v>
      </c>
      <c r="FK298" s="23">
        <f t="shared" si="779"/>
        <v>1</v>
      </c>
      <c r="FL298" s="23">
        <f t="shared" si="779"/>
        <v>1.2</v>
      </c>
      <c r="FM298" s="23">
        <f t="shared" si="923"/>
        <v>0</v>
      </c>
      <c r="FN298" s="23"/>
      <c r="FX298" s="4">
        <f t="shared" si="833"/>
        <v>1.25</v>
      </c>
      <c r="FY298" s="4">
        <f t="shared" si="890"/>
        <v>0.43787748058671272</v>
      </c>
      <c r="FZ298" s="4">
        <f t="shared" si="834"/>
        <v>0.3</v>
      </c>
      <c r="GA298" s="4">
        <f t="shared" si="835"/>
        <v>512.11358855389153</v>
      </c>
    </row>
    <row r="299" spans="1:183" ht="12" customHeight="1" x14ac:dyDescent="0.3">
      <c r="A299" s="25">
        <v>281</v>
      </c>
      <c r="B299" s="4" t="s">
        <v>605</v>
      </c>
      <c r="C299" s="4">
        <v>2016</v>
      </c>
      <c r="D299" s="4" t="s">
        <v>309</v>
      </c>
      <c r="E299" s="24" t="s">
        <v>439</v>
      </c>
      <c r="F299" s="7" t="s">
        <v>440</v>
      </c>
      <c r="G299" s="38">
        <f>120/0.145</f>
        <v>827.58620689655174</v>
      </c>
      <c r="H299" s="38">
        <f>14.38*25.4</f>
        <v>365.25200000000001</v>
      </c>
      <c r="I299" s="4">
        <f t="shared" si="746"/>
        <v>365.25200000000001</v>
      </c>
      <c r="J299" s="38">
        <f>4970/145</f>
        <v>34.275862068965516</v>
      </c>
      <c r="K299" s="38">
        <f t="shared" si="747"/>
        <v>25.4</v>
      </c>
      <c r="L299" s="7">
        <f t="shared" si="748"/>
        <v>14.38</v>
      </c>
      <c r="M299" s="7">
        <f t="shared" si="749"/>
        <v>14.38</v>
      </c>
      <c r="N299" s="38">
        <f>17*25.4</f>
        <v>431.79999999999995</v>
      </c>
      <c r="O299" s="38">
        <f>2.55*25.4</f>
        <v>64.77</v>
      </c>
      <c r="P299" s="39">
        <f>3.25*25.4</f>
        <v>82.55</v>
      </c>
      <c r="Q299" s="7">
        <f t="shared" si="750"/>
        <v>251.45999999999995</v>
      </c>
      <c r="R299" s="38">
        <v>2</v>
      </c>
      <c r="S299" s="4">
        <f t="shared" si="722"/>
        <v>260.34999999999997</v>
      </c>
      <c r="T299" s="7">
        <f t="shared" si="751"/>
        <v>3.05</v>
      </c>
      <c r="U299" s="7">
        <f t="shared" si="859"/>
        <v>3.05</v>
      </c>
      <c r="V299" s="38">
        <v>9.5</v>
      </c>
      <c r="W299" s="4">
        <f t="shared" si="752"/>
        <v>9.5</v>
      </c>
      <c r="X299" s="4">
        <f t="shared" si="753"/>
        <v>10.5</v>
      </c>
      <c r="Y299" s="7">
        <f t="shared" si="754"/>
        <v>82.305406869779816</v>
      </c>
      <c r="AB299" s="38">
        <f t="shared" si="786"/>
        <v>800</v>
      </c>
      <c r="AC299" s="4">
        <v>116</v>
      </c>
      <c r="AD299" s="4">
        <f t="shared" si="899"/>
        <v>1.1112596892664182</v>
      </c>
      <c r="AE299" s="38"/>
      <c r="AF299" s="38"/>
      <c r="AG299" s="39">
        <v>1</v>
      </c>
      <c r="AH299" s="39"/>
      <c r="AI299" s="39"/>
      <c r="AJ299" s="7"/>
      <c r="AK299" s="4">
        <f t="shared" si="755"/>
        <v>365.25200000000001</v>
      </c>
      <c r="AL299" s="4">
        <f t="shared" si="910"/>
        <v>0.39406583217431618</v>
      </c>
      <c r="AM299" s="4">
        <f t="shared" si="911"/>
        <v>403.26988090113554</v>
      </c>
      <c r="AN299" s="4">
        <f t="shared" si="912"/>
        <v>0.74242002781641159</v>
      </c>
      <c r="AO299" s="4">
        <v>1.25</v>
      </c>
      <c r="AP299" s="4">
        <f t="shared" si="844"/>
        <v>2.5</v>
      </c>
      <c r="AQ299" s="38">
        <f t="shared" si="723"/>
        <v>368.69247039684859</v>
      </c>
      <c r="AR299" s="38">
        <f t="shared" si="913"/>
        <v>368.69247039684859</v>
      </c>
      <c r="AS299" s="38">
        <f t="shared" si="914"/>
        <v>3.1655330029957871</v>
      </c>
      <c r="AT299" s="38">
        <f t="shared" si="853"/>
        <v>368.69247039684876</v>
      </c>
      <c r="AU299" s="38">
        <f t="shared" si="820"/>
        <v>0.99999999999999956</v>
      </c>
      <c r="AV299" s="38">
        <f t="shared" si="715"/>
        <v>1.7478966733894243</v>
      </c>
      <c r="AW299" s="4">
        <f t="shared" si="707"/>
        <v>0</v>
      </c>
      <c r="AX299" s="4">
        <f t="shared" si="756"/>
        <v>443.0976822581481</v>
      </c>
      <c r="AY299" s="4">
        <f t="shared" si="724"/>
        <v>1</v>
      </c>
      <c r="AZ299" s="38">
        <f t="shared" si="837"/>
        <v>644.43634251038077</v>
      </c>
      <c r="BA299" s="4">
        <f t="shared" si="725"/>
        <v>0.3</v>
      </c>
      <c r="BB299" s="4">
        <f t="shared" si="726"/>
        <v>69.455561693964725</v>
      </c>
      <c r="BC299" s="4">
        <f t="shared" si="727"/>
        <v>713.89190420434545</v>
      </c>
      <c r="BE299" s="4">
        <f t="shared" si="854"/>
        <v>1.3875</v>
      </c>
      <c r="BF299" s="4">
        <f t="shared" si="860"/>
        <v>594.1309013306784</v>
      </c>
      <c r="BH299" s="4">
        <f t="shared" si="861"/>
        <v>618.09326189675073</v>
      </c>
      <c r="BI299" s="4">
        <f t="shared" si="806"/>
        <v>0</v>
      </c>
      <c r="BJ299" s="4">
        <f t="shared" si="862"/>
        <v>0</v>
      </c>
      <c r="BR299" s="4">
        <f t="shared" si="728"/>
        <v>64.77</v>
      </c>
      <c r="BV299" s="9"/>
      <c r="BX299" s="9"/>
      <c r="BY299" s="9"/>
      <c r="BZ299" s="9">
        <f t="shared" si="729"/>
        <v>64.77</v>
      </c>
      <c r="CA299" s="9">
        <f t="shared" si="730"/>
        <v>125.72999999999998</v>
      </c>
      <c r="CB299" s="9">
        <f t="shared" si="821"/>
        <v>1.7639238931775985</v>
      </c>
      <c r="CC299" s="40">
        <f t="shared" si="757"/>
        <v>0</v>
      </c>
      <c r="CD299" s="9">
        <f t="shared" si="731"/>
        <v>0</v>
      </c>
      <c r="CE299" s="9">
        <f t="shared" si="732"/>
        <v>0</v>
      </c>
      <c r="CF299" s="9">
        <f t="shared" si="733"/>
        <v>0.99524931562137331</v>
      </c>
      <c r="CG299" s="9">
        <f t="shared" si="734"/>
        <v>0.68</v>
      </c>
      <c r="CH299" s="9">
        <f t="shared" si="822"/>
        <v>1.3867655293631655</v>
      </c>
      <c r="CI299" s="9">
        <f t="shared" si="823"/>
        <v>2.4461488514787684</v>
      </c>
      <c r="CJ299" s="40">
        <v>1</v>
      </c>
      <c r="CK299" s="9">
        <f t="shared" si="824"/>
        <v>287.47141302578484</v>
      </c>
      <c r="CM299" s="4">
        <f t="shared" si="735"/>
        <v>1.8054709650544303</v>
      </c>
      <c r="CN299" s="4">
        <f t="shared" si="736"/>
        <v>1.120617834841011</v>
      </c>
      <c r="CO299" s="4">
        <f t="shared" si="708"/>
        <v>1.3465046140644013</v>
      </c>
      <c r="CP299" s="4">
        <f t="shared" si="737"/>
        <v>2.7828854061681736</v>
      </c>
      <c r="CQ299" s="4">
        <f t="shared" si="921"/>
        <v>1.1112596892664182</v>
      </c>
      <c r="CR299" s="4">
        <f t="shared" si="922"/>
        <v>1.164038324517964</v>
      </c>
      <c r="CS299" s="4">
        <f t="shared" si="709"/>
        <v>1.15289897228001</v>
      </c>
      <c r="CT299" s="4">
        <f t="shared" si="758"/>
        <v>0</v>
      </c>
      <c r="CU299" s="4">
        <f t="shared" ref="CU299:CV300" si="925">CM299</f>
        <v>1.8054709650544303</v>
      </c>
      <c r="CV299" s="4">
        <f t="shared" si="925"/>
        <v>1.120617834841011</v>
      </c>
      <c r="CW299" s="4">
        <f t="shared" ref="CW299:CW300" si="926">CP299</f>
        <v>2.7828854061681736</v>
      </c>
      <c r="CX299" s="4">
        <f t="shared" ref="CX299:CX300" si="927">CS299</f>
        <v>1.15289897228001</v>
      </c>
      <c r="CY299" s="4">
        <f t="shared" ref="CY299:CZ300" si="928">CQ299</f>
        <v>1.1112596892664182</v>
      </c>
      <c r="CZ299" s="4">
        <f t="shared" si="928"/>
        <v>1.164038324517964</v>
      </c>
      <c r="DI299" s="4">
        <f t="shared" si="742"/>
        <v>365.25200000000001</v>
      </c>
      <c r="DL299" s="4">
        <f t="shared" si="900"/>
        <v>2.6459793328600653E-5</v>
      </c>
      <c r="DM299" s="4">
        <f t="shared" si="769"/>
        <v>7.4409422777504419</v>
      </c>
      <c r="DN299" s="4">
        <f t="shared" si="901"/>
        <v>0.36261646462402092</v>
      </c>
      <c r="DO299" s="4">
        <f t="shared" si="902"/>
        <v>4.9591465591001365</v>
      </c>
      <c r="DP299" s="4">
        <f t="shared" si="903"/>
        <v>6.3234791386058333</v>
      </c>
      <c r="DQ299" s="4">
        <f t="shared" si="904"/>
        <v>6.6829030000056342</v>
      </c>
      <c r="DR299" s="38">
        <f t="shared" si="915"/>
        <v>719.90373422805283</v>
      </c>
      <c r="DS299" s="4">
        <f t="shared" si="829"/>
        <v>1.0001099325718286</v>
      </c>
      <c r="DT299" s="4">
        <f t="shared" si="905"/>
        <v>3.2403703492039297</v>
      </c>
      <c r="DU299" s="4">
        <f t="shared" si="842"/>
        <v>368.69247039684876</v>
      </c>
      <c r="DY299" s="4">
        <f t="shared" si="785"/>
        <v>0.85</v>
      </c>
      <c r="DZ299" s="4">
        <f t="shared" si="830"/>
        <v>0.84499999999999997</v>
      </c>
      <c r="EA299" s="4">
        <f t="shared" si="916"/>
        <v>1</v>
      </c>
      <c r="EB299" s="4">
        <f t="shared" si="831"/>
        <v>0.84499999999999997</v>
      </c>
      <c r="ED299" s="4">
        <f t="shared" si="917"/>
        <v>687.26259535422537</v>
      </c>
      <c r="EE299" s="25">
        <f t="shared" si="918"/>
        <v>366.26034549207128</v>
      </c>
      <c r="EG299" s="4">
        <f t="shared" si="843"/>
        <v>0.71824999999999994</v>
      </c>
      <c r="EH299" s="4">
        <f t="shared" si="919"/>
        <v>7.4409422777504419</v>
      </c>
      <c r="EK299" s="4">
        <f t="shared" si="906"/>
        <v>82.305406869779816</v>
      </c>
      <c r="EL299" s="4">
        <f t="shared" si="907"/>
        <v>3.2403703492039302</v>
      </c>
      <c r="EM299" s="4">
        <f t="shared" si="908"/>
        <v>0.11608523316367027</v>
      </c>
      <c r="EP299" s="4">
        <f t="shared" si="759"/>
        <v>0.11608523316367027</v>
      </c>
      <c r="EQ299" s="4">
        <f t="shared" si="721"/>
        <v>0.3620113253270853</v>
      </c>
      <c r="ER299" s="4">
        <f t="shared" si="770"/>
        <v>4.9558345437738964</v>
      </c>
      <c r="ES299" s="4">
        <f t="shared" si="743"/>
        <v>6.3221834836221298</v>
      </c>
      <c r="ET299" s="4">
        <f t="shared" si="771"/>
        <v>191.63359313022022</v>
      </c>
      <c r="EU299" s="4">
        <f t="shared" si="772"/>
        <v>91.312999999999988</v>
      </c>
      <c r="EV299" s="4">
        <f t="shared" si="832"/>
        <v>2.6459793328600646E-5</v>
      </c>
      <c r="EW299" s="4">
        <f t="shared" si="744"/>
        <v>6.6831044884128916</v>
      </c>
      <c r="EX299" s="4">
        <f t="shared" si="867"/>
        <v>719.82460205828306</v>
      </c>
      <c r="FG299" s="23">
        <f t="shared" si="778"/>
        <v>2</v>
      </c>
      <c r="FH299" s="23">
        <f t="shared" si="778"/>
        <v>1.2</v>
      </c>
      <c r="FI299" s="23">
        <f t="shared" si="712"/>
        <v>1.2</v>
      </c>
      <c r="FJ299" s="23">
        <f t="shared" si="779"/>
        <v>2.2000000000000002</v>
      </c>
      <c r="FK299" s="23">
        <f t="shared" si="779"/>
        <v>1.2</v>
      </c>
      <c r="FL299" s="23">
        <f t="shared" si="779"/>
        <v>1.2</v>
      </c>
      <c r="FM299" s="23">
        <f t="shared" si="923"/>
        <v>0</v>
      </c>
      <c r="FN299" s="23"/>
      <c r="FX299" s="4">
        <f t="shared" si="833"/>
        <v>1</v>
      </c>
      <c r="FY299" s="4">
        <f t="shared" si="890"/>
        <v>0.5</v>
      </c>
      <c r="FZ299" s="4">
        <f t="shared" si="834"/>
        <v>0</v>
      </c>
      <c r="GA299" s="4">
        <f t="shared" si="835"/>
        <v>693.90295180669159</v>
      </c>
    </row>
    <row r="300" spans="1:183" ht="12" customHeight="1" x14ac:dyDescent="0.3">
      <c r="A300" s="25">
        <v>282</v>
      </c>
      <c r="B300" s="4" t="s">
        <v>605</v>
      </c>
      <c r="C300" s="4">
        <v>2016</v>
      </c>
      <c r="D300" s="4" t="s">
        <v>309</v>
      </c>
      <c r="E300" s="24" t="s">
        <v>439</v>
      </c>
      <c r="F300" s="48" t="s">
        <v>441</v>
      </c>
      <c r="G300" s="38">
        <f>115.9/0.145</f>
        <v>799.31034482758628</v>
      </c>
      <c r="H300" s="38">
        <f>14.38*25.4</f>
        <v>365.25200000000001</v>
      </c>
      <c r="I300" s="4">
        <f t="shared" si="746"/>
        <v>365.25200000000001</v>
      </c>
      <c r="J300" s="38">
        <f>4970/145</f>
        <v>34.275862068965516</v>
      </c>
      <c r="K300" s="38">
        <f t="shared" si="747"/>
        <v>25.4</v>
      </c>
      <c r="L300" s="7">
        <f t="shared" si="748"/>
        <v>14.38</v>
      </c>
      <c r="M300" s="7">
        <f t="shared" si="749"/>
        <v>14.38</v>
      </c>
      <c r="N300" s="38">
        <f>17.3*25.4</f>
        <v>439.42</v>
      </c>
      <c r="O300" s="38">
        <f>2.65*25.4</f>
        <v>67.309999999999988</v>
      </c>
      <c r="P300" s="39">
        <f>3.2*25.4</f>
        <v>81.28</v>
      </c>
      <c r="Q300" s="7">
        <f t="shared" si="750"/>
        <v>254.00000000000003</v>
      </c>
      <c r="R300" s="38">
        <v>2</v>
      </c>
      <c r="S300" s="4">
        <f t="shared" si="722"/>
        <v>260.34999999999997</v>
      </c>
      <c r="T300" s="7">
        <f t="shared" si="751"/>
        <v>3.1499999999999995</v>
      </c>
      <c r="U300" s="7">
        <f t="shared" si="859"/>
        <v>3.1499999999999995</v>
      </c>
      <c r="V300" s="38">
        <v>9.1</v>
      </c>
      <c r="W300" s="4">
        <f t="shared" si="752"/>
        <v>9.1</v>
      </c>
      <c r="X300" s="4">
        <f t="shared" si="753"/>
        <v>10.1</v>
      </c>
      <c r="Y300" s="7">
        <f t="shared" si="754"/>
        <v>80.72246279691916</v>
      </c>
      <c r="AB300" s="38">
        <f t="shared" si="786"/>
        <v>827.58620689655174</v>
      </c>
      <c r="AC300" s="4">
        <v>120</v>
      </c>
      <c r="AD300" s="4">
        <f t="shared" si="899"/>
        <v>1.1281282791225913</v>
      </c>
      <c r="AE300" s="38"/>
      <c r="AF300" s="38"/>
      <c r="AG300" s="39">
        <v>1</v>
      </c>
      <c r="AH300" s="39"/>
      <c r="AI300" s="39"/>
      <c r="AJ300" s="7"/>
      <c r="AK300" s="4">
        <f t="shared" si="755"/>
        <v>365.25200000000001</v>
      </c>
      <c r="AL300" s="4">
        <f t="shared" si="910"/>
        <v>0.40101993509503947</v>
      </c>
      <c r="AM300" s="4">
        <f t="shared" si="911"/>
        <v>403.26988090113554</v>
      </c>
      <c r="AN300" s="4">
        <f t="shared" si="912"/>
        <v>0.74381084840055633</v>
      </c>
      <c r="AO300" s="4">
        <v>1.25</v>
      </c>
      <c r="AP300" s="4">
        <f t="shared" si="844"/>
        <v>2.5</v>
      </c>
      <c r="AQ300" s="38">
        <f t="shared" si="723"/>
        <v>375.90169085254001</v>
      </c>
      <c r="AR300" s="38">
        <f t="shared" si="913"/>
        <v>375.90169085254001</v>
      </c>
      <c r="AS300" s="38">
        <f t="shared" si="914"/>
        <v>3.1655330029957871</v>
      </c>
      <c r="AT300" s="38">
        <f t="shared" si="853"/>
        <v>375.90169085254018</v>
      </c>
      <c r="AU300" s="38">
        <f t="shared" si="820"/>
        <v>0.99999999999999956</v>
      </c>
      <c r="AV300" s="38">
        <f t="shared" si="715"/>
        <v>1.7329073864332836</v>
      </c>
      <c r="AW300" s="4">
        <f t="shared" si="707"/>
        <v>0</v>
      </c>
      <c r="AX300" s="4">
        <f t="shared" si="756"/>
        <v>443.0976822581481</v>
      </c>
      <c r="AY300" s="4">
        <f t="shared" si="724"/>
        <v>1</v>
      </c>
      <c r="AZ300" s="38">
        <f t="shared" si="837"/>
        <v>651.40281665112752</v>
      </c>
      <c r="BA300" s="4">
        <f t="shared" si="725"/>
        <v>0.3</v>
      </c>
      <c r="BB300" s="4">
        <f t="shared" si="726"/>
        <v>69.455561693964711</v>
      </c>
      <c r="BC300" s="4">
        <f t="shared" si="727"/>
        <v>720.85837834509221</v>
      </c>
      <c r="BE300" s="4">
        <f t="shared" si="854"/>
        <v>1.4124999999999999</v>
      </c>
      <c r="BF300" s="4">
        <f t="shared" si="860"/>
        <v>604.83596261591583</v>
      </c>
      <c r="BH300" s="4">
        <f t="shared" si="861"/>
        <v>624.77496254199968</v>
      </c>
      <c r="BI300" s="4">
        <f t="shared" si="806"/>
        <v>0</v>
      </c>
      <c r="BJ300" s="4">
        <f t="shared" si="862"/>
        <v>0</v>
      </c>
      <c r="BR300" s="4">
        <f t="shared" si="728"/>
        <v>67.309999999999988</v>
      </c>
      <c r="BV300" s="9"/>
      <c r="BX300" s="9"/>
      <c r="BY300" s="9"/>
      <c r="BZ300" s="9">
        <f t="shared" si="729"/>
        <v>67.309999999999988</v>
      </c>
      <c r="CA300" s="9">
        <f t="shared" si="730"/>
        <v>127.00000000000001</v>
      </c>
      <c r="CB300" s="9">
        <f t="shared" si="821"/>
        <v>1.7905298128039189</v>
      </c>
      <c r="CC300" s="40">
        <f t="shared" si="757"/>
        <v>0</v>
      </c>
      <c r="CD300" s="9">
        <f t="shared" si="731"/>
        <v>0</v>
      </c>
      <c r="CE300" s="9">
        <f t="shared" si="732"/>
        <v>0</v>
      </c>
      <c r="CF300" s="9">
        <f t="shared" si="733"/>
        <v>0.99524931562137331</v>
      </c>
      <c r="CG300" s="9">
        <f t="shared" si="734"/>
        <v>0.68048275862068963</v>
      </c>
      <c r="CH300" s="9">
        <f t="shared" si="822"/>
        <v>1.3877500485016585</v>
      </c>
      <c r="CI300" s="9">
        <f t="shared" si="823"/>
        <v>2.4848078345623041</v>
      </c>
      <c r="CJ300" s="40">
        <v>1</v>
      </c>
      <c r="CK300" s="9">
        <f t="shared" si="824"/>
        <v>292.01461671776201</v>
      </c>
      <c r="CM300" s="4">
        <f t="shared" si="735"/>
        <v>1.8677285845390659</v>
      </c>
      <c r="CN300" s="4">
        <f t="shared" si="736"/>
        <v>1.1480565833145751</v>
      </c>
      <c r="CO300" s="4">
        <f t="shared" si="708"/>
        <v>1.3682820765439294</v>
      </c>
      <c r="CP300" s="4">
        <f t="shared" si="737"/>
        <v>2.8340574735559572</v>
      </c>
      <c r="CQ300" s="4">
        <f t="shared" si="921"/>
        <v>1.1281282791225913</v>
      </c>
      <c r="CR300" s="4">
        <f t="shared" si="922"/>
        <v>1.1851863092498804</v>
      </c>
      <c r="CS300" s="4">
        <f t="shared" si="709"/>
        <v>1.1926541092551828</v>
      </c>
      <c r="CT300" s="4">
        <f t="shared" si="758"/>
        <v>0</v>
      </c>
      <c r="CU300" s="4">
        <f t="shared" si="925"/>
        <v>1.8677285845390659</v>
      </c>
      <c r="CV300" s="4">
        <f t="shared" si="925"/>
        <v>1.1480565833145751</v>
      </c>
      <c r="CW300" s="4">
        <f t="shared" si="926"/>
        <v>2.8340574735559572</v>
      </c>
      <c r="CX300" s="4">
        <f t="shared" si="927"/>
        <v>1.1926541092551828</v>
      </c>
      <c r="CY300" s="4">
        <f t="shared" si="928"/>
        <v>1.1281282791225913</v>
      </c>
      <c r="CZ300" s="4">
        <f t="shared" si="928"/>
        <v>1.1851863092498804</v>
      </c>
      <c r="DI300" s="4">
        <f t="shared" si="742"/>
        <v>365.25200000000001</v>
      </c>
      <c r="DL300" s="4">
        <f t="shared" si="900"/>
        <v>2.6459793328600653E-5</v>
      </c>
      <c r="DM300" s="4">
        <f t="shared" si="769"/>
        <v>7.5300553589211061</v>
      </c>
      <c r="DN300" s="4">
        <f t="shared" si="901"/>
        <v>0.37853477275297237</v>
      </c>
      <c r="DO300" s="4">
        <f t="shared" si="902"/>
        <v>5.1055258715715546</v>
      </c>
      <c r="DP300" s="4">
        <f t="shared" si="903"/>
        <v>6.4334553222331889</v>
      </c>
      <c r="DQ300" s="4">
        <f t="shared" si="904"/>
        <v>6.74772177292507</v>
      </c>
      <c r="DR300" s="38">
        <f t="shared" si="915"/>
        <v>733.59228929196956</v>
      </c>
      <c r="DS300" s="4">
        <f t="shared" si="829"/>
        <v>1.0001109883692636</v>
      </c>
      <c r="DT300" s="4">
        <f t="shared" si="905"/>
        <v>3.1780497164141401</v>
      </c>
      <c r="DU300" s="4">
        <f t="shared" si="842"/>
        <v>375.90169085254018</v>
      </c>
      <c r="DY300" s="4">
        <f t="shared" si="785"/>
        <v>0.85</v>
      </c>
      <c r="DZ300" s="4">
        <f t="shared" si="830"/>
        <v>0.83499999999999996</v>
      </c>
      <c r="EA300" s="4">
        <f t="shared" si="916"/>
        <v>1</v>
      </c>
      <c r="EB300" s="4">
        <f t="shared" si="831"/>
        <v>0.83499999999999996</v>
      </c>
      <c r="ED300" s="4">
        <f t="shared" si="917"/>
        <v>698.27519980410648</v>
      </c>
      <c r="EE300" s="25">
        <f t="shared" si="918"/>
        <v>373.42861162024997</v>
      </c>
      <c r="EG300" s="4">
        <f t="shared" si="843"/>
        <v>0.70974999999999999</v>
      </c>
      <c r="EH300" s="4">
        <f t="shared" si="919"/>
        <v>7.5300553589211061</v>
      </c>
      <c r="EK300" s="4">
        <f t="shared" si="906"/>
        <v>80.72246279691916</v>
      </c>
      <c r="EL300" s="4">
        <f t="shared" si="907"/>
        <v>3.1780497164141406</v>
      </c>
      <c r="EM300" s="4">
        <f t="shared" si="908"/>
        <v>0.12118119733241386</v>
      </c>
      <c r="EP300" s="4">
        <f t="shared" si="759"/>
        <v>0.12118119733241386</v>
      </c>
      <c r="EQ300" s="4">
        <f t="shared" si="721"/>
        <v>0.37790306876653901</v>
      </c>
      <c r="ER300" s="4">
        <f t="shared" si="770"/>
        <v>5.1021160953663882</v>
      </c>
      <c r="ES300" s="4">
        <f t="shared" si="743"/>
        <v>6.4321051546142112</v>
      </c>
      <c r="ET300" s="4">
        <f t="shared" si="771"/>
        <v>193.21653720308086</v>
      </c>
      <c r="EU300" s="4">
        <f t="shared" si="772"/>
        <v>91.312999999999988</v>
      </c>
      <c r="EV300" s="4">
        <f t="shared" si="832"/>
        <v>2.6459793328600646E-5</v>
      </c>
      <c r="EW300" s="4">
        <f t="shared" si="744"/>
        <v>6.7479315927314953</v>
      </c>
      <c r="EX300" s="4">
        <f t="shared" si="867"/>
        <v>733.51087811577031</v>
      </c>
      <c r="FA300" s="4">
        <f>5.25*25.4</f>
        <v>133.35</v>
      </c>
      <c r="FG300" s="23">
        <f t="shared" si="778"/>
        <v>2</v>
      </c>
      <c r="FH300" s="23">
        <f t="shared" si="778"/>
        <v>1.2</v>
      </c>
      <c r="FI300" s="23">
        <f t="shared" si="712"/>
        <v>1.2</v>
      </c>
      <c r="FJ300" s="23">
        <f t="shared" si="779"/>
        <v>2.2000000000000002</v>
      </c>
      <c r="FK300" s="23">
        <f t="shared" si="779"/>
        <v>1.2</v>
      </c>
      <c r="FL300" s="23">
        <f t="shared" si="779"/>
        <v>1.2</v>
      </c>
      <c r="FM300" s="23">
        <f t="shared" si="923"/>
        <v>0</v>
      </c>
      <c r="FN300" s="23"/>
      <c r="FX300" s="4">
        <f t="shared" si="833"/>
        <v>1</v>
      </c>
      <c r="FY300" s="4">
        <f t="shared" si="890"/>
        <v>0.5</v>
      </c>
      <c r="FZ300" s="4">
        <f t="shared" si="834"/>
        <v>0</v>
      </c>
      <c r="GA300" s="4">
        <f t="shared" si="835"/>
        <v>693.90295180669159</v>
      </c>
    </row>
    <row r="301" spans="1:183" ht="12" customHeight="1" x14ac:dyDescent="0.3">
      <c r="A301" s="25">
        <v>283</v>
      </c>
      <c r="B301" s="4" t="s">
        <v>605</v>
      </c>
      <c r="C301" s="4">
        <v>2016</v>
      </c>
      <c r="D301" s="4" t="s">
        <v>309</v>
      </c>
      <c r="E301" s="24" t="s">
        <v>667</v>
      </c>
      <c r="F301" s="7" t="s">
        <v>442</v>
      </c>
      <c r="G301" s="38">
        <f>120/0.145</f>
        <v>827.58620689655174</v>
      </c>
      <c r="H301" s="38">
        <f>14.38*25.4</f>
        <v>365.25200000000001</v>
      </c>
      <c r="I301" s="4">
        <f t="shared" si="746"/>
        <v>365.25200000000001</v>
      </c>
      <c r="J301" s="38">
        <f>5420/145</f>
        <v>37.379310344827587</v>
      </c>
      <c r="K301" s="38">
        <f t="shared" si="747"/>
        <v>25.4</v>
      </c>
      <c r="L301" s="7">
        <f t="shared" si="748"/>
        <v>14.38</v>
      </c>
      <c r="M301" s="7">
        <f t="shared" si="749"/>
        <v>14.38</v>
      </c>
      <c r="N301" s="38">
        <f>17.1*25.4</f>
        <v>434.34000000000003</v>
      </c>
      <c r="O301" s="38">
        <f>2.55*25.4</f>
        <v>64.77</v>
      </c>
      <c r="P301" s="39">
        <f>3.35*25.4</f>
        <v>85.09</v>
      </c>
      <c r="Q301" s="7">
        <f t="shared" si="750"/>
        <v>254.00000000000003</v>
      </c>
      <c r="R301" s="38">
        <v>2</v>
      </c>
      <c r="S301" s="4">
        <f t="shared" si="722"/>
        <v>260.34999999999997</v>
      </c>
      <c r="T301" s="7">
        <f t="shared" si="751"/>
        <v>3.05</v>
      </c>
      <c r="U301" s="7">
        <f t="shared" si="859"/>
        <v>3.05</v>
      </c>
      <c r="V301" s="38">
        <v>9.5</v>
      </c>
      <c r="W301" s="4">
        <f t="shared" si="752"/>
        <v>9.5</v>
      </c>
      <c r="X301" s="4">
        <f t="shared" si="753"/>
        <v>10.5</v>
      </c>
      <c r="Y301" s="7">
        <f t="shared" si="754"/>
        <v>82.305406869779816</v>
      </c>
      <c r="AB301" s="38">
        <f t="shared" si="786"/>
        <v>1056.5517241379309</v>
      </c>
      <c r="AC301" s="4">
        <v>153.19999999999999</v>
      </c>
      <c r="AD301" s="4">
        <f t="shared" si="899"/>
        <v>1.3411331667214759</v>
      </c>
      <c r="AE301" s="38">
        <f>0.375*25.4</f>
        <v>9.5249999999999986</v>
      </c>
      <c r="AF301" s="38">
        <v>10</v>
      </c>
      <c r="AG301" s="39">
        <f t="shared" ref="AG301:AG302" si="929">3*25.4</f>
        <v>76.199999999999989</v>
      </c>
      <c r="AH301" s="39">
        <v>3</v>
      </c>
      <c r="AI301" s="39">
        <v>2</v>
      </c>
      <c r="AJ301" s="7"/>
      <c r="AK301" s="4">
        <f t="shared" si="755"/>
        <v>365.25200000000001</v>
      </c>
      <c r="AL301" s="4">
        <f t="shared" si="910"/>
        <v>0.39638386648122398</v>
      </c>
      <c r="AM301" s="4">
        <f t="shared" si="911"/>
        <v>421.13102356726256</v>
      </c>
      <c r="AN301" s="4">
        <f t="shared" si="912"/>
        <v>0.74242002781641159</v>
      </c>
      <c r="AO301" s="4">
        <v>1.25</v>
      </c>
      <c r="AP301" s="4">
        <f t="shared" si="844"/>
        <v>2.5</v>
      </c>
      <c r="AQ301" s="38">
        <f t="shared" si="723"/>
        <v>387.28698833397465</v>
      </c>
      <c r="AR301" s="38">
        <f t="shared" si="913"/>
        <v>387.28698833397465</v>
      </c>
      <c r="AS301" s="38">
        <f t="shared" si="914"/>
        <v>3.3538382302464851</v>
      </c>
      <c r="AT301" s="38">
        <f t="shared" si="853"/>
        <v>387.2869883339747</v>
      </c>
      <c r="AU301" s="38">
        <f t="shared" si="820"/>
        <v>0.99999999999999989</v>
      </c>
      <c r="AV301" s="38">
        <f t="shared" si="715"/>
        <v>1.8146380609421366</v>
      </c>
      <c r="AW301" s="4">
        <f t="shared" si="707"/>
        <v>0</v>
      </c>
      <c r="AX301" s="4">
        <f t="shared" si="756"/>
        <v>462.72282981481186</v>
      </c>
      <c r="AY301" s="4">
        <f t="shared" si="724"/>
        <v>1</v>
      </c>
      <c r="AZ301" s="38">
        <f t="shared" si="837"/>
        <v>702.78570953848373</v>
      </c>
      <c r="BA301" s="4">
        <f t="shared" si="725"/>
        <v>0.3</v>
      </c>
      <c r="BB301" s="4">
        <f t="shared" si="726"/>
        <v>72.531803573471763</v>
      </c>
      <c r="BC301" s="4">
        <f t="shared" si="727"/>
        <v>775.31751311195546</v>
      </c>
      <c r="BE301" s="4">
        <f t="shared" si="854"/>
        <v>1.5</v>
      </c>
      <c r="BF301" s="4">
        <f t="shared" si="860"/>
        <v>670.75181607835691</v>
      </c>
      <c r="BH301" s="4">
        <f t="shared" si="861"/>
        <v>674.05744053931357</v>
      </c>
      <c r="BI301" s="4">
        <f t="shared" si="806"/>
        <v>0</v>
      </c>
      <c r="BJ301" s="4">
        <f t="shared" si="862"/>
        <v>0</v>
      </c>
      <c r="BR301" s="4">
        <f t="shared" si="728"/>
        <v>64.77</v>
      </c>
      <c r="BV301" s="9"/>
      <c r="BX301" s="9"/>
      <c r="BY301" s="9"/>
      <c r="BZ301" s="9">
        <f t="shared" si="729"/>
        <v>64.77</v>
      </c>
      <c r="CA301" s="9">
        <f t="shared" si="730"/>
        <v>127.00000000000001</v>
      </c>
      <c r="CB301" s="9">
        <f t="shared" si="821"/>
        <v>1.7665851027593089</v>
      </c>
      <c r="CC301" s="40">
        <f t="shared" si="757"/>
        <v>20</v>
      </c>
      <c r="CD301" s="9">
        <f t="shared" si="731"/>
        <v>0.05</v>
      </c>
      <c r="CE301" s="9">
        <f t="shared" si="732"/>
        <v>0.8</v>
      </c>
      <c r="CF301" s="9">
        <f t="shared" si="733"/>
        <v>0.99524931562137331</v>
      </c>
      <c r="CG301" s="9">
        <f t="shared" si="734"/>
        <v>0.68</v>
      </c>
      <c r="CH301" s="9">
        <f t="shared" si="822"/>
        <v>1.4481864738410275</v>
      </c>
      <c r="CI301" s="9">
        <f t="shared" si="823"/>
        <v>3.6204661846025687</v>
      </c>
      <c r="CJ301" s="40">
        <v>1</v>
      </c>
      <c r="CK301" s="9">
        <f t="shared" si="824"/>
        <v>425.4771860144939</v>
      </c>
      <c r="CM301" s="4">
        <f t="shared" si="735"/>
        <v>2.2833360622400622</v>
      </c>
      <c r="CN301" s="4">
        <f t="shared" si="736"/>
        <v>1.3627342427712779</v>
      </c>
      <c r="CO301" s="4">
        <f t="shared" si="708"/>
        <v>1.5751753462483433</v>
      </c>
      <c r="CP301" s="4">
        <f t="shared" si="737"/>
        <v>2.4832159252410291</v>
      </c>
      <c r="CQ301" s="4">
        <f t="shared" si="921"/>
        <v>1.3411331667214759</v>
      </c>
      <c r="CR301" s="4">
        <f t="shared" si="922"/>
        <v>1.4000927741086981</v>
      </c>
      <c r="CS301" s="4">
        <f t="shared" si="709"/>
        <v>1.3111850107642649</v>
      </c>
      <c r="CT301" s="4">
        <f t="shared" si="758"/>
        <v>10</v>
      </c>
      <c r="DA301" s="4">
        <f t="shared" ref="DA301:DB302" si="930">CM301</f>
        <v>2.2833360622400622</v>
      </c>
      <c r="DB301" s="4">
        <f t="shared" si="930"/>
        <v>1.3627342427712779</v>
      </c>
      <c r="DC301" s="4">
        <f t="shared" ref="DC301:DC302" si="931">CP301</f>
        <v>2.4832159252410291</v>
      </c>
      <c r="DD301" s="4">
        <f t="shared" ref="DD301:DD302" si="932">CS301</f>
        <v>1.3111850107642649</v>
      </c>
      <c r="DE301" s="4">
        <f t="shared" ref="DE301:DF302" si="933">CQ301</f>
        <v>1.3411331667214759</v>
      </c>
      <c r="DF301" s="4">
        <f t="shared" si="933"/>
        <v>1.4000927741086981</v>
      </c>
      <c r="DI301" s="4">
        <f t="shared" si="742"/>
        <v>365.25200000000001</v>
      </c>
      <c r="DL301" s="4">
        <f t="shared" si="900"/>
        <v>2.702479300338717E-5</v>
      </c>
      <c r="DM301" s="4">
        <f t="shared" si="769"/>
        <v>8.5743531134837028</v>
      </c>
      <c r="DN301" s="4">
        <f t="shared" si="901"/>
        <v>0.34927963094937564</v>
      </c>
      <c r="DO301" s="4">
        <f t="shared" si="902"/>
        <v>5.6295109559776204</v>
      </c>
      <c r="DP301" s="4">
        <f t="shared" si="903"/>
        <v>7.253587077871102</v>
      </c>
      <c r="DQ301" s="4">
        <f t="shared" si="904"/>
        <v>7.5555583110769451</v>
      </c>
      <c r="DR301" s="38">
        <f t="shared" si="915"/>
        <v>787.80523094568559</v>
      </c>
      <c r="DS301" s="4">
        <f t="shared" si="829"/>
        <v>1.0001127390428277</v>
      </c>
      <c r="DT301" s="4">
        <f t="shared" si="905"/>
        <v>3.2403703492039297</v>
      </c>
      <c r="DU301" s="4">
        <f t="shared" si="842"/>
        <v>387.2869883339747</v>
      </c>
      <c r="DY301" s="4">
        <f t="shared" si="785"/>
        <v>0.85</v>
      </c>
      <c r="DZ301" s="4">
        <f t="shared" si="830"/>
        <v>0.84499999999999997</v>
      </c>
      <c r="EA301" s="4">
        <f t="shared" si="916"/>
        <v>0.90625</v>
      </c>
      <c r="EB301" s="4">
        <f t="shared" si="831"/>
        <v>0.76578124999999997</v>
      </c>
      <c r="ED301" s="4">
        <f t="shared" si="917"/>
        <v>754.62979573659595</v>
      </c>
      <c r="EE301" s="25">
        <f t="shared" si="918"/>
        <v>384.732202420909</v>
      </c>
      <c r="EG301" s="4">
        <f t="shared" si="843"/>
        <v>0.65091406249999995</v>
      </c>
      <c r="EH301" s="4">
        <f t="shared" si="919"/>
        <v>8.5743531134837028</v>
      </c>
      <c r="EK301" s="4">
        <f t="shared" si="906"/>
        <v>82.305406869779816</v>
      </c>
      <c r="EL301" s="4">
        <f t="shared" si="907"/>
        <v>3.2403703492039302</v>
      </c>
      <c r="EM301" s="4">
        <f t="shared" si="908"/>
        <v>0.11676808747639772</v>
      </c>
      <c r="EP301" s="4">
        <f t="shared" si="759"/>
        <v>0.11676808747639772</v>
      </c>
      <c r="EQ301" s="4">
        <f t="shared" si="721"/>
        <v>0.34869674834219516</v>
      </c>
      <c r="ER301" s="4">
        <f t="shared" si="770"/>
        <v>5.6257512311251228</v>
      </c>
      <c r="ES301" s="4">
        <f t="shared" si="743"/>
        <v>7.2521319319342803</v>
      </c>
      <c r="ET301" s="4">
        <f t="shared" si="771"/>
        <v>191.63359313022022</v>
      </c>
      <c r="EU301" s="4">
        <f t="shared" si="772"/>
        <v>91.312999999999988</v>
      </c>
      <c r="EV301" s="4">
        <f t="shared" si="832"/>
        <v>2.7024793003387166E-5</v>
      </c>
      <c r="EW301" s="4">
        <f t="shared" si="744"/>
        <v>7.5558253038957233</v>
      </c>
      <c r="EX301" s="4">
        <f t="shared" si="867"/>
        <v>787.71642454996208</v>
      </c>
      <c r="FG301" s="23">
        <f t="shared" si="778"/>
        <v>2.2000000000000002</v>
      </c>
      <c r="FH301" s="23">
        <f t="shared" si="778"/>
        <v>1.4</v>
      </c>
      <c r="FI301" s="23">
        <f t="shared" si="712"/>
        <v>1.4</v>
      </c>
      <c r="FJ301" s="23">
        <f t="shared" si="779"/>
        <v>2.2000000000000002</v>
      </c>
      <c r="FK301" s="23">
        <f t="shared" si="779"/>
        <v>1.4</v>
      </c>
      <c r="FL301" s="23">
        <f t="shared" si="779"/>
        <v>1.6</v>
      </c>
      <c r="FM301" s="23">
        <f t="shared" si="923"/>
        <v>0</v>
      </c>
      <c r="FN301" s="23"/>
      <c r="FX301" s="4">
        <f t="shared" si="833"/>
        <v>1</v>
      </c>
      <c r="FY301" s="4">
        <f t="shared" si="890"/>
        <v>0.44</v>
      </c>
      <c r="FZ301" s="4">
        <f t="shared" si="834"/>
        <v>0.3</v>
      </c>
      <c r="GA301" s="4">
        <f t="shared" si="835"/>
        <v>805.7991171833844</v>
      </c>
    </row>
    <row r="302" spans="1:183" ht="12" customHeight="1" x14ac:dyDescent="0.3">
      <c r="A302" s="25">
        <v>284</v>
      </c>
      <c r="B302" s="4" t="s">
        <v>605</v>
      </c>
      <c r="C302" s="4">
        <v>2016</v>
      </c>
      <c r="D302" s="4" t="s">
        <v>309</v>
      </c>
      <c r="E302" s="24" t="s">
        <v>667</v>
      </c>
      <c r="F302" s="48" t="s">
        <v>443</v>
      </c>
      <c r="G302" s="38">
        <f>115.9/0.145</f>
        <v>799.31034482758628</v>
      </c>
      <c r="H302" s="38">
        <f>14.09*25.4</f>
        <v>357.88599999999997</v>
      </c>
      <c r="I302" s="4">
        <f t="shared" si="746"/>
        <v>357.88599999999997</v>
      </c>
      <c r="J302" s="38">
        <f>4970/145</f>
        <v>34.275862068965516</v>
      </c>
      <c r="K302" s="38">
        <f t="shared" si="747"/>
        <v>25.4</v>
      </c>
      <c r="L302" s="7">
        <f t="shared" si="748"/>
        <v>14.09</v>
      </c>
      <c r="M302" s="7">
        <f t="shared" si="749"/>
        <v>14.09</v>
      </c>
      <c r="N302" s="38">
        <f>17*25.4</f>
        <v>431.79999999999995</v>
      </c>
      <c r="O302" s="38">
        <f>2.5*25.4</f>
        <v>63.5</v>
      </c>
      <c r="P302" s="39">
        <f>3.45*25.4</f>
        <v>87.63</v>
      </c>
      <c r="Q302" s="7">
        <f t="shared" si="750"/>
        <v>253.99999999999994</v>
      </c>
      <c r="R302" s="38">
        <v>2</v>
      </c>
      <c r="S302" s="4">
        <f t="shared" si="722"/>
        <v>260.34999999999997</v>
      </c>
      <c r="T302" s="7">
        <f t="shared" si="751"/>
        <v>3</v>
      </c>
      <c r="U302" s="7">
        <f t="shared" si="859"/>
        <v>3</v>
      </c>
      <c r="V302" s="38">
        <v>9.1</v>
      </c>
      <c r="W302" s="4">
        <f t="shared" si="752"/>
        <v>9.1</v>
      </c>
      <c r="X302" s="4">
        <f t="shared" si="753"/>
        <v>10.1</v>
      </c>
      <c r="Y302" s="7">
        <f t="shared" si="754"/>
        <v>80.72246279691916</v>
      </c>
      <c r="AB302" s="38">
        <f t="shared" si="786"/>
        <v>1040.6896551724139</v>
      </c>
      <c r="AC302" s="4">
        <v>150.9</v>
      </c>
      <c r="AD302" s="4">
        <f t="shared" si="899"/>
        <v>1.4014181325909159</v>
      </c>
      <c r="AE302" s="38">
        <f>0.375*25.4</f>
        <v>9.5249999999999986</v>
      </c>
      <c r="AF302" s="38">
        <v>10</v>
      </c>
      <c r="AG302" s="39">
        <f t="shared" si="929"/>
        <v>76.199999999999989</v>
      </c>
      <c r="AH302" s="39">
        <v>3</v>
      </c>
      <c r="AI302" s="39">
        <v>2</v>
      </c>
      <c r="AJ302" s="7"/>
      <c r="AK302" s="4">
        <f t="shared" si="755"/>
        <v>357.88599999999997</v>
      </c>
      <c r="AL302" s="4">
        <f t="shared" si="910"/>
        <v>0.4021764845043766</v>
      </c>
      <c r="AM302" s="4">
        <f t="shared" si="911"/>
        <v>391.13253936070686</v>
      </c>
      <c r="AN302" s="4">
        <f t="shared" si="912"/>
        <v>0.74258339247693395</v>
      </c>
      <c r="AO302" s="4">
        <v>1.25</v>
      </c>
      <c r="AP302" s="4">
        <f t="shared" si="844"/>
        <v>2.5</v>
      </c>
      <c r="AQ302" s="38">
        <f t="shared" si="723"/>
        <v>365.03614973474515</v>
      </c>
      <c r="AR302" s="38">
        <f t="shared" si="913"/>
        <v>365.03614973474515</v>
      </c>
      <c r="AS302" s="38">
        <f t="shared" si="914"/>
        <v>3.1655330029957871</v>
      </c>
      <c r="AT302" s="38">
        <f t="shared" si="853"/>
        <v>365.03614973474498</v>
      </c>
      <c r="AU302" s="38">
        <f t="shared" si="820"/>
        <v>1.0000000000000004</v>
      </c>
      <c r="AV302" s="38">
        <f t="shared" si="715"/>
        <v>1.6995128711406806</v>
      </c>
      <c r="AW302" s="4">
        <f t="shared" si="707"/>
        <v>0</v>
      </c>
      <c r="AX302" s="4">
        <f t="shared" si="756"/>
        <v>434.16177628771254</v>
      </c>
      <c r="AY302" s="4">
        <f t="shared" si="724"/>
        <v>1</v>
      </c>
      <c r="AZ302" s="38">
        <f t="shared" si="837"/>
        <v>620.38363490583583</v>
      </c>
      <c r="BA302" s="4">
        <f t="shared" si="725"/>
        <v>0.3</v>
      </c>
      <c r="BB302" s="4">
        <f t="shared" si="726"/>
        <v>68.054858433098943</v>
      </c>
      <c r="BC302" s="4">
        <f t="shared" si="727"/>
        <v>688.43849333893479</v>
      </c>
      <c r="BE302" s="4">
        <f t="shared" si="854"/>
        <v>1.5</v>
      </c>
      <c r="BF302" s="4">
        <f t="shared" si="860"/>
        <v>634.66347750952457</v>
      </c>
      <c r="BH302" s="4">
        <f t="shared" si="861"/>
        <v>595.02377384952354</v>
      </c>
      <c r="BI302" s="4">
        <f t="shared" si="806"/>
        <v>0</v>
      </c>
      <c r="BJ302" s="4">
        <f t="shared" si="862"/>
        <v>0</v>
      </c>
      <c r="BR302" s="4">
        <f t="shared" si="728"/>
        <v>63.5</v>
      </c>
      <c r="BV302" s="9"/>
      <c r="BX302" s="9"/>
      <c r="BY302" s="9"/>
      <c r="BZ302" s="9">
        <f t="shared" si="729"/>
        <v>63.5</v>
      </c>
      <c r="CA302" s="9">
        <f t="shared" si="730"/>
        <v>126.99999999999997</v>
      </c>
      <c r="CB302" s="9">
        <f t="shared" si="821"/>
        <v>1.7543833769624846</v>
      </c>
      <c r="CC302" s="40">
        <f t="shared" si="757"/>
        <v>20</v>
      </c>
      <c r="CD302" s="9">
        <f t="shared" si="731"/>
        <v>0.05</v>
      </c>
      <c r="CE302" s="9">
        <f t="shared" si="732"/>
        <v>0.8</v>
      </c>
      <c r="CF302" s="9">
        <f t="shared" si="733"/>
        <v>0.99524931562137331</v>
      </c>
      <c r="CG302" s="9">
        <f t="shared" si="734"/>
        <v>0.68048275862068963</v>
      </c>
      <c r="CH302" s="9">
        <f t="shared" si="822"/>
        <v>1.3877500485016585</v>
      </c>
      <c r="CI302" s="9">
        <f t="shared" si="823"/>
        <v>3.4693751212541462</v>
      </c>
      <c r="CJ302" s="40">
        <v>1</v>
      </c>
      <c r="CK302" s="9">
        <f t="shared" si="824"/>
        <v>403.69648910913247</v>
      </c>
      <c r="CM302" s="47">
        <f t="shared" si="735"/>
        <v>2.3970089307971794</v>
      </c>
      <c r="CN302" s="47">
        <f t="shared" si="736"/>
        <v>1.5116668594823293</v>
      </c>
      <c r="CO302" s="47">
        <f t="shared" si="708"/>
        <v>1.6397503433727931</v>
      </c>
      <c r="CP302" s="47">
        <f t="shared" si="737"/>
        <v>2.5779011788509294</v>
      </c>
      <c r="CQ302" s="47">
        <f t="shared" si="921"/>
        <v>1.4014181325909159</v>
      </c>
      <c r="CR302" s="47">
        <f t="shared" si="922"/>
        <v>1.4707672066107018</v>
      </c>
      <c r="CS302" s="47">
        <f t="shared" si="709"/>
        <v>1.3404573544493805</v>
      </c>
      <c r="CT302" s="4">
        <f t="shared" si="758"/>
        <v>10</v>
      </c>
      <c r="DA302" s="4">
        <f t="shared" si="930"/>
        <v>2.3970089307971794</v>
      </c>
      <c r="DB302" s="4">
        <f t="shared" si="930"/>
        <v>1.5116668594823293</v>
      </c>
      <c r="DC302" s="4">
        <f t="shared" si="931"/>
        <v>2.5779011788509294</v>
      </c>
      <c r="DD302" s="4">
        <f t="shared" si="932"/>
        <v>1.3404573544493805</v>
      </c>
      <c r="DE302" s="4">
        <f t="shared" si="933"/>
        <v>1.4014181325909159</v>
      </c>
      <c r="DF302" s="4">
        <f t="shared" si="933"/>
        <v>1.4707672066107018</v>
      </c>
      <c r="DI302" s="4">
        <f t="shared" si="742"/>
        <v>357.88599999999997</v>
      </c>
      <c r="DL302" s="4">
        <f t="shared" si="900"/>
        <v>2.5926181363003004E-5</v>
      </c>
      <c r="DM302" s="4">
        <f t="shared" si="769"/>
        <v>8.1623967217189435</v>
      </c>
      <c r="DN302" s="4">
        <f t="shared" si="901"/>
        <v>0.3675931216831555</v>
      </c>
      <c r="DO302" s="4">
        <f t="shared" si="902"/>
        <v>5.4697143929160559</v>
      </c>
      <c r="DP302" s="4">
        <f t="shared" si="903"/>
        <v>6.9482475198388309</v>
      </c>
      <c r="DQ302" s="4">
        <f t="shared" si="904"/>
        <v>7.2856190833639527</v>
      </c>
      <c r="DR302" s="38">
        <f t="shared" si="915"/>
        <v>742.59753814402711</v>
      </c>
      <c r="DS302" s="4">
        <f t="shared" si="829"/>
        <v>1.0001152022194493</v>
      </c>
      <c r="DT302" s="4">
        <f t="shared" si="905"/>
        <v>3.1780497164141401</v>
      </c>
      <c r="DU302" s="4">
        <f t="shared" si="842"/>
        <v>365.03614973474498</v>
      </c>
      <c r="DY302" s="4">
        <f t="shared" si="785"/>
        <v>0.85</v>
      </c>
      <c r="DZ302" s="4">
        <f t="shared" si="830"/>
        <v>0.85</v>
      </c>
      <c r="EA302" s="4">
        <f t="shared" si="916"/>
        <v>0.90625</v>
      </c>
      <c r="EB302" s="4">
        <f t="shared" si="831"/>
        <v>0.77031249999999996</v>
      </c>
      <c r="ED302" s="4">
        <f t="shared" si="917"/>
        <v>707.5828523336628</v>
      </c>
      <c r="EE302" s="25">
        <f t="shared" si="918"/>
        <v>362.55834290660306</v>
      </c>
      <c r="EG302" s="4">
        <f t="shared" si="843"/>
        <v>0.65476562499999991</v>
      </c>
      <c r="EH302" s="4">
        <f t="shared" si="919"/>
        <v>8.1623967217189435</v>
      </c>
      <c r="EK302" s="4">
        <f t="shared" si="906"/>
        <v>80.72246279691916</v>
      </c>
      <c r="EL302" s="4">
        <f t="shared" si="907"/>
        <v>3.1780497164141406</v>
      </c>
      <c r="EM302" s="4">
        <f t="shared" si="908"/>
        <v>0.11767842170154946</v>
      </c>
      <c r="EP302" s="4">
        <f t="shared" si="759"/>
        <v>0.11767842170154946</v>
      </c>
      <c r="EQ302" s="4">
        <f t="shared" si="721"/>
        <v>0.36697967727311104</v>
      </c>
      <c r="ER302" s="4">
        <f t="shared" si="770"/>
        <v>5.4660613897866686</v>
      </c>
      <c r="ES302" s="4">
        <f t="shared" si="743"/>
        <v>6.9468129400643628</v>
      </c>
      <c r="ET302" s="4">
        <f t="shared" si="771"/>
        <v>187.69203720308082</v>
      </c>
      <c r="EU302" s="4">
        <f t="shared" si="772"/>
        <v>89.471499999999992</v>
      </c>
      <c r="EV302" s="4">
        <f t="shared" si="832"/>
        <v>2.5926181363003004E-5</v>
      </c>
      <c r="EW302" s="4">
        <f t="shared" si="744"/>
        <v>7.2858534123672989</v>
      </c>
      <c r="EX302" s="4">
        <f t="shared" si="867"/>
        <v>742.51199911376148</v>
      </c>
      <c r="FA302" s="4">
        <f>5.25*25.4</f>
        <v>133.35</v>
      </c>
      <c r="FG302" s="23">
        <f t="shared" si="778"/>
        <v>2.2000000000000002</v>
      </c>
      <c r="FH302" s="23">
        <f t="shared" si="778"/>
        <v>1.6</v>
      </c>
      <c r="FI302" s="23">
        <f t="shared" si="712"/>
        <v>1.4</v>
      </c>
      <c r="FJ302" s="23">
        <f t="shared" si="779"/>
        <v>2.2000000000000002</v>
      </c>
      <c r="FK302" s="23">
        <f t="shared" si="779"/>
        <v>1.6</v>
      </c>
      <c r="FL302" s="23">
        <f t="shared" si="779"/>
        <v>1.6</v>
      </c>
      <c r="FM302" s="23">
        <f t="shared" si="923"/>
        <v>0</v>
      </c>
      <c r="FN302" s="23"/>
      <c r="FX302" s="4">
        <f t="shared" si="833"/>
        <v>1</v>
      </c>
      <c r="FY302" s="4">
        <f t="shared" si="890"/>
        <v>0.43787748058671272</v>
      </c>
      <c r="FZ302" s="4">
        <f t="shared" si="834"/>
        <v>0.3</v>
      </c>
      <c r="GA302" s="4">
        <f t="shared" si="835"/>
        <v>776.36908904117877</v>
      </c>
    </row>
    <row r="303" spans="1:183" ht="12" customHeight="1" x14ac:dyDescent="0.3">
      <c r="A303" s="25">
        <v>285</v>
      </c>
      <c r="B303" s="4" t="s">
        <v>605</v>
      </c>
      <c r="C303" s="4">
        <v>2016</v>
      </c>
      <c r="D303" s="4" t="s">
        <v>309</v>
      </c>
      <c r="E303" s="24" t="s">
        <v>667</v>
      </c>
      <c r="F303" s="7" t="s">
        <v>444</v>
      </c>
      <c r="G303" s="38">
        <f>120/0.145</f>
        <v>827.58620689655174</v>
      </c>
      <c r="H303" s="38">
        <f>14.25*25.4</f>
        <v>361.95</v>
      </c>
      <c r="I303" s="4">
        <f t="shared" si="746"/>
        <v>361.95</v>
      </c>
      <c r="J303" s="38">
        <f>4960/145</f>
        <v>34.206896551724135</v>
      </c>
      <c r="K303" s="38">
        <f t="shared" si="747"/>
        <v>25.4</v>
      </c>
      <c r="L303" s="7">
        <f t="shared" si="748"/>
        <v>14.25</v>
      </c>
      <c r="M303" s="7">
        <f t="shared" si="749"/>
        <v>14.25</v>
      </c>
      <c r="N303" s="38">
        <f>16.9*25.4</f>
        <v>429.25999999999993</v>
      </c>
      <c r="O303" s="38">
        <f>2.45*25.4</f>
        <v>62.230000000000004</v>
      </c>
      <c r="P303" s="39">
        <f>3.4*25.4</f>
        <v>86.36</v>
      </c>
      <c r="Q303" s="7">
        <f t="shared" si="750"/>
        <v>114.29999999999997</v>
      </c>
      <c r="R303" s="38">
        <v>3</v>
      </c>
      <c r="S303" s="4">
        <f t="shared" si="722"/>
        <v>260.34999999999997</v>
      </c>
      <c r="T303" s="7">
        <f t="shared" si="751"/>
        <v>2.7499999999999996</v>
      </c>
      <c r="U303" s="7">
        <f t="shared" si="859"/>
        <v>2.95</v>
      </c>
      <c r="V303" s="38">
        <v>9.5</v>
      </c>
      <c r="W303" s="4">
        <f t="shared" si="752"/>
        <v>9.5</v>
      </c>
      <c r="X303" s="4">
        <f t="shared" si="753"/>
        <v>10.5</v>
      </c>
      <c r="Y303" s="7">
        <f t="shared" si="754"/>
        <v>82.305406869779816</v>
      </c>
      <c r="AB303" s="38">
        <f t="shared" si="786"/>
        <v>640.68965517241384</v>
      </c>
      <c r="AC303" s="4">
        <v>92.9</v>
      </c>
      <c r="AD303" s="4">
        <f t="shared" si="899"/>
        <v>1.1403447227271795</v>
      </c>
      <c r="AE303" s="38"/>
      <c r="AF303" s="38"/>
      <c r="AG303" s="39">
        <v>1</v>
      </c>
      <c r="AH303" s="39"/>
      <c r="AI303" s="39"/>
      <c r="AJ303" s="7"/>
      <c r="AK303" s="4">
        <f t="shared" si="755"/>
        <v>361.95</v>
      </c>
      <c r="AL303" s="4">
        <f t="shared" si="910"/>
        <v>0.39532163742690052</v>
      </c>
      <c r="AM303" s="4">
        <f t="shared" si="911"/>
        <v>264.94220061382879</v>
      </c>
      <c r="AN303" s="4">
        <f t="shared" si="912"/>
        <v>0.74140350877192973</v>
      </c>
      <c r="AO303" s="4">
        <v>1.25</v>
      </c>
      <c r="AP303" s="4">
        <f t="shared" si="844"/>
        <v>2.5</v>
      </c>
      <c r="AQ303" s="38">
        <f t="shared" si="723"/>
        <v>242.66457631218935</v>
      </c>
      <c r="AR303" s="38">
        <f t="shared" si="913"/>
        <v>242.66457631218935</v>
      </c>
      <c r="AS303" s="38">
        <f t="shared" si="914"/>
        <v>3.1612853899839108</v>
      </c>
      <c r="AT303" s="38">
        <f t="shared" si="853"/>
        <v>242.66457631218921</v>
      </c>
      <c r="AU303" s="38">
        <f t="shared" si="820"/>
        <v>1.0000000000000007</v>
      </c>
      <c r="AV303" s="38">
        <f t="shared" si="715"/>
        <v>2.4591528566563099</v>
      </c>
      <c r="AW303" s="4">
        <f t="shared" si="707"/>
        <v>0</v>
      </c>
      <c r="AX303" s="4">
        <f t="shared" si="756"/>
        <v>438.64996649201771</v>
      </c>
      <c r="AY303" s="4">
        <f t="shared" si="724"/>
        <v>1.0290909090909093</v>
      </c>
      <c r="AZ303" s="38">
        <f t="shared" si="837"/>
        <v>596.74928604741319</v>
      </c>
      <c r="BA303" s="4">
        <f t="shared" si="725"/>
        <v>0.3</v>
      </c>
      <c r="BB303" s="4">
        <f t="shared" si="726"/>
        <v>68.758382247623786</v>
      </c>
      <c r="BC303" s="4">
        <f t="shared" si="727"/>
        <v>665.50766829503698</v>
      </c>
      <c r="BE303" s="4">
        <f t="shared" si="854"/>
        <v>1.3625</v>
      </c>
      <c r="BF303" s="4">
        <f t="shared" si="860"/>
        <v>579.7307619650129</v>
      </c>
      <c r="BH303" s="4">
        <f t="shared" si="861"/>
        <v>572.35554300176852</v>
      </c>
      <c r="BI303" s="4">
        <f t="shared" si="806"/>
        <v>0</v>
      </c>
      <c r="BJ303" s="4">
        <f t="shared" si="862"/>
        <v>0</v>
      </c>
      <c r="BR303" s="4">
        <f t="shared" si="728"/>
        <v>57.149999999999984</v>
      </c>
      <c r="BV303" s="9"/>
      <c r="BX303" s="9"/>
      <c r="BY303" s="9"/>
      <c r="BZ303" s="9">
        <f t="shared" si="729"/>
        <v>57.149999999999984</v>
      </c>
      <c r="CA303" s="9">
        <f t="shared" si="730"/>
        <v>62.230000000000004</v>
      </c>
      <c r="CB303" s="9">
        <f t="shared" si="821"/>
        <v>1.5192834046120851</v>
      </c>
      <c r="CC303" s="40">
        <f t="shared" si="757"/>
        <v>0</v>
      </c>
      <c r="CD303" s="9">
        <f t="shared" si="731"/>
        <v>0</v>
      </c>
      <c r="CE303" s="9">
        <f t="shared" si="732"/>
        <v>0</v>
      </c>
      <c r="CF303" s="9">
        <f t="shared" si="733"/>
        <v>0.99524931562137331</v>
      </c>
      <c r="CG303" s="9">
        <f t="shared" si="734"/>
        <v>0.68</v>
      </c>
      <c r="CH303" s="9">
        <f t="shared" si="822"/>
        <v>1.3853696905299668</v>
      </c>
      <c r="CI303" s="9">
        <f t="shared" si="823"/>
        <v>2.1047691800747588</v>
      </c>
      <c r="CJ303" s="40">
        <v>1</v>
      </c>
      <c r="CK303" s="9">
        <f t="shared" si="824"/>
        <v>246.25799406874677</v>
      </c>
      <c r="CM303" s="4">
        <f t="shared" si="735"/>
        <v>1.4605943328712707</v>
      </c>
      <c r="CN303" s="4">
        <f t="shared" si="736"/>
        <v>0.96270814852336062</v>
      </c>
      <c r="CO303" s="4">
        <f t="shared" si="708"/>
        <v>1.1051503511747058</v>
      </c>
      <c r="CP303" s="4">
        <f t="shared" si="737"/>
        <v>2.6017009421166457</v>
      </c>
      <c r="CQ303" s="4">
        <f t="shared" si="921"/>
        <v>1.1403447227271795</v>
      </c>
      <c r="CR303" s="4">
        <f t="shared" si="922"/>
        <v>1.1693024959062237</v>
      </c>
      <c r="CS303" s="4">
        <f t="shared" si="709"/>
        <v>1.6507806323592806</v>
      </c>
      <c r="CT303" s="4">
        <f t="shared" si="758"/>
        <v>0</v>
      </c>
      <c r="CU303" s="4">
        <f t="shared" ref="CU303:CV304" si="934">CM303</f>
        <v>1.4605943328712707</v>
      </c>
      <c r="CV303" s="4">
        <f t="shared" si="934"/>
        <v>0.96270814852336062</v>
      </c>
      <c r="CW303" s="4">
        <f t="shared" ref="CW303:CW304" si="935">CP303</f>
        <v>2.6017009421166457</v>
      </c>
      <c r="CX303" s="4">
        <f t="shared" ref="CX303:CX304" si="936">CS303</f>
        <v>1.6507806323592806</v>
      </c>
      <c r="CY303" s="4">
        <f t="shared" ref="CY303:CZ304" si="937">CQ303</f>
        <v>1.1403447227271795</v>
      </c>
      <c r="CZ303" s="4">
        <f t="shared" si="937"/>
        <v>1.1693024959062237</v>
      </c>
      <c r="DI303" s="4">
        <f t="shared" si="742"/>
        <v>361.95</v>
      </c>
      <c r="DL303" s="4">
        <f t="shared" si="900"/>
        <v>2.6208135918027901E-5</v>
      </c>
      <c r="DM303" s="4">
        <f t="shared" si="769"/>
        <v>7.1785914172642658</v>
      </c>
      <c r="DN303" s="4">
        <f t="shared" si="901"/>
        <v>0.2391466748947412</v>
      </c>
      <c r="DO303" s="4">
        <f t="shared" si="902"/>
        <v>4.0504658421393991</v>
      </c>
      <c r="DP303" s="4">
        <f t="shared" si="903"/>
        <v>5.8298602507377382</v>
      </c>
      <c r="DQ303" s="4">
        <f t="shared" si="904"/>
        <v>6.5270920350110737</v>
      </c>
      <c r="DR303" s="38">
        <f t="shared" si="915"/>
        <v>561.83857600549004</v>
      </c>
      <c r="DS303" s="4">
        <f t="shared" si="829"/>
        <v>1.0001081698258725</v>
      </c>
      <c r="DT303" s="4">
        <f t="shared" si="905"/>
        <v>3.2403703492039297</v>
      </c>
      <c r="DU303" s="4">
        <f t="shared" si="842"/>
        <v>242.66457631218921</v>
      </c>
      <c r="DY303" s="4">
        <f t="shared" si="785"/>
        <v>0.85</v>
      </c>
      <c r="DZ303" s="4">
        <f t="shared" si="830"/>
        <v>0.875</v>
      </c>
      <c r="EA303" s="4">
        <f t="shared" si="916"/>
        <v>1</v>
      </c>
      <c r="EB303" s="4">
        <f t="shared" si="831"/>
        <v>0.875</v>
      </c>
      <c r="ED303" s="4">
        <f t="shared" si="917"/>
        <v>547.92464517564508</v>
      </c>
      <c r="EE303" s="25">
        <f t="shared" si="918"/>
        <v>241.03986208759761</v>
      </c>
      <c r="EG303" s="4">
        <f t="shared" si="843"/>
        <v>0.74375000000000002</v>
      </c>
      <c r="EH303" s="4">
        <f t="shared" si="919"/>
        <v>7.1785914172642658</v>
      </c>
      <c r="EK303" s="4">
        <f t="shared" si="906"/>
        <v>82.305406869779816</v>
      </c>
      <c r="EL303" s="4">
        <f t="shared" si="907"/>
        <v>3.2403703492039302</v>
      </c>
      <c r="EM303" s="4">
        <f t="shared" si="908"/>
        <v>7.6481509216506982E-2</v>
      </c>
      <c r="EP303" s="4">
        <f t="shared" si="759"/>
        <v>7.6481509216506982E-2</v>
      </c>
      <c r="EQ303" s="4">
        <f t="shared" si="721"/>
        <v>0.2387475836652232</v>
      </c>
      <c r="ER303" s="4">
        <f t="shared" si="770"/>
        <v>4.0477606982627874</v>
      </c>
      <c r="ES303" s="4">
        <f t="shared" si="743"/>
        <v>5.828926683373596</v>
      </c>
      <c r="ET303" s="4">
        <f t="shared" si="771"/>
        <v>189.15709313022018</v>
      </c>
      <c r="EU303" s="4">
        <f t="shared" si="772"/>
        <v>90.487500000000011</v>
      </c>
      <c r="EV303" s="4">
        <f t="shared" si="832"/>
        <v>2.6208135918027901E-5</v>
      </c>
      <c r="EW303" s="4">
        <f t="shared" si="744"/>
        <v>6.5272397439999459</v>
      </c>
      <c r="EX303" s="4">
        <f t="shared" si="867"/>
        <v>561.77780859775498</v>
      </c>
      <c r="FG303" s="23">
        <f t="shared" si="778"/>
        <v>1.6</v>
      </c>
      <c r="FH303" s="23">
        <f t="shared" si="778"/>
        <v>1</v>
      </c>
      <c r="FI303" s="23">
        <f t="shared" si="712"/>
        <v>1.8</v>
      </c>
      <c r="FJ303" s="23">
        <f t="shared" si="779"/>
        <v>2.2000000000000002</v>
      </c>
      <c r="FK303" s="23">
        <f t="shared" si="779"/>
        <v>1.2</v>
      </c>
      <c r="FL303" s="23">
        <f t="shared" si="779"/>
        <v>1.2</v>
      </c>
      <c r="FM303" s="23">
        <f t="shared" si="923"/>
        <v>0</v>
      </c>
      <c r="FN303" s="23"/>
      <c r="FX303" s="4">
        <f t="shared" si="833"/>
        <v>1.25</v>
      </c>
      <c r="FY303" s="4">
        <f t="shared" si="890"/>
        <v>0.70833333333333326</v>
      </c>
      <c r="FZ303" s="4">
        <f t="shared" si="834"/>
        <v>0</v>
      </c>
      <c r="GA303" s="4">
        <f t="shared" si="835"/>
        <v>388.11314030062613</v>
      </c>
    </row>
    <row r="304" spans="1:183" ht="12" customHeight="1" x14ac:dyDescent="0.3">
      <c r="A304" s="25">
        <v>286</v>
      </c>
      <c r="B304" s="4" t="s">
        <v>605</v>
      </c>
      <c r="C304" s="4">
        <v>2016</v>
      </c>
      <c r="D304" s="4" t="s">
        <v>309</v>
      </c>
      <c r="E304" s="24" t="s">
        <v>667</v>
      </c>
      <c r="F304" s="48" t="s">
        <v>445</v>
      </c>
      <c r="G304" s="38">
        <f>115.9/0.145</f>
        <v>799.31034482758628</v>
      </c>
      <c r="H304" s="38">
        <f>14.35*25.4</f>
        <v>364.48999999999995</v>
      </c>
      <c r="I304" s="4">
        <f t="shared" si="746"/>
        <v>364.48999999999995</v>
      </c>
      <c r="J304" s="38">
        <f t="shared" ref="J304" si="938">4960/145</f>
        <v>34.206896551724135</v>
      </c>
      <c r="K304" s="38">
        <f t="shared" si="747"/>
        <v>25.4</v>
      </c>
      <c r="L304" s="7">
        <f t="shared" si="748"/>
        <v>14.35</v>
      </c>
      <c r="M304" s="7">
        <f t="shared" si="749"/>
        <v>14.35</v>
      </c>
      <c r="N304" s="38">
        <f t="shared" ref="N304" si="939">16.9*25.4</f>
        <v>429.25999999999993</v>
      </c>
      <c r="O304" s="38">
        <f>2.45*25.4</f>
        <v>62.230000000000004</v>
      </c>
      <c r="P304" s="39">
        <f>3.2*25.4</f>
        <v>81.28</v>
      </c>
      <c r="Q304" s="7">
        <f t="shared" si="750"/>
        <v>114.29999999999997</v>
      </c>
      <c r="R304" s="38">
        <v>3</v>
      </c>
      <c r="S304" s="4">
        <f t="shared" si="722"/>
        <v>260.34999999999997</v>
      </c>
      <c r="T304" s="7">
        <f t="shared" si="751"/>
        <v>2.7499999999999996</v>
      </c>
      <c r="U304" s="7">
        <f t="shared" si="859"/>
        <v>2.95</v>
      </c>
      <c r="V304" s="38">
        <v>9.1</v>
      </c>
      <c r="W304" s="4">
        <f t="shared" si="752"/>
        <v>9.1</v>
      </c>
      <c r="X304" s="4">
        <f t="shared" si="753"/>
        <v>10.1</v>
      </c>
      <c r="Y304" s="7">
        <f t="shared" si="754"/>
        <v>80.72246279691916</v>
      </c>
      <c r="AB304" s="38">
        <f t="shared" si="786"/>
        <v>660.68965517241384</v>
      </c>
      <c r="AC304" s="4">
        <v>95.8</v>
      </c>
      <c r="AD304" s="4">
        <f t="shared" si="899"/>
        <v>1.1667495807153807</v>
      </c>
      <c r="AE304" s="38"/>
      <c r="AF304" s="38"/>
      <c r="AG304" s="39">
        <v>1</v>
      </c>
      <c r="AH304" s="39"/>
      <c r="AI304" s="39"/>
      <c r="AJ304" s="7"/>
      <c r="AK304" s="4">
        <f t="shared" si="755"/>
        <v>364.48999999999995</v>
      </c>
      <c r="AL304" s="4">
        <f t="shared" si="910"/>
        <v>0.39256678281068519</v>
      </c>
      <c r="AM304" s="4">
        <f t="shared" si="911"/>
        <v>267.73595292203152</v>
      </c>
      <c r="AN304" s="4">
        <f t="shared" si="912"/>
        <v>0.74111498257839714</v>
      </c>
      <c r="AO304" s="4">
        <v>1.25</v>
      </c>
      <c r="AP304" s="4">
        <f t="shared" si="844"/>
        <v>2.5</v>
      </c>
      <c r="AQ304" s="38">
        <f t="shared" si="723"/>
        <v>243.41977575810324</v>
      </c>
      <c r="AR304" s="38">
        <f t="shared" si="913"/>
        <v>243.41977575810324</v>
      </c>
      <c r="AS304" s="38">
        <f t="shared" si="914"/>
        <v>3.1612853899839108</v>
      </c>
      <c r="AT304" s="38">
        <f t="shared" si="853"/>
        <v>243.41977575810327</v>
      </c>
      <c r="AU304" s="38">
        <f t="shared" si="820"/>
        <v>0.99999999999999989</v>
      </c>
      <c r="AV304" s="38">
        <f t="shared" si="715"/>
        <v>2.3993573988971941</v>
      </c>
      <c r="AW304" s="4">
        <f t="shared" ref="AW304:AW367" si="940">IF(AV304&lt;1,1,0)</f>
        <v>0</v>
      </c>
      <c r="AX304" s="4">
        <f t="shared" si="756"/>
        <v>441.72821187090909</v>
      </c>
      <c r="AY304" s="4">
        <f t="shared" si="724"/>
        <v>1.0290909090909093</v>
      </c>
      <c r="AZ304" s="38">
        <f t="shared" si="837"/>
        <v>584.05104000310098</v>
      </c>
      <c r="BA304" s="4">
        <f t="shared" si="725"/>
        <v>0.3</v>
      </c>
      <c r="BB304" s="4">
        <f t="shared" si="726"/>
        <v>69.240897210764984</v>
      </c>
      <c r="BC304" s="4">
        <f t="shared" si="727"/>
        <v>653.29193721386594</v>
      </c>
      <c r="BE304" s="4">
        <f t="shared" si="854"/>
        <v>1.3625</v>
      </c>
      <c r="BF304" s="4">
        <f t="shared" si="860"/>
        <v>582.12140428239445</v>
      </c>
      <c r="BH304" s="4">
        <f t="shared" si="861"/>
        <v>560.17637215097193</v>
      </c>
      <c r="BI304" s="4">
        <f t="shared" si="806"/>
        <v>0</v>
      </c>
      <c r="BJ304" s="4">
        <f t="shared" si="862"/>
        <v>0</v>
      </c>
      <c r="BR304" s="4">
        <f t="shared" si="728"/>
        <v>57.149999999999984</v>
      </c>
      <c r="BV304" s="9"/>
      <c r="BX304" s="9"/>
      <c r="BY304" s="9"/>
      <c r="BZ304" s="9">
        <f t="shared" si="729"/>
        <v>57.149999999999984</v>
      </c>
      <c r="CA304" s="9">
        <f t="shared" si="730"/>
        <v>62.230000000000004</v>
      </c>
      <c r="CB304" s="9">
        <f t="shared" si="821"/>
        <v>1.5192834046120851</v>
      </c>
      <c r="CC304" s="40">
        <f t="shared" si="757"/>
        <v>0</v>
      </c>
      <c r="CD304" s="9">
        <f t="shared" si="731"/>
        <v>0</v>
      </c>
      <c r="CE304" s="9">
        <f t="shared" si="732"/>
        <v>0</v>
      </c>
      <c r="CF304" s="9">
        <f t="shared" si="733"/>
        <v>0.99524931562137331</v>
      </c>
      <c r="CG304" s="9">
        <f t="shared" si="734"/>
        <v>0.68048275862068963</v>
      </c>
      <c r="CH304" s="9">
        <f t="shared" si="822"/>
        <v>1.3863532187078278</v>
      </c>
      <c r="CI304" s="9">
        <f t="shared" si="823"/>
        <v>2.1062634381133511</v>
      </c>
      <c r="CJ304" s="40">
        <v>1</v>
      </c>
      <c r="CK304" s="9">
        <f t="shared" si="824"/>
        <v>247.27532763450742</v>
      </c>
      <c r="CM304" s="4">
        <f t="shared" si="735"/>
        <v>1.4956926848165499</v>
      </c>
      <c r="CN304" s="4">
        <f t="shared" si="736"/>
        <v>1.0113237551807197</v>
      </c>
      <c r="CO304" s="4">
        <f t="shared" si="708"/>
        <v>1.1349688403690872</v>
      </c>
      <c r="CP304" s="4">
        <f t="shared" si="737"/>
        <v>2.6718785957852038</v>
      </c>
      <c r="CQ304" s="4">
        <f t="shared" si="921"/>
        <v>1.1667495807153807</v>
      </c>
      <c r="CR304" s="4">
        <f t="shared" si="922"/>
        <v>1.1994142932326093</v>
      </c>
      <c r="CS304" s="4">
        <f t="shared" si="709"/>
        <v>1.6904491962548411</v>
      </c>
      <c r="CT304" s="4">
        <f t="shared" si="758"/>
        <v>0</v>
      </c>
      <c r="CU304" s="4">
        <f t="shared" si="934"/>
        <v>1.4956926848165499</v>
      </c>
      <c r="CV304" s="4">
        <f t="shared" si="934"/>
        <v>1.0113237551807197</v>
      </c>
      <c r="CW304" s="4">
        <f t="shared" si="935"/>
        <v>2.6718785957852038</v>
      </c>
      <c r="CX304" s="4">
        <f t="shared" si="936"/>
        <v>1.6904491962548411</v>
      </c>
      <c r="CY304" s="4">
        <f t="shared" si="937"/>
        <v>1.1667495807153807</v>
      </c>
      <c r="CZ304" s="4">
        <f t="shared" si="937"/>
        <v>1.1994142932326093</v>
      </c>
      <c r="DI304" s="4">
        <f t="shared" si="742"/>
        <v>364.48999999999995</v>
      </c>
      <c r="DL304" s="4">
        <f t="shared" si="900"/>
        <v>2.6392052661312303E-5</v>
      </c>
      <c r="DM304" s="4">
        <f t="shared" si="769"/>
        <v>7.1785914172642658</v>
      </c>
      <c r="DN304" s="4">
        <f t="shared" si="901"/>
        <v>0.24561906376309534</v>
      </c>
      <c r="DO304" s="4">
        <f t="shared" si="902"/>
        <v>4.0939644205144168</v>
      </c>
      <c r="DP304" s="4">
        <f t="shared" si="903"/>
        <v>5.8449398825812473</v>
      </c>
      <c r="DQ304" s="4">
        <f t="shared" si="904"/>
        <v>6.5142498463012739</v>
      </c>
      <c r="DR304" s="38">
        <f t="shared" si="915"/>
        <v>566.26517471497073</v>
      </c>
      <c r="DS304" s="4">
        <f t="shared" si="829"/>
        <v>1.0001085615754768</v>
      </c>
      <c r="DT304" s="4">
        <f t="shared" si="905"/>
        <v>3.1780497164141401</v>
      </c>
      <c r="DU304" s="4">
        <f t="shared" si="842"/>
        <v>243.41977575810327</v>
      </c>
      <c r="DY304" s="4">
        <f t="shared" si="785"/>
        <v>0.85</v>
      </c>
      <c r="DZ304" s="4">
        <f t="shared" si="830"/>
        <v>0.875</v>
      </c>
      <c r="EA304" s="4">
        <f t="shared" si="916"/>
        <v>1</v>
      </c>
      <c r="EB304" s="4">
        <f t="shared" si="831"/>
        <v>0.875</v>
      </c>
      <c r="ED304" s="4">
        <f t="shared" si="917"/>
        <v>550.84357331756632</v>
      </c>
      <c r="EE304" s="25">
        <f t="shared" si="918"/>
        <v>241.80521280433967</v>
      </c>
      <c r="EG304" s="4">
        <f t="shared" si="843"/>
        <v>0.74375000000000002</v>
      </c>
      <c r="EH304" s="4">
        <f t="shared" si="919"/>
        <v>7.1785914172642658</v>
      </c>
      <c r="EK304" s="4">
        <f t="shared" si="906"/>
        <v>80.72246279691916</v>
      </c>
      <c r="EL304" s="4">
        <f t="shared" si="907"/>
        <v>3.1780497164141406</v>
      </c>
      <c r="EM304" s="4">
        <f t="shared" si="908"/>
        <v>7.8551444201409956E-2</v>
      </c>
      <c r="EP304" s="4">
        <f t="shared" si="759"/>
        <v>7.8551444201409956E-2</v>
      </c>
      <c r="EQ304" s="4">
        <f t="shared" si="721"/>
        <v>0.24520917132284534</v>
      </c>
      <c r="ER304" s="4">
        <f t="shared" si="770"/>
        <v>4.0912302256798361</v>
      </c>
      <c r="ES304" s="4">
        <f t="shared" si="743"/>
        <v>5.8439882654616717</v>
      </c>
      <c r="ET304" s="4">
        <f t="shared" si="771"/>
        <v>192.64503720308079</v>
      </c>
      <c r="EU304" s="4">
        <f t="shared" si="772"/>
        <v>91.122500000000002</v>
      </c>
      <c r="EV304" s="4">
        <f t="shared" si="832"/>
        <v>2.6392052661312303E-5</v>
      </c>
      <c r="EW304" s="4">
        <f t="shared" si="744"/>
        <v>6.5144003433715776</v>
      </c>
      <c r="EX304" s="4">
        <f t="shared" si="867"/>
        <v>566.20370674852529</v>
      </c>
      <c r="FA304" s="4">
        <f>5.25*25.4</f>
        <v>133.35</v>
      </c>
      <c r="FG304" s="23">
        <f t="shared" si="778"/>
        <v>1.6</v>
      </c>
      <c r="FH304" s="23">
        <f t="shared" si="778"/>
        <v>1.2</v>
      </c>
      <c r="FI304" s="23">
        <f t="shared" si="712"/>
        <v>1.8</v>
      </c>
      <c r="FJ304" s="23">
        <f t="shared" si="779"/>
        <v>2.2000000000000002</v>
      </c>
      <c r="FK304" s="23">
        <f t="shared" si="779"/>
        <v>1.2</v>
      </c>
      <c r="FL304" s="23">
        <f t="shared" si="779"/>
        <v>1.2</v>
      </c>
      <c r="FM304" s="23">
        <f t="shared" si="923"/>
        <v>0</v>
      </c>
      <c r="FN304" s="23"/>
      <c r="FX304" s="4">
        <f t="shared" si="833"/>
        <v>1.25</v>
      </c>
      <c r="FY304" s="4">
        <f t="shared" si="890"/>
        <v>0.70833333333333326</v>
      </c>
      <c r="FZ304" s="4">
        <f t="shared" si="834"/>
        <v>0</v>
      </c>
      <c r="GA304" s="4">
        <f t="shared" si="835"/>
        <v>390.83674128519186</v>
      </c>
    </row>
    <row r="305" spans="1:183" ht="12" customHeight="1" x14ac:dyDescent="0.3">
      <c r="A305" s="25">
        <v>287</v>
      </c>
      <c r="B305" s="4" t="s">
        <v>605</v>
      </c>
      <c r="C305" s="4">
        <v>2016</v>
      </c>
      <c r="D305" s="4" t="s">
        <v>309</v>
      </c>
      <c r="E305" s="24" t="s">
        <v>667</v>
      </c>
      <c r="F305" s="7" t="s">
        <v>446</v>
      </c>
      <c r="G305" s="38">
        <f>120/0.145</f>
        <v>827.58620689655174</v>
      </c>
      <c r="H305" s="38">
        <f>14.42*25.4</f>
        <v>366.26799999999997</v>
      </c>
      <c r="I305" s="4">
        <f t="shared" si="746"/>
        <v>366.26799999999997</v>
      </c>
      <c r="J305" s="38">
        <f>5370/145</f>
        <v>37.03448275862069</v>
      </c>
      <c r="K305" s="38">
        <f t="shared" si="747"/>
        <v>25.4</v>
      </c>
      <c r="L305" s="7">
        <f t="shared" si="748"/>
        <v>14.42</v>
      </c>
      <c r="M305" s="7">
        <f t="shared" si="749"/>
        <v>14.42</v>
      </c>
      <c r="N305" s="38">
        <f>17.4*25.4</f>
        <v>441.95999999999992</v>
      </c>
      <c r="O305" s="38">
        <f>2.65*25.4</f>
        <v>67.309999999999988</v>
      </c>
      <c r="P305" s="39">
        <f>3.2*25.4</f>
        <v>81.28</v>
      </c>
      <c r="Q305" s="7">
        <f t="shared" si="750"/>
        <v>115.56999999999998</v>
      </c>
      <c r="R305" s="38">
        <v>3</v>
      </c>
      <c r="S305" s="4">
        <f t="shared" si="722"/>
        <v>260.34999999999997</v>
      </c>
      <c r="T305" s="7">
        <f t="shared" si="751"/>
        <v>2.7749999999999999</v>
      </c>
      <c r="U305" s="7">
        <f t="shared" si="859"/>
        <v>3.1499999999999995</v>
      </c>
      <c r="V305" s="38">
        <v>9.5</v>
      </c>
      <c r="W305" s="4">
        <f t="shared" si="752"/>
        <v>9.5</v>
      </c>
      <c r="X305" s="4">
        <f t="shared" si="753"/>
        <v>10.5</v>
      </c>
      <c r="Y305" s="7">
        <f t="shared" si="754"/>
        <v>82.305406869779816</v>
      </c>
      <c r="AB305" s="38">
        <f t="shared" si="786"/>
        <v>825.51724137931046</v>
      </c>
      <c r="AC305" s="4">
        <v>119.7</v>
      </c>
      <c r="AD305" s="4">
        <f t="shared" si="899"/>
        <v>1.3055599870590859</v>
      </c>
      <c r="AE305" s="38">
        <f>0.375*25.4</f>
        <v>9.5249999999999986</v>
      </c>
      <c r="AF305" s="38">
        <v>10</v>
      </c>
      <c r="AG305" s="39">
        <f t="shared" ref="AG305:AG306" si="941">3*25.4</f>
        <v>76.199999999999989</v>
      </c>
      <c r="AH305" s="39">
        <v>3</v>
      </c>
      <c r="AI305" s="39">
        <v>2</v>
      </c>
      <c r="AJ305" s="7"/>
      <c r="AK305" s="4">
        <f t="shared" si="755"/>
        <v>366.26799999999997</v>
      </c>
      <c r="AL305" s="4">
        <f t="shared" si="910"/>
        <v>0.40221914008321769</v>
      </c>
      <c r="AM305" s="4">
        <f t="shared" si="911"/>
        <v>280.62285446564027</v>
      </c>
      <c r="AN305" s="4">
        <f t="shared" si="912"/>
        <v>0.74368932038834945</v>
      </c>
      <c r="AO305" s="4">
        <v>1.25</v>
      </c>
      <c r="AP305" s="4">
        <f t="shared" si="844"/>
        <v>2.5</v>
      </c>
      <c r="AQ305" s="38">
        <f t="shared" si="723"/>
        <v>262.31754411263563</v>
      </c>
      <c r="AR305" s="38">
        <f t="shared" si="913"/>
        <v>262.31754411263563</v>
      </c>
      <c r="AS305" s="38">
        <f t="shared" si="914"/>
        <v>3.3331800748667266</v>
      </c>
      <c r="AT305" s="38">
        <f t="shared" si="853"/>
        <v>262.31754411263586</v>
      </c>
      <c r="AU305" s="38">
        <f t="shared" si="820"/>
        <v>0.99999999999999911</v>
      </c>
      <c r="AV305" s="38">
        <f t="shared" si="715"/>
        <v>2.5456378195386229</v>
      </c>
      <c r="AW305" s="4">
        <f t="shared" si="940"/>
        <v>0</v>
      </c>
      <c r="AX305" s="4">
        <f t="shared" si="756"/>
        <v>461.86473240986345</v>
      </c>
      <c r="AY305" s="4">
        <f t="shared" si="724"/>
        <v>1.0540540540540539</v>
      </c>
      <c r="AZ305" s="38">
        <f t="shared" si="837"/>
        <v>667.76546102161683</v>
      </c>
      <c r="BA305" s="4">
        <f t="shared" si="725"/>
        <v>0.3</v>
      </c>
      <c r="BB305" s="4">
        <f t="shared" si="726"/>
        <v>72.397296805246114</v>
      </c>
      <c r="BC305" s="4">
        <f t="shared" si="727"/>
        <v>740.16275782686296</v>
      </c>
      <c r="BE305" s="4">
        <f t="shared" si="854"/>
        <v>1.5</v>
      </c>
      <c r="BF305" s="4">
        <f t="shared" si="860"/>
        <v>668.74618130782108</v>
      </c>
      <c r="BH305" s="4">
        <f t="shared" si="861"/>
        <v>640.46873951431451</v>
      </c>
      <c r="BI305" s="4">
        <f t="shared" si="806"/>
        <v>0</v>
      </c>
      <c r="BJ305" s="4">
        <f t="shared" si="862"/>
        <v>0</v>
      </c>
      <c r="BR305" s="4">
        <f t="shared" si="728"/>
        <v>57.784999999999989</v>
      </c>
      <c r="BV305" s="9"/>
      <c r="BX305" s="9"/>
      <c r="BY305" s="9"/>
      <c r="BZ305" s="9">
        <f t="shared" si="729"/>
        <v>57.784999999999989</v>
      </c>
      <c r="CA305" s="9">
        <f t="shared" si="730"/>
        <v>67.309999999999988</v>
      </c>
      <c r="CB305" s="9">
        <f t="shared" si="821"/>
        <v>1.5432289842400166</v>
      </c>
      <c r="CC305" s="40">
        <f t="shared" si="757"/>
        <v>20</v>
      </c>
      <c r="CD305" s="9">
        <f t="shared" si="731"/>
        <v>0.05</v>
      </c>
      <c r="CE305" s="9">
        <f t="shared" si="732"/>
        <v>0.8</v>
      </c>
      <c r="CF305" s="9">
        <f t="shared" si="733"/>
        <v>0.99524931562137331</v>
      </c>
      <c r="CG305" s="9">
        <f t="shared" si="734"/>
        <v>0.68</v>
      </c>
      <c r="CH305" s="9">
        <f t="shared" si="822"/>
        <v>1.441491169956336</v>
      </c>
      <c r="CI305" s="9">
        <f t="shared" si="823"/>
        <v>3.3777438899677379</v>
      </c>
      <c r="CJ305" s="40">
        <v>1</v>
      </c>
      <c r="CK305" s="9">
        <f t="shared" si="824"/>
        <v>397.4929009714034</v>
      </c>
      <c r="CM305" s="4">
        <f t="shared" si="735"/>
        <v>1.7873571707283726</v>
      </c>
      <c r="CN305" s="4">
        <f t="shared" si="736"/>
        <v>1.1153185331872824</v>
      </c>
      <c r="CO305" s="4">
        <f t="shared" si="708"/>
        <v>1.2344253536743985</v>
      </c>
      <c r="CP305" s="4">
        <f t="shared" si="737"/>
        <v>2.07681002443538</v>
      </c>
      <c r="CQ305" s="4">
        <f t="shared" si="921"/>
        <v>1.3055599870590859</v>
      </c>
      <c r="CR305" s="4">
        <f t="shared" si="922"/>
        <v>1.3354151143487145</v>
      </c>
      <c r="CS305" s="4">
        <f t="shared" si="709"/>
        <v>1.2857433234217517</v>
      </c>
      <c r="CT305" s="4">
        <f t="shared" si="758"/>
        <v>10</v>
      </c>
      <c r="DA305" s="4">
        <f t="shared" ref="DA305:DB306" si="942">CM305</f>
        <v>1.7873571707283726</v>
      </c>
      <c r="DB305" s="4">
        <f t="shared" si="942"/>
        <v>1.1153185331872824</v>
      </c>
      <c r="DC305" s="4">
        <f t="shared" ref="DC305:DC306" si="943">CP305</f>
        <v>2.07681002443538</v>
      </c>
      <c r="DD305" s="4">
        <f t="shared" ref="DD305:DD306" si="944">CS305</f>
        <v>1.2857433234217517</v>
      </c>
      <c r="DE305" s="4">
        <f t="shared" ref="DE305:DF306" si="945">CQ305</f>
        <v>1.3055599870590859</v>
      </c>
      <c r="DF305" s="4">
        <f t="shared" si="945"/>
        <v>1.3354151143487145</v>
      </c>
      <c r="DI305" s="4">
        <f t="shared" si="742"/>
        <v>366.26799999999997</v>
      </c>
      <c r="DL305" s="4">
        <f t="shared" si="900"/>
        <v>2.7037033836206757E-5</v>
      </c>
      <c r="DM305" s="4">
        <f t="shared" si="769"/>
        <v>8.2657094987768289</v>
      </c>
      <c r="DN305" s="4">
        <f t="shared" si="901"/>
        <v>0.23877711015829453</v>
      </c>
      <c r="DO305" s="4">
        <f t="shared" si="902"/>
        <v>4.6609797326345435</v>
      </c>
      <c r="DP305" s="4">
        <f t="shared" si="903"/>
        <v>6.7117325510641495</v>
      </c>
      <c r="DQ305" s="4">
        <f t="shared" si="904"/>
        <v>7.3663406701590528</v>
      </c>
      <c r="DR305" s="38">
        <f t="shared" si="915"/>
        <v>632.30893222982172</v>
      </c>
      <c r="DS305" s="4">
        <f t="shared" si="829"/>
        <v>1.0001106507304649</v>
      </c>
      <c r="DT305" s="4">
        <f t="shared" si="905"/>
        <v>3.2403703492039297</v>
      </c>
      <c r="DU305" s="4">
        <f t="shared" si="842"/>
        <v>262.31754411263586</v>
      </c>
      <c r="DY305" s="4">
        <f t="shared" si="785"/>
        <v>0.85</v>
      </c>
      <c r="DZ305" s="4">
        <f t="shared" si="830"/>
        <v>0.87250000000000005</v>
      </c>
      <c r="EA305" s="4">
        <f t="shared" si="916"/>
        <v>0.90625</v>
      </c>
      <c r="EB305" s="4">
        <f t="shared" si="831"/>
        <v>0.79070312500000006</v>
      </c>
      <c r="ED305" s="4">
        <f t="shared" si="917"/>
        <v>618.17275580403884</v>
      </c>
      <c r="EE305" s="25">
        <f t="shared" si="918"/>
        <v>260.59816288695316</v>
      </c>
      <c r="EG305" s="4">
        <f t="shared" si="843"/>
        <v>0.67209765625000006</v>
      </c>
      <c r="EH305" s="4">
        <f t="shared" si="919"/>
        <v>8.2657094987768289</v>
      </c>
      <c r="EK305" s="4">
        <f t="shared" si="906"/>
        <v>82.305406869779816</v>
      </c>
      <c r="EL305" s="4">
        <f t="shared" si="907"/>
        <v>3.2403703492039302</v>
      </c>
      <c r="EM305" s="4">
        <f t="shared" si="908"/>
        <v>7.9456805189587323E-2</v>
      </c>
      <c r="EP305" s="4">
        <f t="shared" si="759"/>
        <v>7.9456805189587323E-2</v>
      </c>
      <c r="EQ305" s="4">
        <f t="shared" si="721"/>
        <v>0.23837863566344408</v>
      </c>
      <c r="ER305" s="4">
        <f t="shared" si="770"/>
        <v>4.6578668509873076</v>
      </c>
      <c r="ES305" s="4">
        <f t="shared" si="743"/>
        <v>6.7106587986327391</v>
      </c>
      <c r="ET305" s="4">
        <f t="shared" si="771"/>
        <v>192.39559313022016</v>
      </c>
      <c r="EU305" s="4">
        <f t="shared" si="772"/>
        <v>91.567000000000007</v>
      </c>
      <c r="EV305" s="4">
        <f t="shared" si="832"/>
        <v>2.7037033836206764E-5</v>
      </c>
      <c r="EW305" s="4">
        <f t="shared" si="744"/>
        <v>7.366543372046694</v>
      </c>
      <c r="EX305" s="4">
        <f t="shared" si="867"/>
        <v>632.23897452546214</v>
      </c>
      <c r="FG305" s="23">
        <f t="shared" si="778"/>
        <v>1.8</v>
      </c>
      <c r="FH305" s="23">
        <f t="shared" si="778"/>
        <v>1.2</v>
      </c>
      <c r="FI305" s="23">
        <f t="shared" si="712"/>
        <v>1.4</v>
      </c>
      <c r="FJ305" s="23">
        <f t="shared" si="779"/>
        <v>2.2000000000000002</v>
      </c>
      <c r="FK305" s="23">
        <f t="shared" si="779"/>
        <v>1.4</v>
      </c>
      <c r="FL305" s="23">
        <f t="shared" si="779"/>
        <v>1.4</v>
      </c>
      <c r="FM305" s="23">
        <f t="shared" si="923"/>
        <v>0</v>
      </c>
      <c r="FN305" s="23"/>
      <c r="FX305" s="4">
        <f t="shared" si="833"/>
        <v>1</v>
      </c>
      <c r="FY305" s="4">
        <f t="shared" si="890"/>
        <v>0.55246875000000006</v>
      </c>
      <c r="FZ305" s="4">
        <f t="shared" si="834"/>
        <v>0.28124999999999994</v>
      </c>
      <c r="GA305" s="4">
        <f t="shared" si="835"/>
        <v>642.05446479189914</v>
      </c>
    </row>
    <row r="306" spans="1:183" ht="12" customHeight="1" x14ac:dyDescent="0.3">
      <c r="A306" s="25">
        <v>288</v>
      </c>
      <c r="B306" s="4" t="s">
        <v>605</v>
      </c>
      <c r="C306" s="4">
        <v>2016</v>
      </c>
      <c r="D306" s="4" t="s">
        <v>309</v>
      </c>
      <c r="E306" s="24" t="s">
        <v>667</v>
      </c>
      <c r="F306" s="48" t="s">
        <v>447</v>
      </c>
      <c r="G306" s="38">
        <f>115.9/0.145</f>
        <v>799.31034482758628</v>
      </c>
      <c r="H306" s="38">
        <f>14.27*25.4</f>
        <v>362.45799999999997</v>
      </c>
      <c r="I306" s="4">
        <f t="shared" si="746"/>
        <v>362.45799999999997</v>
      </c>
      <c r="J306" s="38">
        <f>5420/145</f>
        <v>37.379310344827587</v>
      </c>
      <c r="K306" s="38">
        <f t="shared" si="747"/>
        <v>25.4</v>
      </c>
      <c r="L306" s="7">
        <f t="shared" si="748"/>
        <v>14.27</v>
      </c>
      <c r="M306" s="7">
        <f t="shared" si="749"/>
        <v>14.27</v>
      </c>
      <c r="N306" s="38">
        <f>17.3*25.4</f>
        <v>439.42</v>
      </c>
      <c r="O306" s="38">
        <f>2.5*25.4</f>
        <v>63.5</v>
      </c>
      <c r="P306" s="39">
        <f>3.3*25.4</f>
        <v>83.82</v>
      </c>
      <c r="Q306" s="7">
        <f t="shared" si="750"/>
        <v>118.11000000000001</v>
      </c>
      <c r="R306" s="38">
        <v>3</v>
      </c>
      <c r="S306" s="4">
        <f t="shared" si="722"/>
        <v>260.34999999999997</v>
      </c>
      <c r="T306" s="7">
        <f t="shared" si="751"/>
        <v>2.8250000000000002</v>
      </c>
      <c r="U306" s="7">
        <f t="shared" si="859"/>
        <v>3</v>
      </c>
      <c r="V306" s="38">
        <v>9.1</v>
      </c>
      <c r="W306" s="4">
        <f t="shared" si="752"/>
        <v>9.1</v>
      </c>
      <c r="X306" s="4">
        <f t="shared" si="753"/>
        <v>10.1</v>
      </c>
      <c r="Y306" s="7">
        <f t="shared" si="754"/>
        <v>80.72246279691916</v>
      </c>
      <c r="AB306" s="38">
        <f t="shared" si="786"/>
        <v>892.41379310344837</v>
      </c>
      <c r="AC306" s="4">
        <v>129.4</v>
      </c>
      <c r="AD306" s="4">
        <f t="shared" si="899"/>
        <v>1.4151480032461179</v>
      </c>
      <c r="AE306" s="38">
        <f>0.375*25.4</f>
        <v>9.5249999999999986</v>
      </c>
      <c r="AF306" s="38">
        <v>10</v>
      </c>
      <c r="AG306" s="39">
        <f t="shared" si="941"/>
        <v>76.199999999999989</v>
      </c>
      <c r="AH306" s="39">
        <v>3</v>
      </c>
      <c r="AI306" s="39">
        <v>2</v>
      </c>
      <c r="AJ306" s="7"/>
      <c r="AK306" s="4">
        <f t="shared" si="755"/>
        <v>362.45799999999997</v>
      </c>
      <c r="AL306" s="4">
        <f t="shared" si="910"/>
        <v>0.40411118897453868</v>
      </c>
      <c r="AM306" s="4">
        <f t="shared" si="911"/>
        <v>277.53873688530547</v>
      </c>
      <c r="AN306" s="4">
        <f t="shared" si="912"/>
        <v>0.74204625087596354</v>
      </c>
      <c r="AO306" s="4">
        <v>1.25</v>
      </c>
      <c r="AP306" s="4">
        <f t="shared" si="844"/>
        <v>2.5</v>
      </c>
      <c r="AQ306" s="38">
        <f t="shared" si="723"/>
        <v>260.07911555343611</v>
      </c>
      <c r="AR306" s="38">
        <f t="shared" si="913"/>
        <v>260.07911555343611</v>
      </c>
      <c r="AS306" s="38">
        <f t="shared" si="914"/>
        <v>3.3538382302464851</v>
      </c>
      <c r="AT306" s="38">
        <f t="shared" si="853"/>
        <v>260.07911555343571</v>
      </c>
      <c r="AU306" s="38">
        <f t="shared" si="820"/>
        <v>1.0000000000000016</v>
      </c>
      <c r="AV306" s="38">
        <f t="shared" si="715"/>
        <v>2.5102967545027099</v>
      </c>
      <c r="AW306" s="4">
        <f t="shared" si="940"/>
        <v>0</v>
      </c>
      <c r="AX306" s="4">
        <f t="shared" si="756"/>
        <v>459.18322541428131</v>
      </c>
      <c r="AY306" s="4">
        <f t="shared" si="724"/>
        <v>1.0247787610619468</v>
      </c>
      <c r="AZ306" s="38">
        <f t="shared" si="837"/>
        <v>652.87575968772489</v>
      </c>
      <c r="BA306" s="4">
        <f t="shared" si="725"/>
        <v>0.3</v>
      </c>
      <c r="BB306" s="4">
        <f t="shared" si="726"/>
        <v>71.976970583688583</v>
      </c>
      <c r="BC306" s="4">
        <f t="shared" si="727"/>
        <v>724.85273027141352</v>
      </c>
      <c r="BE306" s="4">
        <f t="shared" si="854"/>
        <v>1.5</v>
      </c>
      <c r="BF306" s="4">
        <f t="shared" si="860"/>
        <v>667.72545431590322</v>
      </c>
      <c r="BH306" s="4">
        <f t="shared" si="861"/>
        <v>626.18769504329236</v>
      </c>
      <c r="BI306" s="4">
        <f t="shared" si="806"/>
        <v>0</v>
      </c>
      <c r="BJ306" s="4">
        <f t="shared" si="862"/>
        <v>0</v>
      </c>
      <c r="BR306" s="4">
        <f t="shared" si="728"/>
        <v>59.055000000000007</v>
      </c>
      <c r="BV306" s="9"/>
      <c r="BX306" s="9"/>
      <c r="BY306" s="9"/>
      <c r="BZ306" s="9">
        <f t="shared" si="729"/>
        <v>59.055000000000007</v>
      </c>
      <c r="CA306" s="9">
        <f t="shared" si="730"/>
        <v>63.5</v>
      </c>
      <c r="CB306" s="9">
        <f t="shared" si="821"/>
        <v>1.5414840534203929</v>
      </c>
      <c r="CC306" s="40">
        <f t="shared" si="757"/>
        <v>20</v>
      </c>
      <c r="CD306" s="9">
        <f t="shared" si="731"/>
        <v>0.05</v>
      </c>
      <c r="CE306" s="9">
        <f t="shared" si="732"/>
        <v>0.8</v>
      </c>
      <c r="CF306" s="9">
        <f t="shared" si="733"/>
        <v>0.99524931562137331</v>
      </c>
      <c r="CG306" s="9">
        <f t="shared" si="734"/>
        <v>0.68048275862068963</v>
      </c>
      <c r="CH306" s="9">
        <f t="shared" si="822"/>
        <v>1.4492145981125171</v>
      </c>
      <c r="CI306" s="9">
        <f t="shared" si="823"/>
        <v>3.3933128714645022</v>
      </c>
      <c r="CJ306" s="40">
        <v>1</v>
      </c>
      <c r="CK306" s="9">
        <f t="shared" si="824"/>
        <v>397.28907099106391</v>
      </c>
      <c r="CM306" s="47">
        <f t="shared" si="735"/>
        <v>1.94348082358257</v>
      </c>
      <c r="CN306" s="47">
        <f t="shared" si="736"/>
        <v>1.2311656641884943</v>
      </c>
      <c r="CO306" s="47">
        <f t="shared" si="708"/>
        <v>1.3364980881517277</v>
      </c>
      <c r="CP306" s="47">
        <f t="shared" si="737"/>
        <v>2.2462580983596228</v>
      </c>
      <c r="CQ306" s="47">
        <f t="shared" si="921"/>
        <v>1.4151480032461179</v>
      </c>
      <c r="CR306" s="47">
        <f t="shared" si="922"/>
        <v>1.4489801776685771</v>
      </c>
      <c r="CS306" s="47">
        <f t="shared" si="709"/>
        <v>1.3838059891279431</v>
      </c>
      <c r="CT306" s="4">
        <f t="shared" si="758"/>
        <v>10</v>
      </c>
      <c r="DA306" s="4">
        <f t="shared" si="942"/>
        <v>1.94348082358257</v>
      </c>
      <c r="DB306" s="4">
        <f t="shared" si="942"/>
        <v>1.2311656641884943</v>
      </c>
      <c r="DC306" s="4">
        <f t="shared" si="943"/>
        <v>2.2462580983596228</v>
      </c>
      <c r="DD306" s="4">
        <f t="shared" si="944"/>
        <v>1.3838059891279431</v>
      </c>
      <c r="DE306" s="4">
        <f t="shared" si="945"/>
        <v>1.4151480032461179</v>
      </c>
      <c r="DF306" s="4">
        <f t="shared" si="945"/>
        <v>1.4489801776685771</v>
      </c>
      <c r="DI306" s="4">
        <f t="shared" si="742"/>
        <v>362.45799999999997</v>
      </c>
      <c r="DL306" s="4">
        <f t="shared" si="900"/>
        <v>2.6818066492234688E-5</v>
      </c>
      <c r="DM306" s="4">
        <f t="shared" si="769"/>
        <v>8.3519635514625126</v>
      </c>
      <c r="DN306" s="4">
        <f t="shared" si="901"/>
        <v>0.2401563548629998</v>
      </c>
      <c r="DO306" s="4">
        <f t="shared" si="902"/>
        <v>4.7204806706567792</v>
      </c>
      <c r="DP306" s="4">
        <f t="shared" si="903"/>
        <v>6.785522039015639</v>
      </c>
      <c r="DQ306" s="4">
        <f t="shared" si="904"/>
        <v>7.4491288425213469</v>
      </c>
      <c r="DR306" s="38">
        <f t="shared" si="915"/>
        <v>630.6151660860894</v>
      </c>
      <c r="DS306" s="4">
        <f t="shared" si="829"/>
        <v>1.0001109641222563</v>
      </c>
      <c r="DT306" s="4">
        <f t="shared" si="905"/>
        <v>3.1780497164141401</v>
      </c>
      <c r="DU306" s="4">
        <f t="shared" si="842"/>
        <v>260.07911555343571</v>
      </c>
      <c r="DY306" s="4">
        <f t="shared" si="785"/>
        <v>0.85</v>
      </c>
      <c r="DZ306" s="4">
        <f t="shared" si="830"/>
        <v>0.86749999999999994</v>
      </c>
      <c r="EA306" s="4">
        <f t="shared" si="916"/>
        <v>0.90625</v>
      </c>
      <c r="EB306" s="4">
        <f t="shared" si="831"/>
        <v>0.78617187499999996</v>
      </c>
      <c r="ED306" s="4">
        <f t="shared" si="917"/>
        <v>615.89096031620716</v>
      </c>
      <c r="EE306" s="25">
        <f t="shared" si="918"/>
        <v>258.34340067809694</v>
      </c>
      <c r="EG306" s="4">
        <f t="shared" si="843"/>
        <v>0.66824609374999999</v>
      </c>
      <c r="EH306" s="4">
        <f t="shared" si="919"/>
        <v>8.3519635514625126</v>
      </c>
      <c r="EK306" s="4">
        <f t="shared" si="906"/>
        <v>80.72246279691916</v>
      </c>
      <c r="EL306" s="4">
        <f t="shared" si="907"/>
        <v>3.1780497164141406</v>
      </c>
      <c r="EM306" s="4">
        <f t="shared" si="908"/>
        <v>8.0286955687719583E-2</v>
      </c>
      <c r="EP306" s="4">
        <f t="shared" si="759"/>
        <v>8.0286955687719583E-2</v>
      </c>
      <c r="EQ306" s="4">
        <f t="shared" si="721"/>
        <v>0.2397555786657935</v>
      </c>
      <c r="ER306" s="4">
        <f t="shared" si="770"/>
        <v>4.7173280507166124</v>
      </c>
      <c r="ES306" s="4">
        <f t="shared" si="743"/>
        <v>6.7844325853538408</v>
      </c>
      <c r="ET306" s="4">
        <f t="shared" si="771"/>
        <v>191.12103720308079</v>
      </c>
      <c r="EU306" s="4">
        <f t="shared" si="772"/>
        <v>90.614500000000021</v>
      </c>
      <c r="EV306" s="4">
        <f t="shared" si="832"/>
        <v>2.6818066492234702E-5</v>
      </c>
      <c r="EW306" s="4">
        <f t="shared" si="744"/>
        <v>7.4493319957676505</v>
      </c>
      <c r="EX306" s="4">
        <f t="shared" si="867"/>
        <v>630.54519819162908</v>
      </c>
      <c r="FA306" s="4">
        <f>5.25*25.4</f>
        <v>133.35</v>
      </c>
      <c r="FG306" s="23">
        <f t="shared" si="778"/>
        <v>2</v>
      </c>
      <c r="FH306" s="23">
        <f t="shared" si="778"/>
        <v>1.4</v>
      </c>
      <c r="FI306" s="23">
        <f t="shared" si="712"/>
        <v>1.4</v>
      </c>
      <c r="FJ306" s="23">
        <f t="shared" si="779"/>
        <v>2.2000000000000002</v>
      </c>
      <c r="FK306" s="23">
        <f t="shared" si="779"/>
        <v>1.6</v>
      </c>
      <c r="FL306" s="23">
        <f t="shared" si="779"/>
        <v>1.6</v>
      </c>
      <c r="FM306" s="23">
        <f t="shared" si="923"/>
        <v>0</v>
      </c>
      <c r="FN306" s="23"/>
      <c r="FX306" s="4">
        <f t="shared" si="833"/>
        <v>1</v>
      </c>
      <c r="FY306" s="4">
        <f t="shared" si="890"/>
        <v>0.54557377049180322</v>
      </c>
      <c r="FZ306" s="4">
        <f t="shared" si="834"/>
        <v>0.28124999999999994</v>
      </c>
      <c r="GA306" s="4">
        <f t="shared" si="835"/>
        <v>644.89805660245497</v>
      </c>
    </row>
    <row r="307" spans="1:183" ht="12" customHeight="1" x14ac:dyDescent="0.3">
      <c r="A307" s="25">
        <v>289</v>
      </c>
      <c r="B307" s="4" t="s">
        <v>605</v>
      </c>
      <c r="C307" s="4">
        <v>2016</v>
      </c>
      <c r="D307" s="4" t="s">
        <v>309</v>
      </c>
      <c r="E307" s="24" t="s">
        <v>667</v>
      </c>
      <c r="F307" s="7" t="s">
        <v>448</v>
      </c>
      <c r="G307" s="38">
        <f>120/0.145</f>
        <v>827.58620689655174</v>
      </c>
      <c r="H307" s="38">
        <f>14.3*25.4</f>
        <v>363.21999999999997</v>
      </c>
      <c r="I307" s="4">
        <f t="shared" si="746"/>
        <v>363.21999999999997</v>
      </c>
      <c r="J307" s="38">
        <f>5570/145</f>
        <v>38.413793103448278</v>
      </c>
      <c r="K307" s="38">
        <f t="shared" si="747"/>
        <v>25.4</v>
      </c>
      <c r="L307" s="7">
        <f t="shared" si="748"/>
        <v>14.299999999999999</v>
      </c>
      <c r="M307" s="7">
        <f t="shared" si="749"/>
        <v>14.299999999999999</v>
      </c>
      <c r="N307" s="38">
        <f>17.3*25.4</f>
        <v>439.42</v>
      </c>
      <c r="O307" s="38">
        <f>2.5*25.4</f>
        <v>63.5</v>
      </c>
      <c r="P307" s="39">
        <f>3.4*25.4</f>
        <v>86.36</v>
      </c>
      <c r="Q307" s="7">
        <f t="shared" si="750"/>
        <v>70.273333333333355</v>
      </c>
      <c r="R307" s="38">
        <v>4</v>
      </c>
      <c r="S307" s="4">
        <f t="shared" si="722"/>
        <v>260.34999999999997</v>
      </c>
      <c r="T307" s="7">
        <f t="shared" si="751"/>
        <v>1.8833333333333337</v>
      </c>
      <c r="U307" s="7">
        <f t="shared" si="859"/>
        <v>3</v>
      </c>
      <c r="V307" s="38">
        <v>9.5</v>
      </c>
      <c r="W307" s="4">
        <f t="shared" si="752"/>
        <v>9.5</v>
      </c>
      <c r="X307" s="4">
        <f t="shared" si="753"/>
        <v>10.5</v>
      </c>
      <c r="Y307" s="7">
        <f t="shared" si="754"/>
        <v>82.305406869779816</v>
      </c>
      <c r="AB307" s="38">
        <f t="shared" si="786"/>
        <v>531.0344827586207</v>
      </c>
      <c r="AC307" s="4">
        <v>77</v>
      </c>
      <c r="AD307" s="4">
        <f t="shared" si="899"/>
        <v>1.0695354015578697</v>
      </c>
      <c r="AE307" s="38"/>
      <c r="AF307" s="38"/>
      <c r="AG307" s="39">
        <v>1</v>
      </c>
      <c r="AH307" s="39"/>
      <c r="AI307" s="39"/>
      <c r="AJ307" s="7"/>
      <c r="AK307" s="4">
        <f t="shared" si="755"/>
        <v>363.21999999999997</v>
      </c>
      <c r="AL307" s="4">
        <f t="shared" si="910"/>
        <v>0.40326340326340332</v>
      </c>
      <c r="AM307" s="4">
        <f t="shared" si="911"/>
        <v>211.68053362794402</v>
      </c>
      <c r="AN307" s="4">
        <f t="shared" si="912"/>
        <v>0.74195804195804194</v>
      </c>
      <c r="AO307" s="4">
        <v>1.25</v>
      </c>
      <c r="AP307" s="4">
        <f t="shared" si="844"/>
        <v>2.5</v>
      </c>
      <c r="AQ307" s="38">
        <f t="shared" si="723"/>
        <v>197.92429228920125</v>
      </c>
      <c r="AR307" s="38">
        <f t="shared" si="913"/>
        <v>197.92429228920125</v>
      </c>
      <c r="AS307" s="38">
        <f t="shared" si="914"/>
        <v>3.4154351999890475</v>
      </c>
      <c r="AT307" s="38">
        <f t="shared" si="853"/>
        <v>197.92429228920113</v>
      </c>
      <c r="AU307" s="38">
        <f t="shared" si="820"/>
        <v>1.0000000000000007</v>
      </c>
      <c r="AV307" s="38">
        <f t="shared" si="715"/>
        <v>2.7876343767825564</v>
      </c>
      <c r="AW307" s="4">
        <f t="shared" si="940"/>
        <v>0</v>
      </c>
      <c r="AX307" s="4">
        <f t="shared" si="756"/>
        <v>466.47248619845737</v>
      </c>
      <c r="AY307" s="4">
        <f t="shared" si="724"/>
        <v>1.2371681415929201</v>
      </c>
      <c r="AZ307" s="38">
        <f t="shared" si="837"/>
        <v>551.74056118573571</v>
      </c>
      <c r="BA307" s="4">
        <f t="shared" si="725"/>
        <v>0.3</v>
      </c>
      <c r="BB307" s="4">
        <f t="shared" si="726"/>
        <v>73.119562211608198</v>
      </c>
      <c r="BC307" s="4">
        <f t="shared" si="727"/>
        <v>624.86012339734395</v>
      </c>
      <c r="BE307" s="4">
        <f t="shared" si="854"/>
        <v>1.375</v>
      </c>
      <c r="BF307" s="4">
        <f t="shared" si="860"/>
        <v>621.26061599373406</v>
      </c>
      <c r="BH307" s="4">
        <f t="shared" si="861"/>
        <v>529.18667165103545</v>
      </c>
      <c r="BI307" s="4">
        <f t="shared" si="806"/>
        <v>0</v>
      </c>
      <c r="BJ307" s="4">
        <f t="shared" si="862"/>
        <v>0</v>
      </c>
      <c r="BR307" s="4">
        <f t="shared" si="728"/>
        <v>35.136666666666677</v>
      </c>
      <c r="BV307" s="9"/>
      <c r="BX307" s="9"/>
      <c r="BY307" s="9"/>
      <c r="BZ307" s="9">
        <f t="shared" si="729"/>
        <v>35.136666666666677</v>
      </c>
      <c r="CA307" s="9">
        <f t="shared" si="730"/>
        <v>63.5</v>
      </c>
      <c r="CB307" s="9">
        <f t="shared" si="821"/>
        <v>1.2853322249291921</v>
      </c>
      <c r="CC307" s="40">
        <f t="shared" si="757"/>
        <v>0</v>
      </c>
      <c r="CD307" s="9">
        <f t="shared" si="731"/>
        <v>0</v>
      </c>
      <c r="CE307" s="9">
        <f t="shared" si="732"/>
        <v>0</v>
      </c>
      <c r="CF307" s="9">
        <f t="shared" si="733"/>
        <v>0.99524931562137331</v>
      </c>
      <c r="CG307" s="9">
        <f t="shared" si="734"/>
        <v>0.68</v>
      </c>
      <c r="CH307" s="9">
        <f t="shared" si="822"/>
        <v>1.4680891910501142</v>
      </c>
      <c r="CI307" s="9">
        <f t="shared" si="823"/>
        <v>1.8869823463269411</v>
      </c>
      <c r="CJ307" s="40">
        <v>1</v>
      </c>
      <c r="CK307" s="9">
        <f t="shared" si="824"/>
        <v>221.15433098951746</v>
      </c>
      <c r="CM307" s="4">
        <f t="shared" si="735"/>
        <v>1.138404725831345</v>
      </c>
      <c r="CN307" s="4">
        <f t="shared" si="736"/>
        <v>0.84984536998681193</v>
      </c>
      <c r="CO307" s="4">
        <f t="shared" ref="CO307:CO370" si="946">AB307/BF307</f>
        <v>0.85476926926907693</v>
      </c>
      <c r="CP307" s="4">
        <f t="shared" si="737"/>
        <v>2.4011941361609206</v>
      </c>
      <c r="CQ307" s="4">
        <f t="shared" si="921"/>
        <v>1.0695354015578697</v>
      </c>
      <c r="CR307" s="4">
        <f t="shared" si="922"/>
        <v>1.0759579072343315</v>
      </c>
      <c r="CS307" s="4">
        <f t="shared" ref="CS307:CS370" si="947">AB307/GA307</f>
        <v>1.2756690101615786</v>
      </c>
      <c r="CT307" s="4">
        <f t="shared" si="758"/>
        <v>0</v>
      </c>
      <c r="CU307" s="4">
        <f t="shared" ref="CU307:CV308" si="948">CM307</f>
        <v>1.138404725831345</v>
      </c>
      <c r="CV307" s="4">
        <f t="shared" si="948"/>
        <v>0.84984536998681193</v>
      </c>
      <c r="CW307" s="4">
        <f t="shared" ref="CW307:CW308" si="949">CP307</f>
        <v>2.4011941361609206</v>
      </c>
      <c r="CX307" s="4">
        <f t="shared" ref="CX307:CX308" si="950">CS307</f>
        <v>1.2756690101615786</v>
      </c>
      <c r="CY307" s="4">
        <f t="shared" ref="CY307:CZ308" si="951">CQ307</f>
        <v>1.0695354015578697</v>
      </c>
      <c r="CZ307" s="4">
        <f t="shared" si="951"/>
        <v>1.0759579072343315</v>
      </c>
      <c r="DI307" s="4">
        <f t="shared" si="742"/>
        <v>363.21999999999997</v>
      </c>
      <c r="DL307" s="4">
        <f t="shared" si="900"/>
        <v>2.7061692465979089E-5</v>
      </c>
      <c r="DM307" s="4">
        <f t="shared" si="769"/>
        <v>6.9216476088847125</v>
      </c>
      <c r="DN307" s="4">
        <f t="shared" si="901"/>
        <v>0.17369349153752631</v>
      </c>
      <c r="DO307" s="4">
        <f t="shared" si="902"/>
        <v>3.4365518677646003</v>
      </c>
      <c r="DP307" s="4">
        <f t="shared" si="903"/>
        <v>5.4673078774981922</v>
      </c>
      <c r="DQ307" s="4">
        <f t="shared" si="904"/>
        <v>6.3188322805754371</v>
      </c>
      <c r="DR307" s="38">
        <f t="shared" si="915"/>
        <v>496.50949560446861</v>
      </c>
      <c r="DS307" s="4">
        <f t="shared" si="829"/>
        <v>1.000099447596386</v>
      </c>
      <c r="DT307" s="4">
        <f t="shared" si="905"/>
        <v>3.2403703492039297</v>
      </c>
      <c r="DU307" s="4">
        <f t="shared" si="842"/>
        <v>197.92429228920113</v>
      </c>
      <c r="DY307" s="4">
        <f t="shared" si="785"/>
        <v>0.85</v>
      </c>
      <c r="DZ307" s="4">
        <f t="shared" si="830"/>
        <v>0.96166666666666667</v>
      </c>
      <c r="EA307" s="4">
        <f t="shared" si="916"/>
        <v>1</v>
      </c>
      <c r="EB307" s="4">
        <f t="shared" si="831"/>
        <v>0.96166666666666667</v>
      </c>
      <c r="ED307" s="4">
        <f t="shared" si="917"/>
        <v>493.54577831358176</v>
      </c>
      <c r="EE307" s="25">
        <f t="shared" si="918"/>
        <v>196.60709589242757</v>
      </c>
      <c r="EG307" s="4">
        <f t="shared" si="843"/>
        <v>0.81741666666666668</v>
      </c>
      <c r="EH307" s="4">
        <f t="shared" si="919"/>
        <v>6.9216476088847125</v>
      </c>
      <c r="EK307" s="4">
        <f t="shared" si="906"/>
        <v>82.305406869779816</v>
      </c>
      <c r="EL307" s="4">
        <f t="shared" si="907"/>
        <v>3.2403703492039302</v>
      </c>
      <c r="EM307" s="4">
        <f t="shared" si="908"/>
        <v>5.886571279488545E-2</v>
      </c>
      <c r="EP307" s="4">
        <f t="shared" si="759"/>
        <v>5.886571279488545E-2</v>
      </c>
      <c r="EQ307" s="4">
        <f t="shared" si="721"/>
        <v>0.17340362947221644</v>
      </c>
      <c r="ER307" s="4">
        <f t="shared" si="770"/>
        <v>3.4342567324384294</v>
      </c>
      <c r="ES307" s="4">
        <f t="shared" si="743"/>
        <v>5.466595351127526</v>
      </c>
      <c r="ET307" s="4">
        <f t="shared" si="771"/>
        <v>190.10959313022016</v>
      </c>
      <c r="EU307" s="4">
        <f t="shared" si="772"/>
        <v>90.805000000000007</v>
      </c>
      <c r="EV307" s="4">
        <f t="shared" si="832"/>
        <v>2.7061692465979093E-5</v>
      </c>
      <c r="EW307" s="4">
        <f t="shared" si="744"/>
        <v>6.3189517611222605</v>
      </c>
      <c r="EX307" s="4">
        <f t="shared" si="867"/>
        <v>496.46012383845141</v>
      </c>
      <c r="FG307" s="23">
        <f t="shared" si="778"/>
        <v>1.2</v>
      </c>
      <c r="FH307" s="23">
        <f t="shared" si="778"/>
        <v>1</v>
      </c>
      <c r="FI307" s="23">
        <f t="shared" ref="FI307:FI370" si="952">IF(CS307&lt;0.6,0.6,IF(CS307&lt;0.8,0.8,IF(CS307&lt;1,1,IF(CS307&lt;1.2,1.2,IF(CS307&lt;1.4,1.4,IF(CS307&lt;1.6,1.6,IF(CS307&lt;1.8,1.8,IF(CS307&lt;2,2,2.2))))))))</f>
        <v>1.4</v>
      </c>
      <c r="FJ307" s="23">
        <f t="shared" si="779"/>
        <v>2.2000000000000002</v>
      </c>
      <c r="FK307" s="23">
        <f t="shared" si="779"/>
        <v>1.2</v>
      </c>
      <c r="FL307" s="23">
        <f t="shared" si="779"/>
        <v>1.2</v>
      </c>
      <c r="FM307" s="23">
        <f t="shared" si="923"/>
        <v>0</v>
      </c>
      <c r="FN307" s="23"/>
      <c r="FX307" s="4">
        <f t="shared" si="833"/>
        <v>1</v>
      </c>
      <c r="FY307" s="4">
        <f t="shared" si="890"/>
        <v>0.85277777777777763</v>
      </c>
      <c r="FZ307" s="4">
        <f t="shared" si="834"/>
        <v>0</v>
      </c>
      <c r="GA307" s="4">
        <f t="shared" si="835"/>
        <v>416.27920607035742</v>
      </c>
    </row>
    <row r="308" spans="1:183" ht="12" customHeight="1" x14ac:dyDescent="0.3">
      <c r="A308" s="25">
        <v>290</v>
      </c>
      <c r="B308" s="4" t="s">
        <v>605</v>
      </c>
      <c r="C308" s="4">
        <v>2016</v>
      </c>
      <c r="D308" s="4" t="s">
        <v>309</v>
      </c>
      <c r="E308" s="24" t="s">
        <v>667</v>
      </c>
      <c r="F308" s="48" t="s">
        <v>449</v>
      </c>
      <c r="G308" s="38">
        <f>115.9/0.145</f>
        <v>799.31034482758628</v>
      </c>
      <c r="H308" s="38">
        <f>14.06*25.4</f>
        <v>357.12399999999997</v>
      </c>
      <c r="I308" s="4">
        <f t="shared" si="746"/>
        <v>357.12399999999997</v>
      </c>
      <c r="J308" s="38">
        <f>5570/145</f>
        <v>38.413793103448278</v>
      </c>
      <c r="K308" s="38">
        <f t="shared" si="747"/>
        <v>25.4</v>
      </c>
      <c r="L308" s="7">
        <f t="shared" si="748"/>
        <v>14.059999999999999</v>
      </c>
      <c r="M308" s="7">
        <f t="shared" si="749"/>
        <v>14.059999999999999</v>
      </c>
      <c r="N308" s="38">
        <f>16.8*25.4</f>
        <v>426.71999999999997</v>
      </c>
      <c r="O308" s="38">
        <f>2.45*25.4</f>
        <v>62.230000000000004</v>
      </c>
      <c r="P308" s="39">
        <f t="shared" ref="P308" si="953">3.4*25.4</f>
        <v>86.36</v>
      </c>
      <c r="Q308" s="7">
        <f t="shared" si="750"/>
        <v>66.88666666666667</v>
      </c>
      <c r="R308" s="38">
        <v>4</v>
      </c>
      <c r="S308" s="4">
        <f t="shared" si="722"/>
        <v>260.34999999999997</v>
      </c>
      <c r="T308" s="7">
        <f t="shared" si="751"/>
        <v>1.8166666666666669</v>
      </c>
      <c r="U308" s="7">
        <f t="shared" si="859"/>
        <v>2.95</v>
      </c>
      <c r="V308" s="38">
        <v>9.1</v>
      </c>
      <c r="W308" s="4">
        <f t="shared" si="752"/>
        <v>9.1</v>
      </c>
      <c r="X308" s="4">
        <f t="shared" si="753"/>
        <v>10.1</v>
      </c>
      <c r="Y308" s="7">
        <f t="shared" si="754"/>
        <v>80.72246279691916</v>
      </c>
      <c r="AB308" s="38">
        <f t="shared" si="786"/>
        <v>534.48275862068965</v>
      </c>
      <c r="AC308" s="4">
        <v>77.5</v>
      </c>
      <c r="AD308" s="4">
        <f t="shared" si="899"/>
        <v>1.1086028706787405</v>
      </c>
      <c r="AE308" s="38"/>
      <c r="AF308" s="38"/>
      <c r="AG308" s="39">
        <v>1</v>
      </c>
      <c r="AH308" s="39"/>
      <c r="AI308" s="39"/>
      <c r="AJ308" s="7"/>
      <c r="AK308" s="4">
        <f t="shared" si="755"/>
        <v>357.12399999999997</v>
      </c>
      <c r="AL308" s="4">
        <f t="shared" si="910"/>
        <v>0.39829302987197723</v>
      </c>
      <c r="AM308" s="4">
        <f t="shared" si="911"/>
        <v>206.37393566831358</v>
      </c>
      <c r="AN308" s="4">
        <f t="shared" si="912"/>
        <v>0.74196301564722611</v>
      </c>
      <c r="AO308" s="4">
        <v>1.25</v>
      </c>
      <c r="AP308" s="4">
        <f t="shared" si="844"/>
        <v>2.5</v>
      </c>
      <c r="AQ308" s="38">
        <f t="shared" si="723"/>
        <v>190.58548961880157</v>
      </c>
      <c r="AR308" s="38">
        <f t="shared" si="913"/>
        <v>190.58548961880157</v>
      </c>
      <c r="AS308" s="38">
        <f t="shared" si="914"/>
        <v>3.4154351999890475</v>
      </c>
      <c r="AT308" s="38">
        <f t="shared" si="853"/>
        <v>190.58548961880146</v>
      </c>
      <c r="AU308" s="38">
        <f t="shared" si="820"/>
        <v>1.0000000000000007</v>
      </c>
      <c r="AV308" s="38">
        <f t="shared" ref="AV308:AV371" si="954">AZ308/AT308</f>
        <v>2.7604120194863326</v>
      </c>
      <c r="AW308" s="4">
        <f t="shared" si="940"/>
        <v>0</v>
      </c>
      <c r="AX308" s="4">
        <f t="shared" si="756"/>
        <v>458.64357733918251</v>
      </c>
      <c r="AY308" s="4">
        <f t="shared" si="724"/>
        <v>1.2495412844036697</v>
      </c>
      <c r="AZ308" s="38">
        <f t="shared" si="837"/>
        <v>526.09447628342718</v>
      </c>
      <c r="BA308" s="4">
        <f t="shared" si="725"/>
        <v>0.3</v>
      </c>
      <c r="BB308" s="4">
        <f t="shared" si="726"/>
        <v>71.89238074791686</v>
      </c>
      <c r="BC308" s="4">
        <f t="shared" si="727"/>
        <v>597.98685703134402</v>
      </c>
      <c r="BE308" s="4">
        <f t="shared" si="854"/>
        <v>1.3625</v>
      </c>
      <c r="BF308" s="4">
        <f t="shared" si="860"/>
        <v>609.53266586913844</v>
      </c>
      <c r="BH308" s="4">
        <f t="shared" si="861"/>
        <v>504.58893991790706</v>
      </c>
      <c r="BI308" s="4">
        <f t="shared" si="806"/>
        <v>0</v>
      </c>
      <c r="BJ308" s="4">
        <f t="shared" si="862"/>
        <v>0</v>
      </c>
      <c r="BR308" s="4">
        <f t="shared" si="728"/>
        <v>33.443333333333335</v>
      </c>
      <c r="BV308" s="9"/>
      <c r="BX308" s="9"/>
      <c r="BY308" s="9"/>
      <c r="BZ308" s="9">
        <f t="shared" si="729"/>
        <v>33.443333333333335</v>
      </c>
      <c r="CA308" s="9">
        <f t="shared" si="730"/>
        <v>62.230000000000004</v>
      </c>
      <c r="CB308" s="9">
        <f t="shared" si="821"/>
        <v>1.2594805263392668</v>
      </c>
      <c r="CC308" s="40">
        <f t="shared" si="757"/>
        <v>0</v>
      </c>
      <c r="CD308" s="9">
        <f t="shared" si="731"/>
        <v>0</v>
      </c>
      <c r="CE308" s="9">
        <f t="shared" si="732"/>
        <v>0</v>
      </c>
      <c r="CF308" s="9">
        <f t="shared" si="733"/>
        <v>0.99524931562137331</v>
      </c>
      <c r="CG308" s="9">
        <f t="shared" si="734"/>
        <v>0.68048275862068963</v>
      </c>
      <c r="CH308" s="9">
        <f t="shared" si="822"/>
        <v>1.4691314450397035</v>
      </c>
      <c r="CI308" s="9">
        <f t="shared" si="823"/>
        <v>1.8503424456601734</v>
      </c>
      <c r="CJ308" s="40">
        <v>1</v>
      </c>
      <c r="CK308" s="9">
        <f t="shared" si="824"/>
        <v>215.08380588353853</v>
      </c>
      <c r="CM308" s="4">
        <f t="shared" si="735"/>
        <v>1.1653553762193458</v>
      </c>
      <c r="CN308" s="4">
        <f t="shared" si="736"/>
        <v>0.89380352149223619</v>
      </c>
      <c r="CO308" s="4">
        <f t="shared" si="946"/>
        <v>0.87687303494811975</v>
      </c>
      <c r="CP308" s="4">
        <f t="shared" si="737"/>
        <v>2.4849976799745499</v>
      </c>
      <c r="CQ308" s="4">
        <f t="shared" si="921"/>
        <v>1.1086028706787405</v>
      </c>
      <c r="CR308" s="4">
        <f t="shared" si="922"/>
        <v>1.1152914305964363</v>
      </c>
      <c r="CS308" s="4">
        <f t="shared" si="947"/>
        <v>1.6536048066223732</v>
      </c>
      <c r="CT308" s="4">
        <f t="shared" si="758"/>
        <v>0</v>
      </c>
      <c r="CU308" s="4">
        <f t="shared" si="948"/>
        <v>1.1653553762193458</v>
      </c>
      <c r="CV308" s="4">
        <f t="shared" si="948"/>
        <v>0.89380352149223619</v>
      </c>
      <c r="CW308" s="4">
        <f t="shared" si="949"/>
        <v>2.4849976799745499</v>
      </c>
      <c r="CX308" s="4">
        <f t="shared" si="950"/>
        <v>1.6536048066223732</v>
      </c>
      <c r="CY308" s="4">
        <f t="shared" si="951"/>
        <v>1.1086028706787405</v>
      </c>
      <c r="CZ308" s="4">
        <f t="shared" si="951"/>
        <v>1.1152914305964363</v>
      </c>
      <c r="DI308" s="4">
        <f t="shared" si="742"/>
        <v>357.12399999999997</v>
      </c>
      <c r="DL308" s="4">
        <f t="shared" si="900"/>
        <v>2.6607510214801819E-5</v>
      </c>
      <c r="DM308" s="4">
        <f t="shared" si="769"/>
        <v>6.8739942690645091</v>
      </c>
      <c r="DN308" s="4">
        <f t="shared" si="901"/>
        <v>0.17124682457055751</v>
      </c>
      <c r="DO308" s="4">
        <f t="shared" si="902"/>
        <v>3.3935806633934544</v>
      </c>
      <c r="DP308" s="4">
        <f t="shared" si="903"/>
        <v>5.4236847619002306</v>
      </c>
      <c r="DQ308" s="4">
        <f t="shared" si="904"/>
        <v>6.299673463001727</v>
      </c>
      <c r="DR308" s="38">
        <f t="shared" si="915"/>
        <v>482.12283474735489</v>
      </c>
      <c r="DS308" s="4">
        <f t="shared" si="829"/>
        <v>1.0000992700339788</v>
      </c>
      <c r="DT308" s="4">
        <f t="shared" si="905"/>
        <v>3.1780497164141401</v>
      </c>
      <c r="DU308" s="4">
        <f t="shared" si="842"/>
        <v>190.58548961880146</v>
      </c>
      <c r="DY308" s="4">
        <f t="shared" si="785"/>
        <v>0.85</v>
      </c>
      <c r="DZ308" s="4">
        <f t="shared" si="830"/>
        <v>0.96833333333333327</v>
      </c>
      <c r="EA308" s="4">
        <f t="shared" si="916"/>
        <v>1</v>
      </c>
      <c r="EB308" s="4">
        <f t="shared" si="831"/>
        <v>0.96833333333333327</v>
      </c>
      <c r="ED308" s="4">
        <f t="shared" si="917"/>
        <v>479.23147614866775</v>
      </c>
      <c r="EE308" s="25">
        <f t="shared" si="918"/>
        <v>189.28639787952685</v>
      </c>
      <c r="EG308" s="4">
        <f t="shared" si="843"/>
        <v>0.82308333333333328</v>
      </c>
      <c r="EH308" s="4">
        <f t="shared" si="919"/>
        <v>6.8739942690645091</v>
      </c>
      <c r="EK308" s="4">
        <f t="shared" si="906"/>
        <v>80.72246279691916</v>
      </c>
      <c r="EL308" s="4">
        <f t="shared" si="907"/>
        <v>3.1780497164141406</v>
      </c>
      <c r="EM308" s="4">
        <f t="shared" si="908"/>
        <v>5.8036523435471804E-2</v>
      </c>
      <c r="EP308" s="4">
        <f t="shared" si="759"/>
        <v>5.8036523435471804E-2</v>
      </c>
      <c r="EQ308" s="4">
        <f t="shared" si="721"/>
        <v>0.17096104553641872</v>
      </c>
      <c r="ER308" s="4">
        <f t="shared" si="770"/>
        <v>3.391314226813281</v>
      </c>
      <c r="ES308" s="4">
        <f t="shared" si="743"/>
        <v>5.4229845716603329</v>
      </c>
      <c r="ET308" s="4">
        <f t="shared" si="771"/>
        <v>187.1205372030808</v>
      </c>
      <c r="EU308" s="4">
        <f t="shared" si="772"/>
        <v>89.281000000000006</v>
      </c>
      <c r="EV308" s="4">
        <f t="shared" si="832"/>
        <v>2.6607510214801826E-5</v>
      </c>
      <c r="EW308" s="4">
        <f t="shared" si="744"/>
        <v>6.2997864686709182</v>
      </c>
      <c r="EX308" s="4">
        <f t="shared" si="867"/>
        <v>482.07497914779458</v>
      </c>
      <c r="FA308" s="4">
        <f>5.25*25.4</f>
        <v>133.35</v>
      </c>
      <c r="FG308" s="23">
        <f t="shared" si="778"/>
        <v>1.2</v>
      </c>
      <c r="FH308" s="23">
        <f t="shared" si="778"/>
        <v>1</v>
      </c>
      <c r="FI308" s="23">
        <f t="shared" si="952"/>
        <v>1.8</v>
      </c>
      <c r="FJ308" s="23">
        <f t="shared" si="779"/>
        <v>2.2000000000000002</v>
      </c>
      <c r="FK308" s="23">
        <f t="shared" si="779"/>
        <v>1.2</v>
      </c>
      <c r="FL308" s="23">
        <f t="shared" si="779"/>
        <v>1.2</v>
      </c>
      <c r="FM308" s="23">
        <f t="shared" si="923"/>
        <v>0</v>
      </c>
      <c r="FN308" s="23"/>
      <c r="FX308" s="4">
        <f t="shared" si="833"/>
        <v>1.25</v>
      </c>
      <c r="FY308" s="4">
        <f t="shared" si="890"/>
        <v>0.86388888888888893</v>
      </c>
      <c r="FZ308" s="4">
        <f t="shared" si="834"/>
        <v>0</v>
      </c>
      <c r="GA308" s="4">
        <f t="shared" si="835"/>
        <v>323.22278967755034</v>
      </c>
    </row>
    <row r="309" spans="1:183" ht="12" customHeight="1" x14ac:dyDescent="0.3">
      <c r="A309" s="25">
        <v>291</v>
      </c>
      <c r="B309" s="4" t="s">
        <v>605</v>
      </c>
      <c r="C309" s="4">
        <v>2016</v>
      </c>
      <c r="D309" s="4" t="s">
        <v>309</v>
      </c>
      <c r="E309" s="24" t="s">
        <v>667</v>
      </c>
      <c r="F309" s="7" t="s">
        <v>450</v>
      </c>
      <c r="G309" s="38">
        <f>120/0.145</f>
        <v>827.58620689655174</v>
      </c>
      <c r="H309" s="38">
        <f>14.5*25.4</f>
        <v>368.29999999999995</v>
      </c>
      <c r="I309" s="4">
        <f t="shared" si="746"/>
        <v>368.29999999999995</v>
      </c>
      <c r="J309" s="38">
        <f>5570/145</f>
        <v>38.413793103448278</v>
      </c>
      <c r="K309" s="38">
        <f t="shared" si="747"/>
        <v>25.4</v>
      </c>
      <c r="L309" s="7">
        <f t="shared" si="748"/>
        <v>14.499999999999998</v>
      </c>
      <c r="M309" s="7">
        <f t="shared" si="749"/>
        <v>14.499999999999998</v>
      </c>
      <c r="N309" s="38">
        <f>17.1*25.4</f>
        <v>434.34000000000003</v>
      </c>
      <c r="O309" s="38">
        <f>2.45*25.4</f>
        <v>62.230000000000004</v>
      </c>
      <c r="P309" s="39">
        <f>3.1*25.4</f>
        <v>78.739999999999995</v>
      </c>
      <c r="Q309" s="7">
        <f t="shared" si="750"/>
        <v>69.426666666666662</v>
      </c>
      <c r="R309" s="38">
        <v>4</v>
      </c>
      <c r="S309" s="4">
        <f t="shared" si="722"/>
        <v>260.34999999999997</v>
      </c>
      <c r="T309" s="7">
        <f t="shared" si="751"/>
        <v>1.8666666666666667</v>
      </c>
      <c r="U309" s="7">
        <f t="shared" si="859"/>
        <v>2.95</v>
      </c>
      <c r="V309" s="38">
        <v>9.5</v>
      </c>
      <c r="W309" s="4">
        <f t="shared" si="752"/>
        <v>9.5</v>
      </c>
      <c r="X309" s="4">
        <f t="shared" si="753"/>
        <v>10.5</v>
      </c>
      <c r="Y309" s="7">
        <f t="shared" si="754"/>
        <v>82.305406869779816</v>
      </c>
      <c r="AB309" s="38">
        <f t="shared" si="786"/>
        <v>671.0344827586207</v>
      </c>
      <c r="AC309" s="4">
        <v>97.3</v>
      </c>
      <c r="AD309" s="4">
        <f t="shared" si="899"/>
        <v>1.2682678827222702</v>
      </c>
      <c r="AE309" s="38">
        <f>0.375*25.4</f>
        <v>9.5249999999999986</v>
      </c>
      <c r="AF309" s="38">
        <v>10</v>
      </c>
      <c r="AG309" s="39">
        <f t="shared" ref="AG309:AG310" si="955">3*25.4</f>
        <v>76.199999999999989</v>
      </c>
      <c r="AH309" s="39">
        <v>3</v>
      </c>
      <c r="AI309" s="39">
        <f>AH309-1</f>
        <v>2</v>
      </c>
      <c r="AJ309" s="7"/>
      <c r="AK309" s="4">
        <f t="shared" si="755"/>
        <v>368.29999999999995</v>
      </c>
      <c r="AL309" s="4">
        <f t="shared" si="910"/>
        <v>0.39310344827586224</v>
      </c>
      <c r="AM309" s="4">
        <f t="shared" si="911"/>
        <v>216.13687542656675</v>
      </c>
      <c r="AN309" s="4">
        <f t="shared" si="912"/>
        <v>0.74068965517241381</v>
      </c>
      <c r="AO309" s="4">
        <v>1.25</v>
      </c>
      <c r="AP309" s="4">
        <f t="shared" si="844"/>
        <v>2.5</v>
      </c>
      <c r="AQ309" s="38">
        <f t="shared" si="723"/>
        <v>196.66271165076645</v>
      </c>
      <c r="AR309" s="38">
        <f t="shared" si="913"/>
        <v>196.66271165076645</v>
      </c>
      <c r="AS309" s="38">
        <f t="shared" si="914"/>
        <v>3.4154351999890475</v>
      </c>
      <c r="AT309" s="38">
        <f t="shared" si="853"/>
        <v>196.66271165076645</v>
      </c>
      <c r="AU309" s="38">
        <f t="shared" si="820"/>
        <v>1</v>
      </c>
      <c r="AV309" s="38">
        <f t="shared" si="954"/>
        <v>2.7693943650562476</v>
      </c>
      <c r="AW309" s="4">
        <f t="shared" si="940"/>
        <v>0</v>
      </c>
      <c r="AX309" s="4">
        <f t="shared" si="756"/>
        <v>472.99657691451972</v>
      </c>
      <c r="AY309" s="4">
        <f t="shared" si="724"/>
        <v>1.2321428571428572</v>
      </c>
      <c r="AZ309" s="38">
        <f t="shared" si="837"/>
        <v>544.63660546231426</v>
      </c>
      <c r="BA309" s="4">
        <f t="shared" si="725"/>
        <v>0.3</v>
      </c>
      <c r="BB309" s="4">
        <f t="shared" si="726"/>
        <v>74.142213431350967</v>
      </c>
      <c r="BC309" s="4">
        <f t="shared" si="727"/>
        <v>618.77881889366517</v>
      </c>
      <c r="BE309" s="4">
        <f t="shared" si="854"/>
        <v>1.5</v>
      </c>
      <c r="BF309" s="4">
        <f t="shared" si="860"/>
        <v>683.3169513735794</v>
      </c>
      <c r="BH309" s="4">
        <f t="shared" si="861"/>
        <v>522.37310935509947</v>
      </c>
      <c r="BI309" s="4">
        <f t="shared" si="806"/>
        <v>0</v>
      </c>
      <c r="BJ309" s="4">
        <f t="shared" si="862"/>
        <v>0</v>
      </c>
      <c r="BR309" s="4">
        <f t="shared" si="728"/>
        <v>34.713333333333331</v>
      </c>
      <c r="BV309" s="9"/>
      <c r="BX309" s="9"/>
      <c r="BY309" s="9"/>
      <c r="BZ309" s="9">
        <f t="shared" si="729"/>
        <v>34.713333333333331</v>
      </c>
      <c r="CA309" s="9">
        <f t="shared" si="730"/>
        <v>62.230000000000004</v>
      </c>
      <c r="CB309" s="9">
        <f t="shared" si="821"/>
        <v>1.2760180664066267</v>
      </c>
      <c r="CC309" s="40">
        <f t="shared" si="757"/>
        <v>20</v>
      </c>
      <c r="CD309" s="9">
        <f t="shared" si="731"/>
        <v>0.05</v>
      </c>
      <c r="CE309" s="9">
        <f t="shared" si="732"/>
        <v>0.8</v>
      </c>
      <c r="CF309" s="9">
        <f t="shared" si="733"/>
        <v>0.99524931562137331</v>
      </c>
      <c r="CG309" s="9">
        <f t="shared" si="734"/>
        <v>0.68</v>
      </c>
      <c r="CH309" s="9">
        <f t="shared" si="822"/>
        <v>1.4680891910501142</v>
      </c>
      <c r="CI309" s="9">
        <f t="shared" si="823"/>
        <v>3.0477796837163269</v>
      </c>
      <c r="CJ309" s="40">
        <v>1</v>
      </c>
      <c r="CK309" s="9">
        <f t="shared" si="824"/>
        <v>359.63800267852656</v>
      </c>
      <c r="CM309" s="4">
        <f t="shared" si="735"/>
        <v>1.4186878203980968</v>
      </c>
      <c r="CN309" s="4">
        <f t="shared" si="736"/>
        <v>1.0844496648388597</v>
      </c>
      <c r="CO309" s="4">
        <f t="shared" si="946"/>
        <v>0.98202522476536125</v>
      </c>
      <c r="CP309" s="4">
        <f t="shared" si="737"/>
        <v>1.8658608872278868</v>
      </c>
      <c r="CQ309" s="4">
        <f t="shared" si="921"/>
        <v>1.2682678827222702</v>
      </c>
      <c r="CR309" s="4">
        <f t="shared" si="922"/>
        <v>1.2732119156908908</v>
      </c>
      <c r="CS309" s="4">
        <f t="shared" si="947"/>
        <v>1.5219922977142373</v>
      </c>
      <c r="CT309" s="4">
        <f t="shared" si="758"/>
        <v>10</v>
      </c>
      <c r="DA309" s="4">
        <f t="shared" ref="DA309:DB310" si="956">CM309</f>
        <v>1.4186878203980968</v>
      </c>
      <c r="DB309" s="4">
        <f t="shared" si="956"/>
        <v>1.0844496648388597</v>
      </c>
      <c r="DC309" s="4">
        <f t="shared" ref="DC309:DC310" si="957">CP309</f>
        <v>1.8658608872278868</v>
      </c>
      <c r="DD309" s="4">
        <f t="shared" ref="DD309:DD310" si="958">CS309</f>
        <v>1.5219922977142373</v>
      </c>
      <c r="DE309" s="4">
        <f t="shared" ref="DE309:DF310" si="959">CQ309</f>
        <v>1.2682678827222702</v>
      </c>
      <c r="DF309" s="4">
        <f t="shared" si="959"/>
        <v>1.2732119156908908</v>
      </c>
      <c r="DI309" s="4">
        <f t="shared" si="742"/>
        <v>368.29999999999995</v>
      </c>
      <c r="DL309" s="4">
        <f t="shared" si="900"/>
        <v>2.7440177675293479E-5</v>
      </c>
      <c r="DM309" s="4">
        <f t="shared" si="769"/>
        <v>7.6244661407020242</v>
      </c>
      <c r="DN309" s="4">
        <f t="shared" si="901"/>
        <v>0.17258635939416275</v>
      </c>
      <c r="DO309" s="4">
        <f t="shared" si="902"/>
        <v>3.7758264740485674</v>
      </c>
      <c r="DP309" s="4">
        <f t="shared" si="903"/>
        <v>6.0194542657185099</v>
      </c>
      <c r="DQ309" s="4">
        <f t="shared" si="904"/>
        <v>6.8735858098061433</v>
      </c>
      <c r="DR309" s="38">
        <f t="shared" si="915"/>
        <v>529.09522656860202</v>
      </c>
      <c r="DS309" s="4">
        <f t="shared" si="829"/>
        <v>1.0001028338364397</v>
      </c>
      <c r="DT309" s="4">
        <f t="shared" si="905"/>
        <v>3.2403703492039297</v>
      </c>
      <c r="DU309" s="4">
        <f t="shared" si="842"/>
        <v>196.66271165076645</v>
      </c>
      <c r="DY309" s="4">
        <f t="shared" si="785"/>
        <v>0.85</v>
      </c>
      <c r="DZ309" s="4">
        <f t="shared" si="830"/>
        <v>0.96333333333333337</v>
      </c>
      <c r="EA309" s="4">
        <f t="shared" si="916"/>
        <v>0.90625</v>
      </c>
      <c r="EB309" s="4">
        <f t="shared" si="831"/>
        <v>0.87302083333333336</v>
      </c>
      <c r="ED309" s="4">
        <f t="shared" si="917"/>
        <v>527.04068701280823</v>
      </c>
      <c r="EE309" s="25">
        <f t="shared" si="918"/>
        <v>195.37640989227023</v>
      </c>
      <c r="EG309" s="4">
        <f t="shared" si="843"/>
        <v>0.74206770833333335</v>
      </c>
      <c r="EH309" s="4">
        <f t="shared" si="919"/>
        <v>7.6244661407020242</v>
      </c>
      <c r="EK309" s="4">
        <f t="shared" si="906"/>
        <v>82.305406869779816</v>
      </c>
      <c r="EL309" s="4">
        <f t="shared" si="907"/>
        <v>3.2403703492039302</v>
      </c>
      <c r="EM309" s="4">
        <f t="shared" si="908"/>
        <v>5.8490499410662894E-2</v>
      </c>
      <c r="EP309" s="4">
        <f t="shared" si="759"/>
        <v>5.8490499410662894E-2</v>
      </c>
      <c r="EQ309" s="4">
        <f t="shared" ref="EQ309:EQ372" si="960">MIN(0.999, EP309/(0.3*(J309/30)^0.5))</f>
        <v>0.17229834492605872</v>
      </c>
      <c r="ER309" s="4">
        <f t="shared" si="770"/>
        <v>3.7733047508040065</v>
      </c>
      <c r="ES309" s="4">
        <f t="shared" si="743"/>
        <v>6.0186731142651881</v>
      </c>
      <c r="ET309" s="4">
        <f t="shared" si="771"/>
        <v>193.91959313022016</v>
      </c>
      <c r="EU309" s="4">
        <f t="shared" si="772"/>
        <v>92.074999999999989</v>
      </c>
      <c r="EV309" s="4">
        <f t="shared" si="832"/>
        <v>2.7440177675293479E-5</v>
      </c>
      <c r="EW309" s="4">
        <f t="shared" si="744"/>
        <v>6.8737332015041632</v>
      </c>
      <c r="EX309" s="4">
        <f t="shared" si="867"/>
        <v>529.04082327111178</v>
      </c>
      <c r="FG309" s="23">
        <f t="shared" si="778"/>
        <v>1.6</v>
      </c>
      <c r="FH309" s="23">
        <f t="shared" si="778"/>
        <v>1.2</v>
      </c>
      <c r="FI309" s="23">
        <f t="shared" si="952"/>
        <v>1.6</v>
      </c>
      <c r="FJ309" s="23">
        <f t="shared" si="779"/>
        <v>2</v>
      </c>
      <c r="FK309" s="23">
        <f t="shared" si="779"/>
        <v>1.4</v>
      </c>
      <c r="FL309" s="23">
        <f t="shared" si="779"/>
        <v>1.4</v>
      </c>
      <c r="FM309" s="23">
        <f t="shared" si="923"/>
        <v>0</v>
      </c>
      <c r="FN309" s="23"/>
      <c r="FX309" s="4">
        <f t="shared" si="833"/>
        <v>1.25</v>
      </c>
      <c r="FY309" s="4">
        <f t="shared" si="890"/>
        <v>0.65314583333333343</v>
      </c>
      <c r="FZ309" s="4">
        <f t="shared" si="834"/>
        <v>0.21093749999999997</v>
      </c>
      <c r="GA309" s="4">
        <f t="shared" si="835"/>
        <v>440.892167303603</v>
      </c>
    </row>
    <row r="310" spans="1:183" ht="12" customHeight="1" x14ac:dyDescent="0.3">
      <c r="A310" s="25">
        <v>292</v>
      </c>
      <c r="B310" s="4" t="s">
        <v>605</v>
      </c>
      <c r="C310" s="4">
        <v>2016</v>
      </c>
      <c r="D310" s="4" t="s">
        <v>309</v>
      </c>
      <c r="E310" s="24" t="s">
        <v>667</v>
      </c>
      <c r="F310" s="48" t="s">
        <v>451</v>
      </c>
      <c r="G310" s="38">
        <f>115.9/0.145</f>
        <v>799.31034482758628</v>
      </c>
      <c r="H310" s="38">
        <f>14.5*25.4</f>
        <v>368.29999999999995</v>
      </c>
      <c r="I310" s="4">
        <f t="shared" si="746"/>
        <v>368.29999999999995</v>
      </c>
      <c r="J310" s="38">
        <f>5570/145</f>
        <v>38.413793103448278</v>
      </c>
      <c r="K310" s="38">
        <f t="shared" si="747"/>
        <v>25.4</v>
      </c>
      <c r="L310" s="7">
        <f t="shared" si="748"/>
        <v>14.499999999999998</v>
      </c>
      <c r="M310" s="7">
        <f t="shared" si="749"/>
        <v>14.499999999999998</v>
      </c>
      <c r="N310" s="38">
        <f>16.9*25.4</f>
        <v>429.25999999999993</v>
      </c>
      <c r="O310" s="38">
        <f>2.5*25.4</f>
        <v>63.5</v>
      </c>
      <c r="P310" s="39">
        <f>3*25.4</f>
        <v>76.199999999999989</v>
      </c>
      <c r="Q310" s="7">
        <f t="shared" si="750"/>
        <v>66.886666666666656</v>
      </c>
      <c r="R310" s="38">
        <v>4</v>
      </c>
      <c r="S310" s="4">
        <f t="shared" si="722"/>
        <v>260.34999999999997</v>
      </c>
      <c r="T310" s="7">
        <f t="shared" si="751"/>
        <v>1.8166666666666664</v>
      </c>
      <c r="U310" s="7">
        <f t="shared" si="859"/>
        <v>3</v>
      </c>
      <c r="V310" s="38">
        <v>9.1</v>
      </c>
      <c r="W310" s="4">
        <f t="shared" si="752"/>
        <v>9.1</v>
      </c>
      <c r="X310" s="4">
        <f t="shared" si="753"/>
        <v>10.1</v>
      </c>
      <c r="Y310" s="7">
        <f t="shared" si="754"/>
        <v>80.72246279691916</v>
      </c>
      <c r="AB310" s="38">
        <f t="shared" si="786"/>
        <v>777.93103448275861</v>
      </c>
      <c r="AC310" s="4">
        <v>112.8</v>
      </c>
      <c r="AD310" s="4">
        <f t="shared" si="899"/>
        <v>1.4782200012625968</v>
      </c>
      <c r="AE310" s="38">
        <f>0.375*25.4</f>
        <v>9.5249999999999986</v>
      </c>
      <c r="AF310" s="38">
        <v>10</v>
      </c>
      <c r="AG310" s="39">
        <f t="shared" si="955"/>
        <v>76.199999999999989</v>
      </c>
      <c r="AH310" s="39">
        <v>3</v>
      </c>
      <c r="AI310" s="39">
        <f>AH310-1</f>
        <v>2</v>
      </c>
      <c r="AJ310" s="7"/>
      <c r="AK310" s="4">
        <f t="shared" si="755"/>
        <v>368.29999999999995</v>
      </c>
      <c r="AL310" s="4">
        <f t="shared" si="910"/>
        <v>0.38850574712643682</v>
      </c>
      <c r="AM310" s="4">
        <f t="shared" si="911"/>
        <v>216.13687542656675</v>
      </c>
      <c r="AN310" s="4">
        <f t="shared" si="912"/>
        <v>0.74137931034482751</v>
      </c>
      <c r="AO310" s="4">
        <v>1.25</v>
      </c>
      <c r="AP310" s="4">
        <f t="shared" si="844"/>
        <v>2.5</v>
      </c>
      <c r="AQ310" s="38">
        <f t="shared" si="723"/>
        <v>194.54353370551681</v>
      </c>
      <c r="AR310" s="38">
        <f t="shared" si="913"/>
        <v>194.54353370551681</v>
      </c>
      <c r="AS310" s="38">
        <f t="shared" si="914"/>
        <v>3.4154351999890475</v>
      </c>
      <c r="AT310" s="38">
        <f t="shared" si="853"/>
        <v>194.54353370551681</v>
      </c>
      <c r="AU310" s="38">
        <f t="shared" si="820"/>
        <v>1</v>
      </c>
      <c r="AV310" s="38">
        <f t="shared" si="954"/>
        <v>2.7280766407298964</v>
      </c>
      <c r="AW310" s="4">
        <f t="shared" si="940"/>
        <v>0</v>
      </c>
      <c r="AX310" s="4">
        <f t="shared" si="756"/>
        <v>472.99657691451972</v>
      </c>
      <c r="AY310" s="4">
        <f t="shared" si="724"/>
        <v>1.2605504587155965</v>
      </c>
      <c r="AZ310" s="38">
        <f t="shared" si="837"/>
        <v>530.72966990706971</v>
      </c>
      <c r="BA310" s="4">
        <f t="shared" si="725"/>
        <v>0.3</v>
      </c>
      <c r="BB310" s="4">
        <f t="shared" si="726"/>
        <v>74.142213431350953</v>
      </c>
      <c r="BC310" s="4">
        <f t="shared" si="727"/>
        <v>604.87188333842062</v>
      </c>
      <c r="BE310" s="4">
        <f t="shared" si="854"/>
        <v>1.5</v>
      </c>
      <c r="BF310" s="4">
        <f t="shared" si="860"/>
        <v>683.3169513735794</v>
      </c>
      <c r="BH310" s="4">
        <f t="shared" si="861"/>
        <v>509.03465745022322</v>
      </c>
      <c r="BI310" s="4">
        <f t="shared" si="806"/>
        <v>0</v>
      </c>
      <c r="BJ310" s="4">
        <f t="shared" si="862"/>
        <v>0</v>
      </c>
      <c r="BR310" s="4">
        <f t="shared" si="728"/>
        <v>33.443333333333328</v>
      </c>
      <c r="BV310" s="9"/>
      <c r="BX310" s="9"/>
      <c r="BY310" s="9"/>
      <c r="BZ310" s="9">
        <f t="shared" si="729"/>
        <v>33.443333333333328</v>
      </c>
      <c r="CA310" s="9">
        <f t="shared" si="730"/>
        <v>63.5</v>
      </c>
      <c r="CB310" s="9">
        <f t="shared" si="821"/>
        <v>1.2633030527845497</v>
      </c>
      <c r="CC310" s="40">
        <f t="shared" si="757"/>
        <v>20</v>
      </c>
      <c r="CD310" s="9">
        <f t="shared" si="731"/>
        <v>0.05</v>
      </c>
      <c r="CE310" s="9">
        <f t="shared" si="732"/>
        <v>0.8</v>
      </c>
      <c r="CF310" s="9">
        <f t="shared" si="733"/>
        <v>0.99524931562137331</v>
      </c>
      <c r="CG310" s="9">
        <f t="shared" si="734"/>
        <v>0.68048275862068963</v>
      </c>
      <c r="CH310" s="9">
        <f t="shared" si="822"/>
        <v>1.4691314450397035</v>
      </c>
      <c r="CI310" s="9">
        <f t="shared" si="823"/>
        <v>3.0312633954921968</v>
      </c>
      <c r="CJ310" s="40">
        <v>1</v>
      </c>
      <c r="CK310" s="9">
        <f t="shared" si="824"/>
        <v>357.68908066807921</v>
      </c>
      <c r="CM310" s="47">
        <f t="shared" si="735"/>
        <v>1.6446863940483587</v>
      </c>
      <c r="CN310" s="47">
        <f t="shared" si="736"/>
        <v>1.286108770983347</v>
      </c>
      <c r="CO310" s="47">
        <f t="shared" si="946"/>
        <v>1.1384629532737178</v>
      </c>
      <c r="CP310" s="47">
        <f t="shared" si="737"/>
        <v>2.1748805779303244</v>
      </c>
      <c r="CQ310" s="47">
        <f t="shared" si="921"/>
        <v>1.4782200012625968</v>
      </c>
      <c r="CR310" s="47">
        <f t="shared" si="922"/>
        <v>1.486801599498017</v>
      </c>
      <c r="CS310" s="47">
        <f t="shared" si="947"/>
        <v>1.4168183015224551</v>
      </c>
      <c r="CT310" s="4">
        <f t="shared" si="758"/>
        <v>10</v>
      </c>
      <c r="DA310" s="4">
        <f t="shared" si="956"/>
        <v>1.6446863940483587</v>
      </c>
      <c r="DB310" s="4">
        <f t="shared" si="956"/>
        <v>1.286108770983347</v>
      </c>
      <c r="DC310" s="4">
        <f t="shared" si="957"/>
        <v>2.1748805779303244</v>
      </c>
      <c r="DD310" s="4">
        <f t="shared" si="958"/>
        <v>1.4168183015224551</v>
      </c>
      <c r="DE310" s="4">
        <f t="shared" si="959"/>
        <v>1.4782200012625968</v>
      </c>
      <c r="DF310" s="4">
        <f t="shared" si="959"/>
        <v>1.486801599498017</v>
      </c>
      <c r="DI310" s="4">
        <f t="shared" si="742"/>
        <v>368.29999999999995</v>
      </c>
      <c r="DL310" s="4">
        <f t="shared" si="900"/>
        <v>2.7440177675293479E-5</v>
      </c>
      <c r="DM310" s="4">
        <f t="shared" si="769"/>
        <v>7.5850971244849745</v>
      </c>
      <c r="DN310" s="4">
        <f t="shared" si="901"/>
        <v>0.17480324684969312</v>
      </c>
      <c r="DO310" s="4">
        <f t="shared" si="902"/>
        <v>3.7755562431213261</v>
      </c>
      <c r="DP310" s="4">
        <f t="shared" si="903"/>
        <v>5.9943432608094538</v>
      </c>
      <c r="DQ310" s="4">
        <f t="shared" si="904"/>
        <v>6.8393248213148761</v>
      </c>
      <c r="DR310" s="38">
        <f t="shared" si="915"/>
        <v>526.26201365040515</v>
      </c>
      <c r="DS310" s="4">
        <f t="shared" si="829"/>
        <v>1.0001028004220163</v>
      </c>
      <c r="DT310" s="4">
        <f t="shared" si="905"/>
        <v>3.1780497164141401</v>
      </c>
      <c r="DU310" s="4">
        <f t="shared" si="842"/>
        <v>194.54353370551681</v>
      </c>
      <c r="DY310" s="4">
        <f t="shared" si="785"/>
        <v>0.85</v>
      </c>
      <c r="DZ310" s="4">
        <f t="shared" si="830"/>
        <v>0.96833333333333338</v>
      </c>
      <c r="EA310" s="4">
        <f t="shared" si="916"/>
        <v>0.90625</v>
      </c>
      <c r="EB310" s="4">
        <f t="shared" si="831"/>
        <v>0.87755208333333334</v>
      </c>
      <c r="ED310" s="4">
        <f t="shared" si="917"/>
        <v>523.22450738915563</v>
      </c>
      <c r="EE310" s="25">
        <f t="shared" si="918"/>
        <v>193.27278247405926</v>
      </c>
      <c r="EG310" s="4">
        <f t="shared" si="843"/>
        <v>0.74591927083333331</v>
      </c>
      <c r="EH310" s="4">
        <f t="shared" si="919"/>
        <v>7.5850971244849745</v>
      </c>
      <c r="EK310" s="4">
        <f t="shared" si="906"/>
        <v>80.72246279691916</v>
      </c>
      <c r="EL310" s="4">
        <f t="shared" si="907"/>
        <v>3.1780497164141406</v>
      </c>
      <c r="EM310" s="4">
        <f t="shared" si="908"/>
        <v>5.9241815185944208E-2</v>
      </c>
      <c r="EP310" s="4">
        <f t="shared" si="759"/>
        <v>5.9241815185944208E-2</v>
      </c>
      <c r="EQ310" s="4">
        <f t="shared" si="960"/>
        <v>0.17451153280959747</v>
      </c>
      <c r="ER310" s="4">
        <f t="shared" si="770"/>
        <v>3.7730347003531768</v>
      </c>
      <c r="ES310" s="4">
        <f t="shared" si="743"/>
        <v>5.9935587325282373</v>
      </c>
      <c r="ET310" s="4">
        <f t="shared" si="771"/>
        <v>195.50253720308081</v>
      </c>
      <c r="EU310" s="4">
        <f t="shared" si="772"/>
        <v>92.074999999999989</v>
      </c>
      <c r="EV310" s="4">
        <f t="shared" si="832"/>
        <v>2.7440177675293479E-5</v>
      </c>
      <c r="EW310" s="4">
        <f t="shared" si="744"/>
        <v>6.8394706046014724</v>
      </c>
      <c r="EX310" s="4">
        <f t="shared" si="867"/>
        <v>526.20791925423748</v>
      </c>
      <c r="FA310" s="4">
        <f>5.25*25.4</f>
        <v>133.35</v>
      </c>
      <c r="FG310" s="23">
        <f t="shared" si="778"/>
        <v>1.8</v>
      </c>
      <c r="FH310" s="23">
        <f t="shared" si="778"/>
        <v>1.4</v>
      </c>
      <c r="FI310" s="23">
        <f t="shared" si="952"/>
        <v>1.6</v>
      </c>
      <c r="FJ310" s="23">
        <f t="shared" si="779"/>
        <v>2.2000000000000002</v>
      </c>
      <c r="FK310" s="23">
        <f t="shared" si="779"/>
        <v>1.6</v>
      </c>
      <c r="FL310" s="23">
        <f t="shared" si="779"/>
        <v>1.6</v>
      </c>
      <c r="FM310" s="23">
        <f t="shared" si="923"/>
        <v>0</v>
      </c>
      <c r="FN310" s="23"/>
      <c r="FX310" s="4">
        <f t="shared" si="833"/>
        <v>1</v>
      </c>
      <c r="FY310" s="4">
        <f t="shared" si="890"/>
        <v>0.65557988208225493</v>
      </c>
      <c r="FZ310" s="4">
        <f t="shared" si="834"/>
        <v>0.21093749999999997</v>
      </c>
      <c r="GA310" s="4">
        <f t="shared" si="835"/>
        <v>549.0690186926762</v>
      </c>
    </row>
    <row r="311" spans="1:183" ht="12" customHeight="1" x14ac:dyDescent="0.3">
      <c r="A311" s="25">
        <v>293</v>
      </c>
      <c r="B311" s="4" t="s">
        <v>605</v>
      </c>
      <c r="C311" s="4">
        <v>2016</v>
      </c>
      <c r="D311" s="4" t="s">
        <v>309</v>
      </c>
      <c r="E311" s="24" t="s">
        <v>452</v>
      </c>
      <c r="F311" s="7" t="s">
        <v>453</v>
      </c>
      <c r="G311" s="38">
        <f>120/0.145</f>
        <v>827.58620689655174</v>
      </c>
      <c r="H311" s="38">
        <f>9.5*25.4</f>
        <v>241.29999999999998</v>
      </c>
      <c r="I311" s="4">
        <f t="shared" si="746"/>
        <v>241.29999999999998</v>
      </c>
      <c r="J311" s="38">
        <f>16030/145</f>
        <v>110.55172413793103</v>
      </c>
      <c r="K311" s="38">
        <f t="shared" si="747"/>
        <v>25.4</v>
      </c>
      <c r="L311" s="7">
        <f t="shared" si="748"/>
        <v>9.5</v>
      </c>
      <c r="M311" s="7">
        <f t="shared" si="749"/>
        <v>9.5</v>
      </c>
      <c r="N311" s="38">
        <f>17*25.4</f>
        <v>431.79999999999995</v>
      </c>
      <c r="O311" s="38">
        <f>2.5*25.4</f>
        <v>63.5</v>
      </c>
      <c r="P311" s="39">
        <f>4.5*25.4</f>
        <v>114.3</v>
      </c>
      <c r="Q311" s="7">
        <f t="shared" si="750"/>
        <v>253.99999999999994</v>
      </c>
      <c r="R311" s="38">
        <v>2</v>
      </c>
      <c r="S311" s="4">
        <f t="shared" si="722"/>
        <v>260.34999999999997</v>
      </c>
      <c r="T311" s="7">
        <f t="shared" si="751"/>
        <v>3</v>
      </c>
      <c r="U311" s="7">
        <f t="shared" si="859"/>
        <v>3</v>
      </c>
      <c r="V311" s="38">
        <v>4</v>
      </c>
      <c r="W311" s="4">
        <f t="shared" si="752"/>
        <v>4</v>
      </c>
      <c r="X311" s="4">
        <f t="shared" si="753"/>
        <v>5</v>
      </c>
      <c r="Y311" s="7">
        <f t="shared" si="754"/>
        <v>56.796126628494655</v>
      </c>
      <c r="AB311" s="38">
        <f t="shared" si="786"/>
        <v>726.89655172413802</v>
      </c>
      <c r="AC311" s="4">
        <v>105.4</v>
      </c>
      <c r="AD311" s="4">
        <f t="shared" si="899"/>
        <v>0.87833333333333341</v>
      </c>
      <c r="AE311" s="38"/>
      <c r="AF311" s="38"/>
      <c r="AG311" s="39">
        <v>1</v>
      </c>
      <c r="AH311" s="39"/>
      <c r="AI311" s="39"/>
      <c r="AJ311" s="7"/>
      <c r="AK311" s="4">
        <f t="shared" si="755"/>
        <v>241.29999999999998</v>
      </c>
      <c r="AL311" s="4">
        <f t="shared" si="910"/>
        <v>0.59649122807017541</v>
      </c>
      <c r="AM311" s="4">
        <f t="shared" si="911"/>
        <v>388.89417005620368</v>
      </c>
      <c r="AN311" s="4">
        <f t="shared" si="912"/>
        <v>0.76315789473684204</v>
      </c>
      <c r="AO311" s="4">
        <v>1.25</v>
      </c>
      <c r="AP311" s="4">
        <f t="shared" si="844"/>
        <v>2.5</v>
      </c>
      <c r="AQ311" s="38">
        <f t="shared" si="723"/>
        <v>553.22260456402466</v>
      </c>
      <c r="AR311" s="38">
        <f t="shared" si="913"/>
        <v>553.22260456402466</v>
      </c>
      <c r="AS311" s="38">
        <f t="shared" si="914"/>
        <v>5.4139420559889198</v>
      </c>
      <c r="AT311" s="38">
        <f t="shared" si="853"/>
        <v>553.22260456402478</v>
      </c>
      <c r="AU311" s="38">
        <f t="shared" si="820"/>
        <v>0.99999999999999978</v>
      </c>
      <c r="AV311" s="38">
        <f t="shared" si="954"/>
        <v>2.3979871370235051</v>
      </c>
      <c r="AW311" s="4">
        <f t="shared" si="940"/>
        <v>0</v>
      </c>
      <c r="AX311" s="4">
        <f t="shared" si="756"/>
        <v>525.71789996615826</v>
      </c>
      <c r="AY311" s="4">
        <f t="shared" si="724"/>
        <v>1</v>
      </c>
      <c r="AZ311" s="38">
        <f t="shared" si="837"/>
        <v>1326.6206896551723</v>
      </c>
      <c r="BA311" s="4">
        <f t="shared" si="725"/>
        <v>0.44000000000000006</v>
      </c>
      <c r="BB311" s="4">
        <f t="shared" si="726"/>
        <v>120.86254520221979</v>
      </c>
      <c r="BC311" s="4">
        <f t="shared" si="727"/>
        <v>1447.4832348573921</v>
      </c>
      <c r="BE311" s="4">
        <f t="shared" si="854"/>
        <v>1.375</v>
      </c>
      <c r="BF311" s="4">
        <f t="shared" si="860"/>
        <v>845.74867157055712</v>
      </c>
      <c r="BH311" s="4">
        <f t="shared" si="861"/>
        <v>1272.3914765180612</v>
      </c>
      <c r="BI311" s="4">
        <f t="shared" si="806"/>
        <v>0</v>
      </c>
      <c r="BJ311" s="4">
        <f t="shared" si="862"/>
        <v>0</v>
      </c>
      <c r="BR311" s="4">
        <f t="shared" si="728"/>
        <v>63.5</v>
      </c>
      <c r="BV311" s="9"/>
      <c r="BX311" s="9"/>
      <c r="BY311" s="9"/>
      <c r="BZ311" s="9">
        <f t="shared" si="729"/>
        <v>63.5</v>
      </c>
      <c r="CA311" s="9">
        <f t="shared" si="730"/>
        <v>126.99999999999997</v>
      </c>
      <c r="CB311" s="9">
        <f t="shared" si="821"/>
        <v>1.7543833769624846</v>
      </c>
      <c r="CC311" s="40">
        <f t="shared" si="757"/>
        <v>0</v>
      </c>
      <c r="CD311" s="9">
        <f t="shared" si="731"/>
        <v>0</v>
      </c>
      <c r="CE311" s="9">
        <f t="shared" si="732"/>
        <v>0</v>
      </c>
      <c r="CF311" s="9">
        <f t="shared" si="733"/>
        <v>0.99524931562137331</v>
      </c>
      <c r="CG311" s="9">
        <f t="shared" si="734"/>
        <v>0.68</v>
      </c>
      <c r="CH311" s="9">
        <f t="shared" si="822"/>
        <v>2.4905290095198289</v>
      </c>
      <c r="CI311" s="9">
        <f t="shared" si="823"/>
        <v>4.3693426941444296</v>
      </c>
      <c r="CJ311" s="40">
        <v>1</v>
      </c>
      <c r="CK311" s="9">
        <f t="shared" si="824"/>
        <v>428.19558402615405</v>
      </c>
      <c r="CM311" s="4">
        <f t="shared" si="735"/>
        <v>1.3826741523751238</v>
      </c>
      <c r="CN311" s="4">
        <f t="shared" si="736"/>
        <v>0.50217959988721583</v>
      </c>
      <c r="CO311" s="4">
        <f t="shared" si="946"/>
        <v>0.85947111258748954</v>
      </c>
      <c r="CP311" s="4">
        <f t="shared" si="737"/>
        <v>1.6975806823821411</v>
      </c>
      <c r="CQ311" s="4">
        <f t="shared" si="921"/>
        <v>0.87833333333333341</v>
      </c>
      <c r="CR311" s="4">
        <f t="shared" si="922"/>
        <v>0.87833333333333341</v>
      </c>
      <c r="CS311" s="4">
        <f t="shared" si="947"/>
        <v>1.1832182811484149</v>
      </c>
      <c r="CT311" s="4">
        <f t="shared" si="758"/>
        <v>0</v>
      </c>
      <c r="CU311" s="4">
        <f t="shared" ref="CU311:CV313" si="961">CM311</f>
        <v>1.3826741523751238</v>
      </c>
      <c r="CV311" s="4">
        <f t="shared" si="961"/>
        <v>0.50217959988721583</v>
      </c>
      <c r="CW311" s="4">
        <f t="shared" ref="CW311:CW313" si="962">CP311</f>
        <v>1.6975806823821411</v>
      </c>
      <c r="CX311" s="4">
        <f t="shared" ref="CX311:CX313" si="963">CS311</f>
        <v>1.1832182811484149</v>
      </c>
      <c r="CY311" s="4">
        <f t="shared" ref="CY311:CZ313" si="964">CQ311</f>
        <v>0.87833333333333341</v>
      </c>
      <c r="CZ311" s="4">
        <f t="shared" si="964"/>
        <v>0.87833333333333341</v>
      </c>
      <c r="DI311" s="4">
        <f t="shared" si="742"/>
        <v>241.29999999999998</v>
      </c>
      <c r="DL311" s="4">
        <f t="shared" si="900"/>
        <v>2.8000148432523461E-5</v>
      </c>
      <c r="DM311" s="4">
        <f t="shared" si="769"/>
        <v>13.284777517679784</v>
      </c>
      <c r="DN311" s="4">
        <f t="shared" si="901"/>
        <v>0.27647763191291236</v>
      </c>
      <c r="DO311" s="4">
        <f t="shared" si="902"/>
        <v>7.9436168068407298</v>
      </c>
      <c r="DP311" s="4">
        <f t="shared" si="903"/>
        <v>10.946986223421044</v>
      </c>
      <c r="DQ311" s="4">
        <f t="shared" si="904"/>
        <v>11.675816604746906</v>
      </c>
      <c r="DR311" s="38">
        <f t="shared" si="915"/>
        <v>827.58620689655174</v>
      </c>
      <c r="DS311" s="4">
        <f t="shared" si="829"/>
        <v>1</v>
      </c>
      <c r="DT311" s="4">
        <f t="shared" si="905"/>
        <v>2.2360679774997898</v>
      </c>
      <c r="DU311" s="4">
        <f t="shared" si="842"/>
        <v>553.22260456402478</v>
      </c>
      <c r="DY311" s="4">
        <f t="shared" si="785"/>
        <v>0.85</v>
      </c>
      <c r="DZ311" s="4">
        <f t="shared" si="830"/>
        <v>0.85</v>
      </c>
      <c r="EA311" s="4">
        <f t="shared" si="916"/>
        <v>1</v>
      </c>
      <c r="EB311" s="4">
        <f t="shared" si="831"/>
        <v>0.85</v>
      </c>
      <c r="ED311" s="4">
        <f t="shared" si="917"/>
        <v>827.58620689655174</v>
      </c>
      <c r="EE311" s="25">
        <f t="shared" si="918"/>
        <v>547.11762764690559</v>
      </c>
      <c r="EG311" s="4">
        <f t="shared" si="843"/>
        <v>0.72249999999999992</v>
      </c>
      <c r="EH311" s="4">
        <f t="shared" si="919"/>
        <v>13.284777517679784</v>
      </c>
      <c r="EK311" s="4">
        <f t="shared" si="906"/>
        <v>56.796126628494655</v>
      </c>
      <c r="EL311" s="4">
        <f t="shared" si="907"/>
        <v>2.2360679774997898</v>
      </c>
      <c r="EM311" s="4">
        <f t="shared" si="908"/>
        <v>0.15895640293394173</v>
      </c>
      <c r="EP311" s="4">
        <f t="shared" si="759"/>
        <v>0.15895640293394173</v>
      </c>
      <c r="EQ311" s="4">
        <f t="shared" si="960"/>
        <v>0.2760162422736756</v>
      </c>
      <c r="ER311" s="4">
        <f t="shared" si="770"/>
        <v>7.9383115833922018</v>
      </c>
      <c r="ES311" s="4">
        <f t="shared" si="743"/>
        <v>10.945070507495156</v>
      </c>
      <c r="ET311" s="4">
        <f t="shared" si="771"/>
        <v>124.17887337150535</v>
      </c>
      <c r="EU311" s="4">
        <f t="shared" si="772"/>
        <v>60.324999999999989</v>
      </c>
      <c r="EV311" s="4">
        <f t="shared" si="832"/>
        <v>2.8000148432523457E-5</v>
      </c>
      <c r="EW311" s="4">
        <f t="shared" si="744"/>
        <v>11.676208945135416</v>
      </c>
      <c r="EX311" s="4">
        <f t="shared" si="867"/>
        <v>827.58620689655174</v>
      </c>
      <c r="FG311" s="23">
        <f t="shared" si="778"/>
        <v>1.4</v>
      </c>
      <c r="FH311" s="23">
        <f t="shared" si="778"/>
        <v>0.6</v>
      </c>
      <c r="FI311" s="23">
        <f t="shared" si="952"/>
        <v>1.2</v>
      </c>
      <c r="FJ311" s="23">
        <f t="shared" si="779"/>
        <v>1.8</v>
      </c>
      <c r="FK311" s="23">
        <f t="shared" si="779"/>
        <v>1</v>
      </c>
      <c r="FL311" s="23">
        <f t="shared" si="779"/>
        <v>1</v>
      </c>
      <c r="FM311" s="23">
        <f t="shared" si="923"/>
        <v>0</v>
      </c>
      <c r="FN311" s="23"/>
      <c r="FX311" s="4">
        <f t="shared" si="833"/>
        <v>1</v>
      </c>
      <c r="FY311" s="4">
        <f t="shared" si="890"/>
        <v>0.5</v>
      </c>
      <c r="FZ311" s="4">
        <f t="shared" si="834"/>
        <v>0</v>
      </c>
      <c r="GA311" s="4">
        <f t="shared" si="835"/>
        <v>614.33850651683861</v>
      </c>
    </row>
    <row r="312" spans="1:183" ht="12" customHeight="1" x14ac:dyDescent="0.3">
      <c r="A312" s="25">
        <v>294</v>
      </c>
      <c r="B312" s="4" t="s">
        <v>605</v>
      </c>
      <c r="C312" s="4">
        <v>2016</v>
      </c>
      <c r="D312" s="4" t="s">
        <v>309</v>
      </c>
      <c r="E312" s="24" t="s">
        <v>452</v>
      </c>
      <c r="F312" s="7" t="s">
        <v>454</v>
      </c>
      <c r="G312" s="38">
        <f>115.9/0.145</f>
        <v>799.31034482758628</v>
      </c>
      <c r="H312" s="38">
        <f>9.5*25.4</f>
        <v>241.29999999999998</v>
      </c>
      <c r="I312" s="4">
        <f t="shared" si="746"/>
        <v>241.29999999999998</v>
      </c>
      <c r="J312" s="38">
        <f t="shared" ref="J312:J319" si="965">16030/145</f>
        <v>110.55172413793103</v>
      </c>
      <c r="K312" s="38">
        <f t="shared" si="747"/>
        <v>25.4</v>
      </c>
      <c r="L312" s="7">
        <f t="shared" si="748"/>
        <v>9.5</v>
      </c>
      <c r="M312" s="7">
        <f t="shared" si="749"/>
        <v>9.5</v>
      </c>
      <c r="N312" s="38">
        <f>17.3*25.4</f>
        <v>439.42</v>
      </c>
      <c r="O312" s="38">
        <f>2.65*25.4</f>
        <v>67.309999999999988</v>
      </c>
      <c r="P312" s="39">
        <f>2.9*25.4</f>
        <v>73.66</v>
      </c>
      <c r="Q312" s="7">
        <f t="shared" si="750"/>
        <v>254.00000000000003</v>
      </c>
      <c r="R312" s="38">
        <v>2</v>
      </c>
      <c r="S312" s="4">
        <f t="shared" ref="S312:S373" si="966">10.25*25.4</f>
        <v>260.34999999999997</v>
      </c>
      <c r="T312" s="7">
        <f t="shared" si="751"/>
        <v>3.1499999999999995</v>
      </c>
      <c r="U312" s="7">
        <f t="shared" si="859"/>
        <v>3.1499999999999995</v>
      </c>
      <c r="V312" s="38">
        <v>9.5</v>
      </c>
      <c r="W312" s="4">
        <f t="shared" si="752"/>
        <v>9.5</v>
      </c>
      <c r="X312" s="4">
        <f t="shared" si="753"/>
        <v>10.5</v>
      </c>
      <c r="Y312" s="7">
        <f t="shared" si="754"/>
        <v>82.305406869779816</v>
      </c>
      <c r="AB312" s="38">
        <f t="shared" si="786"/>
        <v>713.10344827586221</v>
      </c>
      <c r="AC312" s="4">
        <v>103.4</v>
      </c>
      <c r="AD312" s="4">
        <f t="shared" si="899"/>
        <v>0.89214840379637628</v>
      </c>
      <c r="AE312" s="38"/>
      <c r="AF312" s="38"/>
      <c r="AG312" s="39">
        <v>1</v>
      </c>
      <c r="AH312" s="39"/>
      <c r="AI312" s="39"/>
      <c r="AJ312" s="7"/>
      <c r="AK312" s="4">
        <f t="shared" si="755"/>
        <v>241.29999999999998</v>
      </c>
      <c r="AL312" s="4">
        <f t="shared" si="910"/>
        <v>0.60701754385964912</v>
      </c>
      <c r="AM312" s="4">
        <f t="shared" si="911"/>
        <v>388.89417005620368</v>
      </c>
      <c r="AN312" s="4">
        <f t="shared" si="912"/>
        <v>0.76631578947368417</v>
      </c>
      <c r="AO312" s="4">
        <v>1.25</v>
      </c>
      <c r="AP312" s="4">
        <f t="shared" si="844"/>
        <v>2.5</v>
      </c>
      <c r="AQ312" s="38">
        <f t="shared" ref="AQ312:AQ375" si="967">AL312*AN312*AO312*AP312*AM312</f>
        <v>565.31495098751748</v>
      </c>
      <c r="AR312" s="38">
        <f t="shared" si="913"/>
        <v>565.31495098751748</v>
      </c>
      <c r="AS312" s="38">
        <f t="shared" si="914"/>
        <v>5.4139420559889198</v>
      </c>
      <c r="AT312" s="38">
        <f t="shared" si="853"/>
        <v>565.31495098751748</v>
      </c>
      <c r="AU312" s="38">
        <f t="shared" si="820"/>
        <v>1</v>
      </c>
      <c r="AV312" s="38">
        <f t="shared" si="954"/>
        <v>3.7973217844035227</v>
      </c>
      <c r="AW312" s="4">
        <f t="shared" si="940"/>
        <v>0</v>
      </c>
      <c r="AX312" s="4">
        <f t="shared" si="756"/>
        <v>525.71789996615826</v>
      </c>
      <c r="AY312" s="4">
        <f t="shared" ref="AY312:AY375" si="968">MIN(0.6+0.4*(U312/T312),2)</f>
        <v>1</v>
      </c>
      <c r="AZ312" s="38">
        <f t="shared" si="837"/>
        <v>2146.6827784339098</v>
      </c>
      <c r="BA312" s="4">
        <f t="shared" ref="BA312:BA375" si="969">MAX(1-0.7*W312/5,0.3)</f>
        <v>0.3</v>
      </c>
      <c r="BB312" s="4">
        <f t="shared" ref="BB312:BB375" si="970">BA312*G312*I312/(G312*K312/2.75/J312^0.5)</f>
        <v>82.406280819695297</v>
      </c>
      <c r="BC312" s="4">
        <f t="shared" ref="BC312:BC375" si="971">AZ312+BB312</f>
        <v>2229.0890592536052</v>
      </c>
      <c r="BE312" s="4">
        <f t="shared" si="854"/>
        <v>1.4124999999999999</v>
      </c>
      <c r="BF312" s="4">
        <f t="shared" si="860"/>
        <v>868.81454443157224</v>
      </c>
      <c r="BH312" s="4">
        <f t="shared" si="861"/>
        <v>2058.9313067154058</v>
      </c>
      <c r="BI312" s="4">
        <f t="shared" si="806"/>
        <v>0</v>
      </c>
      <c r="BJ312" s="4">
        <f t="shared" si="862"/>
        <v>0</v>
      </c>
      <c r="BR312" s="4">
        <f t="shared" ref="BR312:BR375" si="972">IF(Q312=0,O312,MIN(Q312/2,O312))</f>
        <v>67.309999999999988</v>
      </c>
      <c r="BV312" s="9"/>
      <c r="BX312" s="9"/>
      <c r="BY312" s="9"/>
      <c r="BZ312" s="9">
        <f t="shared" ref="BZ312:BZ375" si="973">IF(Q312=0,MIN(O312,P312),MIN(Q312/2,O312,P312))</f>
        <v>67.309999999999988</v>
      </c>
      <c r="CA312" s="9">
        <f t="shared" ref="CA312:CA375" si="974">MAX(Q312/2,O312)</f>
        <v>127.00000000000001</v>
      </c>
      <c r="CB312" s="9">
        <f t="shared" si="821"/>
        <v>1.7905298128039189</v>
      </c>
      <c r="CC312" s="40">
        <f t="shared" si="757"/>
        <v>0</v>
      </c>
      <c r="CD312" s="9">
        <f t="shared" ref="CD312:CD375" si="975">MIN(PI()*AE312^2/4*AF312*2/R312/K312/MAX(0.01,AG312),0.05)</f>
        <v>0</v>
      </c>
      <c r="CE312" s="9">
        <f t="shared" ref="CE312:CE375" si="976">MAX(0,CC312*(CD312-0.5/50))</f>
        <v>0</v>
      </c>
      <c r="CF312" s="9">
        <f t="shared" ref="CF312:CF375" si="977">MIN(1,(25/K312)^0.3)</f>
        <v>0.99524931562137331</v>
      </c>
      <c r="CG312" s="9">
        <f t="shared" ref="CG312:CG375" si="978">IF(G312&gt;=800,0.68,IF(G312&gt;=700,0.75-(G312-700)*0.07/100,IF(G312&gt;=600,0.85-(G312-600)*0.1/100,IF(G312&gt;=500,1-(G312-500)*0.15/100,1.2-(G312-400)*0.2/100))))</f>
        <v>0.68048275862068963</v>
      </c>
      <c r="CH312" s="9">
        <f t="shared" si="822"/>
        <v>2.4922971335630986</v>
      </c>
      <c r="CI312" s="9">
        <f t="shared" si="823"/>
        <v>4.4625323200104781</v>
      </c>
      <c r="CJ312" s="40">
        <v>1</v>
      </c>
      <c r="CK312" s="9">
        <f t="shared" si="824"/>
        <v>437.32816736102683</v>
      </c>
      <c r="CM312" s="4">
        <f t="shared" ref="CM312:CM375" si="979">AB312/AX312</f>
        <v>1.3564374511915354</v>
      </c>
      <c r="CN312" s="4">
        <f t="shared" ref="CN312:CN375" si="980">AB312/BC312</f>
        <v>0.31990801144331121</v>
      </c>
      <c r="CO312" s="4">
        <f t="shared" si="946"/>
        <v>0.82077752133214454</v>
      </c>
      <c r="CP312" s="4">
        <f t="shared" ref="CP312:CP375" si="981">AB312/CK312</f>
        <v>1.6305911704223137</v>
      </c>
      <c r="CQ312" s="4">
        <f t="shared" si="921"/>
        <v>0.89214840379637628</v>
      </c>
      <c r="CR312" s="4">
        <f t="shared" si="922"/>
        <v>0.89214840379637628</v>
      </c>
      <c r="CS312" s="4">
        <f t="shared" si="947"/>
        <v>1.1607663213543273</v>
      </c>
      <c r="CT312" s="4">
        <f t="shared" si="758"/>
        <v>0</v>
      </c>
      <c r="CU312" s="4">
        <f t="shared" si="961"/>
        <v>1.3564374511915354</v>
      </c>
      <c r="CV312" s="4">
        <f t="shared" si="961"/>
        <v>0.31990801144331121</v>
      </c>
      <c r="CW312" s="4">
        <f t="shared" si="962"/>
        <v>1.6305911704223137</v>
      </c>
      <c r="CX312" s="4">
        <f t="shared" si="963"/>
        <v>1.1607663213543273</v>
      </c>
      <c r="CY312" s="4">
        <f t="shared" si="964"/>
        <v>0.89214840379637628</v>
      </c>
      <c r="CZ312" s="4">
        <f t="shared" si="964"/>
        <v>0.89214840379637628</v>
      </c>
      <c r="DI312" s="4">
        <f t="shared" ref="DI312:DI375" si="982">I312</f>
        <v>241.29999999999998</v>
      </c>
      <c r="DL312" s="4">
        <f t="shared" si="900"/>
        <v>2.8000148432523461E-5</v>
      </c>
      <c r="DM312" s="4">
        <f t="shared" si="769"/>
        <v>13.523426215602175</v>
      </c>
      <c r="DN312" s="4">
        <f t="shared" si="901"/>
        <v>0.17238385513177032</v>
      </c>
      <c r="DO312" s="4">
        <f t="shared" si="902"/>
        <v>6.6939948114044903</v>
      </c>
      <c r="DP312" s="4">
        <f t="shared" si="903"/>
        <v>10.675661364855177</v>
      </c>
      <c r="DQ312" s="4">
        <f t="shared" si="904"/>
        <v>12.03357545451744</v>
      </c>
      <c r="DR312" s="38">
        <f t="shared" si="915"/>
        <v>799.31034482758628</v>
      </c>
      <c r="DS312" s="4">
        <f t="shared" si="829"/>
        <v>1</v>
      </c>
      <c r="DT312" s="4">
        <f t="shared" si="905"/>
        <v>3.2403703492039297</v>
      </c>
      <c r="DU312" s="4">
        <f t="shared" si="842"/>
        <v>565.31495098751748</v>
      </c>
      <c r="DY312" s="4">
        <f t="shared" si="785"/>
        <v>0.85</v>
      </c>
      <c r="DZ312" s="4">
        <f t="shared" si="830"/>
        <v>0.83499999999999996</v>
      </c>
      <c r="EA312" s="4">
        <f t="shared" si="916"/>
        <v>1</v>
      </c>
      <c r="EB312" s="4">
        <f t="shared" si="831"/>
        <v>0.83499999999999996</v>
      </c>
      <c r="ED312" s="4">
        <f t="shared" si="917"/>
        <v>799.31034482758628</v>
      </c>
      <c r="EE312" s="25">
        <f t="shared" si="918"/>
        <v>559.10875360372461</v>
      </c>
      <c r="EG312" s="4">
        <f t="shared" si="843"/>
        <v>0.70974999999999999</v>
      </c>
      <c r="EH312" s="4">
        <f t="shared" si="919"/>
        <v>13.523426215602175</v>
      </c>
      <c r="EK312" s="4">
        <f t="shared" si="906"/>
        <v>82.305406869779816</v>
      </c>
      <c r="EL312" s="4">
        <f t="shared" si="907"/>
        <v>3.2403703492039302</v>
      </c>
      <c r="EM312" s="4">
        <f t="shared" si="908"/>
        <v>9.9109346915497026E-2</v>
      </c>
      <c r="EP312" s="4">
        <f t="shared" si="759"/>
        <v>9.9109346915497026E-2</v>
      </c>
      <c r="EQ312" s="4">
        <f t="shared" si="960"/>
        <v>0.17209617860553858</v>
      </c>
      <c r="ER312" s="4">
        <f t="shared" si="770"/>
        <v>6.6895241604275695</v>
      </c>
      <c r="ES312" s="4">
        <f t="shared" ref="ES312:ES375" si="983">EH312/1.4*(1-EQ312^1.4)/(1-EQ312)</f>
        <v>10.674277055571464</v>
      </c>
      <c r="ET312" s="4">
        <f t="shared" si="771"/>
        <v>98.669593130220179</v>
      </c>
      <c r="EU312" s="4">
        <f t="shared" si="772"/>
        <v>60.324999999999974</v>
      </c>
      <c r="EV312" s="4">
        <f t="shared" si="832"/>
        <v>2.8000148432523447E-5</v>
      </c>
      <c r="EW312" s="4">
        <f t="shared" ref="EW312:EW375" si="984">MAX(0.5*EH312, (1-2*EV312*(EK312*ER312+ET312*ES312))/(1/EH312+EV312*EU312))</f>
        <v>12.033949023453868</v>
      </c>
      <c r="EX312" s="4">
        <f t="shared" si="867"/>
        <v>799.31034482758628</v>
      </c>
      <c r="FG312" s="23">
        <f t="shared" si="778"/>
        <v>1.4</v>
      </c>
      <c r="FH312" s="23">
        <f t="shared" si="778"/>
        <v>0.6</v>
      </c>
      <c r="FI312" s="23">
        <f t="shared" si="952"/>
        <v>1.2</v>
      </c>
      <c r="FJ312" s="23">
        <f t="shared" si="779"/>
        <v>1.8</v>
      </c>
      <c r="FK312" s="23">
        <f t="shared" si="779"/>
        <v>1</v>
      </c>
      <c r="FL312" s="23">
        <f t="shared" si="779"/>
        <v>1</v>
      </c>
      <c r="FM312" s="23">
        <f t="shared" si="923"/>
        <v>0</v>
      </c>
      <c r="FN312" s="23"/>
      <c r="FX312" s="4">
        <f t="shared" si="833"/>
        <v>1</v>
      </c>
      <c r="FY312" s="4">
        <f t="shared" si="890"/>
        <v>0.5</v>
      </c>
      <c r="FZ312" s="4">
        <f t="shared" si="834"/>
        <v>0</v>
      </c>
      <c r="GA312" s="4">
        <f t="shared" si="835"/>
        <v>614.33850651683861</v>
      </c>
    </row>
    <row r="313" spans="1:183" ht="12" customHeight="1" x14ac:dyDescent="0.3">
      <c r="A313" s="25">
        <v>295</v>
      </c>
      <c r="B313" s="4" t="s">
        <v>605</v>
      </c>
      <c r="C313" s="4">
        <v>2016</v>
      </c>
      <c r="D313" s="4" t="s">
        <v>309</v>
      </c>
      <c r="E313" s="24" t="s">
        <v>668</v>
      </c>
      <c r="F313" s="7" t="s">
        <v>455</v>
      </c>
      <c r="G313" s="38">
        <f>115.9/0.145</f>
        <v>799.31034482758628</v>
      </c>
      <c r="H313" s="38">
        <f>9.69*25.4</f>
        <v>246.12599999999998</v>
      </c>
      <c r="I313" s="4">
        <f t="shared" ref="I313:I376" si="985">H313</f>
        <v>246.12599999999998</v>
      </c>
      <c r="J313" s="38">
        <f t="shared" si="965"/>
        <v>110.55172413793103</v>
      </c>
      <c r="K313" s="38">
        <f t="shared" ref="K313:K373" si="986">1*25.4</f>
        <v>25.4</v>
      </c>
      <c r="L313" s="7">
        <f t="shared" ref="L313:L376" si="987">H313/K313</f>
        <v>9.69</v>
      </c>
      <c r="M313" s="7">
        <f t="shared" ref="M313:M376" si="988">I313/K313</f>
        <v>9.69</v>
      </c>
      <c r="N313" s="38">
        <f>16.8*25.4</f>
        <v>426.71999999999997</v>
      </c>
      <c r="O313" s="38">
        <f>2.5*25.4</f>
        <v>63.5</v>
      </c>
      <c r="P313" s="39">
        <f>2.85*25.4</f>
        <v>72.39</v>
      </c>
      <c r="Q313" s="7">
        <f t="shared" ref="Q313:Q376" si="989">(N313-R313*K313-2*O313)/(R313-1)</f>
        <v>248.91999999999996</v>
      </c>
      <c r="R313" s="38">
        <v>2</v>
      </c>
      <c r="S313" s="4">
        <f t="shared" si="966"/>
        <v>260.34999999999997</v>
      </c>
      <c r="T313" s="7">
        <f t="shared" ref="T313:T376" si="990">MIN(O313/K313+0.5, Q313/2/K313+0.5)</f>
        <v>3</v>
      </c>
      <c r="U313" s="7">
        <f t="shared" si="859"/>
        <v>3</v>
      </c>
      <c r="V313" s="38">
        <v>14.9</v>
      </c>
      <c r="W313" s="4">
        <f t="shared" ref="W313:W376" si="991">V313</f>
        <v>14.9</v>
      </c>
      <c r="X313" s="4">
        <f t="shared" ref="X313:X376" si="992">W313+1</f>
        <v>15.9</v>
      </c>
      <c r="Y313" s="7">
        <f t="shared" ref="Y313:Y376" si="993">K313*X313^0.5</f>
        <v>101.28200234987457</v>
      </c>
      <c r="AB313" s="38">
        <f t="shared" si="786"/>
        <v>760.68965517241384</v>
      </c>
      <c r="AC313" s="4">
        <v>110.3</v>
      </c>
      <c r="AD313" s="4">
        <f t="shared" si="899"/>
        <v>0.95168248490077645</v>
      </c>
      <c r="AE313" s="38"/>
      <c r="AF313" s="38"/>
      <c r="AG313" s="39">
        <v>1</v>
      </c>
      <c r="AH313" s="39"/>
      <c r="AI313" s="39"/>
      <c r="AJ313" s="7"/>
      <c r="AK313" s="4">
        <f t="shared" ref="AK313:AK376" si="994">H313</f>
        <v>246.12599999999998</v>
      </c>
      <c r="AL313" s="4">
        <f t="shared" si="910"/>
        <v>0.57791537667698656</v>
      </c>
      <c r="AM313" s="4">
        <f t="shared" si="911"/>
        <v>400.61913628025081</v>
      </c>
      <c r="AN313" s="4">
        <f t="shared" si="912"/>
        <v>0.76191950464396285</v>
      </c>
      <c r="AO313" s="4">
        <v>1.25</v>
      </c>
      <c r="AP313" s="4">
        <f t="shared" si="844"/>
        <v>2.5</v>
      </c>
      <c r="AQ313" s="38">
        <f t="shared" si="967"/>
        <v>551.25818809566204</v>
      </c>
      <c r="AR313" s="38">
        <f t="shared" si="913"/>
        <v>551.25818809566204</v>
      </c>
      <c r="AS313" s="38">
        <f t="shared" si="914"/>
        <v>5.4139420559889198</v>
      </c>
      <c r="AT313" s="38">
        <f t="shared" si="853"/>
        <v>551.25818809566215</v>
      </c>
      <c r="AU313" s="38">
        <f t="shared" si="820"/>
        <v>0.99999999999999978</v>
      </c>
      <c r="AV313" s="38">
        <f t="shared" si="954"/>
        <v>4.6446698743115062</v>
      </c>
      <c r="AW313" s="4">
        <f t="shared" si="940"/>
        <v>0</v>
      </c>
      <c r="AX313" s="4">
        <f t="shared" ref="AX313:AX376" si="995">I313/K313*J313^0.5/0.19</f>
        <v>536.23225796548138</v>
      </c>
      <c r="AY313" s="4">
        <f t="shared" si="968"/>
        <v>1</v>
      </c>
      <c r="AZ313" s="38">
        <f t="shared" si="837"/>
        <v>2560.412299215468</v>
      </c>
      <c r="BA313" s="4">
        <f t="shared" si="969"/>
        <v>0.3</v>
      </c>
      <c r="BB313" s="4">
        <f t="shared" si="970"/>
        <v>84.054406436089209</v>
      </c>
      <c r="BC313" s="4">
        <f t="shared" si="971"/>
        <v>2644.4667056515573</v>
      </c>
      <c r="BE313" s="4">
        <f t="shared" si="854"/>
        <v>1.375</v>
      </c>
      <c r="BF313" s="4">
        <f t="shared" si="860"/>
        <v>853.9892996525266</v>
      </c>
      <c r="BH313" s="4">
        <f t="shared" si="861"/>
        <v>2455.7485129683778</v>
      </c>
      <c r="BI313" s="4">
        <f t="shared" si="806"/>
        <v>0</v>
      </c>
      <c r="BJ313" s="4">
        <f t="shared" si="862"/>
        <v>0</v>
      </c>
      <c r="BR313" s="4">
        <f t="shared" si="972"/>
        <v>63.5</v>
      </c>
      <c r="BV313" s="9"/>
      <c r="BX313" s="9"/>
      <c r="BY313" s="9"/>
      <c r="BZ313" s="9">
        <f t="shared" si="973"/>
        <v>63.5</v>
      </c>
      <c r="CA313" s="9">
        <f t="shared" si="974"/>
        <v>124.45999999999998</v>
      </c>
      <c r="CB313" s="9">
        <f t="shared" si="821"/>
        <v>1.7490749303163509</v>
      </c>
      <c r="CC313" s="40">
        <f t="shared" ref="CC313:CC376" si="996">IF(AG313&gt;1,20,0)</f>
        <v>0</v>
      </c>
      <c r="CD313" s="9">
        <f t="shared" si="975"/>
        <v>0</v>
      </c>
      <c r="CE313" s="9">
        <f t="shared" si="976"/>
        <v>0</v>
      </c>
      <c r="CF313" s="9">
        <f t="shared" si="977"/>
        <v>0.99524931562137331</v>
      </c>
      <c r="CG313" s="9">
        <f t="shared" si="978"/>
        <v>0.68048275862068963</v>
      </c>
      <c r="CH313" s="9">
        <f t="shared" si="822"/>
        <v>2.4922971335630986</v>
      </c>
      <c r="CI313" s="9">
        <f t="shared" si="823"/>
        <v>4.3592144352145175</v>
      </c>
      <c r="CJ313" s="40">
        <v>1</v>
      </c>
      <c r="CK313" s="9">
        <f t="shared" si="824"/>
        <v>430.51601762178575</v>
      </c>
      <c r="CM313" s="4">
        <f t="shared" si="979"/>
        <v>1.4185824218381531</v>
      </c>
      <c r="CN313" s="4">
        <f t="shared" si="980"/>
        <v>0.28765333046043823</v>
      </c>
      <c r="CO313" s="4">
        <f t="shared" si="946"/>
        <v>0.89074846193263224</v>
      </c>
      <c r="CP313" s="4">
        <f t="shared" si="981"/>
        <v>1.766925326900822</v>
      </c>
      <c r="CQ313" s="4">
        <f t="shared" si="921"/>
        <v>0.95168248490077645</v>
      </c>
      <c r="CR313" s="4">
        <f t="shared" si="922"/>
        <v>0.95168248490077645</v>
      </c>
      <c r="CS313" s="4">
        <f t="shared" si="947"/>
        <v>1.213946649650911</v>
      </c>
      <c r="CT313" s="4">
        <f t="shared" ref="CT313:CT376" si="997">AF313</f>
        <v>0</v>
      </c>
      <c r="CU313" s="4">
        <f t="shared" si="961"/>
        <v>1.4185824218381531</v>
      </c>
      <c r="CV313" s="4">
        <f t="shared" si="961"/>
        <v>0.28765333046043823</v>
      </c>
      <c r="CW313" s="4">
        <f t="shared" si="962"/>
        <v>1.766925326900822</v>
      </c>
      <c r="CX313" s="4">
        <f t="shared" si="963"/>
        <v>1.213946649650911</v>
      </c>
      <c r="CY313" s="4">
        <f t="shared" si="964"/>
        <v>0.95168248490077645</v>
      </c>
      <c r="CZ313" s="4">
        <f t="shared" si="964"/>
        <v>0.95168248490077645</v>
      </c>
      <c r="DI313" s="4">
        <f t="shared" si="982"/>
        <v>246.12599999999998</v>
      </c>
      <c r="DL313" s="4">
        <f t="shared" si="900"/>
        <v>2.8560151401173934E-5</v>
      </c>
      <c r="DM313" s="4">
        <f t="shared" si="769"/>
        <v>13.284777517679784</v>
      </c>
      <c r="DN313" s="4">
        <f t="shared" si="901"/>
        <v>0.13188713077629979</v>
      </c>
      <c r="DO313" s="4">
        <f t="shared" si="902"/>
        <v>5.907928813162874</v>
      </c>
      <c r="DP313" s="4">
        <f t="shared" si="903"/>
        <v>10.289641047041734</v>
      </c>
      <c r="DQ313" s="4">
        <f t="shared" si="904"/>
        <v>11.902334914317441</v>
      </c>
      <c r="DR313" s="38">
        <f t="shared" si="915"/>
        <v>799.31034482758628</v>
      </c>
      <c r="DS313" s="4">
        <f t="shared" si="829"/>
        <v>1</v>
      </c>
      <c r="DT313" s="4">
        <f t="shared" si="905"/>
        <v>3.9874804074753771</v>
      </c>
      <c r="DU313" s="4">
        <f t="shared" si="842"/>
        <v>551.25818809566215</v>
      </c>
      <c r="DY313" s="4">
        <f t="shared" si="785"/>
        <v>0.85</v>
      </c>
      <c r="DZ313" s="4">
        <f t="shared" si="830"/>
        <v>0.85</v>
      </c>
      <c r="EA313" s="4">
        <f t="shared" si="916"/>
        <v>1</v>
      </c>
      <c r="EB313" s="4">
        <f t="shared" si="831"/>
        <v>0.85</v>
      </c>
      <c r="ED313" s="4">
        <f t="shared" si="917"/>
        <v>799.31034482758628</v>
      </c>
      <c r="EE313" s="25">
        <f t="shared" si="918"/>
        <v>545.31224539901723</v>
      </c>
      <c r="EG313" s="4">
        <f t="shared" si="843"/>
        <v>0.72249999999999992</v>
      </c>
      <c r="EH313" s="4">
        <f t="shared" si="919"/>
        <v>13.284777517679784</v>
      </c>
      <c r="EK313" s="4">
        <f t="shared" si="906"/>
        <v>101.28200234987457</v>
      </c>
      <c r="EL313" s="4">
        <f t="shared" si="907"/>
        <v>3.9874804074753771</v>
      </c>
      <c r="EM313" s="4">
        <f t="shared" si="908"/>
        <v>7.5826401421444881E-2</v>
      </c>
      <c r="EP313" s="4">
        <f t="shared" ref="EP313:EP376" si="998">EM313</f>
        <v>7.5826401421444881E-2</v>
      </c>
      <c r="EQ313" s="4">
        <f t="shared" si="960"/>
        <v>0.13166703573545388</v>
      </c>
      <c r="ER313" s="4">
        <f t="shared" si="770"/>
        <v>5.9039831441768227</v>
      </c>
      <c r="ES313" s="4">
        <f t="shared" si="983"/>
        <v>10.288529921112668</v>
      </c>
      <c r="ET313" s="4">
        <f t="shared" si="771"/>
        <v>83.312497650125408</v>
      </c>
      <c r="EU313" s="4">
        <f t="shared" si="772"/>
        <v>61.531499999999994</v>
      </c>
      <c r="EV313" s="4">
        <f t="shared" si="832"/>
        <v>2.8560151401173934E-5</v>
      </c>
      <c r="EW313" s="4">
        <f t="shared" si="984"/>
        <v>11.902699886961971</v>
      </c>
      <c r="EX313" s="4">
        <f t="shared" si="867"/>
        <v>799.31034482758628</v>
      </c>
      <c r="FG313" s="23">
        <f t="shared" si="778"/>
        <v>1.6</v>
      </c>
      <c r="FH313" s="23">
        <f t="shared" si="778"/>
        <v>0.6</v>
      </c>
      <c r="FI313" s="23">
        <f t="shared" si="952"/>
        <v>1.4</v>
      </c>
      <c r="FJ313" s="23">
        <f t="shared" si="779"/>
        <v>1.8</v>
      </c>
      <c r="FK313" s="23">
        <f t="shared" si="779"/>
        <v>1</v>
      </c>
      <c r="FL313" s="23">
        <f t="shared" si="779"/>
        <v>1</v>
      </c>
      <c r="FM313" s="23">
        <f t="shared" si="923"/>
        <v>0</v>
      </c>
      <c r="FN313" s="23"/>
      <c r="FX313" s="4">
        <f t="shared" si="833"/>
        <v>1</v>
      </c>
      <c r="FY313" s="4">
        <f t="shared" si="890"/>
        <v>0.5</v>
      </c>
      <c r="FZ313" s="4">
        <f t="shared" si="834"/>
        <v>0</v>
      </c>
      <c r="GA313" s="4">
        <f t="shared" si="835"/>
        <v>626.62527664717538</v>
      </c>
    </row>
    <row r="314" spans="1:183" ht="12" customHeight="1" x14ac:dyDescent="0.3">
      <c r="A314" s="25">
        <v>296</v>
      </c>
      <c r="B314" s="4" t="s">
        <v>605</v>
      </c>
      <c r="C314" s="4">
        <v>2016</v>
      </c>
      <c r="D314" s="4" t="s">
        <v>309</v>
      </c>
      <c r="E314" s="24" t="s">
        <v>668</v>
      </c>
      <c r="F314" s="7" t="s">
        <v>456</v>
      </c>
      <c r="G314" s="38">
        <f>120/0.145</f>
        <v>827.58620689655174</v>
      </c>
      <c r="H314" s="38">
        <f>7.06*25.4</f>
        <v>179.32399999999998</v>
      </c>
      <c r="I314" s="4">
        <f t="shared" si="985"/>
        <v>179.32399999999998</v>
      </c>
      <c r="J314" s="38">
        <f t="shared" si="965"/>
        <v>110.55172413793103</v>
      </c>
      <c r="K314" s="38">
        <f t="shared" si="986"/>
        <v>25.4</v>
      </c>
      <c r="L314" s="7">
        <f t="shared" si="987"/>
        <v>7.06</v>
      </c>
      <c r="M314" s="7">
        <f t="shared" si="988"/>
        <v>7.06</v>
      </c>
      <c r="N314" s="38">
        <f>17*25.4</f>
        <v>431.79999999999995</v>
      </c>
      <c r="O314" s="38">
        <f t="shared" ref="O314:O359" si="999">2.5*25.4</f>
        <v>63.5</v>
      </c>
      <c r="P314" s="39">
        <f>4.55*25.4</f>
        <v>115.57</v>
      </c>
      <c r="Q314" s="7">
        <f t="shared" si="989"/>
        <v>253.99999999999994</v>
      </c>
      <c r="R314" s="38">
        <v>2</v>
      </c>
      <c r="S314" s="4">
        <f t="shared" si="966"/>
        <v>260.34999999999997</v>
      </c>
      <c r="T314" s="7">
        <f t="shared" si="990"/>
        <v>3</v>
      </c>
      <c r="U314" s="7">
        <f t="shared" si="859"/>
        <v>3</v>
      </c>
      <c r="V314" s="38">
        <v>4</v>
      </c>
      <c r="W314" s="4">
        <f t="shared" si="991"/>
        <v>4</v>
      </c>
      <c r="X314" s="4">
        <f t="shared" si="992"/>
        <v>5</v>
      </c>
      <c r="Y314" s="7">
        <f t="shared" si="993"/>
        <v>56.796126628494655</v>
      </c>
      <c r="AB314" s="38">
        <f t="shared" si="786"/>
        <v>515.17241379310349</v>
      </c>
      <c r="AC314" s="4">
        <v>74.7</v>
      </c>
      <c r="AD314" s="4">
        <f t="shared" si="899"/>
        <v>0.64304013454181963</v>
      </c>
      <c r="AE314" s="38">
        <f>0.5*25.4</f>
        <v>12.7</v>
      </c>
      <c r="AF314" s="38">
        <v>4</v>
      </c>
      <c r="AG314" s="39">
        <f>5.5*25.4</f>
        <v>139.69999999999999</v>
      </c>
      <c r="AH314" s="39">
        <v>1</v>
      </c>
      <c r="AI314" s="39">
        <v>1</v>
      </c>
      <c r="AJ314" s="7"/>
      <c r="AK314" s="4">
        <f t="shared" si="994"/>
        <v>179.32399999999998</v>
      </c>
      <c r="AL314" s="4">
        <f t="shared" si="910"/>
        <v>0.80264400377714828</v>
      </c>
      <c r="AM314" s="4">
        <f t="shared" si="911"/>
        <v>249.14551653979098</v>
      </c>
      <c r="AN314" s="4">
        <f t="shared" si="912"/>
        <v>0.784985835694051</v>
      </c>
      <c r="AO314" s="4">
        <v>1.25</v>
      </c>
      <c r="AP314" s="4">
        <f t="shared" si="844"/>
        <v>2.5</v>
      </c>
      <c r="AQ314" s="38">
        <f t="shared" si="967"/>
        <v>490.55520031825944</v>
      </c>
      <c r="AR314" s="38">
        <f t="shared" si="913"/>
        <v>490.55520031825944</v>
      </c>
      <c r="AS314" s="38">
        <f t="shared" si="914"/>
        <v>5.4139420559889198</v>
      </c>
      <c r="AT314" s="38">
        <f t="shared" si="853"/>
        <v>490.55520031825927</v>
      </c>
      <c r="AU314" s="38">
        <f t="shared" si="820"/>
        <v>1.0000000000000004</v>
      </c>
      <c r="AV314" s="38">
        <f t="shared" si="954"/>
        <v>2.7043249950148236</v>
      </c>
      <c r="AW314" s="4">
        <f t="shared" si="940"/>
        <v>0</v>
      </c>
      <c r="AX314" s="4">
        <f t="shared" si="995"/>
        <v>390.69140776432391</v>
      </c>
      <c r="AY314" s="4">
        <f t="shared" si="968"/>
        <v>1</v>
      </c>
      <c r="AZ314" s="38">
        <f t="shared" si="837"/>
        <v>1326.6206896551723</v>
      </c>
      <c r="BA314" s="4">
        <f t="shared" si="969"/>
        <v>0.44000000000000006</v>
      </c>
      <c r="BB314" s="4">
        <f t="shared" si="970"/>
        <v>89.819954645018072</v>
      </c>
      <c r="BC314" s="4">
        <f t="shared" si="971"/>
        <v>1416.4406443001903</v>
      </c>
      <c r="BE314" s="4">
        <f t="shared" si="854"/>
        <v>1.5</v>
      </c>
      <c r="BF314" s="4">
        <f t="shared" si="860"/>
        <v>807.1872636080393</v>
      </c>
      <c r="BH314" s="4">
        <f t="shared" si="861"/>
        <v>1272.3914765180612</v>
      </c>
      <c r="BI314" s="4">
        <f t="shared" si="806"/>
        <v>0</v>
      </c>
      <c r="BJ314" s="4">
        <f t="shared" si="862"/>
        <v>0</v>
      </c>
      <c r="BR314" s="4">
        <f t="shared" si="972"/>
        <v>63.5</v>
      </c>
      <c r="BV314" s="9"/>
      <c r="BX314" s="9"/>
      <c r="BY314" s="9"/>
      <c r="BZ314" s="9">
        <f t="shared" si="973"/>
        <v>63.5</v>
      </c>
      <c r="CA314" s="9">
        <f t="shared" si="974"/>
        <v>126.99999999999997</v>
      </c>
      <c r="CB314" s="9">
        <f t="shared" si="821"/>
        <v>1.7543833769624846</v>
      </c>
      <c r="CC314" s="40">
        <f t="shared" si="996"/>
        <v>20</v>
      </c>
      <c r="CD314" s="9">
        <f t="shared" si="975"/>
        <v>0.05</v>
      </c>
      <c r="CE314" s="9">
        <f t="shared" si="976"/>
        <v>0.8</v>
      </c>
      <c r="CF314" s="9">
        <f t="shared" si="977"/>
        <v>0.99524931562137331</v>
      </c>
      <c r="CG314" s="9">
        <f t="shared" si="978"/>
        <v>0.68</v>
      </c>
      <c r="CH314" s="9">
        <f t="shared" si="822"/>
        <v>2.4905290095198289</v>
      </c>
      <c r="CI314" s="9">
        <f t="shared" si="823"/>
        <v>6.2263225237995723</v>
      </c>
      <c r="CJ314" s="40">
        <v>1</v>
      </c>
      <c r="CK314" s="9">
        <f t="shared" si="824"/>
        <v>549.41069950007432</v>
      </c>
      <c r="CM314" s="4">
        <f t="shared" si="979"/>
        <v>1.3186172092729258</v>
      </c>
      <c r="CN314" s="4">
        <f t="shared" si="980"/>
        <v>0.36370914366668056</v>
      </c>
      <c r="CO314" s="4">
        <f t="shared" si="946"/>
        <v>0.63823159385634853</v>
      </c>
      <c r="CP314" s="4">
        <f t="shared" si="981"/>
        <v>0.9376818002668581</v>
      </c>
      <c r="CQ314" s="4">
        <f t="shared" si="921"/>
        <v>0.64304013454181963</v>
      </c>
      <c r="CR314" s="4">
        <f t="shared" si="922"/>
        <v>0.65440646347147291</v>
      </c>
      <c r="CS314" s="4">
        <f t="shared" si="947"/>
        <v>1.0155616105585565</v>
      </c>
      <c r="CT314" s="4">
        <f t="shared" si="997"/>
        <v>4</v>
      </c>
      <c r="DA314" s="4">
        <f t="shared" ref="DA314:DB319" si="1000">CM314</f>
        <v>1.3186172092729258</v>
      </c>
      <c r="DB314" s="4">
        <f t="shared" si="1000"/>
        <v>0.36370914366668056</v>
      </c>
      <c r="DC314" s="4">
        <f t="shared" ref="DC314:DC319" si="1001">CP314</f>
        <v>0.9376818002668581</v>
      </c>
      <c r="DD314" s="4">
        <f t="shared" ref="DD314:DD319" si="1002">CS314</f>
        <v>1.0155616105585565</v>
      </c>
      <c r="DE314" s="4">
        <f t="shared" ref="DE314:DF319" si="1003">CQ314</f>
        <v>0.64304013454181963</v>
      </c>
      <c r="DF314" s="4">
        <f t="shared" si="1003"/>
        <v>0.65440646347147291</v>
      </c>
      <c r="DI314" s="4">
        <f t="shared" si="982"/>
        <v>179.32399999999998</v>
      </c>
      <c r="DL314" s="4">
        <f t="shared" si="900"/>
        <v>2.0808531361433225E-5</v>
      </c>
      <c r="DM314" s="4">
        <f t="shared" si="769"/>
        <v>14.3619216407349</v>
      </c>
      <c r="DN314" s="4">
        <f t="shared" si="901"/>
        <v>0.2451590715701864</v>
      </c>
      <c r="DO314" s="4">
        <f t="shared" si="902"/>
        <v>8.1844922173160235</v>
      </c>
      <c r="DP314" s="4">
        <f t="shared" si="903"/>
        <v>11.69160156050123</v>
      </c>
      <c r="DQ314" s="4">
        <f t="shared" si="904"/>
        <v>13.362107346029541</v>
      </c>
      <c r="DR314" s="38">
        <f t="shared" si="915"/>
        <v>801.1512596490968</v>
      </c>
      <c r="DS314" s="4">
        <f t="shared" si="829"/>
        <v>1.0000876893610211</v>
      </c>
      <c r="DT314" s="4">
        <f t="shared" si="905"/>
        <v>2.2360679774997898</v>
      </c>
      <c r="DU314" s="4">
        <f t="shared" si="842"/>
        <v>490.55520031825927</v>
      </c>
      <c r="DY314" s="4">
        <f t="shared" si="785"/>
        <v>0.85</v>
      </c>
      <c r="DZ314" s="4">
        <f t="shared" si="830"/>
        <v>0.85</v>
      </c>
      <c r="EA314" s="4">
        <f t="shared" si="916"/>
        <v>0.92500000000000004</v>
      </c>
      <c r="EB314" s="4">
        <f t="shared" si="831"/>
        <v>0.78625</v>
      </c>
      <c r="ED314" s="4">
        <f t="shared" si="917"/>
        <v>787.23613312166049</v>
      </c>
      <c r="EE314" s="25">
        <f t="shared" si="918"/>
        <v>483.05063277089533</v>
      </c>
      <c r="EG314" s="4">
        <f t="shared" si="843"/>
        <v>0.66831249999999998</v>
      </c>
      <c r="EH314" s="4">
        <f t="shared" si="919"/>
        <v>14.3619216407349</v>
      </c>
      <c r="EK314" s="4">
        <f t="shared" si="906"/>
        <v>56.796126628494655</v>
      </c>
      <c r="EL314" s="4">
        <f t="shared" si="907"/>
        <v>2.2360679774997898</v>
      </c>
      <c r="EM314" s="4">
        <f t="shared" si="908"/>
        <v>0.14095029639033016</v>
      </c>
      <c r="EP314" s="4">
        <f t="shared" si="998"/>
        <v>0.14095029639033016</v>
      </c>
      <c r="EQ314" s="4">
        <f t="shared" si="960"/>
        <v>0.24474994677117545</v>
      </c>
      <c r="ER314" s="4">
        <f t="shared" si="770"/>
        <v>8.1790261228301695</v>
      </c>
      <c r="ES314" s="4">
        <f t="shared" si="983"/>
        <v>11.689700251961565</v>
      </c>
      <c r="ET314" s="4">
        <f t="shared" si="771"/>
        <v>77.696873371505347</v>
      </c>
      <c r="EU314" s="4">
        <f t="shared" si="772"/>
        <v>44.830999999999989</v>
      </c>
      <c r="EV314" s="4">
        <f t="shared" si="832"/>
        <v>2.0808531361433218E-5</v>
      </c>
      <c r="EW314" s="4">
        <f t="shared" si="984"/>
        <v>13.362377579384423</v>
      </c>
      <c r="EX314" s="4">
        <f t="shared" si="867"/>
        <v>801.08101336690856</v>
      </c>
      <c r="FG314" s="23">
        <f t="shared" si="778"/>
        <v>1.4</v>
      </c>
      <c r="FH314" s="23">
        <f t="shared" si="778"/>
        <v>0.6</v>
      </c>
      <c r="FI314" s="23">
        <f t="shared" si="952"/>
        <v>1.2</v>
      </c>
      <c r="FJ314" s="23">
        <f t="shared" si="779"/>
        <v>1</v>
      </c>
      <c r="FK314" s="23">
        <f t="shared" si="779"/>
        <v>0.8</v>
      </c>
      <c r="FL314" s="23">
        <f t="shared" si="779"/>
        <v>0.8</v>
      </c>
      <c r="FM314" s="23">
        <f t="shared" si="923"/>
        <v>1</v>
      </c>
      <c r="FN314" s="23"/>
      <c r="FX314" s="4">
        <f t="shared" si="833"/>
        <v>1</v>
      </c>
      <c r="FY314" s="4">
        <f t="shared" si="890"/>
        <v>0.45</v>
      </c>
      <c r="FZ314" s="4">
        <f t="shared" si="834"/>
        <v>0.25</v>
      </c>
      <c r="GA314" s="4">
        <f t="shared" si="835"/>
        <v>507.27834573203279</v>
      </c>
    </row>
    <row r="315" spans="1:183" ht="12" customHeight="1" x14ac:dyDescent="0.3">
      <c r="A315" s="25">
        <v>297</v>
      </c>
      <c r="B315" s="4" t="s">
        <v>605</v>
      </c>
      <c r="C315" s="4">
        <v>2016</v>
      </c>
      <c r="D315" s="4" t="s">
        <v>309</v>
      </c>
      <c r="E315" s="24" t="s">
        <v>668</v>
      </c>
      <c r="F315" s="7" t="s">
        <v>457</v>
      </c>
      <c r="G315" s="38">
        <f t="shared" ref="G315:G316" si="1004">115.9/0.145</f>
        <v>799.31034482758628</v>
      </c>
      <c r="H315" s="38">
        <f>7.06*25.4</f>
        <v>179.32399999999998</v>
      </c>
      <c r="I315" s="4">
        <f t="shared" si="985"/>
        <v>179.32399999999998</v>
      </c>
      <c r="J315" s="38">
        <f t="shared" si="965"/>
        <v>110.55172413793103</v>
      </c>
      <c r="K315" s="38">
        <f t="shared" si="986"/>
        <v>25.4</v>
      </c>
      <c r="L315" s="7">
        <f t="shared" si="987"/>
        <v>7.06</v>
      </c>
      <c r="M315" s="7">
        <f t="shared" si="988"/>
        <v>7.06</v>
      </c>
      <c r="N315" s="38">
        <f>16.9*25.4</f>
        <v>429.25999999999993</v>
      </c>
      <c r="O315" s="38">
        <f t="shared" si="999"/>
        <v>63.5</v>
      </c>
      <c r="P315" s="39">
        <f>3.25*25.4</f>
        <v>82.55</v>
      </c>
      <c r="Q315" s="7">
        <f t="shared" si="989"/>
        <v>251.45999999999992</v>
      </c>
      <c r="R315" s="38">
        <v>2</v>
      </c>
      <c r="S315" s="4">
        <f t="shared" si="966"/>
        <v>260.34999999999997</v>
      </c>
      <c r="T315" s="7">
        <f t="shared" si="990"/>
        <v>3</v>
      </c>
      <c r="U315" s="7">
        <f t="shared" si="859"/>
        <v>3</v>
      </c>
      <c r="V315" s="38">
        <v>9.5</v>
      </c>
      <c r="W315" s="4">
        <f t="shared" si="991"/>
        <v>9.5</v>
      </c>
      <c r="X315" s="4">
        <f t="shared" si="992"/>
        <v>10.5</v>
      </c>
      <c r="Y315" s="7">
        <f t="shared" si="993"/>
        <v>82.305406869779816</v>
      </c>
      <c r="AB315" s="38">
        <f t="shared" si="786"/>
        <v>585.51724137931046</v>
      </c>
      <c r="AC315" s="4">
        <v>84.9</v>
      </c>
      <c r="AD315" s="4">
        <f t="shared" si="899"/>
        <v>0.76838286120630295</v>
      </c>
      <c r="AE315" s="38">
        <f t="shared" ref="AE315:AE319" si="1005">0.5*25.4</f>
        <v>12.7</v>
      </c>
      <c r="AF315" s="38">
        <v>4</v>
      </c>
      <c r="AG315" s="39">
        <f>5.5*25.4</f>
        <v>139.69999999999999</v>
      </c>
      <c r="AH315" s="39">
        <v>1</v>
      </c>
      <c r="AI315" s="39">
        <v>1</v>
      </c>
      <c r="AJ315" s="7"/>
      <c r="AK315" s="4">
        <f t="shared" si="994"/>
        <v>179.32399999999998</v>
      </c>
      <c r="AL315" s="4">
        <f t="shared" si="910"/>
        <v>0.79792256846081211</v>
      </c>
      <c r="AM315" s="4">
        <f t="shared" si="911"/>
        <v>249.14551653979098</v>
      </c>
      <c r="AN315" s="4">
        <f t="shared" si="912"/>
        <v>0.784985835694051</v>
      </c>
      <c r="AO315" s="4">
        <v>1.25</v>
      </c>
      <c r="AP315" s="4">
        <f t="shared" si="844"/>
        <v>2.5</v>
      </c>
      <c r="AQ315" s="38">
        <f t="shared" si="967"/>
        <v>487.6695814928579</v>
      </c>
      <c r="AR315" s="38">
        <f t="shared" si="913"/>
        <v>487.6695814928579</v>
      </c>
      <c r="AS315" s="38">
        <f t="shared" si="914"/>
        <v>5.4139420559889198</v>
      </c>
      <c r="AT315" s="38">
        <f t="shared" si="853"/>
        <v>487.66958149285767</v>
      </c>
      <c r="AU315" s="38">
        <f t="shared" si="820"/>
        <v>1.0000000000000004</v>
      </c>
      <c r="AV315" s="38">
        <f t="shared" si="954"/>
        <v>4.1923053365890919</v>
      </c>
      <c r="AW315" s="4">
        <f t="shared" si="940"/>
        <v>0</v>
      </c>
      <c r="AX315" s="4">
        <f t="shared" si="995"/>
        <v>390.69140776432391</v>
      </c>
      <c r="AY315" s="4">
        <f t="shared" si="968"/>
        <v>1</v>
      </c>
      <c r="AZ315" s="38">
        <f t="shared" si="837"/>
        <v>2044.4597889846762</v>
      </c>
      <c r="BA315" s="4">
        <f t="shared" si="969"/>
        <v>0.3</v>
      </c>
      <c r="BB315" s="4">
        <f t="shared" si="970"/>
        <v>61.240878167057772</v>
      </c>
      <c r="BC315" s="4">
        <f t="shared" si="971"/>
        <v>2105.7006671517338</v>
      </c>
      <c r="BE315" s="4">
        <f t="shared" si="854"/>
        <v>1.5</v>
      </c>
      <c r="BF315" s="4">
        <f t="shared" si="860"/>
        <v>807.1872636080393</v>
      </c>
      <c r="BH315" s="4">
        <f t="shared" si="861"/>
        <v>1960.8869587765769</v>
      </c>
      <c r="BI315" s="4">
        <f t="shared" si="806"/>
        <v>0</v>
      </c>
      <c r="BJ315" s="4">
        <f t="shared" si="862"/>
        <v>0</v>
      </c>
      <c r="BR315" s="4">
        <f t="shared" si="972"/>
        <v>63.5</v>
      </c>
      <c r="BV315" s="9"/>
      <c r="BX315" s="9"/>
      <c r="BY315" s="9"/>
      <c r="BZ315" s="9">
        <f t="shared" si="973"/>
        <v>63.5</v>
      </c>
      <c r="CA315" s="9">
        <f t="shared" si="974"/>
        <v>125.72999999999996</v>
      </c>
      <c r="CB315" s="9">
        <f t="shared" si="821"/>
        <v>1.7517405482385959</v>
      </c>
      <c r="CC315" s="40">
        <f t="shared" si="996"/>
        <v>20</v>
      </c>
      <c r="CD315" s="9">
        <f t="shared" si="975"/>
        <v>0.05</v>
      </c>
      <c r="CE315" s="9">
        <f t="shared" si="976"/>
        <v>0.8</v>
      </c>
      <c r="CF315" s="9">
        <f t="shared" si="977"/>
        <v>0.99524931562137331</v>
      </c>
      <c r="CG315" s="9">
        <f t="shared" si="978"/>
        <v>0.68048275862068963</v>
      </c>
      <c r="CH315" s="9">
        <f t="shared" si="822"/>
        <v>2.4922971335630986</v>
      </c>
      <c r="CI315" s="9">
        <f t="shared" si="823"/>
        <v>6.2307428339077466</v>
      </c>
      <c r="CJ315" s="40">
        <v>1</v>
      </c>
      <c r="CK315" s="9">
        <f t="shared" si="824"/>
        <v>549.80074766401958</v>
      </c>
      <c r="CM315" s="4">
        <f t="shared" si="979"/>
        <v>1.4986693583302733</v>
      </c>
      <c r="CN315" s="4">
        <f t="shared" si="980"/>
        <v>0.27806290348537888</v>
      </c>
      <c r="CO315" s="4">
        <f t="shared" si="946"/>
        <v>0.72537968297729583</v>
      </c>
      <c r="CP315" s="4">
        <f t="shared" si="981"/>
        <v>1.064962613941582</v>
      </c>
      <c r="CQ315" s="4">
        <f t="shared" si="921"/>
        <v>0.76838286120630295</v>
      </c>
      <c r="CR315" s="4">
        <f t="shared" si="922"/>
        <v>0.74645745582544709</v>
      </c>
      <c r="CS315" s="4">
        <f t="shared" si="947"/>
        <v>1.1496958567038023</v>
      </c>
      <c r="CT315" s="4">
        <f t="shared" si="997"/>
        <v>4</v>
      </c>
      <c r="DA315" s="4">
        <f t="shared" si="1000"/>
        <v>1.4986693583302733</v>
      </c>
      <c r="DB315" s="4">
        <f t="shared" si="1000"/>
        <v>0.27806290348537888</v>
      </c>
      <c r="DC315" s="4">
        <f t="shared" si="1001"/>
        <v>1.064962613941582</v>
      </c>
      <c r="DD315" s="4">
        <f t="shared" si="1002"/>
        <v>1.1496958567038023</v>
      </c>
      <c r="DE315" s="4">
        <f t="shared" si="1003"/>
        <v>0.76838286120630295</v>
      </c>
      <c r="DF315" s="4">
        <f t="shared" si="1003"/>
        <v>0.74645745582544709</v>
      </c>
      <c r="DI315" s="4">
        <f t="shared" si="982"/>
        <v>179.32399999999998</v>
      </c>
      <c r="DL315" s="4">
        <f t="shared" si="900"/>
        <v>2.0808531361433225E-5</v>
      </c>
      <c r="DM315" s="4">
        <f t="shared" si="769"/>
        <v>14.3619216407349</v>
      </c>
      <c r="DN315" s="4">
        <f t="shared" si="901"/>
        <v>0.14870712748952589</v>
      </c>
      <c r="DO315" s="4">
        <f t="shared" si="902"/>
        <v>6.7010871591731629</v>
      </c>
      <c r="DP315" s="4">
        <f t="shared" si="903"/>
        <v>11.214389858252142</v>
      </c>
      <c r="DQ315" s="4">
        <f t="shared" si="904"/>
        <v>13.501571585500448</v>
      </c>
      <c r="DR315" s="38">
        <f t="shared" si="915"/>
        <v>762.01236511196089</v>
      </c>
      <c r="DS315" s="4">
        <f t="shared" si="829"/>
        <v>1.0000879369559945</v>
      </c>
      <c r="DT315" s="4">
        <f t="shared" si="905"/>
        <v>3.2403703492039297</v>
      </c>
      <c r="DU315" s="4">
        <f t="shared" si="842"/>
        <v>487.66958149285767</v>
      </c>
      <c r="DY315" s="4">
        <f t="shared" si="785"/>
        <v>0.85</v>
      </c>
      <c r="DZ315" s="4">
        <f t="shared" si="830"/>
        <v>0.85</v>
      </c>
      <c r="EA315" s="4">
        <f t="shared" si="916"/>
        <v>0.92500000000000004</v>
      </c>
      <c r="EB315" s="4">
        <f t="shared" si="831"/>
        <v>0.78625</v>
      </c>
      <c r="ED315" s="4">
        <f t="shared" si="917"/>
        <v>784.39465881124352</v>
      </c>
      <c r="EE315" s="25">
        <f t="shared" si="918"/>
        <v>480.20915846047836</v>
      </c>
      <c r="EG315" s="4">
        <f t="shared" si="843"/>
        <v>0.66831249999999998</v>
      </c>
      <c r="EH315" s="4">
        <f t="shared" si="919"/>
        <v>14.3619216407349</v>
      </c>
      <c r="EK315" s="4">
        <f t="shared" si="906"/>
        <v>82.305406869779816</v>
      </c>
      <c r="EL315" s="4">
        <f t="shared" si="907"/>
        <v>3.2403703492039302</v>
      </c>
      <c r="EM315" s="4">
        <f t="shared" si="908"/>
        <v>8.5496790148361215E-2</v>
      </c>
      <c r="EP315" s="4">
        <f t="shared" si="998"/>
        <v>8.5496790148361215E-2</v>
      </c>
      <c r="EQ315" s="4">
        <f t="shared" si="960"/>
        <v>0.14845896300898689</v>
      </c>
      <c r="ER315" s="4">
        <f t="shared" si="770"/>
        <v>6.6966117715012832</v>
      </c>
      <c r="ES315" s="4">
        <f t="shared" si="983"/>
        <v>11.213073895081219</v>
      </c>
      <c r="ET315" s="4">
        <f t="shared" si="771"/>
        <v>52.187593130220179</v>
      </c>
      <c r="EU315" s="4">
        <f t="shared" si="772"/>
        <v>44.830999999999989</v>
      </c>
      <c r="EV315" s="4">
        <f t="shared" si="832"/>
        <v>2.0808531361433218E-5</v>
      </c>
      <c r="EW315" s="4">
        <f t="shared" si="984"/>
        <v>13.501829342736929</v>
      </c>
      <c r="EX315" s="4">
        <f t="shared" si="867"/>
        <v>761.94536195619639</v>
      </c>
      <c r="FG315" s="23">
        <f t="shared" si="778"/>
        <v>1.6</v>
      </c>
      <c r="FH315" s="23">
        <f t="shared" si="778"/>
        <v>0.6</v>
      </c>
      <c r="FI315" s="23">
        <f t="shared" si="952"/>
        <v>1.2</v>
      </c>
      <c r="FJ315" s="23">
        <f t="shared" si="779"/>
        <v>1.2</v>
      </c>
      <c r="FK315" s="23">
        <f t="shared" si="779"/>
        <v>0.8</v>
      </c>
      <c r="FL315" s="23">
        <f t="shared" si="779"/>
        <v>0.8</v>
      </c>
      <c r="FM315" s="23">
        <f t="shared" si="923"/>
        <v>1</v>
      </c>
      <c r="FN315" s="23"/>
      <c r="FX315" s="4">
        <f t="shared" si="833"/>
        <v>1</v>
      </c>
      <c r="FY315" s="4">
        <f t="shared" si="890"/>
        <v>0.4482312338222606</v>
      </c>
      <c r="FZ315" s="4">
        <f t="shared" si="834"/>
        <v>0.25</v>
      </c>
      <c r="GA315" s="4">
        <f t="shared" si="835"/>
        <v>509.28011783742392</v>
      </c>
    </row>
    <row r="316" spans="1:183" ht="12" customHeight="1" x14ac:dyDescent="0.3">
      <c r="A316" s="25">
        <v>298</v>
      </c>
      <c r="B316" s="4" t="s">
        <v>605</v>
      </c>
      <c r="C316" s="4">
        <v>2016</v>
      </c>
      <c r="D316" s="4" t="s">
        <v>309</v>
      </c>
      <c r="E316" s="24" t="s">
        <v>668</v>
      </c>
      <c r="F316" s="7" t="s">
        <v>458</v>
      </c>
      <c r="G316" s="38">
        <f t="shared" si="1004"/>
        <v>799.31034482758628</v>
      </c>
      <c r="H316" s="38">
        <f>7*25.4</f>
        <v>177.79999999999998</v>
      </c>
      <c r="I316" s="4">
        <f t="shared" si="985"/>
        <v>177.79999999999998</v>
      </c>
      <c r="J316" s="38">
        <f t="shared" si="965"/>
        <v>110.55172413793103</v>
      </c>
      <c r="K316" s="38">
        <f t="shared" si="986"/>
        <v>25.4</v>
      </c>
      <c r="L316" s="7">
        <f t="shared" si="987"/>
        <v>7</v>
      </c>
      <c r="M316" s="7">
        <f t="shared" si="988"/>
        <v>7</v>
      </c>
      <c r="N316" s="38">
        <f>17.6*25.4</f>
        <v>447.04</v>
      </c>
      <c r="O316" s="38">
        <f>2.85*25.4</f>
        <v>72.39</v>
      </c>
      <c r="P316" s="39">
        <f>3.3*25.4</f>
        <v>83.82</v>
      </c>
      <c r="Q316" s="7">
        <f t="shared" si="989"/>
        <v>251.46</v>
      </c>
      <c r="R316" s="38">
        <v>2</v>
      </c>
      <c r="S316" s="4">
        <f t="shared" si="966"/>
        <v>260.34999999999997</v>
      </c>
      <c r="T316" s="7">
        <f t="shared" si="990"/>
        <v>3.35</v>
      </c>
      <c r="U316" s="7">
        <f t="shared" si="859"/>
        <v>3.35</v>
      </c>
      <c r="V316" s="38">
        <v>14.9</v>
      </c>
      <c r="W316" s="4">
        <f t="shared" si="991"/>
        <v>14.9</v>
      </c>
      <c r="X316" s="4">
        <f t="shared" si="992"/>
        <v>15.9</v>
      </c>
      <c r="Y316" s="7">
        <f t="shared" si="993"/>
        <v>101.28200234987457</v>
      </c>
      <c r="AB316" s="38">
        <f t="shared" si="786"/>
        <v>692.41379310344837</v>
      </c>
      <c r="AC316" s="4">
        <v>100.4</v>
      </c>
      <c r="AD316" s="4">
        <f t="shared" si="899"/>
        <v>0.89552419733717004</v>
      </c>
      <c r="AE316" s="38">
        <f t="shared" si="1005"/>
        <v>12.7</v>
      </c>
      <c r="AF316" s="38">
        <v>4</v>
      </c>
      <c r="AG316" s="39">
        <f>5.5*25.4</f>
        <v>139.69999999999999</v>
      </c>
      <c r="AH316" s="39">
        <v>1</v>
      </c>
      <c r="AI316" s="39">
        <v>1</v>
      </c>
      <c r="AJ316" s="7"/>
      <c r="AK316" s="4">
        <f t="shared" si="994"/>
        <v>177.79999999999998</v>
      </c>
      <c r="AL316" s="4">
        <f t="shared" si="910"/>
        <v>0.83809523809523823</v>
      </c>
      <c r="AM316" s="4">
        <f t="shared" si="911"/>
        <v>245.97619817542986</v>
      </c>
      <c r="AN316" s="4">
        <f t="shared" si="912"/>
        <v>0.79571428571428571</v>
      </c>
      <c r="AO316" s="4">
        <v>1.25</v>
      </c>
      <c r="AP316" s="4">
        <f t="shared" si="844"/>
        <v>2.5</v>
      </c>
      <c r="AQ316" s="38">
        <f t="shared" si="967"/>
        <v>512.61774361253697</v>
      </c>
      <c r="AR316" s="38">
        <f t="shared" si="913"/>
        <v>512.61774361253697</v>
      </c>
      <c r="AS316" s="38">
        <f t="shared" si="914"/>
        <v>5.4139420559889198</v>
      </c>
      <c r="AT316" s="38">
        <f t="shared" si="853"/>
        <v>512.6177436125372</v>
      </c>
      <c r="AU316" s="38">
        <f t="shared" si="820"/>
        <v>0.99999999999999956</v>
      </c>
      <c r="AV316" s="38">
        <f t="shared" si="954"/>
        <v>5.5775031260298089</v>
      </c>
      <c r="AW316" s="4">
        <f t="shared" si="940"/>
        <v>0</v>
      </c>
      <c r="AX316" s="4">
        <f t="shared" si="995"/>
        <v>387.37108418559029</v>
      </c>
      <c r="AY316" s="4">
        <f t="shared" si="968"/>
        <v>1</v>
      </c>
      <c r="AZ316" s="38">
        <f t="shared" si="837"/>
        <v>2859.1270674572734</v>
      </c>
      <c r="BA316" s="4">
        <f t="shared" si="969"/>
        <v>0.3</v>
      </c>
      <c r="BB316" s="4">
        <f t="shared" si="970"/>
        <v>60.720417446091268</v>
      </c>
      <c r="BC316" s="4">
        <f t="shared" si="971"/>
        <v>2919.8474849033646</v>
      </c>
      <c r="BE316" s="4">
        <f t="shared" si="854"/>
        <v>1.5</v>
      </c>
      <c r="BF316" s="4">
        <f t="shared" si="860"/>
        <v>804.34838694822213</v>
      </c>
      <c r="BH316" s="4">
        <f t="shared" si="861"/>
        <v>2742.2525061480219</v>
      </c>
      <c r="BI316" s="4">
        <f t="shared" si="806"/>
        <v>0</v>
      </c>
      <c r="BJ316" s="4">
        <f t="shared" si="862"/>
        <v>0</v>
      </c>
      <c r="BR316" s="4">
        <f t="shared" si="972"/>
        <v>72.39</v>
      </c>
      <c r="BV316" s="9"/>
      <c r="BX316" s="9"/>
      <c r="BY316" s="9"/>
      <c r="BZ316" s="9">
        <f t="shared" si="973"/>
        <v>72.39</v>
      </c>
      <c r="CA316" s="9">
        <f t="shared" si="974"/>
        <v>125.73</v>
      </c>
      <c r="CB316" s="9">
        <f t="shared" si="821"/>
        <v>1.8339457339368097</v>
      </c>
      <c r="CC316" s="40">
        <f t="shared" si="996"/>
        <v>20</v>
      </c>
      <c r="CD316" s="9">
        <f t="shared" si="975"/>
        <v>0.05</v>
      </c>
      <c r="CE316" s="9">
        <f t="shared" si="976"/>
        <v>0.8</v>
      </c>
      <c r="CF316" s="9">
        <f t="shared" si="977"/>
        <v>0.99524931562137331</v>
      </c>
      <c r="CG316" s="9">
        <f t="shared" si="978"/>
        <v>0.68048275862068963</v>
      </c>
      <c r="CH316" s="9">
        <f t="shared" si="822"/>
        <v>2.4922971335630986</v>
      </c>
      <c r="CI316" s="9">
        <f t="shared" si="823"/>
        <v>6.2307428339077466</v>
      </c>
      <c r="CJ316" s="40">
        <v>1</v>
      </c>
      <c r="CK316" s="9">
        <f t="shared" si="824"/>
        <v>548.30536938388173</v>
      </c>
      <c r="CM316" s="4">
        <f t="shared" si="979"/>
        <v>1.7874689706362066</v>
      </c>
      <c r="CN316" s="4">
        <f t="shared" si="980"/>
        <v>0.23714039746372731</v>
      </c>
      <c r="CO316" s="4">
        <f t="shared" si="946"/>
        <v>0.8608381695530406</v>
      </c>
      <c r="CP316" s="4">
        <f t="shared" si="981"/>
        <v>1.2628251185675932</v>
      </c>
      <c r="CQ316" s="4">
        <f t="shared" si="921"/>
        <v>0.89552419733717004</v>
      </c>
      <c r="CR316" s="4">
        <f t="shared" si="922"/>
        <v>0.86626402070750652</v>
      </c>
      <c r="CS316" s="4">
        <f t="shared" si="947"/>
        <v>1.3712468718361366</v>
      </c>
      <c r="CT316" s="4">
        <f t="shared" si="997"/>
        <v>4</v>
      </c>
      <c r="DA316" s="4">
        <f t="shared" si="1000"/>
        <v>1.7874689706362066</v>
      </c>
      <c r="DB316" s="4">
        <f t="shared" si="1000"/>
        <v>0.23714039746372731</v>
      </c>
      <c r="DC316" s="4">
        <f t="shared" si="1001"/>
        <v>1.2628251185675932</v>
      </c>
      <c r="DD316" s="4">
        <f t="shared" si="1002"/>
        <v>1.3712468718361366</v>
      </c>
      <c r="DE316" s="4">
        <f t="shared" si="1003"/>
        <v>0.89552419733717004</v>
      </c>
      <c r="DF316" s="4">
        <f t="shared" si="1003"/>
        <v>0.86626402070750652</v>
      </c>
      <c r="DI316" s="4">
        <f t="shared" si="982"/>
        <v>177.79999999999998</v>
      </c>
      <c r="DL316" s="4">
        <f t="shared" si="900"/>
        <v>2.0631688318701494E-5</v>
      </c>
      <c r="DM316" s="4">
        <f t="shared" si="769"/>
        <v>14.978691281748057</v>
      </c>
      <c r="DN316" s="4">
        <f t="shared" si="901"/>
        <v>0.12264250191662669</v>
      </c>
      <c r="DO316" s="4">
        <f t="shared" si="902"/>
        <v>6.4703872005676581</v>
      </c>
      <c r="DP316" s="4">
        <f t="shared" si="903"/>
        <v>11.548596486030259</v>
      </c>
      <c r="DQ316" s="4">
        <f t="shared" si="904"/>
        <v>14.150372924751665</v>
      </c>
      <c r="DR316" s="38">
        <f t="shared" si="915"/>
        <v>773.19384016906758</v>
      </c>
      <c r="DS316" s="4">
        <f t="shared" si="829"/>
        <v>1.0000942648505955</v>
      </c>
      <c r="DT316" s="4">
        <f t="shared" si="905"/>
        <v>3.9874804074753771</v>
      </c>
      <c r="DU316" s="4">
        <f t="shared" si="842"/>
        <v>512.6177436125372</v>
      </c>
      <c r="DY316" s="4">
        <f t="shared" si="785"/>
        <v>0.85</v>
      </c>
      <c r="DZ316" s="4">
        <f t="shared" si="830"/>
        <v>0.81499999999999995</v>
      </c>
      <c r="EA316" s="4">
        <f t="shared" si="916"/>
        <v>0.92500000000000004</v>
      </c>
      <c r="EB316" s="4">
        <f t="shared" si="831"/>
        <v>0.75387499999999996</v>
      </c>
      <c r="ED316" s="4">
        <f t="shared" si="917"/>
        <v>799.31034482758628</v>
      </c>
      <c r="EE316" s="25">
        <f t="shared" si="918"/>
        <v>504.82228840667528</v>
      </c>
      <c r="EG316" s="4">
        <f t="shared" si="843"/>
        <v>0.64079374999999994</v>
      </c>
      <c r="EH316" s="4">
        <f t="shared" si="919"/>
        <v>14.978691281748057</v>
      </c>
      <c r="EK316" s="4">
        <f t="shared" si="906"/>
        <v>101.28200234987457</v>
      </c>
      <c r="EL316" s="4">
        <f t="shared" si="907"/>
        <v>3.9874804074753771</v>
      </c>
      <c r="EM316" s="4">
        <f t="shared" si="908"/>
        <v>7.0511349567789622E-2</v>
      </c>
      <c r="EP316" s="4">
        <f t="shared" si="998"/>
        <v>7.0511349567789622E-2</v>
      </c>
      <c r="EQ316" s="4">
        <f t="shared" si="960"/>
        <v>0.12243783443838298</v>
      </c>
      <c r="ER316" s="4">
        <f t="shared" si="770"/>
        <v>6.4660658881564208</v>
      </c>
      <c r="ES316" s="4">
        <f t="shared" si="983"/>
        <v>11.547411628168957</v>
      </c>
      <c r="ET316" s="4">
        <f t="shared" si="771"/>
        <v>32.06799765012542</v>
      </c>
      <c r="EU316" s="4">
        <f t="shared" si="772"/>
        <v>44.449999999999989</v>
      </c>
      <c r="EV316" s="4">
        <f t="shared" si="832"/>
        <v>2.0631688318701491E-5</v>
      </c>
      <c r="EW316" s="4">
        <f t="shared" si="984"/>
        <v>14.150662937233925</v>
      </c>
      <c r="EX316" s="4">
        <f t="shared" si="867"/>
        <v>773.12096203708893</v>
      </c>
      <c r="FG316" s="23">
        <f t="shared" si="778"/>
        <v>1.8</v>
      </c>
      <c r="FH316" s="23">
        <f t="shared" si="778"/>
        <v>0.6</v>
      </c>
      <c r="FI316" s="23">
        <f t="shared" si="952"/>
        <v>1.4</v>
      </c>
      <c r="FJ316" s="23">
        <f t="shared" si="779"/>
        <v>1.4</v>
      </c>
      <c r="FK316" s="23">
        <f t="shared" si="779"/>
        <v>1</v>
      </c>
      <c r="FL316" s="23">
        <f t="shared" si="779"/>
        <v>1</v>
      </c>
      <c r="FM316" s="23">
        <f t="shared" si="923"/>
        <v>0</v>
      </c>
      <c r="FN316" s="23"/>
      <c r="FX316" s="4">
        <f t="shared" si="833"/>
        <v>1</v>
      </c>
      <c r="FY316" s="4">
        <f t="shared" si="890"/>
        <v>0.4482312338222606</v>
      </c>
      <c r="FZ316" s="4">
        <f t="shared" si="834"/>
        <v>0.25</v>
      </c>
      <c r="GA316" s="4">
        <f t="shared" si="835"/>
        <v>504.95195819574604</v>
      </c>
    </row>
    <row r="317" spans="1:183" ht="12" customHeight="1" x14ac:dyDescent="0.3">
      <c r="A317" s="25">
        <v>299</v>
      </c>
      <c r="B317" s="4" t="s">
        <v>605</v>
      </c>
      <c r="C317" s="4">
        <v>2016</v>
      </c>
      <c r="D317" s="4" t="s">
        <v>309</v>
      </c>
      <c r="E317" s="24" t="s">
        <v>668</v>
      </c>
      <c r="F317" s="7" t="s">
        <v>459</v>
      </c>
      <c r="G317" s="38">
        <f>120/0.145</f>
        <v>827.58620689655174</v>
      </c>
      <c r="H317" s="38">
        <f>5.5*25.4</f>
        <v>139.69999999999999</v>
      </c>
      <c r="I317" s="4">
        <f t="shared" si="985"/>
        <v>139.69999999999999</v>
      </c>
      <c r="J317" s="38">
        <f t="shared" si="965"/>
        <v>110.55172413793103</v>
      </c>
      <c r="K317" s="38">
        <f t="shared" si="986"/>
        <v>25.4</v>
      </c>
      <c r="L317" s="7">
        <f t="shared" si="987"/>
        <v>5.5</v>
      </c>
      <c r="M317" s="7">
        <f t="shared" si="988"/>
        <v>5.5</v>
      </c>
      <c r="N317" s="38">
        <f>16.9*25.4</f>
        <v>429.25999999999993</v>
      </c>
      <c r="O317" s="38">
        <f>2.45*25.4</f>
        <v>62.230000000000004</v>
      </c>
      <c r="P317" s="39">
        <f>4.7*25.4</f>
        <v>119.38</v>
      </c>
      <c r="Q317" s="7">
        <f t="shared" si="989"/>
        <v>253.99999999999991</v>
      </c>
      <c r="R317" s="38">
        <v>2</v>
      </c>
      <c r="S317" s="4">
        <f t="shared" si="966"/>
        <v>260.34999999999997</v>
      </c>
      <c r="T317" s="7">
        <f t="shared" si="990"/>
        <v>2.95</v>
      </c>
      <c r="U317" s="7">
        <f t="shared" si="859"/>
        <v>2.95</v>
      </c>
      <c r="V317" s="38">
        <v>4</v>
      </c>
      <c r="W317" s="4">
        <f t="shared" si="991"/>
        <v>4</v>
      </c>
      <c r="X317" s="4">
        <f t="shared" si="992"/>
        <v>5</v>
      </c>
      <c r="Y317" s="7">
        <f t="shared" si="993"/>
        <v>56.796126628494655</v>
      </c>
      <c r="AB317" s="38">
        <f t="shared" si="786"/>
        <v>552.41379310344826</v>
      </c>
      <c r="AC317" s="4">
        <v>80.099999999999994</v>
      </c>
      <c r="AD317" s="4">
        <f t="shared" si="899"/>
        <v>0.7840718743477787</v>
      </c>
      <c r="AE317" s="38">
        <f t="shared" si="1005"/>
        <v>12.7</v>
      </c>
      <c r="AF317" s="38">
        <v>10</v>
      </c>
      <c r="AG317" s="39">
        <f t="shared" ref="AG317:AG319" si="1006">3*25.4</f>
        <v>76.199999999999989</v>
      </c>
      <c r="AH317" s="39">
        <v>3</v>
      </c>
      <c r="AI317" s="39">
        <f t="shared" ref="AI317:AI319" si="1007">AH317-1</f>
        <v>2</v>
      </c>
      <c r="AJ317" s="7"/>
      <c r="AK317" s="4">
        <f t="shared" si="994"/>
        <v>139.69999999999999</v>
      </c>
      <c r="AL317" s="4">
        <f t="shared" si="910"/>
        <v>1.0242424242424242</v>
      </c>
      <c r="AM317" s="4">
        <f t="shared" si="911"/>
        <v>171.31289685931245</v>
      </c>
      <c r="AN317" s="4">
        <f t="shared" si="912"/>
        <v>0.80727272727272725</v>
      </c>
      <c r="AO317" s="4">
        <v>1.25</v>
      </c>
      <c r="AP317" s="4">
        <f t="shared" si="844"/>
        <v>2.5</v>
      </c>
      <c r="AQ317" s="38">
        <f t="shared" si="967"/>
        <v>442.65270415755396</v>
      </c>
      <c r="AR317" s="38">
        <f t="shared" si="913"/>
        <v>442.65270415755396</v>
      </c>
      <c r="AS317" s="38">
        <f t="shared" si="914"/>
        <v>5.4139420559889198</v>
      </c>
      <c r="AT317" s="38">
        <f t="shared" si="853"/>
        <v>442.65270415755384</v>
      </c>
      <c r="AU317" s="38">
        <f t="shared" si="820"/>
        <v>1.0000000000000002</v>
      </c>
      <c r="AV317" s="38">
        <f t="shared" si="954"/>
        <v>2.9470289745779361</v>
      </c>
      <c r="AW317" s="4">
        <f t="shared" si="940"/>
        <v>0</v>
      </c>
      <c r="AX317" s="4">
        <f t="shared" si="995"/>
        <v>304.36299471724953</v>
      </c>
      <c r="AY317" s="4">
        <f t="shared" si="968"/>
        <v>1</v>
      </c>
      <c r="AZ317" s="38">
        <f t="shared" si="837"/>
        <v>1304.5103448275863</v>
      </c>
      <c r="BA317" s="4">
        <f t="shared" si="969"/>
        <v>0.44000000000000006</v>
      </c>
      <c r="BB317" s="4">
        <f t="shared" si="970"/>
        <v>69.973052485495671</v>
      </c>
      <c r="BC317" s="4">
        <f t="shared" si="971"/>
        <v>1374.4833973130819</v>
      </c>
      <c r="BE317" s="4">
        <f t="shared" si="854"/>
        <v>1.5</v>
      </c>
      <c r="BF317" s="4">
        <f t="shared" si="860"/>
        <v>733.37647045279073</v>
      </c>
      <c r="BH317" s="4">
        <f t="shared" si="861"/>
        <v>1251.1849519094269</v>
      </c>
      <c r="BI317" s="4">
        <f t="shared" si="806"/>
        <v>0</v>
      </c>
      <c r="BJ317" s="4">
        <f t="shared" si="862"/>
        <v>0</v>
      </c>
      <c r="BR317" s="4">
        <f t="shared" si="972"/>
        <v>62.230000000000004</v>
      </c>
      <c r="BV317" s="9"/>
      <c r="BX317" s="9"/>
      <c r="BY317" s="9"/>
      <c r="BZ317" s="9">
        <f t="shared" si="973"/>
        <v>62.230000000000004</v>
      </c>
      <c r="CA317" s="9">
        <f t="shared" si="974"/>
        <v>126.99999999999996</v>
      </c>
      <c r="CB317" s="9">
        <f t="shared" si="821"/>
        <v>1.7420219790042637</v>
      </c>
      <c r="CC317" s="40">
        <f t="shared" si="996"/>
        <v>20</v>
      </c>
      <c r="CD317" s="9">
        <f t="shared" si="975"/>
        <v>0.05</v>
      </c>
      <c r="CE317" s="9">
        <f t="shared" si="976"/>
        <v>0.8</v>
      </c>
      <c r="CF317" s="9">
        <f t="shared" si="977"/>
        <v>0.99524931562137331</v>
      </c>
      <c r="CG317" s="9">
        <f t="shared" si="978"/>
        <v>0.68</v>
      </c>
      <c r="CH317" s="9">
        <f t="shared" si="822"/>
        <v>2.4905290095198289</v>
      </c>
      <c r="CI317" s="9">
        <f t="shared" si="823"/>
        <v>6.2263225237995723</v>
      </c>
      <c r="CJ317" s="40">
        <v>1</v>
      </c>
      <c r="CK317" s="9">
        <f t="shared" si="824"/>
        <v>510.55844695156497</v>
      </c>
      <c r="CM317" s="4">
        <f t="shared" si="979"/>
        <v>1.8149834332410735</v>
      </c>
      <c r="CN317" s="4">
        <f t="shared" si="980"/>
        <v>0.40190648659950207</v>
      </c>
      <c r="CO317" s="4">
        <f t="shared" si="946"/>
        <v>0.75324722752883644</v>
      </c>
      <c r="CP317" s="4">
        <f t="shared" si="981"/>
        <v>1.0819795390748945</v>
      </c>
      <c r="CQ317" s="4">
        <f t="shared" si="921"/>
        <v>0.7840718743477787</v>
      </c>
      <c r="CR317" s="4">
        <f t="shared" si="922"/>
        <v>0.78909154398737613</v>
      </c>
      <c r="CS317" s="4">
        <f t="shared" si="947"/>
        <v>1.7084818805310933</v>
      </c>
      <c r="CT317" s="4">
        <f t="shared" si="997"/>
        <v>10</v>
      </c>
      <c r="DA317" s="4">
        <f t="shared" si="1000"/>
        <v>1.8149834332410735</v>
      </c>
      <c r="DB317" s="4">
        <f t="shared" si="1000"/>
        <v>0.40190648659950207</v>
      </c>
      <c r="DC317" s="4">
        <f t="shared" si="1001"/>
        <v>1.0819795390748945</v>
      </c>
      <c r="DD317" s="4">
        <f t="shared" si="1002"/>
        <v>1.7084818805310933</v>
      </c>
      <c r="DE317" s="4">
        <f t="shared" si="1003"/>
        <v>0.7840718743477787</v>
      </c>
      <c r="DF317" s="4">
        <f t="shared" si="1003"/>
        <v>0.78909154398737613</v>
      </c>
      <c r="DI317" s="4">
        <f t="shared" si="982"/>
        <v>139.69999999999999</v>
      </c>
      <c r="DL317" s="4">
        <f t="shared" si="900"/>
        <v>1.6210612250408316E-5</v>
      </c>
      <c r="DM317" s="4">
        <f t="shared" si="769"/>
        <v>16.131515557182595</v>
      </c>
      <c r="DN317" s="4">
        <f t="shared" si="901"/>
        <v>0.22121939775359259</v>
      </c>
      <c r="DO317" s="4">
        <f t="shared" si="902"/>
        <v>8.8227597567894236</v>
      </c>
      <c r="DP317" s="4">
        <f t="shared" si="903"/>
        <v>13.005450825815979</v>
      </c>
      <c r="DQ317" s="4">
        <f t="shared" si="904"/>
        <v>15.402422409568091</v>
      </c>
      <c r="DR317" s="38">
        <f t="shared" si="915"/>
        <v>704.54483979924339</v>
      </c>
      <c r="DS317" s="4">
        <f t="shared" si="829"/>
        <v>1.0000943427827089</v>
      </c>
      <c r="DT317" s="4">
        <f t="shared" si="905"/>
        <v>2.2360679774997898</v>
      </c>
      <c r="DU317" s="4">
        <f t="shared" si="842"/>
        <v>442.65270415755384</v>
      </c>
      <c r="DY317" s="4">
        <f t="shared" si="785"/>
        <v>0.85</v>
      </c>
      <c r="DZ317" s="4">
        <f t="shared" si="830"/>
        <v>0.85499999999999998</v>
      </c>
      <c r="EA317" s="4">
        <f t="shared" si="916"/>
        <v>0.77500000000000002</v>
      </c>
      <c r="EB317" s="4">
        <f t="shared" si="831"/>
        <v>0.7</v>
      </c>
      <c r="ED317" s="4">
        <f t="shared" si="917"/>
        <v>700.06299942340502</v>
      </c>
      <c r="EE317" s="25">
        <f t="shared" si="918"/>
        <v>433.89299272989223</v>
      </c>
      <c r="EG317" s="4">
        <f t="shared" si="843"/>
        <v>0.59499999999999997</v>
      </c>
      <c r="EH317" s="4">
        <f t="shared" si="919"/>
        <v>16.131515557182595</v>
      </c>
      <c r="EK317" s="4">
        <f t="shared" si="906"/>
        <v>56.796126628494655</v>
      </c>
      <c r="EL317" s="4">
        <f t="shared" si="907"/>
        <v>2.2360679774997898</v>
      </c>
      <c r="EM317" s="4">
        <f t="shared" si="908"/>
        <v>0.12718656291587582</v>
      </c>
      <c r="EP317" s="4">
        <f t="shared" si="998"/>
        <v>0.12718656291587582</v>
      </c>
      <c r="EQ317" s="4">
        <f t="shared" si="960"/>
        <v>0.22085022380843289</v>
      </c>
      <c r="ER317" s="4">
        <f t="shared" si="770"/>
        <v>8.8168673889825904</v>
      </c>
      <c r="ES317" s="4">
        <f t="shared" si="983"/>
        <v>13.003467602457354</v>
      </c>
      <c r="ET317" s="4">
        <f t="shared" si="771"/>
        <v>47.978873371505337</v>
      </c>
      <c r="EU317" s="4">
        <f t="shared" si="772"/>
        <v>34.925000000000004</v>
      </c>
      <c r="EV317" s="4">
        <f t="shared" si="832"/>
        <v>1.6210612250408323E-5</v>
      </c>
      <c r="EW317" s="4">
        <f t="shared" si="984"/>
        <v>15.402645170626316</v>
      </c>
      <c r="EX317" s="4">
        <f t="shared" si="867"/>
        <v>704.47837734876612</v>
      </c>
      <c r="FG317" s="23">
        <f t="shared" si="778"/>
        <v>2</v>
      </c>
      <c r="FH317" s="23">
        <f t="shared" si="778"/>
        <v>0.6</v>
      </c>
      <c r="FI317" s="23">
        <f t="shared" si="952"/>
        <v>1.8</v>
      </c>
      <c r="FJ317" s="23">
        <f t="shared" si="779"/>
        <v>1.2</v>
      </c>
      <c r="FK317" s="23">
        <f t="shared" si="779"/>
        <v>0.8</v>
      </c>
      <c r="FL317" s="23">
        <f t="shared" si="779"/>
        <v>0.8</v>
      </c>
      <c r="FM317" s="23">
        <f t="shared" si="923"/>
        <v>1</v>
      </c>
      <c r="FN317" s="23"/>
      <c r="FX317" s="4">
        <f t="shared" si="833"/>
        <v>1.25</v>
      </c>
      <c r="FY317" s="4">
        <f t="shared" si="890"/>
        <v>0.44</v>
      </c>
      <c r="FZ317" s="4">
        <f t="shared" si="834"/>
        <v>0.3</v>
      </c>
      <c r="GA317" s="4">
        <f t="shared" si="835"/>
        <v>323.33605606149399</v>
      </c>
    </row>
    <row r="318" spans="1:183" ht="12" customHeight="1" x14ac:dyDescent="0.3">
      <c r="A318" s="25">
        <v>300</v>
      </c>
      <c r="B318" s="4" t="s">
        <v>605</v>
      </c>
      <c r="C318" s="4">
        <v>2016</v>
      </c>
      <c r="D318" s="4" t="s">
        <v>309</v>
      </c>
      <c r="E318" s="24" t="s">
        <v>668</v>
      </c>
      <c r="F318" s="7" t="s">
        <v>460</v>
      </c>
      <c r="G318" s="38">
        <f t="shared" ref="G318:G319" si="1008">115.9/0.145</f>
        <v>799.31034482758628</v>
      </c>
      <c r="H318" s="38">
        <f>5.63*25.4</f>
        <v>143.00199999999998</v>
      </c>
      <c r="I318" s="4">
        <f t="shared" si="985"/>
        <v>143.00199999999998</v>
      </c>
      <c r="J318" s="38">
        <f t="shared" si="965"/>
        <v>110.55172413793103</v>
      </c>
      <c r="K318" s="38">
        <f t="shared" si="986"/>
        <v>25.4</v>
      </c>
      <c r="L318" s="7">
        <f t="shared" si="987"/>
        <v>5.63</v>
      </c>
      <c r="M318" s="7">
        <f t="shared" si="988"/>
        <v>5.63</v>
      </c>
      <c r="N318" s="38">
        <f>16.8*25.4</f>
        <v>426.71999999999997</v>
      </c>
      <c r="O318" s="38">
        <f>2.35*25.4</f>
        <v>59.69</v>
      </c>
      <c r="P318" s="39">
        <f>3.15*25.4</f>
        <v>80.009999999999991</v>
      </c>
      <c r="Q318" s="7">
        <f t="shared" si="989"/>
        <v>256.53999999999996</v>
      </c>
      <c r="R318" s="38">
        <v>2</v>
      </c>
      <c r="S318" s="4">
        <f t="shared" si="966"/>
        <v>260.34999999999997</v>
      </c>
      <c r="T318" s="7">
        <f t="shared" si="990"/>
        <v>2.85</v>
      </c>
      <c r="U318" s="7">
        <f t="shared" si="859"/>
        <v>2.85</v>
      </c>
      <c r="V318" s="38">
        <v>9.5</v>
      </c>
      <c r="W318" s="4">
        <f t="shared" si="991"/>
        <v>9.5</v>
      </c>
      <c r="X318" s="4">
        <f t="shared" si="992"/>
        <v>10.5</v>
      </c>
      <c r="Y318" s="7">
        <f t="shared" si="993"/>
        <v>82.305406869779816</v>
      </c>
      <c r="AB318" s="38">
        <f t="shared" si="786"/>
        <v>661.37931034482767</v>
      </c>
      <c r="AC318" s="4">
        <v>95.9</v>
      </c>
      <c r="AD318" s="4">
        <f t="shared" si="899"/>
        <v>0.98409766607899973</v>
      </c>
      <c r="AE318" s="38">
        <f t="shared" si="1005"/>
        <v>12.7</v>
      </c>
      <c r="AF318" s="38">
        <v>10</v>
      </c>
      <c r="AG318" s="39">
        <f t="shared" si="1006"/>
        <v>76.199999999999989</v>
      </c>
      <c r="AH318" s="39">
        <v>3</v>
      </c>
      <c r="AI318" s="39">
        <f t="shared" si="1007"/>
        <v>2</v>
      </c>
      <c r="AJ318" s="7"/>
      <c r="AK318" s="4">
        <f t="shared" si="994"/>
        <v>143.00199999999998</v>
      </c>
      <c r="AL318" s="4">
        <f t="shared" si="910"/>
        <v>0.99467140319715819</v>
      </c>
      <c r="AM318" s="4">
        <f t="shared" si="911"/>
        <v>177.42246835851654</v>
      </c>
      <c r="AN318" s="4">
        <f t="shared" si="912"/>
        <v>0.80124333925399638</v>
      </c>
      <c r="AO318" s="4">
        <v>1.25</v>
      </c>
      <c r="AP318" s="4">
        <f t="shared" si="844"/>
        <v>2.5</v>
      </c>
      <c r="AQ318" s="38">
        <f t="shared" si="967"/>
        <v>441.87832906032429</v>
      </c>
      <c r="AR318" s="38">
        <f t="shared" si="913"/>
        <v>441.87832906032429</v>
      </c>
      <c r="AS318" s="38">
        <f t="shared" si="914"/>
        <v>5.4139420559889198</v>
      </c>
      <c r="AT318" s="38">
        <f t="shared" si="853"/>
        <v>441.87832906032429</v>
      </c>
      <c r="AU318" s="38">
        <f t="shared" si="820"/>
        <v>1</v>
      </c>
      <c r="AV318" s="38">
        <f t="shared" si="954"/>
        <v>4.3954108445772917</v>
      </c>
      <c r="AW318" s="4">
        <f t="shared" si="940"/>
        <v>0</v>
      </c>
      <c r="AX318" s="4">
        <f t="shared" si="995"/>
        <v>311.55702913783904</v>
      </c>
      <c r="AY318" s="4">
        <f t="shared" si="968"/>
        <v>1</v>
      </c>
      <c r="AZ318" s="38">
        <f t="shared" si="837"/>
        <v>1942.2367995354425</v>
      </c>
      <c r="BA318" s="4">
        <f t="shared" si="969"/>
        <v>0.3</v>
      </c>
      <c r="BB318" s="4">
        <f t="shared" si="970"/>
        <v>48.836564317356263</v>
      </c>
      <c r="BC318" s="4">
        <f t="shared" si="971"/>
        <v>1991.0733638527988</v>
      </c>
      <c r="BE318" s="4">
        <f t="shared" si="854"/>
        <v>1.5</v>
      </c>
      <c r="BF318" s="4">
        <f t="shared" si="860"/>
        <v>739.52736988239485</v>
      </c>
      <c r="BH318" s="4">
        <f t="shared" si="861"/>
        <v>1862.842610837748</v>
      </c>
      <c r="BI318" s="4">
        <f t="shared" si="806"/>
        <v>0</v>
      </c>
      <c r="BJ318" s="4">
        <f t="shared" si="862"/>
        <v>0</v>
      </c>
      <c r="BR318" s="4">
        <f t="shared" si="972"/>
        <v>59.69</v>
      </c>
      <c r="BV318" s="9"/>
      <c r="BX318" s="9"/>
      <c r="BY318" s="9"/>
      <c r="BZ318" s="9">
        <f t="shared" si="973"/>
        <v>59.69</v>
      </c>
      <c r="CA318" s="9">
        <f t="shared" si="974"/>
        <v>128.26999999999998</v>
      </c>
      <c r="CB318" s="9">
        <f t="shared" si="821"/>
        <v>1.7193625322570376</v>
      </c>
      <c r="CC318" s="40">
        <f t="shared" si="996"/>
        <v>20</v>
      </c>
      <c r="CD318" s="9">
        <f t="shared" si="975"/>
        <v>0.05</v>
      </c>
      <c r="CE318" s="9">
        <f t="shared" si="976"/>
        <v>0.8</v>
      </c>
      <c r="CF318" s="9">
        <f t="shared" si="977"/>
        <v>0.99524931562137331</v>
      </c>
      <c r="CG318" s="9">
        <f t="shared" si="978"/>
        <v>0.68048275862068963</v>
      </c>
      <c r="CH318" s="9">
        <f t="shared" si="822"/>
        <v>2.4922971335630986</v>
      </c>
      <c r="CI318" s="9">
        <f t="shared" si="823"/>
        <v>6.2307428339077466</v>
      </c>
      <c r="CJ318" s="40">
        <v>1</v>
      </c>
      <c r="CK318" s="9">
        <f t="shared" si="824"/>
        <v>514.1608986540673</v>
      </c>
      <c r="CM318" s="4">
        <f t="shared" si="979"/>
        <v>2.1228194150362767</v>
      </c>
      <c r="CN318" s="4">
        <f t="shared" si="980"/>
        <v>0.33217224555956837</v>
      </c>
      <c r="CO318" s="4">
        <f t="shared" si="946"/>
        <v>0.89432702193294766</v>
      </c>
      <c r="CP318" s="4">
        <f t="shared" si="981"/>
        <v>1.2863275135782164</v>
      </c>
      <c r="CQ318" s="4">
        <f t="shared" si="921"/>
        <v>0.98409766607899973</v>
      </c>
      <c r="CR318" s="4">
        <f t="shared" si="922"/>
        <v>0.93712665612600687</v>
      </c>
      <c r="CS318" s="4">
        <f t="shared" si="947"/>
        <v>1.9886149364652124</v>
      </c>
      <c r="CT318" s="4">
        <f t="shared" si="997"/>
        <v>10</v>
      </c>
      <c r="DA318" s="4">
        <f t="shared" si="1000"/>
        <v>2.1228194150362767</v>
      </c>
      <c r="DB318" s="4">
        <f t="shared" si="1000"/>
        <v>0.33217224555956837</v>
      </c>
      <c r="DC318" s="4">
        <f t="shared" si="1001"/>
        <v>1.2863275135782164</v>
      </c>
      <c r="DD318" s="4">
        <f t="shared" si="1002"/>
        <v>1.9886149364652124</v>
      </c>
      <c r="DE318" s="4">
        <f t="shared" si="1003"/>
        <v>0.98409766607899973</v>
      </c>
      <c r="DF318" s="4">
        <f t="shared" si="1003"/>
        <v>0.93712665612600687</v>
      </c>
      <c r="DI318" s="4">
        <f t="shared" si="982"/>
        <v>143.00199999999998</v>
      </c>
      <c r="DL318" s="4">
        <f t="shared" si="900"/>
        <v>1.6593772176327059E-5</v>
      </c>
      <c r="DM318" s="4">
        <f t="shared" si="769"/>
        <v>16.131515557182595</v>
      </c>
      <c r="DN318" s="4">
        <f t="shared" si="901"/>
        <v>0.13474380914487016</v>
      </c>
      <c r="DO318" s="4">
        <f t="shared" si="902"/>
        <v>7.2356691320008064</v>
      </c>
      <c r="DP318" s="4">
        <f t="shared" si="903"/>
        <v>12.512028309248651</v>
      </c>
      <c r="DQ318" s="4">
        <f t="shared" si="904"/>
        <v>15.497279605289791</v>
      </c>
      <c r="DR318" s="38">
        <f t="shared" si="915"/>
        <v>672.06674006249966</v>
      </c>
      <c r="DS318" s="4">
        <f t="shared" si="829"/>
        <v>1.0000993058976226</v>
      </c>
      <c r="DT318" s="4">
        <f t="shared" si="905"/>
        <v>3.2403703492039297</v>
      </c>
      <c r="DU318" s="4">
        <f t="shared" si="842"/>
        <v>441.87832906032429</v>
      </c>
      <c r="DY318" s="4">
        <f t="shared" si="785"/>
        <v>0.85</v>
      </c>
      <c r="DZ318" s="4">
        <f t="shared" si="830"/>
        <v>0.86499999999999999</v>
      </c>
      <c r="EA318" s="4">
        <f t="shared" si="916"/>
        <v>0.77500000000000002</v>
      </c>
      <c r="EB318" s="4">
        <f t="shared" si="831"/>
        <v>0.7</v>
      </c>
      <c r="ED318" s="4">
        <f t="shared" si="917"/>
        <v>705.75231855948618</v>
      </c>
      <c r="EE318" s="25">
        <f t="shared" si="918"/>
        <v>433.29102079867221</v>
      </c>
      <c r="EG318" s="4">
        <f t="shared" si="843"/>
        <v>0.59499999999999997</v>
      </c>
      <c r="EH318" s="4">
        <f t="shared" si="919"/>
        <v>16.131515557182595</v>
      </c>
      <c r="EK318" s="4">
        <f t="shared" si="906"/>
        <v>82.305406869779816</v>
      </c>
      <c r="EL318" s="4">
        <f t="shared" si="907"/>
        <v>3.2403703492039302</v>
      </c>
      <c r="EM318" s="4">
        <f t="shared" si="908"/>
        <v>7.7468803067702416E-2</v>
      </c>
      <c r="EP318" s="4">
        <f t="shared" si="998"/>
        <v>7.7468803067702416E-2</v>
      </c>
      <c r="EQ318" s="4">
        <f t="shared" si="960"/>
        <v>0.1345189468402396</v>
      </c>
      <c r="ER318" s="4">
        <f t="shared" si="770"/>
        <v>7.2308367184443254</v>
      </c>
      <c r="ES318" s="4">
        <f t="shared" si="983"/>
        <v>12.510656820521772</v>
      </c>
      <c r="ET318" s="4">
        <f t="shared" si="771"/>
        <v>24.946093130220177</v>
      </c>
      <c r="EU318" s="4">
        <f t="shared" si="772"/>
        <v>35.750499999999988</v>
      </c>
      <c r="EV318" s="4">
        <f t="shared" si="832"/>
        <v>1.6593772176327059E-5</v>
      </c>
      <c r="EW318" s="4">
        <f t="shared" si="984"/>
        <v>15.497508662757619</v>
      </c>
      <c r="EX318" s="4">
        <f t="shared" si="867"/>
        <v>672.00000649865194</v>
      </c>
      <c r="FG318" s="23">
        <f t="shared" si="778"/>
        <v>2.2000000000000002</v>
      </c>
      <c r="FH318" s="23">
        <f t="shared" si="778"/>
        <v>0.6</v>
      </c>
      <c r="FI318" s="23">
        <f t="shared" si="952"/>
        <v>2</v>
      </c>
      <c r="FJ318" s="23">
        <f t="shared" si="779"/>
        <v>1.4</v>
      </c>
      <c r="FK318" s="23">
        <f t="shared" si="779"/>
        <v>1</v>
      </c>
      <c r="FL318" s="23">
        <f t="shared" si="779"/>
        <v>1</v>
      </c>
      <c r="FM318" s="23">
        <f t="shared" si="923"/>
        <v>0</v>
      </c>
      <c r="FN318" s="23"/>
      <c r="FX318" s="4">
        <f t="shared" si="833"/>
        <v>1.25</v>
      </c>
      <c r="FY318" s="4">
        <f t="shared" si="890"/>
        <v>0.43787748058671272</v>
      </c>
      <c r="FZ318" s="4">
        <f t="shared" si="834"/>
        <v>0.3</v>
      </c>
      <c r="GA318" s="4">
        <f t="shared" si="835"/>
        <v>332.58289386100938</v>
      </c>
    </row>
    <row r="319" spans="1:183" ht="12" customHeight="1" x14ac:dyDescent="0.3">
      <c r="A319" s="25">
        <v>301</v>
      </c>
      <c r="B319" s="4" t="s">
        <v>605</v>
      </c>
      <c r="C319" s="4">
        <v>2016</v>
      </c>
      <c r="D319" s="4" t="s">
        <v>309</v>
      </c>
      <c r="E319" s="24" t="s">
        <v>668</v>
      </c>
      <c r="F319" s="7" t="s">
        <v>461</v>
      </c>
      <c r="G319" s="38">
        <f t="shared" si="1008"/>
        <v>799.31034482758628</v>
      </c>
      <c r="H319" s="38">
        <f>5.5*25.4</f>
        <v>139.69999999999999</v>
      </c>
      <c r="I319" s="4">
        <f t="shared" si="985"/>
        <v>139.69999999999999</v>
      </c>
      <c r="J319" s="38">
        <f t="shared" si="965"/>
        <v>110.55172413793103</v>
      </c>
      <c r="K319" s="38">
        <f t="shared" si="986"/>
        <v>25.4</v>
      </c>
      <c r="L319" s="7">
        <f t="shared" si="987"/>
        <v>5.5</v>
      </c>
      <c r="M319" s="7">
        <f t="shared" si="988"/>
        <v>5.5</v>
      </c>
      <c r="N319" s="38">
        <f>17*25.4</f>
        <v>431.79999999999995</v>
      </c>
      <c r="O319" s="38">
        <f t="shared" si="999"/>
        <v>63.5</v>
      </c>
      <c r="P319" s="39">
        <f>3.8*25.4</f>
        <v>96.52</v>
      </c>
      <c r="Q319" s="7">
        <f t="shared" si="989"/>
        <v>253.99999999999994</v>
      </c>
      <c r="R319" s="38">
        <v>2</v>
      </c>
      <c r="S319" s="4">
        <f t="shared" si="966"/>
        <v>260.34999999999997</v>
      </c>
      <c r="T319" s="7">
        <f t="shared" si="990"/>
        <v>3</v>
      </c>
      <c r="U319" s="7">
        <f t="shared" si="859"/>
        <v>3</v>
      </c>
      <c r="V319" s="38">
        <v>14.9</v>
      </c>
      <c r="W319" s="4">
        <f t="shared" si="991"/>
        <v>14.9</v>
      </c>
      <c r="X319" s="4">
        <f t="shared" si="992"/>
        <v>15.9</v>
      </c>
      <c r="Y319" s="7">
        <f t="shared" si="993"/>
        <v>101.28200234987457</v>
      </c>
      <c r="AB319" s="38">
        <f t="shared" si="786"/>
        <v>710.34482758620697</v>
      </c>
      <c r="AC319" s="4">
        <v>103</v>
      </c>
      <c r="AD319" s="4">
        <f t="shared" si="899"/>
        <v>1.1028377286200142</v>
      </c>
      <c r="AE319" s="38">
        <f t="shared" si="1005"/>
        <v>12.7</v>
      </c>
      <c r="AF319" s="38">
        <v>10</v>
      </c>
      <c r="AG319" s="39">
        <f t="shared" si="1006"/>
        <v>76.199999999999989</v>
      </c>
      <c r="AH319" s="39">
        <v>3</v>
      </c>
      <c r="AI319" s="39">
        <f t="shared" si="1007"/>
        <v>2</v>
      </c>
      <c r="AJ319" s="7"/>
      <c r="AK319" s="4">
        <f t="shared" si="994"/>
        <v>139.69999999999999</v>
      </c>
      <c r="AL319" s="4">
        <f t="shared" si="910"/>
        <v>1.0303030303030303</v>
      </c>
      <c r="AM319" s="4">
        <f t="shared" si="911"/>
        <v>171.31289685931245</v>
      </c>
      <c r="AN319" s="4">
        <f t="shared" si="912"/>
        <v>0.80909090909090908</v>
      </c>
      <c r="AO319" s="4">
        <v>1.25</v>
      </c>
      <c r="AP319" s="4">
        <f t="shared" si="844"/>
        <v>2.5</v>
      </c>
      <c r="AQ319" s="38">
        <f t="shared" si="967"/>
        <v>446.27481568205872</v>
      </c>
      <c r="AR319" s="38">
        <f t="shared" si="913"/>
        <v>446.27481568205872</v>
      </c>
      <c r="AS319" s="38">
        <f t="shared" si="914"/>
        <v>5.4139420559889198</v>
      </c>
      <c r="AT319" s="38">
        <f t="shared" si="853"/>
        <v>446.2748156820586</v>
      </c>
      <c r="AU319" s="38">
        <f t="shared" si="820"/>
        <v>1.0000000000000002</v>
      </c>
      <c r="AV319" s="38">
        <f t="shared" si="954"/>
        <v>5.7372995500592916</v>
      </c>
      <c r="AW319" s="4">
        <f t="shared" si="940"/>
        <v>0</v>
      </c>
      <c r="AX319" s="4">
        <f t="shared" si="995"/>
        <v>304.36299471724953</v>
      </c>
      <c r="AY319" s="4">
        <f t="shared" si="968"/>
        <v>1</v>
      </c>
      <c r="AZ319" s="38">
        <f t="shared" si="837"/>
        <v>2560.412299215468</v>
      </c>
      <c r="BA319" s="4">
        <f t="shared" si="969"/>
        <v>0.3</v>
      </c>
      <c r="BB319" s="4">
        <f t="shared" si="970"/>
        <v>47.708899421928855</v>
      </c>
      <c r="BC319" s="4">
        <f t="shared" si="971"/>
        <v>2608.1211986373969</v>
      </c>
      <c r="BE319" s="4">
        <f t="shared" si="854"/>
        <v>1.5</v>
      </c>
      <c r="BF319" s="4">
        <f t="shared" si="860"/>
        <v>733.37647045279073</v>
      </c>
      <c r="BH319" s="4">
        <f t="shared" si="861"/>
        <v>2455.7485129683778</v>
      </c>
      <c r="BI319" s="4">
        <f t="shared" si="806"/>
        <v>0</v>
      </c>
      <c r="BJ319" s="4">
        <f t="shared" si="862"/>
        <v>0</v>
      </c>
      <c r="BR319" s="4">
        <f t="shared" si="972"/>
        <v>63.5</v>
      </c>
      <c r="BV319" s="9"/>
      <c r="BX319" s="9"/>
      <c r="BY319" s="9"/>
      <c r="BZ319" s="9">
        <f t="shared" si="973"/>
        <v>63.5</v>
      </c>
      <c r="CA319" s="9">
        <f t="shared" si="974"/>
        <v>126.99999999999997</v>
      </c>
      <c r="CB319" s="9">
        <f t="shared" si="821"/>
        <v>1.7543833769624846</v>
      </c>
      <c r="CC319" s="40">
        <f t="shared" si="996"/>
        <v>20</v>
      </c>
      <c r="CD319" s="9">
        <f t="shared" si="975"/>
        <v>0.05</v>
      </c>
      <c r="CE319" s="9">
        <f t="shared" si="976"/>
        <v>0.8</v>
      </c>
      <c r="CF319" s="9">
        <f t="shared" si="977"/>
        <v>0.99524931562137331</v>
      </c>
      <c r="CG319" s="9">
        <f t="shared" si="978"/>
        <v>0.68048275862068963</v>
      </c>
      <c r="CH319" s="9">
        <f t="shared" si="822"/>
        <v>2.4922971335630986</v>
      </c>
      <c r="CI319" s="9">
        <f t="shared" si="823"/>
        <v>6.2307428339077466</v>
      </c>
      <c r="CJ319" s="40">
        <v>1</v>
      </c>
      <c r="CK319" s="9">
        <f t="shared" si="824"/>
        <v>510.92091238043525</v>
      </c>
      <c r="CM319" s="4">
        <f t="shared" si="979"/>
        <v>2.3338738280128664</v>
      </c>
      <c r="CN319" s="4">
        <f t="shared" si="980"/>
        <v>0.27235882594617306</v>
      </c>
      <c r="CO319" s="4">
        <f t="shared" si="946"/>
        <v>0.96859506161635667</v>
      </c>
      <c r="CP319" s="4">
        <f t="shared" si="981"/>
        <v>1.3903224753056873</v>
      </c>
      <c r="CQ319" s="4">
        <f t="shared" si="921"/>
        <v>1.1028377286200142</v>
      </c>
      <c r="CR319" s="4">
        <f t="shared" si="922"/>
        <v>1.0095343957325076</v>
      </c>
      <c r="CS319" s="4">
        <f t="shared" si="947"/>
        <v>1.7490612046742806</v>
      </c>
      <c r="CT319" s="4">
        <f t="shared" si="997"/>
        <v>10</v>
      </c>
      <c r="DA319" s="4">
        <f t="shared" si="1000"/>
        <v>2.3338738280128664</v>
      </c>
      <c r="DB319" s="4">
        <f t="shared" si="1000"/>
        <v>0.27235882594617306</v>
      </c>
      <c r="DC319" s="4">
        <f t="shared" si="1001"/>
        <v>1.3903224753056873</v>
      </c>
      <c r="DD319" s="4">
        <f t="shared" si="1002"/>
        <v>1.7490612046742806</v>
      </c>
      <c r="DE319" s="4">
        <f t="shared" si="1003"/>
        <v>1.1028377286200142</v>
      </c>
      <c r="DF319" s="4">
        <f t="shared" si="1003"/>
        <v>1.0095343957325076</v>
      </c>
      <c r="DI319" s="4">
        <f t="shared" si="982"/>
        <v>139.69999999999999</v>
      </c>
      <c r="DL319" s="4">
        <f t="shared" si="900"/>
        <v>1.6210612250408316E-5</v>
      </c>
      <c r="DM319" s="4">
        <f t="shared" ref="DM319:DM382" si="1009">EH319</f>
        <v>16.131515557182595</v>
      </c>
      <c r="DN319" s="4">
        <f t="shared" si="901"/>
        <v>0.10677012378057389</v>
      </c>
      <c r="DO319" s="4">
        <f t="shared" si="902"/>
        <v>6.5925748569216696</v>
      </c>
      <c r="DP319" s="4">
        <f t="shared" si="903"/>
        <v>12.336950218853458</v>
      </c>
      <c r="DQ319" s="4">
        <f t="shared" si="904"/>
        <v>15.617133098683848</v>
      </c>
      <c r="DR319" s="38">
        <f t="shared" si="915"/>
        <v>644.10638950035263</v>
      </c>
      <c r="DS319" s="4">
        <f t="shared" si="829"/>
        <v>1.0001080280884926</v>
      </c>
      <c r="DT319" s="4">
        <f t="shared" si="905"/>
        <v>3.9874804074753771</v>
      </c>
      <c r="DU319" s="4">
        <f t="shared" si="842"/>
        <v>446.2748156820586</v>
      </c>
      <c r="DY319" s="4">
        <f t="shared" si="785"/>
        <v>0.85</v>
      </c>
      <c r="DZ319" s="4">
        <f t="shared" si="830"/>
        <v>0.85</v>
      </c>
      <c r="EA319" s="4">
        <f t="shared" si="916"/>
        <v>0.77500000000000002</v>
      </c>
      <c r="EB319" s="4">
        <f t="shared" si="831"/>
        <v>0.7</v>
      </c>
      <c r="ED319" s="4">
        <f t="shared" si="917"/>
        <v>703.63608272186525</v>
      </c>
      <c r="EE319" s="25">
        <f t="shared" si="918"/>
        <v>437.46607602835246</v>
      </c>
      <c r="EG319" s="4">
        <f t="shared" si="843"/>
        <v>0.59499999999999997</v>
      </c>
      <c r="EH319" s="4">
        <f t="shared" si="919"/>
        <v>16.131515557182595</v>
      </c>
      <c r="EK319" s="4">
        <f t="shared" si="906"/>
        <v>101.28200234987457</v>
      </c>
      <c r="EL319" s="4">
        <f t="shared" si="907"/>
        <v>3.9874804074753771</v>
      </c>
      <c r="EM319" s="4">
        <f t="shared" si="908"/>
        <v>6.1385779021420728E-2</v>
      </c>
      <c r="EP319" s="4">
        <f t="shared" si="998"/>
        <v>6.1385779021420728E-2</v>
      </c>
      <c r="EQ319" s="4">
        <f t="shared" si="960"/>
        <v>0.10659194434323012</v>
      </c>
      <c r="ER319" s="4">
        <f t="shared" ref="ER319:ER382" si="1010">EH319/1*EQ319^0.4</f>
        <v>6.5881719402695227</v>
      </c>
      <c r="ES319" s="4">
        <f t="shared" si="983"/>
        <v>12.335804133643581</v>
      </c>
      <c r="ET319" s="4">
        <f t="shared" ref="ET319:ET382" si="1011">MAX(0,DI319*ET$9-EK319)</f>
        <v>3.4929976501254174</v>
      </c>
      <c r="EU319" s="4">
        <f t="shared" ref="EU319:EU382" si="1012">MAX(0,DI319-EK319-ET319)</f>
        <v>34.924999999999997</v>
      </c>
      <c r="EV319" s="4">
        <f t="shared" si="832"/>
        <v>1.6210612250408316E-5</v>
      </c>
      <c r="EW319" s="4">
        <f t="shared" si="984"/>
        <v>15.61736628889089</v>
      </c>
      <c r="EX319" s="4">
        <f t="shared" si="867"/>
        <v>644.03681543426239</v>
      </c>
      <c r="FG319" s="23">
        <f t="shared" si="778"/>
        <v>2.2000000000000002</v>
      </c>
      <c r="FH319" s="23">
        <f t="shared" si="778"/>
        <v>0.6</v>
      </c>
      <c r="FI319" s="23">
        <f t="shared" si="952"/>
        <v>1.8</v>
      </c>
      <c r="FJ319" s="23">
        <f t="shared" si="779"/>
        <v>1.4</v>
      </c>
      <c r="FK319" s="23">
        <f t="shared" si="779"/>
        <v>1.2</v>
      </c>
      <c r="FL319" s="23">
        <f t="shared" si="779"/>
        <v>1.2</v>
      </c>
      <c r="FM319" s="23">
        <f t="shared" si="923"/>
        <v>0</v>
      </c>
      <c r="FN319" s="23"/>
      <c r="FX319" s="4">
        <f t="shared" si="833"/>
        <v>1</v>
      </c>
      <c r="FY319" s="4">
        <f t="shared" si="890"/>
        <v>0.43787748058671272</v>
      </c>
      <c r="FZ319" s="4">
        <f t="shared" si="834"/>
        <v>0.3</v>
      </c>
      <c r="GA319" s="4">
        <f t="shared" si="835"/>
        <v>406.12919987467853</v>
      </c>
    </row>
    <row r="320" spans="1:183" ht="12" customHeight="1" x14ac:dyDescent="0.3">
      <c r="A320" s="25">
        <v>302</v>
      </c>
      <c r="B320" s="4" t="s">
        <v>605</v>
      </c>
      <c r="C320" s="4">
        <v>2016</v>
      </c>
      <c r="D320" s="4" t="s">
        <v>309</v>
      </c>
      <c r="E320" s="24" t="s">
        <v>462</v>
      </c>
      <c r="F320" s="7" t="s">
        <v>463</v>
      </c>
      <c r="G320" s="38">
        <f>120/0.145</f>
        <v>827.58620689655174</v>
      </c>
      <c r="H320" s="38">
        <f>9.38*25.4</f>
        <v>238.25200000000001</v>
      </c>
      <c r="I320" s="4">
        <f t="shared" si="985"/>
        <v>238.25200000000001</v>
      </c>
      <c r="J320" s="38">
        <f>9040/145</f>
        <v>62.344827586206897</v>
      </c>
      <c r="K320" s="38">
        <f t="shared" si="986"/>
        <v>25.4</v>
      </c>
      <c r="L320" s="7">
        <f t="shared" si="987"/>
        <v>9.3800000000000008</v>
      </c>
      <c r="M320" s="7">
        <f t="shared" si="988"/>
        <v>9.3800000000000008</v>
      </c>
      <c r="N320" s="38">
        <f t="shared" ref="N320:N321" si="1013">17*25.4</f>
        <v>431.79999999999995</v>
      </c>
      <c r="O320" s="38">
        <f>2.5*25.4</f>
        <v>63.5</v>
      </c>
      <c r="P320" s="39">
        <f>3.4*25.4</f>
        <v>86.36</v>
      </c>
      <c r="Q320" s="7">
        <f t="shared" si="989"/>
        <v>253.99999999999994</v>
      </c>
      <c r="R320" s="38">
        <v>2</v>
      </c>
      <c r="S320" s="4">
        <f t="shared" si="966"/>
        <v>260.34999999999997</v>
      </c>
      <c r="T320" s="7">
        <f t="shared" si="990"/>
        <v>3</v>
      </c>
      <c r="U320" s="7">
        <f t="shared" si="859"/>
        <v>3</v>
      </c>
      <c r="V320" s="38">
        <v>9.5</v>
      </c>
      <c r="W320" s="4">
        <f t="shared" si="991"/>
        <v>9.5</v>
      </c>
      <c r="X320" s="4">
        <f t="shared" si="992"/>
        <v>10.5</v>
      </c>
      <c r="Y320" s="7">
        <f t="shared" si="993"/>
        <v>82.305406869779816</v>
      </c>
      <c r="AB320" s="38">
        <f t="shared" si="786"/>
        <v>568.9655172413793</v>
      </c>
      <c r="AC320" s="4">
        <v>82.5</v>
      </c>
      <c r="AD320" s="4">
        <f t="shared" si="899"/>
        <v>0.81958454427477145</v>
      </c>
      <c r="AE320" s="38"/>
      <c r="AF320" s="38"/>
      <c r="AG320" s="39">
        <v>1</v>
      </c>
      <c r="AH320" s="39"/>
      <c r="AI320" s="39"/>
      <c r="AJ320" s="7"/>
      <c r="AK320" s="4">
        <f t="shared" si="994"/>
        <v>238.25200000000001</v>
      </c>
      <c r="AL320" s="4">
        <f t="shared" si="910"/>
        <v>0.60412224591329067</v>
      </c>
      <c r="AM320" s="4">
        <f t="shared" si="911"/>
        <v>286.52844070443393</v>
      </c>
      <c r="AN320" s="4">
        <f t="shared" si="912"/>
        <v>0.76396588486140726</v>
      </c>
      <c r="AO320" s="4">
        <v>1.25</v>
      </c>
      <c r="AP320" s="4">
        <f t="shared" si="844"/>
        <v>2.5</v>
      </c>
      <c r="AQ320" s="38">
        <f t="shared" si="967"/>
        <v>413.25351074896452</v>
      </c>
      <c r="AR320" s="38">
        <f t="shared" si="913"/>
        <v>413.25351074896452</v>
      </c>
      <c r="AS320" s="38">
        <f t="shared" si="914"/>
        <v>4.4175343619879603</v>
      </c>
      <c r="AT320" s="38">
        <f t="shared" si="853"/>
        <v>413.25351074896435</v>
      </c>
      <c r="AU320" s="38">
        <f t="shared" si="820"/>
        <v>1.0000000000000004</v>
      </c>
      <c r="AV320" s="38">
        <f t="shared" si="954"/>
        <v>2.7899532721832792</v>
      </c>
      <c r="AW320" s="4">
        <f t="shared" si="940"/>
        <v>0</v>
      </c>
      <c r="AX320" s="4">
        <f t="shared" si="995"/>
        <v>389.8068364694675</v>
      </c>
      <c r="AY320" s="4">
        <f t="shared" si="968"/>
        <v>1</v>
      </c>
      <c r="AZ320" s="38">
        <f t="shared" si="837"/>
        <v>1152.957984555301</v>
      </c>
      <c r="BA320" s="4">
        <f t="shared" si="969"/>
        <v>0.3</v>
      </c>
      <c r="BB320" s="4">
        <f t="shared" si="970"/>
        <v>61.102221616589034</v>
      </c>
      <c r="BC320" s="4">
        <f t="shared" si="971"/>
        <v>1214.0602061718901</v>
      </c>
      <c r="BE320" s="4">
        <f t="shared" si="854"/>
        <v>1.375</v>
      </c>
      <c r="BF320" s="4">
        <f t="shared" si="860"/>
        <v>631.21591414152192</v>
      </c>
      <c r="BH320" s="4">
        <f t="shared" si="861"/>
        <v>1105.8277047623367</v>
      </c>
      <c r="BI320" s="4">
        <f t="shared" si="806"/>
        <v>0</v>
      </c>
      <c r="BJ320" s="4">
        <f t="shared" si="862"/>
        <v>0</v>
      </c>
      <c r="BR320" s="4">
        <f t="shared" si="972"/>
        <v>63.5</v>
      </c>
      <c r="BV320" s="9"/>
      <c r="BX320" s="9"/>
      <c r="BY320" s="9"/>
      <c r="BZ320" s="9">
        <f t="shared" si="973"/>
        <v>63.5</v>
      </c>
      <c r="CA320" s="9">
        <f t="shared" si="974"/>
        <v>126.99999999999997</v>
      </c>
      <c r="CB320" s="9">
        <f t="shared" si="821"/>
        <v>1.7543833769624846</v>
      </c>
      <c r="CC320" s="40">
        <f t="shared" si="996"/>
        <v>0</v>
      </c>
      <c r="CD320" s="9">
        <f t="shared" si="975"/>
        <v>0</v>
      </c>
      <c r="CE320" s="9">
        <f t="shared" si="976"/>
        <v>0</v>
      </c>
      <c r="CF320" s="9">
        <f t="shared" si="977"/>
        <v>0.99524931562137331</v>
      </c>
      <c r="CG320" s="9">
        <f t="shared" si="978"/>
        <v>0.68</v>
      </c>
      <c r="CH320" s="9">
        <f t="shared" si="822"/>
        <v>1.8702904607807274</v>
      </c>
      <c r="CI320" s="9">
        <f t="shared" si="823"/>
        <v>3.2812064944852137</v>
      </c>
      <c r="CJ320" s="40">
        <v>1</v>
      </c>
      <c r="CK320" s="9">
        <f t="shared" si="824"/>
        <v>319.98325734219804</v>
      </c>
      <c r="CM320" s="4">
        <f t="shared" si="979"/>
        <v>1.4596088729345433</v>
      </c>
      <c r="CN320" s="4">
        <f t="shared" si="980"/>
        <v>0.46864687134043465</v>
      </c>
      <c r="CO320" s="4">
        <f t="shared" si="946"/>
        <v>0.90138018464758518</v>
      </c>
      <c r="CP320" s="4">
        <f t="shared" si="981"/>
        <v>1.778110273541323</v>
      </c>
      <c r="CQ320" s="4">
        <f t="shared" si="921"/>
        <v>0.81958454427477145</v>
      </c>
      <c r="CR320" s="4">
        <f t="shared" si="922"/>
        <v>0.82535245957938552</v>
      </c>
      <c r="CS320" s="4">
        <f t="shared" si="947"/>
        <v>1.0824061436066807</v>
      </c>
      <c r="CT320" s="4">
        <f t="shared" si="997"/>
        <v>0</v>
      </c>
      <c r="CU320" s="4">
        <f t="shared" ref="CU320:CV320" si="1014">CM320</f>
        <v>1.4596088729345433</v>
      </c>
      <c r="CV320" s="4">
        <f t="shared" si="1014"/>
        <v>0.46864687134043465</v>
      </c>
      <c r="CW320" s="4">
        <f t="shared" ref="CW320" si="1015">CP320</f>
        <v>1.778110273541323</v>
      </c>
      <c r="CX320" s="4">
        <f t="shared" ref="CX320" si="1016">CS320</f>
        <v>1.0824061436066807</v>
      </c>
      <c r="CY320" s="4">
        <f t="shared" ref="CY320:CZ320" si="1017">CQ320</f>
        <v>0.81958454427477145</v>
      </c>
      <c r="CZ320" s="4">
        <f t="shared" si="1017"/>
        <v>0.82535245957938552</v>
      </c>
      <c r="DI320" s="4">
        <f t="shared" si="982"/>
        <v>238.25200000000001</v>
      </c>
      <c r="DL320" s="4">
        <f t="shared" si="900"/>
        <v>2.0659876811674702E-5</v>
      </c>
      <c r="DM320" s="4">
        <f t="shared" si="1009"/>
        <v>9.9763514377618598</v>
      </c>
      <c r="DN320" s="4">
        <f t="shared" si="901"/>
        <v>0.22345380848450982</v>
      </c>
      <c r="DO320" s="4">
        <f t="shared" si="902"/>
        <v>5.4783130292378068</v>
      </c>
      <c r="DP320" s="4">
        <f t="shared" si="903"/>
        <v>8.0504837803731188</v>
      </c>
      <c r="DQ320" s="4">
        <f t="shared" si="904"/>
        <v>9.355770870462635</v>
      </c>
      <c r="DR320" s="38">
        <f t="shared" si="915"/>
        <v>694.21211175332951</v>
      </c>
      <c r="DS320" s="4">
        <f t="shared" si="829"/>
        <v>1.0000930207171117</v>
      </c>
      <c r="DT320" s="4">
        <f t="shared" si="905"/>
        <v>3.2403703492039297</v>
      </c>
      <c r="DU320" s="4">
        <f t="shared" si="842"/>
        <v>413.25351074896435</v>
      </c>
      <c r="DY320" s="4">
        <f t="shared" si="785"/>
        <v>0.85</v>
      </c>
      <c r="DZ320" s="4">
        <f t="shared" si="830"/>
        <v>0.85</v>
      </c>
      <c r="EA320" s="4">
        <f t="shared" si="916"/>
        <v>1</v>
      </c>
      <c r="EB320" s="4">
        <f t="shared" si="831"/>
        <v>0.85</v>
      </c>
      <c r="ED320" s="4">
        <f t="shared" si="917"/>
        <v>689.36066117902453</v>
      </c>
      <c r="EE320" s="25">
        <f t="shared" si="918"/>
        <v>408.62613172040579</v>
      </c>
      <c r="EG320" s="4">
        <f t="shared" si="843"/>
        <v>0.72249999999999992</v>
      </c>
      <c r="EH320" s="4">
        <f t="shared" si="919"/>
        <v>9.9763514377618598</v>
      </c>
      <c r="EK320" s="4">
        <f t="shared" si="906"/>
        <v>82.305406869779816</v>
      </c>
      <c r="EL320" s="4">
        <f t="shared" si="907"/>
        <v>3.2403703492039302</v>
      </c>
      <c r="EM320" s="4">
        <f t="shared" si="908"/>
        <v>9.6476877856159354E-2</v>
      </c>
      <c r="EP320" s="4">
        <f t="shared" si="998"/>
        <v>9.6476877856159354E-2</v>
      </c>
      <c r="EQ320" s="4">
        <f t="shared" si="960"/>
        <v>0.22308090572427774</v>
      </c>
      <c r="ER320" s="4">
        <f t="shared" si="1010"/>
        <v>5.4746542834236758</v>
      </c>
      <c r="ES320" s="4">
        <f t="shared" si="983"/>
        <v>8.0492483214376556</v>
      </c>
      <c r="ET320" s="4">
        <f t="shared" si="1011"/>
        <v>96.383593130220206</v>
      </c>
      <c r="EU320" s="4">
        <f t="shared" si="1012"/>
        <v>59.563000000000002</v>
      </c>
      <c r="EV320" s="4">
        <f t="shared" si="832"/>
        <v>2.0659876811674702E-5</v>
      </c>
      <c r="EW320" s="4">
        <f t="shared" si="984"/>
        <v>9.35594198988003</v>
      </c>
      <c r="EX320" s="4">
        <f t="shared" si="867"/>
        <v>694.14754165122383</v>
      </c>
      <c r="FG320" s="23">
        <f t="shared" si="778"/>
        <v>1.6</v>
      </c>
      <c r="FH320" s="23">
        <f t="shared" si="778"/>
        <v>0.6</v>
      </c>
      <c r="FI320" s="23">
        <f t="shared" si="952"/>
        <v>1.2</v>
      </c>
      <c r="FJ320" s="23">
        <f t="shared" si="779"/>
        <v>1.8</v>
      </c>
      <c r="FK320" s="23">
        <f t="shared" si="779"/>
        <v>1</v>
      </c>
      <c r="FL320" s="23">
        <f t="shared" si="779"/>
        <v>1</v>
      </c>
      <c r="FM320" s="23">
        <f t="shared" si="923"/>
        <v>0</v>
      </c>
      <c r="FN320" s="23"/>
      <c r="FX320" s="4">
        <f t="shared" si="833"/>
        <v>1</v>
      </c>
      <c r="FY320" s="4">
        <f t="shared" si="890"/>
        <v>0.5</v>
      </c>
      <c r="FZ320" s="4">
        <f t="shared" si="834"/>
        <v>0</v>
      </c>
      <c r="GA320" s="4">
        <f t="shared" si="835"/>
        <v>525.6488247059757</v>
      </c>
    </row>
    <row r="321" spans="1:183" ht="12" customHeight="1" x14ac:dyDescent="0.3">
      <c r="A321" s="25">
        <v>303</v>
      </c>
      <c r="B321" s="4" t="s">
        <v>605</v>
      </c>
      <c r="C321" s="4">
        <v>2016</v>
      </c>
      <c r="D321" s="4" t="s">
        <v>309</v>
      </c>
      <c r="E321" s="24" t="s">
        <v>462</v>
      </c>
      <c r="F321" s="7" t="s">
        <v>464</v>
      </c>
      <c r="G321" s="38">
        <f>120/0.145</f>
        <v>827.58620689655174</v>
      </c>
      <c r="H321" s="38">
        <f>9.19*25.4</f>
        <v>233.42599999999999</v>
      </c>
      <c r="I321" s="4">
        <f t="shared" si="985"/>
        <v>233.42599999999999</v>
      </c>
      <c r="J321" s="38">
        <f>9040/145</f>
        <v>62.344827586206897</v>
      </c>
      <c r="K321" s="38">
        <f t="shared" si="986"/>
        <v>25.4</v>
      </c>
      <c r="L321" s="7">
        <f t="shared" si="987"/>
        <v>9.19</v>
      </c>
      <c r="M321" s="7">
        <f t="shared" si="988"/>
        <v>9.19</v>
      </c>
      <c r="N321" s="38">
        <f t="shared" si="1013"/>
        <v>431.79999999999995</v>
      </c>
      <c r="O321" s="38">
        <f>2.65*25.4</f>
        <v>67.309999999999988</v>
      </c>
      <c r="P321" s="39">
        <f>3.3*25.4</f>
        <v>83.82</v>
      </c>
      <c r="Q321" s="7">
        <f t="shared" si="989"/>
        <v>246.37999999999997</v>
      </c>
      <c r="R321" s="38">
        <v>2</v>
      </c>
      <c r="S321" s="4">
        <f t="shared" si="966"/>
        <v>260.34999999999997</v>
      </c>
      <c r="T321" s="7">
        <f t="shared" si="990"/>
        <v>3.1499999999999995</v>
      </c>
      <c r="U321" s="7">
        <f t="shared" si="859"/>
        <v>3.1499999999999995</v>
      </c>
      <c r="V321" s="38">
        <v>9.5</v>
      </c>
      <c r="W321" s="4">
        <f t="shared" si="991"/>
        <v>9.5</v>
      </c>
      <c r="X321" s="4">
        <f t="shared" si="992"/>
        <v>10.5</v>
      </c>
      <c r="Y321" s="7">
        <f t="shared" si="993"/>
        <v>82.305406869779816</v>
      </c>
      <c r="AB321" s="38">
        <f t="shared" si="786"/>
        <v>600</v>
      </c>
      <c r="AC321" s="4">
        <v>87</v>
      </c>
      <c r="AD321" s="4">
        <f t="shared" si="899"/>
        <v>0.86504992090891586</v>
      </c>
      <c r="AE321" s="38">
        <f>0.375*25.4</f>
        <v>9.5249999999999986</v>
      </c>
      <c r="AF321" s="38">
        <v>4</v>
      </c>
      <c r="AG321" s="39">
        <f>6*25.4</f>
        <v>152.39999999999998</v>
      </c>
      <c r="AH321" s="39">
        <v>1</v>
      </c>
      <c r="AI321" s="39">
        <v>1</v>
      </c>
      <c r="AJ321" s="7"/>
      <c r="AK321" s="4">
        <f t="shared" si="994"/>
        <v>233.42599999999999</v>
      </c>
      <c r="AL321" s="4">
        <f t="shared" si="910"/>
        <v>0.61661225970257527</v>
      </c>
      <c r="AM321" s="4">
        <f t="shared" si="911"/>
        <v>277.86685517024648</v>
      </c>
      <c r="AN321" s="4">
        <f t="shared" si="912"/>
        <v>0.76855277475516859</v>
      </c>
      <c r="AO321" s="4">
        <v>1.25</v>
      </c>
      <c r="AP321" s="4">
        <f t="shared" si="844"/>
        <v>2.5</v>
      </c>
      <c r="AQ321" s="38">
        <f t="shared" si="967"/>
        <v>411.5026323235121</v>
      </c>
      <c r="AR321" s="38">
        <f t="shared" si="913"/>
        <v>411.5026323235121</v>
      </c>
      <c r="AS321" s="38">
        <f t="shared" si="914"/>
        <v>4.4175343619879603</v>
      </c>
      <c r="AT321" s="38">
        <f t="shared" si="853"/>
        <v>411.50263232351193</v>
      </c>
      <c r="AU321" s="38">
        <f t="shared" si="820"/>
        <v>1.0000000000000004</v>
      </c>
      <c r="AV321" s="38">
        <f t="shared" si="954"/>
        <v>2.9419152848366741</v>
      </c>
      <c r="AW321" s="4">
        <f t="shared" si="940"/>
        <v>0</v>
      </c>
      <c r="AX321" s="4">
        <f t="shared" si="995"/>
        <v>381.91096238319886</v>
      </c>
      <c r="AY321" s="4">
        <f t="shared" si="968"/>
        <v>1</v>
      </c>
      <c r="AZ321" s="38">
        <f t="shared" si="837"/>
        <v>1210.6058837830658</v>
      </c>
      <c r="BA321" s="4">
        <f t="shared" si="969"/>
        <v>0.3</v>
      </c>
      <c r="BB321" s="4">
        <f t="shared" si="970"/>
        <v>59.864543353566432</v>
      </c>
      <c r="BC321" s="4">
        <f t="shared" si="971"/>
        <v>1270.4704271366322</v>
      </c>
      <c r="BE321" s="4">
        <f t="shared" si="854"/>
        <v>1.5</v>
      </c>
      <c r="BF321" s="4">
        <f t="shared" si="860"/>
        <v>681.84820671971897</v>
      </c>
      <c r="BH321" s="4">
        <f t="shared" si="861"/>
        <v>1161.1190900004531</v>
      </c>
      <c r="BI321" s="4">
        <f t="shared" si="806"/>
        <v>0</v>
      </c>
      <c r="BJ321" s="4">
        <f t="shared" si="862"/>
        <v>0</v>
      </c>
      <c r="BR321" s="4">
        <f t="shared" si="972"/>
        <v>67.309999999999988</v>
      </c>
      <c r="BV321" s="9"/>
      <c r="BX321" s="9"/>
      <c r="BY321" s="9"/>
      <c r="BZ321" s="9">
        <f t="shared" si="973"/>
        <v>67.309999999999988</v>
      </c>
      <c r="CA321" s="9">
        <f t="shared" si="974"/>
        <v>123.18999999999998</v>
      </c>
      <c r="CB321" s="9">
        <f t="shared" si="821"/>
        <v>1.7823677548771022</v>
      </c>
      <c r="CC321" s="40">
        <f t="shared" si="996"/>
        <v>20</v>
      </c>
      <c r="CD321" s="9">
        <f t="shared" si="975"/>
        <v>0.05</v>
      </c>
      <c r="CE321" s="9">
        <f t="shared" si="976"/>
        <v>0.8</v>
      </c>
      <c r="CF321" s="9">
        <f t="shared" si="977"/>
        <v>0.99524931562137331</v>
      </c>
      <c r="CG321" s="9">
        <f t="shared" si="978"/>
        <v>0.68</v>
      </c>
      <c r="CH321" s="9">
        <f t="shared" si="822"/>
        <v>1.8702904607807274</v>
      </c>
      <c r="CI321" s="9">
        <f t="shared" si="823"/>
        <v>4.6757261519518183</v>
      </c>
      <c r="CJ321" s="40">
        <v>1</v>
      </c>
      <c r="CK321" s="9">
        <f t="shared" si="824"/>
        <v>452.42326246285791</v>
      </c>
      <c r="CM321" s="4">
        <f t="shared" si="979"/>
        <v>1.5710468122095345</v>
      </c>
      <c r="CN321" s="4">
        <f t="shared" si="980"/>
        <v>0.47226601043541899</v>
      </c>
      <c r="CO321" s="4">
        <f t="shared" si="946"/>
        <v>0.8799612495668504</v>
      </c>
      <c r="CP321" s="4">
        <f t="shared" si="981"/>
        <v>1.3261917540087973</v>
      </c>
      <c r="CQ321" s="4">
        <f t="shared" si="921"/>
        <v>0.86504992090891586</v>
      </c>
      <c r="CR321" s="4">
        <f t="shared" si="922"/>
        <v>0.87025939203289582</v>
      </c>
      <c r="CS321" s="4">
        <f t="shared" si="947"/>
        <v>1.099511672686895</v>
      </c>
      <c r="CT321" s="4">
        <f t="shared" si="997"/>
        <v>4</v>
      </c>
      <c r="DA321" s="4">
        <f t="shared" ref="DA321:DB321" si="1018">CM321</f>
        <v>1.5710468122095345</v>
      </c>
      <c r="DB321" s="4">
        <f t="shared" si="1018"/>
        <v>0.47226601043541899</v>
      </c>
      <c r="DC321" s="4">
        <f t="shared" ref="DC321" si="1019">CP321</f>
        <v>1.3261917540087973</v>
      </c>
      <c r="DD321" s="4">
        <f t="shared" ref="DD321" si="1020">CS321</f>
        <v>1.099511672686895</v>
      </c>
      <c r="DE321" s="4">
        <f t="shared" ref="DE321:DF321" si="1021">CQ321</f>
        <v>0.86504992090891586</v>
      </c>
      <c r="DF321" s="4">
        <f t="shared" si="1021"/>
        <v>0.87025939203289582</v>
      </c>
      <c r="DI321" s="4">
        <f t="shared" si="982"/>
        <v>233.42599999999999</v>
      </c>
      <c r="DL321" s="4">
        <f t="shared" si="900"/>
        <v>2.0241393166235661E-5</v>
      </c>
      <c r="DM321" s="4">
        <f t="shared" si="1009"/>
        <v>10.25167680187093</v>
      </c>
      <c r="DN321" s="4">
        <f t="shared" si="901"/>
        <v>0.22250707617084689</v>
      </c>
      <c r="DO321" s="4">
        <f t="shared" si="902"/>
        <v>5.6199498067632083</v>
      </c>
      <c r="DP321" s="4">
        <f t="shared" si="903"/>
        <v>8.2694351166294009</v>
      </c>
      <c r="DQ321" s="4">
        <f t="shared" si="904"/>
        <v>9.6247971060916608</v>
      </c>
      <c r="DR321" s="38">
        <f t="shared" si="915"/>
        <v>693.6015893389997</v>
      </c>
      <c r="DS321" s="4">
        <f t="shared" si="829"/>
        <v>1.0000944892265211</v>
      </c>
      <c r="DT321" s="4">
        <f t="shared" si="905"/>
        <v>3.2403703492039297</v>
      </c>
      <c r="DU321" s="4">
        <f t="shared" si="842"/>
        <v>411.50263232351193</v>
      </c>
      <c r="DY321" s="4">
        <f t="shared" si="785"/>
        <v>0.85</v>
      </c>
      <c r="DZ321" s="4">
        <f t="shared" si="830"/>
        <v>0.83499999999999996</v>
      </c>
      <c r="EA321" s="4">
        <f t="shared" si="916"/>
        <v>0.99062499999999998</v>
      </c>
      <c r="EB321" s="4">
        <f t="shared" si="831"/>
        <v>0.827171875</v>
      </c>
      <c r="ED321" s="4">
        <f t="shared" si="917"/>
        <v>689.44961179726056</v>
      </c>
      <c r="EE321" s="25">
        <f t="shared" si="918"/>
        <v>406.81088236967901</v>
      </c>
      <c r="EG321" s="4">
        <f t="shared" si="843"/>
        <v>0.70309609374999993</v>
      </c>
      <c r="EH321" s="4">
        <f t="shared" si="919"/>
        <v>10.25167680187093</v>
      </c>
      <c r="EK321" s="4">
        <f t="shared" si="906"/>
        <v>82.305406869779816</v>
      </c>
      <c r="EL321" s="4">
        <f t="shared" si="907"/>
        <v>3.2403703492039302</v>
      </c>
      <c r="EM321" s="4">
        <f t="shared" si="908"/>
        <v>9.6068123230730482E-2</v>
      </c>
      <c r="EP321" s="4">
        <f t="shared" si="998"/>
        <v>9.6068123230730482E-2</v>
      </c>
      <c r="EQ321" s="4">
        <f t="shared" si="960"/>
        <v>0.22213575333039937</v>
      </c>
      <c r="ER321" s="4">
        <f t="shared" si="1010"/>
        <v>5.6161964674192566</v>
      </c>
      <c r="ES321" s="4">
        <f t="shared" si="983"/>
        <v>8.2681694572947251</v>
      </c>
      <c r="ET321" s="4">
        <f t="shared" si="1011"/>
        <v>92.764093130220189</v>
      </c>
      <c r="EU321" s="4">
        <f t="shared" si="1012"/>
        <v>58.356499999999997</v>
      </c>
      <c r="EV321" s="4">
        <f t="shared" si="832"/>
        <v>2.0241393166235661E-5</v>
      </c>
      <c r="EW321" s="4">
        <f t="shared" si="984"/>
        <v>9.6249719222359911</v>
      </c>
      <c r="EX321" s="4">
        <f t="shared" si="867"/>
        <v>693.5360576533476</v>
      </c>
      <c r="FG321" s="23">
        <f t="shared" si="778"/>
        <v>1.6</v>
      </c>
      <c r="FH321" s="23">
        <f t="shared" si="778"/>
        <v>0.6</v>
      </c>
      <c r="FI321" s="23">
        <f t="shared" si="952"/>
        <v>1.2</v>
      </c>
      <c r="FJ321" s="23">
        <f t="shared" si="779"/>
        <v>1.4</v>
      </c>
      <c r="FK321" s="23">
        <f t="shared" si="779"/>
        <v>1</v>
      </c>
      <c r="FL321" s="23">
        <f t="shared" si="779"/>
        <v>1</v>
      </c>
      <c r="FM321" s="23">
        <f t="shared" si="923"/>
        <v>0</v>
      </c>
      <c r="FN321" s="23"/>
      <c r="FX321" s="4">
        <f t="shared" si="833"/>
        <v>1</v>
      </c>
      <c r="FY321" s="4">
        <f t="shared" si="890"/>
        <v>0.47187499999999999</v>
      </c>
      <c r="FZ321" s="4">
        <f t="shared" si="834"/>
        <v>0.14062499999999997</v>
      </c>
      <c r="GA321" s="4">
        <f t="shared" si="835"/>
        <v>545.69679877410488</v>
      </c>
    </row>
    <row r="322" spans="1:183" ht="12" customHeight="1" x14ac:dyDescent="0.3">
      <c r="A322" s="25">
        <v>304</v>
      </c>
      <c r="B322" s="4" t="s">
        <v>605</v>
      </c>
      <c r="C322" s="4">
        <v>2016</v>
      </c>
      <c r="D322" s="4" t="s">
        <v>309</v>
      </c>
      <c r="E322" s="24" t="s">
        <v>669</v>
      </c>
      <c r="F322" s="7" t="s">
        <v>465</v>
      </c>
      <c r="G322" s="38">
        <f>120/0.145</f>
        <v>827.58620689655174</v>
      </c>
      <c r="H322" s="38">
        <f>9.25*25.4</f>
        <v>234.95</v>
      </c>
      <c r="I322" s="4">
        <f t="shared" si="985"/>
        <v>234.95</v>
      </c>
      <c r="J322" s="38">
        <f>9040/145</f>
        <v>62.344827586206897</v>
      </c>
      <c r="K322" s="38">
        <f t="shared" si="986"/>
        <v>25.4</v>
      </c>
      <c r="L322" s="7">
        <f t="shared" si="987"/>
        <v>9.25</v>
      </c>
      <c r="M322" s="7">
        <f t="shared" si="988"/>
        <v>9.25</v>
      </c>
      <c r="N322" s="38">
        <f>14*25.4</f>
        <v>355.59999999999997</v>
      </c>
      <c r="O322" s="38">
        <f>2.5*25.4</f>
        <v>63.5</v>
      </c>
      <c r="P322" s="39">
        <f>3.3*25.4</f>
        <v>83.82</v>
      </c>
      <c r="Q322" s="7">
        <f t="shared" si="989"/>
        <v>76.199999999999989</v>
      </c>
      <c r="R322" s="38">
        <v>3</v>
      </c>
      <c r="S322" s="4">
        <f t="shared" si="966"/>
        <v>260.34999999999997</v>
      </c>
      <c r="T322" s="7">
        <f t="shared" si="990"/>
        <v>1.9999999999999998</v>
      </c>
      <c r="U322" s="7">
        <f t="shared" si="859"/>
        <v>3</v>
      </c>
      <c r="V322" s="38">
        <v>9.5</v>
      </c>
      <c r="W322" s="4">
        <f t="shared" si="991"/>
        <v>9.5</v>
      </c>
      <c r="X322" s="4">
        <f t="shared" si="992"/>
        <v>10.5</v>
      </c>
      <c r="Y322" s="7">
        <f t="shared" si="993"/>
        <v>82.305406869779816</v>
      </c>
      <c r="AB322" s="38">
        <f t="shared" si="786"/>
        <v>351.72413793103453</v>
      </c>
      <c r="AC322" s="4">
        <v>51</v>
      </c>
      <c r="AD322" s="4">
        <f t="shared" si="899"/>
        <v>0.77187994815402661</v>
      </c>
      <c r="AE322" s="38"/>
      <c r="AF322" s="38"/>
      <c r="AG322" s="39">
        <v>1</v>
      </c>
      <c r="AH322" s="39"/>
      <c r="AI322" s="39"/>
      <c r="AJ322" s="7"/>
      <c r="AK322" s="4">
        <f t="shared" si="994"/>
        <v>234.95</v>
      </c>
      <c r="AL322" s="4">
        <f t="shared" si="910"/>
        <v>0.50450450450450446</v>
      </c>
      <c r="AM322" s="4">
        <f t="shared" si="911"/>
        <v>187.06167500766796</v>
      </c>
      <c r="AN322" s="4">
        <f t="shared" si="912"/>
        <v>0.76486486486486482</v>
      </c>
      <c r="AO322" s="4">
        <v>1.25</v>
      </c>
      <c r="AP322" s="4">
        <f t="shared" si="844"/>
        <v>2.5</v>
      </c>
      <c r="AQ322" s="38">
        <f t="shared" si="967"/>
        <v>225.57169356597893</v>
      </c>
      <c r="AR322" s="38">
        <f t="shared" si="913"/>
        <v>225.57169356597893</v>
      </c>
      <c r="AS322" s="38">
        <f t="shared" si="914"/>
        <v>4.4175343619879603</v>
      </c>
      <c r="AT322" s="38">
        <f t="shared" si="853"/>
        <v>225.57169356597893</v>
      </c>
      <c r="AU322" s="38">
        <f t="shared" si="820"/>
        <v>1</v>
      </c>
      <c r="AV322" s="38">
        <f t="shared" si="954"/>
        <v>4.089016547523733</v>
      </c>
      <c r="AW322" s="4">
        <f t="shared" si="940"/>
        <v>0</v>
      </c>
      <c r="AX322" s="4">
        <f t="shared" si="995"/>
        <v>384.40439630517841</v>
      </c>
      <c r="AY322" s="4">
        <f t="shared" si="968"/>
        <v>1.2000000000000002</v>
      </c>
      <c r="AZ322" s="38">
        <f t="shared" si="837"/>
        <v>922.36638764424072</v>
      </c>
      <c r="BA322" s="4">
        <f t="shared" si="969"/>
        <v>0.3</v>
      </c>
      <c r="BB322" s="4">
        <f t="shared" si="970"/>
        <v>60.255389120836725</v>
      </c>
      <c r="BC322" s="4">
        <f t="shared" si="971"/>
        <v>982.62177676507747</v>
      </c>
      <c r="BE322" s="4">
        <f t="shared" si="854"/>
        <v>1.375</v>
      </c>
      <c r="BF322" s="4">
        <f t="shared" si="860"/>
        <v>626.98175166276042</v>
      </c>
      <c r="BH322" s="4">
        <f t="shared" si="861"/>
        <v>884.6621638098693</v>
      </c>
      <c r="BI322" s="4">
        <f t="shared" si="806"/>
        <v>0</v>
      </c>
      <c r="BJ322" s="4">
        <f t="shared" si="862"/>
        <v>0</v>
      </c>
      <c r="BR322" s="4">
        <f t="shared" si="972"/>
        <v>38.099999999999994</v>
      </c>
      <c r="BV322" s="9"/>
      <c r="BX322" s="9"/>
      <c r="BY322" s="9"/>
      <c r="BZ322" s="9">
        <f t="shared" si="973"/>
        <v>38.099999999999994</v>
      </c>
      <c r="CA322" s="9">
        <f t="shared" si="974"/>
        <v>63.5</v>
      </c>
      <c r="CB322" s="9">
        <f t="shared" si="821"/>
        <v>1.3222785168171165</v>
      </c>
      <c r="CC322" s="40">
        <f t="shared" si="996"/>
        <v>0</v>
      </c>
      <c r="CD322" s="9">
        <f t="shared" si="975"/>
        <v>0</v>
      </c>
      <c r="CE322" s="9">
        <f t="shared" si="976"/>
        <v>0</v>
      </c>
      <c r="CF322" s="9">
        <f t="shared" si="977"/>
        <v>0.99524931562137331</v>
      </c>
      <c r="CG322" s="9">
        <f t="shared" si="978"/>
        <v>0.68</v>
      </c>
      <c r="CH322" s="9">
        <f t="shared" si="822"/>
        <v>1.8702904607807274</v>
      </c>
      <c r="CI322" s="9">
        <f t="shared" si="823"/>
        <v>2.4730448964983416</v>
      </c>
      <c r="CJ322" s="40">
        <v>1</v>
      </c>
      <c r="CK322" s="9">
        <f t="shared" si="824"/>
        <v>239.88535496033913</v>
      </c>
      <c r="CM322" s="4">
        <f t="shared" si="979"/>
        <v>0.91498469141284478</v>
      </c>
      <c r="CN322" s="4">
        <f t="shared" si="980"/>
        <v>0.35794457872586288</v>
      </c>
      <c r="CO322" s="4">
        <f t="shared" si="946"/>
        <v>0.56097986424367119</v>
      </c>
      <c r="CP322" s="4">
        <f t="shared" si="981"/>
        <v>1.4662176354583463</v>
      </c>
      <c r="CQ322" s="4">
        <f t="shared" si="921"/>
        <v>0.77187994815402661</v>
      </c>
      <c r="CR322" s="4">
        <f t="shared" si="922"/>
        <v>0.74722430214469848</v>
      </c>
      <c r="CS322" s="4">
        <f t="shared" si="947"/>
        <v>1.1308794998166836</v>
      </c>
      <c r="CT322" s="4">
        <f t="shared" si="997"/>
        <v>0</v>
      </c>
      <c r="CU322" s="4">
        <f t="shared" ref="CU322:CV322" si="1022">CM322</f>
        <v>0.91498469141284478</v>
      </c>
      <c r="CV322" s="4">
        <f t="shared" si="1022"/>
        <v>0.35794457872586288</v>
      </c>
      <c r="CW322" s="4">
        <f t="shared" ref="CW322" si="1023">CP322</f>
        <v>1.4662176354583463</v>
      </c>
      <c r="CX322" s="4">
        <f t="shared" ref="CX322" si="1024">CS322</f>
        <v>1.1308794998166836</v>
      </c>
      <c r="CY322" s="4">
        <f t="shared" ref="CY322:CZ322" si="1025">CQ322</f>
        <v>0.77187994815402661</v>
      </c>
      <c r="CZ322" s="4">
        <f t="shared" si="1025"/>
        <v>0.74722430214469848</v>
      </c>
      <c r="DI322" s="4">
        <f t="shared" si="982"/>
        <v>234.95</v>
      </c>
      <c r="DL322" s="4">
        <f t="shared" si="900"/>
        <v>2.0373545896374304E-5</v>
      </c>
      <c r="DM322" s="4">
        <f t="shared" si="1009"/>
        <v>8.9262091811553486</v>
      </c>
      <c r="DN322" s="4">
        <f t="shared" si="901"/>
        <v>0.12197078234681423</v>
      </c>
      <c r="DO322" s="4">
        <f t="shared" si="902"/>
        <v>3.8474181010001449</v>
      </c>
      <c r="DP322" s="4">
        <f t="shared" si="903"/>
        <v>6.8798040749591918</v>
      </c>
      <c r="DQ322" s="4">
        <f t="shared" si="904"/>
        <v>8.4854089879150845</v>
      </c>
      <c r="DR322" s="38">
        <f t="shared" si="915"/>
        <v>455.67207539487595</v>
      </c>
      <c r="DS322" s="4">
        <f t="shared" si="829"/>
        <v>1.0000938902297358</v>
      </c>
      <c r="DT322" s="4">
        <f t="shared" si="905"/>
        <v>3.2403703492039297</v>
      </c>
      <c r="DU322" s="4">
        <f t="shared" si="842"/>
        <v>225.57169356597893</v>
      </c>
      <c r="DY322" s="4">
        <f t="shared" si="785"/>
        <v>0.85</v>
      </c>
      <c r="DZ322" s="4">
        <f t="shared" si="830"/>
        <v>0.95</v>
      </c>
      <c r="EA322" s="4">
        <f t="shared" si="916"/>
        <v>1</v>
      </c>
      <c r="EB322" s="4">
        <f t="shared" si="831"/>
        <v>0.95</v>
      </c>
      <c r="ED322" s="4">
        <f t="shared" si="917"/>
        <v>470.70757324341395</v>
      </c>
      <c r="EE322" s="25">
        <f t="shared" si="918"/>
        <v>223.00526846635302</v>
      </c>
      <c r="EG322" s="4">
        <f t="shared" si="843"/>
        <v>0.8075</v>
      </c>
      <c r="EH322" s="4">
        <f t="shared" si="919"/>
        <v>8.9262091811553486</v>
      </c>
      <c r="EK322" s="4">
        <f t="shared" si="906"/>
        <v>82.305406869779816</v>
      </c>
      <c r="EL322" s="4">
        <f t="shared" si="907"/>
        <v>3.2403703492039302</v>
      </c>
      <c r="EM322" s="4">
        <f t="shared" si="908"/>
        <v>5.2661265208686421E-2</v>
      </c>
      <c r="EP322" s="4">
        <f t="shared" si="998"/>
        <v>5.2661265208686421E-2</v>
      </c>
      <c r="EQ322" s="4">
        <f t="shared" si="960"/>
        <v>0.12176723584334105</v>
      </c>
      <c r="ER322" s="4">
        <f t="shared" si="1010"/>
        <v>3.8448485645758632</v>
      </c>
      <c r="ES322" s="4">
        <f t="shared" si="983"/>
        <v>6.8791009663372167</v>
      </c>
      <c r="ET322" s="4">
        <f t="shared" si="1011"/>
        <v>93.907093130220161</v>
      </c>
      <c r="EU322" s="4">
        <f t="shared" si="1012"/>
        <v>58.737500000000026</v>
      </c>
      <c r="EV322" s="4">
        <f t="shared" si="832"/>
        <v>2.0373545896374314E-5</v>
      </c>
      <c r="EW322" s="4">
        <f t="shared" si="984"/>
        <v>8.4855088575581235</v>
      </c>
      <c r="EX322" s="4">
        <f t="shared" si="867"/>
        <v>455.62929625557615</v>
      </c>
      <c r="FG322" s="23">
        <f t="shared" si="778"/>
        <v>1</v>
      </c>
      <c r="FH322" s="23">
        <f t="shared" si="778"/>
        <v>0.6</v>
      </c>
      <c r="FI322" s="23">
        <f t="shared" si="952"/>
        <v>1.2</v>
      </c>
      <c r="FJ322" s="23">
        <f t="shared" si="779"/>
        <v>1.6</v>
      </c>
      <c r="FK322" s="23">
        <f t="shared" si="779"/>
        <v>0.8</v>
      </c>
      <c r="FL322" s="23">
        <f t="shared" si="779"/>
        <v>0.8</v>
      </c>
      <c r="FM322" s="23">
        <f t="shared" si="923"/>
        <v>1</v>
      </c>
      <c r="FN322" s="23"/>
      <c r="FX322" s="4">
        <f t="shared" si="833"/>
        <v>1</v>
      </c>
      <c r="FY322" s="4">
        <f t="shared" si="890"/>
        <v>0.83333333333333326</v>
      </c>
      <c r="FZ322" s="4">
        <f t="shared" si="834"/>
        <v>0</v>
      </c>
      <c r="GA322" s="4">
        <f t="shared" si="835"/>
        <v>311.01822783775748</v>
      </c>
    </row>
    <row r="323" spans="1:183" ht="12" customHeight="1" x14ac:dyDescent="0.3">
      <c r="A323" s="25">
        <v>305</v>
      </c>
      <c r="B323" s="4" t="s">
        <v>605</v>
      </c>
      <c r="C323" s="4">
        <v>2016</v>
      </c>
      <c r="D323" s="4" t="s">
        <v>309</v>
      </c>
      <c r="E323" s="24" t="s">
        <v>669</v>
      </c>
      <c r="F323" s="7" t="s">
        <v>466</v>
      </c>
      <c r="G323" s="38">
        <f>120/0.145</f>
        <v>827.58620689655174</v>
      </c>
      <c r="H323" s="38">
        <f>9.58*25.4</f>
        <v>243.33199999999999</v>
      </c>
      <c r="I323" s="4">
        <f t="shared" si="985"/>
        <v>243.33199999999999</v>
      </c>
      <c r="J323" s="38">
        <f>9040/145</f>
        <v>62.344827586206897</v>
      </c>
      <c r="K323" s="38">
        <f t="shared" si="986"/>
        <v>25.4</v>
      </c>
      <c r="L323" s="7">
        <f t="shared" si="987"/>
        <v>9.58</v>
      </c>
      <c r="M323" s="7">
        <f t="shared" si="988"/>
        <v>9.58</v>
      </c>
      <c r="N323" s="38">
        <f>14*25.4</f>
        <v>355.59999999999997</v>
      </c>
      <c r="O323" s="38">
        <f t="shared" si="999"/>
        <v>63.5</v>
      </c>
      <c r="P323" s="39">
        <f>3.2*25.4</f>
        <v>81.28</v>
      </c>
      <c r="Q323" s="7">
        <f t="shared" si="989"/>
        <v>76.199999999999989</v>
      </c>
      <c r="R323" s="38">
        <v>3</v>
      </c>
      <c r="S323" s="4">
        <f t="shared" si="966"/>
        <v>260.34999999999997</v>
      </c>
      <c r="T323" s="7">
        <f t="shared" si="990"/>
        <v>1.9999999999999998</v>
      </c>
      <c r="U323" s="7">
        <f t="shared" si="859"/>
        <v>3</v>
      </c>
      <c r="V323" s="38">
        <v>9.5</v>
      </c>
      <c r="W323" s="4">
        <f t="shared" si="991"/>
        <v>9.5</v>
      </c>
      <c r="X323" s="4">
        <f t="shared" si="992"/>
        <v>10.5</v>
      </c>
      <c r="Y323" s="7">
        <f t="shared" si="993"/>
        <v>82.305406869779816</v>
      </c>
      <c r="AB323" s="38">
        <f t="shared" si="786"/>
        <v>452.41379310344826</v>
      </c>
      <c r="AC323" s="4">
        <v>65.599999999999994</v>
      </c>
      <c r="AD323" s="4">
        <f t="shared" si="899"/>
        <v>0.96079814882500592</v>
      </c>
      <c r="AE323" s="38">
        <f>0.375*25.4</f>
        <v>9.5249999999999986</v>
      </c>
      <c r="AF323" s="38">
        <v>4</v>
      </c>
      <c r="AG323" s="39">
        <f>6*25.4</f>
        <v>152.39999999999998</v>
      </c>
      <c r="AH323" s="39">
        <v>1</v>
      </c>
      <c r="AI323" s="39">
        <v>1</v>
      </c>
      <c r="AJ323" s="7"/>
      <c r="AK323" s="4">
        <f t="shared" si="994"/>
        <v>243.33199999999999</v>
      </c>
      <c r="AL323" s="4">
        <f t="shared" si="910"/>
        <v>0.48712595685455812</v>
      </c>
      <c r="AM323" s="4">
        <f t="shared" si="911"/>
        <v>197.16075989632159</v>
      </c>
      <c r="AN323" s="4">
        <f t="shared" si="912"/>
        <v>0.76263048016701451</v>
      </c>
      <c r="AO323" s="4">
        <v>1.25</v>
      </c>
      <c r="AP323" s="4">
        <f t="shared" si="844"/>
        <v>2.5</v>
      </c>
      <c r="AQ323" s="38">
        <f t="shared" si="967"/>
        <v>228.88953438778191</v>
      </c>
      <c r="AR323" s="38">
        <f t="shared" si="913"/>
        <v>228.88953438778191</v>
      </c>
      <c r="AS323" s="38">
        <f t="shared" si="914"/>
        <v>4.4175343619879603</v>
      </c>
      <c r="AT323" s="38">
        <f t="shared" si="853"/>
        <v>228.88953438778174</v>
      </c>
      <c r="AU323" s="38">
        <f t="shared" si="820"/>
        <v>1.0000000000000007</v>
      </c>
      <c r="AV323" s="38">
        <f t="shared" si="954"/>
        <v>4.0297446980759695</v>
      </c>
      <c r="AW323" s="4">
        <f t="shared" si="940"/>
        <v>0</v>
      </c>
      <c r="AX323" s="4">
        <f t="shared" si="995"/>
        <v>398.1182828760659</v>
      </c>
      <c r="AY323" s="4">
        <f t="shared" si="968"/>
        <v>1.2000000000000002</v>
      </c>
      <c r="AZ323" s="38">
        <f t="shared" si="837"/>
        <v>922.36638764424072</v>
      </c>
      <c r="BA323" s="4">
        <f t="shared" si="969"/>
        <v>0.3</v>
      </c>
      <c r="BB323" s="4">
        <f t="shared" si="970"/>
        <v>62.405040840823332</v>
      </c>
      <c r="BC323" s="4">
        <f t="shared" si="971"/>
        <v>984.77142848506401</v>
      </c>
      <c r="BE323" s="4">
        <f t="shared" si="854"/>
        <v>1.5</v>
      </c>
      <c r="BF323" s="4">
        <f t="shared" si="860"/>
        <v>695.70546574112018</v>
      </c>
      <c r="BH323" s="4">
        <f t="shared" si="861"/>
        <v>884.6621638098693</v>
      </c>
      <c r="BI323" s="4">
        <f t="shared" si="806"/>
        <v>0</v>
      </c>
      <c r="BJ323" s="4">
        <f t="shared" si="862"/>
        <v>0</v>
      </c>
      <c r="BR323" s="4">
        <f t="shared" si="972"/>
        <v>38.099999999999994</v>
      </c>
      <c r="BV323" s="9"/>
      <c r="BX323" s="9"/>
      <c r="BY323" s="9"/>
      <c r="BZ323" s="9">
        <f t="shared" si="973"/>
        <v>38.099999999999994</v>
      </c>
      <c r="CA323" s="9">
        <f t="shared" si="974"/>
        <v>63.5</v>
      </c>
      <c r="CB323" s="9">
        <f t="shared" si="821"/>
        <v>1.3222785168171165</v>
      </c>
      <c r="CC323" s="40">
        <f t="shared" si="996"/>
        <v>20</v>
      </c>
      <c r="CD323" s="9">
        <f t="shared" si="975"/>
        <v>4.9087385212340517E-2</v>
      </c>
      <c r="CE323" s="9">
        <f t="shared" si="976"/>
        <v>0.78174770424681028</v>
      </c>
      <c r="CF323" s="9">
        <f t="shared" si="977"/>
        <v>0.99524931562137331</v>
      </c>
      <c r="CG323" s="9">
        <f t="shared" si="978"/>
        <v>0.68</v>
      </c>
      <c r="CH323" s="9">
        <f t="shared" si="822"/>
        <v>1.8702904607807274</v>
      </c>
      <c r="CI323" s="9">
        <f t="shared" si="823"/>
        <v>3.9351401704883844</v>
      </c>
      <c r="CJ323" s="40">
        <v>1</v>
      </c>
      <c r="CK323" s="9">
        <f t="shared" si="824"/>
        <v>386.90298156241795</v>
      </c>
      <c r="CM323" s="4">
        <f t="shared" si="979"/>
        <v>1.1363803486620696</v>
      </c>
      <c r="CN323" s="4">
        <f t="shared" si="980"/>
        <v>0.45940995038759902</v>
      </c>
      <c r="CO323" s="4">
        <f t="shared" si="946"/>
        <v>0.65029501043448246</v>
      </c>
      <c r="CP323" s="4">
        <f t="shared" si="981"/>
        <v>1.1693210304983437</v>
      </c>
      <c r="CQ323" s="4">
        <f t="shared" si="921"/>
        <v>0.96079814882500592</v>
      </c>
      <c r="CR323" s="4">
        <f t="shared" si="922"/>
        <v>0.93212965513993562</v>
      </c>
      <c r="CS323" s="4">
        <f t="shared" si="947"/>
        <v>1.1355499502132003</v>
      </c>
      <c r="CT323" s="4">
        <f t="shared" si="997"/>
        <v>4</v>
      </c>
      <c r="DA323" s="4">
        <f t="shared" ref="DA323:DB323" si="1026">CM323</f>
        <v>1.1363803486620696</v>
      </c>
      <c r="DB323" s="4">
        <f t="shared" si="1026"/>
        <v>0.45940995038759902</v>
      </c>
      <c r="DC323" s="4">
        <f t="shared" ref="DC323" si="1027">CP323</f>
        <v>1.1693210304983437</v>
      </c>
      <c r="DD323" s="4">
        <f t="shared" ref="DD323" si="1028">CS323</f>
        <v>1.1355499502132003</v>
      </c>
      <c r="DE323" s="4">
        <f t="shared" ref="DE323:DF323" si="1029">CQ323</f>
        <v>0.96079814882500592</v>
      </c>
      <c r="DF323" s="4">
        <f t="shared" si="1029"/>
        <v>0.93212965513993562</v>
      </c>
      <c r="DI323" s="4">
        <f t="shared" si="982"/>
        <v>243.33199999999999</v>
      </c>
      <c r="DL323" s="4">
        <f t="shared" si="900"/>
        <v>2.1100385912136846E-5</v>
      </c>
      <c r="DM323" s="4">
        <f t="shared" si="1009"/>
        <v>9.0106843469076061</v>
      </c>
      <c r="DN323" s="4">
        <f t="shared" si="901"/>
        <v>0.12376480017919407</v>
      </c>
      <c r="DO323" s="4">
        <f t="shared" si="902"/>
        <v>3.906579207130604</v>
      </c>
      <c r="DP323" s="4">
        <f t="shared" si="903"/>
        <v>6.951156618432341</v>
      </c>
      <c r="DQ323" s="4">
        <f t="shared" si="904"/>
        <v>8.5249832580180538</v>
      </c>
      <c r="DR323" s="38">
        <f t="shared" si="915"/>
        <v>470.87288173558733</v>
      </c>
      <c r="DS323" s="4">
        <f t="shared" si="829"/>
        <v>1.0000936867373067</v>
      </c>
      <c r="DT323" s="4">
        <f t="shared" si="905"/>
        <v>3.2403703492039297</v>
      </c>
      <c r="DU323" s="4">
        <f t="shared" si="842"/>
        <v>228.88953438778174</v>
      </c>
      <c r="DY323" s="4">
        <f t="shared" si="785"/>
        <v>0.85</v>
      </c>
      <c r="DZ323" s="4">
        <f t="shared" si="830"/>
        <v>0.95</v>
      </c>
      <c r="EA323" s="4">
        <f t="shared" si="916"/>
        <v>0.99062499999999998</v>
      </c>
      <c r="EB323" s="4">
        <f t="shared" si="831"/>
        <v>0.94109374999999995</v>
      </c>
      <c r="ED323" s="4">
        <f t="shared" si="917"/>
        <v>485.35500464850008</v>
      </c>
      <c r="EE323" s="25">
        <f t="shared" si="918"/>
        <v>226.38793651837554</v>
      </c>
      <c r="EG323" s="4">
        <f t="shared" si="843"/>
        <v>0.79992968749999993</v>
      </c>
      <c r="EH323" s="4">
        <f t="shared" si="919"/>
        <v>9.0106843469076061</v>
      </c>
      <c r="EK323" s="4">
        <f t="shared" si="906"/>
        <v>82.305406869779816</v>
      </c>
      <c r="EL323" s="4">
        <f t="shared" si="907"/>
        <v>3.2403703492039302</v>
      </c>
      <c r="EM323" s="4">
        <f t="shared" si="908"/>
        <v>5.3435837996056383E-2</v>
      </c>
      <c r="EP323" s="4">
        <f t="shared" si="998"/>
        <v>5.3435837996056383E-2</v>
      </c>
      <c r="EQ323" s="4">
        <f t="shared" si="960"/>
        <v>0.1235582597943181</v>
      </c>
      <c r="ER323" s="4">
        <f t="shared" si="1010"/>
        <v>3.9039701593734981</v>
      </c>
      <c r="ES323" s="4">
        <f t="shared" si="983"/>
        <v>6.9504388324651538</v>
      </c>
      <c r="ET323" s="4">
        <f t="shared" si="1011"/>
        <v>100.19359313022018</v>
      </c>
      <c r="EU323" s="4">
        <f t="shared" si="1012"/>
        <v>60.833000000000013</v>
      </c>
      <c r="EV323" s="4">
        <f t="shared" si="832"/>
        <v>2.1100385912136853E-5</v>
      </c>
      <c r="EW323" s="4">
        <f t="shared" si="984"/>
        <v>8.5250910149896661</v>
      </c>
      <c r="EX323" s="4">
        <f t="shared" si="867"/>
        <v>470.8287713241719</v>
      </c>
      <c r="FG323" s="23">
        <f t="shared" ref="FG323:FH386" si="1030">IF(CM323&lt;0.6,0.6,IF(CM323&lt;0.8,0.8,IF(CM323&lt;1,1,IF(CM323&lt;1.2,1.2,IF(CM323&lt;1.4,1.4,IF(CM323&lt;1.6,1.6,IF(CM323&lt;1.8,1.8,IF(CM323&lt;2,2,2.2))))))))</f>
        <v>1.2</v>
      </c>
      <c r="FH323" s="23">
        <f t="shared" si="1030"/>
        <v>0.6</v>
      </c>
      <c r="FI323" s="23">
        <f t="shared" si="952"/>
        <v>1.2</v>
      </c>
      <c r="FJ323" s="23">
        <f t="shared" ref="FJ323:FL386" si="1031">IF(CP323&lt;0.6,0.6,IF(CP323&lt;0.8,0.8,IF(CP323&lt;1,1,IF(CP323&lt;1.2,1.2,IF(CP323&lt;1.4,1.4,IF(CP323&lt;1.6,1.6,IF(CP323&lt;1.8,1.8,IF(CP323&lt;2,2,2.2))))))))</f>
        <v>1.2</v>
      </c>
      <c r="FK323" s="23">
        <f t="shared" si="1031"/>
        <v>1</v>
      </c>
      <c r="FL323" s="23">
        <f t="shared" si="1031"/>
        <v>1</v>
      </c>
      <c r="FM323" s="23">
        <f t="shared" si="923"/>
        <v>0</v>
      </c>
      <c r="FN323" s="23"/>
      <c r="FX323" s="4">
        <f t="shared" si="833"/>
        <v>1</v>
      </c>
      <c r="FY323" s="4">
        <f t="shared" si="890"/>
        <v>0.67375000000000007</v>
      </c>
      <c r="FZ323" s="4">
        <f t="shared" si="834"/>
        <v>9.3749999999999986E-2</v>
      </c>
      <c r="GA323" s="4">
        <f t="shared" si="835"/>
        <v>398.40941652853513</v>
      </c>
    </row>
    <row r="324" spans="1:183" ht="12" customHeight="1" x14ac:dyDescent="0.3">
      <c r="A324" s="25">
        <v>306</v>
      </c>
      <c r="B324" s="4" t="s">
        <v>605</v>
      </c>
      <c r="C324" s="4">
        <v>2016</v>
      </c>
      <c r="D324" s="4" t="s">
        <v>309</v>
      </c>
      <c r="E324" s="24" t="s">
        <v>669</v>
      </c>
      <c r="F324" s="7" t="s">
        <v>467</v>
      </c>
      <c r="G324" s="38">
        <f t="shared" ref="G324:G334" si="1032">120/0.145</f>
        <v>827.58620689655174</v>
      </c>
      <c r="H324" s="38">
        <f>9.5*25.4</f>
        <v>241.29999999999998</v>
      </c>
      <c r="I324" s="4">
        <f t="shared" si="985"/>
        <v>241.29999999999998</v>
      </c>
      <c r="J324" s="38">
        <f>9940/145</f>
        <v>68.551724137931032</v>
      </c>
      <c r="K324" s="38">
        <f t="shared" si="986"/>
        <v>25.4</v>
      </c>
      <c r="L324" s="7">
        <f t="shared" si="987"/>
        <v>9.5</v>
      </c>
      <c r="M324" s="7">
        <f t="shared" si="988"/>
        <v>9.5</v>
      </c>
      <c r="N324" s="38">
        <f>16*25.4</f>
        <v>406.4</v>
      </c>
      <c r="O324" s="38">
        <f t="shared" si="999"/>
        <v>63.5</v>
      </c>
      <c r="P324" s="39">
        <f>3.3*25.4</f>
        <v>83.82</v>
      </c>
      <c r="Q324" s="7">
        <f t="shared" si="989"/>
        <v>101.6</v>
      </c>
      <c r="R324" s="38">
        <v>3</v>
      </c>
      <c r="S324" s="4">
        <f t="shared" si="966"/>
        <v>260.34999999999997</v>
      </c>
      <c r="T324" s="7">
        <f t="shared" si="990"/>
        <v>2.5</v>
      </c>
      <c r="U324" s="7">
        <f t="shared" si="859"/>
        <v>3</v>
      </c>
      <c r="V324" s="38">
        <v>9.5</v>
      </c>
      <c r="W324" s="4">
        <f t="shared" si="991"/>
        <v>9.5</v>
      </c>
      <c r="X324" s="4">
        <f t="shared" si="992"/>
        <v>10.5</v>
      </c>
      <c r="Y324" s="7">
        <f t="shared" si="993"/>
        <v>82.305406869779816</v>
      </c>
      <c r="AB324" s="38">
        <f t="shared" si="786"/>
        <v>388.27586206896552</v>
      </c>
      <c r="AC324" s="4">
        <v>56.3</v>
      </c>
      <c r="AD324" s="4">
        <f t="shared" si="899"/>
        <v>0.72179535196685451</v>
      </c>
      <c r="AE324" s="38"/>
      <c r="AF324" s="38"/>
      <c r="AG324" s="39">
        <v>1</v>
      </c>
      <c r="AH324" s="39"/>
      <c r="AI324" s="39"/>
      <c r="AJ324" s="7"/>
      <c r="AK324" s="4">
        <f t="shared" si="994"/>
        <v>241.29999999999998</v>
      </c>
      <c r="AL324" s="4">
        <f t="shared" si="910"/>
        <v>0.56140350877192979</v>
      </c>
      <c r="AM324" s="4">
        <f t="shared" si="911"/>
        <v>204.15809498223462</v>
      </c>
      <c r="AN324" s="4">
        <f t="shared" si="912"/>
        <v>0.76315789473684204</v>
      </c>
      <c r="AO324" s="4">
        <v>1.25</v>
      </c>
      <c r="AP324" s="4">
        <f t="shared" si="844"/>
        <v>2.5</v>
      </c>
      <c r="AQ324" s="38">
        <f t="shared" si="967"/>
        <v>273.34186308794108</v>
      </c>
      <c r="AR324" s="38">
        <f t="shared" si="913"/>
        <v>273.34186308794108</v>
      </c>
      <c r="AS324" s="38">
        <f t="shared" si="914"/>
        <v>4.5752930713880566</v>
      </c>
      <c r="AT324" s="38">
        <f t="shared" si="853"/>
        <v>273.34186308794119</v>
      </c>
      <c r="AU324" s="38">
        <f t="shared" si="820"/>
        <v>0.99999999999999956</v>
      </c>
      <c r="AV324" s="38">
        <f t="shared" si="954"/>
        <v>4.1741475281539566</v>
      </c>
      <c r="AW324" s="4">
        <f t="shared" si="940"/>
        <v>0</v>
      </c>
      <c r="AX324" s="4">
        <f t="shared" si="995"/>
        <v>413.97984292091752</v>
      </c>
      <c r="AY324" s="4">
        <f t="shared" si="968"/>
        <v>1.08</v>
      </c>
      <c r="AZ324" s="38">
        <f t="shared" si="837"/>
        <v>1140.9692621495269</v>
      </c>
      <c r="BA324" s="4">
        <f t="shared" si="969"/>
        <v>0.3</v>
      </c>
      <c r="BB324" s="4">
        <f t="shared" si="970"/>
        <v>64.891340377853822</v>
      </c>
      <c r="BC324" s="4">
        <f t="shared" si="971"/>
        <v>1205.8606025273807</v>
      </c>
      <c r="BE324" s="4">
        <f t="shared" si="854"/>
        <v>1.375</v>
      </c>
      <c r="BF324" s="4">
        <f t="shared" si="860"/>
        <v>665.99007229902611</v>
      </c>
      <c r="BH324" s="4">
        <f t="shared" si="861"/>
        <v>1094.329053849985</v>
      </c>
      <c r="BI324" s="4">
        <f t="shared" si="806"/>
        <v>0</v>
      </c>
      <c r="BJ324" s="4">
        <f t="shared" si="862"/>
        <v>0</v>
      </c>
      <c r="BR324" s="4">
        <f t="shared" si="972"/>
        <v>50.8</v>
      </c>
      <c r="BV324" s="9"/>
      <c r="BX324" s="9"/>
      <c r="BY324" s="9"/>
      <c r="BZ324" s="9">
        <f t="shared" si="973"/>
        <v>50.8</v>
      </c>
      <c r="CA324" s="9">
        <f t="shared" si="974"/>
        <v>63.5</v>
      </c>
      <c r="CB324" s="9">
        <f t="shared" si="821"/>
        <v>1.4623505735569622</v>
      </c>
      <c r="CC324" s="40">
        <f t="shared" si="996"/>
        <v>0</v>
      </c>
      <c r="CD324" s="9">
        <f t="shared" si="975"/>
        <v>0</v>
      </c>
      <c r="CE324" s="9">
        <f t="shared" si="976"/>
        <v>0</v>
      </c>
      <c r="CF324" s="9">
        <f t="shared" si="977"/>
        <v>0.99524931562137331</v>
      </c>
      <c r="CG324" s="9">
        <f t="shared" si="978"/>
        <v>0.68</v>
      </c>
      <c r="CH324" s="9">
        <f t="shared" si="822"/>
        <v>1.9611826194568933</v>
      </c>
      <c r="CI324" s="9">
        <f t="shared" si="823"/>
        <v>2.8679365284127334</v>
      </c>
      <c r="CJ324" s="40">
        <v>1</v>
      </c>
      <c r="CK324" s="9">
        <f t="shared" si="824"/>
        <v>281.05777978444786</v>
      </c>
      <c r="CM324" s="4">
        <f t="shared" si="979"/>
        <v>0.93791006665785359</v>
      </c>
      <c r="CN324" s="4">
        <f t="shared" si="980"/>
        <v>0.32199066895060052</v>
      </c>
      <c r="CO324" s="4">
        <f t="shared" si="946"/>
        <v>0.58300548044000222</v>
      </c>
      <c r="CP324" s="4">
        <f t="shared" si="981"/>
        <v>1.3814805708874047</v>
      </c>
      <c r="CQ324" s="4">
        <f t="shared" si="921"/>
        <v>0.72179535196685451</v>
      </c>
      <c r="CR324" s="4">
        <f t="shared" si="922"/>
        <v>0.70351864336481917</v>
      </c>
      <c r="CS324" s="4">
        <f t="shared" si="947"/>
        <v>1.0683429748972426</v>
      </c>
      <c r="CT324" s="4">
        <f t="shared" si="997"/>
        <v>0</v>
      </c>
      <c r="CU324" s="4">
        <f t="shared" ref="CU324:CV324" si="1033">CM324</f>
        <v>0.93791006665785359</v>
      </c>
      <c r="CV324" s="4">
        <f t="shared" si="1033"/>
        <v>0.32199066895060052</v>
      </c>
      <c r="CW324" s="4">
        <f t="shared" ref="CW324" si="1034">CP324</f>
        <v>1.3814805708874047</v>
      </c>
      <c r="CX324" s="4">
        <f t="shared" ref="CX324" si="1035">CS324</f>
        <v>1.0683429748972426</v>
      </c>
      <c r="CY324" s="4">
        <f t="shared" ref="CY324:CZ324" si="1036">CQ324</f>
        <v>0.72179535196685451</v>
      </c>
      <c r="CZ324" s="4">
        <f t="shared" si="1036"/>
        <v>0.70351864336481917</v>
      </c>
      <c r="DI324" s="4">
        <f t="shared" si="982"/>
        <v>241.29999999999998</v>
      </c>
      <c r="DL324" s="4">
        <f t="shared" si="900"/>
        <v>2.172887546527434E-5</v>
      </c>
      <c r="DM324" s="4">
        <f t="shared" si="1009"/>
        <v>9.8800042841059668</v>
      </c>
      <c r="DN324" s="4">
        <f t="shared" si="901"/>
        <v>0.13441861169554761</v>
      </c>
      <c r="DO324" s="4">
        <f t="shared" si="902"/>
        <v>4.4273198152976452</v>
      </c>
      <c r="DP324" s="4">
        <f t="shared" si="903"/>
        <v>7.6619766176459025</v>
      </c>
      <c r="DQ324" s="4">
        <f t="shared" si="904"/>
        <v>9.2787814635556796</v>
      </c>
      <c r="DR324" s="38">
        <f t="shared" si="915"/>
        <v>537.93067662590806</v>
      </c>
      <c r="DS324" s="4">
        <f t="shared" si="829"/>
        <v>1.0000930316890846</v>
      </c>
      <c r="DT324" s="4">
        <f t="shared" si="905"/>
        <v>3.2403703492039297</v>
      </c>
      <c r="DU324" s="4">
        <f t="shared" si="842"/>
        <v>273.34186308794119</v>
      </c>
      <c r="DY324" s="4">
        <f t="shared" ref="DY324:DY387" si="1037">IF(P324&gt;1*K324,0.85,1)</f>
        <v>0.85</v>
      </c>
      <c r="DZ324" s="4">
        <f t="shared" si="830"/>
        <v>0.9</v>
      </c>
      <c r="EA324" s="4">
        <f t="shared" si="916"/>
        <v>1</v>
      </c>
      <c r="EB324" s="4">
        <f t="shared" si="831"/>
        <v>0.9</v>
      </c>
      <c r="ED324" s="4">
        <f t="shared" si="917"/>
        <v>551.90557596583801</v>
      </c>
      <c r="EE324" s="25">
        <f t="shared" si="918"/>
        <v>270.32545386881799</v>
      </c>
      <c r="EG324" s="4">
        <f t="shared" si="843"/>
        <v>0.76500000000000001</v>
      </c>
      <c r="EH324" s="4">
        <f t="shared" si="919"/>
        <v>9.8800042841059668</v>
      </c>
      <c r="EK324" s="4">
        <f t="shared" si="906"/>
        <v>82.305406869779816</v>
      </c>
      <c r="EL324" s="4">
        <f t="shared" si="907"/>
        <v>3.2403703492039302</v>
      </c>
      <c r="EM324" s="4">
        <f t="shared" si="908"/>
        <v>6.0856064294171258E-2</v>
      </c>
      <c r="EP324" s="4">
        <f t="shared" si="998"/>
        <v>6.0856064294171258E-2</v>
      </c>
      <c r="EQ324" s="4">
        <f t="shared" si="960"/>
        <v>0.13419429208485137</v>
      </c>
      <c r="ER324" s="4">
        <f t="shared" si="1010"/>
        <v>4.4243629857489157</v>
      </c>
      <c r="ES324" s="4">
        <f t="shared" si="983"/>
        <v>7.6611381748751528</v>
      </c>
      <c r="ET324" s="4">
        <f t="shared" si="1011"/>
        <v>98.669593130220179</v>
      </c>
      <c r="EU324" s="4">
        <f t="shared" si="1012"/>
        <v>60.324999999999974</v>
      </c>
      <c r="EV324" s="4">
        <f t="shared" si="832"/>
        <v>2.172887546527433E-5</v>
      </c>
      <c r="EW324" s="4">
        <f t="shared" si="984"/>
        <v>9.2789196852003251</v>
      </c>
      <c r="EX324" s="4">
        <f t="shared" si="867"/>
        <v>537.88063668175164</v>
      </c>
      <c r="FG324" s="23">
        <f t="shared" si="1030"/>
        <v>1</v>
      </c>
      <c r="FH324" s="23">
        <f t="shared" si="1030"/>
        <v>0.6</v>
      </c>
      <c r="FI324" s="23">
        <f t="shared" si="952"/>
        <v>1.2</v>
      </c>
      <c r="FJ324" s="23">
        <f t="shared" si="1031"/>
        <v>1.4</v>
      </c>
      <c r="FK324" s="23">
        <f t="shared" si="1031"/>
        <v>0.8</v>
      </c>
      <c r="FL324" s="23">
        <f t="shared" si="1031"/>
        <v>0.8</v>
      </c>
      <c r="FM324" s="23">
        <f t="shared" si="923"/>
        <v>1</v>
      </c>
      <c r="FN324" s="23"/>
      <c r="FX324" s="4">
        <f t="shared" si="833"/>
        <v>1</v>
      </c>
      <c r="FY324" s="4">
        <f t="shared" si="890"/>
        <v>0.75</v>
      </c>
      <c r="FZ324" s="4">
        <f t="shared" si="834"/>
        <v>0</v>
      </c>
      <c r="GA324" s="4">
        <f t="shared" si="835"/>
        <v>363.43746455234697</v>
      </c>
    </row>
    <row r="325" spans="1:183" ht="12" customHeight="1" x14ac:dyDescent="0.3">
      <c r="A325" s="25">
        <v>307</v>
      </c>
      <c r="B325" s="4" t="s">
        <v>605</v>
      </c>
      <c r="C325" s="4">
        <v>2016</v>
      </c>
      <c r="D325" s="4" t="s">
        <v>309</v>
      </c>
      <c r="E325" s="24" t="s">
        <v>669</v>
      </c>
      <c r="F325" s="7" t="s">
        <v>468</v>
      </c>
      <c r="G325" s="38">
        <f t="shared" si="1032"/>
        <v>827.58620689655174</v>
      </c>
      <c r="H325" s="38">
        <f>9.42*25.4</f>
        <v>239.26799999999997</v>
      </c>
      <c r="I325" s="4">
        <f t="shared" si="985"/>
        <v>239.26799999999997</v>
      </c>
      <c r="J325" s="38">
        <f>9940/145</f>
        <v>68.551724137931032</v>
      </c>
      <c r="K325" s="38">
        <f t="shared" si="986"/>
        <v>25.4</v>
      </c>
      <c r="L325" s="7">
        <f t="shared" si="987"/>
        <v>9.42</v>
      </c>
      <c r="M325" s="7">
        <f t="shared" si="988"/>
        <v>9.42</v>
      </c>
      <c r="N325" s="38">
        <f>16*25.4</f>
        <v>406.4</v>
      </c>
      <c r="O325" s="38">
        <f t="shared" si="999"/>
        <v>63.5</v>
      </c>
      <c r="P325" s="39">
        <f>3.4*25.4</f>
        <v>86.36</v>
      </c>
      <c r="Q325" s="7">
        <f t="shared" si="989"/>
        <v>101.6</v>
      </c>
      <c r="R325" s="38">
        <v>3</v>
      </c>
      <c r="S325" s="4">
        <f t="shared" si="966"/>
        <v>260.34999999999997</v>
      </c>
      <c r="T325" s="7">
        <f t="shared" si="990"/>
        <v>2.5</v>
      </c>
      <c r="U325" s="7">
        <f t="shared" si="859"/>
        <v>3</v>
      </c>
      <c r="V325" s="38">
        <v>9.5</v>
      </c>
      <c r="W325" s="4">
        <f t="shared" si="991"/>
        <v>9.5</v>
      </c>
      <c r="X325" s="4">
        <f t="shared" si="992"/>
        <v>10.5</v>
      </c>
      <c r="Y325" s="7">
        <f t="shared" si="993"/>
        <v>82.305406869779816</v>
      </c>
      <c r="AB325" s="38">
        <f t="shared" ref="AB325:AB388" si="1038">AC325/0.145</f>
        <v>488.27586206896552</v>
      </c>
      <c r="AC325" s="4">
        <v>70.8</v>
      </c>
      <c r="AD325" s="4">
        <f t="shared" si="899"/>
        <v>0.90958443196571492</v>
      </c>
      <c r="AE325" s="38">
        <f>0.375*25.4</f>
        <v>9.5249999999999986</v>
      </c>
      <c r="AF325" s="38">
        <v>4</v>
      </c>
      <c r="AG325" s="39">
        <f>6*25.4</f>
        <v>152.39999999999998</v>
      </c>
      <c r="AH325" s="39">
        <v>1</v>
      </c>
      <c r="AI325" s="39">
        <v>1</v>
      </c>
      <c r="AJ325" s="7"/>
      <c r="AK325" s="4">
        <f t="shared" si="994"/>
        <v>239.26799999999997</v>
      </c>
      <c r="AL325" s="4">
        <f t="shared" si="910"/>
        <v>0.56617126680820962</v>
      </c>
      <c r="AM325" s="4">
        <f t="shared" si="911"/>
        <v>201.58469266666123</v>
      </c>
      <c r="AN325" s="4">
        <f t="shared" si="912"/>
        <v>0.76369426751592351</v>
      </c>
      <c r="AO325" s="4">
        <v>1.25</v>
      </c>
      <c r="AP325" s="4">
        <f t="shared" si="844"/>
        <v>2.5</v>
      </c>
      <c r="AQ325" s="38">
        <f t="shared" si="967"/>
        <v>272.37981990178423</v>
      </c>
      <c r="AR325" s="38">
        <f t="shared" si="913"/>
        <v>272.37981990178423</v>
      </c>
      <c r="AS325" s="38">
        <f t="shared" si="914"/>
        <v>4.5752930713880566</v>
      </c>
      <c r="AT325" s="38">
        <f t="shared" si="853"/>
        <v>272.37981990178383</v>
      </c>
      <c r="AU325" s="38">
        <f t="shared" si="820"/>
        <v>1.0000000000000016</v>
      </c>
      <c r="AV325" s="38">
        <f t="shared" si="954"/>
        <v>4.1888905813982245</v>
      </c>
      <c r="AW325" s="4">
        <f t="shared" si="940"/>
        <v>0</v>
      </c>
      <c r="AX325" s="4">
        <f t="shared" si="995"/>
        <v>410.49369687526774</v>
      </c>
      <c r="AY325" s="4">
        <f t="shared" si="968"/>
        <v>1.08</v>
      </c>
      <c r="AZ325" s="38">
        <f t="shared" si="837"/>
        <v>1140.9692621495269</v>
      </c>
      <c r="BA325" s="4">
        <f t="shared" si="969"/>
        <v>0.3</v>
      </c>
      <c r="BB325" s="4">
        <f t="shared" si="970"/>
        <v>64.344886985198201</v>
      </c>
      <c r="BC325" s="4">
        <f t="shared" si="971"/>
        <v>1205.3141491347251</v>
      </c>
      <c r="BE325" s="4">
        <f t="shared" si="854"/>
        <v>1.5</v>
      </c>
      <c r="BF325" s="4">
        <f t="shared" si="860"/>
        <v>723.55396945717973</v>
      </c>
      <c r="BH325" s="4">
        <f t="shared" si="861"/>
        <v>1094.329053849985</v>
      </c>
      <c r="BI325" s="4">
        <f t="shared" si="806"/>
        <v>0</v>
      </c>
      <c r="BJ325" s="4">
        <f t="shared" si="862"/>
        <v>0</v>
      </c>
      <c r="BR325" s="4">
        <f t="shared" si="972"/>
        <v>50.8</v>
      </c>
      <c r="BV325" s="9"/>
      <c r="BX325" s="9"/>
      <c r="BY325" s="9"/>
      <c r="BZ325" s="9">
        <f t="shared" si="973"/>
        <v>50.8</v>
      </c>
      <c r="CA325" s="9">
        <f t="shared" si="974"/>
        <v>63.5</v>
      </c>
      <c r="CB325" s="9">
        <f t="shared" si="821"/>
        <v>1.4623505735569622</v>
      </c>
      <c r="CC325" s="40">
        <f t="shared" si="996"/>
        <v>20</v>
      </c>
      <c r="CD325" s="9">
        <f t="shared" si="975"/>
        <v>4.9087385212340517E-2</v>
      </c>
      <c r="CE325" s="9">
        <f t="shared" si="976"/>
        <v>0.78174770424681028</v>
      </c>
      <c r="CF325" s="9">
        <f t="shared" si="977"/>
        <v>0.99524931562137331</v>
      </c>
      <c r="CG325" s="9">
        <f t="shared" si="978"/>
        <v>0.68</v>
      </c>
      <c r="CH325" s="9">
        <f t="shared" si="822"/>
        <v>1.9611826194568933</v>
      </c>
      <c r="CI325" s="9">
        <f t="shared" si="823"/>
        <v>4.4010865387819056</v>
      </c>
      <c r="CJ325" s="40">
        <v>1</v>
      </c>
      <c r="CK325" s="9">
        <f t="shared" si="824"/>
        <v>429.89813310821648</v>
      </c>
      <c r="CM325" s="4">
        <f t="shared" si="979"/>
        <v>1.1894844324913778</v>
      </c>
      <c r="CN325" s="4">
        <f t="shared" si="980"/>
        <v>0.40510257215472878</v>
      </c>
      <c r="CO325" s="4">
        <f t="shared" si="946"/>
        <v>0.67482991273653969</v>
      </c>
      <c r="CP325" s="4">
        <f t="shared" si="981"/>
        <v>1.135794330016441</v>
      </c>
      <c r="CQ325" s="4">
        <f t="shared" si="921"/>
        <v>0.90958443196571492</v>
      </c>
      <c r="CR325" s="4">
        <f t="shared" si="922"/>
        <v>0.88584801505264343</v>
      </c>
      <c r="CS325" s="4">
        <f t="shared" si="947"/>
        <v>1.1302150740598296</v>
      </c>
      <c r="CT325" s="4">
        <f t="shared" si="997"/>
        <v>4</v>
      </c>
      <c r="DA325" s="4">
        <f t="shared" ref="DA325:DB325" si="1039">CM325</f>
        <v>1.1894844324913778</v>
      </c>
      <c r="DB325" s="4">
        <f t="shared" si="1039"/>
        <v>0.40510257215472878</v>
      </c>
      <c r="DC325" s="4">
        <f t="shared" ref="DC325" si="1040">CP325</f>
        <v>1.135794330016441</v>
      </c>
      <c r="DD325" s="4">
        <f t="shared" ref="DD325" si="1041">CS325</f>
        <v>1.1302150740598296</v>
      </c>
      <c r="DE325" s="4">
        <f t="shared" ref="DE325:DF325" si="1042">CQ325</f>
        <v>0.90958443196571492</v>
      </c>
      <c r="DF325" s="4">
        <f t="shared" si="1042"/>
        <v>0.88584801505264343</v>
      </c>
      <c r="DI325" s="4">
        <f t="shared" si="982"/>
        <v>239.26799999999997</v>
      </c>
      <c r="DL325" s="4">
        <f t="shared" si="900"/>
        <v>2.154589546135624E-5</v>
      </c>
      <c r="DM325" s="4">
        <f t="shared" si="1009"/>
        <v>9.9735059019366208</v>
      </c>
      <c r="DN325" s="4">
        <f t="shared" si="901"/>
        <v>0.13394551727812634</v>
      </c>
      <c r="DO325" s="4">
        <f t="shared" si="902"/>
        <v>4.4629202110573463</v>
      </c>
      <c r="DP325" s="4">
        <f t="shared" si="903"/>
        <v>7.732702018789797</v>
      </c>
      <c r="DQ325" s="4">
        <f t="shared" si="904"/>
        <v>9.372320963877053</v>
      </c>
      <c r="DR325" s="38">
        <f t="shared" si="915"/>
        <v>536.81202635993463</v>
      </c>
      <c r="DS325" s="4">
        <f t="shared" si="829"/>
        <v>1.0000935950550178</v>
      </c>
      <c r="DT325" s="4">
        <f t="shared" si="905"/>
        <v>3.2403703492039297</v>
      </c>
      <c r="DU325" s="4">
        <f t="shared" si="842"/>
        <v>272.37981990178383</v>
      </c>
      <c r="DY325" s="4">
        <f t="shared" si="1037"/>
        <v>0.85</v>
      </c>
      <c r="DZ325" s="4">
        <f t="shared" si="830"/>
        <v>0.9</v>
      </c>
      <c r="EA325" s="4">
        <f t="shared" si="916"/>
        <v>0.99062499999999998</v>
      </c>
      <c r="EB325" s="4">
        <f t="shared" si="831"/>
        <v>0.89156250000000004</v>
      </c>
      <c r="ED325" s="4">
        <f t="shared" si="917"/>
        <v>551.19597693058972</v>
      </c>
      <c r="EE325" s="25">
        <f t="shared" si="918"/>
        <v>269.34470014186081</v>
      </c>
      <c r="EG325" s="4">
        <f t="shared" si="843"/>
        <v>0.75782812499999996</v>
      </c>
      <c r="EH325" s="4">
        <f t="shared" si="919"/>
        <v>9.9735059019366208</v>
      </c>
      <c r="EK325" s="4">
        <f t="shared" si="906"/>
        <v>82.305406869779816</v>
      </c>
      <c r="EL325" s="4">
        <f t="shared" si="907"/>
        <v>3.2403703492039302</v>
      </c>
      <c r="EM325" s="4">
        <f t="shared" si="908"/>
        <v>6.064187770259262E-2</v>
      </c>
      <c r="EP325" s="4">
        <f t="shared" si="998"/>
        <v>6.064187770259262E-2</v>
      </c>
      <c r="EQ325" s="4">
        <f t="shared" si="960"/>
        <v>0.13372198717383998</v>
      </c>
      <c r="ER325" s="4">
        <f t="shared" si="1010"/>
        <v>4.4599396054304208</v>
      </c>
      <c r="ES325" s="4">
        <f t="shared" si="983"/>
        <v>7.7318579159388037</v>
      </c>
      <c r="ET325" s="4">
        <f t="shared" si="1011"/>
        <v>97.145593130220149</v>
      </c>
      <c r="EU325" s="4">
        <f t="shared" si="1012"/>
        <v>59.817000000000021</v>
      </c>
      <c r="EV325" s="4">
        <f t="shared" si="832"/>
        <v>2.154589546135625E-5</v>
      </c>
      <c r="EW325" s="4">
        <f t="shared" si="984"/>
        <v>9.3724598533105858</v>
      </c>
      <c r="EX325" s="4">
        <f t="shared" si="867"/>
        <v>536.76178811084492</v>
      </c>
      <c r="FG325" s="23">
        <f t="shared" si="1030"/>
        <v>1.2</v>
      </c>
      <c r="FH325" s="23">
        <f t="shared" si="1030"/>
        <v>0.6</v>
      </c>
      <c r="FI325" s="23">
        <f t="shared" si="952"/>
        <v>1.2</v>
      </c>
      <c r="FJ325" s="23">
        <f t="shared" si="1031"/>
        <v>1.2</v>
      </c>
      <c r="FK325" s="23">
        <f t="shared" si="1031"/>
        <v>1</v>
      </c>
      <c r="FL325" s="23">
        <f t="shared" si="1031"/>
        <v>1</v>
      </c>
      <c r="FM325" s="23">
        <f t="shared" si="923"/>
        <v>0</v>
      </c>
      <c r="FN325" s="23"/>
      <c r="FX325" s="4">
        <f t="shared" si="833"/>
        <v>1</v>
      </c>
      <c r="FY325" s="4">
        <f t="shared" si="890"/>
        <v>0.62562499999999999</v>
      </c>
      <c r="FZ325" s="4">
        <f t="shared" si="834"/>
        <v>9.3749999999999986E-2</v>
      </c>
      <c r="GA325" s="4">
        <f t="shared" si="835"/>
        <v>432.02030593614074</v>
      </c>
    </row>
    <row r="326" spans="1:183" ht="12" customHeight="1" x14ac:dyDescent="0.3">
      <c r="A326" s="25">
        <v>308</v>
      </c>
      <c r="B326" s="4" t="s">
        <v>605</v>
      </c>
      <c r="C326" s="4">
        <v>2016</v>
      </c>
      <c r="D326" s="4" t="s">
        <v>309</v>
      </c>
      <c r="E326" s="24" t="s">
        <v>669</v>
      </c>
      <c r="F326" s="7" t="s">
        <v>469</v>
      </c>
      <c r="G326" s="38">
        <f t="shared" si="1032"/>
        <v>827.58620689655174</v>
      </c>
      <c r="H326" s="38">
        <f>9.5*25.4</f>
        <v>241.29999999999998</v>
      </c>
      <c r="I326" s="4">
        <f t="shared" si="985"/>
        <v>241.29999999999998</v>
      </c>
      <c r="J326" s="38">
        <f>10180/145</f>
        <v>70.206896551724142</v>
      </c>
      <c r="K326" s="38">
        <f t="shared" si="986"/>
        <v>25.4</v>
      </c>
      <c r="L326" s="7">
        <f t="shared" si="987"/>
        <v>9.5</v>
      </c>
      <c r="M326" s="7">
        <f t="shared" si="988"/>
        <v>9.5</v>
      </c>
      <c r="N326" s="38">
        <f>19.9*25.4</f>
        <v>505.45999999999992</v>
      </c>
      <c r="O326" s="38">
        <f t="shared" si="999"/>
        <v>63.5</v>
      </c>
      <c r="P326" s="39">
        <f>3.1*25.4</f>
        <v>78.739999999999995</v>
      </c>
      <c r="Q326" s="7">
        <f t="shared" si="989"/>
        <v>151.12999999999997</v>
      </c>
      <c r="R326" s="38">
        <v>3</v>
      </c>
      <c r="S326" s="4">
        <f t="shared" si="966"/>
        <v>260.34999999999997</v>
      </c>
      <c r="T326" s="7">
        <f t="shared" si="990"/>
        <v>3</v>
      </c>
      <c r="U326" s="7">
        <f t="shared" si="859"/>
        <v>3</v>
      </c>
      <c r="V326" s="38">
        <v>9.5</v>
      </c>
      <c r="W326" s="4">
        <f t="shared" si="991"/>
        <v>9.5</v>
      </c>
      <c r="X326" s="4">
        <f t="shared" si="992"/>
        <v>10.5</v>
      </c>
      <c r="Y326" s="7">
        <f t="shared" si="993"/>
        <v>82.305406869779816</v>
      </c>
      <c r="AB326" s="38">
        <f t="shared" si="1038"/>
        <v>600</v>
      </c>
      <c r="AC326" s="4">
        <v>87</v>
      </c>
      <c r="AD326" s="4">
        <f t="shared" si="899"/>
        <v>0.94633885858091515</v>
      </c>
      <c r="AE326" s="38"/>
      <c r="AF326" s="38"/>
      <c r="AG326" s="39">
        <v>1</v>
      </c>
      <c r="AH326" s="39"/>
      <c r="AI326" s="39"/>
      <c r="AJ326" s="7"/>
      <c r="AK326" s="4">
        <f t="shared" si="994"/>
        <v>241.29999999999998</v>
      </c>
      <c r="AL326" s="4">
        <f t="shared" si="910"/>
        <v>0.69824561403508767</v>
      </c>
      <c r="AM326" s="4">
        <f t="shared" si="911"/>
        <v>206.60807979855329</v>
      </c>
      <c r="AN326" s="4">
        <f t="shared" si="912"/>
        <v>0.76315789473684204</v>
      </c>
      <c r="AO326" s="4">
        <v>1.25</v>
      </c>
      <c r="AP326" s="4">
        <f t="shared" si="844"/>
        <v>2.5</v>
      </c>
      <c r="AQ326" s="38">
        <f t="shared" si="967"/>
        <v>344.04871552327177</v>
      </c>
      <c r="AR326" s="38">
        <f t="shared" si="913"/>
        <v>344.04871552327177</v>
      </c>
      <c r="AS326" s="38">
        <f t="shared" si="914"/>
        <v>4.615452125415529</v>
      </c>
      <c r="AT326" s="38">
        <f t="shared" si="853"/>
        <v>344.04871552327194</v>
      </c>
      <c r="AU326" s="38">
        <f t="shared" si="820"/>
        <v>0.99999999999999956</v>
      </c>
      <c r="AV326" s="38">
        <f t="shared" si="954"/>
        <v>3.7737479317445835</v>
      </c>
      <c r="AW326" s="4">
        <f t="shared" si="940"/>
        <v>0</v>
      </c>
      <c r="AX326" s="4">
        <f t="shared" si="995"/>
        <v>418.94777882131126</v>
      </c>
      <c r="AY326" s="4">
        <f t="shared" si="968"/>
        <v>1</v>
      </c>
      <c r="AZ326" s="38">
        <f t="shared" si="837"/>
        <v>1298.3531286253281</v>
      </c>
      <c r="BA326" s="4">
        <f t="shared" si="969"/>
        <v>0.3</v>
      </c>
      <c r="BB326" s="4">
        <f t="shared" si="970"/>
        <v>65.67006433024055</v>
      </c>
      <c r="BC326" s="4">
        <f t="shared" si="971"/>
        <v>1364.0231929555687</v>
      </c>
      <c r="BE326" s="4">
        <f t="shared" si="854"/>
        <v>1.375</v>
      </c>
      <c r="BF326" s="4">
        <f t="shared" si="860"/>
        <v>673.98223917878454</v>
      </c>
      <c r="BH326" s="4">
        <f t="shared" si="861"/>
        <v>1245.2794285929851</v>
      </c>
      <c r="BI326" s="4">
        <f t="shared" si="806"/>
        <v>0</v>
      </c>
      <c r="BJ326" s="4">
        <f t="shared" si="862"/>
        <v>0</v>
      </c>
      <c r="BR326" s="4">
        <f t="shared" si="972"/>
        <v>63.5</v>
      </c>
      <c r="BV326" s="9"/>
      <c r="BX326" s="9"/>
      <c r="BY326" s="9"/>
      <c r="BZ326" s="9">
        <f t="shared" si="973"/>
        <v>63.5</v>
      </c>
      <c r="CA326" s="9">
        <f t="shared" si="974"/>
        <v>75.564999999999984</v>
      </c>
      <c r="CB326" s="9">
        <f t="shared" si="821"/>
        <v>1.6229384464141692</v>
      </c>
      <c r="CC326" s="40">
        <f t="shared" si="996"/>
        <v>0</v>
      </c>
      <c r="CD326" s="9">
        <f t="shared" si="975"/>
        <v>0</v>
      </c>
      <c r="CE326" s="9">
        <f t="shared" si="976"/>
        <v>0</v>
      </c>
      <c r="CF326" s="9">
        <f t="shared" si="977"/>
        <v>0.99524931562137331</v>
      </c>
      <c r="CG326" s="9">
        <f t="shared" si="978"/>
        <v>0.68</v>
      </c>
      <c r="CH326" s="9">
        <f t="shared" si="822"/>
        <v>1.9847176531283015</v>
      </c>
      <c r="CI326" s="9">
        <f t="shared" si="823"/>
        <v>3.2210745845388216</v>
      </c>
      <c r="CJ326" s="40">
        <v>1</v>
      </c>
      <c r="CK326" s="9">
        <f t="shared" si="824"/>
        <v>315.66530928480449</v>
      </c>
      <c r="CM326" s="4">
        <f t="shared" si="979"/>
        <v>1.4321594010787457</v>
      </c>
      <c r="CN326" s="4">
        <f t="shared" si="980"/>
        <v>0.43987521847038291</v>
      </c>
      <c r="CO326" s="4">
        <f t="shared" si="946"/>
        <v>0.89023117394172224</v>
      </c>
      <c r="CP326" s="4">
        <f t="shared" si="981"/>
        <v>1.9007473496514582</v>
      </c>
      <c r="CQ326" s="4">
        <f t="shared" si="921"/>
        <v>0.94633885858091515</v>
      </c>
      <c r="CR326" s="4">
        <f t="shared" si="922"/>
        <v>0.93461795122954905</v>
      </c>
      <c r="CS326" s="4">
        <f t="shared" si="947"/>
        <v>1.2855169740960342</v>
      </c>
      <c r="CT326" s="4">
        <f t="shared" si="997"/>
        <v>0</v>
      </c>
      <c r="CU326" s="4">
        <f t="shared" ref="CU326:CV326" si="1043">CM326</f>
        <v>1.4321594010787457</v>
      </c>
      <c r="CV326" s="4">
        <f t="shared" si="1043"/>
        <v>0.43987521847038291</v>
      </c>
      <c r="CW326" s="4">
        <f t="shared" ref="CW326" si="1044">CP326</f>
        <v>1.9007473496514582</v>
      </c>
      <c r="CX326" s="4">
        <f t="shared" ref="CX326" si="1045">CS326</f>
        <v>1.2855169740960342</v>
      </c>
      <c r="CY326" s="4">
        <f t="shared" ref="CY326:CZ326" si="1046">CQ326</f>
        <v>0.94633885858091515</v>
      </c>
      <c r="CZ326" s="4">
        <f t="shared" si="1046"/>
        <v>0.93461795122954905</v>
      </c>
      <c r="DI326" s="4">
        <f t="shared" si="982"/>
        <v>241.29999999999998</v>
      </c>
      <c r="DL326" s="4">
        <f t="shared" si="900"/>
        <v>2.1947426995855081E-5</v>
      </c>
      <c r="DM326" s="4">
        <f t="shared" si="1009"/>
        <v>10.58671967137796</v>
      </c>
      <c r="DN326" s="4">
        <f t="shared" si="901"/>
        <v>0.16520066931841088</v>
      </c>
      <c r="DO326" s="4">
        <f t="shared" si="902"/>
        <v>5.1518846949079204</v>
      </c>
      <c r="DP326" s="4">
        <f t="shared" si="903"/>
        <v>8.3301669153224136</v>
      </c>
      <c r="DQ326" s="4">
        <f t="shared" si="904"/>
        <v>9.8693828406686102</v>
      </c>
      <c r="DR326" s="38">
        <f t="shared" si="915"/>
        <v>634.02236372257983</v>
      </c>
      <c r="DS326" s="4">
        <f t="shared" si="829"/>
        <v>1.0000934219261655</v>
      </c>
      <c r="DT326" s="4">
        <f t="shared" si="905"/>
        <v>3.2403703492039297</v>
      </c>
      <c r="DU326" s="4">
        <f t="shared" si="842"/>
        <v>344.04871552327194</v>
      </c>
      <c r="DY326" s="4">
        <f t="shared" si="1037"/>
        <v>0.85</v>
      </c>
      <c r="DZ326" s="4">
        <f t="shared" si="830"/>
        <v>0.85</v>
      </c>
      <c r="EA326" s="4">
        <f t="shared" si="916"/>
        <v>1</v>
      </c>
      <c r="EB326" s="4">
        <f t="shared" si="831"/>
        <v>0.85</v>
      </c>
      <c r="ED326" s="4">
        <f t="shared" si="917"/>
        <v>641.97354567249863</v>
      </c>
      <c r="EE326" s="25">
        <f t="shared" si="918"/>
        <v>340.25203503822672</v>
      </c>
      <c r="EG326" s="4">
        <f t="shared" si="843"/>
        <v>0.72249999999999992</v>
      </c>
      <c r="EH326" s="4">
        <f>IF(K326&lt;22.2,1.1*5*(J326/30)^0.5,IF(K326&gt;=31.8,0.9*5*(J326/30)^0.5,1*5*(J326/30)^0.5))/DY326/EB326</f>
        <v>10.58671967137796</v>
      </c>
      <c r="EK326" s="4">
        <f t="shared" si="906"/>
        <v>82.305406869779816</v>
      </c>
      <c r="EL326" s="4">
        <f t="shared" si="907"/>
        <v>3.2403703492039302</v>
      </c>
      <c r="EM326" s="4">
        <f t="shared" si="908"/>
        <v>7.5689729965875502E-2</v>
      </c>
      <c r="EP326" s="4">
        <f t="shared" si="998"/>
        <v>7.5689729965875502E-2</v>
      </c>
      <c r="EQ326" s="4">
        <f t="shared" si="960"/>
        <v>0.16492498019053781</v>
      </c>
      <c r="ER326" s="4">
        <f t="shared" si="1010"/>
        <v>5.1484439575017564</v>
      </c>
      <c r="ES326" s="4">
        <f t="shared" si="983"/>
        <v>8.3291170790317608</v>
      </c>
      <c r="ET326" s="4">
        <f t="shared" si="1011"/>
        <v>98.669593130220179</v>
      </c>
      <c r="EU326" s="4">
        <f t="shared" si="1012"/>
        <v>60.324999999999974</v>
      </c>
      <c r="EV326" s="4">
        <f t="shared" si="832"/>
        <v>2.1947426995855075E-5</v>
      </c>
      <c r="EW326" s="4">
        <f t="shared" si="984"/>
        <v>9.8695600930028586</v>
      </c>
      <c r="EX326" s="4">
        <f t="shared" si="867"/>
        <v>633.96313766514129</v>
      </c>
      <c r="FG326" s="23">
        <f t="shared" si="1030"/>
        <v>1.6</v>
      </c>
      <c r="FH326" s="23">
        <f t="shared" si="1030"/>
        <v>0.6</v>
      </c>
      <c r="FI326" s="23">
        <f t="shared" si="952"/>
        <v>1.4</v>
      </c>
      <c r="FJ326" s="23">
        <f t="shared" si="1031"/>
        <v>2</v>
      </c>
      <c r="FK326" s="23">
        <f t="shared" si="1031"/>
        <v>1</v>
      </c>
      <c r="FL326" s="23">
        <f t="shared" si="1031"/>
        <v>1</v>
      </c>
      <c r="FM326" s="23">
        <f t="shared" si="923"/>
        <v>0</v>
      </c>
      <c r="FN326" s="23"/>
      <c r="FX326" s="4">
        <f t="shared" si="833"/>
        <v>1</v>
      </c>
      <c r="FY326" s="4">
        <f t="shared" si="890"/>
        <v>0.58750000000000002</v>
      </c>
      <c r="FZ326" s="4">
        <f t="shared" si="834"/>
        <v>0</v>
      </c>
      <c r="GA326" s="4">
        <f t="shared" si="835"/>
        <v>466.73829446858565</v>
      </c>
    </row>
    <row r="327" spans="1:183" ht="12" customHeight="1" x14ac:dyDescent="0.3">
      <c r="A327" s="25">
        <v>309</v>
      </c>
      <c r="B327" s="4" t="s">
        <v>605</v>
      </c>
      <c r="C327" s="4">
        <v>2016</v>
      </c>
      <c r="D327" s="4" t="s">
        <v>309</v>
      </c>
      <c r="E327" s="24" t="s">
        <v>669</v>
      </c>
      <c r="F327" s="7" t="s">
        <v>470</v>
      </c>
      <c r="G327" s="38">
        <f t="shared" si="1032"/>
        <v>827.58620689655174</v>
      </c>
      <c r="H327" s="38">
        <f>9.58*25.4</f>
        <v>243.33199999999999</v>
      </c>
      <c r="I327" s="4">
        <f t="shared" si="985"/>
        <v>243.33199999999999</v>
      </c>
      <c r="J327" s="38">
        <f>10180/145</f>
        <v>70.206896551724142</v>
      </c>
      <c r="K327" s="38">
        <f t="shared" si="986"/>
        <v>25.4</v>
      </c>
      <c r="L327" s="7">
        <f t="shared" si="987"/>
        <v>9.58</v>
      </c>
      <c r="M327" s="7">
        <f t="shared" si="988"/>
        <v>9.58</v>
      </c>
      <c r="N327" s="38">
        <f>20.1*25.4</f>
        <v>510.54</v>
      </c>
      <c r="O327" s="38">
        <f t="shared" si="999"/>
        <v>63.5</v>
      </c>
      <c r="P327" s="39">
        <f>3.2*25.4</f>
        <v>81.28</v>
      </c>
      <c r="Q327" s="7">
        <f t="shared" si="989"/>
        <v>153.67000000000002</v>
      </c>
      <c r="R327" s="38">
        <v>3</v>
      </c>
      <c r="S327" s="4">
        <f t="shared" si="966"/>
        <v>260.34999999999997</v>
      </c>
      <c r="T327" s="7">
        <f t="shared" si="990"/>
        <v>3</v>
      </c>
      <c r="U327" s="7">
        <f t="shared" si="859"/>
        <v>3</v>
      </c>
      <c r="V327" s="38">
        <v>9.5</v>
      </c>
      <c r="W327" s="4">
        <f t="shared" si="991"/>
        <v>9.5</v>
      </c>
      <c r="X327" s="4">
        <f t="shared" si="992"/>
        <v>10.5</v>
      </c>
      <c r="Y327" s="7">
        <f t="shared" si="993"/>
        <v>82.305406869779816</v>
      </c>
      <c r="AB327" s="38">
        <f t="shared" si="1038"/>
        <v>590.34482758620686</v>
      </c>
      <c r="AC327" s="4">
        <v>85.6</v>
      </c>
      <c r="AD327" s="4">
        <f t="shared" si="899"/>
        <v>0.88772695202762453</v>
      </c>
      <c r="AE327" s="38">
        <f>0.5*25.4</f>
        <v>12.7</v>
      </c>
      <c r="AF327" s="38">
        <v>4</v>
      </c>
      <c r="AG327" s="39">
        <f>6*25.4</f>
        <v>152.39999999999998</v>
      </c>
      <c r="AH327" s="39">
        <v>1</v>
      </c>
      <c r="AI327" s="39">
        <v>1</v>
      </c>
      <c r="AJ327" s="7"/>
      <c r="AK327" s="4">
        <f t="shared" si="994"/>
        <v>243.33199999999999</v>
      </c>
      <c r="AL327" s="4">
        <f t="shared" si="910"/>
        <v>0.69937369519832993</v>
      </c>
      <c r="AM327" s="4">
        <f t="shared" si="911"/>
        <v>209.22335266954931</v>
      </c>
      <c r="AN327" s="4">
        <f t="shared" si="912"/>
        <v>0.76263048016701451</v>
      </c>
      <c r="AO327" s="4">
        <v>1.25</v>
      </c>
      <c r="AP327" s="4">
        <f t="shared" si="844"/>
        <v>2.5</v>
      </c>
      <c r="AQ327" s="38">
        <f t="shared" si="967"/>
        <v>348.72544023589438</v>
      </c>
      <c r="AR327" s="38">
        <f t="shared" si="913"/>
        <v>348.72544023589438</v>
      </c>
      <c r="AS327" s="38">
        <f t="shared" si="914"/>
        <v>4.615452125415529</v>
      </c>
      <c r="AT327" s="38">
        <f t="shared" si="853"/>
        <v>348.7254402358941</v>
      </c>
      <c r="AU327" s="38">
        <f t="shared" si="820"/>
        <v>1.0000000000000009</v>
      </c>
      <c r="AV327" s="38">
        <f t="shared" si="954"/>
        <v>3.7231385463218905</v>
      </c>
      <c r="AW327" s="4">
        <f t="shared" si="940"/>
        <v>0</v>
      </c>
      <c r="AX327" s="4">
        <f t="shared" si="995"/>
        <v>422.47576011664859</v>
      </c>
      <c r="AY327" s="4">
        <f t="shared" si="968"/>
        <v>1</v>
      </c>
      <c r="AZ327" s="38">
        <f t="shared" si="837"/>
        <v>1298.3531286253281</v>
      </c>
      <c r="BA327" s="4">
        <f t="shared" si="969"/>
        <v>0.3</v>
      </c>
      <c r="BB327" s="4">
        <f t="shared" si="970"/>
        <v>66.223075398284678</v>
      </c>
      <c r="BC327" s="4">
        <f t="shared" si="971"/>
        <v>1364.5762040236127</v>
      </c>
      <c r="BE327" s="4">
        <f t="shared" si="854"/>
        <v>1.5</v>
      </c>
      <c r="BF327" s="4">
        <f t="shared" si="860"/>
        <v>738.26977583891471</v>
      </c>
      <c r="BH327" s="4">
        <f t="shared" si="861"/>
        <v>1245.2794285929851</v>
      </c>
      <c r="BI327" s="4">
        <f t="shared" si="806"/>
        <v>0</v>
      </c>
      <c r="BJ327" s="4">
        <f t="shared" si="862"/>
        <v>0</v>
      </c>
      <c r="BR327" s="4">
        <f t="shared" si="972"/>
        <v>63.5</v>
      </c>
      <c r="BV327" s="9"/>
      <c r="BX327" s="9"/>
      <c r="BY327" s="9"/>
      <c r="BZ327" s="9">
        <f t="shared" si="973"/>
        <v>63.5</v>
      </c>
      <c r="CA327" s="9">
        <f t="shared" si="974"/>
        <v>76.835000000000008</v>
      </c>
      <c r="CB327" s="9">
        <f t="shared" si="821"/>
        <v>1.6270009626009634</v>
      </c>
      <c r="CC327" s="40">
        <f t="shared" si="996"/>
        <v>20</v>
      </c>
      <c r="CD327" s="9">
        <f t="shared" si="975"/>
        <v>0.05</v>
      </c>
      <c r="CE327" s="9">
        <f t="shared" si="976"/>
        <v>0.8</v>
      </c>
      <c r="CF327" s="9">
        <f t="shared" si="977"/>
        <v>0.99524931562137331</v>
      </c>
      <c r="CG327" s="9">
        <f t="shared" si="978"/>
        <v>0.68</v>
      </c>
      <c r="CH327" s="9">
        <f t="shared" si="822"/>
        <v>1.9847176531283015</v>
      </c>
      <c r="CI327" s="9">
        <f t="shared" si="823"/>
        <v>4.8169116546335129</v>
      </c>
      <c r="CJ327" s="40">
        <v>1</v>
      </c>
      <c r="CK327" s="9">
        <f t="shared" si="824"/>
        <v>473.59875388356699</v>
      </c>
      <c r="CM327" s="4">
        <f t="shared" si="979"/>
        <v>1.3973460333516139</v>
      </c>
      <c r="CN327" s="4">
        <f t="shared" si="980"/>
        <v>0.4326213705365124</v>
      </c>
      <c r="CO327" s="4">
        <f t="shared" si="946"/>
        <v>0.79963293487855847</v>
      </c>
      <c r="CP327" s="4">
        <f t="shared" si="981"/>
        <v>1.2465084055760451</v>
      </c>
      <c r="CQ327" s="4">
        <f t="shared" si="921"/>
        <v>0.88772695202762453</v>
      </c>
      <c r="CR327" s="4">
        <f t="shared" si="922"/>
        <v>0.8760822339448866</v>
      </c>
      <c r="CS327" s="4">
        <f t="shared" si="947"/>
        <v>1.0909464990682394</v>
      </c>
      <c r="CT327" s="4">
        <f t="shared" si="997"/>
        <v>4</v>
      </c>
      <c r="DA327" s="4">
        <f t="shared" ref="DA327:DB327" si="1047">CM327</f>
        <v>1.3973460333516139</v>
      </c>
      <c r="DB327" s="4">
        <f t="shared" si="1047"/>
        <v>0.4326213705365124</v>
      </c>
      <c r="DC327" s="4">
        <f t="shared" ref="DC327" si="1048">CP327</f>
        <v>1.2465084055760451</v>
      </c>
      <c r="DD327" s="4">
        <f t="shared" ref="DD327" si="1049">CS327</f>
        <v>1.0909464990682394</v>
      </c>
      <c r="DE327" s="4">
        <f t="shared" ref="DE327:DF327" si="1050">CQ327</f>
        <v>0.88772695202762453</v>
      </c>
      <c r="DF327" s="4">
        <f t="shared" si="1050"/>
        <v>0.8760822339448866</v>
      </c>
      <c r="DI327" s="4">
        <f t="shared" si="982"/>
        <v>243.33199999999999</v>
      </c>
      <c r="DL327" s="4">
        <f t="shared" si="900"/>
        <v>2.2132247433714916E-5</v>
      </c>
      <c r="DM327" s="4">
        <f t="shared" si="1009"/>
        <v>11.445102347435631</v>
      </c>
      <c r="DN327" s="4">
        <f t="shared" si="901"/>
        <v>0.16744627587900529</v>
      </c>
      <c r="DO327" s="4">
        <f>DM327*DN327^0.4</f>
        <v>5.5997659814198109</v>
      </c>
      <c r="DP327" s="4">
        <f t="shared" si="903"/>
        <v>9.0148128271126939</v>
      </c>
      <c r="DQ327" s="4">
        <f t="shared" si="904"/>
        <v>10.590826696453178</v>
      </c>
      <c r="DR327" s="38">
        <f t="shared" si="915"/>
        <v>665.00721447943192</v>
      </c>
      <c r="DS327" s="4">
        <f t="shared" si="829"/>
        <v>1.0000970659885409</v>
      </c>
      <c r="DT327" s="4">
        <f t="shared" si="905"/>
        <v>3.2403703492039297</v>
      </c>
      <c r="DU327" s="4">
        <f t="shared" si="842"/>
        <v>348.7254402358941</v>
      </c>
      <c r="DY327" s="4">
        <f t="shared" si="1037"/>
        <v>0.85</v>
      </c>
      <c r="DZ327" s="4">
        <f t="shared" si="830"/>
        <v>0.85</v>
      </c>
      <c r="EA327" s="4">
        <f t="shared" si="916"/>
        <v>0.92500000000000004</v>
      </c>
      <c r="EB327" s="4">
        <f t="shared" si="831"/>
        <v>0.78625</v>
      </c>
      <c r="ED327" s="4">
        <f t="shared" si="917"/>
        <v>673.84636363182415</v>
      </c>
      <c r="EE327" s="25">
        <f t="shared" si="918"/>
        <v>344.91412216652412</v>
      </c>
      <c r="EG327" s="4">
        <f t="shared" si="843"/>
        <v>0.66831249999999998</v>
      </c>
      <c r="EH327" s="4">
        <f t="shared" si="919"/>
        <v>11.445102347435631</v>
      </c>
      <c r="EK327" s="4">
        <f t="shared" si="906"/>
        <v>82.305406869779816</v>
      </c>
      <c r="EL327" s="4">
        <f t="shared" si="907"/>
        <v>3.2403703492039302</v>
      </c>
      <c r="EM327" s="4">
        <f t="shared" si="908"/>
        <v>7.6718595980052401E-2</v>
      </c>
      <c r="EP327" s="4">
        <f t="shared" si="998"/>
        <v>7.6718595980052401E-2</v>
      </c>
      <c r="EQ327" s="4">
        <f t="shared" si="960"/>
        <v>0.16716683925230674</v>
      </c>
      <c r="ER327" s="4">
        <f t="shared" si="1010"/>
        <v>5.5960261220442531</v>
      </c>
      <c r="ES327" s="4">
        <f t="shared" si="983"/>
        <v>9.0136663650658502</v>
      </c>
      <c r="ET327" s="4">
        <f t="shared" si="1011"/>
        <v>100.19359313022018</v>
      </c>
      <c r="EU327" s="4">
        <f t="shared" si="1012"/>
        <v>60.833000000000013</v>
      </c>
      <c r="EV327" s="4">
        <f t="shared" si="832"/>
        <v>2.213224743371492E-5</v>
      </c>
      <c r="EW327" s="4">
        <f t="shared" si="984"/>
        <v>10.591037580874655</v>
      </c>
      <c r="EX327" s="4">
        <f t="shared" si="867"/>
        <v>664.94267116173262</v>
      </c>
      <c r="FG327" s="23">
        <f t="shared" si="1030"/>
        <v>1.4</v>
      </c>
      <c r="FH327" s="23">
        <f t="shared" si="1030"/>
        <v>0.6</v>
      </c>
      <c r="FI327" s="23">
        <f t="shared" si="952"/>
        <v>1.2</v>
      </c>
      <c r="FJ327" s="23">
        <f t="shared" si="1031"/>
        <v>1.4</v>
      </c>
      <c r="FK327" s="23">
        <f t="shared" si="1031"/>
        <v>1</v>
      </c>
      <c r="FL327" s="23">
        <f t="shared" si="1031"/>
        <v>1</v>
      </c>
      <c r="FM327" s="23">
        <f t="shared" si="923"/>
        <v>0</v>
      </c>
      <c r="FN327" s="23"/>
      <c r="FX327" s="4">
        <f t="shared" si="833"/>
        <v>1</v>
      </c>
      <c r="FY327" s="4">
        <f t="shared" si="890"/>
        <v>0.51100000000000001</v>
      </c>
      <c r="FZ327" s="4">
        <f t="shared" si="834"/>
        <v>0.16666666666666669</v>
      </c>
      <c r="GA327" s="4">
        <f t="shared" si="835"/>
        <v>541.13086947014483</v>
      </c>
    </row>
    <row r="328" spans="1:183" ht="12" customHeight="1" x14ac:dyDescent="0.3">
      <c r="A328" s="25">
        <v>310</v>
      </c>
      <c r="B328" s="4" t="s">
        <v>605</v>
      </c>
      <c r="C328" s="4">
        <v>2016</v>
      </c>
      <c r="D328" s="4" t="s">
        <v>309</v>
      </c>
      <c r="E328" s="24" t="s">
        <v>669</v>
      </c>
      <c r="F328" s="7" t="s">
        <v>471</v>
      </c>
      <c r="G328" s="38">
        <f t="shared" si="1032"/>
        <v>827.58620689655174</v>
      </c>
      <c r="H328" s="38">
        <f>14.38*25.4</f>
        <v>365.25200000000001</v>
      </c>
      <c r="I328" s="4">
        <f t="shared" si="985"/>
        <v>365.25200000000001</v>
      </c>
      <c r="J328" s="38">
        <f>10180/145</f>
        <v>70.206896551724142</v>
      </c>
      <c r="K328" s="38">
        <f t="shared" si="986"/>
        <v>25.4</v>
      </c>
      <c r="L328" s="7">
        <f t="shared" si="987"/>
        <v>14.38</v>
      </c>
      <c r="M328" s="7">
        <f t="shared" si="988"/>
        <v>14.38</v>
      </c>
      <c r="N328" s="38">
        <f>17.1*25.4</f>
        <v>434.34000000000003</v>
      </c>
      <c r="O328" s="38">
        <f t="shared" si="999"/>
        <v>63.5</v>
      </c>
      <c r="P328" s="39">
        <f>3.45*25.4</f>
        <v>87.63</v>
      </c>
      <c r="Q328" s="7">
        <f t="shared" si="989"/>
        <v>256.54000000000002</v>
      </c>
      <c r="R328" s="38">
        <v>2</v>
      </c>
      <c r="S328" s="4">
        <f t="shared" si="966"/>
        <v>260.34999999999997</v>
      </c>
      <c r="T328" s="7">
        <f t="shared" si="990"/>
        <v>3</v>
      </c>
      <c r="U328" s="7">
        <f t="shared" si="859"/>
        <v>3</v>
      </c>
      <c r="V328" s="38">
        <v>9.5</v>
      </c>
      <c r="W328" s="4">
        <f t="shared" si="991"/>
        <v>9.5</v>
      </c>
      <c r="X328" s="4">
        <f t="shared" si="992"/>
        <v>10.5</v>
      </c>
      <c r="Y328" s="7">
        <f t="shared" si="993"/>
        <v>82.305406869779816</v>
      </c>
      <c r="AB328" s="38">
        <f t="shared" si="1038"/>
        <v>1037.2413793103449</v>
      </c>
      <c r="AC328" s="4">
        <v>150.4</v>
      </c>
      <c r="AD328" s="4">
        <f t="shared" si="899"/>
        <v>1.040321922403797</v>
      </c>
      <c r="AE328" s="38"/>
      <c r="AF328" s="38"/>
      <c r="AG328" s="39">
        <v>1</v>
      </c>
      <c r="AH328" s="39"/>
      <c r="AI328" s="39"/>
      <c r="AJ328" s="7"/>
      <c r="AK328" s="4">
        <f t="shared" si="994"/>
        <v>365.25200000000001</v>
      </c>
      <c r="AL328" s="4">
        <f t="shared" si="910"/>
        <v>0.39638386648122398</v>
      </c>
      <c r="AM328" s="4">
        <f t="shared" si="911"/>
        <v>577.15369660722865</v>
      </c>
      <c r="AN328" s="4">
        <f t="shared" si="912"/>
        <v>0.74172461752433927</v>
      </c>
      <c r="AO328" s="4">
        <v>1.25</v>
      </c>
      <c r="AP328" s="4">
        <f t="shared" si="844"/>
        <v>2.5</v>
      </c>
      <c r="AQ328" s="38">
        <f t="shared" si="967"/>
        <v>530.27379558238545</v>
      </c>
      <c r="AR328" s="38">
        <f t="shared" si="913"/>
        <v>530.27379558238545</v>
      </c>
      <c r="AS328" s="38">
        <f t="shared" si="914"/>
        <v>4.615452125415529</v>
      </c>
      <c r="AT328" s="38">
        <f t="shared" si="853"/>
        <v>530.27379558238556</v>
      </c>
      <c r="AU328" s="38">
        <f t="shared" si="820"/>
        <v>0.99999999999999978</v>
      </c>
      <c r="AV328" s="38">
        <f t="shared" si="954"/>
        <v>2.4484580219533223</v>
      </c>
      <c r="AW328" s="4">
        <f t="shared" si="940"/>
        <v>0</v>
      </c>
      <c r="AX328" s="4">
        <f t="shared" si="995"/>
        <v>634.15463783689006</v>
      </c>
      <c r="AY328" s="4">
        <f t="shared" si="968"/>
        <v>1</v>
      </c>
      <c r="AZ328" s="38">
        <f t="shared" si="837"/>
        <v>1298.3531286253281</v>
      </c>
      <c r="BA328" s="4">
        <f t="shared" si="969"/>
        <v>0.3</v>
      </c>
      <c r="BB328" s="4">
        <f t="shared" si="970"/>
        <v>99.403739480932543</v>
      </c>
      <c r="BC328" s="4">
        <f t="shared" si="971"/>
        <v>1397.7568681062605</v>
      </c>
      <c r="BE328" s="4">
        <f t="shared" si="854"/>
        <v>1.375</v>
      </c>
      <c r="BF328" s="4">
        <f t="shared" si="860"/>
        <v>842.65061493224437</v>
      </c>
      <c r="BH328" s="4">
        <f t="shared" si="861"/>
        <v>1245.2794285929851</v>
      </c>
      <c r="BI328" s="4">
        <f t="shared" si="806"/>
        <v>0</v>
      </c>
      <c r="BJ328" s="4">
        <f t="shared" si="862"/>
        <v>0</v>
      </c>
      <c r="BR328" s="4">
        <f t="shared" si="972"/>
        <v>63.5</v>
      </c>
      <c r="BV328" s="9"/>
      <c r="BX328" s="9"/>
      <c r="BY328" s="9"/>
      <c r="BZ328" s="9">
        <f t="shared" si="973"/>
        <v>63.5</v>
      </c>
      <c r="CA328" s="9">
        <f t="shared" si="974"/>
        <v>128.27000000000001</v>
      </c>
      <c r="CB328" s="9">
        <f t="shared" si="821"/>
        <v>1.7570038363154448</v>
      </c>
      <c r="CC328" s="40">
        <f t="shared" si="996"/>
        <v>0</v>
      </c>
      <c r="CD328" s="9">
        <f t="shared" si="975"/>
        <v>0</v>
      </c>
      <c r="CE328" s="9">
        <f t="shared" si="976"/>
        <v>0</v>
      </c>
      <c r="CF328" s="9">
        <f t="shared" si="977"/>
        <v>0.99524931562137331</v>
      </c>
      <c r="CG328" s="9">
        <f t="shared" si="978"/>
        <v>0.68</v>
      </c>
      <c r="CH328" s="9">
        <f t="shared" si="822"/>
        <v>1.9847176531283015</v>
      </c>
      <c r="CI328" s="9">
        <f t="shared" si="823"/>
        <v>3.4871565305494121</v>
      </c>
      <c r="CJ328" s="40">
        <v>1</v>
      </c>
      <c r="CK328" s="9">
        <f t="shared" si="824"/>
        <v>409.81063547016691</v>
      </c>
      <c r="CM328" s="47">
        <f t="shared" si="979"/>
        <v>1.6356284688674503</v>
      </c>
      <c r="CN328" s="47">
        <f t="shared" si="980"/>
        <v>0.74207568066944496</v>
      </c>
      <c r="CO328" s="47">
        <f t="shared" si="946"/>
        <v>1.23092698317647</v>
      </c>
      <c r="CP328" s="47">
        <f t="shared" si="981"/>
        <v>2.5310260142964327</v>
      </c>
      <c r="CQ328" s="47">
        <f t="shared" si="921"/>
        <v>1.040321922403797</v>
      </c>
      <c r="CR328" s="47">
        <f t="shared" si="922"/>
        <v>1.0546620803021731</v>
      </c>
      <c r="CS328" s="47">
        <f t="shared" si="947"/>
        <v>1.2494913437411292</v>
      </c>
      <c r="CT328" s="4">
        <f t="shared" si="997"/>
        <v>0</v>
      </c>
      <c r="CU328" s="4">
        <f t="shared" ref="CU328:CV329" si="1051">CM328</f>
        <v>1.6356284688674503</v>
      </c>
      <c r="CV328" s="4">
        <f t="shared" si="1051"/>
        <v>0.74207568066944496</v>
      </c>
      <c r="CW328" s="4">
        <f t="shared" ref="CW328:CW329" si="1052">CP328</f>
        <v>2.5310260142964327</v>
      </c>
      <c r="CX328" s="4">
        <f t="shared" ref="CX328:CX329" si="1053">CS328</f>
        <v>1.2494913437411292</v>
      </c>
      <c r="CY328" s="4">
        <f t="shared" ref="CY328:CZ329" si="1054">CQ328</f>
        <v>1.040321922403797</v>
      </c>
      <c r="CZ328" s="4">
        <f t="shared" si="1054"/>
        <v>1.0546620803021731</v>
      </c>
      <c r="DI328" s="4">
        <f t="shared" si="982"/>
        <v>365.25200000000001</v>
      </c>
      <c r="DL328" s="4">
        <f t="shared" si="900"/>
        <v>3.3221473705304853E-5</v>
      </c>
      <c r="DM328" s="4">
        <f>EH328</f>
        <v>10.58671967137796</v>
      </c>
      <c r="DN328" s="4">
        <f t="shared" si="901"/>
        <v>0.25461971517315196</v>
      </c>
      <c r="DO328" s="4">
        <f t="shared" si="902"/>
        <v>6.1251710982379599</v>
      </c>
      <c r="DP328" s="4">
        <f t="shared" si="903"/>
        <v>8.6505511105408353</v>
      </c>
      <c r="DQ328" s="4">
        <f t="shared" si="904"/>
        <v>8.7839326485591478</v>
      </c>
      <c r="DR328" s="38">
        <f t="shared" si="915"/>
        <v>997.03885592804386</v>
      </c>
      <c r="DS328" s="4">
        <f t="shared" si="829"/>
        <v>1.0000907512390866</v>
      </c>
      <c r="DT328" s="4">
        <f t="shared" si="905"/>
        <v>3.2403703492039297</v>
      </c>
      <c r="DU328" s="4">
        <f t="shared" si="842"/>
        <v>530.27379558238556</v>
      </c>
      <c r="DY328" s="4">
        <f t="shared" si="1037"/>
        <v>0.85</v>
      </c>
      <c r="DZ328" s="4">
        <f t="shared" si="830"/>
        <v>0.85</v>
      </c>
      <c r="EA328" s="4">
        <f t="shared" si="916"/>
        <v>1</v>
      </c>
      <c r="EB328" s="4">
        <f t="shared" si="831"/>
        <v>0.85</v>
      </c>
      <c r="ED328" s="4">
        <f t="shared" si="917"/>
        <v>983.4821965090116</v>
      </c>
      <c r="EE328" s="25">
        <f t="shared" si="918"/>
        <v>526.77110988576635</v>
      </c>
      <c r="EG328" s="4">
        <f t="shared" si="843"/>
        <v>0.72249999999999992</v>
      </c>
      <c r="EH328" s="4">
        <f t="shared" si="919"/>
        <v>10.58671967137796</v>
      </c>
      <c r="EK328" s="4">
        <f t="shared" si="906"/>
        <v>82.305406869779816</v>
      </c>
      <c r="EL328" s="4">
        <f t="shared" si="907"/>
        <v>3.2403703492039302</v>
      </c>
      <c r="EM328" s="4">
        <f t="shared" si="908"/>
        <v>0.11665871309697058</v>
      </c>
      <c r="EP328" s="4">
        <f t="shared" si="998"/>
        <v>0.11665871309697058</v>
      </c>
      <c r="EQ328" s="4">
        <f t="shared" si="960"/>
        <v>0.25419480232319203</v>
      </c>
      <c r="ER328" s="4">
        <f t="shared" si="1010"/>
        <v>6.121080341832311</v>
      </c>
      <c r="ES328" s="4">
        <f t="shared" si="983"/>
        <v>8.6491111428603649</v>
      </c>
      <c r="ET328" s="4">
        <f t="shared" si="1011"/>
        <v>191.63359313022022</v>
      </c>
      <c r="EU328" s="4">
        <f t="shared" si="1012"/>
        <v>91.312999999999988</v>
      </c>
      <c r="EV328" s="4">
        <f t="shared" si="832"/>
        <v>3.3221473705304853E-5</v>
      </c>
      <c r="EW328" s="4">
        <f t="shared" si="984"/>
        <v>8.7843501766221426</v>
      </c>
      <c r="EX328" s="4">
        <f t="shared" si="867"/>
        <v>996.94838162710585</v>
      </c>
      <c r="FG328" s="23">
        <f t="shared" si="1030"/>
        <v>1.8</v>
      </c>
      <c r="FH328" s="23">
        <f t="shared" si="1030"/>
        <v>0.8</v>
      </c>
      <c r="FI328" s="23">
        <f t="shared" si="952"/>
        <v>1.4</v>
      </c>
      <c r="FJ328" s="23">
        <f t="shared" si="1031"/>
        <v>2.2000000000000002</v>
      </c>
      <c r="FK328" s="23">
        <f t="shared" si="1031"/>
        <v>1.2</v>
      </c>
      <c r="FL328" s="23">
        <f t="shared" si="1031"/>
        <v>1.2</v>
      </c>
      <c r="FM328" s="23">
        <f t="shared" si="923"/>
        <v>0</v>
      </c>
      <c r="FN328" s="23"/>
      <c r="FX328" s="4">
        <f t="shared" si="833"/>
        <v>1</v>
      </c>
      <c r="FY328" s="4">
        <f t="shared" si="890"/>
        <v>0.5</v>
      </c>
      <c r="FZ328" s="4">
        <f t="shared" si="834"/>
        <v>0</v>
      </c>
      <c r="GA328" s="4">
        <f t="shared" si="835"/>
        <v>830.13090447246941</v>
      </c>
    </row>
    <row r="329" spans="1:183" ht="12" customHeight="1" x14ac:dyDescent="0.3">
      <c r="A329" s="25">
        <v>311</v>
      </c>
      <c r="B329" s="4" t="s">
        <v>605</v>
      </c>
      <c r="C329" s="4">
        <v>2016</v>
      </c>
      <c r="D329" s="4" t="s">
        <v>309</v>
      </c>
      <c r="E329" s="24" t="s">
        <v>669</v>
      </c>
      <c r="F329" s="7" t="s">
        <v>472</v>
      </c>
      <c r="G329" s="38">
        <f t="shared" si="1032"/>
        <v>827.58620689655174</v>
      </c>
      <c r="H329" s="38">
        <f>14.58*25.4</f>
        <v>370.33199999999999</v>
      </c>
      <c r="I329" s="4">
        <f t="shared" si="985"/>
        <v>370.33199999999999</v>
      </c>
      <c r="J329" s="38">
        <f>9040/145</f>
        <v>62.344827586206897</v>
      </c>
      <c r="K329" s="38">
        <f t="shared" si="986"/>
        <v>25.4</v>
      </c>
      <c r="L329" s="7">
        <f t="shared" si="987"/>
        <v>14.58</v>
      </c>
      <c r="M329" s="7">
        <f t="shared" si="988"/>
        <v>14.58</v>
      </c>
      <c r="N329" s="38">
        <f>14*25.4</f>
        <v>355.59999999999997</v>
      </c>
      <c r="O329" s="38">
        <f t="shared" si="999"/>
        <v>63.5</v>
      </c>
      <c r="P329" s="39">
        <f>3*25.4</f>
        <v>76.199999999999989</v>
      </c>
      <c r="Q329" s="7">
        <f t="shared" si="989"/>
        <v>76.199999999999989</v>
      </c>
      <c r="R329" s="38">
        <v>3</v>
      </c>
      <c r="S329" s="4">
        <f t="shared" si="966"/>
        <v>260.34999999999997</v>
      </c>
      <c r="T329" s="7">
        <f t="shared" si="990"/>
        <v>1.9999999999999998</v>
      </c>
      <c r="U329" s="7">
        <f t="shared" si="859"/>
        <v>3</v>
      </c>
      <c r="V329" s="38">
        <v>9.5</v>
      </c>
      <c r="W329" s="4">
        <f t="shared" si="991"/>
        <v>9.5</v>
      </c>
      <c r="X329" s="4">
        <f t="shared" si="992"/>
        <v>10.5</v>
      </c>
      <c r="Y329" s="7">
        <f t="shared" si="993"/>
        <v>82.305406869779816</v>
      </c>
      <c r="AB329" s="38">
        <f t="shared" si="1038"/>
        <v>668.9655172413793</v>
      </c>
      <c r="AC329" s="4">
        <v>97</v>
      </c>
      <c r="AD329" s="4">
        <f t="shared" si="899"/>
        <v>1.0201564955106805</v>
      </c>
      <c r="AE329" s="38"/>
      <c r="AF329" s="38"/>
      <c r="AG329" s="39">
        <v>1</v>
      </c>
      <c r="AH329" s="39"/>
      <c r="AI329" s="39"/>
      <c r="AJ329" s="7"/>
      <c r="AK329" s="4">
        <f t="shared" si="994"/>
        <v>370.33199999999999</v>
      </c>
      <c r="AL329" s="4">
        <f t="shared" si="910"/>
        <v>0.32007315957933247</v>
      </c>
      <c r="AM329" s="4">
        <f t="shared" si="911"/>
        <v>370.17621089733694</v>
      </c>
      <c r="AN329" s="4">
        <f t="shared" si="912"/>
        <v>0.74115226337448559</v>
      </c>
      <c r="AO329" s="4">
        <v>1.25</v>
      </c>
      <c r="AP329" s="4">
        <f t="shared" si="844"/>
        <v>2.5</v>
      </c>
      <c r="AQ329" s="38">
        <f t="shared" si="967"/>
        <v>274.419661047906</v>
      </c>
      <c r="AR329" s="38">
        <f t="shared" si="913"/>
        <v>274.419661047906</v>
      </c>
      <c r="AS329" s="38">
        <f t="shared" si="914"/>
        <v>4.4175343619879603</v>
      </c>
      <c r="AT329" s="38">
        <f t="shared" si="853"/>
        <v>274.41966104790606</v>
      </c>
      <c r="AU329" s="38">
        <f t="shared" si="820"/>
        <v>0.99999999999999978</v>
      </c>
      <c r="AV329" s="38">
        <f t="shared" si="954"/>
        <v>3.3611527108592307</v>
      </c>
      <c r="AW329" s="4">
        <f t="shared" si="940"/>
        <v>0</v>
      </c>
      <c r="AX329" s="4">
        <f t="shared" si="995"/>
        <v>605.90444304102721</v>
      </c>
      <c r="AY329" s="4">
        <f t="shared" si="968"/>
        <v>1.2000000000000002</v>
      </c>
      <c r="AZ329" s="38">
        <f t="shared" si="837"/>
        <v>922.36638764424072</v>
      </c>
      <c r="BA329" s="4">
        <f t="shared" si="969"/>
        <v>0.3</v>
      </c>
      <c r="BB329" s="4">
        <f t="shared" si="970"/>
        <v>94.975521446681014</v>
      </c>
      <c r="BC329" s="4">
        <f t="shared" si="971"/>
        <v>1017.3419090909217</v>
      </c>
      <c r="BE329" s="4">
        <f t="shared" si="854"/>
        <v>1.375</v>
      </c>
      <c r="BF329" s="4">
        <f t="shared" si="860"/>
        <v>800.58241329198199</v>
      </c>
      <c r="BH329" s="4">
        <f t="shared" si="861"/>
        <v>884.6621638098693</v>
      </c>
      <c r="BI329" s="4">
        <f t="shared" si="806"/>
        <v>0</v>
      </c>
      <c r="BJ329" s="4">
        <f t="shared" si="862"/>
        <v>0</v>
      </c>
      <c r="BR329" s="4">
        <f t="shared" si="972"/>
        <v>38.099999999999994</v>
      </c>
      <c r="BV329" s="9"/>
      <c r="BX329" s="9"/>
      <c r="BY329" s="9"/>
      <c r="BZ329" s="9">
        <f t="shared" si="973"/>
        <v>38.099999999999994</v>
      </c>
      <c r="CA329" s="9">
        <f t="shared" si="974"/>
        <v>63.5</v>
      </c>
      <c r="CB329" s="9">
        <f t="shared" si="821"/>
        <v>1.3222785168171165</v>
      </c>
      <c r="CC329" s="40">
        <f t="shared" si="996"/>
        <v>0</v>
      </c>
      <c r="CD329" s="9">
        <f t="shared" si="975"/>
        <v>0</v>
      </c>
      <c r="CE329" s="9">
        <f t="shared" si="976"/>
        <v>0</v>
      </c>
      <c r="CF329" s="9">
        <f t="shared" si="977"/>
        <v>0.99524931562137331</v>
      </c>
      <c r="CG329" s="9">
        <f t="shared" si="978"/>
        <v>0.68</v>
      </c>
      <c r="CH329" s="9">
        <f t="shared" si="822"/>
        <v>1.8702904607807274</v>
      </c>
      <c r="CI329" s="9">
        <f t="shared" si="823"/>
        <v>2.4730448964983416</v>
      </c>
      <c r="CJ329" s="40">
        <v>1</v>
      </c>
      <c r="CK329" s="9">
        <f t="shared" si="824"/>
        <v>292.61067215368377</v>
      </c>
      <c r="CM329" s="4">
        <f t="shared" si="979"/>
        <v>1.1040775899972763</v>
      </c>
      <c r="CN329" s="4">
        <f t="shared" si="980"/>
        <v>0.6575621344835334</v>
      </c>
      <c r="CO329" s="4">
        <f t="shared" si="946"/>
        <v>0.83559856691156109</v>
      </c>
      <c r="CP329" s="4">
        <f t="shared" si="981"/>
        <v>2.2861965775808342</v>
      </c>
      <c r="CQ329" s="4">
        <f t="shared" si="921"/>
        <v>1.0201564955106805</v>
      </c>
      <c r="CR329" s="4">
        <f t="shared" si="922"/>
        <v>1.0088869571220103</v>
      </c>
      <c r="CS329" s="4">
        <f t="shared" si="947"/>
        <v>1.3645897297002598</v>
      </c>
      <c r="CT329" s="4">
        <f t="shared" si="997"/>
        <v>0</v>
      </c>
      <c r="CU329" s="4">
        <f t="shared" si="1051"/>
        <v>1.1040775899972763</v>
      </c>
      <c r="CV329" s="4">
        <f t="shared" si="1051"/>
        <v>0.6575621344835334</v>
      </c>
      <c r="CW329" s="4">
        <f t="shared" si="1052"/>
        <v>2.2861965775808342</v>
      </c>
      <c r="CX329" s="4">
        <f t="shared" si="1053"/>
        <v>1.3645897297002598</v>
      </c>
      <c r="CY329" s="4">
        <f t="shared" si="1054"/>
        <v>1.0201564955106805</v>
      </c>
      <c r="CZ329" s="4">
        <f t="shared" si="1054"/>
        <v>1.0088869571220103</v>
      </c>
      <c r="DI329" s="4">
        <f t="shared" si="982"/>
        <v>370.33199999999999</v>
      </c>
      <c r="DL329" s="4">
        <f t="shared" si="900"/>
        <v>3.2113113423690527E-5</v>
      </c>
      <c r="DM329" s="4">
        <f t="shared" si="1009"/>
        <v>8.9262091811553486</v>
      </c>
      <c r="DN329" s="4">
        <f t="shared" si="901"/>
        <v>0.14838378087350965</v>
      </c>
      <c r="DO329" s="4">
        <f t="shared" si="902"/>
        <v>4.1612291607338747</v>
      </c>
      <c r="DP329" s="4">
        <f t="shared" si="903"/>
        <v>6.9688921895952713</v>
      </c>
      <c r="DQ329" s="4">
        <f t="shared" si="904"/>
        <v>7.7435119061401894</v>
      </c>
      <c r="DR329" s="38">
        <f t="shared" si="915"/>
        <v>655.74793689521289</v>
      </c>
      <c r="DS329" s="4">
        <f t="shared" si="829"/>
        <v>1.0000884439050299</v>
      </c>
      <c r="DT329" s="4">
        <f t="shared" si="905"/>
        <v>3.2403703492039297</v>
      </c>
      <c r="DU329" s="4">
        <f t="shared" si="842"/>
        <v>274.41966104790606</v>
      </c>
      <c r="DY329" s="4">
        <f t="shared" si="1037"/>
        <v>0.85</v>
      </c>
      <c r="DZ329" s="4">
        <f t="shared" si="830"/>
        <v>0.95</v>
      </c>
      <c r="EA329" s="4">
        <f t="shared" si="916"/>
        <v>1</v>
      </c>
      <c r="EB329" s="4">
        <f t="shared" si="831"/>
        <v>0.95</v>
      </c>
      <c r="ED329" s="4">
        <f t="shared" si="917"/>
        <v>663.07281754310316</v>
      </c>
      <c r="EE329" s="25">
        <f t="shared" si="918"/>
        <v>272.6404279593682</v>
      </c>
      <c r="EG329" s="4">
        <f t="shared" si="843"/>
        <v>0.8075</v>
      </c>
      <c r="EH329" s="4">
        <f t="shared" si="919"/>
        <v>8.9262091811553486</v>
      </c>
      <c r="EK329" s="4">
        <f t="shared" si="906"/>
        <v>82.305406869779816</v>
      </c>
      <c r="EL329" s="4">
        <f t="shared" si="907"/>
        <v>3.2403703492039302</v>
      </c>
      <c r="EM329" s="4">
        <f t="shared" si="908"/>
        <v>6.4065159597228735E-2</v>
      </c>
      <c r="EP329" s="4">
        <f t="shared" si="998"/>
        <v>6.4065159597228735E-2</v>
      </c>
      <c r="EQ329" s="4">
        <f t="shared" si="960"/>
        <v>0.14813615599820915</v>
      </c>
      <c r="ER329" s="4">
        <f t="shared" si="1010"/>
        <v>4.1584500424738895</v>
      </c>
      <c r="ES329" s="4">
        <f t="shared" si="983"/>
        <v>6.9680756374616859</v>
      </c>
      <c r="ET329" s="4">
        <f t="shared" si="1011"/>
        <v>195.44359313022022</v>
      </c>
      <c r="EU329" s="4">
        <f t="shared" si="1012"/>
        <v>92.58299999999997</v>
      </c>
      <c r="EV329" s="4">
        <f t="shared" si="832"/>
        <v>3.2113113423690513E-5</v>
      </c>
      <c r="EW329" s="4">
        <f t="shared" si="984"/>
        <v>7.7437287768826684</v>
      </c>
      <c r="EX329" s="4">
        <f t="shared" si="867"/>
        <v>655.68994511597793</v>
      </c>
      <c r="FG329" s="23">
        <f t="shared" si="1030"/>
        <v>1.2</v>
      </c>
      <c r="FH329" s="23">
        <f t="shared" si="1030"/>
        <v>0.8</v>
      </c>
      <c r="FI329" s="23">
        <f t="shared" si="952"/>
        <v>1.4</v>
      </c>
      <c r="FJ329" s="23">
        <f t="shared" si="1031"/>
        <v>2.2000000000000002</v>
      </c>
      <c r="FK329" s="23">
        <f t="shared" si="1031"/>
        <v>1.2</v>
      </c>
      <c r="FL329" s="23">
        <f t="shared" si="1031"/>
        <v>1.2</v>
      </c>
      <c r="FM329" s="23">
        <f t="shared" si="923"/>
        <v>0</v>
      </c>
      <c r="FN329" s="23"/>
      <c r="FX329" s="4">
        <f t="shared" si="833"/>
        <v>1</v>
      </c>
      <c r="FY329" s="4">
        <f t="shared" si="890"/>
        <v>0.83333333333333326</v>
      </c>
      <c r="FZ329" s="4">
        <f t="shared" si="834"/>
        <v>0</v>
      </c>
      <c r="GA329" s="4">
        <f t="shared" si="835"/>
        <v>490.23197425670315</v>
      </c>
    </row>
    <row r="330" spans="1:183" ht="12" customHeight="1" x14ac:dyDescent="0.3">
      <c r="A330" s="25">
        <v>312</v>
      </c>
      <c r="B330" s="4" t="s">
        <v>605</v>
      </c>
      <c r="C330" s="4">
        <v>2016</v>
      </c>
      <c r="D330" s="4" t="s">
        <v>309</v>
      </c>
      <c r="E330" s="24" t="s">
        <v>669</v>
      </c>
      <c r="F330" s="7" t="s">
        <v>473</v>
      </c>
      <c r="G330" s="38">
        <f t="shared" si="1032"/>
        <v>827.58620689655174</v>
      </c>
      <c r="H330" s="38">
        <f>14.42*25.4</f>
        <v>366.26799999999997</v>
      </c>
      <c r="I330" s="4">
        <f t="shared" si="985"/>
        <v>366.26799999999997</v>
      </c>
      <c r="J330" s="38">
        <f>9040/145</f>
        <v>62.344827586206897</v>
      </c>
      <c r="K330" s="38">
        <f t="shared" si="986"/>
        <v>25.4</v>
      </c>
      <c r="L330" s="7">
        <f t="shared" si="987"/>
        <v>14.42</v>
      </c>
      <c r="M330" s="7">
        <f t="shared" si="988"/>
        <v>14.42</v>
      </c>
      <c r="N330" s="38">
        <f>14*25.4</f>
        <v>355.59999999999997</v>
      </c>
      <c r="O330" s="38">
        <f t="shared" si="999"/>
        <v>63.5</v>
      </c>
      <c r="P330" s="39">
        <f>3.1*25.4</f>
        <v>78.739999999999995</v>
      </c>
      <c r="Q330" s="7">
        <f t="shared" si="989"/>
        <v>76.199999999999989</v>
      </c>
      <c r="R330" s="38">
        <v>3</v>
      </c>
      <c r="S330" s="4">
        <f t="shared" si="966"/>
        <v>260.34999999999997</v>
      </c>
      <c r="T330" s="7">
        <f t="shared" si="990"/>
        <v>1.9999999999999998</v>
      </c>
      <c r="U330" s="7">
        <f t="shared" si="859"/>
        <v>3</v>
      </c>
      <c r="V330" s="38">
        <v>9.5</v>
      </c>
      <c r="W330" s="4">
        <f t="shared" si="991"/>
        <v>9.5</v>
      </c>
      <c r="X330" s="4">
        <f t="shared" si="992"/>
        <v>10.5</v>
      </c>
      <c r="Y330" s="7">
        <f t="shared" si="993"/>
        <v>82.305406869779816</v>
      </c>
      <c r="AB330" s="38">
        <f t="shared" si="1038"/>
        <v>745.51724137931035</v>
      </c>
      <c r="AC330" s="4">
        <v>108.1</v>
      </c>
      <c r="AD330" s="4">
        <f t="shared" si="899"/>
        <v>1.1408969245623375</v>
      </c>
      <c r="AE330" s="38">
        <f>0.375*25.4</f>
        <v>9.5249999999999986</v>
      </c>
      <c r="AF330" s="38">
        <v>4</v>
      </c>
      <c r="AG330" s="39">
        <f>6*25.4</f>
        <v>152.39999999999998</v>
      </c>
      <c r="AH330" s="39">
        <v>1</v>
      </c>
      <c r="AI330" s="39">
        <v>1</v>
      </c>
      <c r="AJ330" s="7"/>
      <c r="AK330" s="4">
        <f t="shared" si="994"/>
        <v>366.26799999999997</v>
      </c>
      <c r="AL330" s="4">
        <f t="shared" si="910"/>
        <v>0.32362459546925559</v>
      </c>
      <c r="AM330" s="4">
        <f t="shared" si="911"/>
        <v>364.09952327355796</v>
      </c>
      <c r="AN330" s="4">
        <f t="shared" si="912"/>
        <v>0.74160887656033281</v>
      </c>
      <c r="AO330" s="4">
        <v>1.25</v>
      </c>
      <c r="AP330" s="4">
        <f t="shared" si="844"/>
        <v>2.5</v>
      </c>
      <c r="AQ330" s="38">
        <f t="shared" si="967"/>
        <v>273.07791101441751</v>
      </c>
      <c r="AR330" s="38">
        <f t="shared" si="913"/>
        <v>273.07791101441751</v>
      </c>
      <c r="AS330" s="38">
        <f t="shared" si="914"/>
        <v>4.4175343619879603</v>
      </c>
      <c r="AT330" s="38">
        <f t="shared" si="853"/>
        <v>273.07791101441779</v>
      </c>
      <c r="AU330" s="38">
        <f t="shared" si="820"/>
        <v>0.999999999999999</v>
      </c>
      <c r="AV330" s="38">
        <f t="shared" si="954"/>
        <v>3.3776675096783721</v>
      </c>
      <c r="AW330" s="4">
        <f t="shared" si="940"/>
        <v>0</v>
      </c>
      <c r="AX330" s="4">
        <f t="shared" si="995"/>
        <v>599.25528591574846</v>
      </c>
      <c r="AY330" s="4">
        <f t="shared" si="968"/>
        <v>1.2000000000000002</v>
      </c>
      <c r="AZ330" s="38">
        <f t="shared" si="837"/>
        <v>922.36638764424072</v>
      </c>
      <c r="BA330" s="4">
        <f t="shared" si="969"/>
        <v>0.3</v>
      </c>
      <c r="BB330" s="4">
        <f t="shared" si="970"/>
        <v>93.933266067293573</v>
      </c>
      <c r="BC330" s="4">
        <f t="shared" si="971"/>
        <v>1016.2996537115343</v>
      </c>
      <c r="BE330" s="4">
        <f t="shared" si="854"/>
        <v>1.5</v>
      </c>
      <c r="BF330" s="4">
        <f t="shared" si="860"/>
        <v>867.67760334004868</v>
      </c>
      <c r="BH330" s="4">
        <f t="shared" si="861"/>
        <v>884.6621638098693</v>
      </c>
      <c r="BI330" s="4">
        <f t="shared" si="806"/>
        <v>0</v>
      </c>
      <c r="BJ330" s="4">
        <f t="shared" si="862"/>
        <v>0</v>
      </c>
      <c r="BR330" s="4">
        <f t="shared" si="972"/>
        <v>38.099999999999994</v>
      </c>
      <c r="BV330" s="9"/>
      <c r="BX330" s="9"/>
      <c r="BY330" s="9"/>
      <c r="BZ330" s="9">
        <f t="shared" si="973"/>
        <v>38.099999999999994</v>
      </c>
      <c r="CA330" s="9">
        <f t="shared" si="974"/>
        <v>63.5</v>
      </c>
      <c r="CB330" s="9">
        <f t="shared" si="821"/>
        <v>1.3222785168171165</v>
      </c>
      <c r="CC330" s="40">
        <f t="shared" si="996"/>
        <v>20</v>
      </c>
      <c r="CD330" s="9">
        <f t="shared" si="975"/>
        <v>4.9087385212340517E-2</v>
      </c>
      <c r="CE330" s="9">
        <f t="shared" si="976"/>
        <v>0.78174770424681028</v>
      </c>
      <c r="CF330" s="9">
        <f t="shared" si="977"/>
        <v>0.99524931562137331</v>
      </c>
      <c r="CG330" s="9">
        <f t="shared" si="978"/>
        <v>0.68</v>
      </c>
      <c r="CH330" s="9">
        <f t="shared" si="822"/>
        <v>1.8702904607807274</v>
      </c>
      <c r="CI330" s="9">
        <f t="shared" si="823"/>
        <v>3.9351401704883844</v>
      </c>
      <c r="CJ330" s="40">
        <v>1</v>
      </c>
      <c r="CK330" s="9">
        <f t="shared" si="824"/>
        <v>463.08729526307309</v>
      </c>
      <c r="CM330" s="4">
        <f t="shared" si="979"/>
        <v>1.2440728666081811</v>
      </c>
      <c r="CN330" s="4">
        <f t="shared" si="980"/>
        <v>0.73356045990636276</v>
      </c>
      <c r="CO330" s="4">
        <f t="shared" si="946"/>
        <v>0.85920996290500906</v>
      </c>
      <c r="CP330" s="4">
        <f t="shared" si="981"/>
        <v>1.6098848942849813</v>
      </c>
      <c r="CQ330" s="4">
        <f t="shared" si="921"/>
        <v>1.1408969245623375</v>
      </c>
      <c r="CR330" s="4">
        <f t="shared" si="922"/>
        <v>1.127721019295898</v>
      </c>
      <c r="CS330" s="4">
        <f t="shared" si="947"/>
        <v>1.2431637729407938</v>
      </c>
      <c r="CT330" s="4">
        <f t="shared" si="997"/>
        <v>4</v>
      </c>
      <c r="DA330" s="4">
        <f t="shared" ref="DA330:DB330" si="1055">CM330</f>
        <v>1.2440728666081811</v>
      </c>
      <c r="DB330" s="4">
        <f t="shared" si="1055"/>
        <v>0.73356045990636276</v>
      </c>
      <c r="DC330" s="4">
        <f t="shared" ref="DC330" si="1056">CP330</f>
        <v>1.6098848942849813</v>
      </c>
      <c r="DD330" s="4">
        <f t="shared" ref="DD330" si="1057">CS330</f>
        <v>1.2431637729407938</v>
      </c>
      <c r="DE330" s="4">
        <f t="shared" ref="DE330:DF330" si="1058">CQ330</f>
        <v>1.1408969245623375</v>
      </c>
      <c r="DF330" s="4">
        <f t="shared" si="1058"/>
        <v>1.127721019295898</v>
      </c>
      <c r="DI330" s="4">
        <f t="shared" si="982"/>
        <v>366.26799999999997</v>
      </c>
      <c r="DL330" s="4">
        <f t="shared" si="900"/>
        <v>3.1760706143320806E-5</v>
      </c>
      <c r="DM330" s="4">
        <f t="shared" si="1009"/>
        <v>9.0106843469076061</v>
      </c>
      <c r="DN330" s="4">
        <f t="shared" si="901"/>
        <v>0.14765827184038907</v>
      </c>
      <c r="DO330" s="4">
        <f t="shared" si="902"/>
        <v>4.1923823959380124</v>
      </c>
      <c r="DP330" s="4">
        <f t="shared" si="903"/>
        <v>7.0324278649770928</v>
      </c>
      <c r="DQ330" s="4">
        <f t="shared" si="904"/>
        <v>7.8334834288186856</v>
      </c>
      <c r="DR330" s="38">
        <f t="shared" si="915"/>
        <v>653.4483749838314</v>
      </c>
      <c r="DS330" s="4">
        <f t="shared" si="829"/>
        <v>1.0000888427984602</v>
      </c>
      <c r="DT330" s="4">
        <f t="shared" si="905"/>
        <v>3.2403703492039297</v>
      </c>
      <c r="DU330" s="4">
        <f t="shared" si="842"/>
        <v>273.07791101441779</v>
      </c>
      <c r="DY330" s="4">
        <f t="shared" si="1037"/>
        <v>0.85</v>
      </c>
      <c r="DZ330" s="4">
        <f t="shared" si="830"/>
        <v>0.95</v>
      </c>
      <c r="EA330" s="4">
        <f t="shared" si="916"/>
        <v>0.99062499999999998</v>
      </c>
      <c r="EB330" s="4">
        <f t="shared" si="831"/>
        <v>0.94109374999999995</v>
      </c>
      <c r="ED330" s="4">
        <f t="shared" si="917"/>
        <v>661.08304148199727</v>
      </c>
      <c r="EE330" s="25">
        <f t="shared" si="918"/>
        <v>271.28083663477435</v>
      </c>
      <c r="EG330" s="4">
        <f t="shared" si="843"/>
        <v>0.79992968749999993</v>
      </c>
      <c r="EH330" s="4">
        <f t="shared" si="919"/>
        <v>9.0106843469076061</v>
      </c>
      <c r="EK330" s="4">
        <f t="shared" si="906"/>
        <v>82.305406869779816</v>
      </c>
      <c r="EL330" s="4">
        <f t="shared" si="907"/>
        <v>3.2403703492039302</v>
      </c>
      <c r="EM330" s="4">
        <f t="shared" si="908"/>
        <v>6.3751918812269076E-2</v>
      </c>
      <c r="EP330" s="4">
        <f t="shared" si="998"/>
        <v>6.3751918812269076E-2</v>
      </c>
      <c r="EQ330" s="4">
        <f t="shared" si="960"/>
        <v>0.14741185770444837</v>
      </c>
      <c r="ER330" s="4">
        <f t="shared" si="1010"/>
        <v>4.1895824716802146</v>
      </c>
      <c r="ES330" s="4">
        <f t="shared" si="983"/>
        <v>7.0316066334487699</v>
      </c>
      <c r="ET330" s="4">
        <f t="shared" si="1011"/>
        <v>192.39559313022016</v>
      </c>
      <c r="EU330" s="4">
        <f t="shared" si="1012"/>
        <v>91.567000000000007</v>
      </c>
      <c r="EV330" s="4">
        <f t="shared" si="832"/>
        <v>3.1760706143320806E-5</v>
      </c>
      <c r="EW330" s="4">
        <f t="shared" si="984"/>
        <v>7.8337000890040676</v>
      </c>
      <c r="EX330" s="4">
        <f t="shared" si="867"/>
        <v>653.39032595878632</v>
      </c>
      <c r="FG330" s="23">
        <f t="shared" si="1030"/>
        <v>1.4</v>
      </c>
      <c r="FH330" s="23">
        <f t="shared" si="1030"/>
        <v>0.8</v>
      </c>
      <c r="FI330" s="23">
        <f t="shared" si="952"/>
        <v>1.4</v>
      </c>
      <c r="FJ330" s="23">
        <f t="shared" si="1031"/>
        <v>1.8</v>
      </c>
      <c r="FK330" s="23">
        <f t="shared" si="1031"/>
        <v>1.2</v>
      </c>
      <c r="FL330" s="23">
        <f t="shared" si="1031"/>
        <v>1.2</v>
      </c>
      <c r="FM330" s="23">
        <f t="shared" si="923"/>
        <v>0</v>
      </c>
      <c r="FN330" s="23"/>
      <c r="FX330" s="4">
        <f t="shared" si="833"/>
        <v>1</v>
      </c>
      <c r="FY330" s="4">
        <f t="shared" si="890"/>
        <v>0.67375000000000007</v>
      </c>
      <c r="FZ330" s="4">
        <f t="shared" si="834"/>
        <v>9.3749999999999986E-2</v>
      </c>
      <c r="GA330" s="4">
        <f t="shared" si="835"/>
        <v>599.69350588115628</v>
      </c>
    </row>
    <row r="331" spans="1:183" ht="12" customHeight="1" x14ac:dyDescent="0.3">
      <c r="A331" s="25">
        <v>313</v>
      </c>
      <c r="B331" s="4" t="s">
        <v>605</v>
      </c>
      <c r="C331" s="4">
        <v>2016</v>
      </c>
      <c r="D331" s="4" t="s">
        <v>309</v>
      </c>
      <c r="E331" s="24" t="s">
        <v>669</v>
      </c>
      <c r="F331" s="7" t="s">
        <v>474</v>
      </c>
      <c r="G331" s="38">
        <f t="shared" si="1032"/>
        <v>827.58620689655174</v>
      </c>
      <c r="H331" s="38">
        <f>14.58*25.4</f>
        <v>370.33199999999999</v>
      </c>
      <c r="I331" s="4">
        <f t="shared" si="985"/>
        <v>370.33199999999999</v>
      </c>
      <c r="J331" s="38">
        <f>9940/145</f>
        <v>68.551724137931032</v>
      </c>
      <c r="K331" s="38">
        <f t="shared" si="986"/>
        <v>25.4</v>
      </c>
      <c r="L331" s="7">
        <f t="shared" si="987"/>
        <v>14.58</v>
      </c>
      <c r="M331" s="7">
        <f t="shared" si="988"/>
        <v>14.58</v>
      </c>
      <c r="N331" s="38">
        <f>15.8*25.4</f>
        <v>401.32</v>
      </c>
      <c r="O331" s="38">
        <f t="shared" si="999"/>
        <v>63.5</v>
      </c>
      <c r="P331" s="39">
        <f>3*25.4</f>
        <v>76.199999999999989</v>
      </c>
      <c r="Q331" s="7">
        <f t="shared" si="989"/>
        <v>99.06</v>
      </c>
      <c r="R331" s="38">
        <v>3</v>
      </c>
      <c r="S331" s="4">
        <f t="shared" si="966"/>
        <v>260.34999999999997</v>
      </c>
      <c r="T331" s="7">
        <f t="shared" si="990"/>
        <v>2.4500000000000002</v>
      </c>
      <c r="U331" s="7">
        <f t="shared" si="859"/>
        <v>3</v>
      </c>
      <c r="V331" s="38">
        <v>9.5</v>
      </c>
      <c r="W331" s="4">
        <f t="shared" si="991"/>
        <v>9.5</v>
      </c>
      <c r="X331" s="4">
        <f t="shared" si="992"/>
        <v>10.5</v>
      </c>
      <c r="Y331" s="7">
        <f t="shared" si="993"/>
        <v>82.305406869779816</v>
      </c>
      <c r="AB331" s="38">
        <f t="shared" si="1038"/>
        <v>813.79310344827593</v>
      </c>
      <c r="AC331" s="4">
        <v>118</v>
      </c>
      <c r="AD331" s="4">
        <f t="shared" si="899"/>
        <v>1.0927712921092712</v>
      </c>
      <c r="AE331" s="38"/>
      <c r="AF331" s="38"/>
      <c r="AG331" s="39">
        <v>1</v>
      </c>
      <c r="AH331" s="39"/>
      <c r="AI331" s="39"/>
      <c r="AJ331" s="7"/>
      <c r="AK331" s="4">
        <f t="shared" si="994"/>
        <v>370.33199999999999</v>
      </c>
      <c r="AL331" s="4">
        <f t="shared" si="910"/>
        <v>0.3612254229538181</v>
      </c>
      <c r="AM331" s="4">
        <f t="shared" si="911"/>
        <v>388.16599141783303</v>
      </c>
      <c r="AN331" s="4">
        <f t="shared" si="912"/>
        <v>0.74115226337448559</v>
      </c>
      <c r="AO331" s="4">
        <v>1.25</v>
      </c>
      <c r="AP331" s="4">
        <f t="shared" si="844"/>
        <v>2.5</v>
      </c>
      <c r="AQ331" s="38">
        <f t="shared" si="967"/>
        <v>324.7530599171514</v>
      </c>
      <c r="AR331" s="38">
        <f t="shared" si="913"/>
        <v>324.7530599171514</v>
      </c>
      <c r="AS331" s="38">
        <f t="shared" si="914"/>
        <v>4.5752930713880566</v>
      </c>
      <c r="AT331" s="38">
        <f t="shared" si="853"/>
        <v>324.75305991715135</v>
      </c>
      <c r="AU331" s="38">
        <f t="shared" si="820"/>
        <v>1.0000000000000002</v>
      </c>
      <c r="AV331" s="38">
        <f t="shared" si="954"/>
        <v>3.4743069894130096</v>
      </c>
      <c r="AW331" s="4">
        <f t="shared" si="940"/>
        <v>0</v>
      </c>
      <c r="AX331" s="4">
        <f t="shared" si="995"/>
        <v>635.35011681968183</v>
      </c>
      <c r="AY331" s="4">
        <f t="shared" si="968"/>
        <v>1.0897959183673469</v>
      </c>
      <c r="AZ331" s="38">
        <f t="shared" si="837"/>
        <v>1128.2918259034209</v>
      </c>
      <c r="BA331" s="4">
        <f t="shared" si="969"/>
        <v>0.3</v>
      </c>
      <c r="BB331" s="4">
        <f t="shared" si="970"/>
        <v>99.591130811485129</v>
      </c>
      <c r="BC331" s="4">
        <f t="shared" si="971"/>
        <v>1227.882956714906</v>
      </c>
      <c r="BE331" s="4">
        <f t="shared" si="854"/>
        <v>1.375</v>
      </c>
      <c r="BF331" s="4">
        <f t="shared" si="860"/>
        <v>839.48902446718273</v>
      </c>
      <c r="BH331" s="4">
        <f t="shared" si="861"/>
        <v>1082.1698421405406</v>
      </c>
      <c r="BI331" s="4">
        <f t="shared" si="806"/>
        <v>0</v>
      </c>
      <c r="BJ331" s="4">
        <f t="shared" si="862"/>
        <v>0</v>
      </c>
      <c r="BR331" s="4">
        <f t="shared" si="972"/>
        <v>49.53</v>
      </c>
      <c r="BV331" s="9"/>
      <c r="BX331" s="9"/>
      <c r="BY331" s="9"/>
      <c r="BZ331" s="9">
        <f t="shared" si="973"/>
        <v>49.53</v>
      </c>
      <c r="CA331" s="9">
        <f t="shared" si="974"/>
        <v>63.5</v>
      </c>
      <c r="CB331" s="9">
        <f t="shared" si="821"/>
        <v>1.4494495884306333</v>
      </c>
      <c r="CC331" s="40">
        <f t="shared" si="996"/>
        <v>0</v>
      </c>
      <c r="CD331" s="9">
        <f t="shared" si="975"/>
        <v>0</v>
      </c>
      <c r="CE331" s="9">
        <f t="shared" si="976"/>
        <v>0</v>
      </c>
      <c r="CF331" s="9">
        <f t="shared" si="977"/>
        <v>0.99524931562137331</v>
      </c>
      <c r="CG331" s="9">
        <f t="shared" si="978"/>
        <v>0.68</v>
      </c>
      <c r="CH331" s="9">
        <f t="shared" si="822"/>
        <v>1.9611826194568933</v>
      </c>
      <c r="CI331" s="9">
        <f t="shared" si="823"/>
        <v>2.8426353406091054</v>
      </c>
      <c r="CJ331" s="40">
        <v>1</v>
      </c>
      <c r="CK331" s="9">
        <f t="shared" si="824"/>
        <v>336.34061350086938</v>
      </c>
      <c r="CM331" s="4">
        <f t="shared" si="979"/>
        <v>1.2808577222300848</v>
      </c>
      <c r="CN331" s="4">
        <f t="shared" si="980"/>
        <v>0.66276113614729903</v>
      </c>
      <c r="CO331" s="4">
        <f t="shared" si="946"/>
        <v>0.96939099825013697</v>
      </c>
      <c r="CP331" s="4">
        <f t="shared" si="981"/>
        <v>2.4195505115416949</v>
      </c>
      <c r="CQ331" s="4">
        <f t="shared" si="921"/>
        <v>1.0927712921092712</v>
      </c>
      <c r="CR331" s="4">
        <f t="shared" si="922"/>
        <v>1.0815801265431821</v>
      </c>
      <c r="CS331" s="4">
        <f t="shared" si="947"/>
        <v>1.4751944683659082</v>
      </c>
      <c r="CT331" s="4">
        <f t="shared" si="997"/>
        <v>0</v>
      </c>
      <c r="CU331" s="4">
        <f t="shared" ref="CU331:CV331" si="1059">CM331</f>
        <v>1.2808577222300848</v>
      </c>
      <c r="CV331" s="4">
        <f t="shared" si="1059"/>
        <v>0.66276113614729903</v>
      </c>
      <c r="CW331" s="4">
        <f t="shared" ref="CW331" si="1060">CP331</f>
        <v>2.4195505115416949</v>
      </c>
      <c r="CX331" s="4">
        <f t="shared" ref="CX331" si="1061">CS331</f>
        <v>1.4751944683659082</v>
      </c>
      <c r="CY331" s="4">
        <f t="shared" ref="CY331:CZ331" si="1062">CQ331</f>
        <v>1.0927712921092712</v>
      </c>
      <c r="CZ331" s="4">
        <f t="shared" si="1062"/>
        <v>1.0815801265431821</v>
      </c>
      <c r="DI331" s="4">
        <f t="shared" si="982"/>
        <v>370.33199999999999</v>
      </c>
      <c r="DL331" s="4">
        <f t="shared" si="900"/>
        <v>3.3348105714073671E-5</v>
      </c>
      <c r="DM331" s="4">
        <f t="shared" si="1009"/>
        <v>9.8254186250777558</v>
      </c>
      <c r="DN331" s="4">
        <f t="shared" si="901"/>
        <v>0.1597005850651578</v>
      </c>
      <c r="DO331" s="4">
        <f t="shared" si="902"/>
        <v>4.717084607697652</v>
      </c>
      <c r="DP331" s="4">
        <f t="shared" si="903"/>
        <v>7.7116198041062471</v>
      </c>
      <c r="DQ331" s="4">
        <f t="shared" si="904"/>
        <v>8.3305958558960782</v>
      </c>
      <c r="DR331" s="38">
        <f t="shared" si="915"/>
        <v>744.70578548736353</v>
      </c>
      <c r="DS331" s="4">
        <f t="shared" si="829"/>
        <v>1.0000885597342692</v>
      </c>
      <c r="DT331" s="4">
        <f t="shared" si="905"/>
        <v>3.2403703492039297</v>
      </c>
      <c r="DU331" s="4">
        <f t="shared" si="842"/>
        <v>324.75305991715135</v>
      </c>
      <c r="DY331" s="4">
        <f t="shared" si="1037"/>
        <v>0.85</v>
      </c>
      <c r="DZ331" s="4">
        <f t="shared" si="830"/>
        <v>0.90500000000000003</v>
      </c>
      <c r="EA331" s="4">
        <f t="shared" si="916"/>
        <v>1</v>
      </c>
      <c r="EB331" s="4">
        <f t="shared" si="831"/>
        <v>0.90500000000000003</v>
      </c>
      <c r="ED331" s="4">
        <f t="shared" si="917"/>
        <v>752.41129480552195</v>
      </c>
      <c r="EE331" s="25">
        <f t="shared" si="918"/>
        <v>322.64748414462093</v>
      </c>
      <c r="EG331" s="4">
        <f t="shared" si="843"/>
        <v>0.76924999999999999</v>
      </c>
      <c r="EH331" s="4">
        <f t="shared" si="919"/>
        <v>9.8254186250777558</v>
      </c>
      <c r="EK331" s="4">
        <f t="shared" si="906"/>
        <v>82.305406869779816</v>
      </c>
      <c r="EL331" s="4">
        <f t="shared" si="907"/>
        <v>3.2403703492039302</v>
      </c>
      <c r="EM331" s="4">
        <f t="shared" si="908"/>
        <v>7.2302108688300989E-2</v>
      </c>
      <c r="EP331" s="4">
        <f t="shared" si="998"/>
        <v>7.2302108688300989E-2</v>
      </c>
      <c r="EQ331" s="4">
        <f t="shared" si="960"/>
        <v>0.15943407455282702</v>
      </c>
      <c r="ER331" s="4">
        <f t="shared" si="1010"/>
        <v>4.7139342558518917</v>
      </c>
      <c r="ES331" s="4">
        <f t="shared" si="983"/>
        <v>7.710669855011191</v>
      </c>
      <c r="ET331" s="4">
        <f t="shared" si="1011"/>
        <v>195.44359313022022</v>
      </c>
      <c r="EU331" s="4">
        <f t="shared" si="1012"/>
        <v>92.58299999999997</v>
      </c>
      <c r="EV331" s="4">
        <f t="shared" si="832"/>
        <v>3.3348105714073664E-5</v>
      </c>
      <c r="EW331" s="4">
        <f t="shared" si="984"/>
        <v>8.3308788563313456</v>
      </c>
      <c r="EX331" s="4">
        <f t="shared" si="867"/>
        <v>744.63984038097317</v>
      </c>
      <c r="FG331" s="23">
        <f t="shared" si="1030"/>
        <v>1.4</v>
      </c>
      <c r="FH331" s="23">
        <f t="shared" si="1030"/>
        <v>0.8</v>
      </c>
      <c r="FI331" s="23">
        <f t="shared" si="952"/>
        <v>1.6</v>
      </c>
      <c r="FJ331" s="23">
        <f t="shared" si="1031"/>
        <v>2.2000000000000002</v>
      </c>
      <c r="FK331" s="23">
        <f t="shared" si="1031"/>
        <v>1.2</v>
      </c>
      <c r="FL331" s="23">
        <f t="shared" si="1031"/>
        <v>1.2</v>
      </c>
      <c r="FM331" s="23">
        <f t="shared" si="923"/>
        <v>0</v>
      </c>
      <c r="FN331" s="23"/>
      <c r="FX331" s="4">
        <f t="shared" si="833"/>
        <v>1</v>
      </c>
      <c r="FY331" s="4">
        <f t="shared" si="890"/>
        <v>0.7583333333333333</v>
      </c>
      <c r="FZ331" s="4">
        <f t="shared" si="834"/>
        <v>0</v>
      </c>
      <c r="GA331" s="4">
        <f t="shared" si="835"/>
        <v>551.6514065767376</v>
      </c>
    </row>
    <row r="332" spans="1:183" ht="12" customHeight="1" x14ac:dyDescent="0.3">
      <c r="A332" s="25">
        <v>314</v>
      </c>
      <c r="B332" s="4" t="s">
        <v>605</v>
      </c>
      <c r="C332" s="4">
        <v>2016</v>
      </c>
      <c r="D332" s="4" t="s">
        <v>309</v>
      </c>
      <c r="E332" s="24" t="s">
        <v>669</v>
      </c>
      <c r="F332" s="7" t="s">
        <v>475</v>
      </c>
      <c r="G332" s="38">
        <f t="shared" si="1032"/>
        <v>827.58620689655174</v>
      </c>
      <c r="H332" s="38">
        <f>14.08*25.4</f>
        <v>357.63200000000001</v>
      </c>
      <c r="I332" s="4">
        <f t="shared" si="985"/>
        <v>357.63200000000001</v>
      </c>
      <c r="J332" s="38">
        <f>9940/145</f>
        <v>68.551724137931032</v>
      </c>
      <c r="K332" s="38">
        <f t="shared" si="986"/>
        <v>25.4</v>
      </c>
      <c r="L332" s="7">
        <f t="shared" si="987"/>
        <v>14.080000000000002</v>
      </c>
      <c r="M332" s="7">
        <f t="shared" si="988"/>
        <v>14.080000000000002</v>
      </c>
      <c r="N332" s="38">
        <f>15.5*25.4</f>
        <v>393.7</v>
      </c>
      <c r="O332" s="38">
        <f>2.3*25.4</f>
        <v>58.419999999999995</v>
      </c>
      <c r="P332" s="39">
        <f>3.7*25.4</f>
        <v>93.98</v>
      </c>
      <c r="Q332" s="7">
        <f t="shared" si="989"/>
        <v>100.33000000000001</v>
      </c>
      <c r="R332" s="38">
        <v>3</v>
      </c>
      <c r="S332" s="4">
        <f t="shared" si="966"/>
        <v>260.34999999999997</v>
      </c>
      <c r="T332" s="7">
        <f t="shared" si="990"/>
        <v>2.4750000000000005</v>
      </c>
      <c r="U332" s="7">
        <f t="shared" si="859"/>
        <v>2.8</v>
      </c>
      <c r="V332" s="38">
        <v>9.5</v>
      </c>
      <c r="W332" s="4">
        <f t="shared" si="991"/>
        <v>9.5</v>
      </c>
      <c r="X332" s="4">
        <f t="shared" si="992"/>
        <v>10.5</v>
      </c>
      <c r="Y332" s="7">
        <f t="shared" si="993"/>
        <v>82.305406869779816</v>
      </c>
      <c r="AB332" s="38">
        <f t="shared" si="1038"/>
        <v>918.62068965517244</v>
      </c>
      <c r="AC332" s="4">
        <v>133.19999999999999</v>
      </c>
      <c r="AD332" s="4">
        <f t="shared" si="899"/>
        <v>1.2733735889849789</v>
      </c>
      <c r="AE332" s="38">
        <f>0.375*25.4</f>
        <v>9.5249999999999986</v>
      </c>
      <c r="AF332" s="38">
        <v>4</v>
      </c>
      <c r="AG332" s="39">
        <f>6*25.4</f>
        <v>152.39999999999998</v>
      </c>
      <c r="AH332" s="39">
        <v>1</v>
      </c>
      <c r="AI332" s="39">
        <v>1</v>
      </c>
      <c r="AJ332" s="7"/>
      <c r="AK332" s="4">
        <f t="shared" si="994"/>
        <v>357.63200000000001</v>
      </c>
      <c r="AL332" s="4">
        <f t="shared" si="910"/>
        <v>0.36695075757575757</v>
      </c>
      <c r="AM332" s="4">
        <f t="shared" si="911"/>
        <v>368.37078442762726</v>
      </c>
      <c r="AN332" s="4">
        <f t="shared" si="912"/>
        <v>0.73977272727272725</v>
      </c>
      <c r="AO332" s="4">
        <v>1.25</v>
      </c>
      <c r="AP332" s="4">
        <f t="shared" si="844"/>
        <v>2.5</v>
      </c>
      <c r="AQ332" s="38">
        <f t="shared" si="967"/>
        <v>312.49372836589322</v>
      </c>
      <c r="AR332" s="38">
        <f t="shared" si="913"/>
        <v>312.49372836589322</v>
      </c>
      <c r="AS332" s="38">
        <f t="shared" si="914"/>
        <v>4.5752930713880566</v>
      </c>
      <c r="AT332" s="38">
        <f t="shared" si="853"/>
        <v>312.49372836589333</v>
      </c>
      <c r="AU332" s="38">
        <f t="shared" si="820"/>
        <v>0.99999999999999967</v>
      </c>
      <c r="AV332" s="38">
        <f t="shared" si="954"/>
        <v>3.5227076496116316</v>
      </c>
      <c r="AW332" s="4">
        <f t="shared" si="940"/>
        <v>0</v>
      </c>
      <c r="AX332" s="4">
        <f t="shared" si="995"/>
        <v>613.56170403437056</v>
      </c>
      <c r="AY332" s="4">
        <f t="shared" si="968"/>
        <v>1.0525252525252524</v>
      </c>
      <c r="AZ332" s="38">
        <f t="shared" si="837"/>
        <v>1100.8240473701917</v>
      </c>
      <c r="BA332" s="4">
        <f t="shared" si="969"/>
        <v>0.3</v>
      </c>
      <c r="BB332" s="4">
        <f t="shared" si="970"/>
        <v>96.175797107387567</v>
      </c>
      <c r="BC332" s="4">
        <f t="shared" si="971"/>
        <v>1196.9998444775792</v>
      </c>
      <c r="BE332" s="4">
        <f t="shared" si="854"/>
        <v>1.5</v>
      </c>
      <c r="BF332" s="4">
        <f t="shared" si="860"/>
        <v>897.17711557821269</v>
      </c>
      <c r="BH332" s="4">
        <f t="shared" si="861"/>
        <v>1055.8248834367448</v>
      </c>
      <c r="BI332" s="4">
        <f t="shared" si="806"/>
        <v>0</v>
      </c>
      <c r="BJ332" s="4">
        <f t="shared" si="862"/>
        <v>0</v>
      </c>
      <c r="BR332" s="4">
        <f t="shared" si="972"/>
        <v>50.165000000000006</v>
      </c>
      <c r="BV332" s="9"/>
      <c r="BX332" s="9"/>
      <c r="BY332" s="9"/>
      <c r="BZ332" s="9">
        <f t="shared" si="973"/>
        <v>50.165000000000006</v>
      </c>
      <c r="CA332" s="9">
        <f t="shared" si="974"/>
        <v>58.419999999999995</v>
      </c>
      <c r="CB332" s="9">
        <f t="shared" si="821"/>
        <v>1.43783039583918</v>
      </c>
      <c r="CC332" s="40">
        <f t="shared" si="996"/>
        <v>20</v>
      </c>
      <c r="CD332" s="9">
        <f t="shared" si="975"/>
        <v>4.9087385212340517E-2</v>
      </c>
      <c r="CE332" s="9">
        <f t="shared" si="976"/>
        <v>0.78174770424681028</v>
      </c>
      <c r="CF332" s="9">
        <f t="shared" si="977"/>
        <v>0.99524931562137331</v>
      </c>
      <c r="CG332" s="9">
        <f t="shared" si="978"/>
        <v>0.68</v>
      </c>
      <c r="CH332" s="9">
        <f t="shared" si="822"/>
        <v>1.9611826194568933</v>
      </c>
      <c r="CI332" s="9">
        <f t="shared" si="823"/>
        <v>4.3529979924157969</v>
      </c>
      <c r="CJ332" s="40">
        <v>1</v>
      </c>
      <c r="CK332" s="9">
        <f t="shared" si="824"/>
        <v>506.34072647780556</v>
      </c>
      <c r="CM332" s="4">
        <f t="shared" si="979"/>
        <v>1.4971936540610968</v>
      </c>
      <c r="CN332" s="4">
        <f t="shared" si="980"/>
        <v>0.76743593066722315</v>
      </c>
      <c r="CO332" s="4">
        <f t="shared" si="946"/>
        <v>1.0239011603223291</v>
      </c>
      <c r="CP332" s="4">
        <f t="shared" si="981"/>
        <v>1.8142342529807116</v>
      </c>
      <c r="CQ332" s="4">
        <f t="shared" si="921"/>
        <v>1.2733735889849789</v>
      </c>
      <c r="CR332" s="4">
        <f t="shared" si="922"/>
        <v>1.2575697339160365</v>
      </c>
      <c r="CS332" s="4">
        <f t="shared" si="947"/>
        <v>1.7850791723869082</v>
      </c>
      <c r="CT332" s="4">
        <f t="shared" si="997"/>
        <v>4</v>
      </c>
      <c r="DA332" s="4">
        <f t="shared" ref="DA332:DB332" si="1063">CM332</f>
        <v>1.4971936540610968</v>
      </c>
      <c r="DB332" s="4">
        <f t="shared" si="1063"/>
        <v>0.76743593066722315</v>
      </c>
      <c r="DC332" s="4">
        <f t="shared" ref="DC332" si="1064">CP332</f>
        <v>1.8142342529807116</v>
      </c>
      <c r="DD332" s="4">
        <f t="shared" ref="DD332" si="1065">CS332</f>
        <v>1.7850791723869082</v>
      </c>
      <c r="DE332" s="4">
        <f t="shared" ref="DE332:DF332" si="1066">CQ332</f>
        <v>1.2733735889849789</v>
      </c>
      <c r="DF332" s="4">
        <f t="shared" si="1066"/>
        <v>1.2575697339160365</v>
      </c>
      <c r="DI332" s="4">
        <f t="shared" si="982"/>
        <v>357.63200000000001</v>
      </c>
      <c r="DL332" s="4">
        <f t="shared" si="900"/>
        <v>3.2204480689585553E-5</v>
      </c>
      <c r="DM332" s="4">
        <f t="shared" si="1009"/>
        <v>9.9458784617650533</v>
      </c>
      <c r="DN332" s="4">
        <f t="shared" si="901"/>
        <v>0.15367193541442592</v>
      </c>
      <c r="DO332" s="4">
        <f t="shared" si="902"/>
        <v>4.7019821086310722</v>
      </c>
      <c r="DP332" s="4">
        <f t="shared" si="903"/>
        <v>7.7843131631097142</v>
      </c>
      <c r="DQ332" s="4">
        <f t="shared" si="904"/>
        <v>8.5266700561357052</v>
      </c>
      <c r="DR332" s="38">
        <f t="shared" si="915"/>
        <v>721.40705414458603</v>
      </c>
      <c r="DS332" s="4">
        <f t="shared" si="829"/>
        <v>1.000089090425536</v>
      </c>
      <c r="DT332" s="4">
        <f t="shared" si="905"/>
        <v>3.2403703492039297</v>
      </c>
      <c r="DU332" s="4">
        <f t="shared" si="842"/>
        <v>312.49372836589333</v>
      </c>
      <c r="DY332" s="4">
        <f t="shared" si="1037"/>
        <v>0.85</v>
      </c>
      <c r="DZ332" s="4">
        <f t="shared" si="830"/>
        <v>0.90249999999999997</v>
      </c>
      <c r="EA332" s="4">
        <f t="shared" si="916"/>
        <v>0.99062499999999998</v>
      </c>
      <c r="EB332" s="4">
        <f t="shared" si="831"/>
        <v>0.89403906249999998</v>
      </c>
      <c r="ED332" s="4">
        <f t="shared" si="917"/>
        <v>730.47296295420028</v>
      </c>
      <c r="EE332" s="25">
        <f t="shared" si="918"/>
        <v>310.35905672924446</v>
      </c>
      <c r="EG332" s="4">
        <f t="shared" si="843"/>
        <v>0.75993320312500001</v>
      </c>
      <c r="EH332" s="4">
        <f t="shared" si="919"/>
        <v>9.9458784617650533</v>
      </c>
      <c r="EK332" s="4">
        <f t="shared" si="906"/>
        <v>82.305406869779816</v>
      </c>
      <c r="EL332" s="4">
        <f t="shared" si="907"/>
        <v>3.2403703492039302</v>
      </c>
      <c r="EM332" s="4">
        <f t="shared" si="908"/>
        <v>6.9572725561037788E-2</v>
      </c>
      <c r="EP332" s="4">
        <f t="shared" si="998"/>
        <v>6.9572725561037788E-2</v>
      </c>
      <c r="EQ332" s="4">
        <f t="shared" si="960"/>
        <v>0.15341548559477464</v>
      </c>
      <c r="ER332" s="4">
        <f t="shared" si="1010"/>
        <v>4.6988418431394399</v>
      </c>
      <c r="ES332" s="4">
        <f t="shared" si="983"/>
        <v>7.7833789789584849</v>
      </c>
      <c r="ET332" s="4">
        <f t="shared" si="1011"/>
        <v>185.91859313022019</v>
      </c>
      <c r="EU332" s="4">
        <f t="shared" si="1012"/>
        <v>89.408000000000015</v>
      </c>
      <c r="EV332" s="4">
        <f t="shared" si="832"/>
        <v>3.2204480689585553E-5</v>
      </c>
      <c r="EW332" s="4">
        <f t="shared" si="984"/>
        <v>8.5269391814720326</v>
      </c>
      <c r="EX332" s="4">
        <f t="shared" si="867"/>
        <v>721.34278940852028</v>
      </c>
      <c r="FG332" s="23">
        <f t="shared" si="1030"/>
        <v>1.6</v>
      </c>
      <c r="FH332" s="23">
        <f t="shared" si="1030"/>
        <v>0.8</v>
      </c>
      <c r="FI332" s="23">
        <f t="shared" si="952"/>
        <v>1.8</v>
      </c>
      <c r="FJ332" s="23">
        <f t="shared" si="1031"/>
        <v>2</v>
      </c>
      <c r="FK332" s="23">
        <f t="shared" si="1031"/>
        <v>1.4</v>
      </c>
      <c r="FL332" s="23">
        <f t="shared" si="1031"/>
        <v>1.4</v>
      </c>
      <c r="FM332" s="23">
        <f t="shared" si="923"/>
        <v>0</v>
      </c>
      <c r="FN332" s="23"/>
      <c r="FX332" s="4">
        <f t="shared" si="833"/>
        <v>1.25</v>
      </c>
      <c r="FY332" s="4">
        <f t="shared" si="890"/>
        <v>0.62803124999999993</v>
      </c>
      <c r="FZ332" s="4">
        <f t="shared" si="834"/>
        <v>9.3749999999999986E-2</v>
      </c>
      <c r="GA332" s="4">
        <f t="shared" si="835"/>
        <v>514.61061440028129</v>
      </c>
    </row>
    <row r="333" spans="1:183" ht="12" customHeight="1" x14ac:dyDescent="0.3">
      <c r="A333" s="25">
        <v>315</v>
      </c>
      <c r="B333" s="4" t="s">
        <v>605</v>
      </c>
      <c r="C333" s="4">
        <v>2016</v>
      </c>
      <c r="D333" s="4" t="s">
        <v>309</v>
      </c>
      <c r="E333" s="24" t="s">
        <v>669</v>
      </c>
      <c r="F333" s="7" t="s">
        <v>476</v>
      </c>
      <c r="G333" s="38">
        <f t="shared" si="1032"/>
        <v>827.58620689655174</v>
      </c>
      <c r="H333" s="38">
        <f>14.54*25.4</f>
        <v>369.31599999999997</v>
      </c>
      <c r="I333" s="4">
        <f t="shared" si="985"/>
        <v>369.31599999999997</v>
      </c>
      <c r="J333" s="38">
        <f>10180/145</f>
        <v>70.206896551724142</v>
      </c>
      <c r="K333" s="38">
        <f t="shared" si="986"/>
        <v>25.4</v>
      </c>
      <c r="L333" s="7">
        <f t="shared" si="987"/>
        <v>14.54</v>
      </c>
      <c r="M333" s="7">
        <f t="shared" si="988"/>
        <v>14.54</v>
      </c>
      <c r="N333" s="38">
        <f>20*25.4</f>
        <v>508</v>
      </c>
      <c r="O333" s="38">
        <f t="shared" si="999"/>
        <v>63.5</v>
      </c>
      <c r="P333" s="39">
        <f>3*25.4</f>
        <v>76.199999999999989</v>
      </c>
      <c r="Q333" s="7">
        <f t="shared" si="989"/>
        <v>152.4</v>
      </c>
      <c r="R333" s="38">
        <v>3</v>
      </c>
      <c r="S333" s="4">
        <f t="shared" si="966"/>
        <v>260.34999999999997</v>
      </c>
      <c r="T333" s="7">
        <f t="shared" si="990"/>
        <v>3</v>
      </c>
      <c r="U333" s="7">
        <f t="shared" si="859"/>
        <v>3</v>
      </c>
      <c r="V333" s="38">
        <v>9.5</v>
      </c>
      <c r="W333" s="4">
        <f t="shared" si="991"/>
        <v>9.5</v>
      </c>
      <c r="X333" s="4">
        <f t="shared" si="992"/>
        <v>10.5</v>
      </c>
      <c r="Y333" s="7">
        <f t="shared" si="993"/>
        <v>82.305406869779816</v>
      </c>
      <c r="AB333" s="38">
        <f t="shared" si="1038"/>
        <v>907.58620689655174</v>
      </c>
      <c r="AC333" s="4">
        <v>131.6</v>
      </c>
      <c r="AD333" s="4">
        <f t="shared" si="899"/>
        <v>1.0374944577148659</v>
      </c>
      <c r="AE333" s="38"/>
      <c r="AF333" s="38"/>
      <c r="AG333" s="39">
        <v>1</v>
      </c>
      <c r="AH333" s="39"/>
      <c r="AI333" s="39"/>
      <c r="AJ333" s="7"/>
      <c r="AK333" s="4">
        <f t="shared" si="994"/>
        <v>369.31599999999997</v>
      </c>
      <c r="AL333" s="4">
        <f t="shared" si="910"/>
        <v>0.45850527281063735</v>
      </c>
      <c r="AM333" s="4">
        <f t="shared" si="911"/>
        <v>391.20869898560869</v>
      </c>
      <c r="AN333" s="4">
        <f t="shared" si="912"/>
        <v>0.74126547455295733</v>
      </c>
      <c r="AO333" s="4">
        <v>1.25</v>
      </c>
      <c r="AP333" s="4">
        <f t="shared" si="844"/>
        <v>2.5</v>
      </c>
      <c r="AQ333" s="38">
        <f t="shared" si="967"/>
        <v>415.50536150678056</v>
      </c>
      <c r="AR333" s="38">
        <f t="shared" si="913"/>
        <v>415.50536150678056</v>
      </c>
      <c r="AS333" s="38">
        <f t="shared" si="914"/>
        <v>4.615452125415529</v>
      </c>
      <c r="AT333" s="38">
        <f t="shared" si="853"/>
        <v>415.50536150678073</v>
      </c>
      <c r="AU333" s="38">
        <f t="shared" si="820"/>
        <v>0.99999999999999956</v>
      </c>
      <c r="AV333" s="38">
        <f t="shared" si="954"/>
        <v>3.1247566190650464</v>
      </c>
      <c r="AW333" s="4">
        <f t="shared" si="940"/>
        <v>0</v>
      </c>
      <c r="AX333" s="4">
        <f t="shared" si="995"/>
        <v>641.21060042756483</v>
      </c>
      <c r="AY333" s="4">
        <f t="shared" si="968"/>
        <v>1</v>
      </c>
      <c r="AZ333" s="38">
        <f t="shared" si="837"/>
        <v>1298.3531286253281</v>
      </c>
      <c r="BA333" s="4">
        <f t="shared" si="969"/>
        <v>0.3</v>
      </c>
      <c r="BB333" s="4">
        <f t="shared" si="970"/>
        <v>100.50976161702079</v>
      </c>
      <c r="BC333" s="4">
        <f t="shared" si="971"/>
        <v>1398.8628902423488</v>
      </c>
      <c r="BE333" s="4">
        <f t="shared" si="854"/>
        <v>1.375</v>
      </c>
      <c r="BF333" s="4">
        <f t="shared" si="860"/>
        <v>848.18072561268582</v>
      </c>
      <c r="BH333" s="4">
        <f t="shared" si="861"/>
        <v>1245.2794285929851</v>
      </c>
      <c r="BI333" s="4">
        <f t="shared" ref="BI333:BI396" si="1067">8/3*Z333*AA333^2/(Y333-K333-22)/K333*(Y333^2-K333^2)/(Y333^2-(K333+22)^2)</f>
        <v>0</v>
      </c>
      <c r="BJ333" s="4">
        <f t="shared" si="862"/>
        <v>0</v>
      </c>
      <c r="BR333" s="4">
        <f t="shared" si="972"/>
        <v>63.5</v>
      </c>
      <c r="BV333" s="9"/>
      <c r="BX333" s="9"/>
      <c r="BY333" s="9"/>
      <c r="BZ333" s="9">
        <f t="shared" si="973"/>
        <v>63.5</v>
      </c>
      <c r="CA333" s="9">
        <f t="shared" si="974"/>
        <v>76.2</v>
      </c>
      <c r="CB333" s="9">
        <f t="shared" si="821"/>
        <v>1.6249768986352224</v>
      </c>
      <c r="CC333" s="40">
        <f t="shared" si="996"/>
        <v>0</v>
      </c>
      <c r="CD333" s="9">
        <f t="shared" si="975"/>
        <v>0</v>
      </c>
      <c r="CE333" s="9">
        <f t="shared" si="976"/>
        <v>0</v>
      </c>
      <c r="CF333" s="9">
        <f t="shared" si="977"/>
        <v>0.99524931562137331</v>
      </c>
      <c r="CG333" s="9">
        <f t="shared" si="978"/>
        <v>0.68</v>
      </c>
      <c r="CH333" s="9">
        <f t="shared" si="822"/>
        <v>1.9847176531283015</v>
      </c>
      <c r="CI333" s="9">
        <f t="shared" si="823"/>
        <v>3.2251203366470045</v>
      </c>
      <c r="CJ333" s="40">
        <v>1</v>
      </c>
      <c r="CK333" s="9">
        <f t="shared" si="824"/>
        <v>381.08021897821004</v>
      </c>
      <c r="CM333" s="4">
        <f t="shared" si="979"/>
        <v>1.4154260804349856</v>
      </c>
      <c r="CN333" s="4">
        <f t="shared" si="980"/>
        <v>0.64880283352095725</v>
      </c>
      <c r="CO333" s="4">
        <f t="shared" si="946"/>
        <v>1.070038706952406</v>
      </c>
      <c r="CP333" s="4">
        <f t="shared" si="981"/>
        <v>2.3816145832236102</v>
      </c>
      <c r="CQ333" s="4">
        <f t="shared" si="921"/>
        <v>1.0374944577148659</v>
      </c>
      <c r="CR333" s="4">
        <f t="shared" si="922"/>
        <v>1.0377227912290949</v>
      </c>
      <c r="CS333" s="4">
        <f t="shared" si="947"/>
        <v>1.261486403351207</v>
      </c>
      <c r="CT333" s="4">
        <f t="shared" si="997"/>
        <v>0</v>
      </c>
      <c r="CU333" s="4">
        <f t="shared" ref="CU333:CV333" si="1068">CM333</f>
        <v>1.4154260804349856</v>
      </c>
      <c r="CV333" s="4">
        <f t="shared" si="1068"/>
        <v>0.64880283352095725</v>
      </c>
      <c r="CW333" s="4">
        <f t="shared" ref="CW333" si="1069">CP333</f>
        <v>2.3816145832236102</v>
      </c>
      <c r="CX333" s="4">
        <f t="shared" ref="CX333" si="1070">CS333</f>
        <v>1.261486403351207</v>
      </c>
      <c r="CY333" s="4">
        <f t="shared" ref="CY333:CZ333" si="1071">CQ333</f>
        <v>1.0374944577148659</v>
      </c>
      <c r="CZ333" s="4">
        <f t="shared" si="1071"/>
        <v>1.0377227912290949</v>
      </c>
      <c r="DI333" s="4">
        <f t="shared" si="982"/>
        <v>369.31599999999997</v>
      </c>
      <c r="DL333" s="4">
        <f t="shared" si="900"/>
        <v>3.3591114581024516E-5</v>
      </c>
      <c r="DM333" s="4">
        <f t="shared" si="1009"/>
        <v>10.58671967137796</v>
      </c>
      <c r="DN333" s="4">
        <f t="shared" si="901"/>
        <v>0.19951175728678291</v>
      </c>
      <c r="DO333" s="4">
        <f t="shared" si="902"/>
        <v>5.5558282405833204</v>
      </c>
      <c r="DP333" s="4">
        <f t="shared" si="903"/>
        <v>8.4575763623866695</v>
      </c>
      <c r="DQ333" s="4">
        <f t="shared" si="904"/>
        <v>8.8014216716952376</v>
      </c>
      <c r="DR333" s="38">
        <f t="shared" si="915"/>
        <v>874.78655924153691</v>
      </c>
      <c r="DS333" s="4">
        <f t="shared" si="829"/>
        <v>1.0000911089737488</v>
      </c>
      <c r="DT333" s="4">
        <f t="shared" si="905"/>
        <v>3.2403703492039297</v>
      </c>
      <c r="DU333" s="4">
        <f t="shared" si="842"/>
        <v>415.50536150678073</v>
      </c>
      <c r="DY333" s="4">
        <f t="shared" si="1037"/>
        <v>0.85</v>
      </c>
      <c r="DZ333" s="4">
        <f t="shared" si="830"/>
        <v>0.85</v>
      </c>
      <c r="EA333" s="4">
        <f t="shared" si="916"/>
        <v>1</v>
      </c>
      <c r="EB333" s="4">
        <f t="shared" si="831"/>
        <v>0.85</v>
      </c>
      <c r="ED333" s="4">
        <f t="shared" si="917"/>
        <v>874.59407711532731</v>
      </c>
      <c r="EE333" s="25">
        <f t="shared" si="918"/>
        <v>412.80136504982062</v>
      </c>
      <c r="EG333" s="4">
        <f t="shared" si="843"/>
        <v>0.72249999999999992</v>
      </c>
      <c r="EH333" s="4">
        <f t="shared" si="919"/>
        <v>10.58671967137796</v>
      </c>
      <c r="EK333" s="4">
        <f t="shared" si="906"/>
        <v>82.305406869779816</v>
      </c>
      <c r="EL333" s="4">
        <f t="shared" si="907"/>
        <v>3.2403703492039302</v>
      </c>
      <c r="EM333" s="4">
        <f t="shared" si="908"/>
        <v>9.1409986995560882E-2</v>
      </c>
      <c r="EP333" s="4">
        <f t="shared" si="998"/>
        <v>9.1409986995560882E-2</v>
      </c>
      <c r="EQ333" s="4">
        <f t="shared" si="960"/>
        <v>0.19917880934780813</v>
      </c>
      <c r="ER333" s="4">
        <f t="shared" si="1010"/>
        <v>5.5521177254647478</v>
      </c>
      <c r="ES333" s="4">
        <f t="shared" si="983"/>
        <v>8.4563691657379376</v>
      </c>
      <c r="ET333" s="4">
        <f t="shared" si="1011"/>
        <v>194.68159313022016</v>
      </c>
      <c r="EU333" s="4">
        <f t="shared" si="1012"/>
        <v>92.329000000000008</v>
      </c>
      <c r="EV333" s="4">
        <f t="shared" si="832"/>
        <v>3.3591114581024516E-5</v>
      </c>
      <c r="EW333" s="4">
        <f t="shared" si="984"/>
        <v>8.8017938167254623</v>
      </c>
      <c r="EX333" s="4">
        <f t="shared" si="867"/>
        <v>874.7068655966815</v>
      </c>
      <c r="FG333" s="23">
        <f t="shared" si="1030"/>
        <v>1.6</v>
      </c>
      <c r="FH333" s="23">
        <f t="shared" si="1030"/>
        <v>0.8</v>
      </c>
      <c r="FI333" s="23">
        <f t="shared" si="952"/>
        <v>1.4</v>
      </c>
      <c r="FJ333" s="23">
        <f t="shared" si="1031"/>
        <v>2.2000000000000002</v>
      </c>
      <c r="FK333" s="23">
        <f t="shared" si="1031"/>
        <v>1.2</v>
      </c>
      <c r="FL333" s="23">
        <f t="shared" si="1031"/>
        <v>1.2</v>
      </c>
      <c r="FM333" s="23">
        <f t="shared" si="923"/>
        <v>0</v>
      </c>
      <c r="FN333" s="23"/>
      <c r="FX333" s="4">
        <f t="shared" si="833"/>
        <v>1</v>
      </c>
      <c r="FY333" s="4">
        <f t="shared" si="890"/>
        <v>0.58333333333333326</v>
      </c>
      <c r="FZ333" s="4">
        <f t="shared" si="834"/>
        <v>0</v>
      </c>
      <c r="GA333" s="4">
        <f t="shared" si="835"/>
        <v>719.45777971565906</v>
      </c>
    </row>
    <row r="334" spans="1:183" ht="12" customHeight="1" x14ac:dyDescent="0.3">
      <c r="A334" s="25">
        <v>316</v>
      </c>
      <c r="B334" s="4" t="s">
        <v>605</v>
      </c>
      <c r="C334" s="4">
        <v>2016</v>
      </c>
      <c r="D334" s="4" t="s">
        <v>309</v>
      </c>
      <c r="E334" s="24" t="s">
        <v>669</v>
      </c>
      <c r="F334" s="7" t="s">
        <v>477</v>
      </c>
      <c r="G334" s="38">
        <f t="shared" si="1032"/>
        <v>827.58620689655174</v>
      </c>
      <c r="H334" s="38">
        <f>14.54*25.4</f>
        <v>369.31599999999997</v>
      </c>
      <c r="I334" s="4">
        <f t="shared" si="985"/>
        <v>369.31599999999997</v>
      </c>
      <c r="J334" s="38">
        <f>10180/145</f>
        <v>70.206896551724142</v>
      </c>
      <c r="K334" s="38">
        <f t="shared" si="986"/>
        <v>25.4</v>
      </c>
      <c r="L334" s="7">
        <f t="shared" si="987"/>
        <v>14.54</v>
      </c>
      <c r="M334" s="7">
        <f t="shared" si="988"/>
        <v>14.54</v>
      </c>
      <c r="N334" s="38">
        <f>20*25.4</f>
        <v>508</v>
      </c>
      <c r="O334" s="38">
        <f t="shared" si="999"/>
        <v>63.5</v>
      </c>
      <c r="P334" s="39">
        <f>3*25.4</f>
        <v>76.199999999999989</v>
      </c>
      <c r="Q334" s="7">
        <f t="shared" si="989"/>
        <v>152.4</v>
      </c>
      <c r="R334" s="38">
        <v>3</v>
      </c>
      <c r="S334" s="4">
        <f t="shared" si="966"/>
        <v>260.34999999999997</v>
      </c>
      <c r="T334" s="7">
        <f t="shared" si="990"/>
        <v>3</v>
      </c>
      <c r="U334" s="7">
        <f t="shared" si="859"/>
        <v>3</v>
      </c>
      <c r="V334" s="38">
        <v>9.5</v>
      </c>
      <c r="W334" s="4">
        <f t="shared" si="991"/>
        <v>9.5</v>
      </c>
      <c r="X334" s="4">
        <f t="shared" si="992"/>
        <v>10.5</v>
      </c>
      <c r="Y334" s="7">
        <f t="shared" si="993"/>
        <v>82.305406869779816</v>
      </c>
      <c r="AB334" s="38">
        <f t="shared" si="1038"/>
        <v>989.65517241379314</v>
      </c>
      <c r="AC334" s="4">
        <v>143.5</v>
      </c>
      <c r="AD334" s="4">
        <f t="shared" si="899"/>
        <v>1.0877385129806194</v>
      </c>
      <c r="AE334" s="38">
        <f>0.5*25.4</f>
        <v>12.7</v>
      </c>
      <c r="AF334" s="38">
        <v>4</v>
      </c>
      <c r="AG334" s="39">
        <f>6*25.4</f>
        <v>152.39999999999998</v>
      </c>
      <c r="AH334" s="39">
        <v>1</v>
      </c>
      <c r="AI334" s="39">
        <v>1</v>
      </c>
      <c r="AJ334" s="7"/>
      <c r="AK334" s="4">
        <f t="shared" si="994"/>
        <v>369.31599999999997</v>
      </c>
      <c r="AL334" s="4">
        <f t="shared" si="910"/>
        <v>0.45850527281063735</v>
      </c>
      <c r="AM334" s="4">
        <f t="shared" si="911"/>
        <v>391.20869898560869</v>
      </c>
      <c r="AN334" s="4">
        <f t="shared" si="912"/>
        <v>0.74126547455295733</v>
      </c>
      <c r="AO334" s="4">
        <v>1.25</v>
      </c>
      <c r="AP334" s="4">
        <f t="shared" si="844"/>
        <v>2.5</v>
      </c>
      <c r="AQ334" s="38">
        <f t="shared" si="967"/>
        <v>415.50536150678056</v>
      </c>
      <c r="AR334" s="38">
        <f t="shared" si="913"/>
        <v>415.50536150678056</v>
      </c>
      <c r="AS334" s="38">
        <f t="shared" si="914"/>
        <v>4.615452125415529</v>
      </c>
      <c r="AT334" s="38">
        <f t="shared" si="853"/>
        <v>415.50536150678073</v>
      </c>
      <c r="AU334" s="38">
        <f t="shared" si="820"/>
        <v>0.99999999999999956</v>
      </c>
      <c r="AV334" s="38">
        <f t="shared" si="954"/>
        <v>3.1247566190650464</v>
      </c>
      <c r="AW334" s="4">
        <f t="shared" si="940"/>
        <v>0</v>
      </c>
      <c r="AX334" s="4">
        <f t="shared" si="995"/>
        <v>641.21060042756483</v>
      </c>
      <c r="AY334" s="4">
        <f t="shared" si="968"/>
        <v>1</v>
      </c>
      <c r="AZ334" s="38">
        <f t="shared" si="837"/>
        <v>1298.3531286253281</v>
      </c>
      <c r="BA334" s="4">
        <f t="shared" si="969"/>
        <v>0.3</v>
      </c>
      <c r="BB334" s="4">
        <f t="shared" si="970"/>
        <v>100.50976161702079</v>
      </c>
      <c r="BC334" s="4">
        <f t="shared" si="971"/>
        <v>1398.8628902423488</v>
      </c>
      <c r="BE334" s="4">
        <f t="shared" si="854"/>
        <v>1.5</v>
      </c>
      <c r="BF334" s="4">
        <f t="shared" si="860"/>
        <v>925.2880643047481</v>
      </c>
      <c r="BH334" s="4">
        <f t="shared" si="861"/>
        <v>1245.2794285929851</v>
      </c>
      <c r="BI334" s="4">
        <f t="shared" si="1067"/>
        <v>0</v>
      </c>
      <c r="BJ334" s="4">
        <f t="shared" si="862"/>
        <v>0</v>
      </c>
      <c r="BR334" s="4">
        <f t="shared" si="972"/>
        <v>63.5</v>
      </c>
      <c r="BV334" s="9"/>
      <c r="BX334" s="9"/>
      <c r="BY334" s="9"/>
      <c r="BZ334" s="9">
        <f t="shared" si="973"/>
        <v>63.5</v>
      </c>
      <c r="CA334" s="9">
        <f t="shared" si="974"/>
        <v>76.2</v>
      </c>
      <c r="CB334" s="9">
        <f t="shared" si="821"/>
        <v>1.6249768986352224</v>
      </c>
      <c r="CC334" s="40">
        <f t="shared" si="996"/>
        <v>20</v>
      </c>
      <c r="CD334" s="9">
        <f t="shared" si="975"/>
        <v>0.05</v>
      </c>
      <c r="CE334" s="9">
        <f t="shared" si="976"/>
        <v>0.8</v>
      </c>
      <c r="CF334" s="9">
        <f t="shared" si="977"/>
        <v>0.99524931562137331</v>
      </c>
      <c r="CG334" s="9">
        <f t="shared" si="978"/>
        <v>0.68</v>
      </c>
      <c r="CH334" s="9">
        <f t="shared" si="822"/>
        <v>1.9847176531283015</v>
      </c>
      <c r="CI334" s="9">
        <f t="shared" si="823"/>
        <v>4.8128944591496454</v>
      </c>
      <c r="CJ334" s="40">
        <v>1</v>
      </c>
      <c r="CK334" s="9">
        <f t="shared" si="824"/>
        <v>568.69160929312216</v>
      </c>
      <c r="CM334" s="4">
        <f t="shared" si="979"/>
        <v>1.5434167366445322</v>
      </c>
      <c r="CN334" s="4">
        <f t="shared" si="980"/>
        <v>0.70747117484998001</v>
      </c>
      <c r="CO334" s="4">
        <f t="shared" si="946"/>
        <v>1.0695643990149271</v>
      </c>
      <c r="CP334" s="4">
        <f t="shared" si="981"/>
        <v>1.7402317112501877</v>
      </c>
      <c r="CQ334" s="4">
        <f t="shared" si="921"/>
        <v>1.0877385129806194</v>
      </c>
      <c r="CR334" s="4">
        <f t="shared" si="922"/>
        <v>1.0851045143939175</v>
      </c>
      <c r="CS334" s="4">
        <f t="shared" si="947"/>
        <v>1.2104901444923288</v>
      </c>
      <c r="CT334" s="4">
        <f t="shared" si="997"/>
        <v>4</v>
      </c>
      <c r="DA334" s="4">
        <f t="shared" ref="DA334:DB334" si="1072">CM334</f>
        <v>1.5434167366445322</v>
      </c>
      <c r="DB334" s="4">
        <f t="shared" si="1072"/>
        <v>0.70747117484998001</v>
      </c>
      <c r="DC334" s="4">
        <f t="shared" ref="DC334" si="1073">CP334</f>
        <v>1.7402317112501877</v>
      </c>
      <c r="DD334" s="4">
        <f t="shared" ref="DD334" si="1074">CS334</f>
        <v>1.2104901444923288</v>
      </c>
      <c r="DE334" s="4">
        <f t="shared" ref="DE334:DF334" si="1075">CQ334</f>
        <v>1.0877385129806194</v>
      </c>
      <c r="DF334" s="4">
        <f t="shared" si="1075"/>
        <v>1.0851045143939175</v>
      </c>
      <c r="DI334" s="4">
        <f t="shared" si="982"/>
        <v>369.31599999999997</v>
      </c>
      <c r="DL334" s="4">
        <f t="shared" si="900"/>
        <v>3.3591114581024516E-5</v>
      </c>
      <c r="DM334" s="4">
        <f t="shared" si="1009"/>
        <v>11.445102347435631</v>
      </c>
      <c r="DN334" s="4">
        <f t="shared" si="901"/>
        <v>0.19951175728678291</v>
      </c>
      <c r="DO334" s="4">
        <f t="shared" si="902"/>
        <v>6.0063008006306164</v>
      </c>
      <c r="DP334" s="4">
        <f t="shared" si="903"/>
        <v>9.1433257971747768</v>
      </c>
      <c r="DQ334" s="4">
        <f t="shared" si="904"/>
        <v>9.3639241751610225</v>
      </c>
      <c r="DR334" s="38">
        <f t="shared" si="915"/>
        <v>909.82819915233267</v>
      </c>
      <c r="DS334" s="4">
        <f t="shared" si="829"/>
        <v>1.000094199456351</v>
      </c>
      <c r="DT334" s="4">
        <f t="shared" si="905"/>
        <v>3.2403703492039297</v>
      </c>
      <c r="DU334" s="4">
        <f t="shared" si="842"/>
        <v>415.50536150678073</v>
      </c>
      <c r="DY334" s="4">
        <f t="shared" si="1037"/>
        <v>0.85</v>
      </c>
      <c r="DZ334" s="4">
        <f t="shared" si="830"/>
        <v>0.85</v>
      </c>
      <c r="EA334" s="4">
        <f t="shared" si="916"/>
        <v>0.92500000000000004</v>
      </c>
      <c r="EB334" s="4">
        <f t="shared" si="831"/>
        <v>0.78625</v>
      </c>
      <c r="ED334" s="4">
        <f t="shared" si="917"/>
        <v>912.03672944496282</v>
      </c>
      <c r="EE334" s="25">
        <f t="shared" si="918"/>
        <v>412.80136504982062</v>
      </c>
      <c r="EG334" s="4">
        <f t="shared" si="843"/>
        <v>0.66831249999999998</v>
      </c>
      <c r="EH334" s="4">
        <f t="shared" si="919"/>
        <v>11.445102347435631</v>
      </c>
      <c r="EK334" s="4">
        <f t="shared" si="906"/>
        <v>82.305406869779816</v>
      </c>
      <c r="EL334" s="4">
        <f t="shared" si="907"/>
        <v>3.2403703492039302</v>
      </c>
      <c r="EM334" s="4">
        <f t="shared" si="908"/>
        <v>9.1409986995560882E-2</v>
      </c>
      <c r="EP334" s="4">
        <f t="shared" si="998"/>
        <v>9.1409986995560882E-2</v>
      </c>
      <c r="EQ334" s="4">
        <f t="shared" si="960"/>
        <v>0.19917880934780813</v>
      </c>
      <c r="ER334" s="4">
        <f t="shared" si="1010"/>
        <v>6.0022894329348615</v>
      </c>
      <c r="ES334" s="4">
        <f t="shared" si="983"/>
        <v>9.1420207197166885</v>
      </c>
      <c r="ET334" s="4">
        <f t="shared" si="1011"/>
        <v>194.68159313022016</v>
      </c>
      <c r="EU334" s="4">
        <f t="shared" si="1012"/>
        <v>92.329000000000008</v>
      </c>
      <c r="EV334" s="4">
        <f t="shared" si="832"/>
        <v>3.3591114581024516E-5</v>
      </c>
      <c r="EW334" s="4">
        <f t="shared" si="984"/>
        <v>9.3643579963572385</v>
      </c>
      <c r="EX334" s="4">
        <f t="shared" si="867"/>
        <v>909.74250190323392</v>
      </c>
      <c r="FG334" s="23">
        <f t="shared" si="1030"/>
        <v>1.6</v>
      </c>
      <c r="FH334" s="23">
        <f t="shared" si="1030"/>
        <v>0.8</v>
      </c>
      <c r="FI334" s="23">
        <f t="shared" si="952"/>
        <v>1.4</v>
      </c>
      <c r="FJ334" s="23">
        <f t="shared" si="1031"/>
        <v>1.8</v>
      </c>
      <c r="FK334" s="23">
        <f t="shared" si="1031"/>
        <v>1.2</v>
      </c>
      <c r="FL334" s="23">
        <f t="shared" si="1031"/>
        <v>1.2</v>
      </c>
      <c r="FM334" s="23">
        <f t="shared" si="923"/>
        <v>0</v>
      </c>
      <c r="FN334" s="23"/>
      <c r="FX334" s="4">
        <f t="shared" si="833"/>
        <v>1</v>
      </c>
      <c r="FY334" s="4">
        <f t="shared" si="890"/>
        <v>0.51333333333333342</v>
      </c>
      <c r="FZ334" s="4">
        <f t="shared" si="834"/>
        <v>0.16666666666666669</v>
      </c>
      <c r="GA334" s="4">
        <f t="shared" si="835"/>
        <v>817.56565876779416</v>
      </c>
    </row>
    <row r="335" spans="1:183" ht="12" customHeight="1" x14ac:dyDescent="0.3">
      <c r="A335" s="25">
        <v>317</v>
      </c>
      <c r="B335" s="4" t="s">
        <v>605</v>
      </c>
      <c r="C335" s="4">
        <v>2016</v>
      </c>
      <c r="D335" s="4" t="s">
        <v>309</v>
      </c>
      <c r="E335" s="24" t="s">
        <v>478</v>
      </c>
      <c r="F335" s="7" t="s">
        <v>479</v>
      </c>
      <c r="G335" s="38">
        <f>129/0.145</f>
        <v>889.65517241379314</v>
      </c>
      <c r="H335" s="38">
        <f>12.06*25.4</f>
        <v>306.32400000000001</v>
      </c>
      <c r="I335" s="4">
        <f t="shared" si="985"/>
        <v>306.32400000000001</v>
      </c>
      <c r="J335" s="38">
        <f>12080/145</f>
        <v>83.310344827586206</v>
      </c>
      <c r="K335" s="38">
        <f t="shared" si="986"/>
        <v>25.4</v>
      </c>
      <c r="L335" s="7">
        <f t="shared" si="987"/>
        <v>12.06</v>
      </c>
      <c r="M335" s="7">
        <f t="shared" si="988"/>
        <v>12.06</v>
      </c>
      <c r="N335" s="38">
        <f>15*25.4</f>
        <v>381</v>
      </c>
      <c r="O335" s="38">
        <f>2.5*25.4</f>
        <v>63.5</v>
      </c>
      <c r="P335" s="39">
        <f>3*25.4</f>
        <v>76.199999999999989</v>
      </c>
      <c r="Q335" s="7">
        <f t="shared" si="989"/>
        <v>203.2</v>
      </c>
      <c r="R335" s="38">
        <v>2</v>
      </c>
      <c r="S335" s="4">
        <f t="shared" si="966"/>
        <v>260.34999999999997</v>
      </c>
      <c r="T335" s="7">
        <f t="shared" si="990"/>
        <v>3</v>
      </c>
      <c r="U335" s="7">
        <f t="shared" si="859"/>
        <v>3</v>
      </c>
      <c r="V335" s="38">
        <v>4.0999999999999996</v>
      </c>
      <c r="W335" s="4">
        <f t="shared" si="991"/>
        <v>4.0999999999999996</v>
      </c>
      <c r="X335" s="4">
        <f t="shared" si="992"/>
        <v>5.0999999999999996</v>
      </c>
      <c r="Y335" s="7">
        <f t="shared" si="993"/>
        <v>57.361276136431961</v>
      </c>
      <c r="AB335" s="38">
        <f t="shared" si="1038"/>
        <v>690.34482758620686</v>
      </c>
      <c r="AC335" s="4">
        <v>100.1</v>
      </c>
      <c r="AD335" s="4">
        <f t="shared" si="899"/>
        <v>0.77596899224806193</v>
      </c>
      <c r="AE335" s="38"/>
      <c r="AF335" s="38"/>
      <c r="AG335" s="39">
        <v>1</v>
      </c>
      <c r="AH335" s="39"/>
      <c r="AI335" s="39"/>
      <c r="AJ335" s="7"/>
      <c r="AK335" s="4">
        <f t="shared" si="994"/>
        <v>306.32400000000001</v>
      </c>
      <c r="AL335" s="4">
        <f t="shared" si="910"/>
        <v>0.41459369817578773</v>
      </c>
      <c r="AM335" s="4">
        <f t="shared" si="911"/>
        <v>482.87385616153779</v>
      </c>
      <c r="AN335" s="4">
        <f t="shared" si="912"/>
        <v>0.74975124378109448</v>
      </c>
      <c r="AO335" s="4">
        <v>1.25</v>
      </c>
      <c r="AP335" s="4">
        <f t="shared" si="844"/>
        <v>2.5</v>
      </c>
      <c r="AQ335" s="38">
        <f t="shared" si="967"/>
        <v>469.05482256230084</v>
      </c>
      <c r="AR335" s="38">
        <f t="shared" si="913"/>
        <v>469.05482256230084</v>
      </c>
      <c r="AS335" s="38">
        <f t="shared" si="914"/>
        <v>4.9090792795570026</v>
      </c>
      <c r="AT335" s="38">
        <f t="shared" si="853"/>
        <v>469.05482256230096</v>
      </c>
      <c r="AU335" s="38">
        <f t="shared" si="820"/>
        <v>0.99999999999999978</v>
      </c>
      <c r="AV335" s="38">
        <f t="shared" si="954"/>
        <v>2.1578363526430446</v>
      </c>
      <c r="AW335" s="4">
        <f t="shared" si="940"/>
        <v>0</v>
      </c>
      <c r="AX335" s="4">
        <f t="shared" si="995"/>
        <v>579.35288355479452</v>
      </c>
      <c r="AY335" s="4">
        <f t="shared" si="968"/>
        <v>1</v>
      </c>
      <c r="AZ335" s="38">
        <f t="shared" si="837"/>
        <v>1012.143547507466</v>
      </c>
      <c r="BA335" s="4">
        <f t="shared" si="969"/>
        <v>0.42600000000000005</v>
      </c>
      <c r="BB335" s="4">
        <f t="shared" si="970"/>
        <v>128.95526158604397</v>
      </c>
      <c r="BC335" s="4">
        <f t="shared" si="971"/>
        <v>1141.09880909351</v>
      </c>
      <c r="BE335" s="4">
        <f t="shared" si="854"/>
        <v>1.375</v>
      </c>
      <c r="BF335" s="4">
        <f t="shared" si="860"/>
        <v>830.57513798032426</v>
      </c>
      <c r="BH335" s="4">
        <f t="shared" si="861"/>
        <v>970.76943914993626</v>
      </c>
      <c r="BI335" s="4">
        <f t="shared" si="1067"/>
        <v>0</v>
      </c>
      <c r="BJ335" s="4">
        <f t="shared" si="862"/>
        <v>0</v>
      </c>
      <c r="BR335" s="4">
        <f t="shared" si="972"/>
        <v>63.5</v>
      </c>
      <c r="BV335" s="9"/>
      <c r="BX335" s="9"/>
      <c r="BY335" s="9"/>
      <c r="BZ335" s="9">
        <f t="shared" si="973"/>
        <v>63.5</v>
      </c>
      <c r="CA335" s="9">
        <f t="shared" si="974"/>
        <v>101.6</v>
      </c>
      <c r="CB335" s="9">
        <f t="shared" si="821"/>
        <v>1.6966333587625264</v>
      </c>
      <c r="CC335" s="40">
        <f t="shared" si="996"/>
        <v>0</v>
      </c>
      <c r="CD335" s="9">
        <f t="shared" si="975"/>
        <v>0</v>
      </c>
      <c r="CE335" s="9">
        <f t="shared" si="976"/>
        <v>0</v>
      </c>
      <c r="CF335" s="9">
        <f t="shared" si="977"/>
        <v>0.99524931562137331</v>
      </c>
      <c r="CG335" s="9">
        <f t="shared" si="978"/>
        <v>0.68</v>
      </c>
      <c r="CH335" s="9">
        <f t="shared" si="822"/>
        <v>2.1620130482705213</v>
      </c>
      <c r="CI335" s="9">
        <f t="shared" si="823"/>
        <v>3.6681434597756226</v>
      </c>
      <c r="CJ335" s="40">
        <v>1</v>
      </c>
      <c r="CK335" s="9">
        <f t="shared" si="824"/>
        <v>397.03984808611341</v>
      </c>
      <c r="CM335" s="4">
        <f t="shared" si="979"/>
        <v>1.1915791690728934</v>
      </c>
      <c r="CN335" s="4">
        <f t="shared" si="980"/>
        <v>0.60498251517291257</v>
      </c>
      <c r="CO335" s="4">
        <f t="shared" si="946"/>
        <v>0.83116481100661199</v>
      </c>
      <c r="CP335" s="4">
        <f t="shared" si="981"/>
        <v>1.7387293263231325</v>
      </c>
      <c r="CQ335" s="4">
        <f t="shared" si="921"/>
        <v>0.77596899224806193</v>
      </c>
      <c r="CR335" s="4">
        <f t="shared" si="922"/>
        <v>0.78234204586737066</v>
      </c>
      <c r="CS335" s="4">
        <f t="shared" si="947"/>
        <v>0.9500605438440255</v>
      </c>
      <c r="CT335" s="4">
        <f t="shared" si="997"/>
        <v>0</v>
      </c>
      <c r="CU335" s="4">
        <f t="shared" ref="CU335:CV336" si="1076">CM335</f>
        <v>1.1915791690728934</v>
      </c>
      <c r="CV335" s="4">
        <f t="shared" si="1076"/>
        <v>0.60498251517291257</v>
      </c>
      <c r="CW335" s="4">
        <f t="shared" ref="CW335:CW336" si="1077">CP335</f>
        <v>1.7387293263231325</v>
      </c>
      <c r="CX335" s="4">
        <f t="shared" ref="CX335:CX336" si="1078">CS335</f>
        <v>0.9500605438440255</v>
      </c>
      <c r="CY335" s="4">
        <f t="shared" ref="CY335:CZ336" si="1079">CQ335</f>
        <v>0.77596899224806193</v>
      </c>
      <c r="CZ335" s="4">
        <f t="shared" si="1079"/>
        <v>0.78234204586737066</v>
      </c>
      <c r="DI335" s="4">
        <f t="shared" si="982"/>
        <v>306.32400000000001</v>
      </c>
      <c r="DL335" s="4">
        <f t="shared" si="900"/>
        <v>3.0145841666072216E-5</v>
      </c>
      <c r="DM335" s="4">
        <f t="shared" si="1009"/>
        <v>11.53243436507174</v>
      </c>
      <c r="DN335" s="4">
        <f t="shared" si="901"/>
        <v>0.30649719060126668</v>
      </c>
      <c r="DO335" s="4">
        <f t="shared" si="902"/>
        <v>7.1860724392438087</v>
      </c>
      <c r="DP335" s="4">
        <f t="shared" si="903"/>
        <v>9.6095226647576446</v>
      </c>
      <c r="DQ335" s="4">
        <f t="shared" si="904"/>
        <v>9.8322689969158361</v>
      </c>
      <c r="DR335" s="38">
        <f t="shared" si="915"/>
        <v>889.65517241379314</v>
      </c>
      <c r="DS335" s="4">
        <f t="shared" si="829"/>
        <v>1</v>
      </c>
      <c r="DT335" s="4">
        <f t="shared" si="905"/>
        <v>2.2583179581272428</v>
      </c>
      <c r="DU335" s="4">
        <f t="shared" si="842"/>
        <v>469.05482256230096</v>
      </c>
      <c r="DY335" s="4">
        <f t="shared" si="1037"/>
        <v>0.85</v>
      </c>
      <c r="DZ335" s="4">
        <f t="shared" si="830"/>
        <v>0.85</v>
      </c>
      <c r="EA335" s="4">
        <f t="shared" si="916"/>
        <v>1</v>
      </c>
      <c r="EB335" s="4">
        <f t="shared" si="831"/>
        <v>0.85</v>
      </c>
      <c r="ED335" s="4">
        <f t="shared" si="917"/>
        <v>882.40793299154984</v>
      </c>
      <c r="EE335" s="25">
        <f t="shared" si="918"/>
        <v>465.16445766325421</v>
      </c>
      <c r="EG335" s="4">
        <f t="shared" si="843"/>
        <v>0.72249999999999992</v>
      </c>
      <c r="EH335" s="4">
        <f t="shared" si="919"/>
        <v>11.53243436507174</v>
      </c>
      <c r="EK335" s="4">
        <f t="shared" si="906"/>
        <v>57.361276136431961</v>
      </c>
      <c r="EL335" s="4">
        <f t="shared" si="907"/>
        <v>2.2583179581272428</v>
      </c>
      <c r="EM335" s="4">
        <f t="shared" si="908"/>
        <v>0.15297174803885022</v>
      </c>
      <c r="EP335" s="4">
        <f t="shared" si="998"/>
        <v>0.15297174803885022</v>
      </c>
      <c r="EQ335" s="4">
        <f t="shared" si="960"/>
        <v>0.30598570391346419</v>
      </c>
      <c r="ER335" s="4">
        <f t="shared" si="1010"/>
        <v>7.181273149331604</v>
      </c>
      <c r="ES335" s="4">
        <f t="shared" si="983"/>
        <v>9.607734820159413</v>
      </c>
      <c r="ET335" s="4">
        <f t="shared" si="1011"/>
        <v>172.38172386356803</v>
      </c>
      <c r="EU335" s="4">
        <f t="shared" si="1012"/>
        <v>76.581000000000017</v>
      </c>
      <c r="EV335" s="4">
        <f t="shared" si="832"/>
        <v>3.0145841666072219E-5</v>
      </c>
      <c r="EW335" s="4">
        <f t="shared" si="984"/>
        <v>9.8326641786652242</v>
      </c>
      <c r="EX335" s="4">
        <f t="shared" si="867"/>
        <v>889.65517241379314</v>
      </c>
      <c r="FG335" s="23">
        <f t="shared" si="1030"/>
        <v>1.2</v>
      </c>
      <c r="FH335" s="23">
        <f t="shared" si="1030"/>
        <v>0.8</v>
      </c>
      <c r="FI335" s="23">
        <f t="shared" si="952"/>
        <v>1</v>
      </c>
      <c r="FJ335" s="23">
        <f t="shared" si="1031"/>
        <v>1.8</v>
      </c>
      <c r="FK335" s="23">
        <f t="shared" si="1031"/>
        <v>0.8</v>
      </c>
      <c r="FL335" s="23">
        <f t="shared" si="1031"/>
        <v>0.8</v>
      </c>
      <c r="FM335" s="23">
        <f t="shared" si="923"/>
        <v>1</v>
      </c>
      <c r="FN335" s="23"/>
      <c r="FX335" s="4">
        <f t="shared" si="833"/>
        <v>1</v>
      </c>
      <c r="FY335" s="4">
        <f t="shared" si="890"/>
        <v>0.5</v>
      </c>
      <c r="FZ335" s="4">
        <f t="shared" si="834"/>
        <v>0</v>
      </c>
      <c r="GA335" s="4">
        <f t="shared" si="835"/>
        <v>726.63245733057511</v>
      </c>
    </row>
    <row r="336" spans="1:183" ht="12" customHeight="1" x14ac:dyDescent="0.3">
      <c r="A336" s="25">
        <v>318</v>
      </c>
      <c r="B336" s="4" t="s">
        <v>605</v>
      </c>
      <c r="C336" s="4">
        <v>2016</v>
      </c>
      <c r="D336" s="4" t="s">
        <v>309</v>
      </c>
      <c r="E336" s="24" t="s">
        <v>478</v>
      </c>
      <c r="F336" s="7" t="s">
        <v>480</v>
      </c>
      <c r="G336" s="38">
        <f t="shared" ref="G336:G346" si="1080">129/0.145</f>
        <v>889.65517241379314</v>
      </c>
      <c r="H336" s="38">
        <f>11.88*25.4</f>
        <v>301.75200000000001</v>
      </c>
      <c r="I336" s="4">
        <f t="shared" si="985"/>
        <v>301.75200000000001</v>
      </c>
      <c r="J336" s="38">
        <f>12080/145</f>
        <v>83.310344827586206</v>
      </c>
      <c r="K336" s="38">
        <f t="shared" si="986"/>
        <v>25.4</v>
      </c>
      <c r="L336" s="7">
        <f t="shared" si="987"/>
        <v>11.88</v>
      </c>
      <c r="M336" s="7">
        <f t="shared" si="988"/>
        <v>11.88</v>
      </c>
      <c r="N336" s="38">
        <f>14.9*25.4</f>
        <v>378.46</v>
      </c>
      <c r="O336" s="38">
        <f>2.5*25.4</f>
        <v>63.5</v>
      </c>
      <c r="P336" s="39">
        <f>3.15*25.4</f>
        <v>80.009999999999991</v>
      </c>
      <c r="Q336" s="7">
        <f t="shared" si="989"/>
        <v>200.65999999999997</v>
      </c>
      <c r="R336" s="38">
        <v>2</v>
      </c>
      <c r="S336" s="4">
        <f t="shared" si="966"/>
        <v>260.34999999999997</v>
      </c>
      <c r="T336" s="7">
        <f t="shared" si="990"/>
        <v>3</v>
      </c>
      <c r="U336" s="7">
        <f t="shared" si="859"/>
        <v>3</v>
      </c>
      <c r="V336" s="38">
        <v>9.1</v>
      </c>
      <c r="W336" s="4">
        <f t="shared" si="991"/>
        <v>9.1</v>
      </c>
      <c r="X336" s="4">
        <f t="shared" si="992"/>
        <v>10.1</v>
      </c>
      <c r="Y336" s="7">
        <f t="shared" si="993"/>
        <v>80.72246279691916</v>
      </c>
      <c r="AB336" s="38">
        <f t="shared" si="1038"/>
        <v>667.58620689655174</v>
      </c>
      <c r="AC336" s="4">
        <v>96.8</v>
      </c>
      <c r="AD336" s="4">
        <f t="shared" si="899"/>
        <v>0.76884181445606981</v>
      </c>
      <c r="AE336" s="38"/>
      <c r="AF336" s="38"/>
      <c r="AG336" s="39">
        <v>1</v>
      </c>
      <c r="AH336" s="39"/>
      <c r="AI336" s="39"/>
      <c r="AJ336" s="7"/>
      <c r="AK336" s="4">
        <f t="shared" si="994"/>
        <v>301.75200000000001</v>
      </c>
      <c r="AL336" s="4">
        <f t="shared" si="910"/>
        <v>0.41806958473625139</v>
      </c>
      <c r="AM336" s="4">
        <f t="shared" si="911"/>
        <v>472.10368644310773</v>
      </c>
      <c r="AN336" s="4">
        <f t="shared" si="912"/>
        <v>0.75050505050505045</v>
      </c>
      <c r="AO336" s="4">
        <v>1.25</v>
      </c>
      <c r="AP336" s="4">
        <f t="shared" si="844"/>
        <v>2.5</v>
      </c>
      <c r="AQ336" s="38">
        <f t="shared" si="967"/>
        <v>462.90258447849288</v>
      </c>
      <c r="AR336" s="38">
        <f t="shared" si="913"/>
        <v>462.90258447849288</v>
      </c>
      <c r="AS336" s="38">
        <f t="shared" si="914"/>
        <v>4.9090792795570026</v>
      </c>
      <c r="AT336" s="38">
        <f t="shared" si="853"/>
        <v>462.90258447849283</v>
      </c>
      <c r="AU336" s="38">
        <f t="shared" si="820"/>
        <v>1.0000000000000002</v>
      </c>
      <c r="AV336" s="38">
        <f t="shared" si="954"/>
        <v>3.2574763629697041</v>
      </c>
      <c r="AW336" s="4">
        <f t="shared" si="940"/>
        <v>0</v>
      </c>
      <c r="AX336" s="4">
        <f t="shared" si="995"/>
        <v>570.70582559129025</v>
      </c>
      <c r="AY336" s="4">
        <f t="shared" si="968"/>
        <v>1</v>
      </c>
      <c r="AZ336" s="38">
        <f t="shared" si="837"/>
        <v>1507.894227296277</v>
      </c>
      <c r="BA336" s="4">
        <f t="shared" si="969"/>
        <v>0.3</v>
      </c>
      <c r="BB336" s="4">
        <f t="shared" si="970"/>
        <v>89.458138161434732</v>
      </c>
      <c r="BC336" s="4">
        <f t="shared" si="971"/>
        <v>1597.3523654577118</v>
      </c>
      <c r="BE336" s="4">
        <f t="shared" si="854"/>
        <v>1.375</v>
      </c>
      <c r="BF336" s="4">
        <f t="shared" si="860"/>
        <v>823.79800630142756</v>
      </c>
      <c r="BH336" s="4">
        <f t="shared" si="861"/>
        <v>1446.254967424999</v>
      </c>
      <c r="BI336" s="4">
        <f t="shared" si="1067"/>
        <v>0</v>
      </c>
      <c r="BJ336" s="4">
        <f t="shared" si="862"/>
        <v>0</v>
      </c>
      <c r="BR336" s="4">
        <f t="shared" si="972"/>
        <v>63.5</v>
      </c>
      <c r="BV336" s="9"/>
      <c r="BX336" s="9"/>
      <c r="BY336" s="9"/>
      <c r="BZ336" s="9">
        <f t="shared" si="973"/>
        <v>63.5</v>
      </c>
      <c r="CA336" s="9">
        <f t="shared" si="974"/>
        <v>100.32999999999998</v>
      </c>
      <c r="CB336" s="9">
        <f t="shared" si="821"/>
        <v>1.6934351397132028</v>
      </c>
      <c r="CC336" s="40">
        <f t="shared" si="996"/>
        <v>0</v>
      </c>
      <c r="CD336" s="9">
        <f t="shared" si="975"/>
        <v>0</v>
      </c>
      <c r="CE336" s="9">
        <f t="shared" si="976"/>
        <v>0</v>
      </c>
      <c r="CF336" s="9">
        <f t="shared" si="977"/>
        <v>0.99524931562137331</v>
      </c>
      <c r="CG336" s="9">
        <f t="shared" si="978"/>
        <v>0.68</v>
      </c>
      <c r="CH336" s="9">
        <f t="shared" si="822"/>
        <v>2.1620130482705213</v>
      </c>
      <c r="CI336" s="9">
        <f t="shared" si="823"/>
        <v>3.6612288684597578</v>
      </c>
      <c r="CJ336" s="40">
        <v>1</v>
      </c>
      <c r="CK336" s="9">
        <f t="shared" si="824"/>
        <v>393.65532793679313</v>
      </c>
      <c r="CM336" s="4">
        <f t="shared" si="979"/>
        <v>1.1697553747675289</v>
      </c>
      <c r="CN336" s="4">
        <f t="shared" si="980"/>
        <v>0.41793296290343485</v>
      </c>
      <c r="CO336" s="4">
        <f t="shared" si="946"/>
        <v>0.81037608951469353</v>
      </c>
      <c r="CP336" s="4">
        <f t="shared" si="981"/>
        <v>1.6958647820047847</v>
      </c>
      <c r="CQ336" s="4">
        <f t="shared" si="921"/>
        <v>0.76884181445606981</v>
      </c>
      <c r="CR336" s="4">
        <f t="shared" si="922"/>
        <v>0.76733459610941368</v>
      </c>
      <c r="CS336" s="4">
        <f t="shared" si="947"/>
        <v>0.93266016758314585</v>
      </c>
      <c r="CT336" s="4">
        <f t="shared" si="997"/>
        <v>0</v>
      </c>
      <c r="CU336" s="4">
        <f t="shared" si="1076"/>
        <v>1.1697553747675289</v>
      </c>
      <c r="CV336" s="4">
        <f t="shared" si="1076"/>
        <v>0.41793296290343485</v>
      </c>
      <c r="CW336" s="4">
        <f t="shared" si="1077"/>
        <v>1.6958647820047847</v>
      </c>
      <c r="CX336" s="4">
        <f t="shared" si="1078"/>
        <v>0.93266016758314585</v>
      </c>
      <c r="CY336" s="4">
        <f t="shared" si="1079"/>
        <v>0.76884181445606981</v>
      </c>
      <c r="CZ336" s="4">
        <f t="shared" si="1079"/>
        <v>0.76733459610941368</v>
      </c>
      <c r="DI336" s="4">
        <f t="shared" si="982"/>
        <v>301.75200000000001</v>
      </c>
      <c r="DL336" s="4">
        <f t="shared" si="900"/>
        <v>2.9695903730757705E-5</v>
      </c>
      <c r="DM336" s="4">
        <f t="shared" si="1009"/>
        <v>11.53243436507174</v>
      </c>
      <c r="DN336" s="4">
        <f t="shared" si="901"/>
        <v>0.19178320025437295</v>
      </c>
      <c r="DO336" s="4">
        <f t="shared" si="902"/>
        <v>5.9572416349546407</v>
      </c>
      <c r="DP336" s="4">
        <f t="shared" si="903"/>
        <v>9.1824155376039904</v>
      </c>
      <c r="DQ336" s="4">
        <f t="shared" si="904"/>
        <v>10.028307708666377</v>
      </c>
      <c r="DR336" s="38">
        <f t="shared" si="915"/>
        <v>868.30111779085132</v>
      </c>
      <c r="DS336" s="4">
        <f t="shared" si="829"/>
        <v>1.0000873539309141</v>
      </c>
      <c r="DT336" s="4">
        <f t="shared" si="905"/>
        <v>3.1780497164141401</v>
      </c>
      <c r="DU336" s="4">
        <f t="shared" si="842"/>
        <v>462.90258447849283</v>
      </c>
      <c r="DY336" s="4">
        <f t="shared" si="1037"/>
        <v>0.85</v>
      </c>
      <c r="DZ336" s="4">
        <f t="shared" si="830"/>
        <v>0.85</v>
      </c>
      <c r="EA336" s="4">
        <f t="shared" si="916"/>
        <v>1</v>
      </c>
      <c r="EB336" s="4">
        <f t="shared" si="831"/>
        <v>0.85</v>
      </c>
      <c r="ED336" s="4">
        <f t="shared" si="917"/>
        <v>870.00665717587572</v>
      </c>
      <c r="EE336" s="25">
        <f t="shared" si="918"/>
        <v>458.99069640471879</v>
      </c>
      <c r="EG336" s="4">
        <f t="shared" si="843"/>
        <v>0.72249999999999992</v>
      </c>
      <c r="EH336" s="4">
        <f t="shared" si="919"/>
        <v>11.53243436507174</v>
      </c>
      <c r="EK336" s="4">
        <f t="shared" si="906"/>
        <v>80.72246279691916</v>
      </c>
      <c r="EL336" s="4">
        <f t="shared" si="907"/>
        <v>3.1780497164141406</v>
      </c>
      <c r="EM336" s="4">
        <f t="shared" si="908"/>
        <v>9.5718369652407015E-2</v>
      </c>
      <c r="EP336" s="4">
        <f t="shared" si="998"/>
        <v>9.5718369652407015E-2</v>
      </c>
      <c r="EQ336" s="4">
        <f t="shared" si="960"/>
        <v>0.19146314983667795</v>
      </c>
      <c r="ER336" s="4">
        <f t="shared" si="1010"/>
        <v>5.9532630319103585</v>
      </c>
      <c r="ES336" s="4">
        <f t="shared" si="983"/>
        <v>9.1811381006820749</v>
      </c>
      <c r="ET336" s="4">
        <f t="shared" si="1011"/>
        <v>145.59153720308086</v>
      </c>
      <c r="EU336" s="4">
        <f t="shared" si="1012"/>
        <v>75.437999999999988</v>
      </c>
      <c r="EV336" s="4">
        <f t="shared" si="832"/>
        <v>2.9695903730757698E-5</v>
      </c>
      <c r="EW336" s="4">
        <f t="shared" si="984"/>
        <v>10.028646321640455</v>
      </c>
      <c r="EX336" s="4">
        <f t="shared" si="867"/>
        <v>868.22527490016978</v>
      </c>
      <c r="FG336" s="23">
        <f t="shared" si="1030"/>
        <v>1.2</v>
      </c>
      <c r="FH336" s="23">
        <f t="shared" si="1030"/>
        <v>0.6</v>
      </c>
      <c r="FI336" s="23">
        <f t="shared" si="952"/>
        <v>1</v>
      </c>
      <c r="FJ336" s="23">
        <f t="shared" si="1031"/>
        <v>1.8</v>
      </c>
      <c r="FK336" s="23">
        <f t="shared" si="1031"/>
        <v>0.8</v>
      </c>
      <c r="FL336" s="23">
        <f t="shared" si="1031"/>
        <v>0.8</v>
      </c>
      <c r="FM336" s="23">
        <f t="shared" si="923"/>
        <v>1</v>
      </c>
      <c r="FN336" s="23"/>
      <c r="FX336" s="4">
        <f t="shared" si="833"/>
        <v>1</v>
      </c>
      <c r="FY336" s="4">
        <f t="shared" si="890"/>
        <v>0.5</v>
      </c>
      <c r="FZ336" s="4">
        <f t="shared" si="834"/>
        <v>0</v>
      </c>
      <c r="GA336" s="4">
        <f t="shared" si="835"/>
        <v>715.78719677340246</v>
      </c>
    </row>
    <row r="337" spans="1:183" ht="12" customHeight="1" x14ac:dyDescent="0.3">
      <c r="A337" s="25">
        <v>319</v>
      </c>
      <c r="B337" s="4" t="s">
        <v>605</v>
      </c>
      <c r="C337" s="4">
        <v>2016</v>
      </c>
      <c r="D337" s="4" t="s">
        <v>309</v>
      </c>
      <c r="E337" s="24" t="s">
        <v>670</v>
      </c>
      <c r="F337" s="7" t="s">
        <v>481</v>
      </c>
      <c r="G337" s="38">
        <f t="shared" si="1080"/>
        <v>889.65517241379314</v>
      </c>
      <c r="H337" s="38">
        <f>11.97*25.4</f>
        <v>304.03800000000001</v>
      </c>
      <c r="I337" s="4">
        <f t="shared" si="985"/>
        <v>304.03800000000001</v>
      </c>
      <c r="J337" s="38">
        <f>12080/145</f>
        <v>83.310344827586206</v>
      </c>
      <c r="K337" s="38">
        <f t="shared" si="986"/>
        <v>25.4</v>
      </c>
      <c r="L337" s="7">
        <f t="shared" si="987"/>
        <v>11.97</v>
      </c>
      <c r="M337" s="7">
        <f t="shared" si="988"/>
        <v>11.97</v>
      </c>
      <c r="N337" s="38">
        <f>14.9*25.4</f>
        <v>378.46</v>
      </c>
      <c r="O337" s="38">
        <f>2.5*25.4</f>
        <v>63.5</v>
      </c>
      <c r="P337" s="39">
        <f>3.15*25.4</f>
        <v>80.009999999999991</v>
      </c>
      <c r="Q337" s="7">
        <f t="shared" si="989"/>
        <v>200.65999999999997</v>
      </c>
      <c r="R337" s="38">
        <v>2</v>
      </c>
      <c r="S337" s="4">
        <f t="shared" si="966"/>
        <v>260.34999999999997</v>
      </c>
      <c r="T337" s="7">
        <f t="shared" si="990"/>
        <v>3</v>
      </c>
      <c r="U337" s="7">
        <f t="shared" si="859"/>
        <v>3</v>
      </c>
      <c r="V337" s="38">
        <v>4.0999999999999996</v>
      </c>
      <c r="W337" s="4">
        <f t="shared" si="991"/>
        <v>4.0999999999999996</v>
      </c>
      <c r="X337" s="4">
        <f t="shared" si="992"/>
        <v>5.0999999999999996</v>
      </c>
      <c r="Y337" s="7">
        <f t="shared" si="993"/>
        <v>57.361276136431961</v>
      </c>
      <c r="AB337" s="38">
        <f t="shared" si="1038"/>
        <v>976.55172413793105</v>
      </c>
      <c r="AC337" s="4">
        <v>141.6</v>
      </c>
      <c r="AD337" s="4">
        <f t="shared" si="899"/>
        <v>1</v>
      </c>
      <c r="AE337" s="38">
        <f>0.5*25.4</f>
        <v>12.7</v>
      </c>
      <c r="AF337" s="38">
        <v>10</v>
      </c>
      <c r="AG337" s="39">
        <f>3*25.4</f>
        <v>76.199999999999989</v>
      </c>
      <c r="AH337" s="39">
        <v>3</v>
      </c>
      <c r="AI337" s="39">
        <f t="shared" ref="AI337:AI338" si="1081">AH337-1</f>
        <v>2</v>
      </c>
      <c r="AJ337" s="7"/>
      <c r="AK337" s="4">
        <f t="shared" si="994"/>
        <v>304.03800000000001</v>
      </c>
      <c r="AL337" s="4">
        <f t="shared" si="910"/>
        <v>0.41492620439988864</v>
      </c>
      <c r="AM337" s="4">
        <f t="shared" si="911"/>
        <v>477.47864890275287</v>
      </c>
      <c r="AN337" s="4">
        <f t="shared" si="912"/>
        <v>0.75012531328320797</v>
      </c>
      <c r="AO337" s="4">
        <v>1.25</v>
      </c>
      <c r="AP337" s="4">
        <f t="shared" si="844"/>
        <v>2.5</v>
      </c>
      <c r="AQ337" s="38">
        <f t="shared" si="967"/>
        <v>464.41759209689883</v>
      </c>
      <c r="AR337" s="38">
        <f t="shared" si="913"/>
        <v>464.41759209689883</v>
      </c>
      <c r="AS337" s="38">
        <f t="shared" si="914"/>
        <v>4.9090792795570026</v>
      </c>
      <c r="AT337" s="38">
        <f t="shared" si="853"/>
        <v>464.41759209689849</v>
      </c>
      <c r="AU337" s="38">
        <f t="shared" si="820"/>
        <v>1.0000000000000007</v>
      </c>
      <c r="AV337" s="38">
        <f t="shared" si="954"/>
        <v>2.179382445306437</v>
      </c>
      <c r="AW337" s="4">
        <f t="shared" si="940"/>
        <v>0</v>
      </c>
      <c r="AX337" s="4">
        <f t="shared" si="995"/>
        <v>575.02935457304238</v>
      </c>
      <c r="AY337" s="4">
        <f t="shared" si="968"/>
        <v>1</v>
      </c>
      <c r="AZ337" s="38">
        <f t="shared" si="837"/>
        <v>1012.143547507466</v>
      </c>
      <c r="BA337" s="4">
        <f t="shared" si="969"/>
        <v>0.42600000000000005</v>
      </c>
      <c r="BB337" s="4">
        <f t="shared" si="970"/>
        <v>127.99290888764065</v>
      </c>
      <c r="BC337" s="4">
        <f t="shared" si="971"/>
        <v>1140.1364563951067</v>
      </c>
      <c r="BE337" s="4">
        <f t="shared" si="854"/>
        <v>1.5</v>
      </c>
      <c r="BF337" s="4">
        <f t="shared" si="860"/>
        <v>902.38535142641001</v>
      </c>
      <c r="BH337" s="4">
        <f t="shared" si="861"/>
        <v>970.76943914993626</v>
      </c>
      <c r="BI337" s="4">
        <f t="shared" si="1067"/>
        <v>0</v>
      </c>
      <c r="BJ337" s="4">
        <f t="shared" si="862"/>
        <v>0</v>
      </c>
      <c r="BR337" s="4">
        <f t="shared" si="972"/>
        <v>63.5</v>
      </c>
      <c r="BV337" s="9"/>
      <c r="BX337" s="9"/>
      <c r="BY337" s="9"/>
      <c r="BZ337" s="9">
        <f t="shared" si="973"/>
        <v>63.5</v>
      </c>
      <c r="CA337" s="9">
        <f t="shared" si="974"/>
        <v>100.32999999999998</v>
      </c>
      <c r="CB337" s="9">
        <f t="shared" si="821"/>
        <v>1.6934351397132028</v>
      </c>
      <c r="CC337" s="40">
        <f t="shared" si="996"/>
        <v>20</v>
      </c>
      <c r="CD337" s="9">
        <f t="shared" si="975"/>
        <v>0.05</v>
      </c>
      <c r="CE337" s="9">
        <f t="shared" si="976"/>
        <v>0.8</v>
      </c>
      <c r="CF337" s="9">
        <f t="shared" si="977"/>
        <v>0.99524931562137331</v>
      </c>
      <c r="CG337" s="9">
        <f t="shared" si="978"/>
        <v>0.68</v>
      </c>
      <c r="CH337" s="9">
        <f t="shared" si="822"/>
        <v>2.1620130482705213</v>
      </c>
      <c r="CI337" s="9">
        <f t="shared" si="823"/>
        <v>5.3908393070761749</v>
      </c>
      <c r="CJ337" s="40">
        <v>1</v>
      </c>
      <c r="CK337" s="9">
        <f t="shared" si="824"/>
        <v>581.56374444737776</v>
      </c>
      <c r="CM337" s="4">
        <f t="shared" si="979"/>
        <v>1.6982641257732274</v>
      </c>
      <c r="CN337" s="4">
        <f t="shared" si="980"/>
        <v>0.85652179496619263</v>
      </c>
      <c r="CO337" s="4">
        <f t="shared" si="946"/>
        <v>1.0821892471927714</v>
      </c>
      <c r="CP337" s="4">
        <f t="shared" si="981"/>
        <v>1.6791826063123738</v>
      </c>
      <c r="CQ337" s="4">
        <f t="shared" si="921"/>
        <v>1</v>
      </c>
      <c r="CR337" s="4">
        <f t="shared" si="922"/>
        <v>1.0136499429452763</v>
      </c>
      <c r="CS337" s="4">
        <f t="shared" si="947"/>
        <v>1.2028972243265701</v>
      </c>
      <c r="CT337" s="4">
        <f t="shared" si="997"/>
        <v>10</v>
      </c>
      <c r="DA337" s="4">
        <f t="shared" ref="DA337:DB338" si="1082">CM337</f>
        <v>1.6982641257732274</v>
      </c>
      <c r="DB337" s="4">
        <f t="shared" si="1082"/>
        <v>0.85652179496619263</v>
      </c>
      <c r="DC337" s="4">
        <f t="shared" ref="DC337:DC338" si="1083">CP337</f>
        <v>1.6791826063123738</v>
      </c>
      <c r="DD337" s="4">
        <f t="shared" ref="DD337:DD338" si="1084">CS337</f>
        <v>1.2028972243265701</v>
      </c>
      <c r="DE337" s="4">
        <f t="shared" ref="DE337:DF338" si="1085">CQ337</f>
        <v>1</v>
      </c>
      <c r="DF337" s="4">
        <f t="shared" si="1085"/>
        <v>1.0136499429452763</v>
      </c>
      <c r="DI337" s="4">
        <f t="shared" si="982"/>
        <v>304.03800000000001</v>
      </c>
      <c r="DL337" s="4">
        <f t="shared" si="900"/>
        <v>2.9920872698414962E-5</v>
      </c>
      <c r="DM337" s="4">
        <f t="shared" si="1009"/>
        <v>14.003670300444258</v>
      </c>
      <c r="DN337" s="4">
        <f t="shared" si="901"/>
        <v>0.30346705842598626</v>
      </c>
      <c r="DO337" s="4">
        <f t="shared" si="902"/>
        <v>8.6913351903957725</v>
      </c>
      <c r="DP337" s="4">
        <f t="shared" si="903"/>
        <v>11.655828971927715</v>
      </c>
      <c r="DQ337" s="4">
        <f t="shared" si="904"/>
        <v>11.550994362927899</v>
      </c>
      <c r="DR337" s="38">
        <f t="shared" si="915"/>
        <v>976.55172413793105</v>
      </c>
      <c r="DS337" s="4">
        <f t="shared" si="829"/>
        <v>1</v>
      </c>
      <c r="DT337" s="4">
        <f t="shared" si="905"/>
        <v>2.2583179581272428</v>
      </c>
      <c r="DU337" s="4">
        <f t="shared" si="842"/>
        <v>464.41759209689849</v>
      </c>
      <c r="DY337" s="4">
        <f t="shared" si="1037"/>
        <v>0.85</v>
      </c>
      <c r="DZ337" s="4">
        <f t="shared" si="830"/>
        <v>0.85</v>
      </c>
      <c r="EA337" s="4">
        <f t="shared" si="916"/>
        <v>0.77500000000000002</v>
      </c>
      <c r="EB337" s="4">
        <f t="shared" si="831"/>
        <v>0.7</v>
      </c>
      <c r="ED337" s="4">
        <f t="shared" si="917"/>
        <v>963.40135066791186</v>
      </c>
      <c r="EE337" s="25">
        <f t="shared" si="918"/>
        <v>460.52955017895857</v>
      </c>
      <c r="EG337" s="4">
        <f t="shared" si="843"/>
        <v>0.59499999999999997</v>
      </c>
      <c r="EH337" s="4">
        <f t="shared" si="919"/>
        <v>14.003670300444258</v>
      </c>
      <c r="EK337" s="4">
        <f t="shared" si="906"/>
        <v>57.361276136431961</v>
      </c>
      <c r="EL337" s="4">
        <f t="shared" si="907"/>
        <v>2.2583179581272428</v>
      </c>
      <c r="EM337" s="4">
        <f t="shared" si="908"/>
        <v>0.15145941895442339</v>
      </c>
      <c r="EP337" s="4">
        <f t="shared" si="998"/>
        <v>0.15145941895442339</v>
      </c>
      <c r="EQ337" s="4">
        <f t="shared" si="960"/>
        <v>0.30296062846404442</v>
      </c>
      <c r="ER337" s="4">
        <f t="shared" si="1010"/>
        <v>8.6855305957920397</v>
      </c>
      <c r="ES337" s="4">
        <f t="shared" si="983"/>
        <v>11.653673027659503</v>
      </c>
      <c r="ET337" s="4">
        <f t="shared" si="1011"/>
        <v>170.66722386356804</v>
      </c>
      <c r="EU337" s="4">
        <f t="shared" si="1012"/>
        <v>76.009500000000003</v>
      </c>
      <c r="EV337" s="4">
        <f t="shared" si="832"/>
        <v>2.9920872698414962E-5</v>
      </c>
      <c r="EW337" s="4">
        <f t="shared" si="984"/>
        <v>11.55156359760425</v>
      </c>
      <c r="EX337" s="4">
        <f t="shared" si="867"/>
        <v>976.55172413793105</v>
      </c>
      <c r="FG337" s="23">
        <f t="shared" si="1030"/>
        <v>1.8</v>
      </c>
      <c r="FH337" s="23">
        <f t="shared" si="1030"/>
        <v>1</v>
      </c>
      <c r="FI337" s="23">
        <f t="shared" si="952"/>
        <v>1.4</v>
      </c>
      <c r="FJ337" s="23">
        <f t="shared" si="1031"/>
        <v>1.8</v>
      </c>
      <c r="FK337" s="23">
        <f t="shared" si="1031"/>
        <v>1.2</v>
      </c>
      <c r="FL337" s="23">
        <f t="shared" si="1031"/>
        <v>1.2</v>
      </c>
      <c r="FM337" s="23">
        <f t="shared" si="923"/>
        <v>0</v>
      </c>
      <c r="FN337" s="23"/>
      <c r="FX337" s="4">
        <f t="shared" si="833"/>
        <v>1</v>
      </c>
      <c r="FY337" s="4">
        <f t="shared" si="890"/>
        <v>0.44418604651162791</v>
      </c>
      <c r="FZ337" s="4">
        <f t="shared" si="834"/>
        <v>0.3</v>
      </c>
      <c r="GA337" s="4">
        <f t="shared" si="835"/>
        <v>811.83305139359993</v>
      </c>
    </row>
    <row r="338" spans="1:183" ht="12" customHeight="1" x14ac:dyDescent="0.3">
      <c r="A338" s="25">
        <v>320</v>
      </c>
      <c r="B338" s="4" t="s">
        <v>605</v>
      </c>
      <c r="C338" s="4">
        <v>2016</v>
      </c>
      <c r="D338" s="4" t="s">
        <v>309</v>
      </c>
      <c r="E338" s="24" t="s">
        <v>670</v>
      </c>
      <c r="F338" s="7" t="s">
        <v>482</v>
      </c>
      <c r="G338" s="38">
        <f t="shared" si="1080"/>
        <v>889.65517241379314</v>
      </c>
      <c r="H338" s="38">
        <f>12.13*25.4</f>
        <v>308.10199999999998</v>
      </c>
      <c r="I338" s="4">
        <f t="shared" si="985"/>
        <v>308.10199999999998</v>
      </c>
      <c r="J338" s="38">
        <f>12080/145</f>
        <v>83.310344827586206</v>
      </c>
      <c r="K338" s="38">
        <f t="shared" si="986"/>
        <v>25.4</v>
      </c>
      <c r="L338" s="7">
        <f t="shared" si="987"/>
        <v>12.129999999999999</v>
      </c>
      <c r="M338" s="7">
        <f t="shared" si="988"/>
        <v>12.129999999999999</v>
      </c>
      <c r="N338" s="38">
        <f>14.9*25.4</f>
        <v>378.46</v>
      </c>
      <c r="O338" s="38">
        <f>2.4*25.4</f>
        <v>60.959999999999994</v>
      </c>
      <c r="P338" s="39">
        <f>4.5*25.4</f>
        <v>114.3</v>
      </c>
      <c r="Q338" s="7">
        <f t="shared" si="989"/>
        <v>205.73999999999998</v>
      </c>
      <c r="R338" s="38">
        <v>2</v>
      </c>
      <c r="S338" s="4">
        <f t="shared" si="966"/>
        <v>260.34999999999997</v>
      </c>
      <c r="T338" s="7">
        <f t="shared" si="990"/>
        <v>2.9</v>
      </c>
      <c r="U338" s="7">
        <f t="shared" si="859"/>
        <v>2.9</v>
      </c>
      <c r="V338" s="38">
        <v>9.1</v>
      </c>
      <c r="W338" s="4">
        <f t="shared" si="991"/>
        <v>9.1</v>
      </c>
      <c r="X338" s="4">
        <f t="shared" si="992"/>
        <v>10.1</v>
      </c>
      <c r="Y338" s="7">
        <f t="shared" si="993"/>
        <v>80.72246279691916</v>
      </c>
      <c r="AB338" s="38">
        <f t="shared" si="1038"/>
        <v>1057.9310344827588</v>
      </c>
      <c r="AC338" s="4">
        <v>153.4</v>
      </c>
      <c r="AD338" s="4">
        <f t="shared" si="899"/>
        <v>1.0970371571867716</v>
      </c>
      <c r="AE338" s="38">
        <f>0.5*25.4</f>
        <v>12.7</v>
      </c>
      <c r="AF338" s="38">
        <v>10</v>
      </c>
      <c r="AG338" s="39">
        <f>3*25.4</f>
        <v>76.199999999999989</v>
      </c>
      <c r="AH338" s="39">
        <v>3</v>
      </c>
      <c r="AI338" s="39">
        <f t="shared" si="1081"/>
        <v>2</v>
      </c>
      <c r="AJ338" s="7"/>
      <c r="AK338" s="4">
        <f t="shared" si="994"/>
        <v>308.10199999999998</v>
      </c>
      <c r="AL338" s="4">
        <f t="shared" si="910"/>
        <v>0.40945314646881015</v>
      </c>
      <c r="AM338" s="4">
        <f t="shared" si="911"/>
        <v>487.08407640009438</v>
      </c>
      <c r="AN338" s="4">
        <f t="shared" si="912"/>
        <v>0.74781533388293486</v>
      </c>
      <c r="AO338" s="4">
        <v>1.25</v>
      </c>
      <c r="AP338" s="4">
        <f t="shared" si="844"/>
        <v>2.5</v>
      </c>
      <c r="AQ338" s="38">
        <f t="shared" si="967"/>
        <v>466.07148462925454</v>
      </c>
      <c r="AR338" s="38">
        <f t="shared" si="913"/>
        <v>466.07148462925454</v>
      </c>
      <c r="AS338" s="38">
        <f t="shared" si="914"/>
        <v>4.9090792795570026</v>
      </c>
      <c r="AT338" s="38">
        <f t="shared" si="853"/>
        <v>466.07148462925528</v>
      </c>
      <c r="AU338" s="38">
        <f t="shared" si="820"/>
        <v>0.99999999999999845</v>
      </c>
      <c r="AV338" s="38">
        <f t="shared" si="954"/>
        <v>3.1274839471157505</v>
      </c>
      <c r="AW338" s="4">
        <f t="shared" si="940"/>
        <v>0</v>
      </c>
      <c r="AX338" s="4">
        <f t="shared" si="995"/>
        <v>582.71562831837957</v>
      </c>
      <c r="AY338" s="4">
        <f t="shared" si="968"/>
        <v>1</v>
      </c>
      <c r="AZ338" s="38">
        <f t="shared" si="837"/>
        <v>1457.6310863864012</v>
      </c>
      <c r="BA338" s="4">
        <f t="shared" si="969"/>
        <v>0.3</v>
      </c>
      <c r="BB338" s="4">
        <f t="shared" si="970"/>
        <v>91.340674738905989</v>
      </c>
      <c r="BC338" s="4">
        <f t="shared" si="971"/>
        <v>1548.9717611253072</v>
      </c>
      <c r="BE338" s="4">
        <f t="shared" si="854"/>
        <v>1.5</v>
      </c>
      <c r="BF338" s="4">
        <f t="shared" si="860"/>
        <v>908.95711547867347</v>
      </c>
      <c r="BH338" s="4">
        <f t="shared" si="861"/>
        <v>1398.0464685108325</v>
      </c>
      <c r="BI338" s="4">
        <f t="shared" si="1067"/>
        <v>0</v>
      </c>
      <c r="BJ338" s="4">
        <f t="shared" si="862"/>
        <v>0</v>
      </c>
      <c r="BR338" s="4">
        <f t="shared" si="972"/>
        <v>60.959999999999994</v>
      </c>
      <c r="BV338" s="9"/>
      <c r="BX338" s="9"/>
      <c r="BY338" s="9"/>
      <c r="BZ338" s="9">
        <f t="shared" si="973"/>
        <v>60.959999999999994</v>
      </c>
      <c r="CA338" s="9">
        <f t="shared" si="974"/>
        <v>102.86999999999999</v>
      </c>
      <c r="CB338" s="9">
        <f t="shared" si="821"/>
        <v>1.6756842515389025</v>
      </c>
      <c r="CC338" s="40">
        <f t="shared" si="996"/>
        <v>20</v>
      </c>
      <c r="CD338" s="9">
        <f t="shared" si="975"/>
        <v>0.05</v>
      </c>
      <c r="CE338" s="9">
        <f t="shared" si="976"/>
        <v>0.8</v>
      </c>
      <c r="CF338" s="9">
        <f t="shared" si="977"/>
        <v>0.99524931562137331</v>
      </c>
      <c r="CG338" s="9">
        <f t="shared" si="978"/>
        <v>0.68</v>
      </c>
      <c r="CH338" s="9">
        <f t="shared" si="822"/>
        <v>2.1620130482705213</v>
      </c>
      <c r="CI338" s="9">
        <f t="shared" si="823"/>
        <v>5.3524616552249471</v>
      </c>
      <c r="CJ338" s="40">
        <v>1</v>
      </c>
      <c r="CK338" s="9">
        <f t="shared" si="824"/>
        <v>580.84913882501132</v>
      </c>
      <c r="CM338" s="47">
        <f t="shared" si="979"/>
        <v>1.8155185532534488</v>
      </c>
      <c r="CN338" s="47">
        <f t="shared" si="980"/>
        <v>0.68298923262112032</v>
      </c>
      <c r="CO338" s="47">
        <f t="shared" si="946"/>
        <v>1.1638954318825405</v>
      </c>
      <c r="CP338" s="47">
        <f t="shared" si="981"/>
        <v>1.8213525057863174</v>
      </c>
      <c r="CQ338" s="47">
        <f t="shared" si="921"/>
        <v>1.0970371571867716</v>
      </c>
      <c r="CR338" s="47">
        <f t="shared" si="922"/>
        <v>1.0886125437537382</v>
      </c>
      <c r="CS338" s="47">
        <f t="shared" si="947"/>
        <v>1.6074371142265871</v>
      </c>
      <c r="CT338" s="4">
        <f t="shared" si="997"/>
        <v>10</v>
      </c>
      <c r="DA338" s="4">
        <f t="shared" si="1082"/>
        <v>1.8155185532534488</v>
      </c>
      <c r="DB338" s="4">
        <f t="shared" si="1082"/>
        <v>0.68298923262112032</v>
      </c>
      <c r="DC338" s="4">
        <f t="shared" si="1083"/>
        <v>1.8213525057863174</v>
      </c>
      <c r="DD338" s="4">
        <f t="shared" si="1084"/>
        <v>1.6074371142265871</v>
      </c>
      <c r="DE338" s="4">
        <f t="shared" si="1085"/>
        <v>1.0970371571867716</v>
      </c>
      <c r="DF338" s="4">
        <f t="shared" si="1085"/>
        <v>1.0886125437537382</v>
      </c>
      <c r="DI338" s="4">
        <f t="shared" si="982"/>
        <v>308.10199999999998</v>
      </c>
      <c r="DL338" s="4">
        <f t="shared" si="900"/>
        <v>3.0320817529805633E-5</v>
      </c>
      <c r="DM338" s="4">
        <f t="shared" si="1009"/>
        <v>14.003670300444258</v>
      </c>
      <c r="DN338" s="4">
        <f t="shared" si="901"/>
        <v>0.19309609379305231</v>
      </c>
      <c r="DO338" s="4">
        <f t="shared" si="902"/>
        <v>7.2535610827259598</v>
      </c>
      <c r="DP338" s="4">
        <f t="shared" si="903"/>
        <v>11.156432004510634</v>
      </c>
      <c r="DQ338" s="4">
        <f t="shared" si="904"/>
        <v>11.699339681249116</v>
      </c>
      <c r="DR338" s="38">
        <f t="shared" si="915"/>
        <v>964.35296430223389</v>
      </c>
      <c r="DS338" s="4">
        <f t="shared" si="829"/>
        <v>1.0000956764469064</v>
      </c>
      <c r="DT338" s="4">
        <f t="shared" si="905"/>
        <v>3.1780497164141401</v>
      </c>
      <c r="DU338" s="4">
        <f t="shared" si="842"/>
        <v>466.07148462925528</v>
      </c>
      <c r="DY338" s="4">
        <f t="shared" si="1037"/>
        <v>0.85</v>
      </c>
      <c r="DZ338" s="4">
        <f t="shared" si="830"/>
        <v>0.86</v>
      </c>
      <c r="EA338" s="4">
        <f t="shared" si="916"/>
        <v>0.77500000000000002</v>
      </c>
      <c r="EB338" s="4">
        <f t="shared" si="831"/>
        <v>0.7</v>
      </c>
      <c r="ED338" s="4">
        <f t="shared" si="917"/>
        <v>971.81595100384948</v>
      </c>
      <c r="EE338" s="25">
        <f t="shared" si="918"/>
        <v>462.22238877068293</v>
      </c>
      <c r="EG338" s="4">
        <f t="shared" si="843"/>
        <v>0.59499999999999997</v>
      </c>
      <c r="EH338" s="4">
        <f t="shared" si="919"/>
        <v>14.003670300444258</v>
      </c>
      <c r="EK338" s="4">
        <f t="shared" si="906"/>
        <v>80.72246279691916</v>
      </c>
      <c r="EL338" s="4">
        <f t="shared" si="907"/>
        <v>3.1780497164141406</v>
      </c>
      <c r="EM338" s="4">
        <f t="shared" si="908"/>
        <v>9.6373630534918542E-2</v>
      </c>
      <c r="EP338" s="4">
        <f t="shared" si="998"/>
        <v>9.6373630534918542E-2</v>
      </c>
      <c r="EQ338" s="4">
        <f t="shared" si="960"/>
        <v>0.19277385240073133</v>
      </c>
      <c r="ER338" s="4">
        <f t="shared" si="1010"/>
        <v>7.2487167198523279</v>
      </c>
      <c r="ES338" s="4">
        <f t="shared" si="983"/>
        <v>11.154873027561752</v>
      </c>
      <c r="ET338" s="4">
        <f t="shared" si="1011"/>
        <v>150.35403720308082</v>
      </c>
      <c r="EU338" s="4">
        <f t="shared" si="1012"/>
        <v>77.025499999999994</v>
      </c>
      <c r="EV338" s="4">
        <f t="shared" si="832"/>
        <v>3.0320817529805633E-5</v>
      </c>
      <c r="EW338" s="4">
        <f t="shared" si="984"/>
        <v>11.699853993865201</v>
      </c>
      <c r="EX338" s="4">
        <f t="shared" si="867"/>
        <v>964.26070726387138</v>
      </c>
      <c r="FG338" s="23">
        <f t="shared" si="1030"/>
        <v>2</v>
      </c>
      <c r="FH338" s="23">
        <f t="shared" si="1030"/>
        <v>0.8</v>
      </c>
      <c r="FI338" s="23">
        <f t="shared" si="952"/>
        <v>1.8</v>
      </c>
      <c r="FJ338" s="23">
        <f t="shared" si="1031"/>
        <v>2</v>
      </c>
      <c r="FK338" s="23">
        <f t="shared" si="1031"/>
        <v>1.2</v>
      </c>
      <c r="FL338" s="23">
        <f t="shared" si="1031"/>
        <v>1.2</v>
      </c>
      <c r="FM338" s="23">
        <f t="shared" si="923"/>
        <v>0</v>
      </c>
      <c r="FN338" s="23"/>
      <c r="FX338" s="4">
        <f t="shared" si="833"/>
        <v>1.25</v>
      </c>
      <c r="FY338" s="4">
        <f t="shared" si="890"/>
        <v>0.44418604651162791</v>
      </c>
      <c r="FZ338" s="4">
        <f t="shared" si="834"/>
        <v>0.3</v>
      </c>
      <c r="GA338" s="4">
        <f t="shared" si="835"/>
        <v>658.14769680229688</v>
      </c>
    </row>
    <row r="339" spans="1:183" ht="12" customHeight="1" x14ac:dyDescent="0.3">
      <c r="A339" s="25">
        <v>321</v>
      </c>
      <c r="B339" s="4" t="s">
        <v>605</v>
      </c>
      <c r="C339" s="4">
        <v>2016</v>
      </c>
      <c r="D339" s="4" t="s">
        <v>309</v>
      </c>
      <c r="E339" s="24" t="s">
        <v>670</v>
      </c>
      <c r="F339" s="7" t="s">
        <v>483</v>
      </c>
      <c r="G339" s="38">
        <f t="shared" si="1080"/>
        <v>889.65517241379314</v>
      </c>
      <c r="H339" s="38">
        <f>12.21*25.4</f>
        <v>310.13400000000001</v>
      </c>
      <c r="I339" s="4">
        <f t="shared" si="985"/>
        <v>310.13400000000001</v>
      </c>
      <c r="J339" s="38">
        <f>12040/145</f>
        <v>83.034482758620683</v>
      </c>
      <c r="K339" s="38">
        <f t="shared" si="986"/>
        <v>25.4</v>
      </c>
      <c r="L339" s="7">
        <f t="shared" si="987"/>
        <v>12.21</v>
      </c>
      <c r="M339" s="7">
        <f t="shared" si="988"/>
        <v>12.21</v>
      </c>
      <c r="N339" s="38">
        <f>14.8*25.4</f>
        <v>375.92</v>
      </c>
      <c r="O339" s="38">
        <f>2.5*25.4</f>
        <v>63.5</v>
      </c>
      <c r="P339" s="39">
        <f>2.83*25.4</f>
        <v>71.881999999999991</v>
      </c>
      <c r="Q339" s="7">
        <f t="shared" si="989"/>
        <v>86.360000000000014</v>
      </c>
      <c r="R339" s="38">
        <v>3</v>
      </c>
      <c r="S339" s="4">
        <f t="shared" si="966"/>
        <v>260.34999999999997</v>
      </c>
      <c r="T339" s="7">
        <f t="shared" si="990"/>
        <v>2.2000000000000002</v>
      </c>
      <c r="U339" s="7">
        <f t="shared" si="859"/>
        <v>3</v>
      </c>
      <c r="V339" s="38">
        <v>4.0999999999999996</v>
      </c>
      <c r="W339" s="4">
        <f t="shared" si="991"/>
        <v>4.0999999999999996</v>
      </c>
      <c r="X339" s="4">
        <f t="shared" si="992"/>
        <v>5.0999999999999996</v>
      </c>
      <c r="Y339" s="7">
        <f t="shared" si="993"/>
        <v>57.361276136431961</v>
      </c>
      <c r="AB339" s="38">
        <f t="shared" si="1038"/>
        <v>656.55172413793105</v>
      </c>
      <c r="AC339" s="4">
        <v>95.2</v>
      </c>
      <c r="AD339" s="4">
        <f t="shared" si="899"/>
        <v>0.93271114834467483</v>
      </c>
      <c r="AE339" s="38"/>
      <c r="AF339" s="38"/>
      <c r="AG339" s="39">
        <v>1</v>
      </c>
      <c r="AH339" s="39"/>
      <c r="AI339" s="39"/>
      <c r="AJ339" s="7"/>
      <c r="AK339" s="4">
        <f t="shared" si="994"/>
        <v>310.13400000000001</v>
      </c>
      <c r="AL339" s="4">
        <f t="shared" si="910"/>
        <v>0.40404040404040403</v>
      </c>
      <c r="AM339" s="4">
        <f t="shared" si="911"/>
        <v>327.39703640569854</v>
      </c>
      <c r="AN339" s="4">
        <f t="shared" si="912"/>
        <v>0.74914004914004906</v>
      </c>
      <c r="AO339" s="4">
        <v>1.25</v>
      </c>
      <c r="AP339" s="4">
        <f t="shared" si="844"/>
        <v>2.5</v>
      </c>
      <c r="AQ339" s="38">
        <f t="shared" si="967"/>
        <v>309.67958578443364</v>
      </c>
      <c r="AR339" s="38">
        <f t="shared" si="913"/>
        <v>309.67958578443364</v>
      </c>
      <c r="AS339" s="38">
        <f t="shared" si="914"/>
        <v>4.9032987715448586</v>
      </c>
      <c r="AT339" s="38">
        <f t="shared" si="853"/>
        <v>309.6795857844337</v>
      </c>
      <c r="AU339" s="38">
        <f t="shared" ref="AU339:AU402" si="1086">AQ339/AT339</f>
        <v>0.99999999999999978</v>
      </c>
      <c r="AV339" s="38">
        <f t="shared" si="954"/>
        <v>2.7363293710546137</v>
      </c>
      <c r="AW339" s="4">
        <f t="shared" si="940"/>
        <v>0</v>
      </c>
      <c r="AX339" s="4">
        <f t="shared" si="995"/>
        <v>585.58683616346411</v>
      </c>
      <c r="AY339" s="4">
        <f t="shared" si="968"/>
        <v>1.1454545454545455</v>
      </c>
      <c r="AZ339" s="38">
        <f t="shared" si="837"/>
        <v>847.38534619797281</v>
      </c>
      <c r="BA339" s="4">
        <f t="shared" si="969"/>
        <v>0.42600000000000005</v>
      </c>
      <c r="BB339" s="4">
        <f t="shared" si="970"/>
        <v>130.34284592744467</v>
      </c>
      <c r="BC339" s="4">
        <f t="shared" si="971"/>
        <v>977.72819212541754</v>
      </c>
      <c r="BE339" s="4">
        <f t="shared" si="854"/>
        <v>1.375</v>
      </c>
      <c r="BF339" s="4">
        <f t="shared" si="860"/>
        <v>834.83712497506826</v>
      </c>
      <c r="BH339" s="4">
        <f t="shared" si="861"/>
        <v>812.74617547903938</v>
      </c>
      <c r="BI339" s="4">
        <f t="shared" si="1067"/>
        <v>0</v>
      </c>
      <c r="BJ339" s="4">
        <f t="shared" si="862"/>
        <v>0</v>
      </c>
      <c r="BR339" s="4">
        <f t="shared" si="972"/>
        <v>43.180000000000007</v>
      </c>
      <c r="BV339" s="9"/>
      <c r="BX339" s="9"/>
      <c r="BY339" s="9"/>
      <c r="BZ339" s="9">
        <f t="shared" si="973"/>
        <v>43.180000000000007</v>
      </c>
      <c r="CA339" s="9">
        <f t="shared" si="974"/>
        <v>63.5</v>
      </c>
      <c r="CB339" s="9">
        <f t="shared" ref="CB339:CB402" si="1087">(BZ339/K339)^0.5*(CA339/BZ339)^0.15</f>
        <v>1.3814912030111532</v>
      </c>
      <c r="CC339" s="40">
        <f t="shared" si="996"/>
        <v>0</v>
      </c>
      <c r="CD339" s="9">
        <f t="shared" si="975"/>
        <v>0</v>
      </c>
      <c r="CE339" s="9">
        <f t="shared" si="976"/>
        <v>0</v>
      </c>
      <c r="CF339" s="9">
        <f t="shared" si="977"/>
        <v>0.99524931562137331</v>
      </c>
      <c r="CG339" s="9">
        <f t="shared" si="978"/>
        <v>0.68</v>
      </c>
      <c r="CH339" s="9">
        <f t="shared" ref="CH339:CH402" si="1088">1.75*CF339*CG339*(J339/25)^0.5</f>
        <v>2.1584305883972208</v>
      </c>
      <c r="CI339" s="9">
        <f t="shared" ref="CI339:CI402" si="1089">MIN((CB339+CE339)*CH339,2.5*CH339,J339^0.5)</f>
        <v>2.9818528701809477</v>
      </c>
      <c r="CJ339" s="40">
        <v>1</v>
      </c>
      <c r="CK339" s="9">
        <f t="shared" ref="CK339:CK402" si="1090">4*CI339*M339+60*CI339</f>
        <v>324.54486639049435</v>
      </c>
      <c r="CM339" s="4">
        <f t="shared" si="979"/>
        <v>1.1211859345052924</v>
      </c>
      <c r="CN339" s="4">
        <f t="shared" si="980"/>
        <v>0.67150740811789156</v>
      </c>
      <c r="CO339" s="4">
        <f t="shared" si="946"/>
        <v>0.78644289346564267</v>
      </c>
      <c r="CP339" s="4">
        <f t="shared" si="981"/>
        <v>2.0229921718988586</v>
      </c>
      <c r="CQ339" s="4">
        <f t="shared" si="921"/>
        <v>0.93271114834467483</v>
      </c>
      <c r="CR339" s="4">
        <f t="shared" si="922"/>
        <v>0.94794472349162318</v>
      </c>
      <c r="CS339" s="4">
        <f t="shared" si="947"/>
        <v>1.4291107675846266</v>
      </c>
      <c r="CT339" s="4">
        <f t="shared" si="997"/>
        <v>0</v>
      </c>
      <c r="CU339" s="4">
        <f t="shared" ref="CU339:CV340" si="1091">CM339</f>
        <v>1.1211859345052924</v>
      </c>
      <c r="CV339" s="4">
        <f t="shared" si="1091"/>
        <v>0.67150740811789156</v>
      </c>
      <c r="CW339" s="4">
        <f t="shared" ref="CW339:CW340" si="1092">CP339</f>
        <v>2.0229921718988586</v>
      </c>
      <c r="CX339" s="4">
        <f t="shared" ref="CX339:CX340" si="1093">CS339</f>
        <v>1.4291107675846266</v>
      </c>
      <c r="CY339" s="4">
        <f t="shared" ref="CY339:CZ340" si="1094">CQ339</f>
        <v>0.93271114834467483</v>
      </c>
      <c r="CZ339" s="4">
        <f t="shared" si="1094"/>
        <v>0.94794472349162318</v>
      </c>
      <c r="DI339" s="4">
        <f t="shared" si="982"/>
        <v>310.13400000000001</v>
      </c>
      <c r="DL339" s="4">
        <f t="shared" si="900"/>
        <v>3.0470314501583804E-5</v>
      </c>
      <c r="DM339" s="4">
        <f t="shared" si="1009"/>
        <v>10.522931541773643</v>
      </c>
      <c r="DN339" s="4">
        <f t="shared" si="901"/>
        <v>0.20302799106025782</v>
      </c>
      <c r="DO339" s="4">
        <f t="shared" si="902"/>
        <v>5.5610796061263308</v>
      </c>
      <c r="DP339" s="4">
        <f t="shared" si="903"/>
        <v>8.4192567222681305</v>
      </c>
      <c r="DQ339" s="4">
        <f t="shared" si="904"/>
        <v>9.1449023297148457</v>
      </c>
      <c r="DR339" s="38">
        <f t="shared" si="915"/>
        <v>703.91752613136816</v>
      </c>
      <c r="DS339" s="4">
        <f t="shared" ref="DS339:DS402" si="1095">DR339/EX339</f>
        <v>1.0000906937085883</v>
      </c>
      <c r="DT339" s="4">
        <f t="shared" si="905"/>
        <v>2.2583179581272428</v>
      </c>
      <c r="DU339" s="4">
        <f t="shared" si="842"/>
        <v>309.6795857844337</v>
      </c>
      <c r="DY339" s="4">
        <f t="shared" si="1037"/>
        <v>0.85</v>
      </c>
      <c r="DZ339" s="4">
        <f t="shared" ref="DZ339:DZ402" si="1096">MIN(1,MAX(0.7,(1-0.1*(BR339-1*K339)/K339)))</f>
        <v>0.92999999999999994</v>
      </c>
      <c r="EA339" s="4">
        <f t="shared" si="916"/>
        <v>1</v>
      </c>
      <c r="EB339" s="4">
        <f t="shared" ref="EB339:EB402" si="1097">IF(DZ339*EA339&lt;0.7,0.7,DZ339*EA339)</f>
        <v>0.92999999999999994</v>
      </c>
      <c r="ED339" s="4">
        <f t="shared" si="917"/>
        <v>692.60549467442956</v>
      </c>
      <c r="EE339" s="25">
        <f t="shared" si="918"/>
        <v>307.15051229926104</v>
      </c>
      <c r="EG339" s="4">
        <f t="shared" si="843"/>
        <v>0.79049999999999998</v>
      </c>
      <c r="EH339" s="4">
        <f t="shared" si="919"/>
        <v>10.522931541773643</v>
      </c>
      <c r="EK339" s="4">
        <f t="shared" si="906"/>
        <v>57.361276136431961</v>
      </c>
      <c r="EL339" s="4">
        <f t="shared" si="907"/>
        <v>2.2583179581272428</v>
      </c>
      <c r="EM339" s="4">
        <f t="shared" si="908"/>
        <v>0.10116270304638737</v>
      </c>
      <c r="EP339" s="4">
        <f t="shared" si="998"/>
        <v>0.10116270304638737</v>
      </c>
      <c r="EQ339" s="4">
        <f t="shared" si="960"/>
        <v>0.20268917518245202</v>
      </c>
      <c r="ER339" s="4">
        <f t="shared" si="1010"/>
        <v>5.5573655838310794</v>
      </c>
      <c r="ES339" s="4">
        <f t="shared" si="983"/>
        <v>8.4180413557659541</v>
      </c>
      <c r="ET339" s="4">
        <f t="shared" si="1011"/>
        <v>175.23922386356804</v>
      </c>
      <c r="EU339" s="4">
        <f t="shared" si="1012"/>
        <v>77.533500000000004</v>
      </c>
      <c r="EV339" s="4">
        <f t="shared" ref="EV339:EV402" si="1098">EU339/(1-0.3*(J339/30)^0.5)/200000/K339</f>
        <v>3.0470314501583804E-5</v>
      </c>
      <c r="EW339" s="4">
        <f t="shared" si="984"/>
        <v>9.145168898955335</v>
      </c>
      <c r="EX339" s="4">
        <f t="shared" si="867"/>
        <v>703.85369102982509</v>
      </c>
      <c r="FG339" s="23">
        <f t="shared" si="1030"/>
        <v>1.2</v>
      </c>
      <c r="FH339" s="23">
        <f t="shared" si="1030"/>
        <v>0.8</v>
      </c>
      <c r="FI339" s="23">
        <f t="shared" si="952"/>
        <v>1.6</v>
      </c>
      <c r="FJ339" s="23">
        <f t="shared" si="1031"/>
        <v>2.2000000000000002</v>
      </c>
      <c r="FK339" s="23">
        <f t="shared" si="1031"/>
        <v>1</v>
      </c>
      <c r="FL339" s="23">
        <f t="shared" si="1031"/>
        <v>1</v>
      </c>
      <c r="FM339" s="23">
        <f t="shared" si="923"/>
        <v>0</v>
      </c>
      <c r="FN339" s="23"/>
      <c r="FX339" s="4">
        <f t="shared" ref="FX339:FX402" si="1099">IF(O339&gt;=2.5*25.4,1,1.25)</f>
        <v>1</v>
      </c>
      <c r="FY339" s="4">
        <f t="shared" si="890"/>
        <v>0.79999999999999982</v>
      </c>
      <c r="FZ339" s="4">
        <f t="shared" ref="FZ339:FZ402" si="1100">MIN(0.3, AE339^2*PI()/4*2*AH339/(K339^2*PI()/4*R339))</f>
        <v>0</v>
      </c>
      <c r="GA339" s="4">
        <f t="shared" ref="GA339:GA402" si="1101">(H339/25.4)/(K339/25.4)^1.5/0.0024*(J339*145)^0.25/FX339/FY339/145</f>
        <v>459.41276143876826</v>
      </c>
    </row>
    <row r="340" spans="1:183" ht="12" customHeight="1" x14ac:dyDescent="0.3">
      <c r="A340" s="25">
        <v>322</v>
      </c>
      <c r="B340" s="4" t="s">
        <v>605</v>
      </c>
      <c r="C340" s="4">
        <v>2016</v>
      </c>
      <c r="D340" s="4" t="s">
        <v>309</v>
      </c>
      <c r="E340" s="24" t="s">
        <v>670</v>
      </c>
      <c r="F340" s="7" t="s">
        <v>484</v>
      </c>
      <c r="G340" s="38">
        <f t="shared" si="1080"/>
        <v>889.65517241379314</v>
      </c>
      <c r="H340" s="38">
        <f>12.04*25.4</f>
        <v>305.81599999999997</v>
      </c>
      <c r="I340" s="4">
        <f t="shared" si="985"/>
        <v>305.81599999999997</v>
      </c>
      <c r="J340" s="38">
        <f>12040/145</f>
        <v>83.034482758620683</v>
      </c>
      <c r="K340" s="38">
        <f t="shared" si="986"/>
        <v>25.4</v>
      </c>
      <c r="L340" s="7">
        <f t="shared" si="987"/>
        <v>12.04</v>
      </c>
      <c r="M340" s="7">
        <f t="shared" si="988"/>
        <v>12.04</v>
      </c>
      <c r="N340" s="38">
        <f>14.8*25.4</f>
        <v>375.92</v>
      </c>
      <c r="O340" s="38">
        <f>2.4*25.4</f>
        <v>60.959999999999994</v>
      </c>
      <c r="P340" s="39">
        <f>3*25.4</f>
        <v>76.199999999999989</v>
      </c>
      <c r="Q340" s="7">
        <f t="shared" si="989"/>
        <v>88.90000000000002</v>
      </c>
      <c r="R340" s="38">
        <v>3</v>
      </c>
      <c r="S340" s="4">
        <f t="shared" si="966"/>
        <v>260.34999999999997</v>
      </c>
      <c r="T340" s="7">
        <f t="shared" si="990"/>
        <v>2.2500000000000004</v>
      </c>
      <c r="U340" s="7">
        <f t="shared" si="859"/>
        <v>2.9</v>
      </c>
      <c r="V340" s="38">
        <v>9.1</v>
      </c>
      <c r="W340" s="4">
        <f t="shared" si="991"/>
        <v>9.1</v>
      </c>
      <c r="X340" s="4">
        <f t="shared" si="992"/>
        <v>10.1</v>
      </c>
      <c r="Y340" s="7">
        <f t="shared" si="993"/>
        <v>80.72246279691916</v>
      </c>
      <c r="AB340" s="38">
        <f t="shared" si="1038"/>
        <v>657.93103448275872</v>
      </c>
      <c r="AC340" s="4">
        <v>95.4</v>
      </c>
      <c r="AD340" s="4">
        <f t="shared" si="899"/>
        <v>0.98191767642597505</v>
      </c>
      <c r="AE340" s="38"/>
      <c r="AF340" s="38"/>
      <c r="AG340" s="39">
        <v>1</v>
      </c>
      <c r="AH340" s="39"/>
      <c r="AI340" s="39"/>
      <c r="AJ340" s="7"/>
      <c r="AK340" s="4">
        <f t="shared" si="994"/>
        <v>305.81599999999997</v>
      </c>
      <c r="AL340" s="4">
        <f t="shared" si="910"/>
        <v>0.40974529346622368</v>
      </c>
      <c r="AM340" s="4">
        <f t="shared" si="911"/>
        <v>320.58336143631669</v>
      </c>
      <c r="AN340" s="4">
        <f t="shared" si="912"/>
        <v>0.74817275747508305</v>
      </c>
      <c r="AO340" s="4">
        <v>1.25</v>
      </c>
      <c r="AP340" s="4">
        <f t="shared" si="844"/>
        <v>2.5</v>
      </c>
      <c r="AQ340" s="38">
        <f t="shared" si="967"/>
        <v>307.11912681610914</v>
      </c>
      <c r="AR340" s="38">
        <f t="shared" si="913"/>
        <v>307.11912681610914</v>
      </c>
      <c r="AS340" s="38">
        <f t="shared" si="914"/>
        <v>4.9032987715448586</v>
      </c>
      <c r="AT340" s="38">
        <f t="shared" si="853"/>
        <v>307.11912681610875</v>
      </c>
      <c r="AU340" s="38">
        <f t="shared" si="1086"/>
        <v>1.0000000000000013</v>
      </c>
      <c r="AV340" s="38">
        <f t="shared" si="954"/>
        <v>4.0942657997691452</v>
      </c>
      <c r="AW340" s="4">
        <f t="shared" si="940"/>
        <v>0</v>
      </c>
      <c r="AX340" s="4">
        <f t="shared" si="995"/>
        <v>577.43370249042641</v>
      </c>
      <c r="AY340" s="4">
        <f t="shared" si="968"/>
        <v>1.1155555555555554</v>
      </c>
      <c r="AZ340" s="38">
        <f t="shared" ref="AZ340:AZ403" si="1102">2*J340*T340*V340^0.5*AY340*0.7/0.7</f>
        <v>1257.4273373781571</v>
      </c>
      <c r="BA340" s="4">
        <f t="shared" si="969"/>
        <v>0.3</v>
      </c>
      <c r="BB340" s="4">
        <f t="shared" si="970"/>
        <v>90.512732865374318</v>
      </c>
      <c r="BC340" s="4">
        <f t="shared" si="971"/>
        <v>1347.9400702435314</v>
      </c>
      <c r="BE340" s="4">
        <f t="shared" si="854"/>
        <v>1.35</v>
      </c>
      <c r="BF340" s="4">
        <f t="shared" si="860"/>
        <v>813.38443179593753</v>
      </c>
      <c r="BH340" s="4">
        <f t="shared" si="861"/>
        <v>1206.0265898888088</v>
      </c>
      <c r="BI340" s="4">
        <f t="shared" si="1067"/>
        <v>0</v>
      </c>
      <c r="BJ340" s="4">
        <f t="shared" si="862"/>
        <v>0</v>
      </c>
      <c r="BR340" s="4">
        <f t="shared" si="972"/>
        <v>44.45000000000001</v>
      </c>
      <c r="BV340" s="9"/>
      <c r="BX340" s="9"/>
      <c r="BY340" s="9"/>
      <c r="BZ340" s="9">
        <f t="shared" si="973"/>
        <v>44.45000000000001</v>
      </c>
      <c r="CA340" s="9">
        <f t="shared" si="974"/>
        <v>60.959999999999994</v>
      </c>
      <c r="CB340" s="9">
        <f t="shared" si="1087"/>
        <v>1.3870592192954589</v>
      </c>
      <c r="CC340" s="40">
        <f t="shared" si="996"/>
        <v>0</v>
      </c>
      <c r="CD340" s="9">
        <f t="shared" si="975"/>
        <v>0</v>
      </c>
      <c r="CE340" s="9">
        <f t="shared" si="976"/>
        <v>0</v>
      </c>
      <c r="CF340" s="9">
        <f t="shared" si="977"/>
        <v>0.99524931562137331</v>
      </c>
      <c r="CG340" s="9">
        <f t="shared" si="978"/>
        <v>0.68</v>
      </c>
      <c r="CH340" s="9">
        <f t="shared" si="1088"/>
        <v>2.1584305883972208</v>
      </c>
      <c r="CI340" s="9">
        <f t="shared" si="1089"/>
        <v>2.9938710468456873</v>
      </c>
      <c r="CJ340" s="40">
        <v>1</v>
      </c>
      <c r="CK340" s="9">
        <f t="shared" si="1090"/>
        <v>323.8170924268295</v>
      </c>
      <c r="CM340" s="4">
        <f t="shared" si="979"/>
        <v>1.1394053233213677</v>
      </c>
      <c r="CN340" s="4">
        <f t="shared" si="980"/>
        <v>0.48810110256896716</v>
      </c>
      <c r="CO340" s="4">
        <f t="shared" si="946"/>
        <v>0.80888078104723415</v>
      </c>
      <c r="CP340" s="4">
        <f t="shared" si="981"/>
        <v>2.031798351198606</v>
      </c>
      <c r="CQ340" s="4">
        <f t="shared" si="921"/>
        <v>0.98191767642597505</v>
      </c>
      <c r="CR340" s="4">
        <f t="shared" si="922"/>
        <v>0.95810293219723919</v>
      </c>
      <c r="CS340" s="4">
        <f t="shared" si="947"/>
        <v>1.7965068604388503</v>
      </c>
      <c r="CT340" s="4">
        <f t="shared" si="997"/>
        <v>0</v>
      </c>
      <c r="CU340" s="4">
        <f t="shared" si="1091"/>
        <v>1.1394053233213677</v>
      </c>
      <c r="CV340" s="4">
        <f t="shared" si="1091"/>
        <v>0.48810110256896716</v>
      </c>
      <c r="CW340" s="4">
        <f t="shared" si="1092"/>
        <v>2.031798351198606</v>
      </c>
      <c r="CX340" s="4">
        <f t="shared" si="1093"/>
        <v>1.7965068604388503</v>
      </c>
      <c r="CY340" s="4">
        <f t="shared" si="1094"/>
        <v>0.98191767642597505</v>
      </c>
      <c r="CZ340" s="4">
        <f t="shared" si="1094"/>
        <v>0.95810293219723919</v>
      </c>
      <c r="DI340" s="4">
        <f t="shared" si="982"/>
        <v>305.81599999999997</v>
      </c>
      <c r="DL340" s="4">
        <f t="shared" si="900"/>
        <v>3.0046075888539634E-5</v>
      </c>
      <c r="DM340" s="4">
        <f t="shared" si="1009"/>
        <v>10.579812252810257</v>
      </c>
      <c r="DN340" s="4">
        <f t="shared" si="901"/>
        <v>0.12766394702668557</v>
      </c>
      <c r="DO340" s="4">
        <f t="shared" si="902"/>
        <v>4.644139621228903</v>
      </c>
      <c r="DP340" s="4">
        <f t="shared" si="903"/>
        <v>8.1774866988974395</v>
      </c>
      <c r="DQ340" s="4">
        <f t="shared" si="904"/>
        <v>9.3416699532155363</v>
      </c>
      <c r="DR340" s="38">
        <f t="shared" si="915"/>
        <v>670.04704190429038</v>
      </c>
      <c r="DS340" s="4">
        <f t="shared" si="1095"/>
        <v>1.0000847806726894</v>
      </c>
      <c r="DT340" s="4">
        <f t="shared" si="905"/>
        <v>3.1780497164141401</v>
      </c>
      <c r="DU340" s="4">
        <f t="shared" ref="DU340:DU403" si="1103">MIN(DT$10*AT340)</f>
        <v>307.11912681610875</v>
      </c>
      <c r="DY340" s="4">
        <f t="shared" si="1037"/>
        <v>0.85</v>
      </c>
      <c r="DZ340" s="4">
        <f t="shared" si="1096"/>
        <v>0.92499999999999993</v>
      </c>
      <c r="EA340" s="4">
        <f t="shared" si="916"/>
        <v>1</v>
      </c>
      <c r="EB340" s="4">
        <f t="shared" si="1097"/>
        <v>0.92499999999999993</v>
      </c>
      <c r="ED340" s="4">
        <f t="shared" si="917"/>
        <v>686.70182751023481</v>
      </c>
      <c r="EE340" s="25">
        <f t="shared" si="918"/>
        <v>304.55900893872837</v>
      </c>
      <c r="EG340" s="4">
        <f t="shared" ref="EG340:EG403" si="1104">DY340*EB340</f>
        <v>0.78624999999999989</v>
      </c>
      <c r="EH340" s="4">
        <f t="shared" si="919"/>
        <v>10.579812252810257</v>
      </c>
      <c r="EK340" s="4">
        <f t="shared" si="906"/>
        <v>80.72246279691916</v>
      </c>
      <c r="EL340" s="4">
        <f t="shared" si="907"/>
        <v>3.1780497164141406</v>
      </c>
      <c r="EM340" s="4">
        <f t="shared" si="908"/>
        <v>6.3611080892571392E-2</v>
      </c>
      <c r="EP340" s="4">
        <f t="shared" si="998"/>
        <v>6.3611080892571392E-2</v>
      </c>
      <c r="EQ340" s="4">
        <f t="shared" si="960"/>
        <v>0.12745089969242338</v>
      </c>
      <c r="ER340" s="4">
        <f t="shared" si="1010"/>
        <v>4.6410379864174711</v>
      </c>
      <c r="ES340" s="4">
        <f t="shared" si="983"/>
        <v>8.1766235950125274</v>
      </c>
      <c r="ET340" s="4">
        <f t="shared" si="1011"/>
        <v>148.63953720308081</v>
      </c>
      <c r="EU340" s="4">
        <f t="shared" si="1012"/>
        <v>76.454000000000008</v>
      </c>
      <c r="EV340" s="4">
        <f t="shared" si="1098"/>
        <v>3.0046075888539644E-5</v>
      </c>
      <c r="EW340" s="4">
        <f t="shared" si="984"/>
        <v>9.3419049814059338</v>
      </c>
      <c r="EX340" s="4">
        <f t="shared" si="867"/>
        <v>669.99023968107485</v>
      </c>
      <c r="FG340" s="23">
        <f t="shared" si="1030"/>
        <v>1.2</v>
      </c>
      <c r="FH340" s="23">
        <f t="shared" si="1030"/>
        <v>0.6</v>
      </c>
      <c r="FI340" s="23">
        <f t="shared" si="952"/>
        <v>1.8</v>
      </c>
      <c r="FJ340" s="23">
        <f t="shared" si="1031"/>
        <v>2.2000000000000002</v>
      </c>
      <c r="FK340" s="23">
        <f t="shared" si="1031"/>
        <v>1</v>
      </c>
      <c r="FL340" s="23">
        <f t="shared" si="1031"/>
        <v>1</v>
      </c>
      <c r="FM340" s="23">
        <f t="shared" si="923"/>
        <v>0</v>
      </c>
      <c r="FN340" s="23"/>
      <c r="FX340" s="4">
        <f t="shared" si="1099"/>
        <v>1.25</v>
      </c>
      <c r="FY340" s="4">
        <f t="shared" si="890"/>
        <v>0.79166666666666663</v>
      </c>
      <c r="FZ340" s="4">
        <f t="shared" si="1100"/>
        <v>0</v>
      </c>
      <c r="GA340" s="4">
        <f t="shared" si="1101"/>
        <v>366.22795546800165</v>
      </c>
    </row>
    <row r="341" spans="1:183" ht="12" customHeight="1" x14ac:dyDescent="0.3">
      <c r="A341" s="25">
        <v>323</v>
      </c>
      <c r="B341" s="4" t="s">
        <v>605</v>
      </c>
      <c r="C341" s="4">
        <v>2016</v>
      </c>
      <c r="D341" s="4" t="s">
        <v>309</v>
      </c>
      <c r="E341" s="24" t="s">
        <v>670</v>
      </c>
      <c r="F341" s="7" t="s">
        <v>485</v>
      </c>
      <c r="G341" s="38">
        <f t="shared" si="1080"/>
        <v>889.65517241379314</v>
      </c>
      <c r="H341" s="38">
        <f>12.17*25.4</f>
        <v>309.11799999999999</v>
      </c>
      <c r="I341" s="4">
        <f t="shared" si="985"/>
        <v>309.11799999999999</v>
      </c>
      <c r="J341" s="38">
        <f>12040/145</f>
        <v>83.034482758620683</v>
      </c>
      <c r="K341" s="38">
        <f t="shared" si="986"/>
        <v>25.4</v>
      </c>
      <c r="L341" s="7">
        <f t="shared" si="987"/>
        <v>12.17</v>
      </c>
      <c r="M341" s="7">
        <f t="shared" si="988"/>
        <v>12.17</v>
      </c>
      <c r="N341" s="38">
        <f>15.2*25.4</f>
        <v>386.08</v>
      </c>
      <c r="O341" s="38">
        <f>2.6*25.4</f>
        <v>66.039999999999992</v>
      </c>
      <c r="P341" s="39">
        <f>2.9*25.4</f>
        <v>73.66</v>
      </c>
      <c r="Q341" s="7">
        <f t="shared" si="989"/>
        <v>88.9</v>
      </c>
      <c r="R341" s="38">
        <v>3</v>
      </c>
      <c r="S341" s="4">
        <f t="shared" si="966"/>
        <v>260.34999999999997</v>
      </c>
      <c r="T341" s="7">
        <f t="shared" si="990"/>
        <v>2.25</v>
      </c>
      <c r="U341" s="7">
        <f t="shared" si="859"/>
        <v>3.0999999999999996</v>
      </c>
      <c r="V341" s="38">
        <v>4.0999999999999996</v>
      </c>
      <c r="W341" s="4">
        <f t="shared" si="991"/>
        <v>4.0999999999999996</v>
      </c>
      <c r="X341" s="4">
        <f t="shared" si="992"/>
        <v>5.0999999999999996</v>
      </c>
      <c r="Y341" s="7">
        <f t="shared" si="993"/>
        <v>57.361276136431961</v>
      </c>
      <c r="AB341" s="38">
        <f t="shared" si="1038"/>
        <v>765.51724137931035</v>
      </c>
      <c r="AC341" s="4">
        <v>111</v>
      </c>
      <c r="AD341" s="4">
        <f t="shared" si="899"/>
        <v>0.92990729725452292</v>
      </c>
      <c r="AE341" s="38">
        <f t="shared" ref="AE341:AE342" si="1105">0.5*25.4</f>
        <v>12.7</v>
      </c>
      <c r="AF341" s="38">
        <v>10</v>
      </c>
      <c r="AG341" s="39">
        <f t="shared" ref="AG341:AG342" si="1106">3*25.4</f>
        <v>76.199999999999989</v>
      </c>
      <c r="AH341" s="39">
        <v>3</v>
      </c>
      <c r="AI341" s="39">
        <f t="shared" ref="AI341:AI342" si="1107">AH341-1</f>
        <v>2</v>
      </c>
      <c r="AJ341" s="7"/>
      <c r="AK341" s="4">
        <f t="shared" si="994"/>
        <v>309.11799999999999</v>
      </c>
      <c r="AL341" s="4">
        <f t="shared" si="910"/>
        <v>0.41632429471377708</v>
      </c>
      <c r="AM341" s="4">
        <f t="shared" si="911"/>
        <v>325.78952411390105</v>
      </c>
      <c r="AN341" s="4">
        <f t="shared" si="912"/>
        <v>0.75094494658997535</v>
      </c>
      <c r="AO341" s="4">
        <v>1.25</v>
      </c>
      <c r="AP341" s="4">
        <f t="shared" si="844"/>
        <v>2.5</v>
      </c>
      <c r="AQ341" s="38">
        <f t="shared" si="967"/>
        <v>318.29292926050755</v>
      </c>
      <c r="AR341" s="38">
        <f t="shared" si="913"/>
        <v>318.29292926050755</v>
      </c>
      <c r="AS341" s="38">
        <f t="shared" si="914"/>
        <v>4.9032987715448586</v>
      </c>
      <c r="AT341" s="38">
        <f t="shared" si="853"/>
        <v>318.29292926050721</v>
      </c>
      <c r="AU341" s="38">
        <f t="shared" si="1086"/>
        <v>1.0000000000000011</v>
      </c>
      <c r="AV341" s="38">
        <f t="shared" si="954"/>
        <v>2.736233663940415</v>
      </c>
      <c r="AW341" s="4">
        <f t="shared" si="940"/>
        <v>0</v>
      </c>
      <c r="AX341" s="4">
        <f t="shared" si="995"/>
        <v>583.66845176980826</v>
      </c>
      <c r="AY341" s="4">
        <f t="shared" si="968"/>
        <v>1.151111111111111</v>
      </c>
      <c r="AZ341" s="38">
        <f t="shared" si="1102"/>
        <v>870.92382803680493</v>
      </c>
      <c r="BA341" s="4">
        <f t="shared" si="969"/>
        <v>0.42600000000000005</v>
      </c>
      <c r="BB341" s="4">
        <f t="shared" si="970"/>
        <v>129.91584233718277</v>
      </c>
      <c r="BC341" s="4">
        <f t="shared" si="971"/>
        <v>1000.8396703739877</v>
      </c>
      <c r="BE341" s="4">
        <f t="shared" si="854"/>
        <v>1.5</v>
      </c>
      <c r="BF341" s="4">
        <f t="shared" si="860"/>
        <v>909.09119040713495</v>
      </c>
      <c r="BH341" s="4">
        <f t="shared" si="861"/>
        <v>835.32245813123473</v>
      </c>
      <c r="BI341" s="4">
        <f t="shared" si="1067"/>
        <v>0</v>
      </c>
      <c r="BJ341" s="4">
        <f t="shared" si="862"/>
        <v>0</v>
      </c>
      <c r="BR341" s="4">
        <f t="shared" si="972"/>
        <v>44.45</v>
      </c>
      <c r="BV341" s="9"/>
      <c r="BX341" s="9"/>
      <c r="BY341" s="9"/>
      <c r="BZ341" s="9">
        <f t="shared" si="973"/>
        <v>44.45</v>
      </c>
      <c r="CA341" s="9">
        <f t="shared" si="974"/>
        <v>66.039999999999992</v>
      </c>
      <c r="CB341" s="9">
        <f t="shared" si="1087"/>
        <v>1.4038131918756702</v>
      </c>
      <c r="CC341" s="40">
        <f t="shared" si="996"/>
        <v>20</v>
      </c>
      <c r="CD341" s="9">
        <f t="shared" si="975"/>
        <v>0.05</v>
      </c>
      <c r="CE341" s="9">
        <f t="shared" si="976"/>
        <v>0.8</v>
      </c>
      <c r="CF341" s="9">
        <f t="shared" si="977"/>
        <v>0.99524931562137331</v>
      </c>
      <c r="CG341" s="9">
        <f t="shared" si="978"/>
        <v>0.68</v>
      </c>
      <c r="CH341" s="9">
        <f t="shared" si="1088"/>
        <v>2.1584305883972208</v>
      </c>
      <c r="CI341" s="9">
        <f t="shared" si="1089"/>
        <v>4.7567778044577604</v>
      </c>
      <c r="CJ341" s="40">
        <v>1</v>
      </c>
      <c r="CK341" s="9">
        <f t="shared" si="1090"/>
        <v>516.96661178846944</v>
      </c>
      <c r="CM341" s="4">
        <f t="shared" si="979"/>
        <v>1.3115617934430026</v>
      </c>
      <c r="CN341" s="4">
        <f t="shared" si="980"/>
        <v>0.76487499850326324</v>
      </c>
      <c r="CO341" s="4">
        <f t="shared" si="946"/>
        <v>0.84206870494089237</v>
      </c>
      <c r="CP341" s="4">
        <f t="shared" si="981"/>
        <v>1.480786619334987</v>
      </c>
      <c r="CQ341" s="4">
        <f t="shared" si="921"/>
        <v>0.92990729725452292</v>
      </c>
      <c r="CR341" s="4">
        <f t="shared" si="922"/>
        <v>0.94032104183423759</v>
      </c>
      <c r="CS341" s="4">
        <f t="shared" si="947"/>
        <v>1.2530999155051654</v>
      </c>
      <c r="CT341" s="4">
        <f t="shared" si="997"/>
        <v>10</v>
      </c>
      <c r="DA341" s="4">
        <f t="shared" ref="DA341:DB342" si="1108">CM341</f>
        <v>1.3115617934430026</v>
      </c>
      <c r="DB341" s="4">
        <f t="shared" si="1108"/>
        <v>0.76487499850326324</v>
      </c>
      <c r="DC341" s="4">
        <f t="shared" ref="DC341:DC342" si="1109">CP341</f>
        <v>1.480786619334987</v>
      </c>
      <c r="DD341" s="4">
        <f t="shared" ref="DD341:DD342" si="1110">CS341</f>
        <v>1.2530999155051654</v>
      </c>
      <c r="DE341" s="4">
        <f t="shared" ref="DE341:DF342" si="1111">CQ341</f>
        <v>0.92990729725452292</v>
      </c>
      <c r="DF341" s="4">
        <f t="shared" si="1111"/>
        <v>0.94032104183423759</v>
      </c>
      <c r="DI341" s="4">
        <f t="shared" si="982"/>
        <v>309.11799999999999</v>
      </c>
      <c r="DL341" s="4">
        <f t="shared" si="900"/>
        <v>3.0370493651455761E-5</v>
      </c>
      <c r="DM341" s="4">
        <f t="shared" si="1009"/>
        <v>13.651370648787429</v>
      </c>
      <c r="DN341" s="4">
        <f t="shared" si="901"/>
        <v>0.20867495618981108</v>
      </c>
      <c r="DO341" s="4">
        <f t="shared" si="902"/>
        <v>7.2939770207118659</v>
      </c>
      <c r="DP341" s="4">
        <f t="shared" si="903"/>
        <v>10.948454122629325</v>
      </c>
      <c r="DQ341" s="4">
        <f t="shared" si="904"/>
        <v>11.356595993470908</v>
      </c>
      <c r="DR341" s="38">
        <f t="shared" si="915"/>
        <v>823.21887745094477</v>
      </c>
      <c r="DS341" s="4">
        <f t="shared" si="1095"/>
        <v>1.000100501737905</v>
      </c>
      <c r="DT341" s="4">
        <f t="shared" si="905"/>
        <v>2.2583179581272428</v>
      </c>
      <c r="DU341" s="4">
        <f t="shared" si="1103"/>
        <v>318.29292926050721</v>
      </c>
      <c r="DY341" s="4">
        <f t="shared" si="1037"/>
        <v>0.85</v>
      </c>
      <c r="DZ341" s="4">
        <f t="shared" si="1096"/>
        <v>0.92499999999999993</v>
      </c>
      <c r="EA341" s="4">
        <f t="shared" si="916"/>
        <v>0.77500000000000002</v>
      </c>
      <c r="EB341" s="4">
        <f t="shared" si="1097"/>
        <v>0.71687499999999993</v>
      </c>
      <c r="ED341" s="4">
        <f t="shared" si="917"/>
        <v>814.10200061678279</v>
      </c>
      <c r="EE341" s="25">
        <f t="shared" si="918"/>
        <v>315.69045822955366</v>
      </c>
      <c r="EG341" s="4">
        <f t="shared" si="1104"/>
        <v>0.60934374999999996</v>
      </c>
      <c r="EH341" s="4">
        <f t="shared" si="919"/>
        <v>13.651370648787429</v>
      </c>
      <c r="EK341" s="4">
        <f t="shared" si="906"/>
        <v>57.361276136431961</v>
      </c>
      <c r="EL341" s="4">
        <f t="shared" si="907"/>
        <v>2.2583179581272428</v>
      </c>
      <c r="EM341" s="4">
        <f t="shared" si="908"/>
        <v>0.10397641485790181</v>
      </c>
      <c r="EP341" s="4">
        <f t="shared" si="998"/>
        <v>0.10397641485790181</v>
      </c>
      <c r="EQ341" s="4">
        <f t="shared" si="960"/>
        <v>0.20832671657965524</v>
      </c>
      <c r="ER341" s="4">
        <f t="shared" si="1010"/>
        <v>7.2891056656522935</v>
      </c>
      <c r="ES341" s="4">
        <f t="shared" si="983"/>
        <v>10.946845527561521</v>
      </c>
      <c r="ET341" s="4">
        <f t="shared" si="1011"/>
        <v>174.47722386356804</v>
      </c>
      <c r="EU341" s="4">
        <f t="shared" si="1012"/>
        <v>77.279499999999985</v>
      </c>
      <c r="EV341" s="4">
        <f t="shared" si="1098"/>
        <v>3.0370493651455758E-5</v>
      </c>
      <c r="EW341" s="4">
        <f t="shared" si="984"/>
        <v>11.357046000879606</v>
      </c>
      <c r="EX341" s="4">
        <f t="shared" si="867"/>
        <v>823.13615083725324</v>
      </c>
      <c r="FG341" s="23">
        <f t="shared" si="1030"/>
        <v>1.4</v>
      </c>
      <c r="FH341" s="23">
        <f t="shared" si="1030"/>
        <v>0.8</v>
      </c>
      <c r="FI341" s="23">
        <f t="shared" si="952"/>
        <v>1.4</v>
      </c>
      <c r="FJ341" s="23">
        <f t="shared" si="1031"/>
        <v>1.6</v>
      </c>
      <c r="FK341" s="23">
        <f t="shared" si="1031"/>
        <v>1</v>
      </c>
      <c r="FL341" s="23">
        <f t="shared" si="1031"/>
        <v>1</v>
      </c>
      <c r="FM341" s="23">
        <f t="shared" si="923"/>
        <v>0</v>
      </c>
      <c r="FN341" s="23"/>
      <c r="FX341" s="4">
        <f t="shared" si="1099"/>
        <v>1</v>
      </c>
      <c r="FY341" s="4">
        <f t="shared" si="890"/>
        <v>0.59965116279069774</v>
      </c>
      <c r="FZ341" s="4">
        <f t="shared" si="1100"/>
        <v>0.3</v>
      </c>
      <c r="GA341" s="4">
        <f t="shared" si="1101"/>
        <v>610.89880536038936</v>
      </c>
    </row>
    <row r="342" spans="1:183" ht="12" customHeight="1" x14ac:dyDescent="0.3">
      <c r="A342" s="25">
        <v>324</v>
      </c>
      <c r="B342" s="4" t="s">
        <v>605</v>
      </c>
      <c r="C342" s="4">
        <v>2016</v>
      </c>
      <c r="D342" s="4" t="s">
        <v>309</v>
      </c>
      <c r="E342" s="24" t="s">
        <v>670</v>
      </c>
      <c r="F342" s="7" t="s">
        <v>486</v>
      </c>
      <c r="G342" s="38">
        <f t="shared" si="1080"/>
        <v>889.65517241379314</v>
      </c>
      <c r="H342" s="38">
        <f>11.9*25.4</f>
        <v>302.26</v>
      </c>
      <c r="I342" s="4">
        <f t="shared" si="985"/>
        <v>302.26</v>
      </c>
      <c r="J342" s="38">
        <f>12040/145</f>
        <v>83.034482758620683</v>
      </c>
      <c r="K342" s="38">
        <f t="shared" si="986"/>
        <v>25.4</v>
      </c>
      <c r="L342" s="7">
        <f t="shared" si="987"/>
        <v>11.9</v>
      </c>
      <c r="M342" s="7">
        <f t="shared" si="988"/>
        <v>11.9</v>
      </c>
      <c r="N342" s="38">
        <f>15*25.4</f>
        <v>381</v>
      </c>
      <c r="O342" s="38">
        <f t="shared" si="999"/>
        <v>63.5</v>
      </c>
      <c r="P342" s="39">
        <f>3.1*25.4</f>
        <v>78.739999999999995</v>
      </c>
      <c r="Q342" s="7">
        <f t="shared" si="989"/>
        <v>88.9</v>
      </c>
      <c r="R342" s="38">
        <v>3</v>
      </c>
      <c r="S342" s="4">
        <f t="shared" si="966"/>
        <v>260.34999999999997</v>
      </c>
      <c r="T342" s="7">
        <f t="shared" si="990"/>
        <v>2.25</v>
      </c>
      <c r="U342" s="7">
        <f t="shared" si="859"/>
        <v>3</v>
      </c>
      <c r="V342" s="38">
        <v>9.1</v>
      </c>
      <c r="W342" s="4">
        <f t="shared" si="991"/>
        <v>9.1</v>
      </c>
      <c r="X342" s="4">
        <f t="shared" si="992"/>
        <v>10.1</v>
      </c>
      <c r="Y342" s="7">
        <f t="shared" si="993"/>
        <v>80.72246279691916</v>
      </c>
      <c r="AB342" s="38">
        <f t="shared" si="1038"/>
        <v>947.58620689655186</v>
      </c>
      <c r="AC342" s="4">
        <v>137.4</v>
      </c>
      <c r="AD342" s="4">
        <f t="shared" si="899"/>
        <v>1.2334336233137346</v>
      </c>
      <c r="AE342" s="38">
        <f t="shared" si="1105"/>
        <v>12.7</v>
      </c>
      <c r="AF342" s="38">
        <v>10</v>
      </c>
      <c r="AG342" s="39">
        <f t="shared" si="1106"/>
        <v>76.199999999999989</v>
      </c>
      <c r="AH342" s="39">
        <v>3</v>
      </c>
      <c r="AI342" s="39">
        <f t="shared" si="1107"/>
        <v>2</v>
      </c>
      <c r="AJ342" s="7"/>
      <c r="AK342" s="4">
        <f t="shared" si="994"/>
        <v>302.26</v>
      </c>
      <c r="AL342" s="4">
        <f t="shared" si="910"/>
        <v>0.42016806722689082</v>
      </c>
      <c r="AM342" s="4">
        <f t="shared" si="911"/>
        <v>315.00807738266639</v>
      </c>
      <c r="AN342" s="4">
        <f t="shared" si="912"/>
        <v>0.75042016806722689</v>
      </c>
      <c r="AO342" s="4">
        <v>1.25</v>
      </c>
      <c r="AP342" s="4">
        <f t="shared" ref="AP342:AP405" si="1112">AP341</f>
        <v>2.5</v>
      </c>
      <c r="AQ342" s="38">
        <f t="shared" si="967"/>
        <v>310.38394744227224</v>
      </c>
      <c r="AR342" s="38">
        <f t="shared" si="913"/>
        <v>310.38394744227224</v>
      </c>
      <c r="AS342" s="38">
        <f t="shared" si="914"/>
        <v>4.9032987715448586</v>
      </c>
      <c r="AT342" s="38">
        <f t="shared" si="853"/>
        <v>310.38394744227224</v>
      </c>
      <c r="AU342" s="38">
        <f t="shared" si="1086"/>
        <v>1</v>
      </c>
      <c r="AV342" s="38">
        <f t="shared" si="954"/>
        <v>4.1157605944912197</v>
      </c>
      <c r="AW342" s="4">
        <f t="shared" si="940"/>
        <v>0</v>
      </c>
      <c r="AX342" s="4">
        <f t="shared" si="995"/>
        <v>570.71935711263086</v>
      </c>
      <c r="AY342" s="4">
        <f t="shared" si="968"/>
        <v>1.1333333333333333</v>
      </c>
      <c r="AZ342" s="38">
        <f t="shared" si="1102"/>
        <v>1277.4660200455378</v>
      </c>
      <c r="BA342" s="4">
        <f t="shared" si="969"/>
        <v>0.3</v>
      </c>
      <c r="BB342" s="4">
        <f t="shared" si="970"/>
        <v>89.460259227404862</v>
      </c>
      <c r="BC342" s="4">
        <f t="shared" si="971"/>
        <v>1366.9262792729426</v>
      </c>
      <c r="BE342" s="4">
        <f t="shared" si="854"/>
        <v>1.5</v>
      </c>
      <c r="BF342" s="4">
        <f t="shared" si="860"/>
        <v>898.01971447524852</v>
      </c>
      <c r="BH342" s="4">
        <f t="shared" si="861"/>
        <v>1225.246137138033</v>
      </c>
      <c r="BI342" s="4">
        <f t="shared" si="1067"/>
        <v>0</v>
      </c>
      <c r="BJ342" s="4">
        <f t="shared" si="862"/>
        <v>0</v>
      </c>
      <c r="BR342" s="4">
        <f t="shared" si="972"/>
        <v>44.45</v>
      </c>
      <c r="BV342" s="9"/>
      <c r="BX342" s="9"/>
      <c r="BY342" s="9"/>
      <c r="BZ342" s="9">
        <f t="shared" si="973"/>
        <v>44.45</v>
      </c>
      <c r="CA342" s="9">
        <f t="shared" si="974"/>
        <v>63.5</v>
      </c>
      <c r="CB342" s="9">
        <f t="shared" si="1087"/>
        <v>1.3955786547794871</v>
      </c>
      <c r="CC342" s="40">
        <f t="shared" si="996"/>
        <v>20</v>
      </c>
      <c r="CD342" s="9">
        <f t="shared" si="975"/>
        <v>0.05</v>
      </c>
      <c r="CE342" s="9">
        <f t="shared" si="976"/>
        <v>0.8</v>
      </c>
      <c r="CF342" s="9">
        <f t="shared" si="977"/>
        <v>0.99524931562137331</v>
      </c>
      <c r="CG342" s="9">
        <f t="shared" si="978"/>
        <v>0.68</v>
      </c>
      <c r="CH342" s="9">
        <f t="shared" si="1088"/>
        <v>2.1584305883972208</v>
      </c>
      <c r="CI342" s="9">
        <f t="shared" si="1089"/>
        <v>4.7390041277080668</v>
      </c>
      <c r="CJ342" s="40">
        <v>1</v>
      </c>
      <c r="CK342" s="9">
        <f t="shared" si="1090"/>
        <v>509.91684414138797</v>
      </c>
      <c r="CM342" s="4">
        <f t="shared" si="979"/>
        <v>1.6603365473541258</v>
      </c>
      <c r="CN342" s="4">
        <f t="shared" si="980"/>
        <v>0.69322407599081759</v>
      </c>
      <c r="CO342" s="4">
        <f t="shared" si="946"/>
        <v>1.0551953276997568</v>
      </c>
      <c r="CP342" s="4">
        <f t="shared" si="981"/>
        <v>1.8583151699805556</v>
      </c>
      <c r="CQ342" s="4">
        <f t="shared" si="921"/>
        <v>1.2334336233137346</v>
      </c>
      <c r="CR342" s="4">
        <f t="shared" si="922"/>
        <v>1.1917519000638892</v>
      </c>
      <c r="CS342" s="4">
        <f t="shared" si="947"/>
        <v>1.5863282977600779</v>
      </c>
      <c r="CT342" s="4">
        <f t="shared" si="997"/>
        <v>10</v>
      </c>
      <c r="DA342" s="4">
        <f t="shared" si="1108"/>
        <v>1.6603365473541258</v>
      </c>
      <c r="DB342" s="4">
        <f t="shared" si="1108"/>
        <v>0.69322407599081759</v>
      </c>
      <c r="DC342" s="4">
        <f t="shared" si="1109"/>
        <v>1.8583151699805556</v>
      </c>
      <c r="DD342" s="4">
        <f t="shared" si="1110"/>
        <v>1.5863282977600779</v>
      </c>
      <c r="DE342" s="4">
        <f t="shared" si="1111"/>
        <v>1.2334336233137346</v>
      </c>
      <c r="DF342" s="4">
        <f t="shared" si="1111"/>
        <v>1.1917519000638892</v>
      </c>
      <c r="DI342" s="4">
        <f t="shared" si="982"/>
        <v>302.26</v>
      </c>
      <c r="DL342" s="4">
        <f t="shared" si="900"/>
        <v>2.96967029130915E-5</v>
      </c>
      <c r="DM342" s="4">
        <f t="shared" si="1009"/>
        <v>13.651370648787429</v>
      </c>
      <c r="DN342" s="4">
        <f t="shared" si="901"/>
        <v>0.12902107476988778</v>
      </c>
      <c r="DO342" s="4">
        <f t="shared" si="902"/>
        <v>6.0178383896867622</v>
      </c>
      <c r="DP342" s="4">
        <f t="shared" si="903"/>
        <v>10.55867984451846</v>
      </c>
      <c r="DQ342" s="4">
        <f t="shared" si="904"/>
        <v>11.650918588340279</v>
      </c>
      <c r="DR342" s="38">
        <f t="shared" si="915"/>
        <v>768.25066950159271</v>
      </c>
      <c r="DS342" s="4">
        <f t="shared" si="1095"/>
        <v>1.0000941568065935</v>
      </c>
      <c r="DT342" s="4">
        <f t="shared" si="905"/>
        <v>3.1780497164141401</v>
      </c>
      <c r="DU342" s="4">
        <f t="shared" si="1103"/>
        <v>310.38394744227224</v>
      </c>
      <c r="DY342" s="4">
        <f t="shared" si="1037"/>
        <v>0.85</v>
      </c>
      <c r="DZ342" s="4">
        <f t="shared" si="1096"/>
        <v>0.92499999999999993</v>
      </c>
      <c r="EA342" s="4">
        <f t="shared" si="916"/>
        <v>0.77500000000000002</v>
      </c>
      <c r="EB342" s="4">
        <f t="shared" si="1097"/>
        <v>0.71687499999999993</v>
      </c>
      <c r="ED342" s="4">
        <f t="shared" si="917"/>
        <v>795.12036594676476</v>
      </c>
      <c r="EE342" s="25">
        <f t="shared" si="918"/>
        <v>307.76643378505355</v>
      </c>
      <c r="EG342" s="4">
        <f t="shared" si="1104"/>
        <v>0.60934374999999996</v>
      </c>
      <c r="EH342" s="4">
        <f t="shared" si="919"/>
        <v>13.651370648787429</v>
      </c>
      <c r="EK342" s="4">
        <f t="shared" si="906"/>
        <v>80.72246279691916</v>
      </c>
      <c r="EL342" s="4">
        <f t="shared" si="907"/>
        <v>3.1780497164141406</v>
      </c>
      <c r="EM342" s="4">
        <f t="shared" si="908"/>
        <v>6.428729657182139E-2</v>
      </c>
      <c r="EP342" s="4">
        <f t="shared" si="998"/>
        <v>6.428729657182139E-2</v>
      </c>
      <c r="EQ342" s="4">
        <f t="shared" si="960"/>
        <v>0.12880576264235638</v>
      </c>
      <c r="ER342" s="4">
        <f t="shared" si="1010"/>
        <v>6.0138193164974663</v>
      </c>
      <c r="ES342" s="4">
        <f t="shared" si="983"/>
        <v>10.557557097376879</v>
      </c>
      <c r="ET342" s="4">
        <f t="shared" si="1011"/>
        <v>145.97253720308083</v>
      </c>
      <c r="EU342" s="4">
        <f t="shared" si="1012"/>
        <v>75.564999999999998</v>
      </c>
      <c r="EV342" s="4">
        <f t="shared" si="1098"/>
        <v>2.96967029130915E-5</v>
      </c>
      <c r="EW342" s="4">
        <f t="shared" si="984"/>
        <v>11.651302750208975</v>
      </c>
      <c r="EX342" s="4">
        <f t="shared" si="867"/>
        <v>768.17834028217749</v>
      </c>
      <c r="FG342" s="23">
        <f t="shared" si="1030"/>
        <v>1.8</v>
      </c>
      <c r="FH342" s="23">
        <f t="shared" si="1030"/>
        <v>0.8</v>
      </c>
      <c r="FI342" s="23">
        <f t="shared" si="952"/>
        <v>1.6</v>
      </c>
      <c r="FJ342" s="23">
        <f t="shared" si="1031"/>
        <v>2</v>
      </c>
      <c r="FK342" s="23">
        <f t="shared" si="1031"/>
        <v>1.4</v>
      </c>
      <c r="FL342" s="23">
        <f t="shared" si="1031"/>
        <v>1.2</v>
      </c>
      <c r="FM342" s="23">
        <f t="shared" si="923"/>
        <v>0</v>
      </c>
      <c r="FN342" s="23"/>
      <c r="FX342" s="4">
        <f t="shared" si="1099"/>
        <v>1</v>
      </c>
      <c r="FY342" s="4">
        <f t="shared" si="890"/>
        <v>0.59965116279069774</v>
      </c>
      <c r="FZ342" s="4">
        <f t="shared" si="1100"/>
        <v>0.3</v>
      </c>
      <c r="GA342" s="4">
        <f t="shared" si="1101"/>
        <v>597.34558617819494</v>
      </c>
    </row>
    <row r="343" spans="1:183" ht="12" customHeight="1" x14ac:dyDescent="0.3">
      <c r="A343" s="25">
        <v>325</v>
      </c>
      <c r="B343" s="4" t="s">
        <v>605</v>
      </c>
      <c r="C343" s="4">
        <v>2016</v>
      </c>
      <c r="D343" s="4" t="s">
        <v>309</v>
      </c>
      <c r="E343" s="24" t="s">
        <v>670</v>
      </c>
      <c r="F343" s="7" t="s">
        <v>487</v>
      </c>
      <c r="G343" s="38">
        <f t="shared" si="1080"/>
        <v>889.65517241379314</v>
      </c>
      <c r="H343" s="38">
        <f>12*25.4</f>
        <v>304.79999999999995</v>
      </c>
      <c r="I343" s="4">
        <f t="shared" si="985"/>
        <v>304.79999999999995</v>
      </c>
      <c r="J343" s="38">
        <f>12040/145</f>
        <v>83.034482758620683</v>
      </c>
      <c r="K343" s="38">
        <f t="shared" si="986"/>
        <v>25.4</v>
      </c>
      <c r="L343" s="7">
        <f t="shared" si="987"/>
        <v>11.999999999999998</v>
      </c>
      <c r="M343" s="7">
        <f t="shared" si="988"/>
        <v>11.999999999999998</v>
      </c>
      <c r="N343" s="38">
        <f>14.9*25.4</f>
        <v>378.46</v>
      </c>
      <c r="O343" s="38">
        <f>2.45*25.4</f>
        <v>62.230000000000004</v>
      </c>
      <c r="P343" s="39">
        <f t="shared" ref="P343" si="1113">3*25.4</f>
        <v>76.199999999999989</v>
      </c>
      <c r="Q343" s="7">
        <f t="shared" si="989"/>
        <v>50.800000000000004</v>
      </c>
      <c r="R343" s="38">
        <v>4</v>
      </c>
      <c r="S343" s="4">
        <f t="shared" si="966"/>
        <v>260.34999999999997</v>
      </c>
      <c r="T343" s="7">
        <f t="shared" si="990"/>
        <v>1.5000000000000002</v>
      </c>
      <c r="U343" s="7">
        <f t="shared" si="859"/>
        <v>2.95</v>
      </c>
      <c r="V343" s="38">
        <v>4.0999999999999996</v>
      </c>
      <c r="W343" s="4">
        <f t="shared" si="991"/>
        <v>4.0999999999999996</v>
      </c>
      <c r="X343" s="4">
        <f t="shared" si="992"/>
        <v>5.0999999999999996</v>
      </c>
      <c r="Y343" s="7">
        <f t="shared" si="993"/>
        <v>57.361276136431961</v>
      </c>
      <c r="AB343" s="38">
        <f t="shared" si="1038"/>
        <v>430.34482758620692</v>
      </c>
      <c r="AC343" s="4">
        <v>62.4</v>
      </c>
      <c r="AD343" s="4">
        <f t="shared" si="899"/>
        <v>0.73708254508719195</v>
      </c>
      <c r="AE343" s="38"/>
      <c r="AF343" s="38"/>
      <c r="AG343" s="39">
        <v>1</v>
      </c>
      <c r="AH343" s="39"/>
      <c r="AI343" s="39"/>
      <c r="AJ343" s="7"/>
      <c r="AK343" s="4">
        <f t="shared" si="994"/>
        <v>304.79999999999995</v>
      </c>
      <c r="AL343" s="4">
        <f t="shared" si="910"/>
        <v>0.41388888888888886</v>
      </c>
      <c r="AM343" s="4">
        <f t="shared" si="911"/>
        <v>239.24032317976457</v>
      </c>
      <c r="AN343" s="4">
        <f t="shared" si="912"/>
        <v>0.74916666666666665</v>
      </c>
      <c r="AO343" s="4">
        <v>1.25</v>
      </c>
      <c r="AP343" s="4">
        <f t="shared" si="1112"/>
        <v>2.5</v>
      </c>
      <c r="AQ343" s="38">
        <f t="shared" si="967"/>
        <v>231.81771216907291</v>
      </c>
      <c r="AR343" s="38">
        <f t="shared" si="913"/>
        <v>231.81771216907291</v>
      </c>
      <c r="AS343" s="38">
        <f t="shared" si="914"/>
        <v>4.9032987715448586</v>
      </c>
      <c r="AT343" s="38">
        <f t="shared" si="853"/>
        <v>231.81771216907282</v>
      </c>
      <c r="AU343" s="38">
        <f t="shared" si="1086"/>
        <v>1.0000000000000004</v>
      </c>
      <c r="AV343" s="38">
        <f t="shared" si="954"/>
        <v>3.0171515717896407</v>
      </c>
      <c r="AW343" s="4">
        <f t="shared" si="940"/>
        <v>0</v>
      </c>
      <c r="AX343" s="4">
        <f t="shared" si="995"/>
        <v>575.51531809677044</v>
      </c>
      <c r="AY343" s="4">
        <f t="shared" si="968"/>
        <v>1.3866666666666667</v>
      </c>
      <c r="AZ343" s="38">
        <f t="shared" si="1102"/>
        <v>699.42917463959657</v>
      </c>
      <c r="BA343" s="4">
        <f t="shared" si="969"/>
        <v>0.42600000000000005</v>
      </c>
      <c r="BB343" s="4">
        <f t="shared" si="970"/>
        <v>128.10107707856966</v>
      </c>
      <c r="BC343" s="4">
        <f t="shared" si="971"/>
        <v>827.53025171816626</v>
      </c>
      <c r="BE343" s="4">
        <f t="shared" si="854"/>
        <v>1.3625</v>
      </c>
      <c r="BF343" s="4">
        <f t="shared" si="860"/>
        <v>819.42590384765822</v>
      </c>
      <c r="BH343" s="4">
        <f t="shared" si="861"/>
        <v>670.83811309381031</v>
      </c>
      <c r="BI343" s="4">
        <f t="shared" si="1067"/>
        <v>0</v>
      </c>
      <c r="BJ343" s="4">
        <f t="shared" si="862"/>
        <v>0</v>
      </c>
      <c r="BR343" s="4">
        <f t="shared" si="972"/>
        <v>25.400000000000002</v>
      </c>
      <c r="BV343" s="9"/>
      <c r="BX343" s="9"/>
      <c r="BY343" s="9"/>
      <c r="BZ343" s="9">
        <f t="shared" si="973"/>
        <v>25.400000000000002</v>
      </c>
      <c r="CA343" s="9">
        <f t="shared" si="974"/>
        <v>62.230000000000004</v>
      </c>
      <c r="CB343" s="9">
        <f t="shared" si="1087"/>
        <v>1.143865371392744</v>
      </c>
      <c r="CC343" s="40">
        <f t="shared" si="996"/>
        <v>0</v>
      </c>
      <c r="CD343" s="9">
        <f t="shared" si="975"/>
        <v>0</v>
      </c>
      <c r="CE343" s="9">
        <f t="shared" si="976"/>
        <v>0</v>
      </c>
      <c r="CF343" s="9">
        <f t="shared" si="977"/>
        <v>0.99524931562137331</v>
      </c>
      <c r="CG343" s="9">
        <f t="shared" si="978"/>
        <v>0.68</v>
      </c>
      <c r="CH343" s="9">
        <f t="shared" si="1088"/>
        <v>2.1584305883972208</v>
      </c>
      <c r="CI343" s="9">
        <f t="shared" si="1089"/>
        <v>2.4689540066224458</v>
      </c>
      <c r="CJ343" s="40">
        <v>1</v>
      </c>
      <c r="CK343" s="9">
        <f t="shared" si="1090"/>
        <v>266.6470327152241</v>
      </c>
      <c r="CM343" s="4">
        <f t="shared" si="979"/>
        <v>0.74775564447069376</v>
      </c>
      <c r="CN343" s="4">
        <f t="shared" si="980"/>
        <v>0.5200351608810676</v>
      </c>
      <c r="CO343" s="4">
        <f t="shared" si="946"/>
        <v>0.52517845184720147</v>
      </c>
      <c r="CP343" s="4">
        <f t="shared" si="981"/>
        <v>1.6139119314551313</v>
      </c>
      <c r="CQ343" s="4">
        <f t="shared" si="921"/>
        <v>0.73708254508719195</v>
      </c>
      <c r="CR343" s="4">
        <f t="shared" si="922"/>
        <v>0.73918547860307671</v>
      </c>
      <c r="CS343" s="4">
        <f t="shared" si="947"/>
        <v>1.3651469896302668</v>
      </c>
      <c r="CT343" s="4">
        <f t="shared" si="997"/>
        <v>0</v>
      </c>
      <c r="CU343" s="4">
        <f t="shared" ref="CU343:CV344" si="1114">CM343</f>
        <v>0.74775564447069376</v>
      </c>
      <c r="CV343" s="4">
        <f t="shared" si="1114"/>
        <v>0.5200351608810676</v>
      </c>
      <c r="CW343" s="4">
        <f t="shared" ref="CW343:CW344" si="1115">CP343</f>
        <v>1.6139119314551313</v>
      </c>
      <c r="CX343" s="4">
        <f t="shared" ref="CX343:CX344" si="1116">CS343</f>
        <v>1.3651469896302668</v>
      </c>
      <c r="CY343" s="4">
        <f t="shared" ref="CY343:CZ344" si="1117">CQ343</f>
        <v>0.73708254508719195</v>
      </c>
      <c r="CZ343" s="4">
        <f t="shared" si="1117"/>
        <v>0.73918547860307671</v>
      </c>
      <c r="DI343" s="4">
        <f t="shared" si="982"/>
        <v>304.79999999999995</v>
      </c>
      <c r="DL343" s="4">
        <f t="shared" si="900"/>
        <v>2.9946255038411594E-5</v>
      </c>
      <c r="DM343" s="4">
        <f t="shared" si="1009"/>
        <v>9.7863263338494875</v>
      </c>
      <c r="DN343" s="4">
        <f t="shared" si="901"/>
        <v>0.15198123013066148</v>
      </c>
      <c r="DO343" s="4">
        <f t="shared" si="902"/>
        <v>4.6061245351468303</v>
      </c>
      <c r="DP343" s="4">
        <f t="shared" si="903"/>
        <v>7.6533699014560153</v>
      </c>
      <c r="DQ343" s="4">
        <f t="shared" si="904"/>
        <v>8.6697049627497993</v>
      </c>
      <c r="DR343" s="38">
        <f t="shared" si="915"/>
        <v>583.8488924402626</v>
      </c>
      <c r="DS343" s="4">
        <f t="shared" si="1095"/>
        <v>1.0000857874983462</v>
      </c>
      <c r="DT343" s="4">
        <f t="shared" si="905"/>
        <v>2.2583179581272428</v>
      </c>
      <c r="DU343" s="4">
        <f t="shared" si="1103"/>
        <v>231.81771216907282</v>
      </c>
      <c r="DY343" s="4">
        <f t="shared" si="1037"/>
        <v>0.85</v>
      </c>
      <c r="DZ343" s="4">
        <f t="shared" si="1096"/>
        <v>1</v>
      </c>
      <c r="EA343" s="4">
        <f t="shared" si="916"/>
        <v>1</v>
      </c>
      <c r="EB343" s="4">
        <f t="shared" si="1097"/>
        <v>1</v>
      </c>
      <c r="ED343" s="4">
        <f t="shared" si="917"/>
        <v>582.18788117899544</v>
      </c>
      <c r="EE343" s="25">
        <f t="shared" si="918"/>
        <v>229.88013316041389</v>
      </c>
      <c r="EG343" s="4">
        <f t="shared" si="1104"/>
        <v>0.85</v>
      </c>
      <c r="EH343" s="4">
        <f t="shared" si="919"/>
        <v>9.7863263338494875</v>
      </c>
      <c r="EK343" s="4">
        <f t="shared" si="906"/>
        <v>57.361276136431961</v>
      </c>
      <c r="EL343" s="4">
        <f t="shared" si="907"/>
        <v>2.2583179581272428</v>
      </c>
      <c r="EM343" s="4">
        <f t="shared" si="908"/>
        <v>7.5727647069952941E-2</v>
      </c>
      <c r="EP343" s="4">
        <f t="shared" si="998"/>
        <v>7.5727647069952941E-2</v>
      </c>
      <c r="EQ343" s="4">
        <f t="shared" si="960"/>
        <v>0.15172760178302419</v>
      </c>
      <c r="ER343" s="4">
        <f t="shared" si="1010"/>
        <v>4.6030482890885303</v>
      </c>
      <c r="ES343" s="4">
        <f t="shared" si="983"/>
        <v>7.652458333597421</v>
      </c>
      <c r="ET343" s="4">
        <f t="shared" si="1011"/>
        <v>171.238723863568</v>
      </c>
      <c r="EU343" s="4">
        <f t="shared" si="1012"/>
        <v>76.199999999999989</v>
      </c>
      <c r="EV343" s="4">
        <f t="shared" si="1098"/>
        <v>2.9946255038411594E-5</v>
      </c>
      <c r="EW343" s="4">
        <f t="shared" si="984"/>
        <v>8.6698956235903726</v>
      </c>
      <c r="EX343" s="4">
        <f t="shared" si="867"/>
        <v>583.79880980083226</v>
      </c>
      <c r="FG343" s="23">
        <f t="shared" si="1030"/>
        <v>0.8</v>
      </c>
      <c r="FH343" s="23">
        <f t="shared" si="1030"/>
        <v>0.6</v>
      </c>
      <c r="FI343" s="23">
        <f t="shared" si="952"/>
        <v>1.4</v>
      </c>
      <c r="FJ343" s="23">
        <f t="shared" si="1031"/>
        <v>1.8</v>
      </c>
      <c r="FK343" s="23">
        <f t="shared" si="1031"/>
        <v>0.8</v>
      </c>
      <c r="FL343" s="23">
        <f t="shared" si="1031"/>
        <v>0.8</v>
      </c>
      <c r="FM343" s="23">
        <f t="shared" si="923"/>
        <v>1</v>
      </c>
      <c r="FN343" s="23"/>
      <c r="FX343" s="4">
        <f t="shared" si="1099"/>
        <v>1.25</v>
      </c>
      <c r="FY343" s="4">
        <f t="shared" si="890"/>
        <v>0.91666666666666663</v>
      </c>
      <c r="FZ343" s="4">
        <f t="shared" si="1100"/>
        <v>0</v>
      </c>
      <c r="GA343" s="4">
        <f t="shared" si="1101"/>
        <v>315.23698975651001</v>
      </c>
    </row>
    <row r="344" spans="1:183" ht="12" customHeight="1" x14ac:dyDescent="0.3">
      <c r="A344" s="25">
        <v>326</v>
      </c>
      <c r="B344" s="4" t="s">
        <v>605</v>
      </c>
      <c r="C344" s="4">
        <v>2016</v>
      </c>
      <c r="D344" s="4" t="s">
        <v>309</v>
      </c>
      <c r="E344" s="24" t="s">
        <v>670</v>
      </c>
      <c r="F344" s="7" t="s">
        <v>488</v>
      </c>
      <c r="G344" s="38">
        <f t="shared" si="1080"/>
        <v>889.65517241379314</v>
      </c>
      <c r="H344" s="38">
        <f>12.17*25.4</f>
        <v>309.11799999999999</v>
      </c>
      <c r="I344" s="4">
        <f t="shared" si="985"/>
        <v>309.11799999999999</v>
      </c>
      <c r="J344" s="38">
        <f>12360/145</f>
        <v>85.241379310344826</v>
      </c>
      <c r="K344" s="38">
        <f t="shared" si="986"/>
        <v>25.4</v>
      </c>
      <c r="L344" s="7">
        <f t="shared" si="987"/>
        <v>12.17</v>
      </c>
      <c r="M344" s="7">
        <f t="shared" si="988"/>
        <v>12.17</v>
      </c>
      <c r="N344" s="38">
        <f>15*25.4</f>
        <v>381</v>
      </c>
      <c r="O344" s="38">
        <f t="shared" si="999"/>
        <v>63.5</v>
      </c>
      <c r="P344" s="39">
        <f>3*25.4</f>
        <v>76.199999999999989</v>
      </c>
      <c r="Q344" s="7">
        <f t="shared" si="989"/>
        <v>50.79999999999999</v>
      </c>
      <c r="R344" s="38">
        <v>4</v>
      </c>
      <c r="S344" s="4">
        <f t="shared" si="966"/>
        <v>260.34999999999997</v>
      </c>
      <c r="T344" s="7">
        <f t="shared" si="990"/>
        <v>1.5</v>
      </c>
      <c r="U344" s="7">
        <f t="shared" si="859"/>
        <v>3</v>
      </c>
      <c r="V344" s="38">
        <v>9.1</v>
      </c>
      <c r="W344" s="4">
        <f t="shared" si="991"/>
        <v>9.1</v>
      </c>
      <c r="X344" s="4">
        <f t="shared" si="992"/>
        <v>10.1</v>
      </c>
      <c r="Y344" s="7">
        <f t="shared" si="993"/>
        <v>80.72246279691916</v>
      </c>
      <c r="AB344" s="38">
        <f t="shared" si="1038"/>
        <v>439.31034482758628</v>
      </c>
      <c r="AC344" s="4">
        <v>63.7</v>
      </c>
      <c r="AD344" s="4">
        <f t="shared" si="899"/>
        <v>0.76475423221277683</v>
      </c>
      <c r="AE344" s="38"/>
      <c r="AF344" s="38"/>
      <c r="AG344" s="39">
        <v>1</v>
      </c>
      <c r="AH344" s="39"/>
      <c r="AI344" s="39"/>
      <c r="AJ344" s="7"/>
      <c r="AK344" s="4">
        <f t="shared" si="994"/>
        <v>309.11799999999999</v>
      </c>
      <c r="AL344" s="4">
        <f t="shared" si="910"/>
        <v>0.41084634346754317</v>
      </c>
      <c r="AM344" s="4">
        <f t="shared" si="911"/>
        <v>247.56792156546703</v>
      </c>
      <c r="AN344" s="4">
        <f t="shared" si="912"/>
        <v>0.74930156121610514</v>
      </c>
      <c r="AO344" s="4">
        <v>1.25</v>
      </c>
      <c r="AP344" s="4">
        <f t="shared" si="1112"/>
        <v>2.5</v>
      </c>
      <c r="AQ344" s="38">
        <f t="shared" si="967"/>
        <v>238.16638010480526</v>
      </c>
      <c r="AR344" s="38">
        <f t="shared" si="913"/>
        <v>238.16638010480526</v>
      </c>
      <c r="AS344" s="38">
        <f t="shared" si="914"/>
        <v>4.9491074410379952</v>
      </c>
      <c r="AT344" s="38">
        <f t="shared" si="853"/>
        <v>238.16638010480509</v>
      </c>
      <c r="AU344" s="38">
        <f t="shared" si="1086"/>
        <v>1.0000000000000007</v>
      </c>
      <c r="AV344" s="38">
        <f t="shared" si="954"/>
        <v>4.5346106033999751</v>
      </c>
      <c r="AW344" s="4">
        <f t="shared" si="940"/>
        <v>0</v>
      </c>
      <c r="AX344" s="4">
        <f t="shared" si="995"/>
        <v>591.37397938540164</v>
      </c>
      <c r="AY344" s="4">
        <f t="shared" si="968"/>
        <v>1.4</v>
      </c>
      <c r="AZ344" s="38">
        <f t="shared" si="1102"/>
        <v>1079.9917925966381</v>
      </c>
      <c r="BA344" s="4">
        <f t="shared" si="969"/>
        <v>0.3</v>
      </c>
      <c r="BB344" s="4">
        <f t="shared" si="970"/>
        <v>92.6978712686617</v>
      </c>
      <c r="BC344" s="4">
        <f t="shared" si="971"/>
        <v>1172.6896638652997</v>
      </c>
      <c r="BE344" s="4">
        <f t="shared" si="854"/>
        <v>1.375</v>
      </c>
      <c r="BF344" s="4">
        <f t="shared" si="860"/>
        <v>844.33517092285524</v>
      </c>
      <c r="BH344" s="4">
        <f t="shared" si="861"/>
        <v>1035.8442034901566</v>
      </c>
      <c r="BI344" s="4">
        <f t="shared" si="1067"/>
        <v>0</v>
      </c>
      <c r="BJ344" s="4">
        <f t="shared" si="862"/>
        <v>0</v>
      </c>
      <c r="BR344" s="4">
        <f t="shared" si="972"/>
        <v>25.399999999999995</v>
      </c>
      <c r="BV344" s="9"/>
      <c r="BX344" s="9"/>
      <c r="BY344" s="9"/>
      <c r="BZ344" s="9">
        <f t="shared" si="973"/>
        <v>25.399999999999995</v>
      </c>
      <c r="CA344" s="9">
        <f t="shared" si="974"/>
        <v>63.5</v>
      </c>
      <c r="CB344" s="9">
        <f t="shared" si="1087"/>
        <v>1.1473370055629852</v>
      </c>
      <c r="CC344" s="40">
        <f t="shared" si="996"/>
        <v>0</v>
      </c>
      <c r="CD344" s="9">
        <f t="shared" si="975"/>
        <v>0</v>
      </c>
      <c r="CE344" s="9">
        <f t="shared" si="976"/>
        <v>0</v>
      </c>
      <c r="CF344" s="9">
        <f t="shared" si="977"/>
        <v>0.99524931562137331</v>
      </c>
      <c r="CG344" s="9">
        <f t="shared" si="978"/>
        <v>0.68</v>
      </c>
      <c r="CH344" s="9">
        <f t="shared" si="1088"/>
        <v>2.1869259549958526</v>
      </c>
      <c r="CI344" s="9">
        <f t="shared" si="1089"/>
        <v>2.5091410765929134</v>
      </c>
      <c r="CJ344" s="40">
        <v>1</v>
      </c>
      <c r="CK344" s="9">
        <f t="shared" si="1090"/>
        <v>272.69345220411782</v>
      </c>
      <c r="CM344" s="4">
        <f t="shared" si="979"/>
        <v>0.74286383936633327</v>
      </c>
      <c r="CN344" s="4">
        <f t="shared" si="980"/>
        <v>0.37461773422610073</v>
      </c>
      <c r="CO344" s="4">
        <f t="shared" si="946"/>
        <v>0.52030326339174249</v>
      </c>
      <c r="CP344" s="4">
        <f t="shared" si="981"/>
        <v>1.6110043760740964</v>
      </c>
      <c r="CQ344" s="4">
        <f t="shared" si="921"/>
        <v>0.76475423221277683</v>
      </c>
      <c r="CR344" s="4">
        <f t="shared" si="922"/>
        <v>0.73435132953628823</v>
      </c>
      <c r="CS344" s="4">
        <f t="shared" si="947"/>
        <v>1.0921113414829737</v>
      </c>
      <c r="CT344" s="4">
        <f t="shared" si="997"/>
        <v>0</v>
      </c>
      <c r="CU344" s="4">
        <f t="shared" si="1114"/>
        <v>0.74286383936633327</v>
      </c>
      <c r="CV344" s="4">
        <f t="shared" si="1114"/>
        <v>0.37461773422610073</v>
      </c>
      <c r="CW344" s="4">
        <f t="shared" si="1115"/>
        <v>1.6110043760740964</v>
      </c>
      <c r="CX344" s="4">
        <f t="shared" si="1116"/>
        <v>1.0921113414829737</v>
      </c>
      <c r="CY344" s="4">
        <f t="shared" si="1117"/>
        <v>0.76475423221277683</v>
      </c>
      <c r="CZ344" s="4">
        <f t="shared" si="1117"/>
        <v>0.73435132953628823</v>
      </c>
      <c r="DI344" s="4">
        <f t="shared" si="982"/>
        <v>309.11799999999999</v>
      </c>
      <c r="DL344" s="4">
        <f t="shared" si="900"/>
        <v>3.0775330482386827E-5</v>
      </c>
      <c r="DM344" s="4">
        <f t="shared" si="1009"/>
        <v>9.9155243530194994</v>
      </c>
      <c r="DN344" s="4">
        <f t="shared" si="901"/>
        <v>9.6438373081566373E-2</v>
      </c>
      <c r="DO344" s="4">
        <f t="shared" si="902"/>
        <v>3.8905915176890846</v>
      </c>
      <c r="DP344" s="4">
        <f t="shared" si="903"/>
        <v>7.5418383622167751</v>
      </c>
      <c r="DQ344" s="4">
        <f t="shared" si="904"/>
        <v>8.8202888686208603</v>
      </c>
      <c r="DR344" s="38">
        <f t="shared" si="915"/>
        <v>574.44643824521836</v>
      </c>
      <c r="DS344" s="4">
        <f t="shared" si="1095"/>
        <v>1.0000805626306195</v>
      </c>
      <c r="DT344" s="4">
        <f t="shared" si="905"/>
        <v>3.1780497164141401</v>
      </c>
      <c r="DU344" s="4">
        <f t="shared" si="1103"/>
        <v>238.16638010480509</v>
      </c>
      <c r="DY344" s="4">
        <f t="shared" si="1037"/>
        <v>0.85</v>
      </c>
      <c r="DZ344" s="4">
        <f t="shared" si="1096"/>
        <v>1</v>
      </c>
      <c r="EA344" s="4">
        <f t="shared" si="916"/>
        <v>1</v>
      </c>
      <c r="EB344" s="4">
        <f t="shared" si="1097"/>
        <v>1</v>
      </c>
      <c r="ED344" s="4">
        <f t="shared" si="917"/>
        <v>598.22911344763565</v>
      </c>
      <c r="EE344" s="25">
        <f t="shared" si="918"/>
        <v>236.21331931889364</v>
      </c>
      <c r="EG344" s="4">
        <f t="shared" si="1104"/>
        <v>0.85</v>
      </c>
      <c r="EH344" s="4">
        <f t="shared" si="919"/>
        <v>9.9155243530194994</v>
      </c>
      <c r="EK344" s="4">
        <f t="shared" si="906"/>
        <v>80.72246279691916</v>
      </c>
      <c r="EL344" s="4">
        <f t="shared" si="907"/>
        <v>3.1780497164141406</v>
      </c>
      <c r="EM344" s="4">
        <f t="shared" si="908"/>
        <v>4.868670402844448E-2</v>
      </c>
      <c r="EP344" s="4">
        <f t="shared" si="998"/>
        <v>4.868670402844448E-2</v>
      </c>
      <c r="EQ344" s="4">
        <f t="shared" si="960"/>
        <v>9.6277435410562634E-2</v>
      </c>
      <c r="ER344" s="4">
        <f t="shared" si="1010"/>
        <v>3.887993147469297</v>
      </c>
      <c r="ES344" s="4">
        <f t="shared" si="983"/>
        <v>7.5411879057167894</v>
      </c>
      <c r="ET344" s="4">
        <f t="shared" si="1011"/>
        <v>151.11603720308085</v>
      </c>
      <c r="EU344" s="4">
        <f t="shared" si="1012"/>
        <v>77.279499999999985</v>
      </c>
      <c r="EV344" s="4">
        <f t="shared" si="1098"/>
        <v>3.0775330482386821E-5</v>
      </c>
      <c r="EW344" s="4">
        <f t="shared" si="984"/>
        <v>8.8204725370867241</v>
      </c>
      <c r="EX344" s="4">
        <f t="shared" si="867"/>
        <v>574.40016305705421</v>
      </c>
      <c r="FG344" s="23">
        <f t="shared" si="1030"/>
        <v>0.8</v>
      </c>
      <c r="FH344" s="23">
        <f t="shared" si="1030"/>
        <v>0.6</v>
      </c>
      <c r="FI344" s="23">
        <f t="shared" si="952"/>
        <v>1.2</v>
      </c>
      <c r="FJ344" s="23">
        <f t="shared" si="1031"/>
        <v>1.8</v>
      </c>
      <c r="FK344" s="23">
        <f t="shared" si="1031"/>
        <v>0.8</v>
      </c>
      <c r="FL344" s="23">
        <f t="shared" si="1031"/>
        <v>0.8</v>
      </c>
      <c r="FM344" s="23">
        <f t="shared" si="923"/>
        <v>1</v>
      </c>
      <c r="FN344" s="23"/>
      <c r="FX344" s="4">
        <f t="shared" si="1099"/>
        <v>1</v>
      </c>
      <c r="FY344" s="4">
        <f t="shared" si="890"/>
        <v>0.91666666666666663</v>
      </c>
      <c r="FZ344" s="4">
        <f t="shared" si="1100"/>
        <v>0</v>
      </c>
      <c r="GA344" s="4">
        <f t="shared" si="1101"/>
        <v>402.25783593735827</v>
      </c>
    </row>
    <row r="345" spans="1:183" ht="12" customHeight="1" x14ac:dyDescent="0.3">
      <c r="A345" s="25">
        <v>327</v>
      </c>
      <c r="B345" s="4" t="s">
        <v>605</v>
      </c>
      <c r="C345" s="4">
        <v>2016</v>
      </c>
      <c r="D345" s="4" t="s">
        <v>309</v>
      </c>
      <c r="E345" s="24" t="s">
        <v>670</v>
      </c>
      <c r="F345" s="7" t="s">
        <v>489</v>
      </c>
      <c r="G345" s="38">
        <f t="shared" si="1080"/>
        <v>889.65517241379314</v>
      </c>
      <c r="H345" s="38">
        <f>12.03*25.4</f>
        <v>305.56199999999995</v>
      </c>
      <c r="I345" s="4">
        <f t="shared" si="985"/>
        <v>305.56199999999995</v>
      </c>
      <c r="J345" s="38">
        <f>12360/145</f>
        <v>85.241379310344826</v>
      </c>
      <c r="K345" s="38">
        <f t="shared" si="986"/>
        <v>25.4</v>
      </c>
      <c r="L345" s="7">
        <f t="shared" si="987"/>
        <v>12.03</v>
      </c>
      <c r="M345" s="7">
        <f t="shared" si="988"/>
        <v>12.03</v>
      </c>
      <c r="N345" s="38">
        <f>15.1*25.4</f>
        <v>383.53999999999996</v>
      </c>
      <c r="O345" s="38">
        <f>2.45*25.4</f>
        <v>62.230000000000004</v>
      </c>
      <c r="P345" s="39">
        <f>3.1*25.4</f>
        <v>78.739999999999995</v>
      </c>
      <c r="Q345" s="7">
        <f t="shared" si="989"/>
        <v>52.493333333333311</v>
      </c>
      <c r="R345" s="38">
        <v>4</v>
      </c>
      <c r="S345" s="4">
        <f t="shared" si="966"/>
        <v>260.34999999999997</v>
      </c>
      <c r="T345" s="7">
        <f t="shared" si="990"/>
        <v>1.533333333333333</v>
      </c>
      <c r="U345" s="7">
        <f t="shared" si="859"/>
        <v>2.95</v>
      </c>
      <c r="V345" s="38">
        <v>4.0999999999999996</v>
      </c>
      <c r="W345" s="4">
        <f t="shared" si="991"/>
        <v>4.0999999999999996</v>
      </c>
      <c r="X345" s="4">
        <f t="shared" si="992"/>
        <v>5.0999999999999996</v>
      </c>
      <c r="Y345" s="7">
        <f t="shared" si="993"/>
        <v>57.361276136431961</v>
      </c>
      <c r="AB345" s="38">
        <f t="shared" si="1038"/>
        <v>560.00000000000011</v>
      </c>
      <c r="AC345" s="4">
        <v>81.2</v>
      </c>
      <c r="AD345" s="4">
        <f t="shared" si="899"/>
        <v>0.80505769112623204</v>
      </c>
      <c r="AE345" s="38">
        <f t="shared" ref="AE345:AE346" si="1118">0.5*25.4</f>
        <v>12.7</v>
      </c>
      <c r="AF345" s="38">
        <v>10</v>
      </c>
      <c r="AG345" s="39">
        <f t="shared" ref="AG345:AG346" si="1119">3*25.4</f>
        <v>76.199999999999989</v>
      </c>
      <c r="AH345" s="39">
        <v>3</v>
      </c>
      <c r="AI345" s="39">
        <f t="shared" ref="AI345:AI346" si="1120">AH345-1</f>
        <v>2</v>
      </c>
      <c r="AJ345" s="7"/>
      <c r="AK345" s="4">
        <f t="shared" si="994"/>
        <v>305.56199999999995</v>
      </c>
      <c r="AL345" s="4">
        <f t="shared" si="910"/>
        <v>0.41839844832363543</v>
      </c>
      <c r="AM345" s="4">
        <f t="shared" si="911"/>
        <v>243.30831117709874</v>
      </c>
      <c r="AN345" s="4">
        <f t="shared" si="912"/>
        <v>0.74904405652535322</v>
      </c>
      <c r="AO345" s="4">
        <v>1.25</v>
      </c>
      <c r="AP345" s="4">
        <f t="shared" si="1112"/>
        <v>2.5</v>
      </c>
      <c r="AQ345" s="38">
        <f t="shared" si="967"/>
        <v>238.28921881887709</v>
      </c>
      <c r="AR345" s="38">
        <f t="shared" si="913"/>
        <v>238.28921881887709</v>
      </c>
      <c r="AS345" s="38">
        <f t="shared" si="914"/>
        <v>4.9491074410379952</v>
      </c>
      <c r="AT345" s="38">
        <f t="shared" ref="AT345:AT408" si="1121">AP345* (J345^0.5/AK345^0.5)/(PI()/4*K345^2)/R345/0.72 *(0.7+(MIN(O345,S345)+0.5*K345)/5/H345) *(3*N345*H345)</f>
        <v>238.28921881887737</v>
      </c>
      <c r="AU345" s="38">
        <f t="shared" si="1086"/>
        <v>0.99999999999999878</v>
      </c>
      <c r="AV345" s="38">
        <f t="shared" si="954"/>
        <v>3.042196719936292</v>
      </c>
      <c r="AW345" s="4">
        <f t="shared" si="940"/>
        <v>0</v>
      </c>
      <c r="AX345" s="4">
        <f t="shared" si="995"/>
        <v>584.57099194793602</v>
      </c>
      <c r="AY345" s="4">
        <f t="shared" si="968"/>
        <v>1.3695652173913047</v>
      </c>
      <c r="AZ345" s="38">
        <f t="shared" si="1102"/>
        <v>724.92267988697006</v>
      </c>
      <c r="BA345" s="4">
        <f t="shared" si="969"/>
        <v>0.42600000000000005</v>
      </c>
      <c r="BB345" s="4">
        <f t="shared" si="970"/>
        <v>130.11673424273135</v>
      </c>
      <c r="BC345" s="4">
        <f t="shared" si="971"/>
        <v>855.03941412970141</v>
      </c>
      <c r="BE345" s="4">
        <f t="shared" ref="BE345:BE408" si="1122">MIN(1.5, 0.75+0.25*MIN(3,MAX(1,O345/K345))+0.4*MIN(1,(40*2*PI()*AE345^2/4/AG345/R345)/K345))</f>
        <v>1.5</v>
      </c>
      <c r="BF345" s="4">
        <f t="shared" si="860"/>
        <v>915.27635947499107</v>
      </c>
      <c r="BH345" s="4">
        <f t="shared" si="861"/>
        <v>695.28950227858024</v>
      </c>
      <c r="BI345" s="4">
        <f t="shared" si="1067"/>
        <v>0</v>
      </c>
      <c r="BJ345" s="4">
        <f t="shared" si="862"/>
        <v>0</v>
      </c>
      <c r="BR345" s="4">
        <f t="shared" si="972"/>
        <v>26.246666666666655</v>
      </c>
      <c r="BV345" s="9"/>
      <c r="BX345" s="9"/>
      <c r="BY345" s="9"/>
      <c r="BZ345" s="9">
        <f t="shared" si="973"/>
        <v>26.246666666666655</v>
      </c>
      <c r="CA345" s="9">
        <f t="shared" si="974"/>
        <v>62.230000000000004</v>
      </c>
      <c r="CB345" s="9">
        <f t="shared" si="1087"/>
        <v>1.1570684888602492</v>
      </c>
      <c r="CC345" s="40">
        <f t="shared" si="996"/>
        <v>20</v>
      </c>
      <c r="CD345" s="9">
        <f t="shared" si="975"/>
        <v>0.05</v>
      </c>
      <c r="CE345" s="9">
        <f t="shared" si="976"/>
        <v>0.8</v>
      </c>
      <c r="CF345" s="9">
        <f t="shared" si="977"/>
        <v>0.99524931562137331</v>
      </c>
      <c r="CG345" s="9">
        <f t="shared" si="978"/>
        <v>0.68</v>
      </c>
      <c r="CH345" s="9">
        <f t="shared" si="1088"/>
        <v>2.1869259549958526</v>
      </c>
      <c r="CI345" s="9">
        <f t="shared" si="1089"/>
        <v>4.2799638739929904</v>
      </c>
      <c r="CJ345" s="40">
        <v>1</v>
      </c>
      <c r="CK345" s="9">
        <f t="shared" si="1090"/>
        <v>462.74969405612217</v>
      </c>
      <c r="CM345" s="4">
        <f t="shared" si="979"/>
        <v>0.95796747993591125</v>
      </c>
      <c r="CN345" s="4">
        <f t="shared" si="980"/>
        <v>0.65494056852337501</v>
      </c>
      <c r="CO345" s="4">
        <f t="shared" si="946"/>
        <v>0.61183706342117261</v>
      </c>
      <c r="CP345" s="4">
        <f t="shared" si="981"/>
        <v>1.210157472156175</v>
      </c>
      <c r="CQ345" s="4">
        <f t="shared" si="921"/>
        <v>0.80505769112623204</v>
      </c>
      <c r="CR345" s="4">
        <f t="shared" si="922"/>
        <v>0.80046699672781108</v>
      </c>
      <c r="CS345" s="4">
        <f t="shared" si="947"/>
        <v>1.2738805592629094</v>
      </c>
      <c r="CT345" s="4">
        <f t="shared" si="997"/>
        <v>10</v>
      </c>
      <c r="DA345" s="4">
        <f t="shared" ref="DA345:DB346" si="1123">CM345</f>
        <v>0.95796747993591125</v>
      </c>
      <c r="DB345" s="4">
        <f t="shared" si="1123"/>
        <v>0.65494056852337501</v>
      </c>
      <c r="DC345" s="4">
        <f t="shared" ref="DC345:DC346" si="1124">CP345</f>
        <v>1.210157472156175</v>
      </c>
      <c r="DD345" s="4">
        <f t="shared" ref="DD345:DD346" si="1125">CS345</f>
        <v>1.2738805592629094</v>
      </c>
      <c r="DE345" s="4">
        <f t="shared" ref="DE345:DF346" si="1126">CQ345</f>
        <v>0.80505769112623204</v>
      </c>
      <c r="DF345" s="4">
        <f t="shared" si="1126"/>
        <v>0.80046699672781108</v>
      </c>
      <c r="DI345" s="4">
        <f t="shared" si="982"/>
        <v>305.56199999999995</v>
      </c>
      <c r="DL345" s="4">
        <f t="shared" si="900"/>
        <v>3.0421300386451396E-5</v>
      </c>
      <c r="DM345" s="4">
        <f t="shared" si="1009"/>
        <v>12.83701502171043</v>
      </c>
      <c r="DN345" s="4">
        <f t="shared" si="901"/>
        <v>0.1521793587080586</v>
      </c>
      <c r="DO345" s="4">
        <f t="shared" si="902"/>
        <v>6.0451398062212967</v>
      </c>
      <c r="DP345" s="4">
        <f t="shared" si="903"/>
        <v>10.040086430595098</v>
      </c>
      <c r="DQ345" s="4">
        <f t="shared" si="904"/>
        <v>10.893917173358787</v>
      </c>
      <c r="DR345" s="38">
        <f t="shared" si="915"/>
        <v>695.60232288022803</v>
      </c>
      <c r="DS345" s="4">
        <f t="shared" si="1095"/>
        <v>1.0000932592756089</v>
      </c>
      <c r="DT345" s="4">
        <f t="shared" si="905"/>
        <v>2.2583179581272428</v>
      </c>
      <c r="DU345" s="4">
        <f t="shared" si="1103"/>
        <v>238.28921881887737</v>
      </c>
      <c r="DY345" s="4">
        <f t="shared" si="1037"/>
        <v>0.85</v>
      </c>
      <c r="DZ345" s="4">
        <f t="shared" si="1096"/>
        <v>0.9966666666666667</v>
      </c>
      <c r="EA345" s="4">
        <f t="shared" si="916"/>
        <v>0.77500000000000002</v>
      </c>
      <c r="EB345" s="4">
        <f t="shared" si="1097"/>
        <v>0.77241666666666675</v>
      </c>
      <c r="ED345" s="4">
        <f t="shared" si="917"/>
        <v>699.59161625550587</v>
      </c>
      <c r="EE345" s="25">
        <f t="shared" si="918"/>
        <v>236.30374412197665</v>
      </c>
      <c r="EG345" s="4">
        <f t="shared" si="1104"/>
        <v>0.65655416666666677</v>
      </c>
      <c r="EH345" s="4">
        <f t="shared" si="919"/>
        <v>12.83701502171043</v>
      </c>
      <c r="EK345" s="4">
        <f t="shared" si="906"/>
        <v>57.361276136431961</v>
      </c>
      <c r="EL345" s="4">
        <f t="shared" si="907"/>
        <v>2.2583179581272428</v>
      </c>
      <c r="EM345" s="4">
        <f t="shared" si="908"/>
        <v>7.6827420039440139E-2</v>
      </c>
      <c r="EP345" s="4">
        <f t="shared" si="998"/>
        <v>7.6827420039440139E-2</v>
      </c>
      <c r="EQ345" s="4">
        <f t="shared" si="960"/>
        <v>0.15192539972075178</v>
      </c>
      <c r="ER345" s="4">
        <f t="shared" si="1010"/>
        <v>6.0411024995095755</v>
      </c>
      <c r="ES345" s="4">
        <f t="shared" si="983"/>
        <v>10.038889525077265</v>
      </c>
      <c r="ET345" s="4">
        <f t="shared" si="1011"/>
        <v>171.81022386356801</v>
      </c>
      <c r="EU345" s="4">
        <f t="shared" si="1012"/>
        <v>76.390499999999975</v>
      </c>
      <c r="EV345" s="4">
        <f t="shared" si="1098"/>
        <v>3.0421300386451385E-5</v>
      </c>
      <c r="EW345" s="4">
        <f t="shared" si="984"/>
        <v>10.894248770764069</v>
      </c>
      <c r="EX345" s="4">
        <f t="shared" si="867"/>
        <v>695.53745756077706</v>
      </c>
      <c r="FG345" s="23">
        <f t="shared" si="1030"/>
        <v>1</v>
      </c>
      <c r="FH345" s="23">
        <f t="shared" si="1030"/>
        <v>0.8</v>
      </c>
      <c r="FI345" s="23">
        <f t="shared" si="952"/>
        <v>1.4</v>
      </c>
      <c r="FJ345" s="23">
        <f t="shared" si="1031"/>
        <v>1.4</v>
      </c>
      <c r="FK345" s="23">
        <f t="shared" si="1031"/>
        <v>1</v>
      </c>
      <c r="FL345" s="23">
        <f t="shared" si="1031"/>
        <v>1</v>
      </c>
      <c r="FM345" s="23">
        <f t="shared" si="923"/>
        <v>0</v>
      </c>
      <c r="FN345" s="23"/>
      <c r="FX345" s="4">
        <f t="shared" si="1099"/>
        <v>1.25</v>
      </c>
      <c r="FY345" s="4">
        <f t="shared" si="890"/>
        <v>0.66331782945736439</v>
      </c>
      <c r="FZ345" s="4">
        <f t="shared" si="1100"/>
        <v>0.3</v>
      </c>
      <c r="GA345" s="4">
        <f t="shared" si="1101"/>
        <v>439.60165333241787</v>
      </c>
    </row>
    <row r="346" spans="1:183" ht="12" customHeight="1" x14ac:dyDescent="0.3">
      <c r="A346" s="25">
        <v>328</v>
      </c>
      <c r="B346" s="4" t="s">
        <v>605</v>
      </c>
      <c r="C346" s="4">
        <v>2016</v>
      </c>
      <c r="D346" s="4" t="s">
        <v>309</v>
      </c>
      <c r="E346" s="24" t="s">
        <v>670</v>
      </c>
      <c r="F346" s="7" t="s">
        <v>490</v>
      </c>
      <c r="G346" s="38">
        <f t="shared" si="1080"/>
        <v>889.65517241379314</v>
      </c>
      <c r="H346" s="38">
        <f>11.95*25.4</f>
        <v>303.52999999999997</v>
      </c>
      <c r="I346" s="4">
        <f t="shared" si="985"/>
        <v>303.52999999999997</v>
      </c>
      <c r="J346" s="38">
        <f>12360/145</f>
        <v>85.241379310344826</v>
      </c>
      <c r="K346" s="38">
        <f t="shared" si="986"/>
        <v>25.4</v>
      </c>
      <c r="L346" s="7">
        <f t="shared" si="987"/>
        <v>11.95</v>
      </c>
      <c r="M346" s="7">
        <f t="shared" si="988"/>
        <v>11.95</v>
      </c>
      <c r="N346" s="38">
        <f>14.9*25.4</f>
        <v>378.46</v>
      </c>
      <c r="O346" s="38">
        <f>2.45*25.4</f>
        <v>62.230000000000004</v>
      </c>
      <c r="P346" s="39">
        <f>3.1*25.4</f>
        <v>78.739999999999995</v>
      </c>
      <c r="Q346" s="7">
        <f t="shared" si="989"/>
        <v>50.800000000000004</v>
      </c>
      <c r="R346" s="38">
        <v>4</v>
      </c>
      <c r="S346" s="4">
        <f t="shared" si="966"/>
        <v>260.34999999999997</v>
      </c>
      <c r="T346" s="7">
        <f t="shared" si="990"/>
        <v>1.5000000000000002</v>
      </c>
      <c r="U346" s="7">
        <f t="shared" ref="U346:U409" si="1127">O346/K346+0.5</f>
        <v>2.95</v>
      </c>
      <c r="V346" s="38">
        <v>9.1</v>
      </c>
      <c r="W346" s="4">
        <f t="shared" si="991"/>
        <v>9.1</v>
      </c>
      <c r="X346" s="4">
        <f t="shared" si="992"/>
        <v>10.1</v>
      </c>
      <c r="Y346" s="7">
        <f t="shared" si="993"/>
        <v>80.72246279691916</v>
      </c>
      <c r="AB346" s="38">
        <f t="shared" si="1038"/>
        <v>766.20689655172418</v>
      </c>
      <c r="AC346" s="4">
        <v>111.1</v>
      </c>
      <c r="AD346" s="4">
        <f t="shared" si="899"/>
        <v>1.1698808414795534</v>
      </c>
      <c r="AE346" s="38">
        <f t="shared" si="1118"/>
        <v>12.7</v>
      </c>
      <c r="AF346" s="38">
        <v>10</v>
      </c>
      <c r="AG346" s="39">
        <f t="shared" si="1119"/>
        <v>76.199999999999989</v>
      </c>
      <c r="AH346" s="39">
        <v>3</v>
      </c>
      <c r="AI346" s="39">
        <f t="shared" si="1120"/>
        <v>2</v>
      </c>
      <c r="AJ346" s="7"/>
      <c r="AK346" s="4">
        <f t="shared" si="994"/>
        <v>303.52999999999997</v>
      </c>
      <c r="AL346" s="4">
        <f t="shared" si="910"/>
        <v>0.41562064156206424</v>
      </c>
      <c r="AM346" s="4">
        <f t="shared" si="911"/>
        <v>240.88533502614254</v>
      </c>
      <c r="AN346" s="4">
        <f t="shared" si="912"/>
        <v>0.74937238493723846</v>
      </c>
      <c r="AO346" s="4">
        <v>1.25</v>
      </c>
      <c r="AP346" s="4">
        <f t="shared" si="1112"/>
        <v>2.5</v>
      </c>
      <c r="AQ346" s="38">
        <f t="shared" si="967"/>
        <v>234.45266634184955</v>
      </c>
      <c r="AR346" s="38">
        <f t="shared" si="913"/>
        <v>234.45266634184955</v>
      </c>
      <c r="AS346" s="38">
        <f t="shared" si="914"/>
        <v>4.9491074410379952</v>
      </c>
      <c r="AT346" s="38">
        <f t="shared" si="1121"/>
        <v>234.45266634184975</v>
      </c>
      <c r="AU346" s="38">
        <f t="shared" si="1086"/>
        <v>0.99999999999999911</v>
      </c>
      <c r="AV346" s="38">
        <f t="shared" si="954"/>
        <v>4.5625676737536338</v>
      </c>
      <c r="AW346" s="4">
        <f t="shared" si="940"/>
        <v>0</v>
      </c>
      <c r="AX346" s="4">
        <f t="shared" si="995"/>
        <v>580.68357055509853</v>
      </c>
      <c r="AY346" s="4">
        <f t="shared" si="968"/>
        <v>1.3866666666666667</v>
      </c>
      <c r="AZ346" s="38">
        <f t="shared" si="1102"/>
        <v>1069.7061564766702</v>
      </c>
      <c r="BA346" s="4">
        <f t="shared" si="969"/>
        <v>0.3</v>
      </c>
      <c r="BB346" s="4">
        <f t="shared" si="970"/>
        <v>91.022149684511675</v>
      </c>
      <c r="BC346" s="4">
        <f t="shared" si="971"/>
        <v>1160.728306161182</v>
      </c>
      <c r="BE346" s="4">
        <f t="shared" si="1122"/>
        <v>1.5</v>
      </c>
      <c r="BF346" s="4">
        <f t="shared" ref="BF346:BF409" si="1128">(3*M346+30)*BE346*J346^0.5</f>
        <v>911.95261418411485</v>
      </c>
      <c r="BH346" s="4">
        <f t="shared" ref="BH346:BH409" si="1129">3.4/PI()^0.5*J346*T346*W346^0.5*AY346</f>
        <v>1025.9790205997742</v>
      </c>
      <c r="BI346" s="4">
        <f t="shared" si="1067"/>
        <v>0</v>
      </c>
      <c r="BJ346" s="4">
        <f t="shared" ref="BJ346:BJ409" si="1130">BI346/BH346</f>
        <v>0</v>
      </c>
      <c r="BR346" s="4">
        <f t="shared" si="972"/>
        <v>25.400000000000002</v>
      </c>
      <c r="BV346" s="9"/>
      <c r="BX346" s="9"/>
      <c r="BY346" s="9"/>
      <c r="BZ346" s="9">
        <f t="shared" si="973"/>
        <v>25.400000000000002</v>
      </c>
      <c r="CA346" s="9">
        <f t="shared" si="974"/>
        <v>62.230000000000004</v>
      </c>
      <c r="CB346" s="9">
        <f t="shared" si="1087"/>
        <v>1.143865371392744</v>
      </c>
      <c r="CC346" s="40">
        <f t="shared" si="996"/>
        <v>20</v>
      </c>
      <c r="CD346" s="9">
        <f t="shared" si="975"/>
        <v>0.05</v>
      </c>
      <c r="CE346" s="9">
        <f t="shared" si="976"/>
        <v>0.8</v>
      </c>
      <c r="CF346" s="9">
        <f t="shared" si="977"/>
        <v>0.99524931562137331</v>
      </c>
      <c r="CG346" s="9">
        <f t="shared" si="978"/>
        <v>0.68</v>
      </c>
      <c r="CH346" s="9">
        <f t="shared" si="1088"/>
        <v>2.1869259549958526</v>
      </c>
      <c r="CI346" s="9">
        <f t="shared" si="1089"/>
        <v>4.251089633716445</v>
      </c>
      <c r="CJ346" s="40">
        <v>1</v>
      </c>
      <c r="CK346" s="9">
        <f t="shared" si="1090"/>
        <v>458.26746251463271</v>
      </c>
      <c r="CM346" s="4">
        <f t="shared" si="979"/>
        <v>1.3194912606521252</v>
      </c>
      <c r="CN346" s="4">
        <f t="shared" si="980"/>
        <v>0.66010873732007236</v>
      </c>
      <c r="CO346" s="4">
        <f t="shared" si="946"/>
        <v>0.84018279528395989</v>
      </c>
      <c r="CP346" s="4">
        <f t="shared" si="981"/>
        <v>1.6719644295655374</v>
      </c>
      <c r="CQ346" s="4">
        <f t="shared" si="921"/>
        <v>1.1698808414795534</v>
      </c>
      <c r="CR346" s="4">
        <f t="shared" si="922"/>
        <v>1.1085878003695551</v>
      </c>
      <c r="CS346" s="4">
        <f t="shared" si="947"/>
        <v>1.7624587508377958</v>
      </c>
      <c r="CT346" s="4">
        <f t="shared" si="997"/>
        <v>10</v>
      </c>
      <c r="DA346" s="4">
        <f t="shared" si="1123"/>
        <v>1.3194912606521252</v>
      </c>
      <c r="DB346" s="4">
        <f t="shared" si="1123"/>
        <v>0.66010873732007236</v>
      </c>
      <c r="DC346" s="4">
        <f t="shared" si="1124"/>
        <v>1.6719644295655374</v>
      </c>
      <c r="DD346" s="4">
        <f t="shared" si="1125"/>
        <v>1.7624587508377958</v>
      </c>
      <c r="DE346" s="4">
        <f t="shared" si="1126"/>
        <v>1.1698808414795534</v>
      </c>
      <c r="DF346" s="4">
        <f t="shared" si="1126"/>
        <v>1.1085878003695551</v>
      </c>
      <c r="DI346" s="4">
        <f t="shared" si="982"/>
        <v>303.52999999999997</v>
      </c>
      <c r="DL346" s="4">
        <f t="shared" si="900"/>
        <v>3.0218997474488296E-5</v>
      </c>
      <c r="DM346" s="4">
        <f t="shared" si="1009"/>
        <v>12.794224971638064</v>
      </c>
      <c r="DN346" s="4">
        <f t="shared" si="901"/>
        <v>9.4934615442757594E-2</v>
      </c>
      <c r="DO346" s="4">
        <f t="shared" si="902"/>
        <v>4.988659028525408</v>
      </c>
      <c r="DP346" s="4">
        <f t="shared" si="903"/>
        <v>9.7235504870790646</v>
      </c>
      <c r="DQ346" s="4">
        <f t="shared" si="904"/>
        <v>11.053834529233329</v>
      </c>
      <c r="DR346" s="38">
        <f t="shared" si="915"/>
        <v>654.94439209953975</v>
      </c>
      <c r="DS346" s="4">
        <f t="shared" si="1095"/>
        <v>1.0000886053115807</v>
      </c>
      <c r="DT346" s="4">
        <f t="shared" si="905"/>
        <v>3.1780497164141401</v>
      </c>
      <c r="DU346" s="4">
        <f t="shared" si="1103"/>
        <v>234.45266634184975</v>
      </c>
      <c r="DY346" s="4">
        <f t="shared" si="1037"/>
        <v>0.85</v>
      </c>
      <c r="DZ346" s="4">
        <f t="shared" si="1096"/>
        <v>1</v>
      </c>
      <c r="EA346" s="4">
        <f t="shared" si="916"/>
        <v>0.77500000000000002</v>
      </c>
      <c r="EB346" s="4">
        <f t="shared" si="1097"/>
        <v>0.77500000000000002</v>
      </c>
      <c r="ED346" s="4">
        <f t="shared" si="917"/>
        <v>691.15580768280518</v>
      </c>
      <c r="EE346" s="25">
        <f t="shared" si="918"/>
        <v>232.4828424495806</v>
      </c>
      <c r="EG346" s="4">
        <f t="shared" si="1104"/>
        <v>0.65874999999999995</v>
      </c>
      <c r="EH346" s="4">
        <f t="shared" si="919"/>
        <v>12.794224971638064</v>
      </c>
      <c r="EK346" s="4">
        <f t="shared" si="906"/>
        <v>80.72246279691916</v>
      </c>
      <c r="EL346" s="4">
        <f t="shared" si="907"/>
        <v>3.1780497164141406</v>
      </c>
      <c r="EM346" s="4">
        <f t="shared" si="908"/>
        <v>4.7927535237518568E-2</v>
      </c>
      <c r="EP346" s="4">
        <f t="shared" si="998"/>
        <v>4.7927535237518568E-2</v>
      </c>
      <c r="EQ346" s="4">
        <f t="shared" si="960"/>
        <v>9.477618726299071E-2</v>
      </c>
      <c r="ER346" s="4">
        <f t="shared" si="1010"/>
        <v>4.9853273030030936</v>
      </c>
      <c r="ES346" s="4">
        <f t="shared" si="983"/>
        <v>9.7227215162763319</v>
      </c>
      <c r="ET346" s="4">
        <f t="shared" si="1011"/>
        <v>146.92503720308082</v>
      </c>
      <c r="EU346" s="4">
        <f t="shared" si="1012"/>
        <v>75.882499999999993</v>
      </c>
      <c r="EV346" s="4">
        <f t="shared" si="1098"/>
        <v>3.0218997474488296E-5</v>
      </c>
      <c r="EW346" s="4">
        <f t="shared" si="984"/>
        <v>11.05412806132567</v>
      </c>
      <c r="EX346" s="4">
        <f t="shared" ref="EX346:EX409" si="1131">MIN(4/K346*(1*ER346*EK346+ES346*ET346+EU346*EW346)+DU346,MAX(G346,AB346))</f>
        <v>654.88636568905793</v>
      </c>
      <c r="FG346" s="23">
        <f t="shared" si="1030"/>
        <v>1.4</v>
      </c>
      <c r="FH346" s="23">
        <f t="shared" si="1030"/>
        <v>0.8</v>
      </c>
      <c r="FI346" s="23">
        <f t="shared" si="952"/>
        <v>1.8</v>
      </c>
      <c r="FJ346" s="23">
        <f t="shared" si="1031"/>
        <v>1.8</v>
      </c>
      <c r="FK346" s="23">
        <f t="shared" si="1031"/>
        <v>1.2</v>
      </c>
      <c r="FL346" s="23">
        <f t="shared" si="1031"/>
        <v>1.2</v>
      </c>
      <c r="FM346" s="23">
        <f t="shared" si="923"/>
        <v>0</v>
      </c>
      <c r="FN346" s="23"/>
      <c r="FX346" s="4">
        <f t="shared" si="1099"/>
        <v>1.25</v>
      </c>
      <c r="FY346" s="4">
        <f t="shared" si="890"/>
        <v>0.66627906976744189</v>
      </c>
      <c r="FZ346" s="4">
        <f t="shared" si="1100"/>
        <v>0.3</v>
      </c>
      <c r="GA346" s="4">
        <f t="shared" si="1101"/>
        <v>434.73749169306967</v>
      </c>
    </row>
    <row r="347" spans="1:183" ht="12" customHeight="1" x14ac:dyDescent="0.3">
      <c r="A347" s="25">
        <v>329</v>
      </c>
      <c r="B347" s="4" t="s">
        <v>605</v>
      </c>
      <c r="C347" s="4">
        <v>2016</v>
      </c>
      <c r="D347" s="4" t="s">
        <v>309</v>
      </c>
      <c r="E347" s="24" t="s">
        <v>491</v>
      </c>
      <c r="F347" s="48" t="s">
        <v>492</v>
      </c>
      <c r="G347" s="38">
        <f>115.9/0.145</f>
        <v>799.31034482758628</v>
      </c>
      <c r="H347" s="38">
        <f>9.19*25.4</f>
        <v>233.42599999999999</v>
      </c>
      <c r="I347" s="4">
        <f t="shared" si="985"/>
        <v>233.42599999999999</v>
      </c>
      <c r="J347" s="38">
        <f>6710/145</f>
        <v>46.275862068965516</v>
      </c>
      <c r="K347" s="38">
        <f t="shared" si="986"/>
        <v>25.4</v>
      </c>
      <c r="L347" s="7">
        <f t="shared" si="987"/>
        <v>9.19</v>
      </c>
      <c r="M347" s="7">
        <f t="shared" si="988"/>
        <v>9.19</v>
      </c>
      <c r="N347" s="38">
        <f>17.3*25.4</f>
        <v>439.42</v>
      </c>
      <c r="O347" s="38">
        <f>2.6*25.4</f>
        <v>66.039999999999992</v>
      </c>
      <c r="P347" s="39">
        <f>3.25*25.4</f>
        <v>82.55</v>
      </c>
      <c r="Q347" s="7">
        <f t="shared" si="989"/>
        <v>256.54000000000002</v>
      </c>
      <c r="R347" s="38">
        <v>2</v>
      </c>
      <c r="S347" s="4">
        <f t="shared" si="966"/>
        <v>260.34999999999997</v>
      </c>
      <c r="T347" s="7">
        <f t="shared" si="990"/>
        <v>3.0999999999999996</v>
      </c>
      <c r="U347" s="7">
        <f t="shared" si="1127"/>
        <v>3.0999999999999996</v>
      </c>
      <c r="V347" s="38">
        <v>4.5</v>
      </c>
      <c r="W347" s="4">
        <f t="shared" si="991"/>
        <v>4.5</v>
      </c>
      <c r="X347" s="4">
        <f t="shared" si="992"/>
        <v>5.5</v>
      </c>
      <c r="Y347" s="7">
        <f t="shared" si="993"/>
        <v>59.568280149757555</v>
      </c>
      <c r="AB347" s="38">
        <f t="shared" si="1038"/>
        <v>509.6551724137932</v>
      </c>
      <c r="AC347" s="4">
        <v>73.900000000000006</v>
      </c>
      <c r="AD347" s="4">
        <f t="shared" si="899"/>
        <v>0.81066942187607538</v>
      </c>
      <c r="AE347" s="38"/>
      <c r="AF347" s="38"/>
      <c r="AG347" s="39">
        <v>1</v>
      </c>
      <c r="AH347" s="39"/>
      <c r="AI347" s="39"/>
      <c r="AJ347" s="7"/>
      <c r="AK347" s="4">
        <f t="shared" si="994"/>
        <v>233.42599999999999</v>
      </c>
      <c r="AL347" s="4">
        <f t="shared" si="910"/>
        <v>0.62749365252085609</v>
      </c>
      <c r="AM347" s="4">
        <f t="shared" si="911"/>
        <v>239.39429178870478</v>
      </c>
      <c r="AN347" s="4">
        <f t="shared" si="912"/>
        <v>0.76746463547334054</v>
      </c>
      <c r="AO347" s="4">
        <v>1.25</v>
      </c>
      <c r="AP347" s="4">
        <f t="shared" si="1112"/>
        <v>2.5</v>
      </c>
      <c r="AQ347" s="38">
        <f t="shared" si="967"/>
        <v>360.27283900740065</v>
      </c>
      <c r="AR347" s="38">
        <f t="shared" si="913"/>
        <v>360.27283900740065</v>
      </c>
      <c r="AS347" s="38">
        <f t="shared" si="914"/>
        <v>3.8668524435568052</v>
      </c>
      <c r="AT347" s="38">
        <f t="shared" si="1121"/>
        <v>360.27283900740036</v>
      </c>
      <c r="AU347" s="38">
        <f t="shared" si="1086"/>
        <v>1.0000000000000009</v>
      </c>
      <c r="AV347" s="38">
        <f t="shared" si="954"/>
        <v>1.6893550813803335</v>
      </c>
      <c r="AW347" s="4">
        <f t="shared" si="940"/>
        <v>0</v>
      </c>
      <c r="AX347" s="4">
        <f t="shared" si="995"/>
        <v>329.0327819417393</v>
      </c>
      <c r="AY347" s="4">
        <f t="shared" si="968"/>
        <v>1</v>
      </c>
      <c r="AZ347" s="38">
        <f t="shared" si="1102"/>
        <v>608.62875126047061</v>
      </c>
      <c r="BA347" s="4">
        <f t="shared" si="969"/>
        <v>0.37</v>
      </c>
      <c r="BB347" s="4">
        <f t="shared" si="970"/>
        <v>63.610262568886739</v>
      </c>
      <c r="BC347" s="4">
        <f t="shared" si="971"/>
        <v>672.2390138293573</v>
      </c>
      <c r="BE347" s="4">
        <f t="shared" si="1122"/>
        <v>1.4</v>
      </c>
      <c r="BF347" s="4">
        <f t="shared" si="1128"/>
        <v>548.27888903141002</v>
      </c>
      <c r="BH347" s="4">
        <f t="shared" si="1129"/>
        <v>583.74940290502093</v>
      </c>
      <c r="BI347" s="4">
        <f t="shared" si="1067"/>
        <v>0</v>
      </c>
      <c r="BJ347" s="4">
        <f t="shared" si="1130"/>
        <v>0</v>
      </c>
      <c r="BR347" s="4">
        <f t="shared" si="972"/>
        <v>66.039999999999992</v>
      </c>
      <c r="BV347" s="9"/>
      <c r="BX347" s="9"/>
      <c r="BY347" s="9"/>
      <c r="BZ347" s="9">
        <f t="shared" si="973"/>
        <v>66.039999999999992</v>
      </c>
      <c r="CA347" s="9">
        <f t="shared" si="974"/>
        <v>128.27000000000001</v>
      </c>
      <c r="CB347" s="9">
        <f t="shared" si="1087"/>
        <v>1.7812889692205971</v>
      </c>
      <c r="CC347" s="40">
        <f t="shared" si="996"/>
        <v>0</v>
      </c>
      <c r="CD347" s="9">
        <f t="shared" si="975"/>
        <v>0</v>
      </c>
      <c r="CE347" s="9">
        <f t="shared" si="976"/>
        <v>0</v>
      </c>
      <c r="CF347" s="9">
        <f t="shared" si="977"/>
        <v>0.99524931562137331</v>
      </c>
      <c r="CG347" s="9">
        <f t="shared" si="978"/>
        <v>0.68048275862068963</v>
      </c>
      <c r="CH347" s="9">
        <f t="shared" si="1088"/>
        <v>1.6124799265763963</v>
      </c>
      <c r="CI347" s="9">
        <f t="shared" si="1089"/>
        <v>2.8722927063001729</v>
      </c>
      <c r="CJ347" s="40">
        <v>1</v>
      </c>
      <c r="CK347" s="9">
        <f t="shared" si="1090"/>
        <v>277.92304226160473</v>
      </c>
      <c r="CM347" s="4">
        <f t="shared" si="979"/>
        <v>1.5489495283908705</v>
      </c>
      <c r="CN347" s="4">
        <f t="shared" si="980"/>
        <v>0.75814578138002153</v>
      </c>
      <c r="CO347" s="4">
        <f t="shared" si="946"/>
        <v>0.92955461647292403</v>
      </c>
      <c r="CP347" s="4">
        <f t="shared" si="981"/>
        <v>1.8337996312449061</v>
      </c>
      <c r="CQ347" s="4">
        <f t="shared" si="921"/>
        <v>0.81066942187607538</v>
      </c>
      <c r="CR347" s="4">
        <f t="shared" si="922"/>
        <v>0.85520549534192214</v>
      </c>
      <c r="CS347" s="4">
        <f t="shared" si="947"/>
        <v>1.066177573233374</v>
      </c>
      <c r="CT347" s="4">
        <f t="shared" si="997"/>
        <v>0</v>
      </c>
      <c r="CU347" s="4">
        <f t="shared" ref="CU347:CV352" si="1132">CM347</f>
        <v>1.5489495283908705</v>
      </c>
      <c r="CV347" s="4">
        <f t="shared" si="1132"/>
        <v>0.75814578138002153</v>
      </c>
      <c r="CW347" s="4">
        <f t="shared" ref="CW347:CW352" si="1133">CP347</f>
        <v>1.8337996312449061</v>
      </c>
      <c r="CX347" s="4">
        <f t="shared" ref="CX347:CX375" si="1134">CS347</f>
        <v>1.066177573233374</v>
      </c>
      <c r="CY347" s="4">
        <f t="shared" ref="CY347:CZ352" si="1135">CQ347</f>
        <v>0.81066942187607538</v>
      </c>
      <c r="CZ347" s="4">
        <f t="shared" si="1135"/>
        <v>0.85520549534192214</v>
      </c>
      <c r="DI347" s="4">
        <f t="shared" si="982"/>
        <v>233.42599999999999</v>
      </c>
      <c r="DL347" s="4">
        <f t="shared" si="900"/>
        <v>1.8309566495771662E-5</v>
      </c>
      <c r="DM347" s="4">
        <f t="shared" si="1009"/>
        <v>8.6973795750242395</v>
      </c>
      <c r="DN347" s="4">
        <f t="shared" si="901"/>
        <v>0.40100189799113706</v>
      </c>
      <c r="DO347" s="4">
        <f t="shared" si="902"/>
        <v>6.0345792547808044</v>
      </c>
      <c r="DP347" s="4">
        <f t="shared" si="903"/>
        <v>7.4857163501452408</v>
      </c>
      <c r="DQ347" s="4">
        <f t="shared" si="904"/>
        <v>8.2310311474027262</v>
      </c>
      <c r="DR347" s="38">
        <f t="shared" si="915"/>
        <v>628.68434242201215</v>
      </c>
      <c r="DS347" s="4">
        <f t="shared" si="1095"/>
        <v>1.0001050940839242</v>
      </c>
      <c r="DT347" s="4">
        <f t="shared" si="905"/>
        <v>2.3452078799117149</v>
      </c>
      <c r="DU347" s="4">
        <f t="shared" si="1103"/>
        <v>360.27283900740036</v>
      </c>
      <c r="DY347" s="4">
        <f t="shared" si="1037"/>
        <v>0.85</v>
      </c>
      <c r="DZ347" s="4">
        <f t="shared" si="1096"/>
        <v>0.84000000000000008</v>
      </c>
      <c r="EA347" s="4">
        <f t="shared" si="916"/>
        <v>1</v>
      </c>
      <c r="EB347" s="4">
        <f t="shared" si="1097"/>
        <v>0.84000000000000008</v>
      </c>
      <c r="ED347" s="4">
        <f t="shared" si="917"/>
        <v>595.94468836992974</v>
      </c>
      <c r="EE347" s="25">
        <f t="shared" si="918"/>
        <v>356.15793348651147</v>
      </c>
      <c r="EG347" s="4">
        <f t="shared" si="1104"/>
        <v>0.71400000000000008</v>
      </c>
      <c r="EH347" s="4">
        <f t="shared" si="919"/>
        <v>8.6973795750242395</v>
      </c>
      <c r="EK347" s="4">
        <f t="shared" si="906"/>
        <v>59.568280149757555</v>
      </c>
      <c r="EL347" s="4">
        <f t="shared" si="907"/>
        <v>2.3452078799117149</v>
      </c>
      <c r="EM347" s="4">
        <f t="shared" si="908"/>
        <v>0.14916225920929174</v>
      </c>
      <c r="EP347" s="4">
        <f t="shared" si="998"/>
        <v>0.14916225920929174</v>
      </c>
      <c r="EQ347" s="4">
        <f t="shared" si="960"/>
        <v>0.40033270055998399</v>
      </c>
      <c r="ER347" s="4">
        <f t="shared" si="1010"/>
        <v>6.0305490010383416</v>
      </c>
      <c r="ES347" s="4">
        <f t="shared" si="983"/>
        <v>7.4840947084284517</v>
      </c>
      <c r="ET347" s="4">
        <f t="shared" si="1011"/>
        <v>115.50121985024245</v>
      </c>
      <c r="EU347" s="4">
        <f t="shared" si="1012"/>
        <v>58.356499999999983</v>
      </c>
      <c r="EV347" s="4">
        <f t="shared" si="1098"/>
        <v>1.8309566495771656E-5</v>
      </c>
      <c r="EW347" s="4">
        <f t="shared" si="984"/>
        <v>8.2311660096049586</v>
      </c>
      <c r="EX347" s="4">
        <f t="shared" si="1131"/>
        <v>628.61827835990982</v>
      </c>
      <c r="FA347" s="4">
        <f t="shared" ref="FA347:FA351" si="1136">5.25*25.4</f>
        <v>133.35</v>
      </c>
      <c r="FG347" s="23">
        <f t="shared" si="1030"/>
        <v>1.6</v>
      </c>
      <c r="FH347" s="23">
        <f t="shared" si="1030"/>
        <v>0.8</v>
      </c>
      <c r="FI347" s="23">
        <f t="shared" si="952"/>
        <v>1.2</v>
      </c>
      <c r="FJ347" s="23">
        <f t="shared" si="1031"/>
        <v>2</v>
      </c>
      <c r="FK347" s="23">
        <f t="shared" si="1031"/>
        <v>1</v>
      </c>
      <c r="FL347" s="23">
        <f t="shared" si="1031"/>
        <v>1</v>
      </c>
      <c r="FM347" s="23">
        <f t="shared" si="923"/>
        <v>0</v>
      </c>
      <c r="FN347" s="23"/>
      <c r="FX347" s="4">
        <f t="shared" si="1099"/>
        <v>1</v>
      </c>
      <c r="FY347" s="4">
        <f t="shared" si="890"/>
        <v>0.5</v>
      </c>
      <c r="FZ347" s="4">
        <f t="shared" si="1100"/>
        <v>0</v>
      </c>
      <c r="GA347" s="4">
        <f t="shared" si="1101"/>
        <v>478.02090871989816</v>
      </c>
    </row>
    <row r="348" spans="1:183" ht="12" customHeight="1" x14ac:dyDescent="0.3">
      <c r="A348" s="25">
        <v>330</v>
      </c>
      <c r="B348" s="4" t="s">
        <v>605</v>
      </c>
      <c r="C348" s="4">
        <v>2016</v>
      </c>
      <c r="D348" s="4" t="s">
        <v>309</v>
      </c>
      <c r="E348" s="24" t="s">
        <v>491</v>
      </c>
      <c r="F348" s="48" t="s">
        <v>493</v>
      </c>
      <c r="G348" s="38">
        <f t="shared" ref="G348:G351" si="1137">115.9/0.145</f>
        <v>799.31034482758628</v>
      </c>
      <c r="H348" s="38">
        <f>9*25.4</f>
        <v>228.6</v>
      </c>
      <c r="I348" s="4">
        <f t="shared" si="985"/>
        <v>228.6</v>
      </c>
      <c r="J348" s="38">
        <f>6710/145</f>
        <v>46.275862068965516</v>
      </c>
      <c r="K348" s="38">
        <f t="shared" si="986"/>
        <v>25.4</v>
      </c>
      <c r="L348" s="7">
        <f t="shared" si="987"/>
        <v>9</v>
      </c>
      <c r="M348" s="7">
        <f t="shared" si="988"/>
        <v>9</v>
      </c>
      <c r="N348" s="38">
        <f>15.3*25.4</f>
        <v>388.62</v>
      </c>
      <c r="O348" s="38">
        <f>2.55*25.4</f>
        <v>64.77</v>
      </c>
      <c r="P348" s="39">
        <f>3.45*25.4</f>
        <v>87.63</v>
      </c>
      <c r="Q348" s="7">
        <f t="shared" si="989"/>
        <v>208.28</v>
      </c>
      <c r="R348" s="38">
        <v>2</v>
      </c>
      <c r="S348" s="4">
        <f t="shared" si="966"/>
        <v>260.34999999999997</v>
      </c>
      <c r="T348" s="7">
        <f t="shared" si="990"/>
        <v>3.05</v>
      </c>
      <c r="U348" s="7">
        <f t="shared" si="1127"/>
        <v>3.05</v>
      </c>
      <c r="V348" s="38">
        <v>4.5</v>
      </c>
      <c r="W348" s="4">
        <f t="shared" si="991"/>
        <v>4.5</v>
      </c>
      <c r="X348" s="4">
        <f t="shared" si="992"/>
        <v>5.5</v>
      </c>
      <c r="Y348" s="7">
        <f t="shared" si="993"/>
        <v>59.568280149757555</v>
      </c>
      <c r="AB348" s="38">
        <f t="shared" si="1038"/>
        <v>513.10344827586209</v>
      </c>
      <c r="AC348" s="4">
        <v>74.400000000000006</v>
      </c>
      <c r="AD348" s="4">
        <f t="shared" si="899"/>
        <v>0.89753775945612424</v>
      </c>
      <c r="AE348" s="38"/>
      <c r="AF348" s="38"/>
      <c r="AG348" s="39">
        <v>1</v>
      </c>
      <c r="AH348" s="39"/>
      <c r="AI348" s="39"/>
      <c r="AJ348" s="7"/>
      <c r="AK348" s="4">
        <f t="shared" si="994"/>
        <v>228.6</v>
      </c>
      <c r="AL348" s="4">
        <f t="shared" si="910"/>
        <v>0.56666666666666654</v>
      </c>
      <c r="AM348" s="4">
        <f t="shared" si="911"/>
        <v>232.00870916574723</v>
      </c>
      <c r="AN348" s="4">
        <f t="shared" si="912"/>
        <v>0.76777777777777778</v>
      </c>
      <c r="AO348" s="4">
        <v>1.25</v>
      </c>
      <c r="AP348" s="4">
        <f t="shared" si="1112"/>
        <v>2.5</v>
      </c>
      <c r="AQ348" s="38">
        <f t="shared" si="967"/>
        <v>315.44054474190187</v>
      </c>
      <c r="AR348" s="38">
        <f t="shared" si="913"/>
        <v>315.44054474190187</v>
      </c>
      <c r="AS348" s="38">
        <f t="shared" si="914"/>
        <v>3.8668524435568052</v>
      </c>
      <c r="AT348" s="38">
        <f t="shared" si="1121"/>
        <v>315.44054474190187</v>
      </c>
      <c r="AU348" s="38">
        <f t="shared" si="1086"/>
        <v>1</v>
      </c>
      <c r="AV348" s="38">
        <f t="shared" si="954"/>
        <v>1.898336052482289</v>
      </c>
      <c r="AW348" s="4">
        <f t="shared" si="940"/>
        <v>0</v>
      </c>
      <c r="AX348" s="4">
        <f t="shared" si="995"/>
        <v>322.23014553597972</v>
      </c>
      <c r="AY348" s="4">
        <f t="shared" si="968"/>
        <v>1</v>
      </c>
      <c r="AZ348" s="38">
        <f t="shared" si="1102"/>
        <v>598.81215849820489</v>
      </c>
      <c r="BA348" s="4">
        <f t="shared" si="969"/>
        <v>0.37</v>
      </c>
      <c r="BB348" s="4">
        <f t="shared" si="970"/>
        <v>62.295142885743282</v>
      </c>
      <c r="BC348" s="4">
        <f t="shared" si="971"/>
        <v>661.1073013839482</v>
      </c>
      <c r="BE348" s="4">
        <f t="shared" si="1122"/>
        <v>1.3875</v>
      </c>
      <c r="BF348" s="4">
        <f t="shared" si="1128"/>
        <v>538.00350674051015</v>
      </c>
      <c r="BH348" s="4">
        <f t="shared" si="1129"/>
        <v>574.33408995494005</v>
      </c>
      <c r="BI348" s="4">
        <f t="shared" si="1067"/>
        <v>0</v>
      </c>
      <c r="BJ348" s="4">
        <f t="shared" si="1130"/>
        <v>0</v>
      </c>
      <c r="BR348" s="4">
        <f t="shared" si="972"/>
        <v>64.77</v>
      </c>
      <c r="BV348" s="9"/>
      <c r="BX348" s="9"/>
      <c r="BY348" s="9"/>
      <c r="BZ348" s="9">
        <f t="shared" si="973"/>
        <v>64.77</v>
      </c>
      <c r="CA348" s="9">
        <f t="shared" si="974"/>
        <v>104.14</v>
      </c>
      <c r="CB348" s="9">
        <f t="shared" si="1087"/>
        <v>1.7147730195910189</v>
      </c>
      <c r="CC348" s="40">
        <f t="shared" si="996"/>
        <v>0</v>
      </c>
      <c r="CD348" s="9">
        <f t="shared" si="975"/>
        <v>0</v>
      </c>
      <c r="CE348" s="9">
        <f t="shared" si="976"/>
        <v>0</v>
      </c>
      <c r="CF348" s="9">
        <f t="shared" si="977"/>
        <v>0.99524931562137331</v>
      </c>
      <c r="CG348" s="9">
        <f t="shared" si="978"/>
        <v>0.68048275862068963</v>
      </c>
      <c r="CH348" s="9">
        <f t="shared" si="1088"/>
        <v>1.6124799265763963</v>
      </c>
      <c r="CI348" s="9">
        <f t="shared" si="1089"/>
        <v>2.7650370727253115</v>
      </c>
      <c r="CJ348" s="40">
        <v>1</v>
      </c>
      <c r="CK348" s="9">
        <f t="shared" si="1090"/>
        <v>265.44355898162991</v>
      </c>
      <c r="CM348" s="4">
        <f t="shared" si="979"/>
        <v>1.592350856628868</v>
      </c>
      <c r="CN348" s="4">
        <f t="shared" si="980"/>
        <v>0.77612733545937562</v>
      </c>
      <c r="CO348" s="4">
        <f t="shared" si="946"/>
        <v>0.95371766512172973</v>
      </c>
      <c r="CP348" s="4">
        <f t="shared" si="981"/>
        <v>1.9330039509882082</v>
      </c>
      <c r="CQ348" s="4">
        <f t="shared" si="921"/>
        <v>0.89753775945612424</v>
      </c>
      <c r="CR348" s="4">
        <f t="shared" si="922"/>
        <v>0.94115541649385537</v>
      </c>
      <c r="CS348" s="4">
        <f t="shared" si="947"/>
        <v>1.0960517053259571</v>
      </c>
      <c r="CT348" s="4">
        <f t="shared" si="997"/>
        <v>0</v>
      </c>
      <c r="CU348" s="4">
        <f t="shared" si="1132"/>
        <v>1.592350856628868</v>
      </c>
      <c r="CV348" s="4">
        <f t="shared" si="1132"/>
        <v>0.77612733545937562</v>
      </c>
      <c r="CW348" s="4">
        <f t="shared" si="1133"/>
        <v>1.9330039509882082</v>
      </c>
      <c r="CX348" s="4">
        <f t="shared" si="1134"/>
        <v>1.0960517053259571</v>
      </c>
      <c r="CY348" s="4">
        <f t="shared" si="1135"/>
        <v>0.89753775945612424</v>
      </c>
      <c r="CZ348" s="4">
        <f t="shared" si="1135"/>
        <v>0.94115541649385537</v>
      </c>
      <c r="DI348" s="4">
        <f t="shared" si="982"/>
        <v>228.6</v>
      </c>
      <c r="DL348" s="4">
        <f t="shared" si="900"/>
        <v>1.7931022683563105E-5</v>
      </c>
      <c r="DM348" s="4">
        <f t="shared" si="1009"/>
        <v>8.6459157905566411</v>
      </c>
      <c r="DN348" s="4">
        <f t="shared" si="901"/>
        <v>0.35110128616235364</v>
      </c>
      <c r="DO348" s="4">
        <f t="shared" si="902"/>
        <v>5.6883193387798539</v>
      </c>
      <c r="DP348" s="4">
        <f t="shared" si="903"/>
        <v>7.3187071889491833</v>
      </c>
      <c r="DQ348" s="4">
        <f t="shared" si="904"/>
        <v>8.2141899726092866</v>
      </c>
      <c r="DR348" s="38">
        <f t="shared" si="915"/>
        <v>571.67895486289558</v>
      </c>
      <c r="DS348" s="4">
        <f t="shared" si="1095"/>
        <v>1.000105841760796</v>
      </c>
      <c r="DT348" s="4">
        <f t="shared" si="905"/>
        <v>2.3452078799117149</v>
      </c>
      <c r="DU348" s="4">
        <f t="shared" si="1103"/>
        <v>315.44054474190187</v>
      </c>
      <c r="DY348" s="4">
        <f t="shared" si="1037"/>
        <v>0.85</v>
      </c>
      <c r="DZ348" s="4">
        <f t="shared" si="1096"/>
        <v>0.84499999999999997</v>
      </c>
      <c r="EA348" s="4">
        <f t="shared" si="916"/>
        <v>1</v>
      </c>
      <c r="EB348" s="4">
        <f t="shared" si="1097"/>
        <v>0.84499999999999997</v>
      </c>
      <c r="ED348" s="4">
        <f t="shared" si="917"/>
        <v>545.18460955934165</v>
      </c>
      <c r="EE348" s="25">
        <f t="shared" si="918"/>
        <v>311.74488321431227</v>
      </c>
      <c r="EG348" s="4">
        <f t="shared" si="1104"/>
        <v>0.71824999999999994</v>
      </c>
      <c r="EH348" s="4">
        <f t="shared" si="919"/>
        <v>8.6459157905566411</v>
      </c>
      <c r="EK348" s="4">
        <f t="shared" si="906"/>
        <v>59.568280149757555</v>
      </c>
      <c r="EL348" s="4">
        <f t="shared" si="907"/>
        <v>2.3452078799117149</v>
      </c>
      <c r="EM348" s="4">
        <f t="shared" si="908"/>
        <v>0.13060053161250176</v>
      </c>
      <c r="EP348" s="4">
        <f t="shared" si="998"/>
        <v>0.13060053161250176</v>
      </c>
      <c r="EQ348" s="4">
        <f t="shared" si="960"/>
        <v>0.35051536355213303</v>
      </c>
      <c r="ER348" s="4">
        <f t="shared" si="1010"/>
        <v>5.6845203381643117</v>
      </c>
      <c r="ES348" s="4">
        <f t="shared" si="983"/>
        <v>7.3172346462199735</v>
      </c>
      <c r="ET348" s="4">
        <f t="shared" si="1011"/>
        <v>111.88171985024243</v>
      </c>
      <c r="EU348" s="4">
        <f t="shared" si="1012"/>
        <v>57.150000000000006</v>
      </c>
      <c r="EV348" s="4">
        <f t="shared" si="1098"/>
        <v>1.7931022683563109E-5</v>
      </c>
      <c r="EW348" s="4">
        <f t="shared" si="984"/>
        <v>8.2143101569991188</v>
      </c>
      <c r="EX348" s="4">
        <f t="shared" si="1131"/>
        <v>571.61845375924622</v>
      </c>
      <c r="FA348" s="4">
        <f t="shared" si="1136"/>
        <v>133.35</v>
      </c>
      <c r="FG348" s="23">
        <f t="shared" si="1030"/>
        <v>1.6</v>
      </c>
      <c r="FH348" s="23">
        <f t="shared" si="1030"/>
        <v>0.8</v>
      </c>
      <c r="FI348" s="23">
        <f t="shared" si="952"/>
        <v>1.2</v>
      </c>
      <c r="FJ348" s="23">
        <f t="shared" si="1031"/>
        <v>2</v>
      </c>
      <c r="FK348" s="23">
        <f t="shared" si="1031"/>
        <v>1</v>
      </c>
      <c r="FL348" s="23">
        <f t="shared" si="1031"/>
        <v>1</v>
      </c>
      <c r="FM348" s="23">
        <f t="shared" si="923"/>
        <v>0</v>
      </c>
      <c r="FN348" s="23"/>
      <c r="FX348" s="4">
        <f t="shared" si="1099"/>
        <v>1</v>
      </c>
      <c r="FY348" s="4">
        <f t="shared" si="890"/>
        <v>0.5</v>
      </c>
      <c r="FZ348" s="4">
        <f t="shared" si="1100"/>
        <v>0</v>
      </c>
      <c r="GA348" s="4">
        <f t="shared" si="1101"/>
        <v>468.13799548194601</v>
      </c>
    </row>
    <row r="349" spans="1:183" ht="12" customHeight="1" x14ac:dyDescent="0.3">
      <c r="A349" s="25">
        <v>331</v>
      </c>
      <c r="B349" s="4" t="s">
        <v>605</v>
      </c>
      <c r="C349" s="4">
        <v>2016</v>
      </c>
      <c r="D349" s="4" t="s">
        <v>309</v>
      </c>
      <c r="E349" s="24" t="s">
        <v>671</v>
      </c>
      <c r="F349" s="48" t="s">
        <v>494</v>
      </c>
      <c r="G349" s="38">
        <f t="shared" si="1137"/>
        <v>799.31034482758628</v>
      </c>
      <c r="H349" s="38">
        <f>9.25*25.4</f>
        <v>234.95</v>
      </c>
      <c r="I349" s="4">
        <f t="shared" si="985"/>
        <v>234.95</v>
      </c>
      <c r="J349" s="38">
        <f>6710/145</f>
        <v>46.275862068965516</v>
      </c>
      <c r="K349" s="38">
        <f t="shared" si="986"/>
        <v>25.4</v>
      </c>
      <c r="L349" s="7">
        <f t="shared" si="987"/>
        <v>9.25</v>
      </c>
      <c r="M349" s="7">
        <f t="shared" si="988"/>
        <v>9.25</v>
      </c>
      <c r="N349" s="38">
        <f>13.1*25.4</f>
        <v>332.73999999999995</v>
      </c>
      <c r="O349" s="38">
        <f>2.55*25.4</f>
        <v>64.77</v>
      </c>
      <c r="P349" s="39">
        <f>3.2*25.4</f>
        <v>81.28</v>
      </c>
      <c r="Q349" s="7">
        <f t="shared" si="989"/>
        <v>152.39999999999995</v>
      </c>
      <c r="R349" s="38">
        <v>2</v>
      </c>
      <c r="S349" s="4">
        <f t="shared" si="966"/>
        <v>260.34999999999997</v>
      </c>
      <c r="T349" s="7">
        <f t="shared" si="990"/>
        <v>3.05</v>
      </c>
      <c r="U349" s="7">
        <f t="shared" si="1127"/>
        <v>3.05</v>
      </c>
      <c r="V349" s="38">
        <v>4.5</v>
      </c>
      <c r="W349" s="4">
        <f t="shared" si="991"/>
        <v>4.5</v>
      </c>
      <c r="X349" s="4">
        <f t="shared" si="992"/>
        <v>5.5</v>
      </c>
      <c r="Y349" s="7">
        <f t="shared" si="993"/>
        <v>59.568280149757555</v>
      </c>
      <c r="AB349" s="38">
        <f t="shared" si="1038"/>
        <v>475.86206896551727</v>
      </c>
      <c r="AC349" s="4">
        <v>69</v>
      </c>
      <c r="AD349" s="4">
        <f t="shared" si="899"/>
        <v>0.89515643202731698</v>
      </c>
      <c r="AE349" s="38"/>
      <c r="AF349" s="38"/>
      <c r="AG349" s="39">
        <v>1</v>
      </c>
      <c r="AH349" s="39"/>
      <c r="AI349" s="39"/>
      <c r="AJ349" s="7"/>
      <c r="AK349" s="4">
        <f t="shared" si="994"/>
        <v>234.95</v>
      </c>
      <c r="AL349" s="4">
        <f t="shared" si="910"/>
        <v>0.47207207207207197</v>
      </c>
      <c r="AM349" s="4">
        <f t="shared" si="911"/>
        <v>241.74256326019332</v>
      </c>
      <c r="AN349" s="4">
        <f t="shared" si="912"/>
        <v>0.76594594594594589</v>
      </c>
      <c r="AO349" s="4">
        <v>1.25</v>
      </c>
      <c r="AP349" s="4">
        <f t="shared" si="1112"/>
        <v>2.5</v>
      </c>
      <c r="AQ349" s="38">
        <f t="shared" si="967"/>
        <v>273.1552641240558</v>
      </c>
      <c r="AR349" s="38">
        <f t="shared" si="913"/>
        <v>273.1552641240558</v>
      </c>
      <c r="AS349" s="38">
        <f t="shared" si="914"/>
        <v>3.8668524435568052</v>
      </c>
      <c r="AT349" s="38">
        <f t="shared" si="1121"/>
        <v>273.15526412405586</v>
      </c>
      <c r="AU349" s="38">
        <f t="shared" si="1086"/>
        <v>0.99999999999999978</v>
      </c>
      <c r="AV349" s="38">
        <f t="shared" si="954"/>
        <v>2.192204350952025</v>
      </c>
      <c r="AW349" s="4">
        <f t="shared" si="940"/>
        <v>0</v>
      </c>
      <c r="AX349" s="4">
        <f t="shared" si="995"/>
        <v>331.18098291197919</v>
      </c>
      <c r="AY349" s="4">
        <f t="shared" si="968"/>
        <v>1</v>
      </c>
      <c r="AZ349" s="38">
        <f t="shared" si="1102"/>
        <v>598.81215849820489</v>
      </c>
      <c r="BA349" s="4">
        <f t="shared" si="969"/>
        <v>0.37</v>
      </c>
      <c r="BB349" s="4">
        <f t="shared" si="970"/>
        <v>64.025563521458352</v>
      </c>
      <c r="BC349" s="4">
        <f t="shared" si="971"/>
        <v>662.83772201966326</v>
      </c>
      <c r="BE349" s="4">
        <f t="shared" si="1122"/>
        <v>1.3875</v>
      </c>
      <c r="BF349" s="4">
        <f t="shared" si="1128"/>
        <v>545.0825002502537</v>
      </c>
      <c r="BH349" s="4">
        <f t="shared" si="1129"/>
        <v>574.33408995494005</v>
      </c>
      <c r="BI349" s="4">
        <f t="shared" si="1067"/>
        <v>0</v>
      </c>
      <c r="BJ349" s="4">
        <f t="shared" si="1130"/>
        <v>0</v>
      </c>
      <c r="BR349" s="4">
        <f t="shared" si="972"/>
        <v>64.77</v>
      </c>
      <c r="BV349" s="9"/>
      <c r="BX349" s="9"/>
      <c r="BY349" s="9"/>
      <c r="BZ349" s="9">
        <f t="shared" si="973"/>
        <v>64.77</v>
      </c>
      <c r="CA349" s="9">
        <f t="shared" si="974"/>
        <v>76.199999999999974</v>
      </c>
      <c r="CB349" s="9">
        <f t="shared" si="1087"/>
        <v>1.636278603156414</v>
      </c>
      <c r="CC349" s="40">
        <f t="shared" si="996"/>
        <v>0</v>
      </c>
      <c r="CD349" s="9">
        <f t="shared" si="975"/>
        <v>0</v>
      </c>
      <c r="CE349" s="9">
        <f t="shared" si="976"/>
        <v>0</v>
      </c>
      <c r="CF349" s="9">
        <f t="shared" si="977"/>
        <v>0.99524931562137331</v>
      </c>
      <c r="CG349" s="9">
        <f t="shared" si="978"/>
        <v>0.68048275862068963</v>
      </c>
      <c r="CH349" s="9">
        <f t="shared" si="1088"/>
        <v>1.6124799265763963</v>
      </c>
      <c r="CI349" s="9">
        <f t="shared" si="1089"/>
        <v>2.6384664018761828</v>
      </c>
      <c r="CJ349" s="40">
        <v>1</v>
      </c>
      <c r="CK349" s="9">
        <f t="shared" si="1090"/>
        <v>255.93124098198973</v>
      </c>
      <c r="CM349" s="4">
        <f t="shared" si="979"/>
        <v>1.4368641121280543</v>
      </c>
      <c r="CN349" s="4">
        <f t="shared" si="980"/>
        <v>0.71791639666428142</v>
      </c>
      <c r="CO349" s="4">
        <f t="shared" si="946"/>
        <v>0.87300925776748195</v>
      </c>
      <c r="CP349" s="4">
        <f t="shared" si="981"/>
        <v>1.8593356056871713</v>
      </c>
      <c r="CQ349" s="4">
        <f t="shared" si="921"/>
        <v>0.89515643202731698</v>
      </c>
      <c r="CR349" s="4">
        <f t="shared" si="922"/>
        <v>0.93310480003574625</v>
      </c>
      <c r="CS349" s="4">
        <f t="shared" si="947"/>
        <v>1.1538643715615464</v>
      </c>
      <c r="CT349" s="4">
        <f t="shared" si="997"/>
        <v>0</v>
      </c>
      <c r="CU349" s="4">
        <f t="shared" si="1132"/>
        <v>1.4368641121280543</v>
      </c>
      <c r="CV349" s="4">
        <f t="shared" si="1132"/>
        <v>0.71791639666428142</v>
      </c>
      <c r="CW349" s="4">
        <f t="shared" si="1133"/>
        <v>1.8593356056871713</v>
      </c>
      <c r="CX349" s="4">
        <f t="shared" si="1134"/>
        <v>1.1538643715615464</v>
      </c>
      <c r="CY349" s="4">
        <f t="shared" si="1135"/>
        <v>0.89515643202731698</v>
      </c>
      <c r="CZ349" s="4">
        <f t="shared" si="1135"/>
        <v>0.93310480003574625</v>
      </c>
      <c r="DI349" s="4">
        <f t="shared" si="982"/>
        <v>234.95</v>
      </c>
      <c r="DL349" s="4">
        <f t="shared" si="900"/>
        <v>1.8429106646995416E-5</v>
      </c>
      <c r="DM349" s="4">
        <f t="shared" si="1009"/>
        <v>8.6459157905566411</v>
      </c>
      <c r="DN349" s="4">
        <f t="shared" si="901"/>
        <v>0.30403562939077616</v>
      </c>
      <c r="DO349" s="4">
        <f t="shared" si="902"/>
        <v>5.3700804699320424</v>
      </c>
      <c r="DP349" s="4">
        <f t="shared" si="903"/>
        <v>7.1978438338554191</v>
      </c>
      <c r="DQ349" s="4">
        <f t="shared" si="904"/>
        <v>8.1996818827256952</v>
      </c>
      <c r="DR349" s="38">
        <f t="shared" si="915"/>
        <v>531.59654775400827</v>
      </c>
      <c r="DS349" s="4">
        <f t="shared" si="1095"/>
        <v>1.0001073279151589</v>
      </c>
      <c r="DT349" s="4">
        <f t="shared" si="905"/>
        <v>2.3452078799117149</v>
      </c>
      <c r="DU349" s="4">
        <f t="shared" si="1103"/>
        <v>273.15526412405586</v>
      </c>
      <c r="DY349" s="4">
        <f t="shared" si="1037"/>
        <v>0.85</v>
      </c>
      <c r="DZ349" s="4">
        <f t="shared" si="1096"/>
        <v>0.84499999999999997</v>
      </c>
      <c r="EA349" s="4">
        <f t="shared" si="916"/>
        <v>1</v>
      </c>
      <c r="EB349" s="4">
        <f t="shared" si="1097"/>
        <v>0.84499999999999997</v>
      </c>
      <c r="ED349" s="4">
        <f t="shared" si="917"/>
        <v>509.97708826199107</v>
      </c>
      <c r="EE349" s="25">
        <f t="shared" si="918"/>
        <v>270.05292507404425</v>
      </c>
      <c r="EG349" s="4">
        <f t="shared" si="1104"/>
        <v>0.71824999999999994</v>
      </c>
      <c r="EH349" s="4">
        <f t="shared" si="919"/>
        <v>8.6459157905566411</v>
      </c>
      <c r="EK349" s="4">
        <f t="shared" si="906"/>
        <v>59.568280149757555</v>
      </c>
      <c r="EL349" s="4">
        <f t="shared" si="907"/>
        <v>2.3452078799117149</v>
      </c>
      <c r="EM349" s="4">
        <f t="shared" si="908"/>
        <v>0.11309333344115358</v>
      </c>
      <c r="EP349" s="4">
        <f t="shared" si="998"/>
        <v>0.11309333344115358</v>
      </c>
      <c r="EQ349" s="4">
        <f t="shared" si="960"/>
        <v>0.30352825058986138</v>
      </c>
      <c r="ER349" s="4">
        <f t="shared" si="1010"/>
        <v>5.3664940083085373</v>
      </c>
      <c r="ES349" s="4">
        <f t="shared" si="983"/>
        <v>7.1965110043758811</v>
      </c>
      <c r="ET349" s="4">
        <f t="shared" si="1011"/>
        <v>116.64421985024242</v>
      </c>
      <c r="EU349" s="4">
        <f t="shared" si="1012"/>
        <v>58.737500000000011</v>
      </c>
      <c r="EV349" s="4">
        <f t="shared" si="1098"/>
        <v>1.842910664699542E-5</v>
      </c>
      <c r="EW349" s="4">
        <f t="shared" si="984"/>
        <v>8.1997984162699229</v>
      </c>
      <c r="EX349" s="4">
        <f t="shared" si="1131"/>
        <v>531.53949872778526</v>
      </c>
      <c r="FA349" s="4">
        <f t="shared" si="1136"/>
        <v>133.35</v>
      </c>
      <c r="FG349" s="23">
        <f t="shared" si="1030"/>
        <v>1.6</v>
      </c>
      <c r="FH349" s="23">
        <f t="shared" si="1030"/>
        <v>0.8</v>
      </c>
      <c r="FI349" s="23">
        <f t="shared" si="952"/>
        <v>1.2</v>
      </c>
      <c r="FJ349" s="23">
        <f t="shared" si="1031"/>
        <v>2</v>
      </c>
      <c r="FK349" s="23">
        <f t="shared" si="1031"/>
        <v>1</v>
      </c>
      <c r="FL349" s="23">
        <f t="shared" si="1031"/>
        <v>1</v>
      </c>
      <c r="FM349" s="23">
        <f t="shared" si="923"/>
        <v>0</v>
      </c>
      <c r="FN349" s="23"/>
      <c r="FX349" s="4">
        <f t="shared" si="1099"/>
        <v>1</v>
      </c>
      <c r="FY349" s="4">
        <f t="shared" si="890"/>
        <v>0.58333333333333348</v>
      </c>
      <c r="FZ349" s="4">
        <f t="shared" si="1100"/>
        <v>0</v>
      </c>
      <c r="GA349" s="4">
        <f t="shared" si="1101"/>
        <v>412.40728173409514</v>
      </c>
    </row>
    <row r="350" spans="1:183" ht="12" customHeight="1" x14ac:dyDescent="0.3">
      <c r="A350" s="25">
        <v>332</v>
      </c>
      <c r="B350" s="4" t="s">
        <v>605</v>
      </c>
      <c r="C350" s="4">
        <v>2016</v>
      </c>
      <c r="D350" s="4" t="s">
        <v>309</v>
      </c>
      <c r="E350" s="24" t="s">
        <v>671</v>
      </c>
      <c r="F350" s="48" t="s">
        <v>495</v>
      </c>
      <c r="G350" s="38">
        <f t="shared" si="1137"/>
        <v>799.31034482758628</v>
      </c>
      <c r="H350" s="38">
        <f>9*25.4</f>
        <v>228.6</v>
      </c>
      <c r="I350" s="4">
        <f t="shared" si="985"/>
        <v>228.6</v>
      </c>
      <c r="J350" s="38">
        <f>6710/145</f>
        <v>46.275862068965516</v>
      </c>
      <c r="K350" s="38">
        <f t="shared" si="986"/>
        <v>25.4</v>
      </c>
      <c r="L350" s="7">
        <f t="shared" si="987"/>
        <v>9</v>
      </c>
      <c r="M350" s="7">
        <f t="shared" si="988"/>
        <v>9</v>
      </c>
      <c r="N350" s="38">
        <f>11.3*25.4</f>
        <v>287.02</v>
      </c>
      <c r="O350" s="38">
        <f t="shared" si="999"/>
        <v>63.5</v>
      </c>
      <c r="P350" s="39">
        <f>3.55*25.4</f>
        <v>90.169999999999987</v>
      </c>
      <c r="Q350" s="7">
        <f t="shared" si="989"/>
        <v>109.21999999999997</v>
      </c>
      <c r="R350" s="38">
        <v>2</v>
      </c>
      <c r="S350" s="4">
        <f t="shared" si="966"/>
        <v>260.34999999999997</v>
      </c>
      <c r="T350" s="7">
        <f t="shared" si="990"/>
        <v>2.6499999999999995</v>
      </c>
      <c r="U350" s="7">
        <f t="shared" si="1127"/>
        <v>3</v>
      </c>
      <c r="V350" s="38">
        <v>4.5</v>
      </c>
      <c r="W350" s="4">
        <f t="shared" si="991"/>
        <v>4.5</v>
      </c>
      <c r="X350" s="4">
        <f t="shared" si="992"/>
        <v>5.5</v>
      </c>
      <c r="Y350" s="7">
        <f t="shared" si="993"/>
        <v>59.568280149757555</v>
      </c>
      <c r="AB350" s="38">
        <f t="shared" si="1038"/>
        <v>446.89655172413796</v>
      </c>
      <c r="AC350" s="4">
        <v>64.8</v>
      </c>
      <c r="AD350" s="4">
        <f t="shared" si="899"/>
        <v>0.95550025830198404</v>
      </c>
      <c r="AE350" s="38"/>
      <c r="AF350" s="38"/>
      <c r="AG350" s="39">
        <v>1</v>
      </c>
      <c r="AH350" s="39"/>
      <c r="AI350" s="39"/>
      <c r="AJ350" s="7"/>
      <c r="AK350" s="4">
        <f t="shared" si="994"/>
        <v>228.6</v>
      </c>
      <c r="AL350" s="4">
        <f t="shared" si="910"/>
        <v>0.4185185185185184</v>
      </c>
      <c r="AM350" s="4">
        <f t="shared" si="911"/>
        <v>232.00870916574723</v>
      </c>
      <c r="AN350" s="4">
        <f t="shared" si="912"/>
        <v>0.76666666666666661</v>
      </c>
      <c r="AO350" s="4">
        <v>1.25</v>
      </c>
      <c r="AP350" s="4">
        <f t="shared" si="1112"/>
        <v>2.5</v>
      </c>
      <c r="AQ350" s="38">
        <f t="shared" si="967"/>
        <v>232.63527589574724</v>
      </c>
      <c r="AR350" s="38">
        <f t="shared" si="913"/>
        <v>232.63527589574724</v>
      </c>
      <c r="AS350" s="38">
        <f t="shared" si="914"/>
        <v>3.8668524435568052</v>
      </c>
      <c r="AT350" s="38">
        <f t="shared" si="1121"/>
        <v>232.63527589574718</v>
      </c>
      <c r="AU350" s="38">
        <f t="shared" si="1086"/>
        <v>1.0000000000000002</v>
      </c>
      <c r="AV350" s="38">
        <f t="shared" si="954"/>
        <v>2.3546122746229528</v>
      </c>
      <c r="AW350" s="4">
        <f t="shared" si="940"/>
        <v>0</v>
      </c>
      <c r="AX350" s="4">
        <f t="shared" si="995"/>
        <v>322.23014553597972</v>
      </c>
      <c r="AY350" s="4">
        <f t="shared" si="968"/>
        <v>1.0528301886792453</v>
      </c>
      <c r="AZ350" s="38">
        <f t="shared" si="1102"/>
        <v>547.76587613442348</v>
      </c>
      <c r="BA350" s="4">
        <f t="shared" si="969"/>
        <v>0.37</v>
      </c>
      <c r="BB350" s="4">
        <f t="shared" si="970"/>
        <v>62.295142885743282</v>
      </c>
      <c r="BC350" s="4">
        <f t="shared" si="971"/>
        <v>610.06101902016678</v>
      </c>
      <c r="BE350" s="4">
        <f t="shared" si="1122"/>
        <v>1.375</v>
      </c>
      <c r="BF350" s="4">
        <f t="shared" si="1128"/>
        <v>533.1566283014065</v>
      </c>
      <c r="BH350" s="4">
        <f t="shared" si="1129"/>
        <v>525.37446261451885</v>
      </c>
      <c r="BI350" s="4">
        <f t="shared" si="1067"/>
        <v>0</v>
      </c>
      <c r="BJ350" s="4">
        <f t="shared" si="1130"/>
        <v>0</v>
      </c>
      <c r="BR350" s="4">
        <f t="shared" si="972"/>
        <v>54.609999999999985</v>
      </c>
      <c r="BV350" s="9"/>
      <c r="BX350" s="9"/>
      <c r="BY350" s="9"/>
      <c r="BZ350" s="9">
        <f t="shared" si="973"/>
        <v>54.609999999999985</v>
      </c>
      <c r="CA350" s="9">
        <f t="shared" si="974"/>
        <v>63.5</v>
      </c>
      <c r="CB350" s="9">
        <f t="shared" si="1087"/>
        <v>1.4998383783405258</v>
      </c>
      <c r="CC350" s="40">
        <f t="shared" si="996"/>
        <v>0</v>
      </c>
      <c r="CD350" s="9">
        <f t="shared" si="975"/>
        <v>0</v>
      </c>
      <c r="CE350" s="9">
        <f t="shared" si="976"/>
        <v>0</v>
      </c>
      <c r="CF350" s="9">
        <f t="shared" si="977"/>
        <v>0.99524931562137331</v>
      </c>
      <c r="CG350" s="9">
        <f t="shared" si="978"/>
        <v>0.68048275862068963</v>
      </c>
      <c r="CH350" s="9">
        <f t="shared" si="1088"/>
        <v>1.6124799265763963</v>
      </c>
      <c r="CI350" s="9">
        <f t="shared" si="1089"/>
        <v>2.4184592781829921</v>
      </c>
      <c r="CJ350" s="40">
        <v>1</v>
      </c>
      <c r="CK350" s="9">
        <f t="shared" si="1090"/>
        <v>232.17209070556726</v>
      </c>
      <c r="CM350" s="4">
        <f t="shared" si="979"/>
        <v>1.3868862299670786</v>
      </c>
      <c r="CN350" s="4">
        <f t="shared" si="980"/>
        <v>0.73254402066519331</v>
      </c>
      <c r="CO350" s="4">
        <f t="shared" si="946"/>
        <v>0.83820875142810081</v>
      </c>
      <c r="CP350" s="4">
        <f t="shared" si="981"/>
        <v>1.9248504433329023</v>
      </c>
      <c r="CQ350" s="4">
        <f t="shared" si="921"/>
        <v>0.95550025830198404</v>
      </c>
      <c r="CR350" s="4">
        <f t="shared" si="922"/>
        <v>0.98697622127594653</v>
      </c>
      <c r="CS350" s="4">
        <f t="shared" si="947"/>
        <v>1.3842072343068135</v>
      </c>
      <c r="CT350" s="4">
        <f t="shared" si="997"/>
        <v>0</v>
      </c>
      <c r="CU350" s="4">
        <f t="shared" si="1132"/>
        <v>1.3868862299670786</v>
      </c>
      <c r="CV350" s="4">
        <f t="shared" si="1132"/>
        <v>0.73254402066519331</v>
      </c>
      <c r="CW350" s="4">
        <f t="shared" si="1133"/>
        <v>1.9248504433329023</v>
      </c>
      <c r="CX350" s="4">
        <f t="shared" si="1134"/>
        <v>1.3842072343068135</v>
      </c>
      <c r="CY350" s="4">
        <f t="shared" si="1135"/>
        <v>0.95550025830198404</v>
      </c>
      <c r="CZ350" s="4">
        <f t="shared" si="1135"/>
        <v>0.98697622127594653</v>
      </c>
      <c r="DI350" s="4">
        <f t="shared" si="982"/>
        <v>228.6</v>
      </c>
      <c r="DL350" s="4">
        <f t="shared" si="900"/>
        <v>1.7931022683563105E-5</v>
      </c>
      <c r="DM350" s="4">
        <f t="shared" si="1009"/>
        <v>8.2551399356162278</v>
      </c>
      <c r="DN350" s="4">
        <f t="shared" si="901"/>
        <v>0.25893483236456305</v>
      </c>
      <c r="DO350" s="4">
        <f t="shared" si="902"/>
        <v>4.808400460769148</v>
      </c>
      <c r="DP350" s="4">
        <f t="shared" si="903"/>
        <v>6.7567583551320318</v>
      </c>
      <c r="DQ350" s="4">
        <f t="shared" si="904"/>
        <v>7.8798854996843941</v>
      </c>
      <c r="DR350" s="38">
        <f t="shared" si="915"/>
        <v>467.70950383447951</v>
      </c>
      <c r="DS350" s="4">
        <f t="shared" si="1095"/>
        <v>1.0001054299424883</v>
      </c>
      <c r="DT350" s="4">
        <f t="shared" si="905"/>
        <v>2.3452078799117149</v>
      </c>
      <c r="DU350" s="4">
        <f t="shared" si="1103"/>
        <v>232.63527589574718</v>
      </c>
      <c r="DY350" s="4">
        <f t="shared" si="1037"/>
        <v>0.85</v>
      </c>
      <c r="DZ350" s="4">
        <f t="shared" si="1096"/>
        <v>0.88500000000000001</v>
      </c>
      <c r="EA350" s="4">
        <f t="shared" si="916"/>
        <v>1</v>
      </c>
      <c r="EB350" s="4">
        <f t="shared" si="1097"/>
        <v>0.88500000000000001</v>
      </c>
      <c r="ED350" s="4">
        <f t="shared" si="917"/>
        <v>452.79363584504347</v>
      </c>
      <c r="EE350" s="25">
        <f t="shared" si="918"/>
        <v>229.90485758340532</v>
      </c>
      <c r="EG350" s="4">
        <f t="shared" si="1104"/>
        <v>0.75224999999999997</v>
      </c>
      <c r="EH350" s="4">
        <f t="shared" si="919"/>
        <v>8.2551399356162278</v>
      </c>
      <c r="EK350" s="4">
        <f t="shared" si="906"/>
        <v>59.568280149757555</v>
      </c>
      <c r="EL350" s="4">
        <f t="shared" si="907"/>
        <v>2.3452078799117149</v>
      </c>
      <c r="EM350" s="4">
        <f t="shared" si="908"/>
        <v>9.6317011906839181E-2</v>
      </c>
      <c r="EP350" s="4">
        <f t="shared" si="998"/>
        <v>9.6317011906839181E-2</v>
      </c>
      <c r="EQ350" s="4">
        <f t="shared" si="960"/>
        <v>0.25850271838823907</v>
      </c>
      <c r="ER350" s="4">
        <f t="shared" si="1010"/>
        <v>4.8051891227231813</v>
      </c>
      <c r="ES350" s="4">
        <f t="shared" si="983"/>
        <v>6.755621997097994</v>
      </c>
      <c r="ET350" s="4">
        <f t="shared" si="1011"/>
        <v>111.88171985024243</v>
      </c>
      <c r="EU350" s="4">
        <f t="shared" si="1012"/>
        <v>57.150000000000006</v>
      </c>
      <c r="EV350" s="4">
        <f t="shared" si="1098"/>
        <v>1.7931022683563109E-5</v>
      </c>
      <c r="EW350" s="4">
        <f t="shared" si="984"/>
        <v>7.8799789793501009</v>
      </c>
      <c r="EX350" s="4">
        <f t="shared" si="1131"/>
        <v>467.66019844665323</v>
      </c>
      <c r="FA350" s="4">
        <f t="shared" si="1136"/>
        <v>133.35</v>
      </c>
      <c r="FG350" s="23">
        <f t="shared" si="1030"/>
        <v>1.4</v>
      </c>
      <c r="FH350" s="23">
        <f t="shared" si="1030"/>
        <v>0.8</v>
      </c>
      <c r="FI350" s="23">
        <f t="shared" si="952"/>
        <v>1.4</v>
      </c>
      <c r="FJ350" s="23">
        <f t="shared" si="1031"/>
        <v>2</v>
      </c>
      <c r="FK350" s="23">
        <f t="shared" si="1031"/>
        <v>1</v>
      </c>
      <c r="FL350" s="23">
        <f t="shared" si="1031"/>
        <v>1</v>
      </c>
      <c r="FM350" s="23">
        <f t="shared" si="923"/>
        <v>0</v>
      </c>
      <c r="FN350" s="23"/>
      <c r="FX350" s="4">
        <f t="shared" si="1099"/>
        <v>1</v>
      </c>
      <c r="FY350" s="4">
        <f t="shared" si="890"/>
        <v>0.72500000000000009</v>
      </c>
      <c r="FZ350" s="4">
        <f t="shared" si="1100"/>
        <v>0</v>
      </c>
      <c r="GA350" s="4">
        <f t="shared" si="1101"/>
        <v>322.85378998754896</v>
      </c>
    </row>
    <row r="351" spans="1:183" ht="12" customHeight="1" x14ac:dyDescent="0.3">
      <c r="A351" s="25">
        <v>333</v>
      </c>
      <c r="B351" s="4" t="s">
        <v>605</v>
      </c>
      <c r="C351" s="4">
        <v>2016</v>
      </c>
      <c r="D351" s="4" t="s">
        <v>309</v>
      </c>
      <c r="E351" s="24" t="s">
        <v>671</v>
      </c>
      <c r="F351" s="48" t="s">
        <v>496</v>
      </c>
      <c r="G351" s="38">
        <f t="shared" si="1137"/>
        <v>799.31034482758628</v>
      </c>
      <c r="H351" s="38">
        <f>9*25.4</f>
        <v>228.6</v>
      </c>
      <c r="I351" s="4">
        <f t="shared" si="985"/>
        <v>228.6</v>
      </c>
      <c r="J351" s="38">
        <f t="shared" ref="J351" si="1138">6710/145</f>
        <v>46.275862068965516</v>
      </c>
      <c r="K351" s="38">
        <f t="shared" si="986"/>
        <v>25.4</v>
      </c>
      <c r="L351" s="7">
        <f t="shared" si="987"/>
        <v>9</v>
      </c>
      <c r="M351" s="7">
        <f t="shared" si="988"/>
        <v>9</v>
      </c>
      <c r="N351" s="38">
        <f>9.1*25.4</f>
        <v>231.14</v>
      </c>
      <c r="O351" s="38">
        <f>2.5*25.4</f>
        <v>63.5</v>
      </c>
      <c r="P351" s="39">
        <f>3.5*25.4</f>
        <v>88.899999999999991</v>
      </c>
      <c r="Q351" s="7">
        <f t="shared" si="989"/>
        <v>53.339999999999975</v>
      </c>
      <c r="R351" s="38">
        <v>2</v>
      </c>
      <c r="S351" s="4">
        <f t="shared" si="966"/>
        <v>260.34999999999997</v>
      </c>
      <c r="T351" s="7">
        <f t="shared" si="990"/>
        <v>1.5499999999999996</v>
      </c>
      <c r="U351" s="7">
        <f t="shared" si="1127"/>
        <v>3</v>
      </c>
      <c r="V351" s="38">
        <v>4.5</v>
      </c>
      <c r="W351" s="4">
        <f t="shared" si="991"/>
        <v>4.5</v>
      </c>
      <c r="X351" s="4">
        <f t="shared" si="992"/>
        <v>5.5</v>
      </c>
      <c r="Y351" s="7">
        <f t="shared" si="993"/>
        <v>59.568280149757555</v>
      </c>
      <c r="AB351" s="38">
        <f t="shared" si="1038"/>
        <v>416.55172413793105</v>
      </c>
      <c r="AC351" s="4">
        <v>60.4</v>
      </c>
      <c r="AD351" s="4">
        <f t="shared" si="899"/>
        <v>1.0643352713979048</v>
      </c>
      <c r="AE351" s="38"/>
      <c r="AF351" s="38"/>
      <c r="AG351" s="39">
        <v>1</v>
      </c>
      <c r="AH351" s="39"/>
      <c r="AI351" s="39"/>
      <c r="AJ351" s="7"/>
      <c r="AK351" s="4">
        <f t="shared" si="994"/>
        <v>228.6</v>
      </c>
      <c r="AL351" s="4">
        <f t="shared" si="910"/>
        <v>0.33703703703703697</v>
      </c>
      <c r="AM351" s="4">
        <f t="shared" si="911"/>
        <v>232.00870916574723</v>
      </c>
      <c r="AN351" s="4">
        <f t="shared" si="912"/>
        <v>0.76666666666666661</v>
      </c>
      <c r="AO351" s="4">
        <v>1.25</v>
      </c>
      <c r="AP351" s="4">
        <f t="shared" si="1112"/>
        <v>2.5</v>
      </c>
      <c r="AQ351" s="38">
        <f t="shared" si="967"/>
        <v>187.34345227002655</v>
      </c>
      <c r="AR351" s="38">
        <f t="shared" si="913"/>
        <v>187.34345227002655</v>
      </c>
      <c r="AS351" s="38">
        <f t="shared" si="914"/>
        <v>3.8668524435568052</v>
      </c>
      <c r="AT351" s="38">
        <f t="shared" si="1121"/>
        <v>187.34345227002649</v>
      </c>
      <c r="AU351" s="38">
        <f t="shared" si="1086"/>
        <v>1.0000000000000002</v>
      </c>
      <c r="AV351" s="38">
        <f t="shared" si="954"/>
        <v>2.232193581389573</v>
      </c>
      <c r="AW351" s="4">
        <f t="shared" si="940"/>
        <v>0</v>
      </c>
      <c r="AX351" s="4">
        <f t="shared" si="995"/>
        <v>322.23014553597972</v>
      </c>
      <c r="AY351" s="4">
        <f t="shared" si="968"/>
        <v>1.3741935483870971</v>
      </c>
      <c r="AZ351" s="38">
        <f t="shared" si="1102"/>
        <v>418.18685167251692</v>
      </c>
      <c r="BA351" s="4">
        <f t="shared" si="969"/>
        <v>0.37</v>
      </c>
      <c r="BB351" s="4">
        <f t="shared" si="970"/>
        <v>62.295142885743282</v>
      </c>
      <c r="BC351" s="4">
        <f t="shared" si="971"/>
        <v>480.48199455826023</v>
      </c>
      <c r="BE351" s="4">
        <f t="shared" si="1122"/>
        <v>1.375</v>
      </c>
      <c r="BF351" s="4">
        <f t="shared" si="1128"/>
        <v>533.1566283014065</v>
      </c>
      <c r="BH351" s="4">
        <f t="shared" si="1129"/>
        <v>401.09233167344996</v>
      </c>
      <c r="BI351" s="4">
        <f t="shared" si="1067"/>
        <v>0</v>
      </c>
      <c r="BJ351" s="4">
        <f t="shared" si="1130"/>
        <v>0</v>
      </c>
      <c r="BR351" s="4">
        <f t="shared" si="972"/>
        <v>26.669999999999987</v>
      </c>
      <c r="BV351" s="9"/>
      <c r="BX351" s="9"/>
      <c r="BY351" s="9"/>
      <c r="BZ351" s="9">
        <f t="shared" si="973"/>
        <v>26.669999999999987</v>
      </c>
      <c r="CA351" s="9">
        <f t="shared" si="974"/>
        <v>63.5</v>
      </c>
      <c r="CB351" s="9">
        <f t="shared" si="1087"/>
        <v>1.1670978149623896</v>
      </c>
      <c r="CC351" s="40">
        <f t="shared" si="996"/>
        <v>0</v>
      </c>
      <c r="CD351" s="9">
        <f t="shared" si="975"/>
        <v>0</v>
      </c>
      <c r="CE351" s="9">
        <f t="shared" si="976"/>
        <v>0</v>
      </c>
      <c r="CF351" s="9">
        <f t="shared" si="977"/>
        <v>0.99524931562137331</v>
      </c>
      <c r="CG351" s="9">
        <f t="shared" si="978"/>
        <v>0.68048275862068963</v>
      </c>
      <c r="CH351" s="9">
        <f t="shared" si="1088"/>
        <v>1.6124799265763963</v>
      </c>
      <c r="CI351" s="9">
        <f t="shared" si="1089"/>
        <v>1.8819217989780266</v>
      </c>
      <c r="CJ351" s="40">
        <v>1</v>
      </c>
      <c r="CK351" s="9">
        <f t="shared" si="1090"/>
        <v>180.66449270189054</v>
      </c>
      <c r="CM351" s="4">
        <f t="shared" si="979"/>
        <v>1.2927149427470916</v>
      </c>
      <c r="CN351" s="4">
        <f t="shared" si="980"/>
        <v>0.86694554396548273</v>
      </c>
      <c r="CO351" s="4">
        <f t="shared" si="946"/>
        <v>0.78129334238051362</v>
      </c>
      <c r="CP351" s="4">
        <f t="shared" si="981"/>
        <v>2.3056645935694262</v>
      </c>
      <c r="CQ351" s="4">
        <f t="shared" si="921"/>
        <v>1.0643352713979048</v>
      </c>
      <c r="CR351" s="4">
        <f t="shared" si="922"/>
        <v>1.0864891795569402</v>
      </c>
      <c r="CS351" s="4">
        <f t="shared" si="947"/>
        <v>1.6164798403189902</v>
      </c>
      <c r="CT351" s="4">
        <f t="shared" si="997"/>
        <v>0</v>
      </c>
      <c r="CU351" s="4">
        <f t="shared" si="1132"/>
        <v>1.2927149427470916</v>
      </c>
      <c r="CV351" s="4">
        <f t="shared" si="1132"/>
        <v>0.86694554396548273</v>
      </c>
      <c r="CW351" s="4">
        <f t="shared" si="1133"/>
        <v>2.3056645935694262</v>
      </c>
      <c r="CX351" s="4">
        <f t="shared" si="1134"/>
        <v>1.6164798403189902</v>
      </c>
      <c r="CY351" s="4">
        <f t="shared" si="1135"/>
        <v>1.0643352713979048</v>
      </c>
      <c r="CZ351" s="4">
        <f t="shared" si="1135"/>
        <v>1.0864891795569402</v>
      </c>
      <c r="DI351" s="4">
        <f t="shared" si="982"/>
        <v>228.6</v>
      </c>
      <c r="DL351" s="4">
        <f t="shared" si="900"/>
        <v>1.7931022683563105E-5</v>
      </c>
      <c r="DM351" s="4">
        <f t="shared" si="1009"/>
        <v>7.3425114000204648</v>
      </c>
      <c r="DN351" s="4">
        <f t="shared" si="901"/>
        <v>0.20852274110774549</v>
      </c>
      <c r="DO351" s="4">
        <f t="shared" si="902"/>
        <v>3.9219856434308356</v>
      </c>
      <c r="DP351" s="4">
        <f t="shared" si="903"/>
        <v>5.8883455225764845</v>
      </c>
      <c r="DQ351" s="4">
        <f t="shared" si="904"/>
        <v>7.0544408137106744</v>
      </c>
      <c r="DR351" s="38">
        <f t="shared" si="915"/>
        <v>391.37265796972918</v>
      </c>
      <c r="DS351" s="4">
        <f t="shared" si="1095"/>
        <v>1.0001002033787558</v>
      </c>
      <c r="DT351" s="4">
        <f t="shared" si="905"/>
        <v>2.3452078799117149</v>
      </c>
      <c r="DU351" s="4">
        <f t="shared" si="1103"/>
        <v>187.34345227002649</v>
      </c>
      <c r="DY351" s="4">
        <f t="shared" si="1037"/>
        <v>0.85</v>
      </c>
      <c r="DZ351" s="4">
        <f t="shared" si="1096"/>
        <v>0.995</v>
      </c>
      <c r="EA351" s="4">
        <f t="shared" si="916"/>
        <v>1</v>
      </c>
      <c r="EB351" s="4">
        <f t="shared" si="1097"/>
        <v>0.995</v>
      </c>
      <c r="ED351" s="4">
        <f t="shared" si="917"/>
        <v>383.39242762435686</v>
      </c>
      <c r="EE351" s="25">
        <f t="shared" si="918"/>
        <v>185.14461982380428</v>
      </c>
      <c r="EG351" s="4">
        <f t="shared" si="1104"/>
        <v>0.84575</v>
      </c>
      <c r="EH351" s="4">
        <f t="shared" si="919"/>
        <v>7.3425114000204648</v>
      </c>
      <c r="EK351" s="4">
        <f t="shared" si="906"/>
        <v>59.568280149757555</v>
      </c>
      <c r="EL351" s="4">
        <f t="shared" si="907"/>
        <v>2.3452078799117149</v>
      </c>
      <c r="EM351" s="4">
        <f t="shared" si="908"/>
        <v>7.7565027287808549E-2</v>
      </c>
      <c r="EP351" s="4">
        <f t="shared" si="998"/>
        <v>7.7565027287808549E-2</v>
      </c>
      <c r="EQ351" s="4">
        <f t="shared" si="960"/>
        <v>0.20817475551619255</v>
      </c>
      <c r="ER351" s="4">
        <f t="shared" si="1010"/>
        <v>3.9193663063320971</v>
      </c>
      <c r="ES351" s="4">
        <f t="shared" si="983"/>
        <v>5.8874807855904052</v>
      </c>
      <c r="ET351" s="4">
        <f t="shared" si="1011"/>
        <v>111.88171985024243</v>
      </c>
      <c r="EU351" s="4">
        <f t="shared" si="1012"/>
        <v>57.150000000000006</v>
      </c>
      <c r="EV351" s="4">
        <f t="shared" si="1098"/>
        <v>1.7931022683563109E-5</v>
      </c>
      <c r="EW351" s="4">
        <f t="shared" si="984"/>
        <v>7.0545068774054061</v>
      </c>
      <c r="EX351" s="4">
        <f t="shared" si="1131"/>
        <v>391.33344503631639</v>
      </c>
      <c r="FA351" s="4">
        <f t="shared" si="1136"/>
        <v>133.35</v>
      </c>
      <c r="FG351" s="23">
        <f t="shared" si="1030"/>
        <v>1.4</v>
      </c>
      <c r="FH351" s="23">
        <f t="shared" si="1030"/>
        <v>1</v>
      </c>
      <c r="FI351" s="23">
        <f t="shared" si="952"/>
        <v>1.8</v>
      </c>
      <c r="FJ351" s="23">
        <f t="shared" si="1031"/>
        <v>2.2000000000000002</v>
      </c>
      <c r="FK351" s="23">
        <f t="shared" si="1031"/>
        <v>1.2</v>
      </c>
      <c r="FL351" s="23">
        <f t="shared" si="1031"/>
        <v>1.2</v>
      </c>
      <c r="FM351" s="23">
        <f t="shared" si="923"/>
        <v>0</v>
      </c>
      <c r="FN351" s="23"/>
      <c r="FX351" s="4">
        <f t="shared" si="1099"/>
        <v>1</v>
      </c>
      <c r="FY351" s="4">
        <f t="shared" ref="FY351:FY414" si="1139">IF(AG351&gt;1, 0.05*(18-MIN(8,(Q351+K351)/K351))*(1-48000/MAX(60000,(G351*145))*(K351/25.4)^0.75*FZ351), 1/12*(14-MIN(8,(Q351+K351)/K351)))</f>
        <v>0.90833333333333333</v>
      </c>
      <c r="FZ351" s="4">
        <f t="shared" si="1100"/>
        <v>0</v>
      </c>
      <c r="GA351" s="4">
        <f t="shared" si="1101"/>
        <v>257.69063971483263</v>
      </c>
    </row>
    <row r="352" spans="1:183" ht="12" customHeight="1" x14ac:dyDescent="0.3">
      <c r="A352" s="25">
        <v>334</v>
      </c>
      <c r="B352" s="4" t="s">
        <v>605</v>
      </c>
      <c r="C352" s="4">
        <v>2016</v>
      </c>
      <c r="D352" s="4" t="s">
        <v>309</v>
      </c>
      <c r="E352" s="24" t="s">
        <v>671</v>
      </c>
      <c r="F352" s="7" t="s">
        <v>497</v>
      </c>
      <c r="G352" s="38">
        <f>120/0.145</f>
        <v>827.58620689655174</v>
      </c>
      <c r="H352" s="38">
        <f>9.38*25.4</f>
        <v>238.25200000000001</v>
      </c>
      <c r="I352" s="4">
        <f t="shared" si="985"/>
        <v>238.25200000000001</v>
      </c>
      <c r="J352" s="38">
        <f>6790/145</f>
        <v>46.827586206896555</v>
      </c>
      <c r="K352" s="38">
        <f t="shared" si="986"/>
        <v>25.4</v>
      </c>
      <c r="L352" s="7">
        <f t="shared" si="987"/>
        <v>9.3800000000000008</v>
      </c>
      <c r="M352" s="7">
        <f t="shared" si="988"/>
        <v>9.3800000000000008</v>
      </c>
      <c r="N352" s="38">
        <f>15.1*25.4</f>
        <v>383.53999999999996</v>
      </c>
      <c r="O352" s="38">
        <f>2.5*25.4</f>
        <v>63.5</v>
      </c>
      <c r="P352" s="39">
        <f>3.25*25.4</f>
        <v>82.55</v>
      </c>
      <c r="Q352" s="7">
        <f t="shared" si="989"/>
        <v>205.73999999999995</v>
      </c>
      <c r="R352" s="38">
        <v>2</v>
      </c>
      <c r="S352" s="4">
        <f t="shared" si="966"/>
        <v>260.34999999999997</v>
      </c>
      <c r="T352" s="7">
        <f t="shared" si="990"/>
        <v>3</v>
      </c>
      <c r="U352" s="7">
        <f t="shared" si="1127"/>
        <v>3</v>
      </c>
      <c r="V352" s="38">
        <v>4</v>
      </c>
      <c r="W352" s="4">
        <f t="shared" si="991"/>
        <v>4</v>
      </c>
      <c r="X352" s="4">
        <f t="shared" si="992"/>
        <v>5</v>
      </c>
      <c r="Y352" s="7">
        <f t="shared" si="993"/>
        <v>56.796126628494655</v>
      </c>
      <c r="AB352" s="38">
        <f t="shared" si="1038"/>
        <v>539.31034482758628</v>
      </c>
      <c r="AC352" s="4">
        <v>78.2</v>
      </c>
      <c r="AD352" s="4">
        <f t="shared" si="899"/>
        <v>0.9161935541106252</v>
      </c>
      <c r="AE352" s="38"/>
      <c r="AF352" s="38"/>
      <c r="AG352" s="39">
        <v>1</v>
      </c>
      <c r="AH352" s="39"/>
      <c r="AI352" s="39"/>
      <c r="AJ352" s="7"/>
      <c r="AK352" s="4">
        <f t="shared" si="994"/>
        <v>238.25200000000001</v>
      </c>
      <c r="AL352" s="4">
        <f t="shared" si="910"/>
        <v>0.53660270078180528</v>
      </c>
      <c r="AM352" s="4">
        <f t="shared" si="911"/>
        <v>248.32383590087252</v>
      </c>
      <c r="AN352" s="4">
        <f t="shared" si="912"/>
        <v>0.76396588486140726</v>
      </c>
      <c r="AO352" s="4">
        <v>1.25</v>
      </c>
      <c r="AP352" s="4">
        <f t="shared" si="1112"/>
        <v>2.5</v>
      </c>
      <c r="AQ352" s="38">
        <f t="shared" si="967"/>
        <v>318.12313202907933</v>
      </c>
      <c r="AR352" s="38">
        <f t="shared" si="913"/>
        <v>318.12313202907933</v>
      </c>
      <c r="AS352" s="38">
        <f t="shared" si="914"/>
        <v>3.8975267336121062</v>
      </c>
      <c r="AT352" s="38">
        <f t="shared" si="1121"/>
        <v>318.12313202907904</v>
      </c>
      <c r="AU352" s="38">
        <f t="shared" si="1086"/>
        <v>1.0000000000000009</v>
      </c>
      <c r="AV352" s="38">
        <f t="shared" si="954"/>
        <v>1.7663947632434147</v>
      </c>
      <c r="AW352" s="4">
        <f t="shared" si="940"/>
        <v>0</v>
      </c>
      <c r="AX352" s="4">
        <f t="shared" si="995"/>
        <v>337.83148595826066</v>
      </c>
      <c r="AY352" s="4">
        <f t="shared" si="968"/>
        <v>1</v>
      </c>
      <c r="AZ352" s="38">
        <f t="shared" si="1102"/>
        <v>561.93103448275861</v>
      </c>
      <c r="BA352" s="4">
        <f t="shared" si="969"/>
        <v>0.44000000000000006</v>
      </c>
      <c r="BB352" s="4">
        <f t="shared" si="970"/>
        <v>77.66745862180413</v>
      </c>
      <c r="BC352" s="4">
        <f t="shared" si="971"/>
        <v>639.59849310456275</v>
      </c>
      <c r="BE352" s="4">
        <f t="shared" si="1122"/>
        <v>1.375</v>
      </c>
      <c r="BF352" s="4">
        <f t="shared" si="1128"/>
        <v>547.05200187435685</v>
      </c>
      <c r="BH352" s="4">
        <f t="shared" si="1129"/>
        <v>538.96058175655878</v>
      </c>
      <c r="BI352" s="4">
        <f t="shared" si="1067"/>
        <v>0</v>
      </c>
      <c r="BJ352" s="4">
        <f t="shared" si="1130"/>
        <v>0</v>
      </c>
      <c r="BR352" s="4">
        <f t="shared" si="972"/>
        <v>63.5</v>
      </c>
      <c r="BV352" s="9"/>
      <c r="BX352" s="9"/>
      <c r="BY352" s="9"/>
      <c r="BZ352" s="9">
        <f t="shared" si="973"/>
        <v>63.5</v>
      </c>
      <c r="CA352" s="9">
        <f t="shared" si="974"/>
        <v>102.86999999999998</v>
      </c>
      <c r="CB352" s="9">
        <f t="shared" si="1087"/>
        <v>1.699797775373473</v>
      </c>
      <c r="CC352" s="40">
        <f t="shared" si="996"/>
        <v>0</v>
      </c>
      <c r="CD352" s="9">
        <f t="shared" si="975"/>
        <v>0</v>
      </c>
      <c r="CE352" s="9">
        <f t="shared" si="976"/>
        <v>0</v>
      </c>
      <c r="CF352" s="9">
        <f t="shared" si="977"/>
        <v>0.99524931562137331</v>
      </c>
      <c r="CG352" s="9">
        <f t="shared" si="978"/>
        <v>0.68</v>
      </c>
      <c r="CH352" s="9">
        <f t="shared" si="1088"/>
        <v>1.6209130944490342</v>
      </c>
      <c r="CI352" s="9">
        <f t="shared" si="1089"/>
        <v>2.7552244720182006</v>
      </c>
      <c r="CJ352" s="40">
        <v>1</v>
      </c>
      <c r="CK352" s="9">
        <f t="shared" si="1090"/>
        <v>268.68949051121496</v>
      </c>
      <c r="CM352" s="4">
        <f t="shared" si="979"/>
        <v>1.5963886352920298</v>
      </c>
      <c r="CN352" s="4">
        <f t="shared" si="980"/>
        <v>0.8432014000061423</v>
      </c>
      <c r="CO352" s="4">
        <f t="shared" si="946"/>
        <v>0.98584840742699886</v>
      </c>
      <c r="CP352" s="4">
        <f t="shared" si="981"/>
        <v>2.0071880883821756</v>
      </c>
      <c r="CQ352" s="4">
        <f t="shared" si="921"/>
        <v>0.9161935541106252</v>
      </c>
      <c r="CR352" s="4">
        <f t="shared" si="922"/>
        <v>0.96674260066309403</v>
      </c>
      <c r="CS352" s="4">
        <f t="shared" si="947"/>
        <v>1.1020916631669231</v>
      </c>
      <c r="CT352" s="4">
        <f t="shared" si="997"/>
        <v>0</v>
      </c>
      <c r="CU352" s="4">
        <f t="shared" si="1132"/>
        <v>1.5963886352920298</v>
      </c>
      <c r="CV352" s="4">
        <f t="shared" si="1132"/>
        <v>0.8432014000061423</v>
      </c>
      <c r="CW352" s="4">
        <f t="shared" si="1133"/>
        <v>2.0071880883821756</v>
      </c>
      <c r="CX352" s="4">
        <f t="shared" si="1134"/>
        <v>1.1020916631669231</v>
      </c>
      <c r="CY352" s="4">
        <f t="shared" si="1135"/>
        <v>0.9161935541106252</v>
      </c>
      <c r="CZ352" s="4">
        <f t="shared" si="1135"/>
        <v>0.96674260066309403</v>
      </c>
      <c r="DI352" s="4">
        <f t="shared" si="982"/>
        <v>238.25200000000001</v>
      </c>
      <c r="DL352" s="4">
        <f t="shared" si="900"/>
        <v>1.8754307597872246E-5</v>
      </c>
      <c r="DM352" s="4">
        <f t="shared" si="1009"/>
        <v>8.6461429491242612</v>
      </c>
      <c r="DN352" s="4">
        <f t="shared" si="901"/>
        <v>0.37533501502490646</v>
      </c>
      <c r="DO352" s="4">
        <f t="shared" si="902"/>
        <v>5.8423832730452157</v>
      </c>
      <c r="DP352" s="4">
        <f t="shared" si="903"/>
        <v>7.3791461832387251</v>
      </c>
      <c r="DQ352" s="4">
        <f t="shared" si="904"/>
        <v>8.1679413048538798</v>
      </c>
      <c r="DR352" s="38">
        <f t="shared" si="915"/>
        <v>588.64236973497373</v>
      </c>
      <c r="DS352" s="4">
        <f t="shared" si="1095"/>
        <v>1.0001074677116861</v>
      </c>
      <c r="DT352" s="4">
        <f t="shared" si="905"/>
        <v>2.2360679774997898</v>
      </c>
      <c r="DU352" s="4">
        <f t="shared" si="1103"/>
        <v>318.12313202907904</v>
      </c>
      <c r="DY352" s="4">
        <f t="shared" si="1037"/>
        <v>0.85</v>
      </c>
      <c r="DZ352" s="4">
        <f t="shared" si="1096"/>
        <v>0.85</v>
      </c>
      <c r="EA352" s="4">
        <f t="shared" si="916"/>
        <v>1</v>
      </c>
      <c r="EB352" s="4">
        <f t="shared" si="1097"/>
        <v>0.85</v>
      </c>
      <c r="ED352" s="4">
        <f t="shared" si="917"/>
        <v>557.86343175284753</v>
      </c>
      <c r="EE352" s="25">
        <f t="shared" si="918"/>
        <v>314.56096916449081</v>
      </c>
      <c r="EG352" s="4">
        <f t="shared" si="1104"/>
        <v>0.72249999999999992</v>
      </c>
      <c r="EH352" s="4">
        <f t="shared" si="919"/>
        <v>8.6461429491242612</v>
      </c>
      <c r="EK352" s="4">
        <f t="shared" si="906"/>
        <v>56.796126628494655</v>
      </c>
      <c r="EL352" s="4">
        <f t="shared" si="907"/>
        <v>2.2360679774997898</v>
      </c>
      <c r="EM352" s="4">
        <f t="shared" si="908"/>
        <v>0.14044466065071942</v>
      </c>
      <c r="EP352" s="4">
        <f t="shared" si="998"/>
        <v>0.14044466065071942</v>
      </c>
      <c r="EQ352" s="4">
        <f t="shared" si="960"/>
        <v>0.37470865083776739</v>
      </c>
      <c r="ER352" s="4">
        <f t="shared" si="1010"/>
        <v>5.8384813792996928</v>
      </c>
      <c r="ES352" s="4">
        <f t="shared" si="983"/>
        <v>7.3776048296736834</v>
      </c>
      <c r="ET352" s="4">
        <f t="shared" si="1011"/>
        <v>121.89287337150537</v>
      </c>
      <c r="EU352" s="4">
        <f t="shared" si="1012"/>
        <v>59.562999999999988</v>
      </c>
      <c r="EV352" s="4">
        <f t="shared" si="1098"/>
        <v>1.8754307597872239E-5</v>
      </c>
      <c r="EW352" s="4">
        <f t="shared" si="984"/>
        <v>8.1680728348916425</v>
      </c>
      <c r="EX352" s="4">
        <f t="shared" si="1131"/>
        <v>588.57911648417894</v>
      </c>
      <c r="FG352" s="23">
        <f t="shared" si="1030"/>
        <v>1.6</v>
      </c>
      <c r="FH352" s="23">
        <f t="shared" si="1030"/>
        <v>1</v>
      </c>
      <c r="FI352" s="23">
        <f t="shared" si="952"/>
        <v>1.2</v>
      </c>
      <c r="FJ352" s="23">
        <f t="shared" si="1031"/>
        <v>2.2000000000000002</v>
      </c>
      <c r="FK352" s="23">
        <f t="shared" si="1031"/>
        <v>1</v>
      </c>
      <c r="FL352" s="23">
        <f t="shared" si="1031"/>
        <v>1</v>
      </c>
      <c r="FM352" s="23">
        <f t="shared" si="923"/>
        <v>0</v>
      </c>
      <c r="FN352" s="23"/>
      <c r="FX352" s="4">
        <f t="shared" si="1099"/>
        <v>1</v>
      </c>
      <c r="FY352" s="4">
        <f t="shared" si="1139"/>
        <v>0.5</v>
      </c>
      <c r="FZ352" s="4">
        <f t="shared" si="1100"/>
        <v>0</v>
      </c>
      <c r="GA352" s="4">
        <f t="shared" si="1101"/>
        <v>489.35162369148799</v>
      </c>
    </row>
    <row r="353" spans="1:183" ht="12" customHeight="1" x14ac:dyDescent="0.3">
      <c r="A353" s="25">
        <v>335</v>
      </c>
      <c r="B353" s="4" t="s">
        <v>605</v>
      </c>
      <c r="C353" s="4">
        <v>2016</v>
      </c>
      <c r="D353" s="4" t="s">
        <v>309</v>
      </c>
      <c r="E353" s="24" t="s">
        <v>671</v>
      </c>
      <c r="F353" s="7" t="s">
        <v>498</v>
      </c>
      <c r="G353" s="38">
        <f t="shared" ref="G353:G359" si="1140">120/0.145</f>
        <v>827.58620689655174</v>
      </c>
      <c r="H353" s="38">
        <f>9.5*25.4</f>
        <v>241.29999999999998</v>
      </c>
      <c r="I353" s="4">
        <f t="shared" si="985"/>
        <v>241.29999999999998</v>
      </c>
      <c r="J353" s="38">
        <f>6790/145</f>
        <v>46.827586206896555</v>
      </c>
      <c r="K353" s="38">
        <f t="shared" si="986"/>
        <v>25.4</v>
      </c>
      <c r="L353" s="7">
        <f t="shared" si="987"/>
        <v>9.5</v>
      </c>
      <c r="M353" s="7">
        <f t="shared" si="988"/>
        <v>9.5</v>
      </c>
      <c r="N353" s="38">
        <f>15.1*25.4</f>
        <v>383.53999999999996</v>
      </c>
      <c r="O353" s="38">
        <f>2.5*25.4</f>
        <v>63.5</v>
      </c>
      <c r="P353" s="39">
        <f>3*25.4</f>
        <v>76.199999999999989</v>
      </c>
      <c r="Q353" s="7">
        <f t="shared" si="989"/>
        <v>205.73999999999995</v>
      </c>
      <c r="R353" s="38">
        <v>2</v>
      </c>
      <c r="S353" s="4">
        <f t="shared" si="966"/>
        <v>260.34999999999997</v>
      </c>
      <c r="T353" s="7">
        <f t="shared" si="990"/>
        <v>3</v>
      </c>
      <c r="U353" s="7">
        <f t="shared" si="1127"/>
        <v>3</v>
      </c>
      <c r="V353" s="38">
        <v>4</v>
      </c>
      <c r="W353" s="4">
        <f t="shared" si="991"/>
        <v>4</v>
      </c>
      <c r="X353" s="4">
        <f t="shared" si="992"/>
        <v>5</v>
      </c>
      <c r="Y353" s="7">
        <f t="shared" si="993"/>
        <v>56.796126628494655</v>
      </c>
      <c r="AB353" s="38">
        <f t="shared" si="1038"/>
        <v>669.65517241379314</v>
      </c>
      <c r="AC353" s="4">
        <v>97.1</v>
      </c>
      <c r="AD353" s="4">
        <f t="shared" si="899"/>
        <v>1.0276805768179793</v>
      </c>
      <c r="AE353" s="38">
        <f t="shared" ref="AE353" si="1141">0.5*25.4</f>
        <v>12.7</v>
      </c>
      <c r="AF353" s="38">
        <v>10</v>
      </c>
      <c r="AG353" s="39">
        <f t="shared" ref="AG353" si="1142">3*25.4</f>
        <v>76.199999999999989</v>
      </c>
      <c r="AH353" s="39">
        <v>3</v>
      </c>
      <c r="AI353" s="39">
        <f>AH353-1</f>
        <v>2</v>
      </c>
      <c r="AJ353" s="7"/>
      <c r="AK353" s="4">
        <f t="shared" si="994"/>
        <v>241.29999999999998</v>
      </c>
      <c r="AL353" s="4">
        <f t="shared" si="910"/>
        <v>0.52982456140350875</v>
      </c>
      <c r="AM353" s="4">
        <f t="shared" si="911"/>
        <v>253.10432048351177</v>
      </c>
      <c r="AN353" s="4">
        <f t="shared" si="912"/>
        <v>0.76315789473684204</v>
      </c>
      <c r="AO353" s="4">
        <v>1.25</v>
      </c>
      <c r="AP353" s="4">
        <f t="shared" si="1112"/>
        <v>2.5</v>
      </c>
      <c r="AQ353" s="38">
        <f>AL353*AN353*AO353*AP353*AM353</f>
        <v>319.81296727761367</v>
      </c>
      <c r="AR353" s="38">
        <f t="shared" si="913"/>
        <v>319.81296727761367</v>
      </c>
      <c r="AS353" s="38">
        <f t="shared" si="914"/>
        <v>3.8975267336121062</v>
      </c>
      <c r="AT353" s="38">
        <f t="shared" si="1121"/>
        <v>319.81296727761384</v>
      </c>
      <c r="AU353" s="38">
        <f t="shared" si="1086"/>
        <v>0.99999999999999944</v>
      </c>
      <c r="AV353" s="38">
        <f t="shared" si="954"/>
        <v>1.757061445213302</v>
      </c>
      <c r="AW353" s="4">
        <f t="shared" si="940"/>
        <v>0</v>
      </c>
      <c r="AX353" s="4">
        <f t="shared" si="995"/>
        <v>342.15342394493348</v>
      </c>
      <c r="AY353" s="4">
        <f t="shared" si="968"/>
        <v>1</v>
      </c>
      <c r="AZ353" s="38">
        <f t="shared" si="1102"/>
        <v>561.93103448275861</v>
      </c>
      <c r="BA353" s="4">
        <f t="shared" si="969"/>
        <v>0.44000000000000006</v>
      </c>
      <c r="BB353" s="4">
        <f t="shared" si="970"/>
        <v>78.661072164940208</v>
      </c>
      <c r="BC353" s="4">
        <f t="shared" si="971"/>
        <v>640.59210664769876</v>
      </c>
      <c r="BE353" s="4">
        <f t="shared" si="1122"/>
        <v>1.5</v>
      </c>
      <c r="BF353" s="4">
        <f t="shared" si="1128"/>
        <v>600.47925902335828</v>
      </c>
      <c r="BH353" s="4">
        <f t="shared" si="1129"/>
        <v>538.96058175655878</v>
      </c>
      <c r="BI353" s="4">
        <f t="shared" si="1067"/>
        <v>0</v>
      </c>
      <c r="BJ353" s="4">
        <f t="shared" si="1130"/>
        <v>0</v>
      </c>
      <c r="BR353" s="4">
        <f t="shared" si="972"/>
        <v>63.5</v>
      </c>
      <c r="BV353" s="9"/>
      <c r="BX353" s="9"/>
      <c r="BY353" s="9"/>
      <c r="BZ353" s="9">
        <f t="shared" si="973"/>
        <v>63.5</v>
      </c>
      <c r="CA353" s="9">
        <f t="shared" si="974"/>
        <v>102.86999999999998</v>
      </c>
      <c r="CB353" s="9">
        <f t="shared" si="1087"/>
        <v>1.699797775373473</v>
      </c>
      <c r="CC353" s="40">
        <f t="shared" si="996"/>
        <v>20</v>
      </c>
      <c r="CD353" s="9">
        <f t="shared" si="975"/>
        <v>0.05</v>
      </c>
      <c r="CE353" s="9">
        <f t="shared" si="976"/>
        <v>0.8</v>
      </c>
      <c r="CF353" s="9">
        <f t="shared" si="977"/>
        <v>0.99524931562137331</v>
      </c>
      <c r="CG353" s="9">
        <f t="shared" si="978"/>
        <v>0.68</v>
      </c>
      <c r="CH353" s="9">
        <f t="shared" si="1088"/>
        <v>1.6209130944490342</v>
      </c>
      <c r="CI353" s="9">
        <f t="shared" si="1089"/>
        <v>4.0519549475774275</v>
      </c>
      <c r="CJ353" s="40">
        <v>1</v>
      </c>
      <c r="CK353" s="9">
        <f t="shared" si="1090"/>
        <v>397.09158486258787</v>
      </c>
      <c r="CM353" s="4">
        <f t="shared" si="979"/>
        <v>1.9571780539059229</v>
      </c>
      <c r="CN353" s="4">
        <f t="shared" si="980"/>
        <v>1.0453690663130164</v>
      </c>
      <c r="CO353" s="4">
        <f t="shared" si="946"/>
        <v>1.1152011703167652</v>
      </c>
      <c r="CP353" s="4">
        <f t="shared" si="981"/>
        <v>1.6863998078567315</v>
      </c>
      <c r="CQ353" s="4">
        <f t="shared" si="921"/>
        <v>1.0276805768179793</v>
      </c>
      <c r="CR353" s="4">
        <f t="shared" si="922"/>
        <v>1.0879820523592281</v>
      </c>
      <c r="CS353" s="4">
        <f t="shared" si="947"/>
        <v>1.1890280478040305</v>
      </c>
      <c r="CT353" s="4">
        <f t="shared" si="997"/>
        <v>10</v>
      </c>
      <c r="DA353" s="4">
        <f t="shared" ref="DA353:DB353" si="1143">CM353</f>
        <v>1.9571780539059229</v>
      </c>
      <c r="DB353" s="4">
        <f t="shared" si="1143"/>
        <v>1.0453690663130164</v>
      </c>
      <c r="DC353" s="4">
        <f t="shared" ref="DC353" si="1144">CP353</f>
        <v>1.6863998078567315</v>
      </c>
      <c r="DD353" s="4">
        <f t="shared" ref="DD353" si="1145">CS353</f>
        <v>1.1890280478040305</v>
      </c>
      <c r="DE353" s="4">
        <f t="shared" ref="DE353:DF353" si="1146">CQ353</f>
        <v>1.0276805768179793</v>
      </c>
      <c r="DF353" s="4">
        <f t="shared" si="1146"/>
        <v>1.0879820523592281</v>
      </c>
      <c r="DI353" s="4">
        <f t="shared" si="982"/>
        <v>241.29999999999998</v>
      </c>
      <c r="DL353" s="4">
        <f t="shared" si="900"/>
        <v>1.8994234773964424E-5</v>
      </c>
      <c r="DM353" s="4">
        <f t="shared" si="1009"/>
        <v>10.498887866793746</v>
      </c>
      <c r="DN353" s="4">
        <f t="shared" si="901"/>
        <v>0.37732875353223522</v>
      </c>
      <c r="DO353" s="4">
        <f t="shared" si="902"/>
        <v>7.1093722985602961</v>
      </c>
      <c r="DP353" s="4">
        <f t="shared" si="903"/>
        <v>8.9663426766085994</v>
      </c>
      <c r="DQ353" s="4">
        <f t="shared" si="904"/>
        <v>9.776160469501713</v>
      </c>
      <c r="DR353" s="38">
        <f t="shared" si="915"/>
        <v>651.61801003114715</v>
      </c>
      <c r="DS353" s="4">
        <f t="shared" si="1095"/>
        <v>1.0001186705256411</v>
      </c>
      <c r="DT353" s="4">
        <f t="shared" si="905"/>
        <v>2.2360679774997898</v>
      </c>
      <c r="DU353" s="4">
        <f t="shared" si="1103"/>
        <v>319.81296727761384</v>
      </c>
      <c r="DY353" s="4">
        <f t="shared" si="1037"/>
        <v>0.85</v>
      </c>
      <c r="DZ353" s="4">
        <f t="shared" si="1096"/>
        <v>0.85</v>
      </c>
      <c r="EA353" s="4">
        <f t="shared" si="916"/>
        <v>0.77500000000000002</v>
      </c>
      <c r="EB353" s="4">
        <f t="shared" si="1097"/>
        <v>0.7</v>
      </c>
      <c r="ED353" s="4">
        <f t="shared" si="917"/>
        <v>615.50203972729469</v>
      </c>
      <c r="EE353" s="25">
        <f t="shared" si="918"/>
        <v>316.28373552367282</v>
      </c>
      <c r="EG353" s="4">
        <f t="shared" si="1104"/>
        <v>0.59499999999999997</v>
      </c>
      <c r="EH353" s="4">
        <f t="shared" si="919"/>
        <v>10.498887866793746</v>
      </c>
      <c r="EK353" s="4">
        <f t="shared" si="906"/>
        <v>56.796126628494655</v>
      </c>
      <c r="EL353" s="4">
        <f t="shared" si="907"/>
        <v>2.2360679774997898</v>
      </c>
      <c r="EM353" s="4">
        <f t="shared" si="908"/>
        <v>0.14119068731191298</v>
      </c>
      <c r="EP353" s="4">
        <f t="shared" si="998"/>
        <v>0.14119068731191298</v>
      </c>
      <c r="EQ353" s="4">
        <f t="shared" si="960"/>
        <v>0.37669906216710974</v>
      </c>
      <c r="ER353" s="4">
        <f t="shared" si="1010"/>
        <v>7.1046242335994894</v>
      </c>
      <c r="ES353" s="4">
        <f t="shared" si="983"/>
        <v>8.9644642695673813</v>
      </c>
      <c r="ET353" s="4">
        <f t="shared" si="1011"/>
        <v>124.17887337150535</v>
      </c>
      <c r="EU353" s="4">
        <f t="shared" si="1012"/>
        <v>60.324999999999989</v>
      </c>
      <c r="EV353" s="4">
        <f t="shared" si="1098"/>
        <v>1.8994234773964424E-5</v>
      </c>
      <c r="EW353" s="4">
        <f t="shared" si="984"/>
        <v>9.7763586721413507</v>
      </c>
      <c r="EX353" s="4">
        <f t="shared" si="1131"/>
        <v>651.54069135482757</v>
      </c>
      <c r="FG353" s="23">
        <f t="shared" si="1030"/>
        <v>2</v>
      </c>
      <c r="FH353" s="23">
        <f t="shared" si="1030"/>
        <v>1.2</v>
      </c>
      <c r="FI353" s="23">
        <f t="shared" si="952"/>
        <v>1.2</v>
      </c>
      <c r="FJ353" s="23">
        <f t="shared" si="1031"/>
        <v>1.8</v>
      </c>
      <c r="FK353" s="23">
        <f t="shared" si="1031"/>
        <v>1.2</v>
      </c>
      <c r="FL353" s="23">
        <f t="shared" si="1031"/>
        <v>1.2</v>
      </c>
      <c r="FM353" s="23">
        <f t="shared" si="923"/>
        <v>0</v>
      </c>
      <c r="FN353" s="23"/>
      <c r="FX353" s="4">
        <f t="shared" si="1099"/>
        <v>1</v>
      </c>
      <c r="FY353" s="4">
        <f t="shared" si="1139"/>
        <v>0.44</v>
      </c>
      <c r="FZ353" s="4">
        <f t="shared" si="1100"/>
        <v>0.3</v>
      </c>
      <c r="GA353" s="4">
        <f t="shared" si="1101"/>
        <v>563.19543819891646</v>
      </c>
    </row>
    <row r="354" spans="1:183" ht="12" customHeight="1" x14ac:dyDescent="0.3">
      <c r="A354" s="25">
        <v>336</v>
      </c>
      <c r="B354" s="4" t="s">
        <v>605</v>
      </c>
      <c r="C354" s="4">
        <v>2016</v>
      </c>
      <c r="D354" s="4" t="s">
        <v>309</v>
      </c>
      <c r="E354" s="24" t="s">
        <v>671</v>
      </c>
      <c r="F354" s="7" t="s">
        <v>499</v>
      </c>
      <c r="G354" s="38">
        <f t="shared" si="1140"/>
        <v>827.58620689655174</v>
      </c>
      <c r="H354" s="38">
        <f>9.33*25.4</f>
        <v>236.982</v>
      </c>
      <c r="I354" s="4">
        <f t="shared" si="985"/>
        <v>236.982</v>
      </c>
      <c r="J354" s="38">
        <f>6790/145</f>
        <v>46.827586206896555</v>
      </c>
      <c r="K354" s="38">
        <f t="shared" si="986"/>
        <v>25.4</v>
      </c>
      <c r="L354" s="7">
        <f t="shared" si="987"/>
        <v>9.33</v>
      </c>
      <c r="M354" s="7">
        <f t="shared" si="988"/>
        <v>9.33</v>
      </c>
      <c r="N354" s="38">
        <f>15.1*25.4</f>
        <v>383.53999999999996</v>
      </c>
      <c r="O354" s="38">
        <f>2.55*25.4</f>
        <v>64.77</v>
      </c>
      <c r="P354" s="39">
        <f>3.3*25.4</f>
        <v>83.82</v>
      </c>
      <c r="Q354" s="7">
        <f t="shared" si="989"/>
        <v>88.899999999999991</v>
      </c>
      <c r="R354" s="38">
        <v>3</v>
      </c>
      <c r="S354" s="4">
        <f t="shared" si="966"/>
        <v>260.34999999999997</v>
      </c>
      <c r="T354" s="7">
        <f t="shared" si="990"/>
        <v>2.25</v>
      </c>
      <c r="U354" s="7">
        <f t="shared" si="1127"/>
        <v>3.05</v>
      </c>
      <c r="V354" s="38">
        <v>4</v>
      </c>
      <c r="W354" s="4">
        <f t="shared" si="991"/>
        <v>4</v>
      </c>
      <c r="X354" s="4">
        <f t="shared" si="992"/>
        <v>5</v>
      </c>
      <c r="Y354" s="7">
        <f t="shared" si="993"/>
        <v>56.796126628494655</v>
      </c>
      <c r="AB354" s="38">
        <f t="shared" si="1038"/>
        <v>355.17241379310349</v>
      </c>
      <c r="AC354" s="4">
        <v>51.5</v>
      </c>
      <c r="AD354" s="4">
        <f t="shared" si="899"/>
        <v>0.79497862339968595</v>
      </c>
      <c r="AE354" s="38"/>
      <c r="AF354" s="38"/>
      <c r="AG354" s="39">
        <v>1</v>
      </c>
      <c r="AH354" s="39"/>
      <c r="AI354" s="39"/>
      <c r="AJ354" s="7"/>
      <c r="AK354" s="4">
        <f t="shared" si="994"/>
        <v>236.982</v>
      </c>
      <c r="AL354" s="4">
        <f t="shared" si="910"/>
        <v>0.53947838513754909</v>
      </c>
      <c r="AM354" s="4">
        <f t="shared" si="911"/>
        <v>164.22730165587976</v>
      </c>
      <c r="AN354" s="4">
        <f t="shared" si="912"/>
        <v>0.76538049303322608</v>
      </c>
      <c r="AO354" s="4">
        <v>1.25</v>
      </c>
      <c r="AP354" s="4">
        <f t="shared" si="1112"/>
        <v>2.5</v>
      </c>
      <c r="AQ354" s="38">
        <f t="shared" si="967"/>
        <v>211.90773869847416</v>
      </c>
      <c r="AR354" s="38">
        <f t="shared" si="913"/>
        <v>211.90773869847416</v>
      </c>
      <c r="AS354" s="38">
        <f t="shared" si="914"/>
        <v>3.8975267336121062</v>
      </c>
      <c r="AT354" s="38">
        <f t="shared" si="1121"/>
        <v>211.90773869847405</v>
      </c>
      <c r="AU354" s="38">
        <f t="shared" si="1086"/>
        <v>1.0000000000000004</v>
      </c>
      <c r="AV354" s="38">
        <f t="shared" si="954"/>
        <v>2.27168478680181</v>
      </c>
      <c r="AW354" s="4">
        <f t="shared" si="940"/>
        <v>0</v>
      </c>
      <c r="AX354" s="4">
        <f t="shared" si="995"/>
        <v>336.03067846381362</v>
      </c>
      <c r="AY354" s="4">
        <f t="shared" si="968"/>
        <v>1.1422222222222222</v>
      </c>
      <c r="AZ354" s="38">
        <f t="shared" si="1102"/>
        <v>481.38758620689663</v>
      </c>
      <c r="BA354" s="4">
        <f t="shared" si="969"/>
        <v>0.44000000000000006</v>
      </c>
      <c r="BB354" s="4">
        <f t="shared" si="970"/>
        <v>77.253452978830751</v>
      </c>
      <c r="BC354" s="4">
        <f t="shared" si="971"/>
        <v>558.64103918572732</v>
      </c>
      <c r="BE354" s="4">
        <f t="shared" si="1122"/>
        <v>1.3875</v>
      </c>
      <c r="BF354" s="4">
        <f t="shared" si="1128"/>
        <v>550.60098826422575</v>
      </c>
      <c r="BH354" s="4">
        <f t="shared" si="1129"/>
        <v>461.70956503811868</v>
      </c>
      <c r="BI354" s="4">
        <f t="shared" si="1067"/>
        <v>0</v>
      </c>
      <c r="BJ354" s="4">
        <f t="shared" si="1130"/>
        <v>0</v>
      </c>
      <c r="BR354" s="4">
        <f t="shared" si="972"/>
        <v>44.449999999999996</v>
      </c>
      <c r="BV354" s="9"/>
      <c r="BX354" s="9"/>
      <c r="BY354" s="9"/>
      <c r="BZ354" s="9">
        <f t="shared" si="973"/>
        <v>44.449999999999996</v>
      </c>
      <c r="CA354" s="9">
        <f t="shared" si="974"/>
        <v>64.77</v>
      </c>
      <c r="CB354" s="9">
        <f t="shared" si="1087"/>
        <v>1.3997302362379427</v>
      </c>
      <c r="CC354" s="40">
        <f t="shared" si="996"/>
        <v>0</v>
      </c>
      <c r="CD354" s="9">
        <f t="shared" si="975"/>
        <v>0</v>
      </c>
      <c r="CE354" s="9">
        <f t="shared" si="976"/>
        <v>0</v>
      </c>
      <c r="CF354" s="9">
        <f t="shared" si="977"/>
        <v>0.99524931562137331</v>
      </c>
      <c r="CG354" s="9">
        <f t="shared" si="978"/>
        <v>0.68</v>
      </c>
      <c r="CH354" s="9">
        <f t="shared" si="1088"/>
        <v>1.6209130944490342</v>
      </c>
      <c r="CI354" s="9">
        <f t="shared" si="1089"/>
        <v>2.2688410686143214</v>
      </c>
      <c r="CJ354" s="40">
        <v>1</v>
      </c>
      <c r="CK354" s="9">
        <f t="shared" si="1090"/>
        <v>220.80361279754578</v>
      </c>
      <c r="CM354" s="4">
        <f t="shared" si="979"/>
        <v>1.0569642492667561</v>
      </c>
      <c r="CN354" s="4">
        <f t="shared" si="980"/>
        <v>0.63577930885779754</v>
      </c>
      <c r="CO354" s="4">
        <f t="shared" si="946"/>
        <v>0.64506316073421432</v>
      </c>
      <c r="CP354" s="4">
        <f t="shared" si="981"/>
        <v>1.6085443951442955</v>
      </c>
      <c r="CQ354" s="4">
        <f t="shared" si="921"/>
        <v>0.79497862339968595</v>
      </c>
      <c r="CR354" s="4">
        <f t="shared" si="922"/>
        <v>0.82233348350740842</v>
      </c>
      <c r="CS354" s="4">
        <f t="shared" si="947"/>
        <v>1.1553451423090986</v>
      </c>
      <c r="CT354" s="4">
        <f t="shared" si="997"/>
        <v>0</v>
      </c>
      <c r="CU354" s="4">
        <f t="shared" ref="CU354:CV354" si="1147">CM354</f>
        <v>1.0569642492667561</v>
      </c>
      <c r="CV354" s="4">
        <f t="shared" si="1147"/>
        <v>0.63577930885779754</v>
      </c>
      <c r="CW354" s="4">
        <f t="shared" ref="CW354" si="1148">CP354</f>
        <v>1.6085443951442955</v>
      </c>
      <c r="CX354" s="4">
        <f t="shared" si="1134"/>
        <v>1.1553451423090986</v>
      </c>
      <c r="CY354" s="4">
        <f t="shared" ref="CY354:CZ354" si="1149">CQ354</f>
        <v>0.79497862339968595</v>
      </c>
      <c r="CZ354" s="4">
        <f t="shared" si="1149"/>
        <v>0.82233348350740842</v>
      </c>
      <c r="DI354" s="4">
        <f t="shared" si="982"/>
        <v>236.982</v>
      </c>
      <c r="DL354" s="4">
        <f t="shared" si="900"/>
        <v>1.8654337941167171E-5</v>
      </c>
      <c r="DM354" s="4">
        <f t="shared" si="1009"/>
        <v>7.9451043316276984</v>
      </c>
      <c r="DN354" s="4">
        <f t="shared" si="901"/>
        <v>0.25001763870794352</v>
      </c>
      <c r="DO354" s="4">
        <f t="shared" si="902"/>
        <v>4.5633929194179164</v>
      </c>
      <c r="DP354" s="4">
        <f t="shared" si="903"/>
        <v>6.4803196530193512</v>
      </c>
      <c r="DQ354" s="4">
        <f t="shared" si="904"/>
        <v>7.5694956542959266</v>
      </c>
      <c r="DR354" s="38">
        <f t="shared" si="915"/>
        <v>446.76976630418892</v>
      </c>
      <c r="DS354" s="4">
        <f t="shared" si="1095"/>
        <v>1.0001046444848969</v>
      </c>
      <c r="DT354" s="4">
        <f t="shared" si="905"/>
        <v>2.2360679774997898</v>
      </c>
      <c r="DU354" s="4">
        <f t="shared" si="1103"/>
        <v>211.90773869847405</v>
      </c>
      <c r="DY354" s="4">
        <f t="shared" si="1037"/>
        <v>0.85</v>
      </c>
      <c r="DZ354" s="4">
        <f t="shared" si="1096"/>
        <v>0.92500000000000004</v>
      </c>
      <c r="EA354" s="4">
        <f t="shared" si="916"/>
        <v>1</v>
      </c>
      <c r="EB354" s="4">
        <f t="shared" si="1097"/>
        <v>0.92500000000000004</v>
      </c>
      <c r="ED354" s="4">
        <f t="shared" si="917"/>
        <v>431.90800437582294</v>
      </c>
      <c r="EE354" s="25">
        <f t="shared" si="918"/>
        <v>209.52453413356363</v>
      </c>
      <c r="EG354" s="4">
        <f t="shared" si="1104"/>
        <v>0.78625</v>
      </c>
      <c r="EH354" s="4">
        <f t="shared" si="919"/>
        <v>7.9451043316276984</v>
      </c>
      <c r="EK354" s="4">
        <f t="shared" si="906"/>
        <v>56.796126628494655</v>
      </c>
      <c r="EL354" s="4">
        <f t="shared" si="907"/>
        <v>2.2360679774997898</v>
      </c>
      <c r="EM354" s="4">
        <f t="shared" si="908"/>
        <v>9.3552802215112377E-2</v>
      </c>
      <c r="EP354" s="4">
        <f t="shared" si="998"/>
        <v>9.3552802215112377E-2</v>
      </c>
      <c r="EQ354" s="4">
        <f t="shared" si="960"/>
        <v>0.24960040586589352</v>
      </c>
      <c r="ER354" s="4">
        <f t="shared" si="1010"/>
        <v>4.5603452120939565</v>
      </c>
      <c r="ES354" s="4">
        <f t="shared" si="983"/>
        <v>6.4792529673615737</v>
      </c>
      <c r="ET354" s="4">
        <f t="shared" si="1011"/>
        <v>120.94037337150536</v>
      </c>
      <c r="EU354" s="4">
        <f t="shared" si="1012"/>
        <v>59.245499999999993</v>
      </c>
      <c r="EV354" s="4">
        <f t="shared" si="1098"/>
        <v>1.8654337941167168E-5</v>
      </c>
      <c r="EW354" s="4">
        <f t="shared" si="984"/>
        <v>7.5695844246889541</v>
      </c>
      <c r="EX354" s="4">
        <f t="shared" si="1131"/>
        <v>446.72301920395273</v>
      </c>
      <c r="FG354" s="23">
        <f t="shared" si="1030"/>
        <v>1.2</v>
      </c>
      <c r="FH354" s="23">
        <f t="shared" si="1030"/>
        <v>0.8</v>
      </c>
      <c r="FI354" s="23">
        <f t="shared" si="952"/>
        <v>1.2</v>
      </c>
      <c r="FJ354" s="23">
        <f t="shared" si="1031"/>
        <v>1.8</v>
      </c>
      <c r="FK354" s="23">
        <f t="shared" si="1031"/>
        <v>0.8</v>
      </c>
      <c r="FL354" s="23">
        <f t="shared" si="1031"/>
        <v>1</v>
      </c>
      <c r="FM354" s="23">
        <f t="shared" si="923"/>
        <v>1</v>
      </c>
      <c r="FN354" s="23"/>
      <c r="FX354" s="4">
        <f t="shared" si="1099"/>
        <v>1</v>
      </c>
      <c r="FY354" s="4">
        <f t="shared" si="1139"/>
        <v>0.79166666666666663</v>
      </c>
      <c r="FZ354" s="4">
        <f t="shared" si="1100"/>
        <v>0</v>
      </c>
      <c r="GA354" s="4">
        <f t="shared" si="1101"/>
        <v>307.4167197200033</v>
      </c>
    </row>
    <row r="355" spans="1:183" ht="12" customHeight="1" x14ac:dyDescent="0.3">
      <c r="A355" s="25">
        <v>337</v>
      </c>
      <c r="B355" s="4" t="s">
        <v>605</v>
      </c>
      <c r="C355" s="4">
        <v>2016</v>
      </c>
      <c r="D355" s="4" t="s">
        <v>309</v>
      </c>
      <c r="E355" s="24" t="s">
        <v>671</v>
      </c>
      <c r="F355" s="7" t="s">
        <v>500</v>
      </c>
      <c r="G355" s="38">
        <f t="shared" si="1140"/>
        <v>827.58620689655174</v>
      </c>
      <c r="H355" s="38">
        <f>9.17*25.4</f>
        <v>232.91799999999998</v>
      </c>
      <c r="I355" s="4">
        <f t="shared" si="985"/>
        <v>232.91799999999998</v>
      </c>
      <c r="J355" s="38">
        <f>6650/145</f>
        <v>45.862068965517238</v>
      </c>
      <c r="K355" s="38">
        <f t="shared" si="986"/>
        <v>25.4</v>
      </c>
      <c r="L355" s="7">
        <f t="shared" si="987"/>
        <v>9.17</v>
      </c>
      <c r="M355" s="7">
        <f t="shared" si="988"/>
        <v>9.17</v>
      </c>
      <c r="N355" s="38">
        <f>15.3*25.4</f>
        <v>388.62</v>
      </c>
      <c r="O355" s="38">
        <f>2.45*25.4</f>
        <v>62.230000000000004</v>
      </c>
      <c r="P355" s="39">
        <f>3.5*25.4</f>
        <v>88.899999999999991</v>
      </c>
      <c r="Q355" s="7">
        <f t="shared" si="989"/>
        <v>93.98</v>
      </c>
      <c r="R355" s="38">
        <v>3</v>
      </c>
      <c r="S355" s="4">
        <f t="shared" si="966"/>
        <v>260.34999999999997</v>
      </c>
      <c r="T355" s="7">
        <f t="shared" si="990"/>
        <v>2.35</v>
      </c>
      <c r="U355" s="7">
        <f t="shared" si="1127"/>
        <v>2.95</v>
      </c>
      <c r="V355" s="38">
        <v>4</v>
      </c>
      <c r="W355" s="4">
        <f t="shared" si="991"/>
        <v>4</v>
      </c>
      <c r="X355" s="4">
        <f t="shared" si="992"/>
        <v>5</v>
      </c>
      <c r="Y355" s="7">
        <f t="shared" si="993"/>
        <v>56.796126628494655</v>
      </c>
      <c r="AB355" s="38">
        <f t="shared" si="1038"/>
        <v>545.51724137931035</v>
      </c>
      <c r="AC355" s="4">
        <v>79.099999999999994</v>
      </c>
      <c r="AD355" s="4">
        <f t="shared" si="899"/>
        <v>1.0750809484919404</v>
      </c>
      <c r="AE355" s="38">
        <f t="shared" ref="AE355" si="1150">0.5*25.4</f>
        <v>12.7</v>
      </c>
      <c r="AF355" s="38">
        <v>10</v>
      </c>
      <c r="AG355" s="39">
        <f t="shared" ref="AG355" si="1151">3*25.4</f>
        <v>76.199999999999989</v>
      </c>
      <c r="AH355" s="39">
        <v>3</v>
      </c>
      <c r="AI355" s="39">
        <f>AH355-1</f>
        <v>2</v>
      </c>
      <c r="AJ355" s="7"/>
      <c r="AK355" s="4">
        <f t="shared" si="994"/>
        <v>232.91799999999998</v>
      </c>
      <c r="AL355" s="4">
        <f t="shared" si="910"/>
        <v>0.5561613958560524</v>
      </c>
      <c r="AM355" s="4">
        <f t="shared" si="911"/>
        <v>158.36267557236209</v>
      </c>
      <c r="AN355" s="4">
        <f t="shared" si="912"/>
        <v>0.76434023991275901</v>
      </c>
      <c r="AO355" s="4">
        <v>1.25</v>
      </c>
      <c r="AP355" s="4">
        <f t="shared" si="1112"/>
        <v>2.5</v>
      </c>
      <c r="AQ355" s="38">
        <f t="shared" si="967"/>
        <v>210.37320193056468</v>
      </c>
      <c r="AR355" s="38">
        <f t="shared" si="913"/>
        <v>210.37320193056468</v>
      </c>
      <c r="AS355" s="38">
        <f t="shared" si="914"/>
        <v>3.8437666713572023</v>
      </c>
      <c r="AT355" s="38">
        <f t="shared" si="1121"/>
        <v>210.37320193056462</v>
      </c>
      <c r="AU355" s="38">
        <f t="shared" si="1086"/>
        <v>1.0000000000000002</v>
      </c>
      <c r="AV355" s="38">
        <f t="shared" si="954"/>
        <v>2.2585150110496457</v>
      </c>
      <c r="AW355" s="4">
        <f t="shared" si="940"/>
        <v>0</v>
      </c>
      <c r="AX355" s="4">
        <f t="shared" si="995"/>
        <v>326.84553481692853</v>
      </c>
      <c r="AY355" s="4">
        <f t="shared" si="968"/>
        <v>1.102127659574468</v>
      </c>
      <c r="AZ355" s="38">
        <f t="shared" si="1102"/>
        <v>475.13103448275854</v>
      </c>
      <c r="BA355" s="4">
        <f t="shared" si="969"/>
        <v>0.44000000000000006</v>
      </c>
      <c r="BB355" s="4">
        <f t="shared" si="970"/>
        <v>75.141788454411881</v>
      </c>
      <c r="BC355" s="4">
        <f t="shared" si="971"/>
        <v>550.27282293717042</v>
      </c>
      <c r="BE355" s="4">
        <f t="shared" si="1122"/>
        <v>1.5</v>
      </c>
      <c r="BF355" s="4">
        <f t="shared" si="1128"/>
        <v>584.19985949690783</v>
      </c>
      <c r="BH355" s="4">
        <f t="shared" si="1129"/>
        <v>455.70876680825171</v>
      </c>
      <c r="BI355" s="4">
        <f t="shared" si="1067"/>
        <v>0</v>
      </c>
      <c r="BJ355" s="4">
        <f t="shared" si="1130"/>
        <v>0</v>
      </c>
      <c r="BR355" s="4">
        <f t="shared" si="972"/>
        <v>46.99</v>
      </c>
      <c r="BV355" s="9"/>
      <c r="BX355" s="9"/>
      <c r="BY355" s="9"/>
      <c r="BZ355" s="9">
        <f t="shared" si="973"/>
        <v>46.99</v>
      </c>
      <c r="CA355" s="9">
        <f t="shared" si="974"/>
        <v>62.230000000000004</v>
      </c>
      <c r="CB355" s="9">
        <f t="shared" si="1087"/>
        <v>1.4186818663340235</v>
      </c>
      <c r="CC355" s="40">
        <f t="shared" si="996"/>
        <v>20</v>
      </c>
      <c r="CD355" s="9">
        <f t="shared" si="975"/>
        <v>0.05</v>
      </c>
      <c r="CE355" s="9">
        <f t="shared" si="976"/>
        <v>0.8</v>
      </c>
      <c r="CF355" s="9">
        <f t="shared" si="977"/>
        <v>0.99524931562137331</v>
      </c>
      <c r="CG355" s="9">
        <f t="shared" si="978"/>
        <v>0.68</v>
      </c>
      <c r="CH355" s="9">
        <f t="shared" si="1088"/>
        <v>1.6041156142513788</v>
      </c>
      <c r="CI355" s="9">
        <f t="shared" si="1089"/>
        <v>3.5590222248427974</v>
      </c>
      <c r="CJ355" s="40">
        <v>1</v>
      </c>
      <c r="CK355" s="9">
        <f t="shared" si="1090"/>
        <v>344.08626869780164</v>
      </c>
      <c r="CM355" s="4">
        <f t="shared" si="979"/>
        <v>1.6690368485066298</v>
      </c>
      <c r="CN355" s="4">
        <f t="shared" si="980"/>
        <v>0.99135777498064259</v>
      </c>
      <c r="CO355" s="4">
        <f t="shared" si="946"/>
        <v>0.93378530054610154</v>
      </c>
      <c r="CP355" s="4">
        <f t="shared" si="981"/>
        <v>1.5854083437965325</v>
      </c>
      <c r="CQ355" s="4">
        <f t="shared" si="921"/>
        <v>1.0750809484919404</v>
      </c>
      <c r="CR355" s="4">
        <f t="shared" si="922"/>
        <v>1.1130622636058647</v>
      </c>
      <c r="CS355" s="4">
        <f t="shared" si="947"/>
        <v>1.676977781714432</v>
      </c>
      <c r="CT355" s="4">
        <f t="shared" si="997"/>
        <v>10</v>
      </c>
      <c r="DA355" s="4">
        <f t="shared" ref="DA355:DB355" si="1152">CM355</f>
        <v>1.6690368485066298</v>
      </c>
      <c r="DB355" s="4">
        <f t="shared" si="1152"/>
        <v>0.99135777498064259</v>
      </c>
      <c r="DC355" s="4">
        <f t="shared" ref="DC355" si="1153">CP355</f>
        <v>1.5854083437965325</v>
      </c>
      <c r="DD355" s="4">
        <f t="shared" ref="DD355" si="1154">CS355</f>
        <v>1.676977781714432</v>
      </c>
      <c r="DE355" s="4">
        <f t="shared" ref="DE355:DF355" si="1155">CQ355</f>
        <v>1.0750809484919404</v>
      </c>
      <c r="DF355" s="4">
        <f t="shared" si="1155"/>
        <v>1.1130622636058647</v>
      </c>
      <c r="DI355" s="4">
        <f t="shared" si="982"/>
        <v>232.91799999999998</v>
      </c>
      <c r="DL355" s="4">
        <f t="shared" si="900"/>
        <v>1.8221231027775321E-5</v>
      </c>
      <c r="DM355" s="4">
        <f t="shared" si="1009"/>
        <v>10.256388811022733</v>
      </c>
      <c r="DN355" s="4">
        <f t="shared" si="901"/>
        <v>0.25343254108029062</v>
      </c>
      <c r="DO355" s="4">
        <f t="shared" si="902"/>
        <v>5.9229685617203174</v>
      </c>
      <c r="DP355" s="4">
        <f t="shared" si="903"/>
        <v>8.3767340140551969</v>
      </c>
      <c r="DQ355" s="4">
        <f t="shared" si="904"/>
        <v>9.6564537119373188</v>
      </c>
      <c r="DR355" s="38">
        <f t="shared" si="915"/>
        <v>507.419689786643</v>
      </c>
      <c r="DS355" s="4">
        <f t="shared" si="1095"/>
        <v>1.0001180171195405</v>
      </c>
      <c r="DT355" s="4">
        <f t="shared" si="905"/>
        <v>2.2360679774997898</v>
      </c>
      <c r="DU355" s="4">
        <f t="shared" si="1103"/>
        <v>210.37320193056462</v>
      </c>
      <c r="DY355" s="4">
        <f t="shared" si="1037"/>
        <v>0.85</v>
      </c>
      <c r="DZ355" s="4">
        <f t="shared" si="1096"/>
        <v>0.91500000000000004</v>
      </c>
      <c r="EA355" s="4">
        <f t="shared" si="916"/>
        <v>0.77500000000000002</v>
      </c>
      <c r="EB355" s="4">
        <f t="shared" si="1097"/>
        <v>0.70912500000000001</v>
      </c>
      <c r="ED355" s="4">
        <f t="shared" si="917"/>
        <v>490.1048748270905</v>
      </c>
      <c r="EE355" s="25">
        <f t="shared" si="918"/>
        <v>207.95161863585514</v>
      </c>
      <c r="EG355" s="4">
        <f t="shared" si="1104"/>
        <v>0.60275624999999999</v>
      </c>
      <c r="EH355" s="4">
        <f t="shared" si="919"/>
        <v>10.256388811022733</v>
      </c>
      <c r="EK355" s="4">
        <f t="shared" si="906"/>
        <v>56.796126628494655</v>
      </c>
      <c r="EL355" s="4">
        <f t="shared" si="907"/>
        <v>2.2360679774997898</v>
      </c>
      <c r="EM355" s="4">
        <f t="shared" si="908"/>
        <v>9.3847879695297828E-2</v>
      </c>
      <c r="EP355" s="4">
        <f t="shared" si="998"/>
        <v>9.3847879695297828E-2</v>
      </c>
      <c r="EQ355" s="4">
        <f t="shared" si="960"/>
        <v>0.25300960940263245</v>
      </c>
      <c r="ER355" s="4">
        <f t="shared" si="1010"/>
        <v>5.9190128482886895</v>
      </c>
      <c r="ES355" s="4">
        <f t="shared" si="983"/>
        <v>8.3753436193313071</v>
      </c>
      <c r="ET355" s="4">
        <f t="shared" si="1011"/>
        <v>117.89237337150533</v>
      </c>
      <c r="EU355" s="4">
        <f t="shared" si="1012"/>
        <v>58.229500000000002</v>
      </c>
      <c r="EV355" s="4">
        <f t="shared" si="1098"/>
        <v>1.8221231027775321E-5</v>
      </c>
      <c r="EW355" s="4">
        <f t="shared" si="984"/>
        <v>9.6565973895003765</v>
      </c>
      <c r="EX355" s="4">
        <f t="shared" si="1131"/>
        <v>507.35981264298425</v>
      </c>
      <c r="FG355" s="23">
        <f t="shared" si="1030"/>
        <v>1.8</v>
      </c>
      <c r="FH355" s="23">
        <f t="shared" si="1030"/>
        <v>1</v>
      </c>
      <c r="FI355" s="23">
        <f t="shared" si="952"/>
        <v>1.8</v>
      </c>
      <c r="FJ355" s="23">
        <f t="shared" si="1031"/>
        <v>1.6</v>
      </c>
      <c r="FK355" s="23">
        <f t="shared" si="1031"/>
        <v>1.2</v>
      </c>
      <c r="FL355" s="23">
        <f t="shared" si="1031"/>
        <v>1.2</v>
      </c>
      <c r="FM355" s="23">
        <f t="shared" si="923"/>
        <v>0</v>
      </c>
      <c r="FN355" s="23"/>
      <c r="FX355" s="4">
        <f t="shared" si="1099"/>
        <v>1.25</v>
      </c>
      <c r="FY355" s="4">
        <f t="shared" si="1139"/>
        <v>0.58520000000000005</v>
      </c>
      <c r="FZ355" s="4">
        <f t="shared" si="1100"/>
        <v>0.3</v>
      </c>
      <c r="GA355" s="4">
        <f t="shared" si="1101"/>
        <v>325.29783478801329</v>
      </c>
    </row>
    <row r="356" spans="1:183" ht="12" customHeight="1" x14ac:dyDescent="0.3">
      <c r="A356" s="25">
        <v>338</v>
      </c>
      <c r="B356" s="4" t="s">
        <v>605</v>
      </c>
      <c r="C356" s="4">
        <v>2016</v>
      </c>
      <c r="D356" s="4" t="s">
        <v>309</v>
      </c>
      <c r="E356" s="24" t="s">
        <v>671</v>
      </c>
      <c r="F356" s="7" t="s">
        <v>501</v>
      </c>
      <c r="G356" s="38">
        <f t="shared" si="1140"/>
        <v>827.58620689655174</v>
      </c>
      <c r="H356" s="38">
        <f>9.47*25.4</f>
        <v>240.53800000000001</v>
      </c>
      <c r="I356" s="4">
        <f t="shared" si="985"/>
        <v>240.53800000000001</v>
      </c>
      <c r="J356" s="38">
        <f>6650/145</f>
        <v>45.862068965517238</v>
      </c>
      <c r="K356" s="38">
        <f t="shared" si="986"/>
        <v>25.4</v>
      </c>
      <c r="L356" s="7">
        <f t="shared" si="987"/>
        <v>9.4700000000000006</v>
      </c>
      <c r="M356" s="7">
        <f t="shared" si="988"/>
        <v>9.4700000000000006</v>
      </c>
      <c r="N356" s="38">
        <f>14.8*25.4</f>
        <v>375.92</v>
      </c>
      <c r="O356" s="38">
        <f>2.45*25.4</f>
        <v>62.230000000000004</v>
      </c>
      <c r="P356" s="39">
        <f>3.3*25.4</f>
        <v>83.82</v>
      </c>
      <c r="Q356" s="7">
        <f t="shared" si="989"/>
        <v>49.953333333333347</v>
      </c>
      <c r="R356" s="38">
        <v>4</v>
      </c>
      <c r="S356" s="4">
        <f t="shared" si="966"/>
        <v>260.34999999999997</v>
      </c>
      <c r="T356" s="7">
        <f t="shared" si="990"/>
        <v>1.4833333333333336</v>
      </c>
      <c r="U356" s="7">
        <f t="shared" si="1127"/>
        <v>2.95</v>
      </c>
      <c r="V356" s="38">
        <v>4</v>
      </c>
      <c r="W356" s="4">
        <f t="shared" si="991"/>
        <v>4</v>
      </c>
      <c r="X356" s="4">
        <f t="shared" si="992"/>
        <v>5</v>
      </c>
      <c r="Y356" s="7">
        <f t="shared" si="993"/>
        <v>56.796126628494655</v>
      </c>
      <c r="AB356" s="38">
        <f t="shared" si="1038"/>
        <v>228.27586206896555</v>
      </c>
      <c r="AC356" s="4">
        <v>33.1</v>
      </c>
      <c r="AD356" s="4">
        <f t="shared" si="899"/>
        <v>0.62319362436667958</v>
      </c>
      <c r="AE356" s="38"/>
      <c r="AF356" s="38"/>
      <c r="AG356" s="39">
        <v>1</v>
      </c>
      <c r="AH356" s="39"/>
      <c r="AI356" s="39"/>
      <c r="AJ356" s="7"/>
      <c r="AK356" s="4">
        <f t="shared" si="994"/>
        <v>240.53800000000001</v>
      </c>
      <c r="AL356" s="4">
        <f t="shared" si="910"/>
        <v>0.52094332981344593</v>
      </c>
      <c r="AM356" s="4">
        <f t="shared" si="911"/>
        <v>124.64792666075199</v>
      </c>
      <c r="AN356" s="4">
        <f t="shared" si="912"/>
        <v>0.76230200633579726</v>
      </c>
      <c r="AO356" s="4">
        <v>1.25</v>
      </c>
      <c r="AP356" s="4">
        <f t="shared" si="1112"/>
        <v>2.5</v>
      </c>
      <c r="AQ356" s="38">
        <f t="shared" si="967"/>
        <v>154.68657556433811</v>
      </c>
      <c r="AR356" s="38">
        <f t="shared" si="913"/>
        <v>154.68657556433811</v>
      </c>
      <c r="AS356" s="38">
        <f t="shared" si="914"/>
        <v>3.8437666713572023</v>
      </c>
      <c r="AT356" s="38">
        <f t="shared" si="1121"/>
        <v>154.68657556433794</v>
      </c>
      <c r="AU356" s="38">
        <f t="shared" si="1086"/>
        <v>1.0000000000000011</v>
      </c>
      <c r="AV356" s="38">
        <f t="shared" si="954"/>
        <v>2.4548861441214105</v>
      </c>
      <c r="AW356" s="4">
        <f t="shared" si="940"/>
        <v>0</v>
      </c>
      <c r="AX356" s="4">
        <f t="shared" si="995"/>
        <v>337.53840945652274</v>
      </c>
      <c r="AY356" s="4">
        <f t="shared" si="968"/>
        <v>1.395505617977528</v>
      </c>
      <c r="AZ356" s="38">
        <f t="shared" si="1102"/>
        <v>379.73793103448276</v>
      </c>
      <c r="BA356" s="4">
        <f t="shared" si="969"/>
        <v>0.44000000000000006</v>
      </c>
      <c r="BB356" s="4">
        <f t="shared" si="970"/>
        <v>77.600080334054581</v>
      </c>
      <c r="BC356" s="4">
        <f t="shared" si="971"/>
        <v>457.33801136853731</v>
      </c>
      <c r="BE356" s="4">
        <f t="shared" si="1122"/>
        <v>1.3625</v>
      </c>
      <c r="BF356" s="4">
        <f t="shared" si="1128"/>
        <v>538.95255947666624</v>
      </c>
      <c r="BH356" s="4">
        <f t="shared" si="1129"/>
        <v>364.21511478497354</v>
      </c>
      <c r="BI356" s="4">
        <f t="shared" si="1067"/>
        <v>0</v>
      </c>
      <c r="BJ356" s="4">
        <f t="shared" si="1130"/>
        <v>0</v>
      </c>
      <c r="BR356" s="4">
        <f t="shared" si="972"/>
        <v>24.976666666666674</v>
      </c>
      <c r="BV356" s="9"/>
      <c r="BX356" s="9"/>
      <c r="BY356" s="9"/>
      <c r="BZ356" s="9">
        <f t="shared" si="973"/>
        <v>24.976666666666674</v>
      </c>
      <c r="CA356" s="9">
        <f t="shared" si="974"/>
        <v>62.230000000000004</v>
      </c>
      <c r="CB356" s="9">
        <f t="shared" si="1087"/>
        <v>1.1371563454107663</v>
      </c>
      <c r="CC356" s="40">
        <f t="shared" si="996"/>
        <v>0</v>
      </c>
      <c r="CD356" s="9">
        <f t="shared" si="975"/>
        <v>0</v>
      </c>
      <c r="CE356" s="9">
        <f t="shared" si="976"/>
        <v>0</v>
      </c>
      <c r="CF356" s="9">
        <f t="shared" si="977"/>
        <v>0.99524931562137331</v>
      </c>
      <c r="CG356" s="9">
        <f t="shared" si="978"/>
        <v>0.68</v>
      </c>
      <c r="CH356" s="9">
        <f t="shared" si="1088"/>
        <v>1.6041156142513788</v>
      </c>
      <c r="CI356" s="9">
        <f t="shared" si="1089"/>
        <v>1.8241302495184444</v>
      </c>
      <c r="CJ356" s="40">
        <v>1</v>
      </c>
      <c r="CK356" s="9">
        <f t="shared" si="1090"/>
        <v>178.54586882286534</v>
      </c>
      <c r="CM356" s="4">
        <f t="shared" si="979"/>
        <v>0.6762959582481799</v>
      </c>
      <c r="CN356" s="4">
        <f t="shared" si="980"/>
        <v>0.49914036531945671</v>
      </c>
      <c r="CO356" s="4">
        <f t="shared" si="946"/>
        <v>0.42355464883704419</v>
      </c>
      <c r="CP356" s="4">
        <f t="shared" si="981"/>
        <v>1.2785278291453337</v>
      </c>
      <c r="CQ356" s="4">
        <f t="shared" si="921"/>
        <v>0.62319362436667958</v>
      </c>
      <c r="CR356" s="4">
        <f t="shared" si="922"/>
        <v>0.63480838312555887</v>
      </c>
      <c r="CS356" s="4">
        <f t="shared" si="947"/>
        <v>1.0676265150499875</v>
      </c>
      <c r="CT356" s="4">
        <f t="shared" si="997"/>
        <v>0</v>
      </c>
      <c r="CU356" s="4">
        <f t="shared" ref="CU356:CV356" si="1156">CM356</f>
        <v>0.6762959582481799</v>
      </c>
      <c r="CV356" s="4">
        <f t="shared" si="1156"/>
        <v>0.49914036531945671</v>
      </c>
      <c r="CW356" s="4">
        <f t="shared" ref="CW356" si="1157">CP356</f>
        <v>1.2785278291453337</v>
      </c>
      <c r="CX356" s="4">
        <f t="shared" si="1134"/>
        <v>1.0676265150499875</v>
      </c>
      <c r="CY356" s="4">
        <f t="shared" ref="CY356:CZ356" si="1158">CQ356</f>
        <v>0.62319362436667958</v>
      </c>
      <c r="CZ356" s="4">
        <f t="shared" si="1158"/>
        <v>0.63480838312555887</v>
      </c>
      <c r="DI356" s="4">
        <f t="shared" si="982"/>
        <v>240.53800000000001</v>
      </c>
      <c r="DL356" s="4">
        <f t="shared" si="900"/>
        <v>1.8817345456164922E-5</v>
      </c>
      <c r="DM356" s="4">
        <f t="shared" si="1009"/>
        <v>7.2730617156164961</v>
      </c>
      <c r="DN356" s="4">
        <f t="shared" si="901"/>
        <v>0.18634793574714756</v>
      </c>
      <c r="DO356" s="4">
        <f t="shared" si="902"/>
        <v>3.7140445371509778</v>
      </c>
      <c r="DP356" s="4">
        <f t="shared" si="903"/>
        <v>5.7772651340212935</v>
      </c>
      <c r="DQ356" s="4">
        <f t="shared" si="904"/>
        <v>6.9625541839601279</v>
      </c>
      <c r="DR356" s="38">
        <f t="shared" si="915"/>
        <v>366.30006011526649</v>
      </c>
      <c r="DS356" s="4">
        <f t="shared" si="1095"/>
        <v>1.0001008195512369</v>
      </c>
      <c r="DT356" s="4">
        <f t="shared" si="905"/>
        <v>2.2360679774997898</v>
      </c>
      <c r="DU356" s="4">
        <f t="shared" si="1103"/>
        <v>154.68657556433794</v>
      </c>
      <c r="DY356" s="4">
        <f t="shared" si="1037"/>
        <v>0.85</v>
      </c>
      <c r="DZ356" s="4">
        <f t="shared" si="1096"/>
        <v>1</v>
      </c>
      <c r="EA356" s="4">
        <f t="shared" si="916"/>
        <v>1</v>
      </c>
      <c r="EB356" s="4">
        <f t="shared" si="1097"/>
        <v>1</v>
      </c>
      <c r="ED356" s="4">
        <f t="shared" si="917"/>
        <v>359.59805846454111</v>
      </c>
      <c r="EE356" s="25">
        <f t="shared" si="918"/>
        <v>152.97037512387644</v>
      </c>
      <c r="EG356" s="4">
        <f t="shared" si="1104"/>
        <v>0.85</v>
      </c>
      <c r="EH356" s="4">
        <f t="shared" si="919"/>
        <v>7.2730617156164961</v>
      </c>
      <c r="EK356" s="4">
        <f t="shared" si="906"/>
        <v>56.796126628494655</v>
      </c>
      <c r="EL356" s="4">
        <f t="shared" si="907"/>
        <v>2.2360679774997898</v>
      </c>
      <c r="EM356" s="4">
        <f t="shared" si="908"/>
        <v>6.9005971296814891E-2</v>
      </c>
      <c r="EP356" s="4">
        <f t="shared" si="998"/>
        <v>6.9005971296814891E-2</v>
      </c>
      <c r="EQ356" s="4">
        <f t="shared" si="960"/>
        <v>0.18603695577291959</v>
      </c>
      <c r="ER356" s="4">
        <f t="shared" si="1010"/>
        <v>3.711564075587122</v>
      </c>
      <c r="ES356" s="4">
        <f t="shared" si="983"/>
        <v>5.7764763931624632</v>
      </c>
      <c r="ET356" s="4">
        <f t="shared" si="1011"/>
        <v>123.60737337150536</v>
      </c>
      <c r="EU356" s="4">
        <f t="shared" si="1012"/>
        <v>60.134500000000003</v>
      </c>
      <c r="EV356" s="4">
        <f t="shared" si="1098"/>
        <v>1.8817345456164922E-5</v>
      </c>
      <c r="EW356" s="4">
        <f t="shared" si="984"/>
        <v>6.9626188991674915</v>
      </c>
      <c r="EX356" s="4">
        <f t="shared" si="1131"/>
        <v>366.26313363049928</v>
      </c>
      <c r="FG356" s="23">
        <f t="shared" si="1030"/>
        <v>0.8</v>
      </c>
      <c r="FH356" s="23">
        <f t="shared" si="1030"/>
        <v>0.6</v>
      </c>
      <c r="FI356" s="23">
        <f t="shared" si="952"/>
        <v>1.2</v>
      </c>
      <c r="FJ356" s="23">
        <f t="shared" si="1031"/>
        <v>1.4</v>
      </c>
      <c r="FK356" s="23">
        <f t="shared" si="1031"/>
        <v>0.8</v>
      </c>
      <c r="FL356" s="23">
        <f t="shared" si="1031"/>
        <v>0.8</v>
      </c>
      <c r="FM356" s="23">
        <f t="shared" si="923"/>
        <v>1</v>
      </c>
      <c r="FN356" s="23"/>
      <c r="FX356" s="4">
        <f t="shared" si="1099"/>
        <v>1.25</v>
      </c>
      <c r="FY356" s="4">
        <f t="shared" si="1139"/>
        <v>0.91944444444444429</v>
      </c>
      <c r="FZ356" s="4">
        <f t="shared" si="1100"/>
        <v>0</v>
      </c>
      <c r="GA356" s="4">
        <f t="shared" si="1101"/>
        <v>213.81621648679024</v>
      </c>
    </row>
    <row r="357" spans="1:183" ht="12" customHeight="1" x14ac:dyDescent="0.3">
      <c r="A357" s="25">
        <v>339</v>
      </c>
      <c r="B357" s="4" t="s">
        <v>605</v>
      </c>
      <c r="C357" s="4">
        <v>2016</v>
      </c>
      <c r="D357" s="4" t="s">
        <v>309</v>
      </c>
      <c r="E357" s="24" t="s">
        <v>671</v>
      </c>
      <c r="F357" s="7" t="s">
        <v>502</v>
      </c>
      <c r="G357" s="38">
        <f t="shared" si="1140"/>
        <v>827.58620689655174</v>
      </c>
      <c r="H357" s="38">
        <f>9.66*25.4</f>
        <v>245.36399999999998</v>
      </c>
      <c r="I357" s="4">
        <f t="shared" si="985"/>
        <v>245.36399999999998</v>
      </c>
      <c r="J357" s="38">
        <f>6650/145</f>
        <v>45.862068965517238</v>
      </c>
      <c r="K357" s="38">
        <f t="shared" si="986"/>
        <v>25.4</v>
      </c>
      <c r="L357" s="7">
        <f t="shared" si="987"/>
        <v>9.66</v>
      </c>
      <c r="M357" s="7">
        <f t="shared" si="988"/>
        <v>9.66</v>
      </c>
      <c r="N357" s="38">
        <f>15.3*25.4</f>
        <v>388.62</v>
      </c>
      <c r="O357" s="38">
        <f>2.55*25.4</f>
        <v>64.77</v>
      </c>
      <c r="P357" s="39">
        <f>3*25.4</f>
        <v>76.199999999999989</v>
      </c>
      <c r="Q357" s="7">
        <f t="shared" si="989"/>
        <v>52.493333333333332</v>
      </c>
      <c r="R357" s="38">
        <v>4</v>
      </c>
      <c r="S357" s="4">
        <f t="shared" si="966"/>
        <v>260.34999999999997</v>
      </c>
      <c r="T357" s="7">
        <f t="shared" si="990"/>
        <v>1.5333333333333334</v>
      </c>
      <c r="U357" s="7">
        <f t="shared" si="1127"/>
        <v>3.05</v>
      </c>
      <c r="V357" s="38">
        <v>4</v>
      </c>
      <c r="W357" s="4">
        <f t="shared" si="991"/>
        <v>4</v>
      </c>
      <c r="X357" s="4">
        <f t="shared" si="992"/>
        <v>5</v>
      </c>
      <c r="Y357" s="7">
        <f t="shared" si="993"/>
        <v>56.796126628494655</v>
      </c>
      <c r="AB357" s="38">
        <f t="shared" si="1038"/>
        <v>424.13793103448279</v>
      </c>
      <c r="AC357" s="4">
        <v>61.5</v>
      </c>
      <c r="AD357" s="4">
        <f t="shared" ref="AD357:AD420" si="1159">CQ357</f>
        <v>0.96051437093285852</v>
      </c>
      <c r="AE357" s="38">
        <f t="shared" ref="AE357" si="1160">0.5*25.4</f>
        <v>12.7</v>
      </c>
      <c r="AF357" s="38">
        <v>10</v>
      </c>
      <c r="AG357" s="39">
        <f t="shared" ref="AG357" si="1161">3*25.4</f>
        <v>76.199999999999989</v>
      </c>
      <c r="AH357" s="39">
        <v>3</v>
      </c>
      <c r="AI357" s="39">
        <f>AH357-1</f>
        <v>2</v>
      </c>
      <c r="AJ357" s="7"/>
      <c r="AK357" s="4">
        <f t="shared" si="994"/>
        <v>245.36399999999998</v>
      </c>
      <c r="AL357" s="4">
        <f t="shared" si="910"/>
        <v>0.5279503105590061</v>
      </c>
      <c r="AM357" s="4">
        <f t="shared" si="911"/>
        <v>128.41796400921942</v>
      </c>
      <c r="AN357" s="4">
        <f t="shared" si="912"/>
        <v>0.76314699792960661</v>
      </c>
      <c r="AO357" s="4">
        <v>1.25</v>
      </c>
      <c r="AP357" s="4">
        <f t="shared" si="1112"/>
        <v>2.5</v>
      </c>
      <c r="AQ357" s="38">
        <f t="shared" si="967"/>
        <v>161.68772545960374</v>
      </c>
      <c r="AR357" s="38">
        <f t="shared" si="913"/>
        <v>161.68772545960374</v>
      </c>
      <c r="AS357" s="38">
        <f t="shared" si="914"/>
        <v>3.8437666713572023</v>
      </c>
      <c r="AT357" s="38">
        <f t="shared" si="1121"/>
        <v>161.68772545960394</v>
      </c>
      <c r="AU357" s="38">
        <f t="shared" si="1086"/>
        <v>0.99999999999999878</v>
      </c>
      <c r="AV357" s="38">
        <f t="shared" si="954"/>
        <v>2.4280093571042878</v>
      </c>
      <c r="AW357" s="4">
        <f t="shared" si="940"/>
        <v>0</v>
      </c>
      <c r="AX357" s="4">
        <f t="shared" si="995"/>
        <v>344.31056339493233</v>
      </c>
      <c r="AY357" s="4">
        <f t="shared" si="968"/>
        <v>1.3956521739130434</v>
      </c>
      <c r="AZ357" s="38">
        <f t="shared" si="1102"/>
        <v>392.57931034482755</v>
      </c>
      <c r="BA357" s="4">
        <f t="shared" si="969"/>
        <v>0.44000000000000006</v>
      </c>
      <c r="BB357" s="4">
        <f t="shared" si="970"/>
        <v>79.156998524494952</v>
      </c>
      <c r="BC357" s="4">
        <f t="shared" si="971"/>
        <v>471.7363088693225</v>
      </c>
      <c r="BE357" s="4">
        <f t="shared" si="1122"/>
        <v>1.5</v>
      </c>
      <c r="BF357" s="4">
        <f t="shared" si="1128"/>
        <v>599.13245893110104</v>
      </c>
      <c r="BH357" s="4">
        <f t="shared" si="1129"/>
        <v>376.5315679419532</v>
      </c>
      <c r="BI357" s="4">
        <f t="shared" si="1067"/>
        <v>0</v>
      </c>
      <c r="BJ357" s="4">
        <f t="shared" si="1130"/>
        <v>0</v>
      </c>
      <c r="BR357" s="4">
        <f t="shared" si="972"/>
        <v>26.246666666666666</v>
      </c>
      <c r="BV357" s="9"/>
      <c r="BX357" s="9"/>
      <c r="BY357" s="9"/>
      <c r="BZ357" s="9">
        <f t="shared" si="973"/>
        <v>26.246666666666666</v>
      </c>
      <c r="CA357" s="9">
        <f t="shared" si="974"/>
        <v>64.77</v>
      </c>
      <c r="CB357" s="9">
        <f t="shared" si="1087"/>
        <v>1.1640327001925783</v>
      </c>
      <c r="CC357" s="40">
        <f t="shared" si="996"/>
        <v>20</v>
      </c>
      <c r="CD357" s="9">
        <f t="shared" si="975"/>
        <v>0.05</v>
      </c>
      <c r="CE357" s="9">
        <f t="shared" si="976"/>
        <v>0.8</v>
      </c>
      <c r="CF357" s="9">
        <f t="shared" si="977"/>
        <v>0.99524931562137331</v>
      </c>
      <c r="CG357" s="9">
        <f t="shared" si="978"/>
        <v>0.68</v>
      </c>
      <c r="CH357" s="9">
        <f t="shared" si="1088"/>
        <v>1.6041156142513788</v>
      </c>
      <c r="CI357" s="9">
        <f t="shared" si="1089"/>
        <v>3.1505355212792119</v>
      </c>
      <c r="CJ357" s="40">
        <v>1</v>
      </c>
      <c r="CK357" s="9">
        <f t="shared" si="1090"/>
        <v>310.76882381898145</v>
      </c>
      <c r="CM357" s="4">
        <f t="shared" si="979"/>
        <v>1.2318469896840969</v>
      </c>
      <c r="CN357" s="4">
        <f t="shared" si="980"/>
        <v>0.89909960937938926</v>
      </c>
      <c r="CO357" s="4">
        <f t="shared" si="946"/>
        <v>0.70792013470807091</v>
      </c>
      <c r="CP357" s="4">
        <f t="shared" si="981"/>
        <v>1.3648020603300197</v>
      </c>
      <c r="CQ357" s="4">
        <f t="shared" si="921"/>
        <v>0.96051437093285852</v>
      </c>
      <c r="CR357" s="4">
        <f t="shared" si="922"/>
        <v>0.97995058160380566</v>
      </c>
      <c r="CS357" s="4">
        <f t="shared" si="947"/>
        <v>1.1117656600092876</v>
      </c>
      <c r="CT357" s="4">
        <f t="shared" si="997"/>
        <v>10</v>
      </c>
      <c r="DA357" s="4">
        <f t="shared" ref="DA357:DB357" si="1162">CM357</f>
        <v>1.2318469896840969</v>
      </c>
      <c r="DB357" s="4">
        <f t="shared" si="1162"/>
        <v>0.89909960937938926</v>
      </c>
      <c r="DC357" s="4">
        <f t="shared" ref="DC357" si="1163">CP357</f>
        <v>1.3648020603300197</v>
      </c>
      <c r="DD357" s="4">
        <f t="shared" ref="DD357" si="1164">CS357</f>
        <v>1.1117656600092876</v>
      </c>
      <c r="DE357" s="4">
        <f t="shared" ref="DE357:DF357" si="1165">CQ357</f>
        <v>0.96051437093285852</v>
      </c>
      <c r="DF357" s="4">
        <f t="shared" si="1165"/>
        <v>0.97995058160380566</v>
      </c>
      <c r="DI357" s="4">
        <f t="shared" si="982"/>
        <v>245.36399999999998</v>
      </c>
      <c r="DL357" s="4">
        <f t="shared" ref="DL357:DL420" si="1166">H357/4/(1-0.3*(J357/30)^0.5)/200000/K357</f>
        <v>1.9194884594144994E-5</v>
      </c>
      <c r="DM357" s="4">
        <f t="shared" si="1009"/>
        <v>9.4159823699857537</v>
      </c>
      <c r="DN357" s="4">
        <f t="shared" ref="DN357:DN420" si="1167">DU357*Y357/257/J357/V357</f>
        <v>0.19478208606742883</v>
      </c>
      <c r="DO357" s="4">
        <f t="shared" ref="DO357:DO420" si="1168">DM357*DN357^0.4</f>
        <v>4.8942397704336393</v>
      </c>
      <c r="DP357" s="4">
        <f t="shared" ref="DP357:DP420" si="1169">MIN(DM357, DM357/1.4*(1-DN357^1.4)/(1-DN357))</f>
        <v>7.5069937070610697</v>
      </c>
      <c r="DQ357" s="4">
        <f t="shared" ref="DQ357:DQ420" si="1170">MAX(DM357/2, (4-DL357*(8*Y357*(DO357-DP357)+6*H357*DP357))/(4+DL357*H357*DM357)*DM357)</f>
        <v>8.8718971860366747</v>
      </c>
      <c r="DR357" s="38">
        <f t="shared" si="915"/>
        <v>441.57374826423154</v>
      </c>
      <c r="DS357" s="4">
        <f t="shared" si="1095"/>
        <v>1.0001115864575323</v>
      </c>
      <c r="DT357" s="4">
        <f t="shared" ref="DT357:DT420" si="1171">Y357/K357</f>
        <v>2.2360679774997898</v>
      </c>
      <c r="DU357" s="4">
        <f t="shared" si="1103"/>
        <v>161.68772545960394</v>
      </c>
      <c r="DY357" s="4">
        <f t="shared" si="1037"/>
        <v>0.85</v>
      </c>
      <c r="DZ357" s="4">
        <f t="shared" si="1096"/>
        <v>0.9966666666666667</v>
      </c>
      <c r="EA357" s="4">
        <f t="shared" si="916"/>
        <v>0.77500000000000002</v>
      </c>
      <c r="EB357" s="4">
        <f t="shared" si="1097"/>
        <v>0.77241666666666675</v>
      </c>
      <c r="ED357" s="4">
        <f t="shared" si="917"/>
        <v>432.81563274377635</v>
      </c>
      <c r="EE357" s="25">
        <f t="shared" si="918"/>
        <v>159.94046366158921</v>
      </c>
      <c r="EG357" s="4">
        <f t="shared" si="1104"/>
        <v>0.65655416666666677</v>
      </c>
      <c r="EH357" s="4">
        <f t="shared" si="919"/>
        <v>9.4159823699857537</v>
      </c>
      <c r="EK357" s="4">
        <f t="shared" ref="EK357:EK420" si="1172">EL357*K357</f>
        <v>56.796126628494655</v>
      </c>
      <c r="EL357" s="4">
        <f t="shared" ref="EL357:EL420" si="1173">X357^0.5</f>
        <v>2.2360679774997898</v>
      </c>
      <c r="EM357" s="4">
        <f t="shared" ref="EM357:EM420" si="1174">MIN(DU357)/(4700*J357^0.5)/W357*EK357</f>
        <v>7.2129197387733698E-2</v>
      </c>
      <c r="EP357" s="4">
        <f t="shared" si="998"/>
        <v>7.2129197387733698E-2</v>
      </c>
      <c r="EQ357" s="4">
        <f t="shared" si="960"/>
        <v>0.19445703106822826</v>
      </c>
      <c r="ER357" s="4">
        <f t="shared" si="1010"/>
        <v>4.8909711037514221</v>
      </c>
      <c r="ES357" s="4">
        <f t="shared" si="983"/>
        <v>7.5059387417506507</v>
      </c>
      <c r="ET357" s="4">
        <f t="shared" si="1011"/>
        <v>127.22687337150532</v>
      </c>
      <c r="EU357" s="4">
        <f t="shared" si="1012"/>
        <v>61.341000000000008</v>
      </c>
      <c r="EV357" s="4">
        <f t="shared" si="1098"/>
        <v>1.9194884594144997E-5</v>
      </c>
      <c r="EW357" s="4">
        <f t="shared" si="984"/>
        <v>8.8720115430804984</v>
      </c>
      <c r="EX357" s="4">
        <f t="shared" si="1131"/>
        <v>441.52448011158208</v>
      </c>
      <c r="FG357" s="23">
        <f t="shared" si="1030"/>
        <v>1.4</v>
      </c>
      <c r="FH357" s="23">
        <f t="shared" si="1030"/>
        <v>1</v>
      </c>
      <c r="FI357" s="23">
        <f t="shared" si="952"/>
        <v>1.2</v>
      </c>
      <c r="FJ357" s="23">
        <f t="shared" si="1031"/>
        <v>1.4</v>
      </c>
      <c r="FK357" s="23">
        <f t="shared" si="1031"/>
        <v>1</v>
      </c>
      <c r="FL357" s="23">
        <f t="shared" si="1031"/>
        <v>1</v>
      </c>
      <c r="FM357" s="23">
        <f t="shared" si="923"/>
        <v>0</v>
      </c>
      <c r="FN357" s="23"/>
      <c r="FX357" s="4">
        <f t="shared" si="1099"/>
        <v>1</v>
      </c>
      <c r="FY357" s="4">
        <f t="shared" si="1139"/>
        <v>0.65706666666666669</v>
      </c>
      <c r="FZ357" s="4">
        <f t="shared" si="1100"/>
        <v>0.3</v>
      </c>
      <c r="GA357" s="4">
        <f t="shared" si="1101"/>
        <v>381.49939892093772</v>
      </c>
    </row>
    <row r="358" spans="1:183" ht="12" customHeight="1" x14ac:dyDescent="0.3">
      <c r="A358" s="25">
        <v>340</v>
      </c>
      <c r="B358" s="4" t="s">
        <v>605</v>
      </c>
      <c r="C358" s="4">
        <v>2016</v>
      </c>
      <c r="D358" s="4" t="s">
        <v>309</v>
      </c>
      <c r="E358" s="24" t="s">
        <v>671</v>
      </c>
      <c r="F358" s="7" t="s">
        <v>503</v>
      </c>
      <c r="G358" s="38">
        <f t="shared" si="1140"/>
        <v>827.58620689655174</v>
      </c>
      <c r="H358" s="38">
        <f>9.46*25.4</f>
        <v>240.28400000000002</v>
      </c>
      <c r="I358" s="4">
        <f t="shared" si="985"/>
        <v>240.28400000000002</v>
      </c>
      <c r="J358" s="38">
        <f>6790/145</f>
        <v>46.827586206896555</v>
      </c>
      <c r="K358" s="38">
        <f t="shared" si="986"/>
        <v>25.4</v>
      </c>
      <c r="L358" s="7">
        <f t="shared" si="987"/>
        <v>9.4600000000000009</v>
      </c>
      <c r="M358" s="7">
        <f t="shared" si="988"/>
        <v>9.4600000000000009</v>
      </c>
      <c r="N358" s="38">
        <f>12.3*25.4</f>
        <v>312.42</v>
      </c>
      <c r="O358" s="38">
        <f>2.5*25.4</f>
        <v>63.5</v>
      </c>
      <c r="P358" s="39">
        <f>3.1*25.4</f>
        <v>78.739999999999995</v>
      </c>
      <c r="Q358" s="7">
        <f t="shared" si="989"/>
        <v>54.610000000000014</v>
      </c>
      <c r="R358" s="38">
        <v>3</v>
      </c>
      <c r="S358" s="4">
        <f t="shared" si="966"/>
        <v>260.34999999999997</v>
      </c>
      <c r="T358" s="7">
        <f t="shared" si="990"/>
        <v>1.5750000000000004</v>
      </c>
      <c r="U358" s="7">
        <f t="shared" si="1127"/>
        <v>3</v>
      </c>
      <c r="V358" s="38">
        <v>4</v>
      </c>
      <c r="W358" s="4">
        <f t="shared" si="991"/>
        <v>4</v>
      </c>
      <c r="X358" s="4">
        <f t="shared" si="992"/>
        <v>5</v>
      </c>
      <c r="Y358" s="7">
        <f t="shared" si="993"/>
        <v>56.796126628494655</v>
      </c>
      <c r="AB358" s="38">
        <f t="shared" si="1038"/>
        <v>343.44827586206895</v>
      </c>
      <c r="AC358" s="4">
        <v>49.8</v>
      </c>
      <c r="AD358" s="4">
        <f t="shared" si="1159"/>
        <v>0.87917179348650509</v>
      </c>
      <c r="AE358" s="38"/>
      <c r="AF358" s="38"/>
      <c r="AG358" s="39">
        <v>1</v>
      </c>
      <c r="AH358" s="39"/>
      <c r="AI358" s="39"/>
      <c r="AJ358" s="7"/>
      <c r="AK358" s="4">
        <f t="shared" si="994"/>
        <v>240.28400000000002</v>
      </c>
      <c r="AL358" s="4">
        <f t="shared" ref="AL358:AL421" si="1175">IF(H358*3&gt;Q358+K358, N358, (O358+K358/2)*2+1.5*H358*(2*R358-2))*(3*H358)/(9*H358^2)</f>
        <v>0.43340380549682872</v>
      </c>
      <c r="AM358" s="4">
        <f t="shared" ref="AM358:AM421" si="1176">MIN(10*J358^0.5*H358^1.5,100*3.9*J358^0.5*H358^(5/3))/(PI()/4*K358^2)/R358</f>
        <v>167.67163383410892</v>
      </c>
      <c r="AN358" s="4">
        <f t="shared" ref="AN358:AN421" si="1177">MIN(0.7+0.3*(MIN(O358,S358)+0.5*K358)/1.5/H358,1)</f>
        <v>0.76342494714587739</v>
      </c>
      <c r="AO358" s="4">
        <v>1.25</v>
      </c>
      <c r="AP358" s="4">
        <f t="shared" si="1112"/>
        <v>2.5</v>
      </c>
      <c r="AQ358" s="38">
        <f t="shared" si="967"/>
        <v>173.36789891993814</v>
      </c>
      <c r="AR358" s="38">
        <f t="shared" ref="AR358:AR421" si="1178">AQ358</f>
        <v>173.36789891993814</v>
      </c>
      <c r="AS358" s="38">
        <f t="shared" ref="AS358:AS421" si="1179">IF(J358&lt;50, 0.3*J358^(2/3), 2.12*LN(1+0.1*(J358+8)))</f>
        <v>3.8975267336121062</v>
      </c>
      <c r="AT358" s="38">
        <f t="shared" si="1121"/>
        <v>173.3678989199382</v>
      </c>
      <c r="AU358" s="38">
        <f t="shared" si="1086"/>
        <v>0.99999999999999967</v>
      </c>
      <c r="AV358" s="38">
        <f t="shared" si="954"/>
        <v>2.3175033680296027</v>
      </c>
      <c r="AW358" s="4">
        <f t="shared" si="940"/>
        <v>0</v>
      </c>
      <c r="AX358" s="4">
        <f t="shared" si="995"/>
        <v>340.71277794937589</v>
      </c>
      <c r="AY358" s="4">
        <f t="shared" si="968"/>
        <v>1.3619047619047617</v>
      </c>
      <c r="AZ358" s="38">
        <f t="shared" si="1102"/>
        <v>401.78068965517252</v>
      </c>
      <c r="BA358" s="4">
        <f t="shared" si="969"/>
        <v>0.44000000000000006</v>
      </c>
      <c r="BB358" s="4">
        <f t="shared" si="970"/>
        <v>78.329867650561525</v>
      </c>
      <c r="BC358" s="4">
        <f t="shared" si="971"/>
        <v>480.11055730573406</v>
      </c>
      <c r="BE358" s="4">
        <f t="shared" si="1122"/>
        <v>1.375</v>
      </c>
      <c r="BF358" s="4">
        <f t="shared" si="1128"/>
        <v>549.31021447239357</v>
      </c>
      <c r="BH358" s="4">
        <f t="shared" si="1129"/>
        <v>385.35681595593957</v>
      </c>
      <c r="BI358" s="4">
        <f t="shared" si="1067"/>
        <v>0</v>
      </c>
      <c r="BJ358" s="4">
        <f t="shared" si="1130"/>
        <v>0</v>
      </c>
      <c r="BR358" s="4">
        <f t="shared" si="972"/>
        <v>27.305000000000007</v>
      </c>
      <c r="BV358" s="9"/>
      <c r="BX358" s="9"/>
      <c r="BY358" s="9"/>
      <c r="BZ358" s="9">
        <f t="shared" si="973"/>
        <v>27.305000000000007</v>
      </c>
      <c r="CA358" s="9">
        <f t="shared" si="974"/>
        <v>63.5</v>
      </c>
      <c r="CB358" s="9">
        <f t="shared" si="1087"/>
        <v>1.1767493410612269</v>
      </c>
      <c r="CC358" s="40">
        <f t="shared" si="996"/>
        <v>0</v>
      </c>
      <c r="CD358" s="9">
        <f t="shared" si="975"/>
        <v>0</v>
      </c>
      <c r="CE358" s="9">
        <f t="shared" si="976"/>
        <v>0</v>
      </c>
      <c r="CF358" s="9">
        <f t="shared" si="977"/>
        <v>0.99524931562137331</v>
      </c>
      <c r="CG358" s="9">
        <f t="shared" si="978"/>
        <v>0.68</v>
      </c>
      <c r="CH358" s="9">
        <f t="shared" si="1088"/>
        <v>1.6209130944490342</v>
      </c>
      <c r="CI358" s="9">
        <f t="shared" si="1089"/>
        <v>1.9074084158104152</v>
      </c>
      <c r="CJ358" s="40">
        <v>1</v>
      </c>
      <c r="CK358" s="9">
        <f t="shared" si="1090"/>
        <v>186.62083940289102</v>
      </c>
      <c r="CM358" s="4">
        <f t="shared" si="979"/>
        <v>1.008028750577413</v>
      </c>
      <c r="CN358" s="4">
        <f t="shared" si="980"/>
        <v>0.71535247587434603</v>
      </c>
      <c r="CO358" s="4">
        <f t="shared" si="946"/>
        <v>0.62523555326919822</v>
      </c>
      <c r="CP358" s="4">
        <f t="shared" si="981"/>
        <v>1.8403532904522368</v>
      </c>
      <c r="CQ358" s="4">
        <f t="shared" si="921"/>
        <v>0.87917179348650509</v>
      </c>
      <c r="CR358" s="4">
        <f t="shared" si="922"/>
        <v>0.90003950832799662</v>
      </c>
      <c r="CS358" s="4">
        <f t="shared" si="947"/>
        <v>1.2584341542185216</v>
      </c>
      <c r="CT358" s="4">
        <f t="shared" si="997"/>
        <v>0</v>
      </c>
      <c r="CU358" s="4">
        <f t="shared" ref="CU358:CV358" si="1180">CM358</f>
        <v>1.008028750577413</v>
      </c>
      <c r="CV358" s="4">
        <f t="shared" si="1180"/>
        <v>0.71535247587434603</v>
      </c>
      <c r="CW358" s="4">
        <f t="shared" ref="CW358" si="1181">CP358</f>
        <v>1.8403532904522368</v>
      </c>
      <c r="CX358" s="4">
        <f t="shared" si="1134"/>
        <v>1.2584341542185216</v>
      </c>
      <c r="CY358" s="4">
        <f t="shared" ref="CY358:CZ358" si="1182">CQ358</f>
        <v>0.87917179348650509</v>
      </c>
      <c r="CZ358" s="4">
        <f t="shared" si="1182"/>
        <v>0.90003950832799662</v>
      </c>
      <c r="DI358" s="4">
        <f t="shared" si="982"/>
        <v>240.28400000000002</v>
      </c>
      <c r="DL358" s="4">
        <f t="shared" si="1166"/>
        <v>1.8914259048600366E-5</v>
      </c>
      <c r="DM358" s="4">
        <f t="shared" si="1009"/>
        <v>7.4047571856479815</v>
      </c>
      <c r="DN358" s="4">
        <f t="shared" si="1167"/>
        <v>0.20454671916157116</v>
      </c>
      <c r="DO358" s="4">
        <f t="shared" si="1168"/>
        <v>3.9248930677358072</v>
      </c>
      <c r="DP358" s="4">
        <f t="shared" si="1169"/>
        <v>5.9282759587841678</v>
      </c>
      <c r="DQ358" s="4">
        <f t="shared" si="1170"/>
        <v>7.077824520316236</v>
      </c>
      <c r="DR358" s="38">
        <f t="shared" ref="DR358:DR421" si="1183">MIN(1/K358*(4*Y358*(DO358-DP358)+(3*DP358+DQ358)*H358)+DU358 -FB358,MAX(G358,AB358))</f>
        <v>390.64978927504768</v>
      </c>
      <c r="DS358" s="4">
        <f t="shared" si="1095"/>
        <v>1.0001010933452728</v>
      </c>
      <c r="DT358" s="4">
        <f t="shared" si="1171"/>
        <v>2.2360679774997898</v>
      </c>
      <c r="DU358" s="4">
        <f t="shared" si="1103"/>
        <v>173.3678989199382</v>
      </c>
      <c r="DY358" s="4">
        <f t="shared" si="1037"/>
        <v>0.85</v>
      </c>
      <c r="DZ358" s="4">
        <f t="shared" si="1096"/>
        <v>0.99249999999999994</v>
      </c>
      <c r="EA358" s="4">
        <f t="shared" ref="EA358:EA421" si="1184">MIN(1,MAX(0.7,1-0.3*(PI()*AE358^2/4*AI358*2-0.25*PI()/4*K358^2)/(PI()/4*K358^2)))</f>
        <v>1</v>
      </c>
      <c r="EB358" s="4">
        <f t="shared" si="1097"/>
        <v>0.99249999999999994</v>
      </c>
      <c r="ED358" s="4">
        <f t="shared" ref="ED358:ED421" si="1185">MIN(DM358/K358*3*H358+EE358-FB358,MAX(G358,AB358))</f>
        <v>381.59244420291373</v>
      </c>
      <c r="EE358" s="25">
        <f t="shared" ref="EE358:EE421" si="1186">13.3*N358*H358^0.5*J358^0.5/R358/K358^2*(0.7+O358/5/H358)</f>
        <v>171.44543527422402</v>
      </c>
      <c r="EG358" s="4">
        <f t="shared" si="1104"/>
        <v>0.84362499999999996</v>
      </c>
      <c r="EH358" s="4">
        <f t="shared" ref="EH358:EH421" si="1187">IF(K358&lt;22.2,1.1*5*(J358/30)^0.5,IF(K358&gt;=31.8,0.9*5*(J358/30)^0.5,1*5*(J358/30)^0.5))/DY358/EB358</f>
        <v>7.4047571856479815</v>
      </c>
      <c r="EK358" s="4">
        <f t="shared" si="1172"/>
        <v>56.796126628494655</v>
      </c>
      <c r="EL358" s="4">
        <f t="shared" si="1173"/>
        <v>2.2360679774997898</v>
      </c>
      <c r="EM358" s="4">
        <f t="shared" si="1174"/>
        <v>7.6538274900780523E-2</v>
      </c>
      <c r="EP358" s="4">
        <f t="shared" si="998"/>
        <v>7.6538274900780523E-2</v>
      </c>
      <c r="EQ358" s="4">
        <f t="shared" si="960"/>
        <v>0.20420536880961671</v>
      </c>
      <c r="ER358" s="4">
        <f t="shared" si="1010"/>
        <v>3.9222717888848462</v>
      </c>
      <c r="ES358" s="4">
        <f t="shared" si="983"/>
        <v>5.9274160600858794</v>
      </c>
      <c r="ET358" s="4">
        <f t="shared" si="1011"/>
        <v>123.41687337150537</v>
      </c>
      <c r="EU358" s="4">
        <f t="shared" si="1012"/>
        <v>60.070999999999998</v>
      </c>
      <c r="EV358" s="4">
        <f t="shared" si="1098"/>
        <v>1.8914259048600366E-5</v>
      </c>
      <c r="EW358" s="4">
        <f t="shared" si="984"/>
        <v>7.0778953539352774</v>
      </c>
      <c r="EX358" s="4">
        <f t="shared" si="1131"/>
        <v>390.61030117300407</v>
      </c>
      <c r="FG358" s="23">
        <f t="shared" si="1030"/>
        <v>1.2</v>
      </c>
      <c r="FH358" s="23">
        <f t="shared" si="1030"/>
        <v>0.8</v>
      </c>
      <c r="FI358" s="23">
        <f t="shared" si="952"/>
        <v>1.4</v>
      </c>
      <c r="FJ358" s="23">
        <f t="shared" si="1031"/>
        <v>2</v>
      </c>
      <c r="FK358" s="23">
        <f t="shared" si="1031"/>
        <v>1</v>
      </c>
      <c r="FL358" s="23">
        <f t="shared" si="1031"/>
        <v>1</v>
      </c>
      <c r="FM358" s="23">
        <f t="shared" si="923"/>
        <v>0</v>
      </c>
      <c r="FN358" s="23"/>
      <c r="FX358" s="4">
        <f t="shared" si="1099"/>
        <v>1</v>
      </c>
      <c r="FY358" s="4">
        <f t="shared" si="1139"/>
        <v>0.90416666666666656</v>
      </c>
      <c r="FZ358" s="4">
        <f t="shared" si="1100"/>
        <v>0</v>
      </c>
      <c r="GA358" s="4">
        <f t="shared" si="1101"/>
        <v>272.91716035420848</v>
      </c>
    </row>
    <row r="359" spans="1:183" ht="12" customHeight="1" x14ac:dyDescent="0.3">
      <c r="A359" s="25">
        <v>341</v>
      </c>
      <c r="B359" s="4" t="s">
        <v>605</v>
      </c>
      <c r="C359" s="4">
        <v>2016</v>
      </c>
      <c r="D359" s="4" t="s">
        <v>309</v>
      </c>
      <c r="E359" s="24" t="s">
        <v>671</v>
      </c>
      <c r="F359" s="7" t="s">
        <v>504</v>
      </c>
      <c r="G359" s="38">
        <f t="shared" si="1140"/>
        <v>827.58620689655174</v>
      </c>
      <c r="H359" s="38">
        <f>9.33*25.4</f>
        <v>236.982</v>
      </c>
      <c r="I359" s="4">
        <f t="shared" si="985"/>
        <v>236.982</v>
      </c>
      <c r="J359" s="38">
        <f>6650/145</f>
        <v>45.862068965517238</v>
      </c>
      <c r="K359" s="38">
        <f t="shared" si="986"/>
        <v>25.4</v>
      </c>
      <c r="L359" s="7">
        <f t="shared" si="987"/>
        <v>9.33</v>
      </c>
      <c r="M359" s="7">
        <f t="shared" si="988"/>
        <v>9.33</v>
      </c>
      <c r="N359" s="38">
        <f>12.1*25.4</f>
        <v>307.33999999999997</v>
      </c>
      <c r="O359" s="38">
        <f t="shared" si="999"/>
        <v>63.5</v>
      </c>
      <c r="P359" s="39">
        <f>3.23*25.4</f>
        <v>82.042000000000002</v>
      </c>
      <c r="Q359" s="7">
        <f t="shared" si="989"/>
        <v>52.069999999999993</v>
      </c>
      <c r="R359" s="38">
        <v>3</v>
      </c>
      <c r="S359" s="4">
        <f t="shared" si="966"/>
        <v>260.34999999999997</v>
      </c>
      <c r="T359" s="7">
        <f t="shared" si="990"/>
        <v>1.5249999999999999</v>
      </c>
      <c r="U359" s="7">
        <f t="shared" si="1127"/>
        <v>3</v>
      </c>
      <c r="V359" s="38">
        <v>4</v>
      </c>
      <c r="W359" s="4">
        <f t="shared" si="991"/>
        <v>4</v>
      </c>
      <c r="X359" s="4">
        <f t="shared" si="992"/>
        <v>5</v>
      </c>
      <c r="Y359" s="7">
        <f t="shared" si="993"/>
        <v>56.796126628494655</v>
      </c>
      <c r="AB359" s="38">
        <f t="shared" si="1038"/>
        <v>493.79310344827587</v>
      </c>
      <c r="AC359" s="4">
        <v>71.599999999999994</v>
      </c>
      <c r="AD359" s="4">
        <f t="shared" si="1159"/>
        <v>1.2347092535127056</v>
      </c>
      <c r="AE359" s="38">
        <f>0.375*25.4</f>
        <v>9.5249999999999986</v>
      </c>
      <c r="AF359" s="38">
        <v>10</v>
      </c>
      <c r="AG359" s="39">
        <f t="shared" ref="AG359" si="1188">3*25.4</f>
        <v>76.199999999999989</v>
      </c>
      <c r="AH359" s="39">
        <v>3</v>
      </c>
      <c r="AI359" s="39">
        <f>AH359-1</f>
        <v>2</v>
      </c>
      <c r="AJ359" s="7"/>
      <c r="AK359" s="4">
        <f t="shared" si="994"/>
        <v>236.982</v>
      </c>
      <c r="AL359" s="4">
        <f t="shared" si="1175"/>
        <v>0.43229724901750621</v>
      </c>
      <c r="AM359" s="4">
        <f t="shared" si="1176"/>
        <v>162.52541840444198</v>
      </c>
      <c r="AN359" s="4">
        <f t="shared" si="1177"/>
        <v>0.7643086816720257</v>
      </c>
      <c r="AO359" s="4">
        <v>1.25</v>
      </c>
      <c r="AP359" s="4">
        <f t="shared" si="1112"/>
        <v>2.5</v>
      </c>
      <c r="AQ359" s="38">
        <f t="shared" si="967"/>
        <v>167.81183214704026</v>
      </c>
      <c r="AR359" s="38">
        <f t="shared" si="1178"/>
        <v>167.81183214704026</v>
      </c>
      <c r="AS359" s="38">
        <f t="shared" si="1179"/>
        <v>3.8437666713572023</v>
      </c>
      <c r="AT359" s="38">
        <f t="shared" si="1121"/>
        <v>167.81183214704018</v>
      </c>
      <c r="AU359" s="38">
        <f t="shared" si="1086"/>
        <v>1.0000000000000004</v>
      </c>
      <c r="AV359" s="38">
        <f t="shared" si="954"/>
        <v>2.3120723877700602</v>
      </c>
      <c r="AW359" s="4">
        <f t="shared" si="940"/>
        <v>0</v>
      </c>
      <c r="AX359" s="4">
        <f t="shared" si="995"/>
        <v>332.54840129137875</v>
      </c>
      <c r="AY359" s="4">
        <f t="shared" si="968"/>
        <v>1.3868852459016394</v>
      </c>
      <c r="AZ359" s="38">
        <f t="shared" si="1102"/>
        <v>387.99310344827575</v>
      </c>
      <c r="BA359" s="4">
        <f t="shared" si="969"/>
        <v>0.44000000000000006</v>
      </c>
      <c r="BB359" s="4">
        <f t="shared" si="970"/>
        <v>76.452877456887975</v>
      </c>
      <c r="BC359" s="4">
        <f t="shared" si="971"/>
        <v>464.44598090516371</v>
      </c>
      <c r="BE359" s="4">
        <f t="shared" si="1122"/>
        <v>1.5</v>
      </c>
      <c r="BF359" s="4">
        <f t="shared" si="1128"/>
        <v>589.07581033256281</v>
      </c>
      <c r="BH359" s="4">
        <f t="shared" si="1129"/>
        <v>372.13283467160323</v>
      </c>
      <c r="BI359" s="4">
        <f t="shared" si="1067"/>
        <v>0</v>
      </c>
      <c r="BJ359" s="4">
        <f t="shared" si="1130"/>
        <v>0</v>
      </c>
      <c r="BR359" s="4">
        <f t="shared" si="972"/>
        <v>26.034999999999997</v>
      </c>
      <c r="BV359" s="9"/>
      <c r="BX359" s="9"/>
      <c r="BY359" s="9"/>
      <c r="BZ359" s="9">
        <f t="shared" si="973"/>
        <v>26.034999999999997</v>
      </c>
      <c r="CA359" s="9">
        <f t="shared" si="974"/>
        <v>63.5</v>
      </c>
      <c r="CB359" s="9">
        <f t="shared" si="1087"/>
        <v>1.1572957391947862</v>
      </c>
      <c r="CC359" s="40">
        <f t="shared" si="996"/>
        <v>20</v>
      </c>
      <c r="CD359" s="9">
        <f t="shared" si="975"/>
        <v>0.05</v>
      </c>
      <c r="CE359" s="9">
        <f t="shared" si="976"/>
        <v>0.8</v>
      </c>
      <c r="CF359" s="9">
        <f t="shared" si="977"/>
        <v>0.99524931562137331</v>
      </c>
      <c r="CG359" s="9">
        <f t="shared" si="978"/>
        <v>0.68</v>
      </c>
      <c r="CH359" s="9">
        <f t="shared" si="1088"/>
        <v>1.6041156142513788</v>
      </c>
      <c r="CI359" s="9">
        <f t="shared" si="1089"/>
        <v>3.1397286569500511</v>
      </c>
      <c r="CJ359" s="40">
        <v>1</v>
      </c>
      <c r="CK359" s="9">
        <f t="shared" si="1090"/>
        <v>305.55839289437898</v>
      </c>
      <c r="CM359" s="4">
        <f t="shared" si="979"/>
        <v>1.484875890338786</v>
      </c>
      <c r="CN359" s="4">
        <f t="shared" si="980"/>
        <v>1.0631873753884515</v>
      </c>
      <c r="CO359" s="4">
        <f t="shared" si="946"/>
        <v>0.83825051850203269</v>
      </c>
      <c r="CP359" s="4">
        <f t="shared" si="981"/>
        <v>1.6160351505021928</v>
      </c>
      <c r="CQ359" s="4">
        <f t="shared" ref="CQ359:CQ422" si="1189">AB359/DR359</f>
        <v>1.2347092535127056</v>
      </c>
      <c r="CR359" s="4">
        <f t="shared" ref="CR359:CR422" si="1190">AB359/ED359</f>
        <v>1.2625217719196895</v>
      </c>
      <c r="CS359" s="4">
        <f t="shared" si="947"/>
        <v>1.3530591037272715</v>
      </c>
      <c r="CT359" s="4">
        <f t="shared" si="997"/>
        <v>10</v>
      </c>
      <c r="DA359" s="4">
        <f t="shared" ref="DA359:DB359" si="1191">CM359</f>
        <v>1.484875890338786</v>
      </c>
      <c r="DB359" s="4">
        <f t="shared" si="1191"/>
        <v>1.0631873753884515</v>
      </c>
      <c r="DC359" s="4">
        <f t="shared" ref="DC359" si="1192">CP359</f>
        <v>1.6160351505021928</v>
      </c>
      <c r="DD359" s="4">
        <f t="shared" ref="DD359" si="1193">CS359</f>
        <v>1.3530591037272715</v>
      </c>
      <c r="DE359" s="4">
        <f t="shared" ref="DE359:DF359" si="1194">CQ359</f>
        <v>1.2347092535127056</v>
      </c>
      <c r="DF359" s="4">
        <f t="shared" si="1194"/>
        <v>1.2625217719196895</v>
      </c>
      <c r="DI359" s="4">
        <f t="shared" si="982"/>
        <v>236.982</v>
      </c>
      <c r="DL359" s="4">
        <f t="shared" si="1166"/>
        <v>1.8539158722916439E-5</v>
      </c>
      <c r="DM359" s="4">
        <f t="shared" si="1009"/>
        <v>8.0455613136194923</v>
      </c>
      <c r="DN359" s="4">
        <f t="shared" si="1167"/>
        <v>0.20215967934167123</v>
      </c>
      <c r="DO359" s="4">
        <f t="shared" si="1168"/>
        <v>4.2445745413968154</v>
      </c>
      <c r="DP359" s="4">
        <f t="shared" si="1169"/>
        <v>6.4347636804050365</v>
      </c>
      <c r="DQ359" s="4">
        <f t="shared" si="1170"/>
        <v>7.6736767082776174</v>
      </c>
      <c r="DR359" s="38">
        <f t="shared" si="1183"/>
        <v>399.92662405619086</v>
      </c>
      <c r="DS359" s="4">
        <f t="shared" si="1095"/>
        <v>1.0001056415089917</v>
      </c>
      <c r="DT359" s="4">
        <f t="shared" si="1171"/>
        <v>2.2360679774997898</v>
      </c>
      <c r="DU359" s="4">
        <f t="shared" si="1103"/>
        <v>167.81183214704018</v>
      </c>
      <c r="DY359" s="4">
        <f t="shared" si="1037"/>
        <v>0.85</v>
      </c>
      <c r="DZ359" s="4">
        <f t="shared" si="1096"/>
        <v>0.99750000000000005</v>
      </c>
      <c r="EA359" s="4">
        <f t="shared" si="1184"/>
        <v>0.90625</v>
      </c>
      <c r="EB359" s="4">
        <f t="shared" si="1097"/>
        <v>0.90398437500000006</v>
      </c>
      <c r="ED359" s="4">
        <f t="shared" si="1185"/>
        <v>391.11650541871734</v>
      </c>
      <c r="EE359" s="25">
        <f t="shared" si="1186"/>
        <v>165.92124425050773</v>
      </c>
      <c r="EG359" s="4">
        <f t="shared" si="1104"/>
        <v>0.76838671875000009</v>
      </c>
      <c r="EH359" s="4">
        <f t="shared" si="1187"/>
        <v>8.0455613136194923</v>
      </c>
      <c r="EK359" s="4">
        <f t="shared" si="1172"/>
        <v>56.796126628494655</v>
      </c>
      <c r="EL359" s="4">
        <f t="shared" si="1173"/>
        <v>2.2360679774997898</v>
      </c>
      <c r="EM359" s="4">
        <f t="shared" si="1174"/>
        <v>7.4861172859749275E-2</v>
      </c>
      <c r="EP359" s="4">
        <f t="shared" si="998"/>
        <v>7.4861172859749275E-2</v>
      </c>
      <c r="EQ359" s="4">
        <f t="shared" si="960"/>
        <v>0.20182231251429236</v>
      </c>
      <c r="ER359" s="4">
        <f t="shared" si="1010"/>
        <v>4.2417397600958529</v>
      </c>
      <c r="ES359" s="4">
        <f t="shared" si="983"/>
        <v>6.4338373512511406</v>
      </c>
      <c r="ET359" s="4">
        <f t="shared" si="1011"/>
        <v>120.94037337150536</v>
      </c>
      <c r="EU359" s="4">
        <f t="shared" si="1012"/>
        <v>59.245499999999993</v>
      </c>
      <c r="EV359" s="4">
        <f t="shared" si="1098"/>
        <v>1.8539158722916439E-5</v>
      </c>
      <c r="EW359" s="4">
        <f t="shared" si="984"/>
        <v>7.6737574455399828</v>
      </c>
      <c r="EX359" s="4">
        <f t="shared" si="1131"/>
        <v>399.8843796669006</v>
      </c>
      <c r="FG359" s="23">
        <f t="shared" si="1030"/>
        <v>1.6</v>
      </c>
      <c r="FH359" s="23">
        <f t="shared" si="1030"/>
        <v>1.2</v>
      </c>
      <c r="FI359" s="23">
        <f t="shared" si="952"/>
        <v>1.4</v>
      </c>
      <c r="FJ359" s="23">
        <f t="shared" si="1031"/>
        <v>1.8</v>
      </c>
      <c r="FK359" s="23">
        <f t="shared" si="1031"/>
        <v>1.4</v>
      </c>
      <c r="FL359" s="23">
        <f t="shared" si="1031"/>
        <v>1.4</v>
      </c>
      <c r="FM359" s="23">
        <f t="shared" ref="FM359:FM422" si="1195">IF(FK359&lt;1,1,0)</f>
        <v>0</v>
      </c>
      <c r="FN359" s="23"/>
      <c r="FX359" s="4">
        <f t="shared" si="1099"/>
        <v>1</v>
      </c>
      <c r="FY359" s="4">
        <f t="shared" si="1139"/>
        <v>0.66340624999999998</v>
      </c>
      <c r="FZ359" s="4">
        <f t="shared" si="1100"/>
        <v>0.28124999999999994</v>
      </c>
      <c r="GA359" s="4">
        <f t="shared" si="1101"/>
        <v>364.94570125430897</v>
      </c>
    </row>
    <row r="360" spans="1:183" ht="12" customHeight="1" x14ac:dyDescent="0.3">
      <c r="A360" s="25">
        <v>342</v>
      </c>
      <c r="B360" s="4" t="s">
        <v>605</v>
      </c>
      <c r="C360" s="4">
        <v>2016</v>
      </c>
      <c r="D360" s="4" t="s">
        <v>309</v>
      </c>
      <c r="E360" s="24" t="s">
        <v>505</v>
      </c>
      <c r="F360" s="7" t="s">
        <v>506</v>
      </c>
      <c r="G360" s="38">
        <f>129/0.145</f>
        <v>889.65517241379314</v>
      </c>
      <c r="H360" s="38">
        <f>6.09*25.4</f>
        <v>154.68599999999998</v>
      </c>
      <c r="I360" s="4">
        <f t="shared" si="985"/>
        <v>154.68599999999998</v>
      </c>
      <c r="J360" s="38">
        <f>4930/145</f>
        <v>34</v>
      </c>
      <c r="K360" s="38">
        <f t="shared" si="986"/>
        <v>25.4</v>
      </c>
      <c r="L360" s="7">
        <f t="shared" si="987"/>
        <v>6.09</v>
      </c>
      <c r="M360" s="7">
        <f t="shared" si="988"/>
        <v>6.09</v>
      </c>
      <c r="N360" s="38">
        <f>17.3*25.4</f>
        <v>439.42</v>
      </c>
      <c r="O360" s="38">
        <f>2.65*25.4</f>
        <v>67.309999999999988</v>
      </c>
      <c r="P360" s="39">
        <f>7.15*25.4</f>
        <v>181.60999999999999</v>
      </c>
      <c r="Q360" s="7">
        <f t="shared" si="989"/>
        <v>254.00000000000003</v>
      </c>
      <c r="R360" s="38">
        <v>2</v>
      </c>
      <c r="S360" s="4">
        <f t="shared" si="966"/>
        <v>260.34999999999997</v>
      </c>
      <c r="T360" s="7">
        <f t="shared" si="990"/>
        <v>3.1499999999999995</v>
      </c>
      <c r="U360" s="7">
        <f t="shared" si="1127"/>
        <v>3.1499999999999995</v>
      </c>
      <c r="V360" s="38">
        <v>4.0999999999999996</v>
      </c>
      <c r="W360" s="4">
        <f t="shared" si="991"/>
        <v>4.0999999999999996</v>
      </c>
      <c r="X360" s="4">
        <f t="shared" si="992"/>
        <v>5.0999999999999996</v>
      </c>
      <c r="Y360" s="7">
        <f t="shared" si="993"/>
        <v>57.361276136431961</v>
      </c>
      <c r="AB360" s="38">
        <f t="shared" si="1038"/>
        <v>250.34482758620689</v>
      </c>
      <c r="AC360" s="4">
        <v>36.299999999999997</v>
      </c>
      <c r="AD360" s="4">
        <f t="shared" si="1159"/>
        <v>0.60184794055467938</v>
      </c>
      <c r="AE360" s="38"/>
      <c r="AF360" s="38"/>
      <c r="AG360" s="39">
        <v>1</v>
      </c>
      <c r="AH360" s="39"/>
      <c r="AI360" s="39"/>
      <c r="AJ360" s="7"/>
      <c r="AK360" s="4">
        <f t="shared" si="994"/>
        <v>154.68599999999998</v>
      </c>
      <c r="AL360" s="4">
        <f t="shared" si="1175"/>
        <v>0.94690749863163681</v>
      </c>
      <c r="AM360" s="4">
        <f t="shared" si="1176"/>
        <v>110.69516759312566</v>
      </c>
      <c r="AN360" s="4">
        <f t="shared" si="1177"/>
        <v>0.80344827586206891</v>
      </c>
      <c r="AO360" s="4">
        <v>1.25</v>
      </c>
      <c r="AP360" s="4">
        <f t="shared" si="1112"/>
        <v>2.5</v>
      </c>
      <c r="AQ360" s="38">
        <f t="shared" si="967"/>
        <v>263.1747158588193</v>
      </c>
      <c r="AR360" s="38">
        <f t="shared" si="1178"/>
        <v>263.1747158588193</v>
      </c>
      <c r="AS360" s="38">
        <f t="shared" si="1179"/>
        <v>3.1485253868929024</v>
      </c>
      <c r="AT360" s="38">
        <f t="shared" si="1121"/>
        <v>263.17471585881947</v>
      </c>
      <c r="AU360" s="38">
        <f t="shared" si="1086"/>
        <v>0.99999999999999933</v>
      </c>
      <c r="AV360" s="38">
        <f t="shared" si="954"/>
        <v>1.6480380410763777</v>
      </c>
      <c r="AW360" s="4">
        <f t="shared" si="940"/>
        <v>0</v>
      </c>
      <c r="AX360" s="4">
        <f t="shared" si="995"/>
        <v>186.89735284004149</v>
      </c>
      <c r="AY360" s="4">
        <f t="shared" si="968"/>
        <v>1</v>
      </c>
      <c r="AZ360" s="38">
        <f t="shared" si="1102"/>
        <v>433.72194318480115</v>
      </c>
      <c r="BA360" s="4">
        <f t="shared" si="969"/>
        <v>0.42600000000000005</v>
      </c>
      <c r="BB360" s="4">
        <f t="shared" si="970"/>
        <v>41.600547281900631</v>
      </c>
      <c r="BC360" s="4">
        <f t="shared" si="971"/>
        <v>475.32249046670177</v>
      </c>
      <c r="BE360" s="4">
        <f t="shared" si="1122"/>
        <v>1.4124999999999999</v>
      </c>
      <c r="BF360" s="4">
        <f t="shared" si="1128"/>
        <v>397.56231774940795</v>
      </c>
      <c r="BH360" s="4">
        <f t="shared" si="1129"/>
        <v>415.99238425162616</v>
      </c>
      <c r="BI360" s="4">
        <f t="shared" si="1067"/>
        <v>0</v>
      </c>
      <c r="BJ360" s="4">
        <f t="shared" si="1130"/>
        <v>0</v>
      </c>
      <c r="BR360" s="4">
        <f t="shared" si="972"/>
        <v>67.309999999999988</v>
      </c>
      <c r="BV360" s="9"/>
      <c r="BX360" s="9"/>
      <c r="BY360" s="9"/>
      <c r="BZ360" s="9">
        <f t="shared" si="973"/>
        <v>67.309999999999988</v>
      </c>
      <c r="CA360" s="9">
        <f t="shared" si="974"/>
        <v>127.00000000000001</v>
      </c>
      <c r="CB360" s="9">
        <f t="shared" si="1087"/>
        <v>1.7905298128039189</v>
      </c>
      <c r="CC360" s="40">
        <f t="shared" si="996"/>
        <v>0</v>
      </c>
      <c r="CD360" s="9">
        <f t="shared" si="975"/>
        <v>0</v>
      </c>
      <c r="CE360" s="9">
        <f t="shared" si="976"/>
        <v>0</v>
      </c>
      <c r="CF360" s="9">
        <f t="shared" si="977"/>
        <v>0.99524931562137331</v>
      </c>
      <c r="CG360" s="9">
        <f t="shared" si="978"/>
        <v>0.68</v>
      </c>
      <c r="CH360" s="9">
        <f t="shared" si="1088"/>
        <v>1.3811737100982926</v>
      </c>
      <c r="CI360" s="9">
        <f t="shared" si="1089"/>
        <v>2.47303270459199</v>
      </c>
      <c r="CJ360" s="40">
        <v>1</v>
      </c>
      <c r="CK360" s="9">
        <f t="shared" si="1090"/>
        <v>208.62503895938028</v>
      </c>
      <c r="CM360" s="4">
        <f t="shared" si="979"/>
        <v>1.3394776532788442</v>
      </c>
      <c r="CN360" s="4">
        <f t="shared" si="980"/>
        <v>0.52668416203155555</v>
      </c>
      <c r="CO360" s="4">
        <f t="shared" si="946"/>
        <v>0.62969958773609069</v>
      </c>
      <c r="CP360" s="4">
        <f t="shared" si="981"/>
        <v>1.1999749830361903</v>
      </c>
      <c r="CQ360" s="4">
        <f t="shared" si="1189"/>
        <v>0.60184794055467938</v>
      </c>
      <c r="CR360" s="4">
        <f t="shared" si="1190"/>
        <v>0.63292489521379602</v>
      </c>
      <c r="CS360" s="4">
        <f t="shared" si="947"/>
        <v>0.8536087311591446</v>
      </c>
      <c r="CT360" s="4">
        <f t="shared" si="997"/>
        <v>0</v>
      </c>
      <c r="CU360" s="4">
        <f t="shared" ref="CU360:CV360" si="1196">CM360</f>
        <v>1.3394776532788442</v>
      </c>
      <c r="CV360" s="4">
        <f t="shared" si="1196"/>
        <v>0.52668416203155555</v>
      </c>
      <c r="CW360" s="4">
        <f t="shared" ref="CW360" si="1197">CP360</f>
        <v>1.1999749830361903</v>
      </c>
      <c r="CX360" s="4">
        <f t="shared" si="1134"/>
        <v>0.8536087311591446</v>
      </c>
      <c r="CY360" s="4">
        <f t="shared" ref="CY360:CZ360" si="1198">CQ360</f>
        <v>0.60184794055467938</v>
      </c>
      <c r="CZ360" s="4">
        <f t="shared" si="1198"/>
        <v>0.63292489521379602</v>
      </c>
      <c r="DI360" s="4">
        <f t="shared" si="982"/>
        <v>154.68599999999998</v>
      </c>
      <c r="DL360" s="4">
        <f t="shared" si="1166"/>
        <v>1.1184562953342657E-5</v>
      </c>
      <c r="DM360" s="4">
        <f t="shared" si="1009"/>
        <v>7.4996921088041866</v>
      </c>
      <c r="DN360" s="4">
        <f t="shared" si="1167"/>
        <v>0.42137335519387598</v>
      </c>
      <c r="DO360" s="4">
        <f t="shared" si="1168"/>
        <v>5.3077475974670776</v>
      </c>
      <c r="DP360" s="4">
        <f t="shared" si="1169"/>
        <v>6.4970943852018177</v>
      </c>
      <c r="DQ360" s="4">
        <f t="shared" si="1170"/>
        <v>7.3608087803503537</v>
      </c>
      <c r="DR360" s="38">
        <f t="shared" si="1183"/>
        <v>415.96026291206101</v>
      </c>
      <c r="DS360" s="4">
        <f t="shared" si="1095"/>
        <v>1.0001083931082033</v>
      </c>
      <c r="DT360" s="4">
        <f t="shared" si="1171"/>
        <v>2.2583179581272428</v>
      </c>
      <c r="DU360" s="4">
        <f t="shared" si="1103"/>
        <v>263.17471585881947</v>
      </c>
      <c r="DY360" s="4">
        <f t="shared" si="1037"/>
        <v>0.85</v>
      </c>
      <c r="DZ360" s="4">
        <f t="shared" si="1096"/>
        <v>0.83499999999999996</v>
      </c>
      <c r="EA360" s="4">
        <f t="shared" si="1184"/>
        <v>1</v>
      </c>
      <c r="EB360" s="4">
        <f t="shared" si="1097"/>
        <v>0.83499999999999996</v>
      </c>
      <c r="ED360" s="4">
        <f t="shared" si="1185"/>
        <v>395.53638903971819</v>
      </c>
      <c r="EE360" s="25">
        <f t="shared" si="1186"/>
        <v>258.51701421186567</v>
      </c>
      <c r="EG360" s="4">
        <f t="shared" si="1104"/>
        <v>0.70974999999999999</v>
      </c>
      <c r="EH360" s="4">
        <f t="shared" si="1187"/>
        <v>7.4996921088041866</v>
      </c>
      <c r="EK360" s="4">
        <f t="shared" si="1172"/>
        <v>57.361276136431961</v>
      </c>
      <c r="EL360" s="4">
        <f t="shared" si="1173"/>
        <v>2.2583179581272428</v>
      </c>
      <c r="EM360" s="4">
        <f t="shared" si="1174"/>
        <v>0.13435127560076568</v>
      </c>
      <c r="EP360" s="4">
        <f t="shared" si="998"/>
        <v>0.13435127560076568</v>
      </c>
      <c r="EQ360" s="4">
        <f t="shared" si="960"/>
        <v>0.42067016159737514</v>
      </c>
      <c r="ER360" s="4">
        <f t="shared" si="1010"/>
        <v>5.3042027654720734</v>
      </c>
      <c r="ES360" s="4">
        <f t="shared" si="983"/>
        <v>6.4956485988241024</v>
      </c>
      <c r="ET360" s="4">
        <f t="shared" si="1011"/>
        <v>58.653223863568023</v>
      </c>
      <c r="EU360" s="4">
        <f t="shared" si="1012"/>
        <v>38.671499999999988</v>
      </c>
      <c r="EV360" s="4">
        <f t="shared" si="1098"/>
        <v>1.1184562953342657E-5</v>
      </c>
      <c r="EW360" s="4">
        <f t="shared" si="984"/>
        <v>7.3608569622221749</v>
      </c>
      <c r="EX360" s="4">
        <f t="shared" si="1131"/>
        <v>415.91518057288977</v>
      </c>
      <c r="FG360" s="23">
        <f t="shared" si="1030"/>
        <v>1.4</v>
      </c>
      <c r="FH360" s="23">
        <f t="shared" si="1030"/>
        <v>0.6</v>
      </c>
      <c r="FI360" s="23">
        <f t="shared" si="952"/>
        <v>1</v>
      </c>
      <c r="FJ360" s="23">
        <f t="shared" si="1031"/>
        <v>1.2</v>
      </c>
      <c r="FK360" s="23">
        <f t="shared" si="1031"/>
        <v>0.8</v>
      </c>
      <c r="FL360" s="23">
        <f t="shared" si="1031"/>
        <v>0.8</v>
      </c>
      <c r="FM360" s="23">
        <f t="shared" si="1195"/>
        <v>1</v>
      </c>
      <c r="FN360" s="23"/>
      <c r="FX360" s="4">
        <f t="shared" si="1099"/>
        <v>1</v>
      </c>
      <c r="FY360" s="4">
        <f t="shared" si="1139"/>
        <v>0.5</v>
      </c>
      <c r="FZ360" s="4">
        <f t="shared" si="1100"/>
        <v>0</v>
      </c>
      <c r="GA360" s="4">
        <f t="shared" si="1101"/>
        <v>293.27819461998126</v>
      </c>
    </row>
    <row r="361" spans="1:183" ht="12" customHeight="1" x14ac:dyDescent="0.3">
      <c r="A361" s="25">
        <v>343</v>
      </c>
      <c r="B361" s="4" t="s">
        <v>605</v>
      </c>
      <c r="C361" s="4">
        <v>2016</v>
      </c>
      <c r="D361" s="4" t="s">
        <v>309</v>
      </c>
      <c r="E361" s="24" t="s">
        <v>505</v>
      </c>
      <c r="F361" s="7" t="s">
        <v>507</v>
      </c>
      <c r="G361" s="38">
        <f t="shared" ref="G361:G373" si="1199">129/0.145</f>
        <v>889.65517241379314</v>
      </c>
      <c r="H361" s="38">
        <f>6.25*25.4</f>
        <v>158.75</v>
      </c>
      <c r="I361" s="4">
        <f t="shared" si="985"/>
        <v>158.75</v>
      </c>
      <c r="J361" s="38">
        <f t="shared" ref="J361:J365" si="1200">4930/145</f>
        <v>34</v>
      </c>
      <c r="K361" s="38">
        <f t="shared" si="986"/>
        <v>25.4</v>
      </c>
      <c r="L361" s="7">
        <f t="shared" si="987"/>
        <v>6.25</v>
      </c>
      <c r="M361" s="7">
        <f t="shared" si="988"/>
        <v>6.25</v>
      </c>
      <c r="N361" s="38">
        <f>17.1*25.4</f>
        <v>434.34000000000003</v>
      </c>
      <c r="O361" s="38">
        <f>2.55*25.4</f>
        <v>64.77</v>
      </c>
      <c r="P361" s="39">
        <f>6.8*25.4</f>
        <v>172.72</v>
      </c>
      <c r="Q361" s="7">
        <f t="shared" si="989"/>
        <v>254.00000000000003</v>
      </c>
      <c r="R361" s="38">
        <v>2</v>
      </c>
      <c r="S361" s="4">
        <f t="shared" si="966"/>
        <v>260.34999999999997</v>
      </c>
      <c r="T361" s="7">
        <f t="shared" si="990"/>
        <v>3.05</v>
      </c>
      <c r="U361" s="7">
        <f t="shared" si="1127"/>
        <v>3.05</v>
      </c>
      <c r="V361" s="38">
        <v>4.0999999999999996</v>
      </c>
      <c r="W361" s="4">
        <f t="shared" si="991"/>
        <v>4.0999999999999996</v>
      </c>
      <c r="X361" s="4">
        <f t="shared" si="992"/>
        <v>5.0999999999999996</v>
      </c>
      <c r="Y361" s="7">
        <f t="shared" si="993"/>
        <v>57.361276136431961</v>
      </c>
      <c r="AB361" s="38">
        <f t="shared" si="1038"/>
        <v>442.06896551724139</v>
      </c>
      <c r="AC361" s="4">
        <v>64.099999999999994</v>
      </c>
      <c r="AD361" s="4">
        <f t="shared" si="1159"/>
        <v>1.0219610040497915</v>
      </c>
      <c r="AE361" s="38">
        <f>0.375*25.4</f>
        <v>9.5249999999999986</v>
      </c>
      <c r="AF361" s="38">
        <v>10</v>
      </c>
      <c r="AG361" s="39">
        <f t="shared" ref="AG361" si="1201">3*25.4</f>
        <v>76.199999999999989</v>
      </c>
      <c r="AH361" s="39">
        <v>3</v>
      </c>
      <c r="AI361" s="39">
        <f>AH361-1</f>
        <v>2</v>
      </c>
      <c r="AJ361" s="7"/>
      <c r="AK361" s="4">
        <f t="shared" si="994"/>
        <v>158.75</v>
      </c>
      <c r="AL361" s="4">
        <f t="shared" si="1175"/>
        <v>0.91200000000000003</v>
      </c>
      <c r="AM361" s="4">
        <f t="shared" si="1176"/>
        <v>115.08606717057168</v>
      </c>
      <c r="AN361" s="4">
        <f t="shared" si="1177"/>
        <v>0.79759999999999998</v>
      </c>
      <c r="AO361" s="4">
        <v>1.25</v>
      </c>
      <c r="AP361" s="4">
        <f t="shared" si="1112"/>
        <v>2.5</v>
      </c>
      <c r="AQ361" s="38">
        <f t="shared" si="967"/>
        <v>261.60904444945675</v>
      </c>
      <c r="AR361" s="38">
        <f t="shared" si="1178"/>
        <v>261.60904444945675</v>
      </c>
      <c r="AS361" s="38">
        <f t="shared" si="1179"/>
        <v>3.1485253868929024</v>
      </c>
      <c r="AT361" s="38">
        <f t="shared" si="1121"/>
        <v>261.60904444945697</v>
      </c>
      <c r="AU361" s="38">
        <f t="shared" si="1086"/>
        <v>0.99999999999999911</v>
      </c>
      <c r="AV361" s="38">
        <f t="shared" si="954"/>
        <v>1.6052693953730679</v>
      </c>
      <c r="AW361" s="4">
        <f t="shared" si="940"/>
        <v>0</v>
      </c>
      <c r="AX361" s="4">
        <f t="shared" si="995"/>
        <v>191.80762811991121</v>
      </c>
      <c r="AY361" s="4">
        <f t="shared" si="968"/>
        <v>1</v>
      </c>
      <c r="AZ361" s="38">
        <f t="shared" si="1102"/>
        <v>419.95299260750585</v>
      </c>
      <c r="BA361" s="4">
        <f t="shared" si="969"/>
        <v>0.42600000000000005</v>
      </c>
      <c r="BB361" s="4">
        <f t="shared" si="970"/>
        <v>42.693500905070444</v>
      </c>
      <c r="BC361" s="4">
        <f t="shared" si="971"/>
        <v>462.64649351257628</v>
      </c>
      <c r="BE361" s="4">
        <f t="shared" si="1122"/>
        <v>1.5</v>
      </c>
      <c r="BF361" s="4">
        <f t="shared" si="1128"/>
        <v>426.38835731056264</v>
      </c>
      <c r="BH361" s="4">
        <f t="shared" si="1129"/>
        <v>402.78627681506663</v>
      </c>
      <c r="BI361" s="4">
        <f t="shared" si="1067"/>
        <v>0</v>
      </c>
      <c r="BJ361" s="4">
        <f t="shared" si="1130"/>
        <v>0</v>
      </c>
      <c r="BR361" s="4">
        <f t="shared" si="972"/>
        <v>64.77</v>
      </c>
      <c r="BV361" s="9"/>
      <c r="BX361" s="9"/>
      <c r="BY361" s="9"/>
      <c r="BZ361" s="9">
        <f t="shared" si="973"/>
        <v>64.77</v>
      </c>
      <c r="CA361" s="9">
        <f t="shared" si="974"/>
        <v>127.00000000000001</v>
      </c>
      <c r="CB361" s="9">
        <f t="shared" si="1087"/>
        <v>1.7665851027593089</v>
      </c>
      <c r="CC361" s="40">
        <f t="shared" si="996"/>
        <v>20</v>
      </c>
      <c r="CD361" s="9">
        <f t="shared" si="975"/>
        <v>0.05</v>
      </c>
      <c r="CE361" s="9">
        <f t="shared" si="976"/>
        <v>0.8</v>
      </c>
      <c r="CF361" s="9">
        <f t="shared" si="977"/>
        <v>0.99524931562137331</v>
      </c>
      <c r="CG361" s="9">
        <f t="shared" si="978"/>
        <v>0.68</v>
      </c>
      <c r="CH361" s="9">
        <f t="shared" si="1088"/>
        <v>1.3811737100982926</v>
      </c>
      <c r="CI361" s="9">
        <f t="shared" si="1089"/>
        <v>3.4529342752457315</v>
      </c>
      <c r="CJ361" s="40">
        <v>1</v>
      </c>
      <c r="CK361" s="9">
        <f t="shared" si="1090"/>
        <v>293.49941339588719</v>
      </c>
      <c r="CM361" s="4">
        <f t="shared" si="979"/>
        <v>2.3047517444972305</v>
      </c>
      <c r="CN361" s="4">
        <f t="shared" si="980"/>
        <v>0.95552213561783861</v>
      </c>
      <c r="CO361" s="4">
        <f t="shared" si="946"/>
        <v>1.0367754136289835</v>
      </c>
      <c r="CP361" s="4">
        <f t="shared" si="981"/>
        <v>1.5062005078727565</v>
      </c>
      <c r="CQ361" s="4">
        <f t="shared" si="1189"/>
        <v>1.0219610040497915</v>
      </c>
      <c r="CR361" s="4">
        <f t="shared" si="1190"/>
        <v>1.0771457263688171</v>
      </c>
      <c r="CS361" s="4">
        <f t="shared" si="947"/>
        <v>1.3047954564429862</v>
      </c>
      <c r="CT361" s="4">
        <f t="shared" si="997"/>
        <v>10</v>
      </c>
      <c r="DA361" s="4">
        <f t="shared" ref="DA361:DB361" si="1202">CM361</f>
        <v>2.3047517444972305</v>
      </c>
      <c r="DB361" s="4">
        <f t="shared" si="1202"/>
        <v>0.95552213561783861</v>
      </c>
      <c r="DC361" s="4">
        <f t="shared" ref="DC361" si="1203">CP361</f>
        <v>1.5062005078727565</v>
      </c>
      <c r="DD361" s="4">
        <f t="shared" ref="DD361" si="1204">CS361</f>
        <v>1.3047954564429862</v>
      </c>
      <c r="DE361" s="4">
        <f t="shared" ref="DE361:DF361" si="1205">CQ361</f>
        <v>1.0219610040497915</v>
      </c>
      <c r="DF361" s="4">
        <f t="shared" si="1205"/>
        <v>1.0771457263688171</v>
      </c>
      <c r="DI361" s="4">
        <f t="shared" si="982"/>
        <v>158.75</v>
      </c>
      <c r="DL361" s="4">
        <f t="shared" si="1166"/>
        <v>1.1478410255893533E-5</v>
      </c>
      <c r="DM361" s="4">
        <f t="shared" si="1009"/>
        <v>8.177587151489405</v>
      </c>
      <c r="DN361" s="4">
        <f t="shared" si="1167"/>
        <v>0.41886653301401239</v>
      </c>
      <c r="DO361" s="4">
        <f t="shared" si="1168"/>
        <v>5.7737163759672434</v>
      </c>
      <c r="DP361" s="4">
        <f t="shared" si="1169"/>
        <v>7.0787409650505388</v>
      </c>
      <c r="DQ361" s="4">
        <f t="shared" si="1170"/>
        <v>8.0036021574330611</v>
      </c>
      <c r="DR361" s="38">
        <f t="shared" si="1183"/>
        <v>432.56930916681347</v>
      </c>
      <c r="DS361" s="4">
        <f t="shared" si="1095"/>
        <v>1.0001149489131735</v>
      </c>
      <c r="DT361" s="4">
        <f t="shared" si="1171"/>
        <v>2.2583179581272428</v>
      </c>
      <c r="DU361" s="4">
        <f t="shared" si="1103"/>
        <v>261.60904444945697</v>
      </c>
      <c r="DY361" s="4">
        <f t="shared" si="1037"/>
        <v>0.85</v>
      </c>
      <c r="DZ361" s="4">
        <f t="shared" si="1096"/>
        <v>0.84499999999999997</v>
      </c>
      <c r="EA361" s="4">
        <f t="shared" si="1184"/>
        <v>0.90625</v>
      </c>
      <c r="EB361" s="4">
        <f t="shared" si="1097"/>
        <v>0.76578124999999997</v>
      </c>
      <c r="ED361" s="4">
        <f t="shared" si="1185"/>
        <v>410.40776070987818</v>
      </c>
      <c r="EE361" s="25">
        <f t="shared" si="1186"/>
        <v>257.07800161945181</v>
      </c>
      <c r="EG361" s="4">
        <f t="shared" si="1104"/>
        <v>0.65091406249999995</v>
      </c>
      <c r="EH361" s="4">
        <f t="shared" si="1187"/>
        <v>8.177587151489405</v>
      </c>
      <c r="EK361" s="4">
        <f t="shared" si="1172"/>
        <v>57.361276136431961</v>
      </c>
      <c r="EL361" s="4">
        <f t="shared" si="1173"/>
        <v>2.2583179581272428</v>
      </c>
      <c r="EM361" s="4">
        <f t="shared" si="1174"/>
        <v>0.13355199687699823</v>
      </c>
      <c r="EP361" s="4">
        <f t="shared" si="998"/>
        <v>0.13355199687699823</v>
      </c>
      <c r="EQ361" s="4">
        <f t="shared" si="960"/>
        <v>0.41816752283652159</v>
      </c>
      <c r="ER361" s="4">
        <f t="shared" si="1010"/>
        <v>5.7698603420915218</v>
      </c>
      <c r="ES361" s="4">
        <f t="shared" si="983"/>
        <v>7.0771708001252911</v>
      </c>
      <c r="ET361" s="4">
        <f t="shared" si="1011"/>
        <v>61.701223863568039</v>
      </c>
      <c r="EU361" s="4">
        <f t="shared" si="1012"/>
        <v>39.687499999999993</v>
      </c>
      <c r="EV361" s="4">
        <f t="shared" si="1098"/>
        <v>1.1478410255893533E-5</v>
      </c>
      <c r="EW361" s="4">
        <f t="shared" si="984"/>
        <v>8.0036616471900555</v>
      </c>
      <c r="EX361" s="4">
        <f t="shared" si="1131"/>
        <v>432.51959150984317</v>
      </c>
      <c r="FG361" s="23">
        <f t="shared" si="1030"/>
        <v>2.2000000000000002</v>
      </c>
      <c r="FH361" s="23">
        <f t="shared" si="1030"/>
        <v>1</v>
      </c>
      <c r="FI361" s="23">
        <f t="shared" si="952"/>
        <v>1.4</v>
      </c>
      <c r="FJ361" s="23">
        <f t="shared" si="1031"/>
        <v>1.6</v>
      </c>
      <c r="FK361" s="23">
        <f t="shared" si="1031"/>
        <v>1.2</v>
      </c>
      <c r="FL361" s="23">
        <f t="shared" si="1031"/>
        <v>1.2</v>
      </c>
      <c r="FM361" s="23">
        <f t="shared" si="1195"/>
        <v>0</v>
      </c>
      <c r="FN361" s="23"/>
      <c r="FX361" s="4">
        <f t="shared" si="1099"/>
        <v>1</v>
      </c>
      <c r="FY361" s="4">
        <f t="shared" si="1139"/>
        <v>0.44418604651162791</v>
      </c>
      <c r="FZ361" s="4">
        <f t="shared" si="1100"/>
        <v>0.3</v>
      </c>
      <c r="GA361" s="4">
        <f t="shared" si="1101"/>
        <v>338.80326861527345</v>
      </c>
    </row>
    <row r="362" spans="1:183" ht="12" customHeight="1" x14ac:dyDescent="0.3">
      <c r="A362" s="25">
        <v>344</v>
      </c>
      <c r="B362" s="4" t="s">
        <v>605</v>
      </c>
      <c r="C362" s="4">
        <v>2016</v>
      </c>
      <c r="D362" s="4" t="s">
        <v>309</v>
      </c>
      <c r="E362" s="24" t="s">
        <v>672</v>
      </c>
      <c r="F362" s="7" t="s">
        <v>508</v>
      </c>
      <c r="G362" s="38">
        <f t="shared" si="1199"/>
        <v>889.65517241379314</v>
      </c>
      <c r="H362" s="38">
        <f>6.19*25.4</f>
        <v>157.226</v>
      </c>
      <c r="I362" s="4">
        <f t="shared" si="985"/>
        <v>157.226</v>
      </c>
      <c r="J362" s="38">
        <f t="shared" si="1200"/>
        <v>34</v>
      </c>
      <c r="K362" s="38">
        <f t="shared" si="986"/>
        <v>25.4</v>
      </c>
      <c r="L362" s="7">
        <f t="shared" si="987"/>
        <v>6.19</v>
      </c>
      <c r="M362" s="7">
        <f t="shared" si="988"/>
        <v>6.19</v>
      </c>
      <c r="N362" s="38">
        <f>12.6*25.4</f>
        <v>320.03999999999996</v>
      </c>
      <c r="O362" s="38">
        <f>2.65*25.4</f>
        <v>67.309999999999988</v>
      </c>
      <c r="P362" s="39">
        <f>6.5*25.4</f>
        <v>165.1</v>
      </c>
      <c r="Q362" s="7">
        <f t="shared" si="989"/>
        <v>54.61</v>
      </c>
      <c r="R362" s="38">
        <v>3</v>
      </c>
      <c r="S362" s="4">
        <f t="shared" si="966"/>
        <v>260.34999999999997</v>
      </c>
      <c r="T362" s="7">
        <f t="shared" si="990"/>
        <v>1.575</v>
      </c>
      <c r="U362" s="7">
        <f t="shared" si="1127"/>
        <v>3.1499999999999995</v>
      </c>
      <c r="V362" s="38">
        <v>4.0999999999999996</v>
      </c>
      <c r="W362" s="4">
        <f t="shared" si="991"/>
        <v>4.0999999999999996</v>
      </c>
      <c r="X362" s="4">
        <f t="shared" si="992"/>
        <v>5.0999999999999996</v>
      </c>
      <c r="Y362" s="7">
        <f t="shared" si="993"/>
        <v>57.361276136431961</v>
      </c>
      <c r="AB362" s="38">
        <f t="shared" si="1038"/>
        <v>180.00000000000003</v>
      </c>
      <c r="AC362" s="4">
        <v>26.1</v>
      </c>
      <c r="AD362" s="4">
        <f t="shared" si="1159"/>
        <v>0.7330357782373077</v>
      </c>
      <c r="AE362" s="38"/>
      <c r="AF362" s="38"/>
      <c r="AG362" s="39">
        <v>1</v>
      </c>
      <c r="AH362" s="39"/>
      <c r="AI362" s="39"/>
      <c r="AJ362" s="7"/>
      <c r="AK362" s="4">
        <f t="shared" si="994"/>
        <v>157.226</v>
      </c>
      <c r="AL362" s="4">
        <f t="shared" si="1175"/>
        <v>0.67851373182552488</v>
      </c>
      <c r="AM362" s="4">
        <f t="shared" si="1176"/>
        <v>75.621874376410929</v>
      </c>
      <c r="AN362" s="4">
        <f t="shared" si="1177"/>
        <v>0.80177705977382874</v>
      </c>
      <c r="AO362" s="4">
        <v>1.25</v>
      </c>
      <c r="AP362" s="4">
        <f t="shared" si="1112"/>
        <v>2.5</v>
      </c>
      <c r="AQ362" s="38">
        <f t="shared" si="967"/>
        <v>128.56114357170802</v>
      </c>
      <c r="AR362" s="38">
        <f t="shared" si="1178"/>
        <v>128.56114357170802</v>
      </c>
      <c r="AS362" s="38">
        <f t="shared" si="1179"/>
        <v>3.1485253868929024</v>
      </c>
      <c r="AT362" s="38">
        <f t="shared" si="1121"/>
        <v>128.56114357170804</v>
      </c>
      <c r="AU362" s="38">
        <f t="shared" si="1086"/>
        <v>0.99999999999999978</v>
      </c>
      <c r="AV362" s="38">
        <f t="shared" si="954"/>
        <v>2.3615639359960867</v>
      </c>
      <c r="AW362" s="4">
        <f t="shared" si="940"/>
        <v>0</v>
      </c>
      <c r="AX362" s="4">
        <f t="shared" si="995"/>
        <v>189.96627488996009</v>
      </c>
      <c r="AY362" s="4">
        <f t="shared" si="968"/>
        <v>1.4</v>
      </c>
      <c r="AZ362" s="38">
        <f t="shared" si="1102"/>
        <v>303.60536022936083</v>
      </c>
      <c r="BA362" s="4">
        <f t="shared" si="969"/>
        <v>0.42600000000000005</v>
      </c>
      <c r="BB362" s="4">
        <f t="shared" si="970"/>
        <v>42.283643296381761</v>
      </c>
      <c r="BC362" s="4">
        <f t="shared" si="971"/>
        <v>345.88900352574257</v>
      </c>
      <c r="BE362" s="4">
        <f t="shared" si="1122"/>
        <v>1.4124999999999999</v>
      </c>
      <c r="BF362" s="4">
        <f t="shared" si="1128"/>
        <v>400.03318361484872</v>
      </c>
      <c r="BH362" s="4">
        <f t="shared" si="1129"/>
        <v>291.19466897613836</v>
      </c>
      <c r="BI362" s="4">
        <f t="shared" si="1067"/>
        <v>0</v>
      </c>
      <c r="BJ362" s="4">
        <f t="shared" si="1130"/>
        <v>0</v>
      </c>
      <c r="BR362" s="4">
        <f t="shared" si="972"/>
        <v>27.305</v>
      </c>
      <c r="BV362" s="9"/>
      <c r="BX362" s="9"/>
      <c r="BY362" s="9"/>
      <c r="BZ362" s="9">
        <f t="shared" si="973"/>
        <v>27.305</v>
      </c>
      <c r="CA362" s="9">
        <f t="shared" si="974"/>
        <v>67.309999999999988</v>
      </c>
      <c r="CB362" s="9">
        <f t="shared" si="1087"/>
        <v>1.1870796051742518</v>
      </c>
      <c r="CC362" s="40">
        <f t="shared" si="996"/>
        <v>0</v>
      </c>
      <c r="CD362" s="9">
        <f t="shared" si="975"/>
        <v>0</v>
      </c>
      <c r="CE362" s="9">
        <f t="shared" si="976"/>
        <v>0</v>
      </c>
      <c r="CF362" s="9">
        <f t="shared" si="977"/>
        <v>0.99524931562137331</v>
      </c>
      <c r="CG362" s="9">
        <f t="shared" si="978"/>
        <v>0.68</v>
      </c>
      <c r="CH362" s="9">
        <f t="shared" si="1088"/>
        <v>1.3811737100982926</v>
      </c>
      <c r="CI362" s="9">
        <f t="shared" si="1089"/>
        <v>1.6395631424605377</v>
      </c>
      <c r="CJ362" s="40">
        <v>1</v>
      </c>
      <c r="CK362" s="9">
        <f t="shared" si="1090"/>
        <v>138.96937195495516</v>
      </c>
      <c r="CM362" s="4">
        <f t="shared" si="979"/>
        <v>0.94753660934956419</v>
      </c>
      <c r="CN362" s="4">
        <f t="shared" si="980"/>
        <v>0.52039815711170379</v>
      </c>
      <c r="CO362" s="4">
        <f t="shared" si="946"/>
        <v>0.44996267153002917</v>
      </c>
      <c r="CP362" s="4">
        <f t="shared" si="981"/>
        <v>1.2952494313519984</v>
      </c>
      <c r="CQ362" s="4">
        <f t="shared" si="1189"/>
        <v>0.7330357782373077</v>
      </c>
      <c r="CR362" s="4">
        <f t="shared" si="1190"/>
        <v>0.73924512696546085</v>
      </c>
      <c r="CS362" s="4">
        <f t="shared" si="947"/>
        <v>1.0919377043810194</v>
      </c>
      <c r="CT362" s="4">
        <f t="shared" si="997"/>
        <v>0</v>
      </c>
      <c r="CU362" s="4">
        <f t="shared" ref="CU362:CV362" si="1206">CM362</f>
        <v>0.94753660934956419</v>
      </c>
      <c r="CV362" s="4">
        <f t="shared" si="1206"/>
        <v>0.52039815711170379</v>
      </c>
      <c r="CW362" s="4">
        <f t="shared" ref="CW362" si="1207">CP362</f>
        <v>1.2952494313519984</v>
      </c>
      <c r="CX362" s="4">
        <f t="shared" si="1134"/>
        <v>1.0919377043810194</v>
      </c>
      <c r="CY362" s="4">
        <f t="shared" ref="CY362:CZ362" si="1208">CQ362</f>
        <v>0.7330357782373077</v>
      </c>
      <c r="CZ362" s="4">
        <f t="shared" si="1208"/>
        <v>0.73924512696546085</v>
      </c>
      <c r="DI362" s="4">
        <f t="shared" si="982"/>
        <v>157.226</v>
      </c>
      <c r="DL362" s="4">
        <f t="shared" si="1166"/>
        <v>1.1368217517436956E-5</v>
      </c>
      <c r="DM362" s="4">
        <f t="shared" si="1009"/>
        <v>6.3095646456942012</v>
      </c>
      <c r="DN362" s="4">
        <f t="shared" si="1167"/>
        <v>0.20584135614088789</v>
      </c>
      <c r="DO362" s="4">
        <f t="shared" si="1168"/>
        <v>3.3528370591019918</v>
      </c>
      <c r="DP362" s="4">
        <f t="shared" si="1169"/>
        <v>5.0542367447448244</v>
      </c>
      <c r="DQ362" s="4">
        <f t="shared" si="1170"/>
        <v>6.2205277389850355</v>
      </c>
      <c r="DR362" s="38">
        <f t="shared" si="1183"/>
        <v>245.55418076977975</v>
      </c>
      <c r="DS362" s="4">
        <f t="shared" si="1095"/>
        <v>1.0001103516405332</v>
      </c>
      <c r="DT362" s="4">
        <f t="shared" si="1171"/>
        <v>2.2583179581272428</v>
      </c>
      <c r="DU362" s="4">
        <f t="shared" si="1103"/>
        <v>128.56114357170804</v>
      </c>
      <c r="DY362" s="4">
        <f t="shared" si="1037"/>
        <v>0.85</v>
      </c>
      <c r="DZ362" s="4">
        <f t="shared" si="1096"/>
        <v>0.99250000000000005</v>
      </c>
      <c r="EA362" s="4">
        <f t="shared" si="1184"/>
        <v>1</v>
      </c>
      <c r="EB362" s="4">
        <f t="shared" si="1097"/>
        <v>0.99250000000000005</v>
      </c>
      <c r="ED362" s="4">
        <f t="shared" si="1185"/>
        <v>243.49162873603905</v>
      </c>
      <c r="EE362" s="25">
        <f t="shared" si="1186"/>
        <v>126.32301326549774</v>
      </c>
      <c r="EG362" s="4">
        <f t="shared" si="1104"/>
        <v>0.84362500000000007</v>
      </c>
      <c r="EH362" s="4">
        <f t="shared" si="1187"/>
        <v>6.3095646456942012</v>
      </c>
      <c r="EK362" s="4">
        <f t="shared" si="1172"/>
        <v>57.361276136431961</v>
      </c>
      <c r="EL362" s="4">
        <f t="shared" si="1173"/>
        <v>2.2583179581272428</v>
      </c>
      <c r="EM362" s="4">
        <f t="shared" si="1174"/>
        <v>6.5630748665148883E-2</v>
      </c>
      <c r="EP362" s="4">
        <f t="shared" si="998"/>
        <v>6.5630748665148883E-2</v>
      </c>
      <c r="EQ362" s="4">
        <f t="shared" si="960"/>
        <v>0.2054978452811024</v>
      </c>
      <c r="ER362" s="4">
        <f t="shared" si="1010"/>
        <v>3.3505978335429596</v>
      </c>
      <c r="ES362" s="4">
        <f t="shared" si="983"/>
        <v>5.0535006437785883</v>
      </c>
      <c r="ET362" s="4">
        <f t="shared" si="1011"/>
        <v>60.558223863568038</v>
      </c>
      <c r="EU362" s="4">
        <f t="shared" si="1012"/>
        <v>39.306499999999993</v>
      </c>
      <c r="EV362" s="4">
        <f t="shared" si="1098"/>
        <v>1.1368217517436953E-5</v>
      </c>
      <c r="EW362" s="4">
        <f t="shared" si="984"/>
        <v>6.2205524903909168</v>
      </c>
      <c r="EX362" s="4">
        <f t="shared" si="1131"/>
        <v>245.52708645299433</v>
      </c>
      <c r="FG362" s="23">
        <f t="shared" si="1030"/>
        <v>1</v>
      </c>
      <c r="FH362" s="23">
        <f t="shared" si="1030"/>
        <v>0.6</v>
      </c>
      <c r="FI362" s="23">
        <f t="shared" si="952"/>
        <v>1.2</v>
      </c>
      <c r="FJ362" s="23">
        <f t="shared" si="1031"/>
        <v>1.4</v>
      </c>
      <c r="FK362" s="23">
        <f t="shared" si="1031"/>
        <v>0.8</v>
      </c>
      <c r="FL362" s="23">
        <f t="shared" si="1031"/>
        <v>0.8</v>
      </c>
      <c r="FM362" s="23">
        <f t="shared" si="1195"/>
        <v>1</v>
      </c>
      <c r="FN362" s="23"/>
      <c r="FX362" s="4">
        <f t="shared" si="1099"/>
        <v>1</v>
      </c>
      <c r="FY362" s="4">
        <f t="shared" si="1139"/>
        <v>0.90416666666666656</v>
      </c>
      <c r="FZ362" s="4">
        <f t="shared" si="1100"/>
        <v>0</v>
      </c>
      <c r="GA362" s="4">
        <f t="shared" si="1101"/>
        <v>164.84456876780862</v>
      </c>
    </row>
    <row r="363" spans="1:183" ht="12" customHeight="1" x14ac:dyDescent="0.3">
      <c r="A363" s="25">
        <v>345</v>
      </c>
      <c r="B363" s="4" t="s">
        <v>605</v>
      </c>
      <c r="C363" s="4">
        <v>2016</v>
      </c>
      <c r="D363" s="4" t="s">
        <v>309</v>
      </c>
      <c r="E363" s="24" t="s">
        <v>672</v>
      </c>
      <c r="F363" s="7" t="s">
        <v>509</v>
      </c>
      <c r="G363" s="38">
        <f t="shared" si="1199"/>
        <v>889.65517241379314</v>
      </c>
      <c r="H363" s="38">
        <f>6*25.4</f>
        <v>152.39999999999998</v>
      </c>
      <c r="I363" s="4">
        <f t="shared" si="985"/>
        <v>152.39999999999998</v>
      </c>
      <c r="J363" s="38">
        <f t="shared" si="1200"/>
        <v>34</v>
      </c>
      <c r="K363" s="38">
        <f t="shared" si="986"/>
        <v>25.4</v>
      </c>
      <c r="L363" s="7">
        <f t="shared" si="987"/>
        <v>5.9999999999999991</v>
      </c>
      <c r="M363" s="7">
        <f t="shared" si="988"/>
        <v>5.9999999999999991</v>
      </c>
      <c r="N363" s="38">
        <f>12.5*25.4</f>
        <v>317.5</v>
      </c>
      <c r="O363" s="38">
        <f>2.55*25.4</f>
        <v>64.77</v>
      </c>
      <c r="P363" s="39">
        <f>7*25.4</f>
        <v>177.79999999999998</v>
      </c>
      <c r="Q363" s="7">
        <f t="shared" si="989"/>
        <v>55.88000000000001</v>
      </c>
      <c r="R363" s="38">
        <v>3</v>
      </c>
      <c r="S363" s="4">
        <f t="shared" si="966"/>
        <v>260.34999999999997</v>
      </c>
      <c r="T363" s="7">
        <f t="shared" si="990"/>
        <v>1.6000000000000003</v>
      </c>
      <c r="U363" s="7">
        <f t="shared" si="1127"/>
        <v>3.05</v>
      </c>
      <c r="V363" s="38">
        <v>4.0999999999999996</v>
      </c>
      <c r="W363" s="4">
        <f t="shared" si="991"/>
        <v>4.0999999999999996</v>
      </c>
      <c r="X363" s="4">
        <f t="shared" si="992"/>
        <v>5.0999999999999996</v>
      </c>
      <c r="Y363" s="7">
        <f t="shared" si="993"/>
        <v>57.361276136431961</v>
      </c>
      <c r="AB363" s="38">
        <f t="shared" si="1038"/>
        <v>280.00000000000006</v>
      </c>
      <c r="AC363" s="4">
        <v>40.6</v>
      </c>
      <c r="AD363" s="4">
        <f t="shared" si="1159"/>
        <v>1.1198131819366681</v>
      </c>
      <c r="AE363" s="38">
        <f>0.375*25.4</f>
        <v>9.5249999999999986</v>
      </c>
      <c r="AF363" s="38">
        <v>10</v>
      </c>
      <c r="AG363" s="39">
        <f t="shared" ref="AG363" si="1209">3*25.4</f>
        <v>76.199999999999989</v>
      </c>
      <c r="AH363" s="39">
        <v>3</v>
      </c>
      <c r="AI363" s="39">
        <f>AH363-1</f>
        <v>2</v>
      </c>
      <c r="AJ363" s="7"/>
      <c r="AK363" s="4">
        <f t="shared" si="994"/>
        <v>152.39999999999998</v>
      </c>
      <c r="AL363" s="4">
        <f t="shared" si="1175"/>
        <v>0.69444444444444442</v>
      </c>
      <c r="AM363" s="4">
        <f t="shared" si="1176"/>
        <v>72.166948114322295</v>
      </c>
      <c r="AN363" s="4">
        <f t="shared" si="1177"/>
        <v>0.80166666666666664</v>
      </c>
      <c r="AO363" s="4">
        <v>1.25</v>
      </c>
      <c r="AP363" s="4">
        <f t="shared" si="1112"/>
        <v>2.5</v>
      </c>
      <c r="AQ363" s="38">
        <f t="shared" si="967"/>
        <v>125.55086097724617</v>
      </c>
      <c r="AR363" s="38">
        <f t="shared" si="1178"/>
        <v>125.55086097724617</v>
      </c>
      <c r="AS363" s="38">
        <f t="shared" si="1179"/>
        <v>3.1485253868929024</v>
      </c>
      <c r="AT363" s="38">
        <f t="shared" si="1121"/>
        <v>125.55086097724615</v>
      </c>
      <c r="AU363" s="38">
        <f t="shared" si="1086"/>
        <v>1.0000000000000002</v>
      </c>
      <c r="AV363" s="38">
        <f t="shared" si="954"/>
        <v>2.3907691293286812</v>
      </c>
      <c r="AW363" s="4">
        <f t="shared" si="940"/>
        <v>0</v>
      </c>
      <c r="AX363" s="4">
        <f t="shared" si="995"/>
        <v>184.13532299511473</v>
      </c>
      <c r="AY363" s="4">
        <f t="shared" si="968"/>
        <v>1.3624999999999998</v>
      </c>
      <c r="AZ363" s="38">
        <f t="shared" si="1102"/>
        <v>300.16312258503706</v>
      </c>
      <c r="BA363" s="4">
        <f t="shared" si="969"/>
        <v>0.42600000000000005</v>
      </c>
      <c r="BB363" s="4">
        <f t="shared" si="970"/>
        <v>40.985760868867615</v>
      </c>
      <c r="BC363" s="4">
        <f t="shared" si="971"/>
        <v>341.14888345390466</v>
      </c>
      <c r="BE363" s="4">
        <f t="shared" si="1122"/>
        <v>1.5</v>
      </c>
      <c r="BF363" s="4">
        <f t="shared" si="1128"/>
        <v>419.82853642886164</v>
      </c>
      <c r="BH363" s="4">
        <f t="shared" si="1129"/>
        <v>287.89314211699849</v>
      </c>
      <c r="BI363" s="4">
        <f t="shared" si="1067"/>
        <v>0</v>
      </c>
      <c r="BJ363" s="4">
        <f t="shared" si="1130"/>
        <v>0</v>
      </c>
      <c r="BR363" s="4">
        <f t="shared" si="972"/>
        <v>27.940000000000005</v>
      </c>
      <c r="BV363" s="9"/>
      <c r="BX363" s="9"/>
      <c r="BY363" s="9"/>
      <c r="BZ363" s="9">
        <f t="shared" si="973"/>
        <v>27.940000000000005</v>
      </c>
      <c r="CA363" s="9">
        <f t="shared" si="974"/>
        <v>64.77</v>
      </c>
      <c r="CB363" s="9">
        <f t="shared" si="1087"/>
        <v>1.1897849384592458</v>
      </c>
      <c r="CC363" s="40">
        <f t="shared" si="996"/>
        <v>20</v>
      </c>
      <c r="CD363" s="9">
        <f t="shared" si="975"/>
        <v>0.05</v>
      </c>
      <c r="CE363" s="9">
        <f t="shared" si="976"/>
        <v>0.8</v>
      </c>
      <c r="CF363" s="9">
        <f t="shared" si="977"/>
        <v>0.99524931562137331</v>
      </c>
      <c r="CG363" s="9">
        <f t="shared" si="978"/>
        <v>0.68</v>
      </c>
      <c r="CH363" s="9">
        <f t="shared" si="1088"/>
        <v>1.3811737100982926</v>
      </c>
      <c r="CI363" s="9">
        <f t="shared" si="1089"/>
        <v>2.7482386457494594</v>
      </c>
      <c r="CJ363" s="40">
        <v>1</v>
      </c>
      <c r="CK363" s="9">
        <f t="shared" si="1090"/>
        <v>230.8520462429546</v>
      </c>
      <c r="CM363" s="4">
        <f t="shared" si="979"/>
        <v>1.5206207882635787</v>
      </c>
      <c r="CN363" s="4">
        <f t="shared" si="980"/>
        <v>0.82075602055380337</v>
      </c>
      <c r="CO363" s="4">
        <f t="shared" si="946"/>
        <v>0.6669389422208678</v>
      </c>
      <c r="CP363" s="4">
        <f t="shared" si="981"/>
        <v>1.2128980641796907</v>
      </c>
      <c r="CQ363" s="4">
        <f t="shared" si="1189"/>
        <v>1.1198131819366681</v>
      </c>
      <c r="CR363" s="4">
        <f t="shared" si="1190"/>
        <v>1.1248507186141501</v>
      </c>
      <c r="CS363" s="4">
        <f t="shared" si="947"/>
        <v>1.2840983524179472</v>
      </c>
      <c r="CT363" s="4">
        <f t="shared" si="997"/>
        <v>10</v>
      </c>
      <c r="DA363" s="4">
        <f t="shared" ref="DA363:DB363" si="1210">CM363</f>
        <v>1.5206207882635787</v>
      </c>
      <c r="DB363" s="4">
        <f t="shared" si="1210"/>
        <v>0.82075602055380337</v>
      </c>
      <c r="DC363" s="4">
        <f t="shared" ref="DC363" si="1211">CP363</f>
        <v>1.2128980641796907</v>
      </c>
      <c r="DD363" s="4">
        <f t="shared" ref="DD363" si="1212">CS363</f>
        <v>1.2840983524179472</v>
      </c>
      <c r="DE363" s="4">
        <f t="shared" ref="DE363:DF363" si="1213">CQ363</f>
        <v>1.1198131819366681</v>
      </c>
      <c r="DF363" s="4">
        <f t="shared" si="1213"/>
        <v>1.1248507186141501</v>
      </c>
      <c r="DI363" s="4">
        <f t="shared" si="982"/>
        <v>152.39999999999998</v>
      </c>
      <c r="DL363" s="4">
        <f t="shared" si="1166"/>
        <v>1.1019273845657792E-5</v>
      </c>
      <c r="DM363" s="4">
        <f t="shared" si="1009"/>
        <v>6.9798597404126728</v>
      </c>
      <c r="DN363" s="4">
        <f t="shared" si="1167"/>
        <v>0.20102154329233674</v>
      </c>
      <c r="DO363" s="4">
        <f t="shared" si="1168"/>
        <v>3.6740387860336368</v>
      </c>
      <c r="DP363" s="4">
        <f t="shared" si="1169"/>
        <v>5.57971310662895</v>
      </c>
      <c r="DQ363" s="4">
        <f t="shared" si="1170"/>
        <v>6.8784141138402219</v>
      </c>
      <c r="DR363" s="38">
        <f t="shared" si="1183"/>
        <v>250.04170741743926</v>
      </c>
      <c r="DS363" s="4">
        <f t="shared" si="1095"/>
        <v>1.0001166744690648</v>
      </c>
      <c r="DT363" s="4">
        <f t="shared" si="1171"/>
        <v>2.2583179581272428</v>
      </c>
      <c r="DU363" s="4">
        <f t="shared" si="1103"/>
        <v>125.55086097724615</v>
      </c>
      <c r="DY363" s="4">
        <f t="shared" si="1037"/>
        <v>0.85</v>
      </c>
      <c r="DZ363" s="4">
        <f t="shared" si="1096"/>
        <v>0.99</v>
      </c>
      <c r="EA363" s="4">
        <f t="shared" si="1184"/>
        <v>0.90625</v>
      </c>
      <c r="EB363" s="4">
        <f t="shared" si="1097"/>
        <v>0.89718750000000003</v>
      </c>
      <c r="ED363" s="4">
        <f t="shared" si="1185"/>
        <v>248.92191947476238</v>
      </c>
      <c r="EE363" s="25">
        <f t="shared" si="1186"/>
        <v>123.28444414733428</v>
      </c>
      <c r="EG363" s="4">
        <f t="shared" si="1104"/>
        <v>0.76260937500000003</v>
      </c>
      <c r="EH363" s="4">
        <f t="shared" si="1187"/>
        <v>6.9798597404126728</v>
      </c>
      <c r="EK363" s="4">
        <f t="shared" si="1172"/>
        <v>57.361276136431961</v>
      </c>
      <c r="EL363" s="4">
        <f t="shared" si="1173"/>
        <v>2.2583179581272428</v>
      </c>
      <c r="EM363" s="4">
        <f t="shared" si="1174"/>
        <v>6.4093992730351185E-2</v>
      </c>
      <c r="EP363" s="4">
        <f t="shared" si="998"/>
        <v>6.4093992730351185E-2</v>
      </c>
      <c r="EQ363" s="4">
        <f t="shared" si="960"/>
        <v>0.20068607580190448</v>
      </c>
      <c r="ER363" s="4">
        <f t="shared" si="1010"/>
        <v>3.6715850427083443</v>
      </c>
      <c r="ES363" s="4">
        <f t="shared" si="983"/>
        <v>5.578912791171704</v>
      </c>
      <c r="ET363" s="4">
        <f t="shared" si="1011"/>
        <v>56.938723863568022</v>
      </c>
      <c r="EU363" s="4">
        <f t="shared" si="1012"/>
        <v>38.099999999999987</v>
      </c>
      <c r="EV363" s="4">
        <f t="shared" si="1098"/>
        <v>1.1019273845657788E-5</v>
      </c>
      <c r="EW363" s="4">
        <f t="shared" si="984"/>
        <v>6.878442690767649</v>
      </c>
      <c r="EX363" s="4">
        <f t="shared" si="1131"/>
        <v>250.01253733738588</v>
      </c>
      <c r="FG363" s="23">
        <f t="shared" si="1030"/>
        <v>1.6</v>
      </c>
      <c r="FH363" s="23">
        <f t="shared" si="1030"/>
        <v>1</v>
      </c>
      <c r="FI363" s="23">
        <f t="shared" si="952"/>
        <v>1.4</v>
      </c>
      <c r="FJ363" s="23">
        <f t="shared" si="1031"/>
        <v>1.4</v>
      </c>
      <c r="FK363" s="23">
        <f t="shared" si="1031"/>
        <v>1.2</v>
      </c>
      <c r="FL363" s="23">
        <f t="shared" si="1031"/>
        <v>1.2</v>
      </c>
      <c r="FM363" s="23">
        <f t="shared" si="1195"/>
        <v>0</v>
      </c>
      <c r="FN363" s="23"/>
      <c r="FX363" s="4">
        <f t="shared" si="1099"/>
        <v>1</v>
      </c>
      <c r="FY363" s="4">
        <f t="shared" si="1139"/>
        <v>0.66255813953488385</v>
      </c>
      <c r="FZ363" s="4">
        <f t="shared" si="1100"/>
        <v>0.28124999999999994</v>
      </c>
      <c r="GA363" s="4">
        <f t="shared" si="1101"/>
        <v>218.05183339170418</v>
      </c>
    </row>
    <row r="364" spans="1:183" ht="12" customHeight="1" x14ac:dyDescent="0.3">
      <c r="A364" s="25">
        <v>346</v>
      </c>
      <c r="B364" s="4" t="s">
        <v>605</v>
      </c>
      <c r="C364" s="4">
        <v>2016</v>
      </c>
      <c r="D364" s="4" t="s">
        <v>309</v>
      </c>
      <c r="E364" s="24" t="s">
        <v>672</v>
      </c>
      <c r="F364" s="7" t="s">
        <v>510</v>
      </c>
      <c r="G364" s="38">
        <f t="shared" si="1199"/>
        <v>889.65517241379314</v>
      </c>
      <c r="H364" s="38">
        <f>6.33*25.4</f>
        <v>160.78199999999998</v>
      </c>
      <c r="I364" s="4">
        <f t="shared" si="985"/>
        <v>160.78199999999998</v>
      </c>
      <c r="J364" s="38">
        <f t="shared" si="1200"/>
        <v>34</v>
      </c>
      <c r="K364" s="38">
        <f t="shared" si="986"/>
        <v>25.4</v>
      </c>
      <c r="L364" s="7">
        <f t="shared" si="987"/>
        <v>6.33</v>
      </c>
      <c r="M364" s="7">
        <f t="shared" si="988"/>
        <v>6.33</v>
      </c>
      <c r="N364" s="38">
        <f>16.9*25.4</f>
        <v>429.25999999999993</v>
      </c>
      <c r="O364" s="38">
        <f>2.8*25.4</f>
        <v>71.11999999999999</v>
      </c>
      <c r="P364" s="39">
        <f>6.8*25.4</f>
        <v>172.72</v>
      </c>
      <c r="Q364" s="7">
        <f t="shared" si="989"/>
        <v>105.40999999999998</v>
      </c>
      <c r="R364" s="38">
        <v>3</v>
      </c>
      <c r="S364" s="4">
        <f t="shared" si="966"/>
        <v>260.34999999999997</v>
      </c>
      <c r="T364" s="7">
        <f t="shared" si="990"/>
        <v>2.5749999999999997</v>
      </c>
      <c r="U364" s="7">
        <f t="shared" si="1127"/>
        <v>3.3</v>
      </c>
      <c r="V364" s="38">
        <v>4.0999999999999996</v>
      </c>
      <c r="W364" s="4">
        <f t="shared" si="991"/>
        <v>4.0999999999999996</v>
      </c>
      <c r="X364" s="4">
        <f t="shared" si="992"/>
        <v>5.0999999999999996</v>
      </c>
      <c r="Y364" s="7">
        <f t="shared" si="993"/>
        <v>57.361276136431961</v>
      </c>
      <c r="AB364" s="38">
        <f t="shared" si="1038"/>
        <v>208.96551724137933</v>
      </c>
      <c r="AC364" s="4">
        <v>30.3</v>
      </c>
      <c r="AD364" s="4">
        <f t="shared" si="1159"/>
        <v>0.66486057633594775</v>
      </c>
      <c r="AE364" s="38"/>
      <c r="AF364" s="38"/>
      <c r="AG364" s="39">
        <v>1</v>
      </c>
      <c r="AH364" s="39"/>
      <c r="AI364" s="39"/>
      <c r="AJ364" s="7"/>
      <c r="AK364" s="4">
        <f t="shared" si="994"/>
        <v>160.78199999999998</v>
      </c>
      <c r="AL364" s="4">
        <f t="shared" si="1175"/>
        <v>0.88994207477619791</v>
      </c>
      <c r="AM364" s="4">
        <f t="shared" si="1176"/>
        <v>78.20185035706578</v>
      </c>
      <c r="AN364" s="4">
        <f t="shared" si="1177"/>
        <v>0.80426540284360182</v>
      </c>
      <c r="AO364" s="4">
        <v>1.25</v>
      </c>
      <c r="AP364" s="4">
        <f t="shared" si="1112"/>
        <v>2.5</v>
      </c>
      <c r="AQ364" s="38">
        <f t="shared" si="967"/>
        <v>174.91545242580563</v>
      </c>
      <c r="AR364" s="38">
        <f t="shared" si="1178"/>
        <v>174.91545242580563</v>
      </c>
      <c r="AS364" s="38">
        <f t="shared" si="1179"/>
        <v>3.1485253868929024</v>
      </c>
      <c r="AT364" s="38">
        <f t="shared" si="1121"/>
        <v>174.91545242580557</v>
      </c>
      <c r="AU364" s="38">
        <f t="shared" si="1086"/>
        <v>1.0000000000000002</v>
      </c>
      <c r="AV364" s="38">
        <f t="shared" si="954"/>
        <v>2.2552634919824346</v>
      </c>
      <c r="AW364" s="4">
        <f t="shared" si="940"/>
        <v>0</v>
      </c>
      <c r="AX364" s="4">
        <f t="shared" si="995"/>
        <v>194.26276575984608</v>
      </c>
      <c r="AY364" s="4">
        <f t="shared" si="968"/>
        <v>1.112621359223301</v>
      </c>
      <c r="AZ364" s="38">
        <f t="shared" si="1102"/>
        <v>394.4804340395097</v>
      </c>
      <c r="BA364" s="4">
        <f t="shared" si="969"/>
        <v>0.42600000000000005</v>
      </c>
      <c r="BB364" s="4">
        <f t="shared" si="970"/>
        <v>43.239977716655339</v>
      </c>
      <c r="BC364" s="4">
        <f t="shared" si="971"/>
        <v>437.72041175616505</v>
      </c>
      <c r="BE364" s="4">
        <f t="shared" si="1122"/>
        <v>1.45</v>
      </c>
      <c r="BF364" s="4">
        <f t="shared" si="1128"/>
        <v>414.20458332628334</v>
      </c>
      <c r="BH364" s="4">
        <f t="shared" si="1129"/>
        <v>378.35497805743148</v>
      </c>
      <c r="BI364" s="4">
        <f t="shared" si="1067"/>
        <v>0</v>
      </c>
      <c r="BJ364" s="4">
        <f t="shared" si="1130"/>
        <v>0</v>
      </c>
      <c r="BR364" s="4">
        <f t="shared" si="972"/>
        <v>52.704999999999991</v>
      </c>
      <c r="BV364" s="9"/>
      <c r="BX364" s="9"/>
      <c r="BY364" s="9"/>
      <c r="BZ364" s="9">
        <f t="shared" si="973"/>
        <v>52.704999999999991</v>
      </c>
      <c r="CA364" s="9">
        <f t="shared" si="974"/>
        <v>71.11999999999999</v>
      </c>
      <c r="CB364" s="9">
        <f t="shared" si="1087"/>
        <v>1.5067112815202597</v>
      </c>
      <c r="CC364" s="40">
        <f t="shared" si="996"/>
        <v>0</v>
      </c>
      <c r="CD364" s="9">
        <f t="shared" si="975"/>
        <v>0</v>
      </c>
      <c r="CE364" s="9">
        <f t="shared" si="976"/>
        <v>0</v>
      </c>
      <c r="CF364" s="9">
        <f t="shared" si="977"/>
        <v>0.99524931562137331</v>
      </c>
      <c r="CG364" s="9">
        <f t="shared" si="978"/>
        <v>0.68</v>
      </c>
      <c r="CH364" s="9">
        <f t="shared" si="1088"/>
        <v>1.3811737100982926</v>
      </c>
      <c r="CI364" s="9">
        <f t="shared" si="1089"/>
        <v>2.0810300107442901</v>
      </c>
      <c r="CJ364" s="40">
        <v>1</v>
      </c>
      <c r="CK364" s="9">
        <f t="shared" si="1090"/>
        <v>177.55348051670285</v>
      </c>
      <c r="CM364" s="4">
        <f t="shared" si="979"/>
        <v>1.0756848664437799</v>
      </c>
      <c r="CN364" s="4">
        <f t="shared" si="980"/>
        <v>0.47739495721251607</v>
      </c>
      <c r="CO364" s="4">
        <f t="shared" si="946"/>
        <v>0.50449832197238131</v>
      </c>
      <c r="CP364" s="4">
        <f t="shared" si="981"/>
        <v>1.1769159164509957</v>
      </c>
      <c r="CQ364" s="4">
        <f t="shared" si="1189"/>
        <v>0.66486057633594775</v>
      </c>
      <c r="CR364" s="4">
        <f t="shared" si="1190"/>
        <v>0.68467739710453912</v>
      </c>
      <c r="CS364" s="4">
        <f t="shared" si="947"/>
        <v>1.0111147713391568</v>
      </c>
      <c r="CT364" s="4">
        <f t="shared" si="997"/>
        <v>0</v>
      </c>
      <c r="CU364" s="4">
        <f t="shared" ref="CU364:CV364" si="1214">CM364</f>
        <v>1.0756848664437799</v>
      </c>
      <c r="CV364" s="4">
        <f t="shared" si="1214"/>
        <v>0.47739495721251607</v>
      </c>
      <c r="CW364" s="4">
        <f t="shared" ref="CW364" si="1215">CP364</f>
        <v>1.1769159164509957</v>
      </c>
      <c r="CX364" s="4">
        <f t="shared" si="1134"/>
        <v>1.0111147713391568</v>
      </c>
      <c r="CY364" s="4">
        <f t="shared" ref="CY364:CZ364" si="1216">CQ364</f>
        <v>0.66486057633594775</v>
      </c>
      <c r="CZ364" s="4">
        <f t="shared" si="1216"/>
        <v>0.68467739710453912</v>
      </c>
      <c r="DI364" s="4">
        <f t="shared" si="982"/>
        <v>160.78199999999998</v>
      </c>
      <c r="DL364" s="4">
        <f t="shared" si="1166"/>
        <v>1.162533390716897E-5</v>
      </c>
      <c r="DM364" s="4">
        <f t="shared" si="1009"/>
        <v>7.0165186676207227</v>
      </c>
      <c r="DN364" s="4">
        <f t="shared" si="1167"/>
        <v>0.28006000053384883</v>
      </c>
      <c r="DO364" s="4">
        <f t="shared" si="1168"/>
        <v>4.2171798146618968</v>
      </c>
      <c r="DP364" s="4">
        <f t="shared" si="1169"/>
        <v>5.7896246222922088</v>
      </c>
      <c r="DQ364" s="4">
        <f t="shared" si="1170"/>
        <v>6.8947320496980744</v>
      </c>
      <c r="DR364" s="38">
        <f t="shared" si="1183"/>
        <v>314.29975648878155</v>
      </c>
      <c r="DS364" s="4">
        <f t="shared" si="1095"/>
        <v>1.0001125663995396</v>
      </c>
      <c r="DT364" s="4">
        <f t="shared" si="1171"/>
        <v>2.2583179581272428</v>
      </c>
      <c r="DU364" s="4">
        <f t="shared" si="1103"/>
        <v>174.91545242580557</v>
      </c>
      <c r="DY364" s="4">
        <f t="shared" si="1037"/>
        <v>0.85</v>
      </c>
      <c r="DZ364" s="4">
        <f t="shared" si="1096"/>
        <v>0.89250000000000007</v>
      </c>
      <c r="EA364" s="4">
        <f t="shared" si="1184"/>
        <v>1</v>
      </c>
      <c r="EB364" s="4">
        <f t="shared" si="1097"/>
        <v>0.89250000000000007</v>
      </c>
      <c r="ED364" s="4">
        <f t="shared" si="1185"/>
        <v>305.20288551233375</v>
      </c>
      <c r="EE364" s="25">
        <f t="shared" si="1186"/>
        <v>171.95919601421622</v>
      </c>
      <c r="EG364" s="4">
        <f t="shared" si="1104"/>
        <v>0.75862499999999999</v>
      </c>
      <c r="EH364" s="4">
        <f t="shared" si="1187"/>
        <v>7.0165186676207227</v>
      </c>
      <c r="EK364" s="4">
        <f t="shared" si="1172"/>
        <v>57.361276136431961</v>
      </c>
      <c r="EL364" s="4">
        <f t="shared" si="1173"/>
        <v>2.2583179581272428</v>
      </c>
      <c r="EM364" s="4">
        <f t="shared" si="1174"/>
        <v>8.929472604921021E-2</v>
      </c>
      <c r="EP364" s="4">
        <f t="shared" si="998"/>
        <v>8.929472604921021E-2</v>
      </c>
      <c r="EQ364" s="4">
        <f t="shared" si="960"/>
        <v>0.27959263258904649</v>
      </c>
      <c r="ER364" s="4">
        <f t="shared" si="1010"/>
        <v>4.2143633292015039</v>
      </c>
      <c r="ES364" s="4">
        <f t="shared" si="983"/>
        <v>5.7886035772711342</v>
      </c>
      <c r="ET364" s="4">
        <f t="shared" si="1011"/>
        <v>63.225223863568026</v>
      </c>
      <c r="EU364" s="4">
        <f t="shared" si="1012"/>
        <v>40.195499999999988</v>
      </c>
      <c r="EV364" s="4">
        <f t="shared" si="1098"/>
        <v>1.1625333907168968E-5</v>
      </c>
      <c r="EW364" s="4">
        <f t="shared" si="984"/>
        <v>6.8947688169395551</v>
      </c>
      <c r="EX364" s="4">
        <f t="shared" si="1131"/>
        <v>314.26438087892245</v>
      </c>
      <c r="FG364" s="23">
        <f t="shared" si="1030"/>
        <v>1.2</v>
      </c>
      <c r="FH364" s="23">
        <f t="shared" si="1030"/>
        <v>0.6</v>
      </c>
      <c r="FI364" s="23">
        <f t="shared" si="952"/>
        <v>1.2</v>
      </c>
      <c r="FJ364" s="23">
        <f t="shared" si="1031"/>
        <v>1.2</v>
      </c>
      <c r="FK364" s="23">
        <f t="shared" si="1031"/>
        <v>0.8</v>
      </c>
      <c r="FL364" s="23">
        <f t="shared" si="1031"/>
        <v>0.8</v>
      </c>
      <c r="FM364" s="23">
        <f t="shared" si="1195"/>
        <v>1</v>
      </c>
      <c r="FN364" s="23"/>
      <c r="FX364" s="4">
        <f t="shared" si="1099"/>
        <v>1</v>
      </c>
      <c r="FY364" s="4">
        <f t="shared" si="1139"/>
        <v>0.73750000000000004</v>
      </c>
      <c r="FZ364" s="4">
        <f t="shared" si="1100"/>
        <v>0</v>
      </c>
      <c r="GA364" s="4">
        <f t="shared" si="1101"/>
        <v>206.66844473512919</v>
      </c>
    </row>
    <row r="365" spans="1:183" ht="12" customHeight="1" x14ac:dyDescent="0.3">
      <c r="A365" s="25">
        <v>347</v>
      </c>
      <c r="B365" s="4" t="s">
        <v>605</v>
      </c>
      <c r="C365" s="4">
        <v>2016</v>
      </c>
      <c r="D365" s="4" t="s">
        <v>309</v>
      </c>
      <c r="E365" s="24" t="s">
        <v>672</v>
      </c>
      <c r="F365" s="7" t="s">
        <v>511</v>
      </c>
      <c r="G365" s="38">
        <f t="shared" si="1199"/>
        <v>889.65517241379314</v>
      </c>
      <c r="H365" s="38">
        <f>6.29*25.4</f>
        <v>159.76599999999999</v>
      </c>
      <c r="I365" s="4">
        <f t="shared" si="985"/>
        <v>159.76599999999999</v>
      </c>
      <c r="J365" s="38">
        <f t="shared" si="1200"/>
        <v>34</v>
      </c>
      <c r="K365" s="38">
        <f t="shared" si="986"/>
        <v>25.4</v>
      </c>
      <c r="L365" s="7">
        <f t="shared" si="987"/>
        <v>6.29</v>
      </c>
      <c r="M365" s="7">
        <f t="shared" si="988"/>
        <v>6.29</v>
      </c>
      <c r="N365" s="38">
        <f>16.8*25.4</f>
        <v>426.71999999999997</v>
      </c>
      <c r="O365" s="38">
        <f>2.8*25.4</f>
        <v>71.11999999999999</v>
      </c>
      <c r="P365" s="39">
        <f>7*25.4</f>
        <v>177.79999999999998</v>
      </c>
      <c r="Q365" s="7">
        <f t="shared" si="989"/>
        <v>104.14</v>
      </c>
      <c r="R365" s="38">
        <v>3</v>
      </c>
      <c r="S365" s="4">
        <f t="shared" si="966"/>
        <v>260.34999999999997</v>
      </c>
      <c r="T365" s="7">
        <f t="shared" si="990"/>
        <v>2.5500000000000003</v>
      </c>
      <c r="U365" s="7">
        <f t="shared" si="1127"/>
        <v>3.3</v>
      </c>
      <c r="V365" s="38">
        <v>4.0999999999999996</v>
      </c>
      <c r="W365" s="4">
        <f t="shared" si="991"/>
        <v>4.0999999999999996</v>
      </c>
      <c r="X365" s="4">
        <f t="shared" si="992"/>
        <v>5.0999999999999996</v>
      </c>
      <c r="Y365" s="7">
        <f t="shared" si="993"/>
        <v>57.361276136431961</v>
      </c>
      <c r="AB365" s="38">
        <f t="shared" si="1038"/>
        <v>327.58620689655174</v>
      </c>
      <c r="AC365" s="4">
        <v>47.5</v>
      </c>
      <c r="AD365" s="4">
        <f t="shared" si="1159"/>
        <v>1.0063627542062954</v>
      </c>
      <c r="AE365" s="38">
        <f>0.375*25.4</f>
        <v>9.5249999999999986</v>
      </c>
      <c r="AF365" s="38">
        <v>10</v>
      </c>
      <c r="AG365" s="39">
        <f t="shared" ref="AG365:AG373" si="1217">3*25.4</f>
        <v>76.199999999999989</v>
      </c>
      <c r="AH365" s="39">
        <v>3</v>
      </c>
      <c r="AI365" s="39">
        <f>AH365-1</f>
        <v>2</v>
      </c>
      <c r="AJ365" s="7"/>
      <c r="AK365" s="4">
        <f t="shared" si="994"/>
        <v>159.76599999999999</v>
      </c>
      <c r="AL365" s="4">
        <f t="shared" si="1175"/>
        <v>0.890302066772655</v>
      </c>
      <c r="AM365" s="4">
        <f t="shared" si="1176"/>
        <v>77.461772837561156</v>
      </c>
      <c r="AN365" s="4">
        <f t="shared" si="1177"/>
        <v>0.8049284578696343</v>
      </c>
      <c r="AO365" s="4">
        <v>1.25</v>
      </c>
      <c r="AP365" s="4">
        <f t="shared" si="1112"/>
        <v>2.5</v>
      </c>
      <c r="AQ365" s="38">
        <f t="shared" si="967"/>
        <v>173.4730912074333</v>
      </c>
      <c r="AR365" s="38">
        <f t="shared" si="1178"/>
        <v>173.4730912074333</v>
      </c>
      <c r="AS365" s="38">
        <f t="shared" si="1179"/>
        <v>3.1485253868929024</v>
      </c>
      <c r="AT365" s="38">
        <f t="shared" si="1121"/>
        <v>173.47309120743344</v>
      </c>
      <c r="AU365" s="38">
        <f t="shared" si="1086"/>
        <v>0.99999999999999922</v>
      </c>
      <c r="AV365" s="38">
        <f t="shared" si="954"/>
        <v>2.262109291542389</v>
      </c>
      <c r="AW365" s="4">
        <f t="shared" si="940"/>
        <v>0</v>
      </c>
      <c r="AX365" s="4">
        <f t="shared" si="995"/>
        <v>193.03519693987863</v>
      </c>
      <c r="AY365" s="4">
        <f t="shared" si="968"/>
        <v>1.1176470588235294</v>
      </c>
      <c r="AZ365" s="38">
        <f t="shared" si="1102"/>
        <v>392.41509145291548</v>
      </c>
      <c r="BA365" s="4">
        <f t="shared" si="969"/>
        <v>0.42600000000000005</v>
      </c>
      <c r="BB365" s="4">
        <f t="shared" si="970"/>
        <v>42.966739310862884</v>
      </c>
      <c r="BC365" s="4">
        <f t="shared" si="971"/>
        <v>435.38183076377834</v>
      </c>
      <c r="BE365" s="4">
        <f t="shared" si="1122"/>
        <v>1.5</v>
      </c>
      <c r="BF365" s="4">
        <f t="shared" si="1128"/>
        <v>427.43792865163482</v>
      </c>
      <c r="BH365" s="4">
        <f t="shared" si="1129"/>
        <v>376.37406194194762</v>
      </c>
      <c r="BI365" s="4">
        <f t="shared" si="1067"/>
        <v>0</v>
      </c>
      <c r="BJ365" s="4">
        <f t="shared" si="1130"/>
        <v>0</v>
      </c>
      <c r="BR365" s="4">
        <f t="shared" si="972"/>
        <v>52.07</v>
      </c>
      <c r="BV365" s="9"/>
      <c r="BX365" s="9"/>
      <c r="BY365" s="9"/>
      <c r="BZ365" s="9">
        <f t="shared" si="973"/>
        <v>52.07</v>
      </c>
      <c r="CA365" s="9">
        <f t="shared" si="974"/>
        <v>71.11999999999999</v>
      </c>
      <c r="CB365" s="9">
        <f t="shared" si="1087"/>
        <v>1.5003326349839896</v>
      </c>
      <c r="CC365" s="40">
        <f t="shared" si="996"/>
        <v>20</v>
      </c>
      <c r="CD365" s="9">
        <f t="shared" si="975"/>
        <v>0.05</v>
      </c>
      <c r="CE365" s="9">
        <f t="shared" si="976"/>
        <v>0.8</v>
      </c>
      <c r="CF365" s="9">
        <f t="shared" si="977"/>
        <v>0.99524931562137331</v>
      </c>
      <c r="CG365" s="9">
        <f t="shared" si="978"/>
        <v>0.68</v>
      </c>
      <c r="CH365" s="9">
        <f t="shared" si="1088"/>
        <v>1.3811737100982926</v>
      </c>
      <c r="CI365" s="9">
        <f t="shared" si="1089"/>
        <v>3.1771589599210186</v>
      </c>
      <c r="CJ365" s="40">
        <v>1</v>
      </c>
      <c r="CK365" s="9">
        <f t="shared" si="1090"/>
        <v>270.56685702687395</v>
      </c>
      <c r="CM365" s="4">
        <f t="shared" si="979"/>
        <v>1.6970283766363055</v>
      </c>
      <c r="CN365" s="4">
        <f t="shared" si="980"/>
        <v>0.75241129452250288</v>
      </c>
      <c r="CO365" s="4">
        <f t="shared" si="946"/>
        <v>0.76639480246858727</v>
      </c>
      <c r="CP365" s="4">
        <f t="shared" si="981"/>
        <v>1.2107403341866605</v>
      </c>
      <c r="CQ365" s="4">
        <f t="shared" si="1189"/>
        <v>1.0063627542062954</v>
      </c>
      <c r="CR365" s="4">
        <f t="shared" si="1190"/>
        <v>1.0359680488784047</v>
      </c>
      <c r="CS365" s="4">
        <f t="shared" si="947"/>
        <v>1.2490921086446241</v>
      </c>
      <c r="CT365" s="4">
        <f t="shared" si="997"/>
        <v>10</v>
      </c>
      <c r="DA365" s="4">
        <f t="shared" ref="DA365:DB365" si="1218">CM365</f>
        <v>1.6970283766363055</v>
      </c>
      <c r="DB365" s="4">
        <f t="shared" si="1218"/>
        <v>0.75241129452250288</v>
      </c>
      <c r="DC365" s="4">
        <f t="shared" ref="DC365" si="1219">CP365</f>
        <v>1.2107403341866605</v>
      </c>
      <c r="DD365" s="4">
        <f t="shared" ref="DD365" si="1220">CS365</f>
        <v>1.2490921086446241</v>
      </c>
      <c r="DE365" s="4">
        <f t="shared" ref="DE365:DF365" si="1221">CQ365</f>
        <v>1.0063627542062954</v>
      </c>
      <c r="DF365" s="4">
        <f t="shared" si="1221"/>
        <v>1.0359680488784047</v>
      </c>
      <c r="DI365" s="4">
        <f t="shared" si="982"/>
        <v>159.76599999999999</v>
      </c>
      <c r="DL365" s="4">
        <f t="shared" si="1166"/>
        <v>1.1551872081531252E-5</v>
      </c>
      <c r="DM365" s="4">
        <f t="shared" si="1009"/>
        <v>7.7207387072721181</v>
      </c>
      <c r="DN365" s="4">
        <f t="shared" si="1167"/>
        <v>0.27775061232380122</v>
      </c>
      <c r="DO365" s="4">
        <f t="shared" si="1168"/>
        <v>4.6250972074841998</v>
      </c>
      <c r="DP365" s="4">
        <f t="shared" si="1169"/>
        <v>6.3651491691455737</v>
      </c>
      <c r="DQ365" s="4">
        <f t="shared" si="1170"/>
        <v>7.5755073264251864</v>
      </c>
      <c r="DR365" s="38">
        <f t="shared" si="1183"/>
        <v>325.5150347400471</v>
      </c>
      <c r="DS365" s="4">
        <f t="shared" si="1095"/>
        <v>1.0001186394270434</v>
      </c>
      <c r="DT365" s="4">
        <f t="shared" si="1171"/>
        <v>2.2583179581272428</v>
      </c>
      <c r="DU365" s="4">
        <f t="shared" si="1103"/>
        <v>173.47309120743344</v>
      </c>
      <c r="DY365" s="4">
        <f t="shared" si="1037"/>
        <v>0.85</v>
      </c>
      <c r="DZ365" s="4">
        <f t="shared" si="1096"/>
        <v>0.89500000000000002</v>
      </c>
      <c r="EA365" s="4">
        <f t="shared" si="1184"/>
        <v>0.90625</v>
      </c>
      <c r="EB365" s="4">
        <f t="shared" si="1097"/>
        <v>0.81109375000000006</v>
      </c>
      <c r="ED365" s="4">
        <f t="shared" si="1185"/>
        <v>316.21265467715375</v>
      </c>
      <c r="EE365" s="25">
        <f t="shared" si="1186"/>
        <v>170.52231527092891</v>
      </c>
      <c r="EG365" s="4">
        <f t="shared" si="1104"/>
        <v>0.6894296875</v>
      </c>
      <c r="EH365" s="4">
        <f t="shared" si="1187"/>
        <v>7.7207387072721181</v>
      </c>
      <c r="EK365" s="4">
        <f t="shared" si="1172"/>
        <v>57.361276136431961</v>
      </c>
      <c r="EL365" s="4">
        <f t="shared" si="1173"/>
        <v>2.2583179581272428</v>
      </c>
      <c r="EM365" s="4">
        <f t="shared" si="1174"/>
        <v>8.8558397451179827E-2</v>
      </c>
      <c r="EP365" s="4">
        <f t="shared" si="998"/>
        <v>8.8558397451179827E-2</v>
      </c>
      <c r="EQ365" s="4">
        <f t="shared" si="960"/>
        <v>0.27728709831750997</v>
      </c>
      <c r="ER365" s="4">
        <f t="shared" si="1010"/>
        <v>4.622008290338079</v>
      </c>
      <c r="ES365" s="4">
        <f t="shared" si="983"/>
        <v>6.3640321914181257</v>
      </c>
      <c r="ET365" s="4">
        <f t="shared" si="1011"/>
        <v>62.463223863568039</v>
      </c>
      <c r="EU365" s="4">
        <f t="shared" si="1012"/>
        <v>39.941499999999984</v>
      </c>
      <c r="EV365" s="4">
        <f t="shared" si="1098"/>
        <v>1.1551872081531248E-5</v>
      </c>
      <c r="EW365" s="4">
        <f t="shared" si="984"/>
        <v>7.5755512212566867</v>
      </c>
      <c r="EX365" s="4">
        <f t="shared" si="1131"/>
        <v>325.47642040401422</v>
      </c>
      <c r="FG365" s="23">
        <f t="shared" si="1030"/>
        <v>1.8</v>
      </c>
      <c r="FH365" s="23">
        <f t="shared" si="1030"/>
        <v>0.8</v>
      </c>
      <c r="FI365" s="23">
        <f t="shared" si="952"/>
        <v>1.4</v>
      </c>
      <c r="FJ365" s="23">
        <f t="shared" si="1031"/>
        <v>1.4</v>
      </c>
      <c r="FK365" s="23">
        <f t="shared" si="1031"/>
        <v>1.2</v>
      </c>
      <c r="FL365" s="23">
        <f t="shared" si="1031"/>
        <v>1.2</v>
      </c>
      <c r="FM365" s="23">
        <f t="shared" si="1195"/>
        <v>0</v>
      </c>
      <c r="FN365" s="23"/>
      <c r="FX365" s="4">
        <f t="shared" si="1099"/>
        <v>1</v>
      </c>
      <c r="FY365" s="4">
        <f t="shared" si="1139"/>
        <v>0.57750000000000001</v>
      </c>
      <c r="FZ365" s="4">
        <f t="shared" si="1100"/>
        <v>0.28124999999999994</v>
      </c>
      <c r="GA365" s="4">
        <f t="shared" si="1101"/>
        <v>262.25944798579496</v>
      </c>
    </row>
    <row r="366" spans="1:183" ht="12" customHeight="1" x14ac:dyDescent="0.3">
      <c r="A366" s="25">
        <v>348</v>
      </c>
      <c r="B366" s="4" t="s">
        <v>605</v>
      </c>
      <c r="C366" s="4">
        <v>2016</v>
      </c>
      <c r="D366" s="4" t="s">
        <v>309</v>
      </c>
      <c r="E366" s="24" t="s">
        <v>672</v>
      </c>
      <c r="F366" s="7" t="s">
        <v>512</v>
      </c>
      <c r="G366" s="38">
        <f t="shared" si="1199"/>
        <v>889.65517241379314</v>
      </c>
      <c r="H366" s="38">
        <f>6.25*25.4</f>
        <v>158.75</v>
      </c>
      <c r="I366" s="4">
        <f t="shared" si="985"/>
        <v>158.75</v>
      </c>
      <c r="J366" s="38">
        <f>4940/145</f>
        <v>34.068965517241381</v>
      </c>
      <c r="K366" s="38">
        <f t="shared" si="986"/>
        <v>25.4</v>
      </c>
      <c r="L366" s="7">
        <f t="shared" si="987"/>
        <v>6.25</v>
      </c>
      <c r="M366" s="7">
        <f t="shared" si="988"/>
        <v>6.25</v>
      </c>
      <c r="N366" s="38">
        <f>20.5*25.4</f>
        <v>520.69999999999993</v>
      </c>
      <c r="O366" s="38">
        <f>2.7*25.4</f>
        <v>68.58</v>
      </c>
      <c r="P366" s="39">
        <f>7*25.4</f>
        <v>177.79999999999998</v>
      </c>
      <c r="Q366" s="7">
        <f t="shared" si="989"/>
        <v>153.66999999999996</v>
      </c>
      <c r="R366" s="38">
        <v>3</v>
      </c>
      <c r="S366" s="4">
        <f t="shared" si="966"/>
        <v>260.34999999999997</v>
      </c>
      <c r="T366" s="7">
        <f t="shared" si="990"/>
        <v>3.2</v>
      </c>
      <c r="U366" s="7">
        <f t="shared" si="1127"/>
        <v>3.2</v>
      </c>
      <c r="V366" s="38">
        <v>4.0999999999999996</v>
      </c>
      <c r="W366" s="4">
        <f t="shared" si="991"/>
        <v>4.0999999999999996</v>
      </c>
      <c r="X366" s="4">
        <f t="shared" si="992"/>
        <v>5.0999999999999996</v>
      </c>
      <c r="Y366" s="7">
        <f t="shared" si="993"/>
        <v>57.361276136431961</v>
      </c>
      <c r="AB366" s="38">
        <f t="shared" si="1038"/>
        <v>236.55172413793102</v>
      </c>
      <c r="AC366" s="4">
        <v>34.299999999999997</v>
      </c>
      <c r="AD366" s="4">
        <f t="shared" si="1159"/>
        <v>0.65201390875330911</v>
      </c>
      <c r="AE366" s="38"/>
      <c r="AF366" s="38"/>
      <c r="AG366" s="39">
        <v>1</v>
      </c>
      <c r="AH366" s="39"/>
      <c r="AI366" s="39"/>
      <c r="AJ366" s="7"/>
      <c r="AK366" s="4">
        <f t="shared" si="994"/>
        <v>158.75</v>
      </c>
      <c r="AL366" s="4">
        <f t="shared" si="1175"/>
        <v>1.0933333333333333</v>
      </c>
      <c r="AM366" s="4">
        <f t="shared" si="1176"/>
        <v>76.801818794045587</v>
      </c>
      <c r="AN366" s="4">
        <f t="shared" si="1177"/>
        <v>0.8024</v>
      </c>
      <c r="AO366" s="4">
        <v>1.25</v>
      </c>
      <c r="AP366" s="4">
        <f t="shared" si="1112"/>
        <v>2.5</v>
      </c>
      <c r="AQ366" s="38">
        <f t="shared" si="967"/>
        <v>210.55474628450247</v>
      </c>
      <c r="AR366" s="38">
        <f t="shared" si="1178"/>
        <v>210.55474628450247</v>
      </c>
      <c r="AS366" s="38">
        <f t="shared" si="1179"/>
        <v>3.152781589644936</v>
      </c>
      <c r="AT366" s="38">
        <f t="shared" si="1121"/>
        <v>210.55474628450261</v>
      </c>
      <c r="AU366" s="38">
        <f t="shared" si="1086"/>
        <v>0.99999999999999933</v>
      </c>
      <c r="AV366" s="38">
        <f t="shared" si="954"/>
        <v>2.096842513650361</v>
      </c>
      <c r="AW366" s="4">
        <f t="shared" si="940"/>
        <v>0</v>
      </c>
      <c r="AX366" s="4">
        <f t="shared" si="995"/>
        <v>192.00206063625004</v>
      </c>
      <c r="AY366" s="4">
        <f t="shared" si="968"/>
        <v>1</v>
      </c>
      <c r="AZ366" s="38">
        <f t="shared" si="1102"/>
        <v>441.50014346021044</v>
      </c>
      <c r="BA366" s="4">
        <f t="shared" si="969"/>
        <v>0.42600000000000005</v>
      </c>
      <c r="BB366" s="4">
        <f t="shared" si="970"/>
        <v>42.736778666719729</v>
      </c>
      <c r="BC366" s="4">
        <f t="shared" si="971"/>
        <v>484.23692212693015</v>
      </c>
      <c r="BE366" s="4">
        <f t="shared" si="1122"/>
        <v>1.425</v>
      </c>
      <c r="BF366" s="4">
        <f t="shared" si="1128"/>
        <v>405.47955175466467</v>
      </c>
      <c r="BH366" s="4">
        <f t="shared" si="1129"/>
        <v>423.45262952765438</v>
      </c>
      <c r="BI366" s="4">
        <f t="shared" si="1067"/>
        <v>0</v>
      </c>
      <c r="BJ366" s="4">
        <f t="shared" si="1130"/>
        <v>0</v>
      </c>
      <c r="BR366" s="4">
        <f t="shared" si="972"/>
        <v>68.58</v>
      </c>
      <c r="BV366" s="9"/>
      <c r="BX366" s="9"/>
      <c r="BY366" s="9"/>
      <c r="BZ366" s="9">
        <f t="shared" si="973"/>
        <v>68.58</v>
      </c>
      <c r="CA366" s="9">
        <f t="shared" si="974"/>
        <v>76.83499999999998</v>
      </c>
      <c r="CB366" s="9">
        <f t="shared" si="1087"/>
        <v>1.671422038708936</v>
      </c>
      <c r="CC366" s="40">
        <f t="shared" si="996"/>
        <v>0</v>
      </c>
      <c r="CD366" s="9">
        <f t="shared" si="975"/>
        <v>0</v>
      </c>
      <c r="CE366" s="9">
        <f t="shared" si="976"/>
        <v>0</v>
      </c>
      <c r="CF366" s="9">
        <f t="shared" si="977"/>
        <v>0.99524931562137331</v>
      </c>
      <c r="CG366" s="9">
        <f t="shared" si="978"/>
        <v>0.68</v>
      </c>
      <c r="CH366" s="9">
        <f t="shared" si="1088"/>
        <v>1.3825737851765767</v>
      </c>
      <c r="CI366" s="9">
        <f t="shared" si="1089"/>
        <v>2.3108642946853646</v>
      </c>
      <c r="CJ366" s="40">
        <v>1</v>
      </c>
      <c r="CK366" s="9">
        <f t="shared" si="1090"/>
        <v>196.42346504825599</v>
      </c>
      <c r="CM366" s="4">
        <f t="shared" si="979"/>
        <v>1.2320270071792656</v>
      </c>
      <c r="CN366" s="4">
        <f t="shared" si="980"/>
        <v>0.48850410476532213</v>
      </c>
      <c r="CO366" s="4">
        <f t="shared" si="946"/>
        <v>0.5833875545987004</v>
      </c>
      <c r="CP366" s="4">
        <f t="shared" si="981"/>
        <v>1.2042946298692805</v>
      </c>
      <c r="CQ366" s="4">
        <f t="shared" si="1189"/>
        <v>0.65201390875330911</v>
      </c>
      <c r="CR366" s="4">
        <f t="shared" si="1190"/>
        <v>0.67868729013532503</v>
      </c>
      <c r="CS366" s="4">
        <f t="shared" si="947"/>
        <v>0.90990733440606342</v>
      </c>
      <c r="CT366" s="4">
        <f t="shared" si="997"/>
        <v>0</v>
      </c>
      <c r="CU366" s="4">
        <f t="shared" ref="CU366:CV366" si="1222">CM366</f>
        <v>1.2320270071792656</v>
      </c>
      <c r="CV366" s="4">
        <f t="shared" si="1222"/>
        <v>0.48850410476532213</v>
      </c>
      <c r="CW366" s="4">
        <f t="shared" ref="CW366" si="1223">CP366</f>
        <v>1.2042946298692805</v>
      </c>
      <c r="CX366" s="4">
        <f t="shared" si="1134"/>
        <v>0.90990733440606342</v>
      </c>
      <c r="CY366" s="4">
        <f t="shared" ref="CY366:CZ366" si="1224">CQ366</f>
        <v>0.65201390875330911</v>
      </c>
      <c r="CZ366" s="4">
        <f t="shared" si="1224"/>
        <v>0.67868729013532503</v>
      </c>
      <c r="DI366" s="4">
        <f t="shared" si="982"/>
        <v>158.75</v>
      </c>
      <c r="DL366" s="4">
        <f t="shared" si="1166"/>
        <v>1.1483872651980423E-5</v>
      </c>
      <c r="DM366" s="4">
        <f t="shared" si="1009"/>
        <v>7.5525190994983378</v>
      </c>
      <c r="DN366" s="4">
        <f t="shared" si="1167"/>
        <v>0.33644022409599456</v>
      </c>
      <c r="DO366" s="4">
        <f t="shared" si="1168"/>
        <v>4.8848923521754735</v>
      </c>
      <c r="DP366" s="4">
        <f t="shared" si="1169"/>
        <v>6.3607627445011392</v>
      </c>
      <c r="DQ366" s="4">
        <f t="shared" si="1170"/>
        <v>7.4103270565220862</v>
      </c>
      <c r="DR366" s="38">
        <f t="shared" si="1183"/>
        <v>362.80165340373264</v>
      </c>
      <c r="DS366" s="4">
        <f t="shared" si="1095"/>
        <v>1.0001139100355729</v>
      </c>
      <c r="DT366" s="4">
        <f t="shared" si="1171"/>
        <v>2.2583179581272428</v>
      </c>
      <c r="DU366" s="4">
        <f t="shared" si="1103"/>
        <v>210.55474628450261</v>
      </c>
      <c r="DY366" s="4">
        <f t="shared" si="1037"/>
        <v>0.85</v>
      </c>
      <c r="DZ366" s="4">
        <f t="shared" si="1096"/>
        <v>0.83</v>
      </c>
      <c r="EA366" s="4">
        <f t="shared" si="1184"/>
        <v>1</v>
      </c>
      <c r="EB366" s="4">
        <f t="shared" si="1097"/>
        <v>0.83</v>
      </c>
      <c r="ED366" s="4">
        <f t="shared" si="1185"/>
        <v>348.54302942783033</v>
      </c>
      <c r="EE366" s="25">
        <f t="shared" si="1186"/>
        <v>206.93329631223651</v>
      </c>
      <c r="EG366" s="4">
        <f t="shared" si="1104"/>
        <v>0.7054999999999999</v>
      </c>
      <c r="EH366" s="4">
        <f t="shared" si="1187"/>
        <v>7.5525190994983378</v>
      </c>
      <c r="EK366" s="4">
        <f t="shared" si="1172"/>
        <v>57.361276136431961</v>
      </c>
      <c r="EL366" s="4">
        <f t="shared" si="1173"/>
        <v>2.2583179581272428</v>
      </c>
      <c r="EM366" s="4">
        <f t="shared" si="1174"/>
        <v>0.10737981522682664</v>
      </c>
      <c r="EP366" s="4">
        <f t="shared" si="998"/>
        <v>0.10737981522682664</v>
      </c>
      <c r="EQ366" s="4">
        <f t="shared" si="960"/>
        <v>0.33587876806591221</v>
      </c>
      <c r="ER366" s="4">
        <f t="shared" si="1010"/>
        <v>4.8816299282594589</v>
      </c>
      <c r="ES366" s="4">
        <f t="shared" si="983"/>
        <v>6.3595136472093712</v>
      </c>
      <c r="ET366" s="4">
        <f t="shared" si="1011"/>
        <v>61.701223863568039</v>
      </c>
      <c r="EU366" s="4">
        <f t="shared" si="1012"/>
        <v>39.687499999999993</v>
      </c>
      <c r="EV366" s="4">
        <f t="shared" si="1098"/>
        <v>1.1483872651980423E-5</v>
      </c>
      <c r="EW366" s="4">
        <f t="shared" si="984"/>
        <v>7.4103727299069329</v>
      </c>
      <c r="EX366" s="4">
        <f t="shared" si="1131"/>
        <v>362.76033136148283</v>
      </c>
      <c r="FG366" s="23">
        <f t="shared" si="1030"/>
        <v>1.4</v>
      </c>
      <c r="FH366" s="23">
        <f t="shared" si="1030"/>
        <v>0.6</v>
      </c>
      <c r="FI366" s="23">
        <f t="shared" si="952"/>
        <v>1</v>
      </c>
      <c r="FJ366" s="23">
        <f t="shared" si="1031"/>
        <v>1.4</v>
      </c>
      <c r="FK366" s="23">
        <f t="shared" si="1031"/>
        <v>0.8</v>
      </c>
      <c r="FL366" s="23">
        <f t="shared" si="1031"/>
        <v>0.8</v>
      </c>
      <c r="FM366" s="23">
        <f t="shared" si="1195"/>
        <v>1</v>
      </c>
      <c r="FN366" s="23"/>
      <c r="FX366" s="4">
        <f t="shared" si="1099"/>
        <v>1</v>
      </c>
      <c r="FY366" s="4">
        <f t="shared" si="1139"/>
        <v>0.57916666666666672</v>
      </c>
      <c r="FZ366" s="4">
        <f t="shared" si="1100"/>
        <v>0</v>
      </c>
      <c r="GA366" s="4">
        <f t="shared" si="1101"/>
        <v>259.97342277973695</v>
      </c>
    </row>
    <row r="367" spans="1:183" ht="12" customHeight="1" x14ac:dyDescent="0.3">
      <c r="A367" s="25">
        <v>349</v>
      </c>
      <c r="B367" s="4" t="s">
        <v>605</v>
      </c>
      <c r="C367" s="4">
        <v>2016</v>
      </c>
      <c r="D367" s="4" t="s">
        <v>309</v>
      </c>
      <c r="E367" s="24" t="s">
        <v>672</v>
      </c>
      <c r="F367" s="7" t="s">
        <v>513</v>
      </c>
      <c r="G367" s="38">
        <f t="shared" si="1199"/>
        <v>889.65517241379314</v>
      </c>
      <c r="H367" s="38">
        <f>6.1*25.4</f>
        <v>154.93999999999997</v>
      </c>
      <c r="I367" s="4">
        <f t="shared" si="985"/>
        <v>154.93999999999997</v>
      </c>
      <c r="J367" s="38">
        <f t="shared" ref="J367:J369" si="1225">4940/145</f>
        <v>34.068965517241381</v>
      </c>
      <c r="K367" s="38">
        <f t="shared" si="986"/>
        <v>25.4</v>
      </c>
      <c r="L367" s="7">
        <f t="shared" si="987"/>
        <v>6.0999999999999988</v>
      </c>
      <c r="M367" s="7">
        <f t="shared" si="988"/>
        <v>6.0999999999999988</v>
      </c>
      <c r="N367" s="38">
        <f>20.5*25.4</f>
        <v>520.69999999999993</v>
      </c>
      <c r="O367" s="38">
        <f>2.7*25.4</f>
        <v>68.58</v>
      </c>
      <c r="P367" s="39">
        <f>7*25.4</f>
        <v>177.79999999999998</v>
      </c>
      <c r="Q367" s="7">
        <f t="shared" si="989"/>
        <v>153.66999999999996</v>
      </c>
      <c r="R367" s="38">
        <v>3</v>
      </c>
      <c r="S367" s="4">
        <f t="shared" si="966"/>
        <v>260.34999999999997</v>
      </c>
      <c r="T367" s="7">
        <f t="shared" si="990"/>
        <v>3.2</v>
      </c>
      <c r="U367" s="7">
        <f t="shared" si="1127"/>
        <v>3.2</v>
      </c>
      <c r="V367" s="38">
        <v>4.0999999999999996</v>
      </c>
      <c r="W367" s="4">
        <f t="shared" si="991"/>
        <v>4.0999999999999996</v>
      </c>
      <c r="X367" s="4">
        <f t="shared" si="992"/>
        <v>5.0999999999999996</v>
      </c>
      <c r="Y367" s="7">
        <f t="shared" si="993"/>
        <v>57.361276136431961</v>
      </c>
      <c r="AB367" s="38">
        <f t="shared" si="1038"/>
        <v>368.96551724137936</v>
      </c>
      <c r="AC367" s="4">
        <v>53.5</v>
      </c>
      <c r="AD367" s="4">
        <f t="shared" si="1159"/>
        <v>0.96063482258325084</v>
      </c>
      <c r="AE367" s="38">
        <f>0.5*25.4</f>
        <v>12.7</v>
      </c>
      <c r="AF367" s="38">
        <v>10</v>
      </c>
      <c r="AG367" s="39">
        <f t="shared" si="1217"/>
        <v>76.199999999999989</v>
      </c>
      <c r="AH367" s="39">
        <v>3</v>
      </c>
      <c r="AI367" s="39">
        <f>AH367-1</f>
        <v>2</v>
      </c>
      <c r="AJ367" s="7"/>
      <c r="AK367" s="4">
        <f t="shared" si="994"/>
        <v>154.93999999999997</v>
      </c>
      <c r="AL367" s="4">
        <f t="shared" si="1175"/>
        <v>1.1202185792349728</v>
      </c>
      <c r="AM367" s="4">
        <f t="shared" si="1176"/>
        <v>74.053609471570255</v>
      </c>
      <c r="AN367" s="4">
        <f t="shared" si="1177"/>
        <v>0.80491803278688523</v>
      </c>
      <c r="AO367" s="4">
        <v>1.25</v>
      </c>
      <c r="AP367" s="4">
        <f t="shared" si="1112"/>
        <v>2.5</v>
      </c>
      <c r="AQ367" s="38">
        <f t="shared" si="967"/>
        <v>208.66551502062913</v>
      </c>
      <c r="AR367" s="38">
        <f t="shared" si="1178"/>
        <v>208.66551502062913</v>
      </c>
      <c r="AS367" s="38">
        <f t="shared" si="1179"/>
        <v>3.152781589644936</v>
      </c>
      <c r="AT367" s="38">
        <f t="shared" si="1121"/>
        <v>208.6655150206293</v>
      </c>
      <c r="AU367" s="38">
        <f t="shared" si="1086"/>
        <v>0.99999999999999922</v>
      </c>
      <c r="AV367" s="38">
        <f t="shared" si="954"/>
        <v>2.1158270613932659</v>
      </c>
      <c r="AW367" s="4">
        <f t="shared" si="940"/>
        <v>0</v>
      </c>
      <c r="AX367" s="4">
        <f t="shared" si="995"/>
        <v>187.39401118098002</v>
      </c>
      <c r="AY367" s="4">
        <f t="shared" si="968"/>
        <v>1</v>
      </c>
      <c r="AZ367" s="38">
        <f t="shared" si="1102"/>
        <v>441.50014346021044</v>
      </c>
      <c r="BA367" s="4">
        <f t="shared" si="969"/>
        <v>0.42600000000000005</v>
      </c>
      <c r="BB367" s="4">
        <f t="shared" si="970"/>
        <v>41.71109597871844</v>
      </c>
      <c r="BC367" s="4">
        <f t="shared" si="971"/>
        <v>483.21123943892889</v>
      </c>
      <c r="BE367" s="4">
        <f t="shared" si="1122"/>
        <v>1.5</v>
      </c>
      <c r="BF367" s="4">
        <f t="shared" si="1128"/>
        <v>422.88069851012796</v>
      </c>
      <c r="BH367" s="4">
        <f t="shared" si="1129"/>
        <v>423.45262952765438</v>
      </c>
      <c r="BI367" s="4">
        <f t="shared" si="1067"/>
        <v>0</v>
      </c>
      <c r="BJ367" s="4">
        <f t="shared" si="1130"/>
        <v>0</v>
      </c>
      <c r="BR367" s="4">
        <f t="shared" si="972"/>
        <v>68.58</v>
      </c>
      <c r="BV367" s="9"/>
      <c r="BX367" s="9"/>
      <c r="BY367" s="9"/>
      <c r="BZ367" s="9">
        <f t="shared" si="973"/>
        <v>68.58</v>
      </c>
      <c r="CA367" s="9">
        <f t="shared" si="974"/>
        <v>76.83499999999998</v>
      </c>
      <c r="CB367" s="9">
        <f t="shared" si="1087"/>
        <v>1.671422038708936</v>
      </c>
      <c r="CC367" s="40">
        <f t="shared" si="996"/>
        <v>20</v>
      </c>
      <c r="CD367" s="9">
        <f t="shared" si="975"/>
        <v>0.05</v>
      </c>
      <c r="CE367" s="9">
        <f t="shared" si="976"/>
        <v>0.8</v>
      </c>
      <c r="CF367" s="9">
        <f t="shared" si="977"/>
        <v>0.99524931562137331</v>
      </c>
      <c r="CG367" s="9">
        <f t="shared" si="978"/>
        <v>0.68</v>
      </c>
      <c r="CH367" s="9">
        <f t="shared" si="1088"/>
        <v>1.3825737851765767</v>
      </c>
      <c r="CI367" s="9">
        <f t="shared" si="1089"/>
        <v>3.4169233228266256</v>
      </c>
      <c r="CJ367" s="40">
        <v>1</v>
      </c>
      <c r="CK367" s="9">
        <f t="shared" si="1090"/>
        <v>288.38832844656719</v>
      </c>
      <c r="CM367" s="4">
        <f t="shared" si="979"/>
        <v>1.9689290757805624</v>
      </c>
      <c r="CN367" s="4">
        <f t="shared" si="980"/>
        <v>0.7635698161114719</v>
      </c>
      <c r="CO367" s="4">
        <f t="shared" si="946"/>
        <v>0.872504984363912</v>
      </c>
      <c r="CP367" s="4">
        <f t="shared" si="981"/>
        <v>1.2794051660441645</v>
      </c>
      <c r="CQ367" s="4">
        <f t="shared" si="1189"/>
        <v>0.96063482258325084</v>
      </c>
      <c r="CR367" s="4">
        <f t="shared" si="1190"/>
        <v>1.0002692328949259</v>
      </c>
      <c r="CS367" s="4">
        <f t="shared" si="947"/>
        <v>1.2211878714437694</v>
      </c>
      <c r="CT367" s="4">
        <f t="shared" si="997"/>
        <v>10</v>
      </c>
      <c r="DA367" s="4">
        <f t="shared" ref="DA367:DB367" si="1226">CM367</f>
        <v>1.9689290757805624</v>
      </c>
      <c r="DB367" s="4">
        <f t="shared" si="1226"/>
        <v>0.7635698161114719</v>
      </c>
      <c r="DC367" s="4">
        <f t="shared" ref="DC367" si="1227">CP367</f>
        <v>1.2794051660441645</v>
      </c>
      <c r="DD367" s="4">
        <f t="shared" ref="DD367" si="1228">CS367</f>
        <v>1.2211878714437694</v>
      </c>
      <c r="DE367" s="4">
        <f t="shared" ref="DE367:DF367" si="1229">CQ367</f>
        <v>0.96063482258325084</v>
      </c>
      <c r="DF367" s="4">
        <f t="shared" si="1229"/>
        <v>1.0002692328949259</v>
      </c>
      <c r="DI367" s="4">
        <f t="shared" si="982"/>
        <v>154.93999999999997</v>
      </c>
      <c r="DL367" s="4">
        <f t="shared" si="1166"/>
        <v>1.120825970833289E-5</v>
      </c>
      <c r="DM367" s="4">
        <f t="shared" si="1009"/>
        <v>8.9551297894051718</v>
      </c>
      <c r="DN367" s="4">
        <f t="shared" si="1167"/>
        <v>0.33342146816195423</v>
      </c>
      <c r="DO367" s="4">
        <f t="shared" si="1168"/>
        <v>5.7712423036322535</v>
      </c>
      <c r="DP367" s="4">
        <f t="shared" si="1169"/>
        <v>7.5340749938373071</v>
      </c>
      <c r="DQ367" s="4">
        <f t="shared" si="1170"/>
        <v>8.7655991202131087</v>
      </c>
      <c r="DR367" s="38">
        <f t="shared" si="1183"/>
        <v>384.08509515529659</v>
      </c>
      <c r="DS367" s="4">
        <f t="shared" si="1095"/>
        <v>1.0001252011648942</v>
      </c>
      <c r="DT367" s="4">
        <f t="shared" si="1171"/>
        <v>2.2583179581272428</v>
      </c>
      <c r="DU367" s="4">
        <f t="shared" si="1103"/>
        <v>208.6655150206293</v>
      </c>
      <c r="DY367" s="4">
        <f t="shared" si="1037"/>
        <v>0.85</v>
      </c>
      <c r="DZ367" s="4">
        <f t="shared" si="1096"/>
        <v>0.83</v>
      </c>
      <c r="EA367" s="4">
        <f t="shared" si="1184"/>
        <v>0.77500000000000002</v>
      </c>
      <c r="EB367" s="4">
        <f t="shared" si="1097"/>
        <v>0.7</v>
      </c>
      <c r="ED367" s="4">
        <f t="shared" si="1185"/>
        <v>368.86620632481021</v>
      </c>
      <c r="EE367" s="25">
        <f t="shared" si="1186"/>
        <v>204.9873311786956</v>
      </c>
      <c r="EG367" s="4">
        <f t="shared" si="1104"/>
        <v>0.59499999999999997</v>
      </c>
      <c r="EH367" s="4">
        <f t="shared" si="1187"/>
        <v>8.9551297894051718</v>
      </c>
      <c r="EK367" s="4">
        <f t="shared" si="1172"/>
        <v>57.361276136431961</v>
      </c>
      <c r="EL367" s="4">
        <f t="shared" si="1173"/>
        <v>2.2583179581272428</v>
      </c>
      <c r="EM367" s="4">
        <f t="shared" si="1174"/>
        <v>0.10641633514568259</v>
      </c>
      <c r="EP367" s="4">
        <f t="shared" si="998"/>
        <v>0.10641633514568259</v>
      </c>
      <c r="EQ367" s="4">
        <f t="shared" si="960"/>
        <v>0.33286504987290622</v>
      </c>
      <c r="ER367" s="4">
        <f t="shared" si="1010"/>
        <v>5.7673879220903359</v>
      </c>
      <c r="ES367" s="4">
        <f t="shared" si="983"/>
        <v>7.5326031109832208</v>
      </c>
      <c r="ET367" s="4">
        <f t="shared" si="1011"/>
        <v>58.843723863568023</v>
      </c>
      <c r="EU367" s="4">
        <f t="shared" si="1012"/>
        <v>38.734999999999978</v>
      </c>
      <c r="EV367" s="4">
        <f t="shared" si="1098"/>
        <v>1.1208259708332886E-5</v>
      </c>
      <c r="EW367" s="4">
        <f t="shared" si="984"/>
        <v>8.7656606502283783</v>
      </c>
      <c r="EX367" s="4">
        <f t="shared" si="1131"/>
        <v>384.03701327387222</v>
      </c>
      <c r="FG367" s="23">
        <f t="shared" si="1030"/>
        <v>2</v>
      </c>
      <c r="FH367" s="23">
        <f t="shared" si="1030"/>
        <v>0.8</v>
      </c>
      <c r="FI367" s="23">
        <f t="shared" si="952"/>
        <v>1.4</v>
      </c>
      <c r="FJ367" s="23">
        <f t="shared" si="1031"/>
        <v>1.4</v>
      </c>
      <c r="FK367" s="23">
        <f t="shared" si="1031"/>
        <v>1</v>
      </c>
      <c r="FL367" s="23">
        <f t="shared" si="1031"/>
        <v>1.2</v>
      </c>
      <c r="FM367" s="23">
        <f t="shared" si="1195"/>
        <v>0</v>
      </c>
      <c r="FN367" s="23"/>
      <c r="FX367" s="4">
        <f t="shared" si="1099"/>
        <v>1</v>
      </c>
      <c r="FY367" s="4">
        <f t="shared" si="1139"/>
        <v>0.48638372093023263</v>
      </c>
      <c r="FZ367" s="4">
        <f t="shared" si="1100"/>
        <v>0.3</v>
      </c>
      <c r="GA367" s="4">
        <f t="shared" si="1101"/>
        <v>302.13657199621861</v>
      </c>
    </row>
    <row r="368" spans="1:183" ht="12" customHeight="1" x14ac:dyDescent="0.3">
      <c r="A368" s="25">
        <v>350</v>
      </c>
      <c r="B368" s="4" t="s">
        <v>605</v>
      </c>
      <c r="C368" s="4">
        <v>2016</v>
      </c>
      <c r="D368" s="4" t="s">
        <v>309</v>
      </c>
      <c r="E368" s="24" t="s">
        <v>672</v>
      </c>
      <c r="F368" s="7" t="s">
        <v>514</v>
      </c>
      <c r="G368" s="38">
        <f t="shared" si="1199"/>
        <v>889.65517241379314</v>
      </c>
      <c r="H368" s="38">
        <f>6.13*25.4</f>
        <v>155.702</v>
      </c>
      <c r="I368" s="4">
        <f t="shared" si="985"/>
        <v>155.702</v>
      </c>
      <c r="J368" s="38">
        <f t="shared" si="1225"/>
        <v>34.068965517241381</v>
      </c>
      <c r="K368" s="38">
        <f t="shared" si="986"/>
        <v>25.4</v>
      </c>
      <c r="L368" s="7">
        <f t="shared" si="987"/>
        <v>6.13</v>
      </c>
      <c r="M368" s="7">
        <f t="shared" si="988"/>
        <v>6.13</v>
      </c>
      <c r="N368" s="38">
        <f>17.3*25.4</f>
        <v>439.42</v>
      </c>
      <c r="O368" s="38">
        <f>2.8*25.4</f>
        <v>71.11999999999999</v>
      </c>
      <c r="P368" s="39">
        <f>7*25.4</f>
        <v>177.79999999999998</v>
      </c>
      <c r="Q368" s="7">
        <f t="shared" si="989"/>
        <v>246.38000000000002</v>
      </c>
      <c r="R368" s="38">
        <v>2</v>
      </c>
      <c r="S368" s="4">
        <f t="shared" si="966"/>
        <v>260.34999999999997</v>
      </c>
      <c r="T368" s="7">
        <f t="shared" si="990"/>
        <v>3.3</v>
      </c>
      <c r="U368" s="7">
        <f t="shared" si="1127"/>
        <v>3.3</v>
      </c>
      <c r="V368" s="38">
        <v>9.1</v>
      </c>
      <c r="W368" s="4">
        <f t="shared" si="991"/>
        <v>9.1</v>
      </c>
      <c r="X368" s="4">
        <f t="shared" si="992"/>
        <v>10.1</v>
      </c>
      <c r="Y368" s="7">
        <f t="shared" si="993"/>
        <v>80.72246279691916</v>
      </c>
      <c r="AB368" s="38">
        <f t="shared" si="1038"/>
        <v>291.72413793103448</v>
      </c>
      <c r="AC368" s="4">
        <v>42.3</v>
      </c>
      <c r="AD368" s="4">
        <f t="shared" si="1159"/>
        <v>0.72042570438964904</v>
      </c>
      <c r="AE368" s="38"/>
      <c r="AF368" s="38"/>
      <c r="AG368" s="39">
        <v>1</v>
      </c>
      <c r="AH368" s="39"/>
      <c r="AI368" s="39"/>
      <c r="AJ368" s="7"/>
      <c r="AK368" s="4">
        <f t="shared" si="994"/>
        <v>155.702</v>
      </c>
      <c r="AL368" s="4">
        <f t="shared" si="1175"/>
        <v>0.94072865687873841</v>
      </c>
      <c r="AM368" s="4">
        <f t="shared" si="1176"/>
        <v>111.90086657680006</v>
      </c>
      <c r="AN368" s="4">
        <f t="shared" si="1177"/>
        <v>0.80766721044045675</v>
      </c>
      <c r="AO368" s="4">
        <v>1.25</v>
      </c>
      <c r="AP368" s="4">
        <f t="shared" si="1112"/>
        <v>2.5</v>
      </c>
      <c r="AQ368" s="38">
        <f t="shared" si="967"/>
        <v>265.69311294239424</v>
      </c>
      <c r="AR368" s="38">
        <f t="shared" si="1178"/>
        <v>265.69311294239424</v>
      </c>
      <c r="AS368" s="38">
        <f t="shared" si="1179"/>
        <v>3.152781589644936</v>
      </c>
      <c r="AT368" s="38">
        <f t="shared" si="1121"/>
        <v>265.69311294239441</v>
      </c>
      <c r="AU368" s="38">
        <f t="shared" si="1086"/>
        <v>0.99999999999999933</v>
      </c>
      <c r="AV368" s="38">
        <f t="shared" si="954"/>
        <v>2.5529557142425969</v>
      </c>
      <c r="AW368" s="4">
        <f t="shared" ref="AW368:AW431" si="1230">IF(AV368&lt;1,1,0)</f>
        <v>0</v>
      </c>
      <c r="AX368" s="4">
        <f t="shared" si="995"/>
        <v>188.31562107203405</v>
      </c>
      <c r="AY368" s="4">
        <f t="shared" si="968"/>
        <v>1</v>
      </c>
      <c r="AZ368" s="38">
        <f t="shared" si="1102"/>
        <v>678.3027509211895</v>
      </c>
      <c r="BA368" s="4">
        <f t="shared" si="969"/>
        <v>0.3</v>
      </c>
      <c r="BB368" s="4">
        <f t="shared" si="970"/>
        <v>29.518473603041336</v>
      </c>
      <c r="BC368" s="4">
        <f t="shared" si="971"/>
        <v>707.82122452423084</v>
      </c>
      <c r="BE368" s="4">
        <f t="shared" si="1122"/>
        <v>1.45</v>
      </c>
      <c r="BF368" s="4">
        <f t="shared" si="1128"/>
        <v>409.54638580141318</v>
      </c>
      <c r="BH368" s="4">
        <f t="shared" si="1129"/>
        <v>650.57528915458977</v>
      </c>
      <c r="BI368" s="4">
        <f t="shared" si="1067"/>
        <v>0</v>
      </c>
      <c r="BJ368" s="4">
        <f t="shared" si="1130"/>
        <v>0</v>
      </c>
      <c r="BR368" s="4">
        <f t="shared" si="972"/>
        <v>71.11999999999999</v>
      </c>
      <c r="BV368" s="9"/>
      <c r="BX368" s="9"/>
      <c r="BY368" s="9"/>
      <c r="BZ368" s="9">
        <f t="shared" si="973"/>
        <v>71.11999999999999</v>
      </c>
      <c r="CA368" s="9">
        <f t="shared" si="974"/>
        <v>123.19000000000001</v>
      </c>
      <c r="CB368" s="9">
        <f t="shared" si="1087"/>
        <v>1.8170487186781425</v>
      </c>
      <c r="CC368" s="40">
        <f t="shared" si="996"/>
        <v>0</v>
      </c>
      <c r="CD368" s="9">
        <f t="shared" si="975"/>
        <v>0</v>
      </c>
      <c r="CE368" s="9">
        <f t="shared" si="976"/>
        <v>0</v>
      </c>
      <c r="CF368" s="9">
        <f t="shared" si="977"/>
        <v>0.99524931562137331</v>
      </c>
      <c r="CG368" s="9">
        <f t="shared" si="978"/>
        <v>0.68</v>
      </c>
      <c r="CH368" s="9">
        <f t="shared" si="1088"/>
        <v>1.3825737851765767</v>
      </c>
      <c r="CI368" s="9">
        <f t="shared" si="1089"/>
        <v>2.5122039248330883</v>
      </c>
      <c r="CJ368" s="40">
        <v>1</v>
      </c>
      <c r="CK368" s="9">
        <f t="shared" si="1090"/>
        <v>212.33147572689262</v>
      </c>
      <c r="CM368" s="4">
        <f t="shared" si="979"/>
        <v>1.549123414564981</v>
      </c>
      <c r="CN368" s="4">
        <f t="shared" si="980"/>
        <v>0.41214381234063702</v>
      </c>
      <c r="CO368" s="4">
        <f t="shared" si="946"/>
        <v>0.71231037080251502</v>
      </c>
      <c r="CP368" s="4">
        <f t="shared" si="981"/>
        <v>1.3739090586186062</v>
      </c>
      <c r="CQ368" s="4">
        <f t="shared" si="1189"/>
        <v>0.72042570438964904</v>
      </c>
      <c r="CR368" s="4">
        <f t="shared" si="1190"/>
        <v>0.72633374341804824</v>
      </c>
      <c r="CS368" s="4">
        <f t="shared" si="947"/>
        <v>0.98770988832965423</v>
      </c>
      <c r="CT368" s="4">
        <f t="shared" si="997"/>
        <v>0</v>
      </c>
      <c r="CU368" s="4">
        <f t="shared" ref="CU368:CV368" si="1231">CM368</f>
        <v>1.549123414564981</v>
      </c>
      <c r="CV368" s="4">
        <f t="shared" si="1231"/>
        <v>0.41214381234063702</v>
      </c>
      <c r="CW368" s="4">
        <f t="shared" ref="CW368" si="1232">CP368</f>
        <v>1.3739090586186062</v>
      </c>
      <c r="CX368" s="4">
        <f t="shared" si="1134"/>
        <v>0.98770988832965423</v>
      </c>
      <c r="CY368" s="4">
        <f t="shared" ref="CY368:CZ368" si="1233">CQ368</f>
        <v>0.72042570438964904</v>
      </c>
      <c r="CZ368" s="4">
        <f t="shared" si="1233"/>
        <v>0.72633374341804824</v>
      </c>
      <c r="DI368" s="4">
        <f t="shared" si="982"/>
        <v>155.702</v>
      </c>
      <c r="DL368" s="4">
        <f t="shared" si="1166"/>
        <v>1.12633822970624E-5</v>
      </c>
      <c r="DM368" s="4">
        <f t="shared" si="1009"/>
        <v>7.644622990955634</v>
      </c>
      <c r="DN368" s="4">
        <f t="shared" si="1167"/>
        <v>0.26917903901498447</v>
      </c>
      <c r="DO368" s="4">
        <f t="shared" si="1168"/>
        <v>4.5224374367393656</v>
      </c>
      <c r="DP368" s="4">
        <f t="shared" si="1169"/>
        <v>6.2818567560611411</v>
      </c>
      <c r="DQ368" s="4">
        <f t="shared" si="1170"/>
        <v>7.517556978819071</v>
      </c>
      <c r="DR368" s="38">
        <f t="shared" si="1183"/>
        <v>404.9329946912232</v>
      </c>
      <c r="DS368" s="4">
        <f t="shared" si="1095"/>
        <v>1.000109263515176</v>
      </c>
      <c r="DT368" s="4">
        <f t="shared" si="1171"/>
        <v>3.1780497164141401</v>
      </c>
      <c r="DU368" s="4">
        <f t="shared" si="1103"/>
        <v>265.69311294239441</v>
      </c>
      <c r="DY368" s="4">
        <f t="shared" si="1037"/>
        <v>0.85</v>
      </c>
      <c r="DZ368" s="4">
        <f t="shared" si="1096"/>
        <v>0.82000000000000006</v>
      </c>
      <c r="EA368" s="4">
        <f t="shared" si="1184"/>
        <v>1</v>
      </c>
      <c r="EB368" s="4">
        <f t="shared" si="1097"/>
        <v>0.82000000000000006</v>
      </c>
      <c r="ED368" s="4">
        <f t="shared" si="1185"/>
        <v>401.63924721191137</v>
      </c>
      <c r="EE368" s="25">
        <f t="shared" si="1186"/>
        <v>261.05463040823724</v>
      </c>
      <c r="EG368" s="4">
        <f t="shared" si="1104"/>
        <v>0.69700000000000006</v>
      </c>
      <c r="EH368" s="4">
        <f t="shared" si="1187"/>
        <v>7.644622990955634</v>
      </c>
      <c r="EK368" s="4">
        <f t="shared" si="1172"/>
        <v>80.72246279691916</v>
      </c>
      <c r="EL368" s="4">
        <f t="shared" si="1173"/>
        <v>3.1780497164141406</v>
      </c>
      <c r="EM368" s="4">
        <f t="shared" si="1174"/>
        <v>8.5912424859509881E-2</v>
      </c>
      <c r="EP368" s="4">
        <f t="shared" si="998"/>
        <v>8.5912424859509881E-2</v>
      </c>
      <c r="EQ368" s="4">
        <f t="shared" si="960"/>
        <v>0.26872982936702156</v>
      </c>
      <c r="ER368" s="4">
        <f t="shared" si="1010"/>
        <v>4.5194170819416337</v>
      </c>
      <c r="ES368" s="4">
        <f t="shared" si="983"/>
        <v>6.2807750403864535</v>
      </c>
      <c r="ET368" s="4">
        <f t="shared" si="1011"/>
        <v>36.054037203080838</v>
      </c>
      <c r="EU368" s="4">
        <f t="shared" si="1012"/>
        <v>38.9255</v>
      </c>
      <c r="EV368" s="4">
        <f t="shared" si="1098"/>
        <v>1.12633822970624E-5</v>
      </c>
      <c r="EW368" s="4">
        <f t="shared" si="984"/>
        <v>7.517605518570865</v>
      </c>
      <c r="EX368" s="4">
        <f t="shared" si="1131"/>
        <v>404.88875512258329</v>
      </c>
      <c r="FG368" s="23">
        <f t="shared" si="1030"/>
        <v>1.6</v>
      </c>
      <c r="FH368" s="23">
        <f t="shared" si="1030"/>
        <v>0.6</v>
      </c>
      <c r="FI368" s="23">
        <f t="shared" si="952"/>
        <v>1</v>
      </c>
      <c r="FJ368" s="23">
        <f t="shared" si="1031"/>
        <v>1.4</v>
      </c>
      <c r="FK368" s="23">
        <f t="shared" si="1031"/>
        <v>0.8</v>
      </c>
      <c r="FL368" s="23">
        <f t="shared" si="1031"/>
        <v>0.8</v>
      </c>
      <c r="FM368" s="23">
        <f t="shared" si="1195"/>
        <v>1</v>
      </c>
      <c r="FN368" s="23"/>
      <c r="FX368" s="4">
        <f t="shared" si="1099"/>
        <v>1</v>
      </c>
      <c r="FY368" s="4">
        <f t="shared" si="1139"/>
        <v>0.5</v>
      </c>
      <c r="FZ368" s="4">
        <f t="shared" si="1100"/>
        <v>0</v>
      </c>
      <c r="GA368" s="4">
        <f t="shared" si="1101"/>
        <v>295.3540724639073</v>
      </c>
    </row>
    <row r="369" spans="1:183" ht="12" customHeight="1" x14ac:dyDescent="0.3">
      <c r="A369" s="25">
        <v>351</v>
      </c>
      <c r="B369" s="4" t="s">
        <v>605</v>
      </c>
      <c r="C369" s="4">
        <v>2016</v>
      </c>
      <c r="D369" s="4" t="s">
        <v>309</v>
      </c>
      <c r="E369" s="24" t="s">
        <v>672</v>
      </c>
      <c r="F369" s="7" t="s">
        <v>515</v>
      </c>
      <c r="G369" s="38">
        <f t="shared" si="1199"/>
        <v>889.65517241379314</v>
      </c>
      <c r="H369" s="38">
        <f>6.16*25.4</f>
        <v>156.464</v>
      </c>
      <c r="I369" s="4">
        <f t="shared" si="985"/>
        <v>156.464</v>
      </c>
      <c r="J369" s="38">
        <f t="shared" si="1225"/>
        <v>34.068965517241381</v>
      </c>
      <c r="K369" s="38">
        <f t="shared" si="986"/>
        <v>25.4</v>
      </c>
      <c r="L369" s="7">
        <f t="shared" si="987"/>
        <v>6.16</v>
      </c>
      <c r="M369" s="7">
        <f t="shared" si="988"/>
        <v>6.16</v>
      </c>
      <c r="N369" s="38">
        <f>17*25.4</f>
        <v>431.79999999999995</v>
      </c>
      <c r="O369" s="38">
        <f>2.5*25.4</f>
        <v>63.5</v>
      </c>
      <c r="P369" s="39">
        <f>6.95*25.4</f>
        <v>176.53</v>
      </c>
      <c r="Q369" s="7">
        <f t="shared" si="989"/>
        <v>253.99999999999994</v>
      </c>
      <c r="R369" s="38">
        <v>2</v>
      </c>
      <c r="S369" s="4">
        <f t="shared" si="966"/>
        <v>260.34999999999997</v>
      </c>
      <c r="T369" s="7">
        <f t="shared" si="990"/>
        <v>3</v>
      </c>
      <c r="U369" s="7">
        <f t="shared" si="1127"/>
        <v>3</v>
      </c>
      <c r="V369" s="38">
        <v>9.1</v>
      </c>
      <c r="W369" s="4">
        <f t="shared" si="991"/>
        <v>9.1</v>
      </c>
      <c r="X369" s="4">
        <f t="shared" si="992"/>
        <v>10.1</v>
      </c>
      <c r="Y369" s="7">
        <f t="shared" si="993"/>
        <v>80.72246279691916</v>
      </c>
      <c r="AB369" s="38">
        <f t="shared" si="1038"/>
        <v>469.65517241379308</v>
      </c>
      <c r="AC369" s="4">
        <v>68.099999999999994</v>
      </c>
      <c r="AD369" s="4">
        <f t="shared" si="1159"/>
        <v>1.1550340401026544</v>
      </c>
      <c r="AE369" s="38">
        <f>0.375*25.4</f>
        <v>9.5249999999999986</v>
      </c>
      <c r="AF369" s="38">
        <v>10</v>
      </c>
      <c r="AG369" s="39">
        <f t="shared" si="1217"/>
        <v>76.199999999999989</v>
      </c>
      <c r="AH369" s="39">
        <v>3</v>
      </c>
      <c r="AI369" s="39">
        <f>AH369-1</f>
        <v>2</v>
      </c>
      <c r="AJ369" s="7"/>
      <c r="AK369" s="4">
        <f t="shared" si="994"/>
        <v>156.464</v>
      </c>
      <c r="AL369" s="4">
        <f t="shared" si="1175"/>
        <v>0.91991341991341979</v>
      </c>
      <c r="AM369" s="4">
        <f t="shared" si="1176"/>
        <v>112.7233290428203</v>
      </c>
      <c r="AN369" s="4">
        <f t="shared" si="1177"/>
        <v>0.79740259740259734</v>
      </c>
      <c r="AO369" s="4">
        <v>1.25</v>
      </c>
      <c r="AP369" s="4">
        <f t="shared" si="1112"/>
        <v>2.5</v>
      </c>
      <c r="AQ369" s="38">
        <f t="shared" si="967"/>
        <v>258.39757190753738</v>
      </c>
      <c r="AR369" s="38">
        <f t="shared" si="1178"/>
        <v>258.39757190753738</v>
      </c>
      <c r="AS369" s="38">
        <f t="shared" si="1179"/>
        <v>3.152781589644936</v>
      </c>
      <c r="AT369" s="38">
        <f t="shared" si="1121"/>
        <v>258.39757190753727</v>
      </c>
      <c r="AU369" s="38">
        <f t="shared" si="1086"/>
        <v>1.0000000000000004</v>
      </c>
      <c r="AV369" s="38">
        <f t="shared" si="954"/>
        <v>2.3863957386351191</v>
      </c>
      <c r="AW369" s="4">
        <f t="shared" si="1230"/>
        <v>0</v>
      </c>
      <c r="AX369" s="4">
        <f t="shared" si="995"/>
        <v>189.23723096308805</v>
      </c>
      <c r="AY369" s="4">
        <f t="shared" si="968"/>
        <v>1</v>
      </c>
      <c r="AZ369" s="38">
        <f t="shared" si="1102"/>
        <v>616.63886447380867</v>
      </c>
      <c r="BA369" s="4">
        <f t="shared" si="969"/>
        <v>0.3</v>
      </c>
      <c r="BB369" s="4">
        <f t="shared" si="970"/>
        <v>29.66293595346405</v>
      </c>
      <c r="BC369" s="4">
        <f t="shared" si="971"/>
        <v>646.30180042727272</v>
      </c>
      <c r="BE369" s="4">
        <f t="shared" si="1122"/>
        <v>1.5</v>
      </c>
      <c r="BF369" s="4">
        <f t="shared" si="1128"/>
        <v>424.45665142383035</v>
      </c>
      <c r="BH369" s="4">
        <f t="shared" si="1129"/>
        <v>591.43208104962719</v>
      </c>
      <c r="BI369" s="4">
        <f t="shared" si="1067"/>
        <v>0</v>
      </c>
      <c r="BJ369" s="4">
        <f t="shared" si="1130"/>
        <v>0</v>
      </c>
      <c r="BR369" s="4">
        <f t="shared" si="972"/>
        <v>63.5</v>
      </c>
      <c r="BV369" s="9"/>
      <c r="BX369" s="9"/>
      <c r="BY369" s="9"/>
      <c r="BZ369" s="9">
        <f t="shared" si="973"/>
        <v>63.5</v>
      </c>
      <c r="CA369" s="9">
        <f t="shared" si="974"/>
        <v>126.99999999999997</v>
      </c>
      <c r="CB369" s="9">
        <f t="shared" si="1087"/>
        <v>1.7543833769624846</v>
      </c>
      <c r="CC369" s="40">
        <f t="shared" si="996"/>
        <v>20</v>
      </c>
      <c r="CD369" s="9">
        <f t="shared" si="975"/>
        <v>0.05</v>
      </c>
      <c r="CE369" s="9">
        <f t="shared" si="976"/>
        <v>0.8</v>
      </c>
      <c r="CF369" s="9">
        <f t="shared" si="977"/>
        <v>0.99524931562137331</v>
      </c>
      <c r="CG369" s="9">
        <f t="shared" si="978"/>
        <v>0.68</v>
      </c>
      <c r="CH369" s="9">
        <f t="shared" si="1088"/>
        <v>1.3825737851765767</v>
      </c>
      <c r="CI369" s="9">
        <f t="shared" si="1089"/>
        <v>3.4564344629414419</v>
      </c>
      <c r="CJ369" s="40">
        <v>1</v>
      </c>
      <c r="CK369" s="9">
        <f t="shared" si="1090"/>
        <v>292.55261294336361</v>
      </c>
      <c r="CM369" s="4">
        <f t="shared" si="979"/>
        <v>2.4818328297426966</v>
      </c>
      <c r="CN369" s="4">
        <f t="shared" si="980"/>
        <v>0.72668089753626275</v>
      </c>
      <c r="CO369" s="4">
        <f t="shared" si="946"/>
        <v>1.106485599503142</v>
      </c>
      <c r="CP369" s="4">
        <f t="shared" si="981"/>
        <v>1.6053699459000061</v>
      </c>
      <c r="CQ369" s="4">
        <f t="shared" si="1189"/>
        <v>1.1550340401026544</v>
      </c>
      <c r="CR369" s="4">
        <f t="shared" si="1190"/>
        <v>1.1618512131976952</v>
      </c>
      <c r="CS369" s="4">
        <f t="shared" si="947"/>
        <v>1.405758816311484</v>
      </c>
      <c r="CT369" s="4">
        <f t="shared" si="997"/>
        <v>10</v>
      </c>
      <c r="DA369" s="4">
        <f t="shared" ref="DA369:DB369" si="1234">CM369</f>
        <v>2.4818328297426966</v>
      </c>
      <c r="DB369" s="4">
        <f t="shared" si="1234"/>
        <v>0.72668089753626275</v>
      </c>
      <c r="DC369" s="4">
        <f t="shared" ref="DC369" si="1235">CP369</f>
        <v>1.6053699459000061</v>
      </c>
      <c r="DD369" s="4">
        <f t="shared" ref="DD369" si="1236">CS369</f>
        <v>1.405758816311484</v>
      </c>
      <c r="DE369" s="4">
        <f t="shared" ref="DE369:DF369" si="1237">CQ369</f>
        <v>1.1550340401026544</v>
      </c>
      <c r="DF369" s="4">
        <f t="shared" si="1237"/>
        <v>1.1618512131976952</v>
      </c>
      <c r="DI369" s="4">
        <f t="shared" si="982"/>
        <v>156.464</v>
      </c>
      <c r="DL369" s="4">
        <f t="shared" si="1166"/>
        <v>1.1318504885791904E-5</v>
      </c>
      <c r="DM369" s="4">
        <f t="shared" si="1009"/>
        <v>8.1377244333742738</v>
      </c>
      <c r="DN369" s="4">
        <f t="shared" si="1167"/>
        <v>0.26178777959124849</v>
      </c>
      <c r="DO369" s="4">
        <f t="shared" si="1168"/>
        <v>4.7608305831924742</v>
      </c>
      <c r="DP369" s="4">
        <f t="shared" si="1169"/>
        <v>6.6680371999399997</v>
      </c>
      <c r="DQ369" s="4">
        <f t="shared" si="1170"/>
        <v>7.9931431117716185</v>
      </c>
      <c r="DR369" s="38">
        <f t="shared" si="1183"/>
        <v>406.61587114095107</v>
      </c>
      <c r="DS369" s="4">
        <f t="shared" si="1095"/>
        <v>1.0001146027616279</v>
      </c>
      <c r="DT369" s="4">
        <f t="shared" si="1171"/>
        <v>3.1780497164141401</v>
      </c>
      <c r="DU369" s="4">
        <f t="shared" si="1103"/>
        <v>258.39757190753727</v>
      </c>
      <c r="DY369" s="4">
        <f t="shared" si="1037"/>
        <v>0.85</v>
      </c>
      <c r="DZ369" s="4">
        <f t="shared" si="1096"/>
        <v>0.85</v>
      </c>
      <c r="EA369" s="4">
        <f t="shared" si="1184"/>
        <v>0.90625</v>
      </c>
      <c r="EB369" s="4">
        <f t="shared" si="1097"/>
        <v>0.77031249999999996</v>
      </c>
      <c r="ED369" s="4">
        <f t="shared" si="1185"/>
        <v>404.2300486317767</v>
      </c>
      <c r="EE369" s="25">
        <f t="shared" si="1186"/>
        <v>253.84490110302011</v>
      </c>
      <c r="EG369" s="4">
        <f t="shared" si="1104"/>
        <v>0.65476562499999991</v>
      </c>
      <c r="EH369" s="4">
        <f t="shared" si="1187"/>
        <v>8.1377244333742738</v>
      </c>
      <c r="EK369" s="4">
        <f t="shared" si="1172"/>
        <v>80.72246279691916</v>
      </c>
      <c r="EL369" s="4">
        <f t="shared" si="1173"/>
        <v>3.1780497164141406</v>
      </c>
      <c r="EM369" s="4">
        <f t="shared" si="1174"/>
        <v>8.3553396377267913E-2</v>
      </c>
      <c r="EP369" s="4">
        <f t="shared" si="998"/>
        <v>8.3553396377267913E-2</v>
      </c>
      <c r="EQ369" s="4">
        <f t="shared" si="960"/>
        <v>0.2613509045777202</v>
      </c>
      <c r="ER369" s="4">
        <f t="shared" si="1010"/>
        <v>4.7576510151621187</v>
      </c>
      <c r="ES369" s="4">
        <f t="shared" si="983"/>
        <v>6.6669082398660349</v>
      </c>
      <c r="ET369" s="4">
        <f t="shared" si="1011"/>
        <v>36.625537203080839</v>
      </c>
      <c r="EU369" s="4">
        <f t="shared" si="1012"/>
        <v>39.116</v>
      </c>
      <c r="EV369" s="4">
        <f t="shared" si="1098"/>
        <v>1.1318504885791904E-5</v>
      </c>
      <c r="EW369" s="4">
        <f t="shared" si="984"/>
        <v>7.9931978124771756</v>
      </c>
      <c r="EX369" s="4">
        <f t="shared" si="1131"/>
        <v>406.56927717899327</v>
      </c>
      <c r="FG369" s="23">
        <f t="shared" si="1030"/>
        <v>2.2000000000000002</v>
      </c>
      <c r="FH369" s="23">
        <f t="shared" si="1030"/>
        <v>0.8</v>
      </c>
      <c r="FI369" s="23">
        <f t="shared" si="952"/>
        <v>1.6</v>
      </c>
      <c r="FJ369" s="23">
        <f t="shared" si="1031"/>
        <v>1.8</v>
      </c>
      <c r="FK369" s="23">
        <f t="shared" si="1031"/>
        <v>1.2</v>
      </c>
      <c r="FL369" s="23">
        <f t="shared" si="1031"/>
        <v>1.2</v>
      </c>
      <c r="FM369" s="23">
        <f t="shared" si="1195"/>
        <v>0</v>
      </c>
      <c r="FN369" s="23"/>
      <c r="FX369" s="4">
        <f t="shared" si="1099"/>
        <v>1</v>
      </c>
      <c r="FY369" s="4">
        <f t="shared" si="1139"/>
        <v>0.44418604651162791</v>
      </c>
      <c r="FZ369" s="4">
        <f t="shared" si="1100"/>
        <v>0.3</v>
      </c>
      <c r="GA369" s="4">
        <f t="shared" si="1101"/>
        <v>334.0937058080155</v>
      </c>
    </row>
    <row r="370" spans="1:183" ht="12" customHeight="1" x14ac:dyDescent="0.3">
      <c r="A370" s="25">
        <v>352</v>
      </c>
      <c r="B370" s="4" t="s">
        <v>605</v>
      </c>
      <c r="C370" s="4">
        <v>2016</v>
      </c>
      <c r="D370" s="4" t="s">
        <v>309</v>
      </c>
      <c r="E370" s="24" t="s">
        <v>672</v>
      </c>
      <c r="F370" s="7" t="s">
        <v>516</v>
      </c>
      <c r="G370" s="38">
        <f t="shared" si="1199"/>
        <v>889.65517241379314</v>
      </c>
      <c r="H370" s="38">
        <f>6.21*25.4</f>
        <v>157.73399999999998</v>
      </c>
      <c r="I370" s="4">
        <f t="shared" si="985"/>
        <v>157.73399999999998</v>
      </c>
      <c r="J370" s="38">
        <f>5160/145</f>
        <v>35.586206896551722</v>
      </c>
      <c r="K370" s="38">
        <f t="shared" si="986"/>
        <v>25.4</v>
      </c>
      <c r="L370" s="7">
        <f t="shared" si="987"/>
        <v>6.21</v>
      </c>
      <c r="M370" s="7">
        <f t="shared" si="988"/>
        <v>6.21</v>
      </c>
      <c r="N370" s="38">
        <f>17.3*25.4</f>
        <v>439.42</v>
      </c>
      <c r="O370" s="38">
        <f>2.65*25.4</f>
        <v>67.309999999999988</v>
      </c>
      <c r="P370" s="39">
        <f>7.15*25.4</f>
        <v>181.60999999999999</v>
      </c>
      <c r="Q370" s="7">
        <f t="shared" si="989"/>
        <v>114.30000000000003</v>
      </c>
      <c r="R370" s="38">
        <v>3</v>
      </c>
      <c r="S370" s="4">
        <f t="shared" si="966"/>
        <v>260.34999999999997</v>
      </c>
      <c r="T370" s="7">
        <f t="shared" si="990"/>
        <v>2.7500000000000004</v>
      </c>
      <c r="U370" s="7">
        <f t="shared" si="1127"/>
        <v>3.1499999999999995</v>
      </c>
      <c r="V370" s="38">
        <v>9.1</v>
      </c>
      <c r="W370" s="4">
        <f t="shared" si="991"/>
        <v>9.1</v>
      </c>
      <c r="X370" s="4">
        <f t="shared" si="992"/>
        <v>10.1</v>
      </c>
      <c r="Y370" s="7">
        <f t="shared" si="993"/>
        <v>80.72246279691916</v>
      </c>
      <c r="AB370" s="38">
        <f t="shared" si="1038"/>
        <v>200.68965517241381</v>
      </c>
      <c r="AC370" s="4">
        <v>29.1</v>
      </c>
      <c r="AD370" s="4">
        <f t="shared" si="1159"/>
        <v>0.65535916327208799</v>
      </c>
      <c r="AE370" s="38"/>
      <c r="AF370" s="38"/>
      <c r="AG370" s="39">
        <v>1</v>
      </c>
      <c r="AH370" s="39"/>
      <c r="AI370" s="39"/>
      <c r="AJ370" s="7"/>
      <c r="AK370" s="4">
        <f t="shared" si="994"/>
        <v>157.73399999999998</v>
      </c>
      <c r="AL370" s="4">
        <f t="shared" si="1175"/>
        <v>0.92860976918947957</v>
      </c>
      <c r="AM370" s="4">
        <f t="shared" si="1176"/>
        <v>77.74102377301837</v>
      </c>
      <c r="AN370" s="4">
        <f t="shared" si="1177"/>
        <v>0.8014492753623188</v>
      </c>
      <c r="AO370" s="4">
        <v>1.25</v>
      </c>
      <c r="AP370" s="4">
        <f t="shared" si="1112"/>
        <v>2.5</v>
      </c>
      <c r="AQ370" s="38">
        <f t="shared" si="967"/>
        <v>180.80463768458466</v>
      </c>
      <c r="AR370" s="38">
        <f t="shared" si="1178"/>
        <v>180.80463768458466</v>
      </c>
      <c r="AS370" s="38">
        <f t="shared" si="1179"/>
        <v>3.2457050730263122</v>
      </c>
      <c r="AT370" s="38">
        <f t="shared" si="1121"/>
        <v>180.80463768458458</v>
      </c>
      <c r="AU370" s="38">
        <f t="shared" si="1086"/>
        <v>1.0000000000000004</v>
      </c>
      <c r="AV370" s="38">
        <f t="shared" si="954"/>
        <v>3.4555391215647067</v>
      </c>
      <c r="AW370" s="4">
        <f t="shared" si="1230"/>
        <v>0</v>
      </c>
      <c r="AX370" s="4">
        <f t="shared" si="995"/>
        <v>194.9749640423226</v>
      </c>
      <c r="AY370" s="4">
        <f t="shared" si="968"/>
        <v>1.0581818181818181</v>
      </c>
      <c r="AZ370" s="38">
        <f t="shared" si="1102"/>
        <v>624.77749887941445</v>
      </c>
      <c r="BA370" s="4">
        <f t="shared" si="969"/>
        <v>0.3</v>
      </c>
      <c r="BB370" s="4">
        <f t="shared" si="970"/>
        <v>30.562325613634059</v>
      </c>
      <c r="BC370" s="4">
        <f t="shared" si="971"/>
        <v>655.33982449304847</v>
      </c>
      <c r="BE370" s="4">
        <f t="shared" si="1122"/>
        <v>1.4124999999999999</v>
      </c>
      <c r="BF370" s="4">
        <f t="shared" si="1128"/>
        <v>409.76378785142674</v>
      </c>
      <c r="BH370" s="4">
        <f t="shared" si="1129"/>
        <v>599.23802673473551</v>
      </c>
      <c r="BI370" s="4">
        <f t="shared" si="1067"/>
        <v>0</v>
      </c>
      <c r="BJ370" s="4">
        <f t="shared" si="1130"/>
        <v>0</v>
      </c>
      <c r="BR370" s="4">
        <f t="shared" si="972"/>
        <v>57.150000000000013</v>
      </c>
      <c r="BV370" s="9"/>
      <c r="BX370" s="9"/>
      <c r="BY370" s="9"/>
      <c r="BZ370" s="9">
        <f t="shared" si="973"/>
        <v>57.150000000000013</v>
      </c>
      <c r="CA370" s="9">
        <f t="shared" si="974"/>
        <v>67.309999999999988</v>
      </c>
      <c r="CB370" s="9">
        <f t="shared" si="1087"/>
        <v>1.5372721608851661</v>
      </c>
      <c r="CC370" s="40">
        <f t="shared" si="996"/>
        <v>0</v>
      </c>
      <c r="CD370" s="9">
        <f t="shared" si="975"/>
        <v>0</v>
      </c>
      <c r="CE370" s="9">
        <f t="shared" si="976"/>
        <v>0</v>
      </c>
      <c r="CF370" s="9">
        <f t="shared" si="977"/>
        <v>0.99524931562137331</v>
      </c>
      <c r="CG370" s="9">
        <f t="shared" si="978"/>
        <v>0.68</v>
      </c>
      <c r="CH370" s="9">
        <f t="shared" si="1088"/>
        <v>1.4130245076626196</v>
      </c>
      <c r="CI370" s="9">
        <f t="shared" si="1089"/>
        <v>2.1722032382782128</v>
      </c>
      <c r="CJ370" s="40">
        <v>1</v>
      </c>
      <c r="CK370" s="9">
        <f t="shared" si="1090"/>
        <v>184.28972273552358</v>
      </c>
      <c r="CM370" s="4">
        <f t="shared" si="979"/>
        <v>1.0293098714399596</v>
      </c>
      <c r="CN370" s="4">
        <f t="shared" si="980"/>
        <v>0.30623753916933311</v>
      </c>
      <c r="CO370" s="4">
        <f t="shared" si="946"/>
        <v>0.48976913315039056</v>
      </c>
      <c r="CP370" s="4">
        <f t="shared" si="981"/>
        <v>1.0889899457954362</v>
      </c>
      <c r="CQ370" s="4">
        <f t="shared" si="1189"/>
        <v>0.65535916327208799</v>
      </c>
      <c r="CR370" s="4">
        <f t="shared" si="1190"/>
        <v>0.63898823880641586</v>
      </c>
      <c r="CS370" s="4">
        <f t="shared" si="947"/>
        <v>0.93991349427050186</v>
      </c>
      <c r="CT370" s="4">
        <f t="shared" si="997"/>
        <v>0</v>
      </c>
      <c r="CU370" s="4">
        <f t="shared" ref="CU370:CV370" si="1238">CM370</f>
        <v>1.0293098714399596</v>
      </c>
      <c r="CV370" s="4">
        <f t="shared" si="1238"/>
        <v>0.30623753916933311</v>
      </c>
      <c r="CW370" s="4">
        <f t="shared" ref="CW370" si="1239">CP370</f>
        <v>1.0889899457954362</v>
      </c>
      <c r="CX370" s="4">
        <f t="shared" si="1134"/>
        <v>0.93991349427050186</v>
      </c>
      <c r="CY370" s="4">
        <f t="shared" ref="CY370:CZ370" si="1240">CQ370</f>
        <v>0.65535916327208799</v>
      </c>
      <c r="CZ370" s="4">
        <f t="shared" si="1240"/>
        <v>0.63898823880641586</v>
      </c>
      <c r="DI370" s="4">
        <f t="shared" si="982"/>
        <v>157.73399999999998</v>
      </c>
      <c r="DL370" s="4">
        <f t="shared" si="1166"/>
        <v>1.1529710395163923E-5</v>
      </c>
      <c r="DM370" s="4">
        <f t="shared" si="1009"/>
        <v>7.3218908082293819</v>
      </c>
      <c r="DN370" s="4">
        <f t="shared" si="1167"/>
        <v>0.17536695232656146</v>
      </c>
      <c r="DO370" s="4">
        <f t="shared" si="1168"/>
        <v>3.6492393541682246</v>
      </c>
      <c r="DP370" s="4">
        <f t="shared" si="1169"/>
        <v>5.7877993154744845</v>
      </c>
      <c r="DQ370" s="4">
        <f t="shared" si="1170"/>
        <v>7.2114272284070706</v>
      </c>
      <c r="DR370" s="38">
        <f t="shared" si="1183"/>
        <v>306.22850250602619</v>
      </c>
      <c r="DS370" s="4">
        <f t="shared" si="1095"/>
        <v>1.0001150869165782</v>
      </c>
      <c r="DT370" s="4">
        <f t="shared" si="1171"/>
        <v>3.1780497164141401</v>
      </c>
      <c r="DU370" s="4">
        <f t="shared" si="1103"/>
        <v>180.80463768458458</v>
      </c>
      <c r="DY370" s="4">
        <f t="shared" si="1037"/>
        <v>0.85</v>
      </c>
      <c r="DZ370" s="4">
        <f t="shared" si="1096"/>
        <v>0.87499999999999989</v>
      </c>
      <c r="EA370" s="4">
        <f t="shared" si="1184"/>
        <v>1</v>
      </c>
      <c r="EB370" s="4">
        <f t="shared" si="1097"/>
        <v>0.87499999999999989</v>
      </c>
      <c r="ED370" s="4">
        <f t="shared" si="1185"/>
        <v>314.07409868339312</v>
      </c>
      <c r="EE370" s="25">
        <f t="shared" si="1186"/>
        <v>177.66727292607976</v>
      </c>
      <c r="EG370" s="4">
        <f t="shared" si="1104"/>
        <v>0.74374999999999991</v>
      </c>
      <c r="EH370" s="4">
        <f t="shared" si="1187"/>
        <v>7.3218908082293819</v>
      </c>
      <c r="EK370" s="4">
        <f t="shared" si="1172"/>
        <v>80.72246279691916</v>
      </c>
      <c r="EL370" s="4">
        <f t="shared" si="1173"/>
        <v>3.1780497164141406</v>
      </c>
      <c r="EM370" s="4">
        <f t="shared" si="1174"/>
        <v>5.7203666971321981E-2</v>
      </c>
      <c r="EP370" s="4">
        <f t="shared" si="998"/>
        <v>5.7203666971321981E-2</v>
      </c>
      <c r="EQ370" s="4">
        <f t="shared" si="960"/>
        <v>0.1750742975670854</v>
      </c>
      <c r="ER370" s="4">
        <f t="shared" si="1010"/>
        <v>3.6468021733900247</v>
      </c>
      <c r="ES370" s="4">
        <f t="shared" si="983"/>
        <v>5.7870401970278555</v>
      </c>
      <c r="ET370" s="4">
        <f t="shared" si="1011"/>
        <v>37.578037203080825</v>
      </c>
      <c r="EU370" s="4">
        <f t="shared" si="1012"/>
        <v>39.433499999999995</v>
      </c>
      <c r="EV370" s="4">
        <f t="shared" si="1098"/>
        <v>1.1529710395163923E-5</v>
      </c>
      <c r="EW370" s="4">
        <f t="shared" si="984"/>
        <v>7.2114651350312444</v>
      </c>
      <c r="EX370" s="4">
        <f t="shared" si="1131"/>
        <v>306.19326366743365</v>
      </c>
      <c r="FG370" s="23">
        <f t="shared" si="1030"/>
        <v>1.2</v>
      </c>
      <c r="FH370" s="23">
        <f t="shared" si="1030"/>
        <v>0.6</v>
      </c>
      <c r="FI370" s="23">
        <f t="shared" si="952"/>
        <v>1</v>
      </c>
      <c r="FJ370" s="23">
        <f t="shared" si="1031"/>
        <v>1.2</v>
      </c>
      <c r="FK370" s="23">
        <f t="shared" si="1031"/>
        <v>0.8</v>
      </c>
      <c r="FL370" s="23">
        <f t="shared" si="1031"/>
        <v>0.8</v>
      </c>
      <c r="FM370" s="23">
        <f t="shared" si="1195"/>
        <v>1</v>
      </c>
      <c r="FN370" s="23"/>
      <c r="FX370" s="4">
        <f t="shared" si="1099"/>
        <v>1</v>
      </c>
      <c r="FY370" s="4">
        <f t="shared" si="1139"/>
        <v>0.70833333333333326</v>
      </c>
      <c r="FZ370" s="4">
        <f t="shared" si="1100"/>
        <v>0</v>
      </c>
      <c r="GA370" s="4">
        <f t="shared" si="1101"/>
        <v>213.51928278056667</v>
      </c>
    </row>
    <row r="371" spans="1:183" ht="12" customHeight="1" x14ac:dyDescent="0.3">
      <c r="A371" s="25">
        <v>353</v>
      </c>
      <c r="B371" s="4" t="s">
        <v>605</v>
      </c>
      <c r="C371" s="4">
        <v>2016</v>
      </c>
      <c r="D371" s="4" t="s">
        <v>309</v>
      </c>
      <c r="E371" s="24" t="s">
        <v>672</v>
      </c>
      <c r="F371" s="7" t="s">
        <v>517</v>
      </c>
      <c r="G371" s="38">
        <f t="shared" si="1199"/>
        <v>889.65517241379314</v>
      </c>
      <c r="H371" s="38">
        <f>6.25*25.4</f>
        <v>158.75</v>
      </c>
      <c r="I371" s="4">
        <f t="shared" si="985"/>
        <v>158.75</v>
      </c>
      <c r="J371" s="38">
        <f t="shared" ref="J371:J373" si="1241">5160/145</f>
        <v>35.586206896551722</v>
      </c>
      <c r="K371" s="38">
        <f t="shared" si="986"/>
        <v>25.4</v>
      </c>
      <c r="L371" s="7">
        <f t="shared" si="987"/>
        <v>6.25</v>
      </c>
      <c r="M371" s="7">
        <f t="shared" si="988"/>
        <v>6.25</v>
      </c>
      <c r="N371" s="38">
        <f>17.3*25.4</f>
        <v>439.42</v>
      </c>
      <c r="O371" s="38">
        <f>2.65*25.4</f>
        <v>67.309999999999988</v>
      </c>
      <c r="P371" s="39">
        <f>7.1*25.4</f>
        <v>180.33999999999997</v>
      </c>
      <c r="Q371" s="7">
        <f t="shared" si="989"/>
        <v>114.30000000000003</v>
      </c>
      <c r="R371" s="38">
        <v>3</v>
      </c>
      <c r="S371" s="4">
        <f t="shared" si="966"/>
        <v>260.34999999999997</v>
      </c>
      <c r="T371" s="7">
        <f t="shared" si="990"/>
        <v>2.7500000000000004</v>
      </c>
      <c r="U371" s="7">
        <f t="shared" si="1127"/>
        <v>3.1499999999999995</v>
      </c>
      <c r="V371" s="38">
        <v>9.1</v>
      </c>
      <c r="W371" s="4">
        <f t="shared" si="991"/>
        <v>9.1</v>
      </c>
      <c r="X371" s="4">
        <f t="shared" si="992"/>
        <v>10.1</v>
      </c>
      <c r="Y371" s="7">
        <f t="shared" si="993"/>
        <v>80.72246279691916</v>
      </c>
      <c r="AB371" s="38">
        <f t="shared" si="1038"/>
        <v>376.55172413793105</v>
      </c>
      <c r="AC371" s="4">
        <v>54.6</v>
      </c>
      <c r="AD371" s="4">
        <f t="shared" si="1159"/>
        <v>1.1105084560718819</v>
      </c>
      <c r="AE371" s="38">
        <f>0.5*25.4</f>
        <v>12.7</v>
      </c>
      <c r="AF371" s="38">
        <v>10</v>
      </c>
      <c r="AG371" s="39">
        <f t="shared" si="1217"/>
        <v>76.199999999999989</v>
      </c>
      <c r="AH371" s="39">
        <v>3</v>
      </c>
      <c r="AI371" s="39">
        <f>AH371-1</f>
        <v>2</v>
      </c>
      <c r="AJ371" s="7"/>
      <c r="AK371" s="4">
        <f t="shared" si="994"/>
        <v>158.75</v>
      </c>
      <c r="AL371" s="4">
        <f t="shared" si="1175"/>
        <v>0.92266666666666663</v>
      </c>
      <c r="AM371" s="4">
        <f t="shared" si="1176"/>
        <v>78.493353014927791</v>
      </c>
      <c r="AN371" s="4">
        <f t="shared" si="1177"/>
        <v>0.80079999999999996</v>
      </c>
      <c r="AO371" s="4">
        <v>1.25</v>
      </c>
      <c r="AP371" s="4">
        <f t="shared" si="1112"/>
        <v>2.5</v>
      </c>
      <c r="AQ371" s="38">
        <f t="shared" si="967"/>
        <v>181.23905895538786</v>
      </c>
      <c r="AR371" s="38">
        <f t="shared" si="1178"/>
        <v>181.23905895538786</v>
      </c>
      <c r="AS371" s="38">
        <f t="shared" si="1179"/>
        <v>3.2457050730263122</v>
      </c>
      <c r="AT371" s="38">
        <f t="shared" si="1121"/>
        <v>181.23905895538806</v>
      </c>
      <c r="AU371" s="38">
        <f t="shared" si="1086"/>
        <v>0.99999999999999889</v>
      </c>
      <c r="AV371" s="38">
        <f t="shared" si="954"/>
        <v>3.4472563611864881</v>
      </c>
      <c r="AW371" s="4">
        <f t="shared" si="1230"/>
        <v>0</v>
      </c>
      <c r="AX371" s="4">
        <f t="shared" si="995"/>
        <v>196.23084142745833</v>
      </c>
      <c r="AY371" s="4">
        <f t="shared" si="968"/>
        <v>1.0581818181818181</v>
      </c>
      <c r="AZ371" s="38">
        <f t="shared" si="1102"/>
        <v>624.77749887941445</v>
      </c>
      <c r="BA371" s="4">
        <f t="shared" si="969"/>
        <v>0.3</v>
      </c>
      <c r="BB371" s="4">
        <f t="shared" si="970"/>
        <v>30.75918439375409</v>
      </c>
      <c r="BC371" s="4">
        <f t="shared" si="971"/>
        <v>655.53668327316859</v>
      </c>
      <c r="BE371" s="4">
        <f t="shared" si="1122"/>
        <v>1.5</v>
      </c>
      <c r="BF371" s="4">
        <f t="shared" si="1128"/>
        <v>436.22116049323989</v>
      </c>
      <c r="BH371" s="4">
        <f t="shared" si="1129"/>
        <v>599.23802673473551</v>
      </c>
      <c r="BI371" s="4">
        <f t="shared" si="1067"/>
        <v>0</v>
      </c>
      <c r="BJ371" s="4">
        <f t="shared" si="1130"/>
        <v>0</v>
      </c>
      <c r="BR371" s="4">
        <f t="shared" si="972"/>
        <v>57.150000000000013</v>
      </c>
      <c r="BV371" s="9"/>
      <c r="BX371" s="9"/>
      <c r="BY371" s="9"/>
      <c r="BZ371" s="9">
        <f t="shared" si="973"/>
        <v>57.150000000000013</v>
      </c>
      <c r="CA371" s="9">
        <f t="shared" si="974"/>
        <v>67.309999999999988</v>
      </c>
      <c r="CB371" s="9">
        <f t="shared" si="1087"/>
        <v>1.5372721608851661</v>
      </c>
      <c r="CC371" s="40">
        <f t="shared" si="996"/>
        <v>20</v>
      </c>
      <c r="CD371" s="9">
        <f t="shared" si="975"/>
        <v>0.05</v>
      </c>
      <c r="CE371" s="9">
        <f t="shared" si="976"/>
        <v>0.8</v>
      </c>
      <c r="CF371" s="9">
        <f t="shared" si="977"/>
        <v>0.99524931562137331</v>
      </c>
      <c r="CG371" s="9">
        <f t="shared" si="978"/>
        <v>0.68</v>
      </c>
      <c r="CH371" s="9">
        <f t="shared" si="1088"/>
        <v>1.4130245076626196</v>
      </c>
      <c r="CI371" s="9">
        <f t="shared" si="1089"/>
        <v>3.3026228444083086</v>
      </c>
      <c r="CJ371" s="40">
        <v>1</v>
      </c>
      <c r="CK371" s="9">
        <f t="shared" si="1090"/>
        <v>280.72294177470621</v>
      </c>
      <c r="CM371" s="4">
        <f t="shared" si="979"/>
        <v>1.9189222315857666</v>
      </c>
      <c r="CN371" s="4">
        <f t="shared" si="980"/>
        <v>0.57441747158643486</v>
      </c>
      <c r="CO371" s="4">
        <f t="shared" ref="CO371:CO434" si="1242">AB371/BF371</f>
        <v>0.86321287970569793</v>
      </c>
      <c r="CP371" s="4">
        <f t="shared" si="981"/>
        <v>1.341364270969104</v>
      </c>
      <c r="CQ371" s="4">
        <f t="shared" si="1189"/>
        <v>1.1105084560718819</v>
      </c>
      <c r="CR371" s="4">
        <f t="shared" si="1190"/>
        <v>1.0767191342865152</v>
      </c>
      <c r="CS371" s="4">
        <f t="shared" ref="CS371:CS434" si="1243">AB371/GA371</f>
        <v>1.3735243604164213</v>
      </c>
      <c r="CT371" s="4">
        <f t="shared" si="997"/>
        <v>10</v>
      </c>
      <c r="DA371" s="4">
        <f t="shared" ref="DA371:DB371" si="1244">CM371</f>
        <v>1.9189222315857666</v>
      </c>
      <c r="DB371" s="4">
        <f t="shared" si="1244"/>
        <v>0.57441747158643486</v>
      </c>
      <c r="DC371" s="4">
        <f t="shared" ref="DC371" si="1245">CP371</f>
        <v>1.341364270969104</v>
      </c>
      <c r="DD371" s="4">
        <f t="shared" ref="DD371" si="1246">CS371</f>
        <v>1.3735243604164213</v>
      </c>
      <c r="DE371" s="4">
        <f t="shared" ref="DE371:DF371" si="1247">CQ371</f>
        <v>1.1105084560718819</v>
      </c>
      <c r="DF371" s="4">
        <f t="shared" si="1247"/>
        <v>1.0767191342865152</v>
      </c>
      <c r="DI371" s="4">
        <f t="shared" si="982"/>
        <v>158.75</v>
      </c>
      <c r="DL371" s="4">
        <f t="shared" si="1166"/>
        <v>1.1603975840543402E-5</v>
      </c>
      <c r="DM371" s="4">
        <f t="shared" si="1009"/>
        <v>9.152363510286726</v>
      </c>
      <c r="DN371" s="4">
        <f t="shared" si="1167"/>
        <v>0.17578830841157264</v>
      </c>
      <c r="DO371" s="4">
        <f t="shared" si="1168"/>
        <v>4.5659300702407801</v>
      </c>
      <c r="DP371" s="4">
        <f t="shared" si="1169"/>
        <v>7.2361146259315881</v>
      </c>
      <c r="DQ371" s="4">
        <f t="shared" si="1170"/>
        <v>8.9773078893679497</v>
      </c>
      <c r="DR371" s="38">
        <f t="shared" si="1183"/>
        <v>339.08046542020867</v>
      </c>
      <c r="DS371" s="4">
        <f t="shared" si="1095"/>
        <v>1.0001301644832075</v>
      </c>
      <c r="DT371" s="4">
        <f t="shared" si="1171"/>
        <v>3.1780497164141401</v>
      </c>
      <c r="DU371" s="4">
        <f t="shared" si="1103"/>
        <v>181.23905895538806</v>
      </c>
      <c r="DY371" s="4">
        <f t="shared" si="1037"/>
        <v>0.85</v>
      </c>
      <c r="DZ371" s="4">
        <f t="shared" si="1096"/>
        <v>0.87499999999999989</v>
      </c>
      <c r="EA371" s="4">
        <f t="shared" si="1184"/>
        <v>0.77500000000000002</v>
      </c>
      <c r="EB371" s="4">
        <f t="shared" si="1097"/>
        <v>0.7</v>
      </c>
      <c r="ED371" s="4">
        <f t="shared" si="1185"/>
        <v>349.72140101090702</v>
      </c>
      <c r="EE371" s="25">
        <f t="shared" si="1186"/>
        <v>178.1145851930309</v>
      </c>
      <c r="EG371" s="4">
        <f t="shared" si="1104"/>
        <v>0.59499999999999997</v>
      </c>
      <c r="EH371" s="4">
        <f t="shared" si="1187"/>
        <v>9.152363510286726</v>
      </c>
      <c r="EK371" s="4">
        <f t="shared" si="1172"/>
        <v>80.72246279691916</v>
      </c>
      <c r="EL371" s="4">
        <f t="shared" si="1173"/>
        <v>3.1780497164141406</v>
      </c>
      <c r="EM371" s="4">
        <f t="shared" si="1174"/>
        <v>5.734111084454635E-2</v>
      </c>
      <c r="EP371" s="4">
        <f t="shared" si="998"/>
        <v>5.734111084454635E-2</v>
      </c>
      <c r="EQ371" s="4">
        <f t="shared" si="960"/>
        <v>0.17549495048732072</v>
      </c>
      <c r="ER371" s="4">
        <f t="shared" si="1010"/>
        <v>4.5628806684554224</v>
      </c>
      <c r="ES371" s="4">
        <f t="shared" si="983"/>
        <v>7.2351640350195305</v>
      </c>
      <c r="ET371" s="4">
        <f t="shared" si="1011"/>
        <v>38.34003720308084</v>
      </c>
      <c r="EU371" s="4">
        <f t="shared" si="1012"/>
        <v>39.6875</v>
      </c>
      <c r="EV371" s="4">
        <f t="shared" si="1098"/>
        <v>1.1603975840543402E-5</v>
      </c>
      <c r="EW371" s="4">
        <f t="shared" si="984"/>
        <v>8.9773676640046052</v>
      </c>
      <c r="EX371" s="4">
        <f t="shared" si="1131"/>
        <v>339.03633493088387</v>
      </c>
      <c r="FG371" s="23">
        <f t="shared" si="1030"/>
        <v>2</v>
      </c>
      <c r="FH371" s="23">
        <f t="shared" si="1030"/>
        <v>0.6</v>
      </c>
      <c r="FI371" s="23">
        <f t="shared" ref="FI371:FI434" si="1248">IF(CS371&lt;0.6,0.6,IF(CS371&lt;0.8,0.8,IF(CS371&lt;1,1,IF(CS371&lt;1.2,1.2,IF(CS371&lt;1.4,1.4,IF(CS371&lt;1.6,1.6,IF(CS371&lt;1.8,1.8,IF(CS371&lt;2,2,2.2))))))))</f>
        <v>1.4</v>
      </c>
      <c r="FJ371" s="23">
        <f t="shared" si="1031"/>
        <v>1.4</v>
      </c>
      <c r="FK371" s="23">
        <f t="shared" si="1031"/>
        <v>1.2</v>
      </c>
      <c r="FL371" s="23">
        <f t="shared" si="1031"/>
        <v>1.2</v>
      </c>
      <c r="FM371" s="23">
        <f t="shared" si="1195"/>
        <v>0</v>
      </c>
      <c r="FN371" s="23"/>
      <c r="FX371" s="4">
        <f t="shared" si="1099"/>
        <v>1</v>
      </c>
      <c r="FY371" s="4">
        <f t="shared" si="1139"/>
        <v>0.55523255813953487</v>
      </c>
      <c r="FZ371" s="4">
        <f t="shared" si="1100"/>
        <v>0.3</v>
      </c>
      <c r="GA371" s="4">
        <f t="shared" si="1101"/>
        <v>274.15001509239278</v>
      </c>
    </row>
    <row r="372" spans="1:183" ht="12" customHeight="1" x14ac:dyDescent="0.3">
      <c r="A372" s="25">
        <v>354</v>
      </c>
      <c r="B372" s="4" t="s">
        <v>605</v>
      </c>
      <c r="C372" s="4">
        <v>2016</v>
      </c>
      <c r="D372" s="4" t="s">
        <v>309</v>
      </c>
      <c r="E372" s="24" t="s">
        <v>672</v>
      </c>
      <c r="F372" s="7" t="s">
        <v>518</v>
      </c>
      <c r="G372" s="38">
        <f>120/0.145</f>
        <v>827.58620689655174</v>
      </c>
      <c r="H372" s="38">
        <f>6.13*25.4</f>
        <v>155.702</v>
      </c>
      <c r="I372" s="4">
        <f t="shared" si="985"/>
        <v>155.702</v>
      </c>
      <c r="J372" s="38">
        <f t="shared" si="1241"/>
        <v>35.586206896551722</v>
      </c>
      <c r="K372" s="38">
        <f t="shared" si="986"/>
        <v>25.4</v>
      </c>
      <c r="L372" s="7">
        <f t="shared" si="987"/>
        <v>6.13</v>
      </c>
      <c r="M372" s="7">
        <f t="shared" si="988"/>
        <v>6.13</v>
      </c>
      <c r="N372" s="38">
        <f>17*25.4</f>
        <v>431.79999999999995</v>
      </c>
      <c r="O372" s="38">
        <f>2.65*25.4</f>
        <v>67.309999999999988</v>
      </c>
      <c r="P372" s="39">
        <f>6.6*25.4</f>
        <v>167.64</v>
      </c>
      <c r="Q372" s="7">
        <f t="shared" si="989"/>
        <v>65.193333333333314</v>
      </c>
      <c r="R372" s="38">
        <v>4</v>
      </c>
      <c r="S372" s="4">
        <f t="shared" si="966"/>
        <v>260.34999999999997</v>
      </c>
      <c r="T372" s="7">
        <f t="shared" si="990"/>
        <v>1.783333333333333</v>
      </c>
      <c r="U372" s="7">
        <f t="shared" si="1127"/>
        <v>3.1499999999999995</v>
      </c>
      <c r="V372" s="38">
        <v>9.5</v>
      </c>
      <c r="W372" s="4">
        <f t="shared" si="991"/>
        <v>9.5</v>
      </c>
      <c r="X372" s="4">
        <f t="shared" si="992"/>
        <v>10.5</v>
      </c>
      <c r="Y372" s="7">
        <f t="shared" si="993"/>
        <v>82.305406869779816</v>
      </c>
      <c r="AB372" s="38">
        <f t="shared" si="1038"/>
        <v>189.65517241379311</v>
      </c>
      <c r="AC372" s="4">
        <v>27.5</v>
      </c>
      <c r="AD372" s="4">
        <f t="shared" si="1159"/>
        <v>0.79874270242833545</v>
      </c>
      <c r="AE372" s="38"/>
      <c r="AF372" s="38"/>
      <c r="AG372" s="39">
        <v>1</v>
      </c>
      <c r="AH372" s="39"/>
      <c r="AI372" s="39"/>
      <c r="AJ372" s="7"/>
      <c r="AK372" s="4">
        <f t="shared" si="994"/>
        <v>155.702</v>
      </c>
      <c r="AL372" s="4">
        <f t="shared" si="1175"/>
        <v>0.92441544317563884</v>
      </c>
      <c r="AM372" s="4">
        <f t="shared" si="1176"/>
        <v>57.182722758449053</v>
      </c>
      <c r="AN372" s="4">
        <f t="shared" si="1177"/>
        <v>0.80277324632952685</v>
      </c>
      <c r="AO372" s="4">
        <v>1.25</v>
      </c>
      <c r="AP372" s="4">
        <f t="shared" si="1112"/>
        <v>2.5</v>
      </c>
      <c r="AQ372" s="38">
        <f t="shared" si="967"/>
        <v>132.60959076042428</v>
      </c>
      <c r="AR372" s="38">
        <f t="shared" si="1178"/>
        <v>132.60959076042428</v>
      </c>
      <c r="AS372" s="38">
        <f t="shared" si="1179"/>
        <v>3.2457050730263122</v>
      </c>
      <c r="AT372" s="38">
        <f t="shared" si="1121"/>
        <v>132.60959076042434</v>
      </c>
      <c r="AU372" s="38">
        <f t="shared" si="1086"/>
        <v>0.99999999999999956</v>
      </c>
      <c r="AV372" s="38">
        <f t="shared" ref="AV372:AV435" si="1249">AZ372/AT372</f>
        <v>3.8543795986037743</v>
      </c>
      <c r="AW372" s="4">
        <f t="shared" si="1230"/>
        <v>0</v>
      </c>
      <c r="AX372" s="4">
        <f t="shared" si="995"/>
        <v>192.46320927205113</v>
      </c>
      <c r="AY372" s="4">
        <f t="shared" si="968"/>
        <v>1.3065420560747665</v>
      </c>
      <c r="AZ372" s="38">
        <f t="shared" si="1102"/>
        <v>511.12770120617512</v>
      </c>
      <c r="BA372" s="4">
        <f t="shared" si="969"/>
        <v>0.3</v>
      </c>
      <c r="BB372" s="4">
        <f t="shared" si="970"/>
        <v>30.168608053394017</v>
      </c>
      <c r="BC372" s="4">
        <f t="shared" si="971"/>
        <v>541.29630925956917</v>
      </c>
      <c r="BE372" s="4">
        <f t="shared" si="1122"/>
        <v>1.4124999999999999</v>
      </c>
      <c r="BF372" s="4">
        <f t="shared" si="1128"/>
        <v>407.74151129201192</v>
      </c>
      <c r="BH372" s="4">
        <f t="shared" si="1129"/>
        <v>490.23397230149772</v>
      </c>
      <c r="BI372" s="4">
        <f t="shared" si="1067"/>
        <v>0</v>
      </c>
      <c r="BJ372" s="4">
        <f t="shared" si="1130"/>
        <v>0</v>
      </c>
      <c r="BR372" s="4">
        <f t="shared" si="972"/>
        <v>32.596666666666657</v>
      </c>
      <c r="BV372" s="9"/>
      <c r="BX372" s="9"/>
      <c r="BY372" s="9"/>
      <c r="BZ372" s="9">
        <f t="shared" si="973"/>
        <v>32.596666666666657</v>
      </c>
      <c r="CA372" s="9">
        <f t="shared" si="974"/>
        <v>67.309999999999988</v>
      </c>
      <c r="CB372" s="9">
        <f t="shared" si="1087"/>
        <v>1.2630068246419943</v>
      </c>
      <c r="CC372" s="40">
        <f t="shared" si="996"/>
        <v>0</v>
      </c>
      <c r="CD372" s="9">
        <f t="shared" si="975"/>
        <v>0</v>
      </c>
      <c r="CE372" s="9">
        <f t="shared" si="976"/>
        <v>0</v>
      </c>
      <c r="CF372" s="9">
        <f t="shared" si="977"/>
        <v>0.99524931562137331</v>
      </c>
      <c r="CG372" s="9">
        <f t="shared" si="978"/>
        <v>0.68</v>
      </c>
      <c r="CH372" s="9">
        <f t="shared" si="1088"/>
        <v>1.4130245076626196</v>
      </c>
      <c r="CI372" s="9">
        <f t="shared" si="1089"/>
        <v>1.7846595965642824</v>
      </c>
      <c r="CJ372" s="40">
        <v>1</v>
      </c>
      <c r="CK372" s="9">
        <f t="shared" si="1090"/>
        <v>150.83942910161315</v>
      </c>
      <c r="CM372" s="4">
        <f t="shared" si="979"/>
        <v>0.9854100070923747</v>
      </c>
      <c r="CN372" s="4">
        <f t="shared" si="980"/>
        <v>0.35037218833658679</v>
      </c>
      <c r="CO372" s="4">
        <f t="shared" si="1242"/>
        <v>0.46513579599200511</v>
      </c>
      <c r="CP372" s="4">
        <f t="shared" si="981"/>
        <v>1.257331544831237</v>
      </c>
      <c r="CQ372" s="4">
        <f t="shared" si="1189"/>
        <v>0.79874270242833545</v>
      </c>
      <c r="CR372" s="4">
        <f t="shared" si="1190"/>
        <v>0.75400013200926497</v>
      </c>
      <c r="CS372" s="4">
        <f t="shared" si="1243"/>
        <v>1.1044927574542696</v>
      </c>
      <c r="CT372" s="4">
        <f t="shared" si="997"/>
        <v>0</v>
      </c>
      <c r="CU372" s="4">
        <f t="shared" ref="CU372:CV372" si="1250">CM372</f>
        <v>0.9854100070923747</v>
      </c>
      <c r="CV372" s="4">
        <f t="shared" si="1250"/>
        <v>0.35037218833658679</v>
      </c>
      <c r="CW372" s="4">
        <f t="shared" ref="CW372" si="1251">CP372</f>
        <v>1.257331544831237</v>
      </c>
      <c r="CX372" s="4">
        <f t="shared" si="1134"/>
        <v>1.1044927574542696</v>
      </c>
      <c r="CY372" s="4">
        <f t="shared" ref="CY372:CZ372" si="1252">CQ372</f>
        <v>0.79874270242833545</v>
      </c>
      <c r="CZ372" s="4">
        <f t="shared" si="1252"/>
        <v>0.75400013200926497</v>
      </c>
      <c r="DI372" s="4">
        <f t="shared" si="982"/>
        <v>155.702</v>
      </c>
      <c r="DL372" s="4">
        <f t="shared" si="1166"/>
        <v>1.1381179504404969E-5</v>
      </c>
      <c r="DM372" s="4">
        <f t="shared" si="1009"/>
        <v>6.5934694242202827</v>
      </c>
      <c r="DN372" s="4">
        <f t="shared" si="1167"/>
        <v>0.12562175977913401</v>
      </c>
      <c r="DO372" s="4">
        <f t="shared" si="1168"/>
        <v>2.8756759529164433</v>
      </c>
      <c r="DP372" s="4">
        <f t="shared" si="1169"/>
        <v>5.0911458024701526</v>
      </c>
      <c r="DQ372" s="4">
        <f t="shared" si="1170"/>
        <v>6.5125846596970431</v>
      </c>
      <c r="DR372" s="38">
        <f t="shared" si="1183"/>
        <v>237.4421347915968</v>
      </c>
      <c r="DS372" s="4">
        <f t="shared" si="1095"/>
        <v>1.000116317299957</v>
      </c>
      <c r="DT372" s="4">
        <f t="shared" si="1171"/>
        <v>3.2403703492039297</v>
      </c>
      <c r="DU372" s="4">
        <f t="shared" si="1103"/>
        <v>132.60959076042434</v>
      </c>
      <c r="DY372" s="4">
        <f t="shared" si="1037"/>
        <v>0.85</v>
      </c>
      <c r="DZ372" s="4">
        <f t="shared" si="1096"/>
        <v>0.97166666666666668</v>
      </c>
      <c r="EA372" s="4">
        <f t="shared" si="1184"/>
        <v>1</v>
      </c>
      <c r="EB372" s="4">
        <f t="shared" si="1097"/>
        <v>0.97166666666666668</v>
      </c>
      <c r="ED372" s="4">
        <f t="shared" si="1185"/>
        <v>251.53201486636169</v>
      </c>
      <c r="EE372" s="25">
        <f t="shared" si="1186"/>
        <v>130.27811215495069</v>
      </c>
      <c r="EG372" s="4">
        <f t="shared" si="1104"/>
        <v>0.82591666666666663</v>
      </c>
      <c r="EH372" s="4">
        <f t="shared" si="1187"/>
        <v>6.5934694242202827</v>
      </c>
      <c r="EK372" s="4">
        <f t="shared" si="1172"/>
        <v>82.305406869779816</v>
      </c>
      <c r="EL372" s="4">
        <f t="shared" si="1173"/>
        <v>3.2403703492039302</v>
      </c>
      <c r="EM372" s="4">
        <f t="shared" si="1174"/>
        <v>4.0977078151962498E-2</v>
      </c>
      <c r="EP372" s="4">
        <f t="shared" si="998"/>
        <v>4.0977078151962498E-2</v>
      </c>
      <c r="EQ372" s="4">
        <f t="shared" si="960"/>
        <v>0.12541212047477598</v>
      </c>
      <c r="ER372" s="4">
        <f t="shared" si="1010"/>
        <v>2.8737554041454305</v>
      </c>
      <c r="ES372" s="4">
        <f t="shared" si="983"/>
        <v>5.0906145227136008</v>
      </c>
      <c r="ET372" s="4">
        <f t="shared" si="1011"/>
        <v>34.471093130220183</v>
      </c>
      <c r="EU372" s="4">
        <f t="shared" si="1012"/>
        <v>38.9255</v>
      </c>
      <c r="EV372" s="4">
        <f t="shared" si="1098"/>
        <v>1.1381179504404969E-5</v>
      </c>
      <c r="EW372" s="4">
        <f t="shared" si="984"/>
        <v>6.5126110550224459</v>
      </c>
      <c r="EX372" s="4">
        <f t="shared" si="1131"/>
        <v>237.41451937573243</v>
      </c>
      <c r="FG372" s="23">
        <f t="shared" si="1030"/>
        <v>1</v>
      </c>
      <c r="FH372" s="23">
        <f t="shared" si="1030"/>
        <v>0.6</v>
      </c>
      <c r="FI372" s="23">
        <f t="shared" si="1248"/>
        <v>1.2</v>
      </c>
      <c r="FJ372" s="23">
        <f t="shared" si="1031"/>
        <v>1.4</v>
      </c>
      <c r="FK372" s="23">
        <f t="shared" si="1031"/>
        <v>0.8</v>
      </c>
      <c r="FL372" s="23">
        <f t="shared" si="1031"/>
        <v>0.8</v>
      </c>
      <c r="FM372" s="23">
        <f t="shared" si="1195"/>
        <v>1</v>
      </c>
      <c r="FN372" s="23"/>
      <c r="FX372" s="4">
        <f t="shared" si="1099"/>
        <v>1</v>
      </c>
      <c r="FY372" s="4">
        <f t="shared" si="1139"/>
        <v>0.86944444444444446</v>
      </c>
      <c r="FZ372" s="4">
        <f t="shared" si="1100"/>
        <v>0</v>
      </c>
      <c r="GA372" s="4">
        <f t="shared" si="1101"/>
        <v>171.71246360268287</v>
      </c>
    </row>
    <row r="373" spans="1:183" ht="12" customHeight="1" x14ac:dyDescent="0.3">
      <c r="A373" s="25">
        <v>355</v>
      </c>
      <c r="B373" s="4" t="s">
        <v>605</v>
      </c>
      <c r="C373" s="4">
        <v>2016</v>
      </c>
      <c r="D373" s="4" t="s">
        <v>309</v>
      </c>
      <c r="E373" s="24" t="s">
        <v>672</v>
      </c>
      <c r="F373" s="7" t="s">
        <v>519</v>
      </c>
      <c r="G373" s="38">
        <f t="shared" si="1199"/>
        <v>889.65517241379314</v>
      </c>
      <c r="H373" s="38">
        <f>6.03*25.4</f>
        <v>153.16200000000001</v>
      </c>
      <c r="I373" s="4">
        <f t="shared" si="985"/>
        <v>153.16200000000001</v>
      </c>
      <c r="J373" s="38">
        <f t="shared" si="1241"/>
        <v>35.586206896551722</v>
      </c>
      <c r="K373" s="38">
        <f t="shared" si="986"/>
        <v>25.4</v>
      </c>
      <c r="L373" s="7">
        <f t="shared" si="987"/>
        <v>6.03</v>
      </c>
      <c r="M373" s="7">
        <f t="shared" si="988"/>
        <v>6.03</v>
      </c>
      <c r="N373" s="38">
        <f>17.4*25.4</f>
        <v>441.95999999999992</v>
      </c>
      <c r="O373" s="38">
        <f>2.55*25.4</f>
        <v>64.77</v>
      </c>
      <c r="P373" s="39">
        <f>7.25*25.4</f>
        <v>184.14999999999998</v>
      </c>
      <c r="Q373" s="7">
        <f t="shared" si="989"/>
        <v>70.273333333333298</v>
      </c>
      <c r="R373" s="38">
        <v>4</v>
      </c>
      <c r="S373" s="4">
        <f t="shared" si="966"/>
        <v>260.34999999999997</v>
      </c>
      <c r="T373" s="7">
        <f t="shared" si="990"/>
        <v>1.8833333333333326</v>
      </c>
      <c r="U373" s="7">
        <f t="shared" si="1127"/>
        <v>3.05</v>
      </c>
      <c r="V373" s="38">
        <v>9.1</v>
      </c>
      <c r="W373" s="4">
        <f t="shared" si="991"/>
        <v>9.1</v>
      </c>
      <c r="X373" s="4">
        <f t="shared" si="992"/>
        <v>10.1</v>
      </c>
      <c r="Y373" s="7">
        <f t="shared" si="993"/>
        <v>80.72246279691916</v>
      </c>
      <c r="AB373" s="38">
        <f t="shared" si="1038"/>
        <v>275.86206896551727</v>
      </c>
      <c r="AC373" s="4">
        <v>40</v>
      </c>
      <c r="AD373" s="4">
        <f t="shared" si="1159"/>
        <v>1.023547164422965</v>
      </c>
      <c r="AE373" s="38">
        <f>0.5*25.4</f>
        <v>12.7</v>
      </c>
      <c r="AF373" s="38">
        <v>10</v>
      </c>
      <c r="AG373" s="39">
        <f t="shared" si="1217"/>
        <v>76.199999999999989</v>
      </c>
      <c r="AH373" s="39">
        <v>3</v>
      </c>
      <c r="AI373" s="39">
        <f>AH373-1</f>
        <v>2</v>
      </c>
      <c r="AJ373" s="7"/>
      <c r="AK373" s="4">
        <f t="shared" si="994"/>
        <v>153.16200000000001</v>
      </c>
      <c r="AL373" s="4">
        <f t="shared" si="1175"/>
        <v>0.96185737976782737</v>
      </c>
      <c r="AM373" s="4">
        <f t="shared" si="1176"/>
        <v>55.789193974838994</v>
      </c>
      <c r="AN373" s="4">
        <f t="shared" si="1177"/>
        <v>0.80116086235489214</v>
      </c>
      <c r="AO373" s="4">
        <v>1.25</v>
      </c>
      <c r="AP373" s="4">
        <f t="shared" si="1112"/>
        <v>2.5</v>
      </c>
      <c r="AQ373" s="38">
        <f t="shared" si="967"/>
        <v>134.34778647326121</v>
      </c>
      <c r="AR373" s="38">
        <f t="shared" si="1178"/>
        <v>134.34778647326121</v>
      </c>
      <c r="AS373" s="38">
        <f t="shared" si="1179"/>
        <v>3.2457050730263122</v>
      </c>
      <c r="AT373" s="38">
        <f t="shared" si="1121"/>
        <v>134.34778647326129</v>
      </c>
      <c r="AU373" s="38">
        <f t="shared" si="1086"/>
        <v>0.99999999999999933</v>
      </c>
      <c r="AV373" s="38">
        <f t="shared" si="1249"/>
        <v>3.7555170510795586</v>
      </c>
      <c r="AW373" s="4">
        <f t="shared" si="1230"/>
        <v>0</v>
      </c>
      <c r="AX373" s="4">
        <f t="shared" si="995"/>
        <v>189.32351580921181</v>
      </c>
      <c r="AY373" s="4">
        <f t="shared" si="968"/>
        <v>1.2477876106194694</v>
      </c>
      <c r="AZ373" s="38">
        <f t="shared" si="1102"/>
        <v>504.54540287512845</v>
      </c>
      <c r="BA373" s="4">
        <f t="shared" si="969"/>
        <v>0.3</v>
      </c>
      <c r="BB373" s="4">
        <f t="shared" si="970"/>
        <v>29.676461103093949</v>
      </c>
      <c r="BC373" s="4">
        <f t="shared" si="971"/>
        <v>534.22186397822236</v>
      </c>
      <c r="BE373" s="4">
        <f t="shared" si="1122"/>
        <v>1.5</v>
      </c>
      <c r="BF373" s="4">
        <f t="shared" si="1128"/>
        <v>430.31539708963913</v>
      </c>
      <c r="BH373" s="4">
        <f t="shared" si="1129"/>
        <v>483.92074323939113</v>
      </c>
      <c r="BI373" s="4">
        <f t="shared" si="1067"/>
        <v>0</v>
      </c>
      <c r="BJ373" s="4">
        <f t="shared" si="1130"/>
        <v>0</v>
      </c>
      <c r="BR373" s="4">
        <f t="shared" si="972"/>
        <v>35.136666666666649</v>
      </c>
      <c r="BV373" s="9"/>
      <c r="BX373" s="9"/>
      <c r="BY373" s="9"/>
      <c r="BZ373" s="9">
        <f t="shared" si="973"/>
        <v>35.136666666666649</v>
      </c>
      <c r="CA373" s="9">
        <f t="shared" si="974"/>
        <v>64.77</v>
      </c>
      <c r="CB373" s="9">
        <f t="shared" si="1087"/>
        <v>1.2891558441961506</v>
      </c>
      <c r="CC373" s="40">
        <f t="shared" si="996"/>
        <v>20</v>
      </c>
      <c r="CD373" s="9">
        <f t="shared" si="975"/>
        <v>0.05</v>
      </c>
      <c r="CE373" s="9">
        <f t="shared" si="976"/>
        <v>0.8</v>
      </c>
      <c r="CF373" s="9">
        <f t="shared" si="977"/>
        <v>0.99524931562137331</v>
      </c>
      <c r="CG373" s="9">
        <f t="shared" si="978"/>
        <v>0.68</v>
      </c>
      <c r="CH373" s="9">
        <f t="shared" si="1088"/>
        <v>1.4130245076626196</v>
      </c>
      <c r="CI373" s="9">
        <f t="shared" si="1089"/>
        <v>2.95202840817575</v>
      </c>
      <c r="CJ373" s="40">
        <v>1</v>
      </c>
      <c r="CK373" s="9">
        <f t="shared" si="1090"/>
        <v>248.32462969574408</v>
      </c>
      <c r="CM373" s="4">
        <f t="shared" si="979"/>
        <v>1.4570935247342094</v>
      </c>
      <c r="CN373" s="4">
        <f t="shared" si="980"/>
        <v>0.51638109101570362</v>
      </c>
      <c r="CO373" s="4">
        <f t="shared" si="1242"/>
        <v>0.64106948259639507</v>
      </c>
      <c r="CP373" s="4">
        <f t="shared" si="981"/>
        <v>1.110892903790949</v>
      </c>
      <c r="CQ373" s="4">
        <f t="shared" si="1189"/>
        <v>1.023547164422965</v>
      </c>
      <c r="CR373" s="4">
        <f t="shared" si="1190"/>
        <v>0.95972228420837502</v>
      </c>
      <c r="CS373" s="4">
        <f t="shared" si="1243"/>
        <v>1.1875804167963844</v>
      </c>
      <c r="CT373" s="4">
        <f t="shared" si="997"/>
        <v>10</v>
      </c>
      <c r="DA373" s="4">
        <f t="shared" ref="DA373:DB373" si="1253">CM373</f>
        <v>1.4570935247342094</v>
      </c>
      <c r="DB373" s="4">
        <f t="shared" si="1253"/>
        <v>0.51638109101570362</v>
      </c>
      <c r="DC373" s="4">
        <f t="shared" ref="DC373" si="1254">CP373</f>
        <v>1.110892903790949</v>
      </c>
      <c r="DD373" s="4">
        <f t="shared" ref="DD373" si="1255">CS373</f>
        <v>1.1875804167963844</v>
      </c>
      <c r="DE373" s="4">
        <f t="shared" ref="DE373:DF373" si="1256">CQ373</f>
        <v>1.023547164422965</v>
      </c>
      <c r="DF373" s="4">
        <f t="shared" si="1256"/>
        <v>0.95972228420837502</v>
      </c>
      <c r="DI373" s="4">
        <f t="shared" si="982"/>
        <v>153.16200000000001</v>
      </c>
      <c r="DL373" s="4">
        <f t="shared" si="1166"/>
        <v>1.1195515890956275E-5</v>
      </c>
      <c r="DM373" s="4">
        <f t="shared" si="1009"/>
        <v>8.5961707929120017</v>
      </c>
      <c r="DN373" s="4">
        <f t="shared" si="1167"/>
        <v>0.13030728728726751</v>
      </c>
      <c r="DO373" s="4">
        <f t="shared" si="1168"/>
        <v>3.8044555753490479</v>
      </c>
      <c r="DP373" s="4">
        <f t="shared" si="1169"/>
        <v>6.6529430361481445</v>
      </c>
      <c r="DQ373" s="4">
        <f t="shared" si="1170"/>
        <v>8.4621477029872203</v>
      </c>
      <c r="DR373" s="38">
        <f t="shared" si="1183"/>
        <v>269.51573757818699</v>
      </c>
      <c r="DS373" s="4">
        <f t="shared" si="1095"/>
        <v>1.0001330912885906</v>
      </c>
      <c r="DT373" s="4">
        <f t="shared" si="1171"/>
        <v>3.1780497164141401</v>
      </c>
      <c r="DU373" s="4">
        <f t="shared" si="1103"/>
        <v>134.34778647326129</v>
      </c>
      <c r="DY373" s="4">
        <f t="shared" si="1037"/>
        <v>0.85</v>
      </c>
      <c r="DZ373" s="4">
        <f t="shared" si="1096"/>
        <v>0.96166666666666667</v>
      </c>
      <c r="EA373" s="4">
        <f t="shared" si="1184"/>
        <v>0.77500000000000002</v>
      </c>
      <c r="EB373" s="4">
        <f t="shared" si="1097"/>
        <v>0.74529166666666669</v>
      </c>
      <c r="ED373" s="4">
        <f t="shared" si="1185"/>
        <v>287.43947442364697</v>
      </c>
      <c r="EE373" s="25">
        <f t="shared" si="1186"/>
        <v>131.93474477986888</v>
      </c>
      <c r="EG373" s="4">
        <f t="shared" si="1104"/>
        <v>0.63349791666666666</v>
      </c>
      <c r="EH373" s="4">
        <f t="shared" si="1187"/>
        <v>8.5961707929120017</v>
      </c>
      <c r="EK373" s="4">
        <f t="shared" si="1172"/>
        <v>80.72246279691916</v>
      </c>
      <c r="EL373" s="4">
        <f t="shared" si="1173"/>
        <v>3.1780497164141406</v>
      </c>
      <c r="EM373" s="4">
        <f t="shared" si="1174"/>
        <v>4.2505469628260288E-2</v>
      </c>
      <c r="EP373" s="4">
        <f t="shared" si="998"/>
        <v>4.2505469628260288E-2</v>
      </c>
      <c r="EQ373" s="4">
        <f t="shared" ref="EQ373:EQ436" si="1257">MIN(0.999, EP373/(0.3*(J373/30)^0.5))</f>
        <v>0.13008982871076205</v>
      </c>
      <c r="ER373" s="4">
        <f t="shared" si="1010"/>
        <v>3.8019147318745952</v>
      </c>
      <c r="ES373" s="4">
        <f t="shared" si="983"/>
        <v>6.6522306588627282</v>
      </c>
      <c r="ET373" s="4">
        <f t="shared" si="1011"/>
        <v>34.149037203080837</v>
      </c>
      <c r="EU373" s="4">
        <f t="shared" si="1012"/>
        <v>38.290500000000009</v>
      </c>
      <c r="EV373" s="4">
        <f t="shared" si="1098"/>
        <v>1.1195515890956275E-5</v>
      </c>
      <c r="EW373" s="4">
        <f t="shared" si="984"/>
        <v>8.4621917009097825</v>
      </c>
      <c r="EX373" s="4">
        <f t="shared" si="1131"/>
        <v>269.47987215475268</v>
      </c>
      <c r="FG373" s="23">
        <f t="shared" si="1030"/>
        <v>1.6</v>
      </c>
      <c r="FH373" s="23">
        <f t="shared" si="1030"/>
        <v>0.6</v>
      </c>
      <c r="FI373" s="23">
        <f t="shared" si="1248"/>
        <v>1.2</v>
      </c>
      <c r="FJ373" s="23">
        <f t="shared" si="1031"/>
        <v>1.2</v>
      </c>
      <c r="FK373" s="23">
        <f t="shared" si="1031"/>
        <v>1.2</v>
      </c>
      <c r="FL373" s="23">
        <f t="shared" si="1031"/>
        <v>1</v>
      </c>
      <c r="FM373" s="23">
        <f t="shared" si="1195"/>
        <v>0</v>
      </c>
      <c r="FN373" s="23"/>
      <c r="FX373" s="4">
        <f t="shared" si="1099"/>
        <v>1</v>
      </c>
      <c r="FY373" s="4">
        <f t="shared" si="1139"/>
        <v>0.63222480620155053</v>
      </c>
      <c r="FZ373" s="4">
        <f t="shared" si="1100"/>
        <v>0.3</v>
      </c>
      <c r="GA373" s="4">
        <f t="shared" si="1101"/>
        <v>232.28916969655197</v>
      </c>
    </row>
    <row r="374" spans="1:183" ht="12" customHeight="1" x14ac:dyDescent="0.3">
      <c r="A374" s="25">
        <v>356</v>
      </c>
      <c r="B374" s="4" t="s">
        <v>605</v>
      </c>
      <c r="C374" s="4">
        <v>2016</v>
      </c>
      <c r="D374" s="4" t="s">
        <v>309</v>
      </c>
      <c r="E374" s="24" t="s">
        <v>520</v>
      </c>
      <c r="F374" s="7" t="s">
        <v>521</v>
      </c>
      <c r="G374" s="38">
        <f>139/0.145</f>
        <v>958.62068965517244</v>
      </c>
      <c r="H374" s="38">
        <f>4.06*25.4</f>
        <v>103.12399999999998</v>
      </c>
      <c r="I374" s="4">
        <f t="shared" si="985"/>
        <v>103.12399999999998</v>
      </c>
      <c r="J374" s="38">
        <f>4810/145</f>
        <v>33.172413793103445</v>
      </c>
      <c r="K374" s="38">
        <f>0.625*25.4</f>
        <v>15.875</v>
      </c>
      <c r="L374" s="7">
        <f t="shared" si="987"/>
        <v>6.4959999999999987</v>
      </c>
      <c r="M374" s="7">
        <f t="shared" si="988"/>
        <v>6.4959999999999987</v>
      </c>
      <c r="N374" s="38">
        <f>12.9*25.4</f>
        <v>327.65999999999997</v>
      </c>
      <c r="O374" s="38">
        <f>2.5*25.4</f>
        <v>63.5</v>
      </c>
      <c r="P374" s="39">
        <f>5.25*25.4</f>
        <v>133.35</v>
      </c>
      <c r="Q374" s="7">
        <f t="shared" si="989"/>
        <v>168.90999999999997</v>
      </c>
      <c r="R374" s="38">
        <v>2</v>
      </c>
      <c r="S374" s="4">
        <f t="shared" ref="S374:S398" si="1258">5.25*25.4</f>
        <v>133.35</v>
      </c>
      <c r="T374" s="7">
        <f t="shared" si="990"/>
        <v>4.5</v>
      </c>
      <c r="U374" s="7">
        <f t="shared" si="1127"/>
        <v>4.5</v>
      </c>
      <c r="V374" s="38">
        <v>4</v>
      </c>
      <c r="W374" s="4">
        <f t="shared" si="991"/>
        <v>4</v>
      </c>
      <c r="X374" s="4">
        <f t="shared" si="992"/>
        <v>5</v>
      </c>
      <c r="Y374" s="7">
        <f t="shared" si="993"/>
        <v>35.497579142809165</v>
      </c>
      <c r="AB374" s="38">
        <f t="shared" si="1038"/>
        <v>544.82758620689663</v>
      </c>
      <c r="AC374" s="4">
        <v>79</v>
      </c>
      <c r="AD374" s="4">
        <f t="shared" si="1159"/>
        <v>0.85551395808440578</v>
      </c>
      <c r="AE374" s="38"/>
      <c r="AF374" s="38"/>
      <c r="AG374" s="39">
        <v>1</v>
      </c>
      <c r="AH374" s="39"/>
      <c r="AI374" s="39"/>
      <c r="AJ374" s="7"/>
      <c r="AK374" s="4">
        <f t="shared" si="994"/>
        <v>103.12399999999998</v>
      </c>
      <c r="AL374" s="4">
        <f t="shared" si="1175"/>
        <v>1.059113300492611</v>
      </c>
      <c r="AM374" s="4">
        <f t="shared" si="1176"/>
        <v>152.36345683370544</v>
      </c>
      <c r="AN374" s="4">
        <f t="shared" si="1177"/>
        <v>0.83854679802955667</v>
      </c>
      <c r="AO374" s="4">
        <v>1.25</v>
      </c>
      <c r="AP374" s="4">
        <f t="shared" si="1112"/>
        <v>2.5</v>
      </c>
      <c r="AQ374" s="38">
        <f t="shared" si="967"/>
        <v>422.86385630992817</v>
      </c>
      <c r="AR374" s="38">
        <f t="shared" si="1178"/>
        <v>422.86385630992817</v>
      </c>
      <c r="AS374" s="38">
        <f t="shared" si="1179"/>
        <v>3.0972241539071201</v>
      </c>
      <c r="AT374" s="38">
        <f t="shared" si="1121"/>
        <v>422.86385630992817</v>
      </c>
      <c r="AU374" s="38">
        <f t="shared" si="1086"/>
        <v>1</v>
      </c>
      <c r="AV374" s="38">
        <f t="shared" si="1249"/>
        <v>1.4120465472892745</v>
      </c>
      <c r="AW374" s="4">
        <f t="shared" si="1230"/>
        <v>0</v>
      </c>
      <c r="AX374" s="4">
        <f t="shared" si="995"/>
        <v>196.91597600664139</v>
      </c>
      <c r="AY374" s="4">
        <f t="shared" si="968"/>
        <v>1</v>
      </c>
      <c r="AZ374" s="38">
        <f t="shared" si="1102"/>
        <v>597.10344827586198</v>
      </c>
      <c r="BA374" s="4">
        <f t="shared" si="969"/>
        <v>0.44000000000000006</v>
      </c>
      <c r="BB374" s="4">
        <f t="shared" si="970"/>
        <v>45.27098288392687</v>
      </c>
      <c r="BC374" s="4">
        <f t="shared" si="971"/>
        <v>642.37443115978886</v>
      </c>
      <c r="BE374" s="4">
        <f t="shared" si="1122"/>
        <v>1.5</v>
      </c>
      <c r="BF374" s="4">
        <f t="shared" si="1128"/>
        <v>427.5429000732376</v>
      </c>
      <c r="BH374" s="4">
        <f t="shared" si="1129"/>
        <v>572.6952278900693</v>
      </c>
      <c r="BI374" s="4">
        <f t="shared" si="1067"/>
        <v>0</v>
      </c>
      <c r="BJ374" s="4">
        <f t="shared" si="1130"/>
        <v>0</v>
      </c>
      <c r="BR374" s="4">
        <f t="shared" si="972"/>
        <v>63.5</v>
      </c>
      <c r="BV374" s="9"/>
      <c r="BX374" s="9"/>
      <c r="BY374" s="9"/>
      <c r="BZ374" s="9">
        <f t="shared" si="973"/>
        <v>63.5</v>
      </c>
      <c r="CA374" s="9">
        <f t="shared" si="974"/>
        <v>84.454999999999984</v>
      </c>
      <c r="CB374" s="9">
        <f t="shared" si="1087"/>
        <v>2.0874099141114333</v>
      </c>
      <c r="CC374" s="40">
        <f t="shared" si="996"/>
        <v>0</v>
      </c>
      <c r="CD374" s="9">
        <f t="shared" si="975"/>
        <v>0</v>
      </c>
      <c r="CE374" s="9">
        <f t="shared" si="976"/>
        <v>0</v>
      </c>
      <c r="CF374" s="9">
        <f t="shared" si="977"/>
        <v>1</v>
      </c>
      <c r="CG374" s="9">
        <f t="shared" si="978"/>
        <v>0.68</v>
      </c>
      <c r="CH374" s="9">
        <f t="shared" si="1088"/>
        <v>1.3707728502186465</v>
      </c>
      <c r="CI374" s="9">
        <f t="shared" si="1089"/>
        <v>2.8613648375411893</v>
      </c>
      <c r="CJ374" s="40">
        <v>1</v>
      </c>
      <c r="CK374" s="9">
        <f t="shared" si="1090"/>
        <v>246.03159419114161</v>
      </c>
      <c r="CM374" s="4">
        <f t="shared" si="979"/>
        <v>2.7668023552772643</v>
      </c>
      <c r="CN374" s="4">
        <f t="shared" si="980"/>
        <v>0.84814643886623231</v>
      </c>
      <c r="CO374" s="4">
        <f t="shared" si="1242"/>
        <v>1.2743226144407223</v>
      </c>
      <c r="CP374" s="4">
        <f t="shared" si="981"/>
        <v>2.2144618783538053</v>
      </c>
      <c r="CQ374" s="4">
        <f t="shared" si="1189"/>
        <v>0.85551395808440578</v>
      </c>
      <c r="CR374" s="4">
        <f t="shared" si="1190"/>
        <v>0.89951817016281221</v>
      </c>
      <c r="CS374" s="4">
        <f t="shared" si="1243"/>
        <v>1.3853708991438167</v>
      </c>
      <c r="CT374" s="4">
        <f t="shared" si="997"/>
        <v>0</v>
      </c>
      <c r="CU374" s="4">
        <f t="shared" ref="CU374:CV375" si="1259">CM374</f>
        <v>2.7668023552772643</v>
      </c>
      <c r="CV374" s="4">
        <f t="shared" si="1259"/>
        <v>0.84814643886623231</v>
      </c>
      <c r="CW374" s="4">
        <f t="shared" ref="CW374:CW375" si="1260">CP374</f>
        <v>2.2144618783538053</v>
      </c>
      <c r="CX374" s="4">
        <f t="shared" si="1134"/>
        <v>1.3853708991438167</v>
      </c>
      <c r="CY374" s="4">
        <f t="shared" ref="CY374:CZ375" si="1261">CQ374</f>
        <v>0.85551395808440578</v>
      </c>
      <c r="CZ374" s="4">
        <f t="shared" si="1261"/>
        <v>0.89951817016281221</v>
      </c>
      <c r="DI374" s="4">
        <f t="shared" si="982"/>
        <v>103.12399999999998</v>
      </c>
      <c r="DL374" s="4">
        <f t="shared" si="1166"/>
        <v>1.1862041549436264E-5</v>
      </c>
      <c r="DM374" s="4">
        <f t="shared" si="1009"/>
        <v>9.7201649178311715</v>
      </c>
      <c r="DN374" s="4">
        <f t="shared" si="1167"/>
        <v>0.44017879111879804</v>
      </c>
      <c r="DO374" s="4">
        <f t="shared" si="1168"/>
        <v>7.0004390514366941</v>
      </c>
      <c r="DP374" s="4">
        <f t="shared" si="1169"/>
        <v>8.470459616072743</v>
      </c>
      <c r="DQ374" s="4">
        <f t="shared" si="1170"/>
        <v>9.5527275677276045</v>
      </c>
      <c r="DR374" s="38">
        <f t="shared" si="1183"/>
        <v>636.84242794451688</v>
      </c>
      <c r="DS374" s="4">
        <f t="shared" si="1095"/>
        <v>1.0000970386126888</v>
      </c>
      <c r="DT374" s="4">
        <f t="shared" si="1171"/>
        <v>2.2360679774997898</v>
      </c>
      <c r="DU374" s="4">
        <f t="shared" si="1103"/>
        <v>422.86385630992817</v>
      </c>
      <c r="DY374" s="4">
        <f t="shared" si="1037"/>
        <v>0.85</v>
      </c>
      <c r="DZ374" s="4">
        <f t="shared" si="1096"/>
        <v>0.7</v>
      </c>
      <c r="EA374" s="4">
        <f t="shared" si="1184"/>
        <v>1</v>
      </c>
      <c r="EB374" s="4">
        <f t="shared" si="1097"/>
        <v>0.7</v>
      </c>
      <c r="ED374" s="4">
        <f t="shared" si="1185"/>
        <v>605.68824986412801</v>
      </c>
      <c r="EE374" s="25">
        <f t="shared" si="1186"/>
        <v>416.26167594543415</v>
      </c>
      <c r="EG374" s="4">
        <f t="shared" si="1104"/>
        <v>0.59499999999999997</v>
      </c>
      <c r="EH374" s="4">
        <f t="shared" si="1187"/>
        <v>9.7201649178311715</v>
      </c>
      <c r="EK374" s="4">
        <f t="shared" si="1172"/>
        <v>35.497579142809165</v>
      </c>
      <c r="EL374" s="4">
        <f t="shared" si="1173"/>
        <v>2.2360679774997898</v>
      </c>
      <c r="EM374" s="4">
        <f t="shared" si="1174"/>
        <v>0.13862862504888454</v>
      </c>
      <c r="EP374" s="4">
        <f t="shared" si="998"/>
        <v>0.13862862504888454</v>
      </c>
      <c r="EQ374" s="4">
        <f t="shared" si="1257"/>
        <v>0.43944421475459533</v>
      </c>
      <c r="ER374" s="4">
        <f t="shared" si="1010"/>
        <v>6.9957637386278373</v>
      </c>
      <c r="ES374" s="4">
        <f t="shared" si="983"/>
        <v>8.4685301751669879</v>
      </c>
      <c r="ET374" s="4">
        <f t="shared" si="1011"/>
        <v>41.845420857190824</v>
      </c>
      <c r="EU374" s="4">
        <f t="shared" si="1012"/>
        <v>25.780999999999999</v>
      </c>
      <c r="EV374" s="4">
        <f t="shared" si="1098"/>
        <v>1.1862041549436266E-5</v>
      </c>
      <c r="EW374" s="4">
        <f t="shared" si="984"/>
        <v>9.5527842887610959</v>
      </c>
      <c r="EX374" s="4">
        <f t="shared" si="1131"/>
        <v>636.7806356350477</v>
      </c>
      <c r="FG374" s="23">
        <f t="shared" si="1030"/>
        <v>2.2000000000000002</v>
      </c>
      <c r="FH374" s="23">
        <f t="shared" si="1030"/>
        <v>1</v>
      </c>
      <c r="FI374" s="23">
        <f t="shared" si="1248"/>
        <v>1.4</v>
      </c>
      <c r="FJ374" s="23">
        <f t="shared" si="1031"/>
        <v>2.2000000000000002</v>
      </c>
      <c r="FK374" s="23">
        <f t="shared" si="1031"/>
        <v>1</v>
      </c>
      <c r="FL374" s="23">
        <f t="shared" si="1031"/>
        <v>1</v>
      </c>
      <c r="FM374" s="23">
        <f t="shared" si="1195"/>
        <v>0</v>
      </c>
      <c r="FN374" s="23"/>
      <c r="FX374" s="4">
        <f t="shared" si="1099"/>
        <v>1</v>
      </c>
      <c r="FY374" s="4">
        <f t="shared" si="1139"/>
        <v>0.5</v>
      </c>
      <c r="FZ374" s="4">
        <f t="shared" si="1100"/>
        <v>0</v>
      </c>
      <c r="GA374" s="4">
        <f t="shared" si="1101"/>
        <v>393.27200141392427</v>
      </c>
    </row>
    <row r="375" spans="1:183" ht="12" customHeight="1" x14ac:dyDescent="0.3">
      <c r="A375" s="25">
        <v>357</v>
      </c>
      <c r="B375" s="4" t="s">
        <v>605</v>
      </c>
      <c r="C375" s="4">
        <v>2016</v>
      </c>
      <c r="D375" s="4" t="s">
        <v>309</v>
      </c>
      <c r="E375" s="24" t="s">
        <v>520</v>
      </c>
      <c r="F375" s="7" t="s">
        <v>522</v>
      </c>
      <c r="G375" s="38">
        <f t="shared" ref="G375:G398" si="1262">139/0.145</f>
        <v>958.62068965517244</v>
      </c>
      <c r="H375" s="38">
        <f>4.41*25.4</f>
        <v>112.014</v>
      </c>
      <c r="I375" s="4">
        <f t="shared" si="985"/>
        <v>112.014</v>
      </c>
      <c r="J375" s="38">
        <f t="shared" ref="J375:J378" si="1263">4810/145</f>
        <v>33.172413793103445</v>
      </c>
      <c r="K375" s="38">
        <f t="shared" ref="K375:K398" si="1264">0.625*25.4</f>
        <v>15.875</v>
      </c>
      <c r="L375" s="7">
        <f t="shared" si="987"/>
        <v>7.056</v>
      </c>
      <c r="M375" s="7">
        <f t="shared" si="988"/>
        <v>7.056</v>
      </c>
      <c r="N375" s="38">
        <f>13.1*25.4</f>
        <v>332.73999999999995</v>
      </c>
      <c r="O375" s="38">
        <f>2.5*25.4</f>
        <v>63.5</v>
      </c>
      <c r="P375" s="39">
        <f>4.65*25.4</f>
        <v>118.11</v>
      </c>
      <c r="Q375" s="7">
        <f t="shared" si="989"/>
        <v>173.98999999999995</v>
      </c>
      <c r="R375" s="38">
        <v>2</v>
      </c>
      <c r="S375" s="4">
        <f t="shared" si="1258"/>
        <v>133.35</v>
      </c>
      <c r="T375" s="7">
        <f t="shared" si="990"/>
        <v>4.5</v>
      </c>
      <c r="U375" s="7">
        <f t="shared" si="1127"/>
        <v>4.5</v>
      </c>
      <c r="V375" s="38">
        <v>13.1</v>
      </c>
      <c r="W375" s="4">
        <f t="shared" si="991"/>
        <v>13.1</v>
      </c>
      <c r="X375" s="4">
        <f t="shared" si="992"/>
        <v>14.1</v>
      </c>
      <c r="Y375" s="7">
        <f t="shared" si="993"/>
        <v>59.610572153771514</v>
      </c>
      <c r="AB375" s="38">
        <f t="shared" si="1038"/>
        <v>627.58620689655174</v>
      </c>
      <c r="AC375" s="4">
        <v>91</v>
      </c>
      <c r="AD375" s="4">
        <f t="shared" si="1159"/>
        <v>0.98139244277365356</v>
      </c>
      <c r="AE375" s="38"/>
      <c r="AF375" s="38"/>
      <c r="AG375" s="39">
        <v>1</v>
      </c>
      <c r="AH375" s="39"/>
      <c r="AI375" s="39"/>
      <c r="AJ375" s="7"/>
      <c r="AK375" s="4">
        <f t="shared" si="994"/>
        <v>112.014</v>
      </c>
      <c r="AL375" s="4">
        <f t="shared" si="1175"/>
        <v>0.99017384731670421</v>
      </c>
      <c r="AM375" s="4">
        <f t="shared" si="1176"/>
        <v>172.48433206051794</v>
      </c>
      <c r="AN375" s="4">
        <f t="shared" si="1177"/>
        <v>0.8275510204081632</v>
      </c>
      <c r="AO375" s="4">
        <v>1.25</v>
      </c>
      <c r="AP375" s="4">
        <f t="shared" si="1112"/>
        <v>2.5</v>
      </c>
      <c r="AQ375" s="38">
        <f t="shared" si="967"/>
        <v>441.67813764040932</v>
      </c>
      <c r="AR375" s="38">
        <f t="shared" si="1178"/>
        <v>441.67813764040932</v>
      </c>
      <c r="AS375" s="38">
        <f t="shared" si="1179"/>
        <v>3.0972241539071201</v>
      </c>
      <c r="AT375" s="38">
        <f t="shared" si="1121"/>
        <v>441.67813764040881</v>
      </c>
      <c r="AU375" s="38">
        <f t="shared" si="1086"/>
        <v>1.0000000000000011</v>
      </c>
      <c r="AV375" s="38">
        <f t="shared" si="1249"/>
        <v>2.4465231438551203</v>
      </c>
      <c r="AW375" s="4">
        <f t="shared" si="1230"/>
        <v>0</v>
      </c>
      <c r="AX375" s="4">
        <f t="shared" si="995"/>
        <v>213.89149117962776</v>
      </c>
      <c r="AY375" s="4">
        <f t="shared" si="968"/>
        <v>1</v>
      </c>
      <c r="AZ375" s="38">
        <f t="shared" si="1102"/>
        <v>1080.5757858720874</v>
      </c>
      <c r="BA375" s="4">
        <f t="shared" si="969"/>
        <v>0.3</v>
      </c>
      <c r="BB375" s="4">
        <f t="shared" si="970"/>
        <v>33.527491242406654</v>
      </c>
      <c r="BC375" s="4">
        <f t="shared" si="971"/>
        <v>1114.1032771144942</v>
      </c>
      <c r="BE375" s="4">
        <f t="shared" si="1122"/>
        <v>1.5</v>
      </c>
      <c r="BF375" s="4">
        <f t="shared" si="1128"/>
        <v>442.05696554614087</v>
      </c>
      <c r="BH375" s="4">
        <f t="shared" si="1129"/>
        <v>1036.4043244590362</v>
      </c>
      <c r="BI375" s="4">
        <f t="shared" si="1067"/>
        <v>0</v>
      </c>
      <c r="BJ375" s="4">
        <f t="shared" si="1130"/>
        <v>0</v>
      </c>
      <c r="BR375" s="4">
        <f t="shared" si="972"/>
        <v>63.5</v>
      </c>
      <c r="BV375" s="9"/>
      <c r="BX375" s="9"/>
      <c r="BY375" s="9"/>
      <c r="BZ375" s="9">
        <f t="shared" si="973"/>
        <v>63.5</v>
      </c>
      <c r="CA375" s="9">
        <f t="shared" si="974"/>
        <v>86.994999999999976</v>
      </c>
      <c r="CB375" s="9">
        <f t="shared" si="1087"/>
        <v>2.0967086203206882</v>
      </c>
      <c r="CC375" s="40">
        <f t="shared" si="996"/>
        <v>0</v>
      </c>
      <c r="CD375" s="9">
        <f t="shared" si="975"/>
        <v>0</v>
      </c>
      <c r="CE375" s="9">
        <f t="shared" si="976"/>
        <v>0</v>
      </c>
      <c r="CF375" s="9">
        <f t="shared" si="977"/>
        <v>1</v>
      </c>
      <c r="CG375" s="9">
        <f t="shared" si="978"/>
        <v>0.68</v>
      </c>
      <c r="CH375" s="9">
        <f t="shared" si="1088"/>
        <v>1.3707728502186465</v>
      </c>
      <c r="CI375" s="9">
        <f t="shared" si="1089"/>
        <v>2.8741112515549956</v>
      </c>
      <c r="CJ375" s="40">
        <v>1</v>
      </c>
      <c r="CK375" s="9">
        <f t="shared" si="1090"/>
        <v>253.56559105718793</v>
      </c>
      <c r="CM375" s="4">
        <f t="shared" si="979"/>
        <v>2.934133580701908</v>
      </c>
      <c r="CN375" s="4">
        <f t="shared" si="980"/>
        <v>0.5633106192111631</v>
      </c>
      <c r="CO375" s="4">
        <f t="shared" si="1242"/>
        <v>1.4196953239300236</v>
      </c>
      <c r="CP375" s="4">
        <f t="shared" si="981"/>
        <v>2.4750448366435061</v>
      </c>
      <c r="CQ375" s="4">
        <f t="shared" si="1189"/>
        <v>0.98139244277365356</v>
      </c>
      <c r="CR375" s="4">
        <f t="shared" si="1190"/>
        <v>0.97894457082747688</v>
      </c>
      <c r="CS375" s="4">
        <f t="shared" si="1243"/>
        <v>1.4691556370667194</v>
      </c>
      <c r="CT375" s="4">
        <f t="shared" si="997"/>
        <v>0</v>
      </c>
      <c r="CU375" s="4">
        <f t="shared" si="1259"/>
        <v>2.934133580701908</v>
      </c>
      <c r="CV375" s="4">
        <f t="shared" si="1259"/>
        <v>0.5633106192111631</v>
      </c>
      <c r="CW375" s="4">
        <f t="shared" si="1260"/>
        <v>2.4750448366435061</v>
      </c>
      <c r="CX375" s="4">
        <f t="shared" si="1134"/>
        <v>1.4691556370667194</v>
      </c>
      <c r="CY375" s="4">
        <f t="shared" si="1261"/>
        <v>0.98139244277365356</v>
      </c>
      <c r="CZ375" s="4">
        <f t="shared" si="1261"/>
        <v>0.97894457082747688</v>
      </c>
      <c r="DI375" s="4">
        <f t="shared" si="982"/>
        <v>112.014</v>
      </c>
      <c r="DL375" s="4">
        <f t="shared" si="1166"/>
        <v>1.2884631338180772E-5</v>
      </c>
      <c r="DM375" s="4">
        <f t="shared" si="1009"/>
        <v>9.7201649178311715</v>
      </c>
      <c r="DN375" s="4">
        <f t="shared" si="1167"/>
        <v>0.23574782794831436</v>
      </c>
      <c r="DO375" s="4">
        <f t="shared" si="1168"/>
        <v>5.4532161660447596</v>
      </c>
      <c r="DP375" s="4">
        <f t="shared" si="1169"/>
        <v>7.8831319965935673</v>
      </c>
      <c r="DQ375" s="4">
        <f t="shared" si="1170"/>
        <v>9.5570432309997315</v>
      </c>
      <c r="DR375" s="38">
        <f t="shared" si="1183"/>
        <v>639.48546936314347</v>
      </c>
      <c r="DS375" s="4">
        <f t="shared" si="1095"/>
        <v>1.0000968975354467</v>
      </c>
      <c r="DT375" s="4">
        <f t="shared" si="1171"/>
        <v>3.7549966711037173</v>
      </c>
      <c r="DU375" s="4">
        <f t="shared" si="1103"/>
        <v>441.67813764040881</v>
      </c>
      <c r="DY375" s="4">
        <f t="shared" si="1037"/>
        <v>0.85</v>
      </c>
      <c r="DZ375" s="4">
        <f t="shared" si="1096"/>
        <v>0.7</v>
      </c>
      <c r="EA375" s="4">
        <f t="shared" si="1184"/>
        <v>1</v>
      </c>
      <c r="EB375" s="4">
        <f t="shared" si="1097"/>
        <v>0.7</v>
      </c>
      <c r="ED375" s="4">
        <f t="shared" si="1185"/>
        <v>641.08451652790632</v>
      </c>
      <c r="EE375" s="25">
        <f t="shared" si="1186"/>
        <v>435.32806554725613</v>
      </c>
      <c r="EG375" s="4">
        <f t="shared" si="1104"/>
        <v>0.59499999999999997</v>
      </c>
      <c r="EH375" s="4">
        <f t="shared" si="1187"/>
        <v>9.7201649178311715</v>
      </c>
      <c r="EK375" s="4">
        <f t="shared" si="1172"/>
        <v>59.610572153771514</v>
      </c>
      <c r="EL375" s="4">
        <f t="shared" si="1173"/>
        <v>3.7549966711037173</v>
      </c>
      <c r="EM375" s="4">
        <f t="shared" si="1174"/>
        <v>7.4245733565830904E-2</v>
      </c>
      <c r="EP375" s="4">
        <f t="shared" si="998"/>
        <v>7.4245733565830904E-2</v>
      </c>
      <c r="EQ375" s="4">
        <f t="shared" si="1257"/>
        <v>0.23535440876089098</v>
      </c>
      <c r="ER375" s="4">
        <f t="shared" si="1010"/>
        <v>5.4495741814201901</v>
      </c>
      <c r="ES375" s="4">
        <f t="shared" si="983"/>
        <v>7.8818808394350324</v>
      </c>
      <c r="ET375" s="4">
        <f t="shared" si="1011"/>
        <v>24.399927846228479</v>
      </c>
      <c r="EU375" s="4">
        <f t="shared" si="1012"/>
        <v>28.003500000000003</v>
      </c>
      <c r="EV375" s="4">
        <f t="shared" si="1098"/>
        <v>1.2884631338180774E-5</v>
      </c>
      <c r="EW375" s="4">
        <f t="shared" si="984"/>
        <v>9.5571050406841334</v>
      </c>
      <c r="EX375" s="4">
        <f t="shared" si="1131"/>
        <v>639.42351080084018</v>
      </c>
      <c r="FG375" s="23">
        <f t="shared" si="1030"/>
        <v>2.2000000000000002</v>
      </c>
      <c r="FH375" s="23">
        <f t="shared" si="1030"/>
        <v>0.6</v>
      </c>
      <c r="FI375" s="23">
        <f t="shared" si="1248"/>
        <v>1.6</v>
      </c>
      <c r="FJ375" s="23">
        <f t="shared" si="1031"/>
        <v>2.2000000000000002</v>
      </c>
      <c r="FK375" s="23">
        <f t="shared" si="1031"/>
        <v>1</v>
      </c>
      <c r="FL375" s="23">
        <f t="shared" si="1031"/>
        <v>1</v>
      </c>
      <c r="FM375" s="23">
        <f t="shared" si="1195"/>
        <v>0</v>
      </c>
      <c r="FN375" s="23"/>
      <c r="FX375" s="4">
        <f t="shared" si="1099"/>
        <v>1</v>
      </c>
      <c r="FY375" s="4">
        <f t="shared" si="1139"/>
        <v>0.5</v>
      </c>
      <c r="FZ375" s="4">
        <f t="shared" si="1100"/>
        <v>0</v>
      </c>
      <c r="GA375" s="4">
        <f t="shared" si="1101"/>
        <v>427.17476015650402</v>
      </c>
    </row>
    <row r="376" spans="1:183" ht="12" customHeight="1" x14ac:dyDescent="0.3">
      <c r="A376" s="25">
        <v>358</v>
      </c>
      <c r="B376" s="4" t="s">
        <v>605</v>
      </c>
      <c r="C376" s="4">
        <v>2016</v>
      </c>
      <c r="D376" s="4" t="s">
        <v>309</v>
      </c>
      <c r="E376" s="24" t="s">
        <v>673</v>
      </c>
      <c r="F376" s="7" t="s">
        <v>523</v>
      </c>
      <c r="G376" s="38">
        <f t="shared" si="1262"/>
        <v>958.62068965517244</v>
      </c>
      <c r="H376" s="38">
        <f>3.81*25.4</f>
        <v>96.774000000000001</v>
      </c>
      <c r="I376" s="4">
        <f t="shared" si="985"/>
        <v>96.774000000000001</v>
      </c>
      <c r="J376" s="38">
        <f t="shared" si="1263"/>
        <v>33.172413793103445</v>
      </c>
      <c r="K376" s="38">
        <f t="shared" si="1264"/>
        <v>15.875</v>
      </c>
      <c r="L376" s="7">
        <f t="shared" si="987"/>
        <v>6.0960000000000001</v>
      </c>
      <c r="M376" s="7">
        <f t="shared" si="988"/>
        <v>6.0960000000000001</v>
      </c>
      <c r="N376" s="38">
        <f>13*25.4</f>
        <v>330.2</v>
      </c>
      <c r="O376" s="38">
        <f>2.5*25.4</f>
        <v>63.5</v>
      </c>
      <c r="P376" s="39">
        <f>5.35*25.4</f>
        <v>135.88999999999999</v>
      </c>
      <c r="Q376" s="7">
        <f t="shared" si="989"/>
        <v>171.45</v>
      </c>
      <c r="R376" s="38">
        <v>2</v>
      </c>
      <c r="S376" s="4">
        <f t="shared" si="1258"/>
        <v>133.35</v>
      </c>
      <c r="T376" s="7">
        <f t="shared" si="990"/>
        <v>4.5</v>
      </c>
      <c r="U376" s="7">
        <f t="shared" si="1127"/>
        <v>4.5</v>
      </c>
      <c r="V376" s="38">
        <v>4</v>
      </c>
      <c r="W376" s="4">
        <f t="shared" si="991"/>
        <v>4</v>
      </c>
      <c r="X376" s="4">
        <f t="shared" si="992"/>
        <v>5</v>
      </c>
      <c r="Y376" s="7">
        <f t="shared" si="993"/>
        <v>35.497579142809165</v>
      </c>
      <c r="AB376" s="38">
        <f t="shared" si="1038"/>
        <v>437.93103448275866</v>
      </c>
      <c r="AC376" s="4">
        <v>63.5</v>
      </c>
      <c r="AD376" s="4">
        <f t="shared" si="1159"/>
        <v>0.70984876435598188</v>
      </c>
      <c r="AE376" s="38">
        <f>0.375*25.4</f>
        <v>9.5249999999999986</v>
      </c>
      <c r="AF376" s="38">
        <v>4</v>
      </c>
      <c r="AG376" s="39">
        <f>3.5*25.4</f>
        <v>88.899999999999991</v>
      </c>
      <c r="AH376" s="39">
        <v>2</v>
      </c>
      <c r="AI376" s="39">
        <f t="shared" ref="AI376:AI379" si="1265">AH376-1</f>
        <v>1</v>
      </c>
      <c r="AJ376" s="7"/>
      <c r="AK376" s="4">
        <f t="shared" si="994"/>
        <v>96.774000000000001</v>
      </c>
      <c r="AL376" s="4">
        <f t="shared" si="1175"/>
        <v>1.137357830271216</v>
      </c>
      <c r="AM376" s="4">
        <f t="shared" si="1176"/>
        <v>138.50939444174517</v>
      </c>
      <c r="AN376" s="4">
        <f t="shared" si="1177"/>
        <v>0.84763779527559047</v>
      </c>
      <c r="AO376" s="4">
        <v>1.25</v>
      </c>
      <c r="AP376" s="4">
        <f t="shared" si="1112"/>
        <v>2.5</v>
      </c>
      <c r="AQ376" s="38">
        <f t="shared" ref="AQ376:AQ439" si="1266">AL376*AN376*AO376*AP376*AM376</f>
        <v>417.28876052172291</v>
      </c>
      <c r="AR376" s="38">
        <f t="shared" si="1178"/>
        <v>417.28876052172291</v>
      </c>
      <c r="AS376" s="38">
        <f t="shared" si="1179"/>
        <v>3.0972241539071201</v>
      </c>
      <c r="AT376" s="38">
        <f t="shared" si="1121"/>
        <v>417.28876052172325</v>
      </c>
      <c r="AU376" s="38">
        <f t="shared" si="1086"/>
        <v>0.99999999999999922</v>
      </c>
      <c r="AV376" s="38">
        <f t="shared" si="1249"/>
        <v>1.4309118882792864</v>
      </c>
      <c r="AW376" s="4">
        <f t="shared" si="1230"/>
        <v>0</v>
      </c>
      <c r="AX376" s="4">
        <f t="shared" si="995"/>
        <v>184.79060802593693</v>
      </c>
      <c r="AY376" s="4">
        <f t="shared" ref="AY376:AY439" si="1267">MIN(0.6+0.4*(U376/T376),2)</f>
        <v>1</v>
      </c>
      <c r="AZ376" s="38">
        <f t="shared" si="1102"/>
        <v>597.10344827586198</v>
      </c>
      <c r="BA376" s="4">
        <f t="shared" ref="BA376:BA439" si="1268">MAX(1-0.7*W376/5,0.3)</f>
        <v>0.44000000000000006</v>
      </c>
      <c r="BB376" s="4">
        <f t="shared" ref="BB376:BB439" si="1269">BA376*G376*I376/(G376*K376/2.75/J376^0.5)</f>
        <v>42.483360785162901</v>
      </c>
      <c r="BC376" s="4">
        <f t="shared" ref="BC376:BC439" si="1270">AZ376+BB376</f>
        <v>639.58680906102484</v>
      </c>
      <c r="BE376" s="4">
        <f t="shared" si="1122"/>
        <v>1.5</v>
      </c>
      <c r="BF376" s="4">
        <f t="shared" si="1128"/>
        <v>417.17571044973516</v>
      </c>
      <c r="BH376" s="4">
        <f t="shared" si="1129"/>
        <v>572.6952278900693</v>
      </c>
      <c r="BI376" s="4">
        <f t="shared" si="1067"/>
        <v>0</v>
      </c>
      <c r="BJ376" s="4">
        <f t="shared" si="1130"/>
        <v>0</v>
      </c>
      <c r="BR376" s="4">
        <f t="shared" ref="BR376:BR439" si="1271">IF(Q376=0,O376,MIN(Q376/2,O376))</f>
        <v>63.5</v>
      </c>
      <c r="BV376" s="9"/>
      <c r="BX376" s="9"/>
      <c r="BY376" s="9"/>
      <c r="BZ376" s="9">
        <f t="shared" ref="BZ376:BZ439" si="1272">IF(Q376=0,MIN(O376,P376),MIN(Q376/2,O376,P376))</f>
        <v>63.5</v>
      </c>
      <c r="CA376" s="9">
        <f t="shared" ref="CA376:CA439" si="1273">MAX(Q376/2,O376)</f>
        <v>85.724999999999994</v>
      </c>
      <c r="CB376" s="9">
        <f t="shared" si="1087"/>
        <v>2.0920885420600022</v>
      </c>
      <c r="CC376" s="40">
        <f t="shared" si="996"/>
        <v>20</v>
      </c>
      <c r="CD376" s="9">
        <f t="shared" ref="CD376:CD439" si="1274">MIN(PI()*AE376^2/4*AF376*2/R376/K376/MAX(0.01,AG376),0.05)</f>
        <v>0.05</v>
      </c>
      <c r="CE376" s="9">
        <f t="shared" ref="CE376:CE439" si="1275">MAX(0,CC376*(CD376-0.5/50))</f>
        <v>0.8</v>
      </c>
      <c r="CF376" s="9">
        <f t="shared" ref="CF376:CF439" si="1276">MIN(1,(25/K376)^0.3)</f>
        <v>1</v>
      </c>
      <c r="CG376" s="9">
        <f t="shared" ref="CG376:CG439" si="1277">IF(G376&gt;=800,0.68,IF(G376&gt;=700,0.75-(G376-700)*0.07/100,IF(G376&gt;=600,0.85-(G376-600)*0.1/100,IF(G376&gt;=500,1-(G376-500)*0.15/100,1.2-(G376-400)*0.2/100))))</f>
        <v>0.68</v>
      </c>
      <c r="CH376" s="9">
        <f t="shared" si="1088"/>
        <v>1.3707728502186465</v>
      </c>
      <c r="CI376" s="9">
        <f t="shared" si="1089"/>
        <v>3.4269321255466161</v>
      </c>
      <c r="CJ376" s="40">
        <v>1</v>
      </c>
      <c r="CK376" s="9">
        <f t="shared" si="1090"/>
        <v>289.17824048212566</v>
      </c>
      <c r="CM376" s="4">
        <f t="shared" ref="CM376:CM439" si="1278">AB376/AX376</f>
        <v>2.3698771228746178</v>
      </c>
      <c r="CN376" s="4">
        <f t="shared" ref="CN376:CN439" si="1279">AB376/BC376</f>
        <v>0.68470929712525452</v>
      </c>
      <c r="CO376" s="4">
        <f t="shared" si="1242"/>
        <v>1.0497519954137509</v>
      </c>
      <c r="CP376" s="4">
        <f t="shared" ref="CP376:CP439" si="1280">AB376/CK376</f>
        <v>1.5143982955032453</v>
      </c>
      <c r="CQ376" s="4">
        <f t="shared" si="1189"/>
        <v>0.70984876435598188</v>
      </c>
      <c r="CR376" s="4">
        <f t="shared" si="1190"/>
        <v>0.74462905197182427</v>
      </c>
      <c r="CS376" s="4">
        <f t="shared" si="1243"/>
        <v>1.1002142240916057</v>
      </c>
      <c r="CT376" s="4">
        <f t="shared" si="997"/>
        <v>4</v>
      </c>
      <c r="DA376" s="4">
        <f t="shared" ref="DA376:DB379" si="1281">CM376</f>
        <v>2.3698771228746178</v>
      </c>
      <c r="DB376" s="4">
        <f t="shared" si="1281"/>
        <v>0.68470929712525452</v>
      </c>
      <c r="DC376" s="4">
        <f t="shared" ref="DC376:DC379" si="1282">CP376</f>
        <v>1.5143982955032453</v>
      </c>
      <c r="DD376" s="4">
        <f t="shared" ref="DD376:DD379" si="1283">CS376</f>
        <v>1.1002142240916057</v>
      </c>
      <c r="DE376" s="4">
        <f t="shared" ref="DE376:DF379" si="1284">CQ376</f>
        <v>0.70984876435598188</v>
      </c>
      <c r="DF376" s="4">
        <f t="shared" si="1284"/>
        <v>0.74462905197182427</v>
      </c>
      <c r="DI376" s="4">
        <f t="shared" ref="DI376:DI439" si="1285">I376</f>
        <v>96.774000000000001</v>
      </c>
      <c r="DL376" s="4">
        <f t="shared" si="1166"/>
        <v>1.113162027176162E-5</v>
      </c>
      <c r="DM376" s="4">
        <f t="shared" si="1009"/>
        <v>9.7201649178311715</v>
      </c>
      <c r="DN376" s="4">
        <f t="shared" si="1167"/>
        <v>0.43437541282622311</v>
      </c>
      <c r="DO376" s="4">
        <f t="shared" si="1168"/>
        <v>6.9633740924484089</v>
      </c>
      <c r="DP376" s="4">
        <f t="shared" si="1169"/>
        <v>8.4551871299038659</v>
      </c>
      <c r="DQ376" s="4">
        <f t="shared" si="1170"/>
        <v>9.5737606327462448</v>
      </c>
      <c r="DR376" s="38">
        <f t="shared" si="1183"/>
        <v>616.93568612474292</v>
      </c>
      <c r="DS376" s="4">
        <f t="shared" si="1095"/>
        <v>1.0000958932746935</v>
      </c>
      <c r="DT376" s="4">
        <f t="shared" si="1171"/>
        <v>2.2360679774997898</v>
      </c>
      <c r="DU376" s="4">
        <f t="shared" si="1103"/>
        <v>417.28876052172325</v>
      </c>
      <c r="DY376" s="4">
        <f t="shared" si="1037"/>
        <v>0.85</v>
      </c>
      <c r="DZ376" s="4">
        <f t="shared" si="1096"/>
        <v>0.7</v>
      </c>
      <c r="EA376" s="4">
        <f t="shared" si="1184"/>
        <v>0.85899999999999999</v>
      </c>
      <c r="EB376" s="4">
        <f t="shared" si="1097"/>
        <v>0.7</v>
      </c>
      <c r="ED376" s="4">
        <f t="shared" si="1185"/>
        <v>588.11972662507583</v>
      </c>
      <c r="EE376" s="25">
        <f t="shared" si="1186"/>
        <v>410.35735060777938</v>
      </c>
      <c r="EG376" s="4">
        <f t="shared" si="1104"/>
        <v>0.59499999999999997</v>
      </c>
      <c r="EH376" s="4">
        <f t="shared" si="1187"/>
        <v>9.7201649178311715</v>
      </c>
      <c r="EK376" s="4">
        <f t="shared" si="1172"/>
        <v>35.497579142809165</v>
      </c>
      <c r="EL376" s="4">
        <f t="shared" si="1173"/>
        <v>2.2360679774997898</v>
      </c>
      <c r="EM376" s="4">
        <f t="shared" si="1174"/>
        <v>0.13680092601028848</v>
      </c>
      <c r="EP376" s="4">
        <f t="shared" si="998"/>
        <v>0.13680092601028848</v>
      </c>
      <c r="EQ376" s="4">
        <f t="shared" si="1257"/>
        <v>0.43365052121878805</v>
      </c>
      <c r="ER376" s="4">
        <f t="shared" si="1010"/>
        <v>6.9587235338408613</v>
      </c>
      <c r="ES376" s="4">
        <f t="shared" ref="ES376:ES439" si="1286">EH376/1.4*(1-EQ376^1.4)/(1-EQ376)</f>
        <v>8.4532747276059581</v>
      </c>
      <c r="ET376" s="4">
        <f t="shared" si="1011"/>
        <v>37.082920857190835</v>
      </c>
      <c r="EU376" s="4">
        <f t="shared" si="1012"/>
        <v>24.1935</v>
      </c>
      <c r="EV376" s="4">
        <f t="shared" si="1098"/>
        <v>1.113162027176162E-5</v>
      </c>
      <c r="EW376" s="4">
        <f t="shared" ref="EW376:EW439" si="1287">MAX(0.5*EH376, (1-2*EV376*(EK376*ER376+ET376*ES376))/(1/EH376+EV376*EU376))</f>
        <v>9.5738115705862192</v>
      </c>
      <c r="EX376" s="4">
        <f t="shared" si="1131"/>
        <v>616.87653181402572</v>
      </c>
      <c r="FG376" s="23">
        <f t="shared" si="1030"/>
        <v>2.2000000000000002</v>
      </c>
      <c r="FH376" s="23">
        <f t="shared" si="1030"/>
        <v>0.8</v>
      </c>
      <c r="FI376" s="23">
        <f t="shared" si="1248"/>
        <v>1.2</v>
      </c>
      <c r="FJ376" s="23">
        <f t="shared" si="1031"/>
        <v>1.6</v>
      </c>
      <c r="FK376" s="23">
        <f t="shared" si="1031"/>
        <v>0.8</v>
      </c>
      <c r="FL376" s="23">
        <f t="shared" si="1031"/>
        <v>0.8</v>
      </c>
      <c r="FM376" s="23">
        <f t="shared" si="1195"/>
        <v>1</v>
      </c>
      <c r="FN376" s="23"/>
      <c r="FX376" s="4">
        <f t="shared" si="1099"/>
        <v>1</v>
      </c>
      <c r="FY376" s="4">
        <f t="shared" si="1139"/>
        <v>0.46358941059918601</v>
      </c>
      <c r="FZ376" s="4">
        <f t="shared" si="1100"/>
        <v>0.3</v>
      </c>
      <c r="GA376" s="4">
        <f t="shared" si="1101"/>
        <v>398.04160398338547</v>
      </c>
    </row>
    <row r="377" spans="1:183" ht="12" customHeight="1" x14ac:dyDescent="0.3">
      <c r="A377" s="25">
        <v>359</v>
      </c>
      <c r="B377" s="4" t="s">
        <v>605</v>
      </c>
      <c r="C377" s="4">
        <v>2016</v>
      </c>
      <c r="D377" s="4" t="s">
        <v>309</v>
      </c>
      <c r="E377" s="24" t="s">
        <v>673</v>
      </c>
      <c r="F377" s="7" t="s">
        <v>524</v>
      </c>
      <c r="G377" s="38">
        <f t="shared" si="1262"/>
        <v>958.62068965517244</v>
      </c>
      <c r="H377" s="38">
        <f>4.09*25.4</f>
        <v>103.886</v>
      </c>
      <c r="I377" s="4">
        <f t="shared" ref="I377:I440" si="1288">H377</f>
        <v>103.886</v>
      </c>
      <c r="J377" s="38">
        <f t="shared" si="1263"/>
        <v>33.172413793103445</v>
      </c>
      <c r="K377" s="38">
        <f t="shared" si="1264"/>
        <v>15.875</v>
      </c>
      <c r="L377" s="7">
        <f t="shared" ref="L377:L440" si="1289">H377/K377</f>
        <v>6.5439999999999996</v>
      </c>
      <c r="M377" s="7">
        <f t="shared" ref="M377:M440" si="1290">I377/K377</f>
        <v>6.5439999999999996</v>
      </c>
      <c r="N377" s="38">
        <f>13.1*25.4</f>
        <v>332.73999999999995</v>
      </c>
      <c r="O377" s="38">
        <f>2.6*25.4</f>
        <v>66.039999999999992</v>
      </c>
      <c r="P377" s="39">
        <f>5.25*25.4</f>
        <v>133.35</v>
      </c>
      <c r="Q377" s="7">
        <f t="shared" ref="Q377:Q440" si="1291">(N377-R377*K377-2*O377)/(R377-1)</f>
        <v>168.90999999999997</v>
      </c>
      <c r="R377" s="38">
        <v>2</v>
      </c>
      <c r="S377" s="4">
        <f t="shared" si="1258"/>
        <v>133.35</v>
      </c>
      <c r="T377" s="7">
        <f t="shared" ref="T377:T440" si="1292">MIN(O377/K377+0.5, Q377/2/K377+0.5)</f>
        <v>4.6599999999999993</v>
      </c>
      <c r="U377" s="7">
        <f t="shared" si="1127"/>
        <v>4.6599999999999993</v>
      </c>
      <c r="V377" s="38">
        <v>13.1</v>
      </c>
      <c r="W377" s="4">
        <f t="shared" ref="W377:W440" si="1293">V377</f>
        <v>13.1</v>
      </c>
      <c r="X377" s="4">
        <f t="shared" ref="X377:X440" si="1294">W377+1</f>
        <v>14.1</v>
      </c>
      <c r="Y377" s="7">
        <f t="shared" ref="Y377:Y440" si="1295">K377*X377^0.5</f>
        <v>59.610572153771514</v>
      </c>
      <c r="AB377" s="38">
        <f t="shared" si="1038"/>
        <v>642.75862068965523</v>
      </c>
      <c r="AC377" s="4">
        <v>93.2</v>
      </c>
      <c r="AD377" s="4">
        <f t="shared" si="1159"/>
        <v>1.0481130483497585</v>
      </c>
      <c r="AE377" s="38">
        <f t="shared" ref="AE377:AE379" si="1296">0.375*25.4</f>
        <v>9.5249999999999986</v>
      </c>
      <c r="AF377" s="38">
        <v>4</v>
      </c>
      <c r="AG377" s="39">
        <f>3.5*25.4</f>
        <v>88.899999999999991</v>
      </c>
      <c r="AH377" s="39">
        <v>2</v>
      </c>
      <c r="AI377" s="39">
        <f t="shared" si="1265"/>
        <v>1</v>
      </c>
      <c r="AJ377" s="7"/>
      <c r="AK377" s="4">
        <f t="shared" ref="AK377:AK440" si="1297">H377</f>
        <v>103.886</v>
      </c>
      <c r="AL377" s="4">
        <f t="shared" si="1175"/>
        <v>1.0676446617766908</v>
      </c>
      <c r="AM377" s="4">
        <f t="shared" si="1176"/>
        <v>154.05533015486256</v>
      </c>
      <c r="AN377" s="4">
        <f t="shared" si="1177"/>
        <v>0.84242053789731042</v>
      </c>
      <c r="AO377" s="4">
        <v>1.25</v>
      </c>
      <c r="AP377" s="4">
        <f t="shared" si="1112"/>
        <v>2.5</v>
      </c>
      <c r="AQ377" s="38">
        <f t="shared" si="1266"/>
        <v>432.99454987892017</v>
      </c>
      <c r="AR377" s="38">
        <f t="shared" si="1178"/>
        <v>432.99454987892017</v>
      </c>
      <c r="AS377" s="38">
        <f t="shared" si="1179"/>
        <v>3.0972241539071201</v>
      </c>
      <c r="AT377" s="38">
        <f t="shared" si="1121"/>
        <v>432.99454987892028</v>
      </c>
      <c r="AU377" s="38">
        <f t="shared" si="1086"/>
        <v>0.99999999999999978</v>
      </c>
      <c r="AV377" s="38">
        <f t="shared" si="1249"/>
        <v>2.5843194991058414</v>
      </c>
      <c r="AW377" s="4">
        <f t="shared" si="1230"/>
        <v>0</v>
      </c>
      <c r="AX377" s="4">
        <f t="shared" ref="AX377:AX440" si="1298">I377/K377*J377^0.5/0.19</f>
        <v>198.37102016432598</v>
      </c>
      <c r="AY377" s="4">
        <f t="shared" si="1267"/>
        <v>1</v>
      </c>
      <c r="AZ377" s="38">
        <f t="shared" si="1102"/>
        <v>1118.9962582586504</v>
      </c>
      <c r="BA377" s="4">
        <f t="shared" si="1268"/>
        <v>0.3</v>
      </c>
      <c r="BB377" s="4">
        <f t="shared" si="1269"/>
        <v>31.094657410758099</v>
      </c>
      <c r="BC377" s="4">
        <f t="shared" si="1270"/>
        <v>1150.0909156694086</v>
      </c>
      <c r="BE377" s="4">
        <f t="shared" si="1122"/>
        <v>1.5</v>
      </c>
      <c r="BF377" s="4">
        <f t="shared" si="1128"/>
        <v>428.78696282805788</v>
      </c>
      <c r="BH377" s="4">
        <f t="shared" si="1129"/>
        <v>1073.2542559953574</v>
      </c>
      <c r="BI377" s="4">
        <f t="shared" si="1067"/>
        <v>0</v>
      </c>
      <c r="BJ377" s="4">
        <f t="shared" si="1130"/>
        <v>0</v>
      </c>
      <c r="BR377" s="4">
        <f t="shared" si="1271"/>
        <v>66.039999999999992</v>
      </c>
      <c r="BV377" s="9"/>
      <c r="BX377" s="9"/>
      <c r="BY377" s="9"/>
      <c r="BZ377" s="9">
        <f t="shared" si="1272"/>
        <v>66.039999999999992</v>
      </c>
      <c r="CA377" s="9">
        <f t="shared" si="1273"/>
        <v>84.454999999999984</v>
      </c>
      <c r="CB377" s="9">
        <f t="shared" si="1087"/>
        <v>2.116261887080392</v>
      </c>
      <c r="CC377" s="40">
        <f t="shared" ref="CC377:CC440" si="1299">IF(AG377&gt;1,20,0)</f>
        <v>20</v>
      </c>
      <c r="CD377" s="9">
        <f t="shared" si="1274"/>
        <v>0.05</v>
      </c>
      <c r="CE377" s="9">
        <f t="shared" si="1275"/>
        <v>0.8</v>
      </c>
      <c r="CF377" s="9">
        <f t="shared" si="1276"/>
        <v>1</v>
      </c>
      <c r="CG377" s="9">
        <f t="shared" si="1277"/>
        <v>0.68</v>
      </c>
      <c r="CH377" s="9">
        <f t="shared" si="1088"/>
        <v>1.3707728502186465</v>
      </c>
      <c r="CI377" s="9">
        <f t="shared" si="1089"/>
        <v>3.4269321255466161</v>
      </c>
      <c r="CJ377" s="40">
        <v>1</v>
      </c>
      <c r="CK377" s="9">
        <f t="shared" si="1090"/>
        <v>295.31930285110519</v>
      </c>
      <c r="CM377" s="4">
        <f t="shared" si="1278"/>
        <v>3.2401840760672038</v>
      </c>
      <c r="CN377" s="4">
        <f t="shared" si="1279"/>
        <v>0.55887635658398238</v>
      </c>
      <c r="CO377" s="4">
        <f t="shared" si="1242"/>
        <v>1.4990162397903857</v>
      </c>
      <c r="CP377" s="4">
        <f t="shared" si="1280"/>
        <v>2.1764869904684927</v>
      </c>
      <c r="CQ377" s="4">
        <f t="shared" si="1189"/>
        <v>1.0481130483497585</v>
      </c>
      <c r="CR377" s="4">
        <f t="shared" si="1190"/>
        <v>1.0414859751276166</v>
      </c>
      <c r="CS377" s="4">
        <f t="shared" si="1243"/>
        <v>1.5042537753350267</v>
      </c>
      <c r="CT377" s="4">
        <f t="shared" ref="CT377:CT440" si="1300">AF377</f>
        <v>4</v>
      </c>
      <c r="DA377" s="4">
        <f t="shared" si="1281"/>
        <v>3.2401840760672038</v>
      </c>
      <c r="DB377" s="4">
        <f t="shared" si="1281"/>
        <v>0.55887635658398238</v>
      </c>
      <c r="DC377" s="4">
        <f t="shared" si="1282"/>
        <v>2.1764869904684927</v>
      </c>
      <c r="DD377" s="4">
        <f t="shared" si="1283"/>
        <v>1.5042537753350267</v>
      </c>
      <c r="DE377" s="4">
        <f t="shared" si="1284"/>
        <v>1.0481130483497585</v>
      </c>
      <c r="DF377" s="4">
        <f t="shared" si="1284"/>
        <v>1.0414859751276166</v>
      </c>
      <c r="DI377" s="4">
        <f t="shared" si="1285"/>
        <v>103.886</v>
      </c>
      <c r="DL377" s="4">
        <f t="shared" si="1166"/>
        <v>1.1949692102757226E-5</v>
      </c>
      <c r="DM377" s="4">
        <f t="shared" si="1009"/>
        <v>9.7201649178311715</v>
      </c>
      <c r="DN377" s="4">
        <f t="shared" si="1167"/>
        <v>0.23111292126149946</v>
      </c>
      <c r="DO377" s="4">
        <f t="shared" si="1168"/>
        <v>5.4100754798522344</v>
      </c>
      <c r="DP377" s="4">
        <f t="shared" si="1169"/>
        <v>7.8683545195642743</v>
      </c>
      <c r="DQ377" s="4">
        <f t="shared" si="1170"/>
        <v>9.5828812997624286</v>
      </c>
      <c r="DR377" s="38">
        <f t="shared" si="1183"/>
        <v>613.25314258960043</v>
      </c>
      <c r="DS377" s="4">
        <f t="shared" si="1095"/>
        <v>1.0000971921120796</v>
      </c>
      <c r="DT377" s="4">
        <f t="shared" si="1171"/>
        <v>3.7549966711037173</v>
      </c>
      <c r="DU377" s="4">
        <f t="shared" si="1103"/>
        <v>432.99454987892028</v>
      </c>
      <c r="DY377" s="4">
        <f t="shared" si="1037"/>
        <v>0.85</v>
      </c>
      <c r="DZ377" s="4">
        <f t="shared" si="1096"/>
        <v>0.7</v>
      </c>
      <c r="EA377" s="4">
        <f t="shared" si="1184"/>
        <v>0.85899999999999999</v>
      </c>
      <c r="EB377" s="4">
        <f t="shared" si="1097"/>
        <v>0.7</v>
      </c>
      <c r="ED377" s="4">
        <f t="shared" si="1185"/>
        <v>617.1553300186265</v>
      </c>
      <c r="EE377" s="25">
        <f t="shared" si="1186"/>
        <v>426.32905235176491</v>
      </c>
      <c r="EG377" s="4">
        <f t="shared" si="1104"/>
        <v>0.59499999999999997</v>
      </c>
      <c r="EH377" s="4">
        <f t="shared" si="1187"/>
        <v>9.7201649178311715</v>
      </c>
      <c r="EK377" s="4">
        <f t="shared" si="1172"/>
        <v>59.610572153771514</v>
      </c>
      <c r="EL377" s="4">
        <f t="shared" si="1173"/>
        <v>3.7549966711037173</v>
      </c>
      <c r="EM377" s="4">
        <f t="shared" si="1174"/>
        <v>7.2786029567848812E-2</v>
      </c>
      <c r="EP377" s="4">
        <f t="shared" ref="EP377:EP440" si="1301">EM377</f>
        <v>7.2786029567848812E-2</v>
      </c>
      <c r="EQ377" s="4">
        <f t="shared" si="1257"/>
        <v>0.23072723686950719</v>
      </c>
      <c r="ER377" s="4">
        <f t="shared" si="1010"/>
        <v>5.4064623071637818</v>
      </c>
      <c r="ES377" s="4">
        <f t="shared" si="1286"/>
        <v>7.8671211254314866</v>
      </c>
      <c r="ET377" s="4">
        <f t="shared" si="1011"/>
        <v>18.30392784622849</v>
      </c>
      <c r="EU377" s="4">
        <f t="shared" si="1012"/>
        <v>25.971499999999992</v>
      </c>
      <c r="EV377" s="4">
        <f t="shared" si="1098"/>
        <v>1.1949692102757221E-5</v>
      </c>
      <c r="EW377" s="4">
        <f t="shared" si="1287"/>
        <v>9.5829364128552577</v>
      </c>
      <c r="EX377" s="4">
        <f t="shared" si="1131"/>
        <v>613.19354501384703</v>
      </c>
      <c r="FG377" s="23">
        <f t="shared" si="1030"/>
        <v>2.2000000000000002</v>
      </c>
      <c r="FH377" s="23">
        <f t="shared" si="1030"/>
        <v>0.6</v>
      </c>
      <c r="FI377" s="23">
        <f t="shared" si="1248"/>
        <v>1.6</v>
      </c>
      <c r="FJ377" s="23">
        <f t="shared" si="1031"/>
        <v>2.2000000000000002</v>
      </c>
      <c r="FK377" s="23">
        <f t="shared" si="1031"/>
        <v>1.2</v>
      </c>
      <c r="FL377" s="23">
        <f t="shared" si="1031"/>
        <v>1.2</v>
      </c>
      <c r="FM377" s="23">
        <f t="shared" si="1195"/>
        <v>0</v>
      </c>
      <c r="FN377" s="23"/>
      <c r="FX377" s="4">
        <f t="shared" si="1099"/>
        <v>1</v>
      </c>
      <c r="FY377" s="4">
        <f t="shared" si="1139"/>
        <v>0.46358941059918601</v>
      </c>
      <c r="FZ377" s="4">
        <f t="shared" si="1100"/>
        <v>0.3</v>
      </c>
      <c r="GA377" s="4">
        <f t="shared" si="1101"/>
        <v>427.29400532599647</v>
      </c>
    </row>
    <row r="378" spans="1:183" ht="12" customHeight="1" x14ac:dyDescent="0.3">
      <c r="A378" s="25">
        <v>360</v>
      </c>
      <c r="B378" s="4" t="s">
        <v>605</v>
      </c>
      <c r="C378" s="4">
        <v>2016</v>
      </c>
      <c r="D378" s="4" t="s">
        <v>309</v>
      </c>
      <c r="E378" s="24" t="s">
        <v>673</v>
      </c>
      <c r="F378" s="7" t="s">
        <v>525</v>
      </c>
      <c r="G378" s="38">
        <f t="shared" si="1262"/>
        <v>958.62068965517244</v>
      </c>
      <c r="H378" s="38">
        <f>4.16*25.4</f>
        <v>105.664</v>
      </c>
      <c r="I378" s="4">
        <f t="shared" si="1288"/>
        <v>105.664</v>
      </c>
      <c r="J378" s="38">
        <f t="shared" si="1263"/>
        <v>33.172413793103445</v>
      </c>
      <c r="K378" s="38">
        <f t="shared" si="1264"/>
        <v>15.875</v>
      </c>
      <c r="L378" s="7">
        <f t="shared" si="1289"/>
        <v>6.6559999999999997</v>
      </c>
      <c r="M378" s="7">
        <f t="shared" si="1290"/>
        <v>6.6559999999999997</v>
      </c>
      <c r="N378" s="38">
        <f>13.1*25.4</f>
        <v>332.73999999999995</v>
      </c>
      <c r="O378" s="38">
        <f>2.55*25.4</f>
        <v>64.77</v>
      </c>
      <c r="P378" s="39">
        <f>5.1*25.4</f>
        <v>129.54</v>
      </c>
      <c r="Q378" s="7">
        <f t="shared" si="1291"/>
        <v>171.44999999999996</v>
      </c>
      <c r="R378" s="38">
        <v>2</v>
      </c>
      <c r="S378" s="4">
        <f t="shared" si="1258"/>
        <v>133.35</v>
      </c>
      <c r="T378" s="7">
        <f t="shared" si="1292"/>
        <v>4.58</v>
      </c>
      <c r="U378" s="7">
        <f t="shared" si="1127"/>
        <v>4.58</v>
      </c>
      <c r="V378" s="38">
        <v>4</v>
      </c>
      <c r="W378" s="4">
        <f t="shared" si="1293"/>
        <v>4</v>
      </c>
      <c r="X378" s="4">
        <f t="shared" si="1294"/>
        <v>5</v>
      </c>
      <c r="Y378" s="7">
        <f t="shared" si="1295"/>
        <v>35.497579142809165</v>
      </c>
      <c r="AB378" s="38">
        <f t="shared" si="1038"/>
        <v>589.65517241379314</v>
      </c>
      <c r="AC378" s="4">
        <v>85.5</v>
      </c>
      <c r="AD378" s="4">
        <f t="shared" si="1159"/>
        <v>0.90063459723224326</v>
      </c>
      <c r="AE378" s="38">
        <f t="shared" si="1296"/>
        <v>9.5249999999999986</v>
      </c>
      <c r="AF378" s="38">
        <v>10</v>
      </c>
      <c r="AG378" s="39">
        <f>1.75*25.4</f>
        <v>44.449999999999996</v>
      </c>
      <c r="AH378" s="39">
        <v>3</v>
      </c>
      <c r="AI378" s="39">
        <f t="shared" si="1265"/>
        <v>2</v>
      </c>
      <c r="AJ378" s="7"/>
      <c r="AK378" s="4">
        <f t="shared" si="1297"/>
        <v>105.664</v>
      </c>
      <c r="AL378" s="4">
        <f t="shared" si="1175"/>
        <v>1.049679487179487</v>
      </c>
      <c r="AM378" s="4">
        <f t="shared" si="1176"/>
        <v>158.02717010503781</v>
      </c>
      <c r="AN378" s="4">
        <f t="shared" si="1177"/>
        <v>0.83762019230769225</v>
      </c>
      <c r="AO378" s="4">
        <v>1.25</v>
      </c>
      <c r="AP378" s="4">
        <f t="shared" si="1112"/>
        <v>2.5</v>
      </c>
      <c r="AQ378" s="38">
        <f t="shared" si="1266"/>
        <v>434.19581501232227</v>
      </c>
      <c r="AR378" s="38">
        <f t="shared" si="1178"/>
        <v>434.19581501232227</v>
      </c>
      <c r="AS378" s="38">
        <f t="shared" si="1179"/>
        <v>3.0972241539071201</v>
      </c>
      <c r="AT378" s="38">
        <f t="shared" si="1121"/>
        <v>434.1958150123221</v>
      </c>
      <c r="AU378" s="38">
        <f t="shared" si="1086"/>
        <v>1.0000000000000004</v>
      </c>
      <c r="AV378" s="38">
        <f t="shared" si="1249"/>
        <v>1.3996418198374589</v>
      </c>
      <c r="AW378" s="4">
        <f t="shared" si="1230"/>
        <v>0</v>
      </c>
      <c r="AX378" s="4">
        <f t="shared" si="1298"/>
        <v>201.76612319892325</v>
      </c>
      <c r="AY378" s="4">
        <f t="shared" si="1267"/>
        <v>1</v>
      </c>
      <c r="AZ378" s="38">
        <f t="shared" si="1102"/>
        <v>607.71862068965515</v>
      </c>
      <c r="BA378" s="4">
        <f t="shared" si="1268"/>
        <v>0.44000000000000006</v>
      </c>
      <c r="BB378" s="4">
        <f t="shared" si="1269"/>
        <v>46.386031723432467</v>
      </c>
      <c r="BC378" s="4">
        <f t="shared" si="1270"/>
        <v>654.10465241308759</v>
      </c>
      <c r="BE378" s="4">
        <f t="shared" si="1122"/>
        <v>1.5</v>
      </c>
      <c r="BF378" s="4">
        <f t="shared" si="1128"/>
        <v>431.68977592263855</v>
      </c>
      <c r="BH378" s="4">
        <f t="shared" si="1129"/>
        <v>582.87647638589272</v>
      </c>
      <c r="BI378" s="4">
        <f t="shared" si="1067"/>
        <v>0</v>
      </c>
      <c r="BJ378" s="4">
        <f t="shared" si="1130"/>
        <v>0</v>
      </c>
      <c r="BR378" s="4">
        <f t="shared" si="1271"/>
        <v>64.77</v>
      </c>
      <c r="BV378" s="9"/>
      <c r="BX378" s="9"/>
      <c r="BY378" s="9"/>
      <c r="BZ378" s="9">
        <f t="shared" si="1272"/>
        <v>64.77</v>
      </c>
      <c r="CA378" s="9">
        <f t="shared" si="1273"/>
        <v>85.72499999999998</v>
      </c>
      <c r="CB378" s="9">
        <f t="shared" si="1087"/>
        <v>2.1066390052415969</v>
      </c>
      <c r="CC378" s="40">
        <f t="shared" si="1299"/>
        <v>20</v>
      </c>
      <c r="CD378" s="9">
        <f t="shared" si="1274"/>
        <v>0.05</v>
      </c>
      <c r="CE378" s="9">
        <f t="shared" si="1275"/>
        <v>0.8</v>
      </c>
      <c r="CF378" s="9">
        <f t="shared" si="1276"/>
        <v>1</v>
      </c>
      <c r="CG378" s="9">
        <f t="shared" si="1277"/>
        <v>0.68</v>
      </c>
      <c r="CH378" s="9">
        <f t="shared" si="1088"/>
        <v>1.3707728502186465</v>
      </c>
      <c r="CI378" s="9">
        <f t="shared" si="1089"/>
        <v>3.4269321255466161</v>
      </c>
      <c r="CJ378" s="40">
        <v>1</v>
      </c>
      <c r="CK378" s="9">
        <f t="shared" si="1090"/>
        <v>296.8545684433501</v>
      </c>
      <c r="CM378" s="4">
        <f t="shared" si="1278"/>
        <v>2.9224686635449011</v>
      </c>
      <c r="CN378" s="4">
        <f t="shared" si="1279"/>
        <v>0.90146916130082411</v>
      </c>
      <c r="CO378" s="4">
        <f t="shared" si="1242"/>
        <v>1.3659234137605867</v>
      </c>
      <c r="CP378" s="4">
        <f t="shared" si="1280"/>
        <v>1.9863436008609694</v>
      </c>
      <c r="CQ378" s="4">
        <f t="shared" si="1189"/>
        <v>0.90063459723224326</v>
      </c>
      <c r="CR378" s="4">
        <f t="shared" si="1190"/>
        <v>0.94846759987164653</v>
      </c>
      <c r="CS378" s="4">
        <f t="shared" si="1243"/>
        <v>1.356754559997581</v>
      </c>
      <c r="CT378" s="4">
        <f t="shared" si="1300"/>
        <v>10</v>
      </c>
      <c r="DA378" s="4">
        <f t="shared" si="1281"/>
        <v>2.9224686635449011</v>
      </c>
      <c r="DB378" s="4">
        <f t="shared" si="1281"/>
        <v>0.90146916130082411</v>
      </c>
      <c r="DC378" s="4">
        <f t="shared" si="1282"/>
        <v>1.9863436008609694</v>
      </c>
      <c r="DD378" s="4">
        <f t="shared" si="1283"/>
        <v>1.356754559997581</v>
      </c>
      <c r="DE378" s="4">
        <f t="shared" si="1284"/>
        <v>0.90063459723224326</v>
      </c>
      <c r="DF378" s="4">
        <f t="shared" si="1284"/>
        <v>0.94846759987164653</v>
      </c>
      <c r="DI378" s="4">
        <f t="shared" si="1285"/>
        <v>105.664</v>
      </c>
      <c r="DL378" s="4">
        <f t="shared" si="1166"/>
        <v>1.2154210060506127E-5</v>
      </c>
      <c r="DM378" s="4">
        <f t="shared" si="1009"/>
        <v>9.7201649178311715</v>
      </c>
      <c r="DN378" s="4">
        <f t="shared" si="1167"/>
        <v>0.45197475761769884</v>
      </c>
      <c r="DO378" s="4">
        <f t="shared" si="1168"/>
        <v>7.0748837090322549</v>
      </c>
      <c r="DP378" s="4">
        <f t="shared" si="1169"/>
        <v>8.5012977555483715</v>
      </c>
      <c r="DQ378" s="4">
        <f t="shared" si="1170"/>
        <v>9.5431608262948266</v>
      </c>
      <c r="DR378" s="38">
        <f t="shared" si="1183"/>
        <v>654.71077196664805</v>
      </c>
      <c r="DS378" s="4">
        <f t="shared" si="1095"/>
        <v>1.0000970175261943</v>
      </c>
      <c r="DT378" s="4">
        <f t="shared" si="1171"/>
        <v>2.2360679774997898</v>
      </c>
      <c r="DU378" s="4">
        <f t="shared" si="1103"/>
        <v>434.1958150123221</v>
      </c>
      <c r="DY378" s="4">
        <f t="shared" si="1037"/>
        <v>0.85</v>
      </c>
      <c r="DZ378" s="4">
        <f t="shared" si="1096"/>
        <v>0.7</v>
      </c>
      <c r="EA378" s="4">
        <f t="shared" si="1184"/>
        <v>0.7</v>
      </c>
      <c r="EB378" s="4">
        <f t="shared" si="1097"/>
        <v>0.7</v>
      </c>
      <c r="ED378" s="4">
        <f t="shared" si="1185"/>
        <v>621.69247794399041</v>
      </c>
      <c r="EE378" s="25">
        <f t="shared" si="1186"/>
        <v>427.60022486473753</v>
      </c>
      <c r="EG378" s="4">
        <f t="shared" si="1104"/>
        <v>0.59499999999999997</v>
      </c>
      <c r="EH378" s="4">
        <f t="shared" si="1187"/>
        <v>9.7201649178311715</v>
      </c>
      <c r="EK378" s="4">
        <f t="shared" si="1172"/>
        <v>35.497579142809165</v>
      </c>
      <c r="EL378" s="4">
        <f t="shared" si="1173"/>
        <v>2.2360679774997898</v>
      </c>
      <c r="EM378" s="4">
        <f t="shared" si="1174"/>
        <v>0.14234361234463544</v>
      </c>
      <c r="EP378" s="4">
        <f t="shared" si="1301"/>
        <v>0.14234361234463544</v>
      </c>
      <c r="EQ378" s="4">
        <f t="shared" si="1257"/>
        <v>0.45122049598387881</v>
      </c>
      <c r="ER378" s="4">
        <f t="shared" si="1010"/>
        <v>7.0701586776188012</v>
      </c>
      <c r="ES378" s="4">
        <f t="shared" si="1286"/>
        <v>8.4993339958986827</v>
      </c>
      <c r="ET378" s="4">
        <f t="shared" si="1011"/>
        <v>43.750420857190839</v>
      </c>
      <c r="EU378" s="4">
        <f t="shared" si="1012"/>
        <v>26.416000000000004</v>
      </c>
      <c r="EV378" s="4">
        <f t="shared" si="1098"/>
        <v>1.2154210060506129E-5</v>
      </c>
      <c r="EW378" s="4">
        <f t="shared" si="1287"/>
        <v>9.5432205709598907</v>
      </c>
      <c r="EX378" s="4">
        <f t="shared" si="1131"/>
        <v>654.64725970898121</v>
      </c>
      <c r="FG378" s="23">
        <f t="shared" si="1030"/>
        <v>2.2000000000000002</v>
      </c>
      <c r="FH378" s="23">
        <f t="shared" si="1030"/>
        <v>1</v>
      </c>
      <c r="FI378" s="23">
        <f t="shared" si="1248"/>
        <v>1.4</v>
      </c>
      <c r="FJ378" s="23">
        <f t="shared" si="1031"/>
        <v>2</v>
      </c>
      <c r="FK378" s="23">
        <f t="shared" si="1031"/>
        <v>1</v>
      </c>
      <c r="FL378" s="23">
        <f t="shared" si="1031"/>
        <v>1</v>
      </c>
      <c r="FM378" s="23">
        <f t="shared" si="1195"/>
        <v>0</v>
      </c>
      <c r="FN378" s="23"/>
      <c r="FX378" s="4">
        <f t="shared" si="1099"/>
        <v>1</v>
      </c>
      <c r="FY378" s="4">
        <f t="shared" si="1139"/>
        <v>0.46358941059918601</v>
      </c>
      <c r="FZ378" s="4">
        <f t="shared" si="1100"/>
        <v>0.3</v>
      </c>
      <c r="GA378" s="4">
        <f t="shared" si="1101"/>
        <v>434.60710566164926</v>
      </c>
    </row>
    <row r="379" spans="1:183" ht="12" customHeight="1" x14ac:dyDescent="0.3">
      <c r="A379" s="25">
        <v>361</v>
      </c>
      <c r="B379" s="4" t="s">
        <v>605</v>
      </c>
      <c r="C379" s="4">
        <v>2016</v>
      </c>
      <c r="D379" s="4" t="s">
        <v>309</v>
      </c>
      <c r="E379" s="24" t="s">
        <v>673</v>
      </c>
      <c r="F379" s="7" t="s">
        <v>526</v>
      </c>
      <c r="G379" s="38">
        <f t="shared" si="1262"/>
        <v>958.62068965517244</v>
      </c>
      <c r="H379" s="38">
        <f>4.19*25.4</f>
        <v>106.426</v>
      </c>
      <c r="I379" s="4">
        <f t="shared" si="1288"/>
        <v>106.426</v>
      </c>
      <c r="J379" s="38">
        <f>4690/145</f>
        <v>32.344827586206897</v>
      </c>
      <c r="K379" s="38">
        <f t="shared" si="1264"/>
        <v>15.875</v>
      </c>
      <c r="L379" s="7">
        <f t="shared" si="1289"/>
        <v>6.7039999999999997</v>
      </c>
      <c r="M379" s="7">
        <f t="shared" si="1290"/>
        <v>6.7039999999999997</v>
      </c>
      <c r="N379" s="38">
        <f>13*25.4</f>
        <v>330.2</v>
      </c>
      <c r="O379" s="38">
        <f>2.5*25.4</f>
        <v>63.5</v>
      </c>
      <c r="P379" s="39">
        <f>5.05*25.4</f>
        <v>128.26999999999998</v>
      </c>
      <c r="Q379" s="7">
        <f t="shared" si="1291"/>
        <v>171.45</v>
      </c>
      <c r="R379" s="38">
        <v>2</v>
      </c>
      <c r="S379" s="4">
        <f t="shared" si="1258"/>
        <v>133.35</v>
      </c>
      <c r="T379" s="7">
        <f t="shared" si="1292"/>
        <v>4.5</v>
      </c>
      <c r="U379" s="7">
        <f t="shared" si="1127"/>
        <v>4.5</v>
      </c>
      <c r="V379" s="38">
        <v>13.1</v>
      </c>
      <c r="W379" s="4">
        <f t="shared" si="1293"/>
        <v>13.1</v>
      </c>
      <c r="X379" s="4">
        <f t="shared" si="1294"/>
        <v>14.1</v>
      </c>
      <c r="Y379" s="7">
        <f t="shared" si="1295"/>
        <v>59.610572153771514</v>
      </c>
      <c r="AB379" s="38">
        <f t="shared" si="1038"/>
        <v>782.75862068965523</v>
      </c>
      <c r="AC379" s="4">
        <v>113.5</v>
      </c>
      <c r="AD379" s="4">
        <f t="shared" si="1159"/>
        <v>1.2858428339267387</v>
      </c>
      <c r="AE379" s="38">
        <f t="shared" si="1296"/>
        <v>9.5249999999999986</v>
      </c>
      <c r="AF379" s="38">
        <v>10</v>
      </c>
      <c r="AG379" s="39">
        <f>1.75*25.4</f>
        <v>44.449999999999996</v>
      </c>
      <c r="AH379" s="39">
        <v>3</v>
      </c>
      <c r="AI379" s="39">
        <f t="shared" si="1265"/>
        <v>2</v>
      </c>
      <c r="AJ379" s="7"/>
      <c r="AK379" s="4">
        <f t="shared" si="1297"/>
        <v>106.426</v>
      </c>
      <c r="AL379" s="4">
        <f t="shared" si="1175"/>
        <v>1.0342084327764518</v>
      </c>
      <c r="AM379" s="4">
        <f t="shared" si="1176"/>
        <v>157.73449680371363</v>
      </c>
      <c r="AN379" s="4">
        <f t="shared" si="1177"/>
        <v>0.83424821002386629</v>
      </c>
      <c r="AO379" s="4">
        <v>1.25</v>
      </c>
      <c r="AP379" s="4">
        <f t="shared" si="1112"/>
        <v>2.5</v>
      </c>
      <c r="AQ379" s="38">
        <f t="shared" si="1266"/>
        <v>425.2849992610565</v>
      </c>
      <c r="AR379" s="38">
        <f t="shared" si="1178"/>
        <v>425.2849992610565</v>
      </c>
      <c r="AS379" s="38">
        <f t="shared" si="1179"/>
        <v>3.0454944685430494</v>
      </c>
      <c r="AT379" s="38">
        <f t="shared" si="1121"/>
        <v>425.28499926105661</v>
      </c>
      <c r="AU379" s="38">
        <f t="shared" si="1086"/>
        <v>0.99999999999999978</v>
      </c>
      <c r="AV379" s="38">
        <f t="shared" si="1249"/>
        <v>2.4774387905489403</v>
      </c>
      <c r="AW379" s="4">
        <f t="shared" si="1230"/>
        <v>0</v>
      </c>
      <c r="AX379" s="4">
        <f t="shared" si="1298"/>
        <v>200.67017291999846</v>
      </c>
      <c r="AY379" s="4">
        <f t="shared" si="1267"/>
        <v>1</v>
      </c>
      <c r="AZ379" s="38">
        <f t="shared" si="1102"/>
        <v>1053.6175542079191</v>
      </c>
      <c r="BA379" s="4">
        <f t="shared" si="1268"/>
        <v>0.3</v>
      </c>
      <c r="BB379" s="4">
        <f t="shared" si="1269"/>
        <v>31.455049605209762</v>
      </c>
      <c r="BC379" s="4">
        <f t="shared" si="1270"/>
        <v>1085.0726038131288</v>
      </c>
      <c r="BE379" s="4">
        <f t="shared" si="1122"/>
        <v>1.5</v>
      </c>
      <c r="BF379" s="4">
        <f t="shared" si="1128"/>
        <v>427.49930728364927</v>
      </c>
      <c r="BH379" s="4">
        <f t="shared" si="1129"/>
        <v>1010.5480835161915</v>
      </c>
      <c r="BI379" s="4">
        <f t="shared" si="1067"/>
        <v>0</v>
      </c>
      <c r="BJ379" s="4">
        <f t="shared" si="1130"/>
        <v>0</v>
      </c>
      <c r="BR379" s="4">
        <f t="shared" si="1271"/>
        <v>63.5</v>
      </c>
      <c r="BV379" s="9"/>
      <c r="BX379" s="9"/>
      <c r="BY379" s="9"/>
      <c r="BZ379" s="9">
        <f t="shared" si="1272"/>
        <v>63.5</v>
      </c>
      <c r="CA379" s="9">
        <f t="shared" si="1273"/>
        <v>85.724999999999994</v>
      </c>
      <c r="CB379" s="9">
        <f t="shared" si="1087"/>
        <v>2.0920885420600022</v>
      </c>
      <c r="CC379" s="40">
        <f t="shared" si="1299"/>
        <v>20</v>
      </c>
      <c r="CD379" s="9">
        <f t="shared" si="1274"/>
        <v>0.05</v>
      </c>
      <c r="CE379" s="9">
        <f t="shared" si="1275"/>
        <v>0.8</v>
      </c>
      <c r="CF379" s="9">
        <f t="shared" si="1276"/>
        <v>1</v>
      </c>
      <c r="CG379" s="9">
        <f t="shared" si="1277"/>
        <v>0.68</v>
      </c>
      <c r="CH379" s="9">
        <f t="shared" si="1088"/>
        <v>1.3535658143559566</v>
      </c>
      <c r="CI379" s="9">
        <f t="shared" si="1089"/>
        <v>3.3839145358898914</v>
      </c>
      <c r="CJ379" s="40">
        <v>1</v>
      </c>
      <c r="CK379" s="9">
        <f t="shared" si="1090"/>
        <v>293.77792434781679</v>
      </c>
      <c r="CM379" s="4">
        <f t="shared" si="1278"/>
        <v>3.9007223111414722</v>
      </c>
      <c r="CN379" s="4">
        <f t="shared" si="1279"/>
        <v>0.72138824438006166</v>
      </c>
      <c r="CO379" s="4">
        <f t="shared" si="1242"/>
        <v>1.8310172843631967</v>
      </c>
      <c r="CP379" s="4">
        <f t="shared" si="1280"/>
        <v>2.6644569105298475</v>
      </c>
      <c r="CQ379" s="4">
        <f t="shared" si="1189"/>
        <v>1.2858428339267387</v>
      </c>
      <c r="CR379" s="4">
        <f t="shared" si="1190"/>
        <v>1.2792539211145848</v>
      </c>
      <c r="CS379" s="4">
        <f t="shared" si="1243"/>
        <v>1.799506429845696</v>
      </c>
      <c r="CT379" s="4">
        <f t="shared" si="1300"/>
        <v>10</v>
      </c>
      <c r="DA379" s="4">
        <f t="shared" si="1281"/>
        <v>3.9007223111414722</v>
      </c>
      <c r="DB379" s="4">
        <f t="shared" si="1281"/>
        <v>0.72138824438006166</v>
      </c>
      <c r="DC379" s="4">
        <f t="shared" si="1282"/>
        <v>2.6644569105298475</v>
      </c>
      <c r="DD379" s="4">
        <f t="shared" si="1283"/>
        <v>1.799506429845696</v>
      </c>
      <c r="DE379" s="4">
        <f t="shared" si="1284"/>
        <v>1.2858428339267387</v>
      </c>
      <c r="DF379" s="4">
        <f t="shared" si="1284"/>
        <v>1.2792539211145848</v>
      </c>
      <c r="DI379" s="4">
        <f t="shared" si="1285"/>
        <v>106.426</v>
      </c>
      <c r="DL379" s="4">
        <f t="shared" si="1166"/>
        <v>1.2171450429620639E-5</v>
      </c>
      <c r="DM379" s="4">
        <f t="shared" si="1009"/>
        <v>9.5981496427943913</v>
      </c>
      <c r="DN379" s="4">
        <f t="shared" si="1167"/>
        <v>0.23280596049007915</v>
      </c>
      <c r="DO379" s="4">
        <f t="shared" si="1168"/>
        <v>5.3577834299564575</v>
      </c>
      <c r="DP379" s="4">
        <f t="shared" si="1169"/>
        <v>7.7749242184825027</v>
      </c>
      <c r="DQ379" s="4">
        <f t="shared" si="1170"/>
        <v>9.4574200035520022</v>
      </c>
      <c r="DR379" s="38">
        <f t="shared" si="1183"/>
        <v>608.75139638897201</v>
      </c>
      <c r="DS379" s="4">
        <f t="shared" si="1095"/>
        <v>1.0000979278356326</v>
      </c>
      <c r="DT379" s="4">
        <f t="shared" si="1171"/>
        <v>3.7549966711037173</v>
      </c>
      <c r="DU379" s="4">
        <f t="shared" si="1103"/>
        <v>425.28499926105661</v>
      </c>
      <c r="DY379" s="4">
        <f t="shared" si="1037"/>
        <v>0.85</v>
      </c>
      <c r="DZ379" s="4">
        <f t="shared" si="1096"/>
        <v>0.7</v>
      </c>
      <c r="EA379" s="4">
        <f t="shared" si="1184"/>
        <v>0.7</v>
      </c>
      <c r="EB379" s="4">
        <f t="shared" si="1097"/>
        <v>0.7</v>
      </c>
      <c r="ED379" s="4">
        <f t="shared" si="1185"/>
        <v>611.88682541434423</v>
      </c>
      <c r="EE379" s="25">
        <f t="shared" si="1186"/>
        <v>418.84883979846347</v>
      </c>
      <c r="EG379" s="4">
        <f t="shared" si="1104"/>
        <v>0.59499999999999997</v>
      </c>
      <c r="EH379" s="4">
        <f t="shared" si="1187"/>
        <v>9.5981496427943913</v>
      </c>
      <c r="EK379" s="4">
        <f t="shared" si="1172"/>
        <v>59.610572153771514</v>
      </c>
      <c r="EL379" s="4">
        <f t="shared" si="1173"/>
        <v>3.7549966711037173</v>
      </c>
      <c r="EM379" s="4">
        <f t="shared" si="1174"/>
        <v>7.2398868854731249E-2</v>
      </c>
      <c r="EP379" s="4">
        <f t="shared" si="1301"/>
        <v>7.2398868854731249E-2</v>
      </c>
      <c r="EQ379" s="4">
        <f t="shared" si="1257"/>
        <v>0.23241745073115397</v>
      </c>
      <c r="ER379" s="4">
        <f t="shared" si="1010"/>
        <v>5.3542051810333406</v>
      </c>
      <c r="ES379" s="4">
        <f t="shared" si="1286"/>
        <v>7.7736998840286358</v>
      </c>
      <c r="ET379" s="4">
        <f t="shared" si="1011"/>
        <v>20.208927846228491</v>
      </c>
      <c r="EU379" s="4">
        <f t="shared" si="1012"/>
        <v>26.606499999999997</v>
      </c>
      <c r="EV379" s="4">
        <f t="shared" si="1098"/>
        <v>1.2171450429620635E-5</v>
      </c>
      <c r="EW379" s="4">
        <f t="shared" si="1287"/>
        <v>9.4574754494206612</v>
      </c>
      <c r="EX379" s="4">
        <f t="shared" si="1131"/>
        <v>608.69178851955496</v>
      </c>
      <c r="FG379" s="23">
        <f t="shared" si="1030"/>
        <v>2.2000000000000002</v>
      </c>
      <c r="FH379" s="23">
        <f t="shared" si="1030"/>
        <v>0.8</v>
      </c>
      <c r="FI379" s="23">
        <f t="shared" si="1248"/>
        <v>1.8</v>
      </c>
      <c r="FJ379" s="23">
        <f t="shared" si="1031"/>
        <v>2.2000000000000002</v>
      </c>
      <c r="FK379" s="23">
        <f t="shared" si="1031"/>
        <v>1.4</v>
      </c>
      <c r="FL379" s="23">
        <f t="shared" si="1031"/>
        <v>1.4</v>
      </c>
      <c r="FM379" s="23">
        <f t="shared" si="1195"/>
        <v>0</v>
      </c>
      <c r="FN379" s="23"/>
      <c r="FX379" s="4">
        <f t="shared" si="1099"/>
        <v>1</v>
      </c>
      <c r="FY379" s="4">
        <f t="shared" si="1139"/>
        <v>0.46358941059918601</v>
      </c>
      <c r="FZ379" s="4">
        <f t="shared" si="1100"/>
        <v>0.3</v>
      </c>
      <c r="GA379" s="4">
        <f t="shared" si="1101"/>
        <v>434.98517577221173</v>
      </c>
    </row>
    <row r="380" spans="1:183" ht="12" customHeight="1" x14ac:dyDescent="0.3">
      <c r="A380" s="25">
        <v>362</v>
      </c>
      <c r="B380" s="4" t="s">
        <v>605</v>
      </c>
      <c r="C380" s="4">
        <v>2016</v>
      </c>
      <c r="D380" s="4" t="s">
        <v>309</v>
      </c>
      <c r="E380" s="24" t="s">
        <v>673</v>
      </c>
      <c r="F380" s="7" t="s">
        <v>527</v>
      </c>
      <c r="G380" s="38">
        <f t="shared" si="1262"/>
        <v>958.62068965517244</v>
      </c>
      <c r="H380" s="38">
        <f>6*25.4</f>
        <v>152.39999999999998</v>
      </c>
      <c r="I380" s="4">
        <f t="shared" si="1288"/>
        <v>152.39999999999998</v>
      </c>
      <c r="J380" s="38">
        <f t="shared" ref="J380:J384" si="1302">4690/145</f>
        <v>32.344827586206897</v>
      </c>
      <c r="K380" s="38">
        <f t="shared" si="1264"/>
        <v>15.875</v>
      </c>
      <c r="L380" s="7">
        <f t="shared" si="1289"/>
        <v>9.5999999999999979</v>
      </c>
      <c r="M380" s="7">
        <f t="shared" si="1290"/>
        <v>9.5999999999999979</v>
      </c>
      <c r="N380" s="38">
        <f>13.1*25.4</f>
        <v>332.73999999999995</v>
      </c>
      <c r="O380" s="38">
        <f>2.55*25.4</f>
        <v>64.77</v>
      </c>
      <c r="P380" s="39">
        <f>3.3*25.4</f>
        <v>83.82</v>
      </c>
      <c r="Q380" s="7">
        <f t="shared" si="1291"/>
        <v>171.44999999999996</v>
      </c>
      <c r="R380" s="38">
        <v>2</v>
      </c>
      <c r="S380" s="4">
        <f t="shared" si="1258"/>
        <v>133.35</v>
      </c>
      <c r="T380" s="7">
        <f t="shared" si="1292"/>
        <v>4.58</v>
      </c>
      <c r="U380" s="7">
        <f t="shared" si="1127"/>
        <v>4.58</v>
      </c>
      <c r="V380" s="38">
        <v>4</v>
      </c>
      <c r="W380" s="4">
        <f t="shared" si="1293"/>
        <v>4</v>
      </c>
      <c r="X380" s="4">
        <f t="shared" si="1294"/>
        <v>5</v>
      </c>
      <c r="Y380" s="7">
        <f t="shared" si="1295"/>
        <v>35.497579142809165</v>
      </c>
      <c r="AB380" s="38">
        <f t="shared" si="1038"/>
        <v>727.58620689655174</v>
      </c>
      <c r="AC380" s="4">
        <v>105.5</v>
      </c>
      <c r="AD380" s="4">
        <f t="shared" si="1159"/>
        <v>0.89396556017501727</v>
      </c>
      <c r="AE380" s="38"/>
      <c r="AF380" s="38"/>
      <c r="AG380" s="39">
        <v>1</v>
      </c>
      <c r="AH380" s="39"/>
      <c r="AI380" s="39"/>
      <c r="AJ380" s="7"/>
      <c r="AK380" s="4">
        <f t="shared" si="1297"/>
        <v>152.39999999999998</v>
      </c>
      <c r="AL380" s="4">
        <f t="shared" si="1175"/>
        <v>0.72777777777777763</v>
      </c>
      <c r="AM380" s="4">
        <f t="shared" si="1176"/>
        <v>270.29158549016233</v>
      </c>
      <c r="AN380" s="4">
        <f t="shared" si="1177"/>
        <v>0.79541666666666666</v>
      </c>
      <c r="AO380" s="4">
        <v>1.25</v>
      </c>
      <c r="AP380" s="4">
        <f t="shared" si="1112"/>
        <v>2.5</v>
      </c>
      <c r="AQ380" s="38">
        <f t="shared" si="1266"/>
        <v>488.96303101703046</v>
      </c>
      <c r="AR380" s="38">
        <f t="shared" si="1178"/>
        <v>488.96303101703046</v>
      </c>
      <c r="AS380" s="38">
        <f t="shared" si="1179"/>
        <v>3.0454944685430494</v>
      </c>
      <c r="AT380" s="38">
        <f t="shared" si="1121"/>
        <v>488.96303101703029</v>
      </c>
      <c r="AU380" s="38">
        <f t="shared" si="1086"/>
        <v>1.0000000000000004</v>
      </c>
      <c r="AV380" s="38">
        <f t="shared" si="1249"/>
        <v>1.2118651182008726</v>
      </c>
      <c r="AW380" s="4">
        <f t="shared" si="1230"/>
        <v>0</v>
      </c>
      <c r="AX380" s="4">
        <f t="shared" si="1298"/>
        <v>287.35585621002161</v>
      </c>
      <c r="AY380" s="4">
        <f t="shared" si="1267"/>
        <v>1</v>
      </c>
      <c r="AZ380" s="38">
        <f t="shared" si="1102"/>
        <v>592.55724137931031</v>
      </c>
      <c r="BA380" s="4">
        <f t="shared" si="1268"/>
        <v>0.44000000000000006</v>
      </c>
      <c r="BB380" s="4">
        <f t="shared" si="1269"/>
        <v>66.063111342683982</v>
      </c>
      <c r="BC380" s="4">
        <f t="shared" si="1270"/>
        <v>658.62035272199432</v>
      </c>
      <c r="BE380" s="4">
        <f t="shared" si="1122"/>
        <v>1.5</v>
      </c>
      <c r="BF380" s="4">
        <f t="shared" si="1128"/>
        <v>501.61556649661907</v>
      </c>
      <c r="BH380" s="4">
        <f t="shared" si="1129"/>
        <v>568.33485951140074</v>
      </c>
      <c r="BI380" s="4">
        <f t="shared" si="1067"/>
        <v>0</v>
      </c>
      <c r="BJ380" s="4">
        <f t="shared" si="1130"/>
        <v>0</v>
      </c>
      <c r="BR380" s="4">
        <f t="shared" si="1271"/>
        <v>64.77</v>
      </c>
      <c r="BV380" s="9"/>
      <c r="BX380" s="9"/>
      <c r="BY380" s="9"/>
      <c r="BZ380" s="9">
        <f t="shared" si="1272"/>
        <v>64.77</v>
      </c>
      <c r="CA380" s="9">
        <f t="shared" si="1273"/>
        <v>85.72499999999998</v>
      </c>
      <c r="CB380" s="9">
        <f t="shared" si="1087"/>
        <v>2.1066390052415969</v>
      </c>
      <c r="CC380" s="40">
        <f t="shared" si="1299"/>
        <v>0</v>
      </c>
      <c r="CD380" s="9">
        <f t="shared" si="1274"/>
        <v>0</v>
      </c>
      <c r="CE380" s="9">
        <f t="shared" si="1275"/>
        <v>0</v>
      </c>
      <c r="CF380" s="9">
        <f t="shared" si="1276"/>
        <v>1</v>
      </c>
      <c r="CG380" s="9">
        <f t="shared" si="1277"/>
        <v>0.68</v>
      </c>
      <c r="CH380" s="9">
        <f t="shared" si="1088"/>
        <v>1.3535658143559566</v>
      </c>
      <c r="CI380" s="9">
        <f t="shared" si="1089"/>
        <v>2.8514745406838644</v>
      </c>
      <c r="CJ380" s="40">
        <v>1</v>
      </c>
      <c r="CK380" s="9">
        <f t="shared" si="1090"/>
        <v>280.58509480329224</v>
      </c>
      <c r="CM380" s="4">
        <f t="shared" si="1278"/>
        <v>2.532004102831912</v>
      </c>
      <c r="CN380" s="4">
        <f t="shared" si="1279"/>
        <v>1.1047126070269926</v>
      </c>
      <c r="CO380" s="4">
        <f t="shared" si="1242"/>
        <v>1.4504857015864872</v>
      </c>
      <c r="CP380" s="4">
        <f t="shared" si="1280"/>
        <v>2.5931035552926835</v>
      </c>
      <c r="CQ380" s="4">
        <f t="shared" si="1189"/>
        <v>0.89396556017501727</v>
      </c>
      <c r="CR380" s="4">
        <f t="shared" si="1190"/>
        <v>0.95692750390543657</v>
      </c>
      <c r="CS380" s="4">
        <f t="shared" si="1243"/>
        <v>1.2598222395057197</v>
      </c>
      <c r="CT380" s="4">
        <f t="shared" si="1300"/>
        <v>0</v>
      </c>
      <c r="CU380" s="4">
        <f t="shared" ref="CU380:CV381" si="1303">CM380</f>
        <v>2.532004102831912</v>
      </c>
      <c r="CV380" s="4">
        <f t="shared" si="1303"/>
        <v>1.1047126070269926</v>
      </c>
      <c r="CW380" s="4">
        <f t="shared" ref="CW380:CW381" si="1304">CP380</f>
        <v>2.5931035552926835</v>
      </c>
      <c r="CX380" s="4">
        <f t="shared" ref="CX380:CX381" si="1305">CS380</f>
        <v>1.2598222395057197</v>
      </c>
      <c r="CY380" s="4">
        <f t="shared" ref="CY380:CZ381" si="1306">CQ380</f>
        <v>0.89396556017501727</v>
      </c>
      <c r="CZ380" s="4">
        <f t="shared" si="1306"/>
        <v>0.95692750390543657</v>
      </c>
      <c r="DI380" s="4">
        <f t="shared" si="1285"/>
        <v>152.39999999999998</v>
      </c>
      <c r="DL380" s="4">
        <f t="shared" si="1166"/>
        <v>1.7429284624755085E-5</v>
      </c>
      <c r="DM380" s="4">
        <f t="shared" si="1009"/>
        <v>9.5981496427943913</v>
      </c>
      <c r="DN380" s="4">
        <f t="shared" si="1167"/>
        <v>0.52200757557226207</v>
      </c>
      <c r="DO380" s="4">
        <f t="shared" si="1168"/>
        <v>7.4004518777607604</v>
      </c>
      <c r="DP380" s="4">
        <f t="shared" si="1169"/>
        <v>8.570156296053419</v>
      </c>
      <c r="DQ380" s="4">
        <f t="shared" si="1170"/>
        <v>9.2254992877311519</v>
      </c>
      <c r="DR380" s="38">
        <f t="shared" si="1183"/>
        <v>813.88617113405087</v>
      </c>
      <c r="DS380" s="4">
        <f t="shared" si="1095"/>
        <v>1.0001050017855873</v>
      </c>
      <c r="DT380" s="4">
        <f t="shared" si="1171"/>
        <v>2.2360679774997898</v>
      </c>
      <c r="DU380" s="4">
        <f t="shared" si="1103"/>
        <v>488.96303101703029</v>
      </c>
      <c r="DY380" s="4">
        <f t="shared" si="1037"/>
        <v>0.85</v>
      </c>
      <c r="DZ380" s="4">
        <f t="shared" si="1096"/>
        <v>0.7</v>
      </c>
      <c r="EA380" s="4">
        <f t="shared" si="1184"/>
        <v>1</v>
      </c>
      <c r="EB380" s="4">
        <f t="shared" si="1097"/>
        <v>0.7</v>
      </c>
      <c r="ED380" s="4">
        <f t="shared" si="1185"/>
        <v>760.3357662175124</v>
      </c>
      <c r="EE380" s="25">
        <f t="shared" si="1186"/>
        <v>483.90905650503407</v>
      </c>
      <c r="EG380" s="4">
        <f t="shared" si="1104"/>
        <v>0.59499999999999997</v>
      </c>
      <c r="EH380" s="4">
        <f t="shared" si="1187"/>
        <v>9.5981496427943913</v>
      </c>
      <c r="EK380" s="4">
        <f t="shared" si="1172"/>
        <v>35.497579142809165</v>
      </c>
      <c r="EL380" s="4">
        <f t="shared" si="1173"/>
        <v>2.2360679774997898</v>
      </c>
      <c r="EM380" s="4">
        <f t="shared" si="1174"/>
        <v>0.16233586943167169</v>
      </c>
      <c r="EP380" s="4">
        <f t="shared" si="1301"/>
        <v>0.16233586943167169</v>
      </c>
      <c r="EQ380" s="4">
        <f t="shared" si="1257"/>
        <v>0.52113644221761857</v>
      </c>
      <c r="ER380" s="4">
        <f t="shared" si="1010"/>
        <v>7.3955094124094876</v>
      </c>
      <c r="ES380" s="4">
        <f t="shared" si="1286"/>
        <v>8.5680239121396582</v>
      </c>
      <c r="ET380" s="4">
        <f t="shared" si="1011"/>
        <v>78.80242085719081</v>
      </c>
      <c r="EU380" s="4">
        <f t="shared" si="1012"/>
        <v>38.099999999999994</v>
      </c>
      <c r="EV380" s="4">
        <f t="shared" si="1098"/>
        <v>1.7429284624755085E-5</v>
      </c>
      <c r="EW380" s="4">
        <f t="shared" si="1287"/>
        <v>9.225613481523542</v>
      </c>
      <c r="EX380" s="4">
        <f t="shared" si="1131"/>
        <v>813.80072060527505</v>
      </c>
      <c r="FG380" s="23">
        <f t="shared" si="1030"/>
        <v>2.2000000000000002</v>
      </c>
      <c r="FH380" s="23">
        <f t="shared" si="1030"/>
        <v>1.2</v>
      </c>
      <c r="FI380" s="23">
        <f t="shared" si="1248"/>
        <v>1.4</v>
      </c>
      <c r="FJ380" s="23">
        <f t="shared" si="1031"/>
        <v>2.2000000000000002</v>
      </c>
      <c r="FK380" s="23">
        <f t="shared" si="1031"/>
        <v>1</v>
      </c>
      <c r="FL380" s="23">
        <f t="shared" si="1031"/>
        <v>1</v>
      </c>
      <c r="FM380" s="23">
        <f t="shared" si="1195"/>
        <v>0</v>
      </c>
      <c r="FN380" s="23"/>
      <c r="FX380" s="4">
        <f t="shared" si="1099"/>
        <v>1</v>
      </c>
      <c r="FY380" s="4">
        <f t="shared" si="1139"/>
        <v>0.5</v>
      </c>
      <c r="FZ380" s="4">
        <f t="shared" si="1100"/>
        <v>0</v>
      </c>
      <c r="GA380" s="4">
        <f t="shared" si="1101"/>
        <v>577.53084846479123</v>
      </c>
    </row>
    <row r="381" spans="1:183" ht="12" customHeight="1" x14ac:dyDescent="0.3">
      <c r="A381" s="25">
        <v>363</v>
      </c>
      <c r="B381" s="4" t="s">
        <v>605</v>
      </c>
      <c r="C381" s="4">
        <v>2016</v>
      </c>
      <c r="D381" s="4" t="s">
        <v>309</v>
      </c>
      <c r="E381" s="24" t="s">
        <v>673</v>
      </c>
      <c r="F381" s="7" t="s">
        <v>528</v>
      </c>
      <c r="G381" s="38">
        <f t="shared" si="1262"/>
        <v>958.62068965517244</v>
      </c>
      <c r="H381" s="38">
        <f>6.22*25.4</f>
        <v>157.98799999999997</v>
      </c>
      <c r="I381" s="4">
        <f t="shared" si="1288"/>
        <v>157.98799999999997</v>
      </c>
      <c r="J381" s="38">
        <f t="shared" si="1302"/>
        <v>32.344827586206897</v>
      </c>
      <c r="K381" s="38">
        <f t="shared" si="1264"/>
        <v>15.875</v>
      </c>
      <c r="L381" s="7">
        <f t="shared" si="1289"/>
        <v>9.9519999999999982</v>
      </c>
      <c r="M381" s="7">
        <f t="shared" si="1290"/>
        <v>9.9519999999999982</v>
      </c>
      <c r="N381" s="38">
        <f>13.3*25.4</f>
        <v>337.82</v>
      </c>
      <c r="O381" s="38">
        <f>2.55*25.4</f>
        <v>64.77</v>
      </c>
      <c r="P381" s="39">
        <f>3*25.4</f>
        <v>76.199999999999989</v>
      </c>
      <c r="Q381" s="7">
        <f t="shared" si="1291"/>
        <v>176.53</v>
      </c>
      <c r="R381" s="38">
        <v>2</v>
      </c>
      <c r="S381" s="4">
        <f t="shared" si="1258"/>
        <v>133.35</v>
      </c>
      <c r="T381" s="7">
        <f t="shared" si="1292"/>
        <v>4.58</v>
      </c>
      <c r="U381" s="7">
        <f t="shared" si="1127"/>
        <v>4.58</v>
      </c>
      <c r="V381" s="38">
        <v>13.1</v>
      </c>
      <c r="W381" s="4">
        <f t="shared" si="1293"/>
        <v>13.1</v>
      </c>
      <c r="X381" s="4">
        <f t="shared" si="1294"/>
        <v>14.1</v>
      </c>
      <c r="Y381" s="7">
        <f t="shared" si="1295"/>
        <v>59.610572153771514</v>
      </c>
      <c r="AB381" s="38">
        <f t="shared" si="1038"/>
        <v>785.51724137931046</v>
      </c>
      <c r="AC381" s="4">
        <v>113.9</v>
      </c>
      <c r="AD381" s="4">
        <f t="shared" si="1159"/>
        <v>0.98338913792026705</v>
      </c>
      <c r="AE381" s="38"/>
      <c r="AF381" s="38"/>
      <c r="AG381" s="39">
        <v>1</v>
      </c>
      <c r="AH381" s="39"/>
      <c r="AI381" s="39"/>
      <c r="AJ381" s="7"/>
      <c r="AK381" s="4">
        <f t="shared" si="1297"/>
        <v>157.98799999999997</v>
      </c>
      <c r="AL381" s="4">
        <f t="shared" si="1175"/>
        <v>0.71275455519828534</v>
      </c>
      <c r="AM381" s="4">
        <f t="shared" si="1176"/>
        <v>285.29307317151796</v>
      </c>
      <c r="AN381" s="4">
        <f t="shared" si="1177"/>
        <v>0.79204180064308682</v>
      </c>
      <c r="AO381" s="4">
        <v>1.25</v>
      </c>
      <c r="AP381" s="4">
        <f t="shared" si="1112"/>
        <v>2.5</v>
      </c>
      <c r="AQ381" s="38">
        <f t="shared" si="1266"/>
        <v>503.30280744753634</v>
      </c>
      <c r="AR381" s="38">
        <f t="shared" si="1178"/>
        <v>503.30280744753634</v>
      </c>
      <c r="AS381" s="38">
        <f t="shared" si="1179"/>
        <v>3.0454944685430494</v>
      </c>
      <c r="AT381" s="38">
        <f t="shared" si="1121"/>
        <v>503.30280744753645</v>
      </c>
      <c r="AU381" s="38">
        <f t="shared" si="1086"/>
        <v>0.99999999999999978</v>
      </c>
      <c r="AV381" s="38">
        <f t="shared" si="1249"/>
        <v>2.130622990934087</v>
      </c>
      <c r="AW381" s="4">
        <f t="shared" si="1230"/>
        <v>0</v>
      </c>
      <c r="AX381" s="4">
        <f t="shared" si="1298"/>
        <v>297.89223760438909</v>
      </c>
      <c r="AY381" s="4">
        <f t="shared" si="1267"/>
        <v>1</v>
      </c>
      <c r="AZ381" s="38">
        <f t="shared" si="1102"/>
        <v>1072.3485329493931</v>
      </c>
      <c r="BA381" s="4">
        <f t="shared" si="1268"/>
        <v>0.3</v>
      </c>
      <c r="BB381" s="4">
        <f t="shared" si="1269"/>
        <v>46.694608244487995</v>
      </c>
      <c r="BC381" s="4">
        <f t="shared" si="1270"/>
        <v>1119.0431411938812</v>
      </c>
      <c r="BE381" s="4">
        <f t="shared" si="1122"/>
        <v>1.5</v>
      </c>
      <c r="BF381" s="4">
        <f t="shared" si="1128"/>
        <v>510.62417258880328</v>
      </c>
      <c r="BH381" s="4">
        <f t="shared" si="1129"/>
        <v>1028.5133827787015</v>
      </c>
      <c r="BI381" s="4">
        <f t="shared" si="1067"/>
        <v>0</v>
      </c>
      <c r="BJ381" s="4">
        <f t="shared" si="1130"/>
        <v>0</v>
      </c>
      <c r="BR381" s="4">
        <f t="shared" si="1271"/>
        <v>64.77</v>
      </c>
      <c r="BV381" s="9"/>
      <c r="BX381" s="9"/>
      <c r="BY381" s="9"/>
      <c r="BZ381" s="9">
        <f t="shared" si="1272"/>
        <v>64.77</v>
      </c>
      <c r="CA381" s="9">
        <f t="shared" si="1273"/>
        <v>88.265000000000001</v>
      </c>
      <c r="CB381" s="9">
        <f t="shared" si="1087"/>
        <v>2.1158860526359717</v>
      </c>
      <c r="CC381" s="40">
        <f t="shared" si="1299"/>
        <v>0</v>
      </c>
      <c r="CD381" s="9">
        <f t="shared" si="1274"/>
        <v>0</v>
      </c>
      <c r="CE381" s="9">
        <f t="shared" si="1275"/>
        <v>0</v>
      </c>
      <c r="CF381" s="9">
        <f t="shared" si="1276"/>
        <v>1</v>
      </c>
      <c r="CG381" s="9">
        <f t="shared" si="1277"/>
        <v>0.68</v>
      </c>
      <c r="CH381" s="9">
        <f t="shared" si="1088"/>
        <v>1.3535658143559566</v>
      </c>
      <c r="CI381" s="9">
        <f t="shared" si="1089"/>
        <v>2.8639910279206195</v>
      </c>
      <c r="CJ381" s="40">
        <v>1</v>
      </c>
      <c r="CK381" s="9">
        <f t="shared" si="1090"/>
        <v>285.8492165147012</v>
      </c>
      <c r="CM381" s="4">
        <f t="shared" si="1278"/>
        <v>2.6369174561121116</v>
      </c>
      <c r="CN381" s="4">
        <f t="shared" si="1279"/>
        <v>0.70195438626366125</v>
      </c>
      <c r="CO381" s="4">
        <f t="shared" si="1242"/>
        <v>1.5383471514809657</v>
      </c>
      <c r="CP381" s="4">
        <f t="shared" si="1280"/>
        <v>2.7480125744508079</v>
      </c>
      <c r="CQ381" s="4">
        <f t="shared" si="1189"/>
        <v>0.98338913792026705</v>
      </c>
      <c r="CR381" s="4">
        <f t="shared" si="1190"/>
        <v>1.000825177613299</v>
      </c>
      <c r="CS381" s="4">
        <f t="shared" si="1243"/>
        <v>1.3120228562170784</v>
      </c>
      <c r="CT381" s="4">
        <f t="shared" si="1300"/>
        <v>0</v>
      </c>
      <c r="CU381" s="4">
        <f t="shared" si="1303"/>
        <v>2.6369174561121116</v>
      </c>
      <c r="CV381" s="4">
        <f t="shared" si="1303"/>
        <v>0.70195438626366125</v>
      </c>
      <c r="CW381" s="4">
        <f t="shared" si="1304"/>
        <v>2.7480125744508079</v>
      </c>
      <c r="CX381" s="4">
        <f t="shared" si="1305"/>
        <v>1.3120228562170784</v>
      </c>
      <c r="CY381" s="4">
        <f t="shared" si="1306"/>
        <v>0.98338913792026705</v>
      </c>
      <c r="CZ381" s="4">
        <f t="shared" si="1306"/>
        <v>1.000825177613299</v>
      </c>
      <c r="DI381" s="4">
        <f t="shared" si="1285"/>
        <v>157.98799999999997</v>
      </c>
      <c r="DL381" s="4">
        <f t="shared" si="1166"/>
        <v>1.8068358394329439E-5</v>
      </c>
      <c r="DM381" s="4">
        <f t="shared" si="1009"/>
        <v>9.5981496427943913</v>
      </c>
      <c r="DN381" s="4">
        <f t="shared" si="1167"/>
        <v>0.2755138171079774</v>
      </c>
      <c r="DO381" s="4">
        <f t="shared" si="1168"/>
        <v>5.7311908412492434</v>
      </c>
      <c r="DP381" s="4">
        <f t="shared" si="1169"/>
        <v>7.9062213498050378</v>
      </c>
      <c r="DQ381" s="4">
        <f t="shared" si="1170"/>
        <v>9.2547968955127349</v>
      </c>
      <c r="DR381" s="38">
        <f t="shared" si="1183"/>
        <v>798.7857614947543</v>
      </c>
      <c r="DS381" s="4">
        <f t="shared" si="1095"/>
        <v>1.0000962977108665</v>
      </c>
      <c r="DT381" s="4">
        <f t="shared" si="1171"/>
        <v>3.7549966711037173</v>
      </c>
      <c r="DU381" s="4">
        <f t="shared" si="1103"/>
        <v>503.30280744753645</v>
      </c>
      <c r="DY381" s="4">
        <f t="shared" si="1037"/>
        <v>0.85</v>
      </c>
      <c r="DZ381" s="4">
        <f t="shared" si="1096"/>
        <v>0.7</v>
      </c>
      <c r="EA381" s="4">
        <f t="shared" si="1184"/>
        <v>1</v>
      </c>
      <c r="EB381" s="4">
        <f t="shared" si="1097"/>
        <v>0.7</v>
      </c>
      <c r="ED381" s="4">
        <f t="shared" si="1185"/>
        <v>784.86958456876505</v>
      </c>
      <c r="EE381" s="25">
        <f t="shared" si="1186"/>
        <v>498.30722883349574</v>
      </c>
      <c r="EG381" s="4">
        <f t="shared" si="1104"/>
        <v>0.59499999999999997</v>
      </c>
      <c r="EH381" s="4">
        <f t="shared" si="1187"/>
        <v>9.5981496427943913</v>
      </c>
      <c r="EK381" s="4">
        <f t="shared" si="1172"/>
        <v>59.610572153771514</v>
      </c>
      <c r="EL381" s="4">
        <f t="shared" si="1173"/>
        <v>3.7549966711037173</v>
      </c>
      <c r="EM381" s="4">
        <f t="shared" si="1174"/>
        <v>8.5680317937207151E-2</v>
      </c>
      <c r="EP381" s="4">
        <f t="shared" si="1301"/>
        <v>8.5680317937207151E-2</v>
      </c>
      <c r="EQ381" s="4">
        <f t="shared" si="1257"/>
        <v>0.2750540358960194</v>
      </c>
      <c r="ER381" s="4">
        <f t="shared" si="1010"/>
        <v>5.7273632084746113</v>
      </c>
      <c r="ES381" s="4">
        <f t="shared" si="1286"/>
        <v>7.9048406704128062</v>
      </c>
      <c r="ET381" s="4">
        <f t="shared" si="1011"/>
        <v>58.880427846228471</v>
      </c>
      <c r="EU381" s="4">
        <f t="shared" si="1012"/>
        <v>39.496999999999986</v>
      </c>
      <c r="EV381" s="4">
        <f t="shared" si="1098"/>
        <v>1.8068358394329436E-5</v>
      </c>
      <c r="EW381" s="4">
        <f t="shared" si="1287"/>
        <v>9.2549035009666163</v>
      </c>
      <c r="EX381" s="4">
        <f t="shared" si="1131"/>
        <v>798.70884766107565</v>
      </c>
      <c r="FG381" s="23">
        <f t="shared" si="1030"/>
        <v>2.2000000000000002</v>
      </c>
      <c r="FH381" s="23">
        <f t="shared" si="1030"/>
        <v>0.8</v>
      </c>
      <c r="FI381" s="23">
        <f t="shared" si="1248"/>
        <v>1.4</v>
      </c>
      <c r="FJ381" s="23">
        <f t="shared" si="1031"/>
        <v>2.2000000000000002</v>
      </c>
      <c r="FK381" s="23">
        <f t="shared" si="1031"/>
        <v>1</v>
      </c>
      <c r="FL381" s="23">
        <f t="shared" si="1031"/>
        <v>1.2</v>
      </c>
      <c r="FM381" s="23">
        <f t="shared" si="1195"/>
        <v>0</v>
      </c>
      <c r="FN381" s="23"/>
      <c r="FX381" s="4">
        <f t="shared" si="1099"/>
        <v>1</v>
      </c>
      <c r="FY381" s="4">
        <f t="shared" si="1139"/>
        <v>0.5</v>
      </c>
      <c r="FZ381" s="4">
        <f t="shared" si="1100"/>
        <v>0</v>
      </c>
      <c r="GA381" s="4">
        <f t="shared" si="1101"/>
        <v>598.70697957516688</v>
      </c>
    </row>
    <row r="382" spans="1:183" ht="12" customHeight="1" x14ac:dyDescent="0.3">
      <c r="A382" s="25">
        <v>364</v>
      </c>
      <c r="B382" s="4" t="s">
        <v>605</v>
      </c>
      <c r="C382" s="4">
        <v>2016</v>
      </c>
      <c r="D382" s="4" t="s">
        <v>309</v>
      </c>
      <c r="E382" s="24" t="s">
        <v>673</v>
      </c>
      <c r="F382" s="7" t="s">
        <v>529</v>
      </c>
      <c r="G382" s="38">
        <f t="shared" si="1262"/>
        <v>958.62068965517244</v>
      </c>
      <c r="H382" s="38">
        <f>6*25.4</f>
        <v>152.39999999999998</v>
      </c>
      <c r="I382" s="4">
        <f t="shared" si="1288"/>
        <v>152.39999999999998</v>
      </c>
      <c r="J382" s="38">
        <f t="shared" si="1302"/>
        <v>32.344827586206897</v>
      </c>
      <c r="K382" s="38">
        <f t="shared" si="1264"/>
        <v>15.875</v>
      </c>
      <c r="L382" s="7">
        <f t="shared" si="1289"/>
        <v>9.5999999999999979</v>
      </c>
      <c r="M382" s="7">
        <f t="shared" si="1290"/>
        <v>9.5999999999999979</v>
      </c>
      <c r="N382" s="38">
        <f>13.1*25.4</f>
        <v>332.73999999999995</v>
      </c>
      <c r="O382" s="38">
        <f>2.55*25.4</f>
        <v>64.77</v>
      </c>
      <c r="P382" s="39">
        <f>3.2*25.4</f>
        <v>81.28</v>
      </c>
      <c r="Q382" s="7">
        <f t="shared" si="1291"/>
        <v>171.44999999999996</v>
      </c>
      <c r="R382" s="38">
        <v>2</v>
      </c>
      <c r="S382" s="4">
        <f t="shared" si="1258"/>
        <v>133.35</v>
      </c>
      <c r="T382" s="7">
        <f t="shared" si="1292"/>
        <v>4.58</v>
      </c>
      <c r="U382" s="7">
        <f t="shared" si="1127"/>
        <v>4.58</v>
      </c>
      <c r="V382" s="38">
        <v>4</v>
      </c>
      <c r="W382" s="4">
        <f t="shared" si="1293"/>
        <v>4</v>
      </c>
      <c r="X382" s="4">
        <f t="shared" si="1294"/>
        <v>5</v>
      </c>
      <c r="Y382" s="7">
        <f t="shared" si="1295"/>
        <v>35.497579142809165</v>
      </c>
      <c r="AB382" s="38">
        <f t="shared" si="1038"/>
        <v>843.44827586206895</v>
      </c>
      <c r="AC382" s="4">
        <v>122.3</v>
      </c>
      <c r="AD382" s="4">
        <f t="shared" si="1159"/>
        <v>1.036322161226584</v>
      </c>
      <c r="AE382" s="38">
        <f t="shared" ref="AE382:AE384" si="1307">0.375*25.4</f>
        <v>9.5249999999999986</v>
      </c>
      <c r="AF382" s="38">
        <v>4</v>
      </c>
      <c r="AG382" s="39">
        <f>3.5*25.4</f>
        <v>88.899999999999991</v>
      </c>
      <c r="AH382" s="39">
        <v>2</v>
      </c>
      <c r="AI382" s="39">
        <f t="shared" ref="AI382:AI384" si="1308">AH382-1</f>
        <v>1</v>
      </c>
      <c r="AJ382" s="7"/>
      <c r="AK382" s="4">
        <f t="shared" si="1297"/>
        <v>152.39999999999998</v>
      </c>
      <c r="AL382" s="4">
        <f t="shared" si="1175"/>
        <v>0.72777777777777763</v>
      </c>
      <c r="AM382" s="4">
        <f t="shared" si="1176"/>
        <v>270.29158549016233</v>
      </c>
      <c r="AN382" s="4">
        <f t="shared" si="1177"/>
        <v>0.79541666666666666</v>
      </c>
      <c r="AO382" s="4">
        <v>1.25</v>
      </c>
      <c r="AP382" s="4">
        <f t="shared" si="1112"/>
        <v>2.5</v>
      </c>
      <c r="AQ382" s="38">
        <f t="shared" si="1266"/>
        <v>488.96303101703046</v>
      </c>
      <c r="AR382" s="38">
        <f t="shared" si="1178"/>
        <v>488.96303101703046</v>
      </c>
      <c r="AS382" s="38">
        <f t="shared" si="1179"/>
        <v>3.0454944685430494</v>
      </c>
      <c r="AT382" s="38">
        <f t="shared" si="1121"/>
        <v>488.96303101703029</v>
      </c>
      <c r="AU382" s="38">
        <f t="shared" si="1086"/>
        <v>1.0000000000000004</v>
      </c>
      <c r="AV382" s="38">
        <f t="shared" si="1249"/>
        <v>1.2118651182008726</v>
      </c>
      <c r="AW382" s="4">
        <f t="shared" si="1230"/>
        <v>0</v>
      </c>
      <c r="AX382" s="4">
        <f t="shared" si="1298"/>
        <v>287.35585621002161</v>
      </c>
      <c r="AY382" s="4">
        <f t="shared" si="1267"/>
        <v>1</v>
      </c>
      <c r="AZ382" s="38">
        <f t="shared" si="1102"/>
        <v>592.55724137931031</v>
      </c>
      <c r="BA382" s="4">
        <f t="shared" si="1268"/>
        <v>0.44000000000000006</v>
      </c>
      <c r="BB382" s="4">
        <f t="shared" si="1269"/>
        <v>66.063111342683982</v>
      </c>
      <c r="BC382" s="4">
        <f t="shared" si="1270"/>
        <v>658.62035272199432</v>
      </c>
      <c r="BE382" s="4">
        <f t="shared" si="1122"/>
        <v>1.5</v>
      </c>
      <c r="BF382" s="4">
        <f t="shared" si="1128"/>
        <v>501.61556649661907</v>
      </c>
      <c r="BH382" s="4">
        <f t="shared" si="1129"/>
        <v>568.33485951140074</v>
      </c>
      <c r="BI382" s="4">
        <f t="shared" si="1067"/>
        <v>0</v>
      </c>
      <c r="BJ382" s="4">
        <f t="shared" si="1130"/>
        <v>0</v>
      </c>
      <c r="BR382" s="4">
        <f t="shared" si="1271"/>
        <v>64.77</v>
      </c>
      <c r="BV382" s="9"/>
      <c r="BX382" s="9"/>
      <c r="BY382" s="9"/>
      <c r="BZ382" s="9">
        <f t="shared" si="1272"/>
        <v>64.77</v>
      </c>
      <c r="CA382" s="9">
        <f t="shared" si="1273"/>
        <v>85.72499999999998</v>
      </c>
      <c r="CB382" s="9">
        <f t="shared" si="1087"/>
        <v>2.1066390052415969</v>
      </c>
      <c r="CC382" s="40">
        <f t="shared" si="1299"/>
        <v>20</v>
      </c>
      <c r="CD382" s="9">
        <f t="shared" si="1274"/>
        <v>0.05</v>
      </c>
      <c r="CE382" s="9">
        <f t="shared" si="1275"/>
        <v>0.8</v>
      </c>
      <c r="CF382" s="9">
        <f t="shared" si="1276"/>
        <v>1</v>
      </c>
      <c r="CG382" s="9">
        <f t="shared" si="1277"/>
        <v>0.68</v>
      </c>
      <c r="CH382" s="9">
        <f t="shared" si="1088"/>
        <v>1.3535658143559566</v>
      </c>
      <c r="CI382" s="9">
        <f t="shared" si="1089"/>
        <v>3.3839145358898914</v>
      </c>
      <c r="CJ382" s="40">
        <v>1</v>
      </c>
      <c r="CK382" s="9">
        <f t="shared" si="1090"/>
        <v>332.97719033156528</v>
      </c>
      <c r="CM382" s="4">
        <f t="shared" si="1278"/>
        <v>2.9352047561738659</v>
      </c>
      <c r="CN382" s="4">
        <f t="shared" si="1279"/>
        <v>1.280628927387689</v>
      </c>
      <c r="CO382" s="4">
        <f t="shared" si="1242"/>
        <v>1.6814635194694538</v>
      </c>
      <c r="CP382" s="4">
        <f t="shared" si="1280"/>
        <v>2.5330512129740694</v>
      </c>
      <c r="CQ382" s="4">
        <f t="shared" si="1189"/>
        <v>1.036322161226584</v>
      </c>
      <c r="CR382" s="4">
        <f t="shared" si="1190"/>
        <v>1.1093102722998569</v>
      </c>
      <c r="CS382" s="4">
        <f t="shared" si="1243"/>
        <v>1.3540876305298664</v>
      </c>
      <c r="CT382" s="4">
        <f t="shared" si="1300"/>
        <v>4</v>
      </c>
      <c r="DA382" s="4">
        <f t="shared" ref="DA382:DB384" si="1309">CM382</f>
        <v>2.9352047561738659</v>
      </c>
      <c r="DB382" s="4">
        <f t="shared" si="1309"/>
        <v>1.280628927387689</v>
      </c>
      <c r="DC382" s="4">
        <f t="shared" ref="DC382:DC384" si="1310">CP382</f>
        <v>2.5330512129740694</v>
      </c>
      <c r="DD382" s="4">
        <f t="shared" ref="DD382:DD384" si="1311">CS382</f>
        <v>1.3540876305298664</v>
      </c>
      <c r="DE382" s="4">
        <f t="shared" ref="DE382:DF384" si="1312">CQ382</f>
        <v>1.036322161226584</v>
      </c>
      <c r="DF382" s="4">
        <f t="shared" si="1312"/>
        <v>1.1093102722998569</v>
      </c>
      <c r="DI382" s="4">
        <f t="shared" si="1285"/>
        <v>152.39999999999998</v>
      </c>
      <c r="DL382" s="4">
        <f t="shared" si="1166"/>
        <v>1.7429284624755085E-5</v>
      </c>
      <c r="DM382" s="4">
        <f t="shared" si="1009"/>
        <v>9.5981496427943913</v>
      </c>
      <c r="DN382" s="4">
        <f t="shared" si="1167"/>
        <v>0.52200757557226207</v>
      </c>
      <c r="DO382" s="4">
        <f t="shared" si="1168"/>
        <v>7.4004518777607604</v>
      </c>
      <c r="DP382" s="4">
        <f t="shared" si="1169"/>
        <v>8.570156296053419</v>
      </c>
      <c r="DQ382" s="4">
        <f t="shared" si="1170"/>
        <v>9.2254992877311519</v>
      </c>
      <c r="DR382" s="38">
        <f t="shared" si="1183"/>
        <v>813.88617113405087</v>
      </c>
      <c r="DS382" s="4">
        <f t="shared" si="1095"/>
        <v>1.0001050017855873</v>
      </c>
      <c r="DT382" s="4">
        <f t="shared" si="1171"/>
        <v>2.2360679774997898</v>
      </c>
      <c r="DU382" s="4">
        <f t="shared" si="1103"/>
        <v>488.96303101703029</v>
      </c>
      <c r="DY382" s="4">
        <f t="shared" si="1037"/>
        <v>0.85</v>
      </c>
      <c r="DZ382" s="4">
        <f t="shared" si="1096"/>
        <v>0.7</v>
      </c>
      <c r="EA382" s="4">
        <f t="shared" si="1184"/>
        <v>0.85899999999999999</v>
      </c>
      <c r="EB382" s="4">
        <f t="shared" si="1097"/>
        <v>0.7</v>
      </c>
      <c r="ED382" s="4">
        <f t="shared" si="1185"/>
        <v>760.3357662175124</v>
      </c>
      <c r="EE382" s="25">
        <f t="shared" si="1186"/>
        <v>483.90905650503407</v>
      </c>
      <c r="EG382" s="4">
        <f t="shared" si="1104"/>
        <v>0.59499999999999997</v>
      </c>
      <c r="EH382" s="4">
        <f t="shared" si="1187"/>
        <v>9.5981496427943913</v>
      </c>
      <c r="EK382" s="4">
        <f t="shared" si="1172"/>
        <v>35.497579142809165</v>
      </c>
      <c r="EL382" s="4">
        <f t="shared" si="1173"/>
        <v>2.2360679774997898</v>
      </c>
      <c r="EM382" s="4">
        <f t="shared" si="1174"/>
        <v>0.16233586943167169</v>
      </c>
      <c r="EP382" s="4">
        <f t="shared" si="1301"/>
        <v>0.16233586943167169</v>
      </c>
      <c r="EQ382" s="4">
        <f t="shared" si="1257"/>
        <v>0.52113644221761857</v>
      </c>
      <c r="ER382" s="4">
        <f t="shared" si="1010"/>
        <v>7.3955094124094876</v>
      </c>
      <c r="ES382" s="4">
        <f t="shared" si="1286"/>
        <v>8.5680239121396582</v>
      </c>
      <c r="ET382" s="4">
        <f t="shared" si="1011"/>
        <v>78.80242085719081</v>
      </c>
      <c r="EU382" s="4">
        <f t="shared" si="1012"/>
        <v>38.099999999999994</v>
      </c>
      <c r="EV382" s="4">
        <f t="shared" si="1098"/>
        <v>1.7429284624755085E-5</v>
      </c>
      <c r="EW382" s="4">
        <f t="shared" si="1287"/>
        <v>9.225613481523542</v>
      </c>
      <c r="EX382" s="4">
        <f t="shared" si="1131"/>
        <v>813.80072060527505</v>
      </c>
      <c r="FG382" s="23">
        <f t="shared" si="1030"/>
        <v>2.2000000000000002</v>
      </c>
      <c r="FH382" s="23">
        <f t="shared" si="1030"/>
        <v>1.4</v>
      </c>
      <c r="FI382" s="23">
        <f t="shared" si="1248"/>
        <v>1.4</v>
      </c>
      <c r="FJ382" s="23">
        <f t="shared" si="1031"/>
        <v>2.2000000000000002</v>
      </c>
      <c r="FK382" s="23">
        <f t="shared" si="1031"/>
        <v>1.2</v>
      </c>
      <c r="FL382" s="23">
        <f t="shared" si="1031"/>
        <v>1.2</v>
      </c>
      <c r="FM382" s="23">
        <f t="shared" si="1195"/>
        <v>0</v>
      </c>
      <c r="FN382" s="23"/>
      <c r="FX382" s="4">
        <f t="shared" si="1099"/>
        <v>1</v>
      </c>
      <c r="FY382" s="4">
        <f t="shared" si="1139"/>
        <v>0.46358941059918601</v>
      </c>
      <c r="FZ382" s="4">
        <f t="shared" si="1100"/>
        <v>0.3</v>
      </c>
      <c r="GA382" s="4">
        <f t="shared" si="1101"/>
        <v>622.89046649958709</v>
      </c>
    </row>
    <row r="383" spans="1:183" ht="12" customHeight="1" x14ac:dyDescent="0.3">
      <c r="A383" s="25">
        <v>365</v>
      </c>
      <c r="B383" s="4" t="s">
        <v>605</v>
      </c>
      <c r="C383" s="4">
        <v>2016</v>
      </c>
      <c r="D383" s="4" t="s">
        <v>309</v>
      </c>
      <c r="E383" s="24" t="s">
        <v>673</v>
      </c>
      <c r="F383" s="7" t="s">
        <v>530</v>
      </c>
      <c r="G383" s="38">
        <f t="shared" si="1262"/>
        <v>958.62068965517244</v>
      </c>
      <c r="H383" s="38">
        <f>5.94*25.4</f>
        <v>150.876</v>
      </c>
      <c r="I383" s="4">
        <f t="shared" si="1288"/>
        <v>150.876</v>
      </c>
      <c r="J383" s="38">
        <f t="shared" si="1302"/>
        <v>32.344827586206897</v>
      </c>
      <c r="K383" s="38">
        <f t="shared" si="1264"/>
        <v>15.875</v>
      </c>
      <c r="L383" s="7">
        <f t="shared" si="1289"/>
        <v>9.5039999999999996</v>
      </c>
      <c r="M383" s="7">
        <f t="shared" si="1290"/>
        <v>9.5039999999999996</v>
      </c>
      <c r="N383" s="38">
        <f>12.9*25.4</f>
        <v>327.65999999999997</v>
      </c>
      <c r="O383" s="38">
        <f>2.55*25.4</f>
        <v>64.77</v>
      </c>
      <c r="P383" s="39">
        <f>3.25*25.4</f>
        <v>82.55</v>
      </c>
      <c r="Q383" s="7">
        <f t="shared" si="1291"/>
        <v>166.36999999999998</v>
      </c>
      <c r="R383" s="38">
        <v>2</v>
      </c>
      <c r="S383" s="4">
        <f t="shared" si="1258"/>
        <v>133.35</v>
      </c>
      <c r="T383" s="7">
        <f t="shared" si="1292"/>
        <v>4.58</v>
      </c>
      <c r="U383" s="7">
        <f t="shared" si="1127"/>
        <v>4.58</v>
      </c>
      <c r="V383" s="38">
        <v>13.1</v>
      </c>
      <c r="W383" s="4">
        <f t="shared" si="1293"/>
        <v>13.1</v>
      </c>
      <c r="X383" s="4">
        <f t="shared" si="1294"/>
        <v>14.1</v>
      </c>
      <c r="Y383" s="7">
        <f t="shared" si="1295"/>
        <v>59.610572153771514</v>
      </c>
      <c r="AB383" s="38">
        <f t="shared" si="1038"/>
        <v>1032.4137931034484</v>
      </c>
      <c r="AC383" s="4">
        <v>149.69999999999999</v>
      </c>
      <c r="AD383" s="4">
        <f t="shared" si="1159"/>
        <v>1.3610574349331113</v>
      </c>
      <c r="AE383" s="38">
        <f t="shared" si="1307"/>
        <v>9.5249999999999986</v>
      </c>
      <c r="AF383" s="38">
        <v>4</v>
      </c>
      <c r="AG383" s="39">
        <f>3.5*25.4</f>
        <v>88.899999999999991</v>
      </c>
      <c r="AH383" s="39">
        <v>2</v>
      </c>
      <c r="AI383" s="39">
        <f t="shared" si="1308"/>
        <v>1</v>
      </c>
      <c r="AJ383" s="7"/>
      <c r="AK383" s="4">
        <f t="shared" si="1297"/>
        <v>150.876</v>
      </c>
      <c r="AL383" s="4">
        <f t="shared" si="1175"/>
        <v>0.72390572390572394</v>
      </c>
      <c r="AM383" s="4">
        <f t="shared" si="1176"/>
        <v>266.24736459915772</v>
      </c>
      <c r="AN383" s="4">
        <f t="shared" si="1177"/>
        <v>0.7963804713804713</v>
      </c>
      <c r="AO383" s="4">
        <v>1.25</v>
      </c>
      <c r="AP383" s="4">
        <f t="shared" si="1112"/>
        <v>2.5</v>
      </c>
      <c r="AQ383" s="38">
        <f t="shared" si="1266"/>
        <v>479.66491341021003</v>
      </c>
      <c r="AR383" s="38">
        <f t="shared" si="1178"/>
        <v>479.66491341021003</v>
      </c>
      <c r="AS383" s="38">
        <f t="shared" si="1179"/>
        <v>3.0454944685430494</v>
      </c>
      <c r="AT383" s="38">
        <f t="shared" si="1121"/>
        <v>479.66491341021054</v>
      </c>
      <c r="AU383" s="38">
        <f t="shared" si="1086"/>
        <v>0.99999999999999889</v>
      </c>
      <c r="AV383" s="38">
        <f t="shared" si="1249"/>
        <v>2.2356201234846589</v>
      </c>
      <c r="AW383" s="4">
        <f t="shared" si="1230"/>
        <v>0</v>
      </c>
      <c r="AX383" s="4">
        <f t="shared" si="1298"/>
        <v>284.48229764792148</v>
      </c>
      <c r="AY383" s="4">
        <f t="shared" si="1267"/>
        <v>1</v>
      </c>
      <c r="AZ383" s="38">
        <f t="shared" si="1102"/>
        <v>1072.3485329493931</v>
      </c>
      <c r="BA383" s="4">
        <f t="shared" si="1268"/>
        <v>0.3</v>
      </c>
      <c r="BB383" s="4">
        <f t="shared" si="1269"/>
        <v>44.592600156311697</v>
      </c>
      <c r="BC383" s="4">
        <f t="shared" si="1270"/>
        <v>1116.9411331057047</v>
      </c>
      <c r="BE383" s="4">
        <f t="shared" si="1122"/>
        <v>1.5</v>
      </c>
      <c r="BF383" s="4">
        <f t="shared" si="1128"/>
        <v>499.15867392602348</v>
      </c>
      <c r="BH383" s="4">
        <f t="shared" si="1129"/>
        <v>1028.5133827787015</v>
      </c>
      <c r="BI383" s="4">
        <f t="shared" si="1067"/>
        <v>0</v>
      </c>
      <c r="BJ383" s="4">
        <f t="shared" si="1130"/>
        <v>0</v>
      </c>
      <c r="BR383" s="4">
        <f t="shared" si="1271"/>
        <v>64.77</v>
      </c>
      <c r="BV383" s="9"/>
      <c r="BX383" s="9"/>
      <c r="BY383" s="9"/>
      <c r="BZ383" s="9">
        <f t="shared" si="1272"/>
        <v>64.77</v>
      </c>
      <c r="CA383" s="9">
        <f t="shared" si="1273"/>
        <v>83.184999999999988</v>
      </c>
      <c r="CB383" s="9">
        <f t="shared" si="1087"/>
        <v>2.0971560619797187</v>
      </c>
      <c r="CC383" s="40">
        <f t="shared" si="1299"/>
        <v>20</v>
      </c>
      <c r="CD383" s="9">
        <f t="shared" si="1274"/>
        <v>0.05</v>
      </c>
      <c r="CE383" s="9">
        <f t="shared" si="1275"/>
        <v>0.8</v>
      </c>
      <c r="CF383" s="9">
        <f t="shared" si="1276"/>
        <v>1</v>
      </c>
      <c r="CG383" s="9">
        <f t="shared" si="1277"/>
        <v>0.68</v>
      </c>
      <c r="CH383" s="9">
        <f t="shared" si="1088"/>
        <v>1.3535658143559566</v>
      </c>
      <c r="CI383" s="9">
        <f t="shared" si="1089"/>
        <v>3.3839145358898914</v>
      </c>
      <c r="CJ383" s="40">
        <v>1</v>
      </c>
      <c r="CK383" s="9">
        <f t="shared" si="1090"/>
        <v>331.67776714978356</v>
      </c>
      <c r="CM383" s="4">
        <f t="shared" si="1278"/>
        <v>3.6290967896398789</v>
      </c>
      <c r="CN383" s="4">
        <f t="shared" si="1279"/>
        <v>0.92432247546723945</v>
      </c>
      <c r="CO383" s="4">
        <f t="shared" si="1242"/>
        <v>2.068307828817685</v>
      </c>
      <c r="CP383" s="4">
        <f t="shared" si="1280"/>
        <v>3.1127012279879973</v>
      </c>
      <c r="CQ383" s="4">
        <f t="shared" si="1189"/>
        <v>1.3610574349331113</v>
      </c>
      <c r="CR383" s="4">
        <f t="shared" si="1190"/>
        <v>1.3796539954432834</v>
      </c>
      <c r="CS383" s="4">
        <f t="shared" si="1243"/>
        <v>1.6741983885487828</v>
      </c>
      <c r="CT383" s="4">
        <f t="shared" si="1300"/>
        <v>4</v>
      </c>
      <c r="DA383" s="4">
        <f t="shared" si="1309"/>
        <v>3.6290967896398789</v>
      </c>
      <c r="DB383" s="4">
        <f t="shared" si="1309"/>
        <v>0.92432247546723945</v>
      </c>
      <c r="DC383" s="4">
        <f t="shared" si="1310"/>
        <v>3.1127012279879973</v>
      </c>
      <c r="DD383" s="4">
        <f t="shared" si="1311"/>
        <v>1.6741983885487828</v>
      </c>
      <c r="DE383" s="4">
        <f t="shared" si="1312"/>
        <v>1.3610574349331113</v>
      </c>
      <c r="DF383" s="4">
        <f t="shared" si="1312"/>
        <v>1.3796539954432834</v>
      </c>
      <c r="DI383" s="4">
        <f t="shared" si="1285"/>
        <v>150.876</v>
      </c>
      <c r="DL383" s="4">
        <f t="shared" si="1166"/>
        <v>1.7254991778507537E-5</v>
      </c>
      <c r="DM383" s="4">
        <f t="shared" ref="DM383:DM446" si="1313">EH383</f>
        <v>9.5981496427943913</v>
      </c>
      <c r="DN383" s="4">
        <f t="shared" si="1167"/>
        <v>0.26257415867919665</v>
      </c>
      <c r="DO383" s="4">
        <f t="shared" si="1168"/>
        <v>5.6219672285104876</v>
      </c>
      <c r="DP383" s="4">
        <f t="shared" si="1169"/>
        <v>7.8671022829311426</v>
      </c>
      <c r="DQ383" s="4">
        <f t="shared" si="1170"/>
        <v>9.289580301332089</v>
      </c>
      <c r="DR383" s="38">
        <f t="shared" si="1183"/>
        <v>758.53800626289217</v>
      </c>
      <c r="DS383" s="4">
        <f t="shared" si="1095"/>
        <v>1.0000968739452987</v>
      </c>
      <c r="DT383" s="4">
        <f t="shared" si="1171"/>
        <v>3.7549966711037173</v>
      </c>
      <c r="DU383" s="4">
        <f t="shared" si="1103"/>
        <v>479.66491341021054</v>
      </c>
      <c r="DY383" s="4">
        <f t="shared" si="1037"/>
        <v>0.85</v>
      </c>
      <c r="DZ383" s="4">
        <f t="shared" si="1096"/>
        <v>0.7</v>
      </c>
      <c r="EA383" s="4">
        <f t="shared" si="1184"/>
        <v>0.85899999999999999</v>
      </c>
      <c r="EB383" s="4">
        <f t="shared" si="1097"/>
        <v>0.7</v>
      </c>
      <c r="ED383" s="4">
        <f t="shared" si="1185"/>
        <v>748.31356014863229</v>
      </c>
      <c r="EE383" s="25">
        <f t="shared" si="1186"/>
        <v>474.65111753327864</v>
      </c>
      <c r="EG383" s="4">
        <f t="shared" si="1104"/>
        <v>0.59499999999999997</v>
      </c>
      <c r="EH383" s="4">
        <f t="shared" si="1187"/>
        <v>9.5981496427943913</v>
      </c>
      <c r="EK383" s="4">
        <f t="shared" si="1172"/>
        <v>59.610572153771514</v>
      </c>
      <c r="EL383" s="4">
        <f t="shared" si="1173"/>
        <v>3.7549966711037173</v>
      </c>
      <c r="EM383" s="4">
        <f t="shared" si="1174"/>
        <v>8.1656294533174772E-2</v>
      </c>
      <c r="EP383" s="4">
        <f t="shared" si="1301"/>
        <v>8.1656294533174772E-2</v>
      </c>
      <c r="EQ383" s="4">
        <f t="shared" si="1257"/>
        <v>0.26213597134553179</v>
      </c>
      <c r="ER383" s="4">
        <f t="shared" ref="ER383:ER446" si="1314">EH383/1*EQ383^0.4</f>
        <v>5.618212541811368</v>
      </c>
      <c r="ES383" s="4">
        <f t="shared" si="1286"/>
        <v>7.8657678741570898</v>
      </c>
      <c r="ET383" s="4">
        <f t="shared" ref="ET383:ET446" si="1315">MAX(0,DI383*ET$9-EK383)</f>
        <v>53.546427846228497</v>
      </c>
      <c r="EU383" s="4">
        <f t="shared" ref="EU383:EU446" si="1316">MAX(0,DI383-EK383-ET383)</f>
        <v>37.718999999999994</v>
      </c>
      <c r="EV383" s="4">
        <f t="shared" si="1098"/>
        <v>1.7254991778507533E-5</v>
      </c>
      <c r="EW383" s="4">
        <f t="shared" si="1287"/>
        <v>9.2896774976393353</v>
      </c>
      <c r="EX383" s="4">
        <f t="shared" si="1131"/>
        <v>758.4645308114234</v>
      </c>
      <c r="FG383" s="23">
        <f t="shared" si="1030"/>
        <v>2.2000000000000002</v>
      </c>
      <c r="FH383" s="23">
        <f t="shared" si="1030"/>
        <v>1</v>
      </c>
      <c r="FI383" s="23">
        <f t="shared" si="1248"/>
        <v>1.8</v>
      </c>
      <c r="FJ383" s="23">
        <f t="shared" si="1031"/>
        <v>2.2000000000000002</v>
      </c>
      <c r="FK383" s="23">
        <f t="shared" si="1031"/>
        <v>1.4</v>
      </c>
      <c r="FL383" s="23">
        <f t="shared" si="1031"/>
        <v>1.4</v>
      </c>
      <c r="FM383" s="23">
        <f t="shared" si="1195"/>
        <v>0</v>
      </c>
      <c r="FN383" s="23"/>
      <c r="FX383" s="4">
        <f t="shared" si="1099"/>
        <v>1</v>
      </c>
      <c r="FY383" s="4">
        <f t="shared" si="1139"/>
        <v>0.46358941059918601</v>
      </c>
      <c r="FZ383" s="4">
        <f t="shared" si="1100"/>
        <v>0.3</v>
      </c>
      <c r="GA383" s="4">
        <f t="shared" si="1101"/>
        <v>616.66156183459134</v>
      </c>
    </row>
    <row r="384" spans="1:183" ht="12" customHeight="1" x14ac:dyDescent="0.3">
      <c r="A384" s="25">
        <v>366</v>
      </c>
      <c r="B384" s="4" t="s">
        <v>605</v>
      </c>
      <c r="C384" s="4">
        <v>2016</v>
      </c>
      <c r="D384" s="4" t="s">
        <v>309</v>
      </c>
      <c r="E384" s="24" t="s">
        <v>673</v>
      </c>
      <c r="F384" s="7" t="s">
        <v>531</v>
      </c>
      <c r="G384" s="38">
        <f t="shared" si="1262"/>
        <v>958.62068965517244</v>
      </c>
      <c r="H384" s="38">
        <f>6.06*25.4</f>
        <v>153.92399999999998</v>
      </c>
      <c r="I384" s="4">
        <f t="shared" si="1288"/>
        <v>153.92399999999998</v>
      </c>
      <c r="J384" s="38">
        <f t="shared" si="1302"/>
        <v>32.344827586206897</v>
      </c>
      <c r="K384" s="38">
        <f t="shared" si="1264"/>
        <v>15.875</v>
      </c>
      <c r="L384" s="7">
        <f t="shared" si="1289"/>
        <v>9.695999999999998</v>
      </c>
      <c r="M384" s="7">
        <f t="shared" si="1290"/>
        <v>9.695999999999998</v>
      </c>
      <c r="N384" s="38">
        <f>13.1*25.4</f>
        <v>332.73999999999995</v>
      </c>
      <c r="O384" s="38">
        <f>2.55*25.4</f>
        <v>64.77</v>
      </c>
      <c r="P384" s="39">
        <f>3.15*25.4</f>
        <v>80.009999999999991</v>
      </c>
      <c r="Q384" s="7">
        <f t="shared" si="1291"/>
        <v>171.44999999999996</v>
      </c>
      <c r="R384" s="38">
        <v>2</v>
      </c>
      <c r="S384" s="4">
        <f t="shared" si="1258"/>
        <v>133.35</v>
      </c>
      <c r="T384" s="7">
        <f t="shared" si="1292"/>
        <v>4.58</v>
      </c>
      <c r="U384" s="7">
        <f t="shared" si="1127"/>
        <v>4.58</v>
      </c>
      <c r="V384" s="38">
        <v>4</v>
      </c>
      <c r="W384" s="4">
        <f t="shared" si="1293"/>
        <v>4</v>
      </c>
      <c r="X384" s="4">
        <f t="shared" si="1294"/>
        <v>5</v>
      </c>
      <c r="Y384" s="7">
        <f t="shared" si="1295"/>
        <v>35.497579142809165</v>
      </c>
      <c r="AB384" s="38">
        <f t="shared" si="1038"/>
        <v>967.58620689655186</v>
      </c>
      <c r="AC384" s="4">
        <v>140.30000000000001</v>
      </c>
      <c r="AD384" s="4">
        <f t="shared" si="1159"/>
        <v>1.1811110675219012</v>
      </c>
      <c r="AE384" s="38">
        <f t="shared" si="1307"/>
        <v>9.5249999999999986</v>
      </c>
      <c r="AF384" s="38">
        <v>10</v>
      </c>
      <c r="AG384" s="39">
        <f>1.75*25.4</f>
        <v>44.449999999999996</v>
      </c>
      <c r="AH384" s="39">
        <v>3</v>
      </c>
      <c r="AI384" s="39">
        <f t="shared" si="1308"/>
        <v>2</v>
      </c>
      <c r="AJ384" s="7"/>
      <c r="AK384" s="4">
        <f t="shared" si="1297"/>
        <v>153.92399999999998</v>
      </c>
      <c r="AL384" s="4">
        <f t="shared" si="1175"/>
        <v>0.7205720572057206</v>
      </c>
      <c r="AM384" s="4">
        <f t="shared" si="1176"/>
        <v>274.35607837678128</v>
      </c>
      <c r="AN384" s="4">
        <f t="shared" si="1177"/>
        <v>0.79447194719471947</v>
      </c>
      <c r="AO384" s="4">
        <v>1.25</v>
      </c>
      <c r="AP384" s="4">
        <f t="shared" si="1112"/>
        <v>2.5</v>
      </c>
      <c r="AQ384" s="38">
        <f t="shared" si="1266"/>
        <v>490.81812471577302</v>
      </c>
      <c r="AR384" s="38">
        <f t="shared" si="1178"/>
        <v>490.81812471577302</v>
      </c>
      <c r="AS384" s="38">
        <f t="shared" si="1179"/>
        <v>3.0454944685430494</v>
      </c>
      <c r="AT384" s="38">
        <f t="shared" si="1121"/>
        <v>490.81812471577274</v>
      </c>
      <c r="AU384" s="38">
        <f t="shared" si="1086"/>
        <v>1.0000000000000007</v>
      </c>
      <c r="AV384" s="38">
        <f t="shared" si="1249"/>
        <v>1.2072847589368334</v>
      </c>
      <c r="AW384" s="4">
        <f t="shared" si="1230"/>
        <v>0</v>
      </c>
      <c r="AX384" s="4">
        <f t="shared" si="1298"/>
        <v>290.22941477212186</v>
      </c>
      <c r="AY384" s="4">
        <f t="shared" si="1267"/>
        <v>1</v>
      </c>
      <c r="AZ384" s="38">
        <f t="shared" si="1102"/>
        <v>592.55724137931031</v>
      </c>
      <c r="BA384" s="4">
        <f t="shared" si="1268"/>
        <v>0.44000000000000006</v>
      </c>
      <c r="BB384" s="4">
        <f t="shared" si="1269"/>
        <v>66.723742456110827</v>
      </c>
      <c r="BC384" s="4">
        <f t="shared" si="1270"/>
        <v>659.28098383542113</v>
      </c>
      <c r="BE384" s="4">
        <f t="shared" si="1122"/>
        <v>1.5</v>
      </c>
      <c r="BF384" s="4">
        <f t="shared" si="1128"/>
        <v>504.07245906721477</v>
      </c>
      <c r="BH384" s="4">
        <f t="shared" si="1129"/>
        <v>568.33485951140074</v>
      </c>
      <c r="BI384" s="4">
        <f t="shared" si="1067"/>
        <v>0</v>
      </c>
      <c r="BJ384" s="4">
        <f t="shared" si="1130"/>
        <v>0</v>
      </c>
      <c r="BR384" s="4">
        <f t="shared" si="1271"/>
        <v>64.77</v>
      </c>
      <c r="BV384" s="9"/>
      <c r="BX384" s="9"/>
      <c r="BY384" s="9"/>
      <c r="BZ384" s="9">
        <f t="shared" si="1272"/>
        <v>64.77</v>
      </c>
      <c r="CA384" s="9">
        <f t="shared" si="1273"/>
        <v>85.72499999999998</v>
      </c>
      <c r="CB384" s="9">
        <f t="shared" si="1087"/>
        <v>2.1066390052415969</v>
      </c>
      <c r="CC384" s="40">
        <f t="shared" si="1299"/>
        <v>20</v>
      </c>
      <c r="CD384" s="9">
        <f t="shared" si="1274"/>
        <v>0.05</v>
      </c>
      <c r="CE384" s="9">
        <f t="shared" si="1275"/>
        <v>0.8</v>
      </c>
      <c r="CF384" s="9">
        <f t="shared" si="1276"/>
        <v>1</v>
      </c>
      <c r="CG384" s="9">
        <f t="shared" si="1277"/>
        <v>0.68</v>
      </c>
      <c r="CH384" s="9">
        <f t="shared" si="1088"/>
        <v>1.3535658143559566</v>
      </c>
      <c r="CI384" s="9">
        <f t="shared" si="1089"/>
        <v>3.3839145358898914</v>
      </c>
      <c r="CJ384" s="40">
        <v>1</v>
      </c>
      <c r="CK384" s="9">
        <f t="shared" si="1090"/>
        <v>334.276613513347</v>
      </c>
      <c r="CM384" s="4">
        <f t="shared" si="1278"/>
        <v>3.3338667883001012</v>
      </c>
      <c r="CN384" s="4">
        <f t="shared" si="1279"/>
        <v>1.4676385799383138</v>
      </c>
      <c r="CO384" s="4">
        <f t="shared" si="1242"/>
        <v>1.9195379344609871</v>
      </c>
      <c r="CP384" s="4">
        <f t="shared" si="1280"/>
        <v>2.8945674563557766</v>
      </c>
      <c r="CQ384" s="4">
        <f t="shared" si="1189"/>
        <v>1.1811110675219012</v>
      </c>
      <c r="CR384" s="4">
        <f t="shared" si="1190"/>
        <v>1.2648314968012164</v>
      </c>
      <c r="CS384" s="4">
        <f t="shared" si="1243"/>
        <v>1.5380009760396056</v>
      </c>
      <c r="CT384" s="4">
        <f t="shared" si="1300"/>
        <v>10</v>
      </c>
      <c r="DA384" s="4">
        <f t="shared" si="1309"/>
        <v>3.3338667883001012</v>
      </c>
      <c r="DB384" s="4">
        <f t="shared" si="1309"/>
        <v>1.4676385799383138</v>
      </c>
      <c r="DC384" s="4">
        <f t="shared" si="1310"/>
        <v>2.8945674563557766</v>
      </c>
      <c r="DD384" s="4">
        <f t="shared" si="1311"/>
        <v>1.5380009760396056</v>
      </c>
      <c r="DE384" s="4">
        <f t="shared" si="1312"/>
        <v>1.1811110675219012</v>
      </c>
      <c r="DF384" s="4">
        <f t="shared" si="1312"/>
        <v>1.2648314968012164</v>
      </c>
      <c r="DI384" s="4">
        <f t="shared" si="1285"/>
        <v>153.92399999999998</v>
      </c>
      <c r="DL384" s="4">
        <f t="shared" si="1166"/>
        <v>1.7603577471002637E-5</v>
      </c>
      <c r="DM384" s="4">
        <f t="shared" si="1313"/>
        <v>9.5981496427943913</v>
      </c>
      <c r="DN384" s="4">
        <f t="shared" si="1167"/>
        <v>0.52398803810769279</v>
      </c>
      <c r="DO384" s="4">
        <f t="shared" si="1168"/>
        <v>7.4116698527576723</v>
      </c>
      <c r="DP384" s="4">
        <f t="shared" si="1169"/>
        <v>8.5749995423716712</v>
      </c>
      <c r="DQ384" s="4">
        <f t="shared" si="1170"/>
        <v>9.2176543034529121</v>
      </c>
      <c r="DR384" s="38">
        <f t="shared" si="1183"/>
        <v>819.21695046567675</v>
      </c>
      <c r="DS384" s="4">
        <f t="shared" si="1095"/>
        <v>1.0001052408375271</v>
      </c>
      <c r="DT384" s="4">
        <f t="shared" si="1171"/>
        <v>2.2360679774997898</v>
      </c>
      <c r="DU384" s="4">
        <f t="shared" si="1103"/>
        <v>490.81812471577274</v>
      </c>
      <c r="DY384" s="4">
        <f t="shared" si="1037"/>
        <v>0.85</v>
      </c>
      <c r="DZ384" s="4">
        <f t="shared" si="1096"/>
        <v>0.7</v>
      </c>
      <c r="EA384" s="4">
        <f t="shared" si="1184"/>
        <v>0.7</v>
      </c>
      <c r="EB384" s="4">
        <f t="shared" si="1097"/>
        <v>0.7</v>
      </c>
      <c r="ED384" s="4">
        <f t="shared" si="1185"/>
        <v>764.99218223423145</v>
      </c>
      <c r="EE384" s="25">
        <f t="shared" si="1186"/>
        <v>485.80120542462834</v>
      </c>
      <c r="EG384" s="4">
        <f t="shared" si="1104"/>
        <v>0.59499999999999997</v>
      </c>
      <c r="EH384" s="4">
        <f t="shared" si="1187"/>
        <v>9.5981496427943913</v>
      </c>
      <c r="EK384" s="4">
        <f t="shared" si="1172"/>
        <v>35.497579142809165</v>
      </c>
      <c r="EL384" s="4">
        <f t="shared" si="1173"/>
        <v>2.2360679774997898</v>
      </c>
      <c r="EM384" s="4">
        <f t="shared" si="1174"/>
        <v>0.16295176108269527</v>
      </c>
      <c r="EP384" s="4">
        <f t="shared" si="1301"/>
        <v>0.16295176108269527</v>
      </c>
      <c r="EQ384" s="4">
        <f t="shared" si="1257"/>
        <v>0.52311359973018579</v>
      </c>
      <c r="ER384" s="4">
        <f t="shared" si="1314"/>
        <v>7.4067198953702853</v>
      </c>
      <c r="ES384" s="4">
        <f t="shared" si="1286"/>
        <v>8.5728618760834348</v>
      </c>
      <c r="ET384" s="4">
        <f t="shared" si="1315"/>
        <v>79.945420857190811</v>
      </c>
      <c r="EU384" s="4">
        <f t="shared" si="1316"/>
        <v>38.480999999999995</v>
      </c>
      <c r="EV384" s="4">
        <f t="shared" si="1098"/>
        <v>1.7603577471002637E-5</v>
      </c>
      <c r="EW384" s="4">
        <f t="shared" si="1287"/>
        <v>9.2177706738821694</v>
      </c>
      <c r="EX384" s="4">
        <f t="shared" si="1131"/>
        <v>819.13074446008568</v>
      </c>
      <c r="FG384" s="23">
        <f t="shared" si="1030"/>
        <v>2.2000000000000002</v>
      </c>
      <c r="FH384" s="23">
        <f t="shared" si="1030"/>
        <v>1.6</v>
      </c>
      <c r="FI384" s="23">
        <f t="shared" si="1248"/>
        <v>1.6</v>
      </c>
      <c r="FJ384" s="23">
        <f t="shared" si="1031"/>
        <v>2.2000000000000002</v>
      </c>
      <c r="FK384" s="23">
        <f t="shared" si="1031"/>
        <v>1.2</v>
      </c>
      <c r="FL384" s="23">
        <f t="shared" si="1031"/>
        <v>1.4</v>
      </c>
      <c r="FM384" s="23">
        <f t="shared" si="1195"/>
        <v>0</v>
      </c>
      <c r="FN384" s="23"/>
      <c r="FX384" s="4">
        <f t="shared" si="1099"/>
        <v>1</v>
      </c>
      <c r="FY384" s="4">
        <f t="shared" si="1139"/>
        <v>0.46358941059918601</v>
      </c>
      <c r="FZ384" s="4">
        <f t="shared" si="1100"/>
        <v>0.3</v>
      </c>
      <c r="GA384" s="4">
        <f t="shared" si="1101"/>
        <v>629.11937116458319</v>
      </c>
    </row>
    <row r="385" spans="1:183" ht="12" customHeight="1" x14ac:dyDescent="0.3">
      <c r="A385" s="25">
        <v>367</v>
      </c>
      <c r="B385" s="4" t="s">
        <v>605</v>
      </c>
      <c r="C385" s="4">
        <v>2016</v>
      </c>
      <c r="D385" s="4" t="s">
        <v>309</v>
      </c>
      <c r="E385" s="24" t="s">
        <v>532</v>
      </c>
      <c r="F385" s="7" t="s">
        <v>533</v>
      </c>
      <c r="G385" s="38">
        <f t="shared" si="1262"/>
        <v>958.62068965517244</v>
      </c>
      <c r="H385" s="38">
        <f>4.06*25.4</f>
        <v>103.12399999999998</v>
      </c>
      <c r="I385" s="4">
        <f t="shared" si="1288"/>
        <v>103.12399999999998</v>
      </c>
      <c r="J385" s="38">
        <f>11030/145</f>
        <v>76.068965517241381</v>
      </c>
      <c r="K385" s="38">
        <f t="shared" si="1264"/>
        <v>15.875</v>
      </c>
      <c r="L385" s="7">
        <f t="shared" si="1289"/>
        <v>6.4959999999999987</v>
      </c>
      <c r="M385" s="7">
        <f t="shared" si="1290"/>
        <v>6.4959999999999987</v>
      </c>
      <c r="N385" s="38">
        <f t="shared" ref="N385:N394" si="1317">13.1*25.4</f>
        <v>332.73999999999995</v>
      </c>
      <c r="O385" s="38">
        <f>2.6*25.4</f>
        <v>66.039999999999992</v>
      </c>
      <c r="P385" s="39">
        <f>5.2*25.4</f>
        <v>132.07999999999998</v>
      </c>
      <c r="Q385" s="7">
        <f t="shared" si="1291"/>
        <v>168.90999999999997</v>
      </c>
      <c r="R385" s="38">
        <v>2</v>
      </c>
      <c r="S385" s="4">
        <f t="shared" si="1258"/>
        <v>133.35</v>
      </c>
      <c r="T385" s="7">
        <f t="shared" si="1292"/>
        <v>4.6599999999999993</v>
      </c>
      <c r="U385" s="7">
        <f t="shared" si="1127"/>
        <v>4.6599999999999993</v>
      </c>
      <c r="V385" s="38">
        <v>4</v>
      </c>
      <c r="W385" s="4">
        <f t="shared" si="1293"/>
        <v>4</v>
      </c>
      <c r="X385" s="4">
        <f t="shared" si="1294"/>
        <v>5</v>
      </c>
      <c r="Y385" s="7">
        <f t="shared" si="1295"/>
        <v>35.497579142809165</v>
      </c>
      <c r="AB385" s="38">
        <f t="shared" si="1038"/>
        <v>629.65517241379314</v>
      </c>
      <c r="AC385" s="4">
        <v>91.3</v>
      </c>
      <c r="AD385" s="4">
        <f t="shared" si="1159"/>
        <v>0.65825114412661645</v>
      </c>
      <c r="AE385" s="38"/>
      <c r="AF385" s="38"/>
      <c r="AG385" s="39">
        <v>1</v>
      </c>
      <c r="AH385" s="39"/>
      <c r="AI385" s="39"/>
      <c r="AJ385" s="7"/>
      <c r="AK385" s="4">
        <f t="shared" si="1297"/>
        <v>103.12399999999998</v>
      </c>
      <c r="AL385" s="4">
        <f t="shared" si="1175"/>
        <v>1.0755336617405586</v>
      </c>
      <c r="AM385" s="4">
        <f t="shared" si="1176"/>
        <v>230.72573356041525</v>
      </c>
      <c r="AN385" s="4">
        <f t="shared" si="1177"/>
        <v>0.84347290640394079</v>
      </c>
      <c r="AO385" s="4">
        <v>1.25</v>
      </c>
      <c r="AP385" s="4">
        <f t="shared" si="1112"/>
        <v>2.5</v>
      </c>
      <c r="AQ385" s="38">
        <f t="shared" si="1266"/>
        <v>654.09556044638771</v>
      </c>
      <c r="AR385" s="38">
        <f t="shared" si="1178"/>
        <v>654.09556044638771</v>
      </c>
      <c r="AS385" s="38">
        <f t="shared" si="1179"/>
        <v>4.7518593634836064</v>
      </c>
      <c r="AT385" s="38">
        <f t="shared" si="1121"/>
        <v>654.09556044638748</v>
      </c>
      <c r="AU385" s="38">
        <f t="shared" si="1086"/>
        <v>1.0000000000000004</v>
      </c>
      <c r="AV385" s="38">
        <f t="shared" si="1249"/>
        <v>2.1677650835509659</v>
      </c>
      <c r="AW385" s="4">
        <f t="shared" si="1230"/>
        <v>0</v>
      </c>
      <c r="AX385" s="4">
        <f t="shared" si="1298"/>
        <v>298.19212531706467</v>
      </c>
      <c r="AY385" s="4">
        <f t="shared" si="1267"/>
        <v>1</v>
      </c>
      <c r="AZ385" s="38">
        <f t="shared" si="1102"/>
        <v>1417.9255172413791</v>
      </c>
      <c r="BA385" s="4">
        <f t="shared" si="1268"/>
        <v>0.44000000000000006</v>
      </c>
      <c r="BB385" s="4">
        <f t="shared" si="1269"/>
        <v>68.554369610393181</v>
      </c>
      <c r="BC385" s="4">
        <f t="shared" si="1270"/>
        <v>1486.4798868517723</v>
      </c>
      <c r="BE385" s="4">
        <f t="shared" si="1122"/>
        <v>1.5</v>
      </c>
      <c r="BF385" s="4">
        <f t="shared" si="1128"/>
        <v>647.43312666901272</v>
      </c>
      <c r="BH385" s="4">
        <f t="shared" si="1129"/>
        <v>1359.9639720260559</v>
      </c>
      <c r="BI385" s="4">
        <f t="shared" si="1067"/>
        <v>0</v>
      </c>
      <c r="BJ385" s="4">
        <f t="shared" si="1130"/>
        <v>0</v>
      </c>
      <c r="BR385" s="4">
        <f t="shared" si="1271"/>
        <v>66.039999999999992</v>
      </c>
      <c r="BV385" s="9"/>
      <c r="BX385" s="9"/>
      <c r="BY385" s="9"/>
      <c r="BZ385" s="9">
        <f t="shared" si="1272"/>
        <v>66.039999999999992</v>
      </c>
      <c r="CA385" s="9">
        <f t="shared" si="1273"/>
        <v>84.454999999999984</v>
      </c>
      <c r="CB385" s="9">
        <f t="shared" si="1087"/>
        <v>2.116261887080392</v>
      </c>
      <c r="CC385" s="40">
        <f t="shared" si="1299"/>
        <v>0</v>
      </c>
      <c r="CD385" s="9">
        <f t="shared" si="1274"/>
        <v>0</v>
      </c>
      <c r="CE385" s="9">
        <f t="shared" si="1275"/>
        <v>0</v>
      </c>
      <c r="CF385" s="9">
        <f t="shared" si="1276"/>
        <v>1</v>
      </c>
      <c r="CG385" s="9">
        <f t="shared" si="1277"/>
        <v>0.68</v>
      </c>
      <c r="CH385" s="9">
        <f t="shared" si="1088"/>
        <v>2.0757770792545673</v>
      </c>
      <c r="CI385" s="9">
        <f t="shared" si="1089"/>
        <v>4.3928879189014953</v>
      </c>
      <c r="CJ385" s="40">
        <v>1</v>
      </c>
      <c r="CK385" s="9">
        <f t="shared" si="1090"/>
        <v>377.71807481882615</v>
      </c>
      <c r="CM385" s="4">
        <f t="shared" si="1278"/>
        <v>2.1115754540609921</v>
      </c>
      <c r="CN385" s="4">
        <f t="shared" si="1279"/>
        <v>0.42358808752356875</v>
      </c>
      <c r="CO385" s="4">
        <f t="shared" si="1242"/>
        <v>0.97254086403226603</v>
      </c>
      <c r="CP385" s="4">
        <f t="shared" si="1280"/>
        <v>1.6669977276459687</v>
      </c>
      <c r="CQ385" s="4">
        <f t="shared" si="1189"/>
        <v>0.65825114412661645</v>
      </c>
      <c r="CR385" s="4">
        <f t="shared" si="1190"/>
        <v>0.67646352686461653</v>
      </c>
      <c r="CS385" s="4">
        <f t="shared" si="1243"/>
        <v>1.3010744184441332</v>
      </c>
      <c r="CT385" s="4">
        <f t="shared" si="1300"/>
        <v>0</v>
      </c>
      <c r="CU385" s="4">
        <f t="shared" ref="CU385:CV386" si="1318">CM385</f>
        <v>2.1115754540609921</v>
      </c>
      <c r="CV385" s="4">
        <f t="shared" si="1318"/>
        <v>0.42358808752356875</v>
      </c>
      <c r="CW385" s="4">
        <f t="shared" ref="CW385:CW386" si="1319">CP385</f>
        <v>1.6669977276459687</v>
      </c>
      <c r="CX385" s="4">
        <f>CS385</f>
        <v>1.3010744184441332</v>
      </c>
      <c r="CY385" s="4">
        <f t="shared" ref="CY385:CZ386" si="1320">CQ385</f>
        <v>0.65825114412661645</v>
      </c>
      <c r="CZ385" s="4">
        <f t="shared" si="1320"/>
        <v>0.67646352686461653</v>
      </c>
      <c r="DI385" s="4">
        <f t="shared" si="1285"/>
        <v>103.12399999999998</v>
      </c>
      <c r="DL385" s="4">
        <f t="shared" si="1166"/>
        <v>1.5546920012851651E-5</v>
      </c>
      <c r="DM385" s="4">
        <f t="shared" si="1313"/>
        <v>14.719357433866572</v>
      </c>
      <c r="DN385" s="4">
        <f t="shared" si="1167"/>
        <v>0.29691990485502351</v>
      </c>
      <c r="DO385" s="4">
        <f t="shared" si="1168"/>
        <v>9.0561702129907751</v>
      </c>
      <c r="DP385" s="4">
        <f t="shared" si="1169"/>
        <v>12.222139532840403</v>
      </c>
      <c r="DQ385" s="4">
        <f t="shared" si="1170"/>
        <v>14.254053602825914</v>
      </c>
      <c r="DR385" s="38">
        <f t="shared" si="1183"/>
        <v>956.55765741088817</v>
      </c>
      <c r="DS385" s="4">
        <f t="shared" si="1095"/>
        <v>1.0000802088493006</v>
      </c>
      <c r="DT385" s="4">
        <f t="shared" si="1171"/>
        <v>2.2360679774997898</v>
      </c>
      <c r="DU385" s="4">
        <f t="shared" si="1103"/>
        <v>654.09556044638748</v>
      </c>
      <c r="DY385" s="4">
        <f t="shared" si="1037"/>
        <v>0.85</v>
      </c>
      <c r="DZ385" s="4">
        <f t="shared" si="1096"/>
        <v>0.7</v>
      </c>
      <c r="EA385" s="4">
        <f t="shared" si="1184"/>
        <v>1</v>
      </c>
      <c r="EB385" s="4">
        <f t="shared" si="1097"/>
        <v>0.7</v>
      </c>
      <c r="ED385" s="4">
        <f t="shared" si="1185"/>
        <v>930.8043189441737</v>
      </c>
      <c r="EE385" s="25">
        <f t="shared" si="1186"/>
        <v>643.953481272982</v>
      </c>
      <c r="EG385" s="4">
        <f t="shared" si="1104"/>
        <v>0.59499999999999997</v>
      </c>
      <c r="EH385" s="4">
        <f t="shared" si="1187"/>
        <v>14.719357433866572</v>
      </c>
      <c r="EK385" s="4">
        <f t="shared" si="1172"/>
        <v>35.497579142809165</v>
      </c>
      <c r="EL385" s="4">
        <f t="shared" si="1173"/>
        <v>2.2360679774997898</v>
      </c>
      <c r="EM385" s="4">
        <f t="shared" si="1174"/>
        <v>0.14160491681408338</v>
      </c>
      <c r="EP385" s="4">
        <f t="shared" si="1301"/>
        <v>0.14160491681408338</v>
      </c>
      <c r="EQ385" s="4">
        <f t="shared" si="1257"/>
        <v>0.29642440087216809</v>
      </c>
      <c r="ER385" s="4">
        <f t="shared" si="1314"/>
        <v>9.0501219596905358</v>
      </c>
      <c r="ES385" s="4">
        <f t="shared" si="1286"/>
        <v>12.219907720614318</v>
      </c>
      <c r="ET385" s="4">
        <f t="shared" si="1315"/>
        <v>41.845420857190824</v>
      </c>
      <c r="EU385" s="4">
        <f t="shared" si="1316"/>
        <v>25.780999999999999</v>
      </c>
      <c r="EV385" s="4">
        <f t="shared" si="1098"/>
        <v>1.5546920012851655E-5</v>
      </c>
      <c r="EW385" s="4">
        <f t="shared" si="1287"/>
        <v>14.25419378260553</v>
      </c>
      <c r="EX385" s="4">
        <f t="shared" si="1131"/>
        <v>956.48093917537892</v>
      </c>
      <c r="FG385" s="23">
        <f t="shared" si="1030"/>
        <v>2.2000000000000002</v>
      </c>
      <c r="FH385" s="23">
        <f t="shared" si="1030"/>
        <v>0.6</v>
      </c>
      <c r="FI385" s="23">
        <f t="shared" si="1248"/>
        <v>1.4</v>
      </c>
      <c r="FJ385" s="23">
        <f t="shared" si="1031"/>
        <v>1.8</v>
      </c>
      <c r="FK385" s="23">
        <f t="shared" si="1031"/>
        <v>0.8</v>
      </c>
      <c r="FL385" s="23">
        <f t="shared" si="1031"/>
        <v>0.8</v>
      </c>
      <c r="FM385" s="23">
        <f t="shared" si="1195"/>
        <v>1</v>
      </c>
      <c r="FN385" s="23"/>
      <c r="FX385" s="4">
        <f t="shared" si="1099"/>
        <v>1</v>
      </c>
      <c r="FY385" s="4">
        <f t="shared" si="1139"/>
        <v>0.5</v>
      </c>
      <c r="FZ385" s="4">
        <f t="shared" si="1100"/>
        <v>0</v>
      </c>
      <c r="GA385" s="4">
        <f t="shared" si="1101"/>
        <v>483.95015956639526</v>
      </c>
    </row>
    <row r="386" spans="1:183" ht="12" customHeight="1" x14ac:dyDescent="0.3">
      <c r="A386" s="25">
        <v>368</v>
      </c>
      <c r="B386" s="4" t="s">
        <v>605</v>
      </c>
      <c r="C386" s="4">
        <v>2016</v>
      </c>
      <c r="D386" s="4" t="s">
        <v>309</v>
      </c>
      <c r="E386" s="24" t="s">
        <v>532</v>
      </c>
      <c r="F386" s="7" t="s">
        <v>534</v>
      </c>
      <c r="G386" s="38">
        <f t="shared" si="1262"/>
        <v>958.62068965517244</v>
      </c>
      <c r="H386" s="38">
        <f>4.13*25.4</f>
        <v>104.90199999999999</v>
      </c>
      <c r="I386" s="4">
        <f t="shared" si="1288"/>
        <v>104.90199999999999</v>
      </c>
      <c r="J386" s="38">
        <f t="shared" ref="J386:J398" si="1321">11030/145</f>
        <v>76.068965517241381</v>
      </c>
      <c r="K386" s="38">
        <f t="shared" si="1264"/>
        <v>15.875</v>
      </c>
      <c r="L386" s="7">
        <f t="shared" si="1289"/>
        <v>6.6079999999999988</v>
      </c>
      <c r="M386" s="7">
        <f t="shared" si="1290"/>
        <v>6.6079999999999988</v>
      </c>
      <c r="N386" s="38">
        <f>13*25.4</f>
        <v>330.2</v>
      </c>
      <c r="O386" s="38">
        <f>2.5*25.4</f>
        <v>63.5</v>
      </c>
      <c r="P386" s="39">
        <f>4.9*25.4</f>
        <v>124.46000000000001</v>
      </c>
      <c r="Q386" s="7">
        <f t="shared" si="1291"/>
        <v>171.45</v>
      </c>
      <c r="R386" s="38">
        <v>2</v>
      </c>
      <c r="S386" s="4">
        <f t="shared" si="1258"/>
        <v>133.35</v>
      </c>
      <c r="T386" s="7">
        <f t="shared" si="1292"/>
        <v>4.5</v>
      </c>
      <c r="U386" s="7">
        <f t="shared" si="1127"/>
        <v>4.5</v>
      </c>
      <c r="V386" s="38">
        <v>13.1</v>
      </c>
      <c r="W386" s="4">
        <f t="shared" si="1293"/>
        <v>13.1</v>
      </c>
      <c r="X386" s="4">
        <f t="shared" si="1294"/>
        <v>14.1</v>
      </c>
      <c r="Y386" s="7">
        <f t="shared" si="1295"/>
        <v>59.610572153771514</v>
      </c>
      <c r="AB386" s="38">
        <f t="shared" si="1038"/>
        <v>698.62068965517244</v>
      </c>
      <c r="AC386" s="4">
        <v>101.3</v>
      </c>
      <c r="AD386" s="4">
        <f t="shared" si="1159"/>
        <v>0.77378912538861899</v>
      </c>
      <c r="AE386" s="38"/>
      <c r="AF386" s="38"/>
      <c r="AG386" s="39">
        <v>1</v>
      </c>
      <c r="AH386" s="39"/>
      <c r="AI386" s="39"/>
      <c r="AJ386" s="7"/>
      <c r="AK386" s="4">
        <f t="shared" si="1297"/>
        <v>104.90199999999999</v>
      </c>
      <c r="AL386" s="4">
        <f t="shared" si="1175"/>
        <v>1.0492332526230832</v>
      </c>
      <c r="AM386" s="4">
        <f t="shared" si="1176"/>
        <v>236.71842498037796</v>
      </c>
      <c r="AN386" s="4">
        <f t="shared" si="1177"/>
        <v>0.83619854721549636</v>
      </c>
      <c r="AO386" s="4">
        <v>1.25</v>
      </c>
      <c r="AP386" s="4">
        <f t="shared" si="1112"/>
        <v>2.5</v>
      </c>
      <c r="AQ386" s="38">
        <f t="shared" si="1266"/>
        <v>649.02815775840463</v>
      </c>
      <c r="AR386" s="38">
        <f t="shared" si="1178"/>
        <v>649.02815775840463</v>
      </c>
      <c r="AS386" s="38">
        <f t="shared" si="1179"/>
        <v>4.7518593634836064</v>
      </c>
      <c r="AT386" s="38">
        <f t="shared" si="1121"/>
        <v>649.02815775840486</v>
      </c>
      <c r="AU386" s="38">
        <f t="shared" si="1086"/>
        <v>0.99999999999999967</v>
      </c>
      <c r="AV386" s="38">
        <f t="shared" si="1249"/>
        <v>3.8178787224830018</v>
      </c>
      <c r="AW386" s="4">
        <f t="shared" si="1230"/>
        <v>0</v>
      </c>
      <c r="AX386" s="4">
        <f t="shared" si="1298"/>
        <v>303.33336885701408</v>
      </c>
      <c r="AY386" s="4">
        <f t="shared" si="1267"/>
        <v>1</v>
      </c>
      <c r="AZ386" s="38">
        <f t="shared" si="1102"/>
        <v>2477.9107937981548</v>
      </c>
      <c r="BA386" s="4">
        <f t="shared" si="1268"/>
        <v>0.3</v>
      </c>
      <c r="BB386" s="4">
        <f t="shared" si="1269"/>
        <v>47.547505568336966</v>
      </c>
      <c r="BC386" s="4">
        <f t="shared" si="1270"/>
        <v>2525.4582993664917</v>
      </c>
      <c r="BE386" s="4">
        <f t="shared" si="1122"/>
        <v>1.5</v>
      </c>
      <c r="BF386" s="4">
        <f t="shared" si="1128"/>
        <v>651.82888989566936</v>
      </c>
      <c r="BH386" s="4">
        <f t="shared" si="1129"/>
        <v>2376.619479996501</v>
      </c>
      <c r="BI386" s="4">
        <f t="shared" si="1067"/>
        <v>0</v>
      </c>
      <c r="BJ386" s="4">
        <f t="shared" si="1130"/>
        <v>0</v>
      </c>
      <c r="BR386" s="4">
        <f t="shared" si="1271"/>
        <v>63.5</v>
      </c>
      <c r="BV386" s="9"/>
      <c r="BX386" s="9"/>
      <c r="BY386" s="9"/>
      <c r="BZ386" s="9">
        <f t="shared" si="1272"/>
        <v>63.5</v>
      </c>
      <c r="CA386" s="9">
        <f t="shared" si="1273"/>
        <v>85.724999999999994</v>
      </c>
      <c r="CB386" s="9">
        <f t="shared" si="1087"/>
        <v>2.0920885420600022</v>
      </c>
      <c r="CC386" s="40">
        <f t="shared" si="1299"/>
        <v>0</v>
      </c>
      <c r="CD386" s="9">
        <f t="shared" si="1274"/>
        <v>0</v>
      </c>
      <c r="CE386" s="9">
        <f t="shared" si="1275"/>
        <v>0</v>
      </c>
      <c r="CF386" s="9">
        <f t="shared" si="1276"/>
        <v>1</v>
      </c>
      <c r="CG386" s="9">
        <f t="shared" si="1277"/>
        <v>0.68</v>
      </c>
      <c r="CH386" s="9">
        <f t="shared" si="1088"/>
        <v>2.0757770792545673</v>
      </c>
      <c r="CI386" s="9">
        <f t="shared" si="1089"/>
        <v>4.342709443379257</v>
      </c>
      <c r="CJ386" s="40">
        <v>1</v>
      </c>
      <c r="CK386" s="9">
        <f t="shared" si="1090"/>
        <v>375.3490626101559</v>
      </c>
      <c r="CM386" s="4">
        <f t="shared" si="1278"/>
        <v>2.3031448610076581</v>
      </c>
      <c r="CN386" s="4">
        <f t="shared" si="1279"/>
        <v>0.27663125137739181</v>
      </c>
      <c r="CO386" s="4">
        <f t="shared" si="1242"/>
        <v>1.0717854033241645</v>
      </c>
      <c r="CP386" s="4">
        <f t="shared" si="1280"/>
        <v>1.8612559860866686</v>
      </c>
      <c r="CQ386" s="4">
        <f t="shared" si="1189"/>
        <v>0.77378912538861899</v>
      </c>
      <c r="CR386" s="4">
        <f t="shared" si="1190"/>
        <v>0.75051026424073697</v>
      </c>
      <c r="CS386" s="4">
        <f t="shared" si="1243"/>
        <v>1.419112376432075</v>
      </c>
      <c r="CT386" s="4">
        <f t="shared" si="1300"/>
        <v>0</v>
      </c>
      <c r="CU386" s="4">
        <f t="shared" si="1318"/>
        <v>2.3031448610076581</v>
      </c>
      <c r="CV386" s="4">
        <f t="shared" si="1318"/>
        <v>0.27663125137739181</v>
      </c>
      <c r="CW386" s="4">
        <f t="shared" si="1319"/>
        <v>1.8612559860866686</v>
      </c>
      <c r="CX386" s="4">
        <f t="shared" ref="CX386" si="1322">CS386</f>
        <v>1.419112376432075</v>
      </c>
      <c r="CY386" s="4">
        <f t="shared" si="1320"/>
        <v>0.77378912538861899</v>
      </c>
      <c r="CZ386" s="4">
        <f t="shared" si="1320"/>
        <v>0.75051026424073697</v>
      </c>
      <c r="DI386" s="4">
        <f t="shared" si="1285"/>
        <v>104.90199999999999</v>
      </c>
      <c r="DL386" s="4">
        <f t="shared" si="1166"/>
        <v>1.5814970357900817E-5</v>
      </c>
      <c r="DM386" s="4">
        <f t="shared" si="1313"/>
        <v>14.719357433866572</v>
      </c>
      <c r="DN386" s="4">
        <f t="shared" si="1167"/>
        <v>0.15106884191806433</v>
      </c>
      <c r="DO386" s="4">
        <f t="shared" si="1168"/>
        <v>6.9112851462819327</v>
      </c>
      <c r="DP386" s="4">
        <f t="shared" si="1169"/>
        <v>11.506298630815103</v>
      </c>
      <c r="DQ386" s="4">
        <f t="shared" si="1170"/>
        <v>14.337879997179973</v>
      </c>
      <c r="DR386" s="38">
        <f t="shared" si="1183"/>
        <v>902.85669148465377</v>
      </c>
      <c r="DS386" s="4">
        <f t="shared" si="1095"/>
        <v>1.0000830374098912</v>
      </c>
      <c r="DT386" s="4">
        <f t="shared" si="1171"/>
        <v>3.7549966711037173</v>
      </c>
      <c r="DU386" s="4">
        <f t="shared" si="1103"/>
        <v>649.02815775840486</v>
      </c>
      <c r="DY386" s="4">
        <f t="shared" si="1037"/>
        <v>0.85</v>
      </c>
      <c r="DZ386" s="4">
        <f t="shared" si="1096"/>
        <v>0.7</v>
      </c>
      <c r="EA386" s="4">
        <f t="shared" si="1184"/>
        <v>1</v>
      </c>
      <c r="EB386" s="4">
        <f t="shared" si="1097"/>
        <v>0.7</v>
      </c>
      <c r="ED386" s="4">
        <f t="shared" si="1185"/>
        <v>930.86093947288077</v>
      </c>
      <c r="EE386" s="25">
        <f t="shared" si="1186"/>
        <v>639.06439770390989</v>
      </c>
      <c r="EG386" s="4">
        <f t="shared" si="1104"/>
        <v>0.59499999999999997</v>
      </c>
      <c r="EH386" s="4">
        <f t="shared" si="1187"/>
        <v>14.719357433866572</v>
      </c>
      <c r="EK386" s="4">
        <f t="shared" si="1172"/>
        <v>59.610572153771514</v>
      </c>
      <c r="EL386" s="4">
        <f t="shared" si="1173"/>
        <v>3.7549966711037173</v>
      </c>
      <c r="EM386" s="4">
        <f t="shared" si="1174"/>
        <v>7.2046671318490713E-2</v>
      </c>
      <c r="EP386" s="4">
        <f t="shared" si="1301"/>
        <v>7.2046671318490713E-2</v>
      </c>
      <c r="EQ386" s="4">
        <f t="shared" si="1257"/>
        <v>0.15081673617630778</v>
      </c>
      <c r="ER386" s="4">
        <f t="shared" si="1314"/>
        <v>6.9066693757948734</v>
      </c>
      <c r="ES386" s="4">
        <f t="shared" si="1286"/>
        <v>11.5049337770006</v>
      </c>
      <c r="ET386" s="4">
        <f t="shared" si="1315"/>
        <v>19.065927846228476</v>
      </c>
      <c r="EU386" s="4">
        <f t="shared" si="1316"/>
        <v>26.225499999999997</v>
      </c>
      <c r="EV386" s="4">
        <f t="shared" si="1098"/>
        <v>1.5814970357900817E-5</v>
      </c>
      <c r="EW386" s="4">
        <f t="shared" si="1287"/>
        <v>14.338019363230169</v>
      </c>
      <c r="EX386" s="4">
        <f t="shared" si="1131"/>
        <v>902.78172682836077</v>
      </c>
      <c r="FG386" s="23">
        <f t="shared" si="1030"/>
        <v>2.2000000000000002</v>
      </c>
      <c r="FH386" s="23">
        <f t="shared" si="1030"/>
        <v>0.6</v>
      </c>
      <c r="FI386" s="23">
        <f t="shared" si="1248"/>
        <v>1.6</v>
      </c>
      <c r="FJ386" s="23">
        <f t="shared" si="1031"/>
        <v>2</v>
      </c>
      <c r="FK386" s="23">
        <f t="shared" si="1031"/>
        <v>0.8</v>
      </c>
      <c r="FL386" s="23">
        <f t="shared" si="1031"/>
        <v>0.8</v>
      </c>
      <c r="FM386" s="23">
        <f t="shared" si="1195"/>
        <v>1</v>
      </c>
      <c r="FN386" s="23"/>
      <c r="FX386" s="4">
        <f t="shared" si="1099"/>
        <v>1</v>
      </c>
      <c r="FY386" s="4">
        <f t="shared" si="1139"/>
        <v>0.5</v>
      </c>
      <c r="FZ386" s="4">
        <f t="shared" si="1100"/>
        <v>0</v>
      </c>
      <c r="GA386" s="4">
        <f t="shared" si="1101"/>
        <v>492.29412783478148</v>
      </c>
    </row>
    <row r="387" spans="1:183" ht="12" customHeight="1" x14ac:dyDescent="0.3">
      <c r="A387" s="25">
        <v>369</v>
      </c>
      <c r="B387" s="4" t="s">
        <v>605</v>
      </c>
      <c r="C387" s="4">
        <v>2016</v>
      </c>
      <c r="D387" s="4" t="s">
        <v>309</v>
      </c>
      <c r="E387" s="24" t="s">
        <v>674</v>
      </c>
      <c r="F387" s="7" t="s">
        <v>535</v>
      </c>
      <c r="G387" s="38">
        <f t="shared" si="1262"/>
        <v>958.62068965517244</v>
      </c>
      <c r="H387" s="38">
        <f>4.13*25.4</f>
        <v>104.90199999999999</v>
      </c>
      <c r="I387" s="4">
        <f t="shared" si="1288"/>
        <v>104.90199999999999</v>
      </c>
      <c r="J387" s="38">
        <f t="shared" si="1321"/>
        <v>76.068965517241381</v>
      </c>
      <c r="K387" s="38">
        <f t="shared" si="1264"/>
        <v>15.875</v>
      </c>
      <c r="L387" s="7">
        <f t="shared" si="1289"/>
        <v>6.6079999999999988</v>
      </c>
      <c r="M387" s="7">
        <f t="shared" si="1290"/>
        <v>6.6079999999999988</v>
      </c>
      <c r="N387" s="38">
        <f t="shared" si="1317"/>
        <v>332.73999999999995</v>
      </c>
      <c r="O387" s="38">
        <f>2.65*25.4</f>
        <v>67.309999999999988</v>
      </c>
      <c r="P387" s="39">
        <f>5*25.4</f>
        <v>127</v>
      </c>
      <c r="Q387" s="7">
        <f t="shared" si="1291"/>
        <v>166.36999999999998</v>
      </c>
      <c r="R387" s="38">
        <v>2</v>
      </c>
      <c r="S387" s="4">
        <f t="shared" si="1258"/>
        <v>133.35</v>
      </c>
      <c r="T387" s="7">
        <f t="shared" si="1292"/>
        <v>4.7399999999999993</v>
      </c>
      <c r="U387" s="7">
        <f t="shared" si="1127"/>
        <v>4.7399999999999993</v>
      </c>
      <c r="V387" s="38">
        <v>4</v>
      </c>
      <c r="W387" s="4">
        <f t="shared" si="1293"/>
        <v>4</v>
      </c>
      <c r="X387" s="4">
        <f t="shared" si="1294"/>
        <v>5</v>
      </c>
      <c r="Y387" s="7">
        <f t="shared" si="1295"/>
        <v>35.497579142809165</v>
      </c>
      <c r="AB387" s="38">
        <f t="shared" si="1038"/>
        <v>727.58620689655174</v>
      </c>
      <c r="AC387" s="4">
        <v>105.5</v>
      </c>
      <c r="AD387" s="4">
        <f t="shared" si="1159"/>
        <v>0.75899280575539563</v>
      </c>
      <c r="AE387" s="38">
        <f t="shared" ref="AE387:AE390" si="1323">0.375*25.4</f>
        <v>9.5249999999999986</v>
      </c>
      <c r="AF387" s="38">
        <v>4</v>
      </c>
      <c r="AG387" s="39">
        <f>3.5*25.4</f>
        <v>88.899999999999991</v>
      </c>
      <c r="AH387" s="39">
        <v>2</v>
      </c>
      <c r="AI387" s="39">
        <f t="shared" ref="AI387:AI390" si="1324">AH387-1</f>
        <v>1</v>
      </c>
      <c r="AJ387" s="7"/>
      <c r="AK387" s="4">
        <f t="shared" si="1297"/>
        <v>104.90199999999999</v>
      </c>
      <c r="AL387" s="4">
        <f t="shared" si="1175"/>
        <v>1.0573042776432606</v>
      </c>
      <c r="AM387" s="4">
        <f t="shared" si="1176"/>
        <v>236.71842498037796</v>
      </c>
      <c r="AN387" s="4">
        <f t="shared" si="1177"/>
        <v>0.84346246973365613</v>
      </c>
      <c r="AO387" s="4">
        <v>1.25</v>
      </c>
      <c r="AP387" s="4">
        <f t="shared" si="1112"/>
        <v>2.5</v>
      </c>
      <c r="AQ387" s="38">
        <f t="shared" si="1266"/>
        <v>659.70205470310771</v>
      </c>
      <c r="AR387" s="38">
        <f t="shared" si="1178"/>
        <v>659.70205470310771</v>
      </c>
      <c r="AS387" s="38">
        <f t="shared" si="1179"/>
        <v>4.7518593634836064</v>
      </c>
      <c r="AT387" s="38">
        <f t="shared" si="1121"/>
        <v>659.70205470310782</v>
      </c>
      <c r="AU387" s="38">
        <f t="shared" si="1086"/>
        <v>0.99999999999999978</v>
      </c>
      <c r="AV387" s="38">
        <f t="shared" si="1249"/>
        <v>2.1862408581643331</v>
      </c>
      <c r="AW387" s="4">
        <f t="shared" si="1230"/>
        <v>0</v>
      </c>
      <c r="AX387" s="4">
        <f t="shared" si="1298"/>
        <v>303.33336885701408</v>
      </c>
      <c r="AY387" s="4">
        <f t="shared" si="1267"/>
        <v>1</v>
      </c>
      <c r="AZ387" s="38">
        <f t="shared" si="1102"/>
        <v>1442.2675862068963</v>
      </c>
      <c r="BA387" s="4">
        <f t="shared" si="1268"/>
        <v>0.44000000000000006</v>
      </c>
      <c r="BB387" s="4">
        <f t="shared" si="1269"/>
        <v>69.736341500227553</v>
      </c>
      <c r="BC387" s="4">
        <f t="shared" si="1270"/>
        <v>1512.0039277071239</v>
      </c>
      <c r="BE387" s="4">
        <f t="shared" si="1122"/>
        <v>1.5</v>
      </c>
      <c r="BF387" s="4">
        <f t="shared" si="1128"/>
        <v>651.82888989566936</v>
      </c>
      <c r="BH387" s="4">
        <f t="shared" si="1129"/>
        <v>1383.3109930050441</v>
      </c>
      <c r="BI387" s="4">
        <f t="shared" si="1067"/>
        <v>0</v>
      </c>
      <c r="BJ387" s="4">
        <f t="shared" si="1130"/>
        <v>0</v>
      </c>
      <c r="BR387" s="4">
        <f t="shared" si="1271"/>
        <v>67.309999999999988</v>
      </c>
      <c r="BV387" s="9"/>
      <c r="BX387" s="9"/>
      <c r="BY387" s="9"/>
      <c r="BZ387" s="9">
        <f t="shared" si="1272"/>
        <v>67.309999999999988</v>
      </c>
      <c r="CA387" s="9">
        <f t="shared" si="1273"/>
        <v>83.184999999999988</v>
      </c>
      <c r="CB387" s="9">
        <f t="shared" si="1087"/>
        <v>2.1255814085673048</v>
      </c>
      <c r="CC387" s="40">
        <f t="shared" si="1299"/>
        <v>20</v>
      </c>
      <c r="CD387" s="9">
        <f t="shared" si="1274"/>
        <v>0.05</v>
      </c>
      <c r="CE387" s="9">
        <f t="shared" si="1275"/>
        <v>0.8</v>
      </c>
      <c r="CF387" s="9">
        <f t="shared" si="1276"/>
        <v>1</v>
      </c>
      <c r="CG387" s="9">
        <f t="shared" si="1277"/>
        <v>0.68</v>
      </c>
      <c r="CH387" s="9">
        <f t="shared" si="1088"/>
        <v>2.0757770792545673</v>
      </c>
      <c r="CI387" s="9">
        <f t="shared" si="1089"/>
        <v>5.1894426981364186</v>
      </c>
      <c r="CJ387" s="40">
        <v>1</v>
      </c>
      <c r="CK387" s="9">
        <f t="shared" si="1090"/>
        <v>448.53391128532689</v>
      </c>
      <c r="CM387" s="4">
        <f t="shared" si="1278"/>
        <v>2.3986355660050145</v>
      </c>
      <c r="CN387" s="4">
        <f t="shared" si="1279"/>
        <v>0.48120655876859975</v>
      </c>
      <c r="CO387" s="4">
        <f t="shared" si="1242"/>
        <v>1.1162227053376048</v>
      </c>
      <c r="CP387" s="4">
        <f t="shared" si="1280"/>
        <v>1.6221431392145302</v>
      </c>
      <c r="CQ387" s="4">
        <f t="shared" si="1189"/>
        <v>0.75899280575539563</v>
      </c>
      <c r="CR387" s="4">
        <f t="shared" si="1190"/>
        <v>0.77281597321579087</v>
      </c>
      <c r="CS387" s="4">
        <f t="shared" si="1243"/>
        <v>1.3703241283774616</v>
      </c>
      <c r="CT387" s="4">
        <f t="shared" si="1300"/>
        <v>4</v>
      </c>
      <c r="DA387" s="4">
        <f t="shared" ref="DA387:DB390" si="1325">CM387</f>
        <v>2.3986355660050145</v>
      </c>
      <c r="DB387" s="4">
        <f t="shared" si="1325"/>
        <v>0.48120655876859975</v>
      </c>
      <c r="DC387" s="4">
        <f t="shared" ref="DC387:DC390" si="1326">CP387</f>
        <v>1.6221431392145302</v>
      </c>
      <c r="DD387" s="4">
        <f t="shared" ref="DD387:DD390" si="1327">CS387</f>
        <v>1.3703241283774616</v>
      </c>
      <c r="DE387" s="4">
        <f t="shared" ref="DE387:DF390" si="1328">CQ387</f>
        <v>0.75899280575539563</v>
      </c>
      <c r="DF387" s="4">
        <f t="shared" si="1328"/>
        <v>0.77281597321579087</v>
      </c>
      <c r="DI387" s="4">
        <f t="shared" si="1285"/>
        <v>104.90199999999999</v>
      </c>
      <c r="DL387" s="4">
        <f t="shared" si="1166"/>
        <v>1.5814970357900817E-5</v>
      </c>
      <c r="DM387" s="4">
        <f t="shared" si="1313"/>
        <v>14.719357433866572</v>
      </c>
      <c r="DN387" s="4">
        <f t="shared" si="1167"/>
        <v>0.29946491485347015</v>
      </c>
      <c r="DO387" s="4">
        <f t="shared" si="1168"/>
        <v>9.0871402447161813</v>
      </c>
      <c r="DP387" s="4">
        <f t="shared" si="1169"/>
        <v>12.233585041549734</v>
      </c>
      <c r="DQ387" s="4">
        <f t="shared" si="1170"/>
        <v>14.23633445769425</v>
      </c>
      <c r="DR387" s="38">
        <f t="shared" si="1183"/>
        <v>958.62068965517244</v>
      </c>
      <c r="DS387" s="4">
        <f t="shared" si="1095"/>
        <v>1</v>
      </c>
      <c r="DT387" s="4">
        <f t="shared" si="1171"/>
        <v>2.2360679774997898</v>
      </c>
      <c r="DU387" s="4">
        <f t="shared" si="1103"/>
        <v>659.70205470310782</v>
      </c>
      <c r="DY387" s="4">
        <f t="shared" si="1037"/>
        <v>0.85</v>
      </c>
      <c r="DZ387" s="4">
        <f t="shared" si="1096"/>
        <v>0.7</v>
      </c>
      <c r="EA387" s="4">
        <f t="shared" si="1184"/>
        <v>0.85899999999999999</v>
      </c>
      <c r="EB387" s="4">
        <f t="shared" si="1097"/>
        <v>0.7</v>
      </c>
      <c r="ED387" s="4">
        <f t="shared" si="1185"/>
        <v>941.4740793580753</v>
      </c>
      <c r="EE387" s="25">
        <f t="shared" si="1186"/>
        <v>649.67753758910442</v>
      </c>
      <c r="EG387" s="4">
        <f t="shared" si="1104"/>
        <v>0.59499999999999997</v>
      </c>
      <c r="EH387" s="4">
        <f t="shared" si="1187"/>
        <v>14.719357433866572</v>
      </c>
      <c r="EK387" s="4">
        <f t="shared" si="1172"/>
        <v>35.497579142809165</v>
      </c>
      <c r="EL387" s="4">
        <f t="shared" si="1173"/>
        <v>2.2360679774997898</v>
      </c>
      <c r="EM387" s="4">
        <f t="shared" si="1174"/>
        <v>0.1428186647751607</v>
      </c>
      <c r="EP387" s="4">
        <f t="shared" si="1301"/>
        <v>0.1428186647751607</v>
      </c>
      <c r="EQ387" s="4">
        <f t="shared" si="1257"/>
        <v>0.29896516372325277</v>
      </c>
      <c r="ER387" s="4">
        <f t="shared" si="1314"/>
        <v>9.0810713077723939</v>
      </c>
      <c r="ES387" s="4">
        <f t="shared" si="1286"/>
        <v>12.231339852740703</v>
      </c>
      <c r="ET387" s="4">
        <f t="shared" si="1315"/>
        <v>43.178920857190825</v>
      </c>
      <c r="EU387" s="4">
        <f t="shared" si="1316"/>
        <v>26.22549999999999</v>
      </c>
      <c r="EV387" s="4">
        <f t="shared" si="1098"/>
        <v>1.5814970357900814E-5</v>
      </c>
      <c r="EW387" s="4">
        <f t="shared" si="1287"/>
        <v>14.236479009511338</v>
      </c>
      <c r="EX387" s="4">
        <f t="shared" si="1131"/>
        <v>958.62068965517244</v>
      </c>
      <c r="FG387" s="23">
        <f t="shared" ref="FG387:FH449" si="1329">IF(CM387&lt;0.6,0.6,IF(CM387&lt;0.8,0.8,IF(CM387&lt;1,1,IF(CM387&lt;1.2,1.2,IF(CM387&lt;1.4,1.4,IF(CM387&lt;1.6,1.6,IF(CM387&lt;1.8,1.8,IF(CM387&lt;2,2,2.2))))))))</f>
        <v>2.2000000000000002</v>
      </c>
      <c r="FH387" s="23">
        <f t="shared" si="1329"/>
        <v>0.6</v>
      </c>
      <c r="FI387" s="23">
        <f t="shared" si="1248"/>
        <v>1.4</v>
      </c>
      <c r="FJ387" s="23">
        <f t="shared" ref="FJ387:FL449" si="1330">IF(CP387&lt;0.6,0.6,IF(CP387&lt;0.8,0.8,IF(CP387&lt;1,1,IF(CP387&lt;1.2,1.2,IF(CP387&lt;1.4,1.4,IF(CP387&lt;1.6,1.6,IF(CP387&lt;1.8,1.8,IF(CP387&lt;2,2,2.2))))))))</f>
        <v>1.8</v>
      </c>
      <c r="FK387" s="23">
        <f t="shared" si="1330"/>
        <v>0.8</v>
      </c>
      <c r="FL387" s="23">
        <f t="shared" si="1330"/>
        <v>0.8</v>
      </c>
      <c r="FM387" s="23">
        <f t="shared" si="1195"/>
        <v>1</v>
      </c>
      <c r="FN387" s="23"/>
      <c r="FX387" s="4">
        <f t="shared" si="1099"/>
        <v>1</v>
      </c>
      <c r="FY387" s="4">
        <f t="shared" si="1139"/>
        <v>0.46358941059918601</v>
      </c>
      <c r="FZ387" s="4">
        <f t="shared" si="1100"/>
        <v>0.3</v>
      </c>
      <c r="GA387" s="4">
        <f t="shared" si="1101"/>
        <v>530.95920288439595</v>
      </c>
    </row>
    <row r="388" spans="1:183" ht="12" customHeight="1" x14ac:dyDescent="0.3">
      <c r="A388" s="25">
        <v>370</v>
      </c>
      <c r="B388" s="4" t="s">
        <v>605</v>
      </c>
      <c r="C388" s="4">
        <v>2016</v>
      </c>
      <c r="D388" s="4" t="s">
        <v>309</v>
      </c>
      <c r="E388" s="24" t="s">
        <v>674</v>
      </c>
      <c r="F388" s="7" t="s">
        <v>536</v>
      </c>
      <c r="G388" s="38">
        <f t="shared" si="1262"/>
        <v>958.62068965517244</v>
      </c>
      <c r="H388" s="38">
        <f>4.09*25.4</f>
        <v>103.886</v>
      </c>
      <c r="I388" s="4">
        <f t="shared" si="1288"/>
        <v>103.886</v>
      </c>
      <c r="J388" s="38">
        <f t="shared" si="1321"/>
        <v>76.068965517241381</v>
      </c>
      <c r="K388" s="38">
        <f t="shared" si="1264"/>
        <v>15.875</v>
      </c>
      <c r="L388" s="7">
        <f t="shared" si="1289"/>
        <v>6.5439999999999996</v>
      </c>
      <c r="M388" s="7">
        <f t="shared" si="1290"/>
        <v>6.5439999999999996</v>
      </c>
      <c r="N388" s="38">
        <f t="shared" si="1317"/>
        <v>332.73999999999995</v>
      </c>
      <c r="O388" s="38">
        <f>2.6*25.4</f>
        <v>66.039999999999992</v>
      </c>
      <c r="P388" s="39">
        <f>5.15*25.4</f>
        <v>130.81</v>
      </c>
      <c r="Q388" s="7">
        <f t="shared" si="1291"/>
        <v>168.90999999999997</v>
      </c>
      <c r="R388" s="38">
        <v>2</v>
      </c>
      <c r="S388" s="4">
        <f t="shared" si="1258"/>
        <v>133.35</v>
      </c>
      <c r="T388" s="7">
        <f t="shared" si="1292"/>
        <v>4.6599999999999993</v>
      </c>
      <c r="U388" s="7">
        <f t="shared" si="1127"/>
        <v>4.6599999999999993</v>
      </c>
      <c r="V388" s="38">
        <v>13.1</v>
      </c>
      <c r="W388" s="4">
        <f t="shared" si="1293"/>
        <v>13.1</v>
      </c>
      <c r="X388" s="4">
        <f t="shared" si="1294"/>
        <v>14.1</v>
      </c>
      <c r="Y388" s="7">
        <f t="shared" si="1295"/>
        <v>59.610572153771514</v>
      </c>
      <c r="AB388" s="38">
        <f t="shared" si="1038"/>
        <v>807.58620689655174</v>
      </c>
      <c r="AC388" s="4">
        <v>117.1</v>
      </c>
      <c r="AD388" s="4">
        <f t="shared" si="1159"/>
        <v>0.8904869210020433</v>
      </c>
      <c r="AE388" s="38">
        <f t="shared" si="1323"/>
        <v>9.5249999999999986</v>
      </c>
      <c r="AF388" s="38">
        <v>4</v>
      </c>
      <c r="AG388" s="39">
        <f>3.5*25.4</f>
        <v>88.899999999999991</v>
      </c>
      <c r="AH388" s="39">
        <v>2</v>
      </c>
      <c r="AI388" s="39">
        <f t="shared" si="1324"/>
        <v>1</v>
      </c>
      <c r="AJ388" s="7"/>
      <c r="AK388" s="4">
        <f t="shared" si="1297"/>
        <v>103.886</v>
      </c>
      <c r="AL388" s="4">
        <f t="shared" si="1175"/>
        <v>1.0676446617766908</v>
      </c>
      <c r="AM388" s="4">
        <f t="shared" si="1176"/>
        <v>233.28775677272216</v>
      </c>
      <c r="AN388" s="4">
        <f t="shared" si="1177"/>
        <v>0.84242053789731042</v>
      </c>
      <c r="AO388" s="4">
        <v>1.25</v>
      </c>
      <c r="AP388" s="4">
        <f t="shared" si="1112"/>
        <v>2.5</v>
      </c>
      <c r="AQ388" s="38">
        <f t="shared" si="1266"/>
        <v>655.68862261712218</v>
      </c>
      <c r="AR388" s="38">
        <f t="shared" si="1178"/>
        <v>655.68862261712218</v>
      </c>
      <c r="AS388" s="38">
        <f t="shared" si="1179"/>
        <v>4.7518593634836064</v>
      </c>
      <c r="AT388" s="38">
        <f t="shared" si="1121"/>
        <v>655.68862261712229</v>
      </c>
      <c r="AU388" s="38">
        <f t="shared" si="1086"/>
        <v>0.99999999999999978</v>
      </c>
      <c r="AV388" s="38">
        <f t="shared" si="1249"/>
        <v>3.9134647150757931</v>
      </c>
      <c r="AW388" s="4">
        <f t="shared" si="1230"/>
        <v>0</v>
      </c>
      <c r="AX388" s="4">
        <f t="shared" si="1298"/>
        <v>300.39551540561445</v>
      </c>
      <c r="AY388" s="4">
        <f t="shared" si="1267"/>
        <v>1</v>
      </c>
      <c r="AZ388" s="38">
        <f t="shared" si="1102"/>
        <v>2566.0142886887556</v>
      </c>
      <c r="BA388" s="4">
        <f t="shared" si="1268"/>
        <v>0.3</v>
      </c>
      <c r="BB388" s="4">
        <f t="shared" si="1269"/>
        <v>47.086997039830067</v>
      </c>
      <c r="BC388" s="4">
        <f t="shared" si="1270"/>
        <v>2613.1012857285859</v>
      </c>
      <c r="BE388" s="4">
        <f t="shared" si="1122"/>
        <v>1.5</v>
      </c>
      <c r="BF388" s="4">
        <f t="shared" si="1128"/>
        <v>649.31702519472265</v>
      </c>
      <c r="BH388" s="4">
        <f t="shared" si="1129"/>
        <v>2461.1215059519318</v>
      </c>
      <c r="BI388" s="4">
        <f t="shared" si="1067"/>
        <v>0</v>
      </c>
      <c r="BJ388" s="4">
        <f t="shared" si="1130"/>
        <v>0</v>
      </c>
      <c r="BR388" s="4">
        <f t="shared" si="1271"/>
        <v>66.039999999999992</v>
      </c>
      <c r="BV388" s="9"/>
      <c r="BX388" s="9"/>
      <c r="BY388" s="9"/>
      <c r="BZ388" s="9">
        <f t="shared" si="1272"/>
        <v>66.039999999999992</v>
      </c>
      <c r="CA388" s="9">
        <f t="shared" si="1273"/>
        <v>84.454999999999984</v>
      </c>
      <c r="CB388" s="9">
        <f t="shared" si="1087"/>
        <v>2.116261887080392</v>
      </c>
      <c r="CC388" s="40">
        <f t="shared" si="1299"/>
        <v>20</v>
      </c>
      <c r="CD388" s="9">
        <f t="shared" si="1274"/>
        <v>0.05</v>
      </c>
      <c r="CE388" s="9">
        <f t="shared" si="1275"/>
        <v>0.8</v>
      </c>
      <c r="CF388" s="9">
        <f t="shared" si="1276"/>
        <v>1</v>
      </c>
      <c r="CG388" s="9">
        <f t="shared" si="1277"/>
        <v>0.68</v>
      </c>
      <c r="CH388" s="9">
        <f t="shared" si="1088"/>
        <v>2.0757770792545673</v>
      </c>
      <c r="CI388" s="9">
        <f t="shared" si="1089"/>
        <v>5.1894426981364186</v>
      </c>
      <c r="CJ388" s="40">
        <v>1</v>
      </c>
      <c r="CK388" s="9">
        <f t="shared" si="1090"/>
        <v>447.20541395460401</v>
      </c>
      <c r="CM388" s="4">
        <f t="shared" si="1278"/>
        <v>2.6884096648583249</v>
      </c>
      <c r="CN388" s="4">
        <f t="shared" si="1279"/>
        <v>0.30905277621926552</v>
      </c>
      <c r="CO388" s="4">
        <f t="shared" si="1242"/>
        <v>1.2437471613413587</v>
      </c>
      <c r="CP388" s="4">
        <f t="shared" si="1280"/>
        <v>1.8058506934321912</v>
      </c>
      <c r="CQ388" s="4">
        <f t="shared" si="1189"/>
        <v>0.8904869210020433</v>
      </c>
      <c r="CR388" s="4">
        <f t="shared" si="1190"/>
        <v>0.86413021470864393</v>
      </c>
      <c r="CS388" s="4">
        <f t="shared" si="1243"/>
        <v>1.5358700933690845</v>
      </c>
      <c r="CT388" s="4">
        <f t="shared" si="1300"/>
        <v>4</v>
      </c>
      <c r="DA388" s="4">
        <f t="shared" si="1325"/>
        <v>2.6884096648583249</v>
      </c>
      <c r="DB388" s="4">
        <f t="shared" si="1325"/>
        <v>0.30905277621926552</v>
      </c>
      <c r="DC388" s="4">
        <f t="shared" si="1326"/>
        <v>1.8058506934321912</v>
      </c>
      <c r="DD388" s="4">
        <f t="shared" si="1327"/>
        <v>1.5358700933690845</v>
      </c>
      <c r="DE388" s="4">
        <f t="shared" si="1328"/>
        <v>0.8904869210020433</v>
      </c>
      <c r="DF388" s="4">
        <f t="shared" si="1328"/>
        <v>0.86413021470864393</v>
      </c>
      <c r="DI388" s="4">
        <f t="shared" si="1285"/>
        <v>103.886</v>
      </c>
      <c r="DL388" s="4">
        <f t="shared" si="1166"/>
        <v>1.5661798732158438E-5</v>
      </c>
      <c r="DM388" s="4">
        <f t="shared" si="1313"/>
        <v>14.719357433866572</v>
      </c>
      <c r="DN388" s="4">
        <f t="shared" si="1167"/>
        <v>0.1526191424725388</v>
      </c>
      <c r="DO388" s="4">
        <f t="shared" si="1168"/>
        <v>6.9395683100342502</v>
      </c>
      <c r="DP388" s="4">
        <f t="shared" si="1169"/>
        <v>11.514679402936299</v>
      </c>
      <c r="DQ388" s="4">
        <f t="shared" si="1170"/>
        <v>14.345562691705661</v>
      </c>
      <c r="DR388" s="38">
        <f t="shared" si="1183"/>
        <v>906.90406321498199</v>
      </c>
      <c r="DS388" s="4">
        <f t="shared" si="1095"/>
        <v>1.0000827628700382</v>
      </c>
      <c r="DT388" s="4">
        <f t="shared" si="1171"/>
        <v>3.7549966711037173</v>
      </c>
      <c r="DU388" s="4">
        <f t="shared" si="1103"/>
        <v>655.68862261712229</v>
      </c>
      <c r="DY388" s="4">
        <f t="shared" ref="DY388:DY449" si="1331">IF(P388&gt;1*K388,0.85,1)</f>
        <v>0.85</v>
      </c>
      <c r="DZ388" s="4">
        <f t="shared" si="1096"/>
        <v>0.7</v>
      </c>
      <c r="EA388" s="4">
        <f t="shared" si="1184"/>
        <v>0.85899999999999999</v>
      </c>
      <c r="EB388" s="4">
        <f t="shared" si="1097"/>
        <v>0.7</v>
      </c>
      <c r="ED388" s="4">
        <f t="shared" si="1185"/>
        <v>934.56540825718389</v>
      </c>
      <c r="EE388" s="25">
        <f t="shared" si="1186"/>
        <v>645.59498311551533</v>
      </c>
      <c r="EG388" s="4">
        <f t="shared" si="1104"/>
        <v>0.59499999999999997</v>
      </c>
      <c r="EH388" s="4">
        <f t="shared" si="1187"/>
        <v>14.719357433866572</v>
      </c>
      <c r="EK388" s="4">
        <f t="shared" si="1172"/>
        <v>59.610572153771514</v>
      </c>
      <c r="EL388" s="4">
        <f t="shared" si="1173"/>
        <v>3.7549966711037173</v>
      </c>
      <c r="EM388" s="4">
        <f t="shared" si="1174"/>
        <v>7.2786029567848812E-2</v>
      </c>
      <c r="EP388" s="4">
        <f t="shared" si="1301"/>
        <v>7.2786029567848812E-2</v>
      </c>
      <c r="EQ388" s="4">
        <f t="shared" si="1257"/>
        <v>0.15236444956809359</v>
      </c>
      <c r="ER388" s="4">
        <f t="shared" si="1314"/>
        <v>6.9349336503551298</v>
      </c>
      <c r="ES388" s="4">
        <f t="shared" si="1286"/>
        <v>11.513304002340247</v>
      </c>
      <c r="ET388" s="4">
        <f t="shared" si="1315"/>
        <v>18.30392784622849</v>
      </c>
      <c r="EU388" s="4">
        <f t="shared" si="1316"/>
        <v>25.971499999999992</v>
      </c>
      <c r="EV388" s="4">
        <f t="shared" si="1098"/>
        <v>1.5661798732158435E-5</v>
      </c>
      <c r="EW388" s="4">
        <f t="shared" si="1287"/>
        <v>14.345700851991321</v>
      </c>
      <c r="EX388" s="4">
        <f t="shared" si="1131"/>
        <v>906.82901144336097</v>
      </c>
      <c r="FG388" s="23">
        <f t="shared" si="1329"/>
        <v>2.2000000000000002</v>
      </c>
      <c r="FH388" s="23">
        <f t="shared" si="1329"/>
        <v>0.6</v>
      </c>
      <c r="FI388" s="23">
        <f t="shared" si="1248"/>
        <v>1.6</v>
      </c>
      <c r="FJ388" s="23">
        <f t="shared" si="1330"/>
        <v>2</v>
      </c>
      <c r="FK388" s="23">
        <f t="shared" si="1330"/>
        <v>1</v>
      </c>
      <c r="FL388" s="23">
        <f t="shared" si="1330"/>
        <v>1</v>
      </c>
      <c r="FM388" s="23">
        <f t="shared" si="1195"/>
        <v>0</v>
      </c>
      <c r="FN388" s="23"/>
      <c r="FX388" s="4">
        <f t="shared" si="1099"/>
        <v>1</v>
      </c>
      <c r="FY388" s="4">
        <f t="shared" si="1139"/>
        <v>0.46358941059918601</v>
      </c>
      <c r="FZ388" s="4">
        <f t="shared" si="1100"/>
        <v>0.3</v>
      </c>
      <c r="GA388" s="4">
        <f t="shared" si="1101"/>
        <v>525.81674087098781</v>
      </c>
    </row>
    <row r="389" spans="1:183" ht="12" customHeight="1" x14ac:dyDescent="0.3">
      <c r="A389" s="25">
        <v>371</v>
      </c>
      <c r="B389" s="4" t="s">
        <v>605</v>
      </c>
      <c r="C389" s="4">
        <v>2016</v>
      </c>
      <c r="D389" s="4" t="s">
        <v>309</v>
      </c>
      <c r="E389" s="24" t="s">
        <v>674</v>
      </c>
      <c r="F389" s="7" t="s">
        <v>537</v>
      </c>
      <c r="G389" s="38">
        <f t="shared" si="1262"/>
        <v>958.62068965517244</v>
      </c>
      <c r="H389" s="38">
        <f>4.22*25.4</f>
        <v>107.18799999999999</v>
      </c>
      <c r="I389" s="4">
        <f t="shared" si="1288"/>
        <v>107.18799999999999</v>
      </c>
      <c r="J389" s="38">
        <f t="shared" si="1321"/>
        <v>76.068965517241381</v>
      </c>
      <c r="K389" s="38">
        <f t="shared" si="1264"/>
        <v>15.875</v>
      </c>
      <c r="L389" s="7">
        <f t="shared" si="1289"/>
        <v>6.7519999999999989</v>
      </c>
      <c r="M389" s="7">
        <f t="shared" si="1290"/>
        <v>6.7519999999999989</v>
      </c>
      <c r="N389" s="38">
        <f t="shared" si="1317"/>
        <v>332.73999999999995</v>
      </c>
      <c r="O389" s="38">
        <f>2.55*25.4</f>
        <v>64.77</v>
      </c>
      <c r="P389" s="39">
        <f>4.8*25.4</f>
        <v>121.91999999999999</v>
      </c>
      <c r="Q389" s="7">
        <f t="shared" si="1291"/>
        <v>171.44999999999996</v>
      </c>
      <c r="R389" s="38">
        <v>2</v>
      </c>
      <c r="S389" s="4">
        <f t="shared" si="1258"/>
        <v>133.35</v>
      </c>
      <c r="T389" s="7">
        <f t="shared" si="1292"/>
        <v>4.58</v>
      </c>
      <c r="U389" s="7">
        <f t="shared" si="1127"/>
        <v>4.58</v>
      </c>
      <c r="V389" s="38">
        <v>4</v>
      </c>
      <c r="W389" s="4">
        <f t="shared" si="1293"/>
        <v>4</v>
      </c>
      <c r="X389" s="4">
        <f t="shared" si="1294"/>
        <v>5</v>
      </c>
      <c r="Y389" s="7">
        <f t="shared" si="1295"/>
        <v>35.497579142809165</v>
      </c>
      <c r="AB389" s="38">
        <f t="shared" ref="AB389:AB449" si="1332">AC389/0.145</f>
        <v>865.51724137931035</v>
      </c>
      <c r="AC389" s="4">
        <v>125.5</v>
      </c>
      <c r="AD389" s="4">
        <f t="shared" si="1159"/>
        <v>0.90287769784172656</v>
      </c>
      <c r="AE389" s="38">
        <f t="shared" si="1323"/>
        <v>9.5249999999999986</v>
      </c>
      <c r="AF389" s="38">
        <v>10</v>
      </c>
      <c r="AG389" s="39">
        <f>1.75*25.4</f>
        <v>44.449999999999996</v>
      </c>
      <c r="AH389" s="39">
        <v>3</v>
      </c>
      <c r="AI389" s="39">
        <f t="shared" si="1324"/>
        <v>2</v>
      </c>
      <c r="AJ389" s="7"/>
      <c r="AK389" s="4">
        <f t="shared" si="1297"/>
        <v>107.18799999999999</v>
      </c>
      <c r="AL389" s="4">
        <f t="shared" si="1175"/>
        <v>1.0347551342812007</v>
      </c>
      <c r="AM389" s="4">
        <f t="shared" si="1176"/>
        <v>244.49819737031095</v>
      </c>
      <c r="AN389" s="4">
        <f t="shared" si="1177"/>
        <v>0.83566350710900472</v>
      </c>
      <c r="AO389" s="4">
        <v>1.25</v>
      </c>
      <c r="AP389" s="4">
        <f t="shared" si="1112"/>
        <v>2.5</v>
      </c>
      <c r="AQ389" s="38">
        <f t="shared" si="1266"/>
        <v>660.68540095813057</v>
      </c>
      <c r="AR389" s="38">
        <f t="shared" si="1178"/>
        <v>660.68540095813057</v>
      </c>
      <c r="AS389" s="38">
        <f t="shared" si="1179"/>
        <v>4.7518593634836064</v>
      </c>
      <c r="AT389" s="38">
        <f t="shared" si="1121"/>
        <v>660.6854009581308</v>
      </c>
      <c r="AU389" s="38">
        <f t="shared" si="1086"/>
        <v>0.99999999999999967</v>
      </c>
      <c r="AV389" s="38">
        <f t="shared" si="1249"/>
        <v>2.1092995944134336</v>
      </c>
      <c r="AW389" s="4">
        <f t="shared" si="1230"/>
        <v>0</v>
      </c>
      <c r="AX389" s="4">
        <f t="shared" si="1298"/>
        <v>309.94353912266331</v>
      </c>
      <c r="AY389" s="4">
        <f t="shared" si="1267"/>
        <v>1</v>
      </c>
      <c r="AZ389" s="38">
        <f t="shared" si="1102"/>
        <v>1393.5834482758621</v>
      </c>
      <c r="BA389" s="4">
        <f t="shared" si="1268"/>
        <v>0.44000000000000006</v>
      </c>
      <c r="BB389" s="4">
        <f t="shared" si="1269"/>
        <v>71.256019644300309</v>
      </c>
      <c r="BC389" s="4">
        <f t="shared" si="1270"/>
        <v>1464.8394679201624</v>
      </c>
      <c r="BE389" s="4">
        <f t="shared" si="1122"/>
        <v>1.5</v>
      </c>
      <c r="BF389" s="4">
        <f t="shared" si="1128"/>
        <v>657.48058547279948</v>
      </c>
      <c r="BH389" s="4">
        <f t="shared" si="1129"/>
        <v>1336.6169510470681</v>
      </c>
      <c r="BI389" s="4">
        <f t="shared" si="1067"/>
        <v>0</v>
      </c>
      <c r="BJ389" s="4">
        <f t="shared" si="1130"/>
        <v>0</v>
      </c>
      <c r="BR389" s="4">
        <f t="shared" si="1271"/>
        <v>64.77</v>
      </c>
      <c r="BV389" s="9"/>
      <c r="BX389" s="9"/>
      <c r="BY389" s="9"/>
      <c r="BZ389" s="9">
        <f t="shared" si="1272"/>
        <v>64.77</v>
      </c>
      <c r="CA389" s="9">
        <f t="shared" si="1273"/>
        <v>85.72499999999998</v>
      </c>
      <c r="CB389" s="9">
        <f t="shared" si="1087"/>
        <v>2.1066390052415969</v>
      </c>
      <c r="CC389" s="40">
        <f t="shared" si="1299"/>
        <v>20</v>
      </c>
      <c r="CD389" s="9">
        <f t="shared" si="1274"/>
        <v>0.05</v>
      </c>
      <c r="CE389" s="9">
        <f t="shared" si="1275"/>
        <v>0.8</v>
      </c>
      <c r="CF389" s="9">
        <f t="shared" si="1276"/>
        <v>1</v>
      </c>
      <c r="CG389" s="9">
        <f t="shared" si="1277"/>
        <v>0.68</v>
      </c>
      <c r="CH389" s="9">
        <f t="shared" si="1088"/>
        <v>2.0757770792545673</v>
      </c>
      <c r="CI389" s="9">
        <f t="shared" si="1089"/>
        <v>5.1894426981364186</v>
      </c>
      <c r="CJ389" s="40">
        <v>1</v>
      </c>
      <c r="CK389" s="9">
        <f t="shared" si="1090"/>
        <v>451.52303027945345</v>
      </c>
      <c r="CM389" s="4">
        <f t="shared" si="1278"/>
        <v>2.7924997043954289</v>
      </c>
      <c r="CN389" s="4">
        <f t="shared" si="1279"/>
        <v>0.5908614973408699</v>
      </c>
      <c r="CO389" s="4">
        <f t="shared" si="1242"/>
        <v>1.3164149033494428</v>
      </c>
      <c r="CP389" s="4">
        <f t="shared" si="1280"/>
        <v>1.9168839313547983</v>
      </c>
      <c r="CQ389" s="4">
        <f t="shared" si="1189"/>
        <v>0.90287769784172656</v>
      </c>
      <c r="CR389" s="4">
        <f t="shared" si="1190"/>
        <v>0.91208253125064931</v>
      </c>
      <c r="CS389" s="4">
        <f t="shared" si="1243"/>
        <v>1.5953360225510751</v>
      </c>
      <c r="CT389" s="4">
        <f t="shared" si="1300"/>
        <v>10</v>
      </c>
      <c r="DA389" s="4">
        <f t="shared" si="1325"/>
        <v>2.7924997043954289</v>
      </c>
      <c r="DB389" s="4">
        <f t="shared" si="1325"/>
        <v>0.5908614973408699</v>
      </c>
      <c r="DC389" s="4">
        <f t="shared" si="1326"/>
        <v>1.9168839313547983</v>
      </c>
      <c r="DD389" s="4">
        <f t="shared" si="1327"/>
        <v>1.5953360225510751</v>
      </c>
      <c r="DE389" s="4">
        <f t="shared" si="1328"/>
        <v>0.90287769784172656</v>
      </c>
      <c r="DF389" s="4">
        <f t="shared" si="1328"/>
        <v>0.91208253125064931</v>
      </c>
      <c r="DI389" s="4">
        <f t="shared" si="1285"/>
        <v>107.18799999999999</v>
      </c>
      <c r="DL389" s="4">
        <f t="shared" si="1166"/>
        <v>1.6159606515821178E-5</v>
      </c>
      <c r="DM389" s="4">
        <f t="shared" si="1313"/>
        <v>14.719357433866572</v>
      </c>
      <c r="DN389" s="4">
        <f t="shared" si="1167"/>
        <v>0.29991129470090672</v>
      </c>
      <c r="DO389" s="4">
        <f t="shared" si="1168"/>
        <v>9.0925559092864905</v>
      </c>
      <c r="DP389" s="4">
        <f t="shared" si="1169"/>
        <v>12.235589502750088</v>
      </c>
      <c r="DQ389" s="4">
        <f t="shared" si="1170"/>
        <v>14.213904064637124</v>
      </c>
      <c r="DR389" s="38">
        <f t="shared" si="1183"/>
        <v>958.62068965517244</v>
      </c>
      <c r="DS389" s="4">
        <f t="shared" si="1095"/>
        <v>1</v>
      </c>
      <c r="DT389" s="4">
        <f t="shared" si="1171"/>
        <v>2.2360679774997898</v>
      </c>
      <c r="DU389" s="4">
        <f t="shared" si="1103"/>
        <v>660.6854009581308</v>
      </c>
      <c r="DY389" s="4">
        <f t="shared" si="1331"/>
        <v>0.85</v>
      </c>
      <c r="DZ389" s="4">
        <f t="shared" si="1096"/>
        <v>0.7</v>
      </c>
      <c r="EA389" s="4">
        <f t="shared" si="1184"/>
        <v>0.7</v>
      </c>
      <c r="EB389" s="4">
        <f t="shared" si="1097"/>
        <v>0.7</v>
      </c>
      <c r="ED389" s="4">
        <f t="shared" si="1185"/>
        <v>948.94618822762834</v>
      </c>
      <c r="EE389" s="25">
        <f t="shared" si="1186"/>
        <v>650.79088404722711</v>
      </c>
      <c r="EG389" s="4">
        <f t="shared" si="1104"/>
        <v>0.59499999999999997</v>
      </c>
      <c r="EH389" s="4">
        <f t="shared" si="1187"/>
        <v>14.719357433866572</v>
      </c>
      <c r="EK389" s="4">
        <f t="shared" si="1172"/>
        <v>35.497579142809165</v>
      </c>
      <c r="EL389" s="4">
        <f t="shared" si="1173"/>
        <v>2.2360679774997898</v>
      </c>
      <c r="EM389" s="4">
        <f t="shared" si="1174"/>
        <v>0.14303154905853199</v>
      </c>
      <c r="EP389" s="4">
        <f t="shared" si="1301"/>
        <v>0.14303154905853199</v>
      </c>
      <c r="EQ389" s="4">
        <f t="shared" si="1257"/>
        <v>0.2994107986459178</v>
      </c>
      <c r="ER389" s="4">
        <f t="shared" si="1314"/>
        <v>9.0864833554372844</v>
      </c>
      <c r="ES389" s="4">
        <f t="shared" si="1286"/>
        <v>12.233341972668274</v>
      </c>
      <c r="ET389" s="4">
        <f t="shared" si="1315"/>
        <v>44.893420857190826</v>
      </c>
      <c r="EU389" s="4">
        <f t="shared" si="1316"/>
        <v>26.79699999999999</v>
      </c>
      <c r="EV389" s="4">
        <f t="shared" si="1098"/>
        <v>1.6159606515821174E-5</v>
      </c>
      <c r="EW389" s="4">
        <f t="shared" si="1287"/>
        <v>14.214053657013384</v>
      </c>
      <c r="EX389" s="4">
        <f t="shared" si="1131"/>
        <v>958.62068965517244</v>
      </c>
      <c r="FG389" s="23">
        <f t="shared" si="1329"/>
        <v>2.2000000000000002</v>
      </c>
      <c r="FH389" s="23">
        <f t="shared" si="1329"/>
        <v>0.6</v>
      </c>
      <c r="FI389" s="23">
        <f t="shared" si="1248"/>
        <v>1.6</v>
      </c>
      <c r="FJ389" s="23">
        <f t="shared" si="1330"/>
        <v>2</v>
      </c>
      <c r="FK389" s="23">
        <f t="shared" si="1330"/>
        <v>1</v>
      </c>
      <c r="FL389" s="23">
        <f t="shared" si="1330"/>
        <v>1</v>
      </c>
      <c r="FM389" s="23">
        <f t="shared" si="1195"/>
        <v>0</v>
      </c>
      <c r="FN389" s="23"/>
      <c r="FX389" s="4">
        <f t="shared" si="1099"/>
        <v>1</v>
      </c>
      <c r="FY389" s="4">
        <f t="shared" si="1139"/>
        <v>0.46358941059918601</v>
      </c>
      <c r="FZ389" s="4">
        <f t="shared" si="1100"/>
        <v>0.3</v>
      </c>
      <c r="GA389" s="4">
        <f t="shared" si="1101"/>
        <v>542.52974241456434</v>
      </c>
    </row>
    <row r="390" spans="1:183" ht="12" customHeight="1" x14ac:dyDescent="0.3">
      <c r="A390" s="25">
        <v>372</v>
      </c>
      <c r="B390" s="4" t="s">
        <v>605</v>
      </c>
      <c r="C390" s="4">
        <v>2016</v>
      </c>
      <c r="D390" s="4" t="s">
        <v>309</v>
      </c>
      <c r="E390" s="24" t="s">
        <v>674</v>
      </c>
      <c r="F390" s="7" t="s">
        <v>538</v>
      </c>
      <c r="G390" s="38">
        <f t="shared" si="1262"/>
        <v>958.62068965517244</v>
      </c>
      <c r="H390" s="38">
        <f>4.13*25.4</f>
        <v>104.90199999999999</v>
      </c>
      <c r="I390" s="4">
        <f t="shared" si="1288"/>
        <v>104.90199999999999</v>
      </c>
      <c r="J390" s="38">
        <f t="shared" si="1321"/>
        <v>76.068965517241381</v>
      </c>
      <c r="K390" s="38">
        <f t="shared" si="1264"/>
        <v>15.875</v>
      </c>
      <c r="L390" s="7">
        <f t="shared" si="1289"/>
        <v>6.6079999999999988</v>
      </c>
      <c r="M390" s="7">
        <f t="shared" si="1290"/>
        <v>6.6079999999999988</v>
      </c>
      <c r="N390" s="38">
        <f t="shared" si="1317"/>
        <v>332.73999999999995</v>
      </c>
      <c r="O390" s="38">
        <f>2.55*25.4</f>
        <v>64.77</v>
      </c>
      <c r="P390" s="39">
        <f>5*25.4</f>
        <v>127</v>
      </c>
      <c r="Q390" s="7">
        <f t="shared" si="1291"/>
        <v>171.44999999999996</v>
      </c>
      <c r="R390" s="38">
        <v>2</v>
      </c>
      <c r="S390" s="4">
        <f t="shared" si="1258"/>
        <v>133.35</v>
      </c>
      <c r="T390" s="7">
        <f t="shared" si="1292"/>
        <v>4.58</v>
      </c>
      <c r="U390" s="7">
        <f t="shared" si="1127"/>
        <v>4.58</v>
      </c>
      <c r="V390" s="38">
        <v>13.1</v>
      </c>
      <c r="W390" s="4">
        <f t="shared" si="1293"/>
        <v>13.1</v>
      </c>
      <c r="X390" s="4">
        <f t="shared" si="1294"/>
        <v>14.1</v>
      </c>
      <c r="Y390" s="7">
        <f t="shared" si="1295"/>
        <v>59.610572153771514</v>
      </c>
      <c r="AB390" s="38">
        <f t="shared" si="1332"/>
        <v>896.55172413793105</v>
      </c>
      <c r="AC390" s="4">
        <v>130</v>
      </c>
      <c r="AD390" s="4">
        <f t="shared" si="1159"/>
        <v>0.98498574494393953</v>
      </c>
      <c r="AE390" s="38">
        <f t="shared" si="1323"/>
        <v>9.5249999999999986</v>
      </c>
      <c r="AF390" s="38">
        <v>10</v>
      </c>
      <c r="AG390" s="39">
        <f>1.75*25.4</f>
        <v>44.449999999999996</v>
      </c>
      <c r="AH390" s="39">
        <v>3</v>
      </c>
      <c r="AI390" s="39">
        <f t="shared" si="1324"/>
        <v>2</v>
      </c>
      <c r="AJ390" s="7"/>
      <c r="AK390" s="4">
        <f t="shared" si="1297"/>
        <v>104.90199999999999</v>
      </c>
      <c r="AL390" s="4">
        <f t="shared" si="1175"/>
        <v>1.0573042776432606</v>
      </c>
      <c r="AM390" s="4">
        <f t="shared" si="1176"/>
        <v>236.71842498037796</v>
      </c>
      <c r="AN390" s="4">
        <f t="shared" si="1177"/>
        <v>0.83861985472154954</v>
      </c>
      <c r="AO390" s="4">
        <v>1.25</v>
      </c>
      <c r="AP390" s="4">
        <f t="shared" si="1112"/>
        <v>2.5</v>
      </c>
      <c r="AQ390" s="38">
        <f t="shared" si="1266"/>
        <v>655.914472933605</v>
      </c>
      <c r="AR390" s="38">
        <f t="shared" si="1178"/>
        <v>655.914472933605</v>
      </c>
      <c r="AS390" s="38">
        <f t="shared" si="1179"/>
        <v>4.7518593634836064</v>
      </c>
      <c r="AT390" s="38">
        <f t="shared" si="1121"/>
        <v>655.91447293360523</v>
      </c>
      <c r="AU390" s="38">
        <f t="shared" si="1086"/>
        <v>0.99999999999999967</v>
      </c>
      <c r="AV390" s="38">
        <f t="shared" si="1249"/>
        <v>3.8449563857980928</v>
      </c>
      <c r="AW390" s="4">
        <f t="shared" si="1230"/>
        <v>0</v>
      </c>
      <c r="AX390" s="4">
        <f t="shared" si="1298"/>
        <v>303.33336885701408</v>
      </c>
      <c r="AY390" s="4">
        <f t="shared" si="1267"/>
        <v>1</v>
      </c>
      <c r="AZ390" s="38">
        <f t="shared" si="1102"/>
        <v>2521.9625412434557</v>
      </c>
      <c r="BA390" s="4">
        <f t="shared" si="1268"/>
        <v>0.3</v>
      </c>
      <c r="BB390" s="4">
        <f t="shared" si="1269"/>
        <v>47.547505568336966</v>
      </c>
      <c r="BC390" s="4">
        <f t="shared" si="1270"/>
        <v>2569.5100468117926</v>
      </c>
      <c r="BE390" s="4">
        <f t="shared" si="1122"/>
        <v>1.5</v>
      </c>
      <c r="BF390" s="4">
        <f t="shared" si="1128"/>
        <v>651.82888989566936</v>
      </c>
      <c r="BH390" s="4">
        <f t="shared" si="1129"/>
        <v>2418.8704929742166</v>
      </c>
      <c r="BI390" s="4">
        <f t="shared" si="1067"/>
        <v>0</v>
      </c>
      <c r="BJ390" s="4">
        <f t="shared" si="1130"/>
        <v>0</v>
      </c>
      <c r="BR390" s="4">
        <f t="shared" si="1271"/>
        <v>64.77</v>
      </c>
      <c r="BV390" s="9"/>
      <c r="BX390" s="9"/>
      <c r="BY390" s="9"/>
      <c r="BZ390" s="9">
        <f t="shared" si="1272"/>
        <v>64.77</v>
      </c>
      <c r="CA390" s="9">
        <f t="shared" si="1273"/>
        <v>85.72499999999998</v>
      </c>
      <c r="CB390" s="9">
        <f t="shared" si="1087"/>
        <v>2.1066390052415969</v>
      </c>
      <c r="CC390" s="40">
        <f t="shared" si="1299"/>
        <v>20</v>
      </c>
      <c r="CD390" s="9">
        <f t="shared" si="1274"/>
        <v>0.05</v>
      </c>
      <c r="CE390" s="9">
        <f t="shared" si="1275"/>
        <v>0.8</v>
      </c>
      <c r="CF390" s="9">
        <f t="shared" si="1276"/>
        <v>1</v>
      </c>
      <c r="CG390" s="9">
        <f t="shared" si="1277"/>
        <v>0.68</v>
      </c>
      <c r="CH390" s="9">
        <f t="shared" si="1088"/>
        <v>2.0757770792545673</v>
      </c>
      <c r="CI390" s="9">
        <f t="shared" si="1089"/>
        <v>5.1894426981364186</v>
      </c>
      <c r="CJ390" s="40">
        <v>1</v>
      </c>
      <c r="CK390" s="9">
        <f t="shared" si="1090"/>
        <v>448.53391128532689</v>
      </c>
      <c r="CM390" s="4">
        <f t="shared" si="1278"/>
        <v>2.9556646784895912</v>
      </c>
      <c r="CN390" s="4">
        <f t="shared" si="1279"/>
        <v>0.34891933006853126</v>
      </c>
      <c r="CO390" s="4">
        <f t="shared" si="1242"/>
        <v>1.3754403004160058</v>
      </c>
      <c r="CP390" s="4">
        <f t="shared" si="1280"/>
        <v>1.998849365856767</v>
      </c>
      <c r="CQ390" s="4">
        <f t="shared" si="1189"/>
        <v>0.98498574494393953</v>
      </c>
      <c r="CR390" s="4">
        <f t="shared" si="1190"/>
        <v>0.95614243505191698</v>
      </c>
      <c r="CS390" s="4">
        <f t="shared" si="1243"/>
        <v>1.6885510586641708</v>
      </c>
      <c r="CT390" s="4">
        <f t="shared" si="1300"/>
        <v>10</v>
      </c>
      <c r="DA390" s="4">
        <f t="shared" si="1325"/>
        <v>2.9556646784895912</v>
      </c>
      <c r="DB390" s="4">
        <f t="shared" si="1325"/>
        <v>0.34891933006853126</v>
      </c>
      <c r="DC390" s="4">
        <f t="shared" si="1326"/>
        <v>1.998849365856767</v>
      </c>
      <c r="DD390" s="4">
        <f t="shared" si="1327"/>
        <v>1.6885510586641708</v>
      </c>
      <c r="DE390" s="4">
        <f t="shared" si="1328"/>
        <v>0.98498574494393953</v>
      </c>
      <c r="DF390" s="4">
        <f t="shared" si="1328"/>
        <v>0.95614243505191698</v>
      </c>
      <c r="DI390" s="4">
        <f t="shared" si="1285"/>
        <v>104.90199999999999</v>
      </c>
      <c r="DL390" s="4">
        <f t="shared" si="1166"/>
        <v>1.5814970357900817E-5</v>
      </c>
      <c r="DM390" s="4">
        <f t="shared" si="1313"/>
        <v>14.719357433866572</v>
      </c>
      <c r="DN390" s="4">
        <f t="shared" si="1167"/>
        <v>0.15267171175686037</v>
      </c>
      <c r="DO390" s="4">
        <f t="shared" si="1168"/>
        <v>6.940524338074761</v>
      </c>
      <c r="DP390" s="4">
        <f t="shared" si="1169"/>
        <v>11.514963218771863</v>
      </c>
      <c r="DQ390" s="4">
        <f t="shared" si="1170"/>
        <v>14.336996999621</v>
      </c>
      <c r="DR390" s="38">
        <f t="shared" si="1183"/>
        <v>910.21796887929406</v>
      </c>
      <c r="DS390" s="4">
        <f t="shared" si="1095"/>
        <v>1.0000827410378184</v>
      </c>
      <c r="DT390" s="4">
        <f t="shared" si="1171"/>
        <v>3.7549966711037173</v>
      </c>
      <c r="DU390" s="4">
        <f t="shared" si="1103"/>
        <v>655.91447293360523</v>
      </c>
      <c r="DY390" s="4">
        <f t="shared" si="1331"/>
        <v>0.85</v>
      </c>
      <c r="DZ390" s="4">
        <f t="shared" si="1096"/>
        <v>0.7</v>
      </c>
      <c r="EA390" s="4">
        <f t="shared" si="1184"/>
        <v>0.7</v>
      </c>
      <c r="EB390" s="4">
        <f t="shared" si="1097"/>
        <v>0.7</v>
      </c>
      <c r="ED390" s="4">
        <f t="shared" si="1185"/>
        <v>937.67590608950411</v>
      </c>
      <c r="EE390" s="25">
        <f t="shared" si="1186"/>
        <v>645.87936432053323</v>
      </c>
      <c r="EG390" s="4">
        <f t="shared" si="1104"/>
        <v>0.59499999999999997</v>
      </c>
      <c r="EH390" s="4">
        <f t="shared" si="1187"/>
        <v>14.719357433866572</v>
      </c>
      <c r="EK390" s="4">
        <f t="shared" si="1172"/>
        <v>59.610572153771514</v>
      </c>
      <c r="EL390" s="4">
        <f t="shared" si="1173"/>
        <v>3.7549966711037173</v>
      </c>
      <c r="EM390" s="4">
        <f t="shared" si="1174"/>
        <v>7.2811100534838955E-2</v>
      </c>
      <c r="EP390" s="4">
        <f t="shared" si="1301"/>
        <v>7.2811100534838955E-2</v>
      </c>
      <c r="EQ390" s="4">
        <f t="shared" si="1257"/>
        <v>0.15241693112407723</v>
      </c>
      <c r="ER390" s="4">
        <f t="shared" si="1314"/>
        <v>6.9358890399028104</v>
      </c>
      <c r="ES390" s="4">
        <f t="shared" si="1286"/>
        <v>11.513587461198421</v>
      </c>
      <c r="ET390" s="4">
        <f t="shared" si="1315"/>
        <v>19.065927846228476</v>
      </c>
      <c r="EU390" s="4">
        <f t="shared" si="1316"/>
        <v>26.225499999999997</v>
      </c>
      <c r="EV390" s="4">
        <f t="shared" si="1098"/>
        <v>1.5814970357900817E-5</v>
      </c>
      <c r="EW390" s="4">
        <f t="shared" si="1287"/>
        <v>14.337137000535932</v>
      </c>
      <c r="EX390" s="4">
        <f t="shared" si="1131"/>
        <v>910.14266273081705</v>
      </c>
      <c r="FG390" s="23">
        <f t="shared" si="1329"/>
        <v>2.2000000000000002</v>
      </c>
      <c r="FH390" s="23">
        <f t="shared" si="1329"/>
        <v>0.6</v>
      </c>
      <c r="FI390" s="23">
        <f t="shared" si="1248"/>
        <v>1.8</v>
      </c>
      <c r="FJ390" s="23">
        <f t="shared" si="1330"/>
        <v>2</v>
      </c>
      <c r="FK390" s="23">
        <f t="shared" si="1330"/>
        <v>1</v>
      </c>
      <c r="FL390" s="23">
        <f t="shared" si="1330"/>
        <v>1</v>
      </c>
      <c r="FM390" s="23">
        <f t="shared" si="1195"/>
        <v>0</v>
      </c>
      <c r="FN390" s="23"/>
      <c r="FX390" s="4">
        <f t="shared" si="1099"/>
        <v>1</v>
      </c>
      <c r="FY390" s="4">
        <f t="shared" si="1139"/>
        <v>0.46358941059918601</v>
      </c>
      <c r="FZ390" s="4">
        <f t="shared" si="1100"/>
        <v>0.3</v>
      </c>
      <c r="GA390" s="4">
        <f t="shared" si="1101"/>
        <v>530.95920288439595</v>
      </c>
    </row>
    <row r="391" spans="1:183" ht="12" customHeight="1" x14ac:dyDescent="0.3">
      <c r="A391" s="25">
        <v>373</v>
      </c>
      <c r="B391" s="4" t="s">
        <v>605</v>
      </c>
      <c r="C391" s="4">
        <v>2016</v>
      </c>
      <c r="D391" s="4" t="s">
        <v>309</v>
      </c>
      <c r="E391" s="24" t="s">
        <v>674</v>
      </c>
      <c r="F391" s="7" t="s">
        <v>539</v>
      </c>
      <c r="G391" s="38">
        <f t="shared" si="1262"/>
        <v>958.62068965517244</v>
      </c>
      <c r="H391" s="38">
        <f>6*25.4</f>
        <v>152.39999999999998</v>
      </c>
      <c r="I391" s="4">
        <f t="shared" si="1288"/>
        <v>152.39999999999998</v>
      </c>
      <c r="J391" s="38">
        <f t="shared" si="1321"/>
        <v>76.068965517241381</v>
      </c>
      <c r="K391" s="38">
        <f t="shared" si="1264"/>
        <v>15.875</v>
      </c>
      <c r="L391" s="7">
        <f t="shared" si="1289"/>
        <v>9.5999999999999979</v>
      </c>
      <c r="M391" s="7">
        <f t="shared" si="1290"/>
        <v>9.5999999999999979</v>
      </c>
      <c r="N391" s="38">
        <f t="shared" si="1317"/>
        <v>332.73999999999995</v>
      </c>
      <c r="O391" s="38">
        <f>2.55*25.4</f>
        <v>64.77</v>
      </c>
      <c r="P391" s="39">
        <f>3.1*25.4</f>
        <v>78.739999999999995</v>
      </c>
      <c r="Q391" s="7">
        <f t="shared" si="1291"/>
        <v>171.44999999999996</v>
      </c>
      <c r="R391" s="38">
        <v>2</v>
      </c>
      <c r="S391" s="4">
        <f t="shared" si="1258"/>
        <v>133.35</v>
      </c>
      <c r="T391" s="7">
        <f t="shared" si="1292"/>
        <v>4.58</v>
      </c>
      <c r="U391" s="7">
        <f t="shared" si="1127"/>
        <v>4.58</v>
      </c>
      <c r="V391" s="38">
        <v>4</v>
      </c>
      <c r="W391" s="4">
        <f t="shared" si="1293"/>
        <v>4</v>
      </c>
      <c r="X391" s="4">
        <f t="shared" si="1294"/>
        <v>5</v>
      </c>
      <c r="Y391" s="7">
        <f t="shared" si="1295"/>
        <v>35.497579142809165</v>
      </c>
      <c r="AB391" s="38">
        <f t="shared" si="1332"/>
        <v>927.58620689655174</v>
      </c>
      <c r="AC391" s="4">
        <v>134.5</v>
      </c>
      <c r="AD391" s="4">
        <f t="shared" si="1159"/>
        <v>0.96762589928057552</v>
      </c>
      <c r="AE391" s="38"/>
      <c r="AF391" s="38"/>
      <c r="AG391" s="39">
        <v>1</v>
      </c>
      <c r="AH391" s="39"/>
      <c r="AI391" s="39"/>
      <c r="AJ391" s="7"/>
      <c r="AK391" s="4">
        <f t="shared" si="1297"/>
        <v>152.39999999999998</v>
      </c>
      <c r="AL391" s="4">
        <f t="shared" si="1175"/>
        <v>0.72777777777777763</v>
      </c>
      <c r="AM391" s="4">
        <f t="shared" si="1176"/>
        <v>414.50890080495793</v>
      </c>
      <c r="AN391" s="4">
        <f t="shared" si="1177"/>
        <v>0.79541666666666666</v>
      </c>
      <c r="AO391" s="4">
        <v>1.25</v>
      </c>
      <c r="AP391" s="4">
        <f t="shared" si="1112"/>
        <v>2.5</v>
      </c>
      <c r="AQ391" s="38">
        <f t="shared" si="1266"/>
        <v>749.85511721935075</v>
      </c>
      <c r="AR391" s="38">
        <f t="shared" si="1178"/>
        <v>749.85511721935075</v>
      </c>
      <c r="AS391" s="38">
        <f t="shared" si="1179"/>
        <v>4.7518593634836064</v>
      </c>
      <c r="AT391" s="38">
        <f t="shared" si="1121"/>
        <v>749.8551172193504</v>
      </c>
      <c r="AU391" s="38">
        <f t="shared" si="1086"/>
        <v>1.0000000000000004</v>
      </c>
      <c r="AV391" s="38">
        <f t="shared" si="1249"/>
        <v>1.8584702781566882</v>
      </c>
      <c r="AW391" s="4">
        <f t="shared" si="1230"/>
        <v>0</v>
      </c>
      <c r="AX391" s="4">
        <f t="shared" si="1298"/>
        <v>440.67801770994777</v>
      </c>
      <c r="AY391" s="4">
        <f t="shared" si="1267"/>
        <v>1</v>
      </c>
      <c r="AZ391" s="38">
        <f t="shared" si="1102"/>
        <v>1393.5834482758621</v>
      </c>
      <c r="BA391" s="4">
        <f t="shared" si="1268"/>
        <v>0.44000000000000006</v>
      </c>
      <c r="BB391" s="4">
        <f t="shared" si="1269"/>
        <v>101.31187627151702</v>
      </c>
      <c r="BC391" s="4">
        <f t="shared" si="1270"/>
        <v>1494.8953245473792</v>
      </c>
      <c r="BE391" s="4">
        <f t="shared" si="1122"/>
        <v>1.5</v>
      </c>
      <c r="BF391" s="4">
        <f t="shared" si="1128"/>
        <v>769.25856466492769</v>
      </c>
      <c r="BH391" s="4">
        <f t="shared" si="1129"/>
        <v>1336.6169510470681</v>
      </c>
      <c r="BI391" s="4">
        <f t="shared" si="1067"/>
        <v>0</v>
      </c>
      <c r="BJ391" s="4">
        <f t="shared" si="1130"/>
        <v>0</v>
      </c>
      <c r="BR391" s="4">
        <f t="shared" si="1271"/>
        <v>64.77</v>
      </c>
      <c r="BV391" s="9"/>
      <c r="BX391" s="9"/>
      <c r="BY391" s="9"/>
      <c r="BZ391" s="9">
        <f t="shared" si="1272"/>
        <v>64.77</v>
      </c>
      <c r="CA391" s="9">
        <f t="shared" si="1273"/>
        <v>85.72499999999998</v>
      </c>
      <c r="CB391" s="9">
        <f t="shared" si="1087"/>
        <v>2.1066390052415969</v>
      </c>
      <c r="CC391" s="40">
        <f t="shared" si="1299"/>
        <v>0</v>
      </c>
      <c r="CD391" s="9">
        <f t="shared" si="1274"/>
        <v>0</v>
      </c>
      <c r="CE391" s="9">
        <f t="shared" si="1275"/>
        <v>0</v>
      </c>
      <c r="CF391" s="9">
        <f t="shared" si="1276"/>
        <v>1</v>
      </c>
      <c r="CG391" s="9">
        <f t="shared" si="1277"/>
        <v>0.68</v>
      </c>
      <c r="CH391" s="9">
        <f t="shared" si="1088"/>
        <v>2.0757770792545673</v>
      </c>
      <c r="CI391" s="9">
        <f t="shared" si="1089"/>
        <v>4.3729129613441495</v>
      </c>
      <c r="CJ391" s="40">
        <v>1</v>
      </c>
      <c r="CK391" s="9">
        <f t="shared" si="1090"/>
        <v>430.29463539626425</v>
      </c>
      <c r="CM391" s="4">
        <f t="shared" si="1278"/>
        <v>2.1049069152958855</v>
      </c>
      <c r="CN391" s="4">
        <f t="shared" si="1279"/>
        <v>0.62050244700404289</v>
      </c>
      <c r="CO391" s="4">
        <f t="shared" si="1242"/>
        <v>1.2058184978422544</v>
      </c>
      <c r="CP391" s="4">
        <f t="shared" si="1280"/>
        <v>2.1557001426297702</v>
      </c>
      <c r="CQ391" s="4">
        <f t="shared" si="1189"/>
        <v>0.96762589928057552</v>
      </c>
      <c r="CR391" s="4">
        <f t="shared" si="1190"/>
        <v>0.96762589928057552</v>
      </c>
      <c r="CS391" s="4">
        <f t="shared" si="1243"/>
        <v>1.2969655123763921</v>
      </c>
      <c r="CT391" s="4">
        <f t="shared" si="1300"/>
        <v>0</v>
      </c>
      <c r="CU391" s="4">
        <f t="shared" ref="CU391:CV393" si="1333">CM391</f>
        <v>2.1049069152958855</v>
      </c>
      <c r="CV391" s="4">
        <f t="shared" si="1333"/>
        <v>0.62050244700404289</v>
      </c>
      <c r="CW391" s="4">
        <f t="shared" ref="CW391:CW393" si="1334">CP391</f>
        <v>2.1557001426297702</v>
      </c>
      <c r="CX391" s="4">
        <f t="shared" ref="CX391:CX393" si="1335">CS391</f>
        <v>1.2969655123763921</v>
      </c>
      <c r="CY391" s="4">
        <f t="shared" ref="CY391:CZ393" si="1336">CQ391</f>
        <v>0.96762589928057552</v>
      </c>
      <c r="CZ391" s="4">
        <f t="shared" si="1336"/>
        <v>0.96762589928057552</v>
      </c>
      <c r="DI391" s="4">
        <f t="shared" si="1285"/>
        <v>152.39999999999998</v>
      </c>
      <c r="DL391" s="4">
        <f t="shared" si="1166"/>
        <v>2.2975743861357127E-5</v>
      </c>
      <c r="DM391" s="4">
        <f t="shared" si="1313"/>
        <v>14.719357433866572</v>
      </c>
      <c r="DN391" s="4">
        <f t="shared" si="1167"/>
        <v>0.34038896382032713</v>
      </c>
      <c r="DO391" s="4">
        <f t="shared" si="1168"/>
        <v>9.5648692976355409</v>
      </c>
      <c r="DP391" s="4">
        <f t="shared" si="1169"/>
        <v>12.413789399888694</v>
      </c>
      <c r="DQ391" s="4">
        <f t="shared" si="1170"/>
        <v>13.652143938875277</v>
      </c>
      <c r="DR391" s="38">
        <f t="shared" si="1183"/>
        <v>958.62068965517244</v>
      </c>
      <c r="DS391" s="4">
        <f t="shared" si="1095"/>
        <v>1</v>
      </c>
      <c r="DT391" s="4">
        <f t="shared" si="1171"/>
        <v>2.2360679774997898</v>
      </c>
      <c r="DU391" s="4">
        <f t="shared" si="1103"/>
        <v>749.8551172193504</v>
      </c>
      <c r="DY391" s="4">
        <f t="shared" si="1331"/>
        <v>0.85</v>
      </c>
      <c r="DZ391" s="4">
        <f t="shared" si="1096"/>
        <v>0.7</v>
      </c>
      <c r="EA391" s="4">
        <f t="shared" si="1184"/>
        <v>1</v>
      </c>
      <c r="EB391" s="4">
        <f t="shared" si="1097"/>
        <v>0.7</v>
      </c>
      <c r="ED391" s="4">
        <f t="shared" si="1185"/>
        <v>958.62068965517244</v>
      </c>
      <c r="EE391" s="25">
        <f t="shared" si="1186"/>
        <v>742.1045340265191</v>
      </c>
      <c r="EG391" s="4">
        <f t="shared" si="1104"/>
        <v>0.59499999999999997</v>
      </c>
      <c r="EH391" s="4">
        <f t="shared" si="1187"/>
        <v>14.719357433866572</v>
      </c>
      <c r="EK391" s="4">
        <f t="shared" si="1172"/>
        <v>35.497579142809165</v>
      </c>
      <c r="EL391" s="4">
        <f t="shared" si="1173"/>
        <v>2.2360679774997898</v>
      </c>
      <c r="EM391" s="4">
        <f t="shared" si="1174"/>
        <v>0.16233586943167166</v>
      </c>
      <c r="EP391" s="4">
        <f t="shared" si="1301"/>
        <v>0.16233586943167166</v>
      </c>
      <c r="EQ391" s="4">
        <f t="shared" si="1257"/>
        <v>0.33982091807958992</v>
      </c>
      <c r="ER391" s="4">
        <f t="shared" si="1314"/>
        <v>9.5584813045948618</v>
      </c>
      <c r="ES391" s="4">
        <f t="shared" si="1286"/>
        <v>12.41133532188586</v>
      </c>
      <c r="ET391" s="4">
        <f t="shared" si="1315"/>
        <v>78.80242085719081</v>
      </c>
      <c r="EU391" s="4">
        <f t="shared" si="1316"/>
        <v>38.099999999999994</v>
      </c>
      <c r="EV391" s="4">
        <f t="shared" si="1098"/>
        <v>2.2975743861357127E-5</v>
      </c>
      <c r="EW391" s="4">
        <f t="shared" si="1287"/>
        <v>13.652424500389278</v>
      </c>
      <c r="EX391" s="4">
        <f t="shared" si="1131"/>
        <v>958.62068965517244</v>
      </c>
      <c r="FG391" s="23">
        <f t="shared" si="1329"/>
        <v>2.2000000000000002</v>
      </c>
      <c r="FH391" s="23">
        <f t="shared" si="1329"/>
        <v>0.8</v>
      </c>
      <c r="FI391" s="23">
        <f t="shared" si="1248"/>
        <v>1.4</v>
      </c>
      <c r="FJ391" s="23">
        <f t="shared" si="1330"/>
        <v>2.2000000000000002</v>
      </c>
      <c r="FK391" s="23">
        <f t="shared" si="1330"/>
        <v>1</v>
      </c>
      <c r="FL391" s="23">
        <f t="shared" si="1330"/>
        <v>1</v>
      </c>
      <c r="FM391" s="23">
        <f t="shared" si="1195"/>
        <v>0</v>
      </c>
      <c r="FN391" s="23"/>
      <c r="FX391" s="4">
        <f t="shared" si="1099"/>
        <v>1</v>
      </c>
      <c r="FY391" s="4">
        <f t="shared" si="1139"/>
        <v>0.5</v>
      </c>
      <c r="FZ391" s="4">
        <f t="shared" si="1100"/>
        <v>0</v>
      </c>
      <c r="GA391" s="4">
        <f t="shared" si="1101"/>
        <v>715.19728014738234</v>
      </c>
    </row>
    <row r="392" spans="1:183" ht="12" customHeight="1" x14ac:dyDescent="0.3">
      <c r="A392" s="25">
        <v>374</v>
      </c>
      <c r="B392" s="4" t="s">
        <v>605</v>
      </c>
      <c r="C392" s="4">
        <v>2016</v>
      </c>
      <c r="D392" s="4" t="s">
        <v>309</v>
      </c>
      <c r="E392" s="24" t="s">
        <v>674</v>
      </c>
      <c r="F392" s="7" t="s">
        <v>540</v>
      </c>
      <c r="G392" s="38">
        <f t="shared" si="1262"/>
        <v>958.62068965517244</v>
      </c>
      <c r="H392" s="38">
        <f>6.03*25.4</f>
        <v>153.16200000000001</v>
      </c>
      <c r="I392" s="4">
        <f t="shared" si="1288"/>
        <v>153.16200000000001</v>
      </c>
      <c r="J392" s="38">
        <f t="shared" si="1321"/>
        <v>76.068965517241381</v>
      </c>
      <c r="K392" s="38">
        <f t="shared" si="1264"/>
        <v>15.875</v>
      </c>
      <c r="L392" s="7">
        <f t="shared" si="1289"/>
        <v>9.6479999999999997</v>
      </c>
      <c r="M392" s="7">
        <f t="shared" si="1290"/>
        <v>9.6479999999999997</v>
      </c>
      <c r="N392" s="38">
        <f>13*25.4</f>
        <v>330.2</v>
      </c>
      <c r="O392" s="38">
        <f>2.55*25.4</f>
        <v>64.77</v>
      </c>
      <c r="P392" s="39">
        <f>3.15*25.4</f>
        <v>80.009999999999991</v>
      </c>
      <c r="Q392" s="7">
        <f t="shared" si="1291"/>
        <v>168.91</v>
      </c>
      <c r="R392" s="38">
        <v>2</v>
      </c>
      <c r="S392" s="4">
        <f t="shared" si="1258"/>
        <v>133.35</v>
      </c>
      <c r="T392" s="7">
        <f t="shared" si="1292"/>
        <v>4.58</v>
      </c>
      <c r="U392" s="7">
        <f t="shared" si="1127"/>
        <v>4.58</v>
      </c>
      <c r="V392" s="38">
        <v>13.1</v>
      </c>
      <c r="W392" s="4">
        <f t="shared" si="1293"/>
        <v>13.1</v>
      </c>
      <c r="X392" s="4">
        <f t="shared" si="1294"/>
        <v>14.1</v>
      </c>
      <c r="Y392" s="7">
        <f t="shared" si="1295"/>
        <v>59.610572153771514</v>
      </c>
      <c r="AB392" s="38">
        <f t="shared" si="1332"/>
        <v>983.44827586206895</v>
      </c>
      <c r="AC392" s="4">
        <v>142.6</v>
      </c>
      <c r="AD392" s="4">
        <f t="shared" si="1159"/>
        <v>1</v>
      </c>
      <c r="AE392" s="38"/>
      <c r="AF392" s="38"/>
      <c r="AG392" s="39">
        <v>1</v>
      </c>
      <c r="AH392" s="39"/>
      <c r="AI392" s="39"/>
      <c r="AJ392" s="7"/>
      <c r="AK392" s="4">
        <f t="shared" si="1297"/>
        <v>153.16200000000001</v>
      </c>
      <c r="AL392" s="4">
        <f t="shared" si="1175"/>
        <v>0.71862907683803201</v>
      </c>
      <c r="AM392" s="4">
        <f t="shared" si="1176"/>
        <v>417.6216003496458</v>
      </c>
      <c r="AN392" s="4">
        <f t="shared" si="1177"/>
        <v>0.79494195688225533</v>
      </c>
      <c r="AO392" s="4">
        <v>1.25</v>
      </c>
      <c r="AP392" s="4">
        <f t="shared" si="1112"/>
        <v>2.5</v>
      </c>
      <c r="AQ392" s="38">
        <f t="shared" si="1266"/>
        <v>745.54382926292237</v>
      </c>
      <c r="AR392" s="38">
        <f t="shared" si="1178"/>
        <v>745.54382926292237</v>
      </c>
      <c r="AS392" s="38">
        <f t="shared" si="1179"/>
        <v>4.7518593634836064</v>
      </c>
      <c r="AT392" s="38">
        <f t="shared" si="1121"/>
        <v>745.54382926292283</v>
      </c>
      <c r="AU392" s="38">
        <f t="shared" si="1086"/>
        <v>0.99999999999999944</v>
      </c>
      <c r="AV392" s="38">
        <f t="shared" si="1249"/>
        <v>3.3827153310849316</v>
      </c>
      <c r="AW392" s="4">
        <f t="shared" si="1230"/>
        <v>0</v>
      </c>
      <c r="AX392" s="4">
        <f t="shared" si="1298"/>
        <v>442.88140779849761</v>
      </c>
      <c r="AY392" s="4">
        <f t="shared" si="1267"/>
        <v>1</v>
      </c>
      <c r="AZ392" s="38">
        <f t="shared" si="1102"/>
        <v>2521.9625412434557</v>
      </c>
      <c r="BA392" s="4">
        <f t="shared" si="1268"/>
        <v>0.3</v>
      </c>
      <c r="BB392" s="4">
        <f t="shared" si="1269"/>
        <v>69.421660672414518</v>
      </c>
      <c r="BC392" s="4">
        <f t="shared" si="1270"/>
        <v>2591.3842019158701</v>
      </c>
      <c r="BE392" s="4">
        <f t="shared" si="1122"/>
        <v>1.5</v>
      </c>
      <c r="BF392" s="4">
        <f t="shared" si="1128"/>
        <v>771.14246319063773</v>
      </c>
      <c r="BH392" s="4">
        <f t="shared" si="1129"/>
        <v>2418.8704929742166</v>
      </c>
      <c r="BI392" s="4">
        <f t="shared" si="1067"/>
        <v>0</v>
      </c>
      <c r="BJ392" s="4">
        <f t="shared" si="1130"/>
        <v>0</v>
      </c>
      <c r="BR392" s="4">
        <f t="shared" si="1271"/>
        <v>64.77</v>
      </c>
      <c r="BV392" s="9"/>
      <c r="BX392" s="9"/>
      <c r="BY392" s="9"/>
      <c r="BZ392" s="9">
        <f t="shared" si="1272"/>
        <v>64.77</v>
      </c>
      <c r="CA392" s="9">
        <f t="shared" si="1273"/>
        <v>84.454999999999998</v>
      </c>
      <c r="CB392" s="9">
        <f t="shared" si="1087"/>
        <v>2.1019278374638874</v>
      </c>
      <c r="CC392" s="40">
        <f t="shared" si="1299"/>
        <v>0</v>
      </c>
      <c r="CD392" s="9">
        <f t="shared" si="1274"/>
        <v>0</v>
      </c>
      <c r="CE392" s="9">
        <f t="shared" si="1275"/>
        <v>0</v>
      </c>
      <c r="CF392" s="9">
        <f t="shared" si="1276"/>
        <v>1</v>
      </c>
      <c r="CG392" s="9">
        <f t="shared" si="1277"/>
        <v>0.68</v>
      </c>
      <c r="CH392" s="9">
        <f t="shared" si="1088"/>
        <v>2.0757770792545673</v>
      </c>
      <c r="CI392" s="9">
        <f t="shared" si="1089"/>
        <v>4.3631336272546575</v>
      </c>
      <c r="CJ392" s="40">
        <v>1</v>
      </c>
      <c r="CK392" s="9">
        <f t="shared" si="1090"/>
        <v>430.17007057829119</v>
      </c>
      <c r="CM392" s="4">
        <f t="shared" si="1278"/>
        <v>2.2205679862486321</v>
      </c>
      <c r="CN392" s="4">
        <f t="shared" si="1279"/>
        <v>0.37950693499442612</v>
      </c>
      <c r="CO392" s="4">
        <f t="shared" si="1242"/>
        <v>1.2753133471511944</v>
      </c>
      <c r="CP392" s="4">
        <f t="shared" si="1280"/>
        <v>2.286184797887004</v>
      </c>
      <c r="CQ392" s="4">
        <f t="shared" si="1189"/>
        <v>1</v>
      </c>
      <c r="CR392" s="4">
        <f t="shared" si="1190"/>
        <v>1</v>
      </c>
      <c r="CS392" s="4">
        <f t="shared" si="1243"/>
        <v>1.368231571250613</v>
      </c>
      <c r="CT392" s="4">
        <f t="shared" si="1300"/>
        <v>0</v>
      </c>
      <c r="CU392" s="4">
        <f t="shared" si="1333"/>
        <v>2.2205679862486321</v>
      </c>
      <c r="CV392" s="4">
        <f t="shared" si="1333"/>
        <v>0.37950693499442612</v>
      </c>
      <c r="CW392" s="4">
        <f t="shared" si="1334"/>
        <v>2.286184797887004</v>
      </c>
      <c r="CX392" s="4">
        <f t="shared" si="1335"/>
        <v>1.368231571250613</v>
      </c>
      <c r="CY392" s="4">
        <f t="shared" si="1336"/>
        <v>1</v>
      </c>
      <c r="CZ392" s="4">
        <f t="shared" si="1336"/>
        <v>1</v>
      </c>
      <c r="DI392" s="4">
        <f t="shared" si="1285"/>
        <v>153.16200000000001</v>
      </c>
      <c r="DL392" s="4">
        <f t="shared" si="1166"/>
        <v>2.3090622580663914E-5</v>
      </c>
      <c r="DM392" s="4">
        <f t="shared" si="1313"/>
        <v>14.719357433866572</v>
      </c>
      <c r="DN392" s="4">
        <f t="shared" si="1167"/>
        <v>0.17353398545126572</v>
      </c>
      <c r="DO392" s="4">
        <f t="shared" si="1168"/>
        <v>7.3053775881808054</v>
      </c>
      <c r="DP392" s="4">
        <f t="shared" si="1169"/>
        <v>11.62577071614635</v>
      </c>
      <c r="DQ392" s="4">
        <f t="shared" si="1170"/>
        <v>13.80694107281577</v>
      </c>
      <c r="DR392" s="38">
        <f t="shared" si="1183"/>
        <v>983.44827586206895</v>
      </c>
      <c r="DS392" s="4">
        <f t="shared" si="1095"/>
        <v>1</v>
      </c>
      <c r="DT392" s="4">
        <f t="shared" si="1171"/>
        <v>3.7549966711037173</v>
      </c>
      <c r="DU392" s="4">
        <f t="shared" si="1103"/>
        <v>745.54382926292283</v>
      </c>
      <c r="DY392" s="4">
        <f t="shared" si="1331"/>
        <v>0.85</v>
      </c>
      <c r="DZ392" s="4">
        <f t="shared" si="1096"/>
        <v>0.7</v>
      </c>
      <c r="EA392" s="4">
        <f t="shared" si="1184"/>
        <v>1</v>
      </c>
      <c r="EB392" s="4">
        <f t="shared" si="1097"/>
        <v>0.7</v>
      </c>
      <c r="ED392" s="4">
        <f t="shared" si="1185"/>
        <v>983.44827586206895</v>
      </c>
      <c r="EE392" s="25">
        <f t="shared" si="1186"/>
        <v>737.88070102182303</v>
      </c>
      <c r="EG392" s="4">
        <f t="shared" si="1104"/>
        <v>0.59499999999999997</v>
      </c>
      <c r="EH392" s="4">
        <f t="shared" si="1187"/>
        <v>14.719357433866572</v>
      </c>
      <c r="EK392" s="4">
        <f t="shared" si="1172"/>
        <v>59.610572153771514</v>
      </c>
      <c r="EL392" s="4">
        <f t="shared" si="1173"/>
        <v>3.7549966711037173</v>
      </c>
      <c r="EM392" s="4">
        <f t="shared" si="1174"/>
        <v>8.2760586853350845E-2</v>
      </c>
      <c r="EP392" s="4">
        <f t="shared" si="1301"/>
        <v>8.2760586853350845E-2</v>
      </c>
      <c r="EQ392" s="4">
        <f t="shared" si="1257"/>
        <v>0.17324438957188587</v>
      </c>
      <c r="ER392" s="4">
        <f t="shared" si="1314"/>
        <v>7.3004986191389216</v>
      </c>
      <c r="ES392" s="4">
        <f t="shared" si="1286"/>
        <v>11.624256514878113</v>
      </c>
      <c r="ET392" s="4">
        <f t="shared" si="1315"/>
        <v>55.260927846228483</v>
      </c>
      <c r="EU392" s="4">
        <f t="shared" si="1316"/>
        <v>38.290500000000009</v>
      </c>
      <c r="EV392" s="4">
        <f t="shared" si="1098"/>
        <v>2.309062258066392E-5</v>
      </c>
      <c r="EW392" s="4">
        <f t="shared" si="1287"/>
        <v>13.807192381438632</v>
      </c>
      <c r="EX392" s="4">
        <f t="shared" si="1131"/>
        <v>983.44827586206895</v>
      </c>
      <c r="FG392" s="23">
        <f t="shared" si="1329"/>
        <v>2.2000000000000002</v>
      </c>
      <c r="FH392" s="23">
        <f t="shared" si="1329"/>
        <v>0.6</v>
      </c>
      <c r="FI392" s="23">
        <f t="shared" si="1248"/>
        <v>1.4</v>
      </c>
      <c r="FJ392" s="23">
        <f t="shared" si="1330"/>
        <v>2.2000000000000002</v>
      </c>
      <c r="FK392" s="23">
        <f t="shared" si="1330"/>
        <v>1.2</v>
      </c>
      <c r="FL392" s="23">
        <f t="shared" si="1330"/>
        <v>1.2</v>
      </c>
      <c r="FM392" s="23">
        <f t="shared" si="1195"/>
        <v>0</v>
      </c>
      <c r="FN392" s="23"/>
      <c r="FX392" s="4">
        <f t="shared" si="1099"/>
        <v>1</v>
      </c>
      <c r="FY392" s="4">
        <f t="shared" si="1139"/>
        <v>0.5</v>
      </c>
      <c r="FZ392" s="4">
        <f t="shared" si="1100"/>
        <v>0</v>
      </c>
      <c r="GA392" s="4">
        <f t="shared" si="1101"/>
        <v>718.7732665481193</v>
      </c>
    </row>
    <row r="393" spans="1:183" ht="12" customHeight="1" x14ac:dyDescent="0.3">
      <c r="A393" s="25">
        <v>375</v>
      </c>
      <c r="B393" s="4" t="s">
        <v>605</v>
      </c>
      <c r="C393" s="4">
        <v>2016</v>
      </c>
      <c r="D393" s="4" t="s">
        <v>309</v>
      </c>
      <c r="E393" s="24" t="s">
        <v>674</v>
      </c>
      <c r="F393" s="7" t="s">
        <v>541</v>
      </c>
      <c r="G393" s="38">
        <f t="shared" si="1262"/>
        <v>958.62068965517244</v>
      </c>
      <c r="H393" s="38">
        <f>5.04*25.4</f>
        <v>128.01599999999999</v>
      </c>
      <c r="I393" s="4">
        <f t="shared" si="1288"/>
        <v>128.01599999999999</v>
      </c>
      <c r="J393" s="38">
        <f t="shared" si="1321"/>
        <v>76.068965517241381</v>
      </c>
      <c r="K393" s="38">
        <f t="shared" si="1264"/>
        <v>15.875</v>
      </c>
      <c r="L393" s="7">
        <f t="shared" si="1289"/>
        <v>8.0640000000000001</v>
      </c>
      <c r="M393" s="7">
        <f t="shared" si="1290"/>
        <v>8.0640000000000001</v>
      </c>
      <c r="N393" s="38">
        <f t="shared" si="1317"/>
        <v>332.73999999999995</v>
      </c>
      <c r="O393" s="38">
        <f t="shared" ref="O393:O399" si="1337">2.5*25.4</f>
        <v>63.5</v>
      </c>
      <c r="P393" s="39">
        <f>4.23*25.4</f>
        <v>107.44200000000001</v>
      </c>
      <c r="Q393" s="7">
        <f t="shared" si="1291"/>
        <v>79.057499999999976</v>
      </c>
      <c r="R393" s="38">
        <v>3</v>
      </c>
      <c r="S393" s="4">
        <f t="shared" si="1258"/>
        <v>133.35</v>
      </c>
      <c r="T393" s="7">
        <f t="shared" si="1292"/>
        <v>2.9899999999999993</v>
      </c>
      <c r="U393" s="7">
        <f t="shared" si="1127"/>
        <v>4.5</v>
      </c>
      <c r="V393" s="38">
        <v>4</v>
      </c>
      <c r="W393" s="4">
        <f t="shared" si="1293"/>
        <v>4</v>
      </c>
      <c r="X393" s="4">
        <f t="shared" si="1294"/>
        <v>5</v>
      </c>
      <c r="Y393" s="7">
        <f t="shared" si="1295"/>
        <v>35.497579142809165</v>
      </c>
      <c r="AB393" s="38">
        <f t="shared" si="1332"/>
        <v>623.44827586206907</v>
      </c>
      <c r="AC393" s="4">
        <v>90.4</v>
      </c>
      <c r="AD393" s="4">
        <f t="shared" si="1159"/>
        <v>0.81191613543819985</v>
      </c>
      <c r="AE393" s="38"/>
      <c r="AF393" s="38"/>
      <c r="AG393" s="39">
        <v>1</v>
      </c>
      <c r="AH393" s="39"/>
      <c r="AI393" s="39"/>
      <c r="AJ393" s="7"/>
      <c r="AK393" s="4">
        <f t="shared" si="1297"/>
        <v>128.01599999999999</v>
      </c>
      <c r="AL393" s="4">
        <f t="shared" si="1175"/>
        <v>0.86640211640211651</v>
      </c>
      <c r="AM393" s="4">
        <f t="shared" si="1176"/>
        <v>212.74606238722586</v>
      </c>
      <c r="AN393" s="4">
        <f t="shared" si="1177"/>
        <v>0.81160714285714286</v>
      </c>
      <c r="AO393" s="4">
        <v>1.25</v>
      </c>
      <c r="AP393" s="4">
        <f t="shared" si="1112"/>
        <v>2.5</v>
      </c>
      <c r="AQ393" s="38">
        <f t="shared" si="1266"/>
        <v>467.49494304139188</v>
      </c>
      <c r="AR393" s="38">
        <f t="shared" si="1178"/>
        <v>467.49494304139188</v>
      </c>
      <c r="AS393" s="38">
        <f t="shared" si="1179"/>
        <v>4.7518593634836064</v>
      </c>
      <c r="AT393" s="38">
        <f t="shared" si="1121"/>
        <v>467.49494304139216</v>
      </c>
      <c r="AU393" s="38">
        <f t="shared" si="1086"/>
        <v>0.99999999999999944</v>
      </c>
      <c r="AV393" s="38">
        <f t="shared" si="1249"/>
        <v>2.3392070107997665</v>
      </c>
      <c r="AW393" s="4">
        <f t="shared" si="1230"/>
        <v>0</v>
      </c>
      <c r="AX393" s="4">
        <f t="shared" si="1298"/>
        <v>370.16953487635624</v>
      </c>
      <c r="AY393" s="4">
        <f t="shared" si="1267"/>
        <v>1.2020066889632108</v>
      </c>
      <c r="AZ393" s="38">
        <f t="shared" si="1102"/>
        <v>1093.567448275862</v>
      </c>
      <c r="BA393" s="4">
        <f t="shared" si="1268"/>
        <v>0.44000000000000006</v>
      </c>
      <c r="BB393" s="4">
        <f t="shared" si="1269"/>
        <v>85.101976068074308</v>
      </c>
      <c r="BC393" s="4">
        <f t="shared" si="1270"/>
        <v>1178.6694243439363</v>
      </c>
      <c r="BE393" s="4">
        <f t="shared" si="1122"/>
        <v>1.5</v>
      </c>
      <c r="BF393" s="4">
        <f t="shared" si="1128"/>
        <v>708.97381184220683</v>
      </c>
      <c r="BH393" s="4">
        <f t="shared" si="1129"/>
        <v>1048.8649174810398</v>
      </c>
      <c r="BI393" s="4">
        <f t="shared" si="1067"/>
        <v>0</v>
      </c>
      <c r="BJ393" s="4">
        <f t="shared" si="1130"/>
        <v>0</v>
      </c>
      <c r="BR393" s="4">
        <f t="shared" si="1271"/>
        <v>39.528749999999988</v>
      </c>
      <c r="BV393" s="9"/>
      <c r="BX393" s="9"/>
      <c r="BY393" s="9"/>
      <c r="BZ393" s="9">
        <f t="shared" si="1272"/>
        <v>39.528749999999988</v>
      </c>
      <c r="CA393" s="9">
        <f t="shared" si="1273"/>
        <v>63.5</v>
      </c>
      <c r="CB393" s="9">
        <f t="shared" si="1087"/>
        <v>1.6942549773761708</v>
      </c>
      <c r="CC393" s="40">
        <f t="shared" si="1299"/>
        <v>0</v>
      </c>
      <c r="CD393" s="9">
        <f t="shared" si="1274"/>
        <v>0</v>
      </c>
      <c r="CE393" s="9">
        <f t="shared" si="1275"/>
        <v>0</v>
      </c>
      <c r="CF393" s="9">
        <f t="shared" si="1276"/>
        <v>1</v>
      </c>
      <c r="CG393" s="9">
        <f t="shared" si="1277"/>
        <v>0.68</v>
      </c>
      <c r="CH393" s="9">
        <f t="shared" si="1088"/>
        <v>2.0757770792545673</v>
      </c>
      <c r="CI393" s="9">
        <f t="shared" si="1089"/>
        <v>3.5168956484504208</v>
      </c>
      <c r="CJ393" s="40">
        <v>1</v>
      </c>
      <c r="CK393" s="9">
        <f t="shared" si="1090"/>
        <v>324.45472494344199</v>
      </c>
      <c r="CM393" s="4">
        <f t="shared" si="1278"/>
        <v>1.6842236249136839</v>
      </c>
      <c r="CN393" s="4">
        <f t="shared" si="1279"/>
        <v>0.52894243541533204</v>
      </c>
      <c r="CO393" s="4">
        <f t="shared" si="1242"/>
        <v>0.87936714367783619</v>
      </c>
      <c r="CP393" s="4">
        <f t="shared" si="1280"/>
        <v>1.9215262652462428</v>
      </c>
      <c r="CQ393" s="4">
        <f t="shared" si="1189"/>
        <v>0.81191613543819985</v>
      </c>
      <c r="CR393" s="4">
        <f t="shared" si="1190"/>
        <v>0.82625634412902194</v>
      </c>
      <c r="CS393" s="4">
        <f t="shared" si="1243"/>
        <v>1.3871339650041066</v>
      </c>
      <c r="CT393" s="4">
        <f t="shared" si="1300"/>
        <v>0</v>
      </c>
      <c r="CU393" s="4">
        <f t="shared" si="1333"/>
        <v>1.6842236249136839</v>
      </c>
      <c r="CV393" s="4">
        <f t="shared" si="1333"/>
        <v>0.52894243541533204</v>
      </c>
      <c r="CW393" s="4">
        <f t="shared" si="1334"/>
        <v>1.9215262652462428</v>
      </c>
      <c r="CX393" s="4">
        <f t="shared" si="1335"/>
        <v>1.3871339650041066</v>
      </c>
      <c r="CY393" s="4">
        <f t="shared" si="1336"/>
        <v>0.81191613543819985</v>
      </c>
      <c r="CZ393" s="4">
        <f t="shared" si="1336"/>
        <v>0.82625634412902194</v>
      </c>
      <c r="DI393" s="4">
        <f t="shared" si="1285"/>
        <v>128.01599999999999</v>
      </c>
      <c r="DL393" s="4">
        <f t="shared" si="1166"/>
        <v>1.9299624843539986E-5</v>
      </c>
      <c r="DM393" s="4">
        <f t="shared" si="1313"/>
        <v>12.10757955782209</v>
      </c>
      <c r="DN393" s="4">
        <f t="shared" si="1167"/>
        <v>0.21221448730415612</v>
      </c>
      <c r="DO393" s="4">
        <f t="shared" si="1168"/>
        <v>6.5127940191019551</v>
      </c>
      <c r="DP393" s="4">
        <f t="shared" si="1169"/>
        <v>9.7247919654802502</v>
      </c>
      <c r="DQ393" s="4">
        <f t="shared" si="1170"/>
        <v>11.637478044456321</v>
      </c>
      <c r="DR393" s="38">
        <f t="shared" si="1183"/>
        <v>767.87275021401979</v>
      </c>
      <c r="DS393" s="4">
        <f t="shared" si="1095"/>
        <v>1.0000781722790062</v>
      </c>
      <c r="DT393" s="4">
        <f t="shared" si="1171"/>
        <v>2.2360679774997898</v>
      </c>
      <c r="DU393" s="4">
        <f t="shared" si="1103"/>
        <v>467.49494304139216</v>
      </c>
      <c r="DY393" s="4">
        <f t="shared" si="1331"/>
        <v>0.85</v>
      </c>
      <c r="DZ393" s="4">
        <f t="shared" si="1096"/>
        <v>0.85100000000000009</v>
      </c>
      <c r="EA393" s="4">
        <f t="shared" si="1184"/>
        <v>1</v>
      </c>
      <c r="EB393" s="4">
        <f t="shared" si="1097"/>
        <v>0.85100000000000009</v>
      </c>
      <c r="ED393" s="4">
        <f t="shared" si="1185"/>
        <v>754.54582623418389</v>
      </c>
      <c r="EE393" s="25">
        <f t="shared" si="1186"/>
        <v>461.63926157135188</v>
      </c>
      <c r="EG393" s="4">
        <f t="shared" si="1104"/>
        <v>0.72335000000000005</v>
      </c>
      <c r="EH393" s="4">
        <f t="shared" si="1187"/>
        <v>12.10757955782209</v>
      </c>
      <c r="EK393" s="4">
        <f t="shared" si="1172"/>
        <v>35.497579142809165</v>
      </c>
      <c r="EL393" s="4">
        <f t="shared" si="1173"/>
        <v>2.2360679774997898</v>
      </c>
      <c r="EM393" s="4">
        <f t="shared" si="1174"/>
        <v>0.10120781507094023</v>
      </c>
      <c r="EP393" s="4">
        <f t="shared" si="1301"/>
        <v>0.10120781507094023</v>
      </c>
      <c r="EQ393" s="4">
        <f t="shared" si="1257"/>
        <v>0.21186034087624936</v>
      </c>
      <c r="ER393" s="4">
        <f t="shared" si="1314"/>
        <v>6.5084443848754141</v>
      </c>
      <c r="ES393" s="4">
        <f t="shared" si="1286"/>
        <v>9.7233476939465842</v>
      </c>
      <c r="ET393" s="4">
        <f t="shared" si="1315"/>
        <v>60.514420857190835</v>
      </c>
      <c r="EU393" s="4">
        <f t="shared" si="1316"/>
        <v>32.003999999999984</v>
      </c>
      <c r="EV393" s="4">
        <f t="shared" si="1098"/>
        <v>1.929962484353998E-5</v>
      </c>
      <c r="EW393" s="4">
        <f t="shared" si="1287"/>
        <v>11.637590209637958</v>
      </c>
      <c r="EX393" s="4">
        <f t="shared" si="1131"/>
        <v>767.81272854317967</v>
      </c>
      <c r="FG393" s="23">
        <f t="shared" si="1329"/>
        <v>1.8</v>
      </c>
      <c r="FH393" s="23">
        <f t="shared" si="1329"/>
        <v>0.6</v>
      </c>
      <c r="FI393" s="23">
        <f t="shared" si="1248"/>
        <v>1.4</v>
      </c>
      <c r="FJ393" s="23">
        <f t="shared" si="1330"/>
        <v>2</v>
      </c>
      <c r="FK393" s="23">
        <f t="shared" si="1330"/>
        <v>1</v>
      </c>
      <c r="FL393" s="23">
        <f t="shared" si="1330"/>
        <v>1</v>
      </c>
      <c r="FM393" s="23">
        <f t="shared" si="1195"/>
        <v>0</v>
      </c>
      <c r="FN393" s="23"/>
      <c r="FX393" s="4">
        <f t="shared" si="1099"/>
        <v>1</v>
      </c>
      <c r="FY393" s="4">
        <f t="shared" si="1139"/>
        <v>0.66833333333333345</v>
      </c>
      <c r="FZ393" s="4">
        <f t="shared" si="1100"/>
        <v>0</v>
      </c>
      <c r="GA393" s="4">
        <f t="shared" si="1101"/>
        <v>449.45065984324259</v>
      </c>
    </row>
    <row r="394" spans="1:183" ht="12" customHeight="1" x14ac:dyDescent="0.3">
      <c r="A394" s="25">
        <v>376</v>
      </c>
      <c r="B394" s="4" t="s">
        <v>605</v>
      </c>
      <c r="C394" s="4">
        <v>2016</v>
      </c>
      <c r="D394" s="4" t="s">
        <v>309</v>
      </c>
      <c r="E394" s="24" t="s">
        <v>674</v>
      </c>
      <c r="F394" s="7" t="s">
        <v>542</v>
      </c>
      <c r="G394" s="38">
        <f t="shared" si="1262"/>
        <v>958.62068965517244</v>
      </c>
      <c r="H394" s="38">
        <f>5.15*25.4</f>
        <v>130.81</v>
      </c>
      <c r="I394" s="4">
        <f t="shared" si="1288"/>
        <v>130.81</v>
      </c>
      <c r="J394" s="38">
        <f t="shared" si="1321"/>
        <v>76.068965517241381</v>
      </c>
      <c r="K394" s="38">
        <f t="shared" si="1264"/>
        <v>15.875</v>
      </c>
      <c r="L394" s="7">
        <f t="shared" si="1289"/>
        <v>8.24</v>
      </c>
      <c r="M394" s="7">
        <f t="shared" si="1290"/>
        <v>8.24</v>
      </c>
      <c r="N394" s="38">
        <f t="shared" si="1317"/>
        <v>332.73999999999995</v>
      </c>
      <c r="O394" s="38">
        <f t="shared" si="1337"/>
        <v>63.5</v>
      </c>
      <c r="P394" s="39">
        <f>4.03*25.4</f>
        <v>102.36199999999999</v>
      </c>
      <c r="Q394" s="7">
        <f t="shared" si="1291"/>
        <v>79.057499999999976</v>
      </c>
      <c r="R394" s="38">
        <v>3</v>
      </c>
      <c r="S394" s="4">
        <f t="shared" si="1258"/>
        <v>133.35</v>
      </c>
      <c r="T394" s="7">
        <f t="shared" si="1292"/>
        <v>2.9899999999999993</v>
      </c>
      <c r="U394" s="7">
        <f t="shared" si="1127"/>
        <v>4.5</v>
      </c>
      <c r="V394" s="38">
        <v>4</v>
      </c>
      <c r="W394" s="4">
        <f t="shared" si="1293"/>
        <v>4</v>
      </c>
      <c r="X394" s="4">
        <f t="shared" si="1294"/>
        <v>5</v>
      </c>
      <c r="Y394" s="7">
        <f t="shared" si="1295"/>
        <v>35.497579142809165</v>
      </c>
      <c r="AB394" s="38">
        <f t="shared" si="1332"/>
        <v>781.37931034482767</v>
      </c>
      <c r="AC394" s="4">
        <v>113.3</v>
      </c>
      <c r="AD394" s="4">
        <f t="shared" si="1159"/>
        <v>0.9430316920738141</v>
      </c>
      <c r="AE394" s="38">
        <f t="shared" ref="AE394:AE395" si="1338">0.375*25.4</f>
        <v>9.5249999999999986</v>
      </c>
      <c r="AF394" s="38">
        <v>4</v>
      </c>
      <c r="AG394" s="39">
        <f>3.5*25.4</f>
        <v>88.899999999999991</v>
      </c>
      <c r="AH394" s="39">
        <v>2</v>
      </c>
      <c r="AI394" s="39">
        <f t="shared" ref="AI394:AI395" si="1339">AH394-1</f>
        <v>1</v>
      </c>
      <c r="AJ394" s="7"/>
      <c r="AK394" s="4">
        <f t="shared" si="1297"/>
        <v>130.81</v>
      </c>
      <c r="AL394" s="4">
        <f t="shared" si="1175"/>
        <v>0.84789644012944965</v>
      </c>
      <c r="AM394" s="4">
        <f t="shared" si="1176"/>
        <v>219.74882905147061</v>
      </c>
      <c r="AN394" s="4">
        <f t="shared" si="1177"/>
        <v>0.80922330097087369</v>
      </c>
      <c r="AO394" s="4">
        <v>1.25</v>
      </c>
      <c r="AP394" s="4">
        <f t="shared" si="1112"/>
        <v>2.5</v>
      </c>
      <c r="AQ394" s="38">
        <f t="shared" si="1266"/>
        <v>471.1810141720569</v>
      </c>
      <c r="AR394" s="38">
        <f t="shared" si="1178"/>
        <v>471.1810141720569</v>
      </c>
      <c r="AS394" s="38">
        <f t="shared" si="1179"/>
        <v>4.7518593634836064</v>
      </c>
      <c r="AT394" s="38">
        <f t="shared" si="1121"/>
        <v>471.18101417205736</v>
      </c>
      <c r="AU394" s="38">
        <f t="shared" si="1086"/>
        <v>0.999999999999999</v>
      </c>
      <c r="AV394" s="38">
        <f t="shared" si="1249"/>
        <v>2.320907284851959</v>
      </c>
      <c r="AW394" s="4">
        <f t="shared" si="1230"/>
        <v>0</v>
      </c>
      <c r="AX394" s="4">
        <f t="shared" si="1298"/>
        <v>378.24863186770523</v>
      </c>
      <c r="AY394" s="4">
        <f t="shared" si="1267"/>
        <v>1.2020066889632108</v>
      </c>
      <c r="AZ394" s="38">
        <f t="shared" si="1102"/>
        <v>1093.567448275862</v>
      </c>
      <c r="BA394" s="4">
        <f t="shared" si="1268"/>
        <v>0.44000000000000006</v>
      </c>
      <c r="BB394" s="4">
        <f t="shared" si="1269"/>
        <v>86.959360466385462</v>
      </c>
      <c r="BC394" s="4">
        <f t="shared" si="1270"/>
        <v>1180.5268087422476</v>
      </c>
      <c r="BE394" s="4">
        <f t="shared" si="1122"/>
        <v>1.5</v>
      </c>
      <c r="BF394" s="4">
        <f t="shared" si="1128"/>
        <v>715.8814397698103</v>
      </c>
      <c r="BH394" s="4">
        <f t="shared" si="1129"/>
        <v>1048.8649174810398</v>
      </c>
      <c r="BI394" s="4">
        <f t="shared" si="1067"/>
        <v>0</v>
      </c>
      <c r="BJ394" s="4">
        <f t="shared" si="1130"/>
        <v>0</v>
      </c>
      <c r="BR394" s="4">
        <f t="shared" si="1271"/>
        <v>39.528749999999988</v>
      </c>
      <c r="BV394" s="9"/>
      <c r="BX394" s="9"/>
      <c r="BY394" s="9"/>
      <c r="BZ394" s="9">
        <f t="shared" si="1272"/>
        <v>39.528749999999988</v>
      </c>
      <c r="CA394" s="9">
        <f t="shared" si="1273"/>
        <v>63.5</v>
      </c>
      <c r="CB394" s="9">
        <f t="shared" si="1087"/>
        <v>1.6942549773761708</v>
      </c>
      <c r="CC394" s="40">
        <f t="shared" si="1299"/>
        <v>20</v>
      </c>
      <c r="CD394" s="9">
        <f t="shared" si="1274"/>
        <v>0.05</v>
      </c>
      <c r="CE394" s="9">
        <f t="shared" si="1275"/>
        <v>0.8</v>
      </c>
      <c r="CF394" s="9">
        <f t="shared" si="1276"/>
        <v>1</v>
      </c>
      <c r="CG394" s="9">
        <f t="shared" si="1277"/>
        <v>0.68</v>
      </c>
      <c r="CH394" s="9">
        <f t="shared" si="1088"/>
        <v>2.0757770792545673</v>
      </c>
      <c r="CI394" s="9">
        <f t="shared" si="1089"/>
        <v>5.1775173118540749</v>
      </c>
      <c r="CJ394" s="40">
        <v>1</v>
      </c>
      <c r="CK394" s="9">
        <f t="shared" si="1090"/>
        <v>481.30200930995477</v>
      </c>
      <c r="CM394" s="4">
        <f t="shared" si="1278"/>
        <v>2.0657822514428021</v>
      </c>
      <c r="CN394" s="4">
        <f t="shared" si="1279"/>
        <v>0.66189035654118</v>
      </c>
      <c r="CO394" s="4">
        <f t="shared" si="1242"/>
        <v>1.0914926228511777</v>
      </c>
      <c r="CP394" s="4">
        <f t="shared" si="1280"/>
        <v>1.6234698697084089</v>
      </c>
      <c r="CQ394" s="4">
        <f t="shared" si="1189"/>
        <v>0.9430316920738141</v>
      </c>
      <c r="CR394" s="4">
        <f t="shared" si="1190"/>
        <v>0.9601139047349182</v>
      </c>
      <c r="CS394" s="4">
        <f t="shared" si="1243"/>
        <v>1.418561096358864</v>
      </c>
      <c r="CT394" s="4">
        <f t="shared" si="1300"/>
        <v>4</v>
      </c>
      <c r="DA394" s="4">
        <f t="shared" ref="DA394:DB395" si="1340">CM394</f>
        <v>2.0657822514428021</v>
      </c>
      <c r="DB394" s="4">
        <f t="shared" si="1340"/>
        <v>0.66189035654118</v>
      </c>
      <c r="DC394" s="4">
        <f t="shared" ref="DC394:DC395" si="1341">CP394</f>
        <v>1.6234698697084089</v>
      </c>
      <c r="DD394" s="4">
        <f t="shared" ref="DD394:DD395" si="1342">CS394</f>
        <v>1.418561096358864</v>
      </c>
      <c r="DE394" s="4">
        <f t="shared" ref="DE394:DF395" si="1343">CQ394</f>
        <v>0.9430316920738141</v>
      </c>
      <c r="DF394" s="4">
        <f t="shared" si="1343"/>
        <v>0.9601139047349182</v>
      </c>
      <c r="DI394" s="4">
        <f t="shared" si="1285"/>
        <v>130.81</v>
      </c>
      <c r="DL394" s="4">
        <f t="shared" si="1166"/>
        <v>1.9720846814331535E-5</v>
      </c>
      <c r="DM394" s="4">
        <f t="shared" si="1313"/>
        <v>14.094970381632237</v>
      </c>
      <c r="DN394" s="4">
        <f t="shared" si="1167"/>
        <v>0.21388774111535619</v>
      </c>
      <c r="DO394" s="4">
        <f t="shared" si="1168"/>
        <v>7.6056883382842555</v>
      </c>
      <c r="DP394" s="4">
        <f t="shared" si="1169"/>
        <v>11.328995266091802</v>
      </c>
      <c r="DQ394" s="4">
        <f t="shared" si="1170"/>
        <v>13.428486755301332</v>
      </c>
      <c r="DR394" s="38">
        <f t="shared" si="1183"/>
        <v>828.58223844683539</v>
      </c>
      <c r="DS394" s="4">
        <f t="shared" si="1095"/>
        <v>1.0000854664505476</v>
      </c>
      <c r="DT394" s="4">
        <f t="shared" si="1171"/>
        <v>2.2360679774997898</v>
      </c>
      <c r="DU394" s="4">
        <f t="shared" si="1103"/>
        <v>471.18101417205736</v>
      </c>
      <c r="DY394" s="4">
        <f t="shared" si="1331"/>
        <v>0.85</v>
      </c>
      <c r="DZ394" s="4">
        <f t="shared" si="1096"/>
        <v>0.85100000000000009</v>
      </c>
      <c r="EA394" s="4">
        <f t="shared" si="1184"/>
        <v>0.85899999999999999</v>
      </c>
      <c r="EB394" s="4">
        <f t="shared" si="1097"/>
        <v>0.73100900000000002</v>
      </c>
      <c r="ED394" s="4">
        <f t="shared" si="1185"/>
        <v>813.84021884420258</v>
      </c>
      <c r="EE394" s="25">
        <f t="shared" si="1186"/>
        <v>465.41255101025371</v>
      </c>
      <c r="EG394" s="4">
        <f t="shared" si="1104"/>
        <v>0.62135764999999998</v>
      </c>
      <c r="EH394" s="4">
        <f t="shared" si="1187"/>
        <v>14.094970381632237</v>
      </c>
      <c r="EK394" s="4">
        <f t="shared" si="1172"/>
        <v>35.497579142809165</v>
      </c>
      <c r="EL394" s="4">
        <f t="shared" si="1173"/>
        <v>2.2360679774997898</v>
      </c>
      <c r="EM394" s="4">
        <f t="shared" si="1174"/>
        <v>0.10200581130786993</v>
      </c>
      <c r="EP394" s="4">
        <f t="shared" si="1301"/>
        <v>0.10200581130786993</v>
      </c>
      <c r="EQ394" s="4">
        <f t="shared" si="1257"/>
        <v>0.21353080233869065</v>
      </c>
      <c r="ER394" s="4">
        <f t="shared" si="1314"/>
        <v>7.6006088037226558</v>
      </c>
      <c r="ES394" s="4">
        <f t="shared" si="1286"/>
        <v>11.327304292034674</v>
      </c>
      <c r="ET394" s="4">
        <f t="shared" si="1315"/>
        <v>62.609920857190836</v>
      </c>
      <c r="EU394" s="4">
        <f t="shared" si="1316"/>
        <v>32.702499999999993</v>
      </c>
      <c r="EV394" s="4">
        <f t="shared" si="1098"/>
        <v>1.9720846814331531E-5</v>
      </c>
      <c r="EW394" s="4">
        <f t="shared" si="1287"/>
        <v>13.428644419645305</v>
      </c>
      <c r="EX394" s="4">
        <f t="shared" si="1131"/>
        <v>828.51142851580198</v>
      </c>
      <c r="FG394" s="23">
        <f t="shared" si="1329"/>
        <v>2.2000000000000002</v>
      </c>
      <c r="FH394" s="23">
        <f t="shared" si="1329"/>
        <v>0.8</v>
      </c>
      <c r="FI394" s="23">
        <f t="shared" si="1248"/>
        <v>1.6</v>
      </c>
      <c r="FJ394" s="23">
        <f t="shared" si="1330"/>
        <v>1.8</v>
      </c>
      <c r="FK394" s="23">
        <f t="shared" si="1330"/>
        <v>1</v>
      </c>
      <c r="FL394" s="23">
        <f t="shared" si="1330"/>
        <v>1</v>
      </c>
      <c r="FM394" s="23">
        <f t="shared" si="1195"/>
        <v>0</v>
      </c>
      <c r="FN394" s="23"/>
      <c r="FX394" s="4">
        <f t="shared" si="1099"/>
        <v>1</v>
      </c>
      <c r="FY394" s="4">
        <f t="shared" si="1139"/>
        <v>0.55723447154022165</v>
      </c>
      <c r="FZ394" s="4">
        <f t="shared" si="1100"/>
        <v>0.3</v>
      </c>
      <c r="GA394" s="4">
        <f t="shared" si="1101"/>
        <v>550.82527805848997</v>
      </c>
    </row>
    <row r="395" spans="1:183" ht="12" customHeight="1" x14ac:dyDescent="0.3">
      <c r="A395" s="25">
        <v>377</v>
      </c>
      <c r="B395" s="4" t="s">
        <v>605</v>
      </c>
      <c r="C395" s="4">
        <v>2016</v>
      </c>
      <c r="D395" s="4" t="s">
        <v>309</v>
      </c>
      <c r="E395" s="24" t="s">
        <v>674</v>
      </c>
      <c r="F395" s="7" t="s">
        <v>543</v>
      </c>
      <c r="G395" s="38">
        <f t="shared" si="1262"/>
        <v>958.62068965517244</v>
      </c>
      <c r="H395" s="38">
        <f>5.02*25.4</f>
        <v>127.50799999999998</v>
      </c>
      <c r="I395" s="4">
        <f t="shared" si="1288"/>
        <v>127.50799999999998</v>
      </c>
      <c r="J395" s="38">
        <f t="shared" si="1321"/>
        <v>76.068965517241381</v>
      </c>
      <c r="K395" s="38">
        <f t="shared" si="1264"/>
        <v>15.875</v>
      </c>
      <c r="L395" s="7">
        <f t="shared" si="1289"/>
        <v>8.0319999999999983</v>
      </c>
      <c r="M395" s="7">
        <f t="shared" si="1290"/>
        <v>8.0319999999999983</v>
      </c>
      <c r="N395" s="38">
        <f>12.9*25.4</f>
        <v>327.65999999999997</v>
      </c>
      <c r="O395" s="38">
        <f t="shared" si="1337"/>
        <v>63.5</v>
      </c>
      <c r="P395" s="39">
        <f>4.1*25.4</f>
        <v>104.13999999999999</v>
      </c>
      <c r="Q395" s="7">
        <f t="shared" si="1291"/>
        <v>76.517499999999984</v>
      </c>
      <c r="R395" s="38">
        <v>3</v>
      </c>
      <c r="S395" s="4">
        <f t="shared" si="1258"/>
        <v>133.35</v>
      </c>
      <c r="T395" s="7">
        <f t="shared" si="1292"/>
        <v>2.9099999999999997</v>
      </c>
      <c r="U395" s="7">
        <f t="shared" si="1127"/>
        <v>4.5</v>
      </c>
      <c r="V395" s="38">
        <v>4</v>
      </c>
      <c r="W395" s="4">
        <f t="shared" si="1293"/>
        <v>4</v>
      </c>
      <c r="X395" s="4">
        <f t="shared" si="1294"/>
        <v>5</v>
      </c>
      <c r="Y395" s="7">
        <f t="shared" si="1295"/>
        <v>35.497579142809165</v>
      </c>
      <c r="AB395" s="38">
        <f t="shared" si="1332"/>
        <v>859.31034482758628</v>
      </c>
      <c r="AC395" s="4">
        <v>124.6</v>
      </c>
      <c r="AD395" s="4">
        <f t="shared" si="1159"/>
        <v>1.0458763223941501</v>
      </c>
      <c r="AE395" s="38">
        <f t="shared" si="1338"/>
        <v>9.5249999999999986</v>
      </c>
      <c r="AF395" s="38">
        <v>10</v>
      </c>
      <c r="AG395" s="39">
        <f>1.75*25.4</f>
        <v>44.449999999999996</v>
      </c>
      <c r="AH395" s="39">
        <v>3</v>
      </c>
      <c r="AI395" s="39">
        <f t="shared" si="1339"/>
        <v>2</v>
      </c>
      <c r="AJ395" s="7"/>
      <c r="AK395" s="4">
        <f t="shared" si="1297"/>
        <v>127.50799999999998</v>
      </c>
      <c r="AL395" s="4">
        <f t="shared" si="1175"/>
        <v>0.856573705179283</v>
      </c>
      <c r="AM395" s="4">
        <f t="shared" si="1176"/>
        <v>211.48097390514772</v>
      </c>
      <c r="AN395" s="4">
        <f t="shared" si="1177"/>
        <v>0.81205179282868523</v>
      </c>
      <c r="AO395" s="4">
        <v>1.25</v>
      </c>
      <c r="AP395" s="4">
        <f t="shared" si="1112"/>
        <v>2.5</v>
      </c>
      <c r="AQ395" s="38">
        <f t="shared" si="1266"/>
        <v>459.69501197583168</v>
      </c>
      <c r="AR395" s="38">
        <f t="shared" si="1178"/>
        <v>459.69501197583168</v>
      </c>
      <c r="AS395" s="38">
        <f t="shared" si="1179"/>
        <v>4.7518593634836064</v>
      </c>
      <c r="AT395" s="38">
        <f t="shared" si="1121"/>
        <v>459.69501197583151</v>
      </c>
      <c r="AU395" s="38">
        <f t="shared" si="1086"/>
        <v>1.0000000000000004</v>
      </c>
      <c r="AV395" s="38">
        <f t="shared" si="1249"/>
        <v>2.3471262006064104</v>
      </c>
      <c r="AW395" s="4">
        <f t="shared" si="1230"/>
        <v>0</v>
      </c>
      <c r="AX395" s="4">
        <f t="shared" si="1298"/>
        <v>368.70060815065631</v>
      </c>
      <c r="AY395" s="4">
        <f t="shared" si="1267"/>
        <v>1.2185567010309279</v>
      </c>
      <c r="AZ395" s="38">
        <f t="shared" si="1102"/>
        <v>1078.9622068965518</v>
      </c>
      <c r="BA395" s="4">
        <f t="shared" si="1268"/>
        <v>0.44000000000000006</v>
      </c>
      <c r="BB395" s="4">
        <f t="shared" si="1269"/>
        <v>84.764269813835909</v>
      </c>
      <c r="BC395" s="4">
        <f t="shared" si="1270"/>
        <v>1163.7264767103877</v>
      </c>
      <c r="BE395" s="4">
        <f t="shared" si="1122"/>
        <v>1.5</v>
      </c>
      <c r="BF395" s="4">
        <f t="shared" si="1128"/>
        <v>707.71787949173347</v>
      </c>
      <c r="BH395" s="4">
        <f t="shared" si="1129"/>
        <v>1034.856704893647</v>
      </c>
      <c r="BI395" s="4">
        <f t="shared" si="1067"/>
        <v>0</v>
      </c>
      <c r="BJ395" s="4">
        <f t="shared" si="1130"/>
        <v>0</v>
      </c>
      <c r="BR395" s="4">
        <f t="shared" si="1271"/>
        <v>38.258749999999992</v>
      </c>
      <c r="BV395" s="9"/>
      <c r="BX395" s="9"/>
      <c r="BY395" s="9"/>
      <c r="BZ395" s="9">
        <f t="shared" si="1272"/>
        <v>38.258749999999992</v>
      </c>
      <c r="CA395" s="9">
        <f t="shared" si="1273"/>
        <v>63.5</v>
      </c>
      <c r="CB395" s="9">
        <f t="shared" si="1087"/>
        <v>1.6750005871158282</v>
      </c>
      <c r="CC395" s="40">
        <f t="shared" si="1299"/>
        <v>20</v>
      </c>
      <c r="CD395" s="9">
        <f t="shared" si="1274"/>
        <v>0.05</v>
      </c>
      <c r="CE395" s="9">
        <f t="shared" si="1275"/>
        <v>0.8</v>
      </c>
      <c r="CF395" s="9">
        <f t="shared" si="1276"/>
        <v>1</v>
      </c>
      <c r="CG395" s="9">
        <f t="shared" si="1277"/>
        <v>0.68</v>
      </c>
      <c r="CH395" s="9">
        <f t="shared" si="1088"/>
        <v>2.0757770792545673</v>
      </c>
      <c r="CI395" s="9">
        <f t="shared" si="1089"/>
        <v>5.1375494898766334</v>
      </c>
      <c r="CJ395" s="40">
        <v>1</v>
      </c>
      <c r="CK395" s="9">
        <f t="shared" si="1090"/>
        <v>473.31215940335449</v>
      </c>
      <c r="CM395" s="4">
        <f t="shared" si="1278"/>
        <v>2.3306453144673411</v>
      </c>
      <c r="CN395" s="4">
        <f t="shared" si="1279"/>
        <v>0.73841264422949071</v>
      </c>
      <c r="CO395" s="4">
        <f t="shared" si="1242"/>
        <v>1.2141990046156852</v>
      </c>
      <c r="CP395" s="4">
        <f t="shared" si="1280"/>
        <v>1.8155256055766906</v>
      </c>
      <c r="CQ395" s="4">
        <f t="shared" si="1189"/>
        <v>1.0458763223941501</v>
      </c>
      <c r="CR395" s="4">
        <f t="shared" si="1190"/>
        <v>1.0627262740118579</v>
      </c>
      <c r="CS395" s="4">
        <f t="shared" si="1243"/>
        <v>1.6217447857525504</v>
      </c>
      <c r="CT395" s="4">
        <f t="shared" si="1300"/>
        <v>10</v>
      </c>
      <c r="DA395" s="4">
        <f t="shared" si="1340"/>
        <v>2.3306453144673411</v>
      </c>
      <c r="DB395" s="4">
        <f t="shared" si="1340"/>
        <v>0.73841264422949071</v>
      </c>
      <c r="DC395" s="4">
        <f t="shared" si="1341"/>
        <v>1.8155256055766906</v>
      </c>
      <c r="DD395" s="4">
        <f t="shared" si="1342"/>
        <v>1.6217447857525504</v>
      </c>
      <c r="DE395" s="4">
        <f t="shared" si="1343"/>
        <v>1.0458763223941501</v>
      </c>
      <c r="DF395" s="4">
        <f t="shared" si="1343"/>
        <v>1.0627262740118579</v>
      </c>
      <c r="DI395" s="4">
        <f t="shared" si="1285"/>
        <v>127.50799999999998</v>
      </c>
      <c r="DL395" s="4">
        <f t="shared" si="1166"/>
        <v>1.9223039030668795E-5</v>
      </c>
      <c r="DM395" s="4">
        <f t="shared" si="1313"/>
        <v>14.719357433866572</v>
      </c>
      <c r="DN395" s="4">
        <f t="shared" si="1167"/>
        <v>0.20867378938490794</v>
      </c>
      <c r="DO395" s="4">
        <f t="shared" si="1168"/>
        <v>7.8645886568405601</v>
      </c>
      <c r="DP395" s="4">
        <f t="shared" si="1169"/>
        <v>11.804978006229822</v>
      </c>
      <c r="DQ395" s="4">
        <f t="shared" si="1170"/>
        <v>14.033080781393064</v>
      </c>
      <c r="DR395" s="38">
        <f t="shared" si="1183"/>
        <v>821.61755307789213</v>
      </c>
      <c r="DS395" s="4">
        <f t="shared" si="1095"/>
        <v>1.0000875778782294</v>
      </c>
      <c r="DT395" s="4">
        <f t="shared" si="1171"/>
        <v>2.2360679774997898</v>
      </c>
      <c r="DU395" s="4">
        <f t="shared" si="1103"/>
        <v>459.69501197583151</v>
      </c>
      <c r="DY395" s="4">
        <f t="shared" si="1331"/>
        <v>0.85</v>
      </c>
      <c r="DZ395" s="4">
        <f t="shared" si="1096"/>
        <v>0.8590000000000001</v>
      </c>
      <c r="EA395" s="4">
        <f t="shared" si="1184"/>
        <v>0.7</v>
      </c>
      <c r="EB395" s="4">
        <f t="shared" si="1097"/>
        <v>0.7</v>
      </c>
      <c r="ED395" s="4">
        <f t="shared" si="1185"/>
        <v>808.59047700367478</v>
      </c>
      <c r="EE395" s="25">
        <f t="shared" si="1186"/>
        <v>453.912840277226</v>
      </c>
      <c r="EG395" s="4">
        <f t="shared" si="1104"/>
        <v>0.59499999999999997</v>
      </c>
      <c r="EH395" s="4">
        <f t="shared" si="1187"/>
        <v>14.719357433866572</v>
      </c>
      <c r="EK395" s="4">
        <f t="shared" si="1172"/>
        <v>35.497579142809165</v>
      </c>
      <c r="EL395" s="4">
        <f t="shared" si="1173"/>
        <v>2.2360679774997898</v>
      </c>
      <c r="EM395" s="4">
        <f t="shared" si="1174"/>
        <v>9.951921074997444E-2</v>
      </c>
      <c r="EP395" s="4">
        <f t="shared" si="1301"/>
        <v>9.951921074997444E-2</v>
      </c>
      <c r="EQ395" s="4">
        <f t="shared" si="1257"/>
        <v>0.20832555172193198</v>
      </c>
      <c r="ER395" s="4">
        <f t="shared" si="1314"/>
        <v>7.8593362131275946</v>
      </c>
      <c r="ES395" s="4">
        <f t="shared" si="1286"/>
        <v>11.803243573120547</v>
      </c>
      <c r="ET395" s="4">
        <f t="shared" si="1315"/>
        <v>60.133420857190821</v>
      </c>
      <c r="EU395" s="4">
        <f t="shared" si="1316"/>
        <v>31.876999999999988</v>
      </c>
      <c r="EV395" s="4">
        <f t="shared" si="1098"/>
        <v>1.9223039030668792E-5</v>
      </c>
      <c r="EW395" s="4">
        <f t="shared" si="1287"/>
        <v>14.03324384448673</v>
      </c>
      <c r="EX395" s="4">
        <f t="shared" si="1131"/>
        <v>821.54560385703758</v>
      </c>
      <c r="FG395" s="23">
        <f t="shared" si="1329"/>
        <v>2.2000000000000002</v>
      </c>
      <c r="FH395" s="23">
        <f t="shared" si="1329"/>
        <v>0.8</v>
      </c>
      <c r="FI395" s="23">
        <f t="shared" si="1248"/>
        <v>1.8</v>
      </c>
      <c r="FJ395" s="23">
        <f t="shared" si="1330"/>
        <v>2</v>
      </c>
      <c r="FK395" s="23">
        <f t="shared" si="1330"/>
        <v>1.2</v>
      </c>
      <c r="FL395" s="23">
        <f t="shared" si="1330"/>
        <v>1.2</v>
      </c>
      <c r="FM395" s="23">
        <f t="shared" si="1195"/>
        <v>0</v>
      </c>
      <c r="FN395" s="23"/>
      <c r="FX395" s="4">
        <f t="shared" si="1099"/>
        <v>1</v>
      </c>
      <c r="FY395" s="4">
        <f t="shared" si="1139"/>
        <v>0.56465190210980853</v>
      </c>
      <c r="FZ395" s="4">
        <f t="shared" si="1100"/>
        <v>0.3</v>
      </c>
      <c r="GA395" s="4">
        <f t="shared" si="1101"/>
        <v>529.86780187416116</v>
      </c>
    </row>
    <row r="396" spans="1:183" ht="12" customHeight="1" x14ac:dyDescent="0.3">
      <c r="A396" s="25">
        <v>378</v>
      </c>
      <c r="B396" s="4" t="s">
        <v>605</v>
      </c>
      <c r="C396" s="4">
        <v>2016</v>
      </c>
      <c r="D396" s="4" t="s">
        <v>309</v>
      </c>
      <c r="E396" s="24" t="s">
        <v>674</v>
      </c>
      <c r="F396" s="7" t="s">
        <v>544</v>
      </c>
      <c r="G396" s="38">
        <f t="shared" si="1262"/>
        <v>958.62068965517244</v>
      </c>
      <c r="H396" s="38">
        <f>5.19*25.4</f>
        <v>131.82599999999999</v>
      </c>
      <c r="I396" s="4">
        <f t="shared" si="1288"/>
        <v>131.82599999999999</v>
      </c>
      <c r="J396" s="38">
        <f t="shared" si="1321"/>
        <v>76.068965517241381</v>
      </c>
      <c r="K396" s="38">
        <f t="shared" si="1264"/>
        <v>15.875</v>
      </c>
      <c r="L396" s="7">
        <f t="shared" si="1289"/>
        <v>8.3040000000000003</v>
      </c>
      <c r="M396" s="7">
        <f t="shared" si="1290"/>
        <v>8.3040000000000003</v>
      </c>
      <c r="N396" s="38">
        <f>12.8*25.4</f>
        <v>325.12</v>
      </c>
      <c r="O396" s="38">
        <f t="shared" si="1337"/>
        <v>63.5</v>
      </c>
      <c r="P396" s="39">
        <f>3.9*25.4</f>
        <v>99.059999999999988</v>
      </c>
      <c r="Q396" s="7">
        <f t="shared" si="1291"/>
        <v>44.873333333333335</v>
      </c>
      <c r="R396" s="38">
        <v>4</v>
      </c>
      <c r="S396" s="4">
        <f t="shared" si="1258"/>
        <v>133.35</v>
      </c>
      <c r="T396" s="7">
        <f t="shared" si="1292"/>
        <v>1.9133333333333333</v>
      </c>
      <c r="U396" s="7">
        <f t="shared" si="1127"/>
        <v>4.5</v>
      </c>
      <c r="V396" s="38">
        <v>4</v>
      </c>
      <c r="W396" s="4">
        <f t="shared" si="1293"/>
        <v>4</v>
      </c>
      <c r="X396" s="4">
        <f t="shared" si="1294"/>
        <v>5</v>
      </c>
      <c r="Y396" s="7">
        <f t="shared" si="1295"/>
        <v>35.497579142809165</v>
      </c>
      <c r="AB396" s="38">
        <f t="shared" si="1332"/>
        <v>570.34482758620697</v>
      </c>
      <c r="AC396" s="4">
        <v>82.7</v>
      </c>
      <c r="AD396" s="4">
        <f t="shared" si="1159"/>
        <v>0.93075915185163327</v>
      </c>
      <c r="AE396" s="38"/>
      <c r="AF396" s="38"/>
      <c r="AG396" s="39">
        <v>1</v>
      </c>
      <c r="AH396" s="39"/>
      <c r="AI396" s="39"/>
      <c r="AJ396" s="7"/>
      <c r="AK396" s="4">
        <f t="shared" si="1297"/>
        <v>131.82599999999999</v>
      </c>
      <c r="AL396" s="4">
        <f t="shared" si="1175"/>
        <v>0.82209377007064866</v>
      </c>
      <c r="AM396" s="4">
        <f t="shared" si="1176"/>
        <v>166.73548079390528</v>
      </c>
      <c r="AN396" s="4">
        <f t="shared" si="1177"/>
        <v>0.80838150289017341</v>
      </c>
      <c r="AO396" s="4">
        <v>1.25</v>
      </c>
      <c r="AP396" s="4">
        <f t="shared" si="1112"/>
        <v>2.5</v>
      </c>
      <c r="AQ396" s="38">
        <f t="shared" si="1266"/>
        <v>346.27072202772723</v>
      </c>
      <c r="AR396" s="38">
        <f t="shared" si="1178"/>
        <v>346.27072202772723</v>
      </c>
      <c r="AS396" s="38">
        <f t="shared" si="1179"/>
        <v>4.7518593634836064</v>
      </c>
      <c r="AT396" s="38">
        <f t="shared" si="1121"/>
        <v>346.27072202772706</v>
      </c>
      <c r="AU396" s="38">
        <f t="shared" si="1086"/>
        <v>1.0000000000000004</v>
      </c>
      <c r="AV396" s="38">
        <f t="shared" si="1249"/>
        <v>2.5904738238524363</v>
      </c>
      <c r="AW396" s="4">
        <f t="shared" si="1230"/>
        <v>0</v>
      </c>
      <c r="AX396" s="4">
        <f t="shared" si="1298"/>
        <v>381.18648531910492</v>
      </c>
      <c r="AY396" s="4">
        <f t="shared" si="1267"/>
        <v>1.540766550522648</v>
      </c>
      <c r="AZ396" s="38">
        <f t="shared" si="1102"/>
        <v>897.00524137931018</v>
      </c>
      <c r="BA396" s="4">
        <f t="shared" si="1268"/>
        <v>0.44000000000000006</v>
      </c>
      <c r="BB396" s="4">
        <f t="shared" si="1269"/>
        <v>87.63477297486223</v>
      </c>
      <c r="BC396" s="4">
        <f t="shared" si="1270"/>
        <v>984.64001435417242</v>
      </c>
      <c r="BE396" s="4">
        <f t="shared" si="1122"/>
        <v>1.5</v>
      </c>
      <c r="BF396" s="4">
        <f t="shared" si="1128"/>
        <v>718.39330447075702</v>
      </c>
      <c r="BH396" s="4">
        <f t="shared" si="1129"/>
        <v>860.3377230757111</v>
      </c>
      <c r="BI396" s="4">
        <f t="shared" si="1067"/>
        <v>0</v>
      </c>
      <c r="BJ396" s="4">
        <f t="shared" si="1130"/>
        <v>0</v>
      </c>
      <c r="BR396" s="4">
        <f t="shared" si="1271"/>
        <v>22.436666666666667</v>
      </c>
      <c r="BV396" s="9"/>
      <c r="BX396" s="9"/>
      <c r="BY396" s="9"/>
      <c r="BZ396" s="9">
        <f t="shared" si="1272"/>
        <v>22.436666666666667</v>
      </c>
      <c r="CA396" s="9">
        <f t="shared" si="1273"/>
        <v>63.5</v>
      </c>
      <c r="CB396" s="9">
        <f t="shared" si="1087"/>
        <v>1.3896153710408319</v>
      </c>
      <c r="CC396" s="40">
        <f t="shared" si="1299"/>
        <v>0</v>
      </c>
      <c r="CD396" s="9">
        <f t="shared" si="1274"/>
        <v>0</v>
      </c>
      <c r="CE396" s="9">
        <f t="shared" si="1275"/>
        <v>0</v>
      </c>
      <c r="CF396" s="9">
        <f t="shared" si="1276"/>
        <v>1</v>
      </c>
      <c r="CG396" s="9">
        <f t="shared" si="1277"/>
        <v>0.68</v>
      </c>
      <c r="CH396" s="9">
        <f t="shared" si="1088"/>
        <v>2.0757770792545673</v>
      </c>
      <c r="CI396" s="9">
        <f t="shared" si="1089"/>
        <v>2.88453173618639</v>
      </c>
      <c r="CJ396" s="40">
        <v>1</v>
      </c>
      <c r="CK396" s="9">
        <f t="shared" si="1090"/>
        <v>268.88451032035056</v>
      </c>
      <c r="CM396" s="4">
        <f t="shared" si="1278"/>
        <v>1.4962356997225408</v>
      </c>
      <c r="CN396" s="4">
        <f t="shared" si="1279"/>
        <v>0.57924197602338701</v>
      </c>
      <c r="CO396" s="4">
        <f t="shared" si="1242"/>
        <v>0.79391723730830444</v>
      </c>
      <c r="CP396" s="4">
        <f t="shared" si="1280"/>
        <v>2.1211516680774762</v>
      </c>
      <c r="CQ396" s="4">
        <f t="shared" si="1189"/>
        <v>0.93075915185163327</v>
      </c>
      <c r="CR396" s="4">
        <f t="shared" si="1190"/>
        <v>0.93527480684988118</v>
      </c>
      <c r="CS396" s="4">
        <f t="shared" si="1243"/>
        <v>1.5631748888459425</v>
      </c>
      <c r="CT396" s="4">
        <f t="shared" si="1300"/>
        <v>0</v>
      </c>
      <c r="CU396" s="4">
        <f t="shared" ref="CU396:CV396" si="1344">CM396</f>
        <v>1.4962356997225408</v>
      </c>
      <c r="CV396" s="4">
        <f t="shared" si="1344"/>
        <v>0.57924197602338701</v>
      </c>
      <c r="CW396" s="4">
        <f t="shared" ref="CW396" si="1345">CP396</f>
        <v>2.1211516680774762</v>
      </c>
      <c r="CX396" s="4">
        <f t="shared" ref="CX396" si="1346">CS396</f>
        <v>1.5631748888459425</v>
      </c>
      <c r="CY396" s="4">
        <f t="shared" ref="CY396:CZ396" si="1347">CQ396</f>
        <v>0.93075915185163327</v>
      </c>
      <c r="CZ396" s="4">
        <f t="shared" si="1347"/>
        <v>0.93527480684988118</v>
      </c>
      <c r="DI396" s="4">
        <f t="shared" si="1285"/>
        <v>131.82599999999999</v>
      </c>
      <c r="DL396" s="4">
        <f t="shared" si="1166"/>
        <v>1.987401844007391E-5</v>
      </c>
      <c r="DM396" s="4">
        <f t="shared" si="1313"/>
        <v>10.747792284812169</v>
      </c>
      <c r="DN396" s="4">
        <f t="shared" si="1167"/>
        <v>0.15718600775762356</v>
      </c>
      <c r="DO396" s="4">
        <f t="shared" si="1168"/>
        <v>5.1272538285529041</v>
      </c>
      <c r="DP396" s="4">
        <f t="shared" si="1169"/>
        <v>8.4257362124731756</v>
      </c>
      <c r="DQ396" s="4">
        <f t="shared" si="1170"/>
        <v>10.368938630659107</v>
      </c>
      <c r="DR396" s="38">
        <f t="shared" si="1183"/>
        <v>612.77380560972688</v>
      </c>
      <c r="DS396" s="4">
        <f t="shared" si="1095"/>
        <v>1.0000756720077577</v>
      </c>
      <c r="DT396" s="4">
        <f t="shared" si="1171"/>
        <v>2.2360679774997898</v>
      </c>
      <c r="DU396" s="4">
        <f t="shared" si="1103"/>
        <v>346.27072202772706</v>
      </c>
      <c r="DY396" s="4">
        <f t="shared" si="1331"/>
        <v>0.85</v>
      </c>
      <c r="DZ396" s="4">
        <f t="shared" si="1096"/>
        <v>0.95866666666666667</v>
      </c>
      <c r="EA396" s="4">
        <f t="shared" si="1184"/>
        <v>1</v>
      </c>
      <c r="EB396" s="4">
        <f t="shared" si="1097"/>
        <v>0.95866666666666667</v>
      </c>
      <c r="ED396" s="4">
        <f t="shared" si="1185"/>
        <v>609.8152365583303</v>
      </c>
      <c r="EE396" s="25">
        <f t="shared" si="1186"/>
        <v>342.0662351590895</v>
      </c>
      <c r="EG396" s="4">
        <f t="shared" si="1104"/>
        <v>0.81486666666666663</v>
      </c>
      <c r="EH396" s="4">
        <f t="shared" si="1187"/>
        <v>10.747792284812169</v>
      </c>
      <c r="EK396" s="4">
        <f t="shared" si="1172"/>
        <v>35.497579142809165</v>
      </c>
      <c r="EL396" s="4">
        <f t="shared" si="1173"/>
        <v>2.2360679774997898</v>
      </c>
      <c r="EM396" s="4">
        <f t="shared" si="1174"/>
        <v>7.4964026287574675E-2</v>
      </c>
      <c r="EP396" s="4">
        <f t="shared" si="1301"/>
        <v>7.4964026287574675E-2</v>
      </c>
      <c r="EQ396" s="4">
        <f t="shared" si="1257"/>
        <v>0.15692369360616554</v>
      </c>
      <c r="ER396" s="4">
        <f t="shared" si="1314"/>
        <v>5.12382954111568</v>
      </c>
      <c r="ES396" s="4">
        <f t="shared" si="1286"/>
        <v>8.4247093924266547</v>
      </c>
      <c r="ET396" s="4">
        <f t="shared" si="1315"/>
        <v>63.371920857190823</v>
      </c>
      <c r="EU396" s="4">
        <f t="shared" si="1316"/>
        <v>32.956499999999998</v>
      </c>
      <c r="EV396" s="4">
        <f t="shared" si="1098"/>
        <v>1.987401844007391E-5</v>
      </c>
      <c r="EW396" s="4">
        <f t="shared" si="1287"/>
        <v>10.36901780042032</v>
      </c>
      <c r="EX396" s="4">
        <f t="shared" si="1131"/>
        <v>612.72743929418721</v>
      </c>
      <c r="FG396" s="23">
        <f t="shared" si="1329"/>
        <v>1.6</v>
      </c>
      <c r="FH396" s="23">
        <f t="shared" si="1329"/>
        <v>0.6</v>
      </c>
      <c r="FI396" s="23">
        <f t="shared" si="1248"/>
        <v>1.6</v>
      </c>
      <c r="FJ396" s="23">
        <f t="shared" si="1330"/>
        <v>2.2000000000000002</v>
      </c>
      <c r="FK396" s="23">
        <f t="shared" si="1330"/>
        <v>1</v>
      </c>
      <c r="FL396" s="23">
        <f t="shared" si="1330"/>
        <v>1</v>
      </c>
      <c r="FM396" s="23">
        <f t="shared" si="1195"/>
        <v>0</v>
      </c>
      <c r="FN396" s="23"/>
      <c r="FX396" s="4">
        <f t="shared" si="1099"/>
        <v>1</v>
      </c>
      <c r="FY396" s="4">
        <f t="shared" si="1139"/>
        <v>0.84777777777777774</v>
      </c>
      <c r="FZ396" s="4">
        <f t="shared" si="1100"/>
        <v>0</v>
      </c>
      <c r="GA396" s="4">
        <f t="shared" si="1101"/>
        <v>364.86309475408729</v>
      </c>
    </row>
    <row r="397" spans="1:183" ht="12" customHeight="1" x14ac:dyDescent="0.3">
      <c r="A397" s="25">
        <v>379</v>
      </c>
      <c r="B397" s="4" t="s">
        <v>605</v>
      </c>
      <c r="C397" s="4">
        <v>2016</v>
      </c>
      <c r="D397" s="4" t="s">
        <v>309</v>
      </c>
      <c r="E397" s="24" t="s">
        <v>674</v>
      </c>
      <c r="F397" s="7" t="s">
        <v>545</v>
      </c>
      <c r="G397" s="38">
        <f t="shared" si="1262"/>
        <v>958.62068965517244</v>
      </c>
      <c r="H397" s="38">
        <f>5.03*25.4</f>
        <v>127.762</v>
      </c>
      <c r="I397" s="4">
        <f t="shared" si="1288"/>
        <v>127.762</v>
      </c>
      <c r="J397" s="38">
        <f t="shared" si="1321"/>
        <v>76.068965517241381</v>
      </c>
      <c r="K397" s="38">
        <f t="shared" si="1264"/>
        <v>15.875</v>
      </c>
      <c r="L397" s="7">
        <f t="shared" si="1289"/>
        <v>8.048</v>
      </c>
      <c r="M397" s="7">
        <f t="shared" si="1290"/>
        <v>8.048</v>
      </c>
      <c r="N397" s="38">
        <f>13*25.4</f>
        <v>330.2</v>
      </c>
      <c r="O397" s="38">
        <f t="shared" si="1337"/>
        <v>63.5</v>
      </c>
      <c r="P397" s="39">
        <f>4*25.4</f>
        <v>101.6</v>
      </c>
      <c r="Q397" s="7">
        <f t="shared" si="1291"/>
        <v>46.566666666666663</v>
      </c>
      <c r="R397" s="38">
        <v>4</v>
      </c>
      <c r="S397" s="4">
        <f t="shared" si="1258"/>
        <v>133.35</v>
      </c>
      <c r="T397" s="7">
        <f t="shared" si="1292"/>
        <v>1.9666666666666666</v>
      </c>
      <c r="U397" s="7">
        <f t="shared" si="1127"/>
        <v>4.5</v>
      </c>
      <c r="V397" s="38">
        <v>4</v>
      </c>
      <c r="W397" s="4">
        <f t="shared" si="1293"/>
        <v>4</v>
      </c>
      <c r="X397" s="4">
        <f t="shared" si="1294"/>
        <v>5</v>
      </c>
      <c r="Y397" s="7">
        <f t="shared" si="1295"/>
        <v>35.497579142809165</v>
      </c>
      <c r="AB397" s="38">
        <f t="shared" si="1332"/>
        <v>687.58620689655174</v>
      </c>
      <c r="AC397" s="4">
        <v>99.7</v>
      </c>
      <c r="AD397" s="4">
        <f t="shared" si="1159"/>
        <v>1.0597976267559761</v>
      </c>
      <c r="AE397" s="38">
        <f t="shared" ref="AE397:AE398" si="1348">0.375*25.4</f>
        <v>9.5249999999999986</v>
      </c>
      <c r="AF397" s="38">
        <v>4</v>
      </c>
      <c r="AG397" s="39">
        <f>3.5*25.4</f>
        <v>88.899999999999991</v>
      </c>
      <c r="AH397" s="39">
        <v>2</v>
      </c>
      <c r="AI397" s="39">
        <f t="shared" ref="AI397:AI398" si="1349">AH397-1</f>
        <v>1</v>
      </c>
      <c r="AJ397" s="7"/>
      <c r="AK397" s="4">
        <f t="shared" si="1297"/>
        <v>127.762</v>
      </c>
      <c r="AL397" s="4">
        <f t="shared" si="1175"/>
        <v>0.86149768058316756</v>
      </c>
      <c r="AM397" s="4">
        <f t="shared" si="1176"/>
        <v>159.0849028201888</v>
      </c>
      <c r="AN397" s="4">
        <f t="shared" si="1177"/>
        <v>0.81182902584493033</v>
      </c>
      <c r="AO397" s="4">
        <v>1.25</v>
      </c>
      <c r="AP397" s="4">
        <f t="shared" si="1112"/>
        <v>2.5</v>
      </c>
      <c r="AQ397" s="38">
        <f t="shared" si="1266"/>
        <v>347.69438408733856</v>
      </c>
      <c r="AR397" s="38">
        <f t="shared" si="1178"/>
        <v>347.69438408733856</v>
      </c>
      <c r="AS397" s="38">
        <f t="shared" si="1179"/>
        <v>4.7518593634836064</v>
      </c>
      <c r="AT397" s="38">
        <f t="shared" si="1121"/>
        <v>347.69438408733862</v>
      </c>
      <c r="AU397" s="38">
        <f t="shared" si="1086"/>
        <v>0.99999999999999989</v>
      </c>
      <c r="AV397" s="38">
        <f t="shared" si="1249"/>
        <v>2.6078709075086741</v>
      </c>
      <c r="AW397" s="4">
        <f t="shared" si="1230"/>
        <v>0</v>
      </c>
      <c r="AX397" s="4">
        <f t="shared" si="1298"/>
        <v>369.43507151350633</v>
      </c>
      <c r="AY397" s="4">
        <f t="shared" si="1267"/>
        <v>1.5152542372881357</v>
      </c>
      <c r="AZ397" s="38">
        <f t="shared" si="1102"/>
        <v>906.74206896551721</v>
      </c>
      <c r="BA397" s="4">
        <f t="shared" si="1268"/>
        <v>0.44000000000000006</v>
      </c>
      <c r="BB397" s="4">
        <f t="shared" si="1269"/>
        <v>84.933122940955116</v>
      </c>
      <c r="BC397" s="4">
        <f t="shared" si="1270"/>
        <v>991.67519190647226</v>
      </c>
      <c r="BE397" s="4">
        <f t="shared" si="1122"/>
        <v>1.5</v>
      </c>
      <c r="BF397" s="4">
        <f t="shared" si="1128"/>
        <v>708.34584566697015</v>
      </c>
      <c r="BH397" s="4">
        <f t="shared" si="1129"/>
        <v>869.6765314673064</v>
      </c>
      <c r="BI397" s="4">
        <f t="shared" ref="BI397:BI449" si="1350">8/3*Z397*AA397^2/(Y397-K397-22)/K397*(Y397^2-K397^2)/(Y397^2-(K397+22)^2)</f>
        <v>0</v>
      </c>
      <c r="BJ397" s="4">
        <f t="shared" si="1130"/>
        <v>0</v>
      </c>
      <c r="BR397" s="4">
        <f t="shared" si="1271"/>
        <v>23.283333333333331</v>
      </c>
      <c r="BV397" s="9"/>
      <c r="BX397" s="9"/>
      <c r="BY397" s="9"/>
      <c r="BZ397" s="9">
        <f t="shared" si="1272"/>
        <v>23.283333333333331</v>
      </c>
      <c r="CA397" s="9">
        <f t="shared" si="1273"/>
        <v>63.5</v>
      </c>
      <c r="CB397" s="9">
        <f t="shared" si="1087"/>
        <v>1.4077482505972425</v>
      </c>
      <c r="CC397" s="40">
        <f t="shared" si="1299"/>
        <v>20</v>
      </c>
      <c r="CD397" s="9">
        <f t="shared" si="1274"/>
        <v>0.05</v>
      </c>
      <c r="CE397" s="9">
        <f t="shared" si="1275"/>
        <v>0.8</v>
      </c>
      <c r="CF397" s="9">
        <f t="shared" si="1276"/>
        <v>1</v>
      </c>
      <c r="CG397" s="9">
        <f t="shared" si="1277"/>
        <v>0.68</v>
      </c>
      <c r="CH397" s="9">
        <f t="shared" si="1088"/>
        <v>2.0757770792545673</v>
      </c>
      <c r="CI397" s="9">
        <f t="shared" si="1089"/>
        <v>4.5827932153541244</v>
      </c>
      <c r="CJ397" s="40">
        <v>1</v>
      </c>
      <c r="CK397" s="9">
        <f t="shared" si="1090"/>
        <v>422.49687210992738</v>
      </c>
      <c r="CM397" s="4">
        <f t="shared" si="1278"/>
        <v>1.8611828164544308</v>
      </c>
      <c r="CN397" s="4">
        <f t="shared" si="1279"/>
        <v>0.69335828153035006</v>
      </c>
      <c r="CO397" s="4">
        <f t="shared" si="1242"/>
        <v>0.97069279237337602</v>
      </c>
      <c r="CP397" s="4">
        <f t="shared" si="1280"/>
        <v>1.6274350232766979</v>
      </c>
      <c r="CQ397" s="4">
        <f t="shared" si="1189"/>
        <v>1.0597976267559761</v>
      </c>
      <c r="CR397" s="4">
        <f t="shared" si="1190"/>
        <v>1.0625500982773062</v>
      </c>
      <c r="CS397" s="4">
        <f t="shared" si="1243"/>
        <v>1.4956819971499853</v>
      </c>
      <c r="CT397" s="4">
        <f t="shared" si="1300"/>
        <v>4</v>
      </c>
      <c r="DA397" s="4">
        <f t="shared" ref="DA397:DB398" si="1351">CM397</f>
        <v>1.8611828164544308</v>
      </c>
      <c r="DB397" s="4">
        <f t="shared" si="1351"/>
        <v>0.69335828153035006</v>
      </c>
      <c r="DC397" s="4">
        <f t="shared" ref="DC397:DC398" si="1352">CP397</f>
        <v>1.6274350232766979</v>
      </c>
      <c r="DD397" s="4">
        <f t="shared" ref="DD397:DD398" si="1353">CS397</f>
        <v>1.4956819971499853</v>
      </c>
      <c r="DE397" s="4">
        <f t="shared" ref="DE397:DF398" si="1354">CQ397</f>
        <v>1.0597976267559761</v>
      </c>
      <c r="DF397" s="4">
        <f t="shared" si="1354"/>
        <v>1.0625500982773062</v>
      </c>
      <c r="DI397" s="4">
        <f t="shared" si="1285"/>
        <v>127.762</v>
      </c>
      <c r="DL397" s="4">
        <f t="shared" si="1166"/>
        <v>1.9261331937104394E-5</v>
      </c>
      <c r="DM397" s="4">
        <f t="shared" si="1313"/>
        <v>12.581978805701782</v>
      </c>
      <c r="DN397" s="4">
        <f t="shared" si="1167"/>
        <v>0.15783226440397216</v>
      </c>
      <c r="DO397" s="4">
        <f t="shared" si="1168"/>
        <v>6.0121147926331782</v>
      </c>
      <c r="DP397" s="4">
        <f t="shared" si="1169"/>
        <v>9.8666068378636407</v>
      </c>
      <c r="DQ397" s="4">
        <f t="shared" si="1170"/>
        <v>12.096419492605579</v>
      </c>
      <c r="DR397" s="38">
        <f t="shared" si="1183"/>
        <v>648.79009872973802</v>
      </c>
      <c r="DS397" s="4">
        <f t="shared" si="1095"/>
        <v>1.0000823254166304</v>
      </c>
      <c r="DT397" s="4">
        <f t="shared" si="1171"/>
        <v>2.2360679774997898</v>
      </c>
      <c r="DU397" s="4">
        <f t="shared" si="1103"/>
        <v>347.69438408733862</v>
      </c>
      <c r="DY397" s="4">
        <f t="shared" si="1331"/>
        <v>0.85</v>
      </c>
      <c r="DZ397" s="4">
        <f t="shared" si="1096"/>
        <v>0.95333333333333337</v>
      </c>
      <c r="EA397" s="4">
        <f t="shared" si="1184"/>
        <v>0.85899999999999999</v>
      </c>
      <c r="EB397" s="4">
        <f t="shared" si="1097"/>
        <v>0.81891333333333338</v>
      </c>
      <c r="ED397" s="4">
        <f t="shared" si="1185"/>
        <v>647.10944736753891</v>
      </c>
      <c r="EE397" s="25">
        <f t="shared" si="1186"/>
        <v>343.33015108267512</v>
      </c>
      <c r="EG397" s="4">
        <f t="shared" si="1104"/>
        <v>0.69607633333333341</v>
      </c>
      <c r="EH397" s="4">
        <f t="shared" si="1187"/>
        <v>12.581978805701782</v>
      </c>
      <c r="EK397" s="4">
        <f t="shared" si="1172"/>
        <v>35.497579142809165</v>
      </c>
      <c r="EL397" s="4">
        <f t="shared" si="1173"/>
        <v>2.2360679774997898</v>
      </c>
      <c r="EM397" s="4">
        <f t="shared" si="1174"/>
        <v>7.5272234383934614E-2</v>
      </c>
      <c r="EP397" s="4">
        <f t="shared" si="1301"/>
        <v>7.5272234383934614E-2</v>
      </c>
      <c r="EQ397" s="4">
        <f t="shared" si="1257"/>
        <v>0.15756887177061726</v>
      </c>
      <c r="ER397" s="4">
        <f t="shared" si="1314"/>
        <v>6.0080995420050707</v>
      </c>
      <c r="ES397" s="4">
        <f t="shared" si="1286"/>
        <v>9.8654010734024293</v>
      </c>
      <c r="ET397" s="4">
        <f t="shared" si="1315"/>
        <v>60.323920857190835</v>
      </c>
      <c r="EU397" s="4">
        <f t="shared" si="1316"/>
        <v>31.940499999999993</v>
      </c>
      <c r="EV397" s="4">
        <f t="shared" si="1098"/>
        <v>1.9261331937104387E-5</v>
      </c>
      <c r="EW397" s="4">
        <f t="shared" si="1287"/>
        <v>12.09652302975371</v>
      </c>
      <c r="EX397" s="4">
        <f t="shared" si="1131"/>
        <v>648.7366912113506</v>
      </c>
      <c r="FG397" s="23">
        <f t="shared" si="1329"/>
        <v>2</v>
      </c>
      <c r="FH397" s="23">
        <f t="shared" si="1329"/>
        <v>0.8</v>
      </c>
      <c r="FI397" s="23">
        <f t="shared" si="1248"/>
        <v>1.6</v>
      </c>
      <c r="FJ397" s="23">
        <f t="shared" si="1330"/>
        <v>1.8</v>
      </c>
      <c r="FK397" s="23">
        <f t="shared" si="1330"/>
        <v>1.2</v>
      </c>
      <c r="FL397" s="23">
        <f t="shared" si="1330"/>
        <v>1.2</v>
      </c>
      <c r="FM397" s="23">
        <f t="shared" si="1195"/>
        <v>0</v>
      </c>
      <c r="FN397" s="23"/>
      <c r="FX397" s="4">
        <f t="shared" si="1099"/>
        <v>1</v>
      </c>
      <c r="FY397" s="4">
        <f t="shared" si="1139"/>
        <v>0.65211577090952166</v>
      </c>
      <c r="FZ397" s="4">
        <f t="shared" si="1100"/>
        <v>0.3</v>
      </c>
      <c r="GA397" s="4">
        <f t="shared" si="1101"/>
        <v>459.71416932659741</v>
      </c>
    </row>
    <row r="398" spans="1:183" ht="12" customHeight="1" x14ac:dyDescent="0.3">
      <c r="A398" s="25">
        <v>380</v>
      </c>
      <c r="B398" s="4" t="s">
        <v>605</v>
      </c>
      <c r="C398" s="4">
        <v>2016</v>
      </c>
      <c r="D398" s="4" t="s">
        <v>309</v>
      </c>
      <c r="E398" s="24" t="s">
        <v>674</v>
      </c>
      <c r="F398" s="7" t="s">
        <v>546</v>
      </c>
      <c r="G398" s="38">
        <f t="shared" si="1262"/>
        <v>958.62068965517244</v>
      </c>
      <c r="H398" s="38">
        <f>5.19*25.4</f>
        <v>131.82599999999999</v>
      </c>
      <c r="I398" s="4">
        <f t="shared" si="1288"/>
        <v>131.82599999999999</v>
      </c>
      <c r="J398" s="38">
        <f t="shared" si="1321"/>
        <v>76.068965517241381</v>
      </c>
      <c r="K398" s="38">
        <f t="shared" si="1264"/>
        <v>15.875</v>
      </c>
      <c r="L398" s="7">
        <f t="shared" si="1289"/>
        <v>8.3040000000000003</v>
      </c>
      <c r="M398" s="7">
        <f t="shared" si="1290"/>
        <v>8.3040000000000003</v>
      </c>
      <c r="N398" s="38">
        <f>13.3*25.4</f>
        <v>337.82</v>
      </c>
      <c r="O398" s="38">
        <f t="shared" si="1337"/>
        <v>63.5</v>
      </c>
      <c r="P398" s="39">
        <f>3.8*25.4</f>
        <v>96.52</v>
      </c>
      <c r="Q398" s="7">
        <f t="shared" si="1291"/>
        <v>49.106666666666662</v>
      </c>
      <c r="R398" s="38">
        <v>4</v>
      </c>
      <c r="S398" s="4">
        <f t="shared" si="1258"/>
        <v>133.35</v>
      </c>
      <c r="T398" s="7">
        <f t="shared" si="1292"/>
        <v>2.0466666666666664</v>
      </c>
      <c r="U398" s="7">
        <f t="shared" si="1127"/>
        <v>4.5</v>
      </c>
      <c r="V398" s="38">
        <v>4</v>
      </c>
      <c r="W398" s="4">
        <f t="shared" si="1293"/>
        <v>4</v>
      </c>
      <c r="X398" s="4">
        <f t="shared" si="1294"/>
        <v>5</v>
      </c>
      <c r="Y398" s="7">
        <f t="shared" si="1295"/>
        <v>35.497579142809165</v>
      </c>
      <c r="AB398" s="38">
        <f t="shared" si="1332"/>
        <v>1070.344827586207</v>
      </c>
      <c r="AC398" s="4">
        <v>155.19999999999999</v>
      </c>
      <c r="AD398" s="4">
        <f t="shared" si="1159"/>
        <v>1.4770163586145215</v>
      </c>
      <c r="AE398" s="38">
        <f t="shared" si="1348"/>
        <v>9.5249999999999986</v>
      </c>
      <c r="AF398" s="38">
        <v>10</v>
      </c>
      <c r="AG398" s="39">
        <f>1.75*25.4</f>
        <v>44.449999999999996</v>
      </c>
      <c r="AH398" s="39">
        <v>3</v>
      </c>
      <c r="AI398" s="39">
        <f t="shared" si="1349"/>
        <v>2</v>
      </c>
      <c r="AJ398" s="7"/>
      <c r="AK398" s="4">
        <f t="shared" si="1297"/>
        <v>131.82599999999999</v>
      </c>
      <c r="AL398" s="4">
        <f t="shared" si="1175"/>
        <v>0.85420680796403337</v>
      </c>
      <c r="AM398" s="4">
        <f t="shared" si="1176"/>
        <v>166.73548079390528</v>
      </c>
      <c r="AN398" s="4">
        <f t="shared" si="1177"/>
        <v>0.80838150289017341</v>
      </c>
      <c r="AO398" s="4">
        <v>1.25</v>
      </c>
      <c r="AP398" s="4">
        <f t="shared" si="1112"/>
        <v>2.5</v>
      </c>
      <c r="AQ398" s="38">
        <f t="shared" si="1266"/>
        <v>359.7969221069352</v>
      </c>
      <c r="AR398" s="38">
        <f t="shared" si="1178"/>
        <v>359.7969221069352</v>
      </c>
      <c r="AS398" s="38">
        <f t="shared" si="1179"/>
        <v>4.7518593634836064</v>
      </c>
      <c r="AT398" s="38">
        <f t="shared" si="1121"/>
        <v>359.7969221069352</v>
      </c>
      <c r="AU398" s="38">
        <f t="shared" si="1086"/>
        <v>1</v>
      </c>
      <c r="AV398" s="38">
        <f t="shared" si="1249"/>
        <v>2.5607426126646908</v>
      </c>
      <c r="AW398" s="4">
        <f t="shared" si="1230"/>
        <v>0</v>
      </c>
      <c r="AX398" s="4">
        <f t="shared" si="1298"/>
        <v>381.18648531910492</v>
      </c>
      <c r="AY398" s="4">
        <f t="shared" si="1267"/>
        <v>1.4794788273615636</v>
      </c>
      <c r="AZ398" s="38">
        <f t="shared" si="1102"/>
        <v>921.34731034482752</v>
      </c>
      <c r="BA398" s="4">
        <f t="shared" si="1268"/>
        <v>0.44000000000000006</v>
      </c>
      <c r="BB398" s="4">
        <f t="shared" si="1269"/>
        <v>87.63477297486223</v>
      </c>
      <c r="BC398" s="4">
        <f t="shared" si="1270"/>
        <v>1008.9820833196898</v>
      </c>
      <c r="BE398" s="4">
        <f t="shared" si="1122"/>
        <v>1.5</v>
      </c>
      <c r="BF398" s="4">
        <f t="shared" si="1128"/>
        <v>718.39330447075702</v>
      </c>
      <c r="BH398" s="4">
        <f t="shared" si="1129"/>
        <v>883.68474405469908</v>
      </c>
      <c r="BI398" s="4">
        <f t="shared" si="1350"/>
        <v>0</v>
      </c>
      <c r="BJ398" s="4">
        <f t="shared" si="1130"/>
        <v>0</v>
      </c>
      <c r="BR398" s="4">
        <f t="shared" si="1271"/>
        <v>24.553333333333331</v>
      </c>
      <c r="BV398" s="9"/>
      <c r="BX398" s="9"/>
      <c r="BY398" s="9"/>
      <c r="BZ398" s="9">
        <f t="shared" si="1272"/>
        <v>24.553333333333331</v>
      </c>
      <c r="CA398" s="9">
        <f t="shared" si="1273"/>
        <v>63.5</v>
      </c>
      <c r="CB398" s="9">
        <f t="shared" si="1087"/>
        <v>1.4341608165436117</v>
      </c>
      <c r="CC398" s="40">
        <f t="shared" si="1299"/>
        <v>20</v>
      </c>
      <c r="CD398" s="9">
        <f t="shared" si="1274"/>
        <v>0.05</v>
      </c>
      <c r="CE398" s="9">
        <f t="shared" si="1275"/>
        <v>0.8</v>
      </c>
      <c r="CF398" s="9">
        <f t="shared" si="1276"/>
        <v>1</v>
      </c>
      <c r="CG398" s="9">
        <f t="shared" si="1277"/>
        <v>0.68</v>
      </c>
      <c r="CH398" s="9">
        <f t="shared" si="1088"/>
        <v>2.0757770792545673</v>
      </c>
      <c r="CI398" s="9">
        <f t="shared" si="1089"/>
        <v>4.6376198143498968</v>
      </c>
      <c r="CJ398" s="40">
        <v>1</v>
      </c>
      <c r="CK398" s="9">
        <f t="shared" si="1090"/>
        <v>432.30036861443995</v>
      </c>
      <c r="CM398" s="47">
        <f t="shared" si="1278"/>
        <v>2.8079296323692664</v>
      </c>
      <c r="CN398" s="47">
        <f t="shared" si="1279"/>
        <v>1.0608164855263091</v>
      </c>
      <c r="CO398" s="47">
        <f t="shared" si="1242"/>
        <v>1.4899148153597199</v>
      </c>
      <c r="CP398" s="47">
        <f t="shared" si="1280"/>
        <v>2.4759285563802655</v>
      </c>
      <c r="CQ398" s="47">
        <f t="shared" si="1189"/>
        <v>1.4770163586145215</v>
      </c>
      <c r="CR398" s="47">
        <f t="shared" si="1190"/>
        <v>1.4822322141280799</v>
      </c>
      <c r="CS398" s="47">
        <f t="shared" si="1243"/>
        <v>2.2308393728048879</v>
      </c>
      <c r="CT398" s="4">
        <f t="shared" si="1300"/>
        <v>10</v>
      </c>
      <c r="DA398" s="4">
        <f t="shared" si="1351"/>
        <v>2.8079296323692664</v>
      </c>
      <c r="DB398" s="4">
        <f t="shared" si="1351"/>
        <v>1.0608164855263091</v>
      </c>
      <c r="DC398" s="4">
        <f t="shared" si="1352"/>
        <v>2.4759285563802655</v>
      </c>
      <c r="DD398" s="4">
        <f t="shared" si="1353"/>
        <v>2.2308393728048879</v>
      </c>
      <c r="DE398" s="4">
        <f t="shared" si="1354"/>
        <v>1.4770163586145215</v>
      </c>
      <c r="DF398" s="4">
        <f t="shared" si="1354"/>
        <v>1.4822322141280799</v>
      </c>
      <c r="DI398" s="4">
        <f t="shared" si="1285"/>
        <v>131.82599999999999</v>
      </c>
      <c r="DL398" s="4">
        <f t="shared" si="1166"/>
        <v>1.987401844007391E-5</v>
      </c>
      <c r="DM398" s="4">
        <f t="shared" si="1313"/>
        <v>14.719357433866572</v>
      </c>
      <c r="DN398" s="4">
        <f t="shared" si="1167"/>
        <v>0.16332608618565578</v>
      </c>
      <c r="DO398" s="4">
        <f t="shared" si="1168"/>
        <v>7.1303537009958502</v>
      </c>
      <c r="DP398" s="4">
        <f t="shared" si="1169"/>
        <v>11.571998230954497</v>
      </c>
      <c r="DQ398" s="4">
        <f t="shared" si="1170"/>
        <v>14.007178283150786</v>
      </c>
      <c r="DR398" s="38">
        <f t="shared" si="1183"/>
        <v>724.66687409624717</v>
      </c>
      <c r="DS398" s="4">
        <f t="shared" si="1095"/>
        <v>1.000088942262886</v>
      </c>
      <c r="DT398" s="4">
        <f t="shared" si="1171"/>
        <v>2.2360679774997898</v>
      </c>
      <c r="DU398" s="4">
        <f t="shared" si="1103"/>
        <v>359.7969221069352</v>
      </c>
      <c r="DY398" s="4">
        <f t="shared" si="1331"/>
        <v>0.85</v>
      </c>
      <c r="DZ398" s="4">
        <f t="shared" si="1096"/>
        <v>0.94533333333333336</v>
      </c>
      <c r="EA398" s="4">
        <f t="shared" si="1184"/>
        <v>0.7</v>
      </c>
      <c r="EB398" s="4">
        <f t="shared" si="1097"/>
        <v>0.7</v>
      </c>
      <c r="ED398" s="4">
        <f t="shared" si="1185"/>
        <v>722.11682986247547</v>
      </c>
      <c r="EE398" s="25">
        <f t="shared" si="1186"/>
        <v>355.4281974699914</v>
      </c>
      <c r="EG398" s="4">
        <f t="shared" si="1104"/>
        <v>0.59499999999999997</v>
      </c>
      <c r="EH398" s="4">
        <f t="shared" si="1187"/>
        <v>14.719357433866572</v>
      </c>
      <c r="EK398" s="4">
        <f t="shared" si="1172"/>
        <v>35.497579142809165</v>
      </c>
      <c r="EL398" s="4">
        <f t="shared" si="1173"/>
        <v>2.2360679774997898</v>
      </c>
      <c r="EM398" s="4">
        <f t="shared" si="1174"/>
        <v>7.7892308564433063E-2</v>
      </c>
      <c r="EP398" s="4">
        <f t="shared" si="1301"/>
        <v>7.7892308564433063E-2</v>
      </c>
      <c r="EQ398" s="4">
        <f t="shared" si="1257"/>
        <v>0.16305352538765638</v>
      </c>
      <c r="ER398" s="4">
        <f t="shared" si="1314"/>
        <v>7.1255916233968595</v>
      </c>
      <c r="ES398" s="4">
        <f t="shared" si="1286"/>
        <v>11.57055098542124</v>
      </c>
      <c r="ET398" s="4">
        <f t="shared" si="1315"/>
        <v>63.371920857190823</v>
      </c>
      <c r="EU398" s="4">
        <f t="shared" si="1316"/>
        <v>32.956499999999998</v>
      </c>
      <c r="EV398" s="4">
        <f t="shared" si="1098"/>
        <v>1.987401844007391E-5</v>
      </c>
      <c r="EW398" s="4">
        <f t="shared" si="1287"/>
        <v>14.007329386301928</v>
      </c>
      <c r="EX398" s="4">
        <f t="shared" si="1131"/>
        <v>724.60242631675783</v>
      </c>
      <c r="FG398" s="23">
        <f t="shared" si="1329"/>
        <v>2.2000000000000002</v>
      </c>
      <c r="FH398" s="23">
        <f t="shared" si="1329"/>
        <v>1.2</v>
      </c>
      <c r="FI398" s="23">
        <f t="shared" si="1248"/>
        <v>2.2000000000000002</v>
      </c>
      <c r="FJ398" s="23">
        <f t="shared" si="1330"/>
        <v>2.2000000000000002</v>
      </c>
      <c r="FK398" s="23">
        <f t="shared" si="1330"/>
        <v>1.6</v>
      </c>
      <c r="FL398" s="23">
        <f t="shared" si="1330"/>
        <v>1.6</v>
      </c>
      <c r="FM398" s="23">
        <f t="shared" si="1195"/>
        <v>0</v>
      </c>
      <c r="FN398" s="23"/>
      <c r="FX398" s="4">
        <f t="shared" si="1099"/>
        <v>1</v>
      </c>
      <c r="FY398" s="4">
        <f t="shared" si="1139"/>
        <v>0.64469834033993467</v>
      </c>
      <c r="FZ398" s="4">
        <f t="shared" si="1100"/>
        <v>0.3</v>
      </c>
      <c r="GA398" s="4">
        <f t="shared" si="1101"/>
        <v>479.79466412251668</v>
      </c>
    </row>
    <row r="399" spans="1:183" ht="12" customHeight="1" x14ac:dyDescent="0.3">
      <c r="A399" s="25">
        <v>381</v>
      </c>
      <c r="B399" s="4" t="s">
        <v>605</v>
      </c>
      <c r="C399" s="4">
        <v>2016</v>
      </c>
      <c r="D399" s="4" t="s">
        <v>309</v>
      </c>
      <c r="E399" s="14" t="s">
        <v>547</v>
      </c>
      <c r="F399" s="7" t="s">
        <v>548</v>
      </c>
      <c r="G399" s="38">
        <f>135/0.145</f>
        <v>931.0344827586207</v>
      </c>
      <c r="H399" s="38">
        <f>16.56*25.4</f>
        <v>420.62399999999997</v>
      </c>
      <c r="I399" s="4">
        <f t="shared" si="1288"/>
        <v>420.62399999999997</v>
      </c>
      <c r="J399" s="38">
        <f>4050/145</f>
        <v>27.931034482758619</v>
      </c>
      <c r="K399" s="38">
        <f>1.41*25.4</f>
        <v>35.813999999999993</v>
      </c>
      <c r="L399" s="7">
        <f t="shared" si="1289"/>
        <v>11.744680851063832</v>
      </c>
      <c r="M399" s="7">
        <f t="shared" si="1290"/>
        <v>11.744680851063832</v>
      </c>
      <c r="N399" s="38">
        <f>21.9*25.4</f>
        <v>556.25999999999988</v>
      </c>
      <c r="O399" s="38">
        <f t="shared" si="1337"/>
        <v>63.5</v>
      </c>
      <c r="P399" s="39">
        <f>4*25.4</f>
        <v>101.6</v>
      </c>
      <c r="Q399" s="7">
        <f t="shared" si="1291"/>
        <v>357.63199999999989</v>
      </c>
      <c r="R399" s="38">
        <v>2</v>
      </c>
      <c r="S399" s="4">
        <f>20*25.4</f>
        <v>508</v>
      </c>
      <c r="T399" s="7">
        <f t="shared" si="1292"/>
        <v>2.2730496453900715</v>
      </c>
      <c r="U399" s="7">
        <f t="shared" si="1127"/>
        <v>2.2730496453900715</v>
      </c>
      <c r="V399" s="38">
        <v>3.8</v>
      </c>
      <c r="W399" s="4">
        <f t="shared" si="1293"/>
        <v>3.8</v>
      </c>
      <c r="X399" s="4">
        <f t="shared" si="1294"/>
        <v>4.8</v>
      </c>
      <c r="Y399" s="7">
        <f t="shared" si="1295"/>
        <v>78.464542697960056</v>
      </c>
      <c r="AB399" s="38">
        <f t="shared" si="1332"/>
        <v>431.0344827586207</v>
      </c>
      <c r="AC399" s="4">
        <v>62.5</v>
      </c>
      <c r="AD399" s="4">
        <f t="shared" si="1159"/>
        <v>0.9223210736286156</v>
      </c>
      <c r="AE399" s="38"/>
      <c r="AF399" s="38"/>
      <c r="AG399" s="39">
        <v>1</v>
      </c>
      <c r="AH399" s="39"/>
      <c r="AI399" s="39"/>
      <c r="AJ399" s="7"/>
      <c r="AK399" s="4">
        <f t="shared" si="1297"/>
        <v>420.62399999999997</v>
      </c>
      <c r="AL399" s="4">
        <f t="shared" si="1175"/>
        <v>0.44082125603864725</v>
      </c>
      <c r="AM399" s="4">
        <f t="shared" si="1176"/>
        <v>226.28671014164769</v>
      </c>
      <c r="AN399" s="4">
        <f t="shared" si="1177"/>
        <v>0.73870772946859897</v>
      </c>
      <c r="AO399" s="4">
        <v>1.25</v>
      </c>
      <c r="AP399" s="4">
        <f t="shared" si="1112"/>
        <v>2.5</v>
      </c>
      <c r="AQ399" s="38">
        <f t="shared" si="1266"/>
        <v>230.27364801496174</v>
      </c>
      <c r="AR399" s="38">
        <f t="shared" si="1178"/>
        <v>230.27364801496174</v>
      </c>
      <c r="AS399" s="38">
        <f t="shared" si="1179"/>
        <v>2.761717606769436</v>
      </c>
      <c r="AT399" s="38">
        <f t="shared" si="1121"/>
        <v>230.27364801496179</v>
      </c>
      <c r="AU399" s="38">
        <f t="shared" si="1086"/>
        <v>0.99999999999999978</v>
      </c>
      <c r="AV399" s="38">
        <f t="shared" si="1249"/>
        <v>1.0749134448372641</v>
      </c>
      <c r="AW399" s="4">
        <f t="shared" si="1230"/>
        <v>0</v>
      </c>
      <c r="AX399" s="4">
        <f t="shared" si="1298"/>
        <v>326.68645582856072</v>
      </c>
      <c r="AY399" s="4">
        <f t="shared" si="1267"/>
        <v>1</v>
      </c>
      <c r="AZ399" s="38">
        <f t="shared" si="1102"/>
        <v>247.52424024300623</v>
      </c>
      <c r="BA399" s="4">
        <f t="shared" si="1268"/>
        <v>0.46800000000000008</v>
      </c>
      <c r="BB399" s="4">
        <f t="shared" si="1269"/>
        <v>79.884639043757986</v>
      </c>
      <c r="BC399" s="4">
        <f t="shared" si="1270"/>
        <v>327.4088792867642</v>
      </c>
      <c r="BE399" s="4">
        <f t="shared" si="1122"/>
        <v>1.1932624113475179</v>
      </c>
      <c r="BF399" s="4">
        <f t="shared" si="1128"/>
        <v>411.390030865977</v>
      </c>
      <c r="BH399" s="4">
        <f t="shared" si="1129"/>
        <v>237.40601663515</v>
      </c>
      <c r="BI399" s="4">
        <f t="shared" si="1350"/>
        <v>0</v>
      </c>
      <c r="BJ399" s="4">
        <f t="shared" si="1130"/>
        <v>0</v>
      </c>
      <c r="BR399" s="4">
        <f t="shared" si="1271"/>
        <v>63.5</v>
      </c>
      <c r="BV399" s="9"/>
      <c r="BX399" s="9"/>
      <c r="BY399" s="9"/>
      <c r="BZ399" s="9">
        <f t="shared" si="1272"/>
        <v>63.5</v>
      </c>
      <c r="CA399" s="9">
        <f t="shared" si="1273"/>
        <v>178.81599999999995</v>
      </c>
      <c r="CB399" s="9">
        <f t="shared" si="1087"/>
        <v>1.5552683910541685</v>
      </c>
      <c r="CC399" s="40">
        <f t="shared" si="1299"/>
        <v>0</v>
      </c>
      <c r="CD399" s="9">
        <f t="shared" si="1274"/>
        <v>0</v>
      </c>
      <c r="CE399" s="9">
        <f t="shared" si="1275"/>
        <v>0</v>
      </c>
      <c r="CF399" s="9">
        <f t="shared" si="1276"/>
        <v>0.89777220146327208</v>
      </c>
      <c r="CG399" s="9">
        <f t="shared" si="1277"/>
        <v>0.68</v>
      </c>
      <c r="CH399" s="9">
        <f t="shared" si="1088"/>
        <v>1.129240956903802</v>
      </c>
      <c r="CI399" s="9">
        <f t="shared" si="1089"/>
        <v>1.7562727661562458</v>
      </c>
      <c r="CJ399" s="40">
        <v>1</v>
      </c>
      <c r="CK399" s="9">
        <f t="shared" si="1090"/>
        <v>187.88381847305541</v>
      </c>
      <c r="CM399" s="4">
        <f t="shared" si="1278"/>
        <v>1.3194133857352812</v>
      </c>
      <c r="CN399" s="4">
        <f t="shared" si="1279"/>
        <v>1.3165021171618716</v>
      </c>
      <c r="CO399" s="4">
        <f t="shared" si="1242"/>
        <v>1.0477514047953278</v>
      </c>
      <c r="CP399" s="4">
        <f t="shared" si="1280"/>
        <v>2.2941543676388276</v>
      </c>
      <c r="CQ399" s="4">
        <f t="shared" si="1189"/>
        <v>0.9223210736286156</v>
      </c>
      <c r="CR399" s="4">
        <f t="shared" si="1190"/>
        <v>1.0182198876788391</v>
      </c>
      <c r="CS399" s="4">
        <f t="shared" si="1243"/>
        <v>0.95053003455679075</v>
      </c>
      <c r="CT399" s="4">
        <f t="shared" si="1300"/>
        <v>0</v>
      </c>
      <c r="CU399" s="4">
        <f t="shared" ref="CU399:CV399" si="1355">CM399</f>
        <v>1.3194133857352812</v>
      </c>
      <c r="CV399" s="4">
        <f t="shared" si="1355"/>
        <v>1.3165021171618716</v>
      </c>
      <c r="CW399" s="4">
        <f t="shared" ref="CW399" si="1356">CP399</f>
        <v>2.2941543676388276</v>
      </c>
      <c r="CX399" s="4">
        <f t="shared" ref="CX399" si="1357">CS399</f>
        <v>0.95053003455679075</v>
      </c>
      <c r="CY399" s="4">
        <f t="shared" ref="CY399:CZ399" si="1358">CQ399</f>
        <v>0.9223210736286156</v>
      </c>
      <c r="CZ399" s="4">
        <f t="shared" si="1358"/>
        <v>1.0182198876788391</v>
      </c>
      <c r="DI399" s="4">
        <f t="shared" si="1285"/>
        <v>420.62399999999997</v>
      </c>
      <c r="DL399" s="4">
        <f t="shared" si="1166"/>
        <v>2.0661842577189241E-5</v>
      </c>
      <c r="DM399" s="4">
        <f t="shared" si="1313"/>
        <v>5.5362830674967025</v>
      </c>
      <c r="DN399" s="4">
        <f t="shared" si="1167"/>
        <v>0.66239027581160248</v>
      </c>
      <c r="DO399" s="4">
        <f t="shared" si="1168"/>
        <v>4.695305626185454</v>
      </c>
      <c r="DP399" s="4">
        <f t="shared" si="1169"/>
        <v>5.133057714115556</v>
      </c>
      <c r="DQ399" s="4">
        <f t="shared" si="1170"/>
        <v>5.1121815424678534</v>
      </c>
      <c r="DR399" s="38">
        <f t="shared" si="1183"/>
        <v>467.33669552061247</v>
      </c>
      <c r="DS399" s="4">
        <f t="shared" si="1095"/>
        <v>1.0001367016551315</v>
      </c>
      <c r="DT399" s="4">
        <f t="shared" si="1171"/>
        <v>2.1908902300206643</v>
      </c>
      <c r="DU399" s="4">
        <f t="shared" si="1103"/>
        <v>230.27364801496179</v>
      </c>
      <c r="DY399" s="4">
        <f t="shared" si="1331"/>
        <v>0.85</v>
      </c>
      <c r="DZ399" s="4">
        <f t="shared" si="1096"/>
        <v>0.92269503546099285</v>
      </c>
      <c r="EA399" s="4">
        <f t="shared" si="1184"/>
        <v>1</v>
      </c>
      <c r="EB399" s="4">
        <f t="shared" si="1097"/>
        <v>0.92269503546099285</v>
      </c>
      <c r="ED399" s="4">
        <f t="shared" si="1185"/>
        <v>423.32161056215301</v>
      </c>
      <c r="EE399" s="25">
        <f t="shared" si="1186"/>
        <v>228.25597737546067</v>
      </c>
      <c r="EG399" s="4">
        <f t="shared" si="1104"/>
        <v>0.78429078014184395</v>
      </c>
      <c r="EH399" s="4">
        <f t="shared" si="1187"/>
        <v>5.5362830674967025</v>
      </c>
      <c r="EK399" s="4">
        <f t="shared" si="1172"/>
        <v>78.464542697960056</v>
      </c>
      <c r="EL399" s="4">
        <f t="shared" si="1173"/>
        <v>2.1908902300206643</v>
      </c>
      <c r="EM399" s="4">
        <f t="shared" si="1174"/>
        <v>0.19142238549023421</v>
      </c>
      <c r="EP399" s="4">
        <f t="shared" si="1301"/>
        <v>0.19142238549023421</v>
      </c>
      <c r="EQ399" s="4">
        <f t="shared" si="1257"/>
        <v>0.66128486989403812</v>
      </c>
      <c r="ER399" s="4">
        <f t="shared" si="1314"/>
        <v>4.6921698196489912</v>
      </c>
      <c r="ES399" s="4">
        <f t="shared" si="1286"/>
        <v>5.1316239823884038</v>
      </c>
      <c r="ET399" s="4">
        <f t="shared" si="1315"/>
        <v>237.00345730203992</v>
      </c>
      <c r="EU399" s="4">
        <f t="shared" si="1316"/>
        <v>105.15600000000001</v>
      </c>
      <c r="EV399" s="4">
        <f t="shared" si="1098"/>
        <v>2.0661842577189244E-5</v>
      </c>
      <c r="EW399" s="4">
        <f t="shared" si="1287"/>
        <v>5.1123139797210948</v>
      </c>
      <c r="EX399" s="4">
        <f t="shared" si="1131"/>
        <v>467.27281855291835</v>
      </c>
      <c r="FG399" s="23">
        <f t="shared" si="1329"/>
        <v>1.4</v>
      </c>
      <c r="FH399" s="23">
        <f t="shared" si="1329"/>
        <v>1.4</v>
      </c>
      <c r="FI399" s="23">
        <f t="shared" si="1248"/>
        <v>1</v>
      </c>
      <c r="FJ399" s="23">
        <f t="shared" si="1330"/>
        <v>2.2000000000000002</v>
      </c>
      <c r="FK399" s="23">
        <f t="shared" si="1330"/>
        <v>1</v>
      </c>
      <c r="FL399" s="23">
        <f t="shared" si="1330"/>
        <v>1.2</v>
      </c>
      <c r="FM399" s="23">
        <f t="shared" si="1195"/>
        <v>0</v>
      </c>
      <c r="FN399" s="23"/>
      <c r="FX399" s="4">
        <f t="shared" si="1099"/>
        <v>1</v>
      </c>
      <c r="FY399" s="4">
        <f t="shared" si="1139"/>
        <v>0.5</v>
      </c>
      <c r="FZ399" s="4">
        <f t="shared" si="1100"/>
        <v>0</v>
      </c>
      <c r="GA399" s="4">
        <f t="shared" si="1101"/>
        <v>453.46750453772006</v>
      </c>
    </row>
    <row r="400" spans="1:183" ht="12" customHeight="1" x14ac:dyDescent="0.3">
      <c r="A400" s="25">
        <v>382</v>
      </c>
      <c r="B400" s="4" t="s">
        <v>605</v>
      </c>
      <c r="C400" s="4">
        <v>2016</v>
      </c>
      <c r="D400" s="4" t="s">
        <v>309</v>
      </c>
      <c r="E400" s="14" t="s">
        <v>547</v>
      </c>
      <c r="F400" s="7" t="s">
        <v>549</v>
      </c>
      <c r="G400" s="38">
        <f t="shared" ref="G400:G406" si="1359">135/0.145</f>
        <v>931.0344827586207</v>
      </c>
      <c r="H400" s="38">
        <f>17.44*25.4</f>
        <v>442.976</v>
      </c>
      <c r="I400" s="4">
        <f t="shared" si="1288"/>
        <v>442.976</v>
      </c>
      <c r="J400" s="38">
        <f>4050/145</f>
        <v>27.931034482758619</v>
      </c>
      <c r="K400" s="38">
        <f t="shared" ref="K400:K406" si="1360">1.41*25.4</f>
        <v>35.813999999999993</v>
      </c>
      <c r="L400" s="7">
        <f t="shared" si="1289"/>
        <v>12.368794326241137</v>
      </c>
      <c r="M400" s="7">
        <f t="shared" si="1290"/>
        <v>12.368794326241137</v>
      </c>
      <c r="N400" s="38">
        <f>21.7*25.4</f>
        <v>551.17999999999995</v>
      </c>
      <c r="O400" s="38">
        <f>2.6*25.4</f>
        <v>66.039999999999992</v>
      </c>
      <c r="P400" s="39">
        <f>3*25.4</f>
        <v>76.199999999999989</v>
      </c>
      <c r="Q400" s="7">
        <f t="shared" si="1291"/>
        <v>347.47199999999998</v>
      </c>
      <c r="R400" s="38">
        <v>2</v>
      </c>
      <c r="S400" s="4">
        <f t="shared" ref="S400:S449" si="1361">20*25.4</f>
        <v>508</v>
      </c>
      <c r="T400" s="7">
        <f t="shared" si="1292"/>
        <v>2.3439716312056742</v>
      </c>
      <c r="U400" s="7">
        <f t="shared" si="1127"/>
        <v>2.3439716312056742</v>
      </c>
      <c r="V400" s="38">
        <v>3.8</v>
      </c>
      <c r="W400" s="4">
        <f t="shared" si="1293"/>
        <v>3.8</v>
      </c>
      <c r="X400" s="4">
        <f t="shared" si="1294"/>
        <v>4.8</v>
      </c>
      <c r="Y400" s="7">
        <f t="shared" si="1295"/>
        <v>78.464542697960056</v>
      </c>
      <c r="AB400" s="38">
        <f t="shared" si="1332"/>
        <v>522.75862068965523</v>
      </c>
      <c r="AC400" s="4">
        <v>75.8</v>
      </c>
      <c r="AD400" s="4">
        <f t="shared" si="1159"/>
        <v>1.0760378613885915</v>
      </c>
      <c r="AE400" s="38">
        <f>0.5*25.4</f>
        <v>12.7</v>
      </c>
      <c r="AF400" s="38">
        <v>4</v>
      </c>
      <c r="AG400" s="39">
        <f>8*25.4</f>
        <v>203.2</v>
      </c>
      <c r="AH400" s="39">
        <v>2</v>
      </c>
      <c r="AI400" s="39">
        <f t="shared" ref="AI400" si="1362">AH400-1</f>
        <v>1</v>
      </c>
      <c r="AJ400" s="7"/>
      <c r="AK400" s="4">
        <f t="shared" si="1297"/>
        <v>442.976</v>
      </c>
      <c r="AL400" s="4">
        <f t="shared" si="1175"/>
        <v>0.4147553516819571</v>
      </c>
      <c r="AM400" s="4">
        <f t="shared" si="1176"/>
        <v>244.56160209111823</v>
      </c>
      <c r="AN400" s="4">
        <f t="shared" si="1177"/>
        <v>0.73790137614678897</v>
      </c>
      <c r="AO400" s="4">
        <v>1.25</v>
      </c>
      <c r="AP400" s="4">
        <f t="shared" si="1112"/>
        <v>2.5</v>
      </c>
      <c r="AQ400" s="38">
        <f t="shared" si="1266"/>
        <v>233.89913258342173</v>
      </c>
      <c r="AR400" s="38">
        <f t="shared" si="1178"/>
        <v>233.89913258342173</v>
      </c>
      <c r="AS400" s="38">
        <f t="shared" si="1179"/>
        <v>2.761717606769436</v>
      </c>
      <c r="AT400" s="38">
        <f t="shared" si="1121"/>
        <v>233.89913258342185</v>
      </c>
      <c r="AU400" s="38">
        <f t="shared" si="1086"/>
        <v>0.99999999999999956</v>
      </c>
      <c r="AV400" s="38">
        <f t="shared" si="1249"/>
        <v>1.0912708509945452</v>
      </c>
      <c r="AW400" s="4">
        <f t="shared" si="1230"/>
        <v>0</v>
      </c>
      <c r="AX400" s="4">
        <f t="shared" si="1298"/>
        <v>344.04660565519924</v>
      </c>
      <c r="AY400" s="4">
        <f t="shared" si="1267"/>
        <v>1</v>
      </c>
      <c r="AZ400" s="38">
        <f t="shared" si="1102"/>
        <v>255.24730546119673</v>
      </c>
      <c r="BA400" s="4">
        <f t="shared" si="1268"/>
        <v>0.46800000000000008</v>
      </c>
      <c r="BB400" s="4">
        <f t="shared" si="1269"/>
        <v>84.129716480865909</v>
      </c>
      <c r="BC400" s="4">
        <f t="shared" si="1270"/>
        <v>339.37702194206264</v>
      </c>
      <c r="BE400" s="4">
        <f t="shared" si="1122"/>
        <v>1.4895028948217903</v>
      </c>
      <c r="BF400" s="4">
        <f t="shared" si="1128"/>
        <v>528.26117514746761</v>
      </c>
      <c r="BH400" s="4">
        <f t="shared" si="1129"/>
        <v>244.81338064872722</v>
      </c>
      <c r="BI400" s="4">
        <f t="shared" si="1350"/>
        <v>0</v>
      </c>
      <c r="BJ400" s="4">
        <f t="shared" si="1130"/>
        <v>0</v>
      </c>
      <c r="BR400" s="4">
        <f t="shared" si="1271"/>
        <v>66.039999999999992</v>
      </c>
      <c r="BV400" s="9"/>
      <c r="BX400" s="9"/>
      <c r="BY400" s="9"/>
      <c r="BZ400" s="9">
        <f t="shared" si="1272"/>
        <v>66.039999999999992</v>
      </c>
      <c r="CA400" s="9">
        <f t="shared" si="1273"/>
        <v>173.73599999999999</v>
      </c>
      <c r="CB400" s="9">
        <f t="shared" si="1087"/>
        <v>1.5699634099271278</v>
      </c>
      <c r="CC400" s="40">
        <f t="shared" si="1299"/>
        <v>20</v>
      </c>
      <c r="CD400" s="9">
        <f t="shared" si="1274"/>
        <v>0.05</v>
      </c>
      <c r="CE400" s="9">
        <f t="shared" si="1275"/>
        <v>0.8</v>
      </c>
      <c r="CF400" s="9">
        <f t="shared" si="1276"/>
        <v>0.89777220146327208</v>
      </c>
      <c r="CG400" s="9">
        <f t="shared" si="1277"/>
        <v>0.68</v>
      </c>
      <c r="CH400" s="9">
        <f t="shared" si="1088"/>
        <v>1.129240956903802</v>
      </c>
      <c r="CI400" s="9">
        <f t="shared" si="1089"/>
        <v>2.6762597488531075</v>
      </c>
      <c r="CJ400" s="40">
        <v>1</v>
      </c>
      <c r="CK400" s="9">
        <f t="shared" si="1090"/>
        <v>292.98401051983387</v>
      </c>
      <c r="CM400" s="4">
        <f t="shared" si="1278"/>
        <v>1.5194412968967341</v>
      </c>
      <c r="CN400" s="4">
        <f t="shared" si="1279"/>
        <v>1.5403477162307675</v>
      </c>
      <c r="CO400" s="4">
        <f t="shared" si="1242"/>
        <v>0.9895836477926353</v>
      </c>
      <c r="CP400" s="4">
        <f t="shared" si="1280"/>
        <v>1.7842564847212592</v>
      </c>
      <c r="CQ400" s="4">
        <f t="shared" si="1189"/>
        <v>1.0760378613885915</v>
      </c>
      <c r="CR400" s="4">
        <f t="shared" si="1190"/>
        <v>1.1905256945812908</v>
      </c>
      <c r="CS400" s="4">
        <f t="shared" si="1243"/>
        <v>0.96797883882138447</v>
      </c>
      <c r="CT400" s="4">
        <f t="shared" si="1300"/>
        <v>4</v>
      </c>
      <c r="DA400" s="4">
        <f t="shared" ref="DA400:DB401" si="1363">CM400</f>
        <v>1.5194412968967341</v>
      </c>
      <c r="DB400" s="4">
        <f t="shared" si="1363"/>
        <v>1.5403477162307675</v>
      </c>
      <c r="DC400" s="4">
        <f t="shared" ref="DC400:DC401" si="1364">CP400</f>
        <v>1.7842564847212592</v>
      </c>
      <c r="DD400" s="4">
        <f t="shared" ref="DD400:DD401" si="1365">CS400</f>
        <v>0.96797883882138447</v>
      </c>
      <c r="DE400" s="4">
        <f t="shared" ref="DE400:DF401" si="1366">CQ400</f>
        <v>1.0760378613885915</v>
      </c>
      <c r="DF400" s="4">
        <f t="shared" si="1366"/>
        <v>1.1905256945812908</v>
      </c>
      <c r="DI400" s="4">
        <f t="shared" si="1285"/>
        <v>442.976</v>
      </c>
      <c r="DL400" s="4">
        <f t="shared" si="1166"/>
        <v>2.1759814888054373E-5</v>
      </c>
      <c r="DM400" s="4">
        <f t="shared" si="1313"/>
        <v>5.5816724777772073</v>
      </c>
      <c r="DN400" s="4">
        <f t="shared" si="1167"/>
        <v>0.67281911013092033</v>
      </c>
      <c r="DO400" s="4">
        <f t="shared" si="1168"/>
        <v>4.7634726565456242</v>
      </c>
      <c r="DP400" s="4">
        <f t="shared" si="1169"/>
        <v>5.1887352956739976</v>
      </c>
      <c r="DQ400" s="4">
        <f t="shared" si="1170"/>
        <v>5.1024001629185483</v>
      </c>
      <c r="DR400" s="38">
        <f t="shared" si="1183"/>
        <v>485.81805478020306</v>
      </c>
      <c r="DS400" s="4">
        <f t="shared" si="1095"/>
        <v>1.0001387909294885</v>
      </c>
      <c r="DT400" s="4">
        <f t="shared" si="1171"/>
        <v>2.1908902300206643</v>
      </c>
      <c r="DU400" s="4">
        <f t="shared" si="1103"/>
        <v>233.89913258342185</v>
      </c>
      <c r="DY400" s="4">
        <f t="shared" si="1331"/>
        <v>0.85</v>
      </c>
      <c r="DZ400" s="4">
        <f t="shared" si="1096"/>
        <v>0.91560283687943256</v>
      </c>
      <c r="EA400" s="4">
        <f t="shared" si="1184"/>
        <v>0.9995510789195714</v>
      </c>
      <c r="EB400" s="4">
        <f t="shared" si="1097"/>
        <v>0.91519180346465712</v>
      </c>
      <c r="ED400" s="4">
        <f t="shared" si="1185"/>
        <v>439.09898212949531</v>
      </c>
      <c r="EE400" s="25">
        <f t="shared" si="1186"/>
        <v>231.98330550729423</v>
      </c>
      <c r="EG400" s="4">
        <f t="shared" si="1104"/>
        <v>0.7779130329449585</v>
      </c>
      <c r="EH400" s="4">
        <f t="shared" si="1187"/>
        <v>5.5816724777772073</v>
      </c>
      <c r="EK400" s="4">
        <f t="shared" si="1172"/>
        <v>78.464542697960056</v>
      </c>
      <c r="EL400" s="4">
        <f t="shared" si="1173"/>
        <v>2.1908902300206643</v>
      </c>
      <c r="EM400" s="4">
        <f t="shared" si="1174"/>
        <v>0.1944361862904351</v>
      </c>
      <c r="EP400" s="4">
        <f t="shared" si="1301"/>
        <v>0.1944361862904351</v>
      </c>
      <c r="EQ400" s="4">
        <f t="shared" si="1257"/>
        <v>0.6716963004325478</v>
      </c>
      <c r="ER400" s="4">
        <f t="shared" si="1314"/>
        <v>4.7602913239803168</v>
      </c>
      <c r="ES400" s="4">
        <f t="shared" si="1286"/>
        <v>5.1872754439165325</v>
      </c>
      <c r="ET400" s="4">
        <f t="shared" si="1315"/>
        <v>253.76745730203993</v>
      </c>
      <c r="EU400" s="4">
        <f t="shared" si="1316"/>
        <v>110.74400000000003</v>
      </c>
      <c r="EV400" s="4">
        <f t="shared" si="1098"/>
        <v>2.1759814888054376E-5</v>
      </c>
      <c r="EW400" s="4">
        <f t="shared" si="1287"/>
        <v>5.1025487900102364</v>
      </c>
      <c r="EX400" s="4">
        <f t="shared" si="1131"/>
        <v>485.75063699779446</v>
      </c>
      <c r="FG400" s="23">
        <f t="shared" si="1329"/>
        <v>1.6</v>
      </c>
      <c r="FH400" s="23">
        <f t="shared" si="1329"/>
        <v>1.6</v>
      </c>
      <c r="FI400" s="23">
        <f t="shared" si="1248"/>
        <v>1</v>
      </c>
      <c r="FJ400" s="23">
        <f t="shared" si="1330"/>
        <v>1.8</v>
      </c>
      <c r="FK400" s="23">
        <f t="shared" si="1330"/>
        <v>1.2</v>
      </c>
      <c r="FL400" s="23">
        <f t="shared" si="1330"/>
        <v>1.2</v>
      </c>
      <c r="FM400" s="23">
        <f t="shared" si="1195"/>
        <v>0</v>
      </c>
      <c r="FN400" s="23"/>
      <c r="FX400" s="4">
        <f t="shared" si="1099"/>
        <v>1</v>
      </c>
      <c r="FY400" s="4">
        <f t="shared" si="1139"/>
        <v>0.44214730608235164</v>
      </c>
      <c r="FZ400" s="4">
        <f t="shared" si="1100"/>
        <v>0.25149640360142855</v>
      </c>
      <c r="GA400" s="4">
        <f t="shared" si="1101"/>
        <v>540.05170332666421</v>
      </c>
    </row>
    <row r="401" spans="1:183" ht="12" customHeight="1" x14ac:dyDescent="0.3">
      <c r="A401" s="25">
        <v>383</v>
      </c>
      <c r="B401" s="4" t="s">
        <v>605</v>
      </c>
      <c r="C401" s="4">
        <v>2016</v>
      </c>
      <c r="D401" s="4" t="s">
        <v>309</v>
      </c>
      <c r="E401" s="14" t="s">
        <v>675</v>
      </c>
      <c r="F401" s="7" t="s">
        <v>550</v>
      </c>
      <c r="G401" s="38">
        <f t="shared" si="1359"/>
        <v>931.0344827586207</v>
      </c>
      <c r="H401" s="38">
        <f>16.72*25.4</f>
        <v>424.68799999999993</v>
      </c>
      <c r="I401" s="4">
        <f t="shared" si="1288"/>
        <v>424.68799999999993</v>
      </c>
      <c r="J401" s="38">
        <f>4050/145</f>
        <v>27.931034482758619</v>
      </c>
      <c r="K401" s="38">
        <f t="shared" si="1360"/>
        <v>35.813999999999993</v>
      </c>
      <c r="L401" s="7">
        <f t="shared" si="1289"/>
        <v>11.858156028368795</v>
      </c>
      <c r="M401" s="7">
        <f t="shared" si="1290"/>
        <v>11.858156028368795</v>
      </c>
      <c r="N401" s="38">
        <f>21.4*25.4</f>
        <v>543.55999999999995</v>
      </c>
      <c r="O401" s="38">
        <f>2.5*25.4</f>
        <v>63.5</v>
      </c>
      <c r="P401" s="39">
        <f>3.8*25.4</f>
        <v>96.52</v>
      </c>
      <c r="Q401" s="7">
        <f t="shared" si="1291"/>
        <v>344.93199999999996</v>
      </c>
      <c r="R401" s="38">
        <v>2</v>
      </c>
      <c r="S401" s="4">
        <f t="shared" si="1361"/>
        <v>508</v>
      </c>
      <c r="T401" s="7">
        <f t="shared" si="1292"/>
        <v>2.2730496453900715</v>
      </c>
      <c r="U401" s="7">
        <f t="shared" si="1127"/>
        <v>2.2730496453900715</v>
      </c>
      <c r="V401" s="38">
        <v>3.8</v>
      </c>
      <c r="W401" s="4">
        <f t="shared" si="1293"/>
        <v>3.8</v>
      </c>
      <c r="X401" s="4">
        <f t="shared" si="1294"/>
        <v>4.8</v>
      </c>
      <c r="Y401" s="7">
        <f t="shared" si="1295"/>
        <v>78.464542697960056</v>
      </c>
      <c r="AB401" s="38">
        <f t="shared" si="1332"/>
        <v>513.79310344827593</v>
      </c>
      <c r="AC401" s="4">
        <v>74.5</v>
      </c>
      <c r="AD401" s="4">
        <f t="shared" si="1159"/>
        <v>1.0622002196076112</v>
      </c>
      <c r="AE401" s="38">
        <f>0.5*25.4</f>
        <v>12.7</v>
      </c>
      <c r="AF401" s="38">
        <v>12</v>
      </c>
      <c r="AG401" s="39">
        <f>4*25.4</f>
        <v>101.6</v>
      </c>
      <c r="AH401" s="39">
        <v>4</v>
      </c>
      <c r="AI401" s="39">
        <v>2</v>
      </c>
      <c r="AJ401" s="7"/>
      <c r="AK401" s="4">
        <f t="shared" si="1297"/>
        <v>424.68799999999993</v>
      </c>
      <c r="AL401" s="4">
        <f t="shared" si="1175"/>
        <v>0.42663476874003192</v>
      </c>
      <c r="AM401" s="4">
        <f t="shared" si="1176"/>
        <v>229.5741365097727</v>
      </c>
      <c r="AN401" s="4">
        <f t="shared" si="1177"/>
        <v>0.73833732057416268</v>
      </c>
      <c r="AO401" s="4">
        <v>1.25</v>
      </c>
      <c r="AP401" s="4">
        <f t="shared" si="1112"/>
        <v>2.5</v>
      </c>
      <c r="AQ401" s="38">
        <f t="shared" si="1266"/>
        <v>225.98730751771248</v>
      </c>
      <c r="AR401" s="38">
        <f t="shared" si="1178"/>
        <v>225.98730751771248</v>
      </c>
      <c r="AS401" s="38">
        <f t="shared" si="1179"/>
        <v>2.761717606769436</v>
      </c>
      <c r="AT401" s="38">
        <f t="shared" si="1121"/>
        <v>225.98730751771248</v>
      </c>
      <c r="AU401" s="38">
        <f t="shared" si="1086"/>
        <v>1</v>
      </c>
      <c r="AV401" s="38">
        <f t="shared" si="1249"/>
        <v>1.095301514770274</v>
      </c>
      <c r="AW401" s="4">
        <f t="shared" si="1230"/>
        <v>0</v>
      </c>
      <c r="AX401" s="4">
        <f t="shared" si="1298"/>
        <v>329.84284670613135</v>
      </c>
      <c r="AY401" s="4">
        <f t="shared" si="1267"/>
        <v>1</v>
      </c>
      <c r="AZ401" s="38">
        <f t="shared" si="1102"/>
        <v>247.52424024300623</v>
      </c>
      <c r="BA401" s="4">
        <f t="shared" si="1268"/>
        <v>0.46800000000000008</v>
      </c>
      <c r="BB401" s="4">
        <f t="shared" si="1269"/>
        <v>80.656471305050331</v>
      </c>
      <c r="BC401" s="4">
        <f t="shared" si="1270"/>
        <v>328.18071154805659</v>
      </c>
      <c r="BE401" s="4">
        <f t="shared" si="1122"/>
        <v>1.5</v>
      </c>
      <c r="BF401" s="4">
        <f t="shared" si="1128"/>
        <v>519.83982283719729</v>
      </c>
      <c r="BH401" s="4">
        <f t="shared" si="1129"/>
        <v>237.40601663515</v>
      </c>
      <c r="BI401" s="4">
        <f t="shared" si="1350"/>
        <v>0</v>
      </c>
      <c r="BJ401" s="4">
        <f t="shared" si="1130"/>
        <v>0</v>
      </c>
      <c r="BR401" s="4">
        <f t="shared" si="1271"/>
        <v>63.5</v>
      </c>
      <c r="BV401" s="9"/>
      <c r="BX401" s="9"/>
      <c r="BY401" s="9"/>
      <c r="BZ401" s="9">
        <f t="shared" si="1272"/>
        <v>63.5</v>
      </c>
      <c r="CA401" s="9">
        <f t="shared" si="1273"/>
        <v>172.46599999999998</v>
      </c>
      <c r="CB401" s="9">
        <f t="shared" si="1087"/>
        <v>1.5468560948614203</v>
      </c>
      <c r="CC401" s="40">
        <f t="shared" si="1299"/>
        <v>20</v>
      </c>
      <c r="CD401" s="9">
        <f t="shared" si="1274"/>
        <v>0.05</v>
      </c>
      <c r="CE401" s="9">
        <f t="shared" si="1275"/>
        <v>0.8</v>
      </c>
      <c r="CF401" s="9">
        <f t="shared" si="1276"/>
        <v>0.89777220146327208</v>
      </c>
      <c r="CG401" s="9">
        <f t="shared" si="1277"/>
        <v>0.68</v>
      </c>
      <c r="CH401" s="9">
        <f t="shared" si="1088"/>
        <v>1.129240956903802</v>
      </c>
      <c r="CI401" s="9">
        <f t="shared" si="1089"/>
        <v>2.6501660222768302</v>
      </c>
      <c r="CJ401" s="40">
        <v>1</v>
      </c>
      <c r="CK401" s="9">
        <f t="shared" si="1090"/>
        <v>284.71429010957036</v>
      </c>
      <c r="CM401" s="4">
        <f t="shared" si="1278"/>
        <v>1.5576906050232835</v>
      </c>
      <c r="CN401" s="4">
        <f t="shared" si="1279"/>
        <v>1.5655798326009769</v>
      </c>
      <c r="CO401" s="4">
        <f t="shared" si="1242"/>
        <v>0.98836811047695539</v>
      </c>
      <c r="CP401" s="4">
        <f t="shared" si="1280"/>
        <v>1.8045919059789592</v>
      </c>
      <c r="CQ401" s="4">
        <f t="shared" si="1189"/>
        <v>1.0622002196076112</v>
      </c>
      <c r="CR401" s="4">
        <f t="shared" si="1190"/>
        <v>1.1753055919076683</v>
      </c>
      <c r="CS401" s="4">
        <f t="shared" si="1243"/>
        <v>0.9673044426554136</v>
      </c>
      <c r="CT401" s="4">
        <f t="shared" si="1300"/>
        <v>12</v>
      </c>
      <c r="DA401" s="4">
        <f t="shared" si="1363"/>
        <v>1.5576906050232835</v>
      </c>
      <c r="DB401" s="4">
        <f t="shared" si="1363"/>
        <v>1.5655798326009769</v>
      </c>
      <c r="DC401" s="4">
        <f t="shared" si="1364"/>
        <v>1.8045919059789592</v>
      </c>
      <c r="DD401" s="4">
        <f t="shared" si="1365"/>
        <v>0.9673044426554136</v>
      </c>
      <c r="DE401" s="4">
        <f t="shared" si="1366"/>
        <v>1.0622002196076112</v>
      </c>
      <c r="DF401" s="4">
        <f t="shared" si="1366"/>
        <v>1.1753055919076683</v>
      </c>
      <c r="DI401" s="4">
        <f t="shared" si="1285"/>
        <v>424.68799999999993</v>
      </c>
      <c r="DL401" s="4">
        <f t="shared" si="1166"/>
        <v>2.0861473906437448E-5</v>
      </c>
      <c r="DM401" s="4">
        <f t="shared" si="1313"/>
        <v>5.9909859754492585</v>
      </c>
      <c r="DN401" s="4">
        <f t="shared" si="1167"/>
        <v>0.65006046608882018</v>
      </c>
      <c r="DO401" s="4">
        <f t="shared" si="1168"/>
        <v>5.0428935978626948</v>
      </c>
      <c r="DP401" s="4">
        <f t="shared" si="1169"/>
        <v>5.5372835873877797</v>
      </c>
      <c r="DQ401" s="4">
        <f t="shared" si="1170"/>
        <v>5.4870121914231831</v>
      </c>
      <c r="DR401" s="38">
        <f t="shared" si="1183"/>
        <v>483.70645567939812</v>
      </c>
      <c r="DS401" s="4">
        <f t="shared" si="1095"/>
        <v>1.0001421919821682</v>
      </c>
      <c r="DT401" s="4">
        <f t="shared" si="1171"/>
        <v>2.1908902300206643</v>
      </c>
      <c r="DU401" s="4">
        <f t="shared" si="1103"/>
        <v>225.98730751771248</v>
      </c>
      <c r="DY401" s="4">
        <f t="shared" si="1331"/>
        <v>0.85</v>
      </c>
      <c r="DZ401" s="4">
        <f t="shared" si="1096"/>
        <v>0.92269503546099285</v>
      </c>
      <c r="EA401" s="4">
        <f t="shared" si="1184"/>
        <v>0.92410215783914285</v>
      </c>
      <c r="EB401" s="4">
        <f t="shared" si="1097"/>
        <v>0.85266447329696793</v>
      </c>
      <c r="ED401" s="4">
        <f t="shared" si="1185"/>
        <v>437.15703131670239</v>
      </c>
      <c r="EE401" s="25">
        <f t="shared" si="1186"/>
        <v>224.03089193476285</v>
      </c>
      <c r="EG401" s="4">
        <f t="shared" si="1104"/>
        <v>0.72476480230242268</v>
      </c>
      <c r="EH401" s="4">
        <f t="shared" si="1187"/>
        <v>5.9909859754492585</v>
      </c>
      <c r="EK401" s="4">
        <f t="shared" si="1172"/>
        <v>78.464542697960056</v>
      </c>
      <c r="EL401" s="4">
        <f t="shared" si="1173"/>
        <v>2.1908902300206643</v>
      </c>
      <c r="EM401" s="4">
        <f t="shared" si="1174"/>
        <v>0.18785922691746718</v>
      </c>
      <c r="EP401" s="4">
        <f t="shared" si="1301"/>
        <v>0.18785922691746718</v>
      </c>
      <c r="EQ401" s="4">
        <f t="shared" si="1257"/>
        <v>0.6489756363257192</v>
      </c>
      <c r="ER401" s="4">
        <f t="shared" si="1314"/>
        <v>5.0395256512441255</v>
      </c>
      <c r="ES401" s="4">
        <f t="shared" si="1286"/>
        <v>5.5357504872666619</v>
      </c>
      <c r="ET401" s="4">
        <f t="shared" si="1315"/>
        <v>240.05145730203992</v>
      </c>
      <c r="EU401" s="4">
        <f t="shared" si="1316"/>
        <v>106.17199999999997</v>
      </c>
      <c r="EV401" s="4">
        <f t="shared" si="1098"/>
        <v>2.0861473906437444E-5</v>
      </c>
      <c r="EW401" s="4">
        <f t="shared" si="1287"/>
        <v>5.4871681692262833</v>
      </c>
      <c r="EX401" s="4">
        <f t="shared" si="1131"/>
        <v>483.63768627813499</v>
      </c>
      <c r="FG401" s="23">
        <f t="shared" si="1329"/>
        <v>1.6</v>
      </c>
      <c r="FH401" s="23">
        <f t="shared" si="1329"/>
        <v>1.6</v>
      </c>
      <c r="FI401" s="23">
        <f t="shared" si="1248"/>
        <v>1</v>
      </c>
      <c r="FJ401" s="23">
        <f t="shared" si="1330"/>
        <v>2</v>
      </c>
      <c r="FK401" s="23">
        <f t="shared" si="1330"/>
        <v>1.2</v>
      </c>
      <c r="FL401" s="23">
        <f t="shared" si="1330"/>
        <v>1.2</v>
      </c>
      <c r="FM401" s="23">
        <f t="shared" si="1195"/>
        <v>0</v>
      </c>
      <c r="FN401" s="23"/>
      <c r="FX401" s="4">
        <f t="shared" si="1099"/>
        <v>1</v>
      </c>
      <c r="FY401" s="4">
        <f t="shared" si="1139"/>
        <v>0.43098983553339404</v>
      </c>
      <c r="FZ401" s="4">
        <f t="shared" si="1100"/>
        <v>0.3</v>
      </c>
      <c r="GA401" s="4">
        <f t="shared" si="1101"/>
        <v>531.15966472543778</v>
      </c>
    </row>
    <row r="402" spans="1:183" ht="12" customHeight="1" x14ac:dyDescent="0.3">
      <c r="A402" s="25">
        <v>384</v>
      </c>
      <c r="B402" s="4" t="s">
        <v>605</v>
      </c>
      <c r="C402" s="4">
        <v>2016</v>
      </c>
      <c r="D402" s="4" t="s">
        <v>309</v>
      </c>
      <c r="E402" s="14" t="s">
        <v>675</v>
      </c>
      <c r="F402" s="7" t="s">
        <v>551</v>
      </c>
      <c r="G402" s="38">
        <f t="shared" si="1359"/>
        <v>931.0344827586207</v>
      </c>
      <c r="H402" s="38">
        <f>12*25.4</f>
        <v>304.79999999999995</v>
      </c>
      <c r="I402" s="4">
        <f t="shared" si="1288"/>
        <v>304.79999999999995</v>
      </c>
      <c r="J402" s="38">
        <f>3960/145</f>
        <v>27.310344827586206</v>
      </c>
      <c r="K402" s="38">
        <f t="shared" si="1360"/>
        <v>35.813999999999993</v>
      </c>
      <c r="L402" s="7">
        <f t="shared" si="1289"/>
        <v>8.5106382978723403</v>
      </c>
      <c r="M402" s="7">
        <f t="shared" si="1290"/>
        <v>8.5106382978723403</v>
      </c>
      <c r="N402" s="38">
        <f>21.7*25.4</f>
        <v>551.17999999999995</v>
      </c>
      <c r="O402" s="38">
        <f>2.7*25.4</f>
        <v>68.58</v>
      </c>
      <c r="P402" s="39">
        <f>3.1*25.4</f>
        <v>78.739999999999995</v>
      </c>
      <c r="Q402" s="7">
        <f t="shared" si="1291"/>
        <v>342.39199999999994</v>
      </c>
      <c r="R402" s="38">
        <v>2</v>
      </c>
      <c r="S402" s="4">
        <f t="shared" si="1361"/>
        <v>508</v>
      </c>
      <c r="T402" s="7">
        <f t="shared" si="1292"/>
        <v>2.4148936170212769</v>
      </c>
      <c r="U402" s="7">
        <f t="shared" si="1127"/>
        <v>2.4148936170212769</v>
      </c>
      <c r="V402" s="38">
        <v>3.8</v>
      </c>
      <c r="W402" s="4">
        <f t="shared" si="1293"/>
        <v>3.8</v>
      </c>
      <c r="X402" s="4">
        <f t="shared" si="1294"/>
        <v>4.8</v>
      </c>
      <c r="Y402" s="7">
        <f t="shared" si="1295"/>
        <v>78.464542697960056</v>
      </c>
      <c r="AB402" s="38">
        <f t="shared" si="1332"/>
        <v>251.0344827586207</v>
      </c>
      <c r="AC402" s="4">
        <v>36.4</v>
      </c>
      <c r="AD402" s="4">
        <f t="shared" si="1159"/>
        <v>0.68598892644176579</v>
      </c>
      <c r="AE402" s="38"/>
      <c r="AF402" s="38"/>
      <c r="AG402" s="39">
        <v>1</v>
      </c>
      <c r="AH402" s="39"/>
      <c r="AI402" s="39"/>
      <c r="AJ402" s="7"/>
      <c r="AK402" s="4">
        <f t="shared" si="1297"/>
        <v>304.79999999999995</v>
      </c>
      <c r="AL402" s="4">
        <f t="shared" si="1175"/>
        <v>0.60277777777777775</v>
      </c>
      <c r="AM402" s="4">
        <f t="shared" si="1176"/>
        <v>138.02587222939175</v>
      </c>
      <c r="AN402" s="4">
        <f t="shared" si="1177"/>
        <v>0.75674999999999992</v>
      </c>
      <c r="AO402" s="4">
        <v>1.25</v>
      </c>
      <c r="AP402" s="4">
        <f t="shared" si="1112"/>
        <v>2.5</v>
      </c>
      <c r="AQ402" s="38">
        <f t="shared" si="1266"/>
        <v>196.75246616042975</v>
      </c>
      <c r="AR402" s="38">
        <f t="shared" si="1178"/>
        <v>196.75246616042975</v>
      </c>
      <c r="AS402" s="38">
        <f t="shared" si="1179"/>
        <v>2.7206502209498358</v>
      </c>
      <c r="AT402" s="38">
        <f t="shared" si="1121"/>
        <v>196.75246616042969</v>
      </c>
      <c r="AU402" s="38">
        <f t="shared" si="1086"/>
        <v>1.0000000000000002</v>
      </c>
      <c r="AV402" s="38">
        <f t="shared" si="1249"/>
        <v>1.3068531728320587</v>
      </c>
      <c r="AW402" s="4">
        <f t="shared" si="1230"/>
        <v>0</v>
      </c>
      <c r="AX402" s="4">
        <f t="shared" si="1298"/>
        <v>234.0842125092189</v>
      </c>
      <c r="AY402" s="4">
        <f t="shared" si="1267"/>
        <v>1</v>
      </c>
      <c r="AZ402" s="38">
        <f t="shared" si="1102"/>
        <v>257.12658466428979</v>
      </c>
      <c r="BA402" s="4">
        <f t="shared" si="1268"/>
        <v>0.46800000000000008</v>
      </c>
      <c r="BB402" s="4">
        <f t="shared" si="1269"/>
        <v>57.240612484879328</v>
      </c>
      <c r="BC402" s="4">
        <f t="shared" si="1270"/>
        <v>314.3671971491691</v>
      </c>
      <c r="BE402" s="4">
        <f t="shared" si="1122"/>
        <v>1.2287234042553192</v>
      </c>
      <c r="BF402" s="4">
        <f t="shared" si="1128"/>
        <v>356.58278440355463</v>
      </c>
      <c r="BH402" s="4">
        <f t="shared" si="1129"/>
        <v>246.61583922536434</v>
      </c>
      <c r="BI402" s="4">
        <f t="shared" si="1350"/>
        <v>0</v>
      </c>
      <c r="BJ402" s="4">
        <f t="shared" si="1130"/>
        <v>0</v>
      </c>
      <c r="BR402" s="4">
        <f t="shared" si="1271"/>
        <v>68.58</v>
      </c>
      <c r="BV402" s="9"/>
      <c r="BX402" s="9"/>
      <c r="BY402" s="9"/>
      <c r="BZ402" s="9">
        <f t="shared" si="1272"/>
        <v>68.58</v>
      </c>
      <c r="CA402" s="9">
        <f t="shared" si="1273"/>
        <v>171.19599999999997</v>
      </c>
      <c r="CB402" s="9">
        <f t="shared" si="1087"/>
        <v>1.5873282502249415</v>
      </c>
      <c r="CC402" s="40">
        <f t="shared" si="1299"/>
        <v>0</v>
      </c>
      <c r="CD402" s="9">
        <f t="shared" si="1274"/>
        <v>0</v>
      </c>
      <c r="CE402" s="9">
        <f t="shared" si="1275"/>
        <v>0</v>
      </c>
      <c r="CF402" s="9">
        <f t="shared" si="1276"/>
        <v>0.89777220146327208</v>
      </c>
      <c r="CG402" s="9">
        <f t="shared" si="1277"/>
        <v>0.68</v>
      </c>
      <c r="CH402" s="9">
        <f t="shared" si="1088"/>
        <v>1.1166233434875248</v>
      </c>
      <c r="CI402" s="9">
        <f t="shared" si="1089"/>
        <v>1.7724477779783765</v>
      </c>
      <c r="CJ402" s="40">
        <v>1</v>
      </c>
      <c r="CK402" s="9">
        <f t="shared" si="1090"/>
        <v>166.68551443966859</v>
      </c>
      <c r="CM402" s="4">
        <f t="shared" si="1278"/>
        <v>1.0724109928974139</v>
      </c>
      <c r="CN402" s="4">
        <f t="shared" si="1279"/>
        <v>0.79853904935095166</v>
      </c>
      <c r="CO402" s="4">
        <f t="shared" si="1242"/>
        <v>0.70400056799858857</v>
      </c>
      <c r="CP402" s="4">
        <f t="shared" si="1280"/>
        <v>1.5060365839377243</v>
      </c>
      <c r="CQ402" s="4">
        <f t="shared" si="1189"/>
        <v>0.68598892644176579</v>
      </c>
      <c r="CR402" s="4">
        <f t="shared" si="1190"/>
        <v>0.74669552116938287</v>
      </c>
      <c r="CS402" s="4">
        <f t="shared" si="1243"/>
        <v>0.76825652258018351</v>
      </c>
      <c r="CT402" s="4">
        <f t="shared" si="1300"/>
        <v>0</v>
      </c>
      <c r="CU402" s="4">
        <f t="shared" ref="CU402:CV402" si="1367">CM402</f>
        <v>1.0724109928974139</v>
      </c>
      <c r="CV402" s="4">
        <f t="shared" si="1367"/>
        <v>0.79853904935095166</v>
      </c>
      <c r="CW402" s="4">
        <f t="shared" ref="CW402" si="1368">CP402</f>
        <v>1.5060365839377243</v>
      </c>
      <c r="CX402" s="4">
        <f t="shared" ref="CX402" si="1369">CS402</f>
        <v>0.76825652258018351</v>
      </c>
      <c r="CY402" s="4">
        <f t="shared" ref="CY402:CZ402" si="1370">CQ402</f>
        <v>0.68598892644176579</v>
      </c>
      <c r="CZ402" s="4">
        <f t="shared" si="1370"/>
        <v>0.74669552116938287</v>
      </c>
      <c r="DI402" s="4">
        <f t="shared" si="1285"/>
        <v>304.79999999999995</v>
      </c>
      <c r="DL402" s="4">
        <f t="shared" si="1166"/>
        <v>1.4904502788497585E-5</v>
      </c>
      <c r="DM402" s="4">
        <f t="shared" si="1313"/>
        <v>5.5598943030135199</v>
      </c>
      <c r="DN402" s="4">
        <f t="shared" si="1167"/>
        <v>0.57882826340566917</v>
      </c>
      <c r="DO402" s="4">
        <f t="shared" si="1168"/>
        <v>4.4677249354864337</v>
      </c>
      <c r="DP402" s="4">
        <f t="shared" si="1169"/>
        <v>5.0434954587795096</v>
      </c>
      <c r="DQ402" s="4">
        <f t="shared" si="1170"/>
        <v>5.3425632594807206</v>
      </c>
      <c r="DR402" s="38">
        <f t="shared" si="1183"/>
        <v>365.94538640840761</v>
      </c>
      <c r="DS402" s="4">
        <f t="shared" si="1095"/>
        <v>1.00013034343217</v>
      </c>
      <c r="DT402" s="4">
        <f t="shared" si="1171"/>
        <v>2.1908902300206643</v>
      </c>
      <c r="DU402" s="4">
        <f t="shared" si="1103"/>
        <v>196.75246616042969</v>
      </c>
      <c r="DY402" s="4">
        <f t="shared" si="1331"/>
        <v>0.85</v>
      </c>
      <c r="DZ402" s="4">
        <f t="shared" si="1096"/>
        <v>0.90851063829787226</v>
      </c>
      <c r="EA402" s="4">
        <f t="shared" si="1184"/>
        <v>1</v>
      </c>
      <c r="EB402" s="4">
        <f t="shared" si="1097"/>
        <v>0.90851063829787226</v>
      </c>
      <c r="ED402" s="4">
        <f t="shared" si="1185"/>
        <v>336.19390453217306</v>
      </c>
      <c r="EE402" s="25">
        <f t="shared" si="1186"/>
        <v>194.23915637012578</v>
      </c>
      <c r="EG402" s="4">
        <f t="shared" si="1104"/>
        <v>0.77223404255319139</v>
      </c>
      <c r="EH402" s="4">
        <f t="shared" si="1187"/>
        <v>5.5598943030135199</v>
      </c>
      <c r="EK402" s="4">
        <f t="shared" si="1172"/>
        <v>78.464542697960056</v>
      </c>
      <c r="EL402" s="4">
        <f t="shared" si="1173"/>
        <v>2.1908902300206643</v>
      </c>
      <c r="EM402" s="4">
        <f t="shared" si="1174"/>
        <v>0.16540498194388473</v>
      </c>
      <c r="EP402" s="4">
        <f t="shared" si="1301"/>
        <v>0.16540498194388473</v>
      </c>
      <c r="EQ402" s="4">
        <f t="shared" si="1257"/>
        <v>0.57786230691296858</v>
      </c>
      <c r="ER402" s="4">
        <f t="shared" si="1314"/>
        <v>4.4647411209765364</v>
      </c>
      <c r="ES402" s="4">
        <f t="shared" si="1286"/>
        <v>5.0421745387071857</v>
      </c>
      <c r="ET402" s="4">
        <f t="shared" si="1315"/>
        <v>150.13545730203992</v>
      </c>
      <c r="EU402" s="4">
        <f t="shared" si="1316"/>
        <v>76.199999999999989</v>
      </c>
      <c r="EV402" s="4">
        <f t="shared" si="1098"/>
        <v>1.4904502788497585E-5</v>
      </c>
      <c r="EW402" s="4">
        <f t="shared" si="1287"/>
        <v>5.3426344802621397</v>
      </c>
      <c r="EX402" s="4">
        <f t="shared" si="1131"/>
        <v>365.89769404714241</v>
      </c>
      <c r="FG402" s="23">
        <f t="shared" si="1329"/>
        <v>1.2</v>
      </c>
      <c r="FH402" s="23">
        <f t="shared" si="1329"/>
        <v>0.8</v>
      </c>
      <c r="FI402" s="23">
        <f t="shared" si="1248"/>
        <v>0.8</v>
      </c>
      <c r="FJ402" s="23">
        <f t="shared" si="1330"/>
        <v>1.6</v>
      </c>
      <c r="FK402" s="23">
        <f t="shared" si="1330"/>
        <v>0.8</v>
      </c>
      <c r="FL402" s="23">
        <f t="shared" si="1330"/>
        <v>0.8</v>
      </c>
      <c r="FM402" s="23">
        <f t="shared" si="1195"/>
        <v>1</v>
      </c>
      <c r="FN402" s="23"/>
      <c r="FX402" s="4">
        <f t="shared" si="1099"/>
        <v>1</v>
      </c>
      <c r="FY402" s="4">
        <f t="shared" si="1139"/>
        <v>0.5</v>
      </c>
      <c r="FZ402" s="4">
        <f t="shared" si="1100"/>
        <v>0</v>
      </c>
      <c r="GA402" s="4">
        <f t="shared" si="1101"/>
        <v>326.75867419325431</v>
      </c>
    </row>
    <row r="403" spans="1:183" ht="12" customHeight="1" x14ac:dyDescent="0.3">
      <c r="A403" s="25">
        <v>385</v>
      </c>
      <c r="B403" s="4" t="s">
        <v>605</v>
      </c>
      <c r="C403" s="4">
        <v>2016</v>
      </c>
      <c r="D403" s="4" t="s">
        <v>309</v>
      </c>
      <c r="E403" s="14" t="s">
        <v>675</v>
      </c>
      <c r="F403" s="7" t="s">
        <v>552</v>
      </c>
      <c r="G403" s="38">
        <f t="shared" si="1359"/>
        <v>931.0344827586207</v>
      </c>
      <c r="H403" s="38">
        <f>12*25.4</f>
        <v>304.79999999999995</v>
      </c>
      <c r="I403" s="4">
        <f t="shared" si="1288"/>
        <v>304.79999999999995</v>
      </c>
      <c r="J403" s="38">
        <f>3960/145</f>
        <v>27.310344827586206</v>
      </c>
      <c r="K403" s="38">
        <f t="shared" si="1360"/>
        <v>35.813999999999993</v>
      </c>
      <c r="L403" s="7">
        <f t="shared" si="1289"/>
        <v>8.5106382978723403</v>
      </c>
      <c r="M403" s="7">
        <f t="shared" si="1290"/>
        <v>8.5106382978723403</v>
      </c>
      <c r="N403" s="38">
        <f t="shared" ref="N403" si="1371">21.4*25.4</f>
        <v>543.55999999999995</v>
      </c>
      <c r="O403" s="38">
        <f>2.4*25.4</f>
        <v>60.959999999999994</v>
      </c>
      <c r="P403" s="39">
        <f>3.7*25.4</f>
        <v>93.98</v>
      </c>
      <c r="Q403" s="7">
        <f t="shared" si="1291"/>
        <v>350.01199999999994</v>
      </c>
      <c r="R403" s="38">
        <v>2</v>
      </c>
      <c r="S403" s="4">
        <f t="shared" si="1361"/>
        <v>508</v>
      </c>
      <c r="T403" s="7">
        <f t="shared" si="1292"/>
        <v>2.2021276595744683</v>
      </c>
      <c r="U403" s="7">
        <f t="shared" si="1127"/>
        <v>2.2021276595744683</v>
      </c>
      <c r="V403" s="38">
        <v>3.8</v>
      </c>
      <c r="W403" s="4">
        <f t="shared" si="1293"/>
        <v>3.8</v>
      </c>
      <c r="X403" s="4">
        <f t="shared" si="1294"/>
        <v>4.8</v>
      </c>
      <c r="Y403" s="7">
        <f t="shared" si="1295"/>
        <v>78.464542697960056</v>
      </c>
      <c r="AB403" s="38">
        <f t="shared" si="1332"/>
        <v>297.24137931034488</v>
      </c>
      <c r="AC403" s="4">
        <v>43.1</v>
      </c>
      <c r="AD403" s="4">
        <f t="shared" si="1159"/>
        <v>0.83117670323868909</v>
      </c>
      <c r="AE403" s="38">
        <f>0.5*25.4</f>
        <v>12.7</v>
      </c>
      <c r="AF403" s="38">
        <v>4</v>
      </c>
      <c r="AG403" s="39">
        <f>8*25.4</f>
        <v>203.2</v>
      </c>
      <c r="AH403" s="39">
        <v>2</v>
      </c>
      <c r="AI403" s="39">
        <f t="shared" ref="AI403" si="1372">AH403-1</f>
        <v>1</v>
      </c>
      <c r="AJ403" s="7"/>
      <c r="AK403" s="4">
        <f t="shared" si="1297"/>
        <v>304.79999999999995</v>
      </c>
      <c r="AL403" s="4">
        <f t="shared" si="1175"/>
        <v>0.59444444444444433</v>
      </c>
      <c r="AM403" s="4">
        <f t="shared" si="1176"/>
        <v>138.02587222939175</v>
      </c>
      <c r="AN403" s="4">
        <f t="shared" si="1177"/>
        <v>0.75174999999999992</v>
      </c>
      <c r="AO403" s="4">
        <v>1.25</v>
      </c>
      <c r="AP403" s="4">
        <f t="shared" si="1112"/>
        <v>2.5</v>
      </c>
      <c r="AQ403" s="38">
        <f t="shared" si="1266"/>
        <v>192.75037484346592</v>
      </c>
      <c r="AR403" s="38">
        <f t="shared" si="1178"/>
        <v>192.75037484346592</v>
      </c>
      <c r="AS403" s="38">
        <f t="shared" si="1179"/>
        <v>2.7206502209498358</v>
      </c>
      <c r="AT403" s="38">
        <f t="shared" si="1121"/>
        <v>192.75037484346589</v>
      </c>
      <c r="AU403" s="38">
        <f t="shared" ref="AU403:AU448" si="1373">AQ403/AT403</f>
        <v>1.0000000000000002</v>
      </c>
      <c r="AV403" s="38">
        <f t="shared" si="1249"/>
        <v>1.2164555333014579</v>
      </c>
      <c r="AW403" s="4">
        <f t="shared" si="1230"/>
        <v>0</v>
      </c>
      <c r="AX403" s="4">
        <f t="shared" si="1298"/>
        <v>234.0842125092189</v>
      </c>
      <c r="AY403" s="4">
        <f t="shared" si="1267"/>
        <v>1</v>
      </c>
      <c r="AZ403" s="38">
        <f t="shared" si="1102"/>
        <v>234.47226002426424</v>
      </c>
      <c r="BA403" s="4">
        <f t="shared" si="1268"/>
        <v>0.46800000000000008</v>
      </c>
      <c r="BB403" s="4">
        <f t="shared" si="1269"/>
        <v>57.240612484879328</v>
      </c>
      <c r="BC403" s="4">
        <f t="shared" si="1270"/>
        <v>291.71287250914355</v>
      </c>
      <c r="BE403" s="4">
        <f t="shared" si="1122"/>
        <v>1.454041901913989</v>
      </c>
      <c r="BF403" s="4">
        <f t="shared" si="1128"/>
        <v>421.97154235713816</v>
      </c>
      <c r="BH403" s="4">
        <f t="shared" si="1129"/>
        <v>224.8875714522045</v>
      </c>
      <c r="BI403" s="4">
        <f t="shared" si="1350"/>
        <v>0</v>
      </c>
      <c r="BJ403" s="4">
        <f t="shared" si="1130"/>
        <v>0</v>
      </c>
      <c r="BR403" s="4">
        <f t="shared" si="1271"/>
        <v>60.959999999999994</v>
      </c>
      <c r="BV403" s="9"/>
      <c r="BX403" s="9"/>
      <c r="BY403" s="9"/>
      <c r="BZ403" s="9">
        <f t="shared" si="1272"/>
        <v>60.959999999999994</v>
      </c>
      <c r="CA403" s="9">
        <f t="shared" si="1273"/>
        <v>175.00599999999997</v>
      </c>
      <c r="CB403" s="9">
        <f t="shared" ref="CB403:CB449" si="1374">(BZ403/K403)^0.5*(CA403/BZ403)^0.15</f>
        <v>1.5282600539404603</v>
      </c>
      <c r="CC403" s="40">
        <f t="shared" si="1299"/>
        <v>20</v>
      </c>
      <c r="CD403" s="9">
        <f t="shared" si="1274"/>
        <v>0.05</v>
      </c>
      <c r="CE403" s="9">
        <f t="shared" si="1275"/>
        <v>0.8</v>
      </c>
      <c r="CF403" s="9">
        <f t="shared" si="1276"/>
        <v>0.89777220146327208</v>
      </c>
      <c r="CG403" s="9">
        <f t="shared" si="1277"/>
        <v>0.68</v>
      </c>
      <c r="CH403" s="9">
        <f t="shared" ref="CH403:CH449" si="1375">1.75*CF403*CG403*(J403/25)^0.5</f>
        <v>1.1166233434875248</v>
      </c>
      <c r="CI403" s="9">
        <f t="shared" ref="CI403:CI449" si="1376">MIN((CB403+CE403)*CH403,2.5*CH403,J403^0.5)</f>
        <v>2.5997895259394417</v>
      </c>
      <c r="CJ403" s="40">
        <v>1</v>
      </c>
      <c r="CK403" s="9">
        <f t="shared" ref="CK403:CK449" si="1377">4*CI403*M403+60*CI403</f>
        <v>244.49084477983683</v>
      </c>
      <c r="CM403" s="4">
        <f t="shared" si="1278"/>
        <v>1.2698053240076526</v>
      </c>
      <c r="CN403" s="4">
        <f t="shared" si="1279"/>
        <v>1.0189518781041382</v>
      </c>
      <c r="CO403" s="4">
        <f t="shared" si="1242"/>
        <v>0.7044109601561066</v>
      </c>
      <c r="CP403" s="4">
        <f t="shared" si="1280"/>
        <v>1.2157566864232063</v>
      </c>
      <c r="CQ403" s="4">
        <f t="shared" si="1189"/>
        <v>0.83117670323868909</v>
      </c>
      <c r="CR403" s="4">
        <f t="shared" si="1190"/>
        <v>0.90336797784402101</v>
      </c>
      <c r="CS403" s="4">
        <f t="shared" si="1243"/>
        <v>1.0055163450729336</v>
      </c>
      <c r="CT403" s="4">
        <f t="shared" si="1300"/>
        <v>4</v>
      </c>
      <c r="DA403" s="4">
        <f t="shared" ref="DA403:DB404" si="1378">CM403</f>
        <v>1.2698053240076526</v>
      </c>
      <c r="DB403" s="4">
        <f t="shared" si="1378"/>
        <v>1.0189518781041382</v>
      </c>
      <c r="DC403" s="4">
        <f t="shared" ref="DC403:DC404" si="1379">CP403</f>
        <v>1.2157566864232063</v>
      </c>
      <c r="DD403" s="4">
        <f t="shared" ref="DD403:DD404" si="1380">CS403</f>
        <v>1.0055163450729336</v>
      </c>
      <c r="DE403" s="4">
        <f t="shared" ref="DE403:DF404" si="1381">CQ403</f>
        <v>0.83117670323868909</v>
      </c>
      <c r="DF403" s="4">
        <f t="shared" si="1381"/>
        <v>0.90336797784402101</v>
      </c>
      <c r="DI403" s="4">
        <f t="shared" si="1285"/>
        <v>304.79999999999995</v>
      </c>
      <c r="DL403" s="4">
        <f t="shared" si="1166"/>
        <v>1.4904502788497585E-5</v>
      </c>
      <c r="DM403" s="4">
        <f t="shared" si="1313"/>
        <v>5.4351055338759089</v>
      </c>
      <c r="DN403" s="4">
        <f t="shared" si="1167"/>
        <v>0.5670544665522147</v>
      </c>
      <c r="DO403" s="4">
        <f t="shared" si="1168"/>
        <v>4.3316952161002904</v>
      </c>
      <c r="DP403" s="4">
        <f t="shared" si="1169"/>
        <v>4.91450537854291</v>
      </c>
      <c r="DQ403" s="4">
        <f t="shared" si="1170"/>
        <v>5.2282250018223193</v>
      </c>
      <c r="DR403" s="38">
        <f t="shared" si="1183"/>
        <v>357.61514747964014</v>
      </c>
      <c r="DS403" s="4">
        <f t="shared" ref="DS403:DS449" si="1382">DR403/EX403</f>
        <v>1.0001290562436329</v>
      </c>
      <c r="DT403" s="4">
        <f t="shared" si="1171"/>
        <v>2.1908902300206643</v>
      </c>
      <c r="DU403" s="4">
        <f t="shared" si="1103"/>
        <v>192.75037484346589</v>
      </c>
      <c r="DY403" s="4">
        <f t="shared" si="1331"/>
        <v>0.85</v>
      </c>
      <c r="DZ403" s="4">
        <f t="shared" ref="DZ403:DZ449" si="1383">MIN(1,MAX(0.7,(1-0.1*(BR403-1*K403)/K403)))</f>
        <v>0.92978723404255315</v>
      </c>
      <c r="EA403" s="4">
        <f t="shared" si="1184"/>
        <v>0.9995510789195714</v>
      </c>
      <c r="EB403" s="4">
        <f t="shared" ref="EB403:EB449" si="1384">IF(DZ403*EA403&lt;0.7,0.7,DZ403*EA403)</f>
        <v>0.92936983295287801</v>
      </c>
      <c r="ED403" s="4">
        <f t="shared" si="1185"/>
        <v>329.03687821627403</v>
      </c>
      <c r="EE403" s="25">
        <f t="shared" si="1186"/>
        <v>190.2682262875274</v>
      </c>
      <c r="EG403" s="4">
        <f t="shared" si="1104"/>
        <v>0.78996435800994624</v>
      </c>
      <c r="EH403" s="4">
        <f t="shared" si="1187"/>
        <v>5.4351055338759089</v>
      </c>
      <c r="EK403" s="4">
        <f t="shared" si="1172"/>
        <v>78.464542697960056</v>
      </c>
      <c r="EL403" s="4">
        <f t="shared" si="1173"/>
        <v>2.1908902300206643</v>
      </c>
      <c r="EM403" s="4">
        <f t="shared" si="1174"/>
        <v>0.16204052174199624</v>
      </c>
      <c r="EP403" s="4">
        <f t="shared" si="1301"/>
        <v>0.16204052174199624</v>
      </c>
      <c r="EQ403" s="4">
        <f t="shared" si="1257"/>
        <v>0.56610815833212513</v>
      </c>
      <c r="ER403" s="4">
        <f t="shared" si="1314"/>
        <v>4.3288022503906989</v>
      </c>
      <c r="ES403" s="4">
        <f t="shared" si="1286"/>
        <v>4.9132311286392003</v>
      </c>
      <c r="ET403" s="4">
        <f t="shared" si="1315"/>
        <v>150.13545730203992</v>
      </c>
      <c r="EU403" s="4">
        <f t="shared" si="1316"/>
        <v>76.199999999999989</v>
      </c>
      <c r="EV403" s="4">
        <f t="shared" ref="EV403:EV449" si="1385">EU403/(1-0.3*(J403/30)^0.5)/200000/K403</f>
        <v>1.4904502788497585E-5</v>
      </c>
      <c r="EW403" s="4">
        <f t="shared" si="1287"/>
        <v>5.2282923578239942</v>
      </c>
      <c r="EX403" s="4">
        <f t="shared" si="1131"/>
        <v>357.56900096753571</v>
      </c>
      <c r="FG403" s="23">
        <f t="shared" si="1329"/>
        <v>1.4</v>
      </c>
      <c r="FH403" s="23">
        <f t="shared" si="1329"/>
        <v>1.2</v>
      </c>
      <c r="FI403" s="23">
        <f t="shared" si="1248"/>
        <v>1.2</v>
      </c>
      <c r="FJ403" s="23">
        <f t="shared" si="1330"/>
        <v>1.4</v>
      </c>
      <c r="FK403" s="23">
        <f t="shared" si="1330"/>
        <v>1</v>
      </c>
      <c r="FL403" s="23">
        <f t="shared" si="1330"/>
        <v>1</v>
      </c>
      <c r="FM403" s="23">
        <f t="shared" si="1195"/>
        <v>0</v>
      </c>
      <c r="FN403" s="23"/>
      <c r="FX403" s="4">
        <f t="shared" ref="FX403:FX449" si="1386">IF(O403&gt;=2.5*25.4,1,1.25)</f>
        <v>1.25</v>
      </c>
      <c r="FY403" s="4">
        <f t="shared" si="1139"/>
        <v>0.44214730608235164</v>
      </c>
      <c r="FZ403" s="4">
        <f t="shared" ref="FZ403:FZ449" si="1387">MIN(0.3, AE403^2*PI()/4*2*AH403/(K403^2*PI()/4*R403))</f>
        <v>0.25149640360142855</v>
      </c>
      <c r="GA403" s="4">
        <f t="shared" ref="GA403:GA449" si="1388">(H403/25.4)/(K403/25.4)^1.5/0.0024*(J403*145)^0.25/FX403/FY403/145</f>
        <v>295.61068874398546</v>
      </c>
    </row>
    <row r="404" spans="1:183" ht="12" customHeight="1" x14ac:dyDescent="0.3">
      <c r="A404" s="25">
        <v>386</v>
      </c>
      <c r="B404" s="4" t="s">
        <v>605</v>
      </c>
      <c r="C404" s="4">
        <v>2016</v>
      </c>
      <c r="D404" s="4" t="s">
        <v>309</v>
      </c>
      <c r="E404" s="14" t="s">
        <v>675</v>
      </c>
      <c r="F404" s="7" t="s">
        <v>553</v>
      </c>
      <c r="G404" s="38">
        <f t="shared" si="1359"/>
        <v>931.0344827586207</v>
      </c>
      <c r="H404" s="38">
        <f>12.09*25.4</f>
        <v>307.08599999999996</v>
      </c>
      <c r="I404" s="4">
        <f t="shared" si="1288"/>
        <v>307.08599999999996</v>
      </c>
      <c r="J404" s="38">
        <f>3960/145</f>
        <v>27.310344827586206</v>
      </c>
      <c r="K404" s="38">
        <f t="shared" si="1360"/>
        <v>35.813999999999993</v>
      </c>
      <c r="L404" s="7">
        <f t="shared" si="1289"/>
        <v>8.5744680851063837</v>
      </c>
      <c r="M404" s="7">
        <f t="shared" si="1290"/>
        <v>8.5744680851063837</v>
      </c>
      <c r="N404" s="38">
        <f>21.6*25.4</f>
        <v>548.64</v>
      </c>
      <c r="O404" s="38">
        <f>2.65*25.4</f>
        <v>67.309999999999988</v>
      </c>
      <c r="P404" s="39">
        <f>3.55*25.4</f>
        <v>90.169999999999987</v>
      </c>
      <c r="Q404" s="7">
        <f t="shared" si="1291"/>
        <v>342.39200000000005</v>
      </c>
      <c r="R404" s="38">
        <v>2</v>
      </c>
      <c r="S404" s="4">
        <f t="shared" si="1361"/>
        <v>508</v>
      </c>
      <c r="T404" s="7">
        <f t="shared" si="1292"/>
        <v>2.3794326241134751</v>
      </c>
      <c r="U404" s="7">
        <f t="shared" si="1127"/>
        <v>2.3794326241134751</v>
      </c>
      <c r="V404" s="38">
        <v>3.8</v>
      </c>
      <c r="W404" s="4">
        <f t="shared" si="1293"/>
        <v>3.8</v>
      </c>
      <c r="X404" s="4">
        <f t="shared" si="1294"/>
        <v>4.8</v>
      </c>
      <c r="Y404" s="7">
        <f t="shared" si="1295"/>
        <v>78.464542697960056</v>
      </c>
      <c r="AB404" s="38">
        <f t="shared" si="1332"/>
        <v>344.82758620689657</v>
      </c>
      <c r="AC404" s="4">
        <v>50</v>
      </c>
      <c r="AD404" s="4">
        <f t="shared" si="1159"/>
        <v>0.90798285629871378</v>
      </c>
      <c r="AE404" s="38">
        <f>0.5*25.4</f>
        <v>12.7</v>
      </c>
      <c r="AF404" s="38">
        <v>12</v>
      </c>
      <c r="AG404" s="39">
        <f>4*25.4</f>
        <v>101.6</v>
      </c>
      <c r="AH404" s="39">
        <v>4</v>
      </c>
      <c r="AI404" s="39">
        <v>2</v>
      </c>
      <c r="AJ404" s="7"/>
      <c r="AK404" s="4">
        <f t="shared" si="1297"/>
        <v>307.08599999999996</v>
      </c>
      <c r="AL404" s="4">
        <f t="shared" si="1175"/>
        <v>0.59553349875930517</v>
      </c>
      <c r="AM404" s="4">
        <f t="shared" si="1176"/>
        <v>139.58157114605814</v>
      </c>
      <c r="AN404" s="4">
        <f t="shared" si="1177"/>
        <v>0.7555004135649297</v>
      </c>
      <c r="AO404" s="4">
        <v>1.25</v>
      </c>
      <c r="AP404" s="4">
        <f t="shared" si="1112"/>
        <v>2.5</v>
      </c>
      <c r="AQ404" s="38">
        <f t="shared" si="1266"/>
        <v>196.25422095574984</v>
      </c>
      <c r="AR404" s="38">
        <f t="shared" si="1178"/>
        <v>196.25422095574984</v>
      </c>
      <c r="AS404" s="38">
        <f t="shared" si="1179"/>
        <v>2.7206502209498358</v>
      </c>
      <c r="AT404" s="38">
        <f t="shared" si="1121"/>
        <v>196.25422095574979</v>
      </c>
      <c r="AU404" s="38">
        <f t="shared" si="1373"/>
        <v>1.0000000000000002</v>
      </c>
      <c r="AV404" s="38">
        <f t="shared" si="1249"/>
        <v>1.2909320505675961</v>
      </c>
      <c r="AW404" s="4">
        <f t="shared" si="1230"/>
        <v>0</v>
      </c>
      <c r="AX404" s="4">
        <f t="shared" si="1298"/>
        <v>235.8398441030381</v>
      </c>
      <c r="AY404" s="4">
        <f t="shared" si="1267"/>
        <v>1</v>
      </c>
      <c r="AZ404" s="38">
        <f t="shared" ref="AZ404:AZ449" si="1389">2*J404*T404*V404^0.5*AY404*0.7/0.7</f>
        <v>253.35086389095216</v>
      </c>
      <c r="BA404" s="4">
        <f t="shared" si="1268"/>
        <v>0.46800000000000008</v>
      </c>
      <c r="BB404" s="4">
        <f t="shared" si="1269"/>
        <v>57.669917078515923</v>
      </c>
      <c r="BC404" s="4">
        <f t="shared" si="1270"/>
        <v>311.02078096946809</v>
      </c>
      <c r="BE404" s="4">
        <f t="shared" si="1122"/>
        <v>1.5</v>
      </c>
      <c r="BF404" s="4">
        <f t="shared" si="1128"/>
        <v>436.80991870017158</v>
      </c>
      <c r="BH404" s="4">
        <f t="shared" si="1129"/>
        <v>242.99446126317099</v>
      </c>
      <c r="BI404" s="4">
        <f t="shared" si="1350"/>
        <v>0</v>
      </c>
      <c r="BJ404" s="4">
        <f t="shared" si="1130"/>
        <v>0</v>
      </c>
      <c r="BR404" s="4">
        <f t="shared" si="1271"/>
        <v>67.309999999999988</v>
      </c>
      <c r="BV404" s="9"/>
      <c r="BX404" s="9"/>
      <c r="BY404" s="9"/>
      <c r="BZ404" s="9">
        <f t="shared" si="1272"/>
        <v>67.309999999999988</v>
      </c>
      <c r="CA404" s="9">
        <f t="shared" si="1273"/>
        <v>171.19600000000003</v>
      </c>
      <c r="CB404" s="9">
        <f t="shared" si="1374"/>
        <v>1.5769774531015164</v>
      </c>
      <c r="CC404" s="40">
        <f t="shared" si="1299"/>
        <v>20</v>
      </c>
      <c r="CD404" s="9">
        <f t="shared" si="1274"/>
        <v>0.05</v>
      </c>
      <c r="CE404" s="9">
        <f t="shared" si="1275"/>
        <v>0.8</v>
      </c>
      <c r="CF404" s="9">
        <f t="shared" si="1276"/>
        <v>0.89777220146327208</v>
      </c>
      <c r="CG404" s="9">
        <f t="shared" si="1277"/>
        <v>0.68</v>
      </c>
      <c r="CH404" s="9">
        <f t="shared" si="1375"/>
        <v>1.1166233434875248</v>
      </c>
      <c r="CI404" s="9">
        <f t="shared" si="1376"/>
        <v>2.6541885110766765</v>
      </c>
      <c r="CJ404" s="40">
        <v>1</v>
      </c>
      <c r="CK404" s="9">
        <f t="shared" si="1377"/>
        <v>250.28432938493256</v>
      </c>
      <c r="CM404" s="4">
        <f t="shared" si="1278"/>
        <v>1.4621260776285192</v>
      </c>
      <c r="CN404" s="4">
        <f t="shared" si="1279"/>
        <v>1.1086962907496114</v>
      </c>
      <c r="CO404" s="4">
        <f t="shared" si="1242"/>
        <v>0.78942251868503899</v>
      </c>
      <c r="CP404" s="4">
        <f t="shared" si="1280"/>
        <v>1.3777434130786441</v>
      </c>
      <c r="CQ404" s="4">
        <f t="shared" si="1189"/>
        <v>0.90798285629871378</v>
      </c>
      <c r="CR404" s="4">
        <f t="shared" si="1190"/>
        <v>0.99108586662496612</v>
      </c>
      <c r="CS404" s="4">
        <f t="shared" si="1243"/>
        <v>0.90287337363807318</v>
      </c>
      <c r="CT404" s="4">
        <f t="shared" si="1300"/>
        <v>12</v>
      </c>
      <c r="DA404" s="4">
        <f t="shared" si="1378"/>
        <v>1.4621260776285192</v>
      </c>
      <c r="DB404" s="4">
        <f t="shared" si="1378"/>
        <v>1.1086962907496114</v>
      </c>
      <c r="DC404" s="4">
        <f t="shared" si="1379"/>
        <v>1.3777434130786441</v>
      </c>
      <c r="DD404" s="4">
        <f t="shared" si="1380"/>
        <v>0.90287337363807318</v>
      </c>
      <c r="DE404" s="4">
        <f t="shared" si="1381"/>
        <v>0.90798285629871378</v>
      </c>
      <c r="DF404" s="4">
        <f t="shared" si="1381"/>
        <v>0.99108586662496612</v>
      </c>
      <c r="DI404" s="4">
        <f t="shared" si="1285"/>
        <v>307.08599999999996</v>
      </c>
      <c r="DL404" s="4">
        <f t="shared" si="1166"/>
        <v>1.5016286559411316E-5</v>
      </c>
      <c r="DM404" s="4">
        <f t="shared" si="1313"/>
        <v>5.9931439923967753</v>
      </c>
      <c r="DN404" s="4">
        <f t="shared" si="1167"/>
        <v>0.57736247030938381</v>
      </c>
      <c r="DO404" s="4">
        <f t="shared" si="1168"/>
        <v>4.81098643586121</v>
      </c>
      <c r="DP404" s="4">
        <f t="shared" si="1169"/>
        <v>5.4343442806430158</v>
      </c>
      <c r="DQ404" s="4">
        <f t="shared" si="1170"/>
        <v>5.737033797309703</v>
      </c>
      <c r="DR404" s="38">
        <f t="shared" si="1183"/>
        <v>379.77323449976359</v>
      </c>
      <c r="DS404" s="4">
        <f t="shared" si="1382"/>
        <v>1.0001357559039215</v>
      </c>
      <c r="DT404" s="4">
        <f t="shared" si="1171"/>
        <v>2.1908902300206643</v>
      </c>
      <c r="DU404" s="4">
        <f t="shared" ref="DU404:DU449" si="1390">MIN(DT$10*AT404)</f>
        <v>196.25422095574979</v>
      </c>
      <c r="DY404" s="4">
        <f t="shared" si="1331"/>
        <v>0.85</v>
      </c>
      <c r="DZ404" s="4">
        <f t="shared" si="1383"/>
        <v>0.91205673758865247</v>
      </c>
      <c r="EA404" s="4">
        <f t="shared" si="1184"/>
        <v>0.92410215783914285</v>
      </c>
      <c r="EB404" s="4">
        <f t="shared" si="1384"/>
        <v>0.84283359927740265</v>
      </c>
      <c r="ED404" s="4">
        <f t="shared" si="1185"/>
        <v>347.92907236299209</v>
      </c>
      <c r="EE404" s="25">
        <f t="shared" si="1186"/>
        <v>193.76500668623251</v>
      </c>
      <c r="EG404" s="4">
        <f t="shared" ref="EG404:EG449" si="1391">DY404*EB404</f>
        <v>0.71640855938579218</v>
      </c>
      <c r="EH404" s="4">
        <f t="shared" si="1187"/>
        <v>5.9931439923967753</v>
      </c>
      <c r="EK404" s="4">
        <f t="shared" si="1172"/>
        <v>78.464542697960056</v>
      </c>
      <c r="EL404" s="4">
        <f t="shared" si="1173"/>
        <v>2.1908902300206643</v>
      </c>
      <c r="EM404" s="4">
        <f t="shared" si="1174"/>
        <v>0.16498611939699034</v>
      </c>
      <c r="EP404" s="4">
        <f t="shared" si="1301"/>
        <v>0.16498611939699034</v>
      </c>
      <c r="EQ404" s="4">
        <f t="shared" si="1257"/>
        <v>0.57639895995217427</v>
      </c>
      <c r="ER404" s="4">
        <f t="shared" si="1314"/>
        <v>4.8077733707460721</v>
      </c>
      <c r="ES404" s="4">
        <f t="shared" si="1286"/>
        <v>5.4329227558236886</v>
      </c>
      <c r="ET404" s="4">
        <f t="shared" si="1315"/>
        <v>151.84995730203991</v>
      </c>
      <c r="EU404" s="4">
        <f t="shared" si="1316"/>
        <v>76.771500000000003</v>
      </c>
      <c r="EV404" s="4">
        <f t="shared" si="1385"/>
        <v>1.5016286559411316E-5</v>
      </c>
      <c r="EW404" s="4">
        <f t="shared" si="1287"/>
        <v>5.7371174490897836</v>
      </c>
      <c r="EX404" s="4">
        <f t="shared" si="1131"/>
        <v>379.72168503917248</v>
      </c>
      <c r="FG404" s="23">
        <f t="shared" si="1329"/>
        <v>1.6</v>
      </c>
      <c r="FH404" s="23">
        <f t="shared" si="1329"/>
        <v>1.2</v>
      </c>
      <c r="FI404" s="23">
        <f t="shared" si="1248"/>
        <v>1</v>
      </c>
      <c r="FJ404" s="23">
        <f t="shared" si="1330"/>
        <v>1.4</v>
      </c>
      <c r="FK404" s="23">
        <f t="shared" si="1330"/>
        <v>1</v>
      </c>
      <c r="FL404" s="23">
        <f t="shared" si="1330"/>
        <v>1</v>
      </c>
      <c r="FM404" s="23">
        <f t="shared" si="1195"/>
        <v>0</v>
      </c>
      <c r="FN404" s="23"/>
      <c r="FX404" s="4">
        <f t="shared" si="1386"/>
        <v>1</v>
      </c>
      <c r="FY404" s="4">
        <f t="shared" si="1139"/>
        <v>0.43098983553339404</v>
      </c>
      <c r="FZ404" s="4">
        <f t="shared" si="1387"/>
        <v>0.3</v>
      </c>
      <c r="GA404" s="4">
        <f t="shared" si="1388"/>
        <v>381.92242265095808</v>
      </c>
    </row>
    <row r="405" spans="1:183" ht="12" customHeight="1" x14ac:dyDescent="0.3">
      <c r="A405" s="25">
        <v>387</v>
      </c>
      <c r="B405" s="4" t="s">
        <v>605</v>
      </c>
      <c r="C405" s="4">
        <v>2016</v>
      </c>
      <c r="D405" s="4" t="s">
        <v>309</v>
      </c>
      <c r="E405" s="14" t="s">
        <v>675</v>
      </c>
      <c r="F405" s="7" t="s">
        <v>554</v>
      </c>
      <c r="G405" s="38">
        <f t="shared" si="1359"/>
        <v>931.0344827586207</v>
      </c>
      <c r="H405" s="38">
        <f>12.13*25.4</f>
        <v>308.10199999999998</v>
      </c>
      <c r="I405" s="4">
        <f t="shared" si="1288"/>
        <v>308.10199999999998</v>
      </c>
      <c r="J405" s="38">
        <f>3960/145</f>
        <v>27.310344827586206</v>
      </c>
      <c r="K405" s="38">
        <f t="shared" si="1360"/>
        <v>35.813999999999993</v>
      </c>
      <c r="L405" s="7">
        <f t="shared" si="1289"/>
        <v>8.6028368794326244</v>
      </c>
      <c r="M405" s="7">
        <f t="shared" si="1290"/>
        <v>8.6028368794326244</v>
      </c>
      <c r="N405" s="38">
        <f>21.7*25.4</f>
        <v>551.17999999999995</v>
      </c>
      <c r="O405" s="38">
        <f>2.65*25.4</f>
        <v>67.309999999999988</v>
      </c>
      <c r="P405" s="39">
        <f>3.3*25.4</f>
        <v>83.82</v>
      </c>
      <c r="Q405" s="7">
        <f t="shared" si="1291"/>
        <v>344.93200000000002</v>
      </c>
      <c r="R405" s="38">
        <v>2</v>
      </c>
      <c r="S405" s="4">
        <f t="shared" si="1361"/>
        <v>508</v>
      </c>
      <c r="T405" s="7">
        <f t="shared" si="1292"/>
        <v>2.3794326241134751</v>
      </c>
      <c r="U405" s="7">
        <f t="shared" si="1127"/>
        <v>2.3794326241134751</v>
      </c>
      <c r="V405" s="38">
        <v>8.6</v>
      </c>
      <c r="W405" s="4">
        <f t="shared" si="1293"/>
        <v>8.6</v>
      </c>
      <c r="X405" s="4">
        <f t="shared" si="1294"/>
        <v>9.6</v>
      </c>
      <c r="Y405" s="7">
        <f t="shared" si="1295"/>
        <v>110.96562044885792</v>
      </c>
      <c r="AB405" s="38">
        <f t="shared" si="1332"/>
        <v>282.06896551724139</v>
      </c>
      <c r="AC405" s="4">
        <v>40.9</v>
      </c>
      <c r="AD405" s="4">
        <f t="shared" si="1159"/>
        <v>0.80065106847835565</v>
      </c>
      <c r="AE405" s="38"/>
      <c r="AF405" s="38"/>
      <c r="AG405" s="39">
        <v>1</v>
      </c>
      <c r="AH405" s="39"/>
      <c r="AI405" s="39"/>
      <c r="AJ405" s="7"/>
      <c r="AK405" s="4">
        <f t="shared" si="1297"/>
        <v>308.10199999999998</v>
      </c>
      <c r="AL405" s="4">
        <f t="shared" si="1175"/>
        <v>0.59631766968947519</v>
      </c>
      <c r="AM405" s="4">
        <f t="shared" si="1176"/>
        <v>140.27485630559957</v>
      </c>
      <c r="AN405" s="4">
        <f t="shared" si="1177"/>
        <v>0.75531739488870564</v>
      </c>
      <c r="AO405" s="4">
        <v>1.25</v>
      </c>
      <c r="AP405" s="4">
        <f t="shared" si="1112"/>
        <v>2.5</v>
      </c>
      <c r="AQ405" s="38">
        <f t="shared" si="1266"/>
        <v>197.4408531721443</v>
      </c>
      <c r="AR405" s="38">
        <f t="shared" si="1178"/>
        <v>197.4408531721443</v>
      </c>
      <c r="AS405" s="38">
        <f t="shared" si="1179"/>
        <v>2.7206502209498358</v>
      </c>
      <c r="AT405" s="38">
        <f t="shared" si="1121"/>
        <v>197.44085317214459</v>
      </c>
      <c r="AU405" s="38">
        <f t="shared" si="1373"/>
        <v>0.99999999999999856</v>
      </c>
      <c r="AV405" s="38">
        <f t="shared" si="1249"/>
        <v>1.9303799487364652</v>
      </c>
      <c r="AW405" s="4">
        <f t="shared" si="1230"/>
        <v>0</v>
      </c>
      <c r="AX405" s="4">
        <f t="shared" si="1298"/>
        <v>236.62012481140215</v>
      </c>
      <c r="AY405" s="4">
        <f t="shared" si="1267"/>
        <v>1</v>
      </c>
      <c r="AZ405" s="38">
        <f t="shared" si="1389"/>
        <v>381.13586402492842</v>
      </c>
      <c r="BA405" s="4">
        <f t="shared" si="1268"/>
        <v>0.3</v>
      </c>
      <c r="BB405" s="4">
        <f t="shared" si="1269"/>
        <v>37.090204564187296</v>
      </c>
      <c r="BC405" s="4">
        <f t="shared" si="1270"/>
        <v>418.2260685891157</v>
      </c>
      <c r="BE405" s="4">
        <f t="shared" si="1122"/>
        <v>1.2198581560283688</v>
      </c>
      <c r="BF405" s="4">
        <f t="shared" si="1128"/>
        <v>355.77330542506638</v>
      </c>
      <c r="BH405" s="4">
        <f t="shared" si="1129"/>
        <v>365.55590347887568</v>
      </c>
      <c r="BI405" s="4">
        <f t="shared" si="1350"/>
        <v>0</v>
      </c>
      <c r="BJ405" s="4">
        <f t="shared" si="1130"/>
        <v>0</v>
      </c>
      <c r="BR405" s="4">
        <f t="shared" si="1271"/>
        <v>67.309999999999988</v>
      </c>
      <c r="BV405" s="9"/>
      <c r="BX405" s="9"/>
      <c r="BY405" s="9"/>
      <c r="BZ405" s="9">
        <f t="shared" si="1272"/>
        <v>67.309999999999988</v>
      </c>
      <c r="CA405" s="9">
        <f t="shared" si="1273"/>
        <v>172.46600000000001</v>
      </c>
      <c r="CB405" s="9">
        <f t="shared" si="1374"/>
        <v>1.5787267425904519</v>
      </c>
      <c r="CC405" s="40">
        <f t="shared" si="1299"/>
        <v>0</v>
      </c>
      <c r="CD405" s="9">
        <f t="shared" si="1274"/>
        <v>0</v>
      </c>
      <c r="CE405" s="9">
        <f t="shared" si="1275"/>
        <v>0</v>
      </c>
      <c r="CF405" s="9">
        <f t="shared" si="1276"/>
        <v>0.89777220146327208</v>
      </c>
      <c r="CG405" s="9">
        <f t="shared" si="1277"/>
        <v>0.68</v>
      </c>
      <c r="CH405" s="9">
        <f t="shared" si="1375"/>
        <v>1.1166233434875248</v>
      </c>
      <c r="CI405" s="9">
        <f t="shared" si="1376"/>
        <v>1.7628431337645192</v>
      </c>
      <c r="CJ405" s="40">
        <v>1</v>
      </c>
      <c r="CK405" s="9">
        <f t="shared" si="1377"/>
        <v>166.43239572108709</v>
      </c>
      <c r="CM405" s="4">
        <f t="shared" si="1278"/>
        <v>1.1920751277688835</v>
      </c>
      <c r="CN405" s="4">
        <f t="shared" si="1279"/>
        <v>0.67444137681039384</v>
      </c>
      <c r="CO405" s="4">
        <f t="shared" si="1242"/>
        <v>0.79283341728023848</v>
      </c>
      <c r="CP405" s="4">
        <f t="shared" si="1280"/>
        <v>1.6947960419312951</v>
      </c>
      <c r="CQ405" s="4">
        <f t="shared" si="1189"/>
        <v>0.80065106847835565</v>
      </c>
      <c r="CR405" s="4">
        <f t="shared" si="1190"/>
        <v>0.8348184273807373</v>
      </c>
      <c r="CS405" s="4">
        <f t="shared" si="1243"/>
        <v>0.85398182075671547</v>
      </c>
      <c r="CT405" s="4">
        <f t="shared" si="1300"/>
        <v>0</v>
      </c>
      <c r="CU405" s="4">
        <f t="shared" ref="CU405:CV405" si="1392">CM405</f>
        <v>1.1920751277688835</v>
      </c>
      <c r="CV405" s="4">
        <f t="shared" si="1392"/>
        <v>0.67444137681039384</v>
      </c>
      <c r="CW405" s="4">
        <f t="shared" ref="CW405" si="1393">CP405</f>
        <v>1.6947960419312951</v>
      </c>
      <c r="CX405" s="4">
        <f t="shared" ref="CX405" si="1394">CS405</f>
        <v>0.85398182075671547</v>
      </c>
      <c r="CY405" s="4">
        <f t="shared" ref="CY405:CZ405" si="1395">CQ405</f>
        <v>0.80065106847835565</v>
      </c>
      <c r="CZ405" s="4">
        <f t="shared" si="1395"/>
        <v>0.8348184273807373</v>
      </c>
      <c r="DI405" s="4">
        <f t="shared" si="1285"/>
        <v>308.10199999999998</v>
      </c>
      <c r="DL405" s="4">
        <f t="shared" si="1166"/>
        <v>1.5065968235372974E-5</v>
      </c>
      <c r="DM405" s="4">
        <f t="shared" si="1313"/>
        <v>5.5382772956145558</v>
      </c>
      <c r="DN405" s="4">
        <f t="shared" si="1167"/>
        <v>0.36296663612174113</v>
      </c>
      <c r="DO405" s="4">
        <f t="shared" si="1168"/>
        <v>3.6925074416042682</v>
      </c>
      <c r="DP405" s="4">
        <f t="shared" si="1169"/>
        <v>4.707109693061569</v>
      </c>
      <c r="DQ405" s="4">
        <f t="shared" si="1170"/>
        <v>5.3412229365900616</v>
      </c>
      <c r="DR405" s="38">
        <f t="shared" si="1183"/>
        <v>352.29949302798775</v>
      </c>
      <c r="DS405" s="4">
        <f t="shared" si="1382"/>
        <v>1.0001219368960812</v>
      </c>
      <c r="DT405" s="4">
        <f t="shared" si="1171"/>
        <v>3.0983866769659336</v>
      </c>
      <c r="DU405" s="4">
        <f t="shared" si="1390"/>
        <v>197.44085317214459</v>
      </c>
      <c r="DY405" s="4">
        <f t="shared" si="1331"/>
        <v>0.85</v>
      </c>
      <c r="DZ405" s="4">
        <f t="shared" si="1383"/>
        <v>0.91205673758865247</v>
      </c>
      <c r="EA405" s="4">
        <f t="shared" si="1184"/>
        <v>1</v>
      </c>
      <c r="EB405" s="4">
        <f t="shared" si="1384"/>
        <v>0.91205673758865247</v>
      </c>
      <c r="ED405" s="4">
        <f t="shared" si="1185"/>
        <v>337.88061722863438</v>
      </c>
      <c r="EE405" s="25">
        <f t="shared" si="1186"/>
        <v>194.94592872692252</v>
      </c>
      <c r="EG405" s="4">
        <f t="shared" si="1391"/>
        <v>0.77524822695035456</v>
      </c>
      <c r="EH405" s="4">
        <f t="shared" si="1187"/>
        <v>5.5382772956145558</v>
      </c>
      <c r="EK405" s="4">
        <f t="shared" si="1172"/>
        <v>110.96562044885792</v>
      </c>
      <c r="EL405" s="4">
        <f t="shared" si="1173"/>
        <v>3.0983866769659336</v>
      </c>
      <c r="EM405" s="4">
        <f t="shared" si="1174"/>
        <v>0.10372072977347489</v>
      </c>
      <c r="EP405" s="4">
        <f t="shared" si="1301"/>
        <v>0.10372072977347489</v>
      </c>
      <c r="EQ405" s="4">
        <f t="shared" si="1257"/>
        <v>0.362360912453839</v>
      </c>
      <c r="ER405" s="4">
        <f t="shared" si="1314"/>
        <v>3.6900413638037644</v>
      </c>
      <c r="ES405" s="4">
        <f t="shared" si="1286"/>
        <v>4.7061447030455348</v>
      </c>
      <c r="ET405" s="4">
        <f t="shared" si="1315"/>
        <v>120.11087955114206</v>
      </c>
      <c r="EU405" s="4">
        <f t="shared" si="1316"/>
        <v>77.025499999999994</v>
      </c>
      <c r="EV405" s="4">
        <f t="shared" si="1385"/>
        <v>1.5065968235372974E-5</v>
      </c>
      <c r="EW405" s="4">
        <f t="shared" si="1287"/>
        <v>5.3412875301148457</v>
      </c>
      <c r="EX405" s="4">
        <f t="shared" si="1131"/>
        <v>352.25653995888086</v>
      </c>
      <c r="FG405" s="23">
        <f t="shared" si="1329"/>
        <v>1.2</v>
      </c>
      <c r="FH405" s="23">
        <f t="shared" si="1329"/>
        <v>0.8</v>
      </c>
      <c r="FI405" s="23">
        <f t="shared" si="1248"/>
        <v>1</v>
      </c>
      <c r="FJ405" s="23">
        <f t="shared" si="1330"/>
        <v>1.8</v>
      </c>
      <c r="FK405" s="23">
        <f t="shared" si="1330"/>
        <v>1</v>
      </c>
      <c r="FL405" s="23">
        <f t="shared" si="1330"/>
        <v>1</v>
      </c>
      <c r="FM405" s="23">
        <f t="shared" si="1195"/>
        <v>0</v>
      </c>
      <c r="FN405" s="23"/>
      <c r="FX405" s="4">
        <f t="shared" si="1386"/>
        <v>1</v>
      </c>
      <c r="FY405" s="4">
        <f t="shared" si="1139"/>
        <v>0.5</v>
      </c>
      <c r="FZ405" s="4">
        <f t="shared" si="1387"/>
        <v>0</v>
      </c>
      <c r="GA405" s="4">
        <f t="shared" si="1388"/>
        <v>330.29855983034787</v>
      </c>
    </row>
    <row r="406" spans="1:183" ht="12" customHeight="1" x14ac:dyDescent="0.3">
      <c r="A406" s="25">
        <v>388</v>
      </c>
      <c r="B406" s="4" t="s">
        <v>605</v>
      </c>
      <c r="C406" s="4">
        <v>2016</v>
      </c>
      <c r="D406" s="4" t="s">
        <v>309</v>
      </c>
      <c r="E406" s="14" t="s">
        <v>675</v>
      </c>
      <c r="F406" s="7" t="s">
        <v>555</v>
      </c>
      <c r="G406" s="38">
        <f t="shared" si="1359"/>
        <v>931.0344827586207</v>
      </c>
      <c r="H406" s="38">
        <f>12.56*25.4</f>
        <v>319.024</v>
      </c>
      <c r="I406" s="4">
        <f t="shared" si="1288"/>
        <v>319.024</v>
      </c>
      <c r="J406" s="38">
        <f>4050/145</f>
        <v>27.931034482758619</v>
      </c>
      <c r="K406" s="38">
        <f t="shared" si="1360"/>
        <v>35.813999999999993</v>
      </c>
      <c r="L406" s="7">
        <f t="shared" si="1289"/>
        <v>8.9078014184397176</v>
      </c>
      <c r="M406" s="7">
        <f t="shared" si="1290"/>
        <v>8.9078014184397176</v>
      </c>
      <c r="N406" s="38">
        <f>22*25.4</f>
        <v>558.79999999999995</v>
      </c>
      <c r="O406" s="38">
        <f>2.75*25.4</f>
        <v>69.849999999999994</v>
      </c>
      <c r="P406" s="39">
        <f>3.4*25.4</f>
        <v>86.36</v>
      </c>
      <c r="Q406" s="7">
        <f t="shared" si="1291"/>
        <v>347.47199999999998</v>
      </c>
      <c r="R406" s="38">
        <v>2</v>
      </c>
      <c r="S406" s="4">
        <f t="shared" si="1361"/>
        <v>508</v>
      </c>
      <c r="T406" s="7">
        <f t="shared" si="1292"/>
        <v>2.4503546099290783</v>
      </c>
      <c r="U406" s="7">
        <f t="shared" si="1127"/>
        <v>2.4503546099290783</v>
      </c>
      <c r="V406" s="38">
        <v>8.6</v>
      </c>
      <c r="W406" s="4">
        <f t="shared" si="1293"/>
        <v>8.6</v>
      </c>
      <c r="X406" s="4">
        <f t="shared" si="1294"/>
        <v>9.6</v>
      </c>
      <c r="Y406" s="7">
        <f t="shared" si="1295"/>
        <v>110.96562044885792</v>
      </c>
      <c r="AB406" s="38">
        <f t="shared" si="1332"/>
        <v>350.34482758620692</v>
      </c>
      <c r="AC406" s="4">
        <v>50.8</v>
      </c>
      <c r="AD406" s="4">
        <f t="shared" si="1159"/>
        <v>0.91366453911512724</v>
      </c>
      <c r="AE406" s="38">
        <f>0.5*25.4</f>
        <v>12.7</v>
      </c>
      <c r="AF406" s="38">
        <v>12</v>
      </c>
      <c r="AG406" s="39">
        <f>4*25.4</f>
        <v>101.6</v>
      </c>
      <c r="AH406" s="39">
        <v>4</v>
      </c>
      <c r="AI406" s="39">
        <v>2</v>
      </c>
      <c r="AJ406" s="7"/>
      <c r="AK406" s="4">
        <f t="shared" si="1297"/>
        <v>319.024</v>
      </c>
      <c r="AL406" s="4">
        <f t="shared" si="1175"/>
        <v>0.58386411889596601</v>
      </c>
      <c r="AM406" s="4">
        <f t="shared" si="1176"/>
        <v>149.46964702918689</v>
      </c>
      <c r="AN406" s="4">
        <f t="shared" si="1177"/>
        <v>0.75501592356687897</v>
      </c>
      <c r="AO406" s="4">
        <v>1.25</v>
      </c>
      <c r="AP406" s="4">
        <f t="shared" ref="AP406:AP449" si="1396">AP405</f>
        <v>2.5</v>
      </c>
      <c r="AQ406" s="38">
        <f t="shared" si="1266"/>
        <v>205.90691341005282</v>
      </c>
      <c r="AR406" s="38">
        <f t="shared" si="1178"/>
        <v>205.90691341005282</v>
      </c>
      <c r="AS406" s="38">
        <f t="shared" si="1179"/>
        <v>2.761717606769436</v>
      </c>
      <c r="AT406" s="38">
        <f t="shared" si="1121"/>
        <v>205.90691341005299</v>
      </c>
      <c r="AU406" s="38">
        <f t="shared" si="1373"/>
        <v>0.99999999999999922</v>
      </c>
      <c r="AV406" s="38">
        <f t="shared" si="1249"/>
        <v>1.9495045486691553</v>
      </c>
      <c r="AW406" s="4">
        <f t="shared" si="1230"/>
        <v>0</v>
      </c>
      <c r="AX406" s="4">
        <f t="shared" si="1298"/>
        <v>247.77668388929484</v>
      </c>
      <c r="AY406" s="4">
        <f t="shared" si="1267"/>
        <v>1</v>
      </c>
      <c r="AZ406" s="38">
        <f t="shared" si="1389"/>
        <v>401.4164642953242</v>
      </c>
      <c r="BA406" s="4">
        <f t="shared" si="1268"/>
        <v>0.3</v>
      </c>
      <c r="BB406" s="4">
        <f t="shared" si="1269"/>
        <v>38.838995199646973</v>
      </c>
      <c r="BC406" s="4">
        <f t="shared" si="1270"/>
        <v>440.25545949497121</v>
      </c>
      <c r="BE406" s="4">
        <f t="shared" si="1122"/>
        <v>1.5</v>
      </c>
      <c r="BF406" s="4">
        <f t="shared" si="1128"/>
        <v>449.673253628802</v>
      </c>
      <c r="BH406" s="4">
        <f t="shared" si="1129"/>
        <v>385.00747929398597</v>
      </c>
      <c r="BI406" s="4">
        <f t="shared" si="1350"/>
        <v>0</v>
      </c>
      <c r="BJ406" s="4">
        <f t="shared" si="1130"/>
        <v>0</v>
      </c>
      <c r="BR406" s="4">
        <f t="shared" si="1271"/>
        <v>69.849999999999994</v>
      </c>
      <c r="BV406" s="9"/>
      <c r="BX406" s="9"/>
      <c r="BY406" s="9"/>
      <c r="BZ406" s="9">
        <f t="shared" si="1272"/>
        <v>69.849999999999994</v>
      </c>
      <c r="CA406" s="9">
        <f t="shared" si="1273"/>
        <v>173.73599999999999</v>
      </c>
      <c r="CB406" s="9">
        <f t="shared" si="1374"/>
        <v>1.6010883658280048</v>
      </c>
      <c r="CC406" s="40">
        <f t="shared" si="1299"/>
        <v>20</v>
      </c>
      <c r="CD406" s="9">
        <f t="shared" si="1274"/>
        <v>0.05</v>
      </c>
      <c r="CE406" s="9">
        <f t="shared" si="1275"/>
        <v>0.8</v>
      </c>
      <c r="CF406" s="9">
        <f t="shared" si="1276"/>
        <v>0.89777220146327208</v>
      </c>
      <c r="CG406" s="9">
        <f t="shared" si="1277"/>
        <v>0.68</v>
      </c>
      <c r="CH406" s="9">
        <f t="shared" si="1375"/>
        <v>1.129240956903802</v>
      </c>
      <c r="CI406" s="9">
        <f t="shared" si="1376"/>
        <v>2.7114073238382024</v>
      </c>
      <c r="CJ406" s="40">
        <v>1</v>
      </c>
      <c r="CK406" s="9">
        <f t="shared" si="1377"/>
        <v>259.29515145130728</v>
      </c>
      <c r="CM406" s="4">
        <f t="shared" si="1278"/>
        <v>1.4139539769720177</v>
      </c>
      <c r="CN406" s="4">
        <f t="shared" si="1279"/>
        <v>0.79577622498559542</v>
      </c>
      <c r="CO406" s="4">
        <f t="shared" si="1242"/>
        <v>0.77910977528454672</v>
      </c>
      <c r="CP406" s="4">
        <f t="shared" si="1280"/>
        <v>1.3511429952518712</v>
      </c>
      <c r="CQ406" s="4">
        <f t="shared" si="1189"/>
        <v>0.91366453911512724</v>
      </c>
      <c r="CR406" s="4">
        <f t="shared" si="1190"/>
        <v>0.95553229503146886</v>
      </c>
      <c r="CS406" s="4">
        <f t="shared" si="1243"/>
        <v>0.87804597345881741</v>
      </c>
      <c r="CT406" s="4">
        <f t="shared" si="1300"/>
        <v>12</v>
      </c>
      <c r="DA406" s="4">
        <f t="shared" ref="DA406:DB406" si="1397">CM406</f>
        <v>1.4139539769720177</v>
      </c>
      <c r="DB406" s="4">
        <f t="shared" si="1397"/>
        <v>0.79577622498559542</v>
      </c>
      <c r="DC406" s="4">
        <f t="shared" ref="DC406" si="1398">CP406</f>
        <v>1.3511429952518712</v>
      </c>
      <c r="DD406" s="4">
        <f t="shared" ref="DD406" si="1399">CS406</f>
        <v>0.87804597345881741</v>
      </c>
      <c r="DE406" s="4">
        <f t="shared" ref="DE406:DF406" si="1400">CQ406</f>
        <v>0.91366453911512724</v>
      </c>
      <c r="DF406" s="4">
        <f t="shared" si="1400"/>
        <v>0.95553229503146886</v>
      </c>
      <c r="DI406" s="4">
        <f t="shared" si="1285"/>
        <v>319.024</v>
      </c>
      <c r="DL406" s="4">
        <f t="shared" si="1166"/>
        <v>1.5671059345984113E-5</v>
      </c>
      <c r="DM406" s="4">
        <f t="shared" si="1313"/>
        <v>6.1083642273193455</v>
      </c>
      <c r="DN406" s="4">
        <f t="shared" si="1167"/>
        <v>0.37011848748195403</v>
      </c>
      <c r="DO406" s="4">
        <f t="shared" si="1168"/>
        <v>4.10450922978207</v>
      </c>
      <c r="DP406" s="4">
        <f t="shared" si="1169"/>
        <v>5.2041641258059013</v>
      </c>
      <c r="DQ406" s="4">
        <f t="shared" si="1170"/>
        <v>5.8486827334247211</v>
      </c>
      <c r="DR406" s="38">
        <f t="shared" si="1183"/>
        <v>383.45017518739593</v>
      </c>
      <c r="DS406" s="4">
        <f t="shared" si="1382"/>
        <v>1.0001269709050775</v>
      </c>
      <c r="DT406" s="4">
        <f t="shared" si="1171"/>
        <v>3.0983866769659336</v>
      </c>
      <c r="DU406" s="4">
        <f t="shared" si="1390"/>
        <v>205.90691341005299</v>
      </c>
      <c r="DY406" s="4">
        <f t="shared" si="1331"/>
        <v>0.85</v>
      </c>
      <c r="DZ406" s="4">
        <f t="shared" si="1383"/>
        <v>0.90496453900709217</v>
      </c>
      <c r="EA406" s="4">
        <f t="shared" si="1184"/>
        <v>0.92410215783914285</v>
      </c>
      <c r="EB406" s="4">
        <f t="shared" si="1384"/>
        <v>0.83627968326435909</v>
      </c>
      <c r="ED406" s="4">
        <f t="shared" si="1185"/>
        <v>366.64886096253701</v>
      </c>
      <c r="EE406" s="25">
        <f t="shared" si="1186"/>
        <v>203.41257437715191</v>
      </c>
      <c r="EG406" s="4">
        <f t="shared" si="1391"/>
        <v>0.71083773077470525</v>
      </c>
      <c r="EH406" s="4">
        <f t="shared" si="1187"/>
        <v>6.1083642273193455</v>
      </c>
      <c r="EK406" s="4">
        <f t="shared" si="1172"/>
        <v>110.96562044885792</v>
      </c>
      <c r="EL406" s="4">
        <f t="shared" si="1173"/>
        <v>3.0983866769659336</v>
      </c>
      <c r="EM406" s="4">
        <f t="shared" si="1174"/>
        <v>0.10695954692424253</v>
      </c>
      <c r="EP406" s="4">
        <f t="shared" si="1301"/>
        <v>0.10695954692424253</v>
      </c>
      <c r="EQ406" s="4">
        <f t="shared" si="1257"/>
        <v>0.36950082870705558</v>
      </c>
      <c r="ER406" s="4">
        <f t="shared" si="1314"/>
        <v>4.1017679924917996</v>
      </c>
      <c r="ES406" s="4">
        <f t="shared" si="1286"/>
        <v>5.2030855233904019</v>
      </c>
      <c r="ET406" s="4">
        <f t="shared" si="1315"/>
        <v>128.30237955114208</v>
      </c>
      <c r="EU406" s="4">
        <f t="shared" si="1316"/>
        <v>79.756</v>
      </c>
      <c r="EV406" s="4">
        <f t="shared" si="1385"/>
        <v>1.5671059345984113E-5</v>
      </c>
      <c r="EW406" s="4">
        <f t="shared" si="1287"/>
        <v>5.8487668211336352</v>
      </c>
      <c r="EX406" s="4">
        <f t="shared" si="1131"/>
        <v>383.40149435264993</v>
      </c>
      <c r="FG406" s="23">
        <f t="shared" si="1329"/>
        <v>1.6</v>
      </c>
      <c r="FH406" s="23">
        <f t="shared" si="1329"/>
        <v>0.8</v>
      </c>
      <c r="FI406" s="23">
        <f t="shared" si="1248"/>
        <v>1</v>
      </c>
      <c r="FJ406" s="23">
        <f t="shared" si="1330"/>
        <v>1.4</v>
      </c>
      <c r="FK406" s="23">
        <f t="shared" si="1330"/>
        <v>1</v>
      </c>
      <c r="FL406" s="23">
        <f t="shared" si="1330"/>
        <v>1</v>
      </c>
      <c r="FM406" s="23">
        <f t="shared" si="1195"/>
        <v>0</v>
      </c>
      <c r="FN406" s="23"/>
      <c r="FX406" s="4">
        <f t="shared" si="1386"/>
        <v>1</v>
      </c>
      <c r="FY406" s="4">
        <f t="shared" si="1139"/>
        <v>0.43098983553339404</v>
      </c>
      <c r="FZ406" s="4">
        <f t="shared" si="1387"/>
        <v>0.3</v>
      </c>
      <c r="GA406" s="4">
        <f t="shared" si="1388"/>
        <v>399.00510699470681</v>
      </c>
    </row>
    <row r="407" spans="1:183" ht="12" customHeight="1" x14ac:dyDescent="0.3">
      <c r="A407" s="25">
        <v>389</v>
      </c>
      <c r="B407" s="4" t="s">
        <v>605</v>
      </c>
      <c r="C407" s="4">
        <v>2016</v>
      </c>
      <c r="D407" s="4" t="s">
        <v>309</v>
      </c>
      <c r="E407" s="14" t="s">
        <v>556</v>
      </c>
      <c r="F407" s="7" t="s">
        <v>557</v>
      </c>
      <c r="G407" s="38">
        <f>129/0.145</f>
        <v>889.65517241379314</v>
      </c>
      <c r="H407" s="38">
        <f>9.88*25.4</f>
        <v>250.952</v>
      </c>
      <c r="I407" s="4">
        <f t="shared" si="1288"/>
        <v>250.952</v>
      </c>
      <c r="J407" s="38">
        <f>7410/145</f>
        <v>51.103448275862071</v>
      </c>
      <c r="K407" s="38">
        <f t="shared" ref="K407:K425" si="1401">1*25.4</f>
        <v>25.4</v>
      </c>
      <c r="L407" s="7">
        <f t="shared" si="1289"/>
        <v>9.8800000000000008</v>
      </c>
      <c r="M407" s="7">
        <f t="shared" si="1290"/>
        <v>9.8800000000000008</v>
      </c>
      <c r="N407" s="38">
        <f>17.1*25.4</f>
        <v>434.34000000000003</v>
      </c>
      <c r="O407" s="38">
        <f>2.55*25.4</f>
        <v>64.77</v>
      </c>
      <c r="P407" s="39">
        <f>3.4*25.4</f>
        <v>86.36</v>
      </c>
      <c r="Q407" s="7">
        <f t="shared" si="1291"/>
        <v>254.00000000000003</v>
      </c>
      <c r="R407" s="38">
        <v>2</v>
      </c>
      <c r="S407" s="4">
        <f t="shared" si="1361"/>
        <v>508</v>
      </c>
      <c r="T407" s="7">
        <f t="shared" si="1292"/>
        <v>3.05</v>
      </c>
      <c r="U407" s="7">
        <f t="shared" si="1127"/>
        <v>3.05</v>
      </c>
      <c r="V407" s="38">
        <v>4.0999999999999996</v>
      </c>
      <c r="W407" s="4">
        <f t="shared" si="1293"/>
        <v>4.0999999999999996</v>
      </c>
      <c r="X407" s="4">
        <f t="shared" si="1294"/>
        <v>5.0999999999999996</v>
      </c>
      <c r="Y407" s="7">
        <f t="shared" si="1295"/>
        <v>57.361276136431961</v>
      </c>
      <c r="AB407" s="38">
        <f t="shared" si="1332"/>
        <v>437.93103448275866</v>
      </c>
      <c r="AC407" s="4">
        <v>63.5</v>
      </c>
      <c r="AD407" s="4">
        <f t="shared" si="1159"/>
        <v>0.63658061415316614</v>
      </c>
      <c r="AE407" s="38"/>
      <c r="AF407" s="38"/>
      <c r="AG407" s="39">
        <v>1</v>
      </c>
      <c r="AH407" s="39"/>
      <c r="AI407" s="39"/>
      <c r="AJ407" s="7"/>
      <c r="AK407" s="4">
        <f t="shared" si="1297"/>
        <v>250.952</v>
      </c>
      <c r="AL407" s="4">
        <f t="shared" si="1175"/>
        <v>0.57692307692307698</v>
      </c>
      <c r="AM407" s="4">
        <f t="shared" si="1176"/>
        <v>280.42955602781353</v>
      </c>
      <c r="AN407" s="4">
        <f t="shared" si="1177"/>
        <v>0.76174089068825901</v>
      </c>
      <c r="AO407" s="4">
        <v>1.25</v>
      </c>
      <c r="AP407" s="4">
        <f t="shared" si="1396"/>
        <v>2.5</v>
      </c>
      <c r="AQ407" s="38">
        <f t="shared" si="1266"/>
        <v>385.12258374508366</v>
      </c>
      <c r="AR407" s="38">
        <f t="shared" si="1178"/>
        <v>385.12258374508366</v>
      </c>
      <c r="AS407" s="38">
        <f t="shared" si="1179"/>
        <v>4.0980014231553801</v>
      </c>
      <c r="AT407" s="38">
        <f t="shared" si="1121"/>
        <v>385.12258374508349</v>
      </c>
      <c r="AU407" s="38">
        <f t="shared" si="1373"/>
        <v>1.0000000000000004</v>
      </c>
      <c r="AV407" s="38">
        <f t="shared" si="1249"/>
        <v>1.6389774658633678</v>
      </c>
      <c r="AW407" s="4">
        <f t="shared" si="1230"/>
        <v>0</v>
      </c>
      <c r="AX407" s="4">
        <f t="shared" si="1298"/>
        <v>371.73071454741404</v>
      </c>
      <c r="AY407" s="4">
        <f t="shared" si="1267"/>
        <v>1</v>
      </c>
      <c r="AZ407" s="38">
        <f t="shared" si="1389"/>
        <v>631.20723635326954</v>
      </c>
      <c r="BA407" s="4">
        <f t="shared" si="1268"/>
        <v>0.42600000000000005</v>
      </c>
      <c r="BB407" s="4">
        <f t="shared" si="1269"/>
        <v>82.741681097536173</v>
      </c>
      <c r="BC407" s="4">
        <f t="shared" si="1270"/>
        <v>713.94891745080577</v>
      </c>
      <c r="BE407" s="4">
        <f t="shared" si="1122"/>
        <v>1.3875</v>
      </c>
      <c r="BF407" s="4">
        <f t="shared" si="1128"/>
        <v>591.55581719530358</v>
      </c>
      <c r="BH407" s="4">
        <f t="shared" si="1129"/>
        <v>605.40493127781826</v>
      </c>
      <c r="BI407" s="4">
        <f t="shared" si="1350"/>
        <v>0</v>
      </c>
      <c r="BJ407" s="4">
        <f t="shared" si="1130"/>
        <v>0</v>
      </c>
      <c r="BR407" s="4">
        <f t="shared" si="1271"/>
        <v>64.77</v>
      </c>
      <c r="BV407" s="9"/>
      <c r="BX407" s="9"/>
      <c r="BY407" s="9"/>
      <c r="BZ407" s="9">
        <f t="shared" si="1272"/>
        <v>64.77</v>
      </c>
      <c r="CA407" s="9">
        <f t="shared" si="1273"/>
        <v>127.00000000000001</v>
      </c>
      <c r="CB407" s="9">
        <f t="shared" si="1374"/>
        <v>1.7665851027593089</v>
      </c>
      <c r="CC407" s="40">
        <f t="shared" si="1299"/>
        <v>0</v>
      </c>
      <c r="CD407" s="9">
        <f t="shared" si="1274"/>
        <v>0</v>
      </c>
      <c r="CE407" s="9">
        <f t="shared" si="1275"/>
        <v>0</v>
      </c>
      <c r="CF407" s="9">
        <f t="shared" si="1276"/>
        <v>0.99524931562137331</v>
      </c>
      <c r="CG407" s="9">
        <f t="shared" si="1277"/>
        <v>0.68</v>
      </c>
      <c r="CH407" s="9">
        <f t="shared" si="1375"/>
        <v>1.693300152715469</v>
      </c>
      <c r="CI407" s="9">
        <f t="shared" si="1376"/>
        <v>2.99135882428721</v>
      </c>
      <c r="CJ407" s="40">
        <v>1</v>
      </c>
      <c r="CK407" s="9">
        <f t="shared" si="1377"/>
        <v>297.70003019306313</v>
      </c>
      <c r="CM407" s="4">
        <f t="shared" si="1278"/>
        <v>1.1780867637368739</v>
      </c>
      <c r="CN407" s="4">
        <f t="shared" si="1279"/>
        <v>0.61339267247076401</v>
      </c>
      <c r="CO407" s="4">
        <f t="shared" si="1242"/>
        <v>0.74030382552754892</v>
      </c>
      <c r="CP407" s="4">
        <f t="shared" si="1280"/>
        <v>1.4710480015697462</v>
      </c>
      <c r="CQ407" s="4">
        <f t="shared" si="1189"/>
        <v>0.63658061415316614</v>
      </c>
      <c r="CR407" s="4">
        <f t="shared" si="1190"/>
        <v>0.67335839175112699</v>
      </c>
      <c r="CS407" s="4">
        <f t="shared" si="1243"/>
        <v>0.8312726172672158</v>
      </c>
      <c r="CT407" s="4">
        <f t="shared" si="1300"/>
        <v>0</v>
      </c>
      <c r="CU407" s="4">
        <f t="shared" ref="CU407:CV408" si="1402">CM407</f>
        <v>1.1780867637368739</v>
      </c>
      <c r="CV407" s="4">
        <f t="shared" si="1402"/>
        <v>0.61339267247076401</v>
      </c>
      <c r="CW407" s="4">
        <f t="shared" ref="CW407:CW408" si="1403">CP407</f>
        <v>1.4710480015697462</v>
      </c>
      <c r="CX407" s="4">
        <f t="shared" ref="CX407:CX408" si="1404">CS407</f>
        <v>0.8312726172672158</v>
      </c>
      <c r="CY407" s="4">
        <f t="shared" ref="CY407:CZ408" si="1405">CQ407</f>
        <v>0.63658061415316614</v>
      </c>
      <c r="CZ407" s="4">
        <f t="shared" si="1405"/>
        <v>0.67335839175112699</v>
      </c>
      <c r="DI407" s="4">
        <f t="shared" si="1285"/>
        <v>250.952</v>
      </c>
      <c r="DL407" s="4">
        <f t="shared" si="1166"/>
        <v>2.0297432140333448E-5</v>
      </c>
      <c r="DM407" s="4">
        <f t="shared" si="1313"/>
        <v>9.0857094645609653</v>
      </c>
      <c r="DN407" s="4">
        <f t="shared" si="1167"/>
        <v>0.41025190412805262</v>
      </c>
      <c r="DO407" s="4">
        <f t="shared" si="1168"/>
        <v>6.3617864584628112</v>
      </c>
      <c r="DP407" s="4">
        <f t="shared" si="1169"/>
        <v>7.843269381391015</v>
      </c>
      <c r="DQ407" s="4">
        <f t="shared" si="1170"/>
        <v>8.4745268395009088</v>
      </c>
      <c r="DR407" s="38">
        <f t="shared" si="1183"/>
        <v>687.94277542575173</v>
      </c>
      <c r="DS407" s="4">
        <f t="shared" si="1382"/>
        <v>1.0001048765455911</v>
      </c>
      <c r="DT407" s="4">
        <f t="shared" si="1171"/>
        <v>2.2583179581272428</v>
      </c>
      <c r="DU407" s="4">
        <f t="shared" si="1390"/>
        <v>385.12258374508349</v>
      </c>
      <c r="DY407" s="4">
        <f t="shared" si="1331"/>
        <v>0.85</v>
      </c>
      <c r="DZ407" s="4">
        <f t="shared" si="1383"/>
        <v>0.84499999999999997</v>
      </c>
      <c r="EA407" s="4">
        <f t="shared" si="1184"/>
        <v>1</v>
      </c>
      <c r="EB407" s="4">
        <f t="shared" si="1384"/>
        <v>0.84499999999999997</v>
      </c>
      <c r="ED407" s="4">
        <f t="shared" si="1185"/>
        <v>650.36842170167506</v>
      </c>
      <c r="EE407" s="25">
        <f t="shared" si="1186"/>
        <v>381.06799317208811</v>
      </c>
      <c r="EG407" s="4">
        <f t="shared" si="1391"/>
        <v>0.71824999999999994</v>
      </c>
      <c r="EH407" s="4">
        <f t="shared" si="1187"/>
        <v>9.0857094645609653</v>
      </c>
      <c r="EK407" s="4">
        <f t="shared" si="1172"/>
        <v>57.361276136431961</v>
      </c>
      <c r="EL407" s="4">
        <f t="shared" si="1173"/>
        <v>2.2583179581272428</v>
      </c>
      <c r="EM407" s="4">
        <f t="shared" si="1174"/>
        <v>0.1603655114597024</v>
      </c>
      <c r="EP407" s="4">
        <f t="shared" si="1301"/>
        <v>0.1603655114597024</v>
      </c>
      <c r="EQ407" s="4">
        <f t="shared" si="1257"/>
        <v>0.40956727016062394</v>
      </c>
      <c r="ER407" s="4">
        <f t="shared" si="1314"/>
        <v>6.3575376761367446</v>
      </c>
      <c r="ES407" s="4">
        <f t="shared" si="1286"/>
        <v>7.8415490707318991</v>
      </c>
      <c r="ET407" s="4">
        <f t="shared" si="1315"/>
        <v>130.85272386356803</v>
      </c>
      <c r="EU407" s="4">
        <f t="shared" si="1316"/>
        <v>62.738</v>
      </c>
      <c r="EV407" s="4">
        <f t="shared" si="1385"/>
        <v>2.0297432140333448E-5</v>
      </c>
      <c r="EW407" s="4">
        <f t="shared" si="1287"/>
        <v>8.4746977791693663</v>
      </c>
      <c r="EX407" s="4">
        <f t="shared" si="1131"/>
        <v>687.87063392985158</v>
      </c>
      <c r="FG407" s="23">
        <f t="shared" si="1329"/>
        <v>1.2</v>
      </c>
      <c r="FH407" s="23">
        <f t="shared" si="1329"/>
        <v>0.8</v>
      </c>
      <c r="FI407" s="23">
        <f t="shared" si="1248"/>
        <v>1</v>
      </c>
      <c r="FJ407" s="23">
        <f t="shared" si="1330"/>
        <v>1.6</v>
      </c>
      <c r="FK407" s="23">
        <f t="shared" si="1330"/>
        <v>0.8</v>
      </c>
      <c r="FL407" s="23">
        <f t="shared" si="1330"/>
        <v>0.8</v>
      </c>
      <c r="FM407" s="23">
        <f t="shared" si="1195"/>
        <v>1</v>
      </c>
      <c r="FN407" s="23"/>
      <c r="FX407" s="4">
        <f t="shared" si="1386"/>
        <v>1</v>
      </c>
      <c r="FY407" s="4">
        <f t="shared" si="1139"/>
        <v>0.5</v>
      </c>
      <c r="FZ407" s="4">
        <f t="shared" si="1387"/>
        <v>0</v>
      </c>
      <c r="GA407" s="4">
        <f t="shared" si="1388"/>
        <v>526.81999308775983</v>
      </c>
    </row>
    <row r="408" spans="1:183" ht="12" customHeight="1" x14ac:dyDescent="0.3">
      <c r="A408" s="25">
        <v>390</v>
      </c>
      <c r="B408" s="4" t="s">
        <v>605</v>
      </c>
      <c r="C408" s="4">
        <v>2016</v>
      </c>
      <c r="D408" s="4" t="s">
        <v>309</v>
      </c>
      <c r="E408" s="14" t="s">
        <v>556</v>
      </c>
      <c r="F408" s="7" t="s">
        <v>558</v>
      </c>
      <c r="G408" s="38">
        <f t="shared" ref="G408:G415" si="1406">129/0.145</f>
        <v>889.65517241379314</v>
      </c>
      <c r="H408" s="38">
        <f>9.81*25.4</f>
        <v>249.17400000000001</v>
      </c>
      <c r="I408" s="4">
        <f t="shared" si="1288"/>
        <v>249.17400000000001</v>
      </c>
      <c r="J408" s="38">
        <f>7410/145</f>
        <v>51.103448275862071</v>
      </c>
      <c r="K408" s="38">
        <f t="shared" si="1401"/>
        <v>25.4</v>
      </c>
      <c r="L408" s="7">
        <f t="shared" si="1289"/>
        <v>9.81</v>
      </c>
      <c r="M408" s="7">
        <f t="shared" si="1290"/>
        <v>9.81</v>
      </c>
      <c r="N408" s="38">
        <f>17.3*25.4</f>
        <v>439.42</v>
      </c>
      <c r="O408" s="38">
        <f>2.6*25.4</f>
        <v>66.039999999999992</v>
      </c>
      <c r="P408" s="39">
        <f>3.35*25.4</f>
        <v>85.09</v>
      </c>
      <c r="Q408" s="7">
        <f t="shared" si="1291"/>
        <v>256.54000000000002</v>
      </c>
      <c r="R408" s="38">
        <v>2</v>
      </c>
      <c r="S408" s="4">
        <f t="shared" si="1361"/>
        <v>508</v>
      </c>
      <c r="T408" s="7">
        <f t="shared" si="1292"/>
        <v>3.0999999999999996</v>
      </c>
      <c r="U408" s="7">
        <f t="shared" si="1127"/>
        <v>3.0999999999999996</v>
      </c>
      <c r="V408" s="38">
        <v>9.1</v>
      </c>
      <c r="W408" s="4">
        <f t="shared" si="1293"/>
        <v>9.1</v>
      </c>
      <c r="X408" s="4">
        <f t="shared" si="1294"/>
        <v>10.1</v>
      </c>
      <c r="Y408" s="7">
        <f t="shared" si="1295"/>
        <v>80.72246279691916</v>
      </c>
      <c r="AB408" s="38">
        <f t="shared" si="1332"/>
        <v>452.41379310344826</v>
      </c>
      <c r="AC408" s="4">
        <v>65.599999999999994</v>
      </c>
      <c r="AD408" s="4">
        <f t="shared" si="1159"/>
        <v>0.67872485494033818</v>
      </c>
      <c r="AE408" s="38"/>
      <c r="AF408" s="38"/>
      <c r="AG408" s="39">
        <v>1</v>
      </c>
      <c r="AH408" s="39"/>
      <c r="AI408" s="39"/>
      <c r="AJ408" s="7"/>
      <c r="AK408" s="4">
        <f t="shared" si="1297"/>
        <v>249.17400000000001</v>
      </c>
      <c r="AL408" s="4">
        <f t="shared" si="1175"/>
        <v>0.58783554196398236</v>
      </c>
      <c r="AM408" s="4">
        <f t="shared" si="1176"/>
        <v>277.45456748084541</v>
      </c>
      <c r="AN408" s="4">
        <f t="shared" si="1177"/>
        <v>0.76320081549439345</v>
      </c>
      <c r="AO408" s="4">
        <v>1.25</v>
      </c>
      <c r="AP408" s="4">
        <f t="shared" si="1396"/>
        <v>2.5</v>
      </c>
      <c r="AQ408" s="38">
        <f t="shared" si="1266"/>
        <v>388.98832530980724</v>
      </c>
      <c r="AR408" s="38">
        <f t="shared" si="1178"/>
        <v>388.98832530980724</v>
      </c>
      <c r="AS408" s="38">
        <f t="shared" si="1179"/>
        <v>4.0980014231553801</v>
      </c>
      <c r="AT408" s="38">
        <f t="shared" si="1121"/>
        <v>388.98832530980735</v>
      </c>
      <c r="AU408" s="38">
        <f t="shared" si="1373"/>
        <v>0.99999999999999967</v>
      </c>
      <c r="AV408" s="38">
        <f t="shared" si="1249"/>
        <v>2.4571180617648873</v>
      </c>
      <c r="AW408" s="4">
        <f t="shared" si="1230"/>
        <v>0</v>
      </c>
      <c r="AX408" s="4">
        <f t="shared" si="1298"/>
        <v>369.09699490993239</v>
      </c>
      <c r="AY408" s="4">
        <f t="shared" si="1267"/>
        <v>1</v>
      </c>
      <c r="AZ408" s="38">
        <f t="shared" si="1389"/>
        <v>955.7902399344033</v>
      </c>
      <c r="BA408" s="4">
        <f t="shared" si="1268"/>
        <v>0.3</v>
      </c>
      <c r="BB408" s="4">
        <f t="shared" si="1269"/>
        <v>57.855953952131891</v>
      </c>
      <c r="BC408" s="4">
        <f t="shared" si="1270"/>
        <v>1013.6461938865352</v>
      </c>
      <c r="BE408" s="4">
        <f t="shared" si="1122"/>
        <v>1.4</v>
      </c>
      <c r="BF408" s="4">
        <f t="shared" si="1128"/>
        <v>594.78344061103735</v>
      </c>
      <c r="BH408" s="4">
        <f t="shared" si="1129"/>
        <v>916.71972562692179</v>
      </c>
      <c r="BI408" s="4">
        <f t="shared" si="1350"/>
        <v>0</v>
      </c>
      <c r="BJ408" s="4">
        <f t="shared" si="1130"/>
        <v>0</v>
      </c>
      <c r="BR408" s="4">
        <f t="shared" si="1271"/>
        <v>66.039999999999992</v>
      </c>
      <c r="BV408" s="9"/>
      <c r="BX408" s="9"/>
      <c r="BY408" s="9"/>
      <c r="BZ408" s="9">
        <f t="shared" si="1272"/>
        <v>66.039999999999992</v>
      </c>
      <c r="CA408" s="9">
        <f t="shared" si="1273"/>
        <v>128.27000000000001</v>
      </c>
      <c r="CB408" s="9">
        <f t="shared" si="1374"/>
        <v>1.7812889692205971</v>
      </c>
      <c r="CC408" s="40">
        <f t="shared" si="1299"/>
        <v>0</v>
      </c>
      <c r="CD408" s="9">
        <f t="shared" si="1274"/>
        <v>0</v>
      </c>
      <c r="CE408" s="9">
        <f t="shared" si="1275"/>
        <v>0</v>
      </c>
      <c r="CF408" s="9">
        <f t="shared" si="1276"/>
        <v>0.99524931562137331</v>
      </c>
      <c r="CG408" s="9">
        <f t="shared" si="1277"/>
        <v>0.68</v>
      </c>
      <c r="CH408" s="9">
        <f t="shared" si="1375"/>
        <v>1.693300152715469</v>
      </c>
      <c r="CI408" s="9">
        <f t="shared" si="1376"/>
        <v>3.0162568836116175</v>
      </c>
      <c r="CJ408" s="40">
        <v>1</v>
      </c>
      <c r="CK408" s="9">
        <f t="shared" si="1377"/>
        <v>299.3333331296169</v>
      </c>
      <c r="CM408" s="4">
        <f t="shared" si="1278"/>
        <v>1.2257314455075607</v>
      </c>
      <c r="CN408" s="4">
        <f t="shared" si="1279"/>
        <v>0.44632318044701325</v>
      </c>
      <c r="CO408" s="4">
        <f t="shared" si="1242"/>
        <v>0.76063616135424206</v>
      </c>
      <c r="CP408" s="4">
        <f t="shared" si="1280"/>
        <v>1.5114046550490408</v>
      </c>
      <c r="CQ408" s="4">
        <f t="shared" si="1189"/>
        <v>0.67872485494033818</v>
      </c>
      <c r="CR408" s="4">
        <f t="shared" si="1190"/>
        <v>0.69192281388318311</v>
      </c>
      <c r="CS408" s="4">
        <f t="shared" si="1243"/>
        <v>0.86489129505352247</v>
      </c>
      <c r="CT408" s="4">
        <f t="shared" si="1300"/>
        <v>0</v>
      </c>
      <c r="CU408" s="4">
        <f t="shared" si="1402"/>
        <v>1.2257314455075607</v>
      </c>
      <c r="CV408" s="4">
        <f t="shared" si="1402"/>
        <v>0.44632318044701325</v>
      </c>
      <c r="CW408" s="4">
        <f t="shared" si="1403"/>
        <v>1.5114046550490408</v>
      </c>
      <c r="CX408" s="4">
        <f t="shared" si="1404"/>
        <v>0.86489129505352247</v>
      </c>
      <c r="CY408" s="4">
        <f t="shared" si="1405"/>
        <v>0.67872485494033818</v>
      </c>
      <c r="CZ408" s="4">
        <f t="shared" si="1405"/>
        <v>0.69192281388318311</v>
      </c>
      <c r="DI408" s="4">
        <f t="shared" si="1285"/>
        <v>249.17400000000001</v>
      </c>
      <c r="DL408" s="4">
        <f t="shared" si="1166"/>
        <v>2.0153624422739997E-5</v>
      </c>
      <c r="DM408" s="4">
        <f t="shared" si="1313"/>
        <v>9.1397910685166845</v>
      </c>
      <c r="DN408" s="4">
        <f t="shared" si="1167"/>
        <v>0.26272793307880238</v>
      </c>
      <c r="DO408" s="4">
        <f t="shared" si="1168"/>
        <v>5.3547446764165203</v>
      </c>
      <c r="DP408" s="4">
        <f t="shared" si="1169"/>
        <v>7.4918554633137289</v>
      </c>
      <c r="DQ408" s="4">
        <f t="shared" si="1170"/>
        <v>8.5890007851221988</v>
      </c>
      <c r="DR408" s="38">
        <f t="shared" si="1183"/>
        <v>666.56435197620203</v>
      </c>
      <c r="DS408" s="4">
        <f t="shared" si="1382"/>
        <v>1.0000978243766807</v>
      </c>
      <c r="DT408" s="4">
        <f t="shared" si="1171"/>
        <v>3.1780497164141401</v>
      </c>
      <c r="DU408" s="4">
        <f t="shared" si="1390"/>
        <v>388.98832530980735</v>
      </c>
      <c r="DY408" s="4">
        <f t="shared" si="1331"/>
        <v>0.85</v>
      </c>
      <c r="DZ408" s="4">
        <f t="shared" si="1383"/>
        <v>0.84000000000000008</v>
      </c>
      <c r="EA408" s="4">
        <f t="shared" si="1184"/>
        <v>1</v>
      </c>
      <c r="EB408" s="4">
        <f t="shared" si="1384"/>
        <v>0.84000000000000008</v>
      </c>
      <c r="ED408" s="4">
        <f t="shared" si="1185"/>
        <v>653.85008851555085</v>
      </c>
      <c r="EE408" s="25">
        <f t="shared" si="1186"/>
        <v>384.86603736910473</v>
      </c>
      <c r="EG408" s="4">
        <f t="shared" si="1391"/>
        <v>0.71400000000000008</v>
      </c>
      <c r="EH408" s="4">
        <f t="shared" si="1187"/>
        <v>9.1397910685166845</v>
      </c>
      <c r="EK408" s="4">
        <f t="shared" si="1172"/>
        <v>80.72246279691916</v>
      </c>
      <c r="EL408" s="4">
        <f t="shared" si="1173"/>
        <v>3.1780497164141406</v>
      </c>
      <c r="EM408" s="4">
        <f t="shared" si="1174"/>
        <v>0.10269909521195474</v>
      </c>
      <c r="EP408" s="4">
        <f t="shared" si="1301"/>
        <v>0.10269909521195474</v>
      </c>
      <c r="EQ408" s="4">
        <f t="shared" si="1257"/>
        <v>0.26228948912432426</v>
      </c>
      <c r="ER408" s="4">
        <f t="shared" si="1314"/>
        <v>5.3511684569551603</v>
      </c>
      <c r="ES408" s="4">
        <f t="shared" si="1286"/>
        <v>7.4905842503572924</v>
      </c>
      <c r="ET408" s="4">
        <f t="shared" si="1315"/>
        <v>106.15803720308085</v>
      </c>
      <c r="EU408" s="4">
        <f t="shared" si="1316"/>
        <v>62.293499999999995</v>
      </c>
      <c r="EV408" s="4">
        <f t="shared" si="1385"/>
        <v>2.015362442273999E-5</v>
      </c>
      <c r="EW408" s="4">
        <f t="shared" si="1287"/>
        <v>8.5891550801549688</v>
      </c>
      <c r="EX408" s="4">
        <f t="shared" si="1131"/>
        <v>666.49915211208838</v>
      </c>
      <c r="FG408" s="23">
        <f t="shared" si="1329"/>
        <v>1.4</v>
      </c>
      <c r="FH408" s="23">
        <f t="shared" si="1329"/>
        <v>0.6</v>
      </c>
      <c r="FI408" s="23">
        <f t="shared" si="1248"/>
        <v>1</v>
      </c>
      <c r="FJ408" s="23">
        <f t="shared" si="1330"/>
        <v>1.6</v>
      </c>
      <c r="FK408" s="23">
        <f t="shared" si="1330"/>
        <v>0.8</v>
      </c>
      <c r="FL408" s="23">
        <f t="shared" si="1330"/>
        <v>0.8</v>
      </c>
      <c r="FM408" s="23">
        <f t="shared" si="1195"/>
        <v>1</v>
      </c>
      <c r="FN408" s="23"/>
      <c r="FX408" s="4">
        <f t="shared" si="1386"/>
        <v>1</v>
      </c>
      <c r="FY408" s="4">
        <f t="shared" si="1139"/>
        <v>0.5</v>
      </c>
      <c r="FZ408" s="4">
        <f t="shared" si="1387"/>
        <v>0</v>
      </c>
      <c r="GA408" s="4">
        <f t="shared" si="1388"/>
        <v>523.08746277236071</v>
      </c>
    </row>
    <row r="409" spans="1:183" ht="12" customHeight="1" x14ac:dyDescent="0.3">
      <c r="A409" s="25">
        <v>391</v>
      </c>
      <c r="B409" s="4" t="s">
        <v>605</v>
      </c>
      <c r="C409" s="4">
        <v>2016</v>
      </c>
      <c r="D409" s="4" t="s">
        <v>309</v>
      </c>
      <c r="E409" s="14" t="s">
        <v>676</v>
      </c>
      <c r="F409" s="7" t="s">
        <v>559</v>
      </c>
      <c r="G409" s="38">
        <f t="shared" si="1406"/>
        <v>889.65517241379314</v>
      </c>
      <c r="H409" s="38">
        <f>9.63*25.4</f>
        <v>244.602</v>
      </c>
      <c r="I409" s="4">
        <f t="shared" si="1288"/>
        <v>244.602</v>
      </c>
      <c r="J409" s="38">
        <f>7410/145</f>
        <v>51.103448275862071</v>
      </c>
      <c r="K409" s="38">
        <f t="shared" si="1401"/>
        <v>25.4</v>
      </c>
      <c r="L409" s="7">
        <f t="shared" si="1289"/>
        <v>9.6300000000000008</v>
      </c>
      <c r="M409" s="7">
        <f t="shared" si="1290"/>
        <v>9.6300000000000008</v>
      </c>
      <c r="N409" s="38">
        <f>17.4*25.4</f>
        <v>441.95999999999992</v>
      </c>
      <c r="O409" s="38">
        <f>2.65*25.4</f>
        <v>67.309999999999988</v>
      </c>
      <c r="P409" s="39">
        <f>3.6*25.4</f>
        <v>91.44</v>
      </c>
      <c r="Q409" s="7">
        <f t="shared" si="1291"/>
        <v>256.53999999999996</v>
      </c>
      <c r="R409" s="38">
        <v>2</v>
      </c>
      <c r="S409" s="4">
        <f t="shared" si="1361"/>
        <v>508</v>
      </c>
      <c r="T409" s="7">
        <f t="shared" si="1292"/>
        <v>3.1499999999999995</v>
      </c>
      <c r="U409" s="7">
        <f t="shared" si="1127"/>
        <v>3.1499999999999995</v>
      </c>
      <c r="V409" s="38">
        <v>9.1</v>
      </c>
      <c r="W409" s="4">
        <f t="shared" si="1293"/>
        <v>9.1</v>
      </c>
      <c r="X409" s="4">
        <f t="shared" si="1294"/>
        <v>10.1</v>
      </c>
      <c r="Y409" s="7">
        <f t="shared" si="1295"/>
        <v>80.72246279691916</v>
      </c>
      <c r="AB409" s="38">
        <f t="shared" si="1332"/>
        <v>595.17241379310349</v>
      </c>
      <c r="AC409" s="4">
        <v>86.3</v>
      </c>
      <c r="AD409" s="4">
        <f t="shared" si="1159"/>
        <v>0.83340478977310528</v>
      </c>
      <c r="AE409" s="38">
        <f>0.5*25.4</f>
        <v>12.7</v>
      </c>
      <c r="AF409" s="38">
        <v>10</v>
      </c>
      <c r="AG409" s="39">
        <f>5*25.4</f>
        <v>127</v>
      </c>
      <c r="AH409" s="39">
        <v>3</v>
      </c>
      <c r="AI409" s="39">
        <v>2</v>
      </c>
      <c r="AJ409" s="7"/>
      <c r="AK409" s="4">
        <f t="shared" si="1297"/>
        <v>244.602</v>
      </c>
      <c r="AL409" s="4">
        <f t="shared" si="1175"/>
        <v>0.60228452751817219</v>
      </c>
      <c r="AM409" s="4">
        <f t="shared" si="1176"/>
        <v>269.85334029886326</v>
      </c>
      <c r="AN409" s="4">
        <f t="shared" si="1177"/>
        <v>0.76542056074766351</v>
      </c>
      <c r="AO409" s="4">
        <v>1.25</v>
      </c>
      <c r="AP409" s="4">
        <f t="shared" si="1396"/>
        <v>2.5</v>
      </c>
      <c r="AQ409" s="38">
        <f t="shared" si="1266"/>
        <v>388.75827858803166</v>
      </c>
      <c r="AR409" s="38">
        <f t="shared" si="1178"/>
        <v>388.75827858803166</v>
      </c>
      <c r="AS409" s="38">
        <f t="shared" si="1179"/>
        <v>4.0980014231553801</v>
      </c>
      <c r="AT409" s="38">
        <f t="shared" ref="AT409:AT449" si="1407">AP409* (J409^0.5/AK409^0.5)/(PI()/4*K409^2)/R409/0.72 *(0.7+(MIN(O409,S409)+0.5*K409)/5/H409) *(3*N409*H409)</f>
        <v>388.75827858803183</v>
      </c>
      <c r="AU409" s="38">
        <f t="shared" si="1373"/>
        <v>0.99999999999999956</v>
      </c>
      <c r="AV409" s="38">
        <f t="shared" si="1249"/>
        <v>2.4982264431092367</v>
      </c>
      <c r="AW409" s="4">
        <f t="shared" si="1230"/>
        <v>0</v>
      </c>
      <c r="AX409" s="4">
        <f t="shared" si="1298"/>
        <v>362.32457298497951</v>
      </c>
      <c r="AY409" s="4">
        <f t="shared" si="1267"/>
        <v>1</v>
      </c>
      <c r="AZ409" s="38">
        <f t="shared" si="1389"/>
        <v>971.20621154624848</v>
      </c>
      <c r="BA409" s="4">
        <f t="shared" si="1268"/>
        <v>0.3</v>
      </c>
      <c r="BB409" s="4">
        <f t="shared" si="1269"/>
        <v>56.79437681539553</v>
      </c>
      <c r="BC409" s="4">
        <f t="shared" si="1270"/>
        <v>1028.0005883616441</v>
      </c>
      <c r="BE409" s="4">
        <f t="shared" ref="BE409:BE449" si="1408">MIN(1.5, 0.75+0.25*MIN(3,MAX(1,O409/K409))+0.4*MIN(1,(40*2*PI()*AE409^2/4/AG409/R409)/K409))</f>
        <v>1.5</v>
      </c>
      <c r="BF409" s="4">
        <f t="shared" si="1128"/>
        <v>631.47755133741964</v>
      </c>
      <c r="BH409" s="4">
        <f t="shared" si="1129"/>
        <v>931.5055276531624</v>
      </c>
      <c r="BI409" s="4">
        <f t="shared" si="1350"/>
        <v>0</v>
      </c>
      <c r="BJ409" s="4">
        <f t="shared" si="1130"/>
        <v>0</v>
      </c>
      <c r="BR409" s="4">
        <f t="shared" si="1271"/>
        <v>67.309999999999988</v>
      </c>
      <c r="BV409" s="9"/>
      <c r="BX409" s="9"/>
      <c r="BY409" s="9"/>
      <c r="BZ409" s="9">
        <f t="shared" si="1272"/>
        <v>67.309999999999988</v>
      </c>
      <c r="CA409" s="9">
        <f t="shared" si="1273"/>
        <v>128.26999999999998</v>
      </c>
      <c r="CB409" s="9">
        <f t="shared" si="1374"/>
        <v>1.793204262788072</v>
      </c>
      <c r="CC409" s="40">
        <f t="shared" si="1299"/>
        <v>20</v>
      </c>
      <c r="CD409" s="9">
        <f t="shared" si="1274"/>
        <v>0.05</v>
      </c>
      <c r="CE409" s="9">
        <f t="shared" si="1275"/>
        <v>0.8</v>
      </c>
      <c r="CF409" s="9">
        <f t="shared" si="1276"/>
        <v>0.99524931562137331</v>
      </c>
      <c r="CG409" s="9">
        <f t="shared" si="1277"/>
        <v>0.68</v>
      </c>
      <c r="CH409" s="9">
        <f t="shared" si="1375"/>
        <v>1.693300152715469</v>
      </c>
      <c r="CI409" s="9">
        <f t="shared" si="1376"/>
        <v>4.2332503817886726</v>
      </c>
      <c r="CJ409" s="40">
        <v>1</v>
      </c>
      <c r="CK409" s="9">
        <f t="shared" si="1377"/>
        <v>417.05982761382006</v>
      </c>
      <c r="CM409" s="4">
        <f t="shared" si="1278"/>
        <v>1.6426498729849517</v>
      </c>
      <c r="CN409" s="4">
        <f t="shared" si="1279"/>
        <v>0.57896116065618985</v>
      </c>
      <c r="CO409" s="4">
        <f t="shared" si="1242"/>
        <v>0.94250763551701122</v>
      </c>
      <c r="CP409" s="4">
        <f t="shared" si="1280"/>
        <v>1.4270672320523956</v>
      </c>
      <c r="CQ409" s="4">
        <f t="shared" si="1189"/>
        <v>0.83340478977310528</v>
      </c>
      <c r="CR409" s="4">
        <f t="shared" si="1190"/>
        <v>0.84853134899852589</v>
      </c>
      <c r="CS409" s="4">
        <f t="shared" si="1243"/>
        <v>1.0296890870286513</v>
      </c>
      <c r="CT409" s="4">
        <f t="shared" si="1300"/>
        <v>10</v>
      </c>
      <c r="DA409" s="4">
        <f t="shared" ref="DA409:DB409" si="1409">CM409</f>
        <v>1.6426498729849517</v>
      </c>
      <c r="DB409" s="4">
        <f t="shared" si="1409"/>
        <v>0.57896116065618985</v>
      </c>
      <c r="DC409" s="4">
        <f t="shared" ref="DC409" si="1410">CP409</f>
        <v>1.4270672320523956</v>
      </c>
      <c r="DD409" s="4">
        <f t="shared" ref="DD409" si="1411">CS409</f>
        <v>1.0296890870286513</v>
      </c>
      <c r="DE409" s="4">
        <f t="shared" ref="DE409:DF409" si="1412">CQ409</f>
        <v>0.83340478977310528</v>
      </c>
      <c r="DF409" s="4">
        <f t="shared" si="1412"/>
        <v>0.84853134899852589</v>
      </c>
      <c r="DI409" s="4">
        <f t="shared" si="1285"/>
        <v>244.602</v>
      </c>
      <c r="DL409" s="4">
        <f t="shared" si="1166"/>
        <v>1.9783833148928252E-5</v>
      </c>
      <c r="DM409" s="4">
        <f t="shared" si="1313"/>
        <v>10.967749282220023</v>
      </c>
      <c r="DN409" s="4">
        <f t="shared" si="1167"/>
        <v>0.26257255643690569</v>
      </c>
      <c r="DO409" s="4">
        <f t="shared" si="1168"/>
        <v>6.4241732862813743</v>
      </c>
      <c r="DP409" s="4">
        <f t="shared" si="1169"/>
        <v>8.9896860463643975</v>
      </c>
      <c r="DQ409" s="4">
        <f t="shared" si="1170"/>
        <v>10.206506761698176</v>
      </c>
      <c r="DR409" s="38">
        <f t="shared" si="1183"/>
        <v>714.14566018409778</v>
      </c>
      <c r="DS409" s="4">
        <f t="shared" si="1382"/>
        <v>1.000108021418886</v>
      </c>
      <c r="DT409" s="4">
        <f t="shared" si="1171"/>
        <v>3.1780497164141401</v>
      </c>
      <c r="DU409" s="4">
        <f t="shared" si="1390"/>
        <v>388.75827858803183</v>
      </c>
      <c r="DY409" s="4">
        <f t="shared" si="1331"/>
        <v>0.85</v>
      </c>
      <c r="DZ409" s="4">
        <f t="shared" si="1383"/>
        <v>0.83499999999999996</v>
      </c>
      <c r="EA409" s="4">
        <f t="shared" si="1184"/>
        <v>0.77500000000000002</v>
      </c>
      <c r="EB409" s="4">
        <f t="shared" si="1384"/>
        <v>0.7</v>
      </c>
      <c r="ED409" s="4">
        <f t="shared" si="1185"/>
        <v>701.41476151181951</v>
      </c>
      <c r="EE409" s="25">
        <f t="shared" si="1186"/>
        <v>384.55648474848294</v>
      </c>
      <c r="EG409" s="4">
        <f t="shared" si="1391"/>
        <v>0.59499999999999997</v>
      </c>
      <c r="EH409" s="4">
        <f t="shared" si="1187"/>
        <v>10.967749282220023</v>
      </c>
      <c r="EK409" s="4">
        <f t="shared" si="1172"/>
        <v>80.72246279691916</v>
      </c>
      <c r="EL409" s="4">
        <f t="shared" si="1173"/>
        <v>3.1780497164141406</v>
      </c>
      <c r="EM409" s="4">
        <f t="shared" si="1174"/>
        <v>0.10263835922414841</v>
      </c>
      <c r="EP409" s="4">
        <f t="shared" si="1301"/>
        <v>0.10263835922414841</v>
      </c>
      <c r="EQ409" s="4">
        <f t="shared" si="1257"/>
        <v>0.26213437177708465</v>
      </c>
      <c r="ER409" s="4">
        <f t="shared" si="1314"/>
        <v>6.4198828382921871</v>
      </c>
      <c r="ES409" s="4">
        <f t="shared" si="1286"/>
        <v>8.9881612318991966</v>
      </c>
      <c r="ET409" s="4">
        <f t="shared" si="1315"/>
        <v>102.72903720308085</v>
      </c>
      <c r="EU409" s="4">
        <f t="shared" si="1316"/>
        <v>61.150499999999994</v>
      </c>
      <c r="EV409" s="4">
        <f t="shared" si="1385"/>
        <v>1.9783833148928249E-5</v>
      </c>
      <c r="EW409" s="4">
        <f t="shared" si="1287"/>
        <v>10.206722179968247</v>
      </c>
      <c r="EX409" s="4">
        <f t="shared" si="1131"/>
        <v>714.0685254887926</v>
      </c>
      <c r="FG409" s="23">
        <f t="shared" si="1329"/>
        <v>1.8</v>
      </c>
      <c r="FH409" s="23">
        <f t="shared" si="1329"/>
        <v>0.6</v>
      </c>
      <c r="FI409" s="23">
        <f t="shared" si="1248"/>
        <v>1.2</v>
      </c>
      <c r="FJ409" s="23">
        <f t="shared" si="1330"/>
        <v>1.6</v>
      </c>
      <c r="FK409" s="23">
        <f t="shared" si="1330"/>
        <v>1</v>
      </c>
      <c r="FL409" s="23">
        <f t="shared" si="1330"/>
        <v>1</v>
      </c>
      <c r="FM409" s="23">
        <f t="shared" si="1195"/>
        <v>0</v>
      </c>
      <c r="FN409" s="23"/>
      <c r="FX409" s="4">
        <f t="shared" si="1386"/>
        <v>1</v>
      </c>
      <c r="FY409" s="4">
        <f t="shared" si="1139"/>
        <v>0.44418604651162791</v>
      </c>
      <c r="FZ409" s="4">
        <f t="shared" si="1387"/>
        <v>0.3</v>
      </c>
      <c r="GA409" s="4">
        <f t="shared" si="1388"/>
        <v>578.01177199088124</v>
      </c>
    </row>
    <row r="410" spans="1:183" ht="12" customHeight="1" x14ac:dyDescent="0.3">
      <c r="A410" s="25">
        <v>392</v>
      </c>
      <c r="B410" s="4" t="s">
        <v>605</v>
      </c>
      <c r="C410" s="4">
        <v>2016</v>
      </c>
      <c r="D410" s="4" t="s">
        <v>309</v>
      </c>
      <c r="E410" s="14" t="s">
        <v>676</v>
      </c>
      <c r="F410" s="7" t="s">
        <v>560</v>
      </c>
      <c r="G410" s="38">
        <f t="shared" si="1406"/>
        <v>889.65517241379314</v>
      </c>
      <c r="H410" s="38">
        <f>9.88*25.4</f>
        <v>250.952</v>
      </c>
      <c r="I410" s="4">
        <f t="shared" si="1288"/>
        <v>250.952</v>
      </c>
      <c r="J410" s="38">
        <f t="shared" ref="J410:J415" si="1413">4880/145</f>
        <v>33.655172413793103</v>
      </c>
      <c r="K410" s="38">
        <f t="shared" si="1401"/>
        <v>25.4</v>
      </c>
      <c r="L410" s="7">
        <f t="shared" si="1289"/>
        <v>9.8800000000000008</v>
      </c>
      <c r="M410" s="7">
        <f t="shared" si="1290"/>
        <v>9.8800000000000008</v>
      </c>
      <c r="N410" s="38">
        <f>17.4*25.4</f>
        <v>441.95999999999992</v>
      </c>
      <c r="O410" s="38">
        <f>2.55*25.4</f>
        <v>64.77</v>
      </c>
      <c r="P410" s="39">
        <f>3.3*25.4</f>
        <v>83.82</v>
      </c>
      <c r="Q410" s="7">
        <f t="shared" si="1291"/>
        <v>261.61999999999989</v>
      </c>
      <c r="R410" s="38">
        <v>2</v>
      </c>
      <c r="S410" s="4">
        <f t="shared" si="1361"/>
        <v>508</v>
      </c>
      <c r="T410" s="7">
        <f t="shared" si="1292"/>
        <v>3.05</v>
      </c>
      <c r="U410" s="7">
        <f t="shared" ref="U410:U449" si="1414">O410/K410+0.5</f>
        <v>3.05</v>
      </c>
      <c r="V410" s="38">
        <v>4.0999999999999996</v>
      </c>
      <c r="W410" s="4">
        <f t="shared" si="1293"/>
        <v>4.0999999999999996</v>
      </c>
      <c r="X410" s="4">
        <f t="shared" si="1294"/>
        <v>5.0999999999999996</v>
      </c>
      <c r="Y410" s="7">
        <f t="shared" si="1295"/>
        <v>57.361276136431961</v>
      </c>
      <c r="AB410" s="38">
        <f t="shared" si="1332"/>
        <v>354.48275862068965</v>
      </c>
      <c r="AC410" s="4">
        <v>51.4</v>
      </c>
      <c r="AD410" s="4">
        <f t="shared" si="1159"/>
        <v>0.61800778838527559</v>
      </c>
      <c r="AE410" s="38"/>
      <c r="AF410" s="38"/>
      <c r="AG410" s="39">
        <v>1</v>
      </c>
      <c r="AH410" s="39"/>
      <c r="AI410" s="39"/>
      <c r="AJ410" s="7"/>
      <c r="AK410" s="4">
        <f t="shared" si="1297"/>
        <v>250.952</v>
      </c>
      <c r="AL410" s="4">
        <f t="shared" si="1175"/>
        <v>0.58704453441295534</v>
      </c>
      <c r="AM410" s="4">
        <f t="shared" si="1176"/>
        <v>227.57502097194012</v>
      </c>
      <c r="AN410" s="4">
        <f t="shared" si="1177"/>
        <v>0.76174089068825901</v>
      </c>
      <c r="AO410" s="4">
        <v>1.25</v>
      </c>
      <c r="AP410" s="4">
        <f t="shared" si="1396"/>
        <v>2.5</v>
      </c>
      <c r="AQ410" s="38">
        <f t="shared" si="1266"/>
        <v>318.01890030575532</v>
      </c>
      <c r="AR410" s="38">
        <f t="shared" si="1178"/>
        <v>318.01890030575532</v>
      </c>
      <c r="AS410" s="38">
        <f t="shared" si="1179"/>
        <v>3.1272010355053257</v>
      </c>
      <c r="AT410" s="38">
        <f t="shared" si="1407"/>
        <v>318.01890030575521</v>
      </c>
      <c r="AU410" s="38">
        <f t="shared" si="1373"/>
        <v>1.0000000000000004</v>
      </c>
      <c r="AV410" s="38">
        <f t="shared" si="1249"/>
        <v>1.3071356264291427</v>
      </c>
      <c r="AW410" s="4">
        <f t="shared" si="1230"/>
        <v>0</v>
      </c>
      <c r="AX410" s="4">
        <f t="shared" si="1298"/>
        <v>301.6680066014568</v>
      </c>
      <c r="AY410" s="4">
        <f t="shared" si="1267"/>
        <v>1</v>
      </c>
      <c r="AZ410" s="38">
        <f t="shared" si="1389"/>
        <v>415.69383446747042</v>
      </c>
      <c r="BA410" s="4">
        <f t="shared" si="1268"/>
        <v>0.42600000000000005</v>
      </c>
      <c r="BB410" s="4">
        <f t="shared" si="1269"/>
        <v>67.146773249385262</v>
      </c>
      <c r="BC410" s="4">
        <f t="shared" si="1270"/>
        <v>482.84060771685569</v>
      </c>
      <c r="BE410" s="4">
        <f t="shared" si="1408"/>
        <v>1.3875</v>
      </c>
      <c r="BF410" s="4">
        <f t="shared" ref="BF410:BF449" si="1415">(3*M410+30)*BE410*J410^0.5</f>
        <v>480.06112269757404</v>
      </c>
      <c r="BH410" s="4">
        <f t="shared" ref="BH410:BH449" si="1416">3.4/PI()^0.5*J410*T410*W410^0.5*AY410</f>
        <v>398.70122329767247</v>
      </c>
      <c r="BI410" s="4">
        <f t="shared" si="1350"/>
        <v>0</v>
      </c>
      <c r="BJ410" s="4">
        <f t="shared" ref="BJ410:BJ449" si="1417">BI410/BH410</f>
        <v>0</v>
      </c>
      <c r="BR410" s="4">
        <f t="shared" si="1271"/>
        <v>64.77</v>
      </c>
      <c r="BV410" s="9"/>
      <c r="BX410" s="9"/>
      <c r="BY410" s="9"/>
      <c r="BZ410" s="9">
        <f t="shared" si="1272"/>
        <v>64.77</v>
      </c>
      <c r="CA410" s="9">
        <f t="shared" si="1273"/>
        <v>130.80999999999995</v>
      </c>
      <c r="CB410" s="9">
        <f t="shared" si="1374"/>
        <v>1.7744352138444073</v>
      </c>
      <c r="CC410" s="40">
        <f t="shared" si="1299"/>
        <v>0</v>
      </c>
      <c r="CD410" s="9">
        <f t="shared" si="1274"/>
        <v>0</v>
      </c>
      <c r="CE410" s="9">
        <f t="shared" si="1275"/>
        <v>0</v>
      </c>
      <c r="CF410" s="9">
        <f t="shared" si="1276"/>
        <v>0.99524931562137331</v>
      </c>
      <c r="CG410" s="9">
        <f t="shared" si="1277"/>
        <v>0.68</v>
      </c>
      <c r="CH410" s="9">
        <f t="shared" si="1375"/>
        <v>1.3741519375646418</v>
      </c>
      <c r="CI410" s="9">
        <f t="shared" si="1376"/>
        <v>2.4383435871872217</v>
      </c>
      <c r="CJ410" s="40">
        <v>1</v>
      </c>
      <c r="CK410" s="9">
        <f t="shared" si="1377"/>
        <v>242.66395379687231</v>
      </c>
      <c r="CM410" s="4">
        <f t="shared" si="1278"/>
        <v>1.1750757483839116</v>
      </c>
      <c r="CN410" s="4">
        <f t="shared" si="1279"/>
        <v>0.73416103151904566</v>
      </c>
      <c r="CO410" s="4">
        <f t="shared" si="1242"/>
        <v>0.73841171855110732</v>
      </c>
      <c r="CP410" s="4">
        <f t="shared" si="1280"/>
        <v>1.4607969295572343</v>
      </c>
      <c r="CQ410" s="4">
        <f t="shared" si="1189"/>
        <v>0.61800778838527559</v>
      </c>
      <c r="CR410" s="4">
        <f t="shared" si="1190"/>
        <v>0.6648035989042731</v>
      </c>
      <c r="CS410" s="4">
        <f t="shared" si="1243"/>
        <v>0.74693440629475993</v>
      </c>
      <c r="CT410" s="4">
        <f t="shared" si="1300"/>
        <v>0</v>
      </c>
      <c r="CU410" s="4">
        <f t="shared" ref="CU410:CV411" si="1418">CM410</f>
        <v>1.1750757483839116</v>
      </c>
      <c r="CV410" s="4">
        <f t="shared" si="1418"/>
        <v>0.73416103151904566</v>
      </c>
      <c r="CW410" s="4">
        <f t="shared" ref="CW410:CW411" si="1419">CP410</f>
        <v>1.4607969295572343</v>
      </c>
      <c r="CX410" s="4">
        <f t="shared" ref="CX410:CX411" si="1420">CS410</f>
        <v>0.74693440629475993</v>
      </c>
      <c r="CY410" s="4">
        <f t="shared" ref="CY410:CZ411" si="1421">CQ410</f>
        <v>0.61800778838527559</v>
      </c>
      <c r="CZ410" s="4">
        <f t="shared" si="1421"/>
        <v>0.6648035989042731</v>
      </c>
      <c r="DI410" s="4">
        <f t="shared" si="1285"/>
        <v>250.952</v>
      </c>
      <c r="DL410" s="4">
        <f t="shared" si="1166"/>
        <v>1.8101887802209873E-5</v>
      </c>
      <c r="DM410" s="4">
        <f t="shared" si="1313"/>
        <v>7.3732617603878383</v>
      </c>
      <c r="DN410" s="4">
        <f t="shared" si="1167"/>
        <v>0.51440234096462856</v>
      </c>
      <c r="DO410" s="4">
        <f t="shared" si="1168"/>
        <v>5.651722459899756</v>
      </c>
      <c r="DP410" s="4">
        <f t="shared" si="1169"/>
        <v>6.5692280921920974</v>
      </c>
      <c r="DQ410" s="4">
        <f t="shared" si="1170"/>
        <v>6.9986563688871684</v>
      </c>
      <c r="DR410" s="38">
        <f t="shared" si="1183"/>
        <v>573.58946809857946</v>
      </c>
      <c r="DS410" s="4">
        <f t="shared" si="1382"/>
        <v>1.0001157899551703</v>
      </c>
      <c r="DT410" s="4">
        <f t="shared" si="1171"/>
        <v>2.2583179581272428</v>
      </c>
      <c r="DU410" s="4">
        <f t="shared" si="1390"/>
        <v>318.01890030575521</v>
      </c>
      <c r="DY410" s="4">
        <f t="shared" si="1331"/>
        <v>0.85</v>
      </c>
      <c r="DZ410" s="4">
        <f t="shared" si="1383"/>
        <v>0.84499999999999997</v>
      </c>
      <c r="EA410" s="4">
        <f t="shared" si="1184"/>
        <v>1</v>
      </c>
      <c r="EB410" s="4">
        <f t="shared" si="1384"/>
        <v>0.84499999999999997</v>
      </c>
      <c r="ED410" s="4">
        <f t="shared" si="1185"/>
        <v>533.21425937667436</v>
      </c>
      <c r="EE410" s="25">
        <f t="shared" si="1186"/>
        <v>314.67078079877888</v>
      </c>
      <c r="EG410" s="4">
        <f t="shared" si="1391"/>
        <v>0.71824999999999994</v>
      </c>
      <c r="EH410" s="4">
        <f t="shared" si="1187"/>
        <v>7.3732617603878383</v>
      </c>
      <c r="EK410" s="4">
        <f t="shared" si="1172"/>
        <v>57.361276136431961</v>
      </c>
      <c r="EL410" s="4">
        <f t="shared" si="1173"/>
        <v>2.2583179581272428</v>
      </c>
      <c r="EM410" s="4">
        <f t="shared" si="1174"/>
        <v>0.16317894148531115</v>
      </c>
      <c r="EP410" s="4">
        <f t="shared" si="1301"/>
        <v>0.16317894148531115</v>
      </c>
      <c r="EQ410" s="4">
        <f t="shared" si="1257"/>
        <v>0.51354389932912226</v>
      </c>
      <c r="ER410" s="4">
        <f t="shared" si="1314"/>
        <v>5.6479479008735689</v>
      </c>
      <c r="ES410" s="4">
        <f t="shared" si="1286"/>
        <v>6.5676056541484567</v>
      </c>
      <c r="ET410" s="4">
        <f t="shared" si="1315"/>
        <v>130.85272386356803</v>
      </c>
      <c r="EU410" s="4">
        <f t="shared" si="1316"/>
        <v>62.738</v>
      </c>
      <c r="EV410" s="4">
        <f t="shared" si="1385"/>
        <v>1.8101887802209873E-5</v>
      </c>
      <c r="EW410" s="4">
        <f t="shared" si="1287"/>
        <v>6.9987698858984766</v>
      </c>
      <c r="EX410" s="4">
        <f t="shared" ref="EX410:EX449" si="1422">MIN(4/K410*(1*ER410*EK410+ES410*ET410+EU410*EW410)+DU410,MAX(G410,AB410))</f>
        <v>573.52305988918579</v>
      </c>
      <c r="FG410" s="23">
        <f t="shared" si="1329"/>
        <v>1.2</v>
      </c>
      <c r="FH410" s="23">
        <f t="shared" si="1329"/>
        <v>0.8</v>
      </c>
      <c r="FI410" s="23">
        <f t="shared" si="1248"/>
        <v>0.8</v>
      </c>
      <c r="FJ410" s="23">
        <f t="shared" si="1330"/>
        <v>1.6</v>
      </c>
      <c r="FK410" s="23">
        <f t="shared" si="1330"/>
        <v>0.8</v>
      </c>
      <c r="FL410" s="23">
        <f t="shared" si="1330"/>
        <v>0.8</v>
      </c>
      <c r="FM410" s="23">
        <f t="shared" si="1195"/>
        <v>1</v>
      </c>
      <c r="FN410" s="23"/>
      <c r="FX410" s="4">
        <f t="shared" si="1386"/>
        <v>1</v>
      </c>
      <c r="FY410" s="4">
        <f t="shared" si="1139"/>
        <v>0.5</v>
      </c>
      <c r="FZ410" s="4">
        <f t="shared" si="1387"/>
        <v>0</v>
      </c>
      <c r="GA410" s="4">
        <f t="shared" si="1388"/>
        <v>474.58351849011149</v>
      </c>
    </row>
    <row r="411" spans="1:183" ht="12" customHeight="1" x14ac:dyDescent="0.3">
      <c r="A411" s="25">
        <v>393</v>
      </c>
      <c r="B411" s="4" t="s">
        <v>605</v>
      </c>
      <c r="C411" s="4">
        <v>2016</v>
      </c>
      <c r="D411" s="4" t="s">
        <v>309</v>
      </c>
      <c r="E411" s="14" t="s">
        <v>676</v>
      </c>
      <c r="F411" s="7" t="s">
        <v>561</v>
      </c>
      <c r="G411" s="38">
        <f t="shared" si="1406"/>
        <v>889.65517241379314</v>
      </c>
      <c r="H411" s="38">
        <f>9.75*25.4</f>
        <v>247.64999999999998</v>
      </c>
      <c r="I411" s="4">
        <f t="shared" si="1288"/>
        <v>247.64999999999998</v>
      </c>
      <c r="J411" s="38">
        <f t="shared" si="1413"/>
        <v>33.655172413793103</v>
      </c>
      <c r="K411" s="38">
        <f t="shared" si="1401"/>
        <v>25.4</v>
      </c>
      <c r="L411" s="7">
        <f t="shared" si="1289"/>
        <v>9.75</v>
      </c>
      <c r="M411" s="7">
        <f t="shared" si="1290"/>
        <v>9.75</v>
      </c>
      <c r="N411" s="38">
        <f>17.5*25.4</f>
        <v>444.5</v>
      </c>
      <c r="O411" s="38">
        <f>2.6*25.4</f>
        <v>66.039999999999992</v>
      </c>
      <c r="P411" s="39">
        <f>3.5*25.4</f>
        <v>88.899999999999991</v>
      </c>
      <c r="Q411" s="7">
        <f t="shared" si="1291"/>
        <v>261.62</v>
      </c>
      <c r="R411" s="38">
        <v>2</v>
      </c>
      <c r="S411" s="4">
        <f t="shared" si="1361"/>
        <v>508</v>
      </c>
      <c r="T411" s="7">
        <f t="shared" si="1292"/>
        <v>3.0999999999999996</v>
      </c>
      <c r="U411" s="7">
        <f t="shared" si="1414"/>
        <v>3.0999999999999996</v>
      </c>
      <c r="V411" s="38">
        <v>9.1</v>
      </c>
      <c r="W411" s="4">
        <f t="shared" si="1293"/>
        <v>9.1</v>
      </c>
      <c r="X411" s="4">
        <f t="shared" si="1294"/>
        <v>10.1</v>
      </c>
      <c r="Y411" s="7">
        <f t="shared" si="1295"/>
        <v>80.72246279691916</v>
      </c>
      <c r="AB411" s="38">
        <f t="shared" si="1332"/>
        <v>387.58620689655174</v>
      </c>
      <c r="AC411" s="4">
        <v>56.2</v>
      </c>
      <c r="AD411" s="4">
        <f t="shared" si="1159"/>
        <v>0.70367808719437008</v>
      </c>
      <c r="AE411" s="38"/>
      <c r="AF411" s="38"/>
      <c r="AG411" s="39">
        <v>1</v>
      </c>
      <c r="AH411" s="39"/>
      <c r="AI411" s="39"/>
      <c r="AJ411" s="7"/>
      <c r="AK411" s="4">
        <f t="shared" si="1297"/>
        <v>247.64999999999998</v>
      </c>
      <c r="AL411" s="4">
        <f t="shared" si="1175"/>
        <v>0.59829059829059839</v>
      </c>
      <c r="AM411" s="4">
        <f t="shared" si="1176"/>
        <v>223.09821631857008</v>
      </c>
      <c r="AN411" s="4">
        <f t="shared" si="1177"/>
        <v>0.76358974358974352</v>
      </c>
      <c r="AO411" s="4">
        <v>1.25</v>
      </c>
      <c r="AP411" s="4">
        <f t="shared" si="1396"/>
        <v>2.5</v>
      </c>
      <c r="AQ411" s="38">
        <f t="shared" si="1266"/>
        <v>318.50656211489917</v>
      </c>
      <c r="AR411" s="38">
        <f t="shared" si="1178"/>
        <v>318.50656211489917</v>
      </c>
      <c r="AS411" s="38">
        <f t="shared" si="1179"/>
        <v>3.1272010355053257</v>
      </c>
      <c r="AT411" s="38">
        <f t="shared" si="1407"/>
        <v>318.5065621148994</v>
      </c>
      <c r="AU411" s="38">
        <f t="shared" si="1373"/>
        <v>0.99999999999999933</v>
      </c>
      <c r="AV411" s="38">
        <f t="shared" si="1249"/>
        <v>1.9762679201452078</v>
      </c>
      <c r="AW411" s="4">
        <f t="shared" si="1230"/>
        <v>0</v>
      </c>
      <c r="AX411" s="4">
        <f t="shared" si="1298"/>
        <v>297.69869072512182</v>
      </c>
      <c r="AY411" s="4">
        <f t="shared" si="1267"/>
        <v>1</v>
      </c>
      <c r="AZ411" s="38">
        <f t="shared" si="1389"/>
        <v>629.45430106341269</v>
      </c>
      <c r="BA411" s="4">
        <f t="shared" si="1268"/>
        <v>0.3</v>
      </c>
      <c r="BB411" s="4">
        <f t="shared" si="1269"/>
        <v>46.664269771162843</v>
      </c>
      <c r="BC411" s="4">
        <f t="shared" si="1270"/>
        <v>676.11857083457551</v>
      </c>
      <c r="BE411" s="4">
        <f t="shared" si="1408"/>
        <v>1.4</v>
      </c>
      <c r="BF411" s="4">
        <f t="shared" si="1415"/>
        <v>481.21848360751608</v>
      </c>
      <c r="BH411" s="4">
        <f t="shared" si="1416"/>
        <v>603.72365196482838</v>
      </c>
      <c r="BI411" s="4">
        <f t="shared" si="1350"/>
        <v>0</v>
      </c>
      <c r="BJ411" s="4">
        <f t="shared" si="1417"/>
        <v>0</v>
      </c>
      <c r="BR411" s="4">
        <f t="shared" si="1271"/>
        <v>66.039999999999992</v>
      </c>
      <c r="BV411" s="9"/>
      <c r="BX411" s="9"/>
      <c r="BY411" s="9"/>
      <c r="BZ411" s="9">
        <f t="shared" si="1272"/>
        <v>66.039999999999992</v>
      </c>
      <c r="CA411" s="9">
        <f t="shared" si="1273"/>
        <v>130.81</v>
      </c>
      <c r="CB411" s="9">
        <f t="shared" si="1374"/>
        <v>1.7865359348792491</v>
      </c>
      <c r="CC411" s="40">
        <f t="shared" si="1299"/>
        <v>0</v>
      </c>
      <c r="CD411" s="9">
        <f t="shared" si="1274"/>
        <v>0</v>
      </c>
      <c r="CE411" s="9">
        <f t="shared" si="1275"/>
        <v>0</v>
      </c>
      <c r="CF411" s="9">
        <f t="shared" si="1276"/>
        <v>0.99524931562137331</v>
      </c>
      <c r="CG411" s="9">
        <f t="shared" si="1277"/>
        <v>0.68</v>
      </c>
      <c r="CH411" s="9">
        <f t="shared" si="1375"/>
        <v>1.3741519375646418</v>
      </c>
      <c r="CI411" s="9">
        <f t="shared" si="1376"/>
        <v>2.4549718164431789</v>
      </c>
      <c r="CJ411" s="40">
        <v>1</v>
      </c>
      <c r="CK411" s="9">
        <f t="shared" si="1377"/>
        <v>243.04220982787473</v>
      </c>
      <c r="CM411" s="4">
        <f t="shared" si="1278"/>
        <v>1.3019412546037261</v>
      </c>
      <c r="CN411" s="4">
        <f t="shared" si="1279"/>
        <v>0.57325182832669397</v>
      </c>
      <c r="CO411" s="4">
        <f t="shared" si="1242"/>
        <v>0.80542668268051976</v>
      </c>
      <c r="CP411" s="4">
        <f t="shared" si="1280"/>
        <v>1.5947279576294371</v>
      </c>
      <c r="CQ411" s="4">
        <f t="shared" si="1189"/>
        <v>0.70367808719437008</v>
      </c>
      <c r="CR411" s="4">
        <f t="shared" si="1190"/>
        <v>0.72846501506533778</v>
      </c>
      <c r="CS411" s="4">
        <f t="shared" si="1243"/>
        <v>0.8275761961520568</v>
      </c>
      <c r="CT411" s="4">
        <f t="shared" si="1300"/>
        <v>0</v>
      </c>
      <c r="CU411" s="4">
        <f t="shared" si="1418"/>
        <v>1.3019412546037261</v>
      </c>
      <c r="CV411" s="4">
        <f t="shared" si="1418"/>
        <v>0.57325182832669397</v>
      </c>
      <c r="CW411" s="4">
        <f t="shared" si="1419"/>
        <v>1.5947279576294371</v>
      </c>
      <c r="CX411" s="4">
        <f t="shared" si="1420"/>
        <v>0.8275761961520568</v>
      </c>
      <c r="CY411" s="4">
        <f t="shared" si="1421"/>
        <v>0.70367808719437008</v>
      </c>
      <c r="CZ411" s="4">
        <f t="shared" si="1421"/>
        <v>0.72846501506533778</v>
      </c>
      <c r="DI411" s="4">
        <f t="shared" si="1285"/>
        <v>247.64999999999998</v>
      </c>
      <c r="DL411" s="4">
        <f t="shared" si="1166"/>
        <v>1.7863705067970267E-5</v>
      </c>
      <c r="DM411" s="4">
        <f t="shared" si="1313"/>
        <v>7.4171502232472895</v>
      </c>
      <c r="DN411" s="4">
        <f t="shared" si="1167"/>
        <v>0.32665285061685839</v>
      </c>
      <c r="DO411" s="4">
        <f t="shared" si="1168"/>
        <v>4.7410185666214346</v>
      </c>
      <c r="DP411" s="4">
        <f t="shared" si="1169"/>
        <v>6.2252785516665377</v>
      </c>
      <c r="DQ411" s="4">
        <f t="shared" si="1170"/>
        <v>7.084379290649192</v>
      </c>
      <c r="DR411" s="38">
        <f t="shared" si="1183"/>
        <v>550.80044973674535</v>
      </c>
      <c r="DS411" s="4">
        <f t="shared" si="1382"/>
        <v>1.0001074003237229</v>
      </c>
      <c r="DT411" s="4">
        <f t="shared" si="1171"/>
        <v>3.1780497164141401</v>
      </c>
      <c r="DU411" s="4">
        <f t="shared" si="1390"/>
        <v>318.5065621148994</v>
      </c>
      <c r="DY411" s="4">
        <f t="shared" si="1331"/>
        <v>0.85</v>
      </c>
      <c r="DZ411" s="4">
        <f t="shared" si="1383"/>
        <v>0.84000000000000008</v>
      </c>
      <c r="EA411" s="4">
        <f t="shared" si="1184"/>
        <v>1</v>
      </c>
      <c r="EB411" s="4">
        <f t="shared" si="1384"/>
        <v>0.84000000000000008</v>
      </c>
      <c r="ED411" s="4">
        <f t="shared" si="1185"/>
        <v>532.05877959944064</v>
      </c>
      <c r="EE411" s="25">
        <f t="shared" si="1186"/>
        <v>315.1071355694574</v>
      </c>
      <c r="EG411" s="4">
        <f t="shared" si="1391"/>
        <v>0.71400000000000008</v>
      </c>
      <c r="EH411" s="4">
        <f t="shared" si="1187"/>
        <v>7.4171502232472895</v>
      </c>
      <c r="EK411" s="4">
        <f t="shared" si="1172"/>
        <v>80.72246279691916</v>
      </c>
      <c r="EL411" s="4">
        <f t="shared" si="1173"/>
        <v>3.1780497164141406</v>
      </c>
      <c r="EM411" s="4">
        <f t="shared" si="1174"/>
        <v>0.10362096388765003</v>
      </c>
      <c r="EP411" s="4">
        <f t="shared" si="1301"/>
        <v>0.10362096388765003</v>
      </c>
      <c r="EQ411" s="4">
        <f t="shared" si="1257"/>
        <v>0.32610772788899423</v>
      </c>
      <c r="ER411" s="4">
        <f t="shared" si="1314"/>
        <v>4.7378522302432895</v>
      </c>
      <c r="ES411" s="4">
        <f t="shared" si="1286"/>
        <v>6.2240766285072322</v>
      </c>
      <c r="ET411" s="4">
        <f t="shared" si="1315"/>
        <v>105.01503720308082</v>
      </c>
      <c r="EU411" s="4">
        <f t="shared" si="1316"/>
        <v>61.912499999999994</v>
      </c>
      <c r="EV411" s="4">
        <f t="shared" si="1385"/>
        <v>1.7863705067970267E-5</v>
      </c>
      <c r="EW411" s="4">
        <f t="shared" si="1287"/>
        <v>7.0844796465466686</v>
      </c>
      <c r="EX411" s="4">
        <f t="shared" si="1422"/>
        <v>550.74129994284397</v>
      </c>
      <c r="FG411" s="23">
        <f t="shared" si="1329"/>
        <v>1.4</v>
      </c>
      <c r="FH411" s="23">
        <f t="shared" si="1329"/>
        <v>0.6</v>
      </c>
      <c r="FI411" s="23">
        <f t="shared" si="1248"/>
        <v>1</v>
      </c>
      <c r="FJ411" s="23">
        <f t="shared" si="1330"/>
        <v>1.6</v>
      </c>
      <c r="FK411" s="23">
        <f t="shared" si="1330"/>
        <v>0.8</v>
      </c>
      <c r="FL411" s="23">
        <f t="shared" si="1330"/>
        <v>0.8</v>
      </c>
      <c r="FM411" s="23">
        <f t="shared" si="1195"/>
        <v>1</v>
      </c>
      <c r="FN411" s="23"/>
      <c r="FX411" s="4">
        <f t="shared" si="1386"/>
        <v>1</v>
      </c>
      <c r="FY411" s="4">
        <f t="shared" si="1139"/>
        <v>0.5</v>
      </c>
      <c r="FZ411" s="4">
        <f t="shared" si="1387"/>
        <v>0</v>
      </c>
      <c r="GA411" s="4">
        <f t="shared" si="1388"/>
        <v>468.33899850997841</v>
      </c>
    </row>
    <row r="412" spans="1:183" ht="12" customHeight="1" x14ac:dyDescent="0.3">
      <c r="A412" s="25">
        <v>394</v>
      </c>
      <c r="B412" s="4" t="s">
        <v>605</v>
      </c>
      <c r="C412" s="4">
        <v>2016</v>
      </c>
      <c r="D412" s="4" t="s">
        <v>309</v>
      </c>
      <c r="E412" s="14" t="s">
        <v>676</v>
      </c>
      <c r="F412" s="33" t="s">
        <v>562</v>
      </c>
      <c r="G412" s="38">
        <f t="shared" si="1406"/>
        <v>889.65517241379314</v>
      </c>
      <c r="H412" s="38">
        <f>10.13*25.4</f>
        <v>257.30200000000002</v>
      </c>
      <c r="I412" s="4">
        <f t="shared" si="1288"/>
        <v>257.30200000000002</v>
      </c>
      <c r="J412" s="38">
        <f t="shared" si="1413"/>
        <v>33.655172413793103</v>
      </c>
      <c r="K412" s="38">
        <f t="shared" si="1401"/>
        <v>25.4</v>
      </c>
      <c r="L412" s="7">
        <f t="shared" si="1289"/>
        <v>10.130000000000001</v>
      </c>
      <c r="M412" s="7">
        <f t="shared" si="1290"/>
        <v>10.130000000000001</v>
      </c>
      <c r="N412" s="38">
        <f>17.3*25.4</f>
        <v>439.42</v>
      </c>
      <c r="O412" s="38">
        <f>2.5*25.4</f>
        <v>63.5</v>
      </c>
      <c r="P412" s="39">
        <f>3*25.4</f>
        <v>76.199999999999989</v>
      </c>
      <c r="Q412" s="7">
        <f t="shared" si="1291"/>
        <v>261.62</v>
      </c>
      <c r="R412" s="38">
        <v>2</v>
      </c>
      <c r="S412" s="4">
        <f t="shared" si="1361"/>
        <v>508</v>
      </c>
      <c r="T412" s="7">
        <f t="shared" si="1292"/>
        <v>3</v>
      </c>
      <c r="U412" s="7">
        <f t="shared" si="1414"/>
        <v>3</v>
      </c>
      <c r="V412" s="38">
        <v>4.0999999999999996</v>
      </c>
      <c r="W412" s="4">
        <f t="shared" si="1293"/>
        <v>4.0999999999999996</v>
      </c>
      <c r="X412" s="4">
        <f t="shared" si="1294"/>
        <v>5.0999999999999996</v>
      </c>
      <c r="Y412" s="7">
        <f t="shared" si="1295"/>
        <v>57.361276136431961</v>
      </c>
      <c r="AB412" s="38">
        <f t="shared" si="1332"/>
        <v>564.13793103448279</v>
      </c>
      <c r="AC412" s="4">
        <v>81.8</v>
      </c>
      <c r="AD412" s="4">
        <f t="shared" si="1159"/>
        <v>0.9393306132040562</v>
      </c>
      <c r="AE412" s="38">
        <f t="shared" ref="AE412:AE415" si="1423">0.5*25.4</f>
        <v>12.7</v>
      </c>
      <c r="AF412" s="38">
        <v>6</v>
      </c>
      <c r="AG412" s="39">
        <f>7.5*25.4</f>
        <v>190.5</v>
      </c>
      <c r="AH412" s="39">
        <v>1</v>
      </c>
      <c r="AI412" s="39">
        <v>1</v>
      </c>
      <c r="AJ412" s="7"/>
      <c r="AK412" s="4">
        <f t="shared" si="1297"/>
        <v>257.30200000000002</v>
      </c>
      <c r="AL412" s="4">
        <f t="shared" si="1175"/>
        <v>0.56926620598881206</v>
      </c>
      <c r="AM412" s="4">
        <f t="shared" si="1176"/>
        <v>236.26714999168641</v>
      </c>
      <c r="AN412" s="4">
        <f t="shared" si="1177"/>
        <v>0.75923000987166822</v>
      </c>
      <c r="AO412" s="4">
        <v>1.25</v>
      </c>
      <c r="AP412" s="4">
        <f t="shared" si="1396"/>
        <v>2.5</v>
      </c>
      <c r="AQ412" s="38">
        <f t="shared" si="1266"/>
        <v>319.11126334066762</v>
      </c>
      <c r="AR412" s="38">
        <f t="shared" si="1178"/>
        <v>319.11126334066762</v>
      </c>
      <c r="AS412" s="38">
        <f t="shared" si="1179"/>
        <v>3.1272010355053257</v>
      </c>
      <c r="AT412" s="38">
        <f t="shared" si="1407"/>
        <v>319.11126334066768</v>
      </c>
      <c r="AU412" s="38">
        <f t="shared" si="1373"/>
        <v>0.99999999999999978</v>
      </c>
      <c r="AV412" s="38">
        <f t="shared" si="1249"/>
        <v>1.2813060158485035</v>
      </c>
      <c r="AW412" s="4">
        <f t="shared" si="1230"/>
        <v>0</v>
      </c>
      <c r="AX412" s="4">
        <f t="shared" si="1298"/>
        <v>309.30130636363941</v>
      </c>
      <c r="AY412" s="4">
        <f t="shared" si="1267"/>
        <v>1</v>
      </c>
      <c r="AZ412" s="38">
        <f t="shared" si="1389"/>
        <v>408.87918144341347</v>
      </c>
      <c r="BA412" s="4">
        <f t="shared" si="1268"/>
        <v>0.42600000000000005</v>
      </c>
      <c r="BB412" s="4">
        <f t="shared" si="1269"/>
        <v>68.84583127695069</v>
      </c>
      <c r="BC412" s="4">
        <f t="shared" si="1270"/>
        <v>477.72501272036413</v>
      </c>
      <c r="BE412" s="4">
        <f t="shared" si="1408"/>
        <v>1.5</v>
      </c>
      <c r="BF412" s="4">
        <f t="shared" si="1415"/>
        <v>525.51146880755698</v>
      </c>
      <c r="BH412" s="4">
        <f t="shared" si="1416"/>
        <v>392.16513766984178</v>
      </c>
      <c r="BI412" s="4">
        <f t="shared" si="1350"/>
        <v>0</v>
      </c>
      <c r="BJ412" s="4">
        <f t="shared" si="1417"/>
        <v>0</v>
      </c>
      <c r="BR412" s="4">
        <f t="shared" si="1271"/>
        <v>63.5</v>
      </c>
      <c r="BV412" s="9"/>
      <c r="BX412" s="9"/>
      <c r="BY412" s="9"/>
      <c r="BZ412" s="9">
        <f t="shared" si="1272"/>
        <v>63.5</v>
      </c>
      <c r="CA412" s="9">
        <f t="shared" si="1273"/>
        <v>130.81</v>
      </c>
      <c r="CB412" s="9">
        <f t="shared" si="1374"/>
        <v>1.7621792676747374</v>
      </c>
      <c r="CC412" s="40">
        <f t="shared" si="1299"/>
        <v>20</v>
      </c>
      <c r="CD412" s="9">
        <f t="shared" si="1274"/>
        <v>0.05</v>
      </c>
      <c r="CE412" s="9">
        <f t="shared" si="1275"/>
        <v>0.8</v>
      </c>
      <c r="CF412" s="9">
        <f t="shared" si="1276"/>
        <v>0.99524931562137331</v>
      </c>
      <c r="CG412" s="9">
        <f t="shared" si="1277"/>
        <v>0.68</v>
      </c>
      <c r="CH412" s="9">
        <f t="shared" si="1375"/>
        <v>1.3741519375646418</v>
      </c>
      <c r="CI412" s="9">
        <f t="shared" si="1376"/>
        <v>3.4353798439116048</v>
      </c>
      <c r="CJ412" s="40">
        <v>1</v>
      </c>
      <c r="CK412" s="9">
        <f t="shared" si="1377"/>
        <v>345.32438190999449</v>
      </c>
      <c r="CM412" s="4">
        <f t="shared" si="1278"/>
        <v>1.8239105992369686</v>
      </c>
      <c r="CN412" s="4">
        <f t="shared" si="1279"/>
        <v>1.180884224215198</v>
      </c>
      <c r="CO412" s="4">
        <f t="shared" si="1242"/>
        <v>1.0735026055940766</v>
      </c>
      <c r="CP412" s="4">
        <f t="shared" si="1280"/>
        <v>1.6336463933251026</v>
      </c>
      <c r="CQ412" s="4">
        <f t="shared" si="1189"/>
        <v>0.9393306132040562</v>
      </c>
      <c r="CR412" s="4">
        <f t="shared" si="1190"/>
        <v>1.0134345640672162</v>
      </c>
      <c r="CS412" s="4">
        <f t="shared" si="1243"/>
        <v>1.0515170046860745</v>
      </c>
      <c r="CT412" s="4">
        <f t="shared" si="1300"/>
        <v>6</v>
      </c>
      <c r="DA412" s="4">
        <f t="shared" ref="DA412:DB415" si="1424">CM412</f>
        <v>1.8239105992369686</v>
      </c>
      <c r="DB412" s="4">
        <f t="shared" si="1424"/>
        <v>1.180884224215198</v>
      </c>
      <c r="DC412" s="4">
        <f t="shared" ref="DC412:DC415" si="1425">CP412</f>
        <v>1.6336463933251026</v>
      </c>
      <c r="DD412" s="4">
        <f t="shared" ref="DD412:DD415" si="1426">CS412</f>
        <v>1.0515170046860745</v>
      </c>
      <c r="DE412" s="4">
        <f t="shared" ref="DE412:DF415" si="1427">CQ412</f>
        <v>0.9393306132040562</v>
      </c>
      <c r="DF412" s="4">
        <f t="shared" si="1427"/>
        <v>1.0134345640672162</v>
      </c>
      <c r="DI412" s="4">
        <f t="shared" si="1285"/>
        <v>257.30200000000002</v>
      </c>
      <c r="DL412" s="4">
        <f t="shared" si="1166"/>
        <v>1.855993152190142E-5</v>
      </c>
      <c r="DM412" s="4">
        <f t="shared" si="1313"/>
        <v>7.9242050079843862</v>
      </c>
      <c r="DN412" s="4">
        <f t="shared" si="1167"/>
        <v>0.51616926142690911</v>
      </c>
      <c r="DO412" s="4">
        <f t="shared" si="1168"/>
        <v>6.0823661140843202</v>
      </c>
      <c r="DP412" s="4">
        <f t="shared" si="1169"/>
        <v>7.063678327525893</v>
      </c>
      <c r="DQ412" s="4">
        <f t="shared" si="1170"/>
        <v>7.4691435952565444</v>
      </c>
      <c r="DR412" s="38">
        <f t="shared" si="1183"/>
        <v>600.57441235754959</v>
      </c>
      <c r="DS412" s="4">
        <f t="shared" si="1382"/>
        <v>1.0001209489672991</v>
      </c>
      <c r="DT412" s="4">
        <f t="shared" si="1171"/>
        <v>2.2583179581272428</v>
      </c>
      <c r="DU412" s="4">
        <f t="shared" si="1390"/>
        <v>319.11126334066768</v>
      </c>
      <c r="DY412" s="4">
        <f t="shared" si="1331"/>
        <v>0.85</v>
      </c>
      <c r="DZ412" s="4">
        <f t="shared" si="1383"/>
        <v>0.85</v>
      </c>
      <c r="EA412" s="4">
        <f t="shared" si="1184"/>
        <v>0.92500000000000004</v>
      </c>
      <c r="EB412" s="4">
        <f t="shared" si="1384"/>
        <v>0.78625</v>
      </c>
      <c r="ED412" s="4">
        <f t="shared" si="1185"/>
        <v>556.65945393694528</v>
      </c>
      <c r="EE412" s="25">
        <f t="shared" si="1186"/>
        <v>315.84286374429968</v>
      </c>
      <c r="EG412" s="4">
        <f t="shared" si="1391"/>
        <v>0.66831249999999998</v>
      </c>
      <c r="EH412" s="4">
        <f t="shared" si="1187"/>
        <v>7.9242050079843862</v>
      </c>
      <c r="EK412" s="4">
        <f t="shared" si="1172"/>
        <v>57.361276136431961</v>
      </c>
      <c r="EL412" s="4">
        <f t="shared" si="1173"/>
        <v>2.2583179581272428</v>
      </c>
      <c r="EM412" s="4">
        <f t="shared" si="1174"/>
        <v>0.16373944478742095</v>
      </c>
      <c r="EP412" s="4">
        <f t="shared" si="1301"/>
        <v>0.16373944478742095</v>
      </c>
      <c r="EQ412" s="4">
        <f t="shared" si="1257"/>
        <v>0.5153078711304605</v>
      </c>
      <c r="ER412" s="4">
        <f t="shared" si="1314"/>
        <v>6.0783039454128431</v>
      </c>
      <c r="ES412" s="4">
        <f t="shared" si="1286"/>
        <v>7.0619307396611051</v>
      </c>
      <c r="ET412" s="4">
        <f t="shared" si="1315"/>
        <v>135.61522386356805</v>
      </c>
      <c r="EU412" s="4">
        <f t="shared" si="1316"/>
        <v>64.325500000000005</v>
      </c>
      <c r="EV412" s="4">
        <f t="shared" si="1385"/>
        <v>1.855993152190142E-5</v>
      </c>
      <c r="EW412" s="4">
        <f t="shared" si="1287"/>
        <v>7.4692805510696889</v>
      </c>
      <c r="EX412" s="4">
        <f t="shared" si="1422"/>
        <v>600.5017822871207</v>
      </c>
      <c r="FG412" s="23">
        <f t="shared" si="1329"/>
        <v>2</v>
      </c>
      <c r="FH412" s="23">
        <f t="shared" si="1329"/>
        <v>1.2</v>
      </c>
      <c r="FI412" s="23">
        <f t="shared" si="1248"/>
        <v>1.2</v>
      </c>
      <c r="FJ412" s="23">
        <f t="shared" si="1330"/>
        <v>1.8</v>
      </c>
      <c r="FK412" s="23">
        <f t="shared" si="1330"/>
        <v>1</v>
      </c>
      <c r="FL412" s="23">
        <f t="shared" si="1330"/>
        <v>1.2</v>
      </c>
      <c r="FM412" s="23">
        <f t="shared" si="1195"/>
        <v>0</v>
      </c>
      <c r="FN412" s="23"/>
      <c r="FX412" s="4">
        <f t="shared" si="1386"/>
        <v>1</v>
      </c>
      <c r="FY412" s="4">
        <f t="shared" si="1139"/>
        <v>0.45348837209302328</v>
      </c>
      <c r="FZ412" s="4">
        <f t="shared" si="1387"/>
        <v>0.25</v>
      </c>
      <c r="GA412" s="4">
        <f t="shared" si="1388"/>
        <v>536.4991041708389</v>
      </c>
    </row>
    <row r="413" spans="1:183" ht="12" customHeight="1" x14ac:dyDescent="0.3">
      <c r="A413" s="25">
        <v>395</v>
      </c>
      <c r="B413" s="4" t="s">
        <v>605</v>
      </c>
      <c r="C413" s="4">
        <v>2016</v>
      </c>
      <c r="D413" s="4" t="s">
        <v>309</v>
      </c>
      <c r="E413" s="14" t="s">
        <v>676</v>
      </c>
      <c r="F413" s="33" t="s">
        <v>563</v>
      </c>
      <c r="G413" s="38">
        <f t="shared" si="1406"/>
        <v>889.65517241379314</v>
      </c>
      <c r="H413" s="38">
        <f>9.75*25.4</f>
        <v>247.64999999999998</v>
      </c>
      <c r="I413" s="4">
        <f t="shared" si="1288"/>
        <v>247.64999999999998</v>
      </c>
      <c r="J413" s="38">
        <f t="shared" si="1413"/>
        <v>33.655172413793103</v>
      </c>
      <c r="K413" s="38">
        <f t="shared" si="1401"/>
        <v>25.4</v>
      </c>
      <c r="L413" s="7">
        <f t="shared" si="1289"/>
        <v>9.75</v>
      </c>
      <c r="M413" s="7">
        <f t="shared" si="1290"/>
        <v>9.75</v>
      </c>
      <c r="N413" s="38">
        <f>17.3*25.4</f>
        <v>439.42</v>
      </c>
      <c r="O413" s="38">
        <f>2.6*25.4</f>
        <v>66.039999999999992</v>
      </c>
      <c r="P413" s="39">
        <f>3.6*25.4</f>
        <v>91.44</v>
      </c>
      <c r="Q413" s="7">
        <f t="shared" si="1291"/>
        <v>256.54000000000002</v>
      </c>
      <c r="R413" s="38">
        <v>2</v>
      </c>
      <c r="S413" s="4">
        <f t="shared" si="1361"/>
        <v>508</v>
      </c>
      <c r="T413" s="7">
        <f t="shared" si="1292"/>
        <v>3.0999999999999996</v>
      </c>
      <c r="U413" s="7">
        <f t="shared" si="1414"/>
        <v>3.0999999999999996</v>
      </c>
      <c r="V413" s="38">
        <v>9.1</v>
      </c>
      <c r="W413" s="4">
        <f t="shared" si="1293"/>
        <v>9.1</v>
      </c>
      <c r="X413" s="4">
        <f t="shared" si="1294"/>
        <v>10.1</v>
      </c>
      <c r="Y413" s="7">
        <f t="shared" si="1295"/>
        <v>80.72246279691916</v>
      </c>
      <c r="AB413" s="38">
        <f t="shared" si="1332"/>
        <v>367.58620689655174</v>
      </c>
      <c r="AC413" s="4">
        <v>53.3</v>
      </c>
      <c r="AD413" s="4">
        <f t="shared" si="1159"/>
        <v>0.65027889870200761</v>
      </c>
      <c r="AE413" s="38">
        <f t="shared" si="1423"/>
        <v>12.7</v>
      </c>
      <c r="AF413" s="38">
        <v>6</v>
      </c>
      <c r="AG413" s="39">
        <f>7.5*25.4</f>
        <v>190.5</v>
      </c>
      <c r="AH413" s="39">
        <v>1</v>
      </c>
      <c r="AI413" s="39">
        <v>1</v>
      </c>
      <c r="AJ413" s="7"/>
      <c r="AK413" s="4">
        <f t="shared" si="1297"/>
        <v>247.64999999999998</v>
      </c>
      <c r="AL413" s="4">
        <f t="shared" si="1175"/>
        <v>0.59145299145299157</v>
      </c>
      <c r="AM413" s="4">
        <f t="shared" si="1176"/>
        <v>223.09821631857008</v>
      </c>
      <c r="AN413" s="4">
        <f t="shared" si="1177"/>
        <v>0.76358974358974352</v>
      </c>
      <c r="AO413" s="4">
        <v>1.25</v>
      </c>
      <c r="AP413" s="4">
        <f t="shared" si="1396"/>
        <v>2.5</v>
      </c>
      <c r="AQ413" s="38">
        <f t="shared" si="1266"/>
        <v>314.86648711930036</v>
      </c>
      <c r="AR413" s="38">
        <f t="shared" si="1178"/>
        <v>314.86648711930036</v>
      </c>
      <c r="AS413" s="38">
        <f t="shared" si="1179"/>
        <v>3.1272010355053257</v>
      </c>
      <c r="AT413" s="38">
        <f t="shared" si="1407"/>
        <v>314.86648711930053</v>
      </c>
      <c r="AU413" s="38">
        <f t="shared" si="1373"/>
        <v>0.99999999999999944</v>
      </c>
      <c r="AV413" s="38">
        <f t="shared" si="1249"/>
        <v>1.9991149481237653</v>
      </c>
      <c r="AW413" s="4">
        <f t="shared" si="1230"/>
        <v>0</v>
      </c>
      <c r="AX413" s="4">
        <f t="shared" si="1298"/>
        <v>297.69869072512182</v>
      </c>
      <c r="AY413" s="4">
        <f t="shared" si="1267"/>
        <v>1</v>
      </c>
      <c r="AZ413" s="38">
        <f t="shared" si="1389"/>
        <v>629.45430106341269</v>
      </c>
      <c r="BA413" s="4">
        <f t="shared" si="1268"/>
        <v>0.3</v>
      </c>
      <c r="BB413" s="4">
        <f t="shared" si="1269"/>
        <v>46.664269771162843</v>
      </c>
      <c r="BC413" s="4">
        <f t="shared" si="1270"/>
        <v>676.11857083457551</v>
      </c>
      <c r="BE413" s="4">
        <f t="shared" si="1408"/>
        <v>1.5</v>
      </c>
      <c r="BF413" s="4">
        <f t="shared" si="1415"/>
        <v>515.59123243662441</v>
      </c>
      <c r="BH413" s="4">
        <f t="shared" si="1416"/>
        <v>603.72365196482838</v>
      </c>
      <c r="BI413" s="4">
        <f t="shared" si="1350"/>
        <v>0</v>
      </c>
      <c r="BJ413" s="4">
        <f t="shared" si="1417"/>
        <v>0</v>
      </c>
      <c r="BR413" s="4">
        <f t="shared" si="1271"/>
        <v>66.039999999999992</v>
      </c>
      <c r="BV413" s="9"/>
      <c r="BX413" s="9"/>
      <c r="BY413" s="9"/>
      <c r="BZ413" s="9">
        <f t="shared" si="1272"/>
        <v>66.039999999999992</v>
      </c>
      <c r="CA413" s="9">
        <f t="shared" si="1273"/>
        <v>128.27000000000001</v>
      </c>
      <c r="CB413" s="9">
        <f t="shared" si="1374"/>
        <v>1.7812889692205971</v>
      </c>
      <c r="CC413" s="40">
        <f t="shared" si="1299"/>
        <v>20</v>
      </c>
      <c r="CD413" s="9">
        <f t="shared" si="1274"/>
        <v>0.05</v>
      </c>
      <c r="CE413" s="9">
        <f t="shared" si="1275"/>
        <v>0.8</v>
      </c>
      <c r="CF413" s="9">
        <f t="shared" si="1276"/>
        <v>0.99524931562137331</v>
      </c>
      <c r="CG413" s="9">
        <f t="shared" si="1277"/>
        <v>0.68</v>
      </c>
      <c r="CH413" s="9">
        <f t="shared" si="1375"/>
        <v>1.3741519375646418</v>
      </c>
      <c r="CI413" s="9">
        <f t="shared" si="1376"/>
        <v>3.4353798439116048</v>
      </c>
      <c r="CJ413" s="40">
        <v>1</v>
      </c>
      <c r="CK413" s="9">
        <f t="shared" si="1377"/>
        <v>340.10260454724886</v>
      </c>
      <c r="CM413" s="4">
        <f t="shared" si="1278"/>
        <v>1.2347592325690142</v>
      </c>
      <c r="CN413" s="4">
        <f t="shared" si="1279"/>
        <v>0.54367121796819906</v>
      </c>
      <c r="CO413" s="4">
        <f t="shared" si="1242"/>
        <v>0.71294115138339709</v>
      </c>
      <c r="CP413" s="4">
        <f t="shared" si="1280"/>
        <v>1.0808097379491979</v>
      </c>
      <c r="CQ413" s="4">
        <f t="shared" si="1189"/>
        <v>0.65027889870200761</v>
      </c>
      <c r="CR413" s="4">
        <f t="shared" si="1190"/>
        <v>0.67317534853537886</v>
      </c>
      <c r="CS413" s="4">
        <f t="shared" si="1243"/>
        <v>0.71186072951306811</v>
      </c>
      <c r="CT413" s="4">
        <f t="shared" si="1300"/>
        <v>6</v>
      </c>
      <c r="DA413" s="4">
        <f t="shared" si="1424"/>
        <v>1.2347592325690142</v>
      </c>
      <c r="DB413" s="4">
        <f t="shared" si="1424"/>
        <v>0.54367121796819906</v>
      </c>
      <c r="DC413" s="4">
        <f t="shared" si="1425"/>
        <v>1.0808097379491979</v>
      </c>
      <c r="DD413" s="4">
        <f t="shared" si="1426"/>
        <v>0.71186072951306811</v>
      </c>
      <c r="DE413" s="4">
        <f t="shared" si="1427"/>
        <v>0.65027889870200761</v>
      </c>
      <c r="DF413" s="4">
        <f t="shared" si="1427"/>
        <v>0.67317534853537886</v>
      </c>
      <c r="DI413" s="4">
        <f t="shared" si="1285"/>
        <v>247.64999999999998</v>
      </c>
      <c r="DL413" s="4">
        <f t="shared" si="1166"/>
        <v>1.7863705067970267E-5</v>
      </c>
      <c r="DM413" s="4">
        <f t="shared" si="1313"/>
        <v>8.0185407818889605</v>
      </c>
      <c r="DN413" s="4">
        <f t="shared" si="1167"/>
        <v>0.32291967518123715</v>
      </c>
      <c r="DO413" s="4">
        <f t="shared" si="1168"/>
        <v>5.1019141344434411</v>
      </c>
      <c r="DP413" s="4">
        <f t="shared" si="1169"/>
        <v>6.7211189122916251</v>
      </c>
      <c r="DQ413" s="4">
        <f t="shared" si="1170"/>
        <v>7.6306804120184868</v>
      </c>
      <c r="DR413" s="38">
        <f t="shared" si="1183"/>
        <v>565.27469618078339</v>
      </c>
      <c r="DS413" s="4">
        <f t="shared" si="1382"/>
        <v>1.0001123422344698</v>
      </c>
      <c r="DT413" s="4">
        <f t="shared" si="1171"/>
        <v>3.1780497164141401</v>
      </c>
      <c r="DU413" s="4">
        <f t="shared" si="1390"/>
        <v>314.86648711930053</v>
      </c>
      <c r="DY413" s="4">
        <f t="shared" si="1331"/>
        <v>0.85</v>
      </c>
      <c r="DZ413" s="4">
        <f t="shared" si="1383"/>
        <v>0.84000000000000008</v>
      </c>
      <c r="EA413" s="4">
        <f t="shared" si="1184"/>
        <v>0.92500000000000004</v>
      </c>
      <c r="EB413" s="4">
        <f t="shared" si="1384"/>
        <v>0.77700000000000014</v>
      </c>
      <c r="ED413" s="4">
        <f t="shared" si="1185"/>
        <v>546.04822903320144</v>
      </c>
      <c r="EE413" s="25">
        <f t="shared" si="1186"/>
        <v>311.50591116294936</v>
      </c>
      <c r="EG413" s="4">
        <f t="shared" si="1391"/>
        <v>0.66045000000000009</v>
      </c>
      <c r="EH413" s="4">
        <f t="shared" si="1187"/>
        <v>8.0185407818889605</v>
      </c>
      <c r="EK413" s="4">
        <f t="shared" si="1172"/>
        <v>80.72246279691916</v>
      </c>
      <c r="EL413" s="4">
        <f t="shared" si="1173"/>
        <v>3.1780497164141406</v>
      </c>
      <c r="EM413" s="4">
        <f t="shared" si="1174"/>
        <v>0.1024367243003626</v>
      </c>
      <c r="EP413" s="4">
        <f t="shared" si="1301"/>
        <v>0.1024367243003626</v>
      </c>
      <c r="EQ413" s="4">
        <f t="shared" si="1257"/>
        <v>0.32238078242740575</v>
      </c>
      <c r="ER413" s="4">
        <f t="shared" si="1314"/>
        <v>5.0985067703728175</v>
      </c>
      <c r="ES413" s="4">
        <f t="shared" si="1286"/>
        <v>6.7198298466222051</v>
      </c>
      <c r="ET413" s="4">
        <f t="shared" si="1315"/>
        <v>105.01503720308082</v>
      </c>
      <c r="EU413" s="4">
        <f t="shared" si="1316"/>
        <v>61.912499999999994</v>
      </c>
      <c r="EV413" s="4">
        <f t="shared" si="1385"/>
        <v>1.7863705067970267E-5</v>
      </c>
      <c r="EW413" s="4">
        <f t="shared" si="1287"/>
        <v>7.6307969568708121</v>
      </c>
      <c r="EX413" s="4">
        <f t="shared" si="1422"/>
        <v>565.21119909173012</v>
      </c>
      <c r="FG413" s="23">
        <f t="shared" si="1329"/>
        <v>1.4</v>
      </c>
      <c r="FH413" s="23">
        <f t="shared" si="1329"/>
        <v>0.6</v>
      </c>
      <c r="FI413" s="23">
        <f t="shared" si="1248"/>
        <v>0.8</v>
      </c>
      <c r="FJ413" s="23">
        <f t="shared" si="1330"/>
        <v>1.2</v>
      </c>
      <c r="FK413" s="23">
        <f t="shared" si="1330"/>
        <v>0.8</v>
      </c>
      <c r="FL413" s="23">
        <f t="shared" si="1330"/>
        <v>0.8</v>
      </c>
      <c r="FM413" s="23">
        <f t="shared" si="1195"/>
        <v>1</v>
      </c>
      <c r="FN413" s="23"/>
      <c r="FX413" s="4">
        <f t="shared" si="1386"/>
        <v>1</v>
      </c>
      <c r="FY413" s="4">
        <f t="shared" si="1139"/>
        <v>0.45348837209302328</v>
      </c>
      <c r="FZ413" s="4">
        <f t="shared" si="1387"/>
        <v>0.25</v>
      </c>
      <c r="GA413" s="4">
        <f t="shared" si="1388"/>
        <v>516.37376758792493</v>
      </c>
    </row>
    <row r="414" spans="1:183" ht="12" customHeight="1" x14ac:dyDescent="0.3">
      <c r="A414" s="25">
        <v>396</v>
      </c>
      <c r="B414" s="4" t="s">
        <v>605</v>
      </c>
      <c r="C414" s="4">
        <v>2016</v>
      </c>
      <c r="D414" s="4" t="s">
        <v>309</v>
      </c>
      <c r="E414" s="14" t="s">
        <v>676</v>
      </c>
      <c r="F414" s="33" t="s">
        <v>564</v>
      </c>
      <c r="G414" s="38">
        <f t="shared" si="1406"/>
        <v>889.65517241379314</v>
      </c>
      <c r="H414" s="38">
        <f>10.1*25.4</f>
        <v>256.53999999999996</v>
      </c>
      <c r="I414" s="4">
        <f t="shared" si="1288"/>
        <v>256.53999999999996</v>
      </c>
      <c r="J414" s="38">
        <f t="shared" si="1413"/>
        <v>33.655172413793103</v>
      </c>
      <c r="K414" s="38">
        <f t="shared" si="1401"/>
        <v>25.4</v>
      </c>
      <c r="L414" s="7">
        <f t="shared" si="1289"/>
        <v>10.1</v>
      </c>
      <c r="M414" s="7">
        <f t="shared" si="1290"/>
        <v>10.1</v>
      </c>
      <c r="N414" s="38">
        <f>17.5*25.4</f>
        <v>444.5</v>
      </c>
      <c r="O414" s="38">
        <f>2.7*25.4</f>
        <v>68.58</v>
      </c>
      <c r="P414" s="39">
        <f>3.15*25.4</f>
        <v>80.009999999999991</v>
      </c>
      <c r="Q414" s="7">
        <f t="shared" si="1291"/>
        <v>256.53999999999996</v>
      </c>
      <c r="R414" s="38">
        <v>2</v>
      </c>
      <c r="S414" s="4">
        <f t="shared" si="1361"/>
        <v>508</v>
      </c>
      <c r="T414" s="7">
        <f t="shared" si="1292"/>
        <v>3.2</v>
      </c>
      <c r="U414" s="7">
        <f t="shared" si="1414"/>
        <v>3.2</v>
      </c>
      <c r="V414" s="38">
        <v>4.0999999999999996</v>
      </c>
      <c r="W414" s="4">
        <f t="shared" si="1293"/>
        <v>4.0999999999999996</v>
      </c>
      <c r="X414" s="4">
        <f t="shared" si="1294"/>
        <v>5.0999999999999996</v>
      </c>
      <c r="Y414" s="7">
        <f t="shared" si="1295"/>
        <v>57.361276136431961</v>
      </c>
      <c r="AB414" s="38">
        <f t="shared" si="1332"/>
        <v>613.10344827586221</v>
      </c>
      <c r="AC414" s="4">
        <v>88.9</v>
      </c>
      <c r="AD414" s="4">
        <f t="shared" si="1159"/>
        <v>0.95884996399514588</v>
      </c>
      <c r="AE414" s="38">
        <f t="shared" si="1423"/>
        <v>12.7</v>
      </c>
      <c r="AF414" s="38">
        <v>10</v>
      </c>
      <c r="AG414" s="39">
        <f>5*25.4</f>
        <v>127</v>
      </c>
      <c r="AH414" s="39">
        <v>3</v>
      </c>
      <c r="AI414" s="39">
        <f t="shared" ref="AI414:AI415" si="1428">AH414-1</f>
        <v>2</v>
      </c>
      <c r="AJ414" s="7"/>
      <c r="AK414" s="4">
        <f t="shared" si="1297"/>
        <v>256.53999999999996</v>
      </c>
      <c r="AL414" s="4">
        <f t="shared" si="1175"/>
        <v>0.57755775577557766</v>
      </c>
      <c r="AM414" s="4">
        <f t="shared" si="1176"/>
        <v>235.21836952025916</v>
      </c>
      <c r="AN414" s="4">
        <f t="shared" si="1177"/>
        <v>0.76336633663366338</v>
      </c>
      <c r="AO414" s="4">
        <v>1.25</v>
      </c>
      <c r="AP414" s="4">
        <f t="shared" si="1396"/>
        <v>2.5</v>
      </c>
      <c r="AQ414" s="38">
        <f t="shared" si="1266"/>
        <v>324.07809801654423</v>
      </c>
      <c r="AR414" s="38">
        <f t="shared" si="1178"/>
        <v>324.07809801654423</v>
      </c>
      <c r="AS414" s="38">
        <f t="shared" si="1179"/>
        <v>3.1272010355053257</v>
      </c>
      <c r="AT414" s="38">
        <f t="shared" si="1407"/>
        <v>324.07809801654435</v>
      </c>
      <c r="AU414" s="38">
        <f t="shared" si="1373"/>
        <v>0.99999999999999967</v>
      </c>
      <c r="AV414" s="38">
        <f t="shared" si="1249"/>
        <v>1.3457799098702932</v>
      </c>
      <c r="AW414" s="4">
        <f t="shared" si="1230"/>
        <v>0</v>
      </c>
      <c r="AX414" s="4">
        <f t="shared" si="1298"/>
        <v>308.38531039217742</v>
      </c>
      <c r="AY414" s="4">
        <f t="shared" si="1267"/>
        <v>1</v>
      </c>
      <c r="AZ414" s="38">
        <f t="shared" si="1389"/>
        <v>436.13779353964105</v>
      </c>
      <c r="BA414" s="4">
        <f t="shared" si="1268"/>
        <v>0.42600000000000005</v>
      </c>
      <c r="BB414" s="4">
        <f t="shared" si="1269"/>
        <v>68.641944313642824</v>
      </c>
      <c r="BC414" s="4">
        <f t="shared" si="1270"/>
        <v>504.7797378532839</v>
      </c>
      <c r="BE414" s="4">
        <f t="shared" si="1408"/>
        <v>1.5</v>
      </c>
      <c r="BF414" s="4">
        <f t="shared" si="1415"/>
        <v>524.72829225195699</v>
      </c>
      <c r="BH414" s="4">
        <f t="shared" si="1416"/>
        <v>418.30948018116464</v>
      </c>
      <c r="BI414" s="4">
        <f t="shared" si="1350"/>
        <v>0</v>
      </c>
      <c r="BJ414" s="4">
        <f t="shared" si="1417"/>
        <v>0</v>
      </c>
      <c r="BR414" s="4">
        <f t="shared" si="1271"/>
        <v>68.58</v>
      </c>
      <c r="BV414" s="9"/>
      <c r="BX414" s="9"/>
      <c r="BY414" s="9"/>
      <c r="BZ414" s="9">
        <f t="shared" si="1272"/>
        <v>68.58</v>
      </c>
      <c r="CA414" s="9">
        <f t="shared" si="1273"/>
        <v>128.26999999999998</v>
      </c>
      <c r="CB414" s="9">
        <f t="shared" si="1374"/>
        <v>1.8049743064805013</v>
      </c>
      <c r="CC414" s="40">
        <f t="shared" si="1299"/>
        <v>20</v>
      </c>
      <c r="CD414" s="9">
        <f t="shared" si="1274"/>
        <v>0.05</v>
      </c>
      <c r="CE414" s="9">
        <f t="shared" si="1275"/>
        <v>0.8</v>
      </c>
      <c r="CF414" s="9">
        <f t="shared" si="1276"/>
        <v>0.99524931562137331</v>
      </c>
      <c r="CG414" s="9">
        <f t="shared" si="1277"/>
        <v>0.68</v>
      </c>
      <c r="CH414" s="9">
        <f t="shared" si="1375"/>
        <v>1.3741519375646418</v>
      </c>
      <c r="CI414" s="9">
        <f t="shared" si="1376"/>
        <v>3.4353798439116048</v>
      </c>
      <c r="CJ414" s="40">
        <v>1</v>
      </c>
      <c r="CK414" s="9">
        <f t="shared" si="1377"/>
        <v>344.91213632872513</v>
      </c>
      <c r="CM414" s="4">
        <f t="shared" si="1278"/>
        <v>1.9881084721453528</v>
      </c>
      <c r="CN414" s="4">
        <f t="shared" si="1279"/>
        <v>1.2145959956381271</v>
      </c>
      <c r="CO414" s="4">
        <f t="shared" si="1242"/>
        <v>1.1684207947786249</v>
      </c>
      <c r="CP414" s="4">
        <f t="shared" si="1280"/>
        <v>1.7775641495303378</v>
      </c>
      <c r="CQ414" s="4">
        <f t="shared" si="1189"/>
        <v>0.95884996399514588</v>
      </c>
      <c r="CR414" s="4">
        <f t="shared" si="1190"/>
        <v>1.0383544149159285</v>
      </c>
      <c r="CS414" s="4">
        <f t="shared" si="1243"/>
        <v>1.1226686234334839</v>
      </c>
      <c r="CT414" s="4">
        <f t="shared" si="1300"/>
        <v>10</v>
      </c>
      <c r="DA414" s="4">
        <f t="shared" si="1424"/>
        <v>1.9881084721453528</v>
      </c>
      <c r="DB414" s="4">
        <f t="shared" si="1424"/>
        <v>1.2145959956381271</v>
      </c>
      <c r="DC414" s="4">
        <f t="shared" si="1425"/>
        <v>1.7775641495303378</v>
      </c>
      <c r="DD414" s="4">
        <f t="shared" si="1426"/>
        <v>1.1226686234334839</v>
      </c>
      <c r="DE414" s="4">
        <f t="shared" si="1427"/>
        <v>0.95884996399514588</v>
      </c>
      <c r="DF414" s="4">
        <f t="shared" si="1427"/>
        <v>1.0383544149159285</v>
      </c>
      <c r="DI414" s="4">
        <f t="shared" si="1285"/>
        <v>256.53999999999996</v>
      </c>
      <c r="DL414" s="4">
        <f t="shared" si="1166"/>
        <v>1.8504966275538429E-5</v>
      </c>
      <c r="DM414" s="4">
        <f t="shared" si="1313"/>
        <v>8.9005802678967481</v>
      </c>
      <c r="DN414" s="4">
        <f t="shared" si="1167"/>
        <v>0.5242032222449573</v>
      </c>
      <c r="DO414" s="4">
        <f t="shared" si="1168"/>
        <v>6.8741371952114356</v>
      </c>
      <c r="DP414" s="4">
        <f t="shared" si="1169"/>
        <v>7.9522777785905845</v>
      </c>
      <c r="DQ414" s="4">
        <f t="shared" si="1170"/>
        <v>8.3289542482658874</v>
      </c>
      <c r="DR414" s="38">
        <f t="shared" si="1183"/>
        <v>639.41541565200077</v>
      </c>
      <c r="DS414" s="4">
        <f t="shared" si="1382"/>
        <v>1.0001280885524086</v>
      </c>
      <c r="DT414" s="4">
        <f t="shared" si="1171"/>
        <v>2.2583179581272428</v>
      </c>
      <c r="DU414" s="4">
        <f t="shared" si="1390"/>
        <v>324.07809801654435</v>
      </c>
      <c r="DY414" s="4">
        <f t="shared" si="1331"/>
        <v>0.85</v>
      </c>
      <c r="DZ414" s="4">
        <f t="shared" si="1383"/>
        <v>0.83</v>
      </c>
      <c r="EA414" s="4">
        <f t="shared" si="1184"/>
        <v>0.77500000000000002</v>
      </c>
      <c r="EB414" s="4">
        <f t="shared" si="1384"/>
        <v>0.7</v>
      </c>
      <c r="ED414" s="4">
        <f t="shared" si="1185"/>
        <v>590.45682232256195</v>
      </c>
      <c r="EE414" s="25">
        <f t="shared" si="1186"/>
        <v>320.76924020529049</v>
      </c>
      <c r="EG414" s="4">
        <f t="shared" si="1391"/>
        <v>0.59499999999999997</v>
      </c>
      <c r="EH414" s="4">
        <f t="shared" si="1187"/>
        <v>8.9005802678967481</v>
      </c>
      <c r="EK414" s="4">
        <f t="shared" si="1172"/>
        <v>57.361276136431961</v>
      </c>
      <c r="EL414" s="4">
        <f t="shared" si="1173"/>
        <v>2.2583179581272428</v>
      </c>
      <c r="EM414" s="4">
        <f t="shared" si="1174"/>
        <v>0.16628798144408777</v>
      </c>
      <c r="EP414" s="4">
        <f t="shared" si="1301"/>
        <v>0.16628798144408777</v>
      </c>
      <c r="EQ414" s="4">
        <f t="shared" si="1257"/>
        <v>0.52332842476523023</v>
      </c>
      <c r="ER414" s="4">
        <f t="shared" si="1314"/>
        <v>6.8695462343527716</v>
      </c>
      <c r="ES414" s="4">
        <f t="shared" si="1286"/>
        <v>7.9502949408059536</v>
      </c>
      <c r="ET414" s="4">
        <f t="shared" si="1315"/>
        <v>135.043723863568</v>
      </c>
      <c r="EU414" s="4">
        <f t="shared" si="1316"/>
        <v>64.134999999999991</v>
      </c>
      <c r="EV414" s="4">
        <f t="shared" si="1385"/>
        <v>1.8504966275538429E-5</v>
      </c>
      <c r="EW414" s="4">
        <f t="shared" si="1287"/>
        <v>8.3291273734079496</v>
      </c>
      <c r="EX414" s="4">
        <f t="shared" si="1422"/>
        <v>639.33352434636095</v>
      </c>
      <c r="FG414" s="23">
        <f t="shared" si="1329"/>
        <v>2</v>
      </c>
      <c r="FH414" s="23">
        <f t="shared" si="1329"/>
        <v>1.4</v>
      </c>
      <c r="FI414" s="23">
        <f t="shared" si="1248"/>
        <v>1.2</v>
      </c>
      <c r="FJ414" s="23">
        <f t="shared" si="1330"/>
        <v>1.8</v>
      </c>
      <c r="FK414" s="23">
        <f t="shared" si="1330"/>
        <v>1</v>
      </c>
      <c r="FL414" s="23">
        <f t="shared" si="1330"/>
        <v>1.2</v>
      </c>
      <c r="FM414" s="23">
        <f t="shared" si="1195"/>
        <v>0</v>
      </c>
      <c r="FN414" s="23"/>
      <c r="FX414" s="4">
        <f t="shared" si="1386"/>
        <v>1</v>
      </c>
      <c r="FY414" s="4">
        <f t="shared" si="1139"/>
        <v>0.44418604651162791</v>
      </c>
      <c r="FZ414" s="4">
        <f t="shared" si="1387"/>
        <v>0.3</v>
      </c>
      <c r="GA414" s="4">
        <f t="shared" si="1388"/>
        <v>546.11257095686301</v>
      </c>
    </row>
    <row r="415" spans="1:183" ht="12" customHeight="1" x14ac:dyDescent="0.3">
      <c r="A415" s="25">
        <v>397</v>
      </c>
      <c r="B415" s="4" t="s">
        <v>605</v>
      </c>
      <c r="C415" s="4">
        <v>2016</v>
      </c>
      <c r="D415" s="4" t="s">
        <v>309</v>
      </c>
      <c r="E415" s="14" t="s">
        <v>676</v>
      </c>
      <c r="F415" s="33" t="s">
        <v>565</v>
      </c>
      <c r="G415" s="38">
        <f t="shared" si="1406"/>
        <v>889.65517241379314</v>
      </c>
      <c r="H415" s="38">
        <f>9.94*25.4</f>
        <v>252.47599999999997</v>
      </c>
      <c r="I415" s="4">
        <f t="shared" si="1288"/>
        <v>252.47599999999997</v>
      </c>
      <c r="J415" s="38">
        <f t="shared" si="1413"/>
        <v>33.655172413793103</v>
      </c>
      <c r="K415" s="38">
        <f t="shared" si="1401"/>
        <v>25.4</v>
      </c>
      <c r="L415" s="7">
        <f t="shared" si="1289"/>
        <v>9.94</v>
      </c>
      <c r="M415" s="7">
        <f t="shared" si="1290"/>
        <v>9.94</v>
      </c>
      <c r="N415" s="38">
        <f>17.3*25.4</f>
        <v>439.42</v>
      </c>
      <c r="O415" s="38">
        <f>2.6*25.4</f>
        <v>66.039999999999992</v>
      </c>
      <c r="P415" s="39">
        <f>3.25*25.4</f>
        <v>82.55</v>
      </c>
      <c r="Q415" s="7">
        <f t="shared" si="1291"/>
        <v>256.54000000000002</v>
      </c>
      <c r="R415" s="38">
        <v>2</v>
      </c>
      <c r="S415" s="4">
        <f t="shared" si="1361"/>
        <v>508</v>
      </c>
      <c r="T415" s="7">
        <f t="shared" si="1292"/>
        <v>3.0999999999999996</v>
      </c>
      <c r="U415" s="7">
        <f t="shared" si="1414"/>
        <v>3.0999999999999996</v>
      </c>
      <c r="V415" s="38">
        <v>9.1</v>
      </c>
      <c r="W415" s="4">
        <f t="shared" si="1293"/>
        <v>9.1</v>
      </c>
      <c r="X415" s="4">
        <f t="shared" si="1294"/>
        <v>10.1</v>
      </c>
      <c r="Y415" s="7">
        <f t="shared" si="1295"/>
        <v>80.72246279691916</v>
      </c>
      <c r="AB415" s="38">
        <f t="shared" si="1332"/>
        <v>615.17241379310349</v>
      </c>
      <c r="AC415" s="4">
        <v>89.2</v>
      </c>
      <c r="AD415" s="4">
        <f t="shared" si="1159"/>
        <v>1.0237310466798923</v>
      </c>
      <c r="AE415" s="38">
        <f t="shared" si="1423"/>
        <v>12.7</v>
      </c>
      <c r="AF415" s="38">
        <v>10</v>
      </c>
      <c r="AG415" s="39">
        <f>5*25.4</f>
        <v>127</v>
      </c>
      <c r="AH415" s="39">
        <v>3</v>
      </c>
      <c r="AI415" s="39">
        <f t="shared" si="1428"/>
        <v>2</v>
      </c>
      <c r="AJ415" s="7"/>
      <c r="AK415" s="4">
        <f t="shared" si="1297"/>
        <v>252.47599999999997</v>
      </c>
      <c r="AL415" s="4">
        <f t="shared" si="1175"/>
        <v>0.58014755197853785</v>
      </c>
      <c r="AM415" s="4">
        <f t="shared" si="1176"/>
        <v>229.651216949939</v>
      </c>
      <c r="AN415" s="4">
        <f t="shared" si="1177"/>
        <v>0.76237424547283694</v>
      </c>
      <c r="AO415" s="4">
        <v>1.25</v>
      </c>
      <c r="AP415" s="4">
        <f t="shared" si="1396"/>
        <v>2.5</v>
      </c>
      <c r="AQ415" s="38">
        <f t="shared" si="1266"/>
        <v>317.41354346112331</v>
      </c>
      <c r="AR415" s="38">
        <f t="shared" si="1178"/>
        <v>317.41354346112331</v>
      </c>
      <c r="AS415" s="38">
        <f t="shared" si="1179"/>
        <v>3.1272010355053257</v>
      </c>
      <c r="AT415" s="38">
        <f t="shared" si="1407"/>
        <v>317.41354346112354</v>
      </c>
      <c r="AU415" s="38">
        <f t="shared" si="1373"/>
        <v>0.99999999999999933</v>
      </c>
      <c r="AV415" s="38">
        <f t="shared" si="1249"/>
        <v>1.9830732305866701</v>
      </c>
      <c r="AW415" s="4">
        <f t="shared" si="1230"/>
        <v>0</v>
      </c>
      <c r="AX415" s="4">
        <f t="shared" si="1298"/>
        <v>303.49999854438056</v>
      </c>
      <c r="AY415" s="4">
        <f t="shared" si="1267"/>
        <v>1</v>
      </c>
      <c r="AZ415" s="38">
        <f t="shared" si="1389"/>
        <v>629.45430106341269</v>
      </c>
      <c r="BA415" s="4">
        <f t="shared" si="1268"/>
        <v>0.3</v>
      </c>
      <c r="BB415" s="4">
        <f t="shared" si="1269"/>
        <v>47.573624771831646</v>
      </c>
      <c r="BC415" s="4">
        <f t="shared" si="1270"/>
        <v>677.02792583524433</v>
      </c>
      <c r="BE415" s="4">
        <f t="shared" si="1408"/>
        <v>1.5</v>
      </c>
      <c r="BF415" s="4">
        <f t="shared" si="1415"/>
        <v>520.55135062209069</v>
      </c>
      <c r="BH415" s="4">
        <f t="shared" si="1416"/>
        <v>603.72365196482838</v>
      </c>
      <c r="BI415" s="4">
        <f t="shared" si="1350"/>
        <v>0</v>
      </c>
      <c r="BJ415" s="4">
        <f t="shared" si="1417"/>
        <v>0</v>
      </c>
      <c r="BR415" s="4">
        <f t="shared" si="1271"/>
        <v>66.039999999999992</v>
      </c>
      <c r="BV415" s="9"/>
      <c r="BX415" s="9"/>
      <c r="BY415" s="9"/>
      <c r="BZ415" s="9">
        <f t="shared" si="1272"/>
        <v>66.039999999999992</v>
      </c>
      <c r="CA415" s="9">
        <f t="shared" si="1273"/>
        <v>128.27000000000001</v>
      </c>
      <c r="CB415" s="9">
        <f t="shared" si="1374"/>
        <v>1.7812889692205971</v>
      </c>
      <c r="CC415" s="40">
        <f t="shared" si="1299"/>
        <v>20</v>
      </c>
      <c r="CD415" s="9">
        <f t="shared" si="1274"/>
        <v>0.05</v>
      </c>
      <c r="CE415" s="9">
        <f t="shared" si="1275"/>
        <v>0.8</v>
      </c>
      <c r="CF415" s="9">
        <f t="shared" si="1276"/>
        <v>0.99524931562137331</v>
      </c>
      <c r="CG415" s="9">
        <f t="shared" si="1277"/>
        <v>0.68</v>
      </c>
      <c r="CH415" s="9">
        <f t="shared" si="1375"/>
        <v>1.3741519375646418</v>
      </c>
      <c r="CI415" s="9">
        <f t="shared" si="1376"/>
        <v>3.4353798439116048</v>
      </c>
      <c r="CJ415" s="40">
        <v>1</v>
      </c>
      <c r="CK415" s="9">
        <f t="shared" si="1377"/>
        <v>342.7134932286217</v>
      </c>
      <c r="CM415" s="4">
        <f t="shared" si="1278"/>
        <v>2.0269272380347223</v>
      </c>
      <c r="CN415" s="4">
        <f t="shared" si="1279"/>
        <v>0.90863669033174643</v>
      </c>
      <c r="CO415" s="4">
        <f t="shared" si="1242"/>
        <v>1.1817708532653595</v>
      </c>
      <c r="CP415" s="4">
        <f t="shared" si="1280"/>
        <v>1.7950049412928319</v>
      </c>
      <c r="CQ415" s="4">
        <f t="shared" si="1189"/>
        <v>1.0237310466798923</v>
      </c>
      <c r="CR415" s="4">
        <f t="shared" si="1190"/>
        <v>1.0615276951705674</v>
      </c>
      <c r="CS415" s="4">
        <f t="shared" si="1243"/>
        <v>1.1445892636173558</v>
      </c>
      <c r="CT415" s="4">
        <f t="shared" si="1300"/>
        <v>10</v>
      </c>
      <c r="DA415" s="4">
        <f t="shared" si="1424"/>
        <v>2.0269272380347223</v>
      </c>
      <c r="DB415" s="4">
        <f t="shared" si="1424"/>
        <v>0.90863669033174643</v>
      </c>
      <c r="DC415" s="4">
        <f t="shared" si="1425"/>
        <v>1.7950049412928319</v>
      </c>
      <c r="DD415" s="4">
        <f t="shared" si="1426"/>
        <v>1.1445892636173558</v>
      </c>
      <c r="DE415" s="4">
        <f t="shared" si="1427"/>
        <v>1.0237310466798923</v>
      </c>
      <c r="DF415" s="4">
        <f t="shared" si="1427"/>
        <v>1.0615276951705674</v>
      </c>
      <c r="DI415" s="4">
        <f t="shared" si="1285"/>
        <v>252.47599999999997</v>
      </c>
      <c r="DL415" s="4">
        <f t="shared" si="1166"/>
        <v>1.8211818294935842E-5</v>
      </c>
      <c r="DM415" s="4">
        <f t="shared" si="1313"/>
        <v>8.9005802678967481</v>
      </c>
      <c r="DN415" s="4">
        <f t="shared" si="1167"/>
        <v>0.32553187635289799</v>
      </c>
      <c r="DO415" s="4">
        <f t="shared" si="1168"/>
        <v>5.681404745877507</v>
      </c>
      <c r="DP415" s="4">
        <f t="shared" si="1169"/>
        <v>7.467367537933904</v>
      </c>
      <c r="DQ415" s="4">
        <f t="shared" si="1170"/>
        <v>8.4029386811928486</v>
      </c>
      <c r="DR415" s="38">
        <f t="shared" si="1183"/>
        <v>600.91213975408527</v>
      </c>
      <c r="DS415" s="4">
        <f t="shared" si="1382"/>
        <v>1.0001187924454131</v>
      </c>
      <c r="DT415" s="4">
        <f t="shared" si="1171"/>
        <v>3.1780497164141401</v>
      </c>
      <c r="DU415" s="4">
        <f t="shared" si="1390"/>
        <v>317.41354346112354</v>
      </c>
      <c r="DY415" s="4">
        <f t="shared" si="1331"/>
        <v>0.85</v>
      </c>
      <c r="DZ415" s="4">
        <f t="shared" si="1383"/>
        <v>0.84000000000000008</v>
      </c>
      <c r="EA415" s="4">
        <f t="shared" si="1184"/>
        <v>0.77500000000000002</v>
      </c>
      <c r="EB415" s="4">
        <f t="shared" si="1384"/>
        <v>0.7</v>
      </c>
      <c r="ED415" s="4">
        <f t="shared" si="1185"/>
        <v>579.51612246372611</v>
      </c>
      <c r="EE415" s="25">
        <f t="shared" si="1186"/>
        <v>314.10081887504515</v>
      </c>
      <c r="EG415" s="4">
        <f t="shared" si="1391"/>
        <v>0.59499999999999997</v>
      </c>
      <c r="EH415" s="4">
        <f t="shared" si="1187"/>
        <v>8.9005802678967481</v>
      </c>
      <c r="EK415" s="4">
        <f t="shared" si="1172"/>
        <v>80.72246279691916</v>
      </c>
      <c r="EL415" s="4">
        <f t="shared" si="1173"/>
        <v>3.1780497164141406</v>
      </c>
      <c r="EM415" s="4">
        <f t="shared" si="1174"/>
        <v>0.10326536792849809</v>
      </c>
      <c r="EP415" s="4">
        <f t="shared" si="1301"/>
        <v>0.10326536792849809</v>
      </c>
      <c r="EQ415" s="4">
        <f t="shared" si="1257"/>
        <v>0.32498862432215925</v>
      </c>
      <c r="ER415" s="4">
        <f t="shared" si="1314"/>
        <v>5.6776103632415724</v>
      </c>
      <c r="ES415" s="4">
        <f t="shared" si="1286"/>
        <v>7.4659286608579007</v>
      </c>
      <c r="ET415" s="4">
        <f t="shared" si="1315"/>
        <v>108.63453720308081</v>
      </c>
      <c r="EU415" s="4">
        <f t="shared" si="1316"/>
        <v>63.119</v>
      </c>
      <c r="EV415" s="4">
        <f t="shared" si="1385"/>
        <v>1.8211818294935842E-5</v>
      </c>
      <c r="EW415" s="4">
        <f t="shared" si="1287"/>
        <v>8.4030871344931715</v>
      </c>
      <c r="EX415" s="4">
        <f t="shared" si="1422"/>
        <v>600.84076441037701</v>
      </c>
      <c r="FG415" s="23">
        <f t="shared" si="1329"/>
        <v>2.2000000000000002</v>
      </c>
      <c r="FH415" s="23">
        <f t="shared" si="1329"/>
        <v>1</v>
      </c>
      <c r="FI415" s="23">
        <f t="shared" si="1248"/>
        <v>1.2</v>
      </c>
      <c r="FJ415" s="23">
        <f t="shared" si="1330"/>
        <v>1.8</v>
      </c>
      <c r="FK415" s="23">
        <f t="shared" si="1330"/>
        <v>1.2</v>
      </c>
      <c r="FL415" s="23">
        <f t="shared" si="1330"/>
        <v>1.2</v>
      </c>
      <c r="FM415" s="23">
        <f t="shared" si="1195"/>
        <v>0</v>
      </c>
      <c r="FN415" s="23"/>
      <c r="FX415" s="4">
        <f t="shared" si="1386"/>
        <v>1</v>
      </c>
      <c r="FY415" s="4">
        <f t="shared" ref="FY415:FY449" si="1429">IF(AG415&gt;1, 0.05*(18-MIN(8,(Q415+K415)/K415))*(1-48000/MAX(60000,(G415*145))*(K415/25.4)^0.75*FZ415), 1/12*(14-MIN(8,(Q415+K415)/K415)))</f>
        <v>0.44418604651162791</v>
      </c>
      <c r="FZ415" s="4">
        <f t="shared" si="1387"/>
        <v>0.3</v>
      </c>
      <c r="GA415" s="4">
        <f t="shared" si="1388"/>
        <v>537.46128270408099</v>
      </c>
    </row>
    <row r="416" spans="1:183" ht="12" customHeight="1" x14ac:dyDescent="0.3">
      <c r="A416" s="25">
        <v>398</v>
      </c>
      <c r="B416" s="4" t="s">
        <v>605</v>
      </c>
      <c r="C416" s="4">
        <v>2016</v>
      </c>
      <c r="D416" s="4" t="s">
        <v>309</v>
      </c>
      <c r="E416" s="14" t="s">
        <v>566</v>
      </c>
      <c r="F416" s="33" t="s">
        <v>567</v>
      </c>
      <c r="G416" s="38">
        <f>135/0.145</f>
        <v>931.0344827586207</v>
      </c>
      <c r="H416" s="38">
        <f>14.5*25.4</f>
        <v>368.29999999999995</v>
      </c>
      <c r="I416" s="4">
        <f t="shared" si="1288"/>
        <v>368.29999999999995</v>
      </c>
      <c r="J416" s="38">
        <f>8660/145</f>
        <v>59.724137931034484</v>
      </c>
      <c r="K416" s="38">
        <f t="shared" ref="K416:K421" si="1430">1.41*25.4</f>
        <v>35.813999999999993</v>
      </c>
      <c r="L416" s="7">
        <f t="shared" si="1289"/>
        <v>10.283687943262413</v>
      </c>
      <c r="M416" s="7">
        <f t="shared" si="1290"/>
        <v>10.283687943262413</v>
      </c>
      <c r="N416" s="38">
        <f>21.8*25.4</f>
        <v>553.72</v>
      </c>
      <c r="O416" s="38">
        <f>2.65*25.4</f>
        <v>67.309999999999988</v>
      </c>
      <c r="P416" s="39">
        <f>3.4*25.4</f>
        <v>86.36</v>
      </c>
      <c r="Q416" s="7">
        <f t="shared" si="1291"/>
        <v>347.47200000000009</v>
      </c>
      <c r="R416" s="38">
        <v>2</v>
      </c>
      <c r="S416" s="4">
        <f t="shared" si="1361"/>
        <v>508</v>
      </c>
      <c r="T416" s="7">
        <f t="shared" si="1292"/>
        <v>2.3794326241134751</v>
      </c>
      <c r="U416" s="7">
        <f t="shared" si="1414"/>
        <v>2.3794326241134751</v>
      </c>
      <c r="V416" s="38">
        <v>3.8</v>
      </c>
      <c r="W416" s="4">
        <f t="shared" si="1293"/>
        <v>3.8</v>
      </c>
      <c r="X416" s="4">
        <f t="shared" si="1294"/>
        <v>4.8</v>
      </c>
      <c r="Y416" s="7">
        <f t="shared" si="1295"/>
        <v>78.464542697960056</v>
      </c>
      <c r="AB416" s="38">
        <f t="shared" si="1332"/>
        <v>349.65517241379314</v>
      </c>
      <c r="AC416" s="4">
        <v>50.7</v>
      </c>
      <c r="AD416" s="4">
        <f t="shared" si="1159"/>
        <v>0.58197921135499686</v>
      </c>
      <c r="AE416" s="38"/>
      <c r="AF416" s="38"/>
      <c r="AG416" s="39">
        <v>1</v>
      </c>
      <c r="AH416" s="39"/>
      <c r="AI416" s="39"/>
      <c r="AJ416" s="7"/>
      <c r="AK416" s="4">
        <f t="shared" si="1297"/>
        <v>368.29999999999995</v>
      </c>
      <c r="AL416" s="4">
        <f t="shared" si="1175"/>
        <v>0.50114942528735651</v>
      </c>
      <c r="AM416" s="4">
        <f t="shared" si="1176"/>
        <v>271.11402683702772</v>
      </c>
      <c r="AN416" s="4">
        <f t="shared" si="1177"/>
        <v>0.74627586206896546</v>
      </c>
      <c r="AO416" s="4">
        <v>1.25</v>
      </c>
      <c r="AP416" s="4">
        <f t="shared" si="1396"/>
        <v>2.5</v>
      </c>
      <c r="AQ416" s="38">
        <f t="shared" si="1266"/>
        <v>316.86089219181434</v>
      </c>
      <c r="AR416" s="38">
        <f t="shared" si="1178"/>
        <v>316.86089219181434</v>
      </c>
      <c r="AS416" s="38">
        <f t="shared" si="1179"/>
        <v>4.3472312358327088</v>
      </c>
      <c r="AT416" s="38">
        <f t="shared" si="1407"/>
        <v>316.86089219181434</v>
      </c>
      <c r="AU416" s="38">
        <f t="shared" si="1373"/>
        <v>1</v>
      </c>
      <c r="AV416" s="38">
        <f t="shared" si="1249"/>
        <v>1.7485435555071853</v>
      </c>
      <c r="AW416" s="4">
        <f t="shared" si="1230"/>
        <v>0</v>
      </c>
      <c r="AX416" s="4">
        <f t="shared" si="1298"/>
        <v>418.28301861035618</v>
      </c>
      <c r="AY416" s="4">
        <f t="shared" si="1267"/>
        <v>1</v>
      </c>
      <c r="AZ416" s="38">
        <f t="shared" si="1389"/>
        <v>554.04507103425397</v>
      </c>
      <c r="BA416" s="4">
        <f t="shared" si="1268"/>
        <v>0.46800000000000008</v>
      </c>
      <c r="BB416" s="4">
        <f t="shared" si="1269"/>
        <v>102.28274654079043</v>
      </c>
      <c r="BC416" s="4">
        <f t="shared" si="1270"/>
        <v>656.32781757504438</v>
      </c>
      <c r="BE416" s="4">
        <f t="shared" si="1408"/>
        <v>1.2198581560283688</v>
      </c>
      <c r="BF416" s="4">
        <f t="shared" si="1415"/>
        <v>573.65720730466944</v>
      </c>
      <c r="BH416" s="4">
        <f t="shared" si="1416"/>
        <v>531.39697841895475</v>
      </c>
      <c r="BI416" s="4">
        <f t="shared" si="1350"/>
        <v>0</v>
      </c>
      <c r="BJ416" s="4">
        <f t="shared" si="1417"/>
        <v>0</v>
      </c>
      <c r="BR416" s="4">
        <f t="shared" si="1271"/>
        <v>67.309999999999988</v>
      </c>
      <c r="BV416" s="9"/>
      <c r="BX416" s="9"/>
      <c r="BY416" s="9"/>
      <c r="BZ416" s="9">
        <f t="shared" si="1272"/>
        <v>67.309999999999988</v>
      </c>
      <c r="CA416" s="9">
        <f t="shared" si="1273"/>
        <v>173.73600000000005</v>
      </c>
      <c r="CB416" s="9">
        <f t="shared" si="1374"/>
        <v>1.5804651169733801</v>
      </c>
      <c r="CC416" s="40">
        <f t="shared" si="1299"/>
        <v>0</v>
      </c>
      <c r="CD416" s="9">
        <f t="shared" si="1274"/>
        <v>0</v>
      </c>
      <c r="CE416" s="9">
        <f t="shared" si="1275"/>
        <v>0</v>
      </c>
      <c r="CF416" s="9">
        <f t="shared" si="1276"/>
        <v>0.89777220146327208</v>
      </c>
      <c r="CG416" s="9">
        <f t="shared" si="1277"/>
        <v>0.68</v>
      </c>
      <c r="CH416" s="9">
        <f t="shared" si="1375"/>
        <v>1.6512698668680077</v>
      </c>
      <c r="CI416" s="9">
        <f t="shared" si="1376"/>
        <v>2.6097744232941635</v>
      </c>
      <c r="CJ416" s="40">
        <v>1</v>
      </c>
      <c r="CK416" s="9">
        <f t="shared" si="1377"/>
        <v>263.93888848350906</v>
      </c>
      <c r="CM416" s="4">
        <f t="shared" si="1278"/>
        <v>0.83592963820390698</v>
      </c>
      <c r="CN416" s="4">
        <f t="shared" si="1279"/>
        <v>0.53274470935221885</v>
      </c>
      <c r="CO416" s="4">
        <f t="shared" si="1242"/>
        <v>0.60951935748641473</v>
      </c>
      <c r="CP416" s="4">
        <f t="shared" si="1280"/>
        <v>1.3247580696530805</v>
      </c>
      <c r="CQ416" s="4">
        <f t="shared" si="1189"/>
        <v>0.58197921135499686</v>
      </c>
      <c r="CR416" s="4">
        <f t="shared" si="1190"/>
        <v>0.61746193238869718</v>
      </c>
      <c r="CS416" s="4">
        <f t="shared" si="1243"/>
        <v>0.72823307370272738</v>
      </c>
      <c r="CT416" s="4">
        <f t="shared" si="1300"/>
        <v>0</v>
      </c>
      <c r="CU416" s="4">
        <f t="shared" ref="CU416:CV416" si="1431">CM416</f>
        <v>0.83592963820390698</v>
      </c>
      <c r="CV416" s="4">
        <f t="shared" si="1431"/>
        <v>0.53274470935221885</v>
      </c>
      <c r="CW416" s="4">
        <f t="shared" ref="CW416" si="1432">CP416</f>
        <v>1.3247580696530805</v>
      </c>
      <c r="CX416" s="4">
        <f t="shared" ref="CX416" si="1433">CS416</f>
        <v>0.72823307370272738</v>
      </c>
      <c r="CY416" s="4">
        <f t="shared" ref="CY416:CZ416" si="1434">CQ416</f>
        <v>0.58197921135499686</v>
      </c>
      <c r="CZ416" s="4">
        <f t="shared" si="1434"/>
        <v>0.61746193238869718</v>
      </c>
      <c r="DI416" s="4">
        <f t="shared" si="1285"/>
        <v>368.29999999999995</v>
      </c>
      <c r="DL416" s="4">
        <f t="shared" si="1166"/>
        <v>2.2289464375323425E-5</v>
      </c>
      <c r="DM416" s="4">
        <f t="shared" si="1313"/>
        <v>8.1900405055518455</v>
      </c>
      <c r="DN416" s="4">
        <f t="shared" si="1167"/>
        <v>0.42626088173198085</v>
      </c>
      <c r="DO416" s="4">
        <f t="shared" si="1168"/>
        <v>5.8231267217522005</v>
      </c>
      <c r="DP416" s="4">
        <f t="shared" si="1169"/>
        <v>7.1061034946776394</v>
      </c>
      <c r="DQ416" s="4">
        <f t="shared" si="1170"/>
        <v>7.3859926828278253</v>
      </c>
      <c r="DR416" s="38">
        <f t="shared" si="1183"/>
        <v>600.80354348002606</v>
      </c>
      <c r="DS416" s="4">
        <f t="shared" si="1382"/>
        <v>1.0001114253624004</v>
      </c>
      <c r="DT416" s="4">
        <f t="shared" si="1171"/>
        <v>2.1908902300206643</v>
      </c>
      <c r="DU416" s="4">
        <f t="shared" si="1390"/>
        <v>316.86089219181434</v>
      </c>
      <c r="DY416" s="4">
        <f t="shared" si="1331"/>
        <v>0.85</v>
      </c>
      <c r="DZ416" s="4">
        <f t="shared" si="1383"/>
        <v>0.91205673758865247</v>
      </c>
      <c r="EA416" s="4">
        <f t="shared" si="1184"/>
        <v>1</v>
      </c>
      <c r="EB416" s="4">
        <f t="shared" si="1384"/>
        <v>0.91205673758865247</v>
      </c>
      <c r="ED416" s="4">
        <f t="shared" si="1185"/>
        <v>566.27810407862103</v>
      </c>
      <c r="EE416" s="25">
        <f t="shared" si="1186"/>
        <v>313.6066416732981</v>
      </c>
      <c r="EG416" s="4">
        <f t="shared" si="1391"/>
        <v>0.77524822695035456</v>
      </c>
      <c r="EH416" s="4">
        <f t="shared" si="1187"/>
        <v>8.1900405055518455</v>
      </c>
      <c r="EK416" s="4">
        <f t="shared" si="1172"/>
        <v>78.464542697960056</v>
      </c>
      <c r="EL416" s="4">
        <f t="shared" si="1173"/>
        <v>2.1908902300206643</v>
      </c>
      <c r="EM416" s="4">
        <f t="shared" si="1174"/>
        <v>0.18012985077882213</v>
      </c>
      <c r="EP416" s="4">
        <f t="shared" si="1301"/>
        <v>0.18012985077882213</v>
      </c>
      <c r="EQ416" s="4">
        <f t="shared" si="1257"/>
        <v>0.42554953176459903</v>
      </c>
      <c r="ER416" s="4">
        <f t="shared" si="1314"/>
        <v>5.8192376886858801</v>
      </c>
      <c r="ES416" s="4">
        <f t="shared" si="1286"/>
        <v>7.1045123592589068</v>
      </c>
      <c r="ET416" s="4">
        <f t="shared" si="1315"/>
        <v>197.76045730203992</v>
      </c>
      <c r="EU416" s="4">
        <f t="shared" si="1316"/>
        <v>92.074999999999989</v>
      </c>
      <c r="EV416" s="4">
        <f t="shared" si="1385"/>
        <v>2.2289464375323425E-5</v>
      </c>
      <c r="EW416" s="4">
        <f t="shared" si="1287"/>
        <v>7.3862152384274316</v>
      </c>
      <c r="EX416" s="4">
        <f t="shared" si="1422"/>
        <v>600.73660618597455</v>
      </c>
      <c r="FG416" s="23">
        <f t="shared" si="1329"/>
        <v>1</v>
      </c>
      <c r="FH416" s="23">
        <f t="shared" si="1329"/>
        <v>0.6</v>
      </c>
      <c r="FI416" s="23">
        <f t="shared" si="1248"/>
        <v>0.8</v>
      </c>
      <c r="FJ416" s="23">
        <f t="shared" si="1330"/>
        <v>1.4</v>
      </c>
      <c r="FK416" s="23">
        <f t="shared" si="1330"/>
        <v>0.6</v>
      </c>
      <c r="FL416" s="23">
        <f t="shared" si="1330"/>
        <v>0.8</v>
      </c>
      <c r="FM416" s="23">
        <f t="shared" si="1195"/>
        <v>1</v>
      </c>
      <c r="FN416" s="23"/>
      <c r="FX416" s="4">
        <f t="shared" si="1386"/>
        <v>1</v>
      </c>
      <c r="FY416" s="4">
        <f t="shared" si="1429"/>
        <v>0.5</v>
      </c>
      <c r="FZ416" s="4">
        <f t="shared" si="1387"/>
        <v>0</v>
      </c>
      <c r="GA416" s="4">
        <f t="shared" si="1388"/>
        <v>480.14184612071898</v>
      </c>
    </row>
    <row r="417" spans="1:183" ht="12" customHeight="1" x14ac:dyDescent="0.3">
      <c r="A417" s="25">
        <v>399</v>
      </c>
      <c r="B417" s="4" t="s">
        <v>605</v>
      </c>
      <c r="C417" s="4">
        <v>2016</v>
      </c>
      <c r="D417" s="4" t="s">
        <v>309</v>
      </c>
      <c r="E417" s="14" t="s">
        <v>566</v>
      </c>
      <c r="F417" s="33" t="s">
        <v>568</v>
      </c>
      <c r="G417" s="38">
        <f t="shared" ref="G417:G421" si="1435">135/0.145</f>
        <v>931.0344827586207</v>
      </c>
      <c r="H417" s="38">
        <f>14.69*25.4</f>
        <v>373.12599999999998</v>
      </c>
      <c r="I417" s="4">
        <f t="shared" si="1288"/>
        <v>373.12599999999998</v>
      </c>
      <c r="J417" s="38">
        <f>8660/145</f>
        <v>59.724137931034484</v>
      </c>
      <c r="K417" s="38">
        <f t="shared" si="1430"/>
        <v>35.813999999999993</v>
      </c>
      <c r="L417" s="7">
        <f t="shared" si="1289"/>
        <v>10.418439716312058</v>
      </c>
      <c r="M417" s="7">
        <f t="shared" si="1290"/>
        <v>10.418439716312058</v>
      </c>
      <c r="N417" s="38">
        <f>21.8*25.4</f>
        <v>553.72</v>
      </c>
      <c r="O417" s="38">
        <f>2.55*25.4</f>
        <v>64.77</v>
      </c>
      <c r="P417" s="39">
        <f>3.2*25.4</f>
        <v>81.28</v>
      </c>
      <c r="Q417" s="7">
        <f t="shared" si="1291"/>
        <v>352.55200000000002</v>
      </c>
      <c r="R417" s="38">
        <v>2</v>
      </c>
      <c r="S417" s="4">
        <f t="shared" si="1361"/>
        <v>508</v>
      </c>
      <c r="T417" s="7">
        <f t="shared" si="1292"/>
        <v>2.3085106382978724</v>
      </c>
      <c r="U417" s="7">
        <f t="shared" si="1414"/>
        <v>2.3085106382978724</v>
      </c>
      <c r="V417" s="38">
        <v>3.8</v>
      </c>
      <c r="W417" s="4">
        <f t="shared" si="1293"/>
        <v>3.8</v>
      </c>
      <c r="X417" s="4">
        <f t="shared" si="1294"/>
        <v>4.8</v>
      </c>
      <c r="Y417" s="7">
        <f t="shared" si="1295"/>
        <v>78.464542697960056</v>
      </c>
      <c r="AB417" s="38">
        <f t="shared" si="1332"/>
        <v>391.03448275862075</v>
      </c>
      <c r="AC417" s="4">
        <v>56.7</v>
      </c>
      <c r="AD417" s="4">
        <f t="shared" si="1159"/>
        <v>0.64761509962742803</v>
      </c>
      <c r="AE417" s="38">
        <f t="shared" ref="AE417:AE418" si="1436">0.5*25.4</f>
        <v>12.7</v>
      </c>
      <c r="AF417" s="38">
        <v>4</v>
      </c>
      <c r="AG417" s="39">
        <f>8*25.4</f>
        <v>203.2</v>
      </c>
      <c r="AH417" s="39">
        <v>2</v>
      </c>
      <c r="AI417" s="39">
        <f t="shared" ref="AI417:AI418" si="1437">AH417-1</f>
        <v>1</v>
      </c>
      <c r="AJ417" s="7"/>
      <c r="AK417" s="4">
        <f t="shared" si="1297"/>
        <v>373.12599999999998</v>
      </c>
      <c r="AL417" s="4">
        <f t="shared" si="1175"/>
        <v>0.49466757431359204</v>
      </c>
      <c r="AM417" s="4">
        <f t="shared" si="1176"/>
        <v>276.46023823193622</v>
      </c>
      <c r="AN417" s="4">
        <f t="shared" si="1177"/>
        <v>0.74431586113002035</v>
      </c>
      <c r="AO417" s="4">
        <v>1.25</v>
      </c>
      <c r="AP417" s="4">
        <f t="shared" si="1396"/>
        <v>2.5</v>
      </c>
      <c r="AQ417" s="38">
        <f t="shared" si="1266"/>
        <v>318.09249051752539</v>
      </c>
      <c r="AR417" s="38">
        <f t="shared" si="1178"/>
        <v>318.09249051752539</v>
      </c>
      <c r="AS417" s="38">
        <f t="shared" si="1179"/>
        <v>4.3472312358327088</v>
      </c>
      <c r="AT417" s="38">
        <f t="shared" si="1407"/>
        <v>318.09249051752539</v>
      </c>
      <c r="AU417" s="38">
        <f t="shared" si="1373"/>
        <v>1</v>
      </c>
      <c r="AV417" s="38">
        <f t="shared" si="1249"/>
        <v>1.689857748922543</v>
      </c>
      <c r="AW417" s="4">
        <f t="shared" si="1230"/>
        <v>0</v>
      </c>
      <c r="AX417" s="4">
        <f t="shared" si="1298"/>
        <v>423.76396850938846</v>
      </c>
      <c r="AY417" s="4">
        <f t="shared" si="1267"/>
        <v>1</v>
      </c>
      <c r="AZ417" s="38">
        <f t="shared" si="1389"/>
        <v>537.53105997511079</v>
      </c>
      <c r="BA417" s="4">
        <f t="shared" si="1268"/>
        <v>0.46800000000000008</v>
      </c>
      <c r="BB417" s="4">
        <f t="shared" si="1269"/>
        <v>103.6230032196008</v>
      </c>
      <c r="BC417" s="4">
        <f t="shared" si="1270"/>
        <v>641.15406319471163</v>
      </c>
      <c r="BE417" s="4">
        <f t="shared" si="1408"/>
        <v>1.4806376465948399</v>
      </c>
      <c r="BF417" s="4">
        <f t="shared" si="1415"/>
        <v>700.91852660728603</v>
      </c>
      <c r="BH417" s="4">
        <f t="shared" si="1416"/>
        <v>515.55802228128107</v>
      </c>
      <c r="BI417" s="4">
        <f t="shared" si="1350"/>
        <v>0</v>
      </c>
      <c r="BJ417" s="4">
        <f t="shared" si="1417"/>
        <v>0</v>
      </c>
      <c r="BR417" s="4">
        <f t="shared" si="1271"/>
        <v>64.77</v>
      </c>
      <c r="BV417" s="9"/>
      <c r="BX417" s="9"/>
      <c r="BY417" s="9"/>
      <c r="BZ417" s="9">
        <f t="shared" si="1272"/>
        <v>64.77</v>
      </c>
      <c r="CA417" s="9">
        <f t="shared" si="1273"/>
        <v>176.27600000000001</v>
      </c>
      <c r="CB417" s="9">
        <f t="shared" si="1374"/>
        <v>1.5627281214384319</v>
      </c>
      <c r="CC417" s="40">
        <f t="shared" si="1299"/>
        <v>20</v>
      </c>
      <c r="CD417" s="9">
        <f t="shared" si="1274"/>
        <v>0.05</v>
      </c>
      <c r="CE417" s="9">
        <f t="shared" si="1275"/>
        <v>0.8</v>
      </c>
      <c r="CF417" s="9">
        <f t="shared" si="1276"/>
        <v>0.89777220146327208</v>
      </c>
      <c r="CG417" s="9">
        <f t="shared" si="1277"/>
        <v>0.68</v>
      </c>
      <c r="CH417" s="9">
        <f t="shared" si="1375"/>
        <v>1.6512698668680077</v>
      </c>
      <c r="CI417" s="9">
        <f t="shared" si="1376"/>
        <v>3.9015017505329372</v>
      </c>
      <c r="CJ417" s="40">
        <v>1</v>
      </c>
      <c r="CK417" s="9">
        <f t="shared" si="1377"/>
        <v>396.68034819602974</v>
      </c>
      <c r="CM417" s="4">
        <f t="shared" si="1278"/>
        <v>0.9227648214974592</v>
      </c>
      <c r="CN417" s="4">
        <f t="shared" si="1279"/>
        <v>0.60989160828240396</v>
      </c>
      <c r="CO417" s="4">
        <f t="shared" si="1242"/>
        <v>0.55788863885703999</v>
      </c>
      <c r="CP417" s="4">
        <f t="shared" si="1280"/>
        <v>0.98576721669453882</v>
      </c>
      <c r="CQ417" s="4">
        <f t="shared" si="1189"/>
        <v>0.64761509962742803</v>
      </c>
      <c r="CR417" s="4">
        <f t="shared" si="1190"/>
        <v>0.68724341538301104</v>
      </c>
      <c r="CS417" s="4">
        <f t="shared" si="1243"/>
        <v>0.71086754061834379</v>
      </c>
      <c r="CT417" s="4">
        <f t="shared" si="1300"/>
        <v>4</v>
      </c>
      <c r="DA417" s="4">
        <f t="shared" ref="DA417:DB418" si="1438">CM417</f>
        <v>0.9227648214974592</v>
      </c>
      <c r="DB417" s="4">
        <f t="shared" si="1438"/>
        <v>0.60989160828240396</v>
      </c>
      <c r="DC417" s="4">
        <f t="shared" ref="DC417:DC418" si="1439">CP417</f>
        <v>0.98576721669453882</v>
      </c>
      <c r="DD417" s="4">
        <f t="shared" ref="DD417:DD418" si="1440">CS417</f>
        <v>0.71086754061834379</v>
      </c>
      <c r="DE417" s="4">
        <f t="shared" ref="DE417:DF418" si="1441">CQ417</f>
        <v>0.64761509962742803</v>
      </c>
      <c r="DF417" s="4">
        <f t="shared" si="1441"/>
        <v>0.68724341538301104</v>
      </c>
      <c r="DI417" s="4">
        <f t="shared" si="1285"/>
        <v>373.12599999999998</v>
      </c>
      <c r="DL417" s="4">
        <f t="shared" si="1166"/>
        <v>2.2581533218862147E-5</v>
      </c>
      <c r="DM417" s="4">
        <f t="shared" si="1313"/>
        <v>8.1304956994783915</v>
      </c>
      <c r="DN417" s="4">
        <f t="shared" si="1167"/>
        <v>0.42791770401959656</v>
      </c>
      <c r="DO417" s="4">
        <f t="shared" si="1168"/>
        <v>5.7897675296534361</v>
      </c>
      <c r="DP417" s="4">
        <f t="shared" si="1169"/>
        <v>7.0581149788874846</v>
      </c>
      <c r="DQ417" s="4">
        <f t="shared" si="1170"/>
        <v>7.3164544580678683</v>
      </c>
      <c r="DR417" s="38">
        <f t="shared" si="1183"/>
        <v>603.80692634186926</v>
      </c>
      <c r="DS417" s="4">
        <f t="shared" si="1382"/>
        <v>1.0001112492309012</v>
      </c>
      <c r="DT417" s="4">
        <f t="shared" si="1171"/>
        <v>2.1908902300206643</v>
      </c>
      <c r="DU417" s="4">
        <f t="shared" si="1390"/>
        <v>318.09249051752539</v>
      </c>
      <c r="DY417" s="4">
        <f t="shared" si="1331"/>
        <v>0.85</v>
      </c>
      <c r="DZ417" s="4">
        <f t="shared" si="1383"/>
        <v>0.91914893617021276</v>
      </c>
      <c r="EA417" s="4">
        <f t="shared" si="1184"/>
        <v>0.9995510789195714</v>
      </c>
      <c r="EB417" s="4">
        <f t="shared" si="1384"/>
        <v>0.91873631083671248</v>
      </c>
      <c r="ED417" s="4">
        <f t="shared" si="1185"/>
        <v>568.98978441385486</v>
      </c>
      <c r="EE417" s="25">
        <f t="shared" si="1186"/>
        <v>314.86854648760465</v>
      </c>
      <c r="EG417" s="4">
        <f t="shared" si="1391"/>
        <v>0.78092586421120558</v>
      </c>
      <c r="EH417" s="4">
        <f t="shared" si="1187"/>
        <v>8.1304956994783915</v>
      </c>
      <c r="EK417" s="4">
        <f t="shared" si="1172"/>
        <v>78.464542697960056</v>
      </c>
      <c r="EL417" s="4">
        <f t="shared" si="1173"/>
        <v>2.1908902300206643</v>
      </c>
      <c r="EM417" s="4">
        <f t="shared" si="1174"/>
        <v>0.18082999279096884</v>
      </c>
      <c r="EP417" s="4">
        <f t="shared" si="1301"/>
        <v>0.18082999279096884</v>
      </c>
      <c r="EQ417" s="4">
        <f t="shared" si="1257"/>
        <v>0.42720358912460649</v>
      </c>
      <c r="ER417" s="4">
        <f t="shared" si="1314"/>
        <v>5.7859007758551693</v>
      </c>
      <c r="ES417" s="4">
        <f t="shared" si="1286"/>
        <v>7.0565312988731881</v>
      </c>
      <c r="ET417" s="4">
        <f t="shared" si="1315"/>
        <v>201.37995730203994</v>
      </c>
      <c r="EU417" s="4">
        <f t="shared" si="1316"/>
        <v>93.281499999999994</v>
      </c>
      <c r="EV417" s="4">
        <f t="shared" si="1385"/>
        <v>2.2581533218862147E-5</v>
      </c>
      <c r="EW417" s="4">
        <f t="shared" si="1287"/>
        <v>7.3166791266825877</v>
      </c>
      <c r="EX417" s="4">
        <f t="shared" si="1422"/>
        <v>603.73976075782048</v>
      </c>
      <c r="FG417" s="23">
        <f t="shared" si="1329"/>
        <v>1</v>
      </c>
      <c r="FH417" s="23">
        <f t="shared" si="1329"/>
        <v>0.8</v>
      </c>
      <c r="FI417" s="23">
        <f t="shared" si="1248"/>
        <v>0.8</v>
      </c>
      <c r="FJ417" s="23">
        <f t="shared" si="1330"/>
        <v>1</v>
      </c>
      <c r="FK417" s="23">
        <f t="shared" si="1330"/>
        <v>0.8</v>
      </c>
      <c r="FL417" s="23">
        <f t="shared" si="1330"/>
        <v>0.8</v>
      </c>
      <c r="FM417" s="23">
        <f t="shared" si="1195"/>
        <v>1</v>
      </c>
      <c r="FN417" s="23"/>
      <c r="FX417" s="4">
        <f t="shared" si="1386"/>
        <v>1</v>
      </c>
      <c r="FY417" s="4">
        <f t="shared" si="1429"/>
        <v>0.44214730608235164</v>
      </c>
      <c r="FZ417" s="4">
        <f t="shared" si="1387"/>
        <v>0.25149640360142855</v>
      </c>
      <c r="GA417" s="4">
        <f t="shared" si="1388"/>
        <v>550.08065555853318</v>
      </c>
    </row>
    <row r="418" spans="1:183" ht="12" customHeight="1" x14ac:dyDescent="0.3">
      <c r="A418" s="25">
        <v>400</v>
      </c>
      <c r="B418" s="4" t="s">
        <v>605</v>
      </c>
      <c r="C418" s="4">
        <v>2016</v>
      </c>
      <c r="D418" s="4" t="s">
        <v>309</v>
      </c>
      <c r="E418" s="14" t="s">
        <v>677</v>
      </c>
      <c r="F418" s="7" t="s">
        <v>569</v>
      </c>
      <c r="G418" s="38">
        <f t="shared" si="1435"/>
        <v>931.0344827586207</v>
      </c>
      <c r="H418" s="38">
        <f>14.69*25.4</f>
        <v>373.12599999999998</v>
      </c>
      <c r="I418" s="4">
        <f t="shared" si="1288"/>
        <v>373.12599999999998</v>
      </c>
      <c r="J418" s="38">
        <f>8660/145</f>
        <v>59.724137931034484</v>
      </c>
      <c r="K418" s="38">
        <f t="shared" si="1430"/>
        <v>35.813999999999993</v>
      </c>
      <c r="L418" s="7">
        <f t="shared" si="1289"/>
        <v>10.418439716312058</v>
      </c>
      <c r="M418" s="7">
        <f t="shared" si="1290"/>
        <v>10.418439716312058</v>
      </c>
      <c r="N418" s="38">
        <f>21.7*25.4</f>
        <v>551.17999999999995</v>
      </c>
      <c r="O418" s="38">
        <f>2.45*25.4</f>
        <v>62.230000000000004</v>
      </c>
      <c r="P418" s="39">
        <f>3.4*25.4</f>
        <v>86.36</v>
      </c>
      <c r="Q418" s="7">
        <f t="shared" si="1291"/>
        <v>355.09199999999998</v>
      </c>
      <c r="R418" s="38">
        <v>2</v>
      </c>
      <c r="S418" s="4">
        <f t="shared" si="1361"/>
        <v>508</v>
      </c>
      <c r="T418" s="7">
        <f t="shared" si="1292"/>
        <v>2.2375886524822697</v>
      </c>
      <c r="U418" s="7">
        <f t="shared" si="1414"/>
        <v>2.2375886524822697</v>
      </c>
      <c r="V418" s="38">
        <v>3.8</v>
      </c>
      <c r="W418" s="4">
        <f t="shared" si="1293"/>
        <v>3.8</v>
      </c>
      <c r="X418" s="4">
        <f t="shared" si="1294"/>
        <v>4.8</v>
      </c>
      <c r="Y418" s="7">
        <f t="shared" si="1295"/>
        <v>78.464542697960056</v>
      </c>
      <c r="AB418" s="38">
        <f t="shared" si="1332"/>
        <v>497.93103448275866</v>
      </c>
      <c r="AC418" s="4">
        <v>72.2</v>
      </c>
      <c r="AD418" s="4">
        <f t="shared" si="1159"/>
        <v>0.80079303363680798</v>
      </c>
      <c r="AE418" s="38">
        <f t="shared" si="1436"/>
        <v>12.7</v>
      </c>
      <c r="AF418" s="38">
        <v>12</v>
      </c>
      <c r="AG418" s="39">
        <f>4*25.4</f>
        <v>101.6</v>
      </c>
      <c r="AH418" s="39">
        <v>3</v>
      </c>
      <c r="AI418" s="39">
        <f t="shared" si="1437"/>
        <v>2</v>
      </c>
      <c r="AJ418" s="7"/>
      <c r="AK418" s="4">
        <f t="shared" si="1297"/>
        <v>373.12599999999998</v>
      </c>
      <c r="AL418" s="4">
        <f t="shared" si="1175"/>
        <v>0.49239845700022689</v>
      </c>
      <c r="AM418" s="4">
        <f t="shared" si="1176"/>
        <v>276.46023823193622</v>
      </c>
      <c r="AN418" s="4">
        <f t="shared" si="1177"/>
        <v>0.74295439074200131</v>
      </c>
      <c r="AO418" s="4">
        <v>1.25</v>
      </c>
      <c r="AP418" s="4">
        <f t="shared" si="1396"/>
        <v>2.5</v>
      </c>
      <c r="AQ418" s="38">
        <f t="shared" si="1266"/>
        <v>316.05417861937889</v>
      </c>
      <c r="AR418" s="38">
        <f t="shared" si="1178"/>
        <v>316.05417861937889</v>
      </c>
      <c r="AS418" s="38">
        <f t="shared" si="1179"/>
        <v>4.3472312358327088</v>
      </c>
      <c r="AT418" s="38">
        <f t="shared" si="1407"/>
        <v>316.05417861937889</v>
      </c>
      <c r="AU418" s="38">
        <f t="shared" si="1373"/>
        <v>1</v>
      </c>
      <c r="AV418" s="38">
        <f t="shared" si="1249"/>
        <v>1.6485054910266623</v>
      </c>
      <c r="AW418" s="4">
        <f t="shared" si="1230"/>
        <v>0</v>
      </c>
      <c r="AX418" s="4">
        <f t="shared" si="1298"/>
        <v>423.76396850938846</v>
      </c>
      <c r="AY418" s="4">
        <f t="shared" si="1267"/>
        <v>1</v>
      </c>
      <c r="AZ418" s="38">
        <f t="shared" si="1389"/>
        <v>521.01704891596762</v>
      </c>
      <c r="BA418" s="4">
        <f t="shared" si="1268"/>
        <v>0.46800000000000008</v>
      </c>
      <c r="BB418" s="4">
        <f t="shared" si="1269"/>
        <v>103.6230032196008</v>
      </c>
      <c r="BC418" s="4">
        <f t="shared" si="1270"/>
        <v>624.64005213556845</v>
      </c>
      <c r="BE418" s="4">
        <f t="shared" si="1408"/>
        <v>1.5</v>
      </c>
      <c r="BF418" s="4">
        <f t="shared" si="1415"/>
        <v>710.08446416912363</v>
      </c>
      <c r="BH418" s="4">
        <f t="shared" si="1416"/>
        <v>499.71906614360728</v>
      </c>
      <c r="BI418" s="4">
        <f t="shared" si="1350"/>
        <v>0</v>
      </c>
      <c r="BJ418" s="4">
        <f t="shared" si="1417"/>
        <v>0</v>
      </c>
      <c r="BR418" s="4">
        <f t="shared" si="1271"/>
        <v>62.230000000000004</v>
      </c>
      <c r="BV418" s="9"/>
      <c r="BX418" s="9"/>
      <c r="BY418" s="9"/>
      <c r="BZ418" s="9">
        <f t="shared" si="1272"/>
        <v>62.230000000000004</v>
      </c>
      <c r="CA418" s="9">
        <f t="shared" si="1273"/>
        <v>177.54599999999999</v>
      </c>
      <c r="CB418" s="9">
        <f t="shared" si="1374"/>
        <v>1.5426597542601972</v>
      </c>
      <c r="CC418" s="40">
        <f t="shared" si="1299"/>
        <v>20</v>
      </c>
      <c r="CD418" s="9">
        <f t="shared" si="1274"/>
        <v>0.05</v>
      </c>
      <c r="CE418" s="9">
        <f t="shared" si="1275"/>
        <v>0.8</v>
      </c>
      <c r="CF418" s="9">
        <f t="shared" si="1276"/>
        <v>0.89777220146327208</v>
      </c>
      <c r="CG418" s="9">
        <f t="shared" si="1277"/>
        <v>0.68</v>
      </c>
      <c r="CH418" s="9">
        <f t="shared" si="1375"/>
        <v>1.6512698668680077</v>
      </c>
      <c r="CI418" s="9">
        <f t="shared" si="1376"/>
        <v>3.8683634605342756</v>
      </c>
      <c r="CJ418" s="40">
        <v>1</v>
      </c>
      <c r="CK418" s="9">
        <f t="shared" si="1377"/>
        <v>393.31105368949909</v>
      </c>
      <c r="CM418" s="4">
        <f t="shared" si="1278"/>
        <v>1.175019755063784</v>
      </c>
      <c r="CN418" s="4">
        <f t="shared" si="1279"/>
        <v>0.79714874635462929</v>
      </c>
      <c r="CO418" s="4">
        <f t="shared" si="1242"/>
        <v>0.70122789556506115</v>
      </c>
      <c r="CP418" s="4">
        <f t="shared" si="1280"/>
        <v>1.2659980689885524</v>
      </c>
      <c r="CQ418" s="4">
        <f t="shared" si="1189"/>
        <v>0.80079303363680798</v>
      </c>
      <c r="CR418" s="4">
        <f t="shared" si="1190"/>
        <v>0.85028063832166845</v>
      </c>
      <c r="CS418" s="4">
        <f t="shared" si="1243"/>
        <v>1.102942521630832</v>
      </c>
      <c r="CT418" s="4">
        <f t="shared" si="1300"/>
        <v>12</v>
      </c>
      <c r="DA418" s="4">
        <f t="shared" si="1438"/>
        <v>1.175019755063784</v>
      </c>
      <c r="DB418" s="4">
        <f t="shared" si="1438"/>
        <v>0.79714874635462929</v>
      </c>
      <c r="DC418" s="4">
        <f t="shared" si="1439"/>
        <v>1.2659980689885524</v>
      </c>
      <c r="DD418" s="4">
        <f t="shared" si="1440"/>
        <v>1.102942521630832</v>
      </c>
      <c r="DE418" s="4">
        <f t="shared" si="1441"/>
        <v>0.80079303363680798</v>
      </c>
      <c r="DF418" s="4">
        <f t="shared" si="1441"/>
        <v>0.85028063832166845</v>
      </c>
      <c r="DI418" s="4">
        <f t="shared" si="1285"/>
        <v>373.12599999999998</v>
      </c>
      <c r="DL418" s="4">
        <f t="shared" si="1166"/>
        <v>2.2581533218862147E-5</v>
      </c>
      <c r="DM418" s="4">
        <f t="shared" si="1313"/>
        <v>8.7269775139135497</v>
      </c>
      <c r="DN418" s="4">
        <f t="shared" si="1167"/>
        <v>0.4251756407092947</v>
      </c>
      <c r="DO418" s="4">
        <f t="shared" si="1168"/>
        <v>6.1985656734611458</v>
      </c>
      <c r="DP418" s="4">
        <f t="shared" si="1169"/>
        <v>7.5693908977413145</v>
      </c>
      <c r="DQ418" s="4">
        <f t="shared" si="1170"/>
        <v>7.7912639473019434</v>
      </c>
      <c r="DR418" s="38">
        <f t="shared" si="1183"/>
        <v>621.79741027641171</v>
      </c>
      <c r="DS418" s="4">
        <f t="shared" si="1382"/>
        <v>1.0001152655713796</v>
      </c>
      <c r="DT418" s="4">
        <f t="shared" si="1171"/>
        <v>2.1908902300206643</v>
      </c>
      <c r="DU418" s="4">
        <f t="shared" si="1390"/>
        <v>316.05417861937889</v>
      </c>
      <c r="DY418" s="4">
        <f t="shared" si="1331"/>
        <v>0.85</v>
      </c>
      <c r="DZ418" s="4">
        <f t="shared" si="1383"/>
        <v>0.92624113475177294</v>
      </c>
      <c r="EA418" s="4">
        <f t="shared" si="1184"/>
        <v>0.92410215783914285</v>
      </c>
      <c r="EB418" s="4">
        <f t="shared" si="1384"/>
        <v>0.85594143130348965</v>
      </c>
      <c r="ED418" s="4">
        <f t="shared" si="1185"/>
        <v>585.60787114428808</v>
      </c>
      <c r="EE418" s="25">
        <f t="shared" si="1186"/>
        <v>312.84340374133052</v>
      </c>
      <c r="EG418" s="4">
        <f t="shared" si="1391"/>
        <v>0.72755021660796615</v>
      </c>
      <c r="EH418" s="4">
        <f t="shared" si="1187"/>
        <v>8.7269775139135497</v>
      </c>
      <c r="EK418" s="4">
        <f t="shared" si="1172"/>
        <v>78.464542697960056</v>
      </c>
      <c r="EL418" s="4">
        <f t="shared" si="1173"/>
        <v>2.1908902300206643</v>
      </c>
      <c r="EM418" s="4">
        <f t="shared" si="1174"/>
        <v>0.17967124828477851</v>
      </c>
      <c r="EP418" s="4">
        <f t="shared" si="1301"/>
        <v>0.17967124828477851</v>
      </c>
      <c r="EQ418" s="4">
        <f t="shared" si="1257"/>
        <v>0.42446610180691829</v>
      </c>
      <c r="ER418" s="4">
        <f t="shared" si="1314"/>
        <v>6.1944258997588486</v>
      </c>
      <c r="ES418" s="4">
        <f t="shared" si="1286"/>
        <v>7.5676983436658878</v>
      </c>
      <c r="ET418" s="4">
        <f t="shared" si="1315"/>
        <v>201.37995730203994</v>
      </c>
      <c r="EU418" s="4">
        <f t="shared" si="1316"/>
        <v>93.281499999999994</v>
      </c>
      <c r="EV418" s="4">
        <f t="shared" si="1385"/>
        <v>2.2581533218862147E-5</v>
      </c>
      <c r="EW418" s="4">
        <f t="shared" si="1287"/>
        <v>7.7915215773048105</v>
      </c>
      <c r="EX418" s="4">
        <f t="shared" si="1422"/>
        <v>621.72574670297649</v>
      </c>
      <c r="FG418" s="23">
        <f t="shared" si="1329"/>
        <v>1.2</v>
      </c>
      <c r="FH418" s="23">
        <f t="shared" si="1329"/>
        <v>0.8</v>
      </c>
      <c r="FI418" s="23">
        <f t="shared" si="1248"/>
        <v>1.2</v>
      </c>
      <c r="FJ418" s="23">
        <f t="shared" si="1330"/>
        <v>1.4</v>
      </c>
      <c r="FK418" s="23">
        <f t="shared" si="1330"/>
        <v>1</v>
      </c>
      <c r="FL418" s="23">
        <f t="shared" si="1330"/>
        <v>1</v>
      </c>
      <c r="FM418" s="23">
        <f t="shared" si="1195"/>
        <v>0</v>
      </c>
      <c r="FN418" s="23"/>
      <c r="FX418" s="4">
        <f t="shared" si="1386"/>
        <v>1.25</v>
      </c>
      <c r="FY418" s="4">
        <f t="shared" si="1429"/>
        <v>0.43098983553339404</v>
      </c>
      <c r="FZ418" s="4">
        <f t="shared" si="1387"/>
        <v>0.3</v>
      </c>
      <c r="GA418" s="4">
        <f t="shared" si="1388"/>
        <v>451.45692066211052</v>
      </c>
    </row>
    <row r="419" spans="1:183" ht="12" customHeight="1" x14ac:dyDescent="0.3">
      <c r="A419" s="25">
        <v>401</v>
      </c>
      <c r="B419" s="4" t="s">
        <v>605</v>
      </c>
      <c r="C419" s="4">
        <v>2016</v>
      </c>
      <c r="D419" s="4" t="s">
        <v>309</v>
      </c>
      <c r="E419" s="14" t="s">
        <v>677</v>
      </c>
      <c r="F419" s="7" t="s">
        <v>570</v>
      </c>
      <c r="G419" s="38">
        <f t="shared" si="1435"/>
        <v>931.0344827586207</v>
      </c>
      <c r="H419" s="38">
        <f>14.63*25.4</f>
        <v>371.60199999999998</v>
      </c>
      <c r="I419" s="4">
        <f t="shared" si="1288"/>
        <v>371.60199999999998</v>
      </c>
      <c r="J419" s="38">
        <f>8720/145</f>
        <v>60.137931034482762</v>
      </c>
      <c r="K419" s="38">
        <f t="shared" si="1430"/>
        <v>35.813999999999993</v>
      </c>
      <c r="L419" s="7">
        <f t="shared" si="1289"/>
        <v>10.375886524822697</v>
      </c>
      <c r="M419" s="7">
        <f t="shared" si="1290"/>
        <v>10.375886524822697</v>
      </c>
      <c r="N419" s="38">
        <f>22*25.4</f>
        <v>558.79999999999995</v>
      </c>
      <c r="O419" s="38">
        <f>2.8*25.4</f>
        <v>71.11999999999999</v>
      </c>
      <c r="P419" s="39">
        <f>3.3*25.4</f>
        <v>83.82</v>
      </c>
      <c r="Q419" s="7">
        <f t="shared" si="1291"/>
        <v>154.55899999999997</v>
      </c>
      <c r="R419" s="38">
        <v>3</v>
      </c>
      <c r="S419" s="4">
        <f t="shared" si="1361"/>
        <v>508</v>
      </c>
      <c r="T419" s="7">
        <f t="shared" si="1292"/>
        <v>2.4858156028368796</v>
      </c>
      <c r="U419" s="7">
        <f t="shared" si="1414"/>
        <v>2.4858156028368796</v>
      </c>
      <c r="V419" s="38">
        <v>3.8</v>
      </c>
      <c r="W419" s="4">
        <f t="shared" si="1293"/>
        <v>3.8</v>
      </c>
      <c r="X419" s="4">
        <f t="shared" si="1294"/>
        <v>4.8</v>
      </c>
      <c r="Y419" s="7">
        <f t="shared" si="1295"/>
        <v>78.464542697960056</v>
      </c>
      <c r="AB419" s="38">
        <f t="shared" si="1332"/>
        <v>233.79310344827587</v>
      </c>
      <c r="AC419" s="4">
        <v>33.9</v>
      </c>
      <c r="AD419" s="4">
        <f t="shared" si="1159"/>
        <v>0.47564989032534455</v>
      </c>
      <c r="AE419" s="38"/>
      <c r="AF419" s="38"/>
      <c r="AG419" s="39">
        <v>1</v>
      </c>
      <c r="AH419" s="39"/>
      <c r="AI419" s="39"/>
      <c r="AJ419" s="7"/>
      <c r="AK419" s="4">
        <f t="shared" si="1297"/>
        <v>371.60199999999998</v>
      </c>
      <c r="AL419" s="4">
        <f t="shared" si="1175"/>
        <v>0.50125313283208028</v>
      </c>
      <c r="AM419" s="4">
        <f t="shared" si="1176"/>
        <v>183.81227524875013</v>
      </c>
      <c r="AN419" s="4">
        <f t="shared" si="1177"/>
        <v>0.74791524265208476</v>
      </c>
      <c r="AO419" s="4">
        <v>1.25</v>
      </c>
      <c r="AP419" s="4">
        <f t="shared" si="1396"/>
        <v>2.5</v>
      </c>
      <c r="AQ419" s="38">
        <f t="shared" si="1266"/>
        <v>215.34461535886712</v>
      </c>
      <c r="AR419" s="38">
        <f t="shared" si="1178"/>
        <v>215.34461535886712</v>
      </c>
      <c r="AS419" s="38">
        <f t="shared" si="1179"/>
        <v>4.3584878994477556</v>
      </c>
      <c r="AT419" s="38">
        <f t="shared" si="1407"/>
        <v>215.3446153588668</v>
      </c>
      <c r="AU419" s="38">
        <f t="shared" si="1373"/>
        <v>1.0000000000000016</v>
      </c>
      <c r="AV419" s="38">
        <f t="shared" si="1249"/>
        <v>2.706482164766975</v>
      </c>
      <c r="AW419" s="4">
        <f t="shared" si="1230"/>
        <v>0</v>
      </c>
      <c r="AX419" s="4">
        <f t="shared" si="1298"/>
        <v>423.49262718866663</v>
      </c>
      <c r="AY419" s="4">
        <f t="shared" si="1267"/>
        <v>1</v>
      </c>
      <c r="AZ419" s="38">
        <f t="shared" si="1389"/>
        <v>582.82636074737741</v>
      </c>
      <c r="BA419" s="4">
        <f t="shared" si="1268"/>
        <v>0.46800000000000008</v>
      </c>
      <c r="BB419" s="4">
        <f t="shared" si="1269"/>
        <v>103.55665212644467</v>
      </c>
      <c r="BC419" s="4">
        <f t="shared" si="1270"/>
        <v>686.38301287382205</v>
      </c>
      <c r="BE419" s="4">
        <f t="shared" si="1408"/>
        <v>1.2464539007092199</v>
      </c>
      <c r="BF419" s="4">
        <f t="shared" si="1415"/>
        <v>590.86495267537066</v>
      </c>
      <c r="BH419" s="4">
        <f t="shared" si="1416"/>
        <v>559.00175497621922</v>
      </c>
      <c r="BI419" s="4">
        <f t="shared" si="1350"/>
        <v>0</v>
      </c>
      <c r="BJ419" s="4">
        <f t="shared" si="1417"/>
        <v>0</v>
      </c>
      <c r="BR419" s="4">
        <f t="shared" si="1271"/>
        <v>71.11999999999999</v>
      </c>
      <c r="BV419" s="9"/>
      <c r="BX419" s="9"/>
      <c r="BY419" s="9"/>
      <c r="BZ419" s="9">
        <f t="shared" si="1272"/>
        <v>71.11999999999999</v>
      </c>
      <c r="CA419" s="9">
        <f t="shared" si="1273"/>
        <v>77.279499999999985</v>
      </c>
      <c r="CB419" s="9">
        <f t="shared" si="1374"/>
        <v>1.4268566467933428</v>
      </c>
      <c r="CC419" s="40">
        <f t="shared" si="1299"/>
        <v>0</v>
      </c>
      <c r="CD419" s="9">
        <f t="shared" si="1274"/>
        <v>0</v>
      </c>
      <c r="CE419" s="9">
        <f t="shared" si="1275"/>
        <v>0</v>
      </c>
      <c r="CF419" s="9">
        <f t="shared" si="1276"/>
        <v>0.89777220146327208</v>
      </c>
      <c r="CG419" s="9">
        <f t="shared" si="1277"/>
        <v>0.68</v>
      </c>
      <c r="CH419" s="9">
        <f t="shared" si="1375"/>
        <v>1.656980327255414</v>
      </c>
      <c r="CI419" s="9">
        <f t="shared" si="1376"/>
        <v>2.3642733935501958</v>
      </c>
      <c r="CJ419" s="40">
        <v>1</v>
      </c>
      <c r="CK419" s="9">
        <f t="shared" si="1377"/>
        <v>239.98213339354899</v>
      </c>
      <c r="CM419" s="4">
        <f t="shared" si="1278"/>
        <v>0.55205944197966095</v>
      </c>
      <c r="CN419" s="4">
        <f t="shared" si="1279"/>
        <v>0.3406160978101801</v>
      </c>
      <c r="CO419" s="4">
        <f t="shared" si="1242"/>
        <v>0.39567942283543261</v>
      </c>
      <c r="CP419" s="4">
        <f t="shared" si="1280"/>
        <v>0.97421045534617501</v>
      </c>
      <c r="CQ419" s="4">
        <f t="shared" si="1189"/>
        <v>0.47564989032534455</v>
      </c>
      <c r="CR419" s="4">
        <f t="shared" si="1190"/>
        <v>0.49532268932934714</v>
      </c>
      <c r="CS419" s="4">
        <f t="shared" si="1243"/>
        <v>0.69730791094744238</v>
      </c>
      <c r="CT419" s="4">
        <f t="shared" si="1300"/>
        <v>0</v>
      </c>
      <c r="CU419" s="4">
        <f t="shared" ref="CU419:CV419" si="1442">CM419</f>
        <v>0.55205944197966095</v>
      </c>
      <c r="CV419" s="4">
        <f t="shared" si="1442"/>
        <v>0.3406160978101801</v>
      </c>
      <c r="CW419" s="4">
        <f t="shared" ref="CW419" si="1443">CP419</f>
        <v>0.97421045534617501</v>
      </c>
      <c r="CX419" s="4">
        <f t="shared" ref="CX419" si="1444">CS419</f>
        <v>0.69730791094744238</v>
      </c>
      <c r="CY419" s="4">
        <f t="shared" ref="CY419:CZ419" si="1445">CQ419</f>
        <v>0.47564989032534455</v>
      </c>
      <c r="CZ419" s="4">
        <f t="shared" si="1445"/>
        <v>0.49532268932934714</v>
      </c>
      <c r="DI419" s="4">
        <f t="shared" si="1285"/>
        <v>371.60199999999998</v>
      </c>
      <c r="DL419" s="4">
        <f t="shared" si="1166"/>
        <v>2.2546529017550049E-5</v>
      </c>
      <c r="DM419" s="4">
        <f t="shared" si="1313"/>
        <v>8.3153544113293236</v>
      </c>
      <c r="DN419" s="4">
        <f t="shared" si="1167"/>
        <v>0.28770159004621326</v>
      </c>
      <c r="DO419" s="4">
        <f t="shared" si="1168"/>
        <v>5.0519340097069563</v>
      </c>
      <c r="DP419" s="4">
        <f t="shared" si="1169"/>
        <v>6.8810495994762375</v>
      </c>
      <c r="DQ419" s="4">
        <f t="shared" si="1170"/>
        <v>7.5191156474869798</v>
      </c>
      <c r="DR419" s="38">
        <f t="shared" si="1183"/>
        <v>491.52350963092073</v>
      </c>
      <c r="DS419" s="4">
        <f t="shared" si="1382"/>
        <v>1.0001122984128716</v>
      </c>
      <c r="DT419" s="4">
        <f t="shared" si="1171"/>
        <v>2.1908902300206643</v>
      </c>
      <c r="DU419" s="4">
        <f t="shared" si="1390"/>
        <v>215.3446153588668</v>
      </c>
      <c r="DY419" s="4">
        <f t="shared" si="1331"/>
        <v>0.85</v>
      </c>
      <c r="DZ419" s="4">
        <f t="shared" si="1383"/>
        <v>0.90141843971631208</v>
      </c>
      <c r="EA419" s="4">
        <f t="shared" si="1184"/>
        <v>1</v>
      </c>
      <c r="EB419" s="4">
        <f t="shared" si="1384"/>
        <v>0.90141843971631208</v>
      </c>
      <c r="ED419" s="4">
        <f t="shared" si="1185"/>
        <v>472.00160316666512</v>
      </c>
      <c r="EE419" s="25">
        <f t="shared" si="1186"/>
        <v>213.16408180975441</v>
      </c>
      <c r="EG419" s="4">
        <f t="shared" si="1391"/>
        <v>0.76620567375886528</v>
      </c>
      <c r="EH419" s="4">
        <f t="shared" si="1187"/>
        <v>8.3153544113293236</v>
      </c>
      <c r="EK419" s="4">
        <f t="shared" si="1172"/>
        <v>78.464542697960056</v>
      </c>
      <c r="EL419" s="4">
        <f t="shared" si="1173"/>
        <v>2.1908902300206643</v>
      </c>
      <c r="EM419" s="4">
        <f t="shared" si="1174"/>
        <v>0.12199773533478737</v>
      </c>
      <c r="EP419" s="4">
        <f t="shared" si="1301"/>
        <v>0.12199773533478737</v>
      </c>
      <c r="EQ419" s="4">
        <f t="shared" si="1257"/>
        <v>0.28722146971271345</v>
      </c>
      <c r="ER419" s="4">
        <f t="shared" si="1314"/>
        <v>5.0485600253594702</v>
      </c>
      <c r="ES419" s="4">
        <f t="shared" si="1286"/>
        <v>6.8798163897573916</v>
      </c>
      <c r="ET419" s="4">
        <f t="shared" si="1315"/>
        <v>200.23695730203997</v>
      </c>
      <c r="EU419" s="4">
        <f t="shared" si="1316"/>
        <v>92.900499999999965</v>
      </c>
      <c r="EV419" s="4">
        <f t="shared" si="1385"/>
        <v>2.2546529017550043E-5</v>
      </c>
      <c r="EW419" s="4">
        <f t="shared" si="1287"/>
        <v>7.5193042221244717</v>
      </c>
      <c r="EX419" s="4">
        <f t="shared" si="1422"/>
        <v>491.46831851877437</v>
      </c>
      <c r="FG419" s="23">
        <f t="shared" si="1329"/>
        <v>0.6</v>
      </c>
      <c r="FH419" s="23">
        <f t="shared" si="1329"/>
        <v>0.6</v>
      </c>
      <c r="FI419" s="23">
        <f t="shared" si="1248"/>
        <v>0.8</v>
      </c>
      <c r="FJ419" s="23">
        <f t="shared" si="1330"/>
        <v>1</v>
      </c>
      <c r="FK419" s="23">
        <f t="shared" si="1330"/>
        <v>0.6</v>
      </c>
      <c r="FL419" s="23">
        <f t="shared" si="1330"/>
        <v>0.6</v>
      </c>
      <c r="FM419" s="23">
        <f t="shared" si="1195"/>
        <v>1</v>
      </c>
      <c r="FN419" s="23"/>
      <c r="FX419" s="4">
        <f t="shared" si="1386"/>
        <v>1</v>
      </c>
      <c r="FY419" s="4">
        <f t="shared" si="1429"/>
        <v>0.72369976359338062</v>
      </c>
      <c r="FZ419" s="4">
        <f t="shared" si="1387"/>
        <v>0</v>
      </c>
      <c r="GA419" s="4">
        <f t="shared" si="1388"/>
        <v>335.27957990698513</v>
      </c>
    </row>
    <row r="420" spans="1:183" ht="12" customHeight="1" x14ac:dyDescent="0.3">
      <c r="A420" s="25">
        <v>402</v>
      </c>
      <c r="B420" s="4" t="s">
        <v>605</v>
      </c>
      <c r="C420" s="4">
        <v>2016</v>
      </c>
      <c r="D420" s="4" t="s">
        <v>309</v>
      </c>
      <c r="E420" s="14" t="s">
        <v>677</v>
      </c>
      <c r="F420" s="7" t="s">
        <v>571</v>
      </c>
      <c r="G420" s="38">
        <f t="shared" si="1435"/>
        <v>931.0344827586207</v>
      </c>
      <c r="H420" s="38">
        <f>14.54*25.4</f>
        <v>369.31599999999997</v>
      </c>
      <c r="I420" s="4">
        <f t="shared" si="1288"/>
        <v>369.31599999999997</v>
      </c>
      <c r="J420" s="38">
        <f>8720/145</f>
        <v>60.137931034482762</v>
      </c>
      <c r="K420" s="38">
        <f t="shared" si="1430"/>
        <v>35.813999999999993</v>
      </c>
      <c r="L420" s="7">
        <f t="shared" si="1289"/>
        <v>10.312056737588653</v>
      </c>
      <c r="M420" s="7">
        <f t="shared" si="1290"/>
        <v>10.312056737588653</v>
      </c>
      <c r="N420" s="38">
        <f>21.8*25.4</f>
        <v>553.72</v>
      </c>
      <c r="O420" s="38">
        <f>2.55*25.4</f>
        <v>64.77</v>
      </c>
      <c r="P420" s="39">
        <f>3.26*25.4</f>
        <v>82.803999999999988</v>
      </c>
      <c r="Q420" s="7">
        <f t="shared" si="1291"/>
        <v>158.36900000000003</v>
      </c>
      <c r="R420" s="38">
        <v>3</v>
      </c>
      <c r="S420" s="4">
        <f t="shared" si="1361"/>
        <v>508</v>
      </c>
      <c r="T420" s="7">
        <f t="shared" si="1292"/>
        <v>2.3085106382978724</v>
      </c>
      <c r="U420" s="7">
        <f t="shared" si="1414"/>
        <v>2.3085106382978724</v>
      </c>
      <c r="V420" s="38">
        <v>3.8</v>
      </c>
      <c r="W420" s="4">
        <f t="shared" si="1293"/>
        <v>3.8</v>
      </c>
      <c r="X420" s="4">
        <f t="shared" si="1294"/>
        <v>4.8</v>
      </c>
      <c r="Y420" s="7">
        <f t="shared" si="1295"/>
        <v>78.464542697960056</v>
      </c>
      <c r="AB420" s="38">
        <f t="shared" si="1332"/>
        <v>320.68965517241384</v>
      </c>
      <c r="AC420" s="4">
        <v>46.5</v>
      </c>
      <c r="AD420" s="4">
        <f t="shared" si="1159"/>
        <v>0.66704150177213273</v>
      </c>
      <c r="AE420" s="38">
        <f t="shared" ref="AE420:AE421" si="1446">0.5*25.4</f>
        <v>12.7</v>
      </c>
      <c r="AF420" s="38">
        <v>4</v>
      </c>
      <c r="AG420" s="39">
        <f>8*25.4</f>
        <v>203.2</v>
      </c>
      <c r="AH420" s="39">
        <v>2</v>
      </c>
      <c r="AI420" s="39">
        <f t="shared" ref="AI420:AI421" si="1447">AH420-1</f>
        <v>1</v>
      </c>
      <c r="AJ420" s="7"/>
      <c r="AK420" s="4">
        <f t="shared" si="1297"/>
        <v>369.31599999999997</v>
      </c>
      <c r="AL420" s="4">
        <f t="shared" si="1175"/>
        <v>0.49977074736359473</v>
      </c>
      <c r="AM420" s="4">
        <f t="shared" si="1176"/>
        <v>182.1187376827082</v>
      </c>
      <c r="AN420" s="4">
        <f t="shared" si="1177"/>
        <v>0.74477303988995869</v>
      </c>
      <c r="AO420" s="4">
        <v>1.25</v>
      </c>
      <c r="AP420" s="4">
        <f t="shared" si="1396"/>
        <v>2.5</v>
      </c>
      <c r="AQ420" s="38">
        <f t="shared" si="1266"/>
        <v>211.83583679291482</v>
      </c>
      <c r="AR420" s="38">
        <f t="shared" si="1178"/>
        <v>211.83583679291482</v>
      </c>
      <c r="AS420" s="38">
        <f t="shared" si="1179"/>
        <v>4.3584878994477556</v>
      </c>
      <c r="AT420" s="38">
        <f t="shared" si="1407"/>
        <v>211.8358367929149</v>
      </c>
      <c r="AU420" s="38">
        <f t="shared" si="1373"/>
        <v>0.99999999999999956</v>
      </c>
      <c r="AV420" s="38">
        <f t="shared" si="1249"/>
        <v>2.5550695380031971</v>
      </c>
      <c r="AW420" s="4">
        <f t="shared" si="1230"/>
        <v>0</v>
      </c>
      <c r="AX420" s="4">
        <f t="shared" si="1298"/>
        <v>420.88740938641234</v>
      </c>
      <c r="AY420" s="4">
        <f t="shared" si="1267"/>
        <v>1</v>
      </c>
      <c r="AZ420" s="38">
        <f t="shared" si="1389"/>
        <v>541.25529364699378</v>
      </c>
      <c r="BA420" s="4">
        <f t="shared" si="1268"/>
        <v>0.46800000000000008</v>
      </c>
      <c r="BB420" s="4">
        <f t="shared" si="1269"/>
        <v>102.91959821725945</v>
      </c>
      <c r="BC420" s="4">
        <f t="shared" si="1270"/>
        <v>644.17489186425325</v>
      </c>
      <c r="BE420" s="4">
        <f t="shared" si="1408"/>
        <v>1.3878009842547159</v>
      </c>
      <c r="BF420" s="4">
        <f t="shared" si="1415"/>
        <v>655.80781580778012</v>
      </c>
      <c r="BH420" s="4">
        <f t="shared" si="1416"/>
        <v>519.1300178167171</v>
      </c>
      <c r="BI420" s="4">
        <f t="shared" si="1350"/>
        <v>0</v>
      </c>
      <c r="BJ420" s="4">
        <f t="shared" si="1417"/>
        <v>0</v>
      </c>
      <c r="BR420" s="4">
        <f t="shared" si="1271"/>
        <v>64.77</v>
      </c>
      <c r="BV420" s="9"/>
      <c r="BX420" s="9"/>
      <c r="BY420" s="9"/>
      <c r="BZ420" s="9">
        <f t="shared" si="1272"/>
        <v>64.77</v>
      </c>
      <c r="CA420" s="9">
        <f t="shared" si="1273"/>
        <v>79.184500000000014</v>
      </c>
      <c r="CB420" s="9">
        <f t="shared" si="1374"/>
        <v>1.3859592972879591</v>
      </c>
      <c r="CC420" s="40">
        <f t="shared" si="1299"/>
        <v>20</v>
      </c>
      <c r="CD420" s="9">
        <f t="shared" si="1274"/>
        <v>4.6418331170061958E-2</v>
      </c>
      <c r="CE420" s="9">
        <f t="shared" si="1275"/>
        <v>0.72836662340123914</v>
      </c>
      <c r="CF420" s="9">
        <f t="shared" si="1276"/>
        <v>0.89777220146327208</v>
      </c>
      <c r="CG420" s="9">
        <f t="shared" si="1277"/>
        <v>0.68</v>
      </c>
      <c r="CH420" s="9">
        <f t="shared" si="1375"/>
        <v>1.656980327255414</v>
      </c>
      <c r="CI420" s="9">
        <f t="shared" si="1376"/>
        <v>3.503396455988192</v>
      </c>
      <c r="CJ420" s="40">
        <v>1</v>
      </c>
      <c r="CK420" s="9">
        <f t="shared" si="1377"/>
        <v>354.71267947296053</v>
      </c>
      <c r="CM420" s="4">
        <f t="shared" si="1278"/>
        <v>0.7619369171435395</v>
      </c>
      <c r="CN420" s="4">
        <f t="shared" si="1279"/>
        <v>0.49783010673441874</v>
      </c>
      <c r="CO420" s="4">
        <f t="shared" si="1242"/>
        <v>0.48899944075446833</v>
      </c>
      <c r="CP420" s="4">
        <f t="shared" si="1280"/>
        <v>0.90408286404901339</v>
      </c>
      <c r="CQ420" s="4">
        <f t="shared" si="1189"/>
        <v>0.66704150177213273</v>
      </c>
      <c r="CR420" s="4">
        <f t="shared" si="1190"/>
        <v>0.69404556824261776</v>
      </c>
      <c r="CS420" s="4">
        <f t="shared" si="1243"/>
        <v>0.7718247303008392</v>
      </c>
      <c r="CT420" s="4">
        <f t="shared" si="1300"/>
        <v>4</v>
      </c>
      <c r="DA420" s="4">
        <f t="shared" ref="DA420:DB421" si="1448">CM420</f>
        <v>0.7619369171435395</v>
      </c>
      <c r="DB420" s="4">
        <f t="shared" si="1448"/>
        <v>0.49783010673441874</v>
      </c>
      <c r="DC420" s="4">
        <f t="shared" ref="DC420:DC421" si="1449">CP420</f>
        <v>0.90408286404901339</v>
      </c>
      <c r="DD420" s="4">
        <f t="shared" ref="DD420:DD421" si="1450">CS420</f>
        <v>0.7718247303008392</v>
      </c>
      <c r="DE420" s="4">
        <f t="shared" ref="DE420:DF421" si="1451">CQ420</f>
        <v>0.66704150177213273</v>
      </c>
      <c r="DF420" s="4">
        <f t="shared" si="1451"/>
        <v>0.69404556824261776</v>
      </c>
      <c r="DI420" s="4">
        <f t="shared" si="1285"/>
        <v>369.31599999999997</v>
      </c>
      <c r="DL420" s="4">
        <f t="shared" si="1166"/>
        <v>2.2407828565630739E-5</v>
      </c>
      <c r="DM420" s="4">
        <f t="shared" si="1313"/>
        <v>8.1586127714079559</v>
      </c>
      <c r="DN420" s="4">
        <f t="shared" si="1167"/>
        <v>0.28301384259145501</v>
      </c>
      <c r="DO420" s="4">
        <f t="shared" si="1168"/>
        <v>4.9242420460742977</v>
      </c>
      <c r="DP420" s="4">
        <f t="shared" si="1169"/>
        <v>6.7395045997114531</v>
      </c>
      <c r="DQ420" s="4">
        <f t="shared" si="1170"/>
        <v>7.4031824594414859</v>
      </c>
      <c r="DR420" s="38">
        <f t="shared" si="1183"/>
        <v>480.76417182504525</v>
      </c>
      <c r="DS420" s="4">
        <f t="shared" si="1382"/>
        <v>1.0001113002703272</v>
      </c>
      <c r="DT420" s="4">
        <f t="shared" si="1171"/>
        <v>2.1908902300206643</v>
      </c>
      <c r="DU420" s="4">
        <f t="shared" si="1390"/>
        <v>211.8358367929149</v>
      </c>
      <c r="DY420" s="4">
        <f t="shared" si="1331"/>
        <v>0.85</v>
      </c>
      <c r="DZ420" s="4">
        <f t="shared" si="1383"/>
        <v>0.91914893617021276</v>
      </c>
      <c r="EA420" s="4">
        <f t="shared" si="1184"/>
        <v>0.9995510789195714</v>
      </c>
      <c r="EB420" s="4">
        <f t="shared" si="1384"/>
        <v>0.91873631083671248</v>
      </c>
      <c r="ED420" s="4">
        <f t="shared" si="1185"/>
        <v>462.0585014099683</v>
      </c>
      <c r="EE420" s="25">
        <f t="shared" si="1186"/>
        <v>209.66226801364556</v>
      </c>
      <c r="EG420" s="4">
        <f t="shared" si="1391"/>
        <v>0.78092586421120558</v>
      </c>
      <c r="EH420" s="4">
        <f t="shared" si="1187"/>
        <v>8.1586127714079559</v>
      </c>
      <c r="EK420" s="4">
        <f t="shared" si="1172"/>
        <v>78.464542697960056</v>
      </c>
      <c r="EL420" s="4">
        <f t="shared" si="1173"/>
        <v>2.1908902300206643</v>
      </c>
      <c r="EM420" s="4">
        <f t="shared" si="1174"/>
        <v>0.12000993063336024</v>
      </c>
      <c r="EP420" s="4">
        <f t="shared" si="1301"/>
        <v>0.12000993063336024</v>
      </c>
      <c r="EQ420" s="4">
        <f t="shared" si="1257"/>
        <v>0.28254154523477981</v>
      </c>
      <c r="ER420" s="4">
        <f t="shared" si="1314"/>
        <v>4.9209533420740552</v>
      </c>
      <c r="ES420" s="4">
        <f t="shared" si="1286"/>
        <v>6.7383085441162534</v>
      </c>
      <c r="ET420" s="4">
        <f t="shared" si="1315"/>
        <v>198.52245730203992</v>
      </c>
      <c r="EU420" s="4">
        <f t="shared" si="1316"/>
        <v>92.329000000000008</v>
      </c>
      <c r="EV420" s="4">
        <f t="shared" si="1385"/>
        <v>2.2407828565630742E-5</v>
      </c>
      <c r="EW420" s="4">
        <f t="shared" si="1287"/>
        <v>7.4033606202043263</v>
      </c>
      <c r="EX420" s="4">
        <f t="shared" si="1422"/>
        <v>480.71066859768115</v>
      </c>
      <c r="FG420" s="23">
        <f t="shared" si="1329"/>
        <v>0.8</v>
      </c>
      <c r="FH420" s="23">
        <f t="shared" si="1329"/>
        <v>0.6</v>
      </c>
      <c r="FI420" s="23">
        <f t="shared" si="1248"/>
        <v>0.8</v>
      </c>
      <c r="FJ420" s="23">
        <f t="shared" si="1330"/>
        <v>1</v>
      </c>
      <c r="FK420" s="23">
        <f t="shared" si="1330"/>
        <v>0.8</v>
      </c>
      <c r="FL420" s="23">
        <f t="shared" si="1330"/>
        <v>0.8</v>
      </c>
      <c r="FM420" s="23">
        <f t="shared" si="1195"/>
        <v>1</v>
      </c>
      <c r="FN420" s="23"/>
      <c r="FX420" s="4">
        <f t="shared" si="1386"/>
        <v>1</v>
      </c>
      <c r="FY420" s="4">
        <f t="shared" si="1429"/>
        <v>0.58038924223974031</v>
      </c>
      <c r="FZ420" s="4">
        <f t="shared" si="1387"/>
        <v>0.16766426906761905</v>
      </c>
      <c r="GA420" s="4">
        <f t="shared" si="1388"/>
        <v>415.49543903240379</v>
      </c>
    </row>
    <row r="421" spans="1:183" ht="12" customHeight="1" x14ac:dyDescent="0.3">
      <c r="A421" s="25">
        <v>403</v>
      </c>
      <c r="B421" s="4" t="s">
        <v>605</v>
      </c>
      <c r="C421" s="4">
        <v>2016</v>
      </c>
      <c r="D421" s="4" t="s">
        <v>309</v>
      </c>
      <c r="E421" s="14" t="s">
        <v>677</v>
      </c>
      <c r="F421" s="7" t="s">
        <v>572</v>
      </c>
      <c r="G421" s="38">
        <f t="shared" si="1435"/>
        <v>931.0344827586207</v>
      </c>
      <c r="H421" s="38">
        <f>14.92*25.4</f>
        <v>378.96799999999996</v>
      </c>
      <c r="I421" s="4">
        <f t="shared" si="1288"/>
        <v>378.96799999999996</v>
      </c>
      <c r="J421" s="38">
        <f>8720/145</f>
        <v>60.137931034482762</v>
      </c>
      <c r="K421" s="38">
        <f t="shared" si="1430"/>
        <v>35.813999999999993</v>
      </c>
      <c r="L421" s="7">
        <f t="shared" si="1289"/>
        <v>10.581560283687944</v>
      </c>
      <c r="M421" s="7">
        <f t="shared" si="1290"/>
        <v>10.581560283687944</v>
      </c>
      <c r="N421" s="38">
        <f>22.2*25.4</f>
        <v>563.88</v>
      </c>
      <c r="O421" s="38">
        <f>2.8*25.4</f>
        <v>71.11999999999999</v>
      </c>
      <c r="P421" s="39">
        <f>3.3*25.4</f>
        <v>83.82</v>
      </c>
      <c r="Q421" s="7">
        <f t="shared" si="1291"/>
        <v>157.09899999999999</v>
      </c>
      <c r="R421" s="38">
        <v>3</v>
      </c>
      <c r="S421" s="4">
        <f t="shared" si="1361"/>
        <v>508</v>
      </c>
      <c r="T421" s="7">
        <f t="shared" si="1292"/>
        <v>2.4858156028368796</v>
      </c>
      <c r="U421" s="7">
        <f t="shared" si="1414"/>
        <v>2.4858156028368796</v>
      </c>
      <c r="V421" s="38">
        <v>3.8</v>
      </c>
      <c r="W421" s="4">
        <f t="shared" si="1293"/>
        <v>3.8</v>
      </c>
      <c r="X421" s="4">
        <f t="shared" si="1294"/>
        <v>4.8</v>
      </c>
      <c r="Y421" s="7">
        <f t="shared" si="1295"/>
        <v>78.464542697960056</v>
      </c>
      <c r="AB421" s="38">
        <f t="shared" si="1332"/>
        <v>370.34482758620692</v>
      </c>
      <c r="AC421" s="4">
        <v>53.7</v>
      </c>
      <c r="AD421" s="4">
        <f t="shared" ref="AD421:AD449" si="1452">CQ421</f>
        <v>0.70702684009784134</v>
      </c>
      <c r="AE421" s="38">
        <f t="shared" si="1446"/>
        <v>12.7</v>
      </c>
      <c r="AF421" s="38">
        <v>12</v>
      </c>
      <c r="AG421" s="39">
        <f>4*25.4</f>
        <v>101.6</v>
      </c>
      <c r="AH421" s="39">
        <v>3</v>
      </c>
      <c r="AI421" s="39">
        <f t="shared" si="1447"/>
        <v>2</v>
      </c>
      <c r="AJ421" s="7"/>
      <c r="AK421" s="4">
        <f t="shared" si="1297"/>
        <v>378.96799999999996</v>
      </c>
      <c r="AL421" s="4">
        <f t="shared" si="1175"/>
        <v>0.49597855227882043</v>
      </c>
      <c r="AM421" s="4">
        <f t="shared" si="1176"/>
        <v>189.30463885208755</v>
      </c>
      <c r="AN421" s="4">
        <f t="shared" si="1177"/>
        <v>0.74698391420911525</v>
      </c>
      <c r="AO421" s="4">
        <v>1.25</v>
      </c>
      <c r="AP421" s="4">
        <f t="shared" si="1396"/>
        <v>2.5</v>
      </c>
      <c r="AQ421" s="38">
        <f t="shared" si="1266"/>
        <v>219.1721784510718</v>
      </c>
      <c r="AR421" s="38">
        <f t="shared" si="1178"/>
        <v>219.1721784510718</v>
      </c>
      <c r="AS421" s="38">
        <f t="shared" si="1179"/>
        <v>4.3584878994477556</v>
      </c>
      <c r="AT421" s="38">
        <f t="shared" si="1407"/>
        <v>219.1721784510718</v>
      </c>
      <c r="AU421" s="38">
        <f t="shared" si="1373"/>
        <v>1</v>
      </c>
      <c r="AV421" s="38">
        <f t="shared" si="1249"/>
        <v>2.6592168990896266</v>
      </c>
      <c r="AW421" s="4">
        <f t="shared" si="1230"/>
        <v>0</v>
      </c>
      <c r="AX421" s="4">
        <f t="shared" si="1298"/>
        <v>431.88721788481928</v>
      </c>
      <c r="AY421" s="4">
        <f t="shared" si="1267"/>
        <v>1</v>
      </c>
      <c r="AZ421" s="38">
        <f t="shared" si="1389"/>
        <v>582.82636074737741</v>
      </c>
      <c r="BA421" s="4">
        <f t="shared" si="1268"/>
        <v>0.46800000000000008</v>
      </c>
      <c r="BB421" s="4">
        <f t="shared" si="1269"/>
        <v>105.60938138937489</v>
      </c>
      <c r="BC421" s="4">
        <f t="shared" si="1270"/>
        <v>688.43574213675231</v>
      </c>
      <c r="BE421" s="4">
        <f t="shared" si="1408"/>
        <v>1.5</v>
      </c>
      <c r="BF421" s="4">
        <f t="shared" si="1415"/>
        <v>718.23249590348019</v>
      </c>
      <c r="BH421" s="4">
        <f t="shared" si="1416"/>
        <v>559.00175497621922</v>
      </c>
      <c r="BI421" s="4">
        <f t="shared" si="1350"/>
        <v>0</v>
      </c>
      <c r="BJ421" s="4">
        <f t="shared" si="1417"/>
        <v>0</v>
      </c>
      <c r="BR421" s="4">
        <f t="shared" si="1271"/>
        <v>71.11999999999999</v>
      </c>
      <c r="BV421" s="9"/>
      <c r="BX421" s="9"/>
      <c r="BY421" s="9"/>
      <c r="BZ421" s="9">
        <f t="shared" si="1272"/>
        <v>71.11999999999999</v>
      </c>
      <c r="CA421" s="9">
        <f t="shared" si="1273"/>
        <v>78.549499999999995</v>
      </c>
      <c r="CB421" s="9">
        <f t="shared" si="1374"/>
        <v>1.4303496396121349</v>
      </c>
      <c r="CC421" s="40">
        <f t="shared" si="1299"/>
        <v>20</v>
      </c>
      <c r="CD421" s="9">
        <f t="shared" si="1274"/>
        <v>0.05</v>
      </c>
      <c r="CE421" s="9">
        <f t="shared" si="1275"/>
        <v>0.8</v>
      </c>
      <c r="CF421" s="9">
        <f t="shared" si="1276"/>
        <v>0.89777220146327208</v>
      </c>
      <c r="CG421" s="9">
        <f t="shared" si="1277"/>
        <v>0.68</v>
      </c>
      <c r="CH421" s="9">
        <f t="shared" si="1375"/>
        <v>1.656980327255414</v>
      </c>
      <c r="CI421" s="9">
        <f t="shared" si="1376"/>
        <v>3.6956454757385102</v>
      </c>
      <c r="CJ421" s="40">
        <v>1</v>
      </c>
      <c r="CK421" s="9">
        <f t="shared" si="1377"/>
        <v>378.16151009897328</v>
      </c>
      <c r="CM421" s="4">
        <f t="shared" si="1278"/>
        <v>0.85750356169367992</v>
      </c>
      <c r="CN421" s="4">
        <f t="shared" si="1279"/>
        <v>0.5379511912567736</v>
      </c>
      <c r="CO421" s="4">
        <f t="shared" si="1242"/>
        <v>0.51563362796658507</v>
      </c>
      <c r="CP421" s="4">
        <f t="shared" si="1280"/>
        <v>0.97932977761083995</v>
      </c>
      <c r="CQ421" s="4">
        <f t="shared" si="1189"/>
        <v>0.70702684009784134</v>
      </c>
      <c r="CR421" s="4">
        <f t="shared" si="1190"/>
        <v>0.73678053201601534</v>
      </c>
      <c r="CS421" s="4">
        <f t="shared" si="1243"/>
        <v>0.8346761269586771</v>
      </c>
      <c r="CT421" s="4">
        <f t="shared" si="1300"/>
        <v>12</v>
      </c>
      <c r="DA421" s="4">
        <f t="shared" si="1448"/>
        <v>0.85750356169367992</v>
      </c>
      <c r="DB421" s="4">
        <f t="shared" si="1448"/>
        <v>0.5379511912567736</v>
      </c>
      <c r="DC421" s="4">
        <f t="shared" si="1449"/>
        <v>0.97932977761083995</v>
      </c>
      <c r="DD421" s="4">
        <f t="shared" si="1450"/>
        <v>0.8346761269586771</v>
      </c>
      <c r="DE421" s="4">
        <f t="shared" si="1451"/>
        <v>0.70702684009784134</v>
      </c>
      <c r="DF421" s="4">
        <f t="shared" si="1451"/>
        <v>0.73678053201601534</v>
      </c>
      <c r="DI421" s="4">
        <f t="shared" si="1285"/>
        <v>378.96799999999996</v>
      </c>
      <c r="DL421" s="4">
        <f t="shared" ref="DL421:DL449" si="1453">H421/4/(1-0.3*(J421/30)^0.5)/200000/K421</f>
        <v>2.2993452695956715E-5</v>
      </c>
      <c r="DM421" s="4">
        <f t="shared" si="1313"/>
        <v>8.9983064543138589</v>
      </c>
      <c r="DN421" s="4">
        <f t="shared" ref="DN421:DN449" si="1454">DU421*Y421/257/J421/V421</f>
        <v>0.29281523538066689</v>
      </c>
      <c r="DO421" s="4">
        <f t="shared" ref="DO421:DO449" si="1455">DM421*DN421^0.4</f>
        <v>5.505518770359167</v>
      </c>
      <c r="DP421" s="4">
        <f t="shared" ref="DP421:DP449" si="1456">MIN(DM421, DM421/1.4*(1-DN421^1.4)/(1-DN421))</f>
        <v>7.4603727031590674</v>
      </c>
      <c r="DQ421" s="4">
        <f t="shared" ref="DQ421:DQ449" si="1457">MAX(DM421/2, (4-DL421*(8*Y421*(DO421-DP421)+6*H421*DP421))/(4+DL421*H421*DM421)*DM421)</f>
        <v>8.026987180468911</v>
      </c>
      <c r="DR421" s="38">
        <f t="shared" si="1183"/>
        <v>523.80589615941176</v>
      </c>
      <c r="DS421" s="4">
        <f t="shared" si="1382"/>
        <v>1.0001161634265323</v>
      </c>
      <c r="DT421" s="4">
        <f t="shared" ref="DT421:DT449" si="1458">Y421/K421</f>
        <v>2.1908902300206643</v>
      </c>
      <c r="DU421" s="4">
        <f t="shared" si="1390"/>
        <v>219.1721784510718</v>
      </c>
      <c r="DY421" s="4">
        <f t="shared" si="1331"/>
        <v>0.85</v>
      </c>
      <c r="DZ421" s="4">
        <f t="shared" si="1383"/>
        <v>0.90141843971631208</v>
      </c>
      <c r="EA421" s="4">
        <f t="shared" si="1184"/>
        <v>0.92410215783914285</v>
      </c>
      <c r="EB421" s="4">
        <f t="shared" si="1384"/>
        <v>0.83300272525783725</v>
      </c>
      <c r="ED421" s="4">
        <f t="shared" si="1185"/>
        <v>502.65284096588584</v>
      </c>
      <c r="EE421" s="25">
        <f t="shared" si="1186"/>
        <v>217.00447437362462</v>
      </c>
      <c r="EG421" s="4">
        <f t="shared" si="1391"/>
        <v>0.70805231646916167</v>
      </c>
      <c r="EH421" s="4">
        <f t="shared" si="1187"/>
        <v>8.9983064543138589</v>
      </c>
      <c r="EK421" s="4">
        <f t="shared" ref="EK421:EK449" si="1459">EL421*K421</f>
        <v>78.464542697960056</v>
      </c>
      <c r="EL421" s="4">
        <f t="shared" ref="EL421:EL449" si="1460">X421^0.5</f>
        <v>2.1908902300206643</v>
      </c>
      <c r="EM421" s="4">
        <f t="shared" ref="EM421:EM449" si="1461">MIN(DU421)/(4700*J421^0.5)/W421*EK421</f>
        <v>0.12416613888795661</v>
      </c>
      <c r="EP421" s="4">
        <f t="shared" si="1301"/>
        <v>0.12416613888795661</v>
      </c>
      <c r="EQ421" s="4">
        <f t="shared" si="1257"/>
        <v>0.29232658132615785</v>
      </c>
      <c r="ER421" s="4">
        <f t="shared" si="1314"/>
        <v>5.5018418549203876</v>
      </c>
      <c r="ES421" s="4">
        <f t="shared" si="1286"/>
        <v>7.4590215919052358</v>
      </c>
      <c r="ET421" s="4">
        <f t="shared" si="1315"/>
        <v>205.76145730203996</v>
      </c>
      <c r="EU421" s="4">
        <f t="shared" si="1316"/>
        <v>94.741999999999962</v>
      </c>
      <c r="EV421" s="4">
        <f t="shared" si="1385"/>
        <v>2.2993452695956704E-5</v>
      </c>
      <c r="EW421" s="4">
        <f t="shared" si="1287"/>
        <v>8.0272170994784275</v>
      </c>
      <c r="EX421" s="4">
        <f t="shared" si="1422"/>
        <v>523.74505613906126</v>
      </c>
      <c r="FG421" s="23">
        <f t="shared" si="1329"/>
        <v>1</v>
      </c>
      <c r="FH421" s="23">
        <f t="shared" si="1329"/>
        <v>0.6</v>
      </c>
      <c r="FI421" s="23">
        <f t="shared" si="1248"/>
        <v>1</v>
      </c>
      <c r="FJ421" s="23">
        <f t="shared" si="1330"/>
        <v>1</v>
      </c>
      <c r="FK421" s="23">
        <f t="shared" si="1330"/>
        <v>0.8</v>
      </c>
      <c r="FL421" s="23">
        <f t="shared" si="1330"/>
        <v>0.8</v>
      </c>
      <c r="FM421" s="23">
        <f t="shared" si="1195"/>
        <v>1</v>
      </c>
      <c r="FN421" s="23"/>
      <c r="FX421" s="4">
        <f t="shared" si="1386"/>
        <v>1</v>
      </c>
      <c r="FY421" s="4">
        <f t="shared" si="1429"/>
        <v>0.55770140699820026</v>
      </c>
      <c r="FZ421" s="4">
        <f t="shared" si="1387"/>
        <v>0.25149640360142861</v>
      </c>
      <c r="GA421" s="4">
        <f t="shared" si="1388"/>
        <v>443.6988379380615</v>
      </c>
    </row>
    <row r="422" spans="1:183" ht="12" customHeight="1" x14ac:dyDescent="0.3">
      <c r="A422" s="25">
        <v>404</v>
      </c>
      <c r="B422" s="4" t="s">
        <v>605</v>
      </c>
      <c r="C422" s="4">
        <v>2016</v>
      </c>
      <c r="D422" s="4" t="s">
        <v>309</v>
      </c>
      <c r="E422" s="14" t="s">
        <v>677</v>
      </c>
      <c r="F422" s="48" t="s">
        <v>573</v>
      </c>
      <c r="G422" s="38">
        <f>115.9/0.145</f>
        <v>799.31034482758628</v>
      </c>
      <c r="H422" s="38">
        <f>9.69*25.4</f>
        <v>246.12599999999998</v>
      </c>
      <c r="I422" s="4">
        <f t="shared" si="1288"/>
        <v>246.12599999999998</v>
      </c>
      <c r="J422" s="38">
        <f>8800/145</f>
        <v>60.689655172413794</v>
      </c>
      <c r="K422" s="38">
        <f t="shared" si="1401"/>
        <v>25.4</v>
      </c>
      <c r="L422" s="7">
        <f t="shared" si="1289"/>
        <v>9.69</v>
      </c>
      <c r="M422" s="7">
        <f t="shared" si="1290"/>
        <v>9.69</v>
      </c>
      <c r="N422" s="38">
        <f>16.9*25.4</f>
        <v>429.25999999999993</v>
      </c>
      <c r="O422" s="38">
        <f>2.5*25.4</f>
        <v>63.5</v>
      </c>
      <c r="P422" s="39">
        <f>2.95*25.4</f>
        <v>74.930000000000007</v>
      </c>
      <c r="Q422" s="7">
        <f t="shared" si="1291"/>
        <v>251.45999999999992</v>
      </c>
      <c r="R422" s="38">
        <v>2</v>
      </c>
      <c r="S422" s="4">
        <f t="shared" si="1361"/>
        <v>508</v>
      </c>
      <c r="T422" s="7">
        <f t="shared" si="1292"/>
        <v>3</v>
      </c>
      <c r="U422" s="7">
        <f t="shared" si="1414"/>
        <v>3</v>
      </c>
      <c r="V422" s="38">
        <v>12.9</v>
      </c>
      <c r="W422" s="4">
        <f t="shared" si="1293"/>
        <v>12.9</v>
      </c>
      <c r="X422" s="4">
        <f t="shared" si="1294"/>
        <v>13.9</v>
      </c>
      <c r="Y422" s="7">
        <f t="shared" si="1295"/>
        <v>94.698067562120812</v>
      </c>
      <c r="AB422" s="38">
        <f t="shared" si="1332"/>
        <v>743.44827586206895</v>
      </c>
      <c r="AC422" s="4">
        <v>107.8</v>
      </c>
      <c r="AD422" s="4">
        <f t="shared" si="1452"/>
        <v>1.0814969925658282</v>
      </c>
      <c r="AE422" s="38"/>
      <c r="AF422" s="38"/>
      <c r="AG422" s="39">
        <v>1</v>
      </c>
      <c r="AH422" s="39"/>
      <c r="AI422" s="39"/>
      <c r="AJ422" s="7"/>
      <c r="AK422" s="4">
        <f t="shared" si="1297"/>
        <v>246.12599999999998</v>
      </c>
      <c r="AL422" s="4">
        <f t="shared" ref="AL422:AL449" si="1462">IF(H422*3&gt;Q422+K422, N422, (O422+K422/2)*2+1.5*H422*(2*R422-2))*(3*H422)/(9*H422^2)</f>
        <v>0.58135534915720666</v>
      </c>
      <c r="AM422" s="4">
        <f t="shared" ref="AM422:AM449" si="1463">MIN(10*J422^0.5*H422^1.5,100*3.9*J422^0.5*H422^(5/3))/(PI()/4*K422^2)/R422</f>
        <v>296.82895641194636</v>
      </c>
      <c r="AN422" s="4">
        <f t="shared" ref="AN422:AN449" si="1464">MIN(0.7+0.3*(MIN(O422,S422)+0.5*K422)/1.5/H422,1)</f>
        <v>0.76191950464396285</v>
      </c>
      <c r="AO422" s="4">
        <v>1.25</v>
      </c>
      <c r="AP422" s="4">
        <f t="shared" si="1396"/>
        <v>2.5</v>
      </c>
      <c r="AQ422" s="38">
        <f t="shared" si="1266"/>
        <v>410.87247777176111</v>
      </c>
      <c r="AR422" s="38">
        <f t="shared" ref="AR422:AR449" si="1465">AQ422</f>
        <v>410.87247777176111</v>
      </c>
      <c r="AS422" s="38">
        <f t="shared" ref="AS422:AS449" si="1466">IF(J422&lt;50, 0.3*J422^(2/3), 2.12*LN(1+0.1*(J422+8)))</f>
        <v>4.3734044077759826</v>
      </c>
      <c r="AT422" s="38">
        <f t="shared" si="1407"/>
        <v>410.87247777176123</v>
      </c>
      <c r="AU422" s="38">
        <f t="shared" si="1373"/>
        <v>0.99999999999999978</v>
      </c>
      <c r="AV422" s="38">
        <f t="shared" si="1249"/>
        <v>3.183125226035874</v>
      </c>
      <c r="AW422" s="4">
        <f t="shared" si="1230"/>
        <v>0</v>
      </c>
      <c r="AX422" s="4">
        <f t="shared" si="1298"/>
        <v>397.30818403784269</v>
      </c>
      <c r="AY422" s="4">
        <f t="shared" si="1267"/>
        <v>1</v>
      </c>
      <c r="AZ422" s="38">
        <f t="shared" si="1389"/>
        <v>1307.8585486791571</v>
      </c>
      <c r="BA422" s="4">
        <f t="shared" si="1268"/>
        <v>0.3</v>
      </c>
      <c r="BB422" s="4">
        <f t="shared" si="1269"/>
        <v>62.278057847931834</v>
      </c>
      <c r="BC422" s="4">
        <f t="shared" si="1270"/>
        <v>1370.136606527089</v>
      </c>
      <c r="BE422" s="4">
        <f t="shared" si="1408"/>
        <v>1.375</v>
      </c>
      <c r="BF422" s="4">
        <f t="shared" si="1415"/>
        <v>632.74249691732609</v>
      </c>
      <c r="BH422" s="4">
        <f t="shared" si="1416"/>
        <v>1254.3962888617332</v>
      </c>
      <c r="BI422" s="4">
        <f t="shared" si="1350"/>
        <v>0</v>
      </c>
      <c r="BJ422" s="4">
        <f t="shared" si="1417"/>
        <v>0</v>
      </c>
      <c r="BR422" s="4">
        <f t="shared" si="1271"/>
        <v>63.5</v>
      </c>
      <c r="BV422" s="9"/>
      <c r="BX422" s="9"/>
      <c r="BY422" s="9"/>
      <c r="BZ422" s="9">
        <f t="shared" si="1272"/>
        <v>63.5</v>
      </c>
      <c r="CA422" s="9">
        <f t="shared" si="1273"/>
        <v>125.72999999999996</v>
      </c>
      <c r="CB422" s="9">
        <f t="shared" si="1374"/>
        <v>1.7517405482385959</v>
      </c>
      <c r="CC422" s="40">
        <f t="shared" si="1299"/>
        <v>0</v>
      </c>
      <c r="CD422" s="9">
        <f t="shared" si="1274"/>
        <v>0</v>
      </c>
      <c r="CE422" s="9">
        <f t="shared" si="1275"/>
        <v>0</v>
      </c>
      <c r="CF422" s="9">
        <f t="shared" si="1276"/>
        <v>0.99524931562137331</v>
      </c>
      <c r="CG422" s="9">
        <f t="shared" si="1277"/>
        <v>0.68048275862068963</v>
      </c>
      <c r="CH422" s="9">
        <f t="shared" si="1375"/>
        <v>1.8466066401443861</v>
      </c>
      <c r="CI422" s="9">
        <f t="shared" si="1376"/>
        <v>3.2347757281875587</v>
      </c>
      <c r="CJ422" s="40">
        <v>1</v>
      </c>
      <c r="CK422" s="9">
        <f t="shared" si="1377"/>
        <v>319.46645091580331</v>
      </c>
      <c r="CM422" s="4">
        <f t="shared" si="1278"/>
        <v>1.8712130928348991</v>
      </c>
      <c r="CN422" s="4">
        <f t="shared" si="1279"/>
        <v>0.54260887003559544</v>
      </c>
      <c r="CO422" s="4">
        <f t="shared" si="1242"/>
        <v>1.1749618201465732</v>
      </c>
      <c r="CP422" s="4">
        <f t="shared" si="1280"/>
        <v>2.3271560244615728</v>
      </c>
      <c r="CQ422" s="4">
        <f t="shared" si="1189"/>
        <v>1.0814969925658282</v>
      </c>
      <c r="CR422" s="4">
        <f t="shared" si="1190"/>
        <v>1.0734511207027237</v>
      </c>
      <c r="CS422" s="4">
        <f t="shared" si="1243"/>
        <v>1.378337467570502</v>
      </c>
      <c r="CT422" s="4">
        <f t="shared" si="1300"/>
        <v>0</v>
      </c>
      <c r="CU422" s="4">
        <f t="shared" ref="CU422:CV423" si="1467">CM422</f>
        <v>1.8712130928348991</v>
      </c>
      <c r="CV422" s="4">
        <f t="shared" si="1467"/>
        <v>0.54260887003559544</v>
      </c>
      <c r="CW422" s="4">
        <f t="shared" ref="CW422:CW423" si="1468">CP422</f>
        <v>2.3271560244615728</v>
      </c>
      <c r="CX422" s="4">
        <f t="shared" ref="CX422:CX423" si="1469">CS422</f>
        <v>1.378337467570502</v>
      </c>
      <c r="CY422" s="4">
        <f t="shared" ref="CY422:CZ423" si="1470">CQ422</f>
        <v>1.0814969925658282</v>
      </c>
      <c r="CZ422" s="4">
        <f t="shared" si="1470"/>
        <v>1.0734511207027237</v>
      </c>
      <c r="DI422" s="4">
        <f t="shared" si="1285"/>
        <v>246.12599999999998</v>
      </c>
      <c r="DL422" s="4">
        <f t="shared" si="1453"/>
        <v>2.1127512369735255E-5</v>
      </c>
      <c r="DM422" s="4">
        <f t="shared" si="1313"/>
        <v>9.8430311725779873</v>
      </c>
      <c r="DN422" s="4">
        <f t="shared" si="1454"/>
        <v>0.19337960299149198</v>
      </c>
      <c r="DO422" s="4">
        <f t="shared" si="1455"/>
        <v>5.1014440303118125</v>
      </c>
      <c r="DP422" s="4">
        <f t="shared" si="1456"/>
        <v>7.8427012828187666</v>
      </c>
      <c r="DQ422" s="4">
        <f t="shared" si="1457"/>
        <v>9.2307511883463249</v>
      </c>
      <c r="DR422" s="38">
        <f t="shared" ref="DR422:DR449" si="1471">MIN(1/K422*(4*Y422*(DO422-DP422)+(3*DP422+DQ422)*H422)+DU422 -FB422,MAX(G422,AB422))</f>
        <v>687.42519024325156</v>
      </c>
      <c r="DS422" s="4">
        <f t="shared" si="1382"/>
        <v>1.0000940744101987</v>
      </c>
      <c r="DT422" s="4">
        <f t="shared" si="1458"/>
        <v>3.7282703764614493</v>
      </c>
      <c r="DU422" s="4">
        <f t="shared" si="1390"/>
        <v>410.87247777176123</v>
      </c>
      <c r="DY422" s="4">
        <f t="shared" si="1331"/>
        <v>0.85</v>
      </c>
      <c r="DZ422" s="4">
        <f t="shared" si="1383"/>
        <v>0.85</v>
      </c>
      <c r="EA422" s="4">
        <f t="shared" ref="EA422:EA449" si="1472">MIN(1,MAX(0.7,1-0.3*(PI()*AE422^2/4*AI422*2-0.25*PI()/4*K422^2)/(PI()/4*K422^2)))</f>
        <v>1</v>
      </c>
      <c r="EB422" s="4">
        <f t="shared" si="1384"/>
        <v>0.85</v>
      </c>
      <c r="ED422" s="4">
        <f t="shared" ref="ED422:ED449" si="1473">MIN(DM422/K422*3*H422+EE422-FB422,MAX(G422,AB422))</f>
        <v>692.57766983873307</v>
      </c>
      <c r="EE422" s="25">
        <f t="shared" ref="EE422:EE449" si="1474">13.3*N422*H422^0.5*J422^0.5/R422/K422^2*(0.7+O422/5/H422)</f>
        <v>406.44075365189104</v>
      </c>
      <c r="EG422" s="4">
        <f t="shared" si="1391"/>
        <v>0.72249999999999992</v>
      </c>
      <c r="EH422" s="4">
        <f t="shared" ref="EH422:EH449" si="1475">IF(K422&lt;22.2,1.1*5*(J422/30)^0.5,IF(K422&gt;=31.8,0.9*5*(J422/30)^0.5,1*5*(J422/30)^0.5))/DY422/EB422</f>
        <v>9.8430311725779873</v>
      </c>
      <c r="EK422" s="4">
        <f t="shared" si="1459"/>
        <v>94.698067562120812</v>
      </c>
      <c r="EL422" s="4">
        <f t="shared" si="1460"/>
        <v>3.7282703764614498</v>
      </c>
      <c r="EM422" s="4">
        <f t="shared" si="1461"/>
        <v>8.237648650767096E-2</v>
      </c>
      <c r="EP422" s="4">
        <f t="shared" si="1301"/>
        <v>8.237648650767096E-2</v>
      </c>
      <c r="EQ422" s="4">
        <f t="shared" si="1257"/>
        <v>0.19305688847515784</v>
      </c>
      <c r="ER422" s="4">
        <f t="shared" si="1314"/>
        <v>5.0980369802049079</v>
      </c>
      <c r="ES422" s="4">
        <f t="shared" si="1286"/>
        <v>7.8416043118474654</v>
      </c>
      <c r="ET422" s="4">
        <f t="shared" si="1315"/>
        <v>89.89643243787917</v>
      </c>
      <c r="EU422" s="4">
        <f t="shared" si="1316"/>
        <v>61.531500000000008</v>
      </c>
      <c r="EV422" s="4">
        <f t="shared" si="1385"/>
        <v>2.1127512369735259E-5</v>
      </c>
      <c r="EW422" s="4">
        <f t="shared" si="1287"/>
        <v>9.2309241819870902</v>
      </c>
      <c r="EX422" s="4">
        <f t="shared" si="1422"/>
        <v>687.36052720706061</v>
      </c>
      <c r="FA422" s="4">
        <f>5.25*25.4</f>
        <v>133.35</v>
      </c>
      <c r="FG422" s="23">
        <f t="shared" si="1329"/>
        <v>2</v>
      </c>
      <c r="FH422" s="23">
        <f t="shared" si="1329"/>
        <v>0.6</v>
      </c>
      <c r="FI422" s="23">
        <f t="shared" si="1248"/>
        <v>1.4</v>
      </c>
      <c r="FJ422" s="23">
        <f t="shared" si="1330"/>
        <v>2.2000000000000002</v>
      </c>
      <c r="FK422" s="23">
        <f t="shared" si="1330"/>
        <v>1.2</v>
      </c>
      <c r="FL422" s="23">
        <f t="shared" si="1330"/>
        <v>1.2</v>
      </c>
      <c r="FM422" s="23">
        <f t="shared" si="1195"/>
        <v>0</v>
      </c>
      <c r="FN422" s="23"/>
      <c r="FX422" s="4">
        <f t="shared" si="1386"/>
        <v>1</v>
      </c>
      <c r="FY422" s="4">
        <f t="shared" si="1429"/>
        <v>0.5</v>
      </c>
      <c r="FZ422" s="4">
        <f t="shared" si="1387"/>
        <v>0</v>
      </c>
      <c r="GA422" s="4">
        <f t="shared" si="1388"/>
        <v>539.3804444513089</v>
      </c>
    </row>
    <row r="423" spans="1:183" ht="12" customHeight="1" x14ac:dyDescent="0.3">
      <c r="A423" s="25">
        <v>405</v>
      </c>
      <c r="B423" s="4" t="s">
        <v>605</v>
      </c>
      <c r="C423" s="4">
        <v>2016</v>
      </c>
      <c r="D423" s="4" t="s">
        <v>309</v>
      </c>
      <c r="E423" s="14" t="s">
        <v>677</v>
      </c>
      <c r="F423" s="7" t="s">
        <v>574</v>
      </c>
      <c r="G423" s="38">
        <f>115.9/0.145</f>
        <v>799.31034482758628</v>
      </c>
      <c r="H423" s="38">
        <f>8.25*25.4</f>
        <v>209.54999999999998</v>
      </c>
      <c r="I423" s="4">
        <f t="shared" si="1288"/>
        <v>209.54999999999998</v>
      </c>
      <c r="J423" s="38">
        <f>8800/145</f>
        <v>60.689655172413794</v>
      </c>
      <c r="K423" s="38">
        <f t="shared" si="1401"/>
        <v>25.4</v>
      </c>
      <c r="L423" s="7">
        <f t="shared" si="1289"/>
        <v>8.25</v>
      </c>
      <c r="M423" s="7">
        <f t="shared" si="1290"/>
        <v>8.25</v>
      </c>
      <c r="N423" s="38">
        <f>17.3*25.4</f>
        <v>439.42</v>
      </c>
      <c r="O423" s="38">
        <f>2.6*25.4</f>
        <v>66.039999999999992</v>
      </c>
      <c r="P423" s="39">
        <f>3.3*25.4</f>
        <v>83.82</v>
      </c>
      <c r="Q423" s="7">
        <f t="shared" si="1291"/>
        <v>256.54000000000002</v>
      </c>
      <c r="R423" s="38">
        <v>2</v>
      </c>
      <c r="S423" s="4">
        <f t="shared" si="1361"/>
        <v>508</v>
      </c>
      <c r="T423" s="7">
        <f t="shared" si="1292"/>
        <v>3.0999999999999996</v>
      </c>
      <c r="U423" s="7">
        <f t="shared" si="1414"/>
        <v>3.0999999999999996</v>
      </c>
      <c r="V423" s="38">
        <v>14.9</v>
      </c>
      <c r="W423" s="4">
        <f t="shared" si="1293"/>
        <v>14.9</v>
      </c>
      <c r="X423" s="4">
        <f t="shared" si="1294"/>
        <v>15.9</v>
      </c>
      <c r="Y423" s="7">
        <f t="shared" si="1295"/>
        <v>101.28200234987457</v>
      </c>
      <c r="AB423" s="38">
        <f t="shared" si="1332"/>
        <v>618.62068965517244</v>
      </c>
      <c r="AC423" s="4">
        <v>89.7</v>
      </c>
      <c r="AD423" s="4">
        <f t="shared" si="1452"/>
        <v>0.99576500752813224</v>
      </c>
      <c r="AE423" s="38"/>
      <c r="AF423" s="38"/>
      <c r="AG423" s="39">
        <v>1</v>
      </c>
      <c r="AH423" s="39"/>
      <c r="AI423" s="39"/>
      <c r="AJ423" s="7"/>
      <c r="AK423" s="4">
        <f t="shared" si="1297"/>
        <v>209.54999999999998</v>
      </c>
      <c r="AL423" s="4">
        <f t="shared" si="1462"/>
        <v>0.69898989898989905</v>
      </c>
      <c r="AM423" s="4">
        <f t="shared" si="1463"/>
        <v>233.18548975839079</v>
      </c>
      <c r="AN423" s="4">
        <f t="shared" si="1464"/>
        <v>0.77515151515151515</v>
      </c>
      <c r="AO423" s="4">
        <v>1.25</v>
      </c>
      <c r="AP423" s="4">
        <f t="shared" si="1396"/>
        <v>2.5</v>
      </c>
      <c r="AQ423" s="38">
        <f t="shared" si="1266"/>
        <v>394.82900032422606</v>
      </c>
      <c r="AR423" s="38">
        <f t="shared" si="1465"/>
        <v>394.82900032422606</v>
      </c>
      <c r="AS423" s="38">
        <f t="shared" si="1466"/>
        <v>4.3734044077759826</v>
      </c>
      <c r="AT423" s="38">
        <f t="shared" si="1407"/>
        <v>394.82900032422566</v>
      </c>
      <c r="AU423" s="38">
        <f t="shared" si="1373"/>
        <v>1.0000000000000011</v>
      </c>
      <c r="AV423" s="38">
        <f t="shared" si="1249"/>
        <v>3.6786667707318781</v>
      </c>
      <c r="AW423" s="4">
        <f t="shared" si="1230"/>
        <v>0</v>
      </c>
      <c r="AX423" s="4">
        <f t="shared" si="1298"/>
        <v>338.26548176596515</v>
      </c>
      <c r="AY423" s="4">
        <f t="shared" si="1267"/>
        <v>1</v>
      </c>
      <c r="AZ423" s="38">
        <f t="shared" si="1389"/>
        <v>1452.4443236140148</v>
      </c>
      <c r="BA423" s="4">
        <f t="shared" si="1268"/>
        <v>0.3</v>
      </c>
      <c r="BB423" s="4">
        <f t="shared" si="1269"/>
        <v>53.023114266815028</v>
      </c>
      <c r="BC423" s="4">
        <f t="shared" si="1270"/>
        <v>1505.4674378808299</v>
      </c>
      <c r="BE423" s="4">
        <f t="shared" si="1408"/>
        <v>1.4</v>
      </c>
      <c r="BF423" s="4">
        <f t="shared" si="1415"/>
        <v>597.13082953922822</v>
      </c>
      <c r="BH423" s="4">
        <f t="shared" si="1416"/>
        <v>1393.0717287123591</v>
      </c>
      <c r="BI423" s="4">
        <f t="shared" si="1350"/>
        <v>0</v>
      </c>
      <c r="BJ423" s="4">
        <f t="shared" si="1417"/>
        <v>0</v>
      </c>
      <c r="BR423" s="4">
        <f t="shared" si="1271"/>
        <v>66.039999999999992</v>
      </c>
      <c r="BV423" s="9"/>
      <c r="BX423" s="9"/>
      <c r="BY423" s="9"/>
      <c r="BZ423" s="9">
        <f t="shared" si="1272"/>
        <v>66.039999999999992</v>
      </c>
      <c r="CA423" s="9">
        <f t="shared" si="1273"/>
        <v>128.27000000000001</v>
      </c>
      <c r="CB423" s="9">
        <f t="shared" si="1374"/>
        <v>1.7812889692205971</v>
      </c>
      <c r="CC423" s="40">
        <f t="shared" si="1299"/>
        <v>0</v>
      </c>
      <c r="CD423" s="9">
        <f t="shared" si="1274"/>
        <v>0</v>
      </c>
      <c r="CE423" s="9">
        <f t="shared" si="1275"/>
        <v>0</v>
      </c>
      <c r="CF423" s="9">
        <f t="shared" si="1276"/>
        <v>0.99524931562137331</v>
      </c>
      <c r="CG423" s="9">
        <f t="shared" si="1277"/>
        <v>0.68048275862068963</v>
      </c>
      <c r="CH423" s="9">
        <f t="shared" si="1375"/>
        <v>1.8466066401443861</v>
      </c>
      <c r="CI423" s="9">
        <f t="shared" si="1376"/>
        <v>3.2893400385787035</v>
      </c>
      <c r="CJ423" s="40">
        <v>1</v>
      </c>
      <c r="CK423" s="9">
        <f t="shared" si="1377"/>
        <v>305.90862358781942</v>
      </c>
      <c r="CM423" s="4">
        <f t="shared" si="1278"/>
        <v>1.828802295834536</v>
      </c>
      <c r="CN423" s="4">
        <f t="shared" si="1279"/>
        <v>0.41091602122326432</v>
      </c>
      <c r="CO423" s="4">
        <f t="shared" si="1242"/>
        <v>1.0359885288999844</v>
      </c>
      <c r="CP423" s="4">
        <f t="shared" si="1280"/>
        <v>2.0222401134029506</v>
      </c>
      <c r="CQ423" s="4">
        <f t="shared" ref="CQ423:CQ449" si="1476">AB423/DR423</f>
        <v>0.99576500752813224</v>
      </c>
      <c r="CR423" s="4">
        <f t="shared" ref="CR423:CR449" si="1477">AB423/ED423</f>
        <v>0.97228115444619168</v>
      </c>
      <c r="CS423" s="4">
        <f t="shared" si="1243"/>
        <v>1.3470976313599901</v>
      </c>
      <c r="CT423" s="4">
        <f t="shared" si="1300"/>
        <v>0</v>
      </c>
      <c r="CU423" s="4">
        <f t="shared" si="1467"/>
        <v>1.828802295834536</v>
      </c>
      <c r="CV423" s="4">
        <f t="shared" si="1467"/>
        <v>0.41091602122326432</v>
      </c>
      <c r="CW423" s="4">
        <f t="shared" si="1468"/>
        <v>2.0222401134029506</v>
      </c>
      <c r="CX423" s="4">
        <f t="shared" si="1469"/>
        <v>1.3470976313599901</v>
      </c>
      <c r="CY423" s="4">
        <f t="shared" si="1470"/>
        <v>0.99576500752813224</v>
      </c>
      <c r="CZ423" s="4">
        <f t="shared" si="1470"/>
        <v>0.97228115444619168</v>
      </c>
      <c r="DI423" s="4">
        <f t="shared" si="1285"/>
        <v>209.54999999999998</v>
      </c>
      <c r="DL423" s="4">
        <f t="shared" si="1453"/>
        <v>1.7987820129031567E-5</v>
      </c>
      <c r="DM423" s="4">
        <f t="shared" si="1313"/>
        <v>9.9602101151086764</v>
      </c>
      <c r="DN423" s="4">
        <f t="shared" si="1454"/>
        <v>0.17207083308907464</v>
      </c>
      <c r="DO423" s="4">
        <f t="shared" si="1455"/>
        <v>4.926646535132214</v>
      </c>
      <c r="DP423" s="4">
        <f t="shared" si="1456"/>
        <v>7.8616783602674873</v>
      </c>
      <c r="DQ423" s="4">
        <f t="shared" si="1457"/>
        <v>9.5345059053681016</v>
      </c>
      <c r="DR423" s="38">
        <f t="shared" si="1471"/>
        <v>621.25168586795837</v>
      </c>
      <c r="DS423" s="4">
        <f t="shared" si="1382"/>
        <v>1.0000970678143974</v>
      </c>
      <c r="DT423" s="4">
        <f t="shared" si="1458"/>
        <v>3.9874804074753771</v>
      </c>
      <c r="DU423" s="4">
        <f t="shared" si="1390"/>
        <v>394.82900032422566</v>
      </c>
      <c r="DY423" s="4">
        <f t="shared" si="1331"/>
        <v>0.85</v>
      </c>
      <c r="DZ423" s="4">
        <f t="shared" si="1383"/>
        <v>0.84000000000000008</v>
      </c>
      <c r="EA423" s="4">
        <f t="shared" si="1472"/>
        <v>1</v>
      </c>
      <c r="EB423" s="4">
        <f t="shared" si="1384"/>
        <v>0.84000000000000008</v>
      </c>
      <c r="ED423" s="4">
        <f t="shared" si="1473"/>
        <v>636.25699914705933</v>
      </c>
      <c r="EE423" s="25">
        <f t="shared" si="1474"/>
        <v>389.74179879811953</v>
      </c>
      <c r="EG423" s="4">
        <f t="shared" si="1391"/>
        <v>0.71400000000000008</v>
      </c>
      <c r="EH423" s="4">
        <f t="shared" si="1475"/>
        <v>9.9602101151086764</v>
      </c>
      <c r="EK423" s="4">
        <f t="shared" si="1459"/>
        <v>101.28200234987457</v>
      </c>
      <c r="EL423" s="4">
        <f t="shared" si="1460"/>
        <v>3.9874804074753771</v>
      </c>
      <c r="EM423" s="4">
        <f t="shared" si="1461"/>
        <v>7.3299305826734412E-2</v>
      </c>
      <c r="EP423" s="4">
        <f t="shared" si="1301"/>
        <v>7.3299305826734412E-2</v>
      </c>
      <c r="EQ423" s="4">
        <f t="shared" si="1257"/>
        <v>0.17178367893829274</v>
      </c>
      <c r="ER423" s="4">
        <f t="shared" si="1314"/>
        <v>4.9233562252700516</v>
      </c>
      <c r="ES423" s="4">
        <f t="shared" si="1286"/>
        <v>7.8606601734919019</v>
      </c>
      <c r="ET423" s="4">
        <f t="shared" si="1315"/>
        <v>55.88049765012542</v>
      </c>
      <c r="EU423" s="4">
        <f t="shared" si="1316"/>
        <v>52.387499999999989</v>
      </c>
      <c r="EV423" s="4">
        <f t="shared" si="1385"/>
        <v>1.7987820129031563E-5</v>
      </c>
      <c r="EW423" s="4">
        <f t="shared" si="1287"/>
        <v>9.5346444044574525</v>
      </c>
      <c r="EX423" s="4">
        <f t="shared" si="1422"/>
        <v>621.1913881775854</v>
      </c>
      <c r="FG423" s="23">
        <f t="shared" si="1329"/>
        <v>2</v>
      </c>
      <c r="FH423" s="23">
        <f t="shared" si="1329"/>
        <v>0.6</v>
      </c>
      <c r="FI423" s="23">
        <f t="shared" si="1248"/>
        <v>1.4</v>
      </c>
      <c r="FJ423" s="23">
        <f t="shared" si="1330"/>
        <v>2.2000000000000002</v>
      </c>
      <c r="FK423" s="23">
        <f t="shared" si="1330"/>
        <v>1</v>
      </c>
      <c r="FL423" s="23">
        <f t="shared" si="1330"/>
        <v>1</v>
      </c>
      <c r="FM423" s="23">
        <f t="shared" ref="FM423:FM449" si="1478">IF(FK423&lt;1,1,0)</f>
        <v>0</v>
      </c>
      <c r="FN423" s="23"/>
      <c r="FX423" s="4">
        <f t="shared" si="1386"/>
        <v>1</v>
      </c>
      <c r="FY423" s="4">
        <f t="shared" si="1429"/>
        <v>0.5</v>
      </c>
      <c r="FZ423" s="4">
        <f t="shared" si="1387"/>
        <v>0</v>
      </c>
      <c r="GA423" s="4">
        <f t="shared" si="1388"/>
        <v>459.22483660715164</v>
      </c>
    </row>
    <row r="424" spans="1:183" ht="12" customHeight="1" x14ac:dyDescent="0.3">
      <c r="A424" s="25">
        <v>406</v>
      </c>
      <c r="B424" s="4" t="s">
        <v>605</v>
      </c>
      <c r="C424" s="4">
        <v>2016</v>
      </c>
      <c r="D424" s="4" t="s">
        <v>309</v>
      </c>
      <c r="E424" s="14" t="s">
        <v>677</v>
      </c>
      <c r="F424" s="48" t="s">
        <v>575</v>
      </c>
      <c r="G424" s="38">
        <f>115.9/0.145</f>
        <v>799.31034482758628</v>
      </c>
      <c r="H424" s="38">
        <f>9.38*25.4</f>
        <v>238.25200000000001</v>
      </c>
      <c r="I424" s="4">
        <f t="shared" si="1288"/>
        <v>238.25200000000001</v>
      </c>
      <c r="J424" s="38">
        <f>8800/145</f>
        <v>60.689655172413794</v>
      </c>
      <c r="K424" s="38">
        <f t="shared" si="1401"/>
        <v>25.4</v>
      </c>
      <c r="L424" s="7">
        <f t="shared" si="1289"/>
        <v>9.3800000000000008</v>
      </c>
      <c r="M424" s="7">
        <f t="shared" si="1290"/>
        <v>9.3800000000000008</v>
      </c>
      <c r="N424" s="38">
        <f>17.1*25.4</f>
        <v>434.34000000000003</v>
      </c>
      <c r="O424" s="38">
        <f>2.55*25.4</f>
        <v>64.77</v>
      </c>
      <c r="P424" s="39">
        <f>3.2*25.4</f>
        <v>81.28</v>
      </c>
      <c r="Q424" s="7">
        <f t="shared" si="1291"/>
        <v>254.00000000000003</v>
      </c>
      <c r="R424" s="38">
        <v>2</v>
      </c>
      <c r="S424" s="4">
        <f t="shared" si="1361"/>
        <v>508</v>
      </c>
      <c r="T424" s="7">
        <f t="shared" si="1292"/>
        <v>3.05</v>
      </c>
      <c r="U424" s="7">
        <f t="shared" si="1414"/>
        <v>3.05</v>
      </c>
      <c r="V424" s="38">
        <v>12.9</v>
      </c>
      <c r="W424" s="4">
        <f t="shared" si="1293"/>
        <v>12.9</v>
      </c>
      <c r="X424" s="4">
        <f t="shared" si="1294"/>
        <v>13.9</v>
      </c>
      <c r="Y424" s="7">
        <f t="shared" si="1295"/>
        <v>94.698067562120812</v>
      </c>
      <c r="AB424" s="38">
        <f t="shared" si="1332"/>
        <v>728.96551724137942</v>
      </c>
      <c r="AC424" s="4">
        <v>105.7</v>
      </c>
      <c r="AD424" s="4">
        <f t="shared" si="1452"/>
        <v>0.99413885294838056</v>
      </c>
      <c r="AE424" s="38">
        <f t="shared" ref="AE424:AE433" si="1479">0.5*25.4</f>
        <v>12.7</v>
      </c>
      <c r="AF424" s="38">
        <v>10</v>
      </c>
      <c r="AG424" s="39">
        <f>3*25.4</f>
        <v>76.199999999999989</v>
      </c>
      <c r="AH424" s="39">
        <v>3</v>
      </c>
      <c r="AI424" s="39">
        <f t="shared" ref="AI424:AI425" si="1480">AH424-1</f>
        <v>2</v>
      </c>
      <c r="AJ424" s="7"/>
      <c r="AK424" s="4">
        <f t="shared" si="1297"/>
        <v>238.25200000000001</v>
      </c>
      <c r="AL424" s="4">
        <f t="shared" si="1462"/>
        <v>0.60767590618336897</v>
      </c>
      <c r="AM424" s="4">
        <f t="shared" si="1463"/>
        <v>282.69938075844567</v>
      </c>
      <c r="AN424" s="4">
        <f t="shared" si="1464"/>
        <v>0.76503198294243069</v>
      </c>
      <c r="AO424" s="4">
        <v>1.25</v>
      </c>
      <c r="AP424" s="4">
        <f t="shared" si="1396"/>
        <v>2.5</v>
      </c>
      <c r="AQ424" s="38">
        <f t="shared" si="1266"/>
        <v>410.70168799237626</v>
      </c>
      <c r="AR424" s="38">
        <f t="shared" si="1465"/>
        <v>410.70168799237626</v>
      </c>
      <c r="AS424" s="38">
        <f t="shared" si="1466"/>
        <v>4.3734044077759826</v>
      </c>
      <c r="AT424" s="38">
        <f t="shared" si="1407"/>
        <v>410.70168799237581</v>
      </c>
      <c r="AU424" s="38">
        <f t="shared" si="1373"/>
        <v>1.0000000000000011</v>
      </c>
      <c r="AV424" s="38">
        <f t="shared" si="1249"/>
        <v>3.2375230733939095</v>
      </c>
      <c r="AW424" s="4">
        <f t="shared" si="1230"/>
        <v>0</v>
      </c>
      <c r="AX424" s="4">
        <f t="shared" si="1298"/>
        <v>384.59760229875792</v>
      </c>
      <c r="AY424" s="4">
        <f t="shared" si="1267"/>
        <v>1</v>
      </c>
      <c r="AZ424" s="38">
        <f t="shared" si="1389"/>
        <v>1329.656191157143</v>
      </c>
      <c r="BA424" s="4">
        <f t="shared" si="1268"/>
        <v>0.3</v>
      </c>
      <c r="BB424" s="4">
        <f t="shared" si="1269"/>
        <v>60.285674160330302</v>
      </c>
      <c r="BC424" s="4">
        <f t="shared" si="1270"/>
        <v>1389.9418653174732</v>
      </c>
      <c r="BE424" s="4">
        <f t="shared" si="1408"/>
        <v>1.5</v>
      </c>
      <c r="BF424" s="4">
        <f t="shared" si="1415"/>
        <v>679.39699470471101</v>
      </c>
      <c r="BH424" s="4">
        <f t="shared" si="1416"/>
        <v>1275.3028936760954</v>
      </c>
      <c r="BI424" s="4">
        <f t="shared" si="1350"/>
        <v>0</v>
      </c>
      <c r="BJ424" s="4">
        <f t="shared" si="1417"/>
        <v>0</v>
      </c>
      <c r="BR424" s="4">
        <f t="shared" si="1271"/>
        <v>64.77</v>
      </c>
      <c r="BV424" s="9"/>
      <c r="BX424" s="9"/>
      <c r="BY424" s="9"/>
      <c r="BZ424" s="9">
        <f t="shared" si="1272"/>
        <v>64.77</v>
      </c>
      <c r="CA424" s="9">
        <f t="shared" si="1273"/>
        <v>127.00000000000001</v>
      </c>
      <c r="CB424" s="9">
        <f t="shared" si="1374"/>
        <v>1.7665851027593089</v>
      </c>
      <c r="CC424" s="40">
        <f t="shared" si="1299"/>
        <v>20</v>
      </c>
      <c r="CD424" s="9">
        <f t="shared" si="1274"/>
        <v>0.05</v>
      </c>
      <c r="CE424" s="9">
        <f t="shared" si="1275"/>
        <v>0.8</v>
      </c>
      <c r="CF424" s="9">
        <f t="shared" si="1276"/>
        <v>0.99524931562137331</v>
      </c>
      <c r="CG424" s="9">
        <f t="shared" si="1277"/>
        <v>0.68048275862068963</v>
      </c>
      <c r="CH424" s="9">
        <f t="shared" si="1375"/>
        <v>1.8466066401443861</v>
      </c>
      <c r="CI424" s="9">
        <f t="shared" si="1376"/>
        <v>4.6165166003609652</v>
      </c>
      <c r="CJ424" s="40">
        <v>1</v>
      </c>
      <c r="CK424" s="9">
        <f t="shared" si="1377"/>
        <v>450.20269886720132</v>
      </c>
      <c r="CM424" s="4">
        <f t="shared" si="1278"/>
        <v>1.8953979767016702</v>
      </c>
      <c r="CN424" s="4">
        <f t="shared" si="1279"/>
        <v>0.5244575585719754</v>
      </c>
      <c r="CO424" s="4">
        <f t="shared" si="1242"/>
        <v>1.0729595846360971</v>
      </c>
      <c r="CP424" s="4">
        <f t="shared" si="1280"/>
        <v>1.619194018773322</v>
      </c>
      <c r="CQ424" s="4">
        <f t="shared" si="1476"/>
        <v>0.99413885294838056</v>
      </c>
      <c r="CR424" s="4">
        <f t="shared" si="1477"/>
        <v>0.98184147159351287</v>
      </c>
      <c r="CS424" s="4">
        <f t="shared" si="1243"/>
        <v>1.2226871085348725</v>
      </c>
      <c r="CT424" s="4">
        <f t="shared" si="1300"/>
        <v>10</v>
      </c>
      <c r="DA424" s="4">
        <f t="shared" ref="DA424:DB425" si="1481">CM424</f>
        <v>1.8953979767016702</v>
      </c>
      <c r="DB424" s="4">
        <f t="shared" si="1481"/>
        <v>0.5244575585719754</v>
      </c>
      <c r="DC424" s="4">
        <f t="shared" ref="DC424:DC425" si="1482">CP424</f>
        <v>1.619194018773322</v>
      </c>
      <c r="DD424" s="4">
        <f t="shared" ref="DD424:DD425" si="1483">CS424</f>
        <v>1.2226871085348725</v>
      </c>
      <c r="DE424" s="4">
        <f t="shared" ref="DE424:DF425" si="1484">CQ424</f>
        <v>0.99413885294838056</v>
      </c>
      <c r="DF424" s="4">
        <f t="shared" si="1484"/>
        <v>0.98184147159351287</v>
      </c>
      <c r="DI424" s="4">
        <f t="shared" si="1285"/>
        <v>238.25200000000001</v>
      </c>
      <c r="DL424" s="4">
        <f t="shared" si="1453"/>
        <v>2.0451606401250436E-5</v>
      </c>
      <c r="DM424" s="4">
        <f t="shared" si="1313"/>
        <v>11.952252138130413</v>
      </c>
      <c r="DN424" s="4">
        <f t="shared" si="1454"/>
        <v>0.19329921975455272</v>
      </c>
      <c r="DO424" s="4">
        <f t="shared" si="1455"/>
        <v>6.1935804996758534</v>
      </c>
      <c r="DP424" s="4">
        <f t="shared" si="1456"/>
        <v>9.5229483944501201</v>
      </c>
      <c r="DQ424" s="4">
        <f t="shared" si="1457"/>
        <v>11.112682316132476</v>
      </c>
      <c r="DR424" s="38">
        <f t="shared" si="1471"/>
        <v>733.26328115981005</v>
      </c>
      <c r="DS424" s="4">
        <f t="shared" si="1382"/>
        <v>1.0001050543831476</v>
      </c>
      <c r="DT424" s="4">
        <f t="shared" si="1458"/>
        <v>3.7282703764614493</v>
      </c>
      <c r="DU424" s="4">
        <f t="shared" si="1390"/>
        <v>410.70168799237581</v>
      </c>
      <c r="DY424" s="4">
        <f t="shared" si="1331"/>
        <v>0.85</v>
      </c>
      <c r="DZ424" s="4">
        <f t="shared" si="1383"/>
        <v>0.84499999999999997</v>
      </c>
      <c r="EA424" s="4">
        <f t="shared" si="1472"/>
        <v>0.77500000000000002</v>
      </c>
      <c r="EB424" s="4">
        <f t="shared" si="1384"/>
        <v>0.7</v>
      </c>
      <c r="ED424" s="4">
        <f t="shared" si="1473"/>
        <v>742.44726703006359</v>
      </c>
      <c r="EE424" s="25">
        <f t="shared" si="1474"/>
        <v>406.11089186307373</v>
      </c>
      <c r="EG424" s="4">
        <f t="shared" si="1391"/>
        <v>0.59499999999999997</v>
      </c>
      <c r="EH424" s="4">
        <f t="shared" si="1475"/>
        <v>11.952252138130413</v>
      </c>
      <c r="EK424" s="4">
        <f t="shared" si="1459"/>
        <v>94.698067562120812</v>
      </c>
      <c r="EL424" s="4">
        <f t="shared" si="1460"/>
        <v>3.7282703764614498</v>
      </c>
      <c r="EM424" s="4">
        <f t="shared" si="1461"/>
        <v>8.2342244589026295E-2</v>
      </c>
      <c r="EP424" s="4">
        <f t="shared" si="1301"/>
        <v>8.2342244589026295E-2</v>
      </c>
      <c r="EQ424" s="4">
        <f t="shared" si="1257"/>
        <v>0.19297663938285961</v>
      </c>
      <c r="ER424" s="4">
        <f t="shared" si="1314"/>
        <v>6.1894440553714247</v>
      </c>
      <c r="ES424" s="4">
        <f t="shared" si="1286"/>
        <v>9.5216167653525225</v>
      </c>
      <c r="ET424" s="4">
        <f t="shared" si="1315"/>
        <v>83.990932437879209</v>
      </c>
      <c r="EU424" s="4">
        <f t="shared" si="1316"/>
        <v>59.563000000000002</v>
      </c>
      <c r="EV424" s="4">
        <f t="shared" si="1385"/>
        <v>2.0451606401250436E-5</v>
      </c>
      <c r="EW424" s="4">
        <f t="shared" si="1287"/>
        <v>11.112924965456761</v>
      </c>
      <c r="EX424" s="4">
        <f t="shared" si="1422"/>
        <v>733.18625672987696</v>
      </c>
      <c r="FA424" s="4">
        <f>5.25*25.4</f>
        <v>133.35</v>
      </c>
      <c r="FG424" s="23">
        <f t="shared" si="1329"/>
        <v>2</v>
      </c>
      <c r="FH424" s="23">
        <f t="shared" si="1329"/>
        <v>0.6</v>
      </c>
      <c r="FI424" s="23">
        <f t="shared" si="1248"/>
        <v>1.4</v>
      </c>
      <c r="FJ424" s="23">
        <f t="shared" si="1330"/>
        <v>1.8</v>
      </c>
      <c r="FK424" s="23">
        <f t="shared" si="1330"/>
        <v>1</v>
      </c>
      <c r="FL424" s="23">
        <f t="shared" si="1330"/>
        <v>1</v>
      </c>
      <c r="FM424" s="23">
        <f t="shared" si="1478"/>
        <v>0</v>
      </c>
      <c r="FN424" s="23"/>
      <c r="FX424" s="4">
        <f t="shared" si="1386"/>
        <v>1</v>
      </c>
      <c r="FY424" s="4">
        <f t="shared" si="1429"/>
        <v>0.43787748058671272</v>
      </c>
      <c r="FZ424" s="4">
        <f t="shared" si="1387"/>
        <v>0.3</v>
      </c>
      <c r="GA424" s="4">
        <f t="shared" si="1388"/>
        <v>596.1995609121027</v>
      </c>
    </row>
    <row r="425" spans="1:183" ht="12" customHeight="1" x14ac:dyDescent="0.3">
      <c r="A425" s="25">
        <v>407</v>
      </c>
      <c r="B425" s="4" t="s">
        <v>605</v>
      </c>
      <c r="C425" s="4">
        <v>2016</v>
      </c>
      <c r="D425" s="4" t="s">
        <v>309</v>
      </c>
      <c r="E425" s="14" t="s">
        <v>677</v>
      </c>
      <c r="F425" s="7" t="s">
        <v>576</v>
      </c>
      <c r="G425" s="38">
        <f>115.9/0.145</f>
        <v>799.31034482758628</v>
      </c>
      <c r="H425" s="38">
        <f>8.25*25.4</f>
        <v>209.54999999999998</v>
      </c>
      <c r="I425" s="4">
        <f t="shared" si="1288"/>
        <v>209.54999999999998</v>
      </c>
      <c r="J425" s="38">
        <f>8800/145</f>
        <v>60.689655172413794</v>
      </c>
      <c r="K425" s="38">
        <f t="shared" si="1401"/>
        <v>25.4</v>
      </c>
      <c r="L425" s="7">
        <f t="shared" si="1289"/>
        <v>8.25</v>
      </c>
      <c r="M425" s="7">
        <f t="shared" si="1290"/>
        <v>8.25</v>
      </c>
      <c r="N425" s="38">
        <f>17.3*25.4</f>
        <v>439.42</v>
      </c>
      <c r="O425" s="38">
        <f>2.65*25.4</f>
        <v>67.309999999999988</v>
      </c>
      <c r="P425" s="39">
        <f>3.1*25.4</f>
        <v>78.739999999999995</v>
      </c>
      <c r="Q425" s="7">
        <f t="shared" si="1291"/>
        <v>254.00000000000003</v>
      </c>
      <c r="R425" s="38">
        <v>2</v>
      </c>
      <c r="S425" s="4">
        <f t="shared" si="1361"/>
        <v>508</v>
      </c>
      <c r="T425" s="7">
        <f t="shared" si="1292"/>
        <v>3.1499999999999995</v>
      </c>
      <c r="U425" s="7">
        <f t="shared" si="1414"/>
        <v>3.1499999999999995</v>
      </c>
      <c r="V425" s="38">
        <v>14.9</v>
      </c>
      <c r="W425" s="4">
        <f t="shared" si="1293"/>
        <v>14.9</v>
      </c>
      <c r="X425" s="4">
        <f t="shared" si="1294"/>
        <v>15.9</v>
      </c>
      <c r="Y425" s="7">
        <f t="shared" si="1295"/>
        <v>101.28200234987457</v>
      </c>
      <c r="AB425" s="38">
        <f t="shared" si="1332"/>
        <v>759.31034482758616</v>
      </c>
      <c r="AC425" s="4">
        <v>110.1</v>
      </c>
      <c r="AD425" s="4">
        <f t="shared" si="1452"/>
        <v>1.1394424782402843</v>
      </c>
      <c r="AE425" s="38">
        <f t="shared" si="1479"/>
        <v>12.7</v>
      </c>
      <c r="AF425" s="38">
        <v>10</v>
      </c>
      <c r="AG425" s="39">
        <f>3*25.4</f>
        <v>76.199999999999989</v>
      </c>
      <c r="AH425" s="39">
        <v>3</v>
      </c>
      <c r="AI425" s="39">
        <f t="shared" si="1480"/>
        <v>2</v>
      </c>
      <c r="AJ425" s="7"/>
      <c r="AK425" s="4">
        <f t="shared" si="1297"/>
        <v>209.54999999999998</v>
      </c>
      <c r="AL425" s="4">
        <f t="shared" si="1462"/>
        <v>0.69898989898989905</v>
      </c>
      <c r="AM425" s="4">
        <f t="shared" si="1463"/>
        <v>233.18548975839079</v>
      </c>
      <c r="AN425" s="4">
        <f t="shared" si="1464"/>
        <v>0.77636363636363637</v>
      </c>
      <c r="AO425" s="4">
        <v>1.25</v>
      </c>
      <c r="AP425" s="4">
        <f t="shared" si="1396"/>
        <v>2.5</v>
      </c>
      <c r="AQ425" s="38">
        <f t="shared" si="1266"/>
        <v>395.44640298305984</v>
      </c>
      <c r="AR425" s="38">
        <f t="shared" si="1465"/>
        <v>395.44640298305984</v>
      </c>
      <c r="AS425" s="38">
        <f t="shared" si="1466"/>
        <v>4.3734044077759826</v>
      </c>
      <c r="AT425" s="38">
        <f t="shared" si="1407"/>
        <v>395.44640298305944</v>
      </c>
      <c r="AU425" s="38">
        <f t="shared" si="1373"/>
        <v>1.0000000000000011</v>
      </c>
      <c r="AV425" s="38">
        <f t="shared" si="1249"/>
        <v>3.7321640400048164</v>
      </c>
      <c r="AW425" s="4">
        <f t="shared" si="1230"/>
        <v>0</v>
      </c>
      <c r="AX425" s="4">
        <f t="shared" si="1298"/>
        <v>338.26548176596515</v>
      </c>
      <c r="AY425" s="4">
        <f t="shared" si="1267"/>
        <v>1</v>
      </c>
      <c r="AZ425" s="38">
        <f t="shared" si="1389"/>
        <v>1475.8708449626279</v>
      </c>
      <c r="BA425" s="4">
        <f t="shared" si="1268"/>
        <v>0.3</v>
      </c>
      <c r="BB425" s="4">
        <f t="shared" si="1269"/>
        <v>53.023114266815028</v>
      </c>
      <c r="BC425" s="4">
        <f t="shared" si="1270"/>
        <v>1528.893959229443</v>
      </c>
      <c r="BE425" s="4">
        <f t="shared" si="1408"/>
        <v>1.5</v>
      </c>
      <c r="BF425" s="4">
        <f t="shared" si="1415"/>
        <v>639.78303164917315</v>
      </c>
      <c r="BH425" s="4">
        <f t="shared" si="1416"/>
        <v>1415.5406275625585</v>
      </c>
      <c r="BI425" s="4">
        <f t="shared" si="1350"/>
        <v>0</v>
      </c>
      <c r="BJ425" s="4">
        <f t="shared" si="1417"/>
        <v>0</v>
      </c>
      <c r="BR425" s="4">
        <f t="shared" si="1271"/>
        <v>67.309999999999988</v>
      </c>
      <c r="BV425" s="9"/>
      <c r="BX425" s="9"/>
      <c r="BY425" s="9"/>
      <c r="BZ425" s="9">
        <f t="shared" si="1272"/>
        <v>67.309999999999988</v>
      </c>
      <c r="CA425" s="9">
        <f t="shared" si="1273"/>
        <v>127.00000000000001</v>
      </c>
      <c r="CB425" s="9">
        <f t="shared" si="1374"/>
        <v>1.7905298128039189</v>
      </c>
      <c r="CC425" s="40">
        <f t="shared" si="1299"/>
        <v>20</v>
      </c>
      <c r="CD425" s="9">
        <f t="shared" si="1274"/>
        <v>0.05</v>
      </c>
      <c r="CE425" s="9">
        <f t="shared" si="1275"/>
        <v>0.8</v>
      </c>
      <c r="CF425" s="9">
        <f t="shared" si="1276"/>
        <v>0.99524931562137331</v>
      </c>
      <c r="CG425" s="9">
        <f t="shared" si="1277"/>
        <v>0.68048275862068963</v>
      </c>
      <c r="CH425" s="9">
        <f t="shared" si="1375"/>
        <v>1.8466066401443861</v>
      </c>
      <c r="CI425" s="9">
        <f t="shared" si="1376"/>
        <v>4.6165166003609652</v>
      </c>
      <c r="CJ425" s="40">
        <v>1</v>
      </c>
      <c r="CK425" s="9">
        <f t="shared" si="1377"/>
        <v>429.33604383356976</v>
      </c>
      <c r="CM425" s="4">
        <f t="shared" si="1278"/>
        <v>2.2447171992350321</v>
      </c>
      <c r="CN425" s="4">
        <f t="shared" si="1279"/>
        <v>0.49664029362132861</v>
      </c>
      <c r="CO425" s="4">
        <f t="shared" si="1242"/>
        <v>1.1868247628736053</v>
      </c>
      <c r="CP425" s="4">
        <f t="shared" si="1280"/>
        <v>1.7685688302516001</v>
      </c>
      <c r="CQ425" s="4">
        <f t="shared" si="1476"/>
        <v>1.1394424782402843</v>
      </c>
      <c r="CR425" s="4">
        <f t="shared" si="1477"/>
        <v>1.1065773777959143</v>
      </c>
      <c r="CS425" s="4">
        <f t="shared" si="1243"/>
        <v>1.4480266495732195</v>
      </c>
      <c r="CT425" s="4">
        <f t="shared" si="1300"/>
        <v>10</v>
      </c>
      <c r="DA425" s="4">
        <f t="shared" si="1481"/>
        <v>2.2447171992350321</v>
      </c>
      <c r="DB425" s="4">
        <f t="shared" si="1481"/>
        <v>0.49664029362132861</v>
      </c>
      <c r="DC425" s="4">
        <f t="shared" si="1482"/>
        <v>1.7685688302516001</v>
      </c>
      <c r="DD425" s="4">
        <f t="shared" si="1483"/>
        <v>1.4480266495732195</v>
      </c>
      <c r="DE425" s="4">
        <f t="shared" si="1484"/>
        <v>1.1394424782402843</v>
      </c>
      <c r="DF425" s="4">
        <f t="shared" si="1484"/>
        <v>1.1065773777959143</v>
      </c>
      <c r="DI425" s="4">
        <f t="shared" si="1285"/>
        <v>209.54999999999998</v>
      </c>
      <c r="DL425" s="4">
        <f t="shared" si="1453"/>
        <v>1.7987820129031567E-5</v>
      </c>
      <c r="DM425" s="4">
        <f t="shared" si="1313"/>
        <v>11.952252138130413</v>
      </c>
      <c r="DN425" s="4">
        <f t="shared" si="1454"/>
        <v>0.17233990397740784</v>
      </c>
      <c r="DO425" s="4">
        <f t="shared" si="1455"/>
        <v>5.9156719827356019</v>
      </c>
      <c r="DP425" s="4">
        <f t="shared" si="1456"/>
        <v>9.435158440042839</v>
      </c>
      <c r="DQ425" s="4">
        <f t="shared" si="1457"/>
        <v>11.34018962755985</v>
      </c>
      <c r="DR425" s="38">
        <f t="shared" si="1471"/>
        <v>666.38760562993832</v>
      </c>
      <c r="DS425" s="4">
        <f t="shared" si="1382"/>
        <v>1.0001082622051274</v>
      </c>
      <c r="DT425" s="4">
        <f t="shared" si="1458"/>
        <v>3.9874804074753771</v>
      </c>
      <c r="DU425" s="4">
        <f t="shared" si="1390"/>
        <v>395.44640298305944</v>
      </c>
      <c r="DY425" s="4">
        <f t="shared" si="1331"/>
        <v>0.85</v>
      </c>
      <c r="DZ425" s="4">
        <f t="shared" si="1383"/>
        <v>0.83499999999999996</v>
      </c>
      <c r="EA425" s="4">
        <f t="shared" si="1472"/>
        <v>0.77500000000000002</v>
      </c>
      <c r="EB425" s="4">
        <f t="shared" si="1384"/>
        <v>0.7</v>
      </c>
      <c r="ED425" s="4">
        <f t="shared" si="1473"/>
        <v>686.17916836505719</v>
      </c>
      <c r="EE425" s="25">
        <f t="shared" si="1474"/>
        <v>390.36092794632941</v>
      </c>
      <c r="EG425" s="4">
        <f t="shared" si="1391"/>
        <v>0.59499999999999997</v>
      </c>
      <c r="EH425" s="4">
        <f t="shared" si="1475"/>
        <v>11.952252138130413</v>
      </c>
      <c r="EK425" s="4">
        <f t="shared" si="1459"/>
        <v>101.28200234987457</v>
      </c>
      <c r="EL425" s="4">
        <f t="shared" si="1460"/>
        <v>3.9874804074753771</v>
      </c>
      <c r="EM425" s="4">
        <f t="shared" si="1461"/>
        <v>7.3413925538738684E-2</v>
      </c>
      <c r="EP425" s="4">
        <f t="shared" si="1301"/>
        <v>7.3413925538738684E-2</v>
      </c>
      <c r="EQ425" s="4">
        <f t="shared" si="1257"/>
        <v>0.17205230079746128</v>
      </c>
      <c r="ER425" s="4">
        <f t="shared" si="1314"/>
        <v>5.9117211423967806</v>
      </c>
      <c r="ES425" s="4">
        <f t="shared" si="1286"/>
        <v>9.4339351942507346</v>
      </c>
      <c r="ET425" s="4">
        <f t="shared" si="1315"/>
        <v>55.88049765012542</v>
      </c>
      <c r="EU425" s="4">
        <f t="shared" si="1316"/>
        <v>52.387499999999989</v>
      </c>
      <c r="EV425" s="4">
        <f t="shared" si="1385"/>
        <v>1.7987820129031563E-5</v>
      </c>
      <c r="EW425" s="4">
        <f t="shared" si="1287"/>
        <v>11.340388836122862</v>
      </c>
      <c r="EX425" s="4">
        <f t="shared" si="1422"/>
        <v>666.31546884797035</v>
      </c>
      <c r="FG425" s="23">
        <f t="shared" si="1329"/>
        <v>2.2000000000000002</v>
      </c>
      <c r="FH425" s="23">
        <f t="shared" si="1329"/>
        <v>0.6</v>
      </c>
      <c r="FI425" s="23">
        <f t="shared" si="1248"/>
        <v>1.6</v>
      </c>
      <c r="FJ425" s="23">
        <f t="shared" si="1330"/>
        <v>1.8</v>
      </c>
      <c r="FK425" s="23">
        <f t="shared" si="1330"/>
        <v>1.2</v>
      </c>
      <c r="FL425" s="23">
        <f t="shared" si="1330"/>
        <v>1.2</v>
      </c>
      <c r="FM425" s="23">
        <f t="shared" si="1478"/>
        <v>0</v>
      </c>
      <c r="FN425" s="23"/>
      <c r="FX425" s="4">
        <f t="shared" si="1386"/>
        <v>1</v>
      </c>
      <c r="FY425" s="4">
        <f t="shared" si="1429"/>
        <v>0.43787748058671272</v>
      </c>
      <c r="FZ425" s="4">
        <f t="shared" si="1387"/>
        <v>0.3</v>
      </c>
      <c r="GA425" s="4">
        <f t="shared" si="1388"/>
        <v>524.37594643122043</v>
      </c>
    </row>
    <row r="426" spans="1:183" ht="12" customHeight="1" x14ac:dyDescent="0.3">
      <c r="A426" s="25">
        <v>408</v>
      </c>
      <c r="B426" s="4" t="s">
        <v>605</v>
      </c>
      <c r="C426" s="4">
        <v>2016</v>
      </c>
      <c r="D426" s="4" t="s">
        <v>309</v>
      </c>
      <c r="E426" s="14" t="s">
        <v>577</v>
      </c>
      <c r="F426" s="7" t="s">
        <v>578</v>
      </c>
      <c r="G426" s="38">
        <f>135/0.145</f>
        <v>931.0344827586207</v>
      </c>
      <c r="H426" s="38">
        <f>12.13*25.4</f>
        <v>308.10199999999998</v>
      </c>
      <c r="I426" s="4">
        <f t="shared" si="1288"/>
        <v>308.10199999999998</v>
      </c>
      <c r="J426" s="38">
        <f>5760/145</f>
        <v>39.724137931034484</v>
      </c>
      <c r="K426" s="38">
        <f>1.41*25.4</f>
        <v>35.813999999999993</v>
      </c>
      <c r="L426" s="7">
        <f t="shared" si="1289"/>
        <v>8.6028368794326244</v>
      </c>
      <c r="M426" s="7">
        <f t="shared" si="1290"/>
        <v>8.6028368794326244</v>
      </c>
      <c r="N426" s="38">
        <f>21.7*25.4</f>
        <v>551.17999999999995</v>
      </c>
      <c r="O426" s="38">
        <f>2.65*25.4</f>
        <v>67.309999999999988</v>
      </c>
      <c r="P426" s="39">
        <f>3.5*25.4</f>
        <v>88.899999999999991</v>
      </c>
      <c r="Q426" s="7">
        <f t="shared" si="1291"/>
        <v>344.93200000000002</v>
      </c>
      <c r="R426" s="38">
        <v>2</v>
      </c>
      <c r="S426" s="4">
        <f t="shared" si="1361"/>
        <v>508</v>
      </c>
      <c r="T426" s="7">
        <f t="shared" si="1292"/>
        <v>2.3794326241134751</v>
      </c>
      <c r="U426" s="7">
        <f t="shared" si="1414"/>
        <v>2.3794326241134751</v>
      </c>
      <c r="V426" s="38">
        <v>3.9</v>
      </c>
      <c r="W426" s="4">
        <f t="shared" si="1293"/>
        <v>3.9</v>
      </c>
      <c r="X426" s="4">
        <f t="shared" si="1294"/>
        <v>4.9000000000000004</v>
      </c>
      <c r="Y426" s="7">
        <f t="shared" si="1295"/>
        <v>79.277668484889219</v>
      </c>
      <c r="AB426" s="38">
        <f t="shared" si="1332"/>
        <v>293.79310344827587</v>
      </c>
      <c r="AC426" s="4">
        <v>42.6</v>
      </c>
      <c r="AD426" s="4">
        <f t="shared" si="1452"/>
        <v>0.67339603919552049</v>
      </c>
      <c r="AE426" s="38"/>
      <c r="AF426" s="38"/>
      <c r="AG426" s="39">
        <v>1</v>
      </c>
      <c r="AH426" s="39"/>
      <c r="AI426" s="39"/>
      <c r="AJ426" s="7"/>
      <c r="AK426" s="4">
        <f t="shared" si="1297"/>
        <v>308.10199999999998</v>
      </c>
      <c r="AL426" s="4">
        <f t="shared" si="1462"/>
        <v>0.59631766968947519</v>
      </c>
      <c r="AM426" s="4">
        <f t="shared" si="1463"/>
        <v>169.17784214061564</v>
      </c>
      <c r="AN426" s="4">
        <f t="shared" si="1464"/>
        <v>0.75531739488870564</v>
      </c>
      <c r="AO426" s="4">
        <v>1.25</v>
      </c>
      <c r="AP426" s="4">
        <f t="shared" si="1396"/>
        <v>2.5</v>
      </c>
      <c r="AQ426" s="38">
        <f t="shared" si="1266"/>
        <v>238.12262845805614</v>
      </c>
      <c r="AR426" s="38">
        <f t="shared" si="1465"/>
        <v>238.12262845805614</v>
      </c>
      <c r="AS426" s="38">
        <f t="shared" si="1466"/>
        <v>3.4926701740126327</v>
      </c>
      <c r="AT426" s="38">
        <f t="shared" si="1407"/>
        <v>238.12262845805651</v>
      </c>
      <c r="AU426" s="38">
        <f t="shared" si="1373"/>
        <v>0.99999999999999845</v>
      </c>
      <c r="AV426" s="38">
        <f t="shared" si="1249"/>
        <v>1.5677959002994157</v>
      </c>
      <c r="AW426" s="4">
        <f t="shared" si="1230"/>
        <v>0</v>
      </c>
      <c r="AX426" s="4">
        <f t="shared" si="1298"/>
        <v>285.37460794417643</v>
      </c>
      <c r="AY426" s="4">
        <f t="shared" si="1267"/>
        <v>1</v>
      </c>
      <c r="AZ426" s="38">
        <f t="shared" si="1389"/>
        <v>373.32768066506196</v>
      </c>
      <c r="BA426" s="4">
        <f t="shared" si="1268"/>
        <v>0.45399999999999996</v>
      </c>
      <c r="BB426" s="4">
        <f t="shared" si="1269"/>
        <v>67.695137623477819</v>
      </c>
      <c r="BC426" s="4">
        <f t="shared" si="1270"/>
        <v>441.02281828853978</v>
      </c>
      <c r="BE426" s="4">
        <f t="shared" si="1408"/>
        <v>1.2198581560283688</v>
      </c>
      <c r="BF426" s="4">
        <f t="shared" si="1415"/>
        <v>429.07875073434849</v>
      </c>
      <c r="BH426" s="4">
        <f t="shared" si="1416"/>
        <v>358.06690075816078</v>
      </c>
      <c r="BI426" s="4">
        <f t="shared" si="1350"/>
        <v>0</v>
      </c>
      <c r="BJ426" s="4">
        <f t="shared" si="1417"/>
        <v>0</v>
      </c>
      <c r="BR426" s="4">
        <f t="shared" si="1271"/>
        <v>67.309999999999988</v>
      </c>
      <c r="BV426" s="9"/>
      <c r="BX426" s="9"/>
      <c r="BY426" s="9"/>
      <c r="BZ426" s="9">
        <f t="shared" si="1272"/>
        <v>67.309999999999988</v>
      </c>
      <c r="CA426" s="9">
        <f t="shared" si="1273"/>
        <v>172.46600000000001</v>
      </c>
      <c r="CB426" s="9">
        <f t="shared" si="1374"/>
        <v>1.5787267425904519</v>
      </c>
      <c r="CC426" s="40">
        <f t="shared" si="1299"/>
        <v>0</v>
      </c>
      <c r="CD426" s="9">
        <f t="shared" si="1274"/>
        <v>0</v>
      </c>
      <c r="CE426" s="9">
        <f t="shared" si="1275"/>
        <v>0</v>
      </c>
      <c r="CF426" s="9">
        <f t="shared" si="1276"/>
        <v>0.89777220146327208</v>
      </c>
      <c r="CG426" s="9">
        <f t="shared" si="1277"/>
        <v>0.68</v>
      </c>
      <c r="CH426" s="9">
        <f t="shared" si="1375"/>
        <v>1.3466984227273664</v>
      </c>
      <c r="CI426" s="9">
        <f t="shared" si="1376"/>
        <v>2.1260688141640744</v>
      </c>
      <c r="CJ426" s="40">
        <v>1</v>
      </c>
      <c r="CK426" s="9">
        <f t="shared" si="1377"/>
        <v>200.72502166065362</v>
      </c>
      <c r="CM426" s="4">
        <f t="shared" si="1278"/>
        <v>1.029499805763189</v>
      </c>
      <c r="CN426" s="4">
        <f t="shared" si="1279"/>
        <v>0.66616304477937771</v>
      </c>
      <c r="CO426" s="4">
        <f t="shared" si="1242"/>
        <v>0.68470671862790344</v>
      </c>
      <c r="CP426" s="4">
        <f t="shared" si="1280"/>
        <v>1.4636595926987293</v>
      </c>
      <c r="CQ426" s="4">
        <f t="shared" si="1476"/>
        <v>0.67339603919552049</v>
      </c>
      <c r="CR426" s="4">
        <f t="shared" si="1477"/>
        <v>0.72096580896252627</v>
      </c>
      <c r="CS426" s="4">
        <f t="shared" si="1243"/>
        <v>0.80994045632785505</v>
      </c>
      <c r="CT426" s="4">
        <f t="shared" si="1300"/>
        <v>0</v>
      </c>
      <c r="CU426" s="4">
        <f t="shared" ref="CU426:CV426" si="1485">CM426</f>
        <v>1.029499805763189</v>
      </c>
      <c r="CV426" s="4">
        <f t="shared" si="1485"/>
        <v>0.66616304477937771</v>
      </c>
      <c r="CW426" s="4">
        <f t="shared" ref="CW426" si="1486">CP426</f>
        <v>1.4636595926987293</v>
      </c>
      <c r="CX426" s="4">
        <f t="shared" ref="CX426" si="1487">CS426</f>
        <v>0.80994045632785505</v>
      </c>
      <c r="CY426" s="4">
        <f t="shared" ref="CY426:CZ426" si="1488">CQ426</f>
        <v>0.67339603919552049</v>
      </c>
      <c r="CZ426" s="4">
        <f t="shared" si="1488"/>
        <v>0.72096580896252627</v>
      </c>
      <c r="DI426" s="4">
        <f t="shared" si="1285"/>
        <v>308.10199999999998</v>
      </c>
      <c r="DL426" s="4">
        <f t="shared" si="1453"/>
        <v>1.6422982705051898E-5</v>
      </c>
      <c r="DM426" s="4">
        <f t="shared" si="1313"/>
        <v>6.6794137361809804</v>
      </c>
      <c r="DN426" s="4">
        <f t="shared" si="1454"/>
        <v>0.47413206320930545</v>
      </c>
      <c r="DO426" s="4">
        <f t="shared" si="1455"/>
        <v>4.9556208963323414</v>
      </c>
      <c r="DP426" s="4">
        <f t="shared" si="1456"/>
        <v>5.8811547174806602</v>
      </c>
      <c r="DQ426" s="4">
        <f t="shared" si="1457"/>
        <v>6.343757885764715</v>
      </c>
      <c r="DR426" s="38">
        <f t="shared" si="1471"/>
        <v>436.28576104970682</v>
      </c>
      <c r="DS426" s="4">
        <f t="shared" si="1382"/>
        <v>1.0001192823101088</v>
      </c>
      <c r="DT426" s="4">
        <f t="shared" si="1458"/>
        <v>2.2135943621178655</v>
      </c>
      <c r="DU426" s="4">
        <f t="shared" si="1390"/>
        <v>238.12262845805651</v>
      </c>
      <c r="DY426" s="4">
        <f t="shared" si="1331"/>
        <v>0.85</v>
      </c>
      <c r="DZ426" s="4">
        <f t="shared" si="1383"/>
        <v>0.91205673758865247</v>
      </c>
      <c r="EA426" s="4">
        <f t="shared" si="1472"/>
        <v>1</v>
      </c>
      <c r="EB426" s="4">
        <f t="shared" si="1384"/>
        <v>0.91205673758865247</v>
      </c>
      <c r="ED426" s="4">
        <f t="shared" si="1473"/>
        <v>407.49935682948092</v>
      </c>
      <c r="EE426" s="25">
        <f t="shared" si="1474"/>
        <v>235.11363636166115</v>
      </c>
      <c r="EG426" s="4">
        <f t="shared" si="1391"/>
        <v>0.77524822695035456</v>
      </c>
      <c r="EH426" s="4">
        <f t="shared" si="1475"/>
        <v>6.6794137361809804</v>
      </c>
      <c r="EK426" s="4">
        <f t="shared" si="1459"/>
        <v>79.277668484889219</v>
      </c>
      <c r="EL426" s="4">
        <f t="shared" si="1460"/>
        <v>2.2135943621178655</v>
      </c>
      <c r="EM426" s="4">
        <f t="shared" si="1461"/>
        <v>0.1634036794271963</v>
      </c>
      <c r="EP426" s="4">
        <f t="shared" si="1301"/>
        <v>0.1634036794271963</v>
      </c>
      <c r="EQ426" s="4">
        <f t="shared" si="1257"/>
        <v>0.47334082516201326</v>
      </c>
      <c r="ER426" s="4">
        <f t="shared" si="1314"/>
        <v>4.9523112356550287</v>
      </c>
      <c r="ES426" s="4">
        <f t="shared" si="1286"/>
        <v>5.879761735540094</v>
      </c>
      <c r="ET426" s="4">
        <f t="shared" si="1315"/>
        <v>151.79883151511075</v>
      </c>
      <c r="EU426" s="4">
        <f t="shared" si="1316"/>
        <v>77.025500000000022</v>
      </c>
      <c r="EV426" s="4">
        <f t="shared" si="1385"/>
        <v>1.6422982705051901E-5</v>
      </c>
      <c r="EW426" s="4">
        <f t="shared" si="1287"/>
        <v>6.3438609703207192</v>
      </c>
      <c r="EX426" s="4">
        <f t="shared" si="1422"/>
        <v>436.23372608311223</v>
      </c>
      <c r="FG426" s="23">
        <f t="shared" si="1329"/>
        <v>1.2</v>
      </c>
      <c r="FH426" s="23">
        <f t="shared" si="1329"/>
        <v>0.8</v>
      </c>
      <c r="FI426" s="23">
        <f t="shared" si="1248"/>
        <v>1</v>
      </c>
      <c r="FJ426" s="23">
        <f t="shared" si="1330"/>
        <v>1.6</v>
      </c>
      <c r="FK426" s="23">
        <f t="shared" si="1330"/>
        <v>0.8</v>
      </c>
      <c r="FL426" s="23">
        <f t="shared" si="1330"/>
        <v>0.8</v>
      </c>
      <c r="FM426" s="23">
        <f t="shared" si="1478"/>
        <v>1</v>
      </c>
      <c r="FN426" s="23"/>
      <c r="FX426" s="4">
        <f t="shared" si="1386"/>
        <v>1</v>
      </c>
      <c r="FY426" s="4">
        <f t="shared" si="1429"/>
        <v>0.5</v>
      </c>
      <c r="FZ426" s="4">
        <f t="shared" si="1387"/>
        <v>0</v>
      </c>
      <c r="GA426" s="4">
        <f t="shared" si="1388"/>
        <v>362.73419996858587</v>
      </c>
    </row>
    <row r="427" spans="1:183" ht="12" customHeight="1" x14ac:dyDescent="0.3">
      <c r="A427" s="25">
        <v>409</v>
      </c>
      <c r="B427" s="4" t="s">
        <v>605</v>
      </c>
      <c r="C427" s="4">
        <v>2016</v>
      </c>
      <c r="D427" s="4" t="s">
        <v>309</v>
      </c>
      <c r="E427" s="14" t="s">
        <v>577</v>
      </c>
      <c r="F427" s="7" t="s">
        <v>579</v>
      </c>
      <c r="G427" s="38">
        <f t="shared" ref="G427:G433" si="1489">135/0.145</f>
        <v>931.0344827586207</v>
      </c>
      <c r="H427" s="38">
        <f>12.5*25.4</f>
        <v>317.5</v>
      </c>
      <c r="I427" s="4">
        <f t="shared" si="1288"/>
        <v>317.5</v>
      </c>
      <c r="J427" s="38">
        <f>5760/145</f>
        <v>39.724137931034484</v>
      </c>
      <c r="K427" s="38">
        <f t="shared" ref="K427:K449" si="1490">1.41*25.4</f>
        <v>35.813999999999993</v>
      </c>
      <c r="L427" s="7">
        <f t="shared" si="1289"/>
        <v>8.8652482269503565</v>
      </c>
      <c r="M427" s="7">
        <f t="shared" si="1290"/>
        <v>8.8652482269503565</v>
      </c>
      <c r="N427" s="38">
        <f>21.8*25.4</f>
        <v>553.72</v>
      </c>
      <c r="O427" s="38">
        <f>2.7*25.4</f>
        <v>68.58</v>
      </c>
      <c r="P427" s="39">
        <f>3.1*25.4</f>
        <v>78.739999999999995</v>
      </c>
      <c r="Q427" s="7">
        <f t="shared" si="1291"/>
        <v>344.93200000000002</v>
      </c>
      <c r="R427" s="38">
        <v>2</v>
      </c>
      <c r="S427" s="4">
        <f t="shared" si="1361"/>
        <v>508</v>
      </c>
      <c r="T427" s="7">
        <f t="shared" si="1292"/>
        <v>2.4148936170212769</v>
      </c>
      <c r="U427" s="7">
        <f t="shared" si="1414"/>
        <v>2.4148936170212769</v>
      </c>
      <c r="V427" s="38">
        <v>3.9</v>
      </c>
      <c r="W427" s="4">
        <f t="shared" si="1293"/>
        <v>3.9</v>
      </c>
      <c r="X427" s="4">
        <f t="shared" si="1294"/>
        <v>4.9000000000000004</v>
      </c>
      <c r="Y427" s="7">
        <f t="shared" si="1295"/>
        <v>79.277668484889219</v>
      </c>
      <c r="AB427" s="38">
        <f t="shared" si="1332"/>
        <v>390.34482758620692</v>
      </c>
      <c r="AC427" s="4">
        <v>56.6</v>
      </c>
      <c r="AD427" s="4">
        <f t="shared" si="1452"/>
        <v>0.8706995887826271</v>
      </c>
      <c r="AE427" s="38">
        <f t="shared" si="1479"/>
        <v>12.7</v>
      </c>
      <c r="AF427" s="38">
        <v>12</v>
      </c>
      <c r="AG427" s="39">
        <f>4*25.4</f>
        <v>101.6</v>
      </c>
      <c r="AH427" s="39">
        <v>2</v>
      </c>
      <c r="AI427" s="39">
        <f>AH427-1</f>
        <v>1</v>
      </c>
      <c r="AJ427" s="7"/>
      <c r="AK427" s="4">
        <f t="shared" si="1297"/>
        <v>317.5</v>
      </c>
      <c r="AL427" s="4">
        <f t="shared" si="1462"/>
        <v>0.58133333333333337</v>
      </c>
      <c r="AM427" s="4">
        <f t="shared" si="1463"/>
        <v>176.97719173373653</v>
      </c>
      <c r="AN427" s="4">
        <f t="shared" si="1464"/>
        <v>0.75447999999999993</v>
      </c>
      <c r="AO427" s="4">
        <v>1.25</v>
      </c>
      <c r="AP427" s="4">
        <f t="shared" si="1396"/>
        <v>2.5</v>
      </c>
      <c r="AQ427" s="38">
        <f t="shared" si="1266"/>
        <v>242.57178210833959</v>
      </c>
      <c r="AR427" s="38">
        <f t="shared" si="1465"/>
        <v>242.57178210833959</v>
      </c>
      <c r="AS427" s="38">
        <f t="shared" si="1466"/>
        <v>3.4926701740126327</v>
      </c>
      <c r="AT427" s="38">
        <f t="shared" si="1407"/>
        <v>242.57178210833953</v>
      </c>
      <c r="AU427" s="38">
        <f t="shared" si="1373"/>
        <v>1.0000000000000002</v>
      </c>
      <c r="AV427" s="38">
        <f t="shared" si="1249"/>
        <v>1.5619765341272129</v>
      </c>
      <c r="AW427" s="4">
        <f t="shared" si="1230"/>
        <v>0</v>
      </c>
      <c r="AX427" s="4">
        <f t="shared" si="1298"/>
        <v>294.07935690867322</v>
      </c>
      <c r="AY427" s="4">
        <f t="shared" si="1267"/>
        <v>1</v>
      </c>
      <c r="AZ427" s="38">
        <f t="shared" si="1389"/>
        <v>378.89143149464564</v>
      </c>
      <c r="BA427" s="4">
        <f t="shared" si="1268"/>
        <v>0.45399999999999996</v>
      </c>
      <c r="BB427" s="4">
        <f t="shared" si="1269"/>
        <v>69.760034649090912</v>
      </c>
      <c r="BC427" s="4">
        <f t="shared" si="1270"/>
        <v>448.65146614373657</v>
      </c>
      <c r="BE427" s="4">
        <f t="shared" si="1408"/>
        <v>1.5</v>
      </c>
      <c r="BF427" s="4">
        <f t="shared" si="1415"/>
        <v>535.05974513391641</v>
      </c>
      <c r="BH427" s="4">
        <f t="shared" si="1416"/>
        <v>363.40321820612149</v>
      </c>
      <c r="BI427" s="4">
        <f t="shared" si="1350"/>
        <v>0</v>
      </c>
      <c r="BJ427" s="4">
        <f t="shared" si="1417"/>
        <v>0</v>
      </c>
      <c r="BR427" s="4">
        <f t="shared" si="1271"/>
        <v>68.58</v>
      </c>
      <c r="BV427" s="9"/>
      <c r="BX427" s="9"/>
      <c r="BY427" s="9"/>
      <c r="BZ427" s="9">
        <f t="shared" si="1272"/>
        <v>68.58</v>
      </c>
      <c r="CA427" s="9">
        <f t="shared" si="1273"/>
        <v>172.46600000000001</v>
      </c>
      <c r="CB427" s="9">
        <f t="shared" si="1374"/>
        <v>1.5890890215144411</v>
      </c>
      <c r="CC427" s="40">
        <f t="shared" si="1299"/>
        <v>20</v>
      </c>
      <c r="CD427" s="9">
        <f t="shared" si="1274"/>
        <v>0.05</v>
      </c>
      <c r="CE427" s="9">
        <f t="shared" si="1275"/>
        <v>0.8</v>
      </c>
      <c r="CF427" s="9">
        <f t="shared" si="1276"/>
        <v>0.89777220146327208</v>
      </c>
      <c r="CG427" s="9">
        <f t="shared" si="1277"/>
        <v>0.68</v>
      </c>
      <c r="CH427" s="9">
        <f t="shared" si="1375"/>
        <v>1.3466984227273664</v>
      </c>
      <c r="CI427" s="9">
        <f t="shared" si="1376"/>
        <v>3.217382417028765</v>
      </c>
      <c r="CJ427" s="40">
        <v>1</v>
      </c>
      <c r="CK427" s="9">
        <f t="shared" si="1377"/>
        <v>307.13452009366796</v>
      </c>
      <c r="CM427" s="4">
        <f t="shared" si="1278"/>
        <v>1.3273452162350488</v>
      </c>
      <c r="CN427" s="4">
        <f t="shared" si="1279"/>
        <v>0.87004023622459381</v>
      </c>
      <c r="CO427" s="4">
        <f t="shared" si="1242"/>
        <v>0.72953503068804071</v>
      </c>
      <c r="CP427" s="4">
        <f t="shared" si="1280"/>
        <v>1.2709246341543179</v>
      </c>
      <c r="CQ427" s="4">
        <f t="shared" si="1476"/>
        <v>0.8706995887826271</v>
      </c>
      <c r="CR427" s="4">
        <f t="shared" si="1477"/>
        <v>0.93377048827409681</v>
      </c>
      <c r="CS427" s="4">
        <f t="shared" si="1243"/>
        <v>0.92343789210776062</v>
      </c>
      <c r="CT427" s="4">
        <f t="shared" si="1300"/>
        <v>12</v>
      </c>
      <c r="DA427" s="4">
        <f t="shared" ref="DA427:DB427" si="1491">CM427</f>
        <v>1.3273452162350488</v>
      </c>
      <c r="DB427" s="4">
        <f t="shared" si="1491"/>
        <v>0.87004023622459381</v>
      </c>
      <c r="DC427" s="4">
        <f t="shared" ref="DC427" si="1492">CP427</f>
        <v>1.2709246341543179</v>
      </c>
      <c r="DD427" s="4">
        <f t="shared" ref="DD427" si="1493">CS427</f>
        <v>0.92343789210776062</v>
      </c>
      <c r="DE427" s="4">
        <f t="shared" ref="DE427:DF427" si="1494">CQ427</f>
        <v>0.8706995887826271</v>
      </c>
      <c r="DF427" s="4">
        <f t="shared" si="1494"/>
        <v>0.93377048827409681</v>
      </c>
      <c r="DI427" s="4">
        <f t="shared" si="1285"/>
        <v>317.5</v>
      </c>
      <c r="DL427" s="4">
        <f t="shared" si="1453"/>
        <v>1.6923931064562959E-5</v>
      </c>
      <c r="DM427" s="4">
        <f t="shared" si="1313"/>
        <v>6.7084964135054195</v>
      </c>
      <c r="DN427" s="4">
        <f t="shared" si="1454"/>
        <v>0.48299088697336229</v>
      </c>
      <c r="DO427" s="4">
        <f t="shared" si="1455"/>
        <v>5.0141897708041316</v>
      </c>
      <c r="DP427" s="4">
        <f t="shared" si="1456"/>
        <v>5.92237204977069</v>
      </c>
      <c r="DQ427" s="4">
        <f t="shared" si="1457"/>
        <v>6.3474171439442504</v>
      </c>
      <c r="DR427" s="38">
        <f t="shared" si="1471"/>
        <v>448.31171694013256</v>
      </c>
      <c r="DS427" s="4">
        <f t="shared" si="1382"/>
        <v>1.0001200187532864</v>
      </c>
      <c r="DT427" s="4">
        <f t="shared" si="1458"/>
        <v>2.2135943621178655</v>
      </c>
      <c r="DU427" s="4">
        <f t="shared" si="1390"/>
        <v>242.57178210833953</v>
      </c>
      <c r="DY427" s="4">
        <f t="shared" si="1331"/>
        <v>0.85</v>
      </c>
      <c r="DZ427" s="4">
        <f t="shared" si="1383"/>
        <v>0.90851063829787226</v>
      </c>
      <c r="EA427" s="4">
        <f t="shared" si="1472"/>
        <v>0.9995510789195714</v>
      </c>
      <c r="EB427" s="4">
        <f t="shared" si="1384"/>
        <v>0.90810278872054673</v>
      </c>
      <c r="ED427" s="4">
        <f t="shared" si="1473"/>
        <v>418.03080359466878</v>
      </c>
      <c r="EE427" s="25">
        <f t="shared" si="1474"/>
        <v>239.61334578867351</v>
      </c>
      <c r="EG427" s="4">
        <f t="shared" si="1391"/>
        <v>0.77188737041246469</v>
      </c>
      <c r="EH427" s="4">
        <f t="shared" si="1475"/>
        <v>6.7084964135054195</v>
      </c>
      <c r="EK427" s="4">
        <f t="shared" si="1459"/>
        <v>79.277668484889219</v>
      </c>
      <c r="EL427" s="4">
        <f t="shared" si="1460"/>
        <v>2.2135943621178655</v>
      </c>
      <c r="EM427" s="4">
        <f t="shared" si="1461"/>
        <v>0.16645676212454794</v>
      </c>
      <c r="EP427" s="4">
        <f t="shared" si="1301"/>
        <v>0.16645676212454794</v>
      </c>
      <c r="EQ427" s="4">
        <f t="shared" si="1257"/>
        <v>0.4821848652002681</v>
      </c>
      <c r="ER427" s="4">
        <f t="shared" si="1314"/>
        <v>5.0108409943217955</v>
      </c>
      <c r="ES427" s="4">
        <f t="shared" si="1286"/>
        <v>5.9209557835987123</v>
      </c>
      <c r="ET427" s="4">
        <f t="shared" si="1315"/>
        <v>158.8473315151108</v>
      </c>
      <c r="EU427" s="4">
        <f t="shared" si="1316"/>
        <v>79.375</v>
      </c>
      <c r="EV427" s="4">
        <f t="shared" si="1385"/>
        <v>1.6923931064562959E-5</v>
      </c>
      <c r="EW427" s="4">
        <f t="shared" si="1287"/>
        <v>6.347527515676302</v>
      </c>
      <c r="EX427" s="4">
        <f t="shared" si="1422"/>
        <v>448.25791758371344</v>
      </c>
      <c r="FG427" s="23">
        <f t="shared" si="1329"/>
        <v>1.4</v>
      </c>
      <c r="FH427" s="23">
        <f t="shared" si="1329"/>
        <v>1</v>
      </c>
      <c r="FI427" s="23">
        <f t="shared" si="1248"/>
        <v>1</v>
      </c>
      <c r="FJ427" s="23">
        <f t="shared" si="1330"/>
        <v>1.4</v>
      </c>
      <c r="FK427" s="23">
        <f t="shared" si="1330"/>
        <v>1</v>
      </c>
      <c r="FL427" s="23">
        <f t="shared" si="1330"/>
        <v>1</v>
      </c>
      <c r="FM427" s="23">
        <f t="shared" si="1478"/>
        <v>0</v>
      </c>
      <c r="FN427" s="23"/>
      <c r="FX427" s="4">
        <f t="shared" si="1386"/>
        <v>1</v>
      </c>
      <c r="FY427" s="4">
        <f t="shared" si="1429"/>
        <v>0.44214730608235164</v>
      </c>
      <c r="FZ427" s="4">
        <f t="shared" si="1387"/>
        <v>0.25149640360142855</v>
      </c>
      <c r="GA427" s="4">
        <f t="shared" si="1388"/>
        <v>422.7082632436049</v>
      </c>
    </row>
    <row r="428" spans="1:183" ht="12" customHeight="1" x14ac:dyDescent="0.3">
      <c r="A428" s="25">
        <v>410</v>
      </c>
      <c r="B428" s="4" t="s">
        <v>605</v>
      </c>
      <c r="C428" s="4">
        <v>2016</v>
      </c>
      <c r="D428" s="4" t="s">
        <v>309</v>
      </c>
      <c r="E428" s="14" t="s">
        <v>678</v>
      </c>
      <c r="F428" s="7" t="s">
        <v>580</v>
      </c>
      <c r="G428" s="38">
        <f t="shared" si="1489"/>
        <v>931.0344827586207</v>
      </c>
      <c r="H428" s="38">
        <f>17.25*25.4</f>
        <v>438.15</v>
      </c>
      <c r="I428" s="4">
        <f t="shared" si="1288"/>
        <v>438.15</v>
      </c>
      <c r="J428" s="38">
        <f>5760/145</f>
        <v>39.724137931034484</v>
      </c>
      <c r="K428" s="38">
        <f t="shared" si="1490"/>
        <v>35.813999999999993</v>
      </c>
      <c r="L428" s="7">
        <f t="shared" si="1289"/>
        <v>12.234042553191491</v>
      </c>
      <c r="M428" s="7">
        <f t="shared" si="1290"/>
        <v>12.234042553191491</v>
      </c>
      <c r="N428" s="38">
        <f>21.9*25.4</f>
        <v>556.25999999999988</v>
      </c>
      <c r="O428" s="38">
        <f>2.75*25.4</f>
        <v>69.849999999999994</v>
      </c>
      <c r="P428" s="39">
        <f>3.25*25.4</f>
        <v>82.55</v>
      </c>
      <c r="Q428" s="7">
        <f t="shared" si="1291"/>
        <v>344.9319999999999</v>
      </c>
      <c r="R428" s="38">
        <v>2</v>
      </c>
      <c r="S428" s="4">
        <f t="shared" si="1361"/>
        <v>508</v>
      </c>
      <c r="T428" s="7">
        <f t="shared" si="1292"/>
        <v>2.4503546099290783</v>
      </c>
      <c r="U428" s="7">
        <f t="shared" si="1414"/>
        <v>2.4503546099290783</v>
      </c>
      <c r="V428" s="38">
        <v>3.9</v>
      </c>
      <c r="W428" s="4">
        <f t="shared" si="1293"/>
        <v>3.9</v>
      </c>
      <c r="X428" s="4">
        <f t="shared" si="1294"/>
        <v>4.9000000000000004</v>
      </c>
      <c r="Y428" s="7">
        <f t="shared" si="1295"/>
        <v>79.277668484889219</v>
      </c>
      <c r="AB428" s="38">
        <f t="shared" si="1332"/>
        <v>586.89655172413791</v>
      </c>
      <c r="AC428" s="4">
        <v>85.1</v>
      </c>
      <c r="AD428" s="4">
        <f t="shared" si="1452"/>
        <v>1.0281950348313329</v>
      </c>
      <c r="AE428" s="38"/>
      <c r="AF428" s="38"/>
      <c r="AG428" s="39">
        <v>1</v>
      </c>
      <c r="AH428" s="39"/>
      <c r="AI428" s="39"/>
      <c r="AJ428" s="7"/>
      <c r="AK428" s="4">
        <f t="shared" si="1297"/>
        <v>438.15</v>
      </c>
      <c r="AL428" s="4">
        <f t="shared" si="1462"/>
        <v>0.42318840579710132</v>
      </c>
      <c r="AM428" s="4">
        <f t="shared" si="1463"/>
        <v>286.90355464864228</v>
      </c>
      <c r="AN428" s="4">
        <f t="shared" si="1464"/>
        <v>0.74005797101449267</v>
      </c>
      <c r="AO428" s="4">
        <v>1.25</v>
      </c>
      <c r="AP428" s="4">
        <f t="shared" si="1396"/>
        <v>2.5</v>
      </c>
      <c r="AQ428" s="38">
        <f t="shared" si="1266"/>
        <v>280.79246675178877</v>
      </c>
      <c r="AR428" s="38">
        <f t="shared" si="1465"/>
        <v>280.79246675178877</v>
      </c>
      <c r="AS428" s="38">
        <f t="shared" si="1466"/>
        <v>3.4926701740126327</v>
      </c>
      <c r="AT428" s="38">
        <f t="shared" si="1407"/>
        <v>280.79246675178882</v>
      </c>
      <c r="AU428" s="38">
        <f t="shared" si="1373"/>
        <v>0.99999999999999978</v>
      </c>
      <c r="AV428" s="38">
        <f t="shared" si="1249"/>
        <v>1.3691791192677361</v>
      </c>
      <c r="AW428" s="4">
        <f t="shared" si="1230"/>
        <v>0</v>
      </c>
      <c r="AX428" s="4">
        <f t="shared" si="1298"/>
        <v>405.82951253396902</v>
      </c>
      <c r="AY428" s="4">
        <f t="shared" si="1267"/>
        <v>1</v>
      </c>
      <c r="AZ428" s="38">
        <f t="shared" si="1389"/>
        <v>384.45518232422927</v>
      </c>
      <c r="BA428" s="4">
        <f t="shared" si="1268"/>
        <v>0.45399999999999996</v>
      </c>
      <c r="BB428" s="4">
        <f t="shared" si="1269"/>
        <v>96.26884781574546</v>
      </c>
      <c r="BC428" s="4">
        <f t="shared" si="1270"/>
        <v>480.72403013997473</v>
      </c>
      <c r="BE428" s="4">
        <f t="shared" si="1408"/>
        <v>1.2375886524822697</v>
      </c>
      <c r="BF428" s="4">
        <f t="shared" si="1415"/>
        <v>520.28732562540654</v>
      </c>
      <c r="BH428" s="4">
        <f t="shared" si="1416"/>
        <v>368.7395356540822</v>
      </c>
      <c r="BI428" s="4">
        <f t="shared" si="1350"/>
        <v>0</v>
      </c>
      <c r="BJ428" s="4">
        <f t="shared" si="1417"/>
        <v>0</v>
      </c>
      <c r="BR428" s="4">
        <f t="shared" si="1271"/>
        <v>69.849999999999994</v>
      </c>
      <c r="BV428" s="9"/>
      <c r="BX428" s="9"/>
      <c r="BY428" s="9"/>
      <c r="BZ428" s="9">
        <f t="shared" si="1272"/>
        <v>69.849999999999994</v>
      </c>
      <c r="CA428" s="9">
        <f t="shared" si="1273"/>
        <v>172.46599999999995</v>
      </c>
      <c r="CB428" s="9">
        <f t="shared" si="1374"/>
        <v>1.5993273076622354</v>
      </c>
      <c r="CC428" s="40">
        <f t="shared" si="1299"/>
        <v>0</v>
      </c>
      <c r="CD428" s="9">
        <f t="shared" si="1274"/>
        <v>0</v>
      </c>
      <c r="CE428" s="9">
        <f t="shared" si="1275"/>
        <v>0</v>
      </c>
      <c r="CF428" s="9">
        <f t="shared" si="1276"/>
        <v>0.89777220146327208</v>
      </c>
      <c r="CG428" s="9">
        <f t="shared" si="1277"/>
        <v>0.68</v>
      </c>
      <c r="CH428" s="9">
        <f t="shared" si="1375"/>
        <v>1.3466984227273664</v>
      </c>
      <c r="CI428" s="9">
        <f t="shared" si="1376"/>
        <v>2.1538115626535377</v>
      </c>
      <c r="CJ428" s="40">
        <v>1</v>
      </c>
      <c r="CK428" s="9">
        <f t="shared" si="1377"/>
        <v>234.62798299544923</v>
      </c>
      <c r="CM428" s="4">
        <f t="shared" si="1278"/>
        <v>1.4461652827060305</v>
      </c>
      <c r="CN428" s="4">
        <f t="shared" si="1279"/>
        <v>1.2208596095211808</v>
      </c>
      <c r="CO428" s="4">
        <f t="shared" si="1242"/>
        <v>1.1280239260463714</v>
      </c>
      <c r="CP428" s="4">
        <f t="shared" si="1280"/>
        <v>2.5013919662580109</v>
      </c>
      <c r="CQ428" s="4">
        <f t="shared" si="1476"/>
        <v>1.0281950348313329</v>
      </c>
      <c r="CR428" s="4">
        <f t="shared" si="1477"/>
        <v>1.1167546869959355</v>
      </c>
      <c r="CS428" s="4">
        <f t="shared" si="1243"/>
        <v>1.1377445264616732</v>
      </c>
      <c r="CT428" s="4">
        <f t="shared" si="1300"/>
        <v>0</v>
      </c>
      <c r="CU428" s="4">
        <f t="shared" ref="CU428:CV428" si="1495">CM428</f>
        <v>1.4461652827060305</v>
      </c>
      <c r="CV428" s="4">
        <f t="shared" si="1495"/>
        <v>1.2208596095211808</v>
      </c>
      <c r="CW428" s="4">
        <f t="shared" ref="CW428" si="1496">CP428</f>
        <v>2.5013919662580109</v>
      </c>
      <c r="CX428" s="4">
        <f t="shared" ref="CX428" si="1497">CS428</f>
        <v>1.1377445264616732</v>
      </c>
      <c r="CY428" s="4">
        <f t="shared" ref="CY428:CZ428" si="1498">CQ428</f>
        <v>1.0281950348313329</v>
      </c>
      <c r="CZ428" s="4">
        <f t="shared" si="1498"/>
        <v>1.1167546869959355</v>
      </c>
      <c r="DI428" s="4">
        <f t="shared" si="1285"/>
        <v>438.15</v>
      </c>
      <c r="DL428" s="4">
        <f t="shared" si="1453"/>
        <v>2.3355024869096883E-5</v>
      </c>
      <c r="DM428" s="4">
        <f t="shared" si="1313"/>
        <v>6.7317602388156281</v>
      </c>
      <c r="DN428" s="4">
        <f t="shared" si="1454"/>
        <v>0.55909307089689819</v>
      </c>
      <c r="DO428" s="4">
        <f t="shared" si="1455"/>
        <v>5.3348508677845992</v>
      </c>
      <c r="DP428" s="4">
        <f t="shared" si="1456"/>
        <v>6.0736531857113283</v>
      </c>
      <c r="DQ428" s="4">
        <f t="shared" si="1457"/>
        <v>6.0189362004704252</v>
      </c>
      <c r="DR428" s="38">
        <f t="shared" si="1471"/>
        <v>570.80274835251817</v>
      </c>
      <c r="DS428" s="4">
        <f t="shared" si="1382"/>
        <v>1.0001271266917837</v>
      </c>
      <c r="DT428" s="4">
        <f t="shared" si="1458"/>
        <v>2.2135943621178655</v>
      </c>
      <c r="DU428" s="4">
        <f t="shared" si="1390"/>
        <v>280.79246675178882</v>
      </c>
      <c r="DY428" s="4">
        <f t="shared" si="1331"/>
        <v>0.85</v>
      </c>
      <c r="DZ428" s="4">
        <f t="shared" si="1383"/>
        <v>0.90496453900709217</v>
      </c>
      <c r="EA428" s="4">
        <f t="shared" si="1472"/>
        <v>1</v>
      </c>
      <c r="EB428" s="4">
        <f t="shared" si="1384"/>
        <v>0.90496453900709217</v>
      </c>
      <c r="ED428" s="4">
        <f t="shared" si="1473"/>
        <v>525.53757647786256</v>
      </c>
      <c r="EE428" s="25">
        <f t="shared" si="1474"/>
        <v>278.46765281920381</v>
      </c>
      <c r="EG428" s="4">
        <f t="shared" si="1391"/>
        <v>0.76921985815602834</v>
      </c>
      <c r="EH428" s="4">
        <f t="shared" si="1475"/>
        <v>6.7317602388156281</v>
      </c>
      <c r="EK428" s="4">
        <f t="shared" si="1459"/>
        <v>79.277668484889219</v>
      </c>
      <c r="EL428" s="4">
        <f t="shared" si="1460"/>
        <v>2.2135943621178655</v>
      </c>
      <c r="EM428" s="4">
        <f t="shared" si="1461"/>
        <v>0.19268442701052596</v>
      </c>
      <c r="EP428" s="4">
        <f t="shared" si="1301"/>
        <v>0.19268442701052596</v>
      </c>
      <c r="EQ428" s="4">
        <f t="shared" si="1257"/>
        <v>0.5581600487623547</v>
      </c>
      <c r="ER428" s="4">
        <f t="shared" si="1314"/>
        <v>5.3312879346010904</v>
      </c>
      <c r="ES428" s="4">
        <f t="shared" si="1286"/>
        <v>6.0720893144862593</v>
      </c>
      <c r="ET428" s="4">
        <f t="shared" si="1315"/>
        <v>249.33483151511075</v>
      </c>
      <c r="EU428" s="4">
        <f t="shared" si="1316"/>
        <v>109.53750000000002</v>
      </c>
      <c r="EV428" s="4">
        <f t="shared" si="1385"/>
        <v>2.3355024869096893E-5</v>
      </c>
      <c r="EW428" s="4">
        <f t="shared" si="1287"/>
        <v>6.0191440474744464</v>
      </c>
      <c r="EX428" s="4">
        <f t="shared" si="1422"/>
        <v>570.73019331114142</v>
      </c>
      <c r="FG428" s="23">
        <f t="shared" si="1329"/>
        <v>1.6</v>
      </c>
      <c r="FH428" s="23">
        <f t="shared" si="1329"/>
        <v>1.4</v>
      </c>
      <c r="FI428" s="23">
        <f t="shared" si="1248"/>
        <v>1.2</v>
      </c>
      <c r="FJ428" s="23">
        <f t="shared" si="1330"/>
        <v>2.2000000000000002</v>
      </c>
      <c r="FK428" s="23">
        <f t="shared" si="1330"/>
        <v>1.2</v>
      </c>
      <c r="FL428" s="23">
        <f t="shared" si="1330"/>
        <v>1.2</v>
      </c>
      <c r="FM428" s="23">
        <f t="shared" si="1478"/>
        <v>0</v>
      </c>
      <c r="FN428" s="23"/>
      <c r="FX428" s="4">
        <f t="shared" si="1386"/>
        <v>1</v>
      </c>
      <c r="FY428" s="4">
        <f t="shared" si="1429"/>
        <v>0.5</v>
      </c>
      <c r="FZ428" s="4">
        <f t="shared" si="1387"/>
        <v>0</v>
      </c>
      <c r="GA428" s="4">
        <f t="shared" si="1388"/>
        <v>515.84212279127007</v>
      </c>
    </row>
    <row r="429" spans="1:183" ht="12" customHeight="1" x14ac:dyDescent="0.3">
      <c r="A429" s="25">
        <v>411</v>
      </c>
      <c r="B429" s="4" t="s">
        <v>605</v>
      </c>
      <c r="C429" s="4">
        <v>2016</v>
      </c>
      <c r="D429" s="4" t="s">
        <v>309</v>
      </c>
      <c r="E429" s="14" t="s">
        <v>678</v>
      </c>
      <c r="F429" s="7" t="s">
        <v>581</v>
      </c>
      <c r="G429" s="38">
        <f t="shared" si="1489"/>
        <v>931.0344827586207</v>
      </c>
      <c r="H429" s="38">
        <f>16.94*25.4</f>
        <v>430.27600000000001</v>
      </c>
      <c r="I429" s="4">
        <f t="shared" si="1288"/>
        <v>430.27600000000001</v>
      </c>
      <c r="J429" s="38">
        <f>5970/145</f>
        <v>41.172413793103445</v>
      </c>
      <c r="K429" s="38">
        <f t="shared" si="1490"/>
        <v>35.813999999999993</v>
      </c>
      <c r="L429" s="7">
        <f t="shared" si="1289"/>
        <v>12.014184397163124</v>
      </c>
      <c r="M429" s="7">
        <f t="shared" si="1290"/>
        <v>12.014184397163124</v>
      </c>
      <c r="N429" s="38">
        <f>21.5*25.4</f>
        <v>546.1</v>
      </c>
      <c r="O429" s="38">
        <f>2.55*25.4</f>
        <v>64.77</v>
      </c>
      <c r="P429" s="39">
        <f>3.7*25.4</f>
        <v>93.98</v>
      </c>
      <c r="Q429" s="7">
        <f t="shared" si="1291"/>
        <v>344.93200000000002</v>
      </c>
      <c r="R429" s="38">
        <v>2</v>
      </c>
      <c r="S429" s="4">
        <f t="shared" si="1361"/>
        <v>508</v>
      </c>
      <c r="T429" s="7">
        <f t="shared" si="1292"/>
        <v>2.3085106382978724</v>
      </c>
      <c r="U429" s="7">
        <f t="shared" si="1414"/>
        <v>2.3085106382978724</v>
      </c>
      <c r="V429" s="38">
        <v>3.9</v>
      </c>
      <c r="W429" s="4">
        <f t="shared" si="1293"/>
        <v>3.9</v>
      </c>
      <c r="X429" s="4">
        <f t="shared" si="1294"/>
        <v>4.9000000000000004</v>
      </c>
      <c r="Y429" s="7">
        <f t="shared" si="1295"/>
        <v>79.277668484889219</v>
      </c>
      <c r="AB429" s="38">
        <f t="shared" si="1332"/>
        <v>671.72413793103453</v>
      </c>
      <c r="AC429" s="4">
        <v>97.4</v>
      </c>
      <c r="AD429" s="4">
        <f t="shared" si="1452"/>
        <v>1.1970277979743196</v>
      </c>
      <c r="AE429" s="38">
        <f t="shared" si="1479"/>
        <v>12.7</v>
      </c>
      <c r="AF429" s="38">
        <v>12</v>
      </c>
      <c r="AG429" s="39">
        <f>4*25.4</f>
        <v>101.6</v>
      </c>
      <c r="AH429" s="39">
        <v>2</v>
      </c>
      <c r="AI429" s="39">
        <f>AH429-1</f>
        <v>1</v>
      </c>
      <c r="AJ429" s="7"/>
      <c r="AK429" s="4">
        <f t="shared" si="1297"/>
        <v>430.27600000000001</v>
      </c>
      <c r="AL429" s="4">
        <f t="shared" si="1462"/>
        <v>0.42306178669815031</v>
      </c>
      <c r="AM429" s="4">
        <f t="shared" si="1463"/>
        <v>284.24858588831904</v>
      </c>
      <c r="AN429" s="4">
        <f t="shared" si="1464"/>
        <v>0.73842975206611561</v>
      </c>
      <c r="AO429" s="4">
        <v>1.25</v>
      </c>
      <c r="AP429" s="4">
        <f t="shared" si="1396"/>
        <v>2.5</v>
      </c>
      <c r="AQ429" s="38">
        <f t="shared" si="1266"/>
        <v>277.49893467489983</v>
      </c>
      <c r="AR429" s="38">
        <f t="shared" si="1465"/>
        <v>277.49893467489983</v>
      </c>
      <c r="AS429" s="38">
        <f t="shared" si="1466"/>
        <v>3.5770538153249696</v>
      </c>
      <c r="AT429" s="38">
        <f t="shared" si="1407"/>
        <v>277.49893467490006</v>
      </c>
      <c r="AU429" s="38">
        <f t="shared" si="1373"/>
        <v>0.99999999999999922</v>
      </c>
      <c r="AV429" s="38">
        <f t="shared" si="1249"/>
        <v>1.3528174236246544</v>
      </c>
      <c r="AW429" s="4">
        <f t="shared" si="1230"/>
        <v>0</v>
      </c>
      <c r="AX429" s="4">
        <f t="shared" si="1298"/>
        <v>405.73629287821291</v>
      </c>
      <c r="AY429" s="4">
        <f t="shared" si="1267"/>
        <v>1</v>
      </c>
      <c r="AZ429" s="38">
        <f t="shared" si="1389"/>
        <v>375.4053938654846</v>
      </c>
      <c r="BA429" s="4">
        <f t="shared" si="1268"/>
        <v>0.45399999999999996</v>
      </c>
      <c r="BB429" s="4">
        <f t="shared" si="1269"/>
        <v>96.246734715105291</v>
      </c>
      <c r="BC429" s="4">
        <f t="shared" si="1270"/>
        <v>471.65212858058987</v>
      </c>
      <c r="BE429" s="4">
        <f t="shared" si="1408"/>
        <v>1.5</v>
      </c>
      <c r="BF429" s="4">
        <f t="shared" si="1415"/>
        <v>635.65033199253048</v>
      </c>
      <c r="BH429" s="4">
        <f t="shared" si="1416"/>
        <v>360.05968180513355</v>
      </c>
      <c r="BI429" s="4">
        <f t="shared" si="1350"/>
        <v>0</v>
      </c>
      <c r="BJ429" s="4">
        <f t="shared" si="1417"/>
        <v>0</v>
      </c>
      <c r="BR429" s="4">
        <f t="shared" si="1271"/>
        <v>64.77</v>
      </c>
      <c r="BV429" s="9"/>
      <c r="BX429" s="9"/>
      <c r="BY429" s="9"/>
      <c r="BZ429" s="9">
        <f t="shared" si="1272"/>
        <v>64.77</v>
      </c>
      <c r="CA429" s="9">
        <f t="shared" si="1273"/>
        <v>172.46600000000001</v>
      </c>
      <c r="CB429" s="9">
        <f t="shared" si="1374"/>
        <v>1.5576144696639249</v>
      </c>
      <c r="CC429" s="40">
        <f t="shared" si="1299"/>
        <v>20</v>
      </c>
      <c r="CD429" s="9">
        <f t="shared" si="1274"/>
        <v>0.05</v>
      </c>
      <c r="CE429" s="9">
        <f t="shared" si="1275"/>
        <v>0.8</v>
      </c>
      <c r="CF429" s="9">
        <f t="shared" si="1276"/>
        <v>0.89777220146327208</v>
      </c>
      <c r="CG429" s="9">
        <f t="shared" si="1277"/>
        <v>0.68</v>
      </c>
      <c r="CH429" s="9">
        <f t="shared" si="1375"/>
        <v>1.3710278453315501</v>
      </c>
      <c r="CI429" s="9">
        <f t="shared" si="1376"/>
        <v>3.2323550864658164</v>
      </c>
      <c r="CJ429" s="40">
        <v>1</v>
      </c>
      <c r="CK429" s="9">
        <f t="shared" si="1377"/>
        <v>349.27774537158291</v>
      </c>
      <c r="CM429" s="4">
        <f t="shared" si="1278"/>
        <v>1.6555682834433088</v>
      </c>
      <c r="CN429" s="4">
        <f t="shared" si="1279"/>
        <v>1.4241940133982856</v>
      </c>
      <c r="CO429" s="4">
        <f t="shared" si="1242"/>
        <v>1.056751021942246</v>
      </c>
      <c r="CP429" s="4">
        <f t="shared" si="1280"/>
        <v>1.9231804683588229</v>
      </c>
      <c r="CQ429" s="4">
        <f t="shared" si="1476"/>
        <v>1.1970277979743196</v>
      </c>
      <c r="CR429" s="4">
        <f t="shared" si="1477"/>
        <v>1.2956424138648808</v>
      </c>
      <c r="CS429" s="4">
        <f t="shared" si="1243"/>
        <v>1.1621411039397247</v>
      </c>
      <c r="CT429" s="4">
        <f t="shared" si="1300"/>
        <v>12</v>
      </c>
      <c r="DA429" s="4">
        <f t="shared" ref="DA429:DB429" si="1499">CM429</f>
        <v>1.6555682834433088</v>
      </c>
      <c r="DB429" s="4">
        <f t="shared" si="1499"/>
        <v>1.4241940133982856</v>
      </c>
      <c r="DC429" s="4">
        <f t="shared" ref="DC429" si="1500">CP429</f>
        <v>1.9231804683588229</v>
      </c>
      <c r="DD429" s="4">
        <f t="shared" ref="DD429" si="1501">CS429</f>
        <v>1.1621411039397247</v>
      </c>
      <c r="DE429" s="4">
        <f t="shared" ref="DE429:DF429" si="1502">CQ429</f>
        <v>1.1970277979743196</v>
      </c>
      <c r="DF429" s="4">
        <f t="shared" si="1502"/>
        <v>1.2956424138648808</v>
      </c>
      <c r="DI429" s="4">
        <f t="shared" si="1285"/>
        <v>430.27600000000001</v>
      </c>
      <c r="DL429" s="4">
        <f t="shared" si="1453"/>
        <v>2.3155863189575028E-5</v>
      </c>
      <c r="DM429" s="4">
        <f t="shared" si="1313"/>
        <v>6.7506445941972286</v>
      </c>
      <c r="DN429" s="4">
        <f t="shared" si="1454"/>
        <v>0.53309932205670096</v>
      </c>
      <c r="DO429" s="4">
        <f t="shared" si="1455"/>
        <v>5.248902383941342</v>
      </c>
      <c r="DP429" s="4">
        <f t="shared" si="1456"/>
        <v>6.0466489501837426</v>
      </c>
      <c r="DQ429" s="4">
        <f t="shared" si="1457"/>
        <v>6.0585023027312088</v>
      </c>
      <c r="DR429" s="38">
        <f t="shared" si="1471"/>
        <v>561.16001572207881</v>
      </c>
      <c r="DS429" s="4">
        <f t="shared" si="1382"/>
        <v>1.0001247299749658</v>
      </c>
      <c r="DT429" s="4">
        <f t="shared" si="1458"/>
        <v>2.2135943621178655</v>
      </c>
      <c r="DU429" s="4">
        <f t="shared" si="1390"/>
        <v>277.49893467490006</v>
      </c>
      <c r="DY429" s="4">
        <f t="shared" si="1331"/>
        <v>0.85</v>
      </c>
      <c r="DZ429" s="4">
        <f t="shared" si="1383"/>
        <v>0.91914893617021276</v>
      </c>
      <c r="EA429" s="4">
        <f t="shared" si="1472"/>
        <v>0.9995510789195714</v>
      </c>
      <c r="EB429" s="4">
        <f t="shared" si="1384"/>
        <v>0.91873631083671248</v>
      </c>
      <c r="ED429" s="4">
        <f t="shared" si="1473"/>
        <v>518.44870987766762</v>
      </c>
      <c r="EE429" s="25">
        <f t="shared" si="1474"/>
        <v>275.13824301447386</v>
      </c>
      <c r="EG429" s="4">
        <f t="shared" si="1391"/>
        <v>0.78092586421120558</v>
      </c>
      <c r="EH429" s="4">
        <f t="shared" si="1475"/>
        <v>6.7506445941972286</v>
      </c>
      <c r="EK429" s="4">
        <f t="shared" si="1459"/>
        <v>79.277668484889219</v>
      </c>
      <c r="EL429" s="4">
        <f t="shared" si="1460"/>
        <v>2.2135943621178655</v>
      </c>
      <c r="EM429" s="4">
        <f t="shared" si="1461"/>
        <v>0.1870451967137802</v>
      </c>
      <c r="EP429" s="4">
        <f t="shared" si="1301"/>
        <v>0.1870451967137802</v>
      </c>
      <c r="EQ429" s="4">
        <f t="shared" si="1257"/>
        <v>0.53220967864439561</v>
      </c>
      <c r="ER429" s="4">
        <f t="shared" si="1314"/>
        <v>5.2453968523071453</v>
      </c>
      <c r="ES429" s="4">
        <f t="shared" si="1286"/>
        <v>6.0451284632882327</v>
      </c>
      <c r="ET429" s="4">
        <f t="shared" si="1315"/>
        <v>243.42933151511079</v>
      </c>
      <c r="EU429" s="4">
        <f t="shared" si="1316"/>
        <v>107.56900000000002</v>
      </c>
      <c r="EV429" s="4">
        <f t="shared" si="1385"/>
        <v>2.3155863189575032E-5</v>
      </c>
      <c r="EW429" s="4">
        <f t="shared" si="1287"/>
        <v>6.0587015521833836</v>
      </c>
      <c r="EX429" s="4">
        <f t="shared" si="1422"/>
        <v>561.09003097656159</v>
      </c>
      <c r="FG429" s="23">
        <f t="shared" si="1329"/>
        <v>1.8</v>
      </c>
      <c r="FH429" s="23">
        <f t="shared" si="1329"/>
        <v>1.6</v>
      </c>
      <c r="FI429" s="23">
        <f t="shared" si="1248"/>
        <v>1.2</v>
      </c>
      <c r="FJ429" s="23">
        <f t="shared" si="1330"/>
        <v>2</v>
      </c>
      <c r="FK429" s="23">
        <f t="shared" si="1330"/>
        <v>1.2</v>
      </c>
      <c r="FL429" s="23">
        <f t="shared" si="1330"/>
        <v>1.4</v>
      </c>
      <c r="FM429" s="23">
        <f t="shared" si="1478"/>
        <v>0</v>
      </c>
      <c r="FN429" s="23"/>
      <c r="FX429" s="4">
        <f t="shared" si="1386"/>
        <v>1</v>
      </c>
      <c r="FY429" s="4">
        <f t="shared" si="1429"/>
        <v>0.44214730608235164</v>
      </c>
      <c r="FZ429" s="4">
        <f t="shared" si="1387"/>
        <v>0.25149640360142855</v>
      </c>
      <c r="GA429" s="4">
        <f t="shared" si="1388"/>
        <v>578.00566183732019</v>
      </c>
    </row>
    <row r="430" spans="1:183" ht="12" customHeight="1" x14ac:dyDescent="0.3">
      <c r="A430" s="25">
        <v>412</v>
      </c>
      <c r="B430" s="4" t="s">
        <v>605</v>
      </c>
      <c r="C430" s="4">
        <v>2016</v>
      </c>
      <c r="D430" s="4" t="s">
        <v>309</v>
      </c>
      <c r="E430" s="14" t="s">
        <v>678</v>
      </c>
      <c r="F430" s="7" t="s">
        <v>582</v>
      </c>
      <c r="G430" s="38">
        <f t="shared" si="1489"/>
        <v>931.0344827586207</v>
      </c>
      <c r="H430" s="38">
        <f>14.5*25.4</f>
        <v>368.29999999999995</v>
      </c>
      <c r="I430" s="4">
        <f t="shared" si="1288"/>
        <v>368.29999999999995</v>
      </c>
      <c r="J430" s="38">
        <f>5970/145</f>
        <v>41.172413793103445</v>
      </c>
      <c r="K430" s="38">
        <f t="shared" si="1490"/>
        <v>35.813999999999993</v>
      </c>
      <c r="L430" s="7">
        <f t="shared" si="1289"/>
        <v>10.283687943262413</v>
      </c>
      <c r="M430" s="7">
        <f t="shared" si="1290"/>
        <v>10.283687943262413</v>
      </c>
      <c r="N430" s="38">
        <f>21.7*25.4</f>
        <v>551.17999999999995</v>
      </c>
      <c r="O430" s="38">
        <f>2.55*25.4</f>
        <v>64.77</v>
      </c>
      <c r="P430" s="39">
        <f>3.3*25.4</f>
        <v>83.82</v>
      </c>
      <c r="Q430" s="7">
        <f t="shared" si="1291"/>
        <v>350.01199999999994</v>
      </c>
      <c r="R430" s="38">
        <v>2</v>
      </c>
      <c r="S430" s="4">
        <f t="shared" si="1361"/>
        <v>508</v>
      </c>
      <c r="T430" s="7">
        <f t="shared" si="1292"/>
        <v>2.3085106382978724</v>
      </c>
      <c r="U430" s="7">
        <f t="shared" si="1414"/>
        <v>2.3085106382978724</v>
      </c>
      <c r="V430" s="38">
        <v>8.6</v>
      </c>
      <c r="W430" s="4">
        <f t="shared" si="1293"/>
        <v>8.6</v>
      </c>
      <c r="X430" s="4">
        <f t="shared" si="1294"/>
        <v>9.6</v>
      </c>
      <c r="Y430" s="7">
        <f t="shared" si="1295"/>
        <v>110.96562044885792</v>
      </c>
      <c r="AB430" s="38">
        <f t="shared" si="1332"/>
        <v>366.20689655172418</v>
      </c>
      <c r="AC430" s="4">
        <v>53.1</v>
      </c>
      <c r="AD430" s="4">
        <f t="shared" si="1452"/>
        <v>0.75774169091366828</v>
      </c>
      <c r="AE430" s="38"/>
      <c r="AF430" s="38"/>
      <c r="AG430" s="39">
        <v>1</v>
      </c>
      <c r="AH430" s="39"/>
      <c r="AI430" s="39"/>
      <c r="AJ430" s="7"/>
      <c r="AK430" s="4">
        <f t="shared" si="1297"/>
        <v>368.29999999999995</v>
      </c>
      <c r="AL430" s="4">
        <f t="shared" si="1462"/>
        <v>0.49885057471264377</v>
      </c>
      <c r="AM430" s="4">
        <f t="shared" si="1463"/>
        <v>225.10244237578763</v>
      </c>
      <c r="AN430" s="4">
        <f t="shared" si="1464"/>
        <v>0.74489655172413793</v>
      </c>
      <c r="AO430" s="4">
        <v>1.25</v>
      </c>
      <c r="AP430" s="4">
        <f t="shared" si="1396"/>
        <v>2.5</v>
      </c>
      <c r="AQ430" s="38">
        <f t="shared" si="1266"/>
        <v>261.39463494941117</v>
      </c>
      <c r="AR430" s="38">
        <f t="shared" si="1465"/>
        <v>261.39463494941117</v>
      </c>
      <c r="AS430" s="38">
        <f t="shared" si="1466"/>
        <v>3.5770538153249696</v>
      </c>
      <c r="AT430" s="38">
        <f t="shared" si="1407"/>
        <v>261.39463494941111</v>
      </c>
      <c r="AU430" s="38">
        <f t="shared" si="1373"/>
        <v>1.0000000000000002</v>
      </c>
      <c r="AV430" s="38">
        <f t="shared" si="1249"/>
        <v>2.1326557642509187</v>
      </c>
      <c r="AW430" s="4">
        <f t="shared" si="1230"/>
        <v>0</v>
      </c>
      <c r="AX430" s="4">
        <f t="shared" si="1298"/>
        <v>347.29493782373595</v>
      </c>
      <c r="AY430" s="4">
        <f t="shared" si="1267"/>
        <v>1</v>
      </c>
      <c r="AZ430" s="38">
        <f t="shared" si="1389"/>
        <v>557.46477496912632</v>
      </c>
      <c r="BA430" s="4">
        <f t="shared" si="1268"/>
        <v>0.3</v>
      </c>
      <c r="BB430" s="4">
        <f t="shared" si="1269"/>
        <v>54.438481503870605</v>
      </c>
      <c r="BC430" s="4">
        <f t="shared" si="1270"/>
        <v>611.90325647299687</v>
      </c>
      <c r="BE430" s="4">
        <f t="shared" si="1408"/>
        <v>1.2021276595744681</v>
      </c>
      <c r="BF430" s="4">
        <f t="shared" si="1415"/>
        <v>469.37713472743013</v>
      </c>
      <c r="BH430" s="4">
        <f t="shared" si="1416"/>
        <v>534.67689269503751</v>
      </c>
      <c r="BI430" s="4">
        <f t="shared" si="1350"/>
        <v>0</v>
      </c>
      <c r="BJ430" s="4">
        <f t="shared" si="1417"/>
        <v>0</v>
      </c>
      <c r="BR430" s="4">
        <f t="shared" si="1271"/>
        <v>64.77</v>
      </c>
      <c r="BV430" s="9"/>
      <c r="BX430" s="9"/>
      <c r="BY430" s="9"/>
      <c r="BZ430" s="9">
        <f t="shared" si="1272"/>
        <v>64.77</v>
      </c>
      <c r="CA430" s="9">
        <f t="shared" si="1273"/>
        <v>175.00599999999997</v>
      </c>
      <c r="CB430" s="9">
        <f t="shared" si="1374"/>
        <v>1.561034100003972</v>
      </c>
      <c r="CC430" s="40">
        <f t="shared" si="1299"/>
        <v>0</v>
      </c>
      <c r="CD430" s="9">
        <f t="shared" si="1274"/>
        <v>0</v>
      </c>
      <c r="CE430" s="9">
        <f t="shared" si="1275"/>
        <v>0</v>
      </c>
      <c r="CF430" s="9">
        <f t="shared" si="1276"/>
        <v>0.89777220146327208</v>
      </c>
      <c r="CG430" s="9">
        <f t="shared" si="1277"/>
        <v>0.68</v>
      </c>
      <c r="CH430" s="9">
        <f t="shared" si="1375"/>
        <v>1.3710278453315501</v>
      </c>
      <c r="CI430" s="9">
        <f t="shared" si="1376"/>
        <v>2.1402212186175213</v>
      </c>
      <c r="CJ430" s="40">
        <v>1</v>
      </c>
      <c r="CK430" s="9">
        <f t="shared" si="1377"/>
        <v>216.45074168429687</v>
      </c>
      <c r="CM430" s="4">
        <f t="shared" si="1278"/>
        <v>1.0544550371119625</v>
      </c>
      <c r="CN430" s="4">
        <f t="shared" si="1279"/>
        <v>0.59847188698183496</v>
      </c>
      <c r="CO430" s="4">
        <f t="shared" si="1242"/>
        <v>0.78019756280710717</v>
      </c>
      <c r="CP430" s="4">
        <f t="shared" si="1280"/>
        <v>1.6918717566043429</v>
      </c>
      <c r="CQ430" s="4">
        <f t="shared" si="1476"/>
        <v>0.75774169091366828</v>
      </c>
      <c r="CR430" s="4">
        <f t="shared" si="1477"/>
        <v>0.78437925291382093</v>
      </c>
      <c r="CS430" s="4">
        <f t="shared" si="1243"/>
        <v>0.83703352176496904</v>
      </c>
      <c r="CT430" s="4">
        <f t="shared" si="1300"/>
        <v>0</v>
      </c>
      <c r="CU430" s="4">
        <f t="shared" ref="CU430:CV430" si="1503">CM430</f>
        <v>1.0544550371119625</v>
      </c>
      <c r="CV430" s="4">
        <f t="shared" si="1503"/>
        <v>0.59847188698183496</v>
      </c>
      <c r="CW430" s="4">
        <f t="shared" ref="CW430" si="1504">CP430</f>
        <v>1.6918717566043429</v>
      </c>
      <c r="CX430" s="4">
        <f t="shared" ref="CX430" si="1505">CS430</f>
        <v>0.83703352176496904</v>
      </c>
      <c r="CY430" s="4">
        <f t="shared" ref="CY430:CZ430" si="1506">CQ430</f>
        <v>0.75774169091366828</v>
      </c>
      <c r="CZ430" s="4">
        <f t="shared" si="1506"/>
        <v>0.78437925291382093</v>
      </c>
      <c r="DI430" s="4">
        <f t="shared" si="1285"/>
        <v>368.29999999999995</v>
      </c>
      <c r="DL430" s="4">
        <f t="shared" si="1453"/>
        <v>1.9820544052469766E-5</v>
      </c>
      <c r="DM430" s="4">
        <f t="shared" si="1313"/>
        <v>6.747614087532412</v>
      </c>
      <c r="DN430" s="4">
        <f t="shared" si="1454"/>
        <v>0.31874781170116245</v>
      </c>
      <c r="DO430" s="4">
        <f t="shared" si="1455"/>
        <v>4.2709955706034792</v>
      </c>
      <c r="DP430" s="4">
        <f t="shared" si="1456"/>
        <v>5.6474194433333995</v>
      </c>
      <c r="DQ430" s="4">
        <f t="shared" si="1457"/>
        <v>6.2937040988749562</v>
      </c>
      <c r="DR430" s="38">
        <f t="shared" si="1471"/>
        <v>483.28724807283595</v>
      </c>
      <c r="DS430" s="4">
        <f t="shared" si="1382"/>
        <v>1.0001114384707104</v>
      </c>
      <c r="DT430" s="4">
        <f t="shared" si="1458"/>
        <v>3.0983866769659336</v>
      </c>
      <c r="DU430" s="4">
        <f t="shared" si="1390"/>
        <v>261.39463494941111</v>
      </c>
      <c r="DY430" s="4">
        <f t="shared" si="1331"/>
        <v>0.85</v>
      </c>
      <c r="DZ430" s="4">
        <f t="shared" si="1383"/>
        <v>0.91914893617021276</v>
      </c>
      <c r="EA430" s="4">
        <f t="shared" si="1472"/>
        <v>1</v>
      </c>
      <c r="EB430" s="4">
        <f t="shared" si="1384"/>
        <v>0.91914893617021276</v>
      </c>
      <c r="ED430" s="4">
        <f t="shared" si="1473"/>
        <v>466.87478689847376</v>
      </c>
      <c r="EE430" s="25">
        <f t="shared" si="1474"/>
        <v>258.70371398523974</v>
      </c>
      <c r="EG430" s="4">
        <f t="shared" si="1391"/>
        <v>0.78127659574468078</v>
      </c>
      <c r="EH430" s="4">
        <f t="shared" si="1475"/>
        <v>6.747614087532412</v>
      </c>
      <c r="EK430" s="4">
        <f t="shared" si="1459"/>
        <v>110.96562044885792</v>
      </c>
      <c r="EL430" s="4">
        <f t="shared" si="1460"/>
        <v>3.0983866769659336</v>
      </c>
      <c r="EM430" s="4">
        <f t="shared" si="1461"/>
        <v>0.11183703425417155</v>
      </c>
      <c r="EP430" s="4">
        <f t="shared" si="1301"/>
        <v>0.11183703425417155</v>
      </c>
      <c r="EQ430" s="4">
        <f t="shared" si="1257"/>
        <v>0.31821588100994969</v>
      </c>
      <c r="ER430" s="4">
        <f t="shared" si="1314"/>
        <v>4.2681431437555215</v>
      </c>
      <c r="ES430" s="4">
        <f t="shared" si="1286"/>
        <v>5.6463444393818696</v>
      </c>
      <c r="ET430" s="4">
        <f t="shared" si="1315"/>
        <v>165.25937955114205</v>
      </c>
      <c r="EU430" s="4">
        <f t="shared" si="1316"/>
        <v>92.074999999999989</v>
      </c>
      <c r="EV430" s="4">
        <f t="shared" si="1385"/>
        <v>1.9820544052469766E-5</v>
      </c>
      <c r="EW430" s="4">
        <f t="shared" si="1287"/>
        <v>6.2938346744457556</v>
      </c>
      <c r="EX430" s="4">
        <f t="shared" si="1422"/>
        <v>483.23339728204667</v>
      </c>
      <c r="FG430" s="23">
        <f t="shared" si="1329"/>
        <v>1.2</v>
      </c>
      <c r="FH430" s="23">
        <f t="shared" si="1329"/>
        <v>0.6</v>
      </c>
      <c r="FI430" s="23">
        <f t="shared" si="1248"/>
        <v>1</v>
      </c>
      <c r="FJ430" s="23">
        <f t="shared" si="1330"/>
        <v>1.8</v>
      </c>
      <c r="FK430" s="23">
        <f t="shared" si="1330"/>
        <v>0.8</v>
      </c>
      <c r="FL430" s="23">
        <f t="shared" si="1330"/>
        <v>0.8</v>
      </c>
      <c r="FM430" s="23">
        <f t="shared" si="1478"/>
        <v>1</v>
      </c>
      <c r="FN430" s="23"/>
      <c r="FX430" s="4">
        <f t="shared" si="1386"/>
        <v>1</v>
      </c>
      <c r="FY430" s="4">
        <f t="shared" si="1429"/>
        <v>0.5</v>
      </c>
      <c r="FZ430" s="4">
        <f t="shared" si="1387"/>
        <v>0</v>
      </c>
      <c r="GA430" s="4">
        <f t="shared" si="1388"/>
        <v>437.50565184001266</v>
      </c>
    </row>
    <row r="431" spans="1:183" ht="12" customHeight="1" x14ac:dyDescent="0.3">
      <c r="A431" s="25">
        <v>413</v>
      </c>
      <c r="B431" s="4" t="s">
        <v>605</v>
      </c>
      <c r="C431" s="4">
        <v>2016</v>
      </c>
      <c r="D431" s="4" t="s">
        <v>309</v>
      </c>
      <c r="E431" s="14" t="s">
        <v>678</v>
      </c>
      <c r="F431" s="7" t="s">
        <v>583</v>
      </c>
      <c r="G431" s="38">
        <f t="shared" si="1489"/>
        <v>931.0344827586207</v>
      </c>
      <c r="H431" s="38">
        <f>14.63*25.4</f>
        <v>371.60199999999998</v>
      </c>
      <c r="I431" s="4">
        <f t="shared" si="1288"/>
        <v>371.60199999999998</v>
      </c>
      <c r="J431" s="38">
        <f>5970/145</f>
        <v>41.172413793103445</v>
      </c>
      <c r="K431" s="38">
        <f t="shared" si="1490"/>
        <v>35.813999999999993</v>
      </c>
      <c r="L431" s="7">
        <f t="shared" si="1289"/>
        <v>10.375886524822697</v>
      </c>
      <c r="M431" s="7">
        <f t="shared" si="1290"/>
        <v>10.375886524822697</v>
      </c>
      <c r="N431" s="38">
        <f>21.5*25.4</f>
        <v>546.1</v>
      </c>
      <c r="O431" s="38">
        <f>2.6*25.4</f>
        <v>66.039999999999992</v>
      </c>
      <c r="P431" s="39">
        <f>3.5*25.4</f>
        <v>88.899999999999991</v>
      </c>
      <c r="Q431" s="7">
        <f t="shared" si="1291"/>
        <v>342.39200000000005</v>
      </c>
      <c r="R431" s="38">
        <v>2</v>
      </c>
      <c r="S431" s="4">
        <f t="shared" si="1361"/>
        <v>508</v>
      </c>
      <c r="T431" s="7">
        <f t="shared" si="1292"/>
        <v>2.3439716312056742</v>
      </c>
      <c r="U431" s="7">
        <f t="shared" si="1414"/>
        <v>2.3439716312056742</v>
      </c>
      <c r="V431" s="38">
        <v>8.6</v>
      </c>
      <c r="W431" s="4">
        <f t="shared" si="1293"/>
        <v>8.6</v>
      </c>
      <c r="X431" s="4">
        <f t="shared" si="1294"/>
        <v>9.6</v>
      </c>
      <c r="Y431" s="7">
        <f t="shared" si="1295"/>
        <v>110.96562044885792</v>
      </c>
      <c r="AB431" s="38">
        <f t="shared" si="1332"/>
        <v>496.55172413793105</v>
      </c>
      <c r="AC431" s="4">
        <v>72</v>
      </c>
      <c r="AD431" s="4">
        <f t="shared" si="1452"/>
        <v>1.0238289667935871</v>
      </c>
      <c r="AE431" s="38">
        <f t="shared" si="1479"/>
        <v>12.7</v>
      </c>
      <c r="AF431" s="38">
        <v>12</v>
      </c>
      <c r="AG431" s="39">
        <f>4*25.4</f>
        <v>101.6</v>
      </c>
      <c r="AH431" s="39">
        <v>2</v>
      </c>
      <c r="AI431" s="39">
        <f>AH431-1</f>
        <v>1</v>
      </c>
      <c r="AJ431" s="7"/>
      <c r="AK431" s="4">
        <f t="shared" si="1297"/>
        <v>371.60199999999998</v>
      </c>
      <c r="AL431" s="4">
        <f t="shared" si="1462"/>
        <v>0.48986101617680572</v>
      </c>
      <c r="AM431" s="4">
        <f t="shared" si="1463"/>
        <v>228.13645720575076</v>
      </c>
      <c r="AN431" s="4">
        <f t="shared" si="1464"/>
        <v>0.74518113465481883</v>
      </c>
      <c r="AO431" s="4">
        <v>1.25</v>
      </c>
      <c r="AP431" s="4">
        <f t="shared" si="1396"/>
        <v>2.5</v>
      </c>
      <c r="AQ431" s="38">
        <f t="shared" si="1266"/>
        <v>260.24323285410298</v>
      </c>
      <c r="AR431" s="38">
        <f t="shared" si="1465"/>
        <v>260.24323285410298</v>
      </c>
      <c r="AS431" s="38">
        <f t="shared" si="1466"/>
        <v>3.5770538153249696</v>
      </c>
      <c r="AT431" s="38">
        <f t="shared" si="1407"/>
        <v>260.24323285410264</v>
      </c>
      <c r="AU431" s="38">
        <f t="shared" si="1373"/>
        <v>1.0000000000000013</v>
      </c>
      <c r="AV431" s="38">
        <f t="shared" si="1249"/>
        <v>2.1749959672351045</v>
      </c>
      <c r="AW431" s="4">
        <f t="shared" si="1230"/>
        <v>0</v>
      </c>
      <c r="AX431" s="4">
        <f t="shared" si="1298"/>
        <v>350.40861657663839</v>
      </c>
      <c r="AY431" s="4">
        <f t="shared" si="1267"/>
        <v>1</v>
      </c>
      <c r="AZ431" s="38">
        <f t="shared" si="1389"/>
        <v>566.02798195789944</v>
      </c>
      <c r="BA431" s="4">
        <f t="shared" si="1268"/>
        <v>0.3</v>
      </c>
      <c r="BB431" s="4">
        <f t="shared" si="1269"/>
        <v>54.926550648388073</v>
      </c>
      <c r="BC431" s="4">
        <f t="shared" si="1270"/>
        <v>620.95453260628756</v>
      </c>
      <c r="BE431" s="4">
        <f t="shared" si="1408"/>
        <v>1.5</v>
      </c>
      <c r="BF431" s="4">
        <f t="shared" si="1415"/>
        <v>588.34516875468432</v>
      </c>
      <c r="BH431" s="4">
        <f t="shared" si="1416"/>
        <v>542.89005540924711</v>
      </c>
      <c r="BI431" s="4">
        <f t="shared" si="1350"/>
        <v>0</v>
      </c>
      <c r="BJ431" s="4">
        <f t="shared" si="1417"/>
        <v>0</v>
      </c>
      <c r="BR431" s="4">
        <f t="shared" si="1271"/>
        <v>66.039999999999992</v>
      </c>
      <c r="BV431" s="9"/>
      <c r="BX431" s="9"/>
      <c r="BY431" s="9"/>
      <c r="BZ431" s="9">
        <f t="shared" si="1272"/>
        <v>66.039999999999992</v>
      </c>
      <c r="CA431" s="9">
        <f t="shared" si="1273"/>
        <v>171.19600000000003</v>
      </c>
      <c r="CB431" s="9">
        <f t="shared" si="1374"/>
        <v>1.5664989205143935</v>
      </c>
      <c r="CC431" s="40">
        <f t="shared" si="1299"/>
        <v>20</v>
      </c>
      <c r="CD431" s="9">
        <f t="shared" si="1274"/>
        <v>0.05</v>
      </c>
      <c r="CE431" s="9">
        <f t="shared" si="1275"/>
        <v>0.8</v>
      </c>
      <c r="CF431" s="9">
        <f t="shared" si="1276"/>
        <v>0.89777220146327208</v>
      </c>
      <c r="CG431" s="9">
        <f t="shared" si="1277"/>
        <v>0.68</v>
      </c>
      <c r="CH431" s="9">
        <f t="shared" si="1375"/>
        <v>1.3710278453315501</v>
      </c>
      <c r="CI431" s="9">
        <f t="shared" si="1376"/>
        <v>3.2445359159722882</v>
      </c>
      <c r="CJ431" s="40">
        <v>1</v>
      </c>
      <c r="CK431" s="9">
        <f t="shared" si="1377"/>
        <v>329.33190091769779</v>
      </c>
      <c r="CM431" s="4">
        <f t="shared" si="1278"/>
        <v>1.417064822746245</v>
      </c>
      <c r="CN431" s="4">
        <f t="shared" si="1279"/>
        <v>0.79965874804680204</v>
      </c>
      <c r="CO431" s="4">
        <f t="shared" si="1242"/>
        <v>0.8439802865874686</v>
      </c>
      <c r="CP431" s="4">
        <f t="shared" si="1280"/>
        <v>1.5077547081053122</v>
      </c>
      <c r="CQ431" s="4">
        <f t="shared" si="1476"/>
        <v>1.0238289667935871</v>
      </c>
      <c r="CR431" s="4">
        <f t="shared" si="1477"/>
        <v>1.059782127050285</v>
      </c>
      <c r="CS431" s="4">
        <f t="shared" si="1243"/>
        <v>0.99472144636362514</v>
      </c>
      <c r="CT431" s="4">
        <f t="shared" si="1300"/>
        <v>12</v>
      </c>
      <c r="DA431" s="4">
        <f t="shared" ref="DA431:DB431" si="1507">CM431</f>
        <v>1.417064822746245</v>
      </c>
      <c r="DB431" s="4">
        <f t="shared" si="1507"/>
        <v>0.79965874804680204</v>
      </c>
      <c r="DC431" s="4">
        <f t="shared" ref="DC431" si="1508">CP431</f>
        <v>1.5077547081053122</v>
      </c>
      <c r="DD431" s="4">
        <f t="shared" ref="DD431" si="1509">CS431</f>
        <v>0.99472144636362514</v>
      </c>
      <c r="DE431" s="4">
        <f t="shared" ref="DE431:DF431" si="1510">CQ431</f>
        <v>1.0238289667935871</v>
      </c>
      <c r="DF431" s="4">
        <f t="shared" si="1510"/>
        <v>1.059782127050285</v>
      </c>
      <c r="DI431" s="4">
        <f t="shared" si="1285"/>
        <v>371.60199999999998</v>
      </c>
      <c r="DL431" s="4">
        <f t="shared" si="1453"/>
        <v>1.9998245481905705E-5</v>
      </c>
      <c r="DM431" s="4">
        <f t="shared" si="1313"/>
        <v>6.7767896158633691</v>
      </c>
      <c r="DN431" s="4">
        <f t="shared" si="1454"/>
        <v>0.31734377791776541</v>
      </c>
      <c r="DO431" s="4">
        <f t="shared" si="1455"/>
        <v>4.2818948513947275</v>
      </c>
      <c r="DP431" s="4">
        <f t="shared" si="1456"/>
        <v>5.668986978278669</v>
      </c>
      <c r="DQ431" s="4">
        <f t="shared" si="1457"/>
        <v>6.310811171007674</v>
      </c>
      <c r="DR431" s="38">
        <f t="shared" si="1471"/>
        <v>484.99479917336646</v>
      </c>
      <c r="DS431" s="4">
        <f t="shared" si="1382"/>
        <v>1.0001118147189711</v>
      </c>
      <c r="DT431" s="4">
        <f t="shared" si="1458"/>
        <v>3.0983866769659336</v>
      </c>
      <c r="DU431" s="4">
        <f t="shared" si="1390"/>
        <v>260.24323285410264</v>
      </c>
      <c r="DY431" s="4">
        <f t="shared" si="1331"/>
        <v>0.85</v>
      </c>
      <c r="DZ431" s="4">
        <f t="shared" si="1383"/>
        <v>0.91560283687943256</v>
      </c>
      <c r="EA431" s="4">
        <f t="shared" si="1472"/>
        <v>0.9995510789195714</v>
      </c>
      <c r="EB431" s="4">
        <f t="shared" si="1384"/>
        <v>0.91519180346465712</v>
      </c>
      <c r="ED431" s="4">
        <f t="shared" si="1473"/>
        <v>468.54132699896951</v>
      </c>
      <c r="EE431" s="25">
        <f t="shared" si="1474"/>
        <v>257.59572682858419</v>
      </c>
      <c r="EG431" s="4">
        <f t="shared" si="1391"/>
        <v>0.7779130329449585</v>
      </c>
      <c r="EH431" s="4">
        <f t="shared" si="1475"/>
        <v>6.7767896158633691</v>
      </c>
      <c r="EK431" s="4">
        <f t="shared" si="1459"/>
        <v>110.96562044885792</v>
      </c>
      <c r="EL431" s="4">
        <f t="shared" si="1460"/>
        <v>3.0983866769659336</v>
      </c>
      <c r="EM431" s="4">
        <f t="shared" si="1461"/>
        <v>0.11134440977625042</v>
      </c>
      <c r="EP431" s="4">
        <f t="shared" si="1301"/>
        <v>0.11134440977625042</v>
      </c>
      <c r="EQ431" s="4">
        <f t="shared" si="1257"/>
        <v>0.31681419029726077</v>
      </c>
      <c r="ER431" s="4">
        <f t="shared" si="1314"/>
        <v>4.2790351453537481</v>
      </c>
      <c r="ES431" s="4">
        <f t="shared" si="1286"/>
        <v>5.6679106328475442</v>
      </c>
      <c r="ET431" s="4">
        <f t="shared" si="1315"/>
        <v>167.73587955114209</v>
      </c>
      <c r="EU431" s="4">
        <f t="shared" si="1316"/>
        <v>92.900499999999965</v>
      </c>
      <c r="EV431" s="4">
        <f t="shared" si="1385"/>
        <v>1.9998245481905698E-5</v>
      </c>
      <c r="EW431" s="4">
        <f t="shared" si="1287"/>
        <v>6.3109444399085284</v>
      </c>
      <c r="EX431" s="4">
        <f t="shared" si="1422"/>
        <v>484.94057567917923</v>
      </c>
      <c r="FG431" s="23">
        <f t="shared" si="1329"/>
        <v>1.6</v>
      </c>
      <c r="FH431" s="23">
        <f t="shared" si="1329"/>
        <v>0.8</v>
      </c>
      <c r="FI431" s="23">
        <f t="shared" si="1248"/>
        <v>1</v>
      </c>
      <c r="FJ431" s="23">
        <f t="shared" si="1330"/>
        <v>1.6</v>
      </c>
      <c r="FK431" s="23">
        <f t="shared" si="1330"/>
        <v>1.2</v>
      </c>
      <c r="FL431" s="23">
        <f t="shared" si="1330"/>
        <v>1.2</v>
      </c>
      <c r="FM431" s="23">
        <f t="shared" si="1478"/>
        <v>0</v>
      </c>
      <c r="FN431" s="23"/>
      <c r="FX431" s="4">
        <f t="shared" si="1386"/>
        <v>1</v>
      </c>
      <c r="FY431" s="4">
        <f t="shared" si="1429"/>
        <v>0.44214730608235164</v>
      </c>
      <c r="FZ431" s="4">
        <f t="shared" si="1387"/>
        <v>0.25149640360142855</v>
      </c>
      <c r="GA431" s="4">
        <f t="shared" si="1388"/>
        <v>499.18670795041271</v>
      </c>
    </row>
    <row r="432" spans="1:183" ht="12" customHeight="1" x14ac:dyDescent="0.3">
      <c r="A432" s="25">
        <v>414</v>
      </c>
      <c r="B432" s="4" t="s">
        <v>605</v>
      </c>
      <c r="C432" s="4">
        <v>2016</v>
      </c>
      <c r="D432" s="4" t="s">
        <v>309</v>
      </c>
      <c r="E432" s="14" t="s">
        <v>678</v>
      </c>
      <c r="F432" s="7" t="s">
        <v>584</v>
      </c>
      <c r="G432" s="38">
        <f t="shared" si="1489"/>
        <v>931.0344827586207</v>
      </c>
      <c r="H432" s="38">
        <f>14.71*25.4</f>
        <v>373.63400000000001</v>
      </c>
      <c r="I432" s="4">
        <f t="shared" si="1288"/>
        <v>373.63400000000001</v>
      </c>
      <c r="J432" s="38">
        <f>6240/145</f>
        <v>43.03448275862069</v>
      </c>
      <c r="K432" s="38">
        <f t="shared" si="1490"/>
        <v>35.813999999999993</v>
      </c>
      <c r="L432" s="7">
        <f t="shared" si="1289"/>
        <v>10.43262411347518</v>
      </c>
      <c r="M432" s="7">
        <f t="shared" si="1290"/>
        <v>10.43262411347518</v>
      </c>
      <c r="N432" s="38">
        <f>21.3*25.4</f>
        <v>541.02</v>
      </c>
      <c r="O432" s="38">
        <f>2.55*25.4</f>
        <v>64.77</v>
      </c>
      <c r="P432" s="39">
        <f>3.1*25.4</f>
        <v>78.739999999999995</v>
      </c>
      <c r="Q432" s="7">
        <f t="shared" si="1291"/>
        <v>152.01900000000001</v>
      </c>
      <c r="R432" s="38">
        <v>3</v>
      </c>
      <c r="S432" s="4">
        <f t="shared" si="1361"/>
        <v>508</v>
      </c>
      <c r="T432" s="7">
        <f t="shared" si="1292"/>
        <v>2.3085106382978724</v>
      </c>
      <c r="U432" s="7">
        <f t="shared" si="1414"/>
        <v>2.3085106382978724</v>
      </c>
      <c r="V432" s="38">
        <v>8.6</v>
      </c>
      <c r="W432" s="4">
        <f t="shared" si="1293"/>
        <v>8.6</v>
      </c>
      <c r="X432" s="4">
        <f t="shared" si="1294"/>
        <v>9.6</v>
      </c>
      <c r="Y432" s="7">
        <f t="shared" si="1295"/>
        <v>110.96562044885792</v>
      </c>
      <c r="AB432" s="38">
        <f t="shared" si="1332"/>
        <v>287.58620689655174</v>
      </c>
      <c r="AC432" s="4">
        <v>41.7</v>
      </c>
      <c r="AD432" s="4">
        <f t="shared" si="1452"/>
        <v>0.73182258163771818</v>
      </c>
      <c r="AE432" s="38"/>
      <c r="AF432" s="38"/>
      <c r="AG432" s="39">
        <v>1</v>
      </c>
      <c r="AH432" s="39"/>
      <c r="AI432" s="39"/>
      <c r="AJ432" s="7"/>
      <c r="AK432" s="4">
        <f t="shared" si="1297"/>
        <v>373.63400000000001</v>
      </c>
      <c r="AL432" s="4">
        <f t="shared" si="1462"/>
        <v>0.48266485384092445</v>
      </c>
      <c r="AM432" s="4">
        <f t="shared" si="1463"/>
        <v>156.76932308663888</v>
      </c>
      <c r="AN432" s="4">
        <f t="shared" si="1464"/>
        <v>0.74425560842963967</v>
      </c>
      <c r="AO432" s="4">
        <v>1.25</v>
      </c>
      <c r="AP432" s="4">
        <f t="shared" si="1396"/>
        <v>2.5</v>
      </c>
      <c r="AQ432" s="38">
        <f t="shared" si="1266"/>
        <v>175.98631465676814</v>
      </c>
      <c r="AR432" s="38">
        <f t="shared" si="1465"/>
        <v>175.98631465676814</v>
      </c>
      <c r="AS432" s="38">
        <f t="shared" si="1466"/>
        <v>3.684107660000056</v>
      </c>
      <c r="AT432" s="38">
        <f t="shared" si="1407"/>
        <v>175.98631465676814</v>
      </c>
      <c r="AU432" s="38">
        <f t="shared" si="1373"/>
        <v>1</v>
      </c>
      <c r="AV432" s="38">
        <f t="shared" si="1249"/>
        <v>3.3109208000229291</v>
      </c>
      <c r="AW432" s="4">
        <f t="shared" ref="AW432:AW449" si="1511">IF(AV432&lt;1,1,0)</f>
        <v>0</v>
      </c>
      <c r="AX432" s="4">
        <f t="shared" si="1298"/>
        <v>360.2037690712994</v>
      </c>
      <c r="AY432" s="4">
        <f t="shared" si="1267"/>
        <v>1</v>
      </c>
      <c r="AZ432" s="38">
        <f t="shared" si="1389"/>
        <v>582.67674971647375</v>
      </c>
      <c r="BA432" s="4">
        <f t="shared" si="1268"/>
        <v>0.3</v>
      </c>
      <c r="BB432" s="4">
        <f t="shared" si="1269"/>
        <v>56.461940801926183</v>
      </c>
      <c r="BC432" s="4">
        <f t="shared" si="1270"/>
        <v>639.13869051839993</v>
      </c>
      <c r="BE432" s="4">
        <f t="shared" si="1408"/>
        <v>1.2021276595744681</v>
      </c>
      <c r="BF432" s="4">
        <f t="shared" si="1415"/>
        <v>483.39737080367365</v>
      </c>
      <c r="BH432" s="4">
        <f t="shared" si="1416"/>
        <v>558.8582597013459</v>
      </c>
      <c r="BI432" s="4">
        <f t="shared" si="1350"/>
        <v>0</v>
      </c>
      <c r="BJ432" s="4">
        <f t="shared" si="1417"/>
        <v>0</v>
      </c>
      <c r="BR432" s="4">
        <f t="shared" si="1271"/>
        <v>64.77</v>
      </c>
      <c r="BV432" s="9"/>
      <c r="BX432" s="9"/>
      <c r="BY432" s="9"/>
      <c r="BZ432" s="9">
        <f t="shared" si="1272"/>
        <v>64.77</v>
      </c>
      <c r="CA432" s="9">
        <f t="shared" si="1273"/>
        <v>76.009500000000003</v>
      </c>
      <c r="CB432" s="9">
        <f t="shared" si="1374"/>
        <v>1.3774778709669167</v>
      </c>
      <c r="CC432" s="40">
        <f t="shared" si="1299"/>
        <v>0</v>
      </c>
      <c r="CD432" s="9">
        <f t="shared" si="1274"/>
        <v>0</v>
      </c>
      <c r="CE432" s="9">
        <f t="shared" si="1275"/>
        <v>0</v>
      </c>
      <c r="CF432" s="9">
        <f t="shared" si="1276"/>
        <v>0.89777220146327208</v>
      </c>
      <c r="CG432" s="9">
        <f t="shared" si="1277"/>
        <v>0.68</v>
      </c>
      <c r="CH432" s="9">
        <f t="shared" si="1375"/>
        <v>1.4016881590631138</v>
      </c>
      <c r="CI432" s="9">
        <f t="shared" si="1376"/>
        <v>1.9307944211057948</v>
      </c>
      <c r="CJ432" s="40">
        <v>1</v>
      </c>
      <c r="CK432" s="9">
        <f t="shared" si="1377"/>
        <v>196.42067500951435</v>
      </c>
      <c r="CM432" s="4">
        <f t="shared" si="1278"/>
        <v>0.79839866095245215</v>
      </c>
      <c r="CN432" s="4">
        <f t="shared" si="1279"/>
        <v>0.44995900132926242</v>
      </c>
      <c r="CO432" s="4">
        <f t="shared" si="1242"/>
        <v>0.59492712262465242</v>
      </c>
      <c r="CP432" s="4">
        <f t="shared" si="1280"/>
        <v>1.4641340932293478</v>
      </c>
      <c r="CQ432" s="4">
        <f t="shared" si="1476"/>
        <v>0.73182258163771818</v>
      </c>
      <c r="CR432" s="4">
        <f t="shared" si="1477"/>
        <v>0.73718451657272832</v>
      </c>
      <c r="CS432" s="4">
        <f t="shared" si="1243"/>
        <v>0.93509962123722112</v>
      </c>
      <c r="CT432" s="4">
        <f t="shared" si="1300"/>
        <v>0</v>
      </c>
      <c r="CU432" s="4">
        <f t="shared" ref="CU432:CV432" si="1512">CM432</f>
        <v>0.79839866095245215</v>
      </c>
      <c r="CV432" s="4">
        <f t="shared" si="1512"/>
        <v>0.44995900132926242</v>
      </c>
      <c r="CW432" s="4">
        <f t="shared" ref="CW432" si="1513">CP432</f>
        <v>1.4641340932293478</v>
      </c>
      <c r="CX432" s="4">
        <f t="shared" ref="CX432" si="1514">CS432</f>
        <v>0.93509962123722112</v>
      </c>
      <c r="CY432" s="4">
        <f t="shared" ref="CY432:CZ432" si="1515">CQ432</f>
        <v>0.73182258163771818</v>
      </c>
      <c r="CZ432" s="4">
        <f t="shared" si="1515"/>
        <v>0.73718451657272832</v>
      </c>
      <c r="DI432" s="4">
        <f t="shared" si="1285"/>
        <v>373.63400000000001</v>
      </c>
      <c r="DL432" s="4">
        <f t="shared" si="1453"/>
        <v>2.0354264447591749E-5</v>
      </c>
      <c r="DM432" s="4">
        <f t="shared" si="1313"/>
        <v>6.8985110700902181</v>
      </c>
      <c r="DN432" s="4">
        <f t="shared" si="1454"/>
        <v>0.20531429140864466</v>
      </c>
      <c r="DO432" s="4">
        <f t="shared" si="1455"/>
        <v>3.6620396124227161</v>
      </c>
      <c r="DP432" s="4">
        <f t="shared" si="1456"/>
        <v>5.5247735367075226</v>
      </c>
      <c r="DQ432" s="4">
        <f t="shared" si="1457"/>
        <v>6.4373532609562742</v>
      </c>
      <c r="DR432" s="38">
        <f t="shared" si="1471"/>
        <v>392.9725784806659</v>
      </c>
      <c r="DS432" s="4">
        <f t="shared" si="1382"/>
        <v>1.0001127920233142</v>
      </c>
      <c r="DT432" s="4">
        <f t="shared" si="1458"/>
        <v>3.0983866769659336</v>
      </c>
      <c r="DU432" s="4">
        <f t="shared" si="1390"/>
        <v>175.98631465676814</v>
      </c>
      <c r="DY432" s="4">
        <f t="shared" si="1331"/>
        <v>0.85</v>
      </c>
      <c r="DZ432" s="4">
        <f t="shared" si="1383"/>
        <v>0.91914893617021276</v>
      </c>
      <c r="EA432" s="4">
        <f t="shared" si="1472"/>
        <v>1</v>
      </c>
      <c r="EB432" s="4">
        <f t="shared" si="1384"/>
        <v>0.91914893617021276</v>
      </c>
      <c r="ED432" s="4">
        <f t="shared" si="1473"/>
        <v>390.11427998186855</v>
      </c>
      <c r="EE432" s="25">
        <f t="shared" si="1474"/>
        <v>174.20556117117252</v>
      </c>
      <c r="EG432" s="4">
        <f t="shared" si="1391"/>
        <v>0.78127659574468078</v>
      </c>
      <c r="EH432" s="4">
        <f t="shared" si="1475"/>
        <v>6.8985110700902181</v>
      </c>
      <c r="EK432" s="4">
        <f t="shared" si="1459"/>
        <v>110.96562044885792</v>
      </c>
      <c r="EL432" s="4">
        <f t="shared" si="1460"/>
        <v>3.0983866769659336</v>
      </c>
      <c r="EM432" s="4">
        <f t="shared" si="1461"/>
        <v>7.3648302216110448E-2</v>
      </c>
      <c r="EP432" s="4">
        <f t="shared" si="1301"/>
        <v>7.3648302216110448E-2</v>
      </c>
      <c r="EQ432" s="4">
        <f t="shared" si="1257"/>
        <v>0.20497166012166579</v>
      </c>
      <c r="ER432" s="4">
        <f t="shared" si="1314"/>
        <v>3.6595938828647983</v>
      </c>
      <c r="ES432" s="4">
        <f t="shared" si="1286"/>
        <v>5.5239702322069224</v>
      </c>
      <c r="ET432" s="4">
        <f t="shared" si="1315"/>
        <v>169.25987955114209</v>
      </c>
      <c r="EU432" s="4">
        <f t="shared" si="1316"/>
        <v>93.408500000000004</v>
      </c>
      <c r="EV432" s="4">
        <f t="shared" si="1385"/>
        <v>2.0354264447591749E-5</v>
      </c>
      <c r="EW432" s="4">
        <f t="shared" si="1287"/>
        <v>6.4374661778959545</v>
      </c>
      <c r="EX432" s="4">
        <f t="shared" si="1422"/>
        <v>392.92825930728134</v>
      </c>
      <c r="FG432" s="23">
        <f t="shared" si="1329"/>
        <v>0.8</v>
      </c>
      <c r="FH432" s="23">
        <f t="shared" si="1329"/>
        <v>0.6</v>
      </c>
      <c r="FI432" s="23">
        <f t="shared" si="1248"/>
        <v>1</v>
      </c>
      <c r="FJ432" s="23">
        <f t="shared" si="1330"/>
        <v>1.6</v>
      </c>
      <c r="FK432" s="23">
        <f t="shared" si="1330"/>
        <v>0.8</v>
      </c>
      <c r="FL432" s="23">
        <f t="shared" si="1330"/>
        <v>0.8</v>
      </c>
      <c r="FM432" s="23">
        <f t="shared" si="1478"/>
        <v>1</v>
      </c>
      <c r="FN432" s="23"/>
      <c r="FX432" s="4">
        <f t="shared" si="1386"/>
        <v>1</v>
      </c>
      <c r="FY432" s="4">
        <f t="shared" si="1429"/>
        <v>0.72960992907801414</v>
      </c>
      <c r="FZ432" s="4">
        <f t="shared" si="1387"/>
        <v>0</v>
      </c>
      <c r="GA432" s="4">
        <f t="shared" si="1388"/>
        <v>307.54606286338696</v>
      </c>
    </row>
    <row r="433" spans="1:183" ht="12" customHeight="1" x14ac:dyDescent="0.3">
      <c r="A433" s="25">
        <v>415</v>
      </c>
      <c r="B433" s="4" t="s">
        <v>605</v>
      </c>
      <c r="C433" s="4">
        <v>2016</v>
      </c>
      <c r="D433" s="4" t="s">
        <v>309</v>
      </c>
      <c r="E433" s="14" t="s">
        <v>678</v>
      </c>
      <c r="F433" s="7" t="s">
        <v>585</v>
      </c>
      <c r="G433" s="38">
        <f t="shared" si="1489"/>
        <v>931.0344827586207</v>
      </c>
      <c r="H433" s="38">
        <f>14.54*25.4</f>
        <v>369.31599999999997</v>
      </c>
      <c r="I433" s="4">
        <f t="shared" si="1288"/>
        <v>369.31599999999997</v>
      </c>
      <c r="J433" s="38">
        <f>6240/145</f>
        <v>43.03448275862069</v>
      </c>
      <c r="K433" s="38">
        <f t="shared" si="1490"/>
        <v>35.813999999999993</v>
      </c>
      <c r="L433" s="7">
        <f t="shared" si="1289"/>
        <v>10.312056737588653</v>
      </c>
      <c r="M433" s="7">
        <f t="shared" si="1290"/>
        <v>10.312056737588653</v>
      </c>
      <c r="N433" s="38">
        <f>21.4*25.4</f>
        <v>543.55999999999995</v>
      </c>
      <c r="O433" s="38">
        <f>2.65*25.4</f>
        <v>67.309999999999988</v>
      </c>
      <c r="P433" s="39">
        <f>3.2*25.4</f>
        <v>81.28</v>
      </c>
      <c r="Q433" s="7">
        <f t="shared" si="1291"/>
        <v>150.74899999999997</v>
      </c>
      <c r="R433" s="38">
        <v>3</v>
      </c>
      <c r="S433" s="4">
        <f t="shared" si="1361"/>
        <v>508</v>
      </c>
      <c r="T433" s="7">
        <f t="shared" si="1292"/>
        <v>2.3794326241134751</v>
      </c>
      <c r="U433" s="7">
        <f t="shared" si="1414"/>
        <v>2.3794326241134751</v>
      </c>
      <c r="V433" s="38">
        <v>8.6</v>
      </c>
      <c r="W433" s="4">
        <f t="shared" si="1293"/>
        <v>8.6</v>
      </c>
      <c r="X433" s="4">
        <f t="shared" si="1294"/>
        <v>9.6</v>
      </c>
      <c r="Y433" s="7">
        <f t="shared" si="1295"/>
        <v>110.96562044885792</v>
      </c>
      <c r="AB433" s="38">
        <f t="shared" si="1332"/>
        <v>334.48275862068965</v>
      </c>
      <c r="AC433" s="4">
        <v>48.5</v>
      </c>
      <c r="AD433" s="4">
        <f t="shared" si="1452"/>
        <v>0.85256630700679548</v>
      </c>
      <c r="AE433" s="38">
        <f t="shared" si="1479"/>
        <v>12.7</v>
      </c>
      <c r="AF433" s="38">
        <v>12</v>
      </c>
      <c r="AG433" s="39">
        <f>4*25.4</f>
        <v>101.6</v>
      </c>
      <c r="AH433" s="39">
        <v>2</v>
      </c>
      <c r="AI433" s="39">
        <f>AH433-1</f>
        <v>1</v>
      </c>
      <c r="AJ433" s="7"/>
      <c r="AK433" s="4">
        <f t="shared" si="1297"/>
        <v>369.31599999999997</v>
      </c>
      <c r="AL433" s="4">
        <f t="shared" si="1462"/>
        <v>0.4906006419073819</v>
      </c>
      <c r="AM433" s="4">
        <f t="shared" si="1463"/>
        <v>154.05957086781055</v>
      </c>
      <c r="AN433" s="4">
        <f t="shared" si="1464"/>
        <v>0.74614855570839056</v>
      </c>
      <c r="AO433" s="4">
        <v>1.25</v>
      </c>
      <c r="AP433" s="4">
        <f t="shared" si="1396"/>
        <v>2.5</v>
      </c>
      <c r="AQ433" s="38">
        <f t="shared" si="1266"/>
        <v>176.23498271549212</v>
      </c>
      <c r="AR433" s="38">
        <f t="shared" si="1465"/>
        <v>176.23498271549212</v>
      </c>
      <c r="AS433" s="38">
        <f t="shared" si="1466"/>
        <v>3.684107660000056</v>
      </c>
      <c r="AT433" s="38">
        <f t="shared" si="1407"/>
        <v>176.23498271549224</v>
      </c>
      <c r="AU433" s="38">
        <f t="shared" si="1373"/>
        <v>0.99999999999999933</v>
      </c>
      <c r="AV433" s="38">
        <f t="shared" si="1249"/>
        <v>3.4078235539634179</v>
      </c>
      <c r="AW433" s="4">
        <f t="shared" si="1511"/>
        <v>0</v>
      </c>
      <c r="AX433" s="4">
        <f t="shared" si="1298"/>
        <v>356.04097908203204</v>
      </c>
      <c r="AY433" s="4">
        <f t="shared" si="1267"/>
        <v>1</v>
      </c>
      <c r="AZ433" s="38">
        <f t="shared" si="1389"/>
        <v>600.57772513019029</v>
      </c>
      <c r="BA433" s="4">
        <f t="shared" si="1268"/>
        <v>0.3</v>
      </c>
      <c r="BB433" s="4">
        <f t="shared" si="1269"/>
        <v>55.809423471108531</v>
      </c>
      <c r="BC433" s="4">
        <f t="shared" si="1270"/>
        <v>656.3871486012988</v>
      </c>
      <c r="BE433" s="4">
        <f t="shared" si="1408"/>
        <v>1.5</v>
      </c>
      <c r="BF433" s="4">
        <f t="shared" si="1415"/>
        <v>599.61806485402587</v>
      </c>
      <c r="BH433" s="4">
        <f t="shared" si="1416"/>
        <v>576.02748426974358</v>
      </c>
      <c r="BI433" s="4">
        <f t="shared" si="1350"/>
        <v>0</v>
      </c>
      <c r="BJ433" s="4">
        <f t="shared" si="1417"/>
        <v>0</v>
      </c>
      <c r="BR433" s="4">
        <f t="shared" si="1271"/>
        <v>67.309999999999988</v>
      </c>
      <c r="BV433" s="9"/>
      <c r="BX433" s="9"/>
      <c r="BY433" s="9"/>
      <c r="BZ433" s="9">
        <f t="shared" si="1272"/>
        <v>67.309999999999988</v>
      </c>
      <c r="CA433" s="9">
        <f t="shared" si="1273"/>
        <v>75.374499999999983</v>
      </c>
      <c r="CB433" s="9">
        <f t="shared" si="1374"/>
        <v>1.3943927264184584</v>
      </c>
      <c r="CC433" s="40">
        <f t="shared" si="1299"/>
        <v>20</v>
      </c>
      <c r="CD433" s="9">
        <f t="shared" si="1274"/>
        <v>0.05</v>
      </c>
      <c r="CE433" s="9">
        <f t="shared" si="1275"/>
        <v>0.8</v>
      </c>
      <c r="CF433" s="9">
        <f t="shared" si="1276"/>
        <v>0.89777220146327208</v>
      </c>
      <c r="CG433" s="9">
        <f t="shared" si="1277"/>
        <v>0.68</v>
      </c>
      <c r="CH433" s="9">
        <f t="shared" si="1375"/>
        <v>1.4016881590631138</v>
      </c>
      <c r="CI433" s="9">
        <f t="shared" si="1376"/>
        <v>3.0758543009549761</v>
      </c>
      <c r="CJ433" s="40">
        <v>1</v>
      </c>
      <c r="CK433" s="9">
        <f t="shared" si="1377"/>
        <v>311.42479432931378</v>
      </c>
      <c r="CM433" s="4">
        <f t="shared" si="1278"/>
        <v>0.93945017082886029</v>
      </c>
      <c r="CN433" s="4">
        <f t="shared" si="1279"/>
        <v>0.50958151653858841</v>
      </c>
      <c r="CO433" s="4">
        <f t="shared" si="1242"/>
        <v>0.55782635351741428</v>
      </c>
      <c r="CP433" s="4">
        <f t="shared" si="1280"/>
        <v>1.0740402328627483</v>
      </c>
      <c r="CQ433" s="4">
        <f t="shared" si="1476"/>
        <v>0.85256630700679548</v>
      </c>
      <c r="CR433" s="4">
        <f t="shared" si="1477"/>
        <v>0.85852739822939572</v>
      </c>
      <c r="CS433" s="4">
        <f t="shared" si="1243"/>
        <v>0.8900725411588033</v>
      </c>
      <c r="CT433" s="4">
        <f t="shared" si="1300"/>
        <v>12</v>
      </c>
      <c r="DA433" s="4">
        <f t="shared" ref="DA433:DB433" si="1516">CM433</f>
        <v>0.93945017082886029</v>
      </c>
      <c r="DB433" s="4">
        <f t="shared" si="1516"/>
        <v>0.50958151653858841</v>
      </c>
      <c r="DC433" s="4">
        <f t="shared" ref="DC433" si="1517">CP433</f>
        <v>1.0740402328627483</v>
      </c>
      <c r="DD433" s="4">
        <f t="shared" ref="DD433" si="1518">CS433</f>
        <v>0.8900725411588033</v>
      </c>
      <c r="DE433" s="4">
        <f t="shared" ref="DE433:DF433" si="1519">CQ433</f>
        <v>0.85256630700679548</v>
      </c>
      <c r="DF433" s="4">
        <f t="shared" si="1519"/>
        <v>0.85852739822939572</v>
      </c>
      <c r="DI433" s="4">
        <f t="shared" si="1285"/>
        <v>369.31599999999997</v>
      </c>
      <c r="DL433" s="4">
        <f t="shared" si="1453"/>
        <v>2.0119035014818761E-5</v>
      </c>
      <c r="DM433" s="4">
        <f t="shared" si="1313"/>
        <v>6.9552766057760431</v>
      </c>
      <c r="DN433" s="4">
        <f t="shared" si="1454"/>
        <v>0.20560439979788206</v>
      </c>
      <c r="DO433" s="4">
        <f t="shared" si="1455"/>
        <v>3.6942592364830715</v>
      </c>
      <c r="DP433" s="4">
        <f t="shared" si="1456"/>
        <v>5.5709205222766514</v>
      </c>
      <c r="DQ433" s="4">
        <f t="shared" si="1457"/>
        <v>6.4977521014947346</v>
      </c>
      <c r="DR433" s="38">
        <f t="shared" si="1471"/>
        <v>392.32462727151102</v>
      </c>
      <c r="DS433" s="4">
        <f t="shared" si="1382"/>
        <v>1.000113306336438</v>
      </c>
      <c r="DT433" s="4">
        <f t="shared" si="1458"/>
        <v>3.0983866769659336</v>
      </c>
      <c r="DU433" s="4">
        <f t="shared" si="1390"/>
        <v>176.23498271549224</v>
      </c>
      <c r="DY433" s="4">
        <f t="shared" si="1331"/>
        <v>0.85</v>
      </c>
      <c r="DZ433" s="4">
        <f t="shared" si="1383"/>
        <v>0.91205673758865247</v>
      </c>
      <c r="EA433" s="4">
        <f t="shared" si="1472"/>
        <v>0.9995510789195714</v>
      </c>
      <c r="EB433" s="4">
        <f t="shared" si="1384"/>
        <v>0.91164729609260198</v>
      </c>
      <c r="ED433" s="4">
        <f t="shared" si="1473"/>
        <v>389.600564071127</v>
      </c>
      <c r="EE433" s="25">
        <f t="shared" si="1474"/>
        <v>174.4309431179702</v>
      </c>
      <c r="EG433" s="4">
        <f t="shared" si="1391"/>
        <v>0.77490020167871165</v>
      </c>
      <c r="EH433" s="4">
        <f t="shared" si="1475"/>
        <v>6.9552766057760431</v>
      </c>
      <c r="EK433" s="4">
        <f t="shared" si="1459"/>
        <v>110.96562044885792</v>
      </c>
      <c r="EL433" s="4">
        <f t="shared" si="1460"/>
        <v>3.0983866769659336</v>
      </c>
      <c r="EM433" s="4">
        <f t="shared" si="1461"/>
        <v>7.375236701442231E-2</v>
      </c>
      <c r="EP433" s="4">
        <f t="shared" si="1301"/>
        <v>7.375236701442231E-2</v>
      </c>
      <c r="EQ433" s="4">
        <f t="shared" si="1257"/>
        <v>0.2052612843740704</v>
      </c>
      <c r="ER433" s="4">
        <f t="shared" si="1314"/>
        <v>3.6917919887289439</v>
      </c>
      <c r="ES433" s="4">
        <f t="shared" si="1286"/>
        <v>5.5701097719955328</v>
      </c>
      <c r="ET433" s="4">
        <f t="shared" si="1315"/>
        <v>166.02137955114205</v>
      </c>
      <c r="EU433" s="4">
        <f t="shared" si="1316"/>
        <v>92.329000000000008</v>
      </c>
      <c r="EV433" s="4">
        <f t="shared" si="1385"/>
        <v>2.0119035014818764E-5</v>
      </c>
      <c r="EW433" s="4">
        <f t="shared" si="1287"/>
        <v>6.4978649361638707</v>
      </c>
      <c r="EX433" s="4">
        <f t="shared" si="1422"/>
        <v>392.28017944152123</v>
      </c>
      <c r="FG433" s="23">
        <f t="shared" si="1329"/>
        <v>1</v>
      </c>
      <c r="FH433" s="23">
        <f t="shared" si="1329"/>
        <v>0.6</v>
      </c>
      <c r="FI433" s="23">
        <f t="shared" si="1248"/>
        <v>1</v>
      </c>
      <c r="FJ433" s="23">
        <f t="shared" si="1330"/>
        <v>1.2</v>
      </c>
      <c r="FK433" s="23">
        <f t="shared" si="1330"/>
        <v>1</v>
      </c>
      <c r="FL433" s="23">
        <f t="shared" si="1330"/>
        <v>1</v>
      </c>
      <c r="FM433" s="23">
        <f t="shared" si="1478"/>
        <v>0</v>
      </c>
      <c r="FN433" s="23"/>
      <c r="FX433" s="4">
        <f t="shared" si="1386"/>
        <v>1</v>
      </c>
      <c r="FY433" s="4">
        <f t="shared" si="1429"/>
        <v>0.59020693452459627</v>
      </c>
      <c r="FZ433" s="4">
        <f t="shared" si="1387"/>
        <v>0.16766426906761905</v>
      </c>
      <c r="GA433" s="4">
        <f t="shared" si="1388"/>
        <v>375.79269458781397</v>
      </c>
    </row>
    <row r="434" spans="1:183" ht="12" customHeight="1" x14ac:dyDescent="0.3">
      <c r="A434" s="25">
        <v>416</v>
      </c>
      <c r="B434" s="4" t="s">
        <v>605</v>
      </c>
      <c r="C434" s="4">
        <v>2016</v>
      </c>
      <c r="D434" s="4" t="s">
        <v>309</v>
      </c>
      <c r="E434" s="14" t="s">
        <v>586</v>
      </c>
      <c r="F434" s="48" t="s">
        <v>587</v>
      </c>
      <c r="G434" s="38">
        <f>115.9/0.145</f>
        <v>799.31034482758628</v>
      </c>
      <c r="H434" s="38">
        <f>17.13*25.4</f>
        <v>435.10199999999998</v>
      </c>
      <c r="I434" s="4">
        <f t="shared" si="1288"/>
        <v>435.10199999999998</v>
      </c>
      <c r="J434" s="38">
        <f>10860/145</f>
        <v>74.896551724137936</v>
      </c>
      <c r="K434" s="38">
        <f t="shared" si="1490"/>
        <v>35.813999999999993</v>
      </c>
      <c r="L434" s="7">
        <f t="shared" si="1289"/>
        <v>12.148936170212767</v>
      </c>
      <c r="M434" s="7">
        <f t="shared" si="1290"/>
        <v>12.148936170212767</v>
      </c>
      <c r="N434" s="38">
        <f>21.9*25.4</f>
        <v>556.25999999999988</v>
      </c>
      <c r="O434" s="38">
        <f>2.8*25.4</f>
        <v>71.11999999999999</v>
      </c>
      <c r="P434" s="39">
        <f>3.9*25.4</f>
        <v>99.059999999999988</v>
      </c>
      <c r="Q434" s="7">
        <f t="shared" si="1291"/>
        <v>342.39199999999994</v>
      </c>
      <c r="R434" s="38">
        <v>2</v>
      </c>
      <c r="S434" s="4">
        <f t="shared" si="1361"/>
        <v>508</v>
      </c>
      <c r="T434" s="7">
        <f t="shared" si="1292"/>
        <v>2.4858156028368796</v>
      </c>
      <c r="U434" s="7">
        <f t="shared" si="1414"/>
        <v>2.4858156028368796</v>
      </c>
      <c r="V434" s="38">
        <v>4.5</v>
      </c>
      <c r="W434" s="4">
        <f t="shared" si="1293"/>
        <v>4.5</v>
      </c>
      <c r="X434" s="4">
        <f t="shared" si="1294"/>
        <v>5.5</v>
      </c>
      <c r="Y434" s="7">
        <f t="shared" si="1295"/>
        <v>83.991275011158137</v>
      </c>
      <c r="AB434" s="38">
        <f t="shared" si="1332"/>
        <v>749.65517241379314</v>
      </c>
      <c r="AC434" s="4">
        <v>108.7</v>
      </c>
      <c r="AD434" s="4">
        <f t="shared" si="1452"/>
        <v>0.99737956201403044</v>
      </c>
      <c r="AE434" s="38"/>
      <c r="AF434" s="38"/>
      <c r="AG434" s="39">
        <v>1</v>
      </c>
      <c r="AH434" s="39"/>
      <c r="AI434" s="39"/>
      <c r="AJ434" s="7"/>
      <c r="AK434" s="4">
        <f t="shared" si="1297"/>
        <v>435.10199999999998</v>
      </c>
      <c r="AL434" s="4">
        <f t="shared" si="1462"/>
        <v>0.42615294804436654</v>
      </c>
      <c r="AM434" s="4">
        <f t="shared" si="1463"/>
        <v>389.84502406210481</v>
      </c>
      <c r="AN434" s="4">
        <f t="shared" si="1464"/>
        <v>0.74092235843549326</v>
      </c>
      <c r="AO434" s="4">
        <v>1.25</v>
      </c>
      <c r="AP434" s="4">
        <f t="shared" si="1396"/>
        <v>2.5</v>
      </c>
      <c r="AQ434" s="38">
        <f t="shared" si="1266"/>
        <v>384.66282307406311</v>
      </c>
      <c r="AR434" s="38">
        <f t="shared" si="1465"/>
        <v>384.66282307406311</v>
      </c>
      <c r="AS434" s="38">
        <f t="shared" si="1466"/>
        <v>4.7252710400583542</v>
      </c>
      <c r="AT434" s="38">
        <f t="shared" si="1407"/>
        <v>384.662823074063</v>
      </c>
      <c r="AU434" s="38">
        <f t="shared" si="1373"/>
        <v>1.0000000000000002</v>
      </c>
      <c r="AV434" s="38">
        <f t="shared" si="1249"/>
        <v>2.0534624733612792</v>
      </c>
      <c r="AW434" s="4">
        <f t="shared" si="1511"/>
        <v>0</v>
      </c>
      <c r="AX434" s="4">
        <f t="shared" si="1298"/>
        <v>553.3699362263194</v>
      </c>
      <c r="AY434" s="4">
        <f t="shared" si="1267"/>
        <v>1</v>
      </c>
      <c r="AZ434" s="38">
        <f t="shared" si="1389"/>
        <v>789.89067207979758</v>
      </c>
      <c r="BA434" s="4">
        <f t="shared" si="1268"/>
        <v>0.37</v>
      </c>
      <c r="BB434" s="4">
        <f t="shared" si="1269"/>
        <v>106.98024292095322</v>
      </c>
      <c r="BC434" s="4">
        <f t="shared" si="1270"/>
        <v>896.87091500075076</v>
      </c>
      <c r="BE434" s="4">
        <f t="shared" si="1408"/>
        <v>1.2464539007092199</v>
      </c>
      <c r="BF434" s="4">
        <f t="shared" si="1415"/>
        <v>716.77237488729395</v>
      </c>
      <c r="BH434" s="4">
        <f t="shared" si="1416"/>
        <v>757.60175185922924</v>
      </c>
      <c r="BI434" s="4">
        <f t="shared" si="1350"/>
        <v>0</v>
      </c>
      <c r="BJ434" s="4">
        <f t="shared" si="1417"/>
        <v>0</v>
      </c>
      <c r="BR434" s="4">
        <f t="shared" si="1271"/>
        <v>71.11999999999999</v>
      </c>
      <c r="BV434" s="9"/>
      <c r="BX434" s="9"/>
      <c r="BY434" s="9"/>
      <c r="BZ434" s="9">
        <f t="shared" si="1272"/>
        <v>71.11999999999999</v>
      </c>
      <c r="CA434" s="9">
        <f t="shared" si="1273"/>
        <v>171.19599999999997</v>
      </c>
      <c r="CB434" s="9">
        <f t="shared" si="1374"/>
        <v>1.6076619725091519</v>
      </c>
      <c r="CC434" s="40">
        <f t="shared" si="1299"/>
        <v>0</v>
      </c>
      <c r="CD434" s="9">
        <f t="shared" si="1274"/>
        <v>0</v>
      </c>
      <c r="CE434" s="9">
        <f t="shared" si="1275"/>
        <v>0</v>
      </c>
      <c r="CF434" s="9">
        <f t="shared" si="1276"/>
        <v>0.89777220146327208</v>
      </c>
      <c r="CG434" s="9">
        <f t="shared" si="1277"/>
        <v>0.68048275862068963</v>
      </c>
      <c r="CH434" s="9">
        <f t="shared" si="1375"/>
        <v>1.8504707967044269</v>
      </c>
      <c r="CI434" s="9">
        <f t="shared" si="1376"/>
        <v>2.9749315311004207</v>
      </c>
      <c r="CJ434" s="40">
        <v>1</v>
      </c>
      <c r="CK434" s="9">
        <f t="shared" si="1377"/>
        <v>323.06490499439462</v>
      </c>
      <c r="CM434" s="4">
        <f t="shared" si="1278"/>
        <v>1.3547088906311604</v>
      </c>
      <c r="CN434" s="4">
        <f t="shared" si="1279"/>
        <v>0.83585626412376812</v>
      </c>
      <c r="CO434" s="4">
        <f t="shared" si="1242"/>
        <v>1.0458762065595366</v>
      </c>
      <c r="CP434" s="4">
        <f t="shared" si="1280"/>
        <v>2.3204475658747277</v>
      </c>
      <c r="CQ434" s="4">
        <f t="shared" si="1476"/>
        <v>0.99737956201403044</v>
      </c>
      <c r="CR434" s="4">
        <f t="shared" si="1477"/>
        <v>1.0416632154626597</v>
      </c>
      <c r="CS434" s="4">
        <f t="shared" si="1243"/>
        <v>1.2488912988332597</v>
      </c>
      <c r="CT434" s="4">
        <f t="shared" si="1300"/>
        <v>0</v>
      </c>
      <c r="CU434" s="4">
        <f t="shared" ref="CU434:CV435" si="1520">CM434</f>
        <v>1.3547088906311604</v>
      </c>
      <c r="CV434" s="4">
        <f t="shared" si="1520"/>
        <v>0.83585626412376812</v>
      </c>
      <c r="CW434" s="4">
        <f t="shared" ref="CW434:CW435" si="1521">CP434</f>
        <v>2.3204475658747277</v>
      </c>
      <c r="CX434" s="4">
        <f t="shared" ref="CX434:CX435" si="1522">CS434</f>
        <v>1.2488912988332597</v>
      </c>
      <c r="CY434" s="4">
        <f t="shared" ref="CY434:CZ435" si="1523">CQ434</f>
        <v>0.99737956201403044</v>
      </c>
      <c r="CZ434" s="4">
        <f t="shared" si="1523"/>
        <v>1.0416632154626597</v>
      </c>
      <c r="DI434" s="4">
        <f t="shared" si="1285"/>
        <v>435.10199999999998</v>
      </c>
      <c r="DL434" s="4">
        <f t="shared" si="1453"/>
        <v>2.8871836657560902E-5</v>
      </c>
      <c r="DM434" s="4">
        <f t="shared" si="1313"/>
        <v>9.2797747433667563</v>
      </c>
      <c r="DN434" s="4">
        <f t="shared" si="1454"/>
        <v>0.37299836532167074</v>
      </c>
      <c r="DO434" s="4">
        <f t="shared" si="1455"/>
        <v>6.2548976220947603</v>
      </c>
      <c r="DP434" s="4">
        <f t="shared" si="1456"/>
        <v>7.9137503349969922</v>
      </c>
      <c r="DQ434" s="4">
        <f t="shared" si="1457"/>
        <v>7.7449094179753031</v>
      </c>
      <c r="DR434" s="38">
        <f t="shared" si="1471"/>
        <v>751.62475848211488</v>
      </c>
      <c r="DS434" s="4">
        <f t="shared" si="1382"/>
        <v>1.0001051543164863</v>
      </c>
      <c r="DT434" s="4">
        <f t="shared" si="1458"/>
        <v>2.3452078799117149</v>
      </c>
      <c r="DU434" s="4">
        <f t="shared" si="1390"/>
        <v>384.662823074063</v>
      </c>
      <c r="DY434" s="4">
        <f t="shared" si="1331"/>
        <v>0.85</v>
      </c>
      <c r="DZ434" s="4">
        <f t="shared" si="1383"/>
        <v>0.90141843971631208</v>
      </c>
      <c r="EA434" s="4">
        <f t="shared" si="1472"/>
        <v>1</v>
      </c>
      <c r="EB434" s="4">
        <f t="shared" si="1384"/>
        <v>0.90141843971631208</v>
      </c>
      <c r="ED434" s="4">
        <f t="shared" si="1473"/>
        <v>719.67134990058207</v>
      </c>
      <c r="EE434" s="25">
        <f t="shared" si="1474"/>
        <v>381.45317680723616</v>
      </c>
      <c r="EG434" s="4">
        <f t="shared" si="1391"/>
        <v>0.76620567375886528</v>
      </c>
      <c r="EH434" s="4">
        <f t="shared" si="1475"/>
        <v>9.2797747433667563</v>
      </c>
      <c r="EK434" s="4">
        <f t="shared" si="1459"/>
        <v>83.991275011158137</v>
      </c>
      <c r="EL434" s="4">
        <f t="shared" si="1460"/>
        <v>2.3452078799117149</v>
      </c>
      <c r="EM434" s="4">
        <f t="shared" si="1461"/>
        <v>0.17651154056078713</v>
      </c>
      <c r="EP434" s="4">
        <f t="shared" si="1301"/>
        <v>0.17651154056078713</v>
      </c>
      <c r="EQ434" s="4">
        <f t="shared" si="1257"/>
        <v>0.37237590056739411</v>
      </c>
      <c r="ER434" s="4">
        <f t="shared" si="1314"/>
        <v>6.2507202265405981</v>
      </c>
      <c r="ES434" s="4">
        <f t="shared" si="1286"/>
        <v>7.9121030475986087</v>
      </c>
      <c r="ET434" s="4">
        <f t="shared" si="1315"/>
        <v>242.33522498884187</v>
      </c>
      <c r="EU434" s="4">
        <f t="shared" si="1316"/>
        <v>108.77549999999999</v>
      </c>
      <c r="EV434" s="4">
        <f t="shared" si="1385"/>
        <v>2.8871836657560902E-5</v>
      </c>
      <c r="EW434" s="4">
        <f t="shared" si="1287"/>
        <v>7.7452999549797257</v>
      </c>
      <c r="EX434" s="4">
        <f t="shared" si="1422"/>
        <v>751.545730204547</v>
      </c>
      <c r="FA434" s="4">
        <f>6.75*25.4</f>
        <v>171.45</v>
      </c>
      <c r="FG434" s="23">
        <f t="shared" si="1329"/>
        <v>1.4</v>
      </c>
      <c r="FH434" s="23">
        <f t="shared" si="1329"/>
        <v>1</v>
      </c>
      <c r="FI434" s="23">
        <f t="shared" si="1248"/>
        <v>1.4</v>
      </c>
      <c r="FJ434" s="23">
        <f t="shared" si="1330"/>
        <v>2.2000000000000002</v>
      </c>
      <c r="FK434" s="23">
        <f t="shared" si="1330"/>
        <v>1</v>
      </c>
      <c r="FL434" s="23">
        <f t="shared" si="1330"/>
        <v>1.2</v>
      </c>
      <c r="FM434" s="23">
        <f t="shared" si="1478"/>
        <v>0</v>
      </c>
      <c r="FN434" s="23"/>
      <c r="FX434" s="4">
        <f t="shared" si="1386"/>
        <v>1</v>
      </c>
      <c r="FY434" s="4">
        <f t="shared" si="1429"/>
        <v>0.5</v>
      </c>
      <c r="FZ434" s="4">
        <f t="shared" si="1387"/>
        <v>0</v>
      </c>
      <c r="GA434" s="4">
        <f t="shared" si="1388"/>
        <v>600.25654203383169</v>
      </c>
    </row>
    <row r="435" spans="1:183" ht="12" customHeight="1" x14ac:dyDescent="0.3">
      <c r="A435" s="25">
        <v>417</v>
      </c>
      <c r="B435" s="4" t="s">
        <v>605</v>
      </c>
      <c r="C435" s="4">
        <v>2016</v>
      </c>
      <c r="D435" s="4" t="s">
        <v>309</v>
      </c>
      <c r="E435" s="14" t="s">
        <v>586</v>
      </c>
      <c r="F435" s="7" t="s">
        <v>588</v>
      </c>
      <c r="G435" s="38">
        <f>135/0.145</f>
        <v>931.0344827586207</v>
      </c>
      <c r="H435" s="38">
        <f>16.94*25.4</f>
        <v>430.27600000000001</v>
      </c>
      <c r="I435" s="4">
        <f t="shared" si="1288"/>
        <v>430.27600000000001</v>
      </c>
      <c r="J435" s="38">
        <f>10120/145</f>
        <v>69.793103448275858</v>
      </c>
      <c r="K435" s="38">
        <f t="shared" si="1490"/>
        <v>35.813999999999993</v>
      </c>
      <c r="L435" s="7">
        <f t="shared" si="1289"/>
        <v>12.014184397163124</v>
      </c>
      <c r="M435" s="7">
        <f t="shared" si="1290"/>
        <v>12.014184397163124</v>
      </c>
      <c r="N435" s="38">
        <f>22.3*25.4</f>
        <v>566.41999999999996</v>
      </c>
      <c r="O435" s="38">
        <f>2.85*25.4</f>
        <v>72.39</v>
      </c>
      <c r="P435" s="39">
        <f>3.4*25.4</f>
        <v>86.36</v>
      </c>
      <c r="Q435" s="7">
        <f t="shared" si="1291"/>
        <v>350.01199999999994</v>
      </c>
      <c r="R435" s="38">
        <v>2</v>
      </c>
      <c r="S435" s="4">
        <f t="shared" si="1361"/>
        <v>508</v>
      </c>
      <c r="T435" s="7">
        <f t="shared" si="1292"/>
        <v>2.5212765957446814</v>
      </c>
      <c r="U435" s="7">
        <f t="shared" si="1414"/>
        <v>2.5212765957446814</v>
      </c>
      <c r="V435" s="38">
        <v>5.5</v>
      </c>
      <c r="W435" s="4">
        <f t="shared" si="1293"/>
        <v>5.5</v>
      </c>
      <c r="X435" s="4">
        <f t="shared" si="1294"/>
        <v>6.5</v>
      </c>
      <c r="Y435" s="7">
        <f t="shared" si="1295"/>
        <v>91.308142429905971</v>
      </c>
      <c r="AB435" s="38">
        <f t="shared" si="1332"/>
        <v>777.93103448275861</v>
      </c>
      <c r="AC435" s="4">
        <v>112.8</v>
      </c>
      <c r="AD435" s="4">
        <f t="shared" si="1452"/>
        <v>1.0728433505360115</v>
      </c>
      <c r="AE435" s="38"/>
      <c r="AF435" s="38"/>
      <c r="AG435" s="39">
        <v>1</v>
      </c>
      <c r="AH435" s="39"/>
      <c r="AI435" s="39"/>
      <c r="AJ435" s="7"/>
      <c r="AK435" s="4">
        <f t="shared" si="1297"/>
        <v>430.27600000000001</v>
      </c>
      <c r="AL435" s="4">
        <f t="shared" si="1462"/>
        <v>0.43880362062180234</v>
      </c>
      <c r="AM435" s="4">
        <f t="shared" si="1463"/>
        <v>370.08493226495057</v>
      </c>
      <c r="AN435" s="4">
        <f t="shared" si="1464"/>
        <v>0.74197166469893738</v>
      </c>
      <c r="AO435" s="4">
        <v>1.25</v>
      </c>
      <c r="AP435" s="4">
        <f t="shared" si="1396"/>
        <v>2.5</v>
      </c>
      <c r="AQ435" s="38">
        <f t="shared" si="1266"/>
        <v>376.53811811168083</v>
      </c>
      <c r="AR435" s="38">
        <f t="shared" si="1465"/>
        <v>376.53811811168083</v>
      </c>
      <c r="AS435" s="38">
        <f t="shared" si="1466"/>
        <v>4.6054834550100843</v>
      </c>
      <c r="AT435" s="38">
        <f t="shared" si="1407"/>
        <v>376.53811811168123</v>
      </c>
      <c r="AU435" s="38">
        <f t="shared" si="1373"/>
        <v>0.99999999999999889</v>
      </c>
      <c r="AV435" s="38">
        <f t="shared" si="1249"/>
        <v>2.191973984270188</v>
      </c>
      <c r="AW435" s="4">
        <f t="shared" si="1511"/>
        <v>0</v>
      </c>
      <c r="AX435" s="4">
        <f t="shared" si="1298"/>
        <v>528.25905183662746</v>
      </c>
      <c r="AY435" s="4">
        <f t="shared" si="1267"/>
        <v>1</v>
      </c>
      <c r="AZ435" s="38">
        <f t="shared" si="1389"/>
        <v>825.36175898686054</v>
      </c>
      <c r="BA435" s="4">
        <f t="shared" si="1268"/>
        <v>0.3</v>
      </c>
      <c r="BB435" s="4">
        <f t="shared" si="1269"/>
        <v>82.804606375391359</v>
      </c>
      <c r="BC435" s="4">
        <f t="shared" si="1270"/>
        <v>908.1663653622519</v>
      </c>
      <c r="BE435" s="4">
        <f t="shared" si="1408"/>
        <v>1.2553191489361704</v>
      </c>
      <c r="BF435" s="4">
        <f t="shared" si="1415"/>
        <v>692.60283276114683</v>
      </c>
      <c r="BH435" s="4">
        <f t="shared" si="1416"/>
        <v>791.62286203436884</v>
      </c>
      <c r="BI435" s="4">
        <f t="shared" si="1350"/>
        <v>0</v>
      </c>
      <c r="BJ435" s="4">
        <f t="shared" si="1417"/>
        <v>0</v>
      </c>
      <c r="BR435" s="4">
        <f t="shared" si="1271"/>
        <v>72.39</v>
      </c>
      <c r="BV435" s="9"/>
      <c r="BX435" s="9"/>
      <c r="BY435" s="9"/>
      <c r="BZ435" s="9">
        <f t="shared" si="1272"/>
        <v>72.39</v>
      </c>
      <c r="CA435" s="9">
        <f t="shared" si="1273"/>
        <v>175.00599999999997</v>
      </c>
      <c r="CB435" s="9">
        <f t="shared" si="1374"/>
        <v>1.6230018989509365</v>
      </c>
      <c r="CC435" s="40">
        <f t="shared" si="1299"/>
        <v>0</v>
      </c>
      <c r="CD435" s="9">
        <f t="shared" si="1274"/>
        <v>0</v>
      </c>
      <c r="CE435" s="9">
        <f t="shared" si="1275"/>
        <v>0</v>
      </c>
      <c r="CF435" s="9">
        <f t="shared" si="1276"/>
        <v>0.89777220146327208</v>
      </c>
      <c r="CG435" s="9">
        <f t="shared" si="1277"/>
        <v>0.68</v>
      </c>
      <c r="CH435" s="9">
        <f t="shared" si="1375"/>
        <v>1.7850458101214393</v>
      </c>
      <c r="CI435" s="9">
        <f t="shared" si="1376"/>
        <v>2.8971327395415085</v>
      </c>
      <c r="CJ435" s="40">
        <v>1</v>
      </c>
      <c r="CK435" s="9">
        <f t="shared" si="1377"/>
        <v>313.05471219613071</v>
      </c>
      <c r="CM435" s="4">
        <f t="shared" si="1278"/>
        <v>1.4726317169163174</v>
      </c>
      <c r="CN435" s="4">
        <f t="shared" si="1279"/>
        <v>0.85659529371851961</v>
      </c>
      <c r="CO435" s="4">
        <f t="shared" ref="CO435:CO449" si="1524">AB435/BF435</f>
        <v>1.1231993253354746</v>
      </c>
      <c r="CP435" s="4">
        <f t="shared" si="1280"/>
        <v>2.4849682952396512</v>
      </c>
      <c r="CQ435" s="4">
        <f t="shared" si="1476"/>
        <v>1.0728433505360115</v>
      </c>
      <c r="CR435" s="4">
        <f t="shared" si="1477"/>
        <v>1.1153119606929831</v>
      </c>
      <c r="CS435" s="4">
        <f t="shared" ref="CS435:CS449" si="1525">AB435/GA435</f>
        <v>1.3338607110128451</v>
      </c>
      <c r="CT435" s="4">
        <f t="shared" si="1300"/>
        <v>0</v>
      </c>
      <c r="CU435" s="4">
        <f t="shared" si="1520"/>
        <v>1.4726317169163174</v>
      </c>
      <c r="CV435" s="4">
        <f t="shared" si="1520"/>
        <v>0.85659529371851961</v>
      </c>
      <c r="CW435" s="4">
        <f t="shared" si="1521"/>
        <v>2.4849682952396512</v>
      </c>
      <c r="CX435" s="4">
        <f t="shared" si="1522"/>
        <v>1.3338607110128451</v>
      </c>
      <c r="CY435" s="4">
        <f t="shared" si="1523"/>
        <v>1.0728433505360115</v>
      </c>
      <c r="CZ435" s="4">
        <f t="shared" si="1523"/>
        <v>1.1153119606929831</v>
      </c>
      <c r="DI435" s="4">
        <f t="shared" si="1285"/>
        <v>430.27600000000001</v>
      </c>
      <c r="DL435" s="4">
        <f t="shared" si="1453"/>
        <v>2.7686527188922619E-5</v>
      </c>
      <c r="DM435" s="4">
        <f t="shared" si="1313"/>
        <v>8.9934147612306088</v>
      </c>
      <c r="DN435" s="4">
        <f t="shared" si="1454"/>
        <v>0.34850589790084407</v>
      </c>
      <c r="DO435" s="4">
        <f t="shared" si="1455"/>
        <v>5.8994112997014136</v>
      </c>
      <c r="DP435" s="4">
        <f t="shared" si="1456"/>
        <v>7.6060716291421739</v>
      </c>
      <c r="DQ435" s="4">
        <f t="shared" si="1457"/>
        <v>7.6439407512249238</v>
      </c>
      <c r="DR435" s="38">
        <f t="shared" si="1471"/>
        <v>725.11148444373589</v>
      </c>
      <c r="DS435" s="4">
        <f t="shared" si="1382"/>
        <v>1.0001040148811704</v>
      </c>
      <c r="DT435" s="4">
        <f t="shared" si="1458"/>
        <v>2.5495097567963922</v>
      </c>
      <c r="DU435" s="4">
        <f t="shared" si="1390"/>
        <v>376.53811811168123</v>
      </c>
      <c r="DY435" s="4">
        <f t="shared" si="1331"/>
        <v>0.85</v>
      </c>
      <c r="DZ435" s="4">
        <f t="shared" si="1383"/>
        <v>0.89787234042553188</v>
      </c>
      <c r="EA435" s="4">
        <f t="shared" si="1472"/>
        <v>1</v>
      </c>
      <c r="EB435" s="4">
        <f t="shared" si="1384"/>
        <v>0.89787234042553188</v>
      </c>
      <c r="ED435" s="4">
        <f t="shared" si="1473"/>
        <v>697.50084451654436</v>
      </c>
      <c r="EE435" s="25">
        <f t="shared" si="1474"/>
        <v>373.3552146117645</v>
      </c>
      <c r="EG435" s="4">
        <f t="shared" si="1391"/>
        <v>0.76319148936170211</v>
      </c>
      <c r="EH435" s="4">
        <f t="shared" si="1475"/>
        <v>8.9934147612306088</v>
      </c>
      <c r="EK435" s="4">
        <f t="shared" si="1459"/>
        <v>91.308142429905971</v>
      </c>
      <c r="EL435" s="4">
        <f t="shared" si="1460"/>
        <v>2.5495097567963922</v>
      </c>
      <c r="EM435" s="4">
        <f t="shared" si="1461"/>
        <v>0.1592031486457379</v>
      </c>
      <c r="EP435" s="4">
        <f t="shared" si="1301"/>
        <v>0.1592031486457379</v>
      </c>
      <c r="EQ435" s="4">
        <f t="shared" si="1257"/>
        <v>0.34792430650991729</v>
      </c>
      <c r="ER435" s="4">
        <f t="shared" si="1314"/>
        <v>5.8954713192213966</v>
      </c>
      <c r="ES435" s="4">
        <f t="shared" si="1286"/>
        <v>7.6045476887426728</v>
      </c>
      <c r="ET435" s="4">
        <f t="shared" si="1315"/>
        <v>231.39885757009404</v>
      </c>
      <c r="EU435" s="4">
        <f t="shared" si="1316"/>
        <v>107.56900000000002</v>
      </c>
      <c r="EV435" s="4">
        <f t="shared" si="1385"/>
        <v>2.7686527188922619E-5</v>
      </c>
      <c r="EW435" s="4">
        <f t="shared" si="1287"/>
        <v>7.6442862622600236</v>
      </c>
      <c r="EX435" s="4">
        <f t="shared" si="1422"/>
        <v>725.03606990308072</v>
      </c>
      <c r="FG435" s="23">
        <f t="shared" si="1329"/>
        <v>1.6</v>
      </c>
      <c r="FH435" s="23">
        <f t="shared" si="1329"/>
        <v>1</v>
      </c>
      <c r="FI435" s="23">
        <f t="shared" ref="FI435:FI449" si="1526">IF(CS435&lt;0.6,0.6,IF(CS435&lt;0.8,0.8,IF(CS435&lt;1,1,IF(CS435&lt;1.2,1.2,IF(CS435&lt;1.4,1.4,IF(CS435&lt;1.6,1.6,IF(CS435&lt;1.8,1.8,IF(CS435&lt;2,2,2.2))))))))</f>
        <v>1.4</v>
      </c>
      <c r="FJ435" s="23">
        <f t="shared" si="1330"/>
        <v>2.2000000000000002</v>
      </c>
      <c r="FK435" s="23">
        <f t="shared" si="1330"/>
        <v>1.2</v>
      </c>
      <c r="FL435" s="23">
        <f t="shared" si="1330"/>
        <v>1.2</v>
      </c>
      <c r="FM435" s="23">
        <f t="shared" si="1478"/>
        <v>0</v>
      </c>
      <c r="FN435" s="23"/>
      <c r="FX435" s="4">
        <f t="shared" si="1386"/>
        <v>1</v>
      </c>
      <c r="FY435" s="4">
        <f t="shared" si="1429"/>
        <v>0.5</v>
      </c>
      <c r="FZ435" s="4">
        <f t="shared" si="1387"/>
        <v>0</v>
      </c>
      <c r="GA435" s="4">
        <f t="shared" si="1388"/>
        <v>583.21759390607554</v>
      </c>
    </row>
    <row r="436" spans="1:183" ht="12" customHeight="1" x14ac:dyDescent="0.3">
      <c r="A436" s="25">
        <v>418</v>
      </c>
      <c r="B436" s="4" t="s">
        <v>605</v>
      </c>
      <c r="C436" s="4">
        <v>2016</v>
      </c>
      <c r="D436" s="4" t="s">
        <v>309</v>
      </c>
      <c r="E436" s="14" t="s">
        <v>679</v>
      </c>
      <c r="F436" s="48" t="s">
        <v>589</v>
      </c>
      <c r="G436" s="38">
        <f>115.9/0.145</f>
        <v>799.31034482758628</v>
      </c>
      <c r="H436" s="38">
        <f>16.81*25.4</f>
        <v>426.97399999999993</v>
      </c>
      <c r="I436" s="4">
        <f t="shared" si="1288"/>
        <v>426.97399999999993</v>
      </c>
      <c r="J436" s="38">
        <f>10860/145</f>
        <v>74.896551724137936</v>
      </c>
      <c r="K436" s="38">
        <f t="shared" si="1490"/>
        <v>35.813999999999993</v>
      </c>
      <c r="L436" s="7">
        <f t="shared" si="1289"/>
        <v>11.921985815602838</v>
      </c>
      <c r="M436" s="7">
        <f t="shared" si="1290"/>
        <v>11.921985815602838</v>
      </c>
      <c r="N436" s="38">
        <f>21.7*25.4</f>
        <v>551.17999999999995</v>
      </c>
      <c r="O436" s="38">
        <f>2.65*25.4</f>
        <v>67.309999999999988</v>
      </c>
      <c r="P436" s="39">
        <f>4.2*25.4</f>
        <v>106.67999999999999</v>
      </c>
      <c r="Q436" s="7">
        <f t="shared" si="1291"/>
        <v>344.93200000000002</v>
      </c>
      <c r="R436" s="38">
        <v>2</v>
      </c>
      <c r="S436" s="4">
        <f t="shared" si="1361"/>
        <v>508</v>
      </c>
      <c r="T436" s="7">
        <f t="shared" si="1292"/>
        <v>2.3794326241134751</v>
      </c>
      <c r="U436" s="7">
        <f t="shared" si="1414"/>
        <v>2.3794326241134751</v>
      </c>
      <c r="V436" s="38">
        <v>4.5</v>
      </c>
      <c r="W436" s="4">
        <f t="shared" si="1293"/>
        <v>4.5</v>
      </c>
      <c r="X436" s="4">
        <f t="shared" si="1294"/>
        <v>5.5</v>
      </c>
      <c r="Y436" s="7">
        <f t="shared" si="1295"/>
        <v>83.991275011158137</v>
      </c>
      <c r="AB436" s="38">
        <f t="shared" si="1332"/>
        <v>891.0344827586207</v>
      </c>
      <c r="AC436" s="4">
        <v>129.19999999999999</v>
      </c>
      <c r="AD436" s="4">
        <f t="shared" si="1452"/>
        <v>1.2159686517391213</v>
      </c>
      <c r="AE436" s="38">
        <f t="shared" ref="AE436:AE437" si="1527">0.5*25.4</f>
        <v>12.7</v>
      </c>
      <c r="AF436" s="38">
        <v>12</v>
      </c>
      <c r="AG436" s="39">
        <f t="shared" ref="AG436:AG437" si="1528">4*25.4</f>
        <v>101.6</v>
      </c>
      <c r="AH436" s="39">
        <v>2</v>
      </c>
      <c r="AI436" s="39">
        <f t="shared" ref="AI436:AI437" si="1529">AH436-1</f>
        <v>1</v>
      </c>
      <c r="AJ436" s="7"/>
      <c r="AK436" s="4">
        <f t="shared" si="1297"/>
        <v>426.97399999999993</v>
      </c>
      <c r="AL436" s="4">
        <f t="shared" si="1462"/>
        <v>0.43029942494546902</v>
      </c>
      <c r="AM436" s="4">
        <f t="shared" si="1463"/>
        <v>378.97234670320694</v>
      </c>
      <c r="AN436" s="4">
        <f t="shared" si="1464"/>
        <v>0.73991671624033306</v>
      </c>
      <c r="AO436" s="4">
        <v>1.25</v>
      </c>
      <c r="AP436" s="4">
        <f t="shared" si="1396"/>
        <v>2.5</v>
      </c>
      <c r="AQ436" s="38">
        <f t="shared" si="1266"/>
        <v>377.06059406058517</v>
      </c>
      <c r="AR436" s="38">
        <f t="shared" si="1465"/>
        <v>377.06059406058517</v>
      </c>
      <c r="AS436" s="38">
        <f t="shared" si="1466"/>
        <v>4.7252710400583542</v>
      </c>
      <c r="AT436" s="38">
        <f t="shared" si="1407"/>
        <v>377.06059406058517</v>
      </c>
      <c r="AU436" s="38">
        <f t="shared" si="1373"/>
        <v>1</v>
      </c>
      <c r="AV436" s="38">
        <f t="shared" ref="AV436:AV449" si="1530">AZ436/AT436</f>
        <v>2.0052122080112209</v>
      </c>
      <c r="AW436" s="4">
        <f t="shared" si="1511"/>
        <v>0</v>
      </c>
      <c r="AX436" s="4">
        <f t="shared" si="1298"/>
        <v>543.03261108957565</v>
      </c>
      <c r="AY436" s="4">
        <f t="shared" si="1267"/>
        <v>1</v>
      </c>
      <c r="AZ436" s="38">
        <f t="shared" si="1389"/>
        <v>756.08650637024857</v>
      </c>
      <c r="BA436" s="4">
        <f t="shared" si="1268"/>
        <v>0.37</v>
      </c>
      <c r="BB436" s="4">
        <f t="shared" si="1269"/>
        <v>104.98177953889221</v>
      </c>
      <c r="BC436" s="4">
        <f t="shared" si="1270"/>
        <v>861.06828590914074</v>
      </c>
      <c r="BE436" s="4">
        <f t="shared" si="1408"/>
        <v>1.5</v>
      </c>
      <c r="BF436" s="4">
        <f t="shared" si="1415"/>
        <v>853.73545493788572</v>
      </c>
      <c r="BH436" s="4">
        <f t="shared" si="1416"/>
        <v>725.17942296368437</v>
      </c>
      <c r="BI436" s="4">
        <f t="shared" si="1350"/>
        <v>0</v>
      </c>
      <c r="BJ436" s="4">
        <f t="shared" si="1417"/>
        <v>0</v>
      </c>
      <c r="BR436" s="4">
        <f t="shared" si="1271"/>
        <v>67.309999999999988</v>
      </c>
      <c r="BV436" s="9"/>
      <c r="BX436" s="9"/>
      <c r="BY436" s="9"/>
      <c r="BZ436" s="9">
        <f t="shared" si="1272"/>
        <v>67.309999999999988</v>
      </c>
      <c r="CA436" s="9">
        <f t="shared" si="1273"/>
        <v>172.46600000000001</v>
      </c>
      <c r="CB436" s="9">
        <f t="shared" si="1374"/>
        <v>1.5787267425904519</v>
      </c>
      <c r="CC436" s="40">
        <f t="shared" si="1299"/>
        <v>20</v>
      </c>
      <c r="CD436" s="9">
        <f t="shared" si="1274"/>
        <v>0.05</v>
      </c>
      <c r="CE436" s="9">
        <f t="shared" si="1275"/>
        <v>0.8</v>
      </c>
      <c r="CF436" s="9">
        <f t="shared" si="1276"/>
        <v>0.89777220146327208</v>
      </c>
      <c r="CG436" s="9">
        <f t="shared" si="1277"/>
        <v>0.68048275862068963</v>
      </c>
      <c r="CH436" s="9">
        <f t="shared" si="1375"/>
        <v>1.8504707967044269</v>
      </c>
      <c r="CI436" s="9">
        <f t="shared" si="1376"/>
        <v>4.4017643705034795</v>
      </c>
      <c r="CJ436" s="40">
        <v>1</v>
      </c>
      <c r="CK436" s="9">
        <f t="shared" si="1377"/>
        <v>474.01695178528246</v>
      </c>
      <c r="CM436" s="4">
        <f t="shared" si="1278"/>
        <v>1.6408489371767041</v>
      </c>
      <c r="CN436" s="4">
        <f t="shared" si="1279"/>
        <v>1.0348011851555312</v>
      </c>
      <c r="CO436" s="4">
        <f t="shared" si="1524"/>
        <v>1.0436892102875694</v>
      </c>
      <c r="CP436" s="4">
        <f t="shared" si="1280"/>
        <v>1.8797523578064703</v>
      </c>
      <c r="CQ436" s="4">
        <f t="shared" si="1476"/>
        <v>1.2159686517391213</v>
      </c>
      <c r="CR436" s="4">
        <f t="shared" si="1477"/>
        <v>1.2692714892463186</v>
      </c>
      <c r="CS436" s="4">
        <f t="shared" si="1525"/>
        <v>1.3088116847320996</v>
      </c>
      <c r="CT436" s="4">
        <f t="shared" si="1300"/>
        <v>12</v>
      </c>
      <c r="DA436" s="4">
        <f t="shared" ref="DA436:DB437" si="1531">CM436</f>
        <v>1.6408489371767041</v>
      </c>
      <c r="DB436" s="4">
        <f t="shared" si="1531"/>
        <v>1.0348011851555312</v>
      </c>
      <c r="DC436" s="4">
        <f t="shared" ref="DC436:DC437" si="1532">CP436</f>
        <v>1.8797523578064703</v>
      </c>
      <c r="DD436" s="4">
        <f t="shared" ref="DD436:DD437" si="1533">CS436</f>
        <v>1.3088116847320996</v>
      </c>
      <c r="DE436" s="4">
        <f t="shared" ref="DE436:DF437" si="1534">CQ436</f>
        <v>1.2159686517391213</v>
      </c>
      <c r="DF436" s="4">
        <f t="shared" si="1534"/>
        <v>1.2692714892463186</v>
      </c>
      <c r="DI436" s="4">
        <f t="shared" si="1285"/>
        <v>426.97399999999993</v>
      </c>
      <c r="DL436" s="4">
        <f t="shared" si="1453"/>
        <v>2.8332491197524731E-5</v>
      </c>
      <c r="DM436" s="4">
        <f t="shared" si="1313"/>
        <v>9.175653902487765</v>
      </c>
      <c r="DN436" s="4">
        <f t="shared" si="1454"/>
        <v>0.36562666516056047</v>
      </c>
      <c r="DO436" s="4">
        <f t="shared" si="1455"/>
        <v>6.1355311948268501</v>
      </c>
      <c r="DP436" s="4">
        <f t="shared" si="1456"/>
        <v>7.8056110225120436</v>
      </c>
      <c r="DQ436" s="4">
        <f t="shared" si="1457"/>
        <v>7.7343241921128305</v>
      </c>
      <c r="DR436" s="38">
        <f t="shared" si="1471"/>
        <v>732.77751156185786</v>
      </c>
      <c r="DS436" s="4">
        <f t="shared" si="1382"/>
        <v>1.0001043661323701</v>
      </c>
      <c r="DT436" s="4">
        <f t="shared" si="1458"/>
        <v>2.3452078799117149</v>
      </c>
      <c r="DU436" s="4">
        <f t="shared" si="1390"/>
        <v>377.06059406058517</v>
      </c>
      <c r="DY436" s="4">
        <f t="shared" si="1331"/>
        <v>0.85</v>
      </c>
      <c r="DZ436" s="4">
        <f t="shared" si="1383"/>
        <v>0.91205673758865247</v>
      </c>
      <c r="EA436" s="4">
        <f t="shared" si="1472"/>
        <v>0.9995510789195714</v>
      </c>
      <c r="EB436" s="4">
        <f t="shared" si="1384"/>
        <v>0.91164729609260198</v>
      </c>
      <c r="ED436" s="4">
        <f t="shared" si="1473"/>
        <v>702.00464621458445</v>
      </c>
      <c r="EE436" s="25">
        <f t="shared" si="1474"/>
        <v>373.82859919156465</v>
      </c>
      <c r="EG436" s="4">
        <f t="shared" si="1391"/>
        <v>0.77490020167871165</v>
      </c>
      <c r="EH436" s="4">
        <f t="shared" si="1475"/>
        <v>9.175653902487765</v>
      </c>
      <c r="EK436" s="4">
        <f t="shared" si="1459"/>
        <v>83.991275011158137</v>
      </c>
      <c r="EL436" s="4">
        <f t="shared" si="1460"/>
        <v>2.3452078799117149</v>
      </c>
      <c r="EM436" s="4">
        <f t="shared" si="1461"/>
        <v>0.17302307982485968</v>
      </c>
      <c r="EP436" s="4">
        <f t="shared" si="1301"/>
        <v>0.17302307982485968</v>
      </c>
      <c r="EQ436" s="4">
        <f t="shared" si="1257"/>
        <v>0.36501650239995459</v>
      </c>
      <c r="ER436" s="4">
        <f t="shared" si="1314"/>
        <v>6.1314335193277074</v>
      </c>
      <c r="ES436" s="4">
        <f t="shared" si="1286"/>
        <v>7.8040042556627496</v>
      </c>
      <c r="ET436" s="4">
        <f t="shared" si="1315"/>
        <v>236.23922498884181</v>
      </c>
      <c r="EU436" s="4">
        <f t="shared" si="1316"/>
        <v>106.74350000000001</v>
      </c>
      <c r="EV436" s="4">
        <f t="shared" si="1385"/>
        <v>2.8332491197524738E-5</v>
      </c>
      <c r="EW436" s="4">
        <f t="shared" si="1287"/>
        <v>7.7346903370843023</v>
      </c>
      <c r="EX436" s="4">
        <f t="shared" si="1422"/>
        <v>732.70104238788031</v>
      </c>
      <c r="FA436" s="4">
        <f>6.75*25.4</f>
        <v>171.45</v>
      </c>
      <c r="FG436" s="23">
        <f t="shared" si="1329"/>
        <v>1.8</v>
      </c>
      <c r="FH436" s="23">
        <f t="shared" si="1329"/>
        <v>1.2</v>
      </c>
      <c r="FI436" s="23">
        <f t="shared" si="1526"/>
        <v>1.4</v>
      </c>
      <c r="FJ436" s="23">
        <f t="shared" si="1330"/>
        <v>2</v>
      </c>
      <c r="FK436" s="23">
        <f t="shared" si="1330"/>
        <v>1.4</v>
      </c>
      <c r="FL436" s="23">
        <f t="shared" si="1330"/>
        <v>1.4</v>
      </c>
      <c r="FM436" s="23">
        <f t="shared" si="1478"/>
        <v>0</v>
      </c>
      <c r="FN436" s="23"/>
      <c r="FX436" s="4">
        <f t="shared" si="1386"/>
        <v>1</v>
      </c>
      <c r="FY436" s="4">
        <f t="shared" si="1429"/>
        <v>0.43261334185606104</v>
      </c>
      <c r="FZ436" s="4">
        <f t="shared" si="1387"/>
        <v>0.25149640360142855</v>
      </c>
      <c r="GA436" s="4">
        <f t="shared" si="1388"/>
        <v>680.79655243986178</v>
      </c>
    </row>
    <row r="437" spans="1:183" ht="12" customHeight="1" x14ac:dyDescent="0.3">
      <c r="A437" s="25">
        <v>419</v>
      </c>
      <c r="B437" s="4" t="s">
        <v>605</v>
      </c>
      <c r="C437" s="4">
        <v>2016</v>
      </c>
      <c r="D437" s="4" t="s">
        <v>309</v>
      </c>
      <c r="E437" s="14" t="s">
        <v>679</v>
      </c>
      <c r="F437" s="7" t="s">
        <v>590</v>
      </c>
      <c r="G437" s="38">
        <f>135/0.145</f>
        <v>931.0344827586207</v>
      </c>
      <c r="H437" s="38">
        <f>16.81*25.4</f>
        <v>426.97399999999993</v>
      </c>
      <c r="I437" s="4">
        <f t="shared" si="1288"/>
        <v>426.97399999999993</v>
      </c>
      <c r="J437" s="38">
        <f>10120/145</f>
        <v>69.793103448275858</v>
      </c>
      <c r="K437" s="38">
        <f t="shared" si="1490"/>
        <v>35.813999999999993</v>
      </c>
      <c r="L437" s="7">
        <f t="shared" si="1289"/>
        <v>11.921985815602838</v>
      </c>
      <c r="M437" s="7">
        <f t="shared" si="1290"/>
        <v>11.921985815602838</v>
      </c>
      <c r="N437" s="38">
        <f>22.4*25.4</f>
        <v>568.95999999999992</v>
      </c>
      <c r="O437" s="38">
        <f>2.8*25.4</f>
        <v>71.11999999999999</v>
      </c>
      <c r="P437" s="39">
        <f>3.1*25.4</f>
        <v>78.739999999999995</v>
      </c>
      <c r="Q437" s="7">
        <f t="shared" si="1291"/>
        <v>355.09199999999998</v>
      </c>
      <c r="R437" s="38">
        <v>2</v>
      </c>
      <c r="S437" s="4">
        <f t="shared" si="1361"/>
        <v>508</v>
      </c>
      <c r="T437" s="7">
        <f t="shared" si="1292"/>
        <v>2.4858156028368796</v>
      </c>
      <c r="U437" s="7">
        <f t="shared" si="1414"/>
        <v>2.4858156028368796</v>
      </c>
      <c r="V437" s="38">
        <v>5.5</v>
      </c>
      <c r="W437" s="4">
        <f t="shared" si="1293"/>
        <v>5.5</v>
      </c>
      <c r="X437" s="4">
        <f t="shared" si="1294"/>
        <v>6.5</v>
      </c>
      <c r="Y437" s="7">
        <f t="shared" si="1295"/>
        <v>91.308142429905971</v>
      </c>
      <c r="AB437" s="38">
        <f t="shared" si="1332"/>
        <v>872.41379310344837</v>
      </c>
      <c r="AC437" s="4">
        <v>126.5</v>
      </c>
      <c r="AD437" s="4">
        <f t="shared" si="1452"/>
        <v>1.2091576243153148</v>
      </c>
      <c r="AE437" s="38">
        <f t="shared" si="1527"/>
        <v>12.7</v>
      </c>
      <c r="AF437" s="38">
        <v>12</v>
      </c>
      <c r="AG437" s="39">
        <f t="shared" si="1528"/>
        <v>101.6</v>
      </c>
      <c r="AH437" s="39">
        <v>2</v>
      </c>
      <c r="AI437" s="39">
        <f t="shared" si="1529"/>
        <v>1</v>
      </c>
      <c r="AJ437" s="7"/>
      <c r="AK437" s="4">
        <f t="shared" si="1297"/>
        <v>426.97399999999993</v>
      </c>
      <c r="AL437" s="4">
        <f t="shared" si="1462"/>
        <v>0.44418005155661316</v>
      </c>
      <c r="AM437" s="4">
        <f t="shared" si="1463"/>
        <v>365.83298834249337</v>
      </c>
      <c r="AN437" s="4">
        <f t="shared" si="1464"/>
        <v>0.74170136823319444</v>
      </c>
      <c r="AO437" s="4">
        <v>1.25</v>
      </c>
      <c r="AP437" s="4">
        <f t="shared" si="1396"/>
        <v>2.5</v>
      </c>
      <c r="AQ437" s="38">
        <f t="shared" si="1266"/>
        <v>376.63529565521696</v>
      </c>
      <c r="AR437" s="38">
        <f t="shared" si="1465"/>
        <v>376.63529565521696</v>
      </c>
      <c r="AS437" s="38">
        <f t="shared" si="1466"/>
        <v>4.6054834550100843</v>
      </c>
      <c r="AT437" s="38">
        <f t="shared" si="1407"/>
        <v>376.63529565521696</v>
      </c>
      <c r="AU437" s="38">
        <f t="shared" si="1373"/>
        <v>1</v>
      </c>
      <c r="AV437" s="38">
        <f t="shared" si="1530"/>
        <v>2.1605869253783649</v>
      </c>
      <c r="AW437" s="4">
        <f t="shared" si="1511"/>
        <v>0</v>
      </c>
      <c r="AX437" s="4">
        <f t="shared" si="1298"/>
        <v>524.20511578357173</v>
      </c>
      <c r="AY437" s="4">
        <f t="shared" si="1267"/>
        <v>1</v>
      </c>
      <c r="AZ437" s="38">
        <f t="shared" si="1389"/>
        <v>813.75329542867667</v>
      </c>
      <c r="BA437" s="4">
        <f t="shared" si="1268"/>
        <v>0.3</v>
      </c>
      <c r="BB437" s="4">
        <f t="shared" si="1269"/>
        <v>82.16915189907489</v>
      </c>
      <c r="BC437" s="4">
        <f t="shared" si="1270"/>
        <v>895.92244732775157</v>
      </c>
      <c r="BE437" s="4">
        <f t="shared" si="1408"/>
        <v>1.5</v>
      </c>
      <c r="BF437" s="4">
        <f t="shared" si="1415"/>
        <v>824.13557466888903</v>
      </c>
      <c r="BH437" s="4">
        <f t="shared" si="1416"/>
        <v>780.48892585948306</v>
      </c>
      <c r="BI437" s="4">
        <f t="shared" si="1350"/>
        <v>0</v>
      </c>
      <c r="BJ437" s="4">
        <f t="shared" si="1417"/>
        <v>0</v>
      </c>
      <c r="BR437" s="4">
        <f t="shared" si="1271"/>
        <v>71.11999999999999</v>
      </c>
      <c r="BV437" s="9"/>
      <c r="BX437" s="9"/>
      <c r="BY437" s="9"/>
      <c r="BZ437" s="9">
        <f t="shared" si="1272"/>
        <v>71.11999999999999</v>
      </c>
      <c r="CA437" s="9">
        <f t="shared" si="1273"/>
        <v>177.54599999999999</v>
      </c>
      <c r="CB437" s="9">
        <f t="shared" si="1374"/>
        <v>1.6164688165154646</v>
      </c>
      <c r="CC437" s="40">
        <f t="shared" si="1299"/>
        <v>20</v>
      </c>
      <c r="CD437" s="9">
        <f t="shared" si="1274"/>
        <v>0.05</v>
      </c>
      <c r="CE437" s="9">
        <f t="shared" si="1275"/>
        <v>0.8</v>
      </c>
      <c r="CF437" s="9">
        <f t="shared" si="1276"/>
        <v>0.89777220146327208</v>
      </c>
      <c r="CG437" s="9">
        <f t="shared" si="1277"/>
        <v>0.68</v>
      </c>
      <c r="CH437" s="9">
        <f t="shared" si="1375"/>
        <v>1.7850458101214393</v>
      </c>
      <c r="CI437" s="9">
        <f t="shared" si="1376"/>
        <v>4.313507536210043</v>
      </c>
      <c r="CJ437" s="40">
        <v>1</v>
      </c>
      <c r="CK437" s="9">
        <f t="shared" si="1377"/>
        <v>464.51275482137089</v>
      </c>
      <c r="CM437" s="4">
        <f t="shared" si="1278"/>
        <v>1.6642603569394416</v>
      </c>
      <c r="CN437" s="4">
        <f t="shared" si="1279"/>
        <v>0.9737603915445785</v>
      </c>
      <c r="CO437" s="4">
        <f t="shared" si="1524"/>
        <v>1.0585804325386099</v>
      </c>
      <c r="CP437" s="4">
        <f t="shared" si="1280"/>
        <v>1.8781266693934733</v>
      </c>
      <c r="CQ437" s="4">
        <f t="shared" si="1476"/>
        <v>1.2091576243153148</v>
      </c>
      <c r="CR437" s="4">
        <f t="shared" si="1477"/>
        <v>1.2571639757274684</v>
      </c>
      <c r="CS437" s="4">
        <f t="shared" si="1525"/>
        <v>1.3330135927123574</v>
      </c>
      <c r="CT437" s="4">
        <f t="shared" si="1300"/>
        <v>12</v>
      </c>
      <c r="DA437" s="4">
        <f t="shared" si="1531"/>
        <v>1.6642603569394416</v>
      </c>
      <c r="DB437" s="4">
        <f t="shared" si="1531"/>
        <v>0.9737603915445785</v>
      </c>
      <c r="DC437" s="4">
        <f t="shared" si="1532"/>
        <v>1.8781266693934733</v>
      </c>
      <c r="DD437" s="4">
        <f t="shared" si="1533"/>
        <v>1.3330135927123574</v>
      </c>
      <c r="DE437" s="4">
        <f t="shared" si="1534"/>
        <v>1.2091576243153148</v>
      </c>
      <c r="DF437" s="4">
        <f t="shared" si="1534"/>
        <v>1.2571639757274684</v>
      </c>
      <c r="DI437" s="4">
        <f t="shared" si="1285"/>
        <v>426.97399999999993</v>
      </c>
      <c r="DL437" s="4">
        <f t="shared" si="1453"/>
        <v>2.7474056791368898E-5</v>
      </c>
      <c r="DM437" s="4">
        <f t="shared" si="1313"/>
        <v>8.9620587312961906</v>
      </c>
      <c r="DN437" s="4">
        <f t="shared" si="1454"/>
        <v>0.34859584084536072</v>
      </c>
      <c r="DO437" s="4">
        <f t="shared" si="1455"/>
        <v>5.8794495225591783</v>
      </c>
      <c r="DP437" s="4">
        <f t="shared" si="1456"/>
        <v>7.5797874309844042</v>
      </c>
      <c r="DQ437" s="4">
        <f t="shared" si="1457"/>
        <v>7.6423420206231123</v>
      </c>
      <c r="DR437" s="38">
        <f t="shared" si="1471"/>
        <v>721.50543118598989</v>
      </c>
      <c r="DS437" s="4">
        <f t="shared" si="1382"/>
        <v>1.0001037369255086</v>
      </c>
      <c r="DT437" s="4">
        <f t="shared" si="1458"/>
        <v>2.5495097567963922</v>
      </c>
      <c r="DU437" s="4">
        <f t="shared" si="1390"/>
        <v>376.63529565521696</v>
      </c>
      <c r="DY437" s="4">
        <f t="shared" si="1331"/>
        <v>0.85</v>
      </c>
      <c r="DZ437" s="4">
        <f t="shared" si="1383"/>
        <v>0.90141843971631208</v>
      </c>
      <c r="EA437" s="4">
        <f t="shared" si="1472"/>
        <v>0.9995510789195714</v>
      </c>
      <c r="EB437" s="4">
        <f t="shared" si="1384"/>
        <v>0.90101377397643634</v>
      </c>
      <c r="ED437" s="4">
        <f t="shared" si="1473"/>
        <v>693.95385959784517</v>
      </c>
      <c r="EE437" s="25">
        <f t="shared" si="1474"/>
        <v>373.417248378507</v>
      </c>
      <c r="EG437" s="4">
        <f t="shared" si="1391"/>
        <v>0.76586170787997088</v>
      </c>
      <c r="EH437" s="4">
        <f t="shared" si="1475"/>
        <v>8.9620587312961906</v>
      </c>
      <c r="EK437" s="4">
        <f t="shared" si="1459"/>
        <v>91.308142429905971</v>
      </c>
      <c r="EL437" s="4">
        <f t="shared" si="1460"/>
        <v>2.5495097567963922</v>
      </c>
      <c r="EM437" s="4">
        <f t="shared" si="1461"/>
        <v>0.1592442360421113</v>
      </c>
      <c r="EP437" s="4">
        <f t="shared" si="1301"/>
        <v>0.1592442360421113</v>
      </c>
      <c r="EQ437" s="4">
        <f t="shared" ref="EQ437:EQ449" si="1535">MIN(0.999, EP437/(0.3*(J437/30)^0.5))</f>
        <v>0.34801409935642263</v>
      </c>
      <c r="ER437" s="4">
        <f t="shared" si="1314"/>
        <v>5.875522873750457</v>
      </c>
      <c r="ES437" s="4">
        <f t="shared" si="1286"/>
        <v>7.5782685345449767</v>
      </c>
      <c r="ET437" s="4">
        <f t="shared" si="1315"/>
        <v>228.92235757009399</v>
      </c>
      <c r="EU437" s="4">
        <f t="shared" si="1316"/>
        <v>106.74349999999998</v>
      </c>
      <c r="EV437" s="4">
        <f t="shared" si="1385"/>
        <v>2.7474056791368898E-5</v>
      </c>
      <c r="EW437" s="4">
        <f t="shared" si="1287"/>
        <v>7.6426809026272471</v>
      </c>
      <c r="EX437" s="4">
        <f t="shared" si="1422"/>
        <v>721.43059219438783</v>
      </c>
      <c r="FG437" s="23">
        <f t="shared" si="1329"/>
        <v>1.8</v>
      </c>
      <c r="FH437" s="23">
        <f t="shared" si="1329"/>
        <v>1</v>
      </c>
      <c r="FI437" s="23">
        <f t="shared" si="1526"/>
        <v>1.4</v>
      </c>
      <c r="FJ437" s="23">
        <f t="shared" si="1330"/>
        <v>2</v>
      </c>
      <c r="FK437" s="23">
        <f t="shared" si="1330"/>
        <v>1.4</v>
      </c>
      <c r="FL437" s="23">
        <f t="shared" si="1330"/>
        <v>1.4</v>
      </c>
      <c r="FM437" s="23">
        <f t="shared" si="1478"/>
        <v>0</v>
      </c>
      <c r="FN437" s="23"/>
      <c r="FX437" s="4">
        <f t="shared" si="1386"/>
        <v>1</v>
      </c>
      <c r="FY437" s="4">
        <f t="shared" si="1429"/>
        <v>0.44214730608235164</v>
      </c>
      <c r="FZ437" s="4">
        <f t="shared" si="1387"/>
        <v>0.25149640360142855</v>
      </c>
      <c r="GA437" s="4">
        <f t="shared" si="1388"/>
        <v>654.46728966078967</v>
      </c>
    </row>
    <row r="438" spans="1:183" ht="12" customHeight="1" x14ac:dyDescent="0.3">
      <c r="A438" s="25">
        <v>420</v>
      </c>
      <c r="B438" s="4" t="s">
        <v>605</v>
      </c>
      <c r="C438" s="4">
        <v>2016</v>
      </c>
      <c r="D438" s="4" t="s">
        <v>309</v>
      </c>
      <c r="E438" s="14" t="s">
        <v>679</v>
      </c>
      <c r="F438" s="48" t="s">
        <v>591</v>
      </c>
      <c r="G438" s="38">
        <f>115.9/0.145</f>
        <v>799.31034482758628</v>
      </c>
      <c r="H438" s="38">
        <f>16.92*25.4</f>
        <v>429.76800000000003</v>
      </c>
      <c r="I438" s="4">
        <f t="shared" si="1288"/>
        <v>429.76800000000003</v>
      </c>
      <c r="J438" s="38">
        <f>10860/145</f>
        <v>74.896551724137936</v>
      </c>
      <c r="K438" s="38">
        <f t="shared" si="1490"/>
        <v>35.813999999999993</v>
      </c>
      <c r="L438" s="7">
        <f t="shared" si="1289"/>
        <v>12.000000000000004</v>
      </c>
      <c r="M438" s="7">
        <f t="shared" si="1290"/>
        <v>12.000000000000004</v>
      </c>
      <c r="N438" s="38">
        <f>21.8*25.4</f>
        <v>553.72</v>
      </c>
      <c r="O438" s="38">
        <f>2.75*25.4</f>
        <v>69.849999999999994</v>
      </c>
      <c r="P438" s="39">
        <f>3.9*25.4</f>
        <v>99.059999999999988</v>
      </c>
      <c r="Q438" s="7">
        <f t="shared" si="1291"/>
        <v>153.28900000000002</v>
      </c>
      <c r="R438" s="38">
        <v>3</v>
      </c>
      <c r="S438" s="4">
        <f t="shared" si="1361"/>
        <v>508</v>
      </c>
      <c r="T438" s="7">
        <f t="shared" si="1292"/>
        <v>2.4503546099290783</v>
      </c>
      <c r="U438" s="7">
        <f t="shared" si="1414"/>
        <v>2.4503546099290783</v>
      </c>
      <c r="V438" s="38">
        <v>4.5</v>
      </c>
      <c r="W438" s="4">
        <f t="shared" si="1293"/>
        <v>4.5</v>
      </c>
      <c r="X438" s="4">
        <f t="shared" si="1294"/>
        <v>5.5</v>
      </c>
      <c r="Y438" s="7">
        <f t="shared" si="1295"/>
        <v>83.991275011158137</v>
      </c>
      <c r="AB438" s="38">
        <f t="shared" si="1332"/>
        <v>472.41379310344831</v>
      </c>
      <c r="AC438" s="4">
        <v>68.5</v>
      </c>
      <c r="AD438" s="4">
        <f t="shared" si="1452"/>
        <v>0.79048475314469613</v>
      </c>
      <c r="AE438" s="38"/>
      <c r="AF438" s="38"/>
      <c r="AG438" s="39">
        <v>1</v>
      </c>
      <c r="AH438" s="39"/>
      <c r="AI438" s="39"/>
      <c r="AJ438" s="7"/>
      <c r="AK438" s="4">
        <f t="shared" si="1297"/>
        <v>429.76800000000003</v>
      </c>
      <c r="AL438" s="4">
        <f t="shared" si="1462"/>
        <v>0.42947202521670608</v>
      </c>
      <c r="AM438" s="4">
        <f t="shared" si="1463"/>
        <v>255.13217408187629</v>
      </c>
      <c r="AN438" s="4">
        <f t="shared" si="1464"/>
        <v>0.74083924349881791</v>
      </c>
      <c r="AO438" s="4">
        <v>1.25</v>
      </c>
      <c r="AP438" s="4">
        <f t="shared" si="1396"/>
        <v>2.5</v>
      </c>
      <c r="AQ438" s="38">
        <f t="shared" si="1266"/>
        <v>253.67292190521363</v>
      </c>
      <c r="AR438" s="38">
        <f t="shared" si="1465"/>
        <v>253.67292190521363</v>
      </c>
      <c r="AS438" s="38">
        <f t="shared" si="1466"/>
        <v>4.7252710400583542</v>
      </c>
      <c r="AT438" s="38">
        <f t="shared" si="1407"/>
        <v>253.67292190521368</v>
      </c>
      <c r="AU438" s="38">
        <f t="shared" si="1373"/>
        <v>0.99999999999999978</v>
      </c>
      <c r="AV438" s="38">
        <f t="shared" si="1530"/>
        <v>3.0693958621812145</v>
      </c>
      <c r="AW438" s="4">
        <f t="shared" si="1511"/>
        <v>0</v>
      </c>
      <c r="AX438" s="4">
        <f t="shared" si="1298"/>
        <v>546.58606660533144</v>
      </c>
      <c r="AY438" s="4">
        <f t="shared" si="1267"/>
        <v>1</v>
      </c>
      <c r="AZ438" s="38">
        <f t="shared" si="1389"/>
        <v>778.62261684328121</v>
      </c>
      <c r="BA438" s="4">
        <f t="shared" si="1268"/>
        <v>0.37</v>
      </c>
      <c r="BB438" s="4">
        <f t="shared" si="1269"/>
        <v>105.66875132647569</v>
      </c>
      <c r="BC438" s="4">
        <f t="shared" si="1270"/>
        <v>884.29136816975688</v>
      </c>
      <c r="BE438" s="4">
        <f t="shared" si="1408"/>
        <v>1.2375886524822697</v>
      </c>
      <c r="BF438" s="4">
        <f t="shared" si="1415"/>
        <v>706.88890574928166</v>
      </c>
      <c r="BH438" s="4">
        <f t="shared" si="1416"/>
        <v>746.79430889404762</v>
      </c>
      <c r="BI438" s="4">
        <f t="shared" si="1350"/>
        <v>0</v>
      </c>
      <c r="BJ438" s="4">
        <f t="shared" si="1417"/>
        <v>0</v>
      </c>
      <c r="BR438" s="4">
        <f t="shared" si="1271"/>
        <v>69.849999999999994</v>
      </c>
      <c r="BV438" s="9"/>
      <c r="BX438" s="9"/>
      <c r="BY438" s="9"/>
      <c r="BZ438" s="9">
        <f t="shared" si="1272"/>
        <v>69.849999999999994</v>
      </c>
      <c r="CA438" s="9">
        <f t="shared" si="1273"/>
        <v>76.644500000000008</v>
      </c>
      <c r="CB438" s="9">
        <f t="shared" si="1374"/>
        <v>1.4161327883964441</v>
      </c>
      <c r="CC438" s="40">
        <f t="shared" si="1299"/>
        <v>0</v>
      </c>
      <c r="CD438" s="9">
        <f t="shared" si="1274"/>
        <v>0</v>
      </c>
      <c r="CE438" s="9">
        <f t="shared" si="1275"/>
        <v>0</v>
      </c>
      <c r="CF438" s="9">
        <f t="shared" si="1276"/>
        <v>0.89777220146327208</v>
      </c>
      <c r="CG438" s="9">
        <f t="shared" si="1277"/>
        <v>0.68048275862068963</v>
      </c>
      <c r="CH438" s="9">
        <f t="shared" si="1375"/>
        <v>1.8504707967044269</v>
      </c>
      <c r="CI438" s="9">
        <f t="shared" si="1376"/>
        <v>2.6205123691832295</v>
      </c>
      <c r="CJ438" s="40">
        <v>1</v>
      </c>
      <c r="CK438" s="9">
        <f t="shared" si="1377"/>
        <v>283.01533587178881</v>
      </c>
      <c r="CM438" s="4">
        <f t="shared" si="1278"/>
        <v>0.8642990042491514</v>
      </c>
      <c r="CN438" s="4">
        <f t="shared" si="1279"/>
        <v>0.5342286604936749</v>
      </c>
      <c r="CO438" s="4">
        <f t="shared" si="1524"/>
        <v>0.66829991143050049</v>
      </c>
      <c r="CP438" s="4">
        <f t="shared" si="1280"/>
        <v>1.6692162339833787</v>
      </c>
      <c r="CQ438" s="4">
        <f t="shared" si="1476"/>
        <v>0.79048475314469613</v>
      </c>
      <c r="CR438" s="4">
        <f t="shared" si="1477"/>
        <v>0.8085349544542425</v>
      </c>
      <c r="CS438" s="4">
        <f t="shared" si="1525"/>
        <v>1.1579794213606953</v>
      </c>
      <c r="CT438" s="4">
        <f t="shared" si="1300"/>
        <v>0</v>
      </c>
      <c r="CU438" s="4">
        <f t="shared" ref="CU438:CV439" si="1536">CM438</f>
        <v>0.8642990042491514</v>
      </c>
      <c r="CV438" s="4">
        <f t="shared" si="1536"/>
        <v>0.5342286604936749</v>
      </c>
      <c r="CW438" s="4">
        <f t="shared" ref="CW438:CW439" si="1537">CP438</f>
        <v>1.6692162339833787</v>
      </c>
      <c r="CX438" s="4">
        <f t="shared" ref="CX438:CX439" si="1538">CS438</f>
        <v>1.1579794213606953</v>
      </c>
      <c r="CY438" s="4">
        <f t="shared" ref="CY438:CZ439" si="1539">CQ438</f>
        <v>0.79048475314469613</v>
      </c>
      <c r="CZ438" s="4">
        <f t="shared" si="1539"/>
        <v>0.8085349544542425</v>
      </c>
      <c r="DI438" s="4">
        <f t="shared" si="1285"/>
        <v>429.76800000000003</v>
      </c>
      <c r="DL438" s="4">
        <f t="shared" si="1453"/>
        <v>2.8517891199412165E-5</v>
      </c>
      <c r="DM438" s="4">
        <f t="shared" si="1313"/>
        <v>9.2434119896701787</v>
      </c>
      <c r="DN438" s="4">
        <f t="shared" si="1454"/>
        <v>0.24598058226905511</v>
      </c>
      <c r="DO438" s="4">
        <f t="shared" si="1455"/>
        <v>5.2746377732798102</v>
      </c>
      <c r="DP438" s="4">
        <f t="shared" si="1456"/>
        <v>7.5272346460747395</v>
      </c>
      <c r="DQ438" s="4">
        <f t="shared" si="1457"/>
        <v>7.8419413222228735</v>
      </c>
      <c r="DR438" s="38">
        <f t="shared" si="1471"/>
        <v>597.62543328520621</v>
      </c>
      <c r="DS438" s="4">
        <f t="shared" si="1382"/>
        <v>1.0001038867962624</v>
      </c>
      <c r="DT438" s="4">
        <f t="shared" si="1458"/>
        <v>2.3452078799117149</v>
      </c>
      <c r="DU438" s="4">
        <f t="shared" si="1390"/>
        <v>253.67292190521368</v>
      </c>
      <c r="DY438" s="4">
        <f t="shared" si="1331"/>
        <v>0.85</v>
      </c>
      <c r="DZ438" s="4">
        <f t="shared" si="1383"/>
        <v>0.90496453900709217</v>
      </c>
      <c r="EA438" s="4">
        <f t="shared" si="1472"/>
        <v>1</v>
      </c>
      <c r="EB438" s="4">
        <f t="shared" si="1384"/>
        <v>0.90496453900709217</v>
      </c>
      <c r="ED438" s="4">
        <f t="shared" si="1473"/>
        <v>584.28369794145203</v>
      </c>
      <c r="EE438" s="25">
        <f t="shared" si="1474"/>
        <v>251.52086631332557</v>
      </c>
      <c r="EG438" s="4">
        <f t="shared" si="1391"/>
        <v>0.76921985815602834</v>
      </c>
      <c r="EH438" s="4">
        <f t="shared" si="1475"/>
        <v>9.2434119896701787</v>
      </c>
      <c r="EK438" s="4">
        <f t="shared" si="1459"/>
        <v>83.991275011158137</v>
      </c>
      <c r="EL438" s="4">
        <f t="shared" si="1460"/>
        <v>2.3452078799117149</v>
      </c>
      <c r="EM438" s="4">
        <f t="shared" si="1461"/>
        <v>0.11640375819584806</v>
      </c>
      <c r="EP438" s="4">
        <f t="shared" si="1301"/>
        <v>0.11640375819584806</v>
      </c>
      <c r="EQ438" s="4">
        <f t="shared" si="1535"/>
        <v>0.24557008652179657</v>
      </c>
      <c r="ER438" s="4">
        <f t="shared" si="1314"/>
        <v>5.2711150540100196</v>
      </c>
      <c r="ES438" s="4">
        <f t="shared" si="1286"/>
        <v>7.5260080187500336</v>
      </c>
      <c r="ET438" s="4">
        <f t="shared" si="1315"/>
        <v>238.33472498884188</v>
      </c>
      <c r="EU438" s="4">
        <f t="shared" si="1316"/>
        <v>107.44200000000004</v>
      </c>
      <c r="EV438" s="4">
        <f t="shared" si="1385"/>
        <v>2.8517891199412171E-5</v>
      </c>
      <c r="EW438" s="4">
        <f t="shared" si="1287"/>
        <v>7.8422428966339846</v>
      </c>
      <c r="EX438" s="4">
        <f t="shared" si="1422"/>
        <v>597.56335434275979</v>
      </c>
      <c r="FA438" s="4">
        <f>6.75*25.4</f>
        <v>171.45</v>
      </c>
      <c r="FG438" s="23">
        <f t="shared" si="1329"/>
        <v>1</v>
      </c>
      <c r="FH438" s="23">
        <f t="shared" si="1329"/>
        <v>0.6</v>
      </c>
      <c r="FI438" s="23">
        <f t="shared" si="1526"/>
        <v>1.2</v>
      </c>
      <c r="FJ438" s="23">
        <f t="shared" si="1330"/>
        <v>1.8</v>
      </c>
      <c r="FK438" s="23">
        <f t="shared" si="1330"/>
        <v>0.8</v>
      </c>
      <c r="FL438" s="23">
        <f t="shared" si="1330"/>
        <v>1</v>
      </c>
      <c r="FM438" s="23">
        <f t="shared" si="1478"/>
        <v>1</v>
      </c>
      <c r="FN438" s="23"/>
      <c r="FX438" s="4">
        <f t="shared" si="1386"/>
        <v>1</v>
      </c>
      <c r="FY438" s="4">
        <f t="shared" si="1429"/>
        <v>0.72665484633569721</v>
      </c>
      <c r="FZ438" s="4">
        <f t="shared" si="1387"/>
        <v>0</v>
      </c>
      <c r="GA438" s="4">
        <f t="shared" si="1388"/>
        <v>407.96389330333153</v>
      </c>
    </row>
    <row r="439" spans="1:183" ht="12" customHeight="1" x14ac:dyDescent="0.3">
      <c r="A439" s="25">
        <v>421</v>
      </c>
      <c r="B439" s="4" t="s">
        <v>605</v>
      </c>
      <c r="C439" s="4">
        <v>2016</v>
      </c>
      <c r="D439" s="4" t="s">
        <v>309</v>
      </c>
      <c r="E439" s="14" t="s">
        <v>679</v>
      </c>
      <c r="F439" s="7" t="s">
        <v>592</v>
      </c>
      <c r="G439" s="38">
        <f>135/0.145</f>
        <v>931.0344827586207</v>
      </c>
      <c r="H439" s="38">
        <f>16.92*25.4</f>
        <v>429.76800000000003</v>
      </c>
      <c r="I439" s="4">
        <f t="shared" si="1288"/>
        <v>429.76800000000003</v>
      </c>
      <c r="J439" s="38">
        <f>10120/145</f>
        <v>69.793103448275858</v>
      </c>
      <c r="K439" s="38">
        <f t="shared" si="1490"/>
        <v>35.813999999999993</v>
      </c>
      <c r="L439" s="7">
        <f t="shared" si="1289"/>
        <v>12.000000000000004</v>
      </c>
      <c r="M439" s="7">
        <f t="shared" si="1290"/>
        <v>12.000000000000004</v>
      </c>
      <c r="N439" s="38">
        <f>21.9*25.4</f>
        <v>556.25999999999988</v>
      </c>
      <c r="O439" s="38">
        <f>2.8*25.4</f>
        <v>71.11999999999999</v>
      </c>
      <c r="P439" s="39">
        <f>3.5*25.4</f>
        <v>88.899999999999991</v>
      </c>
      <c r="Q439" s="7">
        <f t="shared" si="1291"/>
        <v>153.28899999999993</v>
      </c>
      <c r="R439" s="38">
        <v>3</v>
      </c>
      <c r="S439" s="4">
        <f t="shared" si="1361"/>
        <v>508</v>
      </c>
      <c r="T439" s="7">
        <f t="shared" si="1292"/>
        <v>2.4858156028368796</v>
      </c>
      <c r="U439" s="7">
        <f t="shared" si="1414"/>
        <v>2.4858156028368796</v>
      </c>
      <c r="V439" s="38">
        <v>5.5</v>
      </c>
      <c r="W439" s="4">
        <f t="shared" si="1293"/>
        <v>5.5</v>
      </c>
      <c r="X439" s="4">
        <f t="shared" si="1294"/>
        <v>6.5</v>
      </c>
      <c r="Y439" s="7">
        <f t="shared" si="1295"/>
        <v>91.308142429905971</v>
      </c>
      <c r="AB439" s="38">
        <f t="shared" si="1332"/>
        <v>482.06896551724145</v>
      </c>
      <c r="AC439" s="4">
        <v>69.900000000000006</v>
      </c>
      <c r="AD439" s="4">
        <f t="shared" si="1452"/>
        <v>0.83691102883897983</v>
      </c>
      <c r="AE439" s="38"/>
      <c r="AF439" s="38"/>
      <c r="AG439" s="39">
        <v>1</v>
      </c>
      <c r="AH439" s="39"/>
      <c r="AI439" s="39"/>
      <c r="AJ439" s="7"/>
      <c r="AK439" s="4">
        <f t="shared" si="1297"/>
        <v>429.76800000000003</v>
      </c>
      <c r="AL439" s="4">
        <f t="shared" si="1462"/>
        <v>0.43144208037825049</v>
      </c>
      <c r="AM439" s="4">
        <f t="shared" si="1463"/>
        <v>246.2864810022304</v>
      </c>
      <c r="AN439" s="4">
        <f t="shared" si="1464"/>
        <v>0.7414302600472813</v>
      </c>
      <c r="AO439" s="4">
        <v>1.25</v>
      </c>
      <c r="AP439" s="4">
        <f t="shared" si="1396"/>
        <v>2.5</v>
      </c>
      <c r="AQ439" s="38">
        <f t="shared" si="1266"/>
        <v>246.19736674164787</v>
      </c>
      <c r="AR439" s="38">
        <f t="shared" si="1465"/>
        <v>246.19736674164787</v>
      </c>
      <c r="AS439" s="38">
        <f t="shared" si="1466"/>
        <v>4.6054834550100843</v>
      </c>
      <c r="AT439" s="38">
        <f t="shared" si="1407"/>
        <v>246.19736674164798</v>
      </c>
      <c r="AU439" s="38">
        <f t="shared" si="1373"/>
        <v>0.99999999999999956</v>
      </c>
      <c r="AV439" s="38">
        <f t="shared" si="1530"/>
        <v>3.3052883798006034</v>
      </c>
      <c r="AW439" s="4">
        <f t="shared" si="1511"/>
        <v>0</v>
      </c>
      <c r="AX439" s="4">
        <f t="shared" si="1298"/>
        <v>527.63536936692662</v>
      </c>
      <c r="AY439" s="4">
        <f t="shared" si="1267"/>
        <v>1</v>
      </c>
      <c r="AZ439" s="38">
        <f t="shared" si="1389"/>
        <v>813.75329542867667</v>
      </c>
      <c r="BA439" s="4">
        <f t="shared" si="1268"/>
        <v>0.3</v>
      </c>
      <c r="BB439" s="4">
        <f t="shared" si="1269"/>
        <v>82.706844148265759</v>
      </c>
      <c r="BC439" s="4">
        <f t="shared" si="1270"/>
        <v>896.46013957694242</v>
      </c>
      <c r="BE439" s="4">
        <f t="shared" si="1408"/>
        <v>1.2464539007092199</v>
      </c>
      <c r="BF439" s="4">
        <f t="shared" si="1415"/>
        <v>687.26845669303566</v>
      </c>
      <c r="BH439" s="4">
        <f t="shared" si="1416"/>
        <v>780.48892585948306</v>
      </c>
      <c r="BI439" s="4">
        <f t="shared" si="1350"/>
        <v>0</v>
      </c>
      <c r="BJ439" s="4">
        <f t="shared" si="1417"/>
        <v>0</v>
      </c>
      <c r="BR439" s="4">
        <f t="shared" si="1271"/>
        <v>71.11999999999999</v>
      </c>
      <c r="BV439" s="9"/>
      <c r="BX439" s="9"/>
      <c r="BY439" s="9"/>
      <c r="BZ439" s="9">
        <f t="shared" si="1272"/>
        <v>71.11999999999999</v>
      </c>
      <c r="CA439" s="9">
        <f t="shared" si="1273"/>
        <v>76.644499999999965</v>
      </c>
      <c r="CB439" s="9">
        <f t="shared" si="1374"/>
        <v>1.4250918174124854</v>
      </c>
      <c r="CC439" s="40">
        <f t="shared" si="1299"/>
        <v>0</v>
      </c>
      <c r="CD439" s="9">
        <f t="shared" si="1274"/>
        <v>0</v>
      </c>
      <c r="CE439" s="9">
        <f t="shared" si="1275"/>
        <v>0</v>
      </c>
      <c r="CF439" s="9">
        <f t="shared" si="1276"/>
        <v>0.89777220146327208</v>
      </c>
      <c r="CG439" s="9">
        <f t="shared" si="1277"/>
        <v>0.68</v>
      </c>
      <c r="CH439" s="9">
        <f t="shared" si="1375"/>
        <v>1.7850458101214393</v>
      </c>
      <c r="CI439" s="9">
        <f t="shared" si="1376"/>
        <v>2.5438541777105041</v>
      </c>
      <c r="CJ439" s="40">
        <v>1</v>
      </c>
      <c r="CK439" s="9">
        <f t="shared" si="1377"/>
        <v>274.73625119273447</v>
      </c>
      <c r="CM439" s="4">
        <f t="shared" si="1278"/>
        <v>0.91364035374588859</v>
      </c>
      <c r="CN439" s="4">
        <f t="shared" si="1279"/>
        <v>0.53774723965388971</v>
      </c>
      <c r="CO439" s="4">
        <f t="shared" si="1524"/>
        <v>0.70142745650926142</v>
      </c>
      <c r="CP439" s="4">
        <f t="shared" si="1280"/>
        <v>1.7546609281607246</v>
      </c>
      <c r="CQ439" s="4">
        <f t="shared" si="1476"/>
        <v>0.83691102883897983</v>
      </c>
      <c r="CR439" s="4">
        <f t="shared" si="1477"/>
        <v>0.85080970194489203</v>
      </c>
      <c r="CS439" s="4">
        <f t="shared" si="1525"/>
        <v>1.2026791278589977</v>
      </c>
      <c r="CT439" s="4">
        <f t="shared" si="1300"/>
        <v>0</v>
      </c>
      <c r="CU439" s="4">
        <f t="shared" si="1536"/>
        <v>0.91364035374588859</v>
      </c>
      <c r="CV439" s="4">
        <f t="shared" si="1536"/>
        <v>0.53774723965388971</v>
      </c>
      <c r="CW439" s="4">
        <f t="shared" si="1537"/>
        <v>1.7546609281607246</v>
      </c>
      <c r="CX439" s="4">
        <f t="shared" si="1538"/>
        <v>1.2026791278589977</v>
      </c>
      <c r="CY439" s="4">
        <f t="shared" si="1539"/>
        <v>0.83691102883897983</v>
      </c>
      <c r="CZ439" s="4">
        <f t="shared" si="1539"/>
        <v>0.85080970194489203</v>
      </c>
      <c r="DI439" s="4">
        <f t="shared" si="1285"/>
        <v>429.76800000000003</v>
      </c>
      <c r="DL439" s="4">
        <f t="shared" si="1453"/>
        <v>2.7653839435452814E-5</v>
      </c>
      <c r="DM439" s="4">
        <f t="shared" si="1313"/>
        <v>8.9580354742076711</v>
      </c>
      <c r="DN439" s="4">
        <f t="shared" si="1454"/>
        <v>0.22786865453997082</v>
      </c>
      <c r="DO439" s="4">
        <f t="shared" si="1455"/>
        <v>4.9577727165186403</v>
      </c>
      <c r="DP439" s="4">
        <f t="shared" si="1456"/>
        <v>7.2418419869406607</v>
      </c>
      <c r="DQ439" s="4">
        <f t="shared" si="1457"/>
        <v>7.6999302204328206</v>
      </c>
      <c r="DR439" s="38">
        <f t="shared" si="1471"/>
        <v>576.00981335614665</v>
      </c>
      <c r="DS439" s="4">
        <f t="shared" si="1382"/>
        <v>1.0001033798539654</v>
      </c>
      <c r="DT439" s="4">
        <f t="shared" si="1458"/>
        <v>2.5495097567963922</v>
      </c>
      <c r="DU439" s="4">
        <f t="shared" si="1390"/>
        <v>246.19736674164798</v>
      </c>
      <c r="DY439" s="4">
        <f t="shared" si="1331"/>
        <v>0.85</v>
      </c>
      <c r="DZ439" s="4">
        <f t="shared" si="1383"/>
        <v>0.90141843971631208</v>
      </c>
      <c r="EA439" s="4">
        <f t="shared" si="1472"/>
        <v>1</v>
      </c>
      <c r="EB439" s="4">
        <f t="shared" si="1384"/>
        <v>0.90141843971631208</v>
      </c>
      <c r="ED439" s="4">
        <f t="shared" si="1473"/>
        <v>566.6002214305563</v>
      </c>
      <c r="EE439" s="25">
        <f t="shared" si="1474"/>
        <v>244.11094435908009</v>
      </c>
      <c r="EG439" s="4">
        <f t="shared" si="1391"/>
        <v>0.76620567375886528</v>
      </c>
      <c r="EH439" s="4">
        <f t="shared" si="1475"/>
        <v>8.9580354742076711</v>
      </c>
      <c r="EK439" s="4">
        <f t="shared" si="1459"/>
        <v>91.308142429905971</v>
      </c>
      <c r="EL439" s="4">
        <f t="shared" si="1460"/>
        <v>2.5495097567963922</v>
      </c>
      <c r="EM439" s="4">
        <f t="shared" si="1461"/>
        <v>0.10409409854737328</v>
      </c>
      <c r="EP439" s="4">
        <f t="shared" si="1301"/>
        <v>0.10409409854737328</v>
      </c>
      <c r="EQ439" s="4">
        <f t="shared" si="1535"/>
        <v>0.22748838422448764</v>
      </c>
      <c r="ER439" s="4">
        <f t="shared" si="1314"/>
        <v>4.9544616187268264</v>
      </c>
      <c r="ES439" s="4">
        <f t="shared" si="1286"/>
        <v>7.2407168346772508</v>
      </c>
      <c r="ET439" s="4">
        <f t="shared" si="1315"/>
        <v>231.01785757009407</v>
      </c>
      <c r="EU439" s="4">
        <f t="shared" si="1316"/>
        <v>107.44200000000001</v>
      </c>
      <c r="EV439" s="4">
        <f t="shared" si="1385"/>
        <v>2.7653839435452814E-5</v>
      </c>
      <c r="EW439" s="4">
        <f t="shared" si="1287"/>
        <v>7.7002015691255705</v>
      </c>
      <c r="EX439" s="4">
        <f t="shared" si="1422"/>
        <v>575.95027170116691</v>
      </c>
      <c r="FG439" s="23">
        <f t="shared" si="1329"/>
        <v>1</v>
      </c>
      <c r="FH439" s="23">
        <f t="shared" si="1329"/>
        <v>0.6</v>
      </c>
      <c r="FI439" s="23">
        <f t="shared" si="1526"/>
        <v>1.4</v>
      </c>
      <c r="FJ439" s="23">
        <f t="shared" si="1330"/>
        <v>1.8</v>
      </c>
      <c r="FK439" s="23">
        <f t="shared" si="1330"/>
        <v>1</v>
      </c>
      <c r="FL439" s="23">
        <f t="shared" si="1330"/>
        <v>1</v>
      </c>
      <c r="FM439" s="23">
        <f t="shared" si="1478"/>
        <v>0</v>
      </c>
      <c r="FN439" s="23"/>
      <c r="FX439" s="4">
        <f t="shared" si="1386"/>
        <v>1</v>
      </c>
      <c r="FY439" s="4">
        <f t="shared" si="1429"/>
        <v>0.72665484633569744</v>
      </c>
      <c r="FZ439" s="4">
        <f t="shared" si="1387"/>
        <v>0</v>
      </c>
      <c r="GA439" s="4">
        <f t="shared" si="1388"/>
        <v>400.82924393592646</v>
      </c>
    </row>
    <row r="440" spans="1:183" ht="12" customHeight="1" x14ac:dyDescent="0.3">
      <c r="A440" s="25">
        <v>422</v>
      </c>
      <c r="B440" s="4" t="s">
        <v>605</v>
      </c>
      <c r="C440" s="4">
        <v>2016</v>
      </c>
      <c r="D440" s="4" t="s">
        <v>309</v>
      </c>
      <c r="E440" s="14" t="s">
        <v>679</v>
      </c>
      <c r="F440" s="48" t="s">
        <v>593</v>
      </c>
      <c r="G440" s="38">
        <f>115.9/0.145</f>
        <v>799.31034482758628</v>
      </c>
      <c r="H440" s="38">
        <f>17*25.4</f>
        <v>431.79999999999995</v>
      </c>
      <c r="I440" s="4">
        <f t="shared" si="1288"/>
        <v>431.79999999999995</v>
      </c>
      <c r="J440" s="38">
        <f>10860/145</f>
        <v>74.896551724137936</v>
      </c>
      <c r="K440" s="38">
        <f t="shared" si="1490"/>
        <v>35.813999999999993</v>
      </c>
      <c r="L440" s="7">
        <f t="shared" si="1289"/>
        <v>12.056737588652483</v>
      </c>
      <c r="M440" s="7">
        <f t="shared" si="1290"/>
        <v>12.056737588652483</v>
      </c>
      <c r="N440" s="38">
        <f>21.8*25.4</f>
        <v>553.72</v>
      </c>
      <c r="O440" s="38">
        <f>2.65*25.4</f>
        <v>67.309999999999988</v>
      </c>
      <c r="P440" s="39">
        <f>3.8*25.4</f>
        <v>96.52</v>
      </c>
      <c r="Q440" s="7">
        <f t="shared" si="1291"/>
        <v>155.82900000000001</v>
      </c>
      <c r="R440" s="38">
        <v>3</v>
      </c>
      <c r="S440" s="4">
        <f t="shared" si="1361"/>
        <v>508</v>
      </c>
      <c r="T440" s="7">
        <f t="shared" si="1292"/>
        <v>2.3794326241134751</v>
      </c>
      <c r="U440" s="7">
        <f t="shared" si="1414"/>
        <v>2.3794326241134751</v>
      </c>
      <c r="V440" s="38">
        <v>4.5</v>
      </c>
      <c r="W440" s="4">
        <f t="shared" si="1293"/>
        <v>4.5</v>
      </c>
      <c r="X440" s="4">
        <f t="shared" si="1294"/>
        <v>5.5</v>
      </c>
      <c r="Y440" s="7">
        <f t="shared" si="1295"/>
        <v>83.991275011158137</v>
      </c>
      <c r="AB440" s="38">
        <f t="shared" si="1332"/>
        <v>600.68965517241384</v>
      </c>
      <c r="AC440" s="4">
        <v>87.1</v>
      </c>
      <c r="AD440" s="4">
        <f t="shared" si="1452"/>
        <v>1.006304469333855</v>
      </c>
      <c r="AE440" s="38">
        <f t="shared" ref="AE440:AE441" si="1540">0.5*25.4</f>
        <v>12.7</v>
      </c>
      <c r="AF440" s="38">
        <v>12</v>
      </c>
      <c r="AG440" s="39">
        <f t="shared" ref="AG440:AG441" si="1541">4*25.4</f>
        <v>101.6</v>
      </c>
      <c r="AH440" s="39">
        <v>2</v>
      </c>
      <c r="AI440" s="39">
        <f t="shared" ref="AI440:AI441" si="1542">AH440-1</f>
        <v>1</v>
      </c>
      <c r="AJ440" s="7"/>
      <c r="AK440" s="4">
        <f t="shared" si="1297"/>
        <v>431.79999999999995</v>
      </c>
      <c r="AL440" s="4">
        <f t="shared" si="1462"/>
        <v>0.4274509803921569</v>
      </c>
      <c r="AM440" s="4">
        <f t="shared" si="1463"/>
        <v>256.94375927002261</v>
      </c>
      <c r="AN440" s="4">
        <f t="shared" si="1464"/>
        <v>0.7394705882352941</v>
      </c>
      <c r="AO440" s="4">
        <v>1.25</v>
      </c>
      <c r="AP440" s="4">
        <f t="shared" si="1396"/>
        <v>2.5</v>
      </c>
      <c r="AQ440" s="38">
        <f t="shared" ref="AQ440:AQ449" si="1543">AL440*AN440*AO440*AP440*AM440</f>
        <v>253.80216245559149</v>
      </c>
      <c r="AR440" s="38">
        <f t="shared" si="1465"/>
        <v>253.80216245559149</v>
      </c>
      <c r="AS440" s="38">
        <f t="shared" si="1466"/>
        <v>4.7252710400583542</v>
      </c>
      <c r="AT440" s="38">
        <f t="shared" si="1407"/>
        <v>253.80216245559126</v>
      </c>
      <c r="AU440" s="38">
        <f t="shared" si="1373"/>
        <v>1.0000000000000009</v>
      </c>
      <c r="AV440" s="38">
        <f t="shared" si="1530"/>
        <v>2.9790388665523837</v>
      </c>
      <c r="AW440" s="4">
        <f t="shared" si="1511"/>
        <v>0</v>
      </c>
      <c r="AX440" s="4">
        <f t="shared" si="1298"/>
        <v>549.17039788951729</v>
      </c>
      <c r="AY440" s="4">
        <f t="shared" ref="AY440:AY449" si="1544">MIN(0.6+0.4*(U440/T440),2)</f>
        <v>1</v>
      </c>
      <c r="AZ440" s="38">
        <f t="shared" si="1389"/>
        <v>756.08650637024857</v>
      </c>
      <c r="BA440" s="4">
        <f t="shared" ref="BA440:BA449" si="1545">MAX(1-0.7*W440/5,0.3)</f>
        <v>0.37</v>
      </c>
      <c r="BB440" s="4">
        <f t="shared" ref="BB440:BB449" si="1546">BA440*G440*I440/(G440*K440/2.75/J440^0.5)</f>
        <v>106.16836717199092</v>
      </c>
      <c r="BC440" s="4">
        <f t="shared" ref="BC440:BC449" si="1547">AZ440+BB440</f>
        <v>862.25487354223947</v>
      </c>
      <c r="BE440" s="4">
        <f t="shared" si="1408"/>
        <v>1.5</v>
      </c>
      <c r="BF440" s="4">
        <f t="shared" si="1415"/>
        <v>858.98326265183573</v>
      </c>
      <c r="BH440" s="4">
        <f t="shared" si="1416"/>
        <v>725.17942296368437</v>
      </c>
      <c r="BI440" s="4">
        <f t="shared" si="1350"/>
        <v>0</v>
      </c>
      <c r="BJ440" s="4">
        <f t="shared" si="1417"/>
        <v>0</v>
      </c>
      <c r="BR440" s="4">
        <f t="shared" ref="BR440:BR449" si="1548">IF(Q440=0,O440,MIN(Q440/2,O440))</f>
        <v>67.309999999999988</v>
      </c>
      <c r="BV440" s="9"/>
      <c r="BX440" s="9"/>
      <c r="BY440" s="9"/>
      <c r="BZ440" s="9">
        <f t="shared" ref="BZ440:BZ449" si="1549">IF(Q440=0,MIN(O440,P440),MIN(Q440/2,O440,P440))</f>
        <v>67.309999999999988</v>
      </c>
      <c r="CA440" s="9">
        <f t="shared" ref="CA440:CA449" si="1550">MAX(Q440/2,O440)</f>
        <v>77.914500000000004</v>
      </c>
      <c r="CB440" s="9">
        <f t="shared" si="1374"/>
        <v>1.40134215068795</v>
      </c>
      <c r="CC440" s="40">
        <f t="shared" si="1299"/>
        <v>20</v>
      </c>
      <c r="CD440" s="9">
        <f t="shared" ref="CD440:CD449" si="1551">MIN(PI()*AE440^2/4*AF440*2/R440/K440/MAX(0.01,AG440),0.05)</f>
        <v>0.05</v>
      </c>
      <c r="CE440" s="9">
        <f t="shared" ref="CE440:CE449" si="1552">MAX(0,CC440*(CD440-0.5/50))</f>
        <v>0.8</v>
      </c>
      <c r="CF440" s="9">
        <f t="shared" ref="CF440:CF449" si="1553">MIN(1,(25/K440)^0.3)</f>
        <v>0.89777220146327208</v>
      </c>
      <c r="CG440" s="9">
        <f t="shared" ref="CG440:CG449" si="1554">IF(G440&gt;=800,0.68,IF(G440&gt;=700,0.75-(G440-700)*0.07/100,IF(G440&gt;=600,0.85-(G440-600)*0.1/100,IF(G440&gt;=500,1-(G440-500)*0.15/100,1.2-(G440-400)*0.2/100))))</f>
        <v>0.68048275862068963</v>
      </c>
      <c r="CH440" s="9">
        <f t="shared" si="1375"/>
        <v>1.8504707967044269</v>
      </c>
      <c r="CI440" s="9">
        <f t="shared" si="1376"/>
        <v>4.0735193634025677</v>
      </c>
      <c r="CJ440" s="40">
        <v>1</v>
      </c>
      <c r="CK440" s="9">
        <f t="shared" si="1377"/>
        <v>440.86457791151196</v>
      </c>
      <c r="CM440" s="4">
        <f t="shared" ref="CM440:CM449" si="1555">AB440/AX440</f>
        <v>1.0938128811765657</v>
      </c>
      <c r="CN440" s="4">
        <f t="shared" ref="CN440:CN449" si="1556">AB440/BC440</f>
        <v>0.69664976517292798</v>
      </c>
      <c r="CO440" s="4">
        <f t="shared" si="1524"/>
        <v>0.69930309621863518</v>
      </c>
      <c r="CP440" s="4">
        <f t="shared" ref="CP440:CP449" si="1557">AB440/CK440</f>
        <v>1.362526465650822</v>
      </c>
      <c r="CQ440" s="4">
        <f t="shared" si="1476"/>
        <v>1.006304469333855</v>
      </c>
      <c r="CR440" s="4">
        <f t="shared" si="1477"/>
        <v>1.0293844757547645</v>
      </c>
      <c r="CS440" s="4">
        <f t="shared" si="1525"/>
        <v>1.1608850073852048</v>
      </c>
      <c r="CT440" s="4">
        <f t="shared" si="1300"/>
        <v>12</v>
      </c>
      <c r="DA440" s="4">
        <f t="shared" ref="DA440:DB441" si="1558">CM440</f>
        <v>1.0938128811765657</v>
      </c>
      <c r="DB440" s="4">
        <f t="shared" si="1558"/>
        <v>0.69664976517292798</v>
      </c>
      <c r="DC440" s="4">
        <f t="shared" ref="DC440:DC441" si="1559">CP440</f>
        <v>1.362526465650822</v>
      </c>
      <c r="DD440" s="4">
        <f t="shared" ref="DD440:DD441" si="1560">CS440</f>
        <v>1.1608850073852048</v>
      </c>
      <c r="DE440" s="4">
        <f t="shared" ref="DE440:DF441" si="1561">CQ440</f>
        <v>1.006304469333855</v>
      </c>
      <c r="DF440" s="4">
        <f t="shared" si="1561"/>
        <v>1.0293844757547645</v>
      </c>
      <c r="DI440" s="4">
        <f t="shared" ref="DI440:DI449" si="1562">I440</f>
        <v>431.79999999999995</v>
      </c>
      <c r="DL440" s="4">
        <f t="shared" si="1453"/>
        <v>2.8652727564421202E-5</v>
      </c>
      <c r="DM440" s="4">
        <f t="shared" si="1313"/>
        <v>9.175653902487765</v>
      </c>
      <c r="DN440" s="4">
        <f t="shared" si="1454"/>
        <v>0.24610590374836747</v>
      </c>
      <c r="DO440" s="4">
        <f t="shared" si="1455"/>
        <v>5.2370393460986371</v>
      </c>
      <c r="DP440" s="4">
        <f t="shared" si="1456"/>
        <v>7.4724284792628914</v>
      </c>
      <c r="DQ440" s="4">
        <f t="shared" si="1457"/>
        <v>7.7810990756344607</v>
      </c>
      <c r="DR440" s="38">
        <f t="shared" si="1471"/>
        <v>596.92635129609766</v>
      </c>
      <c r="DS440" s="4">
        <f t="shared" si="1382"/>
        <v>1.0001035913282026</v>
      </c>
      <c r="DT440" s="4">
        <f t="shared" si="1458"/>
        <v>2.3452078799117149</v>
      </c>
      <c r="DU440" s="4">
        <f t="shared" si="1390"/>
        <v>253.80216245559126</v>
      </c>
      <c r="DY440" s="4">
        <f t="shared" si="1331"/>
        <v>0.85</v>
      </c>
      <c r="DZ440" s="4">
        <f t="shared" si="1383"/>
        <v>0.91205673758865247</v>
      </c>
      <c r="EA440" s="4">
        <f t="shared" si="1472"/>
        <v>0.9995510789195714</v>
      </c>
      <c r="EB440" s="4">
        <f t="shared" si="1384"/>
        <v>0.91164729609260198</v>
      </c>
      <c r="ED440" s="4">
        <f t="shared" si="1473"/>
        <v>583.54256288154784</v>
      </c>
      <c r="EE440" s="25">
        <f t="shared" si="1474"/>
        <v>251.65720896177749</v>
      </c>
      <c r="EG440" s="4">
        <f t="shared" si="1391"/>
        <v>0.77490020167871165</v>
      </c>
      <c r="EH440" s="4">
        <f t="shared" si="1475"/>
        <v>9.175653902487765</v>
      </c>
      <c r="EK440" s="4">
        <f t="shared" si="1459"/>
        <v>83.991275011158137</v>
      </c>
      <c r="EL440" s="4">
        <f t="shared" si="1460"/>
        <v>2.3452078799117149</v>
      </c>
      <c r="EM440" s="4">
        <f t="shared" si="1461"/>
        <v>0.11646306324765357</v>
      </c>
      <c r="EP440" s="4">
        <f t="shared" si="1301"/>
        <v>0.11646306324765357</v>
      </c>
      <c r="EQ440" s="4">
        <f t="shared" si="1535"/>
        <v>0.24569519886291669</v>
      </c>
      <c r="ER440" s="4">
        <f t="shared" si="1314"/>
        <v>5.233541737312188</v>
      </c>
      <c r="ES440" s="4">
        <f t="shared" ref="ES440:ES449" si="1563">EH440/1.4*(1-EQ440^1.4)/(1-EQ440)</f>
        <v>7.4712103995701256</v>
      </c>
      <c r="ET440" s="4">
        <f t="shared" si="1315"/>
        <v>239.85872498884183</v>
      </c>
      <c r="EU440" s="4">
        <f t="shared" si="1316"/>
        <v>107.95000000000002</v>
      </c>
      <c r="EV440" s="4">
        <f t="shared" si="1385"/>
        <v>2.8652727564421212E-5</v>
      </c>
      <c r="EW440" s="4">
        <f t="shared" ref="EW440:EW449" si="1564">MAX(0.5*EH440, (1-2*EV440*(EK440*ER440+ET440*ES440))/(1/EH440+EV440*EU440))</f>
        <v>7.7813986667534705</v>
      </c>
      <c r="EX440" s="4">
        <f t="shared" si="1422"/>
        <v>596.86452130757834</v>
      </c>
      <c r="FA440" s="4">
        <f>6.75*25.4</f>
        <v>171.45</v>
      </c>
      <c r="FG440" s="23">
        <f t="shared" si="1329"/>
        <v>1.2</v>
      </c>
      <c r="FH440" s="23">
        <f t="shared" si="1329"/>
        <v>0.8</v>
      </c>
      <c r="FI440" s="23">
        <f t="shared" si="1526"/>
        <v>1.2</v>
      </c>
      <c r="FJ440" s="23">
        <f t="shared" si="1330"/>
        <v>1.4</v>
      </c>
      <c r="FK440" s="23">
        <f t="shared" si="1330"/>
        <v>1.2</v>
      </c>
      <c r="FL440" s="23">
        <f t="shared" si="1330"/>
        <v>1.2</v>
      </c>
      <c r="FM440" s="23">
        <f t="shared" si="1478"/>
        <v>0</v>
      </c>
      <c r="FN440" s="23"/>
      <c r="FX440" s="4">
        <f t="shared" si="1386"/>
        <v>1</v>
      </c>
      <c r="FY440" s="4">
        <f t="shared" si="1429"/>
        <v>0.57562217267152949</v>
      </c>
      <c r="FZ440" s="4">
        <f t="shared" si="1387"/>
        <v>0.16766426906761905</v>
      </c>
      <c r="GA440" s="4">
        <f t="shared" si="1388"/>
        <v>517.4411344370933</v>
      </c>
    </row>
    <row r="441" spans="1:183" ht="12" customHeight="1" x14ac:dyDescent="0.3">
      <c r="A441" s="25">
        <v>423</v>
      </c>
      <c r="B441" s="4" t="s">
        <v>605</v>
      </c>
      <c r="C441" s="4">
        <v>2016</v>
      </c>
      <c r="D441" s="4" t="s">
        <v>309</v>
      </c>
      <c r="E441" s="14" t="s">
        <v>679</v>
      </c>
      <c r="F441" s="7" t="s">
        <v>594</v>
      </c>
      <c r="G441" s="38">
        <f>135/0.145</f>
        <v>931.0344827586207</v>
      </c>
      <c r="H441" s="38">
        <f>16.75*25.4</f>
        <v>425.45</v>
      </c>
      <c r="I441" s="4">
        <f t="shared" ref="I441:I449" si="1565">H441</f>
        <v>425.45</v>
      </c>
      <c r="J441" s="38">
        <f>10120/145</f>
        <v>69.793103448275858</v>
      </c>
      <c r="K441" s="38">
        <f t="shared" si="1490"/>
        <v>35.813999999999993</v>
      </c>
      <c r="L441" s="7">
        <f t="shared" ref="L441:L449" si="1566">H441/K441</f>
        <v>11.879432624113477</v>
      </c>
      <c r="M441" s="7">
        <f t="shared" ref="M441:M449" si="1567">I441/K441</f>
        <v>11.879432624113477</v>
      </c>
      <c r="N441" s="38">
        <f>21.9*25.4</f>
        <v>556.25999999999988</v>
      </c>
      <c r="O441" s="38">
        <f>2.8*25.4</f>
        <v>71.11999999999999</v>
      </c>
      <c r="P441" s="39">
        <f>3.3*25.4</f>
        <v>83.82</v>
      </c>
      <c r="Q441" s="7">
        <f t="shared" ref="Q441:Q448" si="1568">(N441-R441*K441-2*O441)/(R441-1)</f>
        <v>153.28899999999993</v>
      </c>
      <c r="R441" s="38">
        <v>3</v>
      </c>
      <c r="S441" s="4">
        <f t="shared" si="1361"/>
        <v>508</v>
      </c>
      <c r="T441" s="7">
        <f t="shared" ref="T441:T449" si="1569">MIN(O441/K441+0.5, Q441/2/K441+0.5)</f>
        <v>2.4858156028368796</v>
      </c>
      <c r="U441" s="7">
        <f t="shared" si="1414"/>
        <v>2.4858156028368796</v>
      </c>
      <c r="V441" s="38">
        <v>5.5</v>
      </c>
      <c r="W441" s="4">
        <f t="shared" ref="W441:W449" si="1570">V441</f>
        <v>5.5</v>
      </c>
      <c r="X441" s="4">
        <f t="shared" ref="X441:X449" si="1571">W441+1</f>
        <v>6.5</v>
      </c>
      <c r="Y441" s="7">
        <f t="shared" ref="Y441:Y449" si="1572">K441*X441^0.5</f>
        <v>91.308142429905971</v>
      </c>
      <c r="AB441" s="38">
        <f t="shared" si="1332"/>
        <v>680</v>
      </c>
      <c r="AC441" s="4">
        <v>98.6</v>
      </c>
      <c r="AD441" s="4">
        <f t="shared" si="1452"/>
        <v>1.189548271882735</v>
      </c>
      <c r="AE441" s="38">
        <f t="shared" si="1540"/>
        <v>12.7</v>
      </c>
      <c r="AF441" s="38">
        <v>12</v>
      </c>
      <c r="AG441" s="39">
        <f t="shared" si="1541"/>
        <v>101.6</v>
      </c>
      <c r="AH441" s="39">
        <v>2</v>
      </c>
      <c r="AI441" s="39">
        <f t="shared" si="1542"/>
        <v>1</v>
      </c>
      <c r="AJ441" s="7"/>
      <c r="AK441" s="4">
        <f t="shared" ref="AK441:AK449" si="1573">H441</f>
        <v>425.45</v>
      </c>
      <c r="AL441" s="4">
        <f t="shared" si="1462"/>
        <v>0.43582089552238795</v>
      </c>
      <c r="AM441" s="4">
        <f t="shared" si="1463"/>
        <v>242.58405561741927</v>
      </c>
      <c r="AN441" s="4">
        <f t="shared" si="1464"/>
        <v>0.74185074626865666</v>
      </c>
      <c r="AO441" s="4">
        <v>1.25</v>
      </c>
      <c r="AP441" s="4">
        <f t="shared" si="1396"/>
        <v>2.5</v>
      </c>
      <c r="AQ441" s="38">
        <f t="shared" si="1543"/>
        <v>245.09635963739103</v>
      </c>
      <c r="AR441" s="38">
        <f t="shared" si="1465"/>
        <v>245.09635963739103</v>
      </c>
      <c r="AS441" s="38">
        <f t="shared" si="1466"/>
        <v>4.6054834550100843</v>
      </c>
      <c r="AT441" s="38">
        <f t="shared" si="1407"/>
        <v>245.0963596373912</v>
      </c>
      <c r="AU441" s="38">
        <f t="shared" si="1373"/>
        <v>0.99999999999999933</v>
      </c>
      <c r="AV441" s="38">
        <f t="shared" si="1530"/>
        <v>3.3201361971780701</v>
      </c>
      <c r="AW441" s="4">
        <f t="shared" si="1511"/>
        <v>0</v>
      </c>
      <c r="AX441" s="4">
        <f t="shared" ref="AX441:AX449" si="1574">I441/K441*J441^0.5/0.19</f>
        <v>522.33406837446921</v>
      </c>
      <c r="AY441" s="4">
        <f t="shared" si="1544"/>
        <v>1</v>
      </c>
      <c r="AZ441" s="38">
        <f t="shared" si="1389"/>
        <v>813.75329542867667</v>
      </c>
      <c r="BA441" s="4">
        <f t="shared" si="1545"/>
        <v>0.3</v>
      </c>
      <c r="BB441" s="4">
        <f t="shared" si="1546"/>
        <v>81.875865217698063</v>
      </c>
      <c r="BC441" s="4">
        <f t="shared" si="1547"/>
        <v>895.62916064637477</v>
      </c>
      <c r="BE441" s="4">
        <f t="shared" si="1408"/>
        <v>1.5</v>
      </c>
      <c r="BF441" s="4">
        <f t="shared" si="1415"/>
        <v>822.53582913410628</v>
      </c>
      <c r="BH441" s="4">
        <f t="shared" si="1416"/>
        <v>780.48892585948306</v>
      </c>
      <c r="BI441" s="4">
        <f t="shared" si="1350"/>
        <v>0</v>
      </c>
      <c r="BJ441" s="4">
        <f t="shared" si="1417"/>
        <v>0</v>
      </c>
      <c r="BR441" s="4">
        <f t="shared" si="1548"/>
        <v>71.11999999999999</v>
      </c>
      <c r="BV441" s="9"/>
      <c r="BX441" s="9"/>
      <c r="BY441" s="9"/>
      <c r="BZ441" s="9">
        <f t="shared" si="1549"/>
        <v>71.11999999999999</v>
      </c>
      <c r="CA441" s="9">
        <f t="shared" si="1550"/>
        <v>76.644499999999965</v>
      </c>
      <c r="CB441" s="9">
        <f t="shared" si="1374"/>
        <v>1.4250918174124854</v>
      </c>
      <c r="CC441" s="40">
        <f t="shared" ref="CC441:CC449" si="1575">IF(AG441&gt;1,20,0)</f>
        <v>20</v>
      </c>
      <c r="CD441" s="9">
        <f t="shared" si="1551"/>
        <v>0.05</v>
      </c>
      <c r="CE441" s="9">
        <f t="shared" si="1552"/>
        <v>0.8</v>
      </c>
      <c r="CF441" s="9">
        <f t="shared" si="1553"/>
        <v>0.89777220146327208</v>
      </c>
      <c r="CG441" s="9">
        <f t="shared" si="1554"/>
        <v>0.68</v>
      </c>
      <c r="CH441" s="9">
        <f t="shared" si="1375"/>
        <v>1.7850458101214393</v>
      </c>
      <c r="CI441" s="9">
        <f t="shared" si="1376"/>
        <v>3.9718908258076553</v>
      </c>
      <c r="CJ441" s="40">
        <v>1</v>
      </c>
      <c r="CK441" s="9">
        <f t="shared" si="1377"/>
        <v>427.04868737052527</v>
      </c>
      <c r="CM441" s="4">
        <f t="shared" si="1555"/>
        <v>1.3018488380744442</v>
      </c>
      <c r="CN441" s="4">
        <f t="shared" si="1556"/>
        <v>0.75924280927749677</v>
      </c>
      <c r="CO441" s="4">
        <f t="shared" si="1524"/>
        <v>0.8267117077633499</v>
      </c>
      <c r="CP441" s="4">
        <f t="shared" si="1557"/>
        <v>1.5923242948877245</v>
      </c>
      <c r="CQ441" s="4">
        <f t="shared" si="1476"/>
        <v>1.189548271882735</v>
      </c>
      <c r="CR441" s="4">
        <f t="shared" si="1477"/>
        <v>1.2091353781823571</v>
      </c>
      <c r="CS441" s="4">
        <f t="shared" si="1525"/>
        <v>1.3841922978836163</v>
      </c>
      <c r="CT441" s="4">
        <f t="shared" ref="CT441:CT449" si="1576">AF441</f>
        <v>12</v>
      </c>
      <c r="DA441" s="4">
        <f t="shared" si="1558"/>
        <v>1.3018488380744442</v>
      </c>
      <c r="DB441" s="4">
        <f t="shared" si="1558"/>
        <v>0.75924280927749677</v>
      </c>
      <c r="DC441" s="4">
        <f t="shared" si="1559"/>
        <v>1.5923242948877245</v>
      </c>
      <c r="DD441" s="4">
        <f t="shared" si="1560"/>
        <v>1.3841922978836163</v>
      </c>
      <c r="DE441" s="4">
        <f t="shared" si="1561"/>
        <v>1.189548271882735</v>
      </c>
      <c r="DF441" s="4">
        <f t="shared" si="1561"/>
        <v>1.2091353781823571</v>
      </c>
      <c r="DI441" s="4">
        <f t="shared" si="1562"/>
        <v>425.45</v>
      </c>
      <c r="DL441" s="4">
        <f t="shared" si="1453"/>
        <v>2.737599353095949E-5</v>
      </c>
      <c r="DM441" s="4">
        <f t="shared" si="1313"/>
        <v>8.9620587312961906</v>
      </c>
      <c r="DN441" s="4">
        <f t="shared" si="1454"/>
        <v>0.22684961436579537</v>
      </c>
      <c r="DO441" s="4">
        <f t="shared" si="1455"/>
        <v>4.951114885337712</v>
      </c>
      <c r="DP441" s="4">
        <f t="shared" si="1456"/>
        <v>7.2420767721723385</v>
      </c>
      <c r="DQ441" s="4">
        <f t="shared" si="1457"/>
        <v>7.7290930335956531</v>
      </c>
      <c r="DR441" s="38">
        <f t="shared" si="1471"/>
        <v>571.64557006479686</v>
      </c>
      <c r="DS441" s="4">
        <f t="shared" si="1382"/>
        <v>1.0001033942474591</v>
      </c>
      <c r="DT441" s="4">
        <f t="shared" si="1458"/>
        <v>2.5495097567963922</v>
      </c>
      <c r="DU441" s="4">
        <f t="shared" si="1390"/>
        <v>245.0963596373912</v>
      </c>
      <c r="DY441" s="4">
        <f t="shared" si="1331"/>
        <v>0.85</v>
      </c>
      <c r="DZ441" s="4">
        <f t="shared" si="1383"/>
        <v>0.90141843971631208</v>
      </c>
      <c r="EA441" s="4">
        <f t="shared" si="1472"/>
        <v>0.9995510789195714</v>
      </c>
      <c r="EB441" s="4">
        <f t="shared" si="1384"/>
        <v>0.90101377397643634</v>
      </c>
      <c r="ED441" s="4">
        <f t="shared" si="1473"/>
        <v>562.38533109685011</v>
      </c>
      <c r="EE441" s="25">
        <f t="shared" si="1474"/>
        <v>242.99281248150706</v>
      </c>
      <c r="EG441" s="4">
        <f t="shared" si="1391"/>
        <v>0.76586170787997088</v>
      </c>
      <c r="EH441" s="4">
        <f t="shared" si="1475"/>
        <v>8.9620587312961906</v>
      </c>
      <c r="EK441" s="4">
        <f t="shared" si="1459"/>
        <v>91.308142429905971</v>
      </c>
      <c r="EL441" s="4">
        <f t="shared" si="1460"/>
        <v>2.5495097567963922</v>
      </c>
      <c r="EM441" s="4">
        <f t="shared" si="1461"/>
        <v>0.10362858446195203</v>
      </c>
      <c r="EP441" s="4">
        <f t="shared" ref="EP441:EP449" si="1577">EM441</f>
        <v>0.10362858446195203</v>
      </c>
      <c r="EQ441" s="4">
        <f t="shared" si="1535"/>
        <v>0.22647104463843967</v>
      </c>
      <c r="ER441" s="4">
        <f t="shared" si="1314"/>
        <v>4.9478082340446354</v>
      </c>
      <c r="ES441" s="4">
        <f t="shared" si="1563"/>
        <v>7.2409547526210769</v>
      </c>
      <c r="ET441" s="4">
        <f t="shared" si="1315"/>
        <v>227.77935757009402</v>
      </c>
      <c r="EU441" s="4">
        <f t="shared" si="1316"/>
        <v>106.36250000000001</v>
      </c>
      <c r="EV441" s="4">
        <f t="shared" si="1385"/>
        <v>2.7375993530959494E-5</v>
      </c>
      <c r="EW441" s="4">
        <f t="shared" si="1564"/>
        <v>7.7293596350227221</v>
      </c>
      <c r="EX441" s="4">
        <f t="shared" si="1422"/>
        <v>571.5864713117378</v>
      </c>
      <c r="FG441" s="23">
        <f t="shared" si="1329"/>
        <v>1.4</v>
      </c>
      <c r="FH441" s="23">
        <f t="shared" si="1329"/>
        <v>0.8</v>
      </c>
      <c r="FI441" s="23">
        <f t="shared" si="1526"/>
        <v>1.4</v>
      </c>
      <c r="FJ441" s="23">
        <f t="shared" si="1330"/>
        <v>1.6</v>
      </c>
      <c r="FK441" s="23">
        <f t="shared" si="1330"/>
        <v>1.2</v>
      </c>
      <c r="FL441" s="23">
        <f t="shared" si="1330"/>
        <v>1.4</v>
      </c>
      <c r="FM441" s="23">
        <f t="shared" si="1478"/>
        <v>0</v>
      </c>
      <c r="FN441" s="23"/>
      <c r="FX441" s="4">
        <f t="shared" si="1386"/>
        <v>1</v>
      </c>
      <c r="FY441" s="4">
        <f t="shared" si="1429"/>
        <v>0.58693437042964436</v>
      </c>
      <c r="FZ441" s="4">
        <f t="shared" si="1387"/>
        <v>0.16766426906761905</v>
      </c>
      <c r="GA441" s="4">
        <f t="shared" si="1388"/>
        <v>491.2612221869008</v>
      </c>
    </row>
    <row r="442" spans="1:183" ht="12" customHeight="1" x14ac:dyDescent="0.3">
      <c r="A442" s="25">
        <v>424</v>
      </c>
      <c r="B442" s="4" t="s">
        <v>605</v>
      </c>
      <c r="C442" s="4">
        <v>2016</v>
      </c>
      <c r="D442" s="4" t="s">
        <v>309</v>
      </c>
      <c r="E442" s="14" t="s">
        <v>595</v>
      </c>
      <c r="F442" s="48" t="s">
        <v>596</v>
      </c>
      <c r="G442" s="38">
        <f>115.9/0.145</f>
        <v>799.31034482758628</v>
      </c>
      <c r="H442" s="38">
        <f>19.44*25.4</f>
        <v>493.77600000000001</v>
      </c>
      <c r="I442" s="4">
        <f t="shared" si="1565"/>
        <v>493.77600000000001</v>
      </c>
      <c r="J442" s="38">
        <f>5430/145</f>
        <v>37.448275862068968</v>
      </c>
      <c r="K442" s="38">
        <f t="shared" si="1490"/>
        <v>35.813999999999993</v>
      </c>
      <c r="L442" s="7">
        <f t="shared" si="1566"/>
        <v>13.787234042553195</v>
      </c>
      <c r="M442" s="7">
        <f t="shared" si="1567"/>
        <v>13.787234042553195</v>
      </c>
      <c r="N442" s="38">
        <f t="shared" ref="N442" si="1578">21.9*25.4</f>
        <v>556.25999999999988</v>
      </c>
      <c r="O442" s="38">
        <f>2.7*25.4</f>
        <v>68.58</v>
      </c>
      <c r="P442" s="39">
        <f>4.1*25.4</f>
        <v>104.13999999999999</v>
      </c>
      <c r="Q442" s="7">
        <f t="shared" si="1568"/>
        <v>347.47199999999987</v>
      </c>
      <c r="R442" s="38">
        <v>2</v>
      </c>
      <c r="S442" s="4">
        <f t="shared" si="1361"/>
        <v>508</v>
      </c>
      <c r="T442" s="7">
        <f t="shared" si="1569"/>
        <v>2.4148936170212769</v>
      </c>
      <c r="U442" s="7">
        <f t="shared" si="1414"/>
        <v>2.4148936170212769</v>
      </c>
      <c r="V442" s="38">
        <v>4.5</v>
      </c>
      <c r="W442" s="4">
        <f t="shared" si="1570"/>
        <v>4.5</v>
      </c>
      <c r="X442" s="4">
        <f t="shared" si="1571"/>
        <v>5.5</v>
      </c>
      <c r="Y442" s="7">
        <f t="shared" si="1572"/>
        <v>83.991275011158137</v>
      </c>
      <c r="AB442" s="38">
        <f t="shared" si="1332"/>
        <v>697.93103448275872</v>
      </c>
      <c r="AC442" s="4">
        <v>101.2</v>
      </c>
      <c r="AD442" s="4">
        <f t="shared" si="1452"/>
        <v>1.1596127136690846</v>
      </c>
      <c r="AE442" s="38"/>
      <c r="AF442" s="38"/>
      <c r="AG442" s="39">
        <v>1</v>
      </c>
      <c r="AH442" s="39"/>
      <c r="AI442" s="39"/>
      <c r="AJ442" s="7"/>
      <c r="AK442" s="4">
        <f t="shared" si="1573"/>
        <v>493.77600000000001</v>
      </c>
      <c r="AL442" s="4">
        <f t="shared" si="1462"/>
        <v>0.375514403292181</v>
      </c>
      <c r="AM442" s="4">
        <f t="shared" si="1463"/>
        <v>333.26165284168025</v>
      </c>
      <c r="AN442" s="4">
        <f t="shared" si="1464"/>
        <v>0.73503086419753083</v>
      </c>
      <c r="AO442" s="4">
        <v>1.25</v>
      </c>
      <c r="AP442" s="4">
        <f t="shared" si="1396"/>
        <v>2.5</v>
      </c>
      <c r="AQ442" s="38">
        <f t="shared" si="1543"/>
        <v>287.45346017432786</v>
      </c>
      <c r="AR442" s="38">
        <f t="shared" si="1465"/>
        <v>287.45346017432786</v>
      </c>
      <c r="AS442" s="38">
        <f t="shared" si="1466"/>
        <v>3.3579622250305636</v>
      </c>
      <c r="AT442" s="38">
        <f t="shared" si="1407"/>
        <v>287.45346017432786</v>
      </c>
      <c r="AU442" s="38">
        <f t="shared" si="1373"/>
        <v>1</v>
      </c>
      <c r="AV442" s="38">
        <f t="shared" si="1530"/>
        <v>1.3347457378690069</v>
      </c>
      <c r="AW442" s="4">
        <f t="shared" si="1511"/>
        <v>0</v>
      </c>
      <c r="AX442" s="4">
        <f t="shared" si="1574"/>
        <v>444.05775673894539</v>
      </c>
      <c r="AY442" s="4">
        <f t="shared" si="1544"/>
        <v>1</v>
      </c>
      <c r="AZ442" s="38">
        <f t="shared" si="1389"/>
        <v>383.67728080338242</v>
      </c>
      <c r="BA442" s="4">
        <f t="shared" si="1545"/>
        <v>0.37</v>
      </c>
      <c r="BB442" s="4">
        <f t="shared" si="1546"/>
        <v>85.847465821556639</v>
      </c>
      <c r="BC442" s="4">
        <f t="shared" si="1547"/>
        <v>469.52474662493904</v>
      </c>
      <c r="BE442" s="4">
        <f t="shared" si="1408"/>
        <v>1.2287234042553192</v>
      </c>
      <c r="BF442" s="4">
        <f t="shared" si="1415"/>
        <v>536.58094332590736</v>
      </c>
      <c r="BH442" s="4">
        <f t="shared" si="1416"/>
        <v>367.993432964433</v>
      </c>
      <c r="BI442" s="4">
        <f t="shared" si="1350"/>
        <v>0</v>
      </c>
      <c r="BJ442" s="4">
        <f t="shared" si="1417"/>
        <v>0</v>
      </c>
      <c r="BR442" s="4">
        <f t="shared" si="1548"/>
        <v>68.58</v>
      </c>
      <c r="BV442" s="9"/>
      <c r="BX442" s="9"/>
      <c r="BY442" s="9"/>
      <c r="BZ442" s="9">
        <f t="shared" si="1549"/>
        <v>68.58</v>
      </c>
      <c r="CA442" s="9">
        <f t="shared" si="1550"/>
        <v>173.73599999999993</v>
      </c>
      <c r="CB442" s="9">
        <f t="shared" si="1374"/>
        <v>1.5908388060545191</v>
      </c>
      <c r="CC442" s="40">
        <f t="shared" si="1575"/>
        <v>0</v>
      </c>
      <c r="CD442" s="9">
        <f t="shared" si="1551"/>
        <v>0</v>
      </c>
      <c r="CE442" s="9">
        <f t="shared" si="1552"/>
        <v>0</v>
      </c>
      <c r="CF442" s="9">
        <f t="shared" si="1553"/>
        <v>0.89777220146327208</v>
      </c>
      <c r="CG442" s="9">
        <f t="shared" si="1554"/>
        <v>0.68048275862068963</v>
      </c>
      <c r="CH442" s="9">
        <f t="shared" si="1375"/>
        <v>1.3084804487373733</v>
      </c>
      <c r="CI442" s="9">
        <f t="shared" si="1376"/>
        <v>2.0815814748150445</v>
      </c>
      <c r="CJ442" s="40">
        <v>1</v>
      </c>
      <c r="CK442" s="9">
        <f t="shared" si="1377"/>
        <v>239.69189237657491</v>
      </c>
      <c r="CM442" s="4">
        <f t="shared" si="1555"/>
        <v>1.5717122916807</v>
      </c>
      <c r="CN442" s="4">
        <f t="shared" si="1556"/>
        <v>1.4864627253401679</v>
      </c>
      <c r="CO442" s="4">
        <f t="shared" si="1524"/>
        <v>1.3007003755234947</v>
      </c>
      <c r="CP442" s="4">
        <f t="shared" si="1557"/>
        <v>2.9117840723050152</v>
      </c>
      <c r="CQ442" s="4">
        <f t="shared" si="1476"/>
        <v>1.1596127136690846</v>
      </c>
      <c r="CR442" s="4">
        <f t="shared" si="1477"/>
        <v>1.2582112350998493</v>
      </c>
      <c r="CS442" s="4">
        <f t="shared" si="1525"/>
        <v>1.2184121174982501</v>
      </c>
      <c r="CT442" s="4">
        <f t="shared" si="1576"/>
        <v>0</v>
      </c>
      <c r="CU442" s="4">
        <f t="shared" ref="CU442:CV443" si="1579">CM442</f>
        <v>1.5717122916807</v>
      </c>
      <c r="CV442" s="4">
        <f t="shared" si="1579"/>
        <v>1.4864627253401679</v>
      </c>
      <c r="CW442" s="4">
        <f t="shared" ref="CW442:CW443" si="1580">CP442</f>
        <v>2.9117840723050152</v>
      </c>
      <c r="CX442" s="4">
        <f t="shared" ref="CX442:CX443" si="1581">CS442</f>
        <v>1.2184121174982501</v>
      </c>
      <c r="CY442" s="4">
        <f t="shared" ref="CY442:CZ443" si="1582">CQ442</f>
        <v>1.1596127136690846</v>
      </c>
      <c r="CZ442" s="4">
        <f t="shared" si="1582"/>
        <v>1.2582112350998493</v>
      </c>
      <c r="DI442" s="4">
        <f t="shared" si="1562"/>
        <v>493.77600000000001</v>
      </c>
      <c r="DL442" s="4">
        <f t="shared" si="1453"/>
        <v>2.5922823367202814E-5</v>
      </c>
      <c r="DM442" s="4">
        <f t="shared" si="1313"/>
        <v>6.5105676703943356</v>
      </c>
      <c r="DN442" s="4">
        <f t="shared" si="1454"/>
        <v>0.55747352912469106</v>
      </c>
      <c r="DO442" s="4">
        <f t="shared" si="1455"/>
        <v>5.1535744861924577</v>
      </c>
      <c r="DP442" s="4">
        <f t="shared" si="1456"/>
        <v>5.8714587929856847</v>
      </c>
      <c r="DQ442" s="4">
        <f t="shared" si="1457"/>
        <v>5.6786582394970564</v>
      </c>
      <c r="DR442" s="38">
        <f t="shared" si="1471"/>
        <v>601.86562828762271</v>
      </c>
      <c r="DS442" s="4">
        <f t="shared" si="1382"/>
        <v>1.0001284152167191</v>
      </c>
      <c r="DT442" s="4">
        <f t="shared" si="1458"/>
        <v>2.3452078799117149</v>
      </c>
      <c r="DU442" s="4">
        <f t="shared" si="1390"/>
        <v>287.45346017432786</v>
      </c>
      <c r="DY442" s="4">
        <f t="shared" si="1331"/>
        <v>0.85</v>
      </c>
      <c r="DZ442" s="4">
        <f t="shared" si="1383"/>
        <v>0.90851063829787226</v>
      </c>
      <c r="EA442" s="4">
        <f t="shared" si="1472"/>
        <v>1</v>
      </c>
      <c r="EB442" s="4">
        <f t="shared" si="1384"/>
        <v>0.90851063829787226</v>
      </c>
      <c r="ED442" s="4">
        <f t="shared" si="1473"/>
        <v>554.70100330758225</v>
      </c>
      <c r="EE442" s="25">
        <f t="shared" si="1474"/>
        <v>285.41284264276118</v>
      </c>
      <c r="EG442" s="4">
        <f t="shared" si="1391"/>
        <v>0.77223404255319139</v>
      </c>
      <c r="EH442" s="4">
        <f t="shared" si="1475"/>
        <v>6.5105676703943356</v>
      </c>
      <c r="EK442" s="4">
        <f t="shared" si="1459"/>
        <v>83.991275011158137</v>
      </c>
      <c r="EL442" s="4">
        <f t="shared" si="1460"/>
        <v>2.3452078799117149</v>
      </c>
      <c r="EM442" s="4">
        <f t="shared" si="1461"/>
        <v>0.18654148485840832</v>
      </c>
      <c r="EP442" s="4">
        <f t="shared" si="1577"/>
        <v>0.18654148485840832</v>
      </c>
      <c r="EQ442" s="4">
        <f t="shared" si="1535"/>
        <v>0.55654320970352378</v>
      </c>
      <c r="ER442" s="4">
        <f t="shared" si="1314"/>
        <v>5.1501326202423856</v>
      </c>
      <c r="ES442" s="4">
        <f t="shared" si="1563"/>
        <v>5.8699491476777874</v>
      </c>
      <c r="ET442" s="4">
        <f t="shared" si="1315"/>
        <v>286.34072498884188</v>
      </c>
      <c r="EU442" s="4">
        <f t="shared" si="1316"/>
        <v>123.44399999999996</v>
      </c>
      <c r="EV442" s="4">
        <f t="shared" si="1385"/>
        <v>2.5922823367202804E-5</v>
      </c>
      <c r="EW442" s="4">
        <f t="shared" si="1564"/>
        <v>5.6788967611987706</v>
      </c>
      <c r="EX442" s="4">
        <f t="shared" si="1422"/>
        <v>601.78834950630176</v>
      </c>
      <c r="FA442" s="4">
        <f>6.75*25.4</f>
        <v>171.45</v>
      </c>
      <c r="FG442" s="23">
        <f t="shared" si="1329"/>
        <v>1.6</v>
      </c>
      <c r="FH442" s="23">
        <f t="shared" si="1329"/>
        <v>1.6</v>
      </c>
      <c r="FI442" s="23">
        <f t="shared" si="1526"/>
        <v>1.4</v>
      </c>
      <c r="FJ442" s="23">
        <f t="shared" si="1330"/>
        <v>2.2000000000000002</v>
      </c>
      <c r="FK442" s="23">
        <f t="shared" si="1330"/>
        <v>1.2</v>
      </c>
      <c r="FL442" s="23">
        <f t="shared" si="1330"/>
        <v>1.4</v>
      </c>
      <c r="FM442" s="23">
        <f t="shared" si="1478"/>
        <v>0</v>
      </c>
      <c r="FN442" s="23"/>
      <c r="FX442" s="4">
        <f t="shared" si="1386"/>
        <v>1</v>
      </c>
      <c r="FY442" s="4">
        <f t="shared" si="1429"/>
        <v>0.5</v>
      </c>
      <c r="FZ442" s="4">
        <f t="shared" si="1387"/>
        <v>0</v>
      </c>
      <c r="GA442" s="4">
        <f t="shared" si="1388"/>
        <v>572.82016852870072</v>
      </c>
    </row>
    <row r="443" spans="1:183" ht="12" customHeight="1" x14ac:dyDescent="0.3">
      <c r="A443" s="25">
        <v>425</v>
      </c>
      <c r="B443" s="4" t="s">
        <v>605</v>
      </c>
      <c r="C443" s="4">
        <v>2016</v>
      </c>
      <c r="D443" s="4" t="s">
        <v>309</v>
      </c>
      <c r="E443" s="14" t="s">
        <v>595</v>
      </c>
      <c r="F443" s="7" t="s">
        <v>597</v>
      </c>
      <c r="G443" s="38">
        <f>135/0.145</f>
        <v>931.0344827586207</v>
      </c>
      <c r="H443" s="38">
        <f>19.38*25.4</f>
        <v>492.25199999999995</v>
      </c>
      <c r="I443" s="4">
        <f t="shared" si="1565"/>
        <v>492.25199999999995</v>
      </c>
      <c r="J443" s="38">
        <f>6320/145</f>
        <v>43.586206896551722</v>
      </c>
      <c r="K443" s="38">
        <f t="shared" si="1490"/>
        <v>35.813999999999993</v>
      </c>
      <c r="L443" s="7">
        <f t="shared" si="1566"/>
        <v>13.744680851063832</v>
      </c>
      <c r="M443" s="7">
        <f t="shared" si="1567"/>
        <v>13.744680851063832</v>
      </c>
      <c r="N443" s="38">
        <f>22*25.4</f>
        <v>558.79999999999995</v>
      </c>
      <c r="O443" s="38">
        <f>2.75*25.4</f>
        <v>69.849999999999994</v>
      </c>
      <c r="P443" s="39">
        <f>3.3*25.4</f>
        <v>83.82</v>
      </c>
      <c r="Q443" s="7">
        <f t="shared" si="1568"/>
        <v>347.47199999999998</v>
      </c>
      <c r="R443" s="38">
        <v>2</v>
      </c>
      <c r="S443" s="4">
        <f t="shared" si="1361"/>
        <v>508</v>
      </c>
      <c r="T443" s="7">
        <f t="shared" si="1569"/>
        <v>2.4503546099290783</v>
      </c>
      <c r="U443" s="7">
        <f t="shared" si="1414"/>
        <v>2.4503546099290783</v>
      </c>
      <c r="V443" s="38">
        <v>5.5</v>
      </c>
      <c r="W443" s="4">
        <f t="shared" si="1570"/>
        <v>5.5</v>
      </c>
      <c r="X443" s="4">
        <f t="shared" si="1571"/>
        <v>6.5</v>
      </c>
      <c r="Y443" s="7">
        <f t="shared" si="1572"/>
        <v>91.308142429905971</v>
      </c>
      <c r="AB443" s="38">
        <f t="shared" si="1332"/>
        <v>781.37931034482767</v>
      </c>
      <c r="AC443" s="4">
        <v>113.3</v>
      </c>
      <c r="AD443" s="4">
        <f t="shared" si="1452"/>
        <v>1.2217011324137843</v>
      </c>
      <c r="AE443" s="38"/>
      <c r="AF443" s="38"/>
      <c r="AG443" s="39">
        <v>1</v>
      </c>
      <c r="AH443" s="39"/>
      <c r="AI443" s="39"/>
      <c r="AJ443" s="7"/>
      <c r="AK443" s="4">
        <f t="shared" si="1573"/>
        <v>492.25199999999995</v>
      </c>
      <c r="AL443" s="4">
        <f t="shared" si="1462"/>
        <v>0.37839697282421741</v>
      </c>
      <c r="AM443" s="4">
        <f t="shared" si="1463"/>
        <v>357.87407330106765</v>
      </c>
      <c r="AN443" s="4">
        <f t="shared" si="1464"/>
        <v>0.73565531475748192</v>
      </c>
      <c r="AO443" s="4">
        <v>1.25</v>
      </c>
      <c r="AP443" s="4">
        <f t="shared" si="1396"/>
        <v>2.5</v>
      </c>
      <c r="AQ443" s="38">
        <f t="shared" si="1543"/>
        <v>311.31660694188923</v>
      </c>
      <c r="AR443" s="38">
        <f t="shared" si="1465"/>
        <v>311.31660694188923</v>
      </c>
      <c r="AS443" s="38">
        <f t="shared" si="1466"/>
        <v>3.7155288579258352</v>
      </c>
      <c r="AT443" s="38">
        <f t="shared" si="1407"/>
        <v>311.31660694188946</v>
      </c>
      <c r="AU443" s="38">
        <f t="shared" si="1373"/>
        <v>0.99999999999999922</v>
      </c>
      <c r="AV443" s="38">
        <f t="shared" si="1530"/>
        <v>1.609114940007129</v>
      </c>
      <c r="AW443" s="4">
        <f t="shared" si="1511"/>
        <v>0</v>
      </c>
      <c r="AX443" s="4">
        <f t="shared" si="1574"/>
        <v>477.5904094947345</v>
      </c>
      <c r="AY443" s="4">
        <f t="shared" si="1544"/>
        <v>1</v>
      </c>
      <c r="AZ443" s="38">
        <f t="shared" si="1389"/>
        <v>500.94420330252137</v>
      </c>
      <c r="BA443" s="4">
        <f t="shared" si="1545"/>
        <v>0.3</v>
      </c>
      <c r="BB443" s="4">
        <f t="shared" si="1546"/>
        <v>74.862296688299637</v>
      </c>
      <c r="BC443" s="4">
        <f t="shared" si="1547"/>
        <v>575.80649999082107</v>
      </c>
      <c r="BE443" s="4">
        <f t="shared" si="1408"/>
        <v>1.2375886524822697</v>
      </c>
      <c r="BF443" s="4">
        <f t="shared" si="1415"/>
        <v>582.02072294007257</v>
      </c>
      <c r="BH443" s="4">
        <f t="shared" si="1416"/>
        <v>480.46675245125056</v>
      </c>
      <c r="BI443" s="4">
        <f t="shared" si="1350"/>
        <v>0</v>
      </c>
      <c r="BJ443" s="4">
        <f t="shared" si="1417"/>
        <v>0</v>
      </c>
      <c r="BR443" s="4">
        <f t="shared" si="1548"/>
        <v>69.849999999999994</v>
      </c>
      <c r="BV443" s="9"/>
      <c r="BX443" s="9"/>
      <c r="BY443" s="9"/>
      <c r="BZ443" s="9">
        <f t="shared" si="1549"/>
        <v>69.849999999999994</v>
      </c>
      <c r="CA443" s="9">
        <f t="shared" si="1550"/>
        <v>173.73599999999999</v>
      </c>
      <c r="CB443" s="9">
        <f t="shared" si="1374"/>
        <v>1.6010883658280048</v>
      </c>
      <c r="CC443" s="40">
        <f t="shared" si="1575"/>
        <v>0</v>
      </c>
      <c r="CD443" s="9">
        <f t="shared" si="1551"/>
        <v>0</v>
      </c>
      <c r="CE443" s="9">
        <f t="shared" si="1552"/>
        <v>0</v>
      </c>
      <c r="CF443" s="9">
        <f t="shared" si="1553"/>
        <v>0.89777220146327208</v>
      </c>
      <c r="CG443" s="9">
        <f t="shared" si="1554"/>
        <v>0.68</v>
      </c>
      <c r="CH443" s="9">
        <f t="shared" si="1375"/>
        <v>1.4106447240551518</v>
      </c>
      <c r="CI443" s="9">
        <f t="shared" si="1376"/>
        <v>2.2585668560013601</v>
      </c>
      <c r="CJ443" s="40">
        <v>1</v>
      </c>
      <c r="CK443" s="9">
        <f t="shared" si="1377"/>
        <v>259.68713382619899</v>
      </c>
      <c r="CM443" s="4">
        <f t="shared" si="1555"/>
        <v>1.6360866860192729</v>
      </c>
      <c r="CN443" s="4">
        <f t="shared" si="1556"/>
        <v>1.3570171756610661</v>
      </c>
      <c r="CO443" s="4">
        <f t="shared" si="1524"/>
        <v>1.3425283319770762</v>
      </c>
      <c r="CP443" s="4">
        <f t="shared" si="1557"/>
        <v>3.0089257747662694</v>
      </c>
      <c r="CQ443" s="4">
        <f t="shared" si="1476"/>
        <v>1.2217011324137843</v>
      </c>
      <c r="CR443" s="4">
        <f t="shared" si="1477"/>
        <v>1.3026075869753657</v>
      </c>
      <c r="CS443" s="4">
        <f t="shared" si="1525"/>
        <v>1.3173670073694528</v>
      </c>
      <c r="CT443" s="4">
        <f t="shared" si="1576"/>
        <v>0</v>
      </c>
      <c r="CU443" s="4">
        <f t="shared" si="1579"/>
        <v>1.6360866860192729</v>
      </c>
      <c r="CV443" s="4">
        <f t="shared" si="1579"/>
        <v>1.3570171756610661</v>
      </c>
      <c r="CW443" s="4">
        <f t="shared" si="1580"/>
        <v>3.0089257747662694</v>
      </c>
      <c r="CX443" s="4">
        <f t="shared" si="1581"/>
        <v>1.3173670073694528</v>
      </c>
      <c r="CY443" s="4">
        <f t="shared" si="1582"/>
        <v>1.2217011324137843</v>
      </c>
      <c r="CZ443" s="4">
        <f t="shared" si="1582"/>
        <v>1.3026075869753657</v>
      </c>
      <c r="DI443" s="4">
        <f t="shared" si="1562"/>
        <v>492.25199999999995</v>
      </c>
      <c r="DL443" s="4">
        <f t="shared" si="1453"/>
        <v>2.6912597390312449E-5</v>
      </c>
      <c r="DM443" s="4">
        <f t="shared" si="1313"/>
        <v>7.0514095095305276</v>
      </c>
      <c r="DN443" s="4">
        <f t="shared" si="1454"/>
        <v>0.46138865032032206</v>
      </c>
      <c r="DO443" s="4">
        <f t="shared" si="1455"/>
        <v>5.1749087932933691</v>
      </c>
      <c r="DP443" s="4">
        <f t="shared" si="1456"/>
        <v>6.1849067031831817</v>
      </c>
      <c r="DQ443" s="4">
        <f t="shared" si="1457"/>
        <v>6.0778212680975621</v>
      </c>
      <c r="DR443" s="38">
        <f t="shared" si="1471"/>
        <v>639.58302862584094</v>
      </c>
      <c r="DS443" s="4">
        <f t="shared" si="1382"/>
        <v>1.0001194901621364</v>
      </c>
      <c r="DT443" s="4">
        <f t="shared" si="1458"/>
        <v>2.5495097567963922</v>
      </c>
      <c r="DU443" s="4">
        <f t="shared" si="1390"/>
        <v>311.31660694188946</v>
      </c>
      <c r="DY443" s="4">
        <f t="shared" si="1331"/>
        <v>0.85</v>
      </c>
      <c r="DZ443" s="4">
        <f t="shared" si="1383"/>
        <v>0.90496453900709217</v>
      </c>
      <c r="EA443" s="4">
        <f t="shared" si="1472"/>
        <v>1</v>
      </c>
      <c r="EB443" s="4">
        <f t="shared" si="1384"/>
        <v>0.90496453900709217</v>
      </c>
      <c r="ED443" s="4">
        <f t="shared" si="1473"/>
        <v>599.85779152352256</v>
      </c>
      <c r="EE443" s="25">
        <f t="shared" si="1474"/>
        <v>309.09967174756156</v>
      </c>
      <c r="EG443" s="4">
        <f t="shared" si="1391"/>
        <v>0.76921985815602834</v>
      </c>
      <c r="EH443" s="4">
        <f t="shared" si="1475"/>
        <v>7.0514095095305276</v>
      </c>
      <c r="EK443" s="4">
        <f t="shared" si="1459"/>
        <v>91.308142429905971</v>
      </c>
      <c r="EL443" s="4">
        <f t="shared" si="1460"/>
        <v>2.5495097567963922</v>
      </c>
      <c r="EM443" s="4">
        <f t="shared" si="1461"/>
        <v>0.16656230050522144</v>
      </c>
      <c r="EP443" s="4">
        <f t="shared" si="1577"/>
        <v>0.16656230050522144</v>
      </c>
      <c r="EQ443" s="4">
        <f t="shared" si="1535"/>
        <v>0.46061867865409239</v>
      </c>
      <c r="ER443" s="4">
        <f t="shared" si="1314"/>
        <v>5.1714526790142257</v>
      </c>
      <c r="ES443" s="4">
        <f t="shared" si="1563"/>
        <v>6.1834624557175362</v>
      </c>
      <c r="ET443" s="4">
        <f t="shared" si="1315"/>
        <v>277.88085757009401</v>
      </c>
      <c r="EU443" s="4">
        <f t="shared" si="1316"/>
        <v>123.06299999999999</v>
      </c>
      <c r="EV443" s="4">
        <f t="shared" si="1385"/>
        <v>2.6912597390312449E-5</v>
      </c>
      <c r="EW443" s="4">
        <f t="shared" si="1564"/>
        <v>6.0780871534096637</v>
      </c>
      <c r="EX443" s="4">
        <f t="shared" si="1422"/>
        <v>639.50661387686148</v>
      </c>
      <c r="FG443" s="23">
        <f t="shared" si="1329"/>
        <v>1.8</v>
      </c>
      <c r="FH443" s="23">
        <f t="shared" si="1329"/>
        <v>1.4</v>
      </c>
      <c r="FI443" s="23">
        <f t="shared" si="1526"/>
        <v>1.4</v>
      </c>
      <c r="FJ443" s="23">
        <f t="shared" si="1330"/>
        <v>2.2000000000000002</v>
      </c>
      <c r="FK443" s="23">
        <f t="shared" si="1330"/>
        <v>1.4</v>
      </c>
      <c r="FL443" s="23">
        <f t="shared" si="1330"/>
        <v>1.4</v>
      </c>
      <c r="FM443" s="23">
        <f t="shared" si="1478"/>
        <v>0</v>
      </c>
      <c r="FN443" s="23"/>
      <c r="FX443" s="4">
        <f t="shared" si="1386"/>
        <v>1</v>
      </c>
      <c r="FY443" s="4">
        <f t="shared" si="1429"/>
        <v>0.5</v>
      </c>
      <c r="FZ443" s="4">
        <f t="shared" si="1387"/>
        <v>0</v>
      </c>
      <c r="GA443" s="4">
        <f t="shared" si="1388"/>
        <v>593.13714854989644</v>
      </c>
    </row>
    <row r="444" spans="1:183" ht="12" customHeight="1" x14ac:dyDescent="0.3">
      <c r="A444" s="25">
        <v>426</v>
      </c>
      <c r="B444" s="4" t="s">
        <v>605</v>
      </c>
      <c r="C444" s="4">
        <v>2016</v>
      </c>
      <c r="D444" s="4" t="s">
        <v>309</v>
      </c>
      <c r="E444" s="14" t="s">
        <v>680</v>
      </c>
      <c r="F444" s="48" t="s">
        <v>598</v>
      </c>
      <c r="G444" s="38">
        <f t="shared" ref="G444" si="1583">115.9/0.145</f>
        <v>799.31034482758628</v>
      </c>
      <c r="H444" s="38">
        <f>19.63*25.4</f>
        <v>498.60199999999992</v>
      </c>
      <c r="I444" s="4">
        <f t="shared" si="1565"/>
        <v>498.60199999999992</v>
      </c>
      <c r="J444" s="38">
        <f>5430/145</f>
        <v>37.448275862068968</v>
      </c>
      <c r="K444" s="38">
        <f t="shared" si="1490"/>
        <v>35.813999999999993</v>
      </c>
      <c r="L444" s="7">
        <f t="shared" si="1566"/>
        <v>13.921985815602838</v>
      </c>
      <c r="M444" s="7">
        <f t="shared" si="1567"/>
        <v>13.921985815602838</v>
      </c>
      <c r="N444" s="38">
        <f>21.7*25.4</f>
        <v>551.17999999999995</v>
      </c>
      <c r="O444" s="38">
        <f>2.65*25.4</f>
        <v>67.309999999999988</v>
      </c>
      <c r="P444" s="39">
        <f>3.8*25.4</f>
        <v>96.52</v>
      </c>
      <c r="Q444" s="7">
        <f t="shared" si="1568"/>
        <v>344.93200000000002</v>
      </c>
      <c r="R444" s="38">
        <v>2</v>
      </c>
      <c r="S444" s="4">
        <f t="shared" si="1361"/>
        <v>508</v>
      </c>
      <c r="T444" s="7">
        <f t="shared" si="1569"/>
        <v>2.3794326241134751</v>
      </c>
      <c r="U444" s="7">
        <f t="shared" si="1414"/>
        <v>2.3794326241134751</v>
      </c>
      <c r="V444" s="38">
        <v>4.5</v>
      </c>
      <c r="W444" s="4">
        <f t="shared" si="1570"/>
        <v>4.5</v>
      </c>
      <c r="X444" s="4">
        <f t="shared" si="1571"/>
        <v>5.5</v>
      </c>
      <c r="Y444" s="7">
        <f t="shared" si="1572"/>
        <v>83.991275011158137</v>
      </c>
      <c r="AB444" s="38">
        <f t="shared" si="1332"/>
        <v>802.06896551724139</v>
      </c>
      <c r="AC444" s="4">
        <v>116.3</v>
      </c>
      <c r="AD444" s="4">
        <f t="shared" si="1452"/>
        <v>1.3325481105008794</v>
      </c>
      <c r="AE444" s="38">
        <f t="shared" ref="AE444:AE445" si="1584">0.5*25.4</f>
        <v>12.7</v>
      </c>
      <c r="AF444" s="38">
        <v>12</v>
      </c>
      <c r="AG444" s="39">
        <f t="shared" ref="AG444:AG445" si="1585">4*25.4</f>
        <v>101.6</v>
      </c>
      <c r="AH444" s="39">
        <v>2</v>
      </c>
      <c r="AI444" s="39">
        <f t="shared" ref="AI444:AI445" si="1586">AH444-1</f>
        <v>1</v>
      </c>
      <c r="AJ444" s="7"/>
      <c r="AK444" s="4">
        <f t="shared" si="1573"/>
        <v>498.60199999999992</v>
      </c>
      <c r="AL444" s="4">
        <f t="shared" si="1462"/>
        <v>0.36848361351672609</v>
      </c>
      <c r="AM444" s="4">
        <f t="shared" si="1463"/>
        <v>338.15935186284662</v>
      </c>
      <c r="AN444" s="4">
        <f t="shared" si="1464"/>
        <v>0.73418237391747321</v>
      </c>
      <c r="AO444" s="4">
        <v>1.25</v>
      </c>
      <c r="AP444" s="4">
        <f t="shared" si="1396"/>
        <v>2.5</v>
      </c>
      <c r="AQ444" s="38">
        <f t="shared" si="1543"/>
        <v>285.88644055513333</v>
      </c>
      <c r="AR444" s="38">
        <f t="shared" si="1465"/>
        <v>285.88644055513333</v>
      </c>
      <c r="AS444" s="38">
        <f t="shared" si="1466"/>
        <v>3.3579622250305636</v>
      </c>
      <c r="AT444" s="38">
        <f t="shared" si="1407"/>
        <v>285.88644055513362</v>
      </c>
      <c r="AU444" s="38">
        <f t="shared" si="1373"/>
        <v>0.999999999999999</v>
      </c>
      <c r="AV444" s="38">
        <f t="shared" si="1530"/>
        <v>1.3223546120307097</v>
      </c>
      <c r="AW444" s="4">
        <f t="shared" si="1511"/>
        <v>0</v>
      </c>
      <c r="AX444" s="4">
        <f t="shared" si="1574"/>
        <v>448.39782740666135</v>
      </c>
      <c r="AY444" s="4">
        <f t="shared" si="1544"/>
        <v>1</v>
      </c>
      <c r="AZ444" s="38">
        <f t="shared" si="1389"/>
        <v>378.04325318512429</v>
      </c>
      <c r="BA444" s="4">
        <f t="shared" si="1545"/>
        <v>0.37</v>
      </c>
      <c r="BB444" s="4">
        <f t="shared" si="1546"/>
        <v>86.68650998339281</v>
      </c>
      <c r="BC444" s="4">
        <f t="shared" si="1547"/>
        <v>464.72976316851708</v>
      </c>
      <c r="BE444" s="4">
        <f t="shared" si="1408"/>
        <v>1.5</v>
      </c>
      <c r="BF444" s="4">
        <f t="shared" si="1415"/>
        <v>658.7576262992776</v>
      </c>
      <c r="BH444" s="4">
        <f t="shared" si="1416"/>
        <v>362.58971148184219</v>
      </c>
      <c r="BI444" s="4">
        <f t="shared" si="1350"/>
        <v>0</v>
      </c>
      <c r="BJ444" s="4">
        <f t="shared" si="1417"/>
        <v>0</v>
      </c>
      <c r="BR444" s="4">
        <f t="shared" si="1548"/>
        <v>67.309999999999988</v>
      </c>
      <c r="BV444" s="9"/>
      <c r="BX444" s="9"/>
      <c r="BY444" s="9"/>
      <c r="BZ444" s="9">
        <f t="shared" si="1549"/>
        <v>67.309999999999988</v>
      </c>
      <c r="CA444" s="9">
        <f t="shared" si="1550"/>
        <v>172.46600000000001</v>
      </c>
      <c r="CB444" s="9">
        <f t="shared" si="1374"/>
        <v>1.5787267425904519</v>
      </c>
      <c r="CC444" s="40">
        <f t="shared" si="1575"/>
        <v>20</v>
      </c>
      <c r="CD444" s="9">
        <f t="shared" si="1551"/>
        <v>0.05</v>
      </c>
      <c r="CE444" s="9">
        <f t="shared" si="1552"/>
        <v>0.8</v>
      </c>
      <c r="CF444" s="9">
        <f t="shared" si="1553"/>
        <v>0.89777220146327208</v>
      </c>
      <c r="CG444" s="9">
        <f t="shared" si="1554"/>
        <v>0.68048275862068963</v>
      </c>
      <c r="CH444" s="9">
        <f t="shared" si="1375"/>
        <v>1.3084804487373733</v>
      </c>
      <c r="CI444" s="9">
        <f t="shared" si="1376"/>
        <v>3.1125174355683445</v>
      </c>
      <c r="CJ444" s="40">
        <v>1</v>
      </c>
      <c r="CK444" s="9">
        <f t="shared" si="1377"/>
        <v>360.08074048929672</v>
      </c>
      <c r="CM444" s="4">
        <f t="shared" si="1555"/>
        <v>1.7887440939579493</v>
      </c>
      <c r="CN444" s="4">
        <f t="shared" si="1556"/>
        <v>1.725882500076503</v>
      </c>
      <c r="CO444" s="4">
        <f t="shared" si="1524"/>
        <v>1.2175479015295021</v>
      </c>
      <c r="CP444" s="4">
        <f t="shared" si="1557"/>
        <v>2.2274697736606179</v>
      </c>
      <c r="CQ444" s="4">
        <f t="shared" si="1476"/>
        <v>1.3325481105008794</v>
      </c>
      <c r="CR444" s="4">
        <f t="shared" si="1477"/>
        <v>1.4455193526381414</v>
      </c>
      <c r="CS444" s="4">
        <f t="shared" si="1525"/>
        <v>1.1997735337343924</v>
      </c>
      <c r="CT444" s="4">
        <f t="shared" si="1576"/>
        <v>12</v>
      </c>
      <c r="DA444" s="4">
        <f t="shared" ref="DA444:DB445" si="1587">CM444</f>
        <v>1.7887440939579493</v>
      </c>
      <c r="DB444" s="4">
        <f t="shared" si="1587"/>
        <v>1.725882500076503</v>
      </c>
      <c r="DC444" s="4">
        <f t="shared" ref="DC444:DC445" si="1588">CP444</f>
        <v>2.2274697736606179</v>
      </c>
      <c r="DD444" s="4">
        <f t="shared" ref="DD444:DD445" si="1589">CS444</f>
        <v>1.1997735337343924</v>
      </c>
      <c r="DE444" s="4">
        <f t="shared" ref="DE444:DF445" si="1590">CQ444</f>
        <v>1.3325481105008794</v>
      </c>
      <c r="DF444" s="4">
        <f t="shared" si="1590"/>
        <v>1.4455193526381414</v>
      </c>
      <c r="DI444" s="4">
        <f t="shared" si="1562"/>
        <v>498.60199999999992</v>
      </c>
      <c r="DL444" s="4">
        <f t="shared" si="1453"/>
        <v>2.6176184295174446E-5</v>
      </c>
      <c r="DM444" s="4">
        <f t="shared" si="1313"/>
        <v>6.4881670962699065</v>
      </c>
      <c r="DN444" s="4">
        <f t="shared" si="1454"/>
        <v>0.55443452602210153</v>
      </c>
      <c r="DO444" s="4">
        <f t="shared" si="1455"/>
        <v>5.1246254963864439</v>
      </c>
      <c r="DP444" s="4">
        <f t="shared" si="1456"/>
        <v>5.8463394128645252</v>
      </c>
      <c r="DQ444" s="4">
        <f t="shared" si="1457"/>
        <v>5.6466132783961722</v>
      </c>
      <c r="DR444" s="38">
        <f t="shared" si="1471"/>
        <v>601.90619700459365</v>
      </c>
      <c r="DS444" s="4">
        <f t="shared" si="1382"/>
        <v>1.0001284609546075</v>
      </c>
      <c r="DT444" s="4">
        <f t="shared" si="1458"/>
        <v>2.3452078799117149</v>
      </c>
      <c r="DU444" s="4">
        <f t="shared" si="1390"/>
        <v>285.88644055513362</v>
      </c>
      <c r="DY444" s="4">
        <f t="shared" si="1331"/>
        <v>0.85</v>
      </c>
      <c r="DZ444" s="4">
        <f t="shared" si="1383"/>
        <v>0.91205673758865247</v>
      </c>
      <c r="EA444" s="4">
        <f t="shared" si="1472"/>
        <v>0.9995510789195714</v>
      </c>
      <c r="EB444" s="4">
        <f t="shared" si="1384"/>
        <v>0.91164729609260198</v>
      </c>
      <c r="ED444" s="4">
        <f t="shared" si="1473"/>
        <v>554.86560180147535</v>
      </c>
      <c r="EE444" s="25">
        <f t="shared" si="1474"/>
        <v>283.88109095088328</v>
      </c>
      <c r="EG444" s="4">
        <f t="shared" si="1391"/>
        <v>0.77490020167871165</v>
      </c>
      <c r="EH444" s="4">
        <f t="shared" si="1475"/>
        <v>6.4881670962699065</v>
      </c>
      <c r="EK444" s="4">
        <f t="shared" si="1459"/>
        <v>83.991275011158137</v>
      </c>
      <c r="EL444" s="4">
        <f t="shared" si="1460"/>
        <v>2.3452078799117149</v>
      </c>
      <c r="EM444" s="4">
        <f t="shared" si="1461"/>
        <v>0.1855245753162881</v>
      </c>
      <c r="EP444" s="4">
        <f t="shared" si="1577"/>
        <v>0.1855245753162881</v>
      </c>
      <c r="EQ444" s="4">
        <f t="shared" si="1535"/>
        <v>0.55350927813071948</v>
      </c>
      <c r="ER444" s="4">
        <f t="shared" si="1314"/>
        <v>5.121202964306983</v>
      </c>
      <c r="ES444" s="4">
        <f t="shared" si="1563"/>
        <v>5.8448402834818527</v>
      </c>
      <c r="ET444" s="4">
        <f t="shared" si="1315"/>
        <v>289.96022498884179</v>
      </c>
      <c r="EU444" s="4">
        <f t="shared" si="1316"/>
        <v>124.65049999999997</v>
      </c>
      <c r="EV444" s="4">
        <f t="shared" si="1385"/>
        <v>2.6176184295174439E-5</v>
      </c>
      <c r="EW444" s="4">
        <f t="shared" si="1564"/>
        <v>5.6468534867652087</v>
      </c>
      <c r="EX444" s="4">
        <f t="shared" si="1422"/>
        <v>601.82888549145309</v>
      </c>
      <c r="FA444" s="4">
        <f>6.75*25.4</f>
        <v>171.45</v>
      </c>
      <c r="FG444" s="23">
        <f t="shared" si="1329"/>
        <v>1.8</v>
      </c>
      <c r="FH444" s="23">
        <f t="shared" si="1329"/>
        <v>1.8</v>
      </c>
      <c r="FI444" s="23">
        <f t="shared" si="1526"/>
        <v>1.2</v>
      </c>
      <c r="FJ444" s="23">
        <f t="shared" si="1330"/>
        <v>2.2000000000000002</v>
      </c>
      <c r="FK444" s="23">
        <f t="shared" si="1330"/>
        <v>1.4</v>
      </c>
      <c r="FL444" s="23">
        <f t="shared" si="1330"/>
        <v>1.6</v>
      </c>
      <c r="FM444" s="23">
        <f t="shared" si="1478"/>
        <v>0</v>
      </c>
      <c r="FN444" s="23"/>
      <c r="FX444" s="4">
        <f t="shared" si="1386"/>
        <v>1</v>
      </c>
      <c r="FY444" s="4">
        <f t="shared" si="1429"/>
        <v>0.43261334185606104</v>
      </c>
      <c r="FZ444" s="4">
        <f t="shared" si="1387"/>
        <v>0.25149640360142855</v>
      </c>
      <c r="GA444" s="4">
        <f t="shared" si="1388"/>
        <v>668.51696838213854</v>
      </c>
    </row>
    <row r="445" spans="1:183" ht="12" customHeight="1" x14ac:dyDescent="0.3">
      <c r="A445" s="25">
        <v>427</v>
      </c>
      <c r="B445" s="4" t="s">
        <v>605</v>
      </c>
      <c r="C445" s="4">
        <v>2016</v>
      </c>
      <c r="D445" s="4" t="s">
        <v>309</v>
      </c>
      <c r="E445" s="14" t="s">
        <v>680</v>
      </c>
      <c r="F445" s="7" t="s">
        <v>599</v>
      </c>
      <c r="G445" s="38">
        <f t="shared" ref="G445" si="1591">135/0.145</f>
        <v>931.0344827586207</v>
      </c>
      <c r="H445" s="38">
        <f>19.13*25.4</f>
        <v>485.90199999999993</v>
      </c>
      <c r="I445" s="4">
        <f t="shared" si="1565"/>
        <v>485.90199999999993</v>
      </c>
      <c r="J445" s="38">
        <f>6320/145</f>
        <v>43.586206896551722</v>
      </c>
      <c r="K445" s="38">
        <f t="shared" si="1490"/>
        <v>35.813999999999993</v>
      </c>
      <c r="L445" s="7">
        <f t="shared" si="1566"/>
        <v>13.567375886524824</v>
      </c>
      <c r="M445" s="7">
        <f t="shared" si="1567"/>
        <v>13.567375886524824</v>
      </c>
      <c r="N445" s="38">
        <f>22.2*25.4</f>
        <v>563.88</v>
      </c>
      <c r="O445" s="38">
        <f>2.8*25.4</f>
        <v>71.11999999999999</v>
      </c>
      <c r="P445" s="39">
        <f>3.4*25.4</f>
        <v>86.36</v>
      </c>
      <c r="Q445" s="7">
        <f t="shared" si="1568"/>
        <v>350.01200000000006</v>
      </c>
      <c r="R445" s="38">
        <v>2</v>
      </c>
      <c r="S445" s="4">
        <f t="shared" si="1361"/>
        <v>508</v>
      </c>
      <c r="T445" s="7">
        <f t="shared" si="1569"/>
        <v>2.4858156028368796</v>
      </c>
      <c r="U445" s="7">
        <f t="shared" si="1414"/>
        <v>2.4858156028368796</v>
      </c>
      <c r="V445" s="38">
        <v>5.5</v>
      </c>
      <c r="W445" s="4">
        <f t="shared" si="1570"/>
        <v>5.5</v>
      </c>
      <c r="X445" s="4">
        <f t="shared" si="1571"/>
        <v>6.5</v>
      </c>
      <c r="Y445" s="7">
        <f t="shared" si="1572"/>
        <v>91.308142429905971</v>
      </c>
      <c r="AB445" s="38">
        <f t="shared" si="1332"/>
        <v>837.93103448275872</v>
      </c>
      <c r="AC445" s="4">
        <v>121.5</v>
      </c>
      <c r="AD445" s="4">
        <f t="shared" si="1452"/>
        <v>1.3127262358757383</v>
      </c>
      <c r="AE445" s="38">
        <f t="shared" si="1584"/>
        <v>12.7</v>
      </c>
      <c r="AF445" s="38">
        <v>12</v>
      </c>
      <c r="AG445" s="39">
        <f t="shared" si="1585"/>
        <v>101.6</v>
      </c>
      <c r="AH445" s="39">
        <v>2</v>
      </c>
      <c r="AI445" s="39">
        <f t="shared" si="1586"/>
        <v>1</v>
      </c>
      <c r="AJ445" s="7"/>
      <c r="AK445" s="4">
        <f t="shared" si="1573"/>
        <v>485.90199999999993</v>
      </c>
      <c r="AL445" s="4">
        <f t="shared" si="1462"/>
        <v>0.38682697334030319</v>
      </c>
      <c r="AM445" s="4">
        <f t="shared" si="1463"/>
        <v>350.9716459559333</v>
      </c>
      <c r="AN445" s="4">
        <f t="shared" si="1464"/>
        <v>0.73664401463669626</v>
      </c>
      <c r="AO445" s="4">
        <v>1.25</v>
      </c>
      <c r="AP445" s="4">
        <f t="shared" si="1396"/>
        <v>2.5</v>
      </c>
      <c r="AQ445" s="38">
        <f t="shared" si="1543"/>
        <v>312.53342280198751</v>
      </c>
      <c r="AR445" s="38">
        <f t="shared" si="1465"/>
        <v>312.53342280198751</v>
      </c>
      <c r="AS445" s="38">
        <f t="shared" si="1466"/>
        <v>3.7155288579258352</v>
      </c>
      <c r="AT445" s="38">
        <f t="shared" si="1407"/>
        <v>312.53342280198746</v>
      </c>
      <c r="AU445" s="38">
        <f t="shared" si="1373"/>
        <v>1.0000000000000002</v>
      </c>
      <c r="AV445" s="38">
        <f t="shared" si="1530"/>
        <v>1.626046113927045</v>
      </c>
      <c r="AW445" s="4">
        <f t="shared" si="1511"/>
        <v>0</v>
      </c>
      <c r="AX445" s="4">
        <f t="shared" si="1574"/>
        <v>471.42954249918836</v>
      </c>
      <c r="AY445" s="4">
        <f t="shared" si="1544"/>
        <v>1</v>
      </c>
      <c r="AZ445" s="38">
        <f t="shared" si="1389"/>
        <v>508.19375761948982</v>
      </c>
      <c r="BA445" s="4">
        <f t="shared" si="1545"/>
        <v>0.3</v>
      </c>
      <c r="BB445" s="4">
        <f t="shared" si="1546"/>
        <v>73.896580786747791</v>
      </c>
      <c r="BC445" s="4">
        <f t="shared" si="1547"/>
        <v>582.09033840623761</v>
      </c>
      <c r="BE445" s="4">
        <f t="shared" si="1408"/>
        <v>1.5</v>
      </c>
      <c r="BF445" s="4">
        <f t="shared" si="1415"/>
        <v>700.16158709603053</v>
      </c>
      <c r="BH445" s="4">
        <f t="shared" si="1416"/>
        <v>487.41996160394592</v>
      </c>
      <c r="BI445" s="4">
        <f t="shared" si="1350"/>
        <v>0</v>
      </c>
      <c r="BJ445" s="4">
        <f t="shared" si="1417"/>
        <v>0</v>
      </c>
      <c r="BR445" s="4">
        <f t="shared" si="1548"/>
        <v>71.11999999999999</v>
      </c>
      <c r="BV445" s="9"/>
      <c r="BX445" s="9"/>
      <c r="BY445" s="9"/>
      <c r="BZ445" s="9">
        <f t="shared" si="1549"/>
        <v>71.11999999999999</v>
      </c>
      <c r="CA445" s="9">
        <f t="shared" si="1550"/>
        <v>175.00600000000003</v>
      </c>
      <c r="CB445" s="9">
        <f t="shared" si="1374"/>
        <v>1.6129787205235528</v>
      </c>
      <c r="CC445" s="40">
        <f t="shared" si="1575"/>
        <v>20</v>
      </c>
      <c r="CD445" s="9">
        <f t="shared" si="1551"/>
        <v>0.05</v>
      </c>
      <c r="CE445" s="9">
        <f t="shared" si="1552"/>
        <v>0.8</v>
      </c>
      <c r="CF445" s="9">
        <f t="shared" si="1553"/>
        <v>0.89777220146327208</v>
      </c>
      <c r="CG445" s="9">
        <f t="shared" si="1554"/>
        <v>0.68</v>
      </c>
      <c r="CH445" s="9">
        <f t="shared" si="1375"/>
        <v>1.4106447240551518</v>
      </c>
      <c r="CI445" s="9">
        <f t="shared" si="1376"/>
        <v>3.4038557013639004</v>
      </c>
      <c r="CJ445" s="40">
        <v>1</v>
      </c>
      <c r="CK445" s="9">
        <f t="shared" si="1377"/>
        <v>388.9569011374125</v>
      </c>
      <c r="CM445" s="4">
        <f t="shared" si="1555"/>
        <v>1.7774258058598467</v>
      </c>
      <c r="CN445" s="4">
        <f t="shared" si="1556"/>
        <v>1.4395206022092937</v>
      </c>
      <c r="CO445" s="4">
        <f t="shared" si="1524"/>
        <v>1.1967680745785221</v>
      </c>
      <c r="CP445" s="4">
        <f t="shared" si="1557"/>
        <v>2.1543030398289051</v>
      </c>
      <c r="CQ445" s="4">
        <f t="shared" si="1476"/>
        <v>1.3127262358757383</v>
      </c>
      <c r="CR445" s="4">
        <f t="shared" si="1477"/>
        <v>1.3999644400429421</v>
      </c>
      <c r="CS445" s="4">
        <f t="shared" si="1525"/>
        <v>1.265578045451847</v>
      </c>
      <c r="CT445" s="4">
        <f t="shared" si="1576"/>
        <v>12</v>
      </c>
      <c r="DA445" s="4">
        <f t="shared" si="1587"/>
        <v>1.7774258058598467</v>
      </c>
      <c r="DB445" s="4">
        <f t="shared" si="1587"/>
        <v>1.4395206022092937</v>
      </c>
      <c r="DC445" s="4">
        <f t="shared" si="1588"/>
        <v>2.1543030398289051</v>
      </c>
      <c r="DD445" s="4">
        <f t="shared" si="1589"/>
        <v>1.265578045451847</v>
      </c>
      <c r="DE445" s="4">
        <f t="shared" si="1590"/>
        <v>1.3127262358757383</v>
      </c>
      <c r="DF445" s="4">
        <f t="shared" si="1590"/>
        <v>1.3999644400429421</v>
      </c>
      <c r="DI445" s="4">
        <f t="shared" si="1562"/>
        <v>485.90199999999993</v>
      </c>
      <c r="DL445" s="4">
        <f t="shared" si="1453"/>
        <v>2.656542766133525E-5</v>
      </c>
      <c r="DM445" s="4">
        <f t="shared" si="1313"/>
        <v>7.0823285286528881</v>
      </c>
      <c r="DN445" s="4">
        <f t="shared" si="1454"/>
        <v>0.46319203958661892</v>
      </c>
      <c r="DO445" s="4">
        <f t="shared" si="1455"/>
        <v>5.2057163841338339</v>
      </c>
      <c r="DP445" s="4">
        <f t="shared" si="1456"/>
        <v>6.215420575543555</v>
      </c>
      <c r="DQ445" s="4">
        <f t="shared" si="1457"/>
        <v>6.1247184421615026</v>
      </c>
      <c r="DR445" s="38">
        <f t="shared" si="1471"/>
        <v>638.31361907973371</v>
      </c>
      <c r="DS445" s="4">
        <f t="shared" si="1382"/>
        <v>1.0001194724108122</v>
      </c>
      <c r="DT445" s="4">
        <f t="shared" si="1458"/>
        <v>2.5495097567963922</v>
      </c>
      <c r="DU445" s="4">
        <f t="shared" si="1390"/>
        <v>312.53342280198746</v>
      </c>
      <c r="DY445" s="4">
        <f t="shared" si="1331"/>
        <v>0.85</v>
      </c>
      <c r="DZ445" s="4">
        <f t="shared" si="1383"/>
        <v>0.90141843971631208</v>
      </c>
      <c r="EA445" s="4">
        <f t="shared" si="1472"/>
        <v>0.9995510789195714</v>
      </c>
      <c r="EB445" s="4">
        <f t="shared" si="1384"/>
        <v>0.90101377397643634</v>
      </c>
      <c r="ED445" s="4">
        <f t="shared" si="1473"/>
        <v>598.537370318532</v>
      </c>
      <c r="EE445" s="25">
        <f t="shared" si="1474"/>
        <v>310.27153041825591</v>
      </c>
      <c r="EG445" s="4">
        <f t="shared" si="1391"/>
        <v>0.76586170787997088</v>
      </c>
      <c r="EH445" s="4">
        <f t="shared" si="1475"/>
        <v>7.0823285286528881</v>
      </c>
      <c r="EK445" s="4">
        <f t="shared" si="1459"/>
        <v>91.308142429905971</v>
      </c>
      <c r="EL445" s="4">
        <f t="shared" si="1460"/>
        <v>2.5495097567963922</v>
      </c>
      <c r="EM445" s="4">
        <f t="shared" si="1461"/>
        <v>0.16721332793013166</v>
      </c>
      <c r="EP445" s="4">
        <f t="shared" si="1577"/>
        <v>0.16721332793013166</v>
      </c>
      <c r="EQ445" s="4">
        <f t="shared" si="1535"/>
        <v>0.4624190583998099</v>
      </c>
      <c r="ER445" s="4">
        <f t="shared" si="1314"/>
        <v>5.2022396946989016</v>
      </c>
      <c r="ES445" s="4">
        <f t="shared" si="1563"/>
        <v>6.2139662348721574</v>
      </c>
      <c r="ET445" s="4">
        <f t="shared" si="1315"/>
        <v>273.11835757009396</v>
      </c>
      <c r="EU445" s="4">
        <f t="shared" si="1316"/>
        <v>121.47550000000001</v>
      </c>
      <c r="EV445" s="4">
        <f t="shared" si="1385"/>
        <v>2.6565427661335253E-5</v>
      </c>
      <c r="EW445" s="4">
        <f t="shared" si="1564"/>
        <v>6.124981351833207</v>
      </c>
      <c r="EX445" s="4">
        <f t="shared" si="1422"/>
        <v>638.23736732278917</v>
      </c>
      <c r="FG445" s="23">
        <f t="shared" si="1329"/>
        <v>1.8</v>
      </c>
      <c r="FH445" s="23">
        <f t="shared" si="1329"/>
        <v>1.6</v>
      </c>
      <c r="FI445" s="23">
        <f t="shared" si="1526"/>
        <v>1.4</v>
      </c>
      <c r="FJ445" s="23">
        <f t="shared" si="1330"/>
        <v>2.2000000000000002</v>
      </c>
      <c r="FK445" s="23">
        <f t="shared" si="1330"/>
        <v>1.4</v>
      </c>
      <c r="FL445" s="23">
        <f t="shared" si="1330"/>
        <v>1.4</v>
      </c>
      <c r="FM445" s="23">
        <f t="shared" si="1478"/>
        <v>0</v>
      </c>
      <c r="FN445" s="23"/>
      <c r="FX445" s="4">
        <f t="shared" si="1386"/>
        <v>1</v>
      </c>
      <c r="FY445" s="4">
        <f t="shared" si="1429"/>
        <v>0.44214730608235164</v>
      </c>
      <c r="FZ445" s="4">
        <f t="shared" si="1387"/>
        <v>0.25149640360142855</v>
      </c>
      <c r="GA445" s="4">
        <f t="shared" si="1388"/>
        <v>662.09352911427425</v>
      </c>
    </row>
    <row r="446" spans="1:183" ht="12" customHeight="1" x14ac:dyDescent="0.3">
      <c r="A446" s="25">
        <v>428</v>
      </c>
      <c r="B446" s="4" t="s">
        <v>605</v>
      </c>
      <c r="C446" s="4">
        <v>2016</v>
      </c>
      <c r="D446" s="4" t="s">
        <v>309</v>
      </c>
      <c r="E446" s="14" t="s">
        <v>680</v>
      </c>
      <c r="F446" s="48" t="s">
        <v>600</v>
      </c>
      <c r="G446" s="38">
        <f t="shared" ref="G446" si="1592">115.9/0.145</f>
        <v>799.31034482758628</v>
      </c>
      <c r="H446" s="38">
        <f>19.5*25.4</f>
        <v>495.29999999999995</v>
      </c>
      <c r="I446" s="4">
        <f t="shared" si="1565"/>
        <v>495.29999999999995</v>
      </c>
      <c r="J446" s="38">
        <f>5430/145</f>
        <v>37.448275862068968</v>
      </c>
      <c r="K446" s="38">
        <f t="shared" si="1490"/>
        <v>35.813999999999993</v>
      </c>
      <c r="L446" s="7">
        <f t="shared" si="1566"/>
        <v>13.829787234042554</v>
      </c>
      <c r="M446" s="7">
        <f t="shared" si="1567"/>
        <v>13.829787234042554</v>
      </c>
      <c r="N446" s="38">
        <f>22*25.4</f>
        <v>558.79999999999995</v>
      </c>
      <c r="O446" s="38">
        <f>2.8*25.4</f>
        <v>71.11999999999999</v>
      </c>
      <c r="P446" s="39">
        <f>3.7*25.4</f>
        <v>93.98</v>
      </c>
      <c r="Q446" s="7">
        <f t="shared" si="1568"/>
        <v>154.55899999999997</v>
      </c>
      <c r="R446" s="38">
        <v>3</v>
      </c>
      <c r="S446" s="4">
        <f t="shared" si="1361"/>
        <v>508</v>
      </c>
      <c r="T446" s="7">
        <f t="shared" si="1569"/>
        <v>2.4858156028368796</v>
      </c>
      <c r="U446" s="7">
        <f t="shared" si="1414"/>
        <v>2.4858156028368796</v>
      </c>
      <c r="V446" s="38">
        <v>4.5</v>
      </c>
      <c r="W446" s="4">
        <f t="shared" si="1570"/>
        <v>4.5</v>
      </c>
      <c r="X446" s="4">
        <f t="shared" si="1571"/>
        <v>5.5</v>
      </c>
      <c r="Y446" s="7">
        <f t="shared" si="1572"/>
        <v>83.991275011158137</v>
      </c>
      <c r="AB446" s="38">
        <f t="shared" si="1332"/>
        <v>568.9655172413793</v>
      </c>
      <c r="AC446" s="4">
        <v>82.5</v>
      </c>
      <c r="AD446" s="4">
        <f t="shared" si="1452"/>
        <v>1.1515856076091984</v>
      </c>
      <c r="AE446" s="38"/>
      <c r="AF446" s="38"/>
      <c r="AG446" s="39">
        <v>1</v>
      </c>
      <c r="AH446" s="39"/>
      <c r="AI446" s="39"/>
      <c r="AJ446" s="7"/>
      <c r="AK446" s="4">
        <f t="shared" si="1573"/>
        <v>495.29999999999995</v>
      </c>
      <c r="AL446" s="4">
        <f t="shared" si="1462"/>
        <v>0.37606837606837606</v>
      </c>
      <c r="AM446" s="4">
        <f t="shared" si="1463"/>
        <v>223.2038138298075</v>
      </c>
      <c r="AN446" s="4">
        <f t="shared" si="1464"/>
        <v>0.73594871794871786</v>
      </c>
      <c r="AO446" s="4">
        <v>1.25</v>
      </c>
      <c r="AP446" s="4">
        <f t="shared" si="1396"/>
        <v>2.5</v>
      </c>
      <c r="AQ446" s="38">
        <f t="shared" si="1543"/>
        <v>193.04830843188273</v>
      </c>
      <c r="AR446" s="38">
        <f t="shared" si="1465"/>
        <v>193.04830843188273</v>
      </c>
      <c r="AS446" s="38">
        <f t="shared" si="1466"/>
        <v>3.3579622250305636</v>
      </c>
      <c r="AT446" s="38">
        <f t="shared" si="1407"/>
        <v>193.0483084318827</v>
      </c>
      <c r="AU446" s="38">
        <f t="shared" si="1373"/>
        <v>1.0000000000000002</v>
      </c>
      <c r="AV446" s="38">
        <f t="shared" si="1530"/>
        <v>2.0458368128061357</v>
      </c>
      <c r="AW446" s="4">
        <f t="shared" si="1511"/>
        <v>0</v>
      </c>
      <c r="AX446" s="4">
        <f t="shared" si="1574"/>
        <v>445.42830537085564</v>
      </c>
      <c r="AY446" s="4">
        <f t="shared" si="1544"/>
        <v>1</v>
      </c>
      <c r="AZ446" s="38">
        <f t="shared" si="1389"/>
        <v>394.94533603989879</v>
      </c>
      <c r="BA446" s="4">
        <f t="shared" si="1545"/>
        <v>0.37</v>
      </c>
      <c r="BB446" s="4">
        <f t="shared" si="1546"/>
        <v>86.112427135820681</v>
      </c>
      <c r="BC446" s="4">
        <f t="shared" si="1547"/>
        <v>481.05776317571946</v>
      </c>
      <c r="BE446" s="4">
        <f t="shared" si="1408"/>
        <v>1.2464539007092199</v>
      </c>
      <c r="BF446" s="4">
        <f t="shared" si="1415"/>
        <v>545.29755972333407</v>
      </c>
      <c r="BH446" s="4">
        <f t="shared" si="1416"/>
        <v>378.80087592961462</v>
      </c>
      <c r="BI446" s="4">
        <f t="shared" si="1350"/>
        <v>0</v>
      </c>
      <c r="BJ446" s="4">
        <f t="shared" si="1417"/>
        <v>0</v>
      </c>
      <c r="BR446" s="4">
        <f t="shared" si="1548"/>
        <v>71.11999999999999</v>
      </c>
      <c r="BV446" s="9"/>
      <c r="BX446" s="9"/>
      <c r="BY446" s="9"/>
      <c r="BZ446" s="9">
        <f t="shared" si="1549"/>
        <v>71.11999999999999</v>
      </c>
      <c r="CA446" s="9">
        <f t="shared" si="1550"/>
        <v>77.279499999999985</v>
      </c>
      <c r="CB446" s="9">
        <f t="shared" si="1374"/>
        <v>1.4268566467933428</v>
      </c>
      <c r="CC446" s="40">
        <f t="shared" si="1575"/>
        <v>0</v>
      </c>
      <c r="CD446" s="9">
        <f t="shared" si="1551"/>
        <v>0</v>
      </c>
      <c r="CE446" s="9">
        <f t="shared" si="1552"/>
        <v>0</v>
      </c>
      <c r="CF446" s="9">
        <f t="shared" si="1553"/>
        <v>0.89777220146327208</v>
      </c>
      <c r="CG446" s="9">
        <f t="shared" si="1554"/>
        <v>0.68048275862068963</v>
      </c>
      <c r="CH446" s="9">
        <f t="shared" si="1375"/>
        <v>1.3084804487373733</v>
      </c>
      <c r="CI446" s="9">
        <f t="shared" si="1376"/>
        <v>1.8670140254800569</v>
      </c>
      <c r="CJ446" s="40">
        <v>1</v>
      </c>
      <c r="CK446" s="9">
        <f t="shared" si="1377"/>
        <v>215.30246847025336</v>
      </c>
      <c r="CM446" s="4">
        <f t="shared" si="1555"/>
        <v>1.2773447721685958</v>
      </c>
      <c r="CN446" s="4">
        <f t="shared" si="1556"/>
        <v>1.1827384584448524</v>
      </c>
      <c r="CO446" s="4">
        <f t="shared" si="1524"/>
        <v>1.0434037473596134</v>
      </c>
      <c r="CP446" s="4">
        <f t="shared" si="1557"/>
        <v>2.6426335066380755</v>
      </c>
      <c r="CQ446" s="4">
        <f t="shared" si="1476"/>
        <v>1.1515856076091984</v>
      </c>
      <c r="CR446" s="4">
        <f t="shared" si="1477"/>
        <v>1.2264020383181997</v>
      </c>
      <c r="CS446" s="4">
        <f t="shared" si="1525"/>
        <v>1.4332360429327682</v>
      </c>
      <c r="CT446" s="4">
        <f t="shared" si="1576"/>
        <v>0</v>
      </c>
      <c r="CU446" s="4">
        <f t="shared" ref="CU446:CV447" si="1593">CM446</f>
        <v>1.2773447721685958</v>
      </c>
      <c r="CV446" s="4">
        <f t="shared" si="1593"/>
        <v>1.1827384584448524</v>
      </c>
      <c r="CW446" s="4">
        <f t="shared" ref="CW446:CW447" si="1594">CP446</f>
        <v>2.6426335066380755</v>
      </c>
      <c r="CX446" s="4">
        <f t="shared" ref="CX446:CX447" si="1595">CS446</f>
        <v>1.4332360429327682</v>
      </c>
      <c r="CY446" s="4">
        <f t="shared" ref="CY446:CZ447" si="1596">CQ446</f>
        <v>1.1515856076091984</v>
      </c>
      <c r="CZ446" s="4">
        <f t="shared" si="1596"/>
        <v>1.2264020383181997</v>
      </c>
      <c r="DI446" s="4">
        <f t="shared" si="1562"/>
        <v>495.29999999999995</v>
      </c>
      <c r="DL446" s="4">
        <f t="shared" si="1453"/>
        <v>2.6002832081299119E-5</v>
      </c>
      <c r="DM446" s="4">
        <f t="shared" si="1313"/>
        <v>6.5617916489182875</v>
      </c>
      <c r="DN446" s="4">
        <f t="shared" si="1454"/>
        <v>0.374388680963545</v>
      </c>
      <c r="DO446" s="4">
        <f t="shared" si="1455"/>
        <v>4.4294675101243914</v>
      </c>
      <c r="DP446" s="4">
        <f t="shared" si="1456"/>
        <v>5.5984659680939437</v>
      </c>
      <c r="DQ446" s="4">
        <f t="shared" si="1457"/>
        <v>5.7638264156492829</v>
      </c>
      <c r="DR446" s="38">
        <f t="shared" si="1471"/>
        <v>494.07140336062901</v>
      </c>
      <c r="DS446" s="4">
        <f t="shared" si="1382"/>
        <v>1.0001266095478294</v>
      </c>
      <c r="DT446" s="4">
        <f t="shared" si="1458"/>
        <v>2.3452078799117149</v>
      </c>
      <c r="DU446" s="4">
        <f t="shared" si="1390"/>
        <v>193.0483084318827</v>
      </c>
      <c r="DY446" s="4">
        <f t="shared" si="1331"/>
        <v>0.85</v>
      </c>
      <c r="DZ446" s="4">
        <f t="shared" si="1383"/>
        <v>0.90141843971631208</v>
      </c>
      <c r="EA446" s="4">
        <f t="shared" si="1472"/>
        <v>1</v>
      </c>
      <c r="EB446" s="4">
        <f t="shared" si="1384"/>
        <v>0.90141843971631208</v>
      </c>
      <c r="ED446" s="4">
        <f t="shared" si="1473"/>
        <v>463.93066829994672</v>
      </c>
      <c r="EE446" s="25">
        <f t="shared" si="1474"/>
        <v>191.6861211639752</v>
      </c>
      <c r="EG446" s="4">
        <f t="shared" si="1391"/>
        <v>0.76620567375886528</v>
      </c>
      <c r="EH446" s="4">
        <f t="shared" si="1475"/>
        <v>6.5617916489182875</v>
      </c>
      <c r="EK446" s="4">
        <f t="shared" si="1459"/>
        <v>83.991275011158137</v>
      </c>
      <c r="EL446" s="4">
        <f t="shared" si="1460"/>
        <v>2.3452078799117149</v>
      </c>
      <c r="EM446" s="4">
        <f t="shared" si="1461"/>
        <v>0.12527773394151523</v>
      </c>
      <c r="EP446" s="4">
        <f t="shared" si="1577"/>
        <v>0.12527773394151523</v>
      </c>
      <c r="EQ446" s="4">
        <f t="shared" si="1535"/>
        <v>0.37376389603158156</v>
      </c>
      <c r="ER446" s="4">
        <f t="shared" si="1314"/>
        <v>4.4265092462163222</v>
      </c>
      <c r="ES446" s="4">
        <f t="shared" si="1563"/>
        <v>5.5972982030890188</v>
      </c>
      <c r="ET446" s="4">
        <f t="shared" si="1315"/>
        <v>287.4837249888418</v>
      </c>
      <c r="EU446" s="4">
        <f t="shared" si="1316"/>
        <v>123.82500000000005</v>
      </c>
      <c r="EV446" s="4">
        <f t="shared" si="1385"/>
        <v>2.6002832081299129E-5</v>
      </c>
      <c r="EW446" s="4">
        <f t="shared" si="1564"/>
        <v>5.7640216431787659</v>
      </c>
      <c r="EX446" s="4">
        <f t="shared" si="1422"/>
        <v>494.00885712260504</v>
      </c>
      <c r="FA446" s="4">
        <f>6.75*25.4</f>
        <v>171.45</v>
      </c>
      <c r="FG446" s="23">
        <f t="shared" si="1329"/>
        <v>1.4</v>
      </c>
      <c r="FH446" s="23">
        <f t="shared" si="1329"/>
        <v>1.2</v>
      </c>
      <c r="FI446" s="23">
        <f t="shared" si="1526"/>
        <v>1.6</v>
      </c>
      <c r="FJ446" s="23">
        <f t="shared" si="1330"/>
        <v>2.2000000000000002</v>
      </c>
      <c r="FK446" s="23">
        <f t="shared" si="1330"/>
        <v>1.2</v>
      </c>
      <c r="FL446" s="23">
        <f t="shared" si="1330"/>
        <v>1.4</v>
      </c>
      <c r="FM446" s="23">
        <f t="shared" si="1478"/>
        <v>0</v>
      </c>
      <c r="FN446" s="23"/>
      <c r="FX446" s="4">
        <f t="shared" si="1386"/>
        <v>1</v>
      </c>
      <c r="FY446" s="4">
        <f t="shared" si="1429"/>
        <v>0.72369976359338062</v>
      </c>
      <c r="FZ446" s="4">
        <f t="shared" si="1387"/>
        <v>0</v>
      </c>
      <c r="GA446" s="4">
        <f t="shared" si="1388"/>
        <v>396.9796322433603</v>
      </c>
    </row>
    <row r="447" spans="1:183" ht="12" customHeight="1" x14ac:dyDescent="0.3">
      <c r="A447" s="25">
        <v>429</v>
      </c>
      <c r="B447" s="4" t="s">
        <v>605</v>
      </c>
      <c r="C447" s="4">
        <v>2016</v>
      </c>
      <c r="D447" s="4" t="s">
        <v>309</v>
      </c>
      <c r="E447" s="14" t="s">
        <v>680</v>
      </c>
      <c r="F447" s="7" t="s">
        <v>601</v>
      </c>
      <c r="G447" s="38">
        <f t="shared" ref="G447" si="1597">135/0.145</f>
        <v>931.0344827586207</v>
      </c>
      <c r="H447" s="38">
        <f>19.29*25.4</f>
        <v>489.96599999999995</v>
      </c>
      <c r="I447" s="4">
        <f t="shared" si="1565"/>
        <v>489.96599999999995</v>
      </c>
      <c r="J447" s="38">
        <f>6320/145</f>
        <v>43.586206896551722</v>
      </c>
      <c r="K447" s="38">
        <f t="shared" si="1490"/>
        <v>35.813999999999993</v>
      </c>
      <c r="L447" s="7">
        <f t="shared" si="1566"/>
        <v>13.680851063829788</v>
      </c>
      <c r="M447" s="7">
        <f t="shared" si="1567"/>
        <v>13.680851063829788</v>
      </c>
      <c r="N447" s="38">
        <f>21.9*25.4</f>
        <v>556.25999999999988</v>
      </c>
      <c r="O447" s="38">
        <f t="shared" ref="O447" si="1598">2.8*25.4</f>
        <v>71.11999999999999</v>
      </c>
      <c r="P447" s="39">
        <f>3.45*25.4</f>
        <v>87.63</v>
      </c>
      <c r="Q447" s="7">
        <f t="shared" si="1568"/>
        <v>153.28899999999993</v>
      </c>
      <c r="R447" s="38">
        <v>3</v>
      </c>
      <c r="S447" s="4">
        <f t="shared" si="1361"/>
        <v>508</v>
      </c>
      <c r="T447" s="7">
        <f t="shared" si="1569"/>
        <v>2.4858156028368796</v>
      </c>
      <c r="U447" s="7">
        <f t="shared" si="1414"/>
        <v>2.4858156028368796</v>
      </c>
      <c r="V447" s="38">
        <v>5.5</v>
      </c>
      <c r="W447" s="4">
        <f t="shared" si="1570"/>
        <v>5.5</v>
      </c>
      <c r="X447" s="4">
        <f t="shared" si="1571"/>
        <v>6.5</v>
      </c>
      <c r="Y447" s="7">
        <f t="shared" si="1572"/>
        <v>91.308142429905971</v>
      </c>
      <c r="AB447" s="38">
        <f t="shared" si="1332"/>
        <v>607.58620689655174</v>
      </c>
      <c r="AC447" s="4">
        <v>88.1</v>
      </c>
      <c r="AD447" s="4">
        <f t="shared" si="1452"/>
        <v>1.1740740153975369</v>
      </c>
      <c r="AE447" s="38"/>
      <c r="AF447" s="38"/>
      <c r="AG447" s="39">
        <v>1</v>
      </c>
      <c r="AH447" s="39"/>
      <c r="AI447" s="39"/>
      <c r="AJ447" s="7"/>
      <c r="AK447" s="4">
        <f t="shared" si="1573"/>
        <v>489.96599999999995</v>
      </c>
      <c r="AL447" s="4">
        <f t="shared" si="1462"/>
        <v>0.37843442198030064</v>
      </c>
      <c r="AM447" s="4">
        <f t="shared" si="1463"/>
        <v>236.92269264234707</v>
      </c>
      <c r="AN447" s="4">
        <f t="shared" si="1464"/>
        <v>0.73634007257646439</v>
      </c>
      <c r="AO447" s="4">
        <v>1.25</v>
      </c>
      <c r="AP447" s="4">
        <f t="shared" si="1396"/>
        <v>2.5</v>
      </c>
      <c r="AQ447" s="38">
        <f t="shared" si="1543"/>
        <v>206.31259893006796</v>
      </c>
      <c r="AR447" s="38">
        <f t="shared" si="1465"/>
        <v>206.31259893006796</v>
      </c>
      <c r="AS447" s="38">
        <f t="shared" si="1466"/>
        <v>3.7155288579258352</v>
      </c>
      <c r="AT447" s="38">
        <f t="shared" si="1407"/>
        <v>206.31259893006799</v>
      </c>
      <c r="AU447" s="38">
        <f t="shared" si="1373"/>
        <v>0.99999999999999989</v>
      </c>
      <c r="AV447" s="38">
        <f t="shared" si="1530"/>
        <v>2.4632221214553547</v>
      </c>
      <c r="AW447" s="4">
        <f t="shared" si="1511"/>
        <v>0</v>
      </c>
      <c r="AX447" s="4">
        <f t="shared" si="1574"/>
        <v>475.37249737633783</v>
      </c>
      <c r="AY447" s="4">
        <f t="shared" si="1544"/>
        <v>1</v>
      </c>
      <c r="AZ447" s="38">
        <f t="shared" si="1389"/>
        <v>508.19375761948982</v>
      </c>
      <c r="BA447" s="4">
        <f t="shared" si="1545"/>
        <v>0.3</v>
      </c>
      <c r="BB447" s="4">
        <f t="shared" si="1546"/>
        <v>74.514638963740964</v>
      </c>
      <c r="BC447" s="4">
        <f t="shared" si="1547"/>
        <v>582.70839658323075</v>
      </c>
      <c r="BE447" s="4">
        <f t="shared" si="1408"/>
        <v>1.2464539007092199</v>
      </c>
      <c r="BF447" s="4">
        <f t="shared" si="1415"/>
        <v>584.61414645596142</v>
      </c>
      <c r="BH447" s="4">
        <f t="shared" si="1416"/>
        <v>487.41996160394592</v>
      </c>
      <c r="BI447" s="4">
        <f t="shared" si="1350"/>
        <v>0</v>
      </c>
      <c r="BJ447" s="4">
        <f t="shared" si="1417"/>
        <v>0</v>
      </c>
      <c r="BR447" s="4">
        <f t="shared" si="1548"/>
        <v>71.11999999999999</v>
      </c>
      <c r="BV447" s="9"/>
      <c r="BX447" s="9"/>
      <c r="BY447" s="9"/>
      <c r="BZ447" s="9">
        <f t="shared" si="1549"/>
        <v>71.11999999999999</v>
      </c>
      <c r="CA447" s="9">
        <f t="shared" si="1550"/>
        <v>76.644499999999965</v>
      </c>
      <c r="CB447" s="9">
        <f t="shared" si="1374"/>
        <v>1.4250918174124854</v>
      </c>
      <c r="CC447" s="40">
        <f t="shared" si="1575"/>
        <v>0</v>
      </c>
      <c r="CD447" s="9">
        <f t="shared" si="1551"/>
        <v>0</v>
      </c>
      <c r="CE447" s="9">
        <f t="shared" si="1552"/>
        <v>0</v>
      </c>
      <c r="CF447" s="9">
        <f t="shared" si="1553"/>
        <v>0.89777220146327208</v>
      </c>
      <c r="CG447" s="9">
        <f t="shared" si="1554"/>
        <v>0.68</v>
      </c>
      <c r="CH447" s="9">
        <f t="shared" si="1375"/>
        <v>1.4106447240551518</v>
      </c>
      <c r="CI447" s="9">
        <f t="shared" si="1376"/>
        <v>2.0102982535270901</v>
      </c>
      <c r="CJ447" s="40">
        <v>1</v>
      </c>
      <c r="CK447" s="9">
        <f t="shared" si="1377"/>
        <v>230.62825921315044</v>
      </c>
      <c r="CM447" s="4">
        <f t="shared" si="1555"/>
        <v>1.2781265433947568</v>
      </c>
      <c r="CN447" s="4">
        <f t="shared" si="1556"/>
        <v>1.0426934131363037</v>
      </c>
      <c r="CO447" s="4">
        <f t="shared" si="1524"/>
        <v>1.0392943971333077</v>
      </c>
      <c r="CP447" s="4">
        <f t="shared" si="1557"/>
        <v>2.6344829075564871</v>
      </c>
      <c r="CQ447" s="4">
        <f t="shared" si="1476"/>
        <v>1.1740740153975369</v>
      </c>
      <c r="CR447" s="4">
        <f t="shared" si="1477"/>
        <v>1.2265000402860071</v>
      </c>
      <c r="CS447" s="4">
        <f t="shared" si="1525"/>
        <v>1.495658681836104</v>
      </c>
      <c r="CT447" s="4">
        <f t="shared" si="1576"/>
        <v>0</v>
      </c>
      <c r="CU447" s="4">
        <f t="shared" si="1593"/>
        <v>1.2781265433947568</v>
      </c>
      <c r="CV447" s="4">
        <f t="shared" si="1593"/>
        <v>1.0426934131363037</v>
      </c>
      <c r="CW447" s="4">
        <f t="shared" si="1594"/>
        <v>2.6344829075564871</v>
      </c>
      <c r="CX447" s="4">
        <f t="shared" si="1595"/>
        <v>1.495658681836104</v>
      </c>
      <c r="CY447" s="4">
        <f t="shared" si="1596"/>
        <v>1.1740740153975369</v>
      </c>
      <c r="CZ447" s="4">
        <f t="shared" si="1596"/>
        <v>1.2265000402860071</v>
      </c>
      <c r="DI447" s="4">
        <f t="shared" si="1562"/>
        <v>489.96599999999995</v>
      </c>
      <c r="DL447" s="4">
        <f t="shared" si="1453"/>
        <v>2.6787616287880659E-5</v>
      </c>
      <c r="DM447" s="4">
        <f t="shared" ref="DM447:DM449" si="1599">EH447</f>
        <v>7.0791491220778546</v>
      </c>
      <c r="DN447" s="4">
        <f t="shared" si="1454"/>
        <v>0.30576682850134701</v>
      </c>
      <c r="DO447" s="4">
        <f t="shared" si="1455"/>
        <v>4.4069407164747778</v>
      </c>
      <c r="DP447" s="4">
        <f t="shared" si="1456"/>
        <v>5.8972084710745278</v>
      </c>
      <c r="DQ447" s="4">
        <f t="shared" si="1457"/>
        <v>6.1656391419605026</v>
      </c>
      <c r="DR447" s="38">
        <f t="shared" si="1471"/>
        <v>517.50247337756252</v>
      </c>
      <c r="DS447" s="4">
        <f t="shared" si="1382"/>
        <v>1.000117718318323</v>
      </c>
      <c r="DT447" s="4">
        <f t="shared" si="1458"/>
        <v>2.5495097567963922</v>
      </c>
      <c r="DU447" s="4">
        <f t="shared" si="1390"/>
        <v>206.31259893006799</v>
      </c>
      <c r="DY447" s="4">
        <f t="shared" si="1331"/>
        <v>0.85</v>
      </c>
      <c r="DZ447" s="4">
        <f t="shared" si="1383"/>
        <v>0.90141843971631208</v>
      </c>
      <c r="EA447" s="4">
        <f t="shared" si="1472"/>
        <v>1</v>
      </c>
      <c r="EB447" s="4">
        <f t="shared" si="1384"/>
        <v>0.90141843971631208</v>
      </c>
      <c r="ED447" s="4">
        <f t="shared" si="1473"/>
        <v>495.38213366456063</v>
      </c>
      <c r="EE447" s="25">
        <f t="shared" si="1474"/>
        <v>204.83577927119507</v>
      </c>
      <c r="EG447" s="4">
        <f t="shared" si="1391"/>
        <v>0.76620567375886528</v>
      </c>
      <c r="EH447" s="4">
        <f t="shared" si="1475"/>
        <v>7.0791491220778546</v>
      </c>
      <c r="EK447" s="4">
        <f t="shared" si="1459"/>
        <v>91.308142429905971</v>
      </c>
      <c r="EL447" s="4">
        <f t="shared" si="1460"/>
        <v>2.5495097567963922</v>
      </c>
      <c r="EM447" s="4">
        <f t="shared" si="1461"/>
        <v>0.11038248630089174</v>
      </c>
      <c r="EP447" s="4">
        <f t="shared" si="1577"/>
        <v>0.11038248630089174</v>
      </c>
      <c r="EQ447" s="4">
        <f t="shared" si="1535"/>
        <v>0.30525656065176843</v>
      </c>
      <c r="ER447" s="4">
        <f t="shared" ref="ER447:ER449" si="1600">EH447/1*EQ447^0.4</f>
        <v>4.4039974973097769</v>
      </c>
      <c r="ES447" s="4">
        <f t="shared" si="1563"/>
        <v>5.8961128342265017</v>
      </c>
      <c r="ET447" s="4">
        <f t="shared" ref="ET447:ET449" si="1601">MAX(0,DI447*ET$9-EK447)</f>
        <v>276.16635757009402</v>
      </c>
      <c r="EU447" s="4">
        <f t="shared" ref="EU447:EU449" si="1602">MAX(0,DI447-EK447-ET447)</f>
        <v>122.49149999999997</v>
      </c>
      <c r="EV447" s="4">
        <f t="shared" si="1385"/>
        <v>2.6787616287880659E-5</v>
      </c>
      <c r="EW447" s="4">
        <f t="shared" si="1564"/>
        <v>6.1658509050869394</v>
      </c>
      <c r="EX447" s="4">
        <f t="shared" si="1422"/>
        <v>517.44156102716795</v>
      </c>
      <c r="FG447" s="23">
        <f t="shared" si="1329"/>
        <v>1.4</v>
      </c>
      <c r="FH447" s="23">
        <f t="shared" si="1329"/>
        <v>1.2</v>
      </c>
      <c r="FI447" s="23">
        <f t="shared" si="1526"/>
        <v>1.6</v>
      </c>
      <c r="FJ447" s="23">
        <f t="shared" si="1330"/>
        <v>2.2000000000000002</v>
      </c>
      <c r="FK447" s="23">
        <f t="shared" si="1330"/>
        <v>1.2</v>
      </c>
      <c r="FL447" s="23">
        <f t="shared" si="1330"/>
        <v>1.4</v>
      </c>
      <c r="FM447" s="23">
        <f t="shared" si="1478"/>
        <v>0</v>
      </c>
      <c r="FN447" s="23"/>
      <c r="FX447" s="4">
        <f t="shared" si="1386"/>
        <v>1</v>
      </c>
      <c r="FY447" s="4">
        <f t="shared" si="1429"/>
        <v>0.72665484633569744</v>
      </c>
      <c r="FZ447" s="4">
        <f t="shared" si="1387"/>
        <v>0</v>
      </c>
      <c r="GA447" s="4">
        <f t="shared" si="1388"/>
        <v>406.23319630028516</v>
      </c>
    </row>
    <row r="448" spans="1:183" ht="12" customHeight="1" x14ac:dyDescent="0.3">
      <c r="A448" s="25">
        <v>430</v>
      </c>
      <c r="B448" s="4" t="s">
        <v>605</v>
      </c>
      <c r="C448" s="4">
        <v>2016</v>
      </c>
      <c r="D448" s="4" t="s">
        <v>309</v>
      </c>
      <c r="E448" s="14" t="s">
        <v>680</v>
      </c>
      <c r="F448" s="48" t="s">
        <v>602</v>
      </c>
      <c r="G448" s="38">
        <f t="shared" ref="G448" si="1603">115.9/0.145</f>
        <v>799.31034482758628</v>
      </c>
      <c r="H448" s="38">
        <f>19.38*25.4</f>
        <v>492.25199999999995</v>
      </c>
      <c r="I448" s="4">
        <f t="shared" si="1565"/>
        <v>492.25199999999995</v>
      </c>
      <c r="J448" s="38">
        <f>5430/145</f>
        <v>37.448275862068968</v>
      </c>
      <c r="K448" s="38">
        <f t="shared" si="1490"/>
        <v>35.813999999999993</v>
      </c>
      <c r="L448" s="7">
        <f t="shared" si="1566"/>
        <v>13.744680851063832</v>
      </c>
      <c r="M448" s="7">
        <f t="shared" si="1567"/>
        <v>13.744680851063832</v>
      </c>
      <c r="N448" s="38">
        <f>21.8*25.4</f>
        <v>553.72</v>
      </c>
      <c r="O448" s="38">
        <f>2.55*25.4</f>
        <v>64.77</v>
      </c>
      <c r="P448" s="39">
        <f>3.8*25.4</f>
        <v>96.52</v>
      </c>
      <c r="Q448" s="7">
        <f t="shared" si="1568"/>
        <v>158.36900000000003</v>
      </c>
      <c r="R448" s="38">
        <v>3</v>
      </c>
      <c r="S448" s="4">
        <f t="shared" si="1361"/>
        <v>508</v>
      </c>
      <c r="T448" s="7">
        <f t="shared" si="1569"/>
        <v>2.3085106382978724</v>
      </c>
      <c r="U448" s="7">
        <f t="shared" si="1414"/>
        <v>2.3085106382978724</v>
      </c>
      <c r="V448" s="38">
        <v>4.5</v>
      </c>
      <c r="W448" s="4">
        <f t="shared" si="1570"/>
        <v>4.5</v>
      </c>
      <c r="X448" s="4">
        <f t="shared" si="1571"/>
        <v>5.5</v>
      </c>
      <c r="Y448" s="7">
        <f t="shared" si="1572"/>
        <v>83.991275011158137</v>
      </c>
      <c r="AB448" s="38">
        <f t="shared" si="1332"/>
        <v>626.20689655172418</v>
      </c>
      <c r="AC448" s="4">
        <v>90.8</v>
      </c>
      <c r="AD448" s="4">
        <f t="shared" si="1452"/>
        <v>1.2956263023911716</v>
      </c>
      <c r="AE448" s="38">
        <f t="shared" ref="AE448:AE449" si="1604">0.5*25.4</f>
        <v>12.7</v>
      </c>
      <c r="AF448" s="38">
        <v>12</v>
      </c>
      <c r="AG448" s="39">
        <f t="shared" ref="AG448:AG449" si="1605">4*25.4</f>
        <v>101.6</v>
      </c>
      <c r="AH448" s="39">
        <v>2</v>
      </c>
      <c r="AI448" s="39">
        <f t="shared" ref="AI448:AI449" si="1606">AH448-1</f>
        <v>1</v>
      </c>
      <c r="AK448" s="4">
        <f t="shared" si="1573"/>
        <v>492.25199999999995</v>
      </c>
      <c r="AL448" s="4">
        <f t="shared" si="1462"/>
        <v>0.37495700034399726</v>
      </c>
      <c r="AM448" s="4">
        <f t="shared" si="1463"/>
        <v>221.14664394977936</v>
      </c>
      <c r="AN448" s="4">
        <f t="shared" si="1464"/>
        <v>0.73359133126934983</v>
      </c>
      <c r="AO448" s="4">
        <v>1.25</v>
      </c>
      <c r="AP448" s="4">
        <f t="shared" si="1396"/>
        <v>2.5</v>
      </c>
      <c r="AQ448" s="38">
        <f t="shared" si="1543"/>
        <v>190.09295926378746</v>
      </c>
      <c r="AR448" s="38">
        <f t="shared" si="1465"/>
        <v>190.09295926378746</v>
      </c>
      <c r="AS448" s="38">
        <f t="shared" si="1466"/>
        <v>3.3579622250305636</v>
      </c>
      <c r="AT448" s="38">
        <f t="shared" si="1407"/>
        <v>190.09295926378758</v>
      </c>
      <c r="AU448" s="38">
        <f t="shared" si="1373"/>
        <v>0.99999999999999944</v>
      </c>
      <c r="AV448" s="38">
        <f t="shared" si="1530"/>
        <v>1.9294517764839594</v>
      </c>
      <c r="AW448" s="4">
        <f t="shared" si="1511"/>
        <v>0</v>
      </c>
      <c r="AX448" s="4">
        <f t="shared" si="1574"/>
        <v>442.68720810703502</v>
      </c>
      <c r="AY448" s="4">
        <f t="shared" si="1544"/>
        <v>1</v>
      </c>
      <c r="AZ448" s="38">
        <f t="shared" si="1389"/>
        <v>366.77519794860785</v>
      </c>
      <c r="BA448" s="4">
        <f t="shared" si="1545"/>
        <v>0.37</v>
      </c>
      <c r="BB448" s="4">
        <f t="shared" si="1546"/>
        <v>85.582504507292555</v>
      </c>
      <c r="BC448" s="4">
        <f t="shared" si="1547"/>
        <v>452.35770245590038</v>
      </c>
      <c r="BE448" s="4">
        <f t="shared" si="1408"/>
        <v>1.5</v>
      </c>
      <c r="BF448" s="4">
        <f t="shared" si="1415"/>
        <v>653.87504679809706</v>
      </c>
      <c r="BH448" s="4">
        <f t="shared" si="1416"/>
        <v>351.78226851666062</v>
      </c>
      <c r="BI448" s="4">
        <f t="shared" si="1350"/>
        <v>0</v>
      </c>
      <c r="BJ448" s="4">
        <f t="shared" si="1417"/>
        <v>0</v>
      </c>
      <c r="BR448" s="4">
        <f t="shared" si="1548"/>
        <v>64.77</v>
      </c>
      <c r="BV448" s="9"/>
      <c r="BX448" s="9"/>
      <c r="BY448" s="9"/>
      <c r="BZ448" s="9">
        <f t="shared" si="1549"/>
        <v>64.77</v>
      </c>
      <c r="CA448" s="9">
        <f t="shared" si="1550"/>
        <v>79.184500000000014</v>
      </c>
      <c r="CB448" s="9">
        <f t="shared" si="1374"/>
        <v>1.3859592972879591</v>
      </c>
      <c r="CC448" s="40">
        <f t="shared" si="1575"/>
        <v>20</v>
      </c>
      <c r="CD448" s="9">
        <f t="shared" si="1551"/>
        <v>0.05</v>
      </c>
      <c r="CE448" s="9">
        <f t="shared" si="1552"/>
        <v>0.8</v>
      </c>
      <c r="CF448" s="9">
        <f t="shared" si="1553"/>
        <v>0.89777220146327208</v>
      </c>
      <c r="CG448" s="9">
        <f t="shared" si="1554"/>
        <v>0.68048275862068963</v>
      </c>
      <c r="CH448" s="9">
        <f t="shared" si="1375"/>
        <v>1.3084804487373733</v>
      </c>
      <c r="CI448" s="9">
        <f t="shared" si="1376"/>
        <v>2.8602850022369819</v>
      </c>
      <c r="CJ448" s="40">
        <v>1</v>
      </c>
      <c r="CK448" s="9">
        <f t="shared" si="1377"/>
        <v>328.87191812954575</v>
      </c>
      <c r="CM448" s="4">
        <f t="shared" si="1555"/>
        <v>1.4145583723311854</v>
      </c>
      <c r="CN448" s="4">
        <f t="shared" si="1556"/>
        <v>1.3843179703848905</v>
      </c>
      <c r="CO448" s="4">
        <f t="shared" si="1524"/>
        <v>0.9576858753337375</v>
      </c>
      <c r="CP448" s="4">
        <f t="shared" si="1557"/>
        <v>1.9041057081226844</v>
      </c>
      <c r="CQ448" s="4">
        <f t="shared" si="1476"/>
        <v>1.2956263023911716</v>
      </c>
      <c r="CR448" s="4">
        <f t="shared" si="1477"/>
        <v>1.3786937883911297</v>
      </c>
      <c r="CS448" s="4">
        <f t="shared" si="1525"/>
        <v>1.255358081169357</v>
      </c>
      <c r="CT448" s="4">
        <f t="shared" si="1576"/>
        <v>12</v>
      </c>
      <c r="DA448" s="4">
        <f t="shared" ref="DA448:DB449" si="1607">CM448</f>
        <v>1.4145583723311854</v>
      </c>
      <c r="DB448" s="4">
        <f t="shared" si="1607"/>
        <v>1.3843179703848905</v>
      </c>
      <c r="DC448" s="4">
        <f t="shared" ref="DC448:DC449" si="1608">CP448</f>
        <v>1.9041057081226844</v>
      </c>
      <c r="DD448" s="4">
        <f t="shared" ref="DD448:DD449" si="1609">CS448</f>
        <v>1.255358081169357</v>
      </c>
      <c r="DE448" s="4">
        <f t="shared" ref="DE448:DF449" si="1610">CQ448</f>
        <v>1.2956263023911716</v>
      </c>
      <c r="DF448" s="4">
        <f t="shared" si="1610"/>
        <v>1.3786937883911297</v>
      </c>
      <c r="DI448" s="4">
        <f t="shared" si="1562"/>
        <v>492.25199999999995</v>
      </c>
      <c r="DL448" s="4">
        <f t="shared" si="1453"/>
        <v>2.584281465310651E-5</v>
      </c>
      <c r="DM448" s="4">
        <f t="shared" si="1599"/>
        <v>6.438104078551774</v>
      </c>
      <c r="DN448" s="4">
        <f t="shared" si="1454"/>
        <v>0.3686572177571722</v>
      </c>
      <c r="DO448" s="4">
        <f t="shared" si="1455"/>
        <v>4.3192375459773444</v>
      </c>
      <c r="DP448" s="4">
        <f t="shared" si="1456"/>
        <v>5.4824032186546567</v>
      </c>
      <c r="DQ448" s="4">
        <f t="shared" si="1457"/>
        <v>5.6807832669566087</v>
      </c>
      <c r="DR448" s="38">
        <f t="shared" si="1471"/>
        <v>483.32369865910744</v>
      </c>
      <c r="DS448" s="4">
        <f t="shared" si="1382"/>
        <v>1.0001254787734011</v>
      </c>
      <c r="DT448" s="4">
        <f t="shared" si="1458"/>
        <v>2.3452078799117149</v>
      </c>
      <c r="DU448" s="4">
        <f t="shared" si="1390"/>
        <v>190.09295926378758</v>
      </c>
      <c r="DY448" s="4">
        <f t="shared" si="1331"/>
        <v>0.85</v>
      </c>
      <c r="DZ448" s="4">
        <f t="shared" si="1383"/>
        <v>0.91914893617021276</v>
      </c>
      <c r="EA448" s="4">
        <f t="shared" si="1472"/>
        <v>0.9995510789195714</v>
      </c>
      <c r="EB448" s="4">
        <f t="shared" si="1384"/>
        <v>0.91873631083671248</v>
      </c>
      <c r="ED448" s="4">
        <f t="shared" si="1473"/>
        <v>454.20303030630026</v>
      </c>
      <c r="EE448" s="25">
        <f t="shared" si="1474"/>
        <v>188.73397276942069</v>
      </c>
      <c r="EG448" s="4">
        <f t="shared" si="1391"/>
        <v>0.78092586421120558</v>
      </c>
      <c r="EH448" s="4">
        <f t="shared" si="1475"/>
        <v>6.438104078551774</v>
      </c>
      <c r="EK448" s="4">
        <f t="shared" si="1459"/>
        <v>83.991275011158137</v>
      </c>
      <c r="EL448" s="4">
        <f t="shared" si="1460"/>
        <v>2.3452078799117149</v>
      </c>
      <c r="EM448" s="4">
        <f t="shared" si="1461"/>
        <v>0.12335987488441015</v>
      </c>
      <c r="EP448" s="4">
        <f t="shared" si="1577"/>
        <v>0.12335987488441015</v>
      </c>
      <c r="EQ448" s="4">
        <f t="shared" si="1535"/>
        <v>0.36804199756910061</v>
      </c>
      <c r="ER448" s="4">
        <f t="shared" si="1600"/>
        <v>4.3163529002465797</v>
      </c>
      <c r="ES448" s="4">
        <f t="shared" si="1563"/>
        <v>5.4812694562858182</v>
      </c>
      <c r="ET448" s="4">
        <f t="shared" si="1601"/>
        <v>285.19772498884186</v>
      </c>
      <c r="EU448" s="4">
        <f t="shared" si="1602"/>
        <v>123.06299999999999</v>
      </c>
      <c r="EV448" s="4">
        <f t="shared" si="1385"/>
        <v>2.584281465310651E-5</v>
      </c>
      <c r="EW448" s="4">
        <f t="shared" si="1564"/>
        <v>5.6809677086103774</v>
      </c>
      <c r="EX448" s="4">
        <f t="shared" si="1422"/>
        <v>483.26305940318349</v>
      </c>
      <c r="FA448" s="4">
        <f>6.75*25.4</f>
        <v>171.45</v>
      </c>
      <c r="FG448" s="23">
        <f t="shared" si="1329"/>
        <v>1.6</v>
      </c>
      <c r="FH448" s="23">
        <f t="shared" si="1329"/>
        <v>1.4</v>
      </c>
      <c r="FI448" s="23">
        <f t="shared" si="1526"/>
        <v>1.4</v>
      </c>
      <c r="FJ448" s="23">
        <f t="shared" si="1330"/>
        <v>2</v>
      </c>
      <c r="FK448" s="23">
        <f t="shared" si="1330"/>
        <v>1.4</v>
      </c>
      <c r="FL448" s="23">
        <f t="shared" si="1330"/>
        <v>1.4</v>
      </c>
      <c r="FM448" s="23">
        <f t="shared" si="1478"/>
        <v>0</v>
      </c>
      <c r="FN448" s="23"/>
      <c r="FX448" s="4">
        <f t="shared" si="1386"/>
        <v>1</v>
      </c>
      <c r="FY448" s="4">
        <f t="shared" si="1429"/>
        <v>0.57239468642161906</v>
      </c>
      <c r="FZ448" s="4">
        <f t="shared" si="1387"/>
        <v>0.16766426906761905</v>
      </c>
      <c r="GA448" s="4">
        <f t="shared" si="1388"/>
        <v>498.82731146193521</v>
      </c>
    </row>
    <row r="449" spans="1:183" ht="12" customHeight="1" x14ac:dyDescent="0.3">
      <c r="A449" s="25">
        <v>431</v>
      </c>
      <c r="B449" s="4" t="s">
        <v>605</v>
      </c>
      <c r="C449" s="4">
        <v>2016</v>
      </c>
      <c r="D449" s="4" t="s">
        <v>309</v>
      </c>
      <c r="E449" s="14" t="s">
        <v>680</v>
      </c>
      <c r="F449" s="7" t="s">
        <v>609</v>
      </c>
      <c r="G449" s="38">
        <f t="shared" ref="G449" si="1611">135/0.145</f>
        <v>931.0344827586207</v>
      </c>
      <c r="H449" s="38">
        <f>19.25*25.4</f>
        <v>488.95</v>
      </c>
      <c r="I449" s="4">
        <f t="shared" si="1565"/>
        <v>488.95</v>
      </c>
      <c r="J449" s="38">
        <f>6320/145</f>
        <v>43.586206896551722</v>
      </c>
      <c r="K449" s="38">
        <f t="shared" si="1490"/>
        <v>35.813999999999993</v>
      </c>
      <c r="L449" s="7">
        <f t="shared" si="1566"/>
        <v>13.652482269503549</v>
      </c>
      <c r="M449" s="7">
        <f t="shared" si="1567"/>
        <v>13.652482269503549</v>
      </c>
      <c r="N449" s="38">
        <f>21.8*25.4</f>
        <v>553.72</v>
      </c>
      <c r="O449" s="38">
        <f>2.7*25.4</f>
        <v>68.58</v>
      </c>
      <c r="P449" s="39">
        <f>3.4*25.4</f>
        <v>86.36</v>
      </c>
      <c r="Q449" s="7">
        <f>(N449-R449*K449-2*O449)/(R449-1)</f>
        <v>154.55900000000003</v>
      </c>
      <c r="R449" s="38">
        <v>3</v>
      </c>
      <c r="S449" s="4">
        <f t="shared" si="1361"/>
        <v>508</v>
      </c>
      <c r="T449" s="7">
        <f t="shared" si="1569"/>
        <v>2.4148936170212769</v>
      </c>
      <c r="U449" s="7">
        <f t="shared" si="1414"/>
        <v>2.4148936170212769</v>
      </c>
      <c r="V449" s="38">
        <v>5.5</v>
      </c>
      <c r="W449" s="4">
        <f t="shared" si="1570"/>
        <v>5.5</v>
      </c>
      <c r="X449" s="4">
        <f t="shared" si="1571"/>
        <v>6.5</v>
      </c>
      <c r="Y449" s="7">
        <f t="shared" si="1572"/>
        <v>91.308142429905971</v>
      </c>
      <c r="AB449" s="38">
        <f t="shared" si="1332"/>
        <v>675.86206896551732</v>
      </c>
      <c r="AC449" s="4">
        <v>98</v>
      </c>
      <c r="AD449" s="4">
        <f t="shared" si="1452"/>
        <v>1.3174526875888106</v>
      </c>
      <c r="AE449" s="38">
        <f t="shared" si="1604"/>
        <v>12.7</v>
      </c>
      <c r="AF449" s="38">
        <v>12</v>
      </c>
      <c r="AG449" s="39">
        <f t="shared" si="1605"/>
        <v>101.6</v>
      </c>
      <c r="AH449" s="39">
        <v>2</v>
      </c>
      <c r="AI449" s="39">
        <f t="shared" si="1606"/>
        <v>1</v>
      </c>
      <c r="AK449" s="4">
        <f t="shared" si="1573"/>
        <v>488.95</v>
      </c>
      <c r="AL449" s="4">
        <f t="shared" si="1462"/>
        <v>0.37748917748917754</v>
      </c>
      <c r="AM449" s="4">
        <f t="shared" si="1463"/>
        <v>236.18614574140781</v>
      </c>
      <c r="AN449" s="4">
        <f t="shared" si="1464"/>
        <v>0.73537662337662335</v>
      </c>
      <c r="AO449" s="4">
        <v>1.25</v>
      </c>
      <c r="AP449" s="4">
        <f t="shared" si="1396"/>
        <v>2.5</v>
      </c>
      <c r="AQ449" s="38">
        <f t="shared" si="1543"/>
        <v>204.88905808937724</v>
      </c>
      <c r="AR449" s="38">
        <f t="shared" si="1465"/>
        <v>204.88905808937724</v>
      </c>
      <c r="AS449" s="38">
        <f t="shared" si="1466"/>
        <v>3.7155288579258352</v>
      </c>
      <c r="AT449" s="38">
        <f t="shared" si="1407"/>
        <v>204.88905808937713</v>
      </c>
      <c r="AU449" s="38">
        <f>AQ449/AT449</f>
        <v>1.0000000000000004</v>
      </c>
      <c r="AV449" s="38">
        <f t="shared" si="1530"/>
        <v>2.4095705919551471</v>
      </c>
      <c r="AW449" s="4">
        <f t="shared" si="1511"/>
        <v>0</v>
      </c>
      <c r="AX449" s="4">
        <f t="shared" si="1574"/>
        <v>474.38675865705051</v>
      </c>
      <c r="AY449" s="4">
        <f t="shared" si="1544"/>
        <v>1</v>
      </c>
      <c r="AZ449" s="38">
        <f t="shared" si="1389"/>
        <v>493.69464898555299</v>
      </c>
      <c r="BA449" s="4">
        <f t="shared" si="1545"/>
        <v>0.3</v>
      </c>
      <c r="BB449" s="4">
        <f t="shared" si="1546"/>
        <v>74.360124419492692</v>
      </c>
      <c r="BC449" s="4">
        <f t="shared" si="1547"/>
        <v>568.05477340504569</v>
      </c>
      <c r="BE449" s="4">
        <f t="shared" si="1408"/>
        <v>1.5</v>
      </c>
      <c r="BF449" s="4">
        <f t="shared" si="1415"/>
        <v>702.69000691100257</v>
      </c>
      <c r="BH449" s="4">
        <f t="shared" si="1416"/>
        <v>473.51354329855519</v>
      </c>
      <c r="BI449" s="4">
        <f t="shared" si="1350"/>
        <v>0</v>
      </c>
      <c r="BJ449" s="4">
        <f t="shared" si="1417"/>
        <v>0</v>
      </c>
      <c r="BR449" s="4">
        <f t="shared" si="1548"/>
        <v>68.58</v>
      </c>
      <c r="BV449" s="9"/>
      <c r="BX449" s="9"/>
      <c r="BY449" s="9"/>
      <c r="BZ449" s="9">
        <f t="shared" si="1549"/>
        <v>68.58</v>
      </c>
      <c r="CA449" s="9">
        <f t="shared" si="1550"/>
        <v>77.279500000000013</v>
      </c>
      <c r="CB449" s="9">
        <f t="shared" si="1374"/>
        <v>1.4088097518045952</v>
      </c>
      <c r="CC449" s="40">
        <f t="shared" si="1575"/>
        <v>20</v>
      </c>
      <c r="CD449" s="9">
        <f t="shared" si="1551"/>
        <v>0.05</v>
      </c>
      <c r="CE449" s="9">
        <f t="shared" si="1552"/>
        <v>0.8</v>
      </c>
      <c r="CF449" s="9">
        <f t="shared" si="1553"/>
        <v>0.89777220146327208</v>
      </c>
      <c r="CG449" s="9">
        <f t="shared" si="1554"/>
        <v>0.68</v>
      </c>
      <c r="CH449" s="9">
        <f t="shared" si="1375"/>
        <v>1.4106447240551518</v>
      </c>
      <c r="CI449" s="9">
        <f t="shared" si="1376"/>
        <v>3.1158458228247214</v>
      </c>
      <c r="CJ449" s="40">
        <v>1</v>
      </c>
      <c r="CK449" s="9">
        <f t="shared" si="1377"/>
        <v>357.1068687719681</v>
      </c>
      <c r="CM449" s="4">
        <f t="shared" si="1555"/>
        <v>1.4247068591855867</v>
      </c>
      <c r="CN449" s="4">
        <f t="shared" si="1556"/>
        <v>1.1897832755004432</v>
      </c>
      <c r="CO449" s="4">
        <f t="shared" si="1524"/>
        <v>0.96182109083432143</v>
      </c>
      <c r="CP449" s="4">
        <f t="shared" si="1557"/>
        <v>1.8926045060115926</v>
      </c>
      <c r="CQ449" s="4">
        <f t="shared" si="1476"/>
        <v>1.3174526875888106</v>
      </c>
      <c r="CR449" s="4">
        <f t="shared" si="1477"/>
        <v>1.375870186901017</v>
      </c>
      <c r="CS449" s="4">
        <f t="shared" si="1525"/>
        <v>1.3428672695579413</v>
      </c>
      <c r="CT449" s="4">
        <f t="shared" si="1576"/>
        <v>12</v>
      </c>
      <c r="DA449" s="4">
        <f t="shared" si="1607"/>
        <v>1.4247068591855867</v>
      </c>
      <c r="DB449" s="4">
        <f t="shared" si="1607"/>
        <v>1.1897832755004432</v>
      </c>
      <c r="DC449" s="4">
        <f t="shared" si="1608"/>
        <v>1.8926045060115926</v>
      </c>
      <c r="DD449" s="4">
        <f t="shared" si="1609"/>
        <v>1.3428672695579413</v>
      </c>
      <c r="DE449" s="4">
        <f t="shared" si="1610"/>
        <v>1.3174526875888106</v>
      </c>
      <c r="DF449" s="4">
        <f t="shared" si="1610"/>
        <v>1.375870186901017</v>
      </c>
      <c r="DI449" s="4">
        <f t="shared" si="1562"/>
        <v>488.95</v>
      </c>
      <c r="DL449" s="4">
        <f t="shared" si="1453"/>
        <v>2.6732069131244309E-5</v>
      </c>
      <c r="DM449" s="4">
        <f t="shared" si="1599"/>
        <v>7.0270410303808131</v>
      </c>
      <c r="DN449" s="4">
        <f t="shared" si="1454"/>
        <v>0.30365706123382441</v>
      </c>
      <c r="DO449" s="4">
        <f t="shared" si="1455"/>
        <v>4.3624036014569079</v>
      </c>
      <c r="DP449" s="4">
        <f t="shared" si="1456"/>
        <v>5.8493001235347482</v>
      </c>
      <c r="DQ449" s="4">
        <f t="shared" si="1457"/>
        <v>6.1313891816785455</v>
      </c>
      <c r="DR449" s="38">
        <f t="shared" si="1471"/>
        <v>513.00671009482221</v>
      </c>
      <c r="DS449" s="4">
        <f t="shared" si="1382"/>
        <v>1.0001173124414451</v>
      </c>
      <c r="DT449" s="4">
        <f t="shared" si="1458"/>
        <v>2.5495097567963922</v>
      </c>
      <c r="DU449" s="4">
        <f t="shared" si="1390"/>
        <v>204.88905808937713</v>
      </c>
      <c r="DY449" s="4">
        <f t="shared" si="1331"/>
        <v>0.85</v>
      </c>
      <c r="DZ449" s="4">
        <f t="shared" si="1383"/>
        <v>0.90851063829787226</v>
      </c>
      <c r="EA449" s="4">
        <f t="shared" si="1472"/>
        <v>0.9995510789195714</v>
      </c>
      <c r="EB449" s="4">
        <f t="shared" si="1384"/>
        <v>0.90810278872054673</v>
      </c>
      <c r="ED449" s="4">
        <f t="shared" si="1473"/>
        <v>491.22517182221657</v>
      </c>
      <c r="EE449" s="25">
        <f t="shared" si="1474"/>
        <v>203.41551259917256</v>
      </c>
      <c r="EG449" s="4">
        <f t="shared" si="1391"/>
        <v>0.77188737041246469</v>
      </c>
      <c r="EH449" s="4">
        <f t="shared" si="1475"/>
        <v>7.0270410303808131</v>
      </c>
      <c r="EK449" s="4">
        <f t="shared" si="1459"/>
        <v>91.308142429905971</v>
      </c>
      <c r="EL449" s="4">
        <f t="shared" si="1460"/>
        <v>2.5495097567963922</v>
      </c>
      <c r="EM449" s="4">
        <f t="shared" si="1461"/>
        <v>0.10962085575500549</v>
      </c>
      <c r="EP449" s="4">
        <f t="shared" si="1577"/>
        <v>0.10962085575500549</v>
      </c>
      <c r="EQ449" s="4">
        <f t="shared" si="1535"/>
        <v>0.30315031419260807</v>
      </c>
      <c r="ER449" s="4">
        <f t="shared" si="1600"/>
        <v>4.3594901268468966</v>
      </c>
      <c r="ES449" s="4">
        <f t="shared" si="1563"/>
        <v>5.8482177976005572</v>
      </c>
      <c r="ET449" s="4">
        <f t="shared" si="1601"/>
        <v>275.40435757009402</v>
      </c>
      <c r="EU449" s="4">
        <f t="shared" si="1602"/>
        <v>122.23750000000001</v>
      </c>
      <c r="EV449" s="4">
        <f t="shared" si="1385"/>
        <v>2.6732069131244312E-5</v>
      </c>
      <c r="EW449" s="4">
        <f t="shared" si="1564"/>
        <v>6.1315963544198961</v>
      </c>
      <c r="EX449" s="4">
        <f t="shared" si="1422"/>
        <v>512.94653508446061</v>
      </c>
      <c r="FG449" s="23">
        <f t="shared" si="1329"/>
        <v>1.6</v>
      </c>
      <c r="FH449" s="23">
        <f t="shared" si="1329"/>
        <v>1.2</v>
      </c>
      <c r="FI449" s="23">
        <f t="shared" si="1526"/>
        <v>1.4</v>
      </c>
      <c r="FJ449" s="23">
        <f t="shared" si="1330"/>
        <v>2</v>
      </c>
      <c r="FK449" s="23">
        <f t="shared" si="1330"/>
        <v>1.4</v>
      </c>
      <c r="FL449" s="23">
        <f t="shared" si="1330"/>
        <v>1.4</v>
      </c>
      <c r="FM449" s="23">
        <f t="shared" si="1478"/>
        <v>0</v>
      </c>
      <c r="FN449" s="23"/>
      <c r="FX449" s="4">
        <f t="shared" si="1386"/>
        <v>1</v>
      </c>
      <c r="FY449" s="4">
        <f t="shared" si="1429"/>
        <v>0.58529808838216824</v>
      </c>
      <c r="FZ449" s="4">
        <f t="shared" si="1387"/>
        <v>0.16766426906761905</v>
      </c>
      <c r="GA449" s="4">
        <f t="shared" si="1388"/>
        <v>503.29774527009243</v>
      </c>
    </row>
    <row r="450" spans="1:183" ht="12" customHeight="1" x14ac:dyDescent="0.3">
      <c r="B450" s="14"/>
      <c r="C450" s="14"/>
      <c r="D450" s="14"/>
      <c r="E450" s="14"/>
      <c r="F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K450" s="7"/>
      <c r="AL450" s="7"/>
      <c r="AM450" s="7"/>
      <c r="AN450" s="7"/>
      <c r="AO450" s="7"/>
      <c r="AP450" s="7"/>
      <c r="AQ450" s="39"/>
      <c r="AR450" s="39"/>
      <c r="AS450" s="39"/>
      <c r="AU450" s="39"/>
      <c r="AV450" s="39"/>
      <c r="AW450" s="7"/>
      <c r="BV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FG450" s="23"/>
      <c r="FH450" s="23"/>
      <c r="FI450" s="23"/>
      <c r="FJ450" s="23"/>
      <c r="FK450" s="23"/>
      <c r="FL450" s="23"/>
      <c r="FM450" s="23"/>
      <c r="FN450" s="23"/>
    </row>
    <row r="451" spans="1:183" ht="12" customHeight="1" x14ac:dyDescent="0.3">
      <c r="B451" s="14"/>
      <c r="C451" s="14"/>
      <c r="D451" s="14"/>
      <c r="E451" s="14"/>
      <c r="F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K451" s="7"/>
      <c r="AL451" s="7"/>
      <c r="AM451" s="7"/>
      <c r="AN451" s="7"/>
      <c r="AO451" s="7"/>
      <c r="AP451" s="7"/>
      <c r="AQ451" s="39"/>
      <c r="AR451" s="39"/>
      <c r="AS451" s="39"/>
      <c r="AU451" s="39"/>
      <c r="AV451" s="39"/>
      <c r="AW451" s="7"/>
      <c r="BV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FG451" s="23"/>
      <c r="FH451" s="23"/>
      <c r="FI451" s="23"/>
      <c r="FJ451" s="23"/>
      <c r="FK451" s="23"/>
      <c r="FL451" s="23"/>
      <c r="FM451" s="23"/>
      <c r="FN451" s="23"/>
    </row>
    <row r="452" spans="1:183" ht="12" customHeight="1" x14ac:dyDescent="0.3">
      <c r="B452" s="14"/>
      <c r="C452" s="14"/>
      <c r="D452" s="14"/>
      <c r="E452" s="14"/>
      <c r="F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K452" s="7"/>
      <c r="AL452" s="7"/>
      <c r="AM452" s="7"/>
      <c r="AN452" s="7"/>
      <c r="AO452" s="7"/>
      <c r="AP452" s="7"/>
      <c r="AQ452" s="39"/>
      <c r="AR452" s="39"/>
      <c r="AS452" s="39"/>
      <c r="AU452" s="39"/>
      <c r="AV452" s="39"/>
      <c r="AW452" s="7"/>
      <c r="BV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FG452" s="23"/>
      <c r="FH452" s="23"/>
      <c r="FI452" s="23"/>
      <c r="FJ452" s="23"/>
      <c r="FK452" s="23"/>
      <c r="FL452" s="23"/>
      <c r="FM452" s="23"/>
      <c r="FN452" s="23"/>
    </row>
    <row r="453" spans="1:183" ht="12" customHeight="1" x14ac:dyDescent="0.3">
      <c r="B453" s="14"/>
      <c r="C453" s="14"/>
      <c r="D453" s="14"/>
      <c r="E453" s="14"/>
      <c r="F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K453" s="7"/>
      <c r="AL453" s="7"/>
      <c r="AM453" s="7"/>
      <c r="AN453" s="7"/>
      <c r="AO453" s="7"/>
      <c r="AP453" s="7"/>
      <c r="AQ453" s="39"/>
      <c r="AR453" s="39"/>
      <c r="AS453" s="39"/>
      <c r="AU453" s="39"/>
      <c r="AV453" s="39"/>
      <c r="AW453" s="7"/>
      <c r="BV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FG453" s="23"/>
      <c r="FH453" s="23"/>
      <c r="FI453" s="23"/>
      <c r="FJ453" s="23"/>
      <c r="FK453" s="23"/>
      <c r="FL453" s="23"/>
      <c r="FM453" s="23"/>
      <c r="FN453" s="23"/>
    </row>
    <row r="454" spans="1:183" ht="12" customHeight="1" x14ac:dyDescent="0.3">
      <c r="B454" s="14"/>
      <c r="C454" s="14"/>
      <c r="D454" s="14"/>
      <c r="E454" s="14"/>
      <c r="F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K454" s="7"/>
      <c r="AL454" s="7"/>
      <c r="AM454" s="7"/>
      <c r="AN454" s="7"/>
      <c r="AO454" s="7"/>
      <c r="AP454" s="7"/>
      <c r="AQ454" s="39"/>
      <c r="AR454" s="39"/>
      <c r="AS454" s="39"/>
      <c r="AU454" s="39"/>
      <c r="AV454" s="39"/>
      <c r="AW454" s="7"/>
      <c r="BV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FG454" s="23"/>
      <c r="FH454" s="23"/>
      <c r="FI454" s="23"/>
      <c r="FJ454" s="23"/>
      <c r="FK454" s="23"/>
      <c r="FL454" s="23"/>
      <c r="FM454" s="23"/>
      <c r="FN454" s="23"/>
    </row>
    <row r="455" spans="1:183" ht="12" customHeight="1" x14ac:dyDescent="0.3">
      <c r="B455" s="14"/>
      <c r="C455" s="14"/>
      <c r="D455" s="14"/>
      <c r="E455" s="14"/>
      <c r="F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K455" s="7"/>
      <c r="AL455" s="7"/>
      <c r="AM455" s="7"/>
      <c r="AN455" s="7"/>
      <c r="AO455" s="7"/>
      <c r="AP455" s="7"/>
      <c r="AQ455" s="39"/>
      <c r="AR455" s="39"/>
      <c r="AS455" s="39"/>
      <c r="AU455" s="39"/>
      <c r="AV455" s="39"/>
      <c r="AW455" s="7"/>
      <c r="BV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FG455" s="23"/>
      <c r="FH455" s="23"/>
      <c r="FI455" s="23"/>
      <c r="FJ455" s="23"/>
      <c r="FK455" s="23"/>
      <c r="FL455" s="23"/>
      <c r="FM455" s="23"/>
      <c r="FN455" s="23"/>
    </row>
    <row r="456" spans="1:183" ht="12" customHeight="1" x14ac:dyDescent="0.3">
      <c r="B456" s="14"/>
      <c r="C456" s="14"/>
      <c r="D456" s="14"/>
      <c r="E456" s="14"/>
      <c r="F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K456" s="7"/>
      <c r="AL456" s="7"/>
      <c r="AM456" s="7"/>
      <c r="AN456" s="7"/>
      <c r="AO456" s="7"/>
      <c r="AP456" s="7"/>
      <c r="AQ456" s="39"/>
      <c r="AR456" s="39"/>
      <c r="AS456" s="39"/>
      <c r="AU456" s="39"/>
      <c r="AV456" s="39"/>
      <c r="AW456" s="7"/>
      <c r="BV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FG456" s="23"/>
      <c r="FH456" s="23"/>
      <c r="FI456" s="23"/>
      <c r="FJ456" s="23"/>
      <c r="FK456" s="23"/>
      <c r="FL456" s="23"/>
      <c r="FM456" s="23"/>
      <c r="FN456" s="23"/>
    </row>
    <row r="457" spans="1:183" ht="12" customHeight="1" x14ac:dyDescent="0.3">
      <c r="B457" s="14"/>
      <c r="C457" s="14"/>
      <c r="D457" s="14"/>
      <c r="E457" s="14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K457" s="7"/>
      <c r="AL457" s="7"/>
      <c r="AM457" s="7"/>
      <c r="AN457" s="7"/>
      <c r="AO457" s="7"/>
      <c r="AP457" s="7"/>
      <c r="AQ457" s="39"/>
      <c r="AR457" s="39"/>
      <c r="AS457" s="39"/>
      <c r="AU457" s="39"/>
      <c r="AV457" s="39"/>
      <c r="AW457" s="7"/>
      <c r="BV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FG457" s="23"/>
      <c r="FH457" s="23"/>
      <c r="FI457" s="23"/>
      <c r="FJ457" s="23"/>
      <c r="FK457" s="23"/>
      <c r="FL457" s="23"/>
      <c r="FM457" s="23"/>
      <c r="FN457" s="23"/>
    </row>
    <row r="458" spans="1:183" ht="12" customHeight="1" x14ac:dyDescent="0.3">
      <c r="B458" s="14"/>
      <c r="C458" s="14"/>
      <c r="D458" s="14"/>
      <c r="E458" s="14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K458" s="7"/>
      <c r="AL458" s="7"/>
      <c r="AM458" s="7"/>
      <c r="AN458" s="7"/>
      <c r="AO458" s="7"/>
      <c r="AP458" s="7"/>
      <c r="AQ458" s="39"/>
      <c r="AR458" s="39"/>
      <c r="AS458" s="39"/>
      <c r="AU458" s="39"/>
      <c r="AV458" s="39"/>
      <c r="AW458" s="7"/>
      <c r="BV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FG458" s="23"/>
      <c r="FH458" s="23"/>
      <c r="FI458" s="23"/>
      <c r="FJ458" s="23"/>
      <c r="FK458" s="23"/>
      <c r="FL458" s="23"/>
      <c r="FM458" s="23"/>
      <c r="FN458" s="23"/>
    </row>
    <row r="459" spans="1:183" ht="12" customHeight="1" x14ac:dyDescent="0.3">
      <c r="B459" s="14"/>
      <c r="C459" s="14"/>
      <c r="D459" s="14"/>
      <c r="E459" s="14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K459" s="7"/>
      <c r="AL459" s="7"/>
      <c r="AM459" s="7"/>
      <c r="AN459" s="7"/>
      <c r="AO459" s="7"/>
      <c r="AP459" s="7"/>
      <c r="AQ459" s="39"/>
      <c r="AR459" s="39"/>
      <c r="AS459" s="39"/>
      <c r="AU459" s="39"/>
      <c r="AV459" s="39"/>
      <c r="AW459" s="7"/>
      <c r="BV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FG459" s="23"/>
      <c r="FH459" s="23"/>
      <c r="FI459" s="23"/>
      <c r="FJ459" s="23"/>
      <c r="FK459" s="23"/>
      <c r="FL459" s="23"/>
      <c r="FM459" s="23"/>
      <c r="FN459" s="23"/>
    </row>
    <row r="460" spans="1:183" ht="12" customHeight="1" x14ac:dyDescent="0.3">
      <c r="B460" s="14"/>
      <c r="C460" s="14"/>
      <c r="D460" s="14"/>
      <c r="E460" s="14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K460" s="7"/>
      <c r="AL460" s="7"/>
      <c r="AM460" s="7"/>
      <c r="AN460" s="7"/>
      <c r="AO460" s="7"/>
      <c r="AP460" s="7"/>
      <c r="AQ460" s="39"/>
      <c r="AR460" s="39"/>
      <c r="AS460" s="39"/>
      <c r="AU460" s="39"/>
      <c r="AV460" s="39"/>
      <c r="AW460" s="7"/>
      <c r="BV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FG460" s="23"/>
      <c r="FH460" s="23"/>
      <c r="FI460" s="23"/>
      <c r="FJ460" s="23"/>
      <c r="FK460" s="23"/>
      <c r="FL460" s="23"/>
      <c r="FM460" s="23"/>
      <c r="FN460" s="23"/>
    </row>
    <row r="461" spans="1:183" ht="12" customHeight="1" x14ac:dyDescent="0.3">
      <c r="B461" s="14"/>
      <c r="C461" s="14"/>
      <c r="D461" s="14"/>
      <c r="E461" s="14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K461" s="7"/>
      <c r="AL461" s="7"/>
      <c r="AM461" s="7"/>
      <c r="AN461" s="7"/>
      <c r="AO461" s="7"/>
      <c r="AP461" s="7"/>
      <c r="AQ461" s="39"/>
      <c r="AR461" s="39"/>
      <c r="AS461" s="39"/>
      <c r="AU461" s="39"/>
      <c r="AV461" s="39"/>
      <c r="AW461" s="7"/>
      <c r="BV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FG461" s="23"/>
      <c r="FH461" s="23"/>
      <c r="FI461" s="23"/>
      <c r="FJ461" s="23"/>
      <c r="FK461" s="23"/>
      <c r="FL461" s="23"/>
      <c r="FM461" s="23"/>
      <c r="FN461" s="23"/>
    </row>
    <row r="462" spans="1:183" ht="12" customHeight="1" x14ac:dyDescent="0.3">
      <c r="B462" s="14"/>
      <c r="C462" s="14"/>
      <c r="D462" s="14"/>
      <c r="E462" s="14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K462" s="7"/>
      <c r="AL462" s="7"/>
      <c r="AM462" s="7"/>
      <c r="AN462" s="7"/>
      <c r="AO462" s="7"/>
      <c r="AP462" s="7"/>
      <c r="AQ462" s="39"/>
      <c r="AR462" s="39"/>
      <c r="AS462" s="39"/>
      <c r="AU462" s="39"/>
      <c r="AV462" s="39"/>
      <c r="AW462" s="7"/>
      <c r="BV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FG462" s="23"/>
      <c r="FH462" s="23"/>
      <c r="FI462" s="23"/>
      <c r="FJ462" s="23"/>
      <c r="FK462" s="23"/>
      <c r="FL462" s="23"/>
      <c r="FM462" s="23"/>
      <c r="FN462" s="23"/>
    </row>
    <row r="463" spans="1:183" ht="12" customHeight="1" x14ac:dyDescent="0.3">
      <c r="B463" s="14"/>
      <c r="C463" s="14"/>
      <c r="D463" s="14"/>
      <c r="E463" s="14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K463" s="7"/>
      <c r="AL463" s="7"/>
      <c r="AM463" s="7"/>
      <c r="AN463" s="7"/>
      <c r="AO463" s="7"/>
      <c r="AP463" s="7"/>
      <c r="AQ463" s="39"/>
      <c r="AR463" s="39"/>
      <c r="AS463" s="39"/>
      <c r="AU463" s="39"/>
      <c r="AV463" s="39"/>
      <c r="AW463" s="7"/>
      <c r="BV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FG463" s="23"/>
      <c r="FH463" s="23"/>
      <c r="FI463" s="23"/>
      <c r="FJ463" s="23"/>
      <c r="FK463" s="23"/>
      <c r="FL463" s="23"/>
      <c r="FM463" s="23"/>
      <c r="FN463" s="23"/>
    </row>
    <row r="464" spans="1:183" ht="12" customHeight="1" x14ac:dyDescent="0.3">
      <c r="B464" s="14"/>
      <c r="C464" s="14"/>
      <c r="D464" s="14"/>
      <c r="E464" s="14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K464" s="7"/>
      <c r="AL464" s="7"/>
      <c r="AM464" s="7"/>
      <c r="AN464" s="7"/>
      <c r="AO464" s="7"/>
      <c r="AP464" s="7"/>
      <c r="AQ464" s="39"/>
      <c r="AR464" s="39"/>
      <c r="AS464" s="39"/>
      <c r="AU464" s="39"/>
      <c r="AV464" s="39"/>
      <c r="AW464" s="7"/>
      <c r="BV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FG464" s="23"/>
      <c r="FH464" s="23"/>
      <c r="FI464" s="23"/>
      <c r="FJ464" s="23"/>
      <c r="FK464" s="23"/>
      <c r="FL464" s="23"/>
      <c r="FM464" s="23"/>
      <c r="FN464" s="23"/>
    </row>
    <row r="465" spans="1:183" ht="12" customHeight="1" x14ac:dyDescent="0.3">
      <c r="B465" s="14" t="s">
        <v>605</v>
      </c>
      <c r="C465" s="14"/>
      <c r="D465" s="14" t="s">
        <v>365</v>
      </c>
      <c r="E465" s="14"/>
      <c r="F465" s="43" t="s">
        <v>623</v>
      </c>
      <c r="G465" s="38">
        <f t="shared" ref="G465:G496" si="1612">129/0.145</f>
        <v>889.65517241379314</v>
      </c>
      <c r="H465" s="45">
        <v>203.2</v>
      </c>
      <c r="I465" s="4">
        <f t="shared" ref="I465:I496" si="1613">H465</f>
        <v>203.2</v>
      </c>
      <c r="J465" s="45">
        <v>48.551724137931032</v>
      </c>
      <c r="K465" s="7">
        <v>25.4</v>
      </c>
      <c r="L465" s="7">
        <f t="shared" ref="L465:L496" si="1614">H465/K465</f>
        <v>8</v>
      </c>
      <c r="M465" s="7">
        <f t="shared" ref="M465:M496" si="1615">I465/K465</f>
        <v>8</v>
      </c>
      <c r="N465" s="45">
        <v>1219.1999999999998</v>
      </c>
      <c r="O465" s="45">
        <v>596.9</v>
      </c>
      <c r="P465" s="45">
        <v>596.9</v>
      </c>
      <c r="Q465" s="7"/>
      <c r="R465" s="38">
        <v>1</v>
      </c>
      <c r="T465" s="7">
        <f>MIN(O465/K465+0.5)</f>
        <v>24</v>
      </c>
      <c r="U465" s="7">
        <f t="shared" ref="U465:U496" si="1616">O465/K465+0.5</f>
        <v>24</v>
      </c>
      <c r="V465" s="45">
        <v>9.5</v>
      </c>
      <c r="W465" s="4">
        <f t="shared" ref="W465:W496" si="1617">V465</f>
        <v>9.5</v>
      </c>
      <c r="X465" s="4">
        <f t="shared" ref="X465:X496" si="1618">W465+1</f>
        <v>10.5</v>
      </c>
      <c r="Y465" s="7">
        <f t="shared" ref="Y465:Y496" si="1619">K465*X465^0.5</f>
        <v>82.305406869779816</v>
      </c>
      <c r="AB465" s="45">
        <v>572.41379310344837</v>
      </c>
      <c r="AE465" s="38">
        <f>25.4*5/8</f>
        <v>15.875</v>
      </c>
      <c r="AF465" s="38">
        <v>4</v>
      </c>
      <c r="AG465" s="39">
        <f>6*25.4</f>
        <v>152.39999999999998</v>
      </c>
      <c r="AH465" s="39">
        <v>2</v>
      </c>
      <c r="AI465" s="39"/>
      <c r="AK465" s="4">
        <f t="shared" ref="AK465:AK496" si="1620">H465</f>
        <v>203.2</v>
      </c>
      <c r="AL465" s="4">
        <f t="shared" ref="AL465:AL496" si="1621">MIN(9*H465^2,MIN(N465,3*H465)*(3*H465))/(9*H465^2)</f>
        <v>0.99999999999999989</v>
      </c>
      <c r="AM465" s="4">
        <f t="shared" ref="AM465:AM496" si="1622">MIN(10*J465^0.5*H465^1.5,100*3.9*J465^0.5*H465^(5/3))/(PI()/4*K465^2)/R465</f>
        <v>398.31858389679627</v>
      </c>
      <c r="AN465" s="4">
        <f t="shared" ref="AN465:AN496" si="1623">MIN(0.7+0.3*(O465+K465/2)/1.5/H465,1)</f>
        <v>1</v>
      </c>
      <c r="AO465" s="4">
        <v>1.25</v>
      </c>
      <c r="AP465" s="4">
        <v>1</v>
      </c>
      <c r="AQ465" s="38">
        <f t="shared" ref="AQ465:AQ496" si="1624">AL465*AN465*AO465*AP465*AM465</f>
        <v>497.89822987099524</v>
      </c>
      <c r="AR465" s="38">
        <f>AS465*H465*(PI()*H465*1)*MIN(1, (300/(H465+P465))^0.25)/ (PI()/4*K465^2)/R465/1.25</f>
        <v>639.85547595156208</v>
      </c>
      <c r="AS465" s="38">
        <f t="shared" ref="AS465:AS496" si="1625">IF(J465&lt;50, 0.3*J465^(2/3), 2.12*LN(1+0.1*(J465+8)))</f>
        <v>3.9926173774513112</v>
      </c>
      <c r="AX465" s="4">
        <f t="shared" ref="AX465:AX496" si="1626">I465/K465*J465^0.5/0.19</f>
        <v>293.3855463448877</v>
      </c>
      <c r="AY465" s="4">
        <f t="shared" ref="AY465:AY496" si="1627">MIN(0.6+0.4*(U465/T465),2)</f>
        <v>1</v>
      </c>
      <c r="AZ465" s="38">
        <f t="shared" ref="AZ465:AZ496" si="1628">2*J465*T465*V465^0.5*AY465*0.7/0.7</f>
        <v>7183.0302754595714</v>
      </c>
      <c r="BA465" s="4">
        <f t="shared" ref="BA465:BA496" si="1629">MAX(1-0.7*W465/5,0.3)</f>
        <v>0.3</v>
      </c>
      <c r="BB465" s="4">
        <f t="shared" ref="BB465:BB496" si="1630">BA465*G465*I465/(G465*K465/2.75/J465^0.5)</f>
        <v>45.988184389561141</v>
      </c>
      <c r="BC465" s="4">
        <f t="shared" ref="BC465:BC496" si="1631">AZ465+BB465</f>
        <v>7229.0184598491323</v>
      </c>
      <c r="BE465" s="4">
        <f t="shared" ref="BE465:BE496" si="1632">MIN(1.5, 0.75+0.25*MIN(3,MAX(1,O465/K465))+0.4*MIN(1,(40*2*PI()*AE465^2/4/AG465/R465)/K465))</f>
        <v>1.5</v>
      </c>
      <c r="BF465" s="4">
        <f t="shared" ref="BF465:BF496" si="1633">(3*M465+30)*BE465*J465^0.5</f>
        <v>564.40044478097775</v>
      </c>
      <c r="BH465" s="4">
        <f t="shared" ref="BH465:BH496" si="1634">3.4/PI()^0.5*J465*T465*W465^0.5*AY465</f>
        <v>6889.4044615281846</v>
      </c>
      <c r="BI465" s="4">
        <f t="shared" ref="BI465:BI496" si="1635">8/3*Z465*AA465^2/(Y465-K465-22)/K465*(Y465^2-K465^2)/(Y465^2-(K465+22)^2)</f>
        <v>0</v>
      </c>
      <c r="BJ465" s="4">
        <f t="shared" ref="BJ465:BJ496" si="1636">BI465/BH465</f>
        <v>0</v>
      </c>
      <c r="BR465" s="4">
        <f t="shared" ref="BR465:BR496" si="1637">IF(Q465=0,O465,MIN(Q465/2,O465))</f>
        <v>596.9</v>
      </c>
      <c r="BV465" s="9"/>
      <c r="BX465" s="9"/>
      <c r="BY465" s="9"/>
      <c r="BZ465" s="9">
        <f t="shared" ref="BZ465:BZ496" si="1638">IF(Q465=0,MIN(O465,P465),MIN(Q465/2,O465,P465))</f>
        <v>596.9</v>
      </c>
      <c r="CA465" s="9">
        <f t="shared" ref="CA465:CA496" si="1639">MAX(Q465/2,O465)</f>
        <v>596.9</v>
      </c>
      <c r="CB465" s="9">
        <f t="shared" ref="CB465:CB496" si="1640">(BZ465/K465)^0.5*(CA465/BZ465)^0.15</f>
        <v>4.8476798574163293</v>
      </c>
      <c r="CC465" s="40">
        <f t="shared" ref="CC465:CC496" si="1641">IF(AG465&gt;1,20,0)</f>
        <v>20</v>
      </c>
      <c r="CD465" s="9">
        <f t="shared" ref="CD465:CD496" si="1642">MIN(PI()*AE465^2/4*AF465*2/R465/K465/MAX(0.01,AG465),0.05)</f>
        <v>0.05</v>
      </c>
      <c r="CE465" s="9">
        <f t="shared" ref="CE465:CE496" si="1643">MAX(0,CC465*(CD465-0.5/50))</f>
        <v>0.8</v>
      </c>
      <c r="CF465" s="9">
        <f t="shared" ref="CF465:CF496" si="1644">MIN(1,(25/K465)^0.3)</f>
        <v>0.99524931562137331</v>
      </c>
      <c r="CG465" s="9">
        <f t="shared" ref="CG465:CG496" si="1645">IF(G465&gt;=800,0.68,IF(G465&gt;=700,0.75-(G465-700)*0.07/100,IF(G465&gt;=600,0.85-(G465-600)*0.1/100,IF(G465&gt;=500,1-(G465-500)*0.15/100,1.2-(G465-400)*0.2/100))))</f>
        <v>0.68</v>
      </c>
      <c r="CH465" s="9">
        <f t="shared" ref="CH465:CH496" si="1646">1.75*CF465*CG465*(J465/25)^0.5</f>
        <v>1.6504834472137122</v>
      </c>
      <c r="CI465" s="9">
        <f t="shared" ref="CI465:CI496" si="1647">MIN((CB465+CE465)*CH465,2.5*CH465,J465^0.5)</f>
        <v>4.1262086180342807</v>
      </c>
      <c r="CJ465" s="40">
        <v>1</v>
      </c>
      <c r="CK465" s="9">
        <f t="shared" ref="CK465:CK496" si="1648">4*CI465*M465+60*CI465</f>
        <v>379.61119285915379</v>
      </c>
      <c r="DI465" s="4">
        <f t="shared" ref="DI465:DI496" si="1649">I465</f>
        <v>203.2</v>
      </c>
      <c r="DL465" s="4">
        <f t="shared" ref="DL465:DL496" si="1650">H465/4/(1-0.3*(J465/30)^0.5)/200000/K465</f>
        <v>1.617201772180078E-5</v>
      </c>
      <c r="DM465" s="4">
        <f t="shared" ref="DM465:DM496" si="1651">EH465</f>
        <v>10.690419306030725</v>
      </c>
      <c r="DN465" s="4">
        <f t="shared" ref="DN465:DN496" si="1652">EQ465</f>
        <v>0.44353052005319737</v>
      </c>
      <c r="DO465" s="4">
        <f t="shared" ref="DO465:DO496" si="1653">DM465*DN465^0.4</f>
        <v>7.7226107205649352</v>
      </c>
      <c r="DP465" s="4">
        <f t="shared" ref="DP465:DP496" si="1654">MIN(DM465, DM465/1.4*(1-DN465^1.4)/(1-DN465))</f>
        <v>9.3256375606551067</v>
      </c>
      <c r="DQ465" s="4">
        <f t="shared" ref="DQ465:DQ496" si="1655">MAX(DM465/2, (4-DL465*(8*Y465*(DO465-DP465)+6*H465*DP465))/(4+DL465*H465*DM465)*DM465)</f>
        <v>10.155429056789377</v>
      </c>
      <c r="DR465" s="38">
        <f t="shared" ref="DR465:DR496" si="1656">MIN(1/K465*(4*Y465*(DO465-DP465)+(3*DP465+DQ465)*H465)+MIN(DT$10*AR465, DT$11/0.7*2.8*J465*T465*W465^0.5*MIN(0.3+0.2*U465/T465,1)) -FB465,MAX(G465,AB465))</f>
        <v>889.65517241379314</v>
      </c>
      <c r="DS465" s="4">
        <f t="shared" ref="DS465:DS496" si="1657">DR465/EX465</f>
        <v>1</v>
      </c>
      <c r="DT465" s="4">
        <f t="shared" ref="DT465:DT496" si="1658">Y465/K465</f>
        <v>3.2403703492039297</v>
      </c>
      <c r="DU465" s="4">
        <f t="shared" ref="DU465:DU496" si="1659">MIN(DT$10*AR465, DT$11*AZ465)</f>
        <v>639.85547595156208</v>
      </c>
      <c r="DY465" s="4">
        <f t="shared" ref="DY465:DY496" si="1660">IF(P465&gt;1*K465,0.85,1)</f>
        <v>0.85</v>
      </c>
      <c r="DZ465" s="4">
        <f t="shared" ref="DZ465:DZ496" si="1661">MIN(1,MAX(0.7,(1-0.1*(BR465-1*K465)/K465)))</f>
        <v>0.7</v>
      </c>
      <c r="EA465" s="4">
        <f t="shared" ref="EA465:EA496" si="1662">MIN(1,MAX(0.7,1-0.3*(PI()*AE465^2/4*AI465*2-0.25*PI()/4*K465^2)/(PI()/4*K465^2)))</f>
        <v>1</v>
      </c>
      <c r="EB465" s="4">
        <f t="shared" ref="EB465:EB496" si="1663">IF(DZ465*EA465&lt;0.7,0.7,DZ465*EA465)</f>
        <v>0.7</v>
      </c>
      <c r="ED465" s="4">
        <f t="shared" ref="ED465:ED496" si="1664">MIN(DM465/K465*(3.1*H465-0*1.4*K465)+2.8*J465*T465-FB465,MAX(G465,AB465))</f>
        <v>889.65517241379314</v>
      </c>
      <c r="EH465" s="4">
        <f t="shared" ref="EH465:EH496" si="1665">IF(K465&lt;22.2,1.1*5*(J465/30)^0.5,IF(K465&gt;=31.8,0.9*5*(J465/30)^0.5,1*5*(J465/30)^0.5))/EB465/DY465</f>
        <v>10.690419306030725</v>
      </c>
      <c r="EK465" s="4">
        <f t="shared" ref="EK465:EK496" si="1666">EL465*K465</f>
        <v>82.305406869779816</v>
      </c>
      <c r="EL465" s="4">
        <f t="shared" ref="EL465:EL496" si="1667">X465^0.5</f>
        <v>3.2403703492039302</v>
      </c>
      <c r="EM465" s="4">
        <f t="shared" ref="EM465:EM496" si="1668">MIN(DU465)/(4700*J465^0.5)/W465*EK465</f>
        <v>0.16927252226774256</v>
      </c>
      <c r="EP465" s="4">
        <f t="shared" ref="EP465:EP496" si="1669">EM465</f>
        <v>0.16927252226774256</v>
      </c>
      <c r="EQ465" s="4">
        <f t="shared" ref="EQ465:EQ496" si="1670">MIN(0.999, EP465/(0.3*(J465/30)^0.5))</f>
        <v>0.44353052005319737</v>
      </c>
      <c r="ER465" s="4">
        <f t="shared" ref="ER465:ER496" si="1671">EH465/1*EQ465^0.4</f>
        <v>7.7226107205649352</v>
      </c>
      <c r="ES465" s="4">
        <f t="shared" ref="ES465:ES496" si="1672">EH465/1.4*(1-EQ465^1.4)/(1-EQ465)</f>
        <v>9.3256375606551067</v>
      </c>
      <c r="ET465" s="4">
        <f t="shared" ref="ET465:ET496" si="1673">MAX(0,DI465*ET$9-EK465)</f>
        <v>70.094593130220161</v>
      </c>
      <c r="EU465" s="4">
        <f t="shared" ref="EU465:EU496" si="1674">MAX(0,DI465-EK465-ET465)</f>
        <v>50.800000000000011</v>
      </c>
      <c r="EV465" s="4">
        <f t="shared" ref="EV465:EV496" si="1675">EU465/(1-0.3*(J465/30)^0.5)/200000/K465</f>
        <v>1.617201772180078E-5</v>
      </c>
      <c r="EW465" s="4">
        <f t="shared" ref="EW465:EW496" si="1676">MAX(0.5*EH465, (1-2*EV465*(EK465*ER465+ET465*ES465))/(1/EH465+EV465*EU465))</f>
        <v>10.155429056789377</v>
      </c>
      <c r="EX465" s="4">
        <f t="shared" ref="EX465:EX496" si="1677">MIN(4/K465*(1*ER465*EK465+ES465*ET465+EU465*EW465)+DU465,MAX(G465,AB465))</f>
        <v>889.65517241379314</v>
      </c>
      <c r="FG465" s="23"/>
      <c r="FH465" s="23"/>
      <c r="FI465" s="23"/>
      <c r="FJ465" s="23"/>
      <c r="FK465" s="23"/>
      <c r="FL465" s="23"/>
      <c r="FM465" s="23"/>
      <c r="FN465" s="23"/>
      <c r="FX465" s="4">
        <f t="shared" ref="FX465:FX496" si="1678">IF(O465&gt;=2.5*25.4,1,1.25)</f>
        <v>1</v>
      </c>
      <c r="FY465" s="4">
        <f t="shared" ref="FY465:FY496" si="1679">IF(AG465&gt;1, 0.05*(18-MIN(8,(Q465+K465)/K465))*(1-48000/MAX(60000,(G465*145))*(K465/25.4)^0.75*FZ465), 1/12*(14-MIN(8,(Q465+K465)/K465)))</f>
        <v>0.75511627906976753</v>
      </c>
      <c r="FZ465" s="4">
        <f t="shared" ref="FZ465:FZ496" si="1680">MIN(0.3, AE465^2*PI()/4*2*AH465/(K465^2*PI()/4*R465))</f>
        <v>0.3</v>
      </c>
      <c r="GA465" s="4">
        <f t="shared" ref="GA465:GA496" si="1681">(H465/25.4)/(K465/25.4)^1.5/0.0024*(J465*145)^0.25/FX465/FY465/145</f>
        <v>278.86247321680872</v>
      </c>
    </row>
    <row r="466" spans="1:183" ht="12" customHeight="1" x14ac:dyDescent="0.3">
      <c r="B466" s="14" t="s">
        <v>605</v>
      </c>
      <c r="C466" s="14"/>
      <c r="D466" s="14" t="s">
        <v>365</v>
      </c>
      <c r="E466" s="14"/>
      <c r="F466" s="43" t="s">
        <v>623</v>
      </c>
      <c r="G466" s="38">
        <f t="shared" si="1612"/>
        <v>889.65517241379314</v>
      </c>
      <c r="H466" s="45">
        <v>210.82</v>
      </c>
      <c r="I466" s="4">
        <f t="shared" si="1613"/>
        <v>210.82</v>
      </c>
      <c r="J466" s="45">
        <v>48.551724137931032</v>
      </c>
      <c r="K466" s="7">
        <v>25.4</v>
      </c>
      <c r="L466" s="7">
        <f t="shared" si="1614"/>
        <v>8.3000000000000007</v>
      </c>
      <c r="M466" s="7">
        <f t="shared" si="1615"/>
        <v>8.3000000000000007</v>
      </c>
      <c r="N466" s="45">
        <v>1219.1999999999998</v>
      </c>
      <c r="O466" s="45">
        <v>596.9</v>
      </c>
      <c r="P466" s="45">
        <v>596.9</v>
      </c>
      <c r="Q466" s="7"/>
      <c r="R466" s="38">
        <v>1</v>
      </c>
      <c r="T466" s="7">
        <f t="shared" ref="T466:T496" si="1682">MIN(O466/K466+0.5)</f>
        <v>24</v>
      </c>
      <c r="U466" s="7">
        <f t="shared" si="1616"/>
        <v>24</v>
      </c>
      <c r="V466" s="45">
        <v>9.5</v>
      </c>
      <c r="W466" s="4">
        <f t="shared" si="1617"/>
        <v>9.5</v>
      </c>
      <c r="X466" s="4">
        <f t="shared" si="1618"/>
        <v>10.5</v>
      </c>
      <c r="Y466" s="7">
        <f t="shared" si="1619"/>
        <v>82.305406869779816</v>
      </c>
      <c r="AB466" s="45">
        <v>591.72413793103453</v>
      </c>
      <c r="AE466" s="38"/>
      <c r="AF466" s="38"/>
      <c r="AG466" s="39">
        <v>1</v>
      </c>
      <c r="AH466" s="39"/>
      <c r="AI466" s="39"/>
      <c r="AK466" s="4">
        <f t="shared" si="1620"/>
        <v>210.82</v>
      </c>
      <c r="AL466" s="4">
        <f t="shared" si="1621"/>
        <v>1</v>
      </c>
      <c r="AM466" s="4">
        <f t="shared" si="1622"/>
        <v>420.93276036185819</v>
      </c>
      <c r="AN466" s="4">
        <f t="shared" si="1623"/>
        <v>1</v>
      </c>
      <c r="AO466" s="4">
        <v>1.25</v>
      </c>
      <c r="AP466" s="4">
        <v>1</v>
      </c>
      <c r="AQ466" s="38">
        <f t="shared" si="1624"/>
        <v>526.1659504523227</v>
      </c>
      <c r="AR466" s="38">
        <f t="shared" ref="AR466:AR496" si="1683">AQ466</f>
        <v>526.1659504523227</v>
      </c>
      <c r="AS466" s="38">
        <f t="shared" si="1625"/>
        <v>3.9926173774513112</v>
      </c>
      <c r="AX466" s="4">
        <f t="shared" si="1626"/>
        <v>304.38750433282104</v>
      </c>
      <c r="AY466" s="4">
        <f t="shared" si="1627"/>
        <v>1</v>
      </c>
      <c r="AZ466" s="38">
        <f t="shared" si="1628"/>
        <v>7183.0302754595714</v>
      </c>
      <c r="BA466" s="4">
        <f t="shared" si="1629"/>
        <v>0.3</v>
      </c>
      <c r="BB466" s="4">
        <f t="shared" si="1630"/>
        <v>47.712741304169683</v>
      </c>
      <c r="BC466" s="4">
        <f t="shared" si="1631"/>
        <v>7230.7430167637413</v>
      </c>
      <c r="BE466" s="4">
        <f t="shared" si="1632"/>
        <v>1.5</v>
      </c>
      <c r="BF466" s="4">
        <f t="shared" si="1633"/>
        <v>573.80711886066081</v>
      </c>
      <c r="BH466" s="4">
        <f t="shared" si="1634"/>
        <v>6889.4044615281846</v>
      </c>
      <c r="BI466" s="4">
        <f t="shared" si="1635"/>
        <v>0</v>
      </c>
      <c r="BJ466" s="4">
        <f t="shared" si="1636"/>
        <v>0</v>
      </c>
      <c r="BR466" s="4">
        <f t="shared" si="1637"/>
        <v>596.9</v>
      </c>
      <c r="BV466" s="9"/>
      <c r="BX466" s="9"/>
      <c r="BY466" s="9"/>
      <c r="BZ466" s="9">
        <f t="shared" si="1638"/>
        <v>596.9</v>
      </c>
      <c r="CA466" s="9">
        <f t="shared" si="1639"/>
        <v>596.9</v>
      </c>
      <c r="CB466" s="9">
        <f t="shared" si="1640"/>
        <v>4.8476798574163293</v>
      </c>
      <c r="CC466" s="40">
        <f t="shared" si="1641"/>
        <v>0</v>
      </c>
      <c r="CD466" s="9">
        <f t="shared" si="1642"/>
        <v>0</v>
      </c>
      <c r="CE466" s="9">
        <f t="shared" si="1643"/>
        <v>0</v>
      </c>
      <c r="CF466" s="9">
        <f t="shared" si="1644"/>
        <v>0.99524931562137331</v>
      </c>
      <c r="CG466" s="9">
        <f t="shared" si="1645"/>
        <v>0.68</v>
      </c>
      <c r="CH466" s="9">
        <f t="shared" si="1646"/>
        <v>1.6504834472137122</v>
      </c>
      <c r="CI466" s="9">
        <f t="shared" si="1647"/>
        <v>4.1262086180342807</v>
      </c>
      <c r="CJ466" s="40">
        <v>1</v>
      </c>
      <c r="CK466" s="9">
        <f t="shared" si="1648"/>
        <v>384.56264320079498</v>
      </c>
      <c r="DI466" s="4">
        <f t="shared" si="1649"/>
        <v>210.82</v>
      </c>
      <c r="DL466" s="4">
        <f t="shared" si="1650"/>
        <v>1.6778468386368307E-5</v>
      </c>
      <c r="DM466" s="4">
        <f t="shared" si="1651"/>
        <v>10.690419306030725</v>
      </c>
      <c r="DN466" s="4">
        <f t="shared" si="1652"/>
        <v>0.36472401410857042</v>
      </c>
      <c r="DO466" s="4">
        <f t="shared" si="1653"/>
        <v>7.1413527097240266</v>
      </c>
      <c r="DP466" s="4">
        <f t="shared" si="1654"/>
        <v>9.0914327666231785</v>
      </c>
      <c r="DQ466" s="4">
        <f t="shared" si="1655"/>
        <v>10.136488236253166</v>
      </c>
      <c r="DR466" s="38">
        <f t="shared" si="1656"/>
        <v>811.39955232234138</v>
      </c>
      <c r="DS466" s="4">
        <f t="shared" si="1657"/>
        <v>1</v>
      </c>
      <c r="DT466" s="4">
        <f t="shared" si="1658"/>
        <v>3.2403703492039297</v>
      </c>
      <c r="DU466" s="4">
        <f t="shared" si="1659"/>
        <v>526.1659504523227</v>
      </c>
      <c r="DY466" s="4">
        <f t="shared" si="1660"/>
        <v>0.85</v>
      </c>
      <c r="DZ466" s="4">
        <f t="shared" si="1661"/>
        <v>0.7</v>
      </c>
      <c r="EA466" s="4">
        <f t="shared" si="1662"/>
        <v>1</v>
      </c>
      <c r="EB466" s="4">
        <f t="shared" si="1663"/>
        <v>0.7</v>
      </c>
      <c r="ED466" s="4">
        <f t="shared" si="1664"/>
        <v>889.65517241379314</v>
      </c>
      <c r="EH466" s="4">
        <f t="shared" si="1665"/>
        <v>10.690419306030725</v>
      </c>
      <c r="EK466" s="4">
        <f t="shared" si="1666"/>
        <v>82.305406869779816</v>
      </c>
      <c r="EL466" s="4">
        <f t="shared" si="1667"/>
        <v>3.2403703492039302</v>
      </c>
      <c r="EM466" s="4">
        <f t="shared" si="1668"/>
        <v>0.13919617931223441</v>
      </c>
      <c r="EP466" s="4">
        <f t="shared" si="1669"/>
        <v>0.13919617931223441</v>
      </c>
      <c r="EQ466" s="4">
        <f t="shared" si="1670"/>
        <v>0.36472401410857042</v>
      </c>
      <c r="ER466" s="4">
        <f t="shared" si="1671"/>
        <v>7.1413527097240266</v>
      </c>
      <c r="ES466" s="4">
        <f t="shared" si="1672"/>
        <v>9.0914327666231785</v>
      </c>
      <c r="ET466" s="4">
        <f t="shared" si="1673"/>
        <v>75.809593130220193</v>
      </c>
      <c r="EU466" s="4">
        <f t="shared" si="1674"/>
        <v>52.704999999999998</v>
      </c>
      <c r="EV466" s="4">
        <f t="shared" si="1675"/>
        <v>1.6778468386368307E-5</v>
      </c>
      <c r="EW466" s="4">
        <f t="shared" si="1676"/>
        <v>10.136488236253166</v>
      </c>
      <c r="EX466" s="4">
        <f t="shared" si="1677"/>
        <v>811.39955232234138</v>
      </c>
      <c r="FG466" s="23"/>
      <c r="FH466" s="23"/>
      <c r="FI466" s="23"/>
      <c r="FJ466" s="23"/>
      <c r="FK466" s="23"/>
      <c r="FL466" s="23"/>
      <c r="FM466" s="23"/>
      <c r="FN466" s="23"/>
      <c r="FX466" s="4">
        <f t="shared" si="1678"/>
        <v>1</v>
      </c>
      <c r="FY466" s="4">
        <f t="shared" si="1679"/>
        <v>1.0833333333333333</v>
      </c>
      <c r="FZ466" s="4">
        <f t="shared" si="1680"/>
        <v>0</v>
      </c>
      <c r="GA466" s="4">
        <f t="shared" si="1681"/>
        <v>201.66471036065258</v>
      </c>
    </row>
    <row r="467" spans="1:183" ht="12" customHeight="1" x14ac:dyDescent="0.3">
      <c r="B467" s="14" t="s">
        <v>605</v>
      </c>
      <c r="C467" s="14"/>
      <c r="D467" s="14" t="s">
        <v>365</v>
      </c>
      <c r="E467" s="14"/>
      <c r="F467" s="43" t="s">
        <v>624</v>
      </c>
      <c r="G467" s="38">
        <f t="shared" si="1612"/>
        <v>889.65517241379314</v>
      </c>
      <c r="H467" s="45">
        <v>215.89999999999998</v>
      </c>
      <c r="I467" s="4">
        <f t="shared" si="1613"/>
        <v>215.89999999999998</v>
      </c>
      <c r="J467" s="45">
        <v>48.551724137931032</v>
      </c>
      <c r="K467" s="7">
        <v>25.4</v>
      </c>
      <c r="L467" s="7">
        <f t="shared" si="1614"/>
        <v>8.5</v>
      </c>
      <c r="M467" s="7">
        <f t="shared" si="1615"/>
        <v>8.5</v>
      </c>
      <c r="N467" s="45">
        <v>1219.1999999999998</v>
      </c>
      <c r="O467" s="45">
        <v>596.9</v>
      </c>
      <c r="P467" s="45">
        <v>596.9</v>
      </c>
      <c r="Q467" s="7"/>
      <c r="R467" s="38">
        <v>1</v>
      </c>
      <c r="T467" s="7">
        <f t="shared" si="1682"/>
        <v>24</v>
      </c>
      <c r="U467" s="7">
        <f t="shared" si="1616"/>
        <v>24</v>
      </c>
      <c r="V467" s="45">
        <v>4</v>
      </c>
      <c r="W467" s="4">
        <f t="shared" si="1617"/>
        <v>4</v>
      </c>
      <c r="X467" s="4">
        <f t="shared" si="1618"/>
        <v>5</v>
      </c>
      <c r="Y467" s="7">
        <f t="shared" si="1619"/>
        <v>56.796126628494655</v>
      </c>
      <c r="AB467" s="45">
        <v>539.31034482758628</v>
      </c>
      <c r="AE467" s="38"/>
      <c r="AF467" s="38"/>
      <c r="AG467" s="39">
        <v>1</v>
      </c>
      <c r="AH467" s="39"/>
      <c r="AI467" s="39"/>
      <c r="AK467" s="4">
        <f t="shared" si="1620"/>
        <v>215.89999999999998</v>
      </c>
      <c r="AL467" s="4">
        <f t="shared" si="1621"/>
        <v>1</v>
      </c>
      <c r="AM467" s="4">
        <f t="shared" si="1622"/>
        <v>436.23848592031243</v>
      </c>
      <c r="AN467" s="4">
        <f t="shared" si="1623"/>
        <v>1</v>
      </c>
      <c r="AO467" s="4">
        <v>1.25</v>
      </c>
      <c r="AP467" s="4">
        <v>1</v>
      </c>
      <c r="AQ467" s="38">
        <f t="shared" si="1624"/>
        <v>545.29810740039056</v>
      </c>
      <c r="AR467" s="38">
        <f t="shared" si="1683"/>
        <v>545.29810740039056</v>
      </c>
      <c r="AS467" s="38">
        <f t="shared" si="1625"/>
        <v>3.9926173774513112</v>
      </c>
      <c r="AX467" s="4">
        <f t="shared" si="1626"/>
        <v>311.72214299144321</v>
      </c>
      <c r="AY467" s="4">
        <f t="shared" si="1627"/>
        <v>1</v>
      </c>
      <c r="AZ467" s="38">
        <f t="shared" si="1628"/>
        <v>4660.9655172413786</v>
      </c>
      <c r="BA467" s="4">
        <f t="shared" si="1629"/>
        <v>0.44000000000000006</v>
      </c>
      <c r="BB467" s="4">
        <f t="shared" si="1630"/>
        <v>71.664920673732794</v>
      </c>
      <c r="BC467" s="4">
        <f t="shared" si="1631"/>
        <v>4732.6304379151115</v>
      </c>
      <c r="BE467" s="4">
        <f t="shared" si="1632"/>
        <v>1.5</v>
      </c>
      <c r="BF467" s="4">
        <f t="shared" si="1633"/>
        <v>580.07823491378269</v>
      </c>
      <c r="BH467" s="4">
        <f t="shared" si="1634"/>
        <v>4470.4359299748721</v>
      </c>
      <c r="BI467" s="4">
        <f t="shared" si="1635"/>
        <v>0</v>
      </c>
      <c r="BJ467" s="4">
        <f t="shared" si="1636"/>
        <v>0</v>
      </c>
      <c r="BR467" s="4">
        <f t="shared" si="1637"/>
        <v>596.9</v>
      </c>
      <c r="BV467" s="9"/>
      <c r="BX467" s="9"/>
      <c r="BY467" s="9"/>
      <c r="BZ467" s="9">
        <f t="shared" si="1638"/>
        <v>596.9</v>
      </c>
      <c r="CA467" s="9">
        <f t="shared" si="1639"/>
        <v>596.9</v>
      </c>
      <c r="CB467" s="9">
        <f t="shared" si="1640"/>
        <v>4.8476798574163293</v>
      </c>
      <c r="CC467" s="40">
        <f t="shared" si="1641"/>
        <v>0</v>
      </c>
      <c r="CD467" s="9">
        <f t="shared" si="1642"/>
        <v>0</v>
      </c>
      <c r="CE467" s="9">
        <f t="shared" si="1643"/>
        <v>0</v>
      </c>
      <c r="CF467" s="9">
        <f t="shared" si="1644"/>
        <v>0.99524931562137331</v>
      </c>
      <c r="CG467" s="9">
        <f t="shared" si="1645"/>
        <v>0.68</v>
      </c>
      <c r="CH467" s="9">
        <f t="shared" si="1646"/>
        <v>1.6504834472137122</v>
      </c>
      <c r="CI467" s="9">
        <f t="shared" si="1647"/>
        <v>4.1262086180342807</v>
      </c>
      <c r="CJ467" s="40">
        <v>1</v>
      </c>
      <c r="CK467" s="9">
        <f t="shared" si="1648"/>
        <v>387.86361009522238</v>
      </c>
      <c r="DI467" s="4">
        <f t="shared" si="1649"/>
        <v>215.89999999999998</v>
      </c>
      <c r="DL467" s="4">
        <f t="shared" si="1650"/>
        <v>1.7182768829413324E-5</v>
      </c>
      <c r="DM467" s="4">
        <f t="shared" si="1651"/>
        <v>10.690419306030725</v>
      </c>
      <c r="DN467" s="4">
        <f t="shared" si="1652"/>
        <v>0.61948326067862303</v>
      </c>
      <c r="DO467" s="4">
        <f t="shared" si="1653"/>
        <v>8.8268667378225558</v>
      </c>
      <c r="DP467" s="4">
        <f t="shared" si="1654"/>
        <v>9.8030662330807399</v>
      </c>
      <c r="DQ467" s="4">
        <f t="shared" si="1655"/>
        <v>10.028193756194481</v>
      </c>
      <c r="DR467" s="38">
        <f t="shared" si="1656"/>
        <v>871.78454954760934</v>
      </c>
      <c r="DS467" s="4">
        <f t="shared" si="1657"/>
        <v>1</v>
      </c>
      <c r="DT467" s="4">
        <f t="shared" si="1658"/>
        <v>2.2360679774997898</v>
      </c>
      <c r="DU467" s="4">
        <f t="shared" si="1659"/>
        <v>545.29810740039056</v>
      </c>
      <c r="DY467" s="4">
        <f t="shared" si="1660"/>
        <v>0.85</v>
      </c>
      <c r="DZ467" s="4">
        <f t="shared" si="1661"/>
        <v>0.7</v>
      </c>
      <c r="EA467" s="4">
        <f t="shared" si="1662"/>
        <v>1</v>
      </c>
      <c r="EB467" s="4">
        <f t="shared" si="1663"/>
        <v>0.7</v>
      </c>
      <c r="ED467" s="4">
        <f t="shared" si="1664"/>
        <v>889.65517241379314</v>
      </c>
      <c r="EH467" s="4">
        <f t="shared" si="1665"/>
        <v>10.690419306030725</v>
      </c>
      <c r="EK467" s="4">
        <f t="shared" si="1666"/>
        <v>56.796126628494655</v>
      </c>
      <c r="EL467" s="4">
        <f t="shared" si="1667"/>
        <v>2.2360679774997898</v>
      </c>
      <c r="EM467" s="4">
        <f t="shared" si="1668"/>
        <v>0.23642452840706166</v>
      </c>
      <c r="EP467" s="4">
        <f t="shared" si="1669"/>
        <v>0.23642452840706166</v>
      </c>
      <c r="EQ467" s="4">
        <f t="shared" si="1670"/>
        <v>0.61948326067862303</v>
      </c>
      <c r="ER467" s="4">
        <f t="shared" si="1671"/>
        <v>8.8268667378225558</v>
      </c>
      <c r="ES467" s="4">
        <f t="shared" si="1672"/>
        <v>9.8030662330807399</v>
      </c>
      <c r="ET467" s="4">
        <f t="shared" si="1673"/>
        <v>105.12887337150534</v>
      </c>
      <c r="EU467" s="4">
        <f t="shared" si="1674"/>
        <v>53.974999999999994</v>
      </c>
      <c r="EV467" s="4">
        <f t="shared" si="1675"/>
        <v>1.7182768829413324E-5</v>
      </c>
      <c r="EW467" s="4">
        <f t="shared" si="1676"/>
        <v>10.028193756194481</v>
      </c>
      <c r="EX467" s="4">
        <f t="shared" si="1677"/>
        <v>871.78454954760934</v>
      </c>
      <c r="FG467" s="23"/>
      <c r="FH467" s="23"/>
      <c r="FI467" s="23"/>
      <c r="FJ467" s="23"/>
      <c r="FK467" s="23"/>
      <c r="FL467" s="23"/>
      <c r="FM467" s="23"/>
      <c r="FN467" s="23"/>
      <c r="FX467" s="4">
        <f t="shared" si="1678"/>
        <v>1</v>
      </c>
      <c r="FY467" s="4">
        <f t="shared" si="1679"/>
        <v>1.0833333333333333</v>
      </c>
      <c r="FZ467" s="4">
        <f t="shared" si="1680"/>
        <v>0</v>
      </c>
      <c r="GA467" s="4">
        <f t="shared" si="1681"/>
        <v>206.52410097175263</v>
      </c>
    </row>
    <row r="468" spans="1:183" ht="12" customHeight="1" x14ac:dyDescent="0.3">
      <c r="B468" s="14" t="s">
        <v>605</v>
      </c>
      <c r="C468" s="14"/>
      <c r="D468" s="14" t="s">
        <v>365</v>
      </c>
      <c r="E468" s="14"/>
      <c r="F468" s="43" t="s">
        <v>624</v>
      </c>
      <c r="G468" s="38">
        <f t="shared" si="1612"/>
        <v>889.65517241379314</v>
      </c>
      <c r="H468" s="45">
        <v>190.5</v>
      </c>
      <c r="I468" s="4">
        <f t="shared" si="1613"/>
        <v>190.5</v>
      </c>
      <c r="J468" s="45">
        <v>48.551724137931032</v>
      </c>
      <c r="K468" s="7">
        <v>25.4</v>
      </c>
      <c r="L468" s="7">
        <f t="shared" si="1614"/>
        <v>7.5</v>
      </c>
      <c r="M468" s="7">
        <f t="shared" si="1615"/>
        <v>7.5</v>
      </c>
      <c r="N468" s="45">
        <v>1219.1999999999998</v>
      </c>
      <c r="O468" s="45">
        <v>596.9</v>
      </c>
      <c r="P468" s="45">
        <v>596.9</v>
      </c>
      <c r="Q468" s="7"/>
      <c r="R468" s="38">
        <v>1</v>
      </c>
      <c r="T468" s="7">
        <f t="shared" si="1682"/>
        <v>24</v>
      </c>
      <c r="U468" s="7">
        <f t="shared" si="1616"/>
        <v>24</v>
      </c>
      <c r="V468" s="45">
        <v>4</v>
      </c>
      <c r="W468" s="4">
        <f t="shared" si="1617"/>
        <v>4</v>
      </c>
      <c r="X468" s="4">
        <f t="shared" si="1618"/>
        <v>5</v>
      </c>
      <c r="Y468" s="7">
        <f t="shared" si="1619"/>
        <v>56.796126628494655</v>
      </c>
      <c r="AB468" s="45">
        <v>491.72413793103448</v>
      </c>
      <c r="AE468" s="38"/>
      <c r="AF468" s="38"/>
      <c r="AG468" s="39">
        <v>1</v>
      </c>
      <c r="AH468" s="39"/>
      <c r="AI468" s="39"/>
      <c r="AK468" s="4">
        <f t="shared" si="1620"/>
        <v>190.5</v>
      </c>
      <c r="AL468" s="4">
        <f t="shared" si="1621"/>
        <v>1</v>
      </c>
      <c r="AM468" s="4">
        <f t="shared" si="1622"/>
        <v>361.56591607434706</v>
      </c>
      <c r="AN468" s="4">
        <f t="shared" si="1623"/>
        <v>1</v>
      </c>
      <c r="AO468" s="4">
        <v>1.25</v>
      </c>
      <c r="AP468" s="4">
        <v>1</v>
      </c>
      <c r="AQ468" s="38">
        <f t="shared" si="1624"/>
        <v>451.95739509293384</v>
      </c>
      <c r="AR468" s="38">
        <f t="shared" si="1683"/>
        <v>451.95739509293384</v>
      </c>
      <c r="AS468" s="38">
        <f t="shared" si="1625"/>
        <v>3.9926173774513112</v>
      </c>
      <c r="AX468" s="4">
        <f t="shared" si="1626"/>
        <v>275.04894969833225</v>
      </c>
      <c r="AY468" s="4">
        <f t="shared" si="1627"/>
        <v>1</v>
      </c>
      <c r="AZ468" s="38">
        <f t="shared" si="1628"/>
        <v>4660.9655172413786</v>
      </c>
      <c r="BA468" s="4">
        <f t="shared" si="1629"/>
        <v>0.44000000000000006</v>
      </c>
      <c r="BB468" s="4">
        <f t="shared" si="1630"/>
        <v>63.233753535646585</v>
      </c>
      <c r="BC468" s="4">
        <f t="shared" si="1631"/>
        <v>4724.199270777025</v>
      </c>
      <c r="BE468" s="4">
        <f t="shared" si="1632"/>
        <v>1.5</v>
      </c>
      <c r="BF468" s="4">
        <f t="shared" si="1633"/>
        <v>548.72265464817281</v>
      </c>
      <c r="BH468" s="4">
        <f t="shared" si="1634"/>
        <v>4470.4359299748721</v>
      </c>
      <c r="BI468" s="4">
        <f t="shared" si="1635"/>
        <v>0</v>
      </c>
      <c r="BJ468" s="4">
        <f t="shared" si="1636"/>
        <v>0</v>
      </c>
      <c r="BR468" s="4">
        <f t="shared" si="1637"/>
        <v>596.9</v>
      </c>
      <c r="BV468" s="9"/>
      <c r="BX468" s="9"/>
      <c r="BY468" s="9"/>
      <c r="BZ468" s="9">
        <f t="shared" si="1638"/>
        <v>596.9</v>
      </c>
      <c r="CA468" s="9">
        <f t="shared" si="1639"/>
        <v>596.9</v>
      </c>
      <c r="CB468" s="9">
        <f t="shared" si="1640"/>
        <v>4.8476798574163293</v>
      </c>
      <c r="CC468" s="40">
        <f t="shared" si="1641"/>
        <v>0</v>
      </c>
      <c r="CD468" s="9">
        <f t="shared" si="1642"/>
        <v>0</v>
      </c>
      <c r="CE468" s="9">
        <f t="shared" si="1643"/>
        <v>0</v>
      </c>
      <c r="CF468" s="9">
        <f t="shared" si="1644"/>
        <v>0.99524931562137331</v>
      </c>
      <c r="CG468" s="9">
        <f t="shared" si="1645"/>
        <v>0.68</v>
      </c>
      <c r="CH468" s="9">
        <f t="shared" si="1646"/>
        <v>1.6504834472137122</v>
      </c>
      <c r="CI468" s="9">
        <f t="shared" si="1647"/>
        <v>4.1262086180342807</v>
      </c>
      <c r="CJ468" s="40">
        <v>1</v>
      </c>
      <c r="CK468" s="9">
        <f t="shared" si="1648"/>
        <v>371.35877562308525</v>
      </c>
      <c r="DI468" s="4">
        <f t="shared" si="1649"/>
        <v>190.5</v>
      </c>
      <c r="DL468" s="4">
        <f t="shared" si="1650"/>
        <v>1.5161266614188229E-5</v>
      </c>
      <c r="DM468" s="4">
        <f t="shared" si="1651"/>
        <v>10.690419306030725</v>
      </c>
      <c r="DN468" s="4">
        <f t="shared" si="1652"/>
        <v>0.51344399879680713</v>
      </c>
      <c r="DO468" s="4">
        <f t="shared" si="1653"/>
        <v>8.1882665666777861</v>
      </c>
      <c r="DP468" s="4">
        <f t="shared" si="1654"/>
        <v>9.5220326434042857</v>
      </c>
      <c r="DQ468" s="4">
        <f t="shared" si="1655"/>
        <v>10.195269662186318</v>
      </c>
      <c r="DR468" s="38">
        <f t="shared" si="1656"/>
        <v>730.73808558135306</v>
      </c>
      <c r="DS468" s="4">
        <f t="shared" si="1657"/>
        <v>1</v>
      </c>
      <c r="DT468" s="4">
        <f t="shared" si="1658"/>
        <v>2.2360679774997898</v>
      </c>
      <c r="DU468" s="4">
        <f t="shared" si="1659"/>
        <v>451.95739509293384</v>
      </c>
      <c r="DY468" s="4">
        <f t="shared" si="1660"/>
        <v>0.85</v>
      </c>
      <c r="DZ468" s="4">
        <f t="shared" si="1661"/>
        <v>0.7</v>
      </c>
      <c r="EA468" s="4">
        <f t="shared" si="1662"/>
        <v>1</v>
      </c>
      <c r="EB468" s="4">
        <f t="shared" si="1663"/>
        <v>0.7</v>
      </c>
      <c r="ED468" s="4">
        <f t="shared" si="1664"/>
        <v>889.65517241379314</v>
      </c>
      <c r="EH468" s="4">
        <f t="shared" si="1665"/>
        <v>10.690419306030725</v>
      </c>
      <c r="EK468" s="4">
        <f t="shared" si="1666"/>
        <v>56.796126628494655</v>
      </c>
      <c r="EL468" s="4">
        <f t="shared" si="1667"/>
        <v>2.2360679774997898</v>
      </c>
      <c r="EM468" s="4">
        <f t="shared" si="1668"/>
        <v>0.1959548594517172</v>
      </c>
      <c r="EP468" s="4">
        <f t="shared" si="1669"/>
        <v>0.1959548594517172</v>
      </c>
      <c r="EQ468" s="4">
        <f t="shared" si="1670"/>
        <v>0.51344399879680713</v>
      </c>
      <c r="ER468" s="4">
        <f t="shared" si="1671"/>
        <v>8.1882665666777861</v>
      </c>
      <c r="ES468" s="4">
        <f t="shared" si="1672"/>
        <v>9.5220326434042857</v>
      </c>
      <c r="ET468" s="4">
        <f t="shared" si="1673"/>
        <v>86.078873371505352</v>
      </c>
      <c r="EU468" s="4">
        <f t="shared" si="1674"/>
        <v>47.625</v>
      </c>
      <c r="EV468" s="4">
        <f t="shared" si="1675"/>
        <v>1.5161266614188229E-5</v>
      </c>
      <c r="EW468" s="4">
        <f t="shared" si="1676"/>
        <v>10.195269662186318</v>
      </c>
      <c r="EX468" s="4">
        <f t="shared" si="1677"/>
        <v>730.73808558135306</v>
      </c>
      <c r="FG468" s="23"/>
      <c r="FH468" s="23"/>
      <c r="FI468" s="23"/>
      <c r="FJ468" s="23"/>
      <c r="FK468" s="23"/>
      <c r="FL468" s="23"/>
      <c r="FM468" s="23"/>
      <c r="FN468" s="23"/>
      <c r="FX468" s="4">
        <f t="shared" si="1678"/>
        <v>1</v>
      </c>
      <c r="FY468" s="4">
        <f t="shared" si="1679"/>
        <v>1.0833333333333333</v>
      </c>
      <c r="FZ468" s="4">
        <f t="shared" si="1680"/>
        <v>0</v>
      </c>
      <c r="GA468" s="4">
        <f t="shared" si="1681"/>
        <v>182.22714791625231</v>
      </c>
    </row>
    <row r="469" spans="1:183" ht="12" customHeight="1" x14ac:dyDescent="0.3">
      <c r="B469" s="14" t="s">
        <v>605</v>
      </c>
      <c r="C469" s="14"/>
      <c r="D469" s="14" t="s">
        <v>365</v>
      </c>
      <c r="E469" s="14"/>
      <c r="F469" s="43" t="s">
        <v>625</v>
      </c>
      <c r="G469" s="38">
        <f t="shared" si="1612"/>
        <v>889.65517241379314</v>
      </c>
      <c r="H469" s="45">
        <v>187.96</v>
      </c>
      <c r="I469" s="4">
        <f t="shared" si="1613"/>
        <v>187.96</v>
      </c>
      <c r="J469" s="45">
        <v>36</v>
      </c>
      <c r="K469" s="7">
        <v>25.4</v>
      </c>
      <c r="L469" s="7">
        <f t="shared" si="1614"/>
        <v>7.4</v>
      </c>
      <c r="M469" s="7">
        <f t="shared" si="1615"/>
        <v>7.4</v>
      </c>
      <c r="N469" s="45">
        <v>1219.1999999999998</v>
      </c>
      <c r="O469" s="45">
        <v>596.9</v>
      </c>
      <c r="P469" s="45">
        <v>596.9</v>
      </c>
      <c r="Q469" s="7"/>
      <c r="R469" s="38">
        <v>1</v>
      </c>
      <c r="T469" s="7">
        <f t="shared" si="1682"/>
        <v>24</v>
      </c>
      <c r="U469" s="7">
        <f t="shared" si="1616"/>
        <v>24</v>
      </c>
      <c r="V469" s="45">
        <v>4.0999999999999996</v>
      </c>
      <c r="W469" s="4">
        <f t="shared" si="1617"/>
        <v>4.0999999999999996</v>
      </c>
      <c r="X469" s="4">
        <f t="shared" si="1618"/>
        <v>5.0999999999999996</v>
      </c>
      <c r="Y469" s="7">
        <f t="shared" si="1619"/>
        <v>57.361276136431961</v>
      </c>
      <c r="AB469" s="45">
        <v>601.37931034482767</v>
      </c>
      <c r="AE469" s="38"/>
      <c r="AF469" s="38"/>
      <c r="AG469" s="39">
        <v>1</v>
      </c>
      <c r="AH469" s="39"/>
      <c r="AI469" s="39"/>
      <c r="AK469" s="4">
        <f t="shared" si="1620"/>
        <v>187.96</v>
      </c>
      <c r="AL469" s="4">
        <f t="shared" si="1621"/>
        <v>1</v>
      </c>
      <c r="AM469" s="4">
        <f t="shared" si="1622"/>
        <v>305.13504551575329</v>
      </c>
      <c r="AN469" s="4">
        <f t="shared" si="1623"/>
        <v>1</v>
      </c>
      <c r="AO469" s="4">
        <v>1.25</v>
      </c>
      <c r="AP469" s="4">
        <v>1</v>
      </c>
      <c r="AQ469" s="38">
        <f t="shared" si="1624"/>
        <v>381.41880689469161</v>
      </c>
      <c r="AR469" s="38">
        <f t="shared" si="1683"/>
        <v>381.41880689469161</v>
      </c>
      <c r="AS469" s="38">
        <f t="shared" si="1625"/>
        <v>3.2708170670978505</v>
      </c>
      <c r="AX469" s="4">
        <f t="shared" si="1626"/>
        <v>233.68421052631581</v>
      </c>
      <c r="AY469" s="4">
        <f t="shared" si="1627"/>
        <v>1</v>
      </c>
      <c r="AZ469" s="38">
        <f t="shared" si="1628"/>
        <v>3498.9333231715059</v>
      </c>
      <c r="BA469" s="4">
        <f t="shared" si="1629"/>
        <v>0.42600000000000005</v>
      </c>
      <c r="BB469" s="4">
        <f t="shared" si="1630"/>
        <v>52.014600000000009</v>
      </c>
      <c r="BC469" s="4">
        <f t="shared" si="1631"/>
        <v>3550.9479231715059</v>
      </c>
      <c r="BE469" s="4">
        <f t="shared" si="1632"/>
        <v>1.5</v>
      </c>
      <c r="BF469" s="4">
        <f t="shared" si="1633"/>
        <v>469.80000000000007</v>
      </c>
      <c r="BH469" s="4">
        <f t="shared" si="1634"/>
        <v>3355.904948584548</v>
      </c>
      <c r="BI469" s="4">
        <f t="shared" si="1635"/>
        <v>0</v>
      </c>
      <c r="BJ469" s="4">
        <f t="shared" si="1636"/>
        <v>0</v>
      </c>
      <c r="BR469" s="4">
        <f t="shared" si="1637"/>
        <v>596.9</v>
      </c>
      <c r="BV469" s="9"/>
      <c r="BX469" s="9"/>
      <c r="BY469" s="9"/>
      <c r="BZ469" s="9">
        <f t="shared" si="1638"/>
        <v>596.9</v>
      </c>
      <c r="CA469" s="9">
        <f t="shared" si="1639"/>
        <v>596.9</v>
      </c>
      <c r="CB469" s="9">
        <f t="shared" si="1640"/>
        <v>4.8476798574163293</v>
      </c>
      <c r="CC469" s="40">
        <f t="shared" si="1641"/>
        <v>0</v>
      </c>
      <c r="CD469" s="9">
        <f t="shared" si="1642"/>
        <v>0</v>
      </c>
      <c r="CE469" s="9">
        <f t="shared" si="1643"/>
        <v>0</v>
      </c>
      <c r="CF469" s="9">
        <f t="shared" si="1644"/>
        <v>0.99524931562137331</v>
      </c>
      <c r="CG469" s="9">
        <f t="shared" si="1645"/>
        <v>0.68</v>
      </c>
      <c r="CH469" s="9">
        <f t="shared" si="1646"/>
        <v>1.4212160227073209</v>
      </c>
      <c r="CI469" s="9">
        <f t="shared" si="1647"/>
        <v>3.5530400567683023</v>
      </c>
      <c r="CJ469" s="40">
        <v>1</v>
      </c>
      <c r="CK469" s="9">
        <f t="shared" si="1648"/>
        <v>318.35238908643987</v>
      </c>
      <c r="DI469" s="4">
        <f t="shared" si="1649"/>
        <v>187.96</v>
      </c>
      <c r="DL469" s="4">
        <f t="shared" si="1650"/>
        <v>1.377787017281802E-5</v>
      </c>
      <c r="DM469" s="4">
        <f t="shared" si="1651"/>
        <v>9.2054211345406056</v>
      </c>
      <c r="DN469" s="4">
        <f t="shared" si="1652"/>
        <v>0.57580583984844791</v>
      </c>
      <c r="DO469" s="4">
        <f t="shared" si="1653"/>
        <v>7.3816608504860692</v>
      </c>
      <c r="DP469" s="4">
        <f t="shared" si="1654"/>
        <v>8.3435810675533659</v>
      </c>
      <c r="DQ469" s="4">
        <f t="shared" si="1655"/>
        <v>8.8682086466934464</v>
      </c>
      <c r="DR469" s="38">
        <f t="shared" si="1656"/>
        <v>623.58176377795292</v>
      </c>
      <c r="DS469" s="4">
        <f t="shared" si="1657"/>
        <v>1</v>
      </c>
      <c r="DT469" s="4">
        <f t="shared" si="1658"/>
        <v>2.2583179581272428</v>
      </c>
      <c r="DU469" s="4">
        <f t="shared" si="1659"/>
        <v>381.41880689469161</v>
      </c>
      <c r="DY469" s="4">
        <f t="shared" si="1660"/>
        <v>0.85</v>
      </c>
      <c r="DZ469" s="4">
        <f t="shared" si="1661"/>
        <v>0.7</v>
      </c>
      <c r="EA469" s="4">
        <f t="shared" si="1662"/>
        <v>1</v>
      </c>
      <c r="EB469" s="4">
        <f t="shared" si="1663"/>
        <v>0.7</v>
      </c>
      <c r="ED469" s="4">
        <f t="shared" si="1664"/>
        <v>889.65517241379314</v>
      </c>
      <c r="EH469" s="4">
        <f t="shared" si="1665"/>
        <v>9.2054211345406056</v>
      </c>
      <c r="EK469" s="4">
        <f t="shared" si="1666"/>
        <v>57.361276136431961</v>
      </c>
      <c r="EL469" s="4">
        <f t="shared" si="1667"/>
        <v>2.2583179581272428</v>
      </c>
      <c r="EM469" s="4">
        <f t="shared" si="1668"/>
        <v>0.18922910833692116</v>
      </c>
      <c r="EP469" s="4">
        <f t="shared" si="1669"/>
        <v>0.18922910833692116</v>
      </c>
      <c r="EQ469" s="4">
        <f t="shared" si="1670"/>
        <v>0.57580583984844791</v>
      </c>
      <c r="ER469" s="4">
        <f t="shared" si="1671"/>
        <v>7.3816608504860692</v>
      </c>
      <c r="ES469" s="4">
        <f t="shared" si="1672"/>
        <v>8.3435810675533659</v>
      </c>
      <c r="ET469" s="4">
        <f t="shared" si="1673"/>
        <v>83.608723863568031</v>
      </c>
      <c r="EU469" s="4">
        <f t="shared" si="1674"/>
        <v>46.990000000000009</v>
      </c>
      <c r="EV469" s="4">
        <f t="shared" si="1675"/>
        <v>1.377787017281802E-5</v>
      </c>
      <c r="EW469" s="4">
        <f t="shared" si="1676"/>
        <v>8.8682086466934464</v>
      </c>
      <c r="EX469" s="4">
        <f t="shared" si="1677"/>
        <v>623.58176377795292</v>
      </c>
      <c r="FG469" s="23"/>
      <c r="FH469" s="23"/>
      <c r="FI469" s="23"/>
      <c r="FJ469" s="23"/>
      <c r="FK469" s="23"/>
      <c r="FL469" s="23"/>
      <c r="FM469" s="23"/>
      <c r="FN469" s="23"/>
      <c r="FX469" s="4">
        <f t="shared" si="1678"/>
        <v>1</v>
      </c>
      <c r="FY469" s="4">
        <f t="shared" si="1679"/>
        <v>1.0833333333333333</v>
      </c>
      <c r="FZ469" s="4">
        <f t="shared" si="1680"/>
        <v>0</v>
      </c>
      <c r="GA469" s="4">
        <f t="shared" si="1681"/>
        <v>166.84300191817573</v>
      </c>
    </row>
    <row r="470" spans="1:183" ht="12" customHeight="1" x14ac:dyDescent="0.3">
      <c r="B470" s="14" t="s">
        <v>605</v>
      </c>
      <c r="C470" s="14"/>
      <c r="D470" s="14" t="s">
        <v>365</v>
      </c>
      <c r="E470" s="14"/>
      <c r="F470" s="43" t="s">
        <v>625</v>
      </c>
      <c r="G470" s="38">
        <f t="shared" si="1612"/>
        <v>889.65517241379314</v>
      </c>
      <c r="H470" s="45">
        <v>187.96</v>
      </c>
      <c r="I470" s="4">
        <f t="shared" si="1613"/>
        <v>187.96</v>
      </c>
      <c r="J470" s="45">
        <v>36</v>
      </c>
      <c r="K470" s="7">
        <v>25.4</v>
      </c>
      <c r="L470" s="7">
        <f t="shared" si="1614"/>
        <v>7.4</v>
      </c>
      <c r="M470" s="7">
        <f t="shared" si="1615"/>
        <v>7.4</v>
      </c>
      <c r="N470" s="45">
        <v>1219.1999999999998</v>
      </c>
      <c r="O470" s="45">
        <v>596.9</v>
      </c>
      <c r="P470" s="45">
        <v>596.9</v>
      </c>
      <c r="Q470" s="7"/>
      <c r="R470" s="38">
        <v>1</v>
      </c>
      <c r="T470" s="7">
        <f t="shared" si="1682"/>
        <v>24</v>
      </c>
      <c r="U470" s="7">
        <f t="shared" si="1616"/>
        <v>24</v>
      </c>
      <c r="V470" s="45">
        <v>4.0999999999999996</v>
      </c>
      <c r="W470" s="4">
        <f t="shared" si="1617"/>
        <v>4.0999999999999996</v>
      </c>
      <c r="X470" s="4">
        <f t="shared" si="1618"/>
        <v>5.0999999999999996</v>
      </c>
      <c r="Y470" s="7">
        <f t="shared" si="1619"/>
        <v>57.361276136431961</v>
      </c>
      <c r="AB470" s="45">
        <v>562.06896551724139</v>
      </c>
      <c r="AE470" s="38"/>
      <c r="AF470" s="38"/>
      <c r="AG470" s="39">
        <v>1</v>
      </c>
      <c r="AH470" s="39"/>
      <c r="AI470" s="39"/>
      <c r="AK470" s="4">
        <f t="shared" si="1620"/>
        <v>187.96</v>
      </c>
      <c r="AL470" s="4">
        <f t="shared" si="1621"/>
        <v>1</v>
      </c>
      <c r="AM470" s="4">
        <f t="shared" si="1622"/>
        <v>305.13504551575329</v>
      </c>
      <c r="AN470" s="4">
        <f t="shared" si="1623"/>
        <v>1</v>
      </c>
      <c r="AO470" s="4">
        <v>1.25</v>
      </c>
      <c r="AP470" s="4">
        <v>1</v>
      </c>
      <c r="AQ470" s="38">
        <f t="shared" si="1624"/>
        <v>381.41880689469161</v>
      </c>
      <c r="AR470" s="38">
        <f t="shared" si="1683"/>
        <v>381.41880689469161</v>
      </c>
      <c r="AS470" s="38">
        <f t="shared" si="1625"/>
        <v>3.2708170670978505</v>
      </c>
      <c r="AX470" s="4">
        <f t="shared" si="1626"/>
        <v>233.68421052631581</v>
      </c>
      <c r="AY470" s="4">
        <f t="shared" si="1627"/>
        <v>1</v>
      </c>
      <c r="AZ470" s="38">
        <f t="shared" si="1628"/>
        <v>3498.9333231715059</v>
      </c>
      <c r="BA470" s="4">
        <f t="shared" si="1629"/>
        <v>0.42600000000000005</v>
      </c>
      <c r="BB470" s="4">
        <f t="shared" si="1630"/>
        <v>52.014600000000009</v>
      </c>
      <c r="BC470" s="4">
        <f t="shared" si="1631"/>
        <v>3550.9479231715059</v>
      </c>
      <c r="BE470" s="4">
        <f t="shared" si="1632"/>
        <v>1.5</v>
      </c>
      <c r="BF470" s="4">
        <f t="shared" si="1633"/>
        <v>469.80000000000007</v>
      </c>
      <c r="BH470" s="4">
        <f t="shared" si="1634"/>
        <v>3355.904948584548</v>
      </c>
      <c r="BI470" s="4">
        <f t="shared" si="1635"/>
        <v>0</v>
      </c>
      <c r="BJ470" s="4">
        <f t="shared" si="1636"/>
        <v>0</v>
      </c>
      <c r="BR470" s="4">
        <f t="shared" si="1637"/>
        <v>596.9</v>
      </c>
      <c r="BV470" s="9"/>
      <c r="BX470" s="9"/>
      <c r="BY470" s="9"/>
      <c r="BZ470" s="9">
        <f t="shared" si="1638"/>
        <v>596.9</v>
      </c>
      <c r="CA470" s="9">
        <f t="shared" si="1639"/>
        <v>596.9</v>
      </c>
      <c r="CB470" s="9">
        <f t="shared" si="1640"/>
        <v>4.8476798574163293</v>
      </c>
      <c r="CC470" s="40">
        <f t="shared" si="1641"/>
        <v>0</v>
      </c>
      <c r="CD470" s="9">
        <f t="shared" si="1642"/>
        <v>0</v>
      </c>
      <c r="CE470" s="9">
        <f t="shared" si="1643"/>
        <v>0</v>
      </c>
      <c r="CF470" s="9">
        <f t="shared" si="1644"/>
        <v>0.99524931562137331</v>
      </c>
      <c r="CG470" s="9">
        <f t="shared" si="1645"/>
        <v>0.68</v>
      </c>
      <c r="CH470" s="9">
        <f t="shared" si="1646"/>
        <v>1.4212160227073209</v>
      </c>
      <c r="CI470" s="9">
        <f t="shared" si="1647"/>
        <v>3.5530400567683023</v>
      </c>
      <c r="CJ470" s="40">
        <v>1</v>
      </c>
      <c r="CK470" s="9">
        <f t="shared" si="1648"/>
        <v>318.35238908643987</v>
      </c>
      <c r="DI470" s="4">
        <f t="shared" si="1649"/>
        <v>187.96</v>
      </c>
      <c r="DL470" s="4">
        <f t="shared" si="1650"/>
        <v>1.377787017281802E-5</v>
      </c>
      <c r="DM470" s="4">
        <f t="shared" si="1651"/>
        <v>9.2054211345406056</v>
      </c>
      <c r="DN470" s="4">
        <f t="shared" si="1652"/>
        <v>0.57580583984844791</v>
      </c>
      <c r="DO470" s="4">
        <f t="shared" si="1653"/>
        <v>7.3816608504860692</v>
      </c>
      <c r="DP470" s="4">
        <f t="shared" si="1654"/>
        <v>8.3435810675533659</v>
      </c>
      <c r="DQ470" s="4">
        <f t="shared" si="1655"/>
        <v>8.8682086466934464</v>
      </c>
      <c r="DR470" s="38">
        <f t="shared" si="1656"/>
        <v>623.58176377795292</v>
      </c>
      <c r="DS470" s="4">
        <f t="shared" si="1657"/>
        <v>1</v>
      </c>
      <c r="DT470" s="4">
        <f t="shared" si="1658"/>
        <v>2.2583179581272428</v>
      </c>
      <c r="DU470" s="4">
        <f t="shared" si="1659"/>
        <v>381.41880689469161</v>
      </c>
      <c r="DY470" s="4">
        <f t="shared" si="1660"/>
        <v>0.85</v>
      </c>
      <c r="DZ470" s="4">
        <f t="shared" si="1661"/>
        <v>0.7</v>
      </c>
      <c r="EA470" s="4">
        <f t="shared" si="1662"/>
        <v>1</v>
      </c>
      <c r="EB470" s="4">
        <f t="shared" si="1663"/>
        <v>0.7</v>
      </c>
      <c r="ED470" s="4">
        <f t="shared" si="1664"/>
        <v>889.65517241379314</v>
      </c>
      <c r="EH470" s="4">
        <f t="shared" si="1665"/>
        <v>9.2054211345406056</v>
      </c>
      <c r="EK470" s="4">
        <f t="shared" si="1666"/>
        <v>57.361276136431961</v>
      </c>
      <c r="EL470" s="4">
        <f t="shared" si="1667"/>
        <v>2.2583179581272428</v>
      </c>
      <c r="EM470" s="4">
        <f t="shared" si="1668"/>
        <v>0.18922910833692116</v>
      </c>
      <c r="EP470" s="4">
        <f t="shared" si="1669"/>
        <v>0.18922910833692116</v>
      </c>
      <c r="EQ470" s="4">
        <f t="shared" si="1670"/>
        <v>0.57580583984844791</v>
      </c>
      <c r="ER470" s="4">
        <f t="shared" si="1671"/>
        <v>7.3816608504860692</v>
      </c>
      <c r="ES470" s="4">
        <f t="shared" si="1672"/>
        <v>8.3435810675533659</v>
      </c>
      <c r="ET470" s="4">
        <f t="shared" si="1673"/>
        <v>83.608723863568031</v>
      </c>
      <c r="EU470" s="4">
        <f t="shared" si="1674"/>
        <v>46.990000000000009</v>
      </c>
      <c r="EV470" s="4">
        <f t="shared" si="1675"/>
        <v>1.377787017281802E-5</v>
      </c>
      <c r="EW470" s="4">
        <f t="shared" si="1676"/>
        <v>8.8682086466934464</v>
      </c>
      <c r="EX470" s="4">
        <f t="shared" si="1677"/>
        <v>623.58176377795292</v>
      </c>
      <c r="FG470" s="23"/>
      <c r="FH470" s="23"/>
      <c r="FI470" s="23"/>
      <c r="FJ470" s="23"/>
      <c r="FK470" s="23"/>
      <c r="FL470" s="23"/>
      <c r="FM470" s="23"/>
      <c r="FN470" s="23"/>
      <c r="FX470" s="4">
        <f t="shared" si="1678"/>
        <v>1</v>
      </c>
      <c r="FY470" s="4">
        <f t="shared" si="1679"/>
        <v>1.0833333333333333</v>
      </c>
      <c r="FZ470" s="4">
        <f t="shared" si="1680"/>
        <v>0</v>
      </c>
      <c r="GA470" s="4">
        <f t="shared" si="1681"/>
        <v>166.84300191817573</v>
      </c>
    </row>
    <row r="471" spans="1:183" ht="12" customHeight="1" x14ac:dyDescent="0.3">
      <c r="A471" s="52"/>
      <c r="B471" s="14" t="s">
        <v>605</v>
      </c>
      <c r="C471" s="24"/>
      <c r="D471" s="14" t="s">
        <v>365</v>
      </c>
      <c r="E471" s="24"/>
      <c r="F471" s="43" t="s">
        <v>626</v>
      </c>
      <c r="G471" s="38">
        <f t="shared" si="1612"/>
        <v>889.65517241379314</v>
      </c>
      <c r="H471" s="45">
        <v>180.33999999999997</v>
      </c>
      <c r="I471" s="4">
        <f t="shared" si="1613"/>
        <v>180.33999999999997</v>
      </c>
      <c r="J471" s="45">
        <v>36</v>
      </c>
      <c r="K471" s="7">
        <v>25.4</v>
      </c>
      <c r="L471" s="7">
        <f t="shared" si="1614"/>
        <v>7.1</v>
      </c>
      <c r="M471" s="7">
        <f t="shared" si="1615"/>
        <v>7.1</v>
      </c>
      <c r="N471" s="45">
        <v>1219.1999999999998</v>
      </c>
      <c r="O471" s="45">
        <v>596.9</v>
      </c>
      <c r="P471" s="45">
        <v>596.9</v>
      </c>
      <c r="Q471" s="7"/>
      <c r="R471" s="38">
        <v>1</v>
      </c>
      <c r="T471" s="7">
        <f t="shared" si="1682"/>
        <v>24</v>
      </c>
      <c r="U471" s="7">
        <f t="shared" si="1616"/>
        <v>24</v>
      </c>
      <c r="V471" s="45">
        <v>9.1</v>
      </c>
      <c r="W471" s="4">
        <f t="shared" si="1617"/>
        <v>9.1</v>
      </c>
      <c r="X471" s="4">
        <f t="shared" si="1618"/>
        <v>10.1</v>
      </c>
      <c r="Y471" s="7">
        <f t="shared" si="1619"/>
        <v>80.72246279691916</v>
      </c>
      <c r="AB471" s="45">
        <v>610.34482758620697</v>
      </c>
      <c r="AE471" s="38"/>
      <c r="AF471" s="38"/>
      <c r="AG471" s="39">
        <v>1</v>
      </c>
      <c r="AH471" s="39"/>
      <c r="AI471" s="39"/>
      <c r="AK471" s="4">
        <f t="shared" si="1620"/>
        <v>180.33999999999997</v>
      </c>
      <c r="AL471" s="4">
        <f t="shared" si="1621"/>
        <v>1</v>
      </c>
      <c r="AM471" s="4">
        <f t="shared" si="1622"/>
        <v>286.76888899995987</v>
      </c>
      <c r="AN471" s="4">
        <f t="shared" si="1623"/>
        <v>1</v>
      </c>
      <c r="AO471" s="4">
        <v>1.25</v>
      </c>
      <c r="AP471" s="4">
        <v>1</v>
      </c>
      <c r="AQ471" s="38">
        <f t="shared" si="1624"/>
        <v>358.46111124994985</v>
      </c>
      <c r="AR471" s="38">
        <f t="shared" si="1683"/>
        <v>358.46111124994985</v>
      </c>
      <c r="AS471" s="38">
        <f t="shared" si="1625"/>
        <v>3.2708170670978505</v>
      </c>
      <c r="AX471" s="4">
        <f t="shared" si="1626"/>
        <v>224.21052631578945</v>
      </c>
      <c r="AY471" s="4">
        <f t="shared" si="1627"/>
        <v>1</v>
      </c>
      <c r="AZ471" s="38">
        <f t="shared" si="1628"/>
        <v>5212.7204413818317</v>
      </c>
      <c r="BA471" s="4">
        <f t="shared" si="1629"/>
        <v>0.3</v>
      </c>
      <c r="BB471" s="4">
        <f t="shared" si="1630"/>
        <v>35.144999999999989</v>
      </c>
      <c r="BC471" s="4">
        <f t="shared" si="1631"/>
        <v>5247.8654413818322</v>
      </c>
      <c r="BE471" s="4">
        <f t="shared" si="1632"/>
        <v>1.5</v>
      </c>
      <c r="BF471" s="4">
        <f t="shared" si="1633"/>
        <v>461.69999999999993</v>
      </c>
      <c r="BH471" s="4">
        <f t="shared" si="1634"/>
        <v>4999.6363774559568</v>
      </c>
      <c r="BI471" s="4">
        <f t="shared" si="1635"/>
        <v>0</v>
      </c>
      <c r="BJ471" s="4">
        <f t="shared" si="1636"/>
        <v>0</v>
      </c>
      <c r="BR471" s="4">
        <f t="shared" si="1637"/>
        <v>596.9</v>
      </c>
      <c r="BV471" s="9"/>
      <c r="BX471" s="9"/>
      <c r="BY471" s="9"/>
      <c r="BZ471" s="9">
        <f t="shared" si="1638"/>
        <v>596.9</v>
      </c>
      <c r="CA471" s="9">
        <f t="shared" si="1639"/>
        <v>596.9</v>
      </c>
      <c r="CB471" s="9">
        <f t="shared" si="1640"/>
        <v>4.8476798574163293</v>
      </c>
      <c r="CC471" s="40">
        <f t="shared" si="1641"/>
        <v>0</v>
      </c>
      <c r="CD471" s="9">
        <f t="shared" si="1642"/>
        <v>0</v>
      </c>
      <c r="CE471" s="9">
        <f t="shared" si="1643"/>
        <v>0</v>
      </c>
      <c r="CF471" s="9">
        <f t="shared" si="1644"/>
        <v>0.99524931562137331</v>
      </c>
      <c r="CG471" s="9">
        <f t="shared" si="1645"/>
        <v>0.68</v>
      </c>
      <c r="CH471" s="9">
        <f t="shared" si="1646"/>
        <v>1.4212160227073209</v>
      </c>
      <c r="CI471" s="9">
        <f t="shared" si="1647"/>
        <v>3.5530400567683023</v>
      </c>
      <c r="CJ471" s="40">
        <v>1</v>
      </c>
      <c r="CK471" s="9">
        <f t="shared" si="1648"/>
        <v>314.08874101831793</v>
      </c>
      <c r="DI471" s="4">
        <f t="shared" si="1649"/>
        <v>180.33999999999997</v>
      </c>
      <c r="DL471" s="4">
        <f t="shared" si="1650"/>
        <v>1.3219307868514583E-5</v>
      </c>
      <c r="DM471" s="4">
        <f t="shared" si="1651"/>
        <v>9.2054211345406056</v>
      </c>
      <c r="DN471" s="4">
        <f t="shared" si="1652"/>
        <v>0.34311054994209239</v>
      </c>
      <c r="DO471" s="4">
        <f t="shared" si="1653"/>
        <v>6.0009124459143566</v>
      </c>
      <c r="DP471" s="4">
        <f t="shared" si="1654"/>
        <v>7.7708713439840205</v>
      </c>
      <c r="DQ471" s="4">
        <f t="shared" si="1655"/>
        <v>8.9353684179504107</v>
      </c>
      <c r="DR471" s="38">
        <f t="shared" si="1656"/>
        <v>564.92171714795745</v>
      </c>
      <c r="DS471" s="4">
        <f t="shared" si="1657"/>
        <v>1</v>
      </c>
      <c r="DT471" s="4">
        <f t="shared" si="1658"/>
        <v>3.1780497164141401</v>
      </c>
      <c r="DU471" s="4">
        <f t="shared" si="1659"/>
        <v>358.46111124994985</v>
      </c>
      <c r="DY471" s="4">
        <f t="shared" si="1660"/>
        <v>0.85</v>
      </c>
      <c r="DZ471" s="4">
        <f t="shared" si="1661"/>
        <v>0.7</v>
      </c>
      <c r="EA471" s="4">
        <f t="shared" si="1662"/>
        <v>1</v>
      </c>
      <c r="EB471" s="4">
        <f t="shared" si="1663"/>
        <v>0.7</v>
      </c>
      <c r="ED471" s="4">
        <f t="shared" si="1664"/>
        <v>889.65517241379314</v>
      </c>
      <c r="EH471" s="4">
        <f t="shared" si="1665"/>
        <v>9.2054211345406056</v>
      </c>
      <c r="EK471" s="4">
        <f t="shared" si="1666"/>
        <v>80.72246279691916</v>
      </c>
      <c r="EL471" s="4">
        <f t="shared" si="1667"/>
        <v>3.1780497164141406</v>
      </c>
      <c r="EM471" s="4">
        <f t="shared" si="1668"/>
        <v>0.11275763275277211</v>
      </c>
      <c r="EP471" s="4">
        <f t="shared" si="1669"/>
        <v>0.11275763275277211</v>
      </c>
      <c r="EQ471" s="4">
        <f t="shared" si="1670"/>
        <v>0.34311054994209239</v>
      </c>
      <c r="ER471" s="4">
        <f t="shared" si="1671"/>
        <v>6.0009124459143566</v>
      </c>
      <c r="ES471" s="4">
        <f t="shared" si="1672"/>
        <v>7.7708713439840205</v>
      </c>
      <c r="ET471" s="4">
        <f t="shared" si="1673"/>
        <v>54.532537203080835</v>
      </c>
      <c r="EU471" s="4">
        <f t="shared" si="1674"/>
        <v>45.08499999999998</v>
      </c>
      <c r="EV471" s="4">
        <f t="shared" si="1675"/>
        <v>1.3219307868514577E-5</v>
      </c>
      <c r="EW471" s="4">
        <f t="shared" si="1676"/>
        <v>8.9353684179504107</v>
      </c>
      <c r="EX471" s="4">
        <f t="shared" si="1677"/>
        <v>564.92171714795745</v>
      </c>
      <c r="FG471" s="23"/>
      <c r="FH471" s="23"/>
      <c r="FI471" s="23"/>
      <c r="FJ471" s="23"/>
      <c r="FK471" s="23"/>
      <c r="FL471" s="23"/>
      <c r="FM471" s="23"/>
      <c r="FN471" s="23"/>
      <c r="FX471" s="4">
        <f t="shared" si="1678"/>
        <v>1</v>
      </c>
      <c r="FY471" s="4">
        <f t="shared" si="1679"/>
        <v>1.0833333333333333</v>
      </c>
      <c r="FZ471" s="4">
        <f t="shared" si="1680"/>
        <v>0</v>
      </c>
      <c r="GA471" s="4">
        <f t="shared" si="1681"/>
        <v>160.07909643500642</v>
      </c>
    </row>
    <row r="472" spans="1:183" ht="12" customHeight="1" x14ac:dyDescent="0.3">
      <c r="A472" s="52"/>
      <c r="B472" s="14" t="s">
        <v>605</v>
      </c>
      <c r="C472" s="24"/>
      <c r="D472" s="14" t="s">
        <v>365</v>
      </c>
      <c r="E472" s="24"/>
      <c r="F472" s="43" t="s">
        <v>626</v>
      </c>
      <c r="G472" s="38">
        <f t="shared" si="1612"/>
        <v>889.65517241379314</v>
      </c>
      <c r="H472" s="45">
        <v>177.79999999999998</v>
      </c>
      <c r="I472" s="4">
        <f t="shared" si="1613"/>
        <v>177.79999999999998</v>
      </c>
      <c r="J472" s="45">
        <v>36</v>
      </c>
      <c r="K472" s="7">
        <v>25.4</v>
      </c>
      <c r="L472" s="7">
        <f t="shared" si="1614"/>
        <v>7</v>
      </c>
      <c r="M472" s="7">
        <f t="shared" si="1615"/>
        <v>7</v>
      </c>
      <c r="N472" s="45">
        <v>1219.1999999999998</v>
      </c>
      <c r="O472" s="45">
        <v>596.9</v>
      </c>
      <c r="P472" s="45">
        <v>596.9</v>
      </c>
      <c r="Q472" s="7"/>
      <c r="R472" s="38">
        <v>1</v>
      </c>
      <c r="T472" s="7">
        <f t="shared" si="1682"/>
        <v>24</v>
      </c>
      <c r="U472" s="7">
        <f t="shared" si="1616"/>
        <v>24</v>
      </c>
      <c r="V472" s="45">
        <v>9.1</v>
      </c>
      <c r="W472" s="4">
        <f t="shared" si="1617"/>
        <v>9.1</v>
      </c>
      <c r="X472" s="4">
        <f t="shared" si="1618"/>
        <v>10.1</v>
      </c>
      <c r="Y472" s="7">
        <f t="shared" si="1619"/>
        <v>80.72246279691916</v>
      </c>
      <c r="AB472" s="45">
        <v>479.31034482758622</v>
      </c>
      <c r="AE472" s="38"/>
      <c r="AF472" s="38"/>
      <c r="AG472" s="39">
        <v>1</v>
      </c>
      <c r="AH472" s="39"/>
      <c r="AI472" s="39"/>
      <c r="AK472" s="4">
        <f t="shared" si="1620"/>
        <v>177.79999999999998</v>
      </c>
      <c r="AL472" s="4">
        <f t="shared" si="1621"/>
        <v>1</v>
      </c>
      <c r="AM472" s="4">
        <f t="shared" si="1622"/>
        <v>280.73177442647159</v>
      </c>
      <c r="AN472" s="4">
        <f t="shared" si="1623"/>
        <v>1</v>
      </c>
      <c r="AO472" s="4">
        <v>1.25</v>
      </c>
      <c r="AP472" s="4">
        <v>1</v>
      </c>
      <c r="AQ472" s="38">
        <f t="shared" si="1624"/>
        <v>350.91471803308946</v>
      </c>
      <c r="AR472" s="38">
        <f t="shared" si="1683"/>
        <v>350.91471803308946</v>
      </c>
      <c r="AS472" s="38">
        <f t="shared" si="1625"/>
        <v>3.2708170670978505</v>
      </c>
      <c r="AX472" s="4">
        <f t="shared" si="1626"/>
        <v>221.05263157894737</v>
      </c>
      <c r="AY472" s="4">
        <f t="shared" si="1627"/>
        <v>1</v>
      </c>
      <c r="AZ472" s="38">
        <f t="shared" si="1628"/>
        <v>5212.7204413818317</v>
      </c>
      <c r="BA472" s="4">
        <f t="shared" si="1629"/>
        <v>0.3</v>
      </c>
      <c r="BB472" s="4">
        <f t="shared" si="1630"/>
        <v>34.65</v>
      </c>
      <c r="BC472" s="4">
        <f t="shared" si="1631"/>
        <v>5247.3704413818314</v>
      </c>
      <c r="BE472" s="4">
        <f t="shared" si="1632"/>
        <v>1.5</v>
      </c>
      <c r="BF472" s="4">
        <f t="shared" si="1633"/>
        <v>459</v>
      </c>
      <c r="BH472" s="4">
        <f t="shared" si="1634"/>
        <v>4999.6363774559568</v>
      </c>
      <c r="BI472" s="4">
        <f t="shared" si="1635"/>
        <v>0</v>
      </c>
      <c r="BJ472" s="4">
        <f t="shared" si="1636"/>
        <v>0</v>
      </c>
      <c r="BR472" s="4">
        <f t="shared" si="1637"/>
        <v>596.9</v>
      </c>
      <c r="BV472" s="9"/>
      <c r="BX472" s="9"/>
      <c r="BY472" s="9"/>
      <c r="BZ472" s="9">
        <f t="shared" si="1638"/>
        <v>596.9</v>
      </c>
      <c r="CA472" s="9">
        <f t="shared" si="1639"/>
        <v>596.9</v>
      </c>
      <c r="CB472" s="9">
        <f t="shared" si="1640"/>
        <v>4.8476798574163293</v>
      </c>
      <c r="CC472" s="40">
        <f t="shared" si="1641"/>
        <v>0</v>
      </c>
      <c r="CD472" s="9">
        <f t="shared" si="1642"/>
        <v>0</v>
      </c>
      <c r="CE472" s="9">
        <f t="shared" si="1643"/>
        <v>0</v>
      </c>
      <c r="CF472" s="9">
        <f t="shared" si="1644"/>
        <v>0.99524931562137331</v>
      </c>
      <c r="CG472" s="9">
        <f t="shared" si="1645"/>
        <v>0.68</v>
      </c>
      <c r="CH472" s="9">
        <f t="shared" si="1646"/>
        <v>1.4212160227073209</v>
      </c>
      <c r="CI472" s="9">
        <f t="shared" si="1647"/>
        <v>3.5530400567683023</v>
      </c>
      <c r="CJ472" s="40">
        <v>1</v>
      </c>
      <c r="CK472" s="9">
        <f t="shared" si="1648"/>
        <v>312.66752499561062</v>
      </c>
      <c r="DI472" s="4">
        <f t="shared" si="1649"/>
        <v>177.79999999999998</v>
      </c>
      <c r="DL472" s="4">
        <f t="shared" si="1650"/>
        <v>1.3033120433746772E-5</v>
      </c>
      <c r="DM472" s="4">
        <f t="shared" si="1651"/>
        <v>9.2054211345406056</v>
      </c>
      <c r="DN472" s="4">
        <f t="shared" si="1652"/>
        <v>0.33588731973536912</v>
      </c>
      <c r="DO472" s="4">
        <f t="shared" si="1653"/>
        <v>5.9500567122923123</v>
      </c>
      <c r="DP472" s="4">
        <f t="shared" si="1654"/>
        <v>7.7513443849227031</v>
      </c>
      <c r="DQ472" s="4">
        <f t="shared" si="1655"/>
        <v>8.9445872946317113</v>
      </c>
      <c r="DR472" s="38">
        <f t="shared" si="1656"/>
        <v>553.40673407015493</v>
      </c>
      <c r="DS472" s="4">
        <f t="shared" si="1657"/>
        <v>1</v>
      </c>
      <c r="DT472" s="4">
        <f t="shared" si="1658"/>
        <v>3.1780497164141401</v>
      </c>
      <c r="DU472" s="4">
        <f t="shared" si="1659"/>
        <v>350.91471803308946</v>
      </c>
      <c r="DY472" s="4">
        <f t="shared" si="1660"/>
        <v>0.85</v>
      </c>
      <c r="DZ472" s="4">
        <f t="shared" si="1661"/>
        <v>0.7</v>
      </c>
      <c r="EA472" s="4">
        <f t="shared" si="1662"/>
        <v>1</v>
      </c>
      <c r="EB472" s="4">
        <f t="shared" si="1663"/>
        <v>0.7</v>
      </c>
      <c r="ED472" s="4">
        <f t="shared" si="1664"/>
        <v>889.65517241379314</v>
      </c>
      <c r="EH472" s="4">
        <f t="shared" si="1665"/>
        <v>9.2054211345406056</v>
      </c>
      <c r="EK472" s="4">
        <f t="shared" si="1666"/>
        <v>80.72246279691916</v>
      </c>
      <c r="EL472" s="4">
        <f t="shared" si="1667"/>
        <v>3.1780497164141406</v>
      </c>
      <c r="EM472" s="4">
        <f t="shared" si="1668"/>
        <v>0.11038383707940708</v>
      </c>
      <c r="EP472" s="4">
        <f t="shared" si="1669"/>
        <v>0.11038383707940708</v>
      </c>
      <c r="EQ472" s="4">
        <f t="shared" si="1670"/>
        <v>0.33588731973536912</v>
      </c>
      <c r="ER472" s="4">
        <f t="shared" si="1671"/>
        <v>5.9500567122923123</v>
      </c>
      <c r="ES472" s="4">
        <f t="shared" si="1672"/>
        <v>7.7513443849227031</v>
      </c>
      <c r="ET472" s="4">
        <f t="shared" si="1673"/>
        <v>52.627537203080834</v>
      </c>
      <c r="EU472" s="4">
        <f t="shared" si="1674"/>
        <v>44.449999999999989</v>
      </c>
      <c r="EV472" s="4">
        <f t="shared" si="1675"/>
        <v>1.3033120433746768E-5</v>
      </c>
      <c r="EW472" s="4">
        <f t="shared" si="1676"/>
        <v>8.9445872946317113</v>
      </c>
      <c r="EX472" s="4">
        <f t="shared" si="1677"/>
        <v>553.40673407015493</v>
      </c>
      <c r="FG472" s="23"/>
      <c r="FH472" s="23"/>
      <c r="FI472" s="23"/>
      <c r="FJ472" s="23"/>
      <c r="FK472" s="23"/>
      <c r="FL472" s="23"/>
      <c r="FM472" s="23"/>
      <c r="FN472" s="23"/>
      <c r="FX472" s="4">
        <f t="shared" si="1678"/>
        <v>1</v>
      </c>
      <c r="FY472" s="4">
        <f t="shared" si="1679"/>
        <v>1.0833333333333333</v>
      </c>
      <c r="FZ472" s="4">
        <f t="shared" si="1680"/>
        <v>0</v>
      </c>
      <c r="GA472" s="4">
        <f t="shared" si="1681"/>
        <v>157.82446127394999</v>
      </c>
    </row>
    <row r="473" spans="1:183" ht="12" customHeight="1" x14ac:dyDescent="0.3">
      <c r="A473" s="52"/>
      <c r="B473" s="14" t="s">
        <v>605</v>
      </c>
      <c r="C473" s="24"/>
      <c r="D473" s="14" t="s">
        <v>365</v>
      </c>
      <c r="E473" s="24"/>
      <c r="F473" s="43" t="s">
        <v>627</v>
      </c>
      <c r="G473" s="38">
        <f t="shared" si="1612"/>
        <v>889.65517241379314</v>
      </c>
      <c r="H473" s="45">
        <v>152.39999999999998</v>
      </c>
      <c r="I473" s="4">
        <f t="shared" si="1613"/>
        <v>152.39999999999998</v>
      </c>
      <c r="J473" s="45">
        <v>50.96551724137931</v>
      </c>
      <c r="K473" s="7">
        <v>25.4</v>
      </c>
      <c r="L473" s="7">
        <f t="shared" si="1614"/>
        <v>5.9999999999999991</v>
      </c>
      <c r="M473" s="7">
        <f t="shared" si="1615"/>
        <v>5.9999999999999991</v>
      </c>
      <c r="N473" s="45">
        <v>1219.1999999999998</v>
      </c>
      <c r="O473" s="45">
        <v>596.9</v>
      </c>
      <c r="P473" s="45">
        <v>596.9</v>
      </c>
      <c r="Q473" s="7"/>
      <c r="R473" s="38">
        <v>1</v>
      </c>
      <c r="T473" s="7">
        <f t="shared" si="1682"/>
        <v>24</v>
      </c>
      <c r="U473" s="7">
        <f t="shared" si="1616"/>
        <v>24</v>
      </c>
      <c r="V473" s="45">
        <v>4.0999999999999996</v>
      </c>
      <c r="W473" s="4">
        <f t="shared" si="1617"/>
        <v>4.0999999999999996</v>
      </c>
      <c r="X473" s="4">
        <f t="shared" si="1618"/>
        <v>5.0999999999999996</v>
      </c>
      <c r="Y473" s="7">
        <f t="shared" si="1619"/>
        <v>57.361276136431961</v>
      </c>
      <c r="AB473" s="45">
        <v>562.06896551724139</v>
      </c>
      <c r="AE473" s="38"/>
      <c r="AF473" s="38"/>
      <c r="AG473" s="39">
        <v>1</v>
      </c>
      <c r="AH473" s="39"/>
      <c r="AI473" s="39"/>
      <c r="AK473" s="4">
        <f t="shared" si="1620"/>
        <v>152.39999999999998</v>
      </c>
      <c r="AL473" s="4">
        <f t="shared" si="1621"/>
        <v>0.99999999999999989</v>
      </c>
      <c r="AM473" s="4">
        <f t="shared" si="1622"/>
        <v>265.0686425289295</v>
      </c>
      <c r="AN473" s="4">
        <f t="shared" si="1623"/>
        <v>1</v>
      </c>
      <c r="AO473" s="4">
        <v>1.25</v>
      </c>
      <c r="AP473" s="4">
        <v>1</v>
      </c>
      <c r="AQ473" s="38">
        <f t="shared" si="1624"/>
        <v>331.33580316116183</v>
      </c>
      <c r="AR473" s="38">
        <f t="shared" si="1683"/>
        <v>331.33580316116183</v>
      </c>
      <c r="AS473" s="38">
        <f t="shared" si="1625"/>
        <v>4.093765657510513</v>
      </c>
      <c r="AX473" s="4">
        <f t="shared" si="1626"/>
        <v>225.44253929385007</v>
      </c>
      <c r="AY473" s="4">
        <f t="shared" si="1627"/>
        <v>1</v>
      </c>
      <c r="AZ473" s="38">
        <f t="shared" si="1628"/>
        <v>4953.4707391259444</v>
      </c>
      <c r="BA473" s="4">
        <f t="shared" si="1629"/>
        <v>0.42600000000000005</v>
      </c>
      <c r="BB473" s="4">
        <f t="shared" si="1630"/>
        <v>50.180127608721627</v>
      </c>
      <c r="BC473" s="4">
        <f t="shared" si="1631"/>
        <v>5003.6508667346661</v>
      </c>
      <c r="BE473" s="4">
        <f t="shared" si="1632"/>
        <v>1.5</v>
      </c>
      <c r="BF473" s="4">
        <f t="shared" si="1633"/>
        <v>514.00898958997823</v>
      </c>
      <c r="BH473" s="4">
        <f t="shared" si="1634"/>
        <v>4750.9842088198866</v>
      </c>
      <c r="BI473" s="4">
        <f t="shared" si="1635"/>
        <v>0</v>
      </c>
      <c r="BJ473" s="4">
        <f t="shared" si="1636"/>
        <v>0</v>
      </c>
      <c r="BR473" s="4">
        <f t="shared" si="1637"/>
        <v>596.9</v>
      </c>
      <c r="BV473" s="9"/>
      <c r="BX473" s="9"/>
      <c r="BY473" s="9"/>
      <c r="BZ473" s="9">
        <f t="shared" si="1638"/>
        <v>596.9</v>
      </c>
      <c r="CA473" s="9">
        <f t="shared" si="1639"/>
        <v>596.9</v>
      </c>
      <c r="CB473" s="9">
        <f t="shared" si="1640"/>
        <v>4.8476798574163293</v>
      </c>
      <c r="CC473" s="40">
        <f t="shared" si="1641"/>
        <v>0</v>
      </c>
      <c r="CD473" s="9">
        <f t="shared" si="1642"/>
        <v>0</v>
      </c>
      <c r="CE473" s="9">
        <f t="shared" si="1643"/>
        <v>0</v>
      </c>
      <c r="CF473" s="9">
        <f t="shared" si="1644"/>
        <v>0.99524931562137331</v>
      </c>
      <c r="CG473" s="9">
        <f t="shared" si="1645"/>
        <v>0.68</v>
      </c>
      <c r="CH473" s="9">
        <f t="shared" si="1646"/>
        <v>1.6910134532890686</v>
      </c>
      <c r="CI473" s="9">
        <f t="shared" si="1647"/>
        <v>4.2275336332226718</v>
      </c>
      <c r="CJ473" s="40">
        <v>1</v>
      </c>
      <c r="CK473" s="9">
        <f t="shared" si="1648"/>
        <v>355.11282519070443</v>
      </c>
      <c r="DI473" s="4">
        <f t="shared" si="1649"/>
        <v>152.39999999999998</v>
      </c>
      <c r="DL473" s="4">
        <f t="shared" si="1650"/>
        <v>1.2315673098492836E-5</v>
      </c>
      <c r="DM473" s="4">
        <f t="shared" si="1651"/>
        <v>10.952938000267244</v>
      </c>
      <c r="DN473" s="4">
        <f t="shared" si="1652"/>
        <v>0.35332013969964099</v>
      </c>
      <c r="DO473" s="4">
        <f t="shared" si="1653"/>
        <v>7.2243368340770866</v>
      </c>
      <c r="DP473" s="4">
        <f t="shared" si="1654"/>
        <v>9.2786409214601537</v>
      </c>
      <c r="DQ473" s="4">
        <f t="shared" si="1655"/>
        <v>10.643904646822243</v>
      </c>
      <c r="DR473" s="38">
        <f t="shared" si="1656"/>
        <v>543.65768038041256</v>
      </c>
      <c r="DS473" s="4">
        <f t="shared" si="1657"/>
        <v>1</v>
      </c>
      <c r="DT473" s="4">
        <f t="shared" si="1658"/>
        <v>2.2583179581272428</v>
      </c>
      <c r="DU473" s="4">
        <f t="shared" si="1659"/>
        <v>331.33580316116183</v>
      </c>
      <c r="DY473" s="4">
        <f t="shared" si="1660"/>
        <v>0.85</v>
      </c>
      <c r="DZ473" s="4">
        <f t="shared" si="1661"/>
        <v>0.7</v>
      </c>
      <c r="EA473" s="4">
        <f t="shared" si="1662"/>
        <v>1</v>
      </c>
      <c r="EB473" s="4">
        <f t="shared" si="1663"/>
        <v>0.7</v>
      </c>
      <c r="ED473" s="4">
        <f t="shared" si="1664"/>
        <v>889.65517241379314</v>
      </c>
      <c r="EH473" s="4">
        <f t="shared" si="1665"/>
        <v>10.952938000267244</v>
      </c>
      <c r="EK473" s="4">
        <f t="shared" si="1666"/>
        <v>57.361276136431961</v>
      </c>
      <c r="EL473" s="4">
        <f t="shared" si="1667"/>
        <v>2.2583179581272428</v>
      </c>
      <c r="EM473" s="4">
        <f t="shared" si="1668"/>
        <v>0.13815520096222064</v>
      </c>
      <c r="EP473" s="4">
        <f t="shared" si="1669"/>
        <v>0.13815520096222064</v>
      </c>
      <c r="EQ473" s="4">
        <f t="shared" si="1670"/>
        <v>0.35332013969964099</v>
      </c>
      <c r="ER473" s="4">
        <f t="shared" si="1671"/>
        <v>7.2243368340770866</v>
      </c>
      <c r="ES473" s="4">
        <f t="shared" si="1672"/>
        <v>9.2786409214601537</v>
      </c>
      <c r="ET473" s="4">
        <f t="shared" si="1673"/>
        <v>56.938723863568022</v>
      </c>
      <c r="EU473" s="4">
        <f t="shared" si="1674"/>
        <v>38.099999999999987</v>
      </c>
      <c r="EV473" s="4">
        <f t="shared" si="1675"/>
        <v>1.2315673098492833E-5</v>
      </c>
      <c r="EW473" s="4">
        <f t="shared" si="1676"/>
        <v>10.643904646822241</v>
      </c>
      <c r="EX473" s="4">
        <f t="shared" si="1677"/>
        <v>543.65768038041256</v>
      </c>
      <c r="FG473" s="23"/>
      <c r="FH473" s="23"/>
      <c r="FI473" s="23"/>
      <c r="FJ473" s="23"/>
      <c r="FK473" s="23"/>
      <c r="FL473" s="23"/>
      <c r="FM473" s="23"/>
      <c r="FN473" s="23"/>
      <c r="FX473" s="4">
        <f t="shared" si="1678"/>
        <v>1</v>
      </c>
      <c r="FY473" s="4">
        <f t="shared" si="1679"/>
        <v>1.0833333333333333</v>
      </c>
      <c r="FZ473" s="4">
        <f t="shared" si="1680"/>
        <v>0</v>
      </c>
      <c r="GA473" s="4">
        <f t="shared" si="1681"/>
        <v>147.56080295276789</v>
      </c>
    </row>
    <row r="474" spans="1:183" ht="12" customHeight="1" x14ac:dyDescent="0.3">
      <c r="A474" s="52"/>
      <c r="B474" s="14" t="s">
        <v>605</v>
      </c>
      <c r="C474" s="24"/>
      <c r="D474" s="14" t="s">
        <v>365</v>
      </c>
      <c r="E474" s="24"/>
      <c r="F474" s="43" t="s">
        <v>628</v>
      </c>
      <c r="G474" s="38">
        <f t="shared" si="1612"/>
        <v>889.65517241379314</v>
      </c>
      <c r="H474" s="45">
        <v>152.39999999999998</v>
      </c>
      <c r="I474" s="4">
        <f t="shared" si="1613"/>
        <v>152.39999999999998</v>
      </c>
      <c r="J474" s="45">
        <v>50.96551724137931</v>
      </c>
      <c r="K474" s="7">
        <v>25.4</v>
      </c>
      <c r="L474" s="7">
        <f t="shared" si="1614"/>
        <v>5.9999999999999991</v>
      </c>
      <c r="M474" s="7">
        <f t="shared" si="1615"/>
        <v>5.9999999999999991</v>
      </c>
      <c r="N474" s="45">
        <v>1219.1999999999998</v>
      </c>
      <c r="O474" s="45">
        <v>596.9</v>
      </c>
      <c r="P474" s="45">
        <v>596.9</v>
      </c>
      <c r="Q474" s="7"/>
      <c r="R474" s="38">
        <v>1</v>
      </c>
      <c r="T474" s="7">
        <f t="shared" si="1682"/>
        <v>24</v>
      </c>
      <c r="U474" s="7">
        <f t="shared" si="1616"/>
        <v>24</v>
      </c>
      <c r="V474" s="45">
        <v>9.1</v>
      </c>
      <c r="W474" s="4">
        <f t="shared" si="1617"/>
        <v>9.1</v>
      </c>
      <c r="X474" s="4">
        <f t="shared" si="1618"/>
        <v>10.1</v>
      </c>
      <c r="Y474" s="7">
        <f t="shared" si="1619"/>
        <v>80.72246279691916</v>
      </c>
      <c r="AB474" s="45">
        <v>567.58620689655174</v>
      </c>
      <c r="AE474" s="38"/>
      <c r="AF474" s="38"/>
      <c r="AG474" s="39">
        <v>1</v>
      </c>
      <c r="AH474" s="39"/>
      <c r="AI474" s="39"/>
      <c r="AK474" s="4">
        <f t="shared" si="1620"/>
        <v>152.39999999999998</v>
      </c>
      <c r="AL474" s="4">
        <f t="shared" si="1621"/>
        <v>0.99999999999999989</v>
      </c>
      <c r="AM474" s="4">
        <f t="shared" si="1622"/>
        <v>265.0686425289295</v>
      </c>
      <c r="AN474" s="4">
        <f t="shared" si="1623"/>
        <v>1</v>
      </c>
      <c r="AO474" s="4">
        <v>1.25</v>
      </c>
      <c r="AP474" s="4">
        <v>1</v>
      </c>
      <c r="AQ474" s="38">
        <f t="shared" si="1624"/>
        <v>331.33580316116183</v>
      </c>
      <c r="AR474" s="38">
        <f t="shared" si="1683"/>
        <v>331.33580316116183</v>
      </c>
      <c r="AS474" s="38">
        <f t="shared" si="1625"/>
        <v>4.093765657510513</v>
      </c>
      <c r="AX474" s="4">
        <f t="shared" si="1626"/>
        <v>225.44253929385007</v>
      </c>
      <c r="AY474" s="4">
        <f t="shared" si="1627"/>
        <v>1</v>
      </c>
      <c r="AZ474" s="38">
        <f t="shared" si="1628"/>
        <v>7379.6942647148926</v>
      </c>
      <c r="BA474" s="4">
        <f t="shared" si="1629"/>
        <v>0.3</v>
      </c>
      <c r="BB474" s="4">
        <f t="shared" si="1630"/>
        <v>35.338118034310995</v>
      </c>
      <c r="BC474" s="4">
        <f t="shared" si="1631"/>
        <v>7415.0323827492039</v>
      </c>
      <c r="BE474" s="4">
        <f t="shared" si="1632"/>
        <v>1.5</v>
      </c>
      <c r="BF474" s="4">
        <f t="shared" si="1633"/>
        <v>514.00898958997823</v>
      </c>
      <c r="BH474" s="4">
        <f t="shared" si="1634"/>
        <v>7078.029277662743</v>
      </c>
      <c r="BI474" s="4">
        <f t="shared" si="1635"/>
        <v>0</v>
      </c>
      <c r="BJ474" s="4">
        <f t="shared" si="1636"/>
        <v>0</v>
      </c>
      <c r="BR474" s="4">
        <f t="shared" si="1637"/>
        <v>596.9</v>
      </c>
      <c r="BV474" s="9"/>
      <c r="BX474" s="9"/>
      <c r="BY474" s="9"/>
      <c r="BZ474" s="9">
        <f t="shared" si="1638"/>
        <v>596.9</v>
      </c>
      <c r="CA474" s="9">
        <f t="shared" si="1639"/>
        <v>596.9</v>
      </c>
      <c r="CB474" s="9">
        <f t="shared" si="1640"/>
        <v>4.8476798574163293</v>
      </c>
      <c r="CC474" s="40">
        <f t="shared" si="1641"/>
        <v>0</v>
      </c>
      <c r="CD474" s="9">
        <f t="shared" si="1642"/>
        <v>0</v>
      </c>
      <c r="CE474" s="9">
        <f t="shared" si="1643"/>
        <v>0</v>
      </c>
      <c r="CF474" s="9">
        <f t="shared" si="1644"/>
        <v>0.99524931562137331</v>
      </c>
      <c r="CG474" s="9">
        <f t="shared" si="1645"/>
        <v>0.68</v>
      </c>
      <c r="CH474" s="9">
        <f t="shared" si="1646"/>
        <v>1.6910134532890686</v>
      </c>
      <c r="CI474" s="9">
        <f t="shared" si="1647"/>
        <v>4.2275336332226718</v>
      </c>
      <c r="CJ474" s="40">
        <v>1</v>
      </c>
      <c r="CK474" s="9">
        <f t="shared" si="1648"/>
        <v>355.11282519070443</v>
      </c>
      <c r="DI474" s="4">
        <f t="shared" si="1649"/>
        <v>152.39999999999998</v>
      </c>
      <c r="DL474" s="4">
        <f t="shared" si="1650"/>
        <v>1.2315673098492836E-5</v>
      </c>
      <c r="DM474" s="4">
        <f t="shared" si="1651"/>
        <v>10.952938000267244</v>
      </c>
      <c r="DN474" s="4">
        <f t="shared" si="1652"/>
        <v>0.2240198265930059</v>
      </c>
      <c r="DO474" s="4">
        <f t="shared" si="1653"/>
        <v>6.0206753837110494</v>
      </c>
      <c r="DP474" s="4">
        <f t="shared" si="1654"/>
        <v>8.8406045061947474</v>
      </c>
      <c r="DQ474" s="4">
        <f t="shared" si="1655"/>
        <v>10.68681250650315</v>
      </c>
      <c r="DR474" s="38">
        <f t="shared" si="1656"/>
        <v>518.74005951961703</v>
      </c>
      <c r="DS474" s="4">
        <f t="shared" si="1657"/>
        <v>1</v>
      </c>
      <c r="DT474" s="4">
        <f t="shared" si="1658"/>
        <v>3.1780497164141401</v>
      </c>
      <c r="DU474" s="4">
        <f t="shared" si="1659"/>
        <v>331.33580316116183</v>
      </c>
      <c r="DY474" s="4">
        <f t="shared" si="1660"/>
        <v>0.85</v>
      </c>
      <c r="DZ474" s="4">
        <f t="shared" si="1661"/>
        <v>0.7</v>
      </c>
      <c r="EA474" s="4">
        <f t="shared" si="1662"/>
        <v>1</v>
      </c>
      <c r="EB474" s="4">
        <f t="shared" si="1663"/>
        <v>0.7</v>
      </c>
      <c r="ED474" s="4">
        <f t="shared" si="1664"/>
        <v>889.65517241379314</v>
      </c>
      <c r="EH474" s="4">
        <f t="shared" si="1665"/>
        <v>10.952938000267244</v>
      </c>
      <c r="EK474" s="4">
        <f t="shared" si="1666"/>
        <v>80.72246279691916</v>
      </c>
      <c r="EL474" s="4">
        <f t="shared" si="1667"/>
        <v>3.1780497164141406</v>
      </c>
      <c r="EM474" s="4">
        <f t="shared" si="1668"/>
        <v>8.7596207192686099E-2</v>
      </c>
      <c r="EP474" s="4">
        <f t="shared" si="1669"/>
        <v>8.7596207192686099E-2</v>
      </c>
      <c r="EQ474" s="4">
        <f t="shared" si="1670"/>
        <v>0.2240198265930059</v>
      </c>
      <c r="ER474" s="4">
        <f t="shared" si="1671"/>
        <v>6.0206753837110494</v>
      </c>
      <c r="ES474" s="4">
        <f t="shared" si="1672"/>
        <v>8.8406045061947474</v>
      </c>
      <c r="ET474" s="4">
        <f t="shared" si="1673"/>
        <v>33.577537203080823</v>
      </c>
      <c r="EU474" s="4">
        <f t="shared" si="1674"/>
        <v>38.099999999999994</v>
      </c>
      <c r="EV474" s="4">
        <f t="shared" si="1675"/>
        <v>1.2315673098492836E-5</v>
      </c>
      <c r="EW474" s="4">
        <f t="shared" si="1676"/>
        <v>10.686812506503149</v>
      </c>
      <c r="EX474" s="4">
        <f t="shared" si="1677"/>
        <v>518.74005951961703</v>
      </c>
      <c r="FG474" s="23"/>
      <c r="FH474" s="23"/>
      <c r="FI474" s="23"/>
      <c r="FJ474" s="23"/>
      <c r="FK474" s="23"/>
      <c r="FL474" s="23"/>
      <c r="FM474" s="23"/>
      <c r="FN474" s="23"/>
      <c r="FX474" s="4">
        <f t="shared" si="1678"/>
        <v>1</v>
      </c>
      <c r="FY474" s="4">
        <f t="shared" si="1679"/>
        <v>1.0833333333333333</v>
      </c>
      <c r="FZ474" s="4">
        <f t="shared" si="1680"/>
        <v>0</v>
      </c>
      <c r="GA474" s="4">
        <f t="shared" si="1681"/>
        <v>147.56080295276789</v>
      </c>
    </row>
    <row r="475" spans="1:183" ht="12" customHeight="1" x14ac:dyDescent="0.3">
      <c r="A475" s="52"/>
      <c r="B475" s="14" t="s">
        <v>605</v>
      </c>
      <c r="C475" s="24"/>
      <c r="D475" s="14" t="s">
        <v>365</v>
      </c>
      <c r="E475" s="24"/>
      <c r="F475" s="43" t="s">
        <v>629</v>
      </c>
      <c r="G475" s="38">
        <f t="shared" si="1612"/>
        <v>889.65517241379314</v>
      </c>
      <c r="H475" s="45">
        <v>154.93999999999997</v>
      </c>
      <c r="I475" s="4">
        <f t="shared" si="1613"/>
        <v>154.93999999999997</v>
      </c>
      <c r="J475" s="45">
        <v>50.96551724137931</v>
      </c>
      <c r="K475" s="7">
        <v>25.4</v>
      </c>
      <c r="L475" s="7">
        <f t="shared" si="1614"/>
        <v>6.0999999999999988</v>
      </c>
      <c r="M475" s="7">
        <f t="shared" si="1615"/>
        <v>6.0999999999999988</v>
      </c>
      <c r="N475" s="45">
        <v>1219.1999999999998</v>
      </c>
      <c r="O475" s="45">
        <v>596.9</v>
      </c>
      <c r="P475" s="45">
        <v>596.9</v>
      </c>
      <c r="Q475" s="7"/>
      <c r="R475" s="38">
        <v>1</v>
      </c>
      <c r="T475" s="7">
        <f t="shared" si="1682"/>
        <v>24</v>
      </c>
      <c r="U475" s="7">
        <f t="shared" si="1616"/>
        <v>24</v>
      </c>
      <c r="V475" s="45">
        <v>4</v>
      </c>
      <c r="W475" s="4">
        <f t="shared" si="1617"/>
        <v>4</v>
      </c>
      <c r="X475" s="4">
        <f t="shared" si="1618"/>
        <v>5</v>
      </c>
      <c r="Y475" s="7">
        <f t="shared" si="1619"/>
        <v>56.796126628494655</v>
      </c>
      <c r="AB475" s="45">
        <v>528.27586206896547</v>
      </c>
      <c r="AE475" s="38"/>
      <c r="AF475" s="38"/>
      <c r="AG475" s="39">
        <v>1</v>
      </c>
      <c r="AH475" s="39"/>
      <c r="AI475" s="39"/>
      <c r="AK475" s="4">
        <f t="shared" si="1620"/>
        <v>154.93999999999997</v>
      </c>
      <c r="AL475" s="4">
        <f t="shared" si="1621"/>
        <v>1</v>
      </c>
      <c r="AM475" s="4">
        <f t="shared" si="1622"/>
        <v>271.72289368638678</v>
      </c>
      <c r="AN475" s="4">
        <f t="shared" si="1623"/>
        <v>1</v>
      </c>
      <c r="AO475" s="4">
        <v>1.25</v>
      </c>
      <c r="AP475" s="4">
        <v>1</v>
      </c>
      <c r="AQ475" s="38">
        <f t="shared" si="1624"/>
        <v>339.65361710798345</v>
      </c>
      <c r="AR475" s="38">
        <f t="shared" si="1683"/>
        <v>339.65361710798345</v>
      </c>
      <c r="AS475" s="38">
        <f t="shared" si="1625"/>
        <v>4.093765657510513</v>
      </c>
      <c r="AX475" s="4">
        <f t="shared" si="1626"/>
        <v>229.19991494874753</v>
      </c>
      <c r="AY475" s="4">
        <f t="shared" si="1627"/>
        <v>1</v>
      </c>
      <c r="AZ475" s="38">
        <f t="shared" si="1628"/>
        <v>4892.6896551724139</v>
      </c>
      <c r="BA475" s="4">
        <f t="shared" si="1629"/>
        <v>0.44000000000000006</v>
      </c>
      <c r="BB475" s="4">
        <f t="shared" si="1630"/>
        <v>52.69306044671707</v>
      </c>
      <c r="BC475" s="4">
        <f t="shared" si="1631"/>
        <v>4945.382715619131</v>
      </c>
      <c r="BE475" s="4">
        <f t="shared" si="1632"/>
        <v>1.5</v>
      </c>
      <c r="BF475" s="4">
        <f t="shared" si="1633"/>
        <v>517.22154577491551</v>
      </c>
      <c r="BH475" s="4">
        <f t="shared" si="1634"/>
        <v>4692.6877162662367</v>
      </c>
      <c r="BI475" s="4">
        <f t="shared" si="1635"/>
        <v>0</v>
      </c>
      <c r="BJ475" s="4">
        <f t="shared" si="1636"/>
        <v>0</v>
      </c>
      <c r="BR475" s="4">
        <f t="shared" si="1637"/>
        <v>596.9</v>
      </c>
      <c r="BV475" s="9"/>
      <c r="BX475" s="9"/>
      <c r="BY475" s="9"/>
      <c r="BZ475" s="9">
        <f t="shared" si="1638"/>
        <v>596.9</v>
      </c>
      <c r="CA475" s="9">
        <f t="shared" si="1639"/>
        <v>596.9</v>
      </c>
      <c r="CB475" s="9">
        <f t="shared" si="1640"/>
        <v>4.8476798574163293</v>
      </c>
      <c r="CC475" s="40">
        <f t="shared" si="1641"/>
        <v>0</v>
      </c>
      <c r="CD475" s="9">
        <f t="shared" si="1642"/>
        <v>0</v>
      </c>
      <c r="CE475" s="9">
        <f t="shared" si="1643"/>
        <v>0</v>
      </c>
      <c r="CF475" s="9">
        <f t="shared" si="1644"/>
        <v>0.99524931562137331</v>
      </c>
      <c r="CG475" s="9">
        <f t="shared" si="1645"/>
        <v>0.68</v>
      </c>
      <c r="CH475" s="9">
        <f t="shared" si="1646"/>
        <v>1.6910134532890686</v>
      </c>
      <c r="CI475" s="9">
        <f t="shared" si="1647"/>
        <v>4.2275336332226718</v>
      </c>
      <c r="CJ475" s="40">
        <v>1</v>
      </c>
      <c r="CK475" s="9">
        <f t="shared" si="1648"/>
        <v>356.80383864399346</v>
      </c>
      <c r="DI475" s="4">
        <f t="shared" si="1649"/>
        <v>154.93999999999997</v>
      </c>
      <c r="DL475" s="4">
        <f t="shared" si="1650"/>
        <v>1.2520934316801049E-5</v>
      </c>
      <c r="DM475" s="4">
        <f t="shared" si="1651"/>
        <v>10.952938000267244</v>
      </c>
      <c r="DN475" s="4">
        <f t="shared" si="1652"/>
        <v>0.36758692053052205</v>
      </c>
      <c r="DO475" s="4">
        <f t="shared" si="1653"/>
        <v>7.3396381486517051</v>
      </c>
      <c r="DP475" s="4">
        <f t="shared" si="1654"/>
        <v>9.3236788279505589</v>
      </c>
      <c r="DQ475" s="4">
        <f t="shared" si="1655"/>
        <v>10.630203294189718</v>
      </c>
      <c r="DR475" s="38">
        <f t="shared" si="1656"/>
        <v>557.37538043788754</v>
      </c>
      <c r="DS475" s="4">
        <f t="shared" si="1657"/>
        <v>1</v>
      </c>
      <c r="DT475" s="4">
        <f t="shared" si="1658"/>
        <v>2.2360679774997898</v>
      </c>
      <c r="DU475" s="4">
        <f t="shared" si="1659"/>
        <v>339.65361710798345</v>
      </c>
      <c r="DY475" s="4">
        <f t="shared" si="1660"/>
        <v>0.85</v>
      </c>
      <c r="DZ475" s="4">
        <f t="shared" si="1661"/>
        <v>0.7</v>
      </c>
      <c r="EA475" s="4">
        <f t="shared" si="1662"/>
        <v>1</v>
      </c>
      <c r="EB475" s="4">
        <f t="shared" si="1663"/>
        <v>0.7</v>
      </c>
      <c r="ED475" s="4">
        <f t="shared" si="1664"/>
        <v>889.65517241379314</v>
      </c>
      <c r="EH475" s="4">
        <f t="shared" si="1665"/>
        <v>10.952938000267244</v>
      </c>
      <c r="EK475" s="4">
        <f t="shared" si="1666"/>
        <v>56.796126628494655</v>
      </c>
      <c r="EL475" s="4">
        <f t="shared" si="1667"/>
        <v>2.2360679774997898</v>
      </c>
      <c r="EM475" s="4">
        <f t="shared" si="1668"/>
        <v>0.14373379598499492</v>
      </c>
      <c r="EP475" s="4">
        <f t="shared" si="1669"/>
        <v>0.14373379598499492</v>
      </c>
      <c r="EQ475" s="4">
        <f t="shared" si="1670"/>
        <v>0.36758692053052205</v>
      </c>
      <c r="ER475" s="4">
        <f t="shared" si="1671"/>
        <v>7.3396381486517051</v>
      </c>
      <c r="ES475" s="4">
        <f t="shared" si="1672"/>
        <v>9.3236788279505589</v>
      </c>
      <c r="ET475" s="4">
        <f t="shared" si="1673"/>
        <v>59.408873371505329</v>
      </c>
      <c r="EU475" s="4">
        <f t="shared" si="1674"/>
        <v>38.734999999999992</v>
      </c>
      <c r="EV475" s="4">
        <f t="shared" si="1675"/>
        <v>1.2520934316801049E-5</v>
      </c>
      <c r="EW475" s="4">
        <f t="shared" si="1676"/>
        <v>10.630203294189718</v>
      </c>
      <c r="EX475" s="4">
        <f t="shared" si="1677"/>
        <v>557.37538043788754</v>
      </c>
      <c r="FG475" s="23"/>
      <c r="FH475" s="23"/>
      <c r="FI475" s="23"/>
      <c r="FJ475" s="23"/>
      <c r="FK475" s="23"/>
      <c r="FL475" s="23"/>
      <c r="FM475" s="23"/>
      <c r="FN475" s="23"/>
      <c r="FX475" s="4">
        <f t="shared" si="1678"/>
        <v>1</v>
      </c>
      <c r="FY475" s="4">
        <f t="shared" si="1679"/>
        <v>1.0833333333333333</v>
      </c>
      <c r="FZ475" s="4">
        <f t="shared" si="1680"/>
        <v>0</v>
      </c>
      <c r="GA475" s="4">
        <f t="shared" si="1681"/>
        <v>150.02014966864735</v>
      </c>
    </row>
    <row r="476" spans="1:183" ht="12" customHeight="1" x14ac:dyDescent="0.3">
      <c r="A476" s="52"/>
      <c r="B476" s="14" t="s">
        <v>605</v>
      </c>
      <c r="C476" s="24"/>
      <c r="D476" s="14" t="s">
        <v>365</v>
      </c>
      <c r="E476" s="24"/>
      <c r="F476" s="43" t="s">
        <v>630</v>
      </c>
      <c r="G476" s="38">
        <f t="shared" si="1612"/>
        <v>889.65517241379314</v>
      </c>
      <c r="H476" s="45">
        <v>154.93999999999997</v>
      </c>
      <c r="I476" s="4">
        <f t="shared" si="1613"/>
        <v>154.93999999999997</v>
      </c>
      <c r="J476" s="45">
        <v>50.96551724137931</v>
      </c>
      <c r="K476" s="7">
        <v>25.4</v>
      </c>
      <c r="L476" s="7">
        <f t="shared" si="1614"/>
        <v>6.0999999999999988</v>
      </c>
      <c r="M476" s="7">
        <f t="shared" si="1615"/>
        <v>6.0999999999999988</v>
      </c>
      <c r="N476" s="45">
        <v>1219.1999999999998</v>
      </c>
      <c r="O476" s="45">
        <v>596.9</v>
      </c>
      <c r="P476" s="45">
        <v>596.9</v>
      </c>
      <c r="Q476" s="7"/>
      <c r="R476" s="38">
        <v>1</v>
      </c>
      <c r="T476" s="7">
        <f t="shared" si="1682"/>
        <v>24</v>
      </c>
      <c r="U476" s="7">
        <f t="shared" si="1616"/>
        <v>24</v>
      </c>
      <c r="V476" s="45">
        <v>9.5</v>
      </c>
      <c r="W476" s="4">
        <f t="shared" si="1617"/>
        <v>9.5</v>
      </c>
      <c r="X476" s="4">
        <f t="shared" si="1618"/>
        <v>10.5</v>
      </c>
      <c r="Y476" s="7">
        <f t="shared" si="1619"/>
        <v>82.305406869779816</v>
      </c>
      <c r="AB476" s="45">
        <v>503.44827586206901</v>
      </c>
      <c r="AE476" s="38"/>
      <c r="AF476" s="38"/>
      <c r="AG476" s="39">
        <v>1</v>
      </c>
      <c r="AH476" s="39"/>
      <c r="AI476" s="39"/>
      <c r="AK476" s="4">
        <f t="shared" si="1620"/>
        <v>154.93999999999997</v>
      </c>
      <c r="AL476" s="4">
        <f t="shared" si="1621"/>
        <v>1</v>
      </c>
      <c r="AM476" s="4">
        <f t="shared" si="1622"/>
        <v>271.72289368638678</v>
      </c>
      <c r="AN476" s="4">
        <f t="shared" si="1623"/>
        <v>1</v>
      </c>
      <c r="AO476" s="4">
        <v>1.25</v>
      </c>
      <c r="AP476" s="4">
        <v>1</v>
      </c>
      <c r="AQ476" s="38">
        <f t="shared" si="1624"/>
        <v>339.65361710798345</v>
      </c>
      <c r="AR476" s="38">
        <f t="shared" si="1683"/>
        <v>339.65361710798345</v>
      </c>
      <c r="AS476" s="38">
        <f t="shared" si="1625"/>
        <v>4.093765657510513</v>
      </c>
      <c r="AX476" s="4">
        <f t="shared" si="1626"/>
        <v>229.19991494874753</v>
      </c>
      <c r="AY476" s="4">
        <f t="shared" si="1627"/>
        <v>1</v>
      </c>
      <c r="AZ476" s="38">
        <f t="shared" si="1628"/>
        <v>7540.1411556315707</v>
      </c>
      <c r="BA476" s="4">
        <f t="shared" si="1629"/>
        <v>0.3</v>
      </c>
      <c r="BB476" s="4">
        <f t="shared" si="1630"/>
        <v>35.927086668216177</v>
      </c>
      <c r="BC476" s="4">
        <f t="shared" si="1631"/>
        <v>7576.068242299787</v>
      </c>
      <c r="BE476" s="4">
        <f t="shared" si="1632"/>
        <v>1.5</v>
      </c>
      <c r="BF476" s="4">
        <f t="shared" si="1633"/>
        <v>517.22154577491551</v>
      </c>
      <c r="BH476" s="4">
        <f t="shared" si="1634"/>
        <v>7231.9174674280239</v>
      </c>
      <c r="BI476" s="4">
        <f t="shared" si="1635"/>
        <v>0</v>
      </c>
      <c r="BJ476" s="4">
        <f t="shared" si="1636"/>
        <v>0</v>
      </c>
      <c r="BR476" s="4">
        <f t="shared" si="1637"/>
        <v>596.9</v>
      </c>
      <c r="BV476" s="9"/>
      <c r="BX476" s="9"/>
      <c r="BY476" s="9"/>
      <c r="BZ476" s="9">
        <f t="shared" si="1638"/>
        <v>596.9</v>
      </c>
      <c r="CA476" s="9">
        <f t="shared" si="1639"/>
        <v>596.9</v>
      </c>
      <c r="CB476" s="9">
        <f t="shared" si="1640"/>
        <v>4.8476798574163293</v>
      </c>
      <c r="CC476" s="40">
        <f t="shared" si="1641"/>
        <v>0</v>
      </c>
      <c r="CD476" s="9">
        <f t="shared" si="1642"/>
        <v>0</v>
      </c>
      <c r="CE476" s="9">
        <f t="shared" si="1643"/>
        <v>0</v>
      </c>
      <c r="CF476" s="9">
        <f t="shared" si="1644"/>
        <v>0.99524931562137331</v>
      </c>
      <c r="CG476" s="9">
        <f t="shared" si="1645"/>
        <v>0.68</v>
      </c>
      <c r="CH476" s="9">
        <f t="shared" si="1646"/>
        <v>1.6910134532890686</v>
      </c>
      <c r="CI476" s="9">
        <f t="shared" si="1647"/>
        <v>4.2275336332226718</v>
      </c>
      <c r="CJ476" s="40">
        <v>1</v>
      </c>
      <c r="CK476" s="9">
        <f t="shared" si="1648"/>
        <v>356.80383864399346</v>
      </c>
      <c r="DI476" s="4">
        <f t="shared" si="1649"/>
        <v>154.93999999999997</v>
      </c>
      <c r="DL476" s="4">
        <f t="shared" si="1650"/>
        <v>1.2520934316801049E-5</v>
      </c>
      <c r="DM476" s="4">
        <f t="shared" si="1651"/>
        <v>10.952938000267244</v>
      </c>
      <c r="DN476" s="4">
        <f t="shared" si="1652"/>
        <v>0.22428802325807964</v>
      </c>
      <c r="DO476" s="4">
        <f t="shared" si="1653"/>
        <v>6.0235575312584908</v>
      </c>
      <c r="DP476" s="4">
        <f t="shared" si="1654"/>
        <v>8.841578977482591</v>
      </c>
      <c r="DQ476" s="4">
        <f t="shared" si="1655"/>
        <v>10.678024043481885</v>
      </c>
      <c r="DR476" s="38">
        <f t="shared" si="1656"/>
        <v>530.0647265100929</v>
      </c>
      <c r="DS476" s="4">
        <f t="shared" si="1657"/>
        <v>1</v>
      </c>
      <c r="DT476" s="4">
        <f t="shared" si="1658"/>
        <v>3.2403703492039297</v>
      </c>
      <c r="DU476" s="4">
        <f t="shared" si="1659"/>
        <v>339.65361710798345</v>
      </c>
      <c r="DY476" s="4">
        <f t="shared" si="1660"/>
        <v>0.85</v>
      </c>
      <c r="DZ476" s="4">
        <f t="shared" si="1661"/>
        <v>0.7</v>
      </c>
      <c r="EA476" s="4">
        <f t="shared" si="1662"/>
        <v>1</v>
      </c>
      <c r="EB476" s="4">
        <f t="shared" si="1663"/>
        <v>0.7</v>
      </c>
      <c r="ED476" s="4">
        <f t="shared" si="1664"/>
        <v>889.65517241379314</v>
      </c>
      <c r="EH476" s="4">
        <f t="shared" si="1665"/>
        <v>10.952938000267244</v>
      </c>
      <c r="EK476" s="4">
        <f t="shared" si="1666"/>
        <v>82.305406869779816</v>
      </c>
      <c r="EL476" s="4">
        <f t="shared" si="1667"/>
        <v>3.2403703492039302</v>
      </c>
      <c r="EM476" s="4">
        <f t="shared" si="1668"/>
        <v>8.7701077422252291E-2</v>
      </c>
      <c r="EP476" s="4">
        <f t="shared" si="1669"/>
        <v>8.7701077422252291E-2</v>
      </c>
      <c r="EQ476" s="4">
        <f t="shared" si="1670"/>
        <v>0.22428802325807964</v>
      </c>
      <c r="ER476" s="4">
        <f t="shared" si="1671"/>
        <v>6.0235575312584908</v>
      </c>
      <c r="ES476" s="4">
        <f t="shared" si="1672"/>
        <v>8.841578977482591</v>
      </c>
      <c r="ET476" s="4">
        <f t="shared" si="1673"/>
        <v>33.899593130220168</v>
      </c>
      <c r="EU476" s="4">
        <f t="shared" si="1674"/>
        <v>38.734999999999985</v>
      </c>
      <c r="EV476" s="4">
        <f t="shared" si="1675"/>
        <v>1.2520934316801048E-5</v>
      </c>
      <c r="EW476" s="4">
        <f t="shared" si="1676"/>
        <v>10.678024043481887</v>
      </c>
      <c r="EX476" s="4">
        <f t="shared" si="1677"/>
        <v>530.0647265100929</v>
      </c>
      <c r="FG476" s="23"/>
      <c r="FH476" s="23"/>
      <c r="FI476" s="23"/>
      <c r="FJ476" s="23"/>
      <c r="FK476" s="23"/>
      <c r="FL476" s="23"/>
      <c r="FM476" s="23"/>
      <c r="FN476" s="23"/>
      <c r="FX476" s="4">
        <f t="shared" si="1678"/>
        <v>1</v>
      </c>
      <c r="FY476" s="4">
        <f t="shared" si="1679"/>
        <v>1.0833333333333333</v>
      </c>
      <c r="FZ476" s="4">
        <f t="shared" si="1680"/>
        <v>0</v>
      </c>
      <c r="GA476" s="4">
        <f t="shared" si="1681"/>
        <v>150.02014966864735</v>
      </c>
    </row>
    <row r="477" spans="1:183" ht="12" customHeight="1" x14ac:dyDescent="0.3">
      <c r="A477" s="52"/>
      <c r="B477" s="14" t="s">
        <v>605</v>
      </c>
      <c r="C477" s="24"/>
      <c r="D477" s="14" t="s">
        <v>365</v>
      </c>
      <c r="E477" s="24"/>
      <c r="F477" s="43" t="s">
        <v>631</v>
      </c>
      <c r="G477" s="38">
        <f t="shared" si="1612"/>
        <v>889.65517241379314</v>
      </c>
      <c r="H477" s="45">
        <v>160.01999999999998</v>
      </c>
      <c r="I477" s="4">
        <f t="shared" si="1613"/>
        <v>160.01999999999998</v>
      </c>
      <c r="J477" s="45">
        <v>59.448275862068968</v>
      </c>
      <c r="K477" s="7">
        <v>25.4</v>
      </c>
      <c r="L477" s="7">
        <f t="shared" si="1614"/>
        <v>6.3</v>
      </c>
      <c r="M477" s="7">
        <f t="shared" si="1615"/>
        <v>6.3</v>
      </c>
      <c r="N477" s="45">
        <v>1219.1999999999998</v>
      </c>
      <c r="O477" s="45">
        <v>596.9</v>
      </c>
      <c r="P477" s="45">
        <v>596.9</v>
      </c>
      <c r="Q477" s="7"/>
      <c r="R477" s="38">
        <v>1</v>
      </c>
      <c r="T477" s="7">
        <f t="shared" si="1682"/>
        <v>24</v>
      </c>
      <c r="U477" s="7">
        <f t="shared" si="1616"/>
        <v>24</v>
      </c>
      <c r="V477" s="45">
        <v>12.9</v>
      </c>
      <c r="W477" s="4">
        <f t="shared" si="1617"/>
        <v>12.9</v>
      </c>
      <c r="X477" s="4">
        <f t="shared" si="1618"/>
        <v>13.9</v>
      </c>
      <c r="Y477" s="7">
        <f t="shared" si="1619"/>
        <v>94.698067562120812</v>
      </c>
      <c r="AB477" s="45">
        <v>689.65517241379314</v>
      </c>
      <c r="AE477" s="38"/>
      <c r="AF477" s="38"/>
      <c r="AG477" s="39">
        <v>1</v>
      </c>
      <c r="AH477" s="39"/>
      <c r="AI477" s="39"/>
      <c r="AK477" s="4">
        <f t="shared" si="1620"/>
        <v>160.01999999999998</v>
      </c>
      <c r="AL477" s="4">
        <f t="shared" si="1621"/>
        <v>1</v>
      </c>
      <c r="AM477" s="4">
        <f t="shared" si="1622"/>
        <v>308.01631180193135</v>
      </c>
      <c r="AN477" s="4">
        <f t="shared" si="1623"/>
        <v>1</v>
      </c>
      <c r="AO477" s="4">
        <v>1.25</v>
      </c>
      <c r="AP477" s="4">
        <v>1</v>
      </c>
      <c r="AQ477" s="38">
        <f t="shared" si="1624"/>
        <v>385.02038975241419</v>
      </c>
      <c r="AR477" s="38">
        <f t="shared" si="1683"/>
        <v>385.02038975241419</v>
      </c>
      <c r="AS477" s="38">
        <f t="shared" si="1625"/>
        <v>4.3396934501138817</v>
      </c>
      <c r="AX477" s="4">
        <f t="shared" si="1626"/>
        <v>255.65634769234322</v>
      </c>
      <c r="AY477" s="4">
        <f t="shared" si="1627"/>
        <v>1</v>
      </c>
      <c r="AZ477" s="38">
        <f t="shared" si="1628"/>
        <v>10248.855172376669</v>
      </c>
      <c r="BA477" s="4">
        <f t="shared" si="1629"/>
        <v>0.3</v>
      </c>
      <c r="BB477" s="4">
        <f t="shared" si="1630"/>
        <v>40.074132500774788</v>
      </c>
      <c r="BC477" s="4">
        <f t="shared" si="1631"/>
        <v>10288.929304877443</v>
      </c>
      <c r="BE477" s="4">
        <f t="shared" si="1632"/>
        <v>1.5</v>
      </c>
      <c r="BF477" s="4">
        <f t="shared" si="1633"/>
        <v>565.54836343084776</v>
      </c>
      <c r="BH477" s="4">
        <f t="shared" si="1634"/>
        <v>9829.9054636255823</v>
      </c>
      <c r="BI477" s="4">
        <f t="shared" si="1635"/>
        <v>0</v>
      </c>
      <c r="BJ477" s="4">
        <f t="shared" si="1636"/>
        <v>0</v>
      </c>
      <c r="BR477" s="4">
        <f t="shared" si="1637"/>
        <v>596.9</v>
      </c>
      <c r="BV477" s="9"/>
      <c r="BX477" s="9"/>
      <c r="BY477" s="9"/>
      <c r="BZ477" s="9">
        <f t="shared" si="1638"/>
        <v>596.9</v>
      </c>
      <c r="CA477" s="9">
        <f t="shared" si="1639"/>
        <v>596.9</v>
      </c>
      <c r="CB477" s="9">
        <f t="shared" si="1640"/>
        <v>4.8476798574163293</v>
      </c>
      <c r="CC477" s="40">
        <f t="shared" si="1641"/>
        <v>0</v>
      </c>
      <c r="CD477" s="9">
        <f t="shared" si="1642"/>
        <v>0</v>
      </c>
      <c r="CE477" s="9">
        <f t="shared" si="1643"/>
        <v>0</v>
      </c>
      <c r="CF477" s="9">
        <f t="shared" si="1644"/>
        <v>0.99524931562137331</v>
      </c>
      <c r="CG477" s="9">
        <f t="shared" si="1645"/>
        <v>0.68</v>
      </c>
      <c r="CH477" s="9">
        <f t="shared" si="1646"/>
        <v>1.8263267342054628</v>
      </c>
      <c r="CI477" s="9">
        <f t="shared" si="1647"/>
        <v>4.5658168355136572</v>
      </c>
      <c r="CJ477" s="40">
        <v>1</v>
      </c>
      <c r="CK477" s="9">
        <f t="shared" si="1648"/>
        <v>389.00759438576358</v>
      </c>
      <c r="DI477" s="4">
        <f t="shared" si="1649"/>
        <v>160.01999999999998</v>
      </c>
      <c r="DL477" s="4">
        <f t="shared" si="1650"/>
        <v>1.3631853306974178E-5</v>
      </c>
      <c r="DM477" s="4">
        <f t="shared" si="1651"/>
        <v>11.829381634472119</v>
      </c>
      <c r="DN477" s="4">
        <f t="shared" si="1652"/>
        <v>0.18468745080108853</v>
      </c>
      <c r="DO477" s="4">
        <f t="shared" si="1653"/>
        <v>6.0191753840793982</v>
      </c>
      <c r="DP477" s="4">
        <f t="shared" si="1654"/>
        <v>9.3896641998498129</v>
      </c>
      <c r="DQ477" s="4">
        <f t="shared" si="1655"/>
        <v>11.494727829289342</v>
      </c>
      <c r="DR477" s="38">
        <f t="shared" si="1656"/>
        <v>584.63745402997267</v>
      </c>
      <c r="DS477" s="4">
        <f t="shared" si="1657"/>
        <v>1.0000000000000002</v>
      </c>
      <c r="DT477" s="4">
        <f t="shared" si="1658"/>
        <v>3.7282703764614493</v>
      </c>
      <c r="DU477" s="4">
        <f t="shared" si="1659"/>
        <v>385.02038975241419</v>
      </c>
      <c r="DY477" s="4">
        <f t="shared" si="1660"/>
        <v>0.85</v>
      </c>
      <c r="DZ477" s="4">
        <f t="shared" si="1661"/>
        <v>0.7</v>
      </c>
      <c r="EA477" s="4">
        <f t="shared" si="1662"/>
        <v>1</v>
      </c>
      <c r="EB477" s="4">
        <f t="shared" si="1663"/>
        <v>0.7</v>
      </c>
      <c r="ED477" s="4">
        <f t="shared" si="1664"/>
        <v>889.65517241379314</v>
      </c>
      <c r="EH477" s="4">
        <f t="shared" si="1665"/>
        <v>11.829381634472119</v>
      </c>
      <c r="EK477" s="4">
        <f t="shared" si="1666"/>
        <v>94.698067562120812</v>
      </c>
      <c r="EL477" s="4">
        <f t="shared" si="1667"/>
        <v>3.7282703764614498</v>
      </c>
      <c r="EM477" s="4">
        <f t="shared" si="1668"/>
        <v>7.7995158688872135E-2</v>
      </c>
      <c r="EP477" s="4">
        <f t="shared" si="1669"/>
        <v>7.7995158688872135E-2</v>
      </c>
      <c r="EQ477" s="4">
        <f t="shared" si="1670"/>
        <v>0.18468745080108853</v>
      </c>
      <c r="ER477" s="4">
        <f t="shared" si="1671"/>
        <v>6.0191753840793982</v>
      </c>
      <c r="ES477" s="4">
        <f t="shared" si="1672"/>
        <v>9.3896641998498129</v>
      </c>
      <c r="ET477" s="4">
        <f t="shared" si="1673"/>
        <v>25.316932437879174</v>
      </c>
      <c r="EU477" s="4">
        <f t="shared" si="1674"/>
        <v>40.004999999999995</v>
      </c>
      <c r="EV477" s="4">
        <f t="shared" si="1675"/>
        <v>1.3631853306974178E-5</v>
      </c>
      <c r="EW477" s="4">
        <f t="shared" si="1676"/>
        <v>11.494727829289342</v>
      </c>
      <c r="EX477" s="4">
        <f t="shared" si="1677"/>
        <v>584.63745402997256</v>
      </c>
      <c r="FG477" s="23"/>
      <c r="FH477" s="23"/>
      <c r="FI477" s="23"/>
      <c r="FJ477" s="23"/>
      <c r="FK477" s="23"/>
      <c r="FL477" s="23"/>
      <c r="FM477" s="23"/>
      <c r="FN477" s="23"/>
      <c r="FX477" s="4">
        <f t="shared" si="1678"/>
        <v>1</v>
      </c>
      <c r="FY477" s="4">
        <f t="shared" si="1679"/>
        <v>1.0833333333333333</v>
      </c>
      <c r="FZ477" s="4">
        <f t="shared" si="1680"/>
        <v>0</v>
      </c>
      <c r="GA477" s="4">
        <f t="shared" si="1681"/>
        <v>161.01858866173305</v>
      </c>
    </row>
    <row r="478" spans="1:183" ht="12" customHeight="1" x14ac:dyDescent="0.3">
      <c r="A478" s="52"/>
      <c r="B478" s="14" t="s">
        <v>605</v>
      </c>
      <c r="C478" s="24"/>
      <c r="D478" s="14" t="s">
        <v>365</v>
      </c>
      <c r="E478" s="24"/>
      <c r="F478" s="43" t="s">
        <v>632</v>
      </c>
      <c r="G478" s="38">
        <f t="shared" si="1612"/>
        <v>889.65517241379314</v>
      </c>
      <c r="H478" s="45">
        <v>160.01999999999998</v>
      </c>
      <c r="I478" s="4">
        <f t="shared" si="1613"/>
        <v>160.01999999999998</v>
      </c>
      <c r="J478" s="45">
        <v>59.448275862068968</v>
      </c>
      <c r="K478" s="7">
        <v>25.4</v>
      </c>
      <c r="L478" s="7">
        <f t="shared" si="1614"/>
        <v>6.3</v>
      </c>
      <c r="M478" s="7">
        <f t="shared" si="1615"/>
        <v>6.3</v>
      </c>
      <c r="N478" s="45">
        <v>1219.1999999999998</v>
      </c>
      <c r="O478" s="45">
        <v>596.9</v>
      </c>
      <c r="P478" s="45">
        <v>596.9</v>
      </c>
      <c r="Q478" s="7"/>
      <c r="R478" s="38">
        <v>1</v>
      </c>
      <c r="T478" s="7">
        <f t="shared" si="1682"/>
        <v>24</v>
      </c>
      <c r="U478" s="7">
        <f t="shared" si="1616"/>
        <v>24</v>
      </c>
      <c r="V478" s="45">
        <v>9.1</v>
      </c>
      <c r="W478" s="4">
        <f t="shared" si="1617"/>
        <v>9.1</v>
      </c>
      <c r="X478" s="4">
        <f t="shared" si="1618"/>
        <v>10.1</v>
      </c>
      <c r="Y478" s="7">
        <f t="shared" si="1619"/>
        <v>80.72246279691916</v>
      </c>
      <c r="AB478" s="45">
        <v>618.62068965517244</v>
      </c>
      <c r="AE478" s="38"/>
      <c r="AF478" s="38"/>
      <c r="AG478" s="39">
        <v>1</v>
      </c>
      <c r="AH478" s="39"/>
      <c r="AI478" s="39"/>
      <c r="AK478" s="4">
        <f t="shared" si="1620"/>
        <v>160.01999999999998</v>
      </c>
      <c r="AL478" s="4">
        <f t="shared" si="1621"/>
        <v>1</v>
      </c>
      <c r="AM478" s="4">
        <f t="shared" si="1622"/>
        <v>308.01631180193135</v>
      </c>
      <c r="AN478" s="4">
        <f t="shared" si="1623"/>
        <v>1</v>
      </c>
      <c r="AO478" s="4">
        <v>1.25</v>
      </c>
      <c r="AP478" s="4">
        <v>1</v>
      </c>
      <c r="AQ478" s="38">
        <f t="shared" si="1624"/>
        <v>385.02038975241419</v>
      </c>
      <c r="AR478" s="38">
        <f t="shared" si="1683"/>
        <v>385.02038975241419</v>
      </c>
      <c r="AS478" s="38">
        <f t="shared" si="1625"/>
        <v>4.3396934501138817</v>
      </c>
      <c r="AX478" s="4">
        <f t="shared" si="1626"/>
        <v>255.65634769234322</v>
      </c>
      <c r="AY478" s="4">
        <f t="shared" si="1627"/>
        <v>1</v>
      </c>
      <c r="AZ478" s="38">
        <f t="shared" si="1628"/>
        <v>8607.978966419807</v>
      </c>
      <c r="BA478" s="4">
        <f t="shared" si="1629"/>
        <v>0.3</v>
      </c>
      <c r="BB478" s="4">
        <f t="shared" si="1630"/>
        <v>40.074132500774788</v>
      </c>
      <c r="BC478" s="4">
        <f t="shared" si="1631"/>
        <v>8648.0530989205818</v>
      </c>
      <c r="BE478" s="4">
        <f t="shared" si="1632"/>
        <v>1.5</v>
      </c>
      <c r="BF478" s="4">
        <f t="shared" si="1633"/>
        <v>565.54836343084776</v>
      </c>
      <c r="BH478" s="4">
        <f t="shared" si="1634"/>
        <v>8256.1045160288031</v>
      </c>
      <c r="BI478" s="4">
        <f t="shared" si="1635"/>
        <v>0</v>
      </c>
      <c r="BJ478" s="4">
        <f t="shared" si="1636"/>
        <v>0</v>
      </c>
      <c r="BR478" s="4">
        <f t="shared" si="1637"/>
        <v>596.9</v>
      </c>
      <c r="BV478" s="9"/>
      <c r="BX478" s="9"/>
      <c r="BY478" s="9"/>
      <c r="BZ478" s="9">
        <f t="shared" si="1638"/>
        <v>596.9</v>
      </c>
      <c r="CA478" s="9">
        <f t="shared" si="1639"/>
        <v>596.9</v>
      </c>
      <c r="CB478" s="9">
        <f t="shared" si="1640"/>
        <v>4.8476798574163293</v>
      </c>
      <c r="CC478" s="40">
        <f t="shared" si="1641"/>
        <v>0</v>
      </c>
      <c r="CD478" s="9">
        <f t="shared" si="1642"/>
        <v>0</v>
      </c>
      <c r="CE478" s="9">
        <f t="shared" si="1643"/>
        <v>0</v>
      </c>
      <c r="CF478" s="9">
        <f t="shared" si="1644"/>
        <v>0.99524931562137331</v>
      </c>
      <c r="CG478" s="9">
        <f t="shared" si="1645"/>
        <v>0.68</v>
      </c>
      <c r="CH478" s="9">
        <f t="shared" si="1646"/>
        <v>1.8263267342054628</v>
      </c>
      <c r="CI478" s="9">
        <f t="shared" si="1647"/>
        <v>4.5658168355136572</v>
      </c>
      <c r="CJ478" s="40">
        <v>1</v>
      </c>
      <c r="CK478" s="9">
        <f t="shared" si="1648"/>
        <v>389.00759438576358</v>
      </c>
      <c r="DI478" s="4">
        <f t="shared" si="1649"/>
        <v>160.01999999999998</v>
      </c>
      <c r="DL478" s="4">
        <f t="shared" si="1650"/>
        <v>1.3631853306974178E-5</v>
      </c>
      <c r="DM478" s="4">
        <f t="shared" si="1651"/>
        <v>11.829381634472119</v>
      </c>
      <c r="DN478" s="4">
        <f t="shared" si="1652"/>
        <v>0.22317163317275795</v>
      </c>
      <c r="DO478" s="4">
        <f t="shared" si="1653"/>
        <v>6.4925849346268336</v>
      </c>
      <c r="DP478" s="4">
        <f t="shared" si="1654"/>
        <v>9.5446904861318114</v>
      </c>
      <c r="DQ478" s="4">
        <f t="shared" si="1655"/>
        <v>11.465435649076939</v>
      </c>
      <c r="DR478" s="38">
        <f t="shared" si="1656"/>
        <v>598.84831179978437</v>
      </c>
      <c r="DS478" s="4">
        <f t="shared" si="1657"/>
        <v>1</v>
      </c>
      <c r="DT478" s="4">
        <f t="shared" si="1658"/>
        <v>3.1780497164141401</v>
      </c>
      <c r="DU478" s="4">
        <f t="shared" si="1659"/>
        <v>385.02038975241419</v>
      </c>
      <c r="DY478" s="4">
        <f t="shared" si="1660"/>
        <v>0.85</v>
      </c>
      <c r="DZ478" s="4">
        <f t="shared" si="1661"/>
        <v>0.7</v>
      </c>
      <c r="EA478" s="4">
        <f t="shared" si="1662"/>
        <v>1</v>
      </c>
      <c r="EB478" s="4">
        <f t="shared" si="1663"/>
        <v>0.7</v>
      </c>
      <c r="ED478" s="4">
        <f t="shared" si="1664"/>
        <v>889.65517241379314</v>
      </c>
      <c r="EH478" s="4">
        <f t="shared" si="1665"/>
        <v>11.829381634472119</v>
      </c>
      <c r="EK478" s="4">
        <f t="shared" si="1666"/>
        <v>80.72246279691916</v>
      </c>
      <c r="EL478" s="4">
        <f t="shared" si="1667"/>
        <v>3.1780497164141406</v>
      </c>
      <c r="EM478" s="4">
        <f t="shared" si="1668"/>
        <v>9.4247372350766273E-2</v>
      </c>
      <c r="EP478" s="4">
        <f t="shared" si="1669"/>
        <v>9.4247372350766273E-2</v>
      </c>
      <c r="EQ478" s="4">
        <f t="shared" si="1670"/>
        <v>0.22317163317275795</v>
      </c>
      <c r="ER478" s="4">
        <f t="shared" si="1671"/>
        <v>6.4925849346268336</v>
      </c>
      <c r="ES478" s="4">
        <f t="shared" si="1672"/>
        <v>9.5446904861318114</v>
      </c>
      <c r="ET478" s="4">
        <f t="shared" si="1673"/>
        <v>39.292537203080826</v>
      </c>
      <c r="EU478" s="4">
        <f t="shared" si="1674"/>
        <v>40.004999999999995</v>
      </c>
      <c r="EV478" s="4">
        <f t="shared" si="1675"/>
        <v>1.3631853306974178E-5</v>
      </c>
      <c r="EW478" s="4">
        <f t="shared" si="1676"/>
        <v>11.465435649076939</v>
      </c>
      <c r="EX478" s="4">
        <f t="shared" si="1677"/>
        <v>598.84831179978437</v>
      </c>
      <c r="FG478" s="23"/>
      <c r="FH478" s="23"/>
      <c r="FI478" s="23"/>
      <c r="FJ478" s="23"/>
      <c r="FK478" s="23"/>
      <c r="FL478" s="23"/>
      <c r="FM478" s="23"/>
      <c r="FN478" s="23"/>
      <c r="FX478" s="4">
        <f t="shared" si="1678"/>
        <v>1</v>
      </c>
      <c r="FY478" s="4">
        <f t="shared" si="1679"/>
        <v>1.0833333333333333</v>
      </c>
      <c r="FZ478" s="4">
        <f t="shared" si="1680"/>
        <v>0</v>
      </c>
      <c r="GA478" s="4">
        <f t="shared" si="1681"/>
        <v>161.01858866173305</v>
      </c>
    </row>
    <row r="479" spans="1:183" ht="12" customHeight="1" x14ac:dyDescent="0.3">
      <c r="A479" s="52"/>
      <c r="B479" s="14" t="s">
        <v>605</v>
      </c>
      <c r="C479" s="24"/>
      <c r="D479" s="14" t="s">
        <v>365</v>
      </c>
      <c r="E479" s="24"/>
      <c r="F479" s="43" t="s">
        <v>633</v>
      </c>
      <c r="G479" s="38">
        <f t="shared" si="1612"/>
        <v>889.65517241379314</v>
      </c>
      <c r="H479" s="45">
        <v>162.56</v>
      </c>
      <c r="I479" s="4">
        <f t="shared" si="1613"/>
        <v>162.56</v>
      </c>
      <c r="J479" s="45">
        <v>59.448275862068968</v>
      </c>
      <c r="K479" s="7">
        <v>25.4</v>
      </c>
      <c r="L479" s="7">
        <f t="shared" si="1614"/>
        <v>6.4</v>
      </c>
      <c r="M479" s="7">
        <f t="shared" si="1615"/>
        <v>6.4</v>
      </c>
      <c r="N479" s="45">
        <v>1219.1999999999998</v>
      </c>
      <c r="O479" s="45">
        <v>596.9</v>
      </c>
      <c r="P479" s="45">
        <v>596.9</v>
      </c>
      <c r="Q479" s="7"/>
      <c r="R479" s="38">
        <v>1</v>
      </c>
      <c r="T479" s="7">
        <f t="shared" si="1682"/>
        <v>24</v>
      </c>
      <c r="U479" s="7">
        <f t="shared" si="1616"/>
        <v>24</v>
      </c>
      <c r="V479" s="45">
        <v>6.5</v>
      </c>
      <c r="W479" s="4">
        <f t="shared" si="1617"/>
        <v>6.5</v>
      </c>
      <c r="X479" s="4">
        <f t="shared" si="1618"/>
        <v>7.5</v>
      </c>
      <c r="Y479" s="7">
        <f t="shared" si="1619"/>
        <v>69.56076480315609</v>
      </c>
      <c r="AB479" s="45">
        <v>806.89655172413802</v>
      </c>
      <c r="AE479" s="38"/>
      <c r="AF479" s="38"/>
      <c r="AG479" s="39">
        <v>1</v>
      </c>
      <c r="AH479" s="39"/>
      <c r="AI479" s="39"/>
      <c r="AK479" s="4">
        <f t="shared" si="1620"/>
        <v>162.56</v>
      </c>
      <c r="AL479" s="4">
        <f t="shared" si="1621"/>
        <v>1</v>
      </c>
      <c r="AM479" s="4">
        <f t="shared" si="1622"/>
        <v>315.37905904684118</v>
      </c>
      <c r="AN479" s="4">
        <f t="shared" si="1623"/>
        <v>1</v>
      </c>
      <c r="AO479" s="4">
        <v>1.25</v>
      </c>
      <c r="AP479" s="4">
        <v>1</v>
      </c>
      <c r="AQ479" s="38">
        <f t="shared" si="1624"/>
        <v>394.22382380855146</v>
      </c>
      <c r="AR479" s="38">
        <f t="shared" si="1683"/>
        <v>394.22382380855146</v>
      </c>
      <c r="AS479" s="38">
        <f t="shared" si="1625"/>
        <v>4.3396934501138817</v>
      </c>
      <c r="AX479" s="4">
        <f t="shared" si="1626"/>
        <v>259.71438495730104</v>
      </c>
      <c r="AY479" s="4">
        <f t="shared" si="1627"/>
        <v>1</v>
      </c>
      <c r="AZ479" s="38">
        <f t="shared" si="1628"/>
        <v>7275.0700480832784</v>
      </c>
      <c r="BA479" s="4">
        <f t="shared" si="1629"/>
        <v>0.3</v>
      </c>
      <c r="BB479" s="4">
        <f t="shared" si="1630"/>
        <v>40.71022984205694</v>
      </c>
      <c r="BC479" s="4">
        <f t="shared" si="1631"/>
        <v>7315.7802779253352</v>
      </c>
      <c r="BE479" s="4">
        <f t="shared" si="1632"/>
        <v>1.5</v>
      </c>
      <c r="BF479" s="4">
        <f t="shared" si="1633"/>
        <v>569.01798529238681</v>
      </c>
      <c r="BH479" s="4">
        <f t="shared" si="1634"/>
        <v>6977.6818592050622</v>
      </c>
      <c r="BI479" s="4">
        <f t="shared" si="1635"/>
        <v>0</v>
      </c>
      <c r="BJ479" s="4">
        <f t="shared" si="1636"/>
        <v>0</v>
      </c>
      <c r="BR479" s="4">
        <f t="shared" si="1637"/>
        <v>596.9</v>
      </c>
      <c r="BV479" s="9"/>
      <c r="BX479" s="9"/>
      <c r="BY479" s="9"/>
      <c r="BZ479" s="9">
        <f t="shared" si="1638"/>
        <v>596.9</v>
      </c>
      <c r="CA479" s="9">
        <f t="shared" si="1639"/>
        <v>596.9</v>
      </c>
      <c r="CB479" s="9">
        <f t="shared" si="1640"/>
        <v>4.8476798574163293</v>
      </c>
      <c r="CC479" s="40">
        <f t="shared" si="1641"/>
        <v>0</v>
      </c>
      <c r="CD479" s="9">
        <f t="shared" si="1642"/>
        <v>0</v>
      </c>
      <c r="CE479" s="9">
        <f t="shared" si="1643"/>
        <v>0</v>
      </c>
      <c r="CF479" s="9">
        <f t="shared" si="1644"/>
        <v>0.99524931562137331</v>
      </c>
      <c r="CG479" s="9">
        <f t="shared" si="1645"/>
        <v>0.68</v>
      </c>
      <c r="CH479" s="9">
        <f t="shared" si="1646"/>
        <v>1.8263267342054628</v>
      </c>
      <c r="CI479" s="9">
        <f t="shared" si="1647"/>
        <v>4.5658168355136572</v>
      </c>
      <c r="CJ479" s="40">
        <v>1</v>
      </c>
      <c r="CK479" s="9">
        <f t="shared" si="1648"/>
        <v>390.83392111996909</v>
      </c>
      <c r="DI479" s="4">
        <f t="shared" si="1649"/>
        <v>162.56</v>
      </c>
      <c r="DL479" s="4">
        <f t="shared" si="1650"/>
        <v>1.3848231930894405E-5</v>
      </c>
      <c r="DM479" s="4">
        <f t="shared" si="1651"/>
        <v>11.829381634472119</v>
      </c>
      <c r="DN479" s="4">
        <f t="shared" si="1652"/>
        <v>0.27567419108435354</v>
      </c>
      <c r="DO479" s="4">
        <f t="shared" si="1653"/>
        <v>7.0651353558258458</v>
      </c>
      <c r="DP479" s="4">
        <f t="shared" si="1654"/>
        <v>9.7447329036587558</v>
      </c>
      <c r="DQ479" s="4">
        <f t="shared" si="1655"/>
        <v>11.425135548573715</v>
      </c>
      <c r="DR479" s="38">
        <f t="shared" si="1656"/>
        <v>625.09004262999906</v>
      </c>
      <c r="DS479" s="4">
        <f t="shared" si="1657"/>
        <v>1</v>
      </c>
      <c r="DT479" s="4">
        <f t="shared" si="1658"/>
        <v>2.7386127875258306</v>
      </c>
      <c r="DU479" s="4">
        <f t="shared" si="1659"/>
        <v>394.22382380855146</v>
      </c>
      <c r="DY479" s="4">
        <f t="shared" si="1660"/>
        <v>0.85</v>
      </c>
      <c r="DZ479" s="4">
        <f t="shared" si="1661"/>
        <v>0.7</v>
      </c>
      <c r="EA479" s="4">
        <f t="shared" si="1662"/>
        <v>1</v>
      </c>
      <c r="EB479" s="4">
        <f t="shared" si="1663"/>
        <v>0.7</v>
      </c>
      <c r="ED479" s="4">
        <f t="shared" si="1664"/>
        <v>889.65517241379314</v>
      </c>
      <c r="EH479" s="4">
        <f t="shared" si="1665"/>
        <v>11.829381634472119</v>
      </c>
      <c r="EK479" s="4">
        <f t="shared" si="1666"/>
        <v>69.56076480315609</v>
      </c>
      <c r="EL479" s="4">
        <f t="shared" si="1667"/>
        <v>2.7386127875258306</v>
      </c>
      <c r="EM479" s="4">
        <f t="shared" si="1668"/>
        <v>0.11641967110807015</v>
      </c>
      <c r="EP479" s="4">
        <f t="shared" si="1669"/>
        <v>0.11641967110807015</v>
      </c>
      <c r="EQ479" s="4">
        <f t="shared" si="1670"/>
        <v>0.27567419108435354</v>
      </c>
      <c r="ER479" s="4">
        <f t="shared" si="1671"/>
        <v>7.0651353558258458</v>
      </c>
      <c r="ES479" s="4">
        <f t="shared" si="1672"/>
        <v>9.7447329036587558</v>
      </c>
      <c r="ET479" s="4">
        <f t="shared" si="1673"/>
        <v>52.359235196843912</v>
      </c>
      <c r="EU479" s="4">
        <f t="shared" si="1674"/>
        <v>40.64</v>
      </c>
      <c r="EV479" s="4">
        <f t="shared" si="1675"/>
        <v>1.3848231930894405E-5</v>
      </c>
      <c r="EW479" s="4">
        <f t="shared" si="1676"/>
        <v>11.425135548573714</v>
      </c>
      <c r="EX479" s="4">
        <f t="shared" si="1677"/>
        <v>625.09004262999906</v>
      </c>
      <c r="FG479" s="23"/>
      <c r="FH479" s="23"/>
      <c r="FI479" s="23"/>
      <c r="FJ479" s="23"/>
      <c r="FK479" s="23"/>
      <c r="FL479" s="23"/>
      <c r="FM479" s="23"/>
      <c r="FN479" s="23"/>
      <c r="FX479" s="4">
        <f t="shared" si="1678"/>
        <v>1</v>
      </c>
      <c r="FY479" s="4">
        <f t="shared" si="1679"/>
        <v>1.0833333333333333</v>
      </c>
      <c r="FZ479" s="4">
        <f t="shared" si="1680"/>
        <v>0</v>
      </c>
      <c r="GA479" s="4">
        <f t="shared" si="1681"/>
        <v>163.57443927541135</v>
      </c>
    </row>
    <row r="480" spans="1:183" ht="12" customHeight="1" x14ac:dyDescent="0.3">
      <c r="A480" s="52"/>
      <c r="B480" s="14" t="s">
        <v>605</v>
      </c>
      <c r="C480" s="24"/>
      <c r="D480" s="14" t="s">
        <v>365</v>
      </c>
      <c r="E480" s="24"/>
      <c r="F480" s="43" t="s">
        <v>634</v>
      </c>
      <c r="G480" s="38">
        <f t="shared" si="1612"/>
        <v>889.65517241379314</v>
      </c>
      <c r="H480" s="45">
        <v>165.1</v>
      </c>
      <c r="I480" s="4">
        <f t="shared" si="1613"/>
        <v>165.1</v>
      </c>
      <c r="J480" s="45">
        <v>59.448275862068968</v>
      </c>
      <c r="K480" s="7">
        <v>25.4</v>
      </c>
      <c r="L480" s="7">
        <f t="shared" si="1614"/>
        <v>6.5</v>
      </c>
      <c r="M480" s="7">
        <f t="shared" si="1615"/>
        <v>6.5</v>
      </c>
      <c r="N480" s="45">
        <v>1219.1999999999998</v>
      </c>
      <c r="O480" s="45">
        <v>596.9</v>
      </c>
      <c r="P480" s="45">
        <v>596.9</v>
      </c>
      <c r="Q480" s="7"/>
      <c r="R480" s="38">
        <v>1</v>
      </c>
      <c r="T480" s="7">
        <f t="shared" si="1682"/>
        <v>24</v>
      </c>
      <c r="U480" s="7">
        <f t="shared" si="1616"/>
        <v>24</v>
      </c>
      <c r="V480" s="45">
        <v>4.5</v>
      </c>
      <c r="W480" s="4">
        <f t="shared" si="1617"/>
        <v>4.5</v>
      </c>
      <c r="X480" s="4">
        <f t="shared" si="1618"/>
        <v>5.5</v>
      </c>
      <c r="Y480" s="7">
        <f t="shared" si="1619"/>
        <v>59.568280149757555</v>
      </c>
      <c r="AB480" s="45">
        <v>646.20689655172418</v>
      </c>
      <c r="AE480" s="38"/>
      <c r="AF480" s="38"/>
      <c r="AG480" s="39">
        <v>1</v>
      </c>
      <c r="AH480" s="39"/>
      <c r="AI480" s="39"/>
      <c r="AK480" s="4">
        <f t="shared" si="1620"/>
        <v>165.1</v>
      </c>
      <c r="AL480" s="4">
        <f t="shared" si="1621"/>
        <v>0.99999999999999989</v>
      </c>
      <c r="AM480" s="4">
        <f t="shared" si="1622"/>
        <v>322.79955480341323</v>
      </c>
      <c r="AN480" s="4">
        <f t="shared" si="1623"/>
        <v>1</v>
      </c>
      <c r="AO480" s="4">
        <v>1.25</v>
      </c>
      <c r="AP480" s="4">
        <v>1</v>
      </c>
      <c r="AQ480" s="38">
        <f t="shared" si="1624"/>
        <v>403.49944350426648</v>
      </c>
      <c r="AR480" s="38">
        <f t="shared" si="1683"/>
        <v>403.49944350426648</v>
      </c>
      <c r="AS480" s="38">
        <f t="shared" si="1625"/>
        <v>4.3396934501138817</v>
      </c>
      <c r="AX480" s="4">
        <f t="shared" si="1626"/>
        <v>263.77242222225891</v>
      </c>
      <c r="AY480" s="4">
        <f t="shared" si="1627"/>
        <v>1</v>
      </c>
      <c r="AZ480" s="38">
        <f t="shared" si="1628"/>
        <v>6053.2241748361221</v>
      </c>
      <c r="BA480" s="4">
        <f t="shared" si="1629"/>
        <v>0.37</v>
      </c>
      <c r="BB480" s="4">
        <f t="shared" si="1630"/>
        <v>50.993803526118185</v>
      </c>
      <c r="BC480" s="4">
        <f t="shared" si="1631"/>
        <v>6104.2179783622405</v>
      </c>
      <c r="BE480" s="4">
        <f t="shared" si="1632"/>
        <v>1.5</v>
      </c>
      <c r="BF480" s="4">
        <f t="shared" si="1633"/>
        <v>572.48760715392575</v>
      </c>
      <c r="BH480" s="4">
        <f t="shared" si="1634"/>
        <v>5805.7822447474036</v>
      </c>
      <c r="BI480" s="4">
        <f t="shared" si="1635"/>
        <v>0</v>
      </c>
      <c r="BJ480" s="4">
        <f t="shared" si="1636"/>
        <v>0</v>
      </c>
      <c r="BR480" s="4">
        <f t="shared" si="1637"/>
        <v>596.9</v>
      </c>
      <c r="BV480" s="9"/>
      <c r="BX480" s="9"/>
      <c r="BY480" s="9"/>
      <c r="BZ480" s="9">
        <f t="shared" si="1638"/>
        <v>596.9</v>
      </c>
      <c r="CA480" s="9">
        <f t="shared" si="1639"/>
        <v>596.9</v>
      </c>
      <c r="CB480" s="9">
        <f t="shared" si="1640"/>
        <v>4.8476798574163293</v>
      </c>
      <c r="CC480" s="40">
        <f t="shared" si="1641"/>
        <v>0</v>
      </c>
      <c r="CD480" s="9">
        <f t="shared" si="1642"/>
        <v>0</v>
      </c>
      <c r="CE480" s="9">
        <f t="shared" si="1643"/>
        <v>0</v>
      </c>
      <c r="CF480" s="9">
        <f t="shared" si="1644"/>
        <v>0.99524931562137331</v>
      </c>
      <c r="CG480" s="9">
        <f t="shared" si="1645"/>
        <v>0.68</v>
      </c>
      <c r="CH480" s="9">
        <f t="shared" si="1646"/>
        <v>1.8263267342054628</v>
      </c>
      <c r="CI480" s="9">
        <f t="shared" si="1647"/>
        <v>4.5658168355136572</v>
      </c>
      <c r="CJ480" s="40">
        <v>1</v>
      </c>
      <c r="CK480" s="9">
        <f t="shared" si="1648"/>
        <v>392.66024785417449</v>
      </c>
      <c r="DI480" s="4">
        <f t="shared" si="1649"/>
        <v>165.1</v>
      </c>
      <c r="DL480" s="4">
        <f t="shared" si="1650"/>
        <v>1.406461055481463E-5</v>
      </c>
      <c r="DM480" s="4">
        <f t="shared" si="1651"/>
        <v>11.829381634472119</v>
      </c>
      <c r="DN480" s="4">
        <f t="shared" si="1652"/>
        <v>0.34901793030288153</v>
      </c>
      <c r="DO480" s="4">
        <f t="shared" si="1653"/>
        <v>7.7642791021983317</v>
      </c>
      <c r="DP480" s="4">
        <f t="shared" si="1654"/>
        <v>10.006320161093534</v>
      </c>
      <c r="DQ480" s="4">
        <f t="shared" si="1655"/>
        <v>11.383361078397993</v>
      </c>
      <c r="DR480" s="38">
        <f t="shared" si="1656"/>
        <v>651.58232422155083</v>
      </c>
      <c r="DS480" s="4">
        <f t="shared" si="1657"/>
        <v>1</v>
      </c>
      <c r="DT480" s="4">
        <f t="shared" si="1658"/>
        <v>2.3452078799117149</v>
      </c>
      <c r="DU480" s="4">
        <f t="shared" si="1659"/>
        <v>403.49944350426648</v>
      </c>
      <c r="DY480" s="4">
        <f t="shared" si="1660"/>
        <v>0.85</v>
      </c>
      <c r="DZ480" s="4">
        <f t="shared" si="1661"/>
        <v>0.7</v>
      </c>
      <c r="EA480" s="4">
        <f t="shared" si="1662"/>
        <v>1</v>
      </c>
      <c r="EB480" s="4">
        <f t="shared" si="1663"/>
        <v>0.7</v>
      </c>
      <c r="ED480" s="4">
        <f t="shared" si="1664"/>
        <v>889.65517241379314</v>
      </c>
      <c r="EH480" s="4">
        <f t="shared" si="1665"/>
        <v>11.829381634472119</v>
      </c>
      <c r="EK480" s="4">
        <f t="shared" si="1666"/>
        <v>59.568280149757555</v>
      </c>
      <c r="EL480" s="4">
        <f t="shared" si="1667"/>
        <v>2.3452078799117149</v>
      </c>
      <c r="EM480" s="4">
        <f t="shared" si="1668"/>
        <v>0.14739338672530164</v>
      </c>
      <c r="EP480" s="4">
        <f t="shared" si="1669"/>
        <v>0.14739338672530164</v>
      </c>
      <c r="EQ480" s="4">
        <f t="shared" si="1670"/>
        <v>0.34901793030288153</v>
      </c>
      <c r="ER480" s="4">
        <f t="shared" si="1671"/>
        <v>7.7642791021983317</v>
      </c>
      <c r="ES480" s="4">
        <f t="shared" si="1672"/>
        <v>10.006320161093534</v>
      </c>
      <c r="ET480" s="4">
        <f t="shared" si="1673"/>
        <v>64.256719850242433</v>
      </c>
      <c r="EU480" s="4">
        <f t="shared" si="1674"/>
        <v>41.275000000000006</v>
      </c>
      <c r="EV480" s="4">
        <f t="shared" si="1675"/>
        <v>1.4064610554814634E-5</v>
      </c>
      <c r="EW480" s="4">
        <f t="shared" si="1676"/>
        <v>11.383361078397993</v>
      </c>
      <c r="EX480" s="4">
        <f t="shared" si="1677"/>
        <v>651.58232422155083</v>
      </c>
      <c r="FG480" s="23"/>
      <c r="FH480" s="23"/>
      <c r="FI480" s="23"/>
      <c r="FJ480" s="23"/>
      <c r="FK480" s="23"/>
      <c r="FL480" s="23"/>
      <c r="FM480" s="23"/>
      <c r="FN480" s="23"/>
      <c r="FX480" s="4">
        <f t="shared" si="1678"/>
        <v>1</v>
      </c>
      <c r="FY480" s="4">
        <f t="shared" si="1679"/>
        <v>1.0833333333333333</v>
      </c>
      <c r="FZ480" s="4">
        <f t="shared" si="1680"/>
        <v>0</v>
      </c>
      <c r="GA480" s="4">
        <f t="shared" si="1681"/>
        <v>166.13028988908965</v>
      </c>
    </row>
    <row r="481" spans="1:184" ht="12" customHeight="1" x14ac:dyDescent="0.3">
      <c r="A481" s="52"/>
      <c r="B481" s="14" t="s">
        <v>605</v>
      </c>
      <c r="C481" s="24"/>
      <c r="D481" s="14" t="s">
        <v>365</v>
      </c>
      <c r="E481" s="24"/>
      <c r="F481" s="43" t="s">
        <v>635</v>
      </c>
      <c r="G481" s="38">
        <f t="shared" si="1612"/>
        <v>889.65517241379314</v>
      </c>
      <c r="H481" s="45">
        <v>165.1</v>
      </c>
      <c r="I481" s="4">
        <f t="shared" si="1613"/>
        <v>165.1</v>
      </c>
      <c r="J481" s="45">
        <v>28.96551724137931</v>
      </c>
      <c r="K481" s="7">
        <v>25.4</v>
      </c>
      <c r="L481" s="7">
        <f t="shared" si="1614"/>
        <v>6.5</v>
      </c>
      <c r="M481" s="7">
        <f t="shared" si="1615"/>
        <v>6.5</v>
      </c>
      <c r="N481" s="45">
        <v>1219.1999999999998</v>
      </c>
      <c r="O481" s="45">
        <v>596.9</v>
      </c>
      <c r="P481" s="45">
        <v>596.9</v>
      </c>
      <c r="Q481" s="7"/>
      <c r="R481" s="38">
        <v>1</v>
      </c>
      <c r="T481" s="7">
        <f t="shared" si="1682"/>
        <v>24</v>
      </c>
      <c r="U481" s="7">
        <f t="shared" si="1616"/>
        <v>24</v>
      </c>
      <c r="V481" s="45">
        <v>14</v>
      </c>
      <c r="W481" s="4">
        <f t="shared" si="1617"/>
        <v>14</v>
      </c>
      <c r="X481" s="4">
        <f t="shared" si="1618"/>
        <v>15</v>
      </c>
      <c r="Y481" s="7">
        <f t="shared" si="1619"/>
        <v>98.373776993668386</v>
      </c>
      <c r="AB481" s="45">
        <v>539.31034482758628</v>
      </c>
      <c r="AE481" s="38"/>
      <c r="AF481" s="38"/>
      <c r="AG481" s="39">
        <v>1</v>
      </c>
      <c r="AH481" s="39"/>
      <c r="AI481" s="39"/>
      <c r="AK481" s="4">
        <f t="shared" si="1620"/>
        <v>165.1</v>
      </c>
      <c r="AL481" s="4">
        <f t="shared" si="1621"/>
        <v>0.99999999999999989</v>
      </c>
      <c r="AM481" s="4">
        <f t="shared" si="1622"/>
        <v>225.32217739115345</v>
      </c>
      <c r="AN481" s="4">
        <f t="shared" si="1623"/>
        <v>1</v>
      </c>
      <c r="AO481" s="4">
        <v>1.25</v>
      </c>
      <c r="AP481" s="4">
        <v>1</v>
      </c>
      <c r="AQ481" s="38">
        <f t="shared" si="1624"/>
        <v>281.65272173894175</v>
      </c>
      <c r="AR481" s="38">
        <f t="shared" si="1683"/>
        <v>281.65272173894175</v>
      </c>
      <c r="AS481" s="38">
        <f t="shared" si="1625"/>
        <v>2.8294940183703567</v>
      </c>
      <c r="AX481" s="4">
        <f t="shared" si="1626"/>
        <v>184.11975985237513</v>
      </c>
      <c r="AY481" s="4">
        <f t="shared" si="1627"/>
        <v>1</v>
      </c>
      <c r="AZ481" s="38">
        <f t="shared" si="1628"/>
        <v>5202.1939943008729</v>
      </c>
      <c r="BA481" s="4">
        <f t="shared" si="1629"/>
        <v>0.3</v>
      </c>
      <c r="BB481" s="4">
        <f t="shared" si="1630"/>
        <v>28.860772356859794</v>
      </c>
      <c r="BC481" s="4">
        <f t="shared" si="1631"/>
        <v>5231.0547666577322</v>
      </c>
      <c r="BE481" s="4">
        <f t="shared" si="1632"/>
        <v>1.5</v>
      </c>
      <c r="BF481" s="4">
        <f t="shared" si="1633"/>
        <v>399.61069417190492</v>
      </c>
      <c r="BH481" s="4">
        <f t="shared" si="1634"/>
        <v>4989.5402274047219</v>
      </c>
      <c r="BI481" s="4">
        <f t="shared" si="1635"/>
        <v>0</v>
      </c>
      <c r="BJ481" s="4">
        <f t="shared" si="1636"/>
        <v>0</v>
      </c>
      <c r="BR481" s="4">
        <f t="shared" si="1637"/>
        <v>596.9</v>
      </c>
      <c r="BV481" s="9"/>
      <c r="BX481" s="9"/>
      <c r="BY481" s="9"/>
      <c r="BZ481" s="9">
        <f t="shared" si="1638"/>
        <v>596.9</v>
      </c>
      <c r="CA481" s="9">
        <f t="shared" si="1639"/>
        <v>596.9</v>
      </c>
      <c r="CB481" s="9">
        <f t="shared" si="1640"/>
        <v>4.8476798574163293</v>
      </c>
      <c r="CC481" s="40">
        <f t="shared" si="1641"/>
        <v>0</v>
      </c>
      <c r="CD481" s="9">
        <f t="shared" si="1642"/>
        <v>0</v>
      </c>
      <c r="CE481" s="9">
        <f t="shared" si="1643"/>
        <v>0</v>
      </c>
      <c r="CF481" s="9">
        <f t="shared" si="1644"/>
        <v>0.99524931562137331</v>
      </c>
      <c r="CG481" s="9">
        <f t="shared" si="1645"/>
        <v>0.68</v>
      </c>
      <c r="CH481" s="9">
        <f t="shared" si="1646"/>
        <v>1.2748218213295317</v>
      </c>
      <c r="CI481" s="9">
        <f t="shared" si="1647"/>
        <v>3.1870545533238293</v>
      </c>
      <c r="CJ481" s="40">
        <v>1</v>
      </c>
      <c r="CK481" s="9">
        <f t="shared" si="1648"/>
        <v>274.08669158584928</v>
      </c>
      <c r="DI481" s="4">
        <f t="shared" si="1649"/>
        <v>165.1</v>
      </c>
      <c r="DL481" s="4">
        <f t="shared" si="1650"/>
        <v>1.1521263534281654E-5</v>
      </c>
      <c r="DM481" s="4">
        <f t="shared" si="1651"/>
        <v>8.2572047805129003</v>
      </c>
      <c r="DN481" s="4">
        <f t="shared" si="1652"/>
        <v>0.26541501582698523</v>
      </c>
      <c r="DO481" s="4">
        <f t="shared" si="1653"/>
        <v>4.8573930946961532</v>
      </c>
      <c r="DP481" s="4">
        <f t="shared" si="1654"/>
        <v>6.7754289501989868</v>
      </c>
      <c r="DQ481" s="4">
        <f t="shared" si="1655"/>
        <v>8.1016652006466714</v>
      </c>
      <c r="DR481" s="38">
        <f t="shared" si="1656"/>
        <v>436.7203263688607</v>
      </c>
      <c r="DS481" s="4">
        <f t="shared" si="1657"/>
        <v>1</v>
      </c>
      <c r="DT481" s="4">
        <f t="shared" si="1658"/>
        <v>3.872983346207417</v>
      </c>
      <c r="DU481" s="4">
        <f t="shared" si="1659"/>
        <v>281.65272173894175</v>
      </c>
      <c r="DY481" s="4">
        <f t="shared" si="1660"/>
        <v>0.85</v>
      </c>
      <c r="DZ481" s="4">
        <f t="shared" si="1661"/>
        <v>0.7</v>
      </c>
      <c r="EA481" s="4">
        <f t="shared" si="1662"/>
        <v>1</v>
      </c>
      <c r="EB481" s="4">
        <f t="shared" si="1663"/>
        <v>0.7</v>
      </c>
      <c r="ED481" s="4">
        <f t="shared" si="1664"/>
        <v>889.65517241379314</v>
      </c>
      <c r="EH481" s="4">
        <f t="shared" si="1665"/>
        <v>8.2572047805129003</v>
      </c>
      <c r="EK481" s="4">
        <f t="shared" si="1666"/>
        <v>98.373776993668386</v>
      </c>
      <c r="EL481" s="4">
        <f t="shared" si="1667"/>
        <v>3.872983346207417</v>
      </c>
      <c r="EM481" s="4">
        <f t="shared" si="1668"/>
        <v>7.8239625108981664E-2</v>
      </c>
      <c r="EP481" s="4">
        <f t="shared" si="1669"/>
        <v>7.8239625108981664E-2</v>
      </c>
      <c r="EQ481" s="4">
        <f t="shared" si="1670"/>
        <v>0.26541501582698523</v>
      </c>
      <c r="ER481" s="4">
        <f t="shared" si="1671"/>
        <v>4.8573930946961532</v>
      </c>
      <c r="ES481" s="4">
        <f t="shared" si="1672"/>
        <v>6.7754289501989868</v>
      </c>
      <c r="ET481" s="4">
        <f t="shared" si="1673"/>
        <v>25.451223006331603</v>
      </c>
      <c r="EU481" s="4">
        <f t="shared" si="1674"/>
        <v>41.275000000000006</v>
      </c>
      <c r="EV481" s="4">
        <f t="shared" si="1675"/>
        <v>1.1521263534281654E-5</v>
      </c>
      <c r="EW481" s="4">
        <f t="shared" si="1676"/>
        <v>8.1016652006466714</v>
      </c>
      <c r="EX481" s="4">
        <f t="shared" si="1677"/>
        <v>436.7203263688607</v>
      </c>
      <c r="FG481" s="23"/>
      <c r="FH481" s="23"/>
      <c r="FI481" s="23"/>
      <c r="FJ481" s="23"/>
      <c r="FK481" s="23"/>
      <c r="FL481" s="23"/>
      <c r="FM481" s="23"/>
      <c r="FN481" s="23"/>
      <c r="FX481" s="4">
        <f t="shared" si="1678"/>
        <v>1</v>
      </c>
      <c r="FY481" s="4">
        <f t="shared" si="1679"/>
        <v>1.0833333333333333</v>
      </c>
      <c r="FZ481" s="4">
        <f t="shared" si="1680"/>
        <v>0</v>
      </c>
      <c r="GA481" s="4">
        <f t="shared" si="1681"/>
        <v>138.79835820431603</v>
      </c>
    </row>
    <row r="482" spans="1:184" ht="12" customHeight="1" x14ac:dyDescent="0.3">
      <c r="A482" s="52"/>
      <c r="B482" s="14" t="s">
        <v>605</v>
      </c>
      <c r="C482" s="24"/>
      <c r="D482" s="14" t="s">
        <v>365</v>
      </c>
      <c r="E482" s="24"/>
      <c r="F482" s="43" t="s">
        <v>636</v>
      </c>
      <c r="G482" s="38">
        <f t="shared" si="1612"/>
        <v>889.65517241379314</v>
      </c>
      <c r="H482" s="45">
        <v>165.1</v>
      </c>
      <c r="I482" s="4">
        <f t="shared" si="1613"/>
        <v>165.1</v>
      </c>
      <c r="J482" s="45">
        <v>28.96551724137931</v>
      </c>
      <c r="K482" s="7">
        <v>25.4</v>
      </c>
      <c r="L482" s="7">
        <f t="shared" si="1614"/>
        <v>6.5</v>
      </c>
      <c r="M482" s="7">
        <f t="shared" si="1615"/>
        <v>6.5</v>
      </c>
      <c r="N482" s="45">
        <v>1219.1999999999998</v>
      </c>
      <c r="O482" s="45">
        <v>596.9</v>
      </c>
      <c r="P482" s="45">
        <v>596.9</v>
      </c>
      <c r="Q482" s="7"/>
      <c r="R482" s="38">
        <v>1</v>
      </c>
      <c r="T482" s="7">
        <f t="shared" si="1682"/>
        <v>24</v>
      </c>
      <c r="U482" s="7">
        <f t="shared" si="1616"/>
        <v>24</v>
      </c>
      <c r="V482" s="45">
        <v>6.5</v>
      </c>
      <c r="W482" s="4">
        <f t="shared" si="1617"/>
        <v>6.5</v>
      </c>
      <c r="X482" s="4">
        <f t="shared" si="1618"/>
        <v>7.5</v>
      </c>
      <c r="Y482" s="7">
        <f t="shared" si="1619"/>
        <v>69.56076480315609</v>
      </c>
      <c r="AB482" s="45">
        <v>429.65517241379314</v>
      </c>
      <c r="AE482" s="38"/>
      <c r="AF482" s="38"/>
      <c r="AG482" s="39">
        <v>1</v>
      </c>
      <c r="AH482" s="39"/>
      <c r="AI482" s="39"/>
      <c r="AK482" s="4">
        <f t="shared" si="1620"/>
        <v>165.1</v>
      </c>
      <c r="AL482" s="4">
        <f t="shared" si="1621"/>
        <v>0.99999999999999989</v>
      </c>
      <c r="AM482" s="4">
        <f t="shared" si="1622"/>
        <v>225.32217739115345</v>
      </c>
      <c r="AN482" s="4">
        <f t="shared" si="1623"/>
        <v>1</v>
      </c>
      <c r="AO482" s="4">
        <v>1.25</v>
      </c>
      <c r="AP482" s="4">
        <v>1</v>
      </c>
      <c r="AQ482" s="38">
        <f t="shared" si="1624"/>
        <v>281.65272173894175</v>
      </c>
      <c r="AR482" s="38">
        <f t="shared" si="1683"/>
        <v>281.65272173894175</v>
      </c>
      <c r="AS482" s="38">
        <f t="shared" si="1625"/>
        <v>2.8294940183703567</v>
      </c>
      <c r="AX482" s="4">
        <f t="shared" si="1626"/>
        <v>184.11975985237513</v>
      </c>
      <c r="AY482" s="4">
        <f t="shared" si="1627"/>
        <v>1</v>
      </c>
      <c r="AZ482" s="38">
        <f t="shared" si="1628"/>
        <v>3544.697703242432</v>
      </c>
      <c r="BA482" s="4">
        <f t="shared" si="1629"/>
        <v>0.3</v>
      </c>
      <c r="BB482" s="4">
        <f t="shared" si="1630"/>
        <v>28.860772356859794</v>
      </c>
      <c r="BC482" s="4">
        <f t="shared" si="1631"/>
        <v>3573.5584755992918</v>
      </c>
      <c r="BE482" s="4">
        <f t="shared" si="1632"/>
        <v>1.5</v>
      </c>
      <c r="BF482" s="4">
        <f t="shared" si="1633"/>
        <v>399.61069417190492</v>
      </c>
      <c r="BH482" s="4">
        <f t="shared" si="1634"/>
        <v>3399.7985856915611</v>
      </c>
      <c r="BI482" s="4">
        <f t="shared" si="1635"/>
        <v>0</v>
      </c>
      <c r="BJ482" s="4">
        <f t="shared" si="1636"/>
        <v>0</v>
      </c>
      <c r="BR482" s="4">
        <f t="shared" si="1637"/>
        <v>596.9</v>
      </c>
      <c r="BV482" s="9"/>
      <c r="BX482" s="9"/>
      <c r="BY482" s="9"/>
      <c r="BZ482" s="9">
        <f t="shared" si="1638"/>
        <v>596.9</v>
      </c>
      <c r="CA482" s="9">
        <f t="shared" si="1639"/>
        <v>596.9</v>
      </c>
      <c r="CB482" s="9">
        <f t="shared" si="1640"/>
        <v>4.8476798574163293</v>
      </c>
      <c r="CC482" s="40">
        <f t="shared" si="1641"/>
        <v>0</v>
      </c>
      <c r="CD482" s="9">
        <f t="shared" si="1642"/>
        <v>0</v>
      </c>
      <c r="CE482" s="9">
        <f t="shared" si="1643"/>
        <v>0</v>
      </c>
      <c r="CF482" s="9">
        <f t="shared" si="1644"/>
        <v>0.99524931562137331</v>
      </c>
      <c r="CG482" s="9">
        <f t="shared" si="1645"/>
        <v>0.68</v>
      </c>
      <c r="CH482" s="9">
        <f t="shared" si="1646"/>
        <v>1.2748218213295317</v>
      </c>
      <c r="CI482" s="9">
        <f t="shared" si="1647"/>
        <v>3.1870545533238293</v>
      </c>
      <c r="CJ482" s="40">
        <v>1</v>
      </c>
      <c r="CK482" s="9">
        <f t="shared" si="1648"/>
        <v>274.08669158584928</v>
      </c>
      <c r="DI482" s="4">
        <f t="shared" si="1649"/>
        <v>165.1</v>
      </c>
      <c r="DL482" s="4">
        <f t="shared" si="1650"/>
        <v>1.1521263534281654E-5</v>
      </c>
      <c r="DM482" s="4">
        <f t="shared" si="1651"/>
        <v>8.2572047805129003</v>
      </c>
      <c r="DN482" s="4">
        <f t="shared" si="1652"/>
        <v>0.40422686235076083</v>
      </c>
      <c r="DO482" s="4">
        <f t="shared" si="1653"/>
        <v>5.7475548374367609</v>
      </c>
      <c r="DP482" s="4">
        <f t="shared" si="1654"/>
        <v>7.114271652605928</v>
      </c>
      <c r="DQ482" s="4">
        <f t="shared" si="1655"/>
        <v>8.0759712771072891</v>
      </c>
      <c r="DR482" s="38">
        <f t="shared" si="1656"/>
        <v>457.90319967815924</v>
      </c>
      <c r="DS482" s="4">
        <f t="shared" si="1657"/>
        <v>1</v>
      </c>
      <c r="DT482" s="4">
        <f t="shared" si="1658"/>
        <v>2.7386127875258306</v>
      </c>
      <c r="DU482" s="4">
        <f t="shared" si="1659"/>
        <v>281.65272173894175</v>
      </c>
      <c r="DY482" s="4">
        <f t="shared" si="1660"/>
        <v>0.85</v>
      </c>
      <c r="DZ482" s="4">
        <f t="shared" si="1661"/>
        <v>0.7</v>
      </c>
      <c r="EA482" s="4">
        <f t="shared" si="1662"/>
        <v>1</v>
      </c>
      <c r="EB482" s="4">
        <f t="shared" si="1663"/>
        <v>0.7</v>
      </c>
      <c r="ED482" s="4">
        <f t="shared" si="1664"/>
        <v>889.65517241379314</v>
      </c>
      <c r="EH482" s="4">
        <f t="shared" si="1665"/>
        <v>8.2572047805129003</v>
      </c>
      <c r="EK482" s="4">
        <f t="shared" si="1666"/>
        <v>69.56076480315609</v>
      </c>
      <c r="EL482" s="4">
        <f t="shared" si="1667"/>
        <v>2.7386127875258306</v>
      </c>
      <c r="EM482" s="4">
        <f t="shared" si="1668"/>
        <v>0.11915888809365521</v>
      </c>
      <c r="EP482" s="4">
        <f t="shared" si="1669"/>
        <v>0.11915888809365521</v>
      </c>
      <c r="EQ482" s="4">
        <f t="shared" si="1670"/>
        <v>0.40422686235076083</v>
      </c>
      <c r="ER482" s="4">
        <f t="shared" si="1671"/>
        <v>5.7475548374367609</v>
      </c>
      <c r="ES482" s="4">
        <f t="shared" si="1672"/>
        <v>7.114271652605928</v>
      </c>
      <c r="ET482" s="4">
        <f t="shared" si="1673"/>
        <v>54.264235196843899</v>
      </c>
      <c r="EU482" s="4">
        <f t="shared" si="1674"/>
        <v>41.275000000000006</v>
      </c>
      <c r="EV482" s="4">
        <f t="shared" si="1675"/>
        <v>1.1521263534281654E-5</v>
      </c>
      <c r="EW482" s="4">
        <f t="shared" si="1676"/>
        <v>8.0759712771072891</v>
      </c>
      <c r="EX482" s="4">
        <f t="shared" si="1677"/>
        <v>457.90319967815924</v>
      </c>
      <c r="FG482" s="23"/>
      <c r="FH482" s="23"/>
      <c r="FI482" s="23"/>
      <c r="FJ482" s="23"/>
      <c r="FK482" s="23"/>
      <c r="FL482" s="23"/>
      <c r="FM482" s="23"/>
      <c r="FN482" s="23"/>
      <c r="FX482" s="4">
        <f t="shared" si="1678"/>
        <v>1</v>
      </c>
      <c r="FY482" s="4">
        <f t="shared" si="1679"/>
        <v>1.0833333333333333</v>
      </c>
      <c r="FZ482" s="4">
        <f t="shared" si="1680"/>
        <v>0</v>
      </c>
      <c r="GA482" s="4">
        <f t="shared" si="1681"/>
        <v>138.79835820431603</v>
      </c>
    </row>
    <row r="483" spans="1:184" ht="12" customHeight="1" x14ac:dyDescent="0.3">
      <c r="A483" s="52"/>
      <c r="B483" s="14" t="s">
        <v>605</v>
      </c>
      <c r="C483" s="24"/>
      <c r="D483" s="14" t="s">
        <v>365</v>
      </c>
      <c r="E483" s="24"/>
      <c r="F483" s="43" t="s">
        <v>637</v>
      </c>
      <c r="G483" s="38">
        <f t="shared" si="1612"/>
        <v>889.65517241379314</v>
      </c>
      <c r="H483" s="45">
        <v>167.64</v>
      </c>
      <c r="I483" s="4">
        <f t="shared" si="1613"/>
        <v>167.64</v>
      </c>
      <c r="J483" s="45">
        <v>28.96551724137931</v>
      </c>
      <c r="K483" s="7">
        <v>25.4</v>
      </c>
      <c r="L483" s="7">
        <f t="shared" si="1614"/>
        <v>6.6</v>
      </c>
      <c r="M483" s="7">
        <f t="shared" si="1615"/>
        <v>6.6</v>
      </c>
      <c r="N483" s="45">
        <v>1219.1999999999998</v>
      </c>
      <c r="O483" s="45">
        <v>596.9</v>
      </c>
      <c r="P483" s="45">
        <v>596.9</v>
      </c>
      <c r="Q483" s="7"/>
      <c r="R483" s="38">
        <v>1</v>
      </c>
      <c r="T483" s="7">
        <f t="shared" si="1682"/>
        <v>24</v>
      </c>
      <c r="U483" s="7">
        <f t="shared" si="1616"/>
        <v>24</v>
      </c>
      <c r="V483" s="45">
        <v>12.9</v>
      </c>
      <c r="W483" s="4">
        <f t="shared" si="1617"/>
        <v>12.9</v>
      </c>
      <c r="X483" s="4">
        <f t="shared" si="1618"/>
        <v>13.9</v>
      </c>
      <c r="Y483" s="7">
        <f t="shared" si="1619"/>
        <v>94.698067562120812</v>
      </c>
      <c r="AB483" s="45">
        <v>457.24137931034483</v>
      </c>
      <c r="AE483" s="38"/>
      <c r="AF483" s="38"/>
      <c r="AG483" s="39">
        <v>1</v>
      </c>
      <c r="AH483" s="39"/>
      <c r="AI483" s="39"/>
      <c r="AK483" s="4">
        <f t="shared" si="1620"/>
        <v>167.64</v>
      </c>
      <c r="AL483" s="4">
        <f t="shared" si="1621"/>
        <v>1</v>
      </c>
      <c r="AM483" s="4">
        <f t="shared" si="1622"/>
        <v>230.54186797023712</v>
      </c>
      <c r="AN483" s="4">
        <f t="shared" si="1623"/>
        <v>1</v>
      </c>
      <c r="AO483" s="4">
        <v>1.25</v>
      </c>
      <c r="AP483" s="4">
        <v>1</v>
      </c>
      <c r="AQ483" s="38">
        <f t="shared" si="1624"/>
        <v>288.17733496279641</v>
      </c>
      <c r="AR483" s="38">
        <f t="shared" si="1683"/>
        <v>288.17733496279641</v>
      </c>
      <c r="AS483" s="38">
        <f t="shared" si="1625"/>
        <v>2.8294940183703567</v>
      </c>
      <c r="AX483" s="4">
        <f t="shared" si="1626"/>
        <v>186.95237154241164</v>
      </c>
      <c r="AY483" s="4">
        <f t="shared" si="1627"/>
        <v>1</v>
      </c>
      <c r="AZ483" s="38">
        <f t="shared" si="1628"/>
        <v>4993.6417313204183</v>
      </c>
      <c r="BA483" s="4">
        <f t="shared" si="1629"/>
        <v>0.3</v>
      </c>
      <c r="BB483" s="4">
        <f t="shared" si="1630"/>
        <v>29.304784239273019</v>
      </c>
      <c r="BC483" s="4">
        <f t="shared" si="1631"/>
        <v>5022.9465155596918</v>
      </c>
      <c r="BE483" s="4">
        <f t="shared" si="1632"/>
        <v>1.5</v>
      </c>
      <c r="BF483" s="4">
        <f t="shared" si="1633"/>
        <v>402.03257716688609</v>
      </c>
      <c r="BH483" s="4">
        <f t="shared" si="1634"/>
        <v>4789.5131029266167</v>
      </c>
      <c r="BI483" s="4">
        <f t="shared" si="1635"/>
        <v>0</v>
      </c>
      <c r="BJ483" s="4">
        <f t="shared" si="1636"/>
        <v>0</v>
      </c>
      <c r="BR483" s="4">
        <f t="shared" si="1637"/>
        <v>596.9</v>
      </c>
      <c r="BV483" s="9"/>
      <c r="BX483" s="9"/>
      <c r="BY483" s="9"/>
      <c r="BZ483" s="9">
        <f t="shared" si="1638"/>
        <v>596.9</v>
      </c>
      <c r="CA483" s="9">
        <f t="shared" si="1639"/>
        <v>596.9</v>
      </c>
      <c r="CB483" s="9">
        <f t="shared" si="1640"/>
        <v>4.8476798574163293</v>
      </c>
      <c r="CC483" s="40">
        <f t="shared" si="1641"/>
        <v>0</v>
      </c>
      <c r="CD483" s="9">
        <f t="shared" si="1642"/>
        <v>0</v>
      </c>
      <c r="CE483" s="9">
        <f t="shared" si="1643"/>
        <v>0</v>
      </c>
      <c r="CF483" s="9">
        <f t="shared" si="1644"/>
        <v>0.99524931562137331</v>
      </c>
      <c r="CG483" s="9">
        <f t="shared" si="1645"/>
        <v>0.68</v>
      </c>
      <c r="CH483" s="9">
        <f t="shared" si="1646"/>
        <v>1.2748218213295317</v>
      </c>
      <c r="CI483" s="9">
        <f t="shared" si="1647"/>
        <v>3.1870545533238293</v>
      </c>
      <c r="CJ483" s="40">
        <v>1</v>
      </c>
      <c r="CK483" s="9">
        <f t="shared" si="1648"/>
        <v>275.36151340717885</v>
      </c>
      <c r="DI483" s="4">
        <f t="shared" si="1649"/>
        <v>167.64</v>
      </c>
      <c r="DL483" s="4">
        <f t="shared" si="1650"/>
        <v>1.1698513742501371E-5</v>
      </c>
      <c r="DM483" s="4">
        <f t="shared" si="1651"/>
        <v>8.2572047805129003</v>
      </c>
      <c r="DN483" s="4">
        <f t="shared" si="1652"/>
        <v>0.2837079160613234</v>
      </c>
      <c r="DO483" s="4">
        <f t="shared" si="1653"/>
        <v>4.9886339367525627</v>
      </c>
      <c r="DP483" s="4">
        <f t="shared" si="1654"/>
        <v>6.8227253695393193</v>
      </c>
      <c r="DQ483" s="4">
        <f t="shared" si="1655"/>
        <v>8.0922731041582345</v>
      </c>
      <c r="DR483" s="38">
        <f t="shared" si="1656"/>
        <v>449.32434474079685</v>
      </c>
      <c r="DS483" s="4">
        <f t="shared" si="1657"/>
        <v>1</v>
      </c>
      <c r="DT483" s="4">
        <f t="shared" si="1658"/>
        <v>3.7282703764614493</v>
      </c>
      <c r="DU483" s="4">
        <f t="shared" si="1659"/>
        <v>288.17733496279641</v>
      </c>
      <c r="DY483" s="4">
        <f t="shared" si="1660"/>
        <v>0.85</v>
      </c>
      <c r="DZ483" s="4">
        <f t="shared" si="1661"/>
        <v>0.7</v>
      </c>
      <c r="EA483" s="4">
        <f t="shared" si="1662"/>
        <v>1</v>
      </c>
      <c r="EB483" s="4">
        <f t="shared" si="1663"/>
        <v>0.7</v>
      </c>
      <c r="ED483" s="4">
        <f t="shared" si="1664"/>
        <v>889.65517241379314</v>
      </c>
      <c r="EH483" s="4">
        <f t="shared" si="1665"/>
        <v>8.2572047805129003</v>
      </c>
      <c r="EK483" s="4">
        <f t="shared" si="1666"/>
        <v>94.698067562120812</v>
      </c>
      <c r="EL483" s="4">
        <f t="shared" si="1667"/>
        <v>3.7282703764614498</v>
      </c>
      <c r="EM483" s="4">
        <f t="shared" si="1668"/>
        <v>8.3632046679521552E-2</v>
      </c>
      <c r="EP483" s="4">
        <f t="shared" si="1669"/>
        <v>8.3632046679521552E-2</v>
      </c>
      <c r="EQ483" s="4">
        <f t="shared" si="1670"/>
        <v>0.2837079160613234</v>
      </c>
      <c r="ER483" s="4">
        <f t="shared" si="1671"/>
        <v>4.9886339367525627</v>
      </c>
      <c r="ES483" s="4">
        <f t="shared" si="1672"/>
        <v>6.8227253695393193</v>
      </c>
      <c r="ET483" s="4">
        <f t="shared" si="1673"/>
        <v>31.031932437879178</v>
      </c>
      <c r="EU483" s="4">
        <f t="shared" si="1674"/>
        <v>41.91</v>
      </c>
      <c r="EV483" s="4">
        <f t="shared" si="1675"/>
        <v>1.1698513742501371E-5</v>
      </c>
      <c r="EW483" s="4">
        <f t="shared" si="1676"/>
        <v>8.0922731041582345</v>
      </c>
      <c r="EX483" s="4">
        <f t="shared" si="1677"/>
        <v>449.32434474079685</v>
      </c>
      <c r="FG483" s="23"/>
      <c r="FH483" s="23"/>
      <c r="FI483" s="23"/>
      <c r="FJ483" s="23"/>
      <c r="FK483" s="23"/>
      <c r="FL483" s="23"/>
      <c r="FM483" s="23"/>
      <c r="FN483" s="23"/>
      <c r="FX483" s="4">
        <f t="shared" si="1678"/>
        <v>1</v>
      </c>
      <c r="FY483" s="4">
        <f t="shared" si="1679"/>
        <v>1.0833333333333333</v>
      </c>
      <c r="FZ483" s="4">
        <f t="shared" si="1680"/>
        <v>0</v>
      </c>
      <c r="GA483" s="4">
        <f t="shared" si="1681"/>
        <v>140.93371756130549</v>
      </c>
    </row>
    <row r="484" spans="1:184" ht="12" customHeight="1" x14ac:dyDescent="0.3">
      <c r="A484" s="52"/>
      <c r="B484" s="14" t="s">
        <v>605</v>
      </c>
      <c r="C484" s="24"/>
      <c r="D484" s="14" t="s">
        <v>365</v>
      </c>
      <c r="E484" s="24"/>
      <c r="F484" s="43" t="s">
        <v>638</v>
      </c>
      <c r="G484" s="38">
        <f t="shared" si="1612"/>
        <v>889.65517241379314</v>
      </c>
      <c r="H484" s="45">
        <v>165.1</v>
      </c>
      <c r="I484" s="4">
        <f t="shared" si="1613"/>
        <v>165.1</v>
      </c>
      <c r="J484" s="45">
        <v>28.96551724137931</v>
      </c>
      <c r="K484" s="7">
        <v>25.4</v>
      </c>
      <c r="L484" s="7">
        <f t="shared" si="1614"/>
        <v>6.5</v>
      </c>
      <c r="M484" s="7">
        <f t="shared" si="1615"/>
        <v>6.5</v>
      </c>
      <c r="N484" s="45">
        <v>1219.1999999999998</v>
      </c>
      <c r="O484" s="45">
        <v>596.9</v>
      </c>
      <c r="P484" s="45">
        <v>596.9</v>
      </c>
      <c r="Q484" s="7"/>
      <c r="R484" s="38">
        <v>1</v>
      </c>
      <c r="T484" s="7">
        <f t="shared" si="1682"/>
        <v>24</v>
      </c>
      <c r="U484" s="7">
        <f t="shared" si="1616"/>
        <v>24</v>
      </c>
      <c r="V484" s="45">
        <v>4.5</v>
      </c>
      <c r="W484" s="4">
        <f t="shared" si="1617"/>
        <v>4.5</v>
      </c>
      <c r="X484" s="4">
        <f t="shared" si="1618"/>
        <v>5.5</v>
      </c>
      <c r="Y484" s="7">
        <f t="shared" si="1619"/>
        <v>59.568280149757555</v>
      </c>
      <c r="AB484" s="45">
        <v>437.24137931034483</v>
      </c>
      <c r="AE484" s="38"/>
      <c r="AF484" s="38"/>
      <c r="AG484" s="39">
        <v>1</v>
      </c>
      <c r="AH484" s="39"/>
      <c r="AI484" s="39"/>
      <c r="AK484" s="4">
        <f t="shared" si="1620"/>
        <v>165.1</v>
      </c>
      <c r="AL484" s="4">
        <f t="shared" si="1621"/>
        <v>0.99999999999999989</v>
      </c>
      <c r="AM484" s="4">
        <f t="shared" si="1622"/>
        <v>225.32217739115345</v>
      </c>
      <c r="AN484" s="4">
        <f t="shared" si="1623"/>
        <v>1</v>
      </c>
      <c r="AO484" s="4">
        <v>1.25</v>
      </c>
      <c r="AP484" s="4">
        <v>1</v>
      </c>
      <c r="AQ484" s="38">
        <f t="shared" si="1624"/>
        <v>281.65272173894175</v>
      </c>
      <c r="AR484" s="38">
        <f t="shared" si="1683"/>
        <v>281.65272173894175</v>
      </c>
      <c r="AS484" s="38">
        <f t="shared" si="1625"/>
        <v>2.8294940183703567</v>
      </c>
      <c r="AX484" s="4">
        <f t="shared" si="1626"/>
        <v>184.11975985237513</v>
      </c>
      <c r="AY484" s="4">
        <f t="shared" si="1627"/>
        <v>1</v>
      </c>
      <c r="AZ484" s="38">
        <f t="shared" si="1628"/>
        <v>2949.3667673215441</v>
      </c>
      <c r="BA484" s="4">
        <f t="shared" si="1629"/>
        <v>0.37</v>
      </c>
      <c r="BB484" s="4">
        <f t="shared" si="1630"/>
        <v>35.594952573460411</v>
      </c>
      <c r="BC484" s="4">
        <f t="shared" si="1631"/>
        <v>2984.9617198950045</v>
      </c>
      <c r="BE484" s="4">
        <f t="shared" si="1632"/>
        <v>1.5</v>
      </c>
      <c r="BF484" s="4">
        <f t="shared" si="1633"/>
        <v>399.61069417190492</v>
      </c>
      <c r="BH484" s="4">
        <f t="shared" si="1634"/>
        <v>2828.8034139140482</v>
      </c>
      <c r="BI484" s="4">
        <f t="shared" si="1635"/>
        <v>0</v>
      </c>
      <c r="BJ484" s="4">
        <f t="shared" si="1636"/>
        <v>0</v>
      </c>
      <c r="BR484" s="4">
        <f t="shared" si="1637"/>
        <v>596.9</v>
      </c>
      <c r="BV484" s="9"/>
      <c r="BX484" s="9"/>
      <c r="BY484" s="9"/>
      <c r="BZ484" s="9">
        <f t="shared" si="1638"/>
        <v>596.9</v>
      </c>
      <c r="CA484" s="9">
        <f t="shared" si="1639"/>
        <v>596.9</v>
      </c>
      <c r="CB484" s="9">
        <f t="shared" si="1640"/>
        <v>4.8476798574163293</v>
      </c>
      <c r="CC484" s="40">
        <f t="shared" si="1641"/>
        <v>0</v>
      </c>
      <c r="CD484" s="9">
        <f t="shared" si="1642"/>
        <v>0</v>
      </c>
      <c r="CE484" s="9">
        <f t="shared" si="1643"/>
        <v>0</v>
      </c>
      <c r="CF484" s="9">
        <f t="shared" si="1644"/>
        <v>0.99524931562137331</v>
      </c>
      <c r="CG484" s="9">
        <f t="shared" si="1645"/>
        <v>0.68</v>
      </c>
      <c r="CH484" s="9">
        <f t="shared" si="1646"/>
        <v>1.2748218213295317</v>
      </c>
      <c r="CI484" s="9">
        <f t="shared" si="1647"/>
        <v>3.1870545533238293</v>
      </c>
      <c r="CJ484" s="40">
        <v>1</v>
      </c>
      <c r="CK484" s="9">
        <f t="shared" si="1648"/>
        <v>274.08669158584928</v>
      </c>
      <c r="DI484" s="4">
        <f t="shared" si="1649"/>
        <v>165.1</v>
      </c>
      <c r="DL484" s="4">
        <f t="shared" si="1650"/>
        <v>1.1521263534281654E-5</v>
      </c>
      <c r="DM484" s="4">
        <f t="shared" si="1651"/>
        <v>8.2572047805129003</v>
      </c>
      <c r="DN484" s="4">
        <f t="shared" si="1652"/>
        <v>0.50000773924973707</v>
      </c>
      <c r="DO484" s="4">
        <f t="shared" si="1653"/>
        <v>6.257829783752344</v>
      </c>
      <c r="DP484" s="4">
        <f t="shared" si="1654"/>
        <v>7.3261726234865572</v>
      </c>
      <c r="DQ484" s="4">
        <f t="shared" si="1655"/>
        <v>8.0650416635962614</v>
      </c>
      <c r="DR484" s="38">
        <f t="shared" si="1656"/>
        <v>466.91391452553756</v>
      </c>
      <c r="DS484" s="4">
        <f t="shared" si="1657"/>
        <v>1</v>
      </c>
      <c r="DT484" s="4">
        <f t="shared" si="1658"/>
        <v>2.3452078799117149</v>
      </c>
      <c r="DU484" s="4">
        <f t="shared" si="1659"/>
        <v>281.65272173894175</v>
      </c>
      <c r="DY484" s="4">
        <f t="shared" si="1660"/>
        <v>0.85</v>
      </c>
      <c r="DZ484" s="4">
        <f t="shared" si="1661"/>
        <v>0.7</v>
      </c>
      <c r="EA484" s="4">
        <f t="shared" si="1662"/>
        <v>1</v>
      </c>
      <c r="EB484" s="4">
        <f t="shared" si="1663"/>
        <v>0.7</v>
      </c>
      <c r="ED484" s="4">
        <f t="shared" si="1664"/>
        <v>889.65517241379314</v>
      </c>
      <c r="EH484" s="4">
        <f t="shared" si="1665"/>
        <v>8.2572047805129003</v>
      </c>
      <c r="EK484" s="4">
        <f t="shared" si="1666"/>
        <v>59.568280149757555</v>
      </c>
      <c r="EL484" s="4">
        <f t="shared" si="1667"/>
        <v>2.3452078799117149</v>
      </c>
      <c r="EM484" s="4">
        <f t="shared" si="1668"/>
        <v>0.14739338672530161</v>
      </c>
      <c r="EP484" s="4">
        <f t="shared" si="1669"/>
        <v>0.14739338672530161</v>
      </c>
      <c r="EQ484" s="4">
        <f t="shared" si="1670"/>
        <v>0.50000773924973707</v>
      </c>
      <c r="ER484" s="4">
        <f t="shared" si="1671"/>
        <v>6.257829783752344</v>
      </c>
      <c r="ES484" s="4">
        <f t="shared" si="1672"/>
        <v>7.3261726234865572</v>
      </c>
      <c r="ET484" s="4">
        <f t="shared" si="1673"/>
        <v>64.256719850242433</v>
      </c>
      <c r="EU484" s="4">
        <f t="shared" si="1674"/>
        <v>41.275000000000006</v>
      </c>
      <c r="EV484" s="4">
        <f t="shared" si="1675"/>
        <v>1.1521263534281654E-5</v>
      </c>
      <c r="EW484" s="4">
        <f t="shared" si="1676"/>
        <v>8.0650416635962596</v>
      </c>
      <c r="EX484" s="4">
        <f t="shared" si="1677"/>
        <v>466.91391452553756</v>
      </c>
      <c r="FG484" s="23"/>
      <c r="FH484" s="23"/>
      <c r="FI484" s="23"/>
      <c r="FJ484" s="23"/>
      <c r="FK484" s="23"/>
      <c r="FL484" s="23"/>
      <c r="FM484" s="23"/>
      <c r="FN484" s="23"/>
      <c r="FX484" s="4">
        <f t="shared" si="1678"/>
        <v>1</v>
      </c>
      <c r="FY484" s="4">
        <f t="shared" si="1679"/>
        <v>1.0833333333333333</v>
      </c>
      <c r="FZ484" s="4">
        <f t="shared" si="1680"/>
        <v>0</v>
      </c>
      <c r="GA484" s="4">
        <f t="shared" si="1681"/>
        <v>138.79835820431603</v>
      </c>
    </row>
    <row r="485" spans="1:184" ht="12" customHeight="1" x14ac:dyDescent="0.3">
      <c r="A485" s="52"/>
      <c r="B485" s="14" t="s">
        <v>605</v>
      </c>
      <c r="C485" s="24"/>
      <c r="D485" s="14" t="s">
        <v>365</v>
      </c>
      <c r="E485" s="24"/>
      <c r="F485" s="43" t="s">
        <v>639</v>
      </c>
      <c r="G485" s="38">
        <f t="shared" si="1612"/>
        <v>889.65517241379314</v>
      </c>
      <c r="H485" s="45">
        <v>165.1</v>
      </c>
      <c r="I485" s="4">
        <f t="shared" si="1613"/>
        <v>165.1</v>
      </c>
      <c r="J485" s="45">
        <v>28.96551724137931</v>
      </c>
      <c r="K485" s="7">
        <v>25.4</v>
      </c>
      <c r="L485" s="7">
        <f t="shared" si="1614"/>
        <v>6.5</v>
      </c>
      <c r="M485" s="7">
        <f t="shared" si="1615"/>
        <v>6.5</v>
      </c>
      <c r="N485" s="45">
        <v>1219.1999999999998</v>
      </c>
      <c r="O485" s="45">
        <v>596.9</v>
      </c>
      <c r="P485" s="45">
        <v>596.9</v>
      </c>
      <c r="Q485" s="7"/>
      <c r="R485" s="38">
        <v>1</v>
      </c>
      <c r="T485" s="7">
        <f t="shared" si="1682"/>
        <v>24</v>
      </c>
      <c r="U485" s="7">
        <f t="shared" si="1616"/>
        <v>24</v>
      </c>
      <c r="V485" s="45">
        <v>9.5</v>
      </c>
      <c r="W485" s="4">
        <f t="shared" si="1617"/>
        <v>9.5</v>
      </c>
      <c r="X485" s="4">
        <f t="shared" si="1618"/>
        <v>10.5</v>
      </c>
      <c r="Y485" s="7">
        <f t="shared" si="1619"/>
        <v>82.305406869779816</v>
      </c>
      <c r="AB485" s="45">
        <v>426.89655172413796</v>
      </c>
      <c r="AE485" s="38"/>
      <c r="AF485" s="38"/>
      <c r="AG485" s="39">
        <v>1</v>
      </c>
      <c r="AH485" s="39"/>
      <c r="AI485" s="39"/>
      <c r="AK485" s="4">
        <f t="shared" si="1620"/>
        <v>165.1</v>
      </c>
      <c r="AL485" s="4">
        <f t="shared" si="1621"/>
        <v>0.99999999999999989</v>
      </c>
      <c r="AM485" s="4">
        <f t="shared" si="1622"/>
        <v>225.32217739115345</v>
      </c>
      <c r="AN485" s="4">
        <f t="shared" si="1623"/>
        <v>1</v>
      </c>
      <c r="AO485" s="4">
        <v>1.25</v>
      </c>
      <c r="AP485" s="4">
        <v>1</v>
      </c>
      <c r="AQ485" s="38">
        <f t="shared" si="1624"/>
        <v>281.65272173894175</v>
      </c>
      <c r="AR485" s="38">
        <f t="shared" si="1683"/>
        <v>281.65272173894175</v>
      </c>
      <c r="AS485" s="38">
        <f t="shared" si="1625"/>
        <v>2.8294940183703567</v>
      </c>
      <c r="AX485" s="4">
        <f t="shared" si="1626"/>
        <v>184.11975985237513</v>
      </c>
      <c r="AY485" s="4">
        <f t="shared" si="1627"/>
        <v>1</v>
      </c>
      <c r="AZ485" s="38">
        <f t="shared" si="1628"/>
        <v>4285.3305620639503</v>
      </c>
      <c r="BA485" s="4">
        <f t="shared" si="1629"/>
        <v>0.3</v>
      </c>
      <c r="BB485" s="4">
        <f t="shared" si="1630"/>
        <v>28.860772356859794</v>
      </c>
      <c r="BC485" s="4">
        <f t="shared" si="1631"/>
        <v>4314.1913344208097</v>
      </c>
      <c r="BE485" s="4">
        <f t="shared" si="1632"/>
        <v>1.5</v>
      </c>
      <c r="BF485" s="4">
        <f t="shared" si="1633"/>
        <v>399.61069417190492</v>
      </c>
      <c r="BH485" s="4">
        <f t="shared" si="1634"/>
        <v>4110.1560707980652</v>
      </c>
      <c r="BI485" s="4">
        <f t="shared" si="1635"/>
        <v>0</v>
      </c>
      <c r="BJ485" s="4">
        <f t="shared" si="1636"/>
        <v>0</v>
      </c>
      <c r="BR485" s="4">
        <f t="shared" si="1637"/>
        <v>596.9</v>
      </c>
      <c r="BV485" s="9"/>
      <c r="BX485" s="9"/>
      <c r="BY485" s="9"/>
      <c r="BZ485" s="9">
        <f t="shared" si="1638"/>
        <v>596.9</v>
      </c>
      <c r="CA485" s="9">
        <f t="shared" si="1639"/>
        <v>596.9</v>
      </c>
      <c r="CB485" s="9">
        <f t="shared" si="1640"/>
        <v>4.8476798574163293</v>
      </c>
      <c r="CC485" s="40">
        <f t="shared" si="1641"/>
        <v>0</v>
      </c>
      <c r="CD485" s="9">
        <f t="shared" si="1642"/>
        <v>0</v>
      </c>
      <c r="CE485" s="9">
        <f t="shared" si="1643"/>
        <v>0</v>
      </c>
      <c r="CF485" s="9">
        <f t="shared" si="1644"/>
        <v>0.99524931562137331</v>
      </c>
      <c r="CG485" s="9">
        <f t="shared" si="1645"/>
        <v>0.68</v>
      </c>
      <c r="CH485" s="9">
        <f t="shared" si="1646"/>
        <v>1.2748218213295317</v>
      </c>
      <c r="CI485" s="9">
        <f t="shared" si="1647"/>
        <v>3.1870545533238293</v>
      </c>
      <c r="CJ485" s="40">
        <v>1</v>
      </c>
      <c r="CK485" s="9">
        <f t="shared" si="1648"/>
        <v>274.08669158584928</v>
      </c>
      <c r="DI485" s="4">
        <f t="shared" si="1649"/>
        <v>165.1</v>
      </c>
      <c r="DL485" s="4">
        <f t="shared" si="1650"/>
        <v>1.1521263534281654E-5</v>
      </c>
      <c r="DM485" s="4">
        <f t="shared" si="1651"/>
        <v>8.2572047805129003</v>
      </c>
      <c r="DN485" s="4">
        <f t="shared" si="1652"/>
        <v>0.32724946090324902</v>
      </c>
      <c r="DO485" s="4">
        <f t="shared" si="1653"/>
        <v>5.2818325815863334</v>
      </c>
      <c r="DP485" s="4">
        <f t="shared" si="1654"/>
        <v>6.9318072770896242</v>
      </c>
      <c r="DQ485" s="4">
        <f t="shared" si="1655"/>
        <v>8.0879729188138541</v>
      </c>
      <c r="DR485" s="38">
        <f t="shared" si="1656"/>
        <v>448.00867129349689</v>
      </c>
      <c r="DS485" s="4">
        <f t="shared" si="1657"/>
        <v>1</v>
      </c>
      <c r="DT485" s="4">
        <f t="shared" si="1658"/>
        <v>3.2403703492039297</v>
      </c>
      <c r="DU485" s="4">
        <f t="shared" si="1659"/>
        <v>281.65272173894175</v>
      </c>
      <c r="DY485" s="4">
        <f t="shared" si="1660"/>
        <v>0.85</v>
      </c>
      <c r="DZ485" s="4">
        <f t="shared" si="1661"/>
        <v>0.7</v>
      </c>
      <c r="EA485" s="4">
        <f t="shared" si="1662"/>
        <v>1</v>
      </c>
      <c r="EB485" s="4">
        <f t="shared" si="1663"/>
        <v>0.7</v>
      </c>
      <c r="ED485" s="4">
        <f t="shared" si="1664"/>
        <v>889.65517241379314</v>
      </c>
      <c r="EH485" s="4">
        <f t="shared" si="1665"/>
        <v>8.2572047805129003</v>
      </c>
      <c r="EK485" s="4">
        <f t="shared" si="1666"/>
        <v>82.305406869779816</v>
      </c>
      <c r="EL485" s="4">
        <f t="shared" si="1667"/>
        <v>3.2403703492039302</v>
      </c>
      <c r="EM485" s="4">
        <f t="shared" si="1668"/>
        <v>9.6467319523763598E-2</v>
      </c>
      <c r="EP485" s="4">
        <f t="shared" si="1669"/>
        <v>9.6467319523763598E-2</v>
      </c>
      <c r="EQ485" s="4">
        <f t="shared" si="1670"/>
        <v>0.32724946090324902</v>
      </c>
      <c r="ER485" s="4">
        <f t="shared" si="1671"/>
        <v>5.2818325815863334</v>
      </c>
      <c r="ES485" s="4">
        <f t="shared" si="1672"/>
        <v>6.9318072770896242</v>
      </c>
      <c r="ET485" s="4">
        <f t="shared" si="1673"/>
        <v>41.519593130220173</v>
      </c>
      <c r="EU485" s="4">
        <f t="shared" si="1674"/>
        <v>41.275000000000006</v>
      </c>
      <c r="EV485" s="4">
        <f t="shared" si="1675"/>
        <v>1.1521263534281654E-5</v>
      </c>
      <c r="EW485" s="4">
        <f t="shared" si="1676"/>
        <v>8.0879729188138541</v>
      </c>
      <c r="EX485" s="4">
        <f t="shared" si="1677"/>
        <v>448.00867129349689</v>
      </c>
      <c r="FG485" s="23"/>
      <c r="FH485" s="23"/>
      <c r="FI485" s="23"/>
      <c r="FJ485" s="23"/>
      <c r="FK485" s="23"/>
      <c r="FL485" s="23"/>
      <c r="FM485" s="23"/>
      <c r="FN485" s="23"/>
      <c r="FX485" s="4">
        <f t="shared" si="1678"/>
        <v>1</v>
      </c>
      <c r="FY485" s="4">
        <f t="shared" si="1679"/>
        <v>1.0833333333333333</v>
      </c>
      <c r="FZ485" s="4">
        <f t="shared" si="1680"/>
        <v>0</v>
      </c>
      <c r="GA485" s="4">
        <f t="shared" si="1681"/>
        <v>138.79835820431603</v>
      </c>
    </row>
    <row r="486" spans="1:184" ht="12" customHeight="1" x14ac:dyDescent="0.3">
      <c r="A486" s="52"/>
      <c r="B486" s="14" t="s">
        <v>605</v>
      </c>
      <c r="C486" s="24"/>
      <c r="D486" s="14" t="s">
        <v>365</v>
      </c>
      <c r="E486" s="24"/>
      <c r="F486" s="43" t="s">
        <v>639</v>
      </c>
      <c r="G486" s="38">
        <f t="shared" si="1612"/>
        <v>889.65517241379314</v>
      </c>
      <c r="H486" s="45">
        <v>162.56</v>
      </c>
      <c r="I486" s="4">
        <f t="shared" si="1613"/>
        <v>162.56</v>
      </c>
      <c r="J486" s="45">
        <v>28.96551724137931</v>
      </c>
      <c r="K486" s="7">
        <v>25.4</v>
      </c>
      <c r="L486" s="7">
        <f t="shared" si="1614"/>
        <v>6.4</v>
      </c>
      <c r="M486" s="7">
        <f t="shared" si="1615"/>
        <v>6.4</v>
      </c>
      <c r="N486" s="45">
        <v>1219.1999999999998</v>
      </c>
      <c r="O486" s="45">
        <v>596.9</v>
      </c>
      <c r="P486" s="45">
        <v>596.9</v>
      </c>
      <c r="Q486" s="7"/>
      <c r="R486" s="38">
        <v>1</v>
      </c>
      <c r="T486" s="7">
        <f t="shared" si="1682"/>
        <v>24</v>
      </c>
      <c r="U486" s="7">
        <f t="shared" si="1616"/>
        <v>24</v>
      </c>
      <c r="V486" s="45">
        <v>9.5</v>
      </c>
      <c r="W486" s="4">
        <f t="shared" si="1617"/>
        <v>9.5</v>
      </c>
      <c r="X486" s="4">
        <f t="shared" si="1618"/>
        <v>10.5</v>
      </c>
      <c r="Y486" s="7">
        <f t="shared" si="1619"/>
        <v>82.305406869779816</v>
      </c>
      <c r="AB486" s="45">
        <v>475.86206896551727</v>
      </c>
      <c r="AE486" s="38"/>
      <c r="AF486" s="38"/>
      <c r="AG486" s="39">
        <v>1</v>
      </c>
      <c r="AH486" s="39"/>
      <c r="AI486" s="39"/>
      <c r="AK486" s="4">
        <f t="shared" si="1620"/>
        <v>162.56</v>
      </c>
      <c r="AL486" s="4">
        <f t="shared" si="1621"/>
        <v>1</v>
      </c>
      <c r="AM486" s="4">
        <f t="shared" si="1622"/>
        <v>220.14248542345268</v>
      </c>
      <c r="AN486" s="4">
        <f t="shared" si="1623"/>
        <v>1</v>
      </c>
      <c r="AO486" s="4">
        <v>1.25</v>
      </c>
      <c r="AP486" s="4">
        <v>1</v>
      </c>
      <c r="AQ486" s="38">
        <f t="shared" si="1624"/>
        <v>275.17810677931584</v>
      </c>
      <c r="AR486" s="38">
        <f t="shared" si="1683"/>
        <v>275.17810677931584</v>
      </c>
      <c r="AS486" s="38">
        <f t="shared" si="1625"/>
        <v>2.8294940183703567</v>
      </c>
      <c r="AX486" s="4">
        <f t="shared" si="1626"/>
        <v>181.28714816233858</v>
      </c>
      <c r="AY486" s="4">
        <f t="shared" si="1627"/>
        <v>1</v>
      </c>
      <c r="AZ486" s="38">
        <f t="shared" si="1628"/>
        <v>4285.3305620639503</v>
      </c>
      <c r="BA486" s="4">
        <f t="shared" si="1629"/>
        <v>0.3</v>
      </c>
      <c r="BB486" s="4">
        <f t="shared" si="1630"/>
        <v>28.416760474446569</v>
      </c>
      <c r="BC486" s="4">
        <f t="shared" si="1631"/>
        <v>4313.7473225383965</v>
      </c>
      <c r="BE486" s="4">
        <f t="shared" si="1632"/>
        <v>1.5</v>
      </c>
      <c r="BF486" s="4">
        <f t="shared" si="1633"/>
        <v>397.18881117692376</v>
      </c>
      <c r="BH486" s="4">
        <f t="shared" si="1634"/>
        <v>4110.1560707980652</v>
      </c>
      <c r="BI486" s="4">
        <f t="shared" si="1635"/>
        <v>0</v>
      </c>
      <c r="BJ486" s="4">
        <f t="shared" si="1636"/>
        <v>0</v>
      </c>
      <c r="BR486" s="4">
        <f t="shared" si="1637"/>
        <v>596.9</v>
      </c>
      <c r="BV486" s="9"/>
      <c r="BX486" s="9"/>
      <c r="BY486" s="9"/>
      <c r="BZ486" s="9">
        <f t="shared" si="1638"/>
        <v>596.9</v>
      </c>
      <c r="CA486" s="9">
        <f t="shared" si="1639"/>
        <v>596.9</v>
      </c>
      <c r="CB486" s="9">
        <f t="shared" si="1640"/>
        <v>4.8476798574163293</v>
      </c>
      <c r="CC486" s="40">
        <f t="shared" si="1641"/>
        <v>0</v>
      </c>
      <c r="CD486" s="9">
        <f t="shared" si="1642"/>
        <v>0</v>
      </c>
      <c r="CE486" s="9">
        <f t="shared" si="1643"/>
        <v>0</v>
      </c>
      <c r="CF486" s="9">
        <f t="shared" si="1644"/>
        <v>0.99524931562137331</v>
      </c>
      <c r="CG486" s="9">
        <f t="shared" si="1645"/>
        <v>0.68</v>
      </c>
      <c r="CH486" s="9">
        <f t="shared" si="1646"/>
        <v>1.2748218213295317</v>
      </c>
      <c r="CI486" s="9">
        <f t="shared" si="1647"/>
        <v>3.1870545533238293</v>
      </c>
      <c r="CJ486" s="40">
        <v>1</v>
      </c>
      <c r="CK486" s="9">
        <f t="shared" si="1648"/>
        <v>272.81186976451977</v>
      </c>
      <c r="DI486" s="4">
        <f t="shared" si="1649"/>
        <v>162.56</v>
      </c>
      <c r="DL486" s="4">
        <f t="shared" si="1650"/>
        <v>1.1344013326061937E-5</v>
      </c>
      <c r="DM486" s="4">
        <f t="shared" si="1651"/>
        <v>8.2572047805129003</v>
      </c>
      <c r="DN486" s="4">
        <f t="shared" si="1652"/>
        <v>0.31972667098660273</v>
      </c>
      <c r="DO486" s="4">
        <f t="shared" si="1653"/>
        <v>5.2329261002744616</v>
      </c>
      <c r="DP486" s="4">
        <f t="shared" si="1654"/>
        <v>6.9132912758781213</v>
      </c>
      <c r="DQ486" s="4">
        <f t="shared" si="1655"/>
        <v>8.0943984457206888</v>
      </c>
      <c r="DR486" s="38">
        <f t="shared" si="1656"/>
        <v>437.93742736534432</v>
      </c>
      <c r="DS486" s="4">
        <f t="shared" si="1657"/>
        <v>0.99999999999999989</v>
      </c>
      <c r="DT486" s="4">
        <f t="shared" si="1658"/>
        <v>3.2403703492039297</v>
      </c>
      <c r="DU486" s="4">
        <f t="shared" si="1659"/>
        <v>275.17810677931584</v>
      </c>
      <c r="DY486" s="4">
        <f t="shared" si="1660"/>
        <v>0.85</v>
      </c>
      <c r="DZ486" s="4">
        <f t="shared" si="1661"/>
        <v>0.7</v>
      </c>
      <c r="EA486" s="4">
        <f t="shared" si="1662"/>
        <v>1</v>
      </c>
      <c r="EB486" s="4">
        <f t="shared" si="1663"/>
        <v>0.7</v>
      </c>
      <c r="ED486" s="4">
        <f t="shared" si="1664"/>
        <v>889.65517241379314</v>
      </c>
      <c r="EH486" s="4">
        <f t="shared" si="1665"/>
        <v>8.2572047805129003</v>
      </c>
      <c r="EK486" s="4">
        <f t="shared" si="1666"/>
        <v>82.305406869779816</v>
      </c>
      <c r="EL486" s="4">
        <f t="shared" si="1667"/>
        <v>3.2403703492039302</v>
      </c>
      <c r="EM486" s="4">
        <f t="shared" si="1668"/>
        <v>9.4249734881771408E-2</v>
      </c>
      <c r="EP486" s="4">
        <f t="shared" si="1669"/>
        <v>9.4249734881771408E-2</v>
      </c>
      <c r="EQ486" s="4">
        <f t="shared" si="1670"/>
        <v>0.31972667098660273</v>
      </c>
      <c r="ER486" s="4">
        <f t="shared" si="1671"/>
        <v>5.2329261002744616</v>
      </c>
      <c r="ES486" s="4">
        <f t="shared" si="1672"/>
        <v>6.9132912758781213</v>
      </c>
      <c r="ET486" s="4">
        <f t="shared" si="1673"/>
        <v>39.614593130220186</v>
      </c>
      <c r="EU486" s="4">
        <f t="shared" si="1674"/>
        <v>40.64</v>
      </c>
      <c r="EV486" s="4">
        <f t="shared" si="1675"/>
        <v>1.1344013326061937E-5</v>
      </c>
      <c r="EW486" s="4">
        <f t="shared" si="1676"/>
        <v>8.0943984457206888</v>
      </c>
      <c r="EX486" s="4">
        <f t="shared" si="1677"/>
        <v>437.93742736534438</v>
      </c>
      <c r="FG486" s="23"/>
      <c r="FH486" s="23"/>
      <c r="FI486" s="23"/>
      <c r="FJ486" s="23"/>
      <c r="FK486" s="23"/>
      <c r="FL486" s="23"/>
      <c r="FM486" s="23"/>
      <c r="FN486" s="23"/>
      <c r="FX486" s="4">
        <f t="shared" si="1678"/>
        <v>1</v>
      </c>
      <c r="FY486" s="4">
        <f t="shared" si="1679"/>
        <v>1.0833333333333333</v>
      </c>
      <c r="FZ486" s="4">
        <f t="shared" si="1680"/>
        <v>0</v>
      </c>
      <c r="GA486" s="4">
        <f t="shared" si="1681"/>
        <v>136.66299884732655</v>
      </c>
    </row>
    <row r="487" spans="1:184" ht="12" customHeight="1" x14ac:dyDescent="0.3">
      <c r="A487" s="52"/>
      <c r="B487" s="14" t="s">
        <v>605</v>
      </c>
      <c r="C487" s="24"/>
      <c r="D487" s="14" t="s">
        <v>365</v>
      </c>
      <c r="E487" s="24"/>
      <c r="F487" s="43" t="s">
        <v>640</v>
      </c>
      <c r="G487" s="38">
        <f t="shared" si="1612"/>
        <v>889.65517241379314</v>
      </c>
      <c r="H487" s="45">
        <v>213.35999999999999</v>
      </c>
      <c r="I487" s="4">
        <f t="shared" si="1613"/>
        <v>213.35999999999999</v>
      </c>
      <c r="J487" s="45">
        <v>28.96551724137931</v>
      </c>
      <c r="K487" s="7">
        <v>25.4</v>
      </c>
      <c r="L487" s="7">
        <f t="shared" si="1614"/>
        <v>8.4</v>
      </c>
      <c r="M487" s="7">
        <f t="shared" si="1615"/>
        <v>8.4</v>
      </c>
      <c r="N487" s="45">
        <v>1219.1999999999998</v>
      </c>
      <c r="O487" s="45">
        <v>596.9</v>
      </c>
      <c r="P487" s="45">
        <v>596.9</v>
      </c>
      <c r="Q487" s="7"/>
      <c r="R487" s="38">
        <v>1</v>
      </c>
      <c r="T487" s="7">
        <f t="shared" si="1682"/>
        <v>24</v>
      </c>
      <c r="U487" s="7">
        <f t="shared" si="1616"/>
        <v>24</v>
      </c>
      <c r="V487" s="45">
        <v>4.0999999999999996</v>
      </c>
      <c r="W487" s="4">
        <f t="shared" si="1617"/>
        <v>4.0999999999999996</v>
      </c>
      <c r="X487" s="4">
        <f t="shared" si="1618"/>
        <v>5.0999999999999996</v>
      </c>
      <c r="Y487" s="7">
        <f t="shared" si="1619"/>
        <v>57.361276136431961</v>
      </c>
      <c r="AB487" s="45">
        <v>341.37931034482762</v>
      </c>
      <c r="AE487" s="38"/>
      <c r="AF487" s="38"/>
      <c r="AG487" s="39">
        <v>1</v>
      </c>
      <c r="AH487" s="39"/>
      <c r="AI487" s="39"/>
      <c r="AK487" s="4">
        <f t="shared" si="1620"/>
        <v>213.35999999999999</v>
      </c>
      <c r="AL487" s="4">
        <f t="shared" si="1621"/>
        <v>1</v>
      </c>
      <c r="AM487" s="4">
        <f t="shared" si="1622"/>
        <v>331.01893227659951</v>
      </c>
      <c r="AN487" s="4">
        <f t="shared" si="1623"/>
        <v>1</v>
      </c>
      <c r="AO487" s="4">
        <v>1.25</v>
      </c>
      <c r="AP487" s="4">
        <v>1</v>
      </c>
      <c r="AQ487" s="38">
        <f t="shared" si="1624"/>
        <v>413.77366534574941</v>
      </c>
      <c r="AR487" s="38">
        <f t="shared" si="1683"/>
        <v>413.77366534574941</v>
      </c>
      <c r="AS487" s="38">
        <f t="shared" si="1625"/>
        <v>2.8294940183703567</v>
      </c>
      <c r="AX487" s="4">
        <f t="shared" si="1626"/>
        <v>237.93938196306939</v>
      </c>
      <c r="AY487" s="4">
        <f t="shared" si="1627"/>
        <v>1</v>
      </c>
      <c r="AZ487" s="38">
        <f t="shared" si="1628"/>
        <v>2815.2337082989129</v>
      </c>
      <c r="BA487" s="4">
        <f t="shared" si="1629"/>
        <v>0.42600000000000005</v>
      </c>
      <c r="BB487" s="4">
        <f t="shared" si="1630"/>
        <v>52.961737334249797</v>
      </c>
      <c r="BC487" s="4">
        <f t="shared" si="1631"/>
        <v>2868.1954456331628</v>
      </c>
      <c r="BE487" s="4">
        <f t="shared" si="1632"/>
        <v>1.5</v>
      </c>
      <c r="BF487" s="4">
        <f t="shared" si="1633"/>
        <v>445.62647107654857</v>
      </c>
      <c r="BH487" s="4">
        <f t="shared" si="1634"/>
        <v>2700.1534069071072</v>
      </c>
      <c r="BI487" s="4">
        <f t="shared" si="1635"/>
        <v>0</v>
      </c>
      <c r="BJ487" s="4">
        <f t="shared" si="1636"/>
        <v>0</v>
      </c>
      <c r="BR487" s="4">
        <f t="shared" si="1637"/>
        <v>596.9</v>
      </c>
      <c r="BV487" s="9"/>
      <c r="BX487" s="9"/>
      <c r="BY487" s="9"/>
      <c r="BZ487" s="9">
        <f t="shared" si="1638"/>
        <v>596.9</v>
      </c>
      <c r="CA487" s="9">
        <f t="shared" si="1639"/>
        <v>596.9</v>
      </c>
      <c r="CB487" s="9">
        <f t="shared" si="1640"/>
        <v>4.8476798574163293</v>
      </c>
      <c r="CC487" s="40">
        <f t="shared" si="1641"/>
        <v>0</v>
      </c>
      <c r="CD487" s="9">
        <f t="shared" si="1642"/>
        <v>0</v>
      </c>
      <c r="CE487" s="9">
        <f t="shared" si="1643"/>
        <v>0</v>
      </c>
      <c r="CF487" s="9">
        <f t="shared" si="1644"/>
        <v>0.99524931562137331</v>
      </c>
      <c r="CG487" s="9">
        <f t="shared" si="1645"/>
        <v>0.68</v>
      </c>
      <c r="CH487" s="9">
        <f t="shared" si="1646"/>
        <v>1.2748218213295317</v>
      </c>
      <c r="CI487" s="9">
        <f t="shared" si="1647"/>
        <v>3.1870545533238293</v>
      </c>
      <c r="CJ487" s="40">
        <v>1</v>
      </c>
      <c r="CK487" s="9">
        <f t="shared" si="1648"/>
        <v>298.30830619111043</v>
      </c>
      <c r="DI487" s="4">
        <f t="shared" si="1649"/>
        <v>213.35999999999999</v>
      </c>
      <c r="DL487" s="4">
        <f t="shared" si="1650"/>
        <v>1.4889017490456289E-5</v>
      </c>
      <c r="DM487" s="4">
        <f t="shared" si="1651"/>
        <v>8.2572047805129003</v>
      </c>
      <c r="DN487" s="4">
        <f t="shared" si="1652"/>
        <v>0.77635082883803019</v>
      </c>
      <c r="DO487" s="4">
        <f t="shared" si="1653"/>
        <v>7.4620175087624512</v>
      </c>
      <c r="DP487" s="4">
        <f t="shared" si="1654"/>
        <v>7.8696638067407143</v>
      </c>
      <c r="DQ487" s="4">
        <f t="shared" si="1655"/>
        <v>7.901496818500239</v>
      </c>
      <c r="DR487" s="38">
        <f t="shared" si="1656"/>
        <v>674.77938672986375</v>
      </c>
      <c r="DS487" s="4">
        <f t="shared" si="1657"/>
        <v>1</v>
      </c>
      <c r="DT487" s="4">
        <f t="shared" si="1658"/>
        <v>2.2583179581272428</v>
      </c>
      <c r="DU487" s="4">
        <f t="shared" si="1659"/>
        <v>413.77366534574941</v>
      </c>
      <c r="DY487" s="4">
        <f t="shared" si="1660"/>
        <v>0.85</v>
      </c>
      <c r="DZ487" s="4">
        <f t="shared" si="1661"/>
        <v>0.7</v>
      </c>
      <c r="EA487" s="4">
        <f t="shared" si="1662"/>
        <v>1</v>
      </c>
      <c r="EB487" s="4">
        <f t="shared" si="1663"/>
        <v>0.7</v>
      </c>
      <c r="ED487" s="4">
        <f t="shared" si="1664"/>
        <v>889.65517241379314</v>
      </c>
      <c r="EH487" s="4">
        <f t="shared" si="1665"/>
        <v>8.2572047805129003</v>
      </c>
      <c r="EK487" s="4">
        <f t="shared" si="1666"/>
        <v>57.361276136431961</v>
      </c>
      <c r="EL487" s="4">
        <f t="shared" si="1667"/>
        <v>2.2583179581272428</v>
      </c>
      <c r="EM487" s="4">
        <f t="shared" si="1668"/>
        <v>0.22885441357594427</v>
      </c>
      <c r="EP487" s="4">
        <f t="shared" si="1669"/>
        <v>0.22885441357594427</v>
      </c>
      <c r="EQ487" s="4">
        <f t="shared" si="1670"/>
        <v>0.77635082883803019</v>
      </c>
      <c r="ER487" s="4">
        <f t="shared" si="1671"/>
        <v>7.4620175087624512</v>
      </c>
      <c r="ES487" s="4">
        <f t="shared" si="1672"/>
        <v>7.8696638067407143</v>
      </c>
      <c r="ET487" s="4">
        <f t="shared" si="1673"/>
        <v>102.65872386356801</v>
      </c>
      <c r="EU487" s="4">
        <f t="shared" si="1674"/>
        <v>53.34</v>
      </c>
      <c r="EV487" s="4">
        <f t="shared" si="1675"/>
        <v>1.4889017490456294E-5</v>
      </c>
      <c r="EW487" s="4">
        <f t="shared" si="1676"/>
        <v>7.9014968185002399</v>
      </c>
      <c r="EX487" s="4">
        <f t="shared" si="1677"/>
        <v>674.77938672986375</v>
      </c>
      <c r="FG487" s="23"/>
      <c r="FH487" s="23"/>
      <c r="FI487" s="23"/>
      <c r="FJ487" s="23"/>
      <c r="FK487" s="23"/>
      <c r="FL487" s="23"/>
      <c r="FM487" s="23"/>
      <c r="FN487" s="23"/>
      <c r="FX487" s="4">
        <f t="shared" si="1678"/>
        <v>1</v>
      </c>
      <c r="FY487" s="4">
        <f t="shared" si="1679"/>
        <v>1.0833333333333333</v>
      </c>
      <c r="FZ487" s="4">
        <f t="shared" si="1680"/>
        <v>0</v>
      </c>
      <c r="GA487" s="4">
        <f t="shared" si="1681"/>
        <v>179.37018598711612</v>
      </c>
    </row>
    <row r="488" spans="1:184" ht="12" customHeight="1" x14ac:dyDescent="0.3">
      <c r="A488" s="52"/>
      <c r="B488" s="14" t="s">
        <v>605</v>
      </c>
      <c r="C488" s="24"/>
      <c r="D488" s="14" t="s">
        <v>365</v>
      </c>
      <c r="E488" s="24"/>
      <c r="F488" s="43" t="s">
        <v>641</v>
      </c>
      <c r="G488" s="38">
        <f t="shared" si="1612"/>
        <v>889.65517241379314</v>
      </c>
      <c r="H488" s="45">
        <v>165.1</v>
      </c>
      <c r="I488" s="4">
        <f t="shared" si="1613"/>
        <v>165.1</v>
      </c>
      <c r="J488" s="45">
        <v>35.724137931034484</v>
      </c>
      <c r="K488" s="7">
        <v>25.4</v>
      </c>
      <c r="L488" s="7">
        <f t="shared" si="1614"/>
        <v>6.5</v>
      </c>
      <c r="M488" s="7">
        <f t="shared" si="1615"/>
        <v>6.5</v>
      </c>
      <c r="N488" s="45">
        <v>1524</v>
      </c>
      <c r="O488" s="45">
        <v>769.62</v>
      </c>
      <c r="P488" s="45">
        <v>769.62</v>
      </c>
      <c r="Q488" s="7"/>
      <c r="R488" s="38">
        <v>1</v>
      </c>
      <c r="T488" s="7">
        <f t="shared" si="1682"/>
        <v>30.8</v>
      </c>
      <c r="U488" s="7">
        <f t="shared" si="1616"/>
        <v>30.8</v>
      </c>
      <c r="V488" s="45">
        <v>4.0999999999999996</v>
      </c>
      <c r="W488" s="4">
        <f t="shared" si="1617"/>
        <v>4.0999999999999996</v>
      </c>
      <c r="X488" s="4">
        <f t="shared" si="1618"/>
        <v>5.0999999999999996</v>
      </c>
      <c r="Y488" s="7">
        <f t="shared" si="1619"/>
        <v>57.361276136431961</v>
      </c>
      <c r="AB488" s="45">
        <v>440.68965517241384</v>
      </c>
      <c r="AE488" s="38"/>
      <c r="AF488" s="38"/>
      <c r="AG488" s="39">
        <v>1</v>
      </c>
      <c r="AH488" s="39"/>
      <c r="AI488" s="39"/>
      <c r="AK488" s="4">
        <f t="shared" si="1620"/>
        <v>165.1</v>
      </c>
      <c r="AL488" s="4">
        <f t="shared" si="1621"/>
        <v>0.99999999999999989</v>
      </c>
      <c r="AM488" s="4">
        <f t="shared" si="1622"/>
        <v>250.23276458121583</v>
      </c>
      <c r="AN488" s="4">
        <f t="shared" si="1623"/>
        <v>1</v>
      </c>
      <c r="AO488" s="4">
        <v>1.25</v>
      </c>
      <c r="AP488" s="4">
        <v>1</v>
      </c>
      <c r="AQ488" s="38">
        <f t="shared" si="1624"/>
        <v>312.79095572651971</v>
      </c>
      <c r="AR488" s="38">
        <f t="shared" si="1683"/>
        <v>312.79095572651971</v>
      </c>
      <c r="AS488" s="38">
        <f t="shared" si="1625"/>
        <v>3.2540864993004175</v>
      </c>
      <c r="AX488" s="4">
        <f t="shared" si="1626"/>
        <v>204.47519660662698</v>
      </c>
      <c r="AY488" s="4">
        <f t="shared" si="1627"/>
        <v>1</v>
      </c>
      <c r="AZ488" s="38">
        <f t="shared" si="1628"/>
        <v>4455.8893527464461</v>
      </c>
      <c r="BA488" s="4">
        <f t="shared" si="1629"/>
        <v>0.42600000000000005</v>
      </c>
      <c r="BB488" s="4">
        <f t="shared" si="1630"/>
        <v>45.51311163668607</v>
      </c>
      <c r="BC488" s="4">
        <f t="shared" si="1631"/>
        <v>4501.4024643831326</v>
      </c>
      <c r="BE488" s="4">
        <f t="shared" si="1632"/>
        <v>1.5</v>
      </c>
      <c r="BF488" s="4">
        <f t="shared" si="1633"/>
        <v>443.78982094276768</v>
      </c>
      <c r="BH488" s="4">
        <f t="shared" si="1634"/>
        <v>4273.7428090435269</v>
      </c>
      <c r="BI488" s="4">
        <f t="shared" si="1635"/>
        <v>0</v>
      </c>
      <c r="BJ488" s="4">
        <f t="shared" si="1636"/>
        <v>0</v>
      </c>
      <c r="BR488" s="4">
        <f t="shared" si="1637"/>
        <v>769.62</v>
      </c>
      <c r="BV488" s="9"/>
      <c r="BX488" s="9"/>
      <c r="BY488" s="9"/>
      <c r="BZ488" s="9">
        <f t="shared" si="1638"/>
        <v>769.62</v>
      </c>
      <c r="CA488" s="9">
        <f t="shared" si="1639"/>
        <v>769.62</v>
      </c>
      <c r="CB488" s="9">
        <f t="shared" si="1640"/>
        <v>5.5045435778091543</v>
      </c>
      <c r="CC488" s="40">
        <f t="shared" si="1641"/>
        <v>0</v>
      </c>
      <c r="CD488" s="9">
        <f t="shared" si="1642"/>
        <v>0</v>
      </c>
      <c r="CE488" s="9">
        <f t="shared" si="1643"/>
        <v>0</v>
      </c>
      <c r="CF488" s="9">
        <f t="shared" si="1644"/>
        <v>0.99524931562137331</v>
      </c>
      <c r="CG488" s="9">
        <f t="shared" si="1645"/>
        <v>0.68</v>
      </c>
      <c r="CH488" s="9">
        <f t="shared" si="1646"/>
        <v>1.4157602788737922</v>
      </c>
      <c r="CI488" s="9">
        <f t="shared" si="1647"/>
        <v>3.5394006971844805</v>
      </c>
      <c r="CJ488" s="40">
        <v>1</v>
      </c>
      <c r="CK488" s="9">
        <f t="shared" si="1648"/>
        <v>304.38845995786528</v>
      </c>
      <c r="DI488" s="4">
        <f t="shared" si="1649"/>
        <v>165.1</v>
      </c>
      <c r="DL488" s="4">
        <f t="shared" si="1650"/>
        <v>1.2079484897608146E-5</v>
      </c>
      <c r="DM488" s="4">
        <f t="shared" si="1651"/>
        <v>9.1700834949507204</v>
      </c>
      <c r="DN488" s="4">
        <f t="shared" si="1652"/>
        <v>0.47584870550152752</v>
      </c>
      <c r="DO488" s="4">
        <f t="shared" si="1653"/>
        <v>6.8133523183375004</v>
      </c>
      <c r="DP488" s="4">
        <f t="shared" si="1654"/>
        <v>8.0783090634384216</v>
      </c>
      <c r="DQ488" s="4">
        <f t="shared" si="1655"/>
        <v>8.9237531933943313</v>
      </c>
      <c r="DR488" s="38">
        <f t="shared" si="1656"/>
        <v>516.89568008576975</v>
      </c>
      <c r="DS488" s="4">
        <f t="shared" si="1657"/>
        <v>1</v>
      </c>
      <c r="DT488" s="4">
        <f t="shared" si="1658"/>
        <v>2.2583179581272428</v>
      </c>
      <c r="DU488" s="4">
        <f t="shared" si="1659"/>
        <v>312.79095572651971</v>
      </c>
      <c r="DY488" s="4">
        <f t="shared" si="1660"/>
        <v>0.85</v>
      </c>
      <c r="DZ488" s="4">
        <f t="shared" si="1661"/>
        <v>0.7</v>
      </c>
      <c r="EA488" s="4">
        <f t="shared" si="1662"/>
        <v>1</v>
      </c>
      <c r="EB488" s="4">
        <f t="shared" si="1663"/>
        <v>0.7</v>
      </c>
      <c r="ED488" s="4">
        <f t="shared" si="1664"/>
        <v>889.65517241379314</v>
      </c>
      <c r="EH488" s="4">
        <f t="shared" si="1665"/>
        <v>9.1700834949507204</v>
      </c>
      <c r="EK488" s="4">
        <f t="shared" si="1666"/>
        <v>57.361276136431961</v>
      </c>
      <c r="EL488" s="4">
        <f t="shared" si="1667"/>
        <v>2.2583179581272428</v>
      </c>
      <c r="EM488" s="4">
        <f t="shared" si="1668"/>
        <v>0.15577953326675206</v>
      </c>
      <c r="EP488" s="4">
        <f t="shared" si="1669"/>
        <v>0.15577953326675206</v>
      </c>
      <c r="EQ488" s="4">
        <f t="shared" si="1670"/>
        <v>0.47584870550152752</v>
      </c>
      <c r="ER488" s="4">
        <f t="shared" si="1671"/>
        <v>6.8133523183375004</v>
      </c>
      <c r="ES488" s="4">
        <f t="shared" si="1672"/>
        <v>8.0783090634384216</v>
      </c>
      <c r="ET488" s="4">
        <f t="shared" si="1673"/>
        <v>66.463723863568021</v>
      </c>
      <c r="EU488" s="4">
        <f t="shared" si="1674"/>
        <v>41.275000000000006</v>
      </c>
      <c r="EV488" s="4">
        <f t="shared" si="1675"/>
        <v>1.2079484897608148E-5</v>
      </c>
      <c r="EW488" s="4">
        <f t="shared" si="1676"/>
        <v>8.9237531933943295</v>
      </c>
      <c r="EX488" s="4">
        <f t="shared" si="1677"/>
        <v>516.89568008576975</v>
      </c>
      <c r="FG488" s="23"/>
      <c r="FH488" s="23"/>
      <c r="FI488" s="23"/>
      <c r="FJ488" s="23"/>
      <c r="FK488" s="23"/>
      <c r="FL488" s="23"/>
      <c r="FM488" s="23"/>
      <c r="FN488" s="23"/>
      <c r="FX488" s="4">
        <f t="shared" si="1678"/>
        <v>1</v>
      </c>
      <c r="FY488" s="4">
        <f t="shared" si="1679"/>
        <v>1.0833333333333333</v>
      </c>
      <c r="FZ488" s="4">
        <f t="shared" si="1680"/>
        <v>0</v>
      </c>
      <c r="GA488" s="4">
        <f t="shared" si="1681"/>
        <v>146.26972550267718</v>
      </c>
    </row>
    <row r="489" spans="1:184" ht="12" customHeight="1" x14ac:dyDescent="0.3">
      <c r="A489" s="52"/>
      <c r="B489" s="14" t="s">
        <v>605</v>
      </c>
      <c r="C489" s="24"/>
      <c r="D489" s="14" t="s">
        <v>365</v>
      </c>
      <c r="E489" s="24"/>
      <c r="F489" s="43" t="s">
        <v>641</v>
      </c>
      <c r="G489" s="38">
        <f t="shared" si="1612"/>
        <v>889.65517241379314</v>
      </c>
      <c r="H489" s="45">
        <v>160.01999999999998</v>
      </c>
      <c r="I489" s="4">
        <f t="shared" si="1613"/>
        <v>160.01999999999998</v>
      </c>
      <c r="J489" s="45">
        <v>35.724137931034484</v>
      </c>
      <c r="K489" s="7">
        <v>25.4</v>
      </c>
      <c r="L489" s="7">
        <f t="shared" si="1614"/>
        <v>6.3</v>
      </c>
      <c r="M489" s="7">
        <f t="shared" si="1615"/>
        <v>6.3</v>
      </c>
      <c r="N489" s="45">
        <v>1524</v>
      </c>
      <c r="O489" s="45">
        <v>774.69999999999993</v>
      </c>
      <c r="P489" s="45">
        <v>774.69999999999993</v>
      </c>
      <c r="Q489" s="7"/>
      <c r="R489" s="38">
        <v>1</v>
      </c>
      <c r="T489" s="7">
        <f t="shared" si="1682"/>
        <v>31</v>
      </c>
      <c r="U489" s="7">
        <f t="shared" si="1616"/>
        <v>31</v>
      </c>
      <c r="V489" s="45">
        <v>4.0999999999999996</v>
      </c>
      <c r="W489" s="4">
        <f t="shared" si="1617"/>
        <v>4.0999999999999996</v>
      </c>
      <c r="X489" s="4">
        <f t="shared" si="1618"/>
        <v>5.0999999999999996</v>
      </c>
      <c r="Y489" s="7">
        <f t="shared" si="1619"/>
        <v>57.361276136431961</v>
      </c>
      <c r="AB489" s="45">
        <v>426.89655172413796</v>
      </c>
      <c r="AE489" s="38"/>
      <c r="AF489" s="38"/>
      <c r="AG489" s="39">
        <v>1</v>
      </c>
      <c r="AH489" s="39"/>
      <c r="AI489" s="39"/>
      <c r="AK489" s="4">
        <f t="shared" si="1620"/>
        <v>160.01999999999998</v>
      </c>
      <c r="AL489" s="4">
        <f t="shared" si="1621"/>
        <v>1</v>
      </c>
      <c r="AM489" s="4">
        <f t="shared" si="1622"/>
        <v>238.77286102592873</v>
      </c>
      <c r="AN489" s="4">
        <f t="shared" si="1623"/>
        <v>1</v>
      </c>
      <c r="AO489" s="4">
        <v>1.25</v>
      </c>
      <c r="AP489" s="4">
        <v>1</v>
      </c>
      <c r="AQ489" s="38">
        <f t="shared" si="1624"/>
        <v>298.46607628241094</v>
      </c>
      <c r="AR489" s="38">
        <f t="shared" si="1683"/>
        <v>298.46607628241094</v>
      </c>
      <c r="AS489" s="38">
        <f t="shared" si="1625"/>
        <v>3.2540864993004175</v>
      </c>
      <c r="AX489" s="4">
        <f t="shared" si="1626"/>
        <v>198.18365209565383</v>
      </c>
      <c r="AY489" s="4">
        <f t="shared" si="1627"/>
        <v>1</v>
      </c>
      <c r="AZ489" s="38">
        <f t="shared" si="1628"/>
        <v>4484.8236991928516</v>
      </c>
      <c r="BA489" s="4">
        <f t="shared" si="1629"/>
        <v>0.42600000000000005</v>
      </c>
      <c r="BB489" s="4">
        <f t="shared" si="1630"/>
        <v>44.112708201711108</v>
      </c>
      <c r="BC489" s="4">
        <f t="shared" si="1631"/>
        <v>4528.9364073945626</v>
      </c>
      <c r="BE489" s="4">
        <f t="shared" si="1632"/>
        <v>1.5</v>
      </c>
      <c r="BF489" s="4">
        <f t="shared" si="1633"/>
        <v>438.41055038588564</v>
      </c>
      <c r="BH489" s="4">
        <f t="shared" si="1634"/>
        <v>4301.4943857256276</v>
      </c>
      <c r="BI489" s="4">
        <f t="shared" si="1635"/>
        <v>0</v>
      </c>
      <c r="BJ489" s="4">
        <f t="shared" si="1636"/>
        <v>0</v>
      </c>
      <c r="BR489" s="4">
        <f t="shared" si="1637"/>
        <v>774.69999999999993</v>
      </c>
      <c r="BV489" s="9"/>
      <c r="BX489" s="9"/>
      <c r="BY489" s="9"/>
      <c r="BZ489" s="9">
        <f t="shared" si="1638"/>
        <v>774.69999999999993</v>
      </c>
      <c r="CA489" s="9">
        <f t="shared" si="1639"/>
        <v>774.69999999999993</v>
      </c>
      <c r="CB489" s="9">
        <f t="shared" si="1640"/>
        <v>5.5226805085936306</v>
      </c>
      <c r="CC489" s="40">
        <f t="shared" si="1641"/>
        <v>0</v>
      </c>
      <c r="CD489" s="9">
        <f t="shared" si="1642"/>
        <v>0</v>
      </c>
      <c r="CE489" s="9">
        <f t="shared" si="1643"/>
        <v>0</v>
      </c>
      <c r="CF489" s="9">
        <f t="shared" si="1644"/>
        <v>0.99524931562137331</v>
      </c>
      <c r="CG489" s="9">
        <f t="shared" si="1645"/>
        <v>0.68</v>
      </c>
      <c r="CH489" s="9">
        <f t="shared" si="1646"/>
        <v>1.4157602788737922</v>
      </c>
      <c r="CI489" s="9">
        <f t="shared" si="1647"/>
        <v>3.5394006971844805</v>
      </c>
      <c r="CJ489" s="40">
        <v>1</v>
      </c>
      <c r="CK489" s="9">
        <f t="shared" si="1648"/>
        <v>301.5569394001177</v>
      </c>
      <c r="DI489" s="4">
        <f t="shared" si="1649"/>
        <v>160.01999999999998</v>
      </c>
      <c r="DL489" s="4">
        <f t="shared" si="1650"/>
        <v>1.1707808439220202E-5</v>
      </c>
      <c r="DM489" s="4">
        <f t="shared" si="1651"/>
        <v>9.1700834949507204</v>
      </c>
      <c r="DN489" s="4">
        <f t="shared" si="1652"/>
        <v>0.45405627443806551</v>
      </c>
      <c r="DO489" s="4">
        <f t="shared" si="1653"/>
        <v>6.6867819668177608</v>
      </c>
      <c r="DP489" s="4">
        <f t="shared" si="1654"/>
        <v>8.0253014837540988</v>
      </c>
      <c r="DQ489" s="4">
        <f t="shared" si="1655"/>
        <v>8.9413546249557605</v>
      </c>
      <c r="DR489" s="38">
        <f t="shared" si="1656"/>
        <v>494.38359781298016</v>
      </c>
      <c r="DS489" s="4">
        <f t="shared" si="1657"/>
        <v>1.0000000000000002</v>
      </c>
      <c r="DT489" s="4">
        <f t="shared" si="1658"/>
        <v>2.2583179581272428</v>
      </c>
      <c r="DU489" s="4">
        <f t="shared" si="1659"/>
        <v>298.46607628241094</v>
      </c>
      <c r="DY489" s="4">
        <f t="shared" si="1660"/>
        <v>0.85</v>
      </c>
      <c r="DZ489" s="4">
        <f t="shared" si="1661"/>
        <v>0.7</v>
      </c>
      <c r="EA489" s="4">
        <f t="shared" si="1662"/>
        <v>1</v>
      </c>
      <c r="EB489" s="4">
        <f t="shared" si="1663"/>
        <v>0.7</v>
      </c>
      <c r="ED489" s="4">
        <f t="shared" si="1664"/>
        <v>889.65517241379314</v>
      </c>
      <c r="EH489" s="4">
        <f t="shared" si="1665"/>
        <v>9.1700834949507204</v>
      </c>
      <c r="EK489" s="4">
        <f t="shared" si="1666"/>
        <v>57.361276136431961</v>
      </c>
      <c r="EL489" s="4">
        <f t="shared" si="1667"/>
        <v>2.2583179581272428</v>
      </c>
      <c r="EM489" s="4">
        <f t="shared" si="1668"/>
        <v>0.14864530194371847</v>
      </c>
      <c r="EP489" s="4">
        <f t="shared" si="1669"/>
        <v>0.14864530194371847</v>
      </c>
      <c r="EQ489" s="4">
        <f t="shared" si="1670"/>
        <v>0.45405627443806551</v>
      </c>
      <c r="ER489" s="4">
        <f t="shared" si="1671"/>
        <v>6.6867819668177608</v>
      </c>
      <c r="ES489" s="4">
        <f t="shared" si="1672"/>
        <v>8.0253014837540988</v>
      </c>
      <c r="ET489" s="4">
        <f t="shared" si="1673"/>
        <v>62.653723863568025</v>
      </c>
      <c r="EU489" s="4">
        <f t="shared" si="1674"/>
        <v>40.004999999999988</v>
      </c>
      <c r="EV489" s="4">
        <f t="shared" si="1675"/>
        <v>1.17078084392202E-5</v>
      </c>
      <c r="EW489" s="4">
        <f t="shared" si="1676"/>
        <v>8.9413546249557587</v>
      </c>
      <c r="EX489" s="4">
        <f t="shared" si="1677"/>
        <v>494.3835978129801</v>
      </c>
      <c r="FG489" s="23"/>
      <c r="FH489" s="23"/>
      <c r="FI489" s="23"/>
      <c r="FJ489" s="23"/>
      <c r="FK489" s="23"/>
      <c r="FL489" s="23"/>
      <c r="FM489" s="23"/>
      <c r="FN489" s="23"/>
      <c r="FX489" s="4">
        <f t="shared" si="1678"/>
        <v>1</v>
      </c>
      <c r="FY489" s="4">
        <f t="shared" si="1679"/>
        <v>1.0833333333333333</v>
      </c>
      <c r="FZ489" s="4">
        <f t="shared" si="1680"/>
        <v>0</v>
      </c>
      <c r="GA489" s="4">
        <f t="shared" si="1681"/>
        <v>141.76911856413327</v>
      </c>
    </row>
    <row r="490" spans="1:184" ht="12" customHeight="1" x14ac:dyDescent="0.3">
      <c r="A490" s="52"/>
      <c r="B490" s="14" t="s">
        <v>605</v>
      </c>
      <c r="C490" s="24"/>
      <c r="D490" s="14" t="s">
        <v>365</v>
      </c>
      <c r="E490" s="24"/>
      <c r="F490" s="43" t="s">
        <v>642</v>
      </c>
      <c r="G490" s="38">
        <f t="shared" si="1612"/>
        <v>889.65517241379314</v>
      </c>
      <c r="H490" s="45">
        <v>172.72</v>
      </c>
      <c r="I490" s="4">
        <f t="shared" si="1613"/>
        <v>172.72</v>
      </c>
      <c r="J490" s="45">
        <v>35.724137931034484</v>
      </c>
      <c r="K490" s="7">
        <v>25.4</v>
      </c>
      <c r="L490" s="7">
        <f t="shared" si="1614"/>
        <v>6.8000000000000007</v>
      </c>
      <c r="M490" s="7">
        <f t="shared" si="1615"/>
        <v>6.8000000000000007</v>
      </c>
      <c r="N490" s="45">
        <v>1524</v>
      </c>
      <c r="O490" s="45">
        <v>769.62</v>
      </c>
      <c r="P490" s="45">
        <v>769.62</v>
      </c>
      <c r="Q490" s="7"/>
      <c r="R490" s="38">
        <v>1</v>
      </c>
      <c r="T490" s="7">
        <f t="shared" si="1682"/>
        <v>30.8</v>
      </c>
      <c r="U490" s="7">
        <f t="shared" si="1616"/>
        <v>30.8</v>
      </c>
      <c r="V490" s="45">
        <v>4.0999999999999996</v>
      </c>
      <c r="W490" s="4">
        <f t="shared" si="1617"/>
        <v>4.0999999999999996</v>
      </c>
      <c r="X490" s="4">
        <f t="shared" si="1618"/>
        <v>5.0999999999999996</v>
      </c>
      <c r="Y490" s="7">
        <f t="shared" si="1619"/>
        <v>57.361276136431961</v>
      </c>
      <c r="AB490" s="45">
        <v>536.55172413793105</v>
      </c>
      <c r="AE490" s="38"/>
      <c r="AF490" s="38"/>
      <c r="AG490" s="39">
        <v>1</v>
      </c>
      <c r="AH490" s="39"/>
      <c r="AI490" s="39"/>
      <c r="AK490" s="4">
        <f t="shared" si="1620"/>
        <v>172.72</v>
      </c>
      <c r="AL490" s="4">
        <f t="shared" si="1621"/>
        <v>0.99999999999999978</v>
      </c>
      <c r="AM490" s="4">
        <f t="shared" si="1622"/>
        <v>267.75494983665135</v>
      </c>
      <c r="AN490" s="4">
        <f t="shared" si="1623"/>
        <v>1</v>
      </c>
      <c r="AO490" s="4">
        <v>1.25</v>
      </c>
      <c r="AP490" s="4">
        <v>1</v>
      </c>
      <c r="AQ490" s="38">
        <f t="shared" si="1624"/>
        <v>334.69368729581413</v>
      </c>
      <c r="AR490" s="38">
        <f t="shared" si="1683"/>
        <v>334.69368729581413</v>
      </c>
      <c r="AS490" s="38">
        <f t="shared" si="1625"/>
        <v>3.2540864993004175</v>
      </c>
      <c r="AX490" s="4">
        <f t="shared" si="1626"/>
        <v>213.91251337308668</v>
      </c>
      <c r="AY490" s="4">
        <f t="shared" si="1627"/>
        <v>1</v>
      </c>
      <c r="AZ490" s="38">
        <f t="shared" si="1628"/>
        <v>4455.8893527464461</v>
      </c>
      <c r="BA490" s="4">
        <f t="shared" si="1629"/>
        <v>0.42600000000000005</v>
      </c>
      <c r="BB490" s="4">
        <f t="shared" si="1630"/>
        <v>47.613716789148498</v>
      </c>
      <c r="BC490" s="4">
        <f t="shared" si="1631"/>
        <v>4503.5030695355945</v>
      </c>
      <c r="BE490" s="4">
        <f t="shared" si="1632"/>
        <v>1.5</v>
      </c>
      <c r="BF490" s="4">
        <f t="shared" si="1633"/>
        <v>451.85872677809078</v>
      </c>
      <c r="BH490" s="4">
        <f t="shared" si="1634"/>
        <v>4273.7428090435269</v>
      </c>
      <c r="BI490" s="4">
        <f t="shared" si="1635"/>
        <v>0</v>
      </c>
      <c r="BJ490" s="4">
        <f t="shared" si="1636"/>
        <v>0</v>
      </c>
      <c r="BR490" s="4">
        <f t="shared" si="1637"/>
        <v>769.62</v>
      </c>
      <c r="BV490" s="9"/>
      <c r="BX490" s="9"/>
      <c r="BY490" s="9"/>
      <c r="BZ490" s="9">
        <f t="shared" si="1638"/>
        <v>769.62</v>
      </c>
      <c r="CA490" s="9">
        <f t="shared" si="1639"/>
        <v>769.62</v>
      </c>
      <c r="CB490" s="9">
        <f t="shared" si="1640"/>
        <v>5.5045435778091543</v>
      </c>
      <c r="CC490" s="40">
        <f t="shared" si="1641"/>
        <v>0</v>
      </c>
      <c r="CD490" s="9">
        <f t="shared" si="1642"/>
        <v>0</v>
      </c>
      <c r="CE490" s="9">
        <f t="shared" si="1643"/>
        <v>0</v>
      </c>
      <c r="CF490" s="9">
        <f t="shared" si="1644"/>
        <v>0.99524931562137331</v>
      </c>
      <c r="CG490" s="9">
        <f t="shared" si="1645"/>
        <v>0.68</v>
      </c>
      <c r="CH490" s="9">
        <f t="shared" si="1646"/>
        <v>1.4157602788737922</v>
      </c>
      <c r="CI490" s="9">
        <f t="shared" si="1647"/>
        <v>3.5394006971844805</v>
      </c>
      <c r="CJ490" s="40">
        <v>1</v>
      </c>
      <c r="CK490" s="9">
        <f t="shared" si="1648"/>
        <v>308.63574079448671</v>
      </c>
      <c r="DI490" s="4">
        <f t="shared" si="1649"/>
        <v>172.72</v>
      </c>
      <c r="DL490" s="4">
        <f t="shared" si="1650"/>
        <v>1.2636999585190061E-5</v>
      </c>
      <c r="DM490" s="4">
        <f t="shared" si="1651"/>
        <v>9.1700834949507204</v>
      </c>
      <c r="DN490" s="4">
        <f t="shared" si="1652"/>
        <v>0.50916931875259841</v>
      </c>
      <c r="DO490" s="4">
        <f t="shared" si="1653"/>
        <v>7.000324634104059</v>
      </c>
      <c r="DP490" s="4">
        <f t="shared" si="1654"/>
        <v>8.1577927613746901</v>
      </c>
      <c r="DQ490" s="4">
        <f t="shared" si="1655"/>
        <v>8.8960375003236987</v>
      </c>
      <c r="DR490" s="38">
        <f t="shared" si="1656"/>
        <v>551.14999039895827</v>
      </c>
      <c r="DS490" s="4">
        <f t="shared" si="1657"/>
        <v>1</v>
      </c>
      <c r="DT490" s="4">
        <f t="shared" si="1658"/>
        <v>2.2583179581272428</v>
      </c>
      <c r="DU490" s="4">
        <f t="shared" si="1659"/>
        <v>334.69368729581413</v>
      </c>
      <c r="DY490" s="4">
        <f t="shared" si="1660"/>
        <v>0.85</v>
      </c>
      <c r="DZ490" s="4">
        <f t="shared" si="1661"/>
        <v>0.7</v>
      </c>
      <c r="EA490" s="4">
        <f t="shared" si="1662"/>
        <v>1</v>
      </c>
      <c r="EB490" s="4">
        <f t="shared" si="1663"/>
        <v>0.7</v>
      </c>
      <c r="ED490" s="4">
        <f t="shared" si="1664"/>
        <v>889.65517241379314</v>
      </c>
      <c r="EH490" s="4">
        <f t="shared" si="1665"/>
        <v>9.1700834949507204</v>
      </c>
      <c r="EK490" s="4">
        <f t="shared" si="1666"/>
        <v>57.361276136431961</v>
      </c>
      <c r="EL490" s="4">
        <f t="shared" si="1667"/>
        <v>2.2583179581272428</v>
      </c>
      <c r="EM490" s="4">
        <f t="shared" si="1668"/>
        <v>0.16668776842721761</v>
      </c>
      <c r="EP490" s="4">
        <f t="shared" si="1669"/>
        <v>0.16668776842721761</v>
      </c>
      <c r="EQ490" s="4">
        <f t="shared" si="1670"/>
        <v>0.50916931875259841</v>
      </c>
      <c r="ER490" s="4">
        <f t="shared" si="1671"/>
        <v>7.000324634104059</v>
      </c>
      <c r="ES490" s="4">
        <f t="shared" si="1672"/>
        <v>8.1577927613746901</v>
      </c>
      <c r="ET490" s="4">
        <f t="shared" si="1673"/>
        <v>72.178723863568024</v>
      </c>
      <c r="EU490" s="4">
        <f t="shared" si="1674"/>
        <v>43.180000000000007</v>
      </c>
      <c r="EV490" s="4">
        <f t="shared" si="1675"/>
        <v>1.2636999585190062E-5</v>
      </c>
      <c r="EW490" s="4">
        <f t="shared" si="1676"/>
        <v>8.8960375003236987</v>
      </c>
      <c r="EX490" s="4">
        <f t="shared" si="1677"/>
        <v>551.14999039895827</v>
      </c>
      <c r="FG490" s="23"/>
      <c r="FH490" s="23"/>
      <c r="FI490" s="23"/>
      <c r="FJ490" s="23"/>
      <c r="FK490" s="23"/>
      <c r="FL490" s="23"/>
      <c r="FM490" s="23"/>
      <c r="FN490" s="23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680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3">
      <c r="A491" s="52"/>
      <c r="B491" s="14" t="s">
        <v>605</v>
      </c>
      <c r="C491" s="24"/>
      <c r="D491" s="14" t="s">
        <v>365</v>
      </c>
      <c r="E491" s="24"/>
      <c r="F491" s="43" t="s">
        <v>643</v>
      </c>
      <c r="G491" s="38">
        <f t="shared" si="1612"/>
        <v>889.65517241379314</v>
      </c>
      <c r="H491" s="45">
        <v>152.39999999999998</v>
      </c>
      <c r="I491" s="4">
        <f t="shared" si="1613"/>
        <v>152.39999999999998</v>
      </c>
      <c r="J491" s="45">
        <v>35.724137931034484</v>
      </c>
      <c r="K491" s="7">
        <v>25.4</v>
      </c>
      <c r="L491" s="7">
        <f t="shared" si="1614"/>
        <v>5.9999999999999991</v>
      </c>
      <c r="M491" s="7">
        <f t="shared" si="1615"/>
        <v>5.9999999999999991</v>
      </c>
      <c r="N491" s="45">
        <v>1524</v>
      </c>
      <c r="O491" s="45">
        <v>762</v>
      </c>
      <c r="P491" s="45">
        <v>762</v>
      </c>
      <c r="Q491" s="7"/>
      <c r="R491" s="38">
        <v>1</v>
      </c>
      <c r="T491" s="7">
        <f t="shared" si="1682"/>
        <v>30.5</v>
      </c>
      <c r="U491" s="7">
        <f t="shared" si="1616"/>
        <v>30.5</v>
      </c>
      <c r="V491" s="45">
        <v>4.0999999999999996</v>
      </c>
      <c r="W491" s="4">
        <f t="shared" si="1617"/>
        <v>4.0999999999999996</v>
      </c>
      <c r="X491" s="4">
        <f t="shared" si="1618"/>
        <v>5.0999999999999996</v>
      </c>
      <c r="Y491" s="7">
        <f t="shared" si="1619"/>
        <v>57.361276136431961</v>
      </c>
      <c r="AB491" s="45">
        <v>466.20689655172413</v>
      </c>
      <c r="AE491" s="38">
        <f t="shared" ref="AE491:AE495" si="1684">25.4*5/8</f>
        <v>15.875</v>
      </c>
      <c r="AF491" s="38">
        <v>2</v>
      </c>
      <c r="AG491" s="39">
        <v>25.4</v>
      </c>
      <c r="AH491" s="39">
        <v>2</v>
      </c>
      <c r="AI491" s="39">
        <v>2</v>
      </c>
      <c r="AK491" s="4">
        <f t="shared" si="1620"/>
        <v>152.39999999999998</v>
      </c>
      <c r="AL491" s="4">
        <f t="shared" si="1621"/>
        <v>0.99999999999999989</v>
      </c>
      <c r="AM491" s="4">
        <f t="shared" si="1622"/>
        <v>221.92233570793715</v>
      </c>
      <c r="AN491" s="4">
        <f t="shared" si="1623"/>
        <v>1</v>
      </c>
      <c r="AO491" s="4">
        <v>1.25</v>
      </c>
      <c r="AP491" s="4">
        <v>1</v>
      </c>
      <c r="AQ491" s="38">
        <f t="shared" si="1624"/>
        <v>277.40291963492137</v>
      </c>
      <c r="AR491" s="38">
        <f t="shared" si="1683"/>
        <v>277.40291963492137</v>
      </c>
      <c r="AS491" s="38">
        <f t="shared" si="1625"/>
        <v>3.2540864993004175</v>
      </c>
      <c r="AX491" s="4">
        <f t="shared" si="1626"/>
        <v>188.7463353291941</v>
      </c>
      <c r="AY491" s="4">
        <f t="shared" si="1627"/>
        <v>1</v>
      </c>
      <c r="AZ491" s="38">
        <f t="shared" si="1628"/>
        <v>4412.4878330768379</v>
      </c>
      <c r="BA491" s="4">
        <f t="shared" si="1629"/>
        <v>0.42600000000000005</v>
      </c>
      <c r="BB491" s="4">
        <f t="shared" si="1630"/>
        <v>42.012103049248672</v>
      </c>
      <c r="BC491" s="4">
        <f t="shared" si="1631"/>
        <v>4454.4999361260861</v>
      </c>
      <c r="BE491" s="4">
        <f t="shared" si="1632"/>
        <v>1.5</v>
      </c>
      <c r="BF491" s="4">
        <f t="shared" si="1633"/>
        <v>430.34164455056259</v>
      </c>
      <c r="BH491" s="4">
        <f t="shared" si="1634"/>
        <v>4232.1154440203763</v>
      </c>
      <c r="BI491" s="4">
        <f t="shared" si="1635"/>
        <v>0</v>
      </c>
      <c r="BJ491" s="4">
        <f t="shared" si="1636"/>
        <v>0</v>
      </c>
      <c r="BR491" s="4">
        <f t="shared" si="1637"/>
        <v>762</v>
      </c>
      <c r="BV491" s="9"/>
      <c r="BX491" s="9"/>
      <c r="BY491" s="9"/>
      <c r="BZ491" s="9">
        <f t="shared" si="1638"/>
        <v>762</v>
      </c>
      <c r="CA491" s="9">
        <f t="shared" si="1639"/>
        <v>762</v>
      </c>
      <c r="CB491" s="9">
        <f t="shared" si="1640"/>
        <v>5.4772255750516612</v>
      </c>
      <c r="CC491" s="40">
        <f t="shared" si="1641"/>
        <v>20</v>
      </c>
      <c r="CD491" s="9">
        <f t="shared" si="1642"/>
        <v>0.05</v>
      </c>
      <c r="CE491" s="9">
        <f t="shared" si="1643"/>
        <v>0.8</v>
      </c>
      <c r="CF491" s="9">
        <f t="shared" si="1644"/>
        <v>0.99524931562137331</v>
      </c>
      <c r="CG491" s="9">
        <f t="shared" si="1645"/>
        <v>0.68</v>
      </c>
      <c r="CH491" s="9">
        <f t="shared" si="1646"/>
        <v>1.4157602788737922</v>
      </c>
      <c r="CI491" s="9">
        <f t="shared" si="1647"/>
        <v>3.5394006971844805</v>
      </c>
      <c r="CJ491" s="40">
        <v>1</v>
      </c>
      <c r="CK491" s="9">
        <f t="shared" si="1648"/>
        <v>297.30965856349633</v>
      </c>
      <c r="DI491" s="4">
        <f t="shared" si="1649"/>
        <v>152.39999999999998</v>
      </c>
      <c r="DL491" s="4">
        <f t="shared" si="1650"/>
        <v>1.1150293751638287E-5</v>
      </c>
      <c r="DM491" s="4">
        <f t="shared" si="1651"/>
        <v>9.1700834949507204</v>
      </c>
      <c r="DN491" s="4">
        <f t="shared" si="1652"/>
        <v>0.42201290604461672</v>
      </c>
      <c r="DO491" s="4">
        <f t="shared" si="1653"/>
        <v>6.4938698928930743</v>
      </c>
      <c r="DP491" s="4">
        <f t="shared" si="1654"/>
        <v>7.9457861568390831</v>
      </c>
      <c r="DQ491" s="4">
        <f t="shared" si="1655"/>
        <v>8.9664583264786533</v>
      </c>
      <c r="DR491" s="38">
        <f t="shared" si="1656"/>
        <v>461.11026612663159</v>
      </c>
      <c r="DS491" s="4">
        <f t="shared" si="1657"/>
        <v>0.99999999999999989</v>
      </c>
      <c r="DT491" s="4">
        <f t="shared" si="1658"/>
        <v>2.2583179581272428</v>
      </c>
      <c r="DU491" s="4">
        <f t="shared" si="1659"/>
        <v>277.40291963492137</v>
      </c>
      <c r="DY491" s="4">
        <f t="shared" si="1660"/>
        <v>0.85</v>
      </c>
      <c r="DZ491" s="4">
        <f t="shared" si="1661"/>
        <v>0.7</v>
      </c>
      <c r="EA491" s="4">
        <f t="shared" si="1662"/>
        <v>0.7</v>
      </c>
      <c r="EB491" s="4">
        <f t="shared" si="1663"/>
        <v>0.7</v>
      </c>
      <c r="ED491" s="4">
        <f t="shared" si="1664"/>
        <v>889.65517241379314</v>
      </c>
      <c r="EH491" s="4">
        <f t="shared" si="1665"/>
        <v>9.1700834949507204</v>
      </c>
      <c r="EK491" s="4">
        <f t="shared" si="1666"/>
        <v>57.361276136431961</v>
      </c>
      <c r="EL491" s="4">
        <f t="shared" si="1667"/>
        <v>2.2583179581272428</v>
      </c>
      <c r="EM491" s="4">
        <f t="shared" si="1668"/>
        <v>0.13815520096222064</v>
      </c>
      <c r="EP491" s="4">
        <f t="shared" si="1669"/>
        <v>0.13815520096222064</v>
      </c>
      <c r="EQ491" s="4">
        <f t="shared" si="1670"/>
        <v>0.42201290604461672</v>
      </c>
      <c r="ER491" s="4">
        <f t="shared" si="1671"/>
        <v>6.4938698928930743</v>
      </c>
      <c r="ES491" s="4">
        <f t="shared" si="1672"/>
        <v>7.9457861568390831</v>
      </c>
      <c r="ET491" s="4">
        <f t="shared" si="1673"/>
        <v>56.938723863568022</v>
      </c>
      <c r="EU491" s="4">
        <f t="shared" si="1674"/>
        <v>38.099999999999987</v>
      </c>
      <c r="EV491" s="4">
        <f t="shared" si="1675"/>
        <v>1.1150293751638286E-5</v>
      </c>
      <c r="EW491" s="4">
        <f t="shared" si="1676"/>
        <v>8.966458326478655</v>
      </c>
      <c r="EX491" s="4">
        <f t="shared" si="1677"/>
        <v>461.11026612663164</v>
      </c>
      <c r="FG491" s="23"/>
      <c r="FH491" s="23"/>
      <c r="FI491" s="23"/>
      <c r="FJ491" s="23"/>
      <c r="FK491" s="23"/>
      <c r="FL491" s="23"/>
      <c r="FM491" s="23"/>
      <c r="FN491" s="23"/>
      <c r="FX491" s="4">
        <f t="shared" si="1678"/>
        <v>1</v>
      </c>
      <c r="FY491" s="4">
        <f t="shared" si="1679"/>
        <v>0.75511627906976753</v>
      </c>
      <c r="FZ491" s="4">
        <f t="shared" si="1680"/>
        <v>0.3</v>
      </c>
      <c r="GA491" s="4">
        <f t="shared" si="1681"/>
        <v>193.70490288312646</v>
      </c>
    </row>
    <row r="492" spans="1:184" ht="12" customHeight="1" x14ac:dyDescent="0.3">
      <c r="A492" s="52"/>
      <c r="B492" s="14" t="s">
        <v>605</v>
      </c>
      <c r="C492" s="24"/>
      <c r="D492" s="14" t="s">
        <v>365</v>
      </c>
      <c r="E492" s="24"/>
      <c r="F492" s="43" t="s">
        <v>643</v>
      </c>
      <c r="G492" s="38">
        <f t="shared" si="1612"/>
        <v>889.65517241379314</v>
      </c>
      <c r="H492" s="45">
        <v>154.93999999999997</v>
      </c>
      <c r="I492" s="4">
        <f t="shared" si="1613"/>
        <v>154.93999999999997</v>
      </c>
      <c r="J492" s="45">
        <v>35.724137931034484</v>
      </c>
      <c r="K492" s="7">
        <v>25.4</v>
      </c>
      <c r="L492" s="7">
        <f t="shared" si="1614"/>
        <v>6.0999999999999988</v>
      </c>
      <c r="M492" s="7">
        <f t="shared" si="1615"/>
        <v>6.0999999999999988</v>
      </c>
      <c r="N492" s="45">
        <v>1524</v>
      </c>
      <c r="O492" s="45">
        <v>769.62</v>
      </c>
      <c r="P492" s="45">
        <v>769.62</v>
      </c>
      <c r="Q492" s="7"/>
      <c r="R492" s="38">
        <v>1</v>
      </c>
      <c r="T492" s="7">
        <f t="shared" si="1682"/>
        <v>30.8</v>
      </c>
      <c r="U492" s="7">
        <f t="shared" si="1616"/>
        <v>30.8</v>
      </c>
      <c r="V492" s="45">
        <v>4.0999999999999996</v>
      </c>
      <c r="W492" s="4">
        <f t="shared" si="1617"/>
        <v>4.0999999999999996</v>
      </c>
      <c r="X492" s="4">
        <f t="shared" si="1618"/>
        <v>5.0999999999999996</v>
      </c>
      <c r="Y492" s="7">
        <f t="shared" si="1619"/>
        <v>57.361276136431961</v>
      </c>
      <c r="AB492" s="45">
        <v>457.24137931034483</v>
      </c>
      <c r="AE492" s="38">
        <f t="shared" si="1684"/>
        <v>15.875</v>
      </c>
      <c r="AF492" s="38">
        <v>2</v>
      </c>
      <c r="AG492" s="39">
        <v>25.4</v>
      </c>
      <c r="AH492" s="39">
        <v>2</v>
      </c>
      <c r="AI492" s="39">
        <v>2</v>
      </c>
      <c r="AK492" s="4">
        <f t="shared" si="1620"/>
        <v>154.93999999999997</v>
      </c>
      <c r="AL492" s="4">
        <f t="shared" si="1621"/>
        <v>1</v>
      </c>
      <c r="AM492" s="4">
        <f t="shared" si="1622"/>
        <v>227.49344719498902</v>
      </c>
      <c r="AN492" s="4">
        <f t="shared" si="1623"/>
        <v>1</v>
      </c>
      <c r="AO492" s="4">
        <v>1.25</v>
      </c>
      <c r="AP492" s="4">
        <v>1</v>
      </c>
      <c r="AQ492" s="38">
        <f t="shared" si="1624"/>
        <v>284.3668089937363</v>
      </c>
      <c r="AR492" s="38">
        <f t="shared" si="1683"/>
        <v>284.3668089937363</v>
      </c>
      <c r="AS492" s="38">
        <f t="shared" si="1625"/>
        <v>3.2540864993004175</v>
      </c>
      <c r="AX492" s="4">
        <f t="shared" si="1626"/>
        <v>191.89210758468064</v>
      </c>
      <c r="AY492" s="4">
        <f t="shared" si="1627"/>
        <v>1</v>
      </c>
      <c r="AZ492" s="38">
        <f t="shared" si="1628"/>
        <v>4455.8893527464461</v>
      </c>
      <c r="BA492" s="4">
        <f t="shared" si="1629"/>
        <v>0.42600000000000005</v>
      </c>
      <c r="BB492" s="4">
        <f t="shared" si="1630"/>
        <v>42.712304766736146</v>
      </c>
      <c r="BC492" s="4">
        <f t="shared" si="1631"/>
        <v>4498.6016575131825</v>
      </c>
      <c r="BE492" s="4">
        <f t="shared" si="1632"/>
        <v>1.5</v>
      </c>
      <c r="BF492" s="4">
        <f t="shared" si="1633"/>
        <v>433.03127982900355</v>
      </c>
      <c r="BH492" s="4">
        <f t="shared" si="1634"/>
        <v>4273.7428090435269</v>
      </c>
      <c r="BI492" s="4">
        <f t="shared" si="1635"/>
        <v>0</v>
      </c>
      <c r="BJ492" s="4">
        <f t="shared" si="1636"/>
        <v>0</v>
      </c>
      <c r="BR492" s="4">
        <f t="shared" si="1637"/>
        <v>769.62</v>
      </c>
      <c r="BV492" s="9"/>
      <c r="BX492" s="9"/>
      <c r="BY492" s="9"/>
      <c r="BZ492" s="9">
        <f t="shared" si="1638"/>
        <v>769.62</v>
      </c>
      <c r="CA492" s="9">
        <f t="shared" si="1639"/>
        <v>769.62</v>
      </c>
      <c r="CB492" s="9">
        <f t="shared" si="1640"/>
        <v>5.5045435778091543</v>
      </c>
      <c r="CC492" s="40">
        <f t="shared" si="1641"/>
        <v>20</v>
      </c>
      <c r="CD492" s="9">
        <f t="shared" si="1642"/>
        <v>0.05</v>
      </c>
      <c r="CE492" s="9">
        <f t="shared" si="1643"/>
        <v>0.8</v>
      </c>
      <c r="CF492" s="9">
        <f t="shared" si="1644"/>
        <v>0.99524931562137331</v>
      </c>
      <c r="CG492" s="9">
        <f t="shared" si="1645"/>
        <v>0.68</v>
      </c>
      <c r="CH492" s="9">
        <f t="shared" si="1646"/>
        <v>1.4157602788737922</v>
      </c>
      <c r="CI492" s="9">
        <f t="shared" si="1647"/>
        <v>3.5394006971844805</v>
      </c>
      <c r="CJ492" s="40">
        <v>1</v>
      </c>
      <c r="CK492" s="9">
        <f t="shared" si="1648"/>
        <v>298.72541884237012</v>
      </c>
      <c r="DI492" s="4">
        <f t="shared" si="1649"/>
        <v>154.93999999999997</v>
      </c>
      <c r="DL492" s="4">
        <f t="shared" si="1650"/>
        <v>1.1336131980832258E-5</v>
      </c>
      <c r="DM492" s="4">
        <f t="shared" si="1651"/>
        <v>9.1700834949507204</v>
      </c>
      <c r="DN492" s="4">
        <f t="shared" si="1652"/>
        <v>0.43260706702011897</v>
      </c>
      <c r="DO492" s="4">
        <f t="shared" si="1653"/>
        <v>6.5585937964406824</v>
      </c>
      <c r="DP492" s="4">
        <f t="shared" si="1654"/>
        <v>7.9722900767464155</v>
      </c>
      <c r="DQ492" s="4">
        <f t="shared" si="1655"/>
        <v>8.9582625401394136</v>
      </c>
      <c r="DR492" s="38">
        <f t="shared" si="1656"/>
        <v>472.13481610443762</v>
      </c>
      <c r="DS492" s="4">
        <f t="shared" si="1657"/>
        <v>1</v>
      </c>
      <c r="DT492" s="4">
        <f t="shared" si="1658"/>
        <v>2.2583179581272428</v>
      </c>
      <c r="DU492" s="4">
        <f t="shared" si="1659"/>
        <v>284.3668089937363</v>
      </c>
      <c r="DY492" s="4">
        <f t="shared" si="1660"/>
        <v>0.85</v>
      </c>
      <c r="DZ492" s="4">
        <f t="shared" si="1661"/>
        <v>0.7</v>
      </c>
      <c r="EA492" s="4">
        <f t="shared" si="1662"/>
        <v>0.7</v>
      </c>
      <c r="EB492" s="4">
        <f t="shared" si="1663"/>
        <v>0.7</v>
      </c>
      <c r="ED492" s="4">
        <f t="shared" si="1664"/>
        <v>889.65517241379314</v>
      </c>
      <c r="EH492" s="4">
        <f t="shared" si="1665"/>
        <v>9.1700834949507204</v>
      </c>
      <c r="EK492" s="4">
        <f t="shared" si="1666"/>
        <v>57.361276136431961</v>
      </c>
      <c r="EL492" s="4">
        <f t="shared" si="1667"/>
        <v>2.2583179581272428</v>
      </c>
      <c r="EM492" s="4">
        <f t="shared" si="1668"/>
        <v>0.14162343242536429</v>
      </c>
      <c r="EP492" s="4">
        <f t="shared" si="1669"/>
        <v>0.14162343242536429</v>
      </c>
      <c r="EQ492" s="4">
        <f t="shared" si="1670"/>
        <v>0.43260706702011897</v>
      </c>
      <c r="ER492" s="4">
        <f t="shared" si="1671"/>
        <v>6.5585937964406824</v>
      </c>
      <c r="ES492" s="4">
        <f t="shared" si="1672"/>
        <v>7.9722900767464155</v>
      </c>
      <c r="ET492" s="4">
        <f t="shared" si="1673"/>
        <v>58.843723863568023</v>
      </c>
      <c r="EU492" s="4">
        <f t="shared" si="1674"/>
        <v>38.734999999999978</v>
      </c>
      <c r="EV492" s="4">
        <f t="shared" si="1675"/>
        <v>1.1336131980832255E-5</v>
      </c>
      <c r="EW492" s="4">
        <f t="shared" si="1676"/>
        <v>8.9582625401394136</v>
      </c>
      <c r="EX492" s="4">
        <f t="shared" si="1677"/>
        <v>472.13481610443762</v>
      </c>
      <c r="FG492" s="23"/>
      <c r="FH492" s="23"/>
      <c r="FI492" s="23"/>
      <c r="FJ492" s="23"/>
      <c r="FK492" s="23"/>
      <c r="FL492" s="23"/>
      <c r="FM492" s="23"/>
      <c r="FN492" s="23"/>
      <c r="FX492" s="4">
        <f t="shared" si="1678"/>
        <v>1</v>
      </c>
      <c r="FY492" s="4">
        <f t="shared" si="1679"/>
        <v>0.75511627906976753</v>
      </c>
      <c r="FZ492" s="4">
        <f t="shared" si="1680"/>
        <v>0.3</v>
      </c>
      <c r="GA492" s="4">
        <f t="shared" si="1681"/>
        <v>196.93331793117858</v>
      </c>
    </row>
    <row r="493" spans="1:184" ht="12" customHeight="1" x14ac:dyDescent="0.3">
      <c r="A493" s="52"/>
      <c r="B493" s="14" t="s">
        <v>605</v>
      </c>
      <c r="C493" s="24"/>
      <c r="D493" s="14" t="s">
        <v>365</v>
      </c>
      <c r="E493" s="24"/>
      <c r="F493" s="43" t="s">
        <v>643</v>
      </c>
      <c r="G493" s="38">
        <f t="shared" si="1612"/>
        <v>889.65517241379314</v>
      </c>
      <c r="H493" s="45">
        <v>172.72</v>
      </c>
      <c r="I493" s="4">
        <f t="shared" si="1613"/>
        <v>172.72</v>
      </c>
      <c r="J493" s="45">
        <v>37.655172413793103</v>
      </c>
      <c r="K493" s="7">
        <v>25.4</v>
      </c>
      <c r="L493" s="7">
        <f t="shared" si="1614"/>
        <v>6.8000000000000007</v>
      </c>
      <c r="M493" s="7">
        <f t="shared" si="1615"/>
        <v>6.8000000000000007</v>
      </c>
      <c r="N493" s="45">
        <v>1524</v>
      </c>
      <c r="O493" s="45">
        <v>769.62</v>
      </c>
      <c r="P493" s="45">
        <v>769.62</v>
      </c>
      <c r="Q493" s="7"/>
      <c r="R493" s="38">
        <v>1</v>
      </c>
      <c r="T493" s="7">
        <f t="shared" si="1682"/>
        <v>30.8</v>
      </c>
      <c r="U493" s="7">
        <f t="shared" si="1616"/>
        <v>30.8</v>
      </c>
      <c r="V493" s="45">
        <v>4.0999999999999996</v>
      </c>
      <c r="W493" s="4">
        <f t="shared" si="1617"/>
        <v>4.0999999999999996</v>
      </c>
      <c r="X493" s="4">
        <f t="shared" si="1618"/>
        <v>5.0999999999999996</v>
      </c>
      <c r="Y493" s="7">
        <f t="shared" si="1619"/>
        <v>57.361276136431961</v>
      </c>
      <c r="AB493" s="45">
        <v>466.89655172413796</v>
      </c>
      <c r="AE493" s="38">
        <f t="shared" si="1684"/>
        <v>15.875</v>
      </c>
      <c r="AF493" s="38">
        <v>2</v>
      </c>
      <c r="AG493" s="39">
        <v>25.4</v>
      </c>
      <c r="AH493" s="39">
        <v>2</v>
      </c>
      <c r="AI493" s="39">
        <v>2</v>
      </c>
      <c r="AK493" s="4">
        <f t="shared" si="1620"/>
        <v>172.72</v>
      </c>
      <c r="AL493" s="4">
        <f t="shared" si="1621"/>
        <v>0.99999999999999978</v>
      </c>
      <c r="AM493" s="4">
        <f t="shared" si="1622"/>
        <v>274.89633492385769</v>
      </c>
      <c r="AN493" s="4">
        <f t="shared" si="1623"/>
        <v>1</v>
      </c>
      <c r="AO493" s="4">
        <v>1.25</v>
      </c>
      <c r="AP493" s="4">
        <v>1</v>
      </c>
      <c r="AQ493" s="38">
        <f t="shared" si="1624"/>
        <v>343.62041865482206</v>
      </c>
      <c r="AR493" s="38">
        <f t="shared" si="1683"/>
        <v>343.62041865482206</v>
      </c>
      <c r="AS493" s="38">
        <f t="shared" si="1625"/>
        <v>3.3703190491443937</v>
      </c>
      <c r="AX493" s="4">
        <f t="shared" si="1626"/>
        <v>219.61784817231765</v>
      </c>
      <c r="AY493" s="4">
        <f t="shared" si="1627"/>
        <v>1</v>
      </c>
      <c r="AZ493" s="38">
        <f t="shared" si="1628"/>
        <v>4696.7482366786853</v>
      </c>
      <c r="BA493" s="4">
        <f t="shared" si="1629"/>
        <v>0.42600000000000005</v>
      </c>
      <c r="BB493" s="4">
        <f t="shared" si="1630"/>
        <v>48.883638735435319</v>
      </c>
      <c r="BC493" s="4">
        <f t="shared" si="1631"/>
        <v>4745.6318754141203</v>
      </c>
      <c r="BE493" s="4">
        <f t="shared" si="1632"/>
        <v>1.5</v>
      </c>
      <c r="BF493" s="4">
        <f t="shared" si="1633"/>
        <v>463.9104075216427</v>
      </c>
      <c r="BH493" s="4">
        <f t="shared" si="1634"/>
        <v>4504.7559338566916</v>
      </c>
      <c r="BI493" s="4">
        <f t="shared" si="1635"/>
        <v>0</v>
      </c>
      <c r="BJ493" s="4">
        <f t="shared" si="1636"/>
        <v>0</v>
      </c>
      <c r="BR493" s="4">
        <f t="shared" si="1637"/>
        <v>769.62</v>
      </c>
      <c r="BV493" s="9"/>
      <c r="BX493" s="9"/>
      <c r="BY493" s="9"/>
      <c r="BZ493" s="9">
        <f t="shared" si="1638"/>
        <v>769.62</v>
      </c>
      <c r="CA493" s="9">
        <f t="shared" si="1639"/>
        <v>769.62</v>
      </c>
      <c r="CB493" s="9">
        <f t="shared" si="1640"/>
        <v>5.5045435778091543</v>
      </c>
      <c r="CC493" s="40">
        <f t="shared" si="1641"/>
        <v>20</v>
      </c>
      <c r="CD493" s="9">
        <f t="shared" si="1642"/>
        <v>0.05</v>
      </c>
      <c r="CE493" s="9">
        <f t="shared" si="1643"/>
        <v>0.8</v>
      </c>
      <c r="CF493" s="9">
        <f t="shared" si="1644"/>
        <v>0.99524931562137331</v>
      </c>
      <c r="CG493" s="9">
        <f t="shared" si="1645"/>
        <v>0.68</v>
      </c>
      <c r="CH493" s="9">
        <f t="shared" si="1646"/>
        <v>1.4535205120600561</v>
      </c>
      <c r="CI493" s="9">
        <f t="shared" si="1647"/>
        <v>3.63380128015014</v>
      </c>
      <c r="CJ493" s="40">
        <v>1</v>
      </c>
      <c r="CK493" s="9">
        <f t="shared" si="1648"/>
        <v>316.86747162909222</v>
      </c>
      <c r="DI493" s="4">
        <f t="shared" si="1649"/>
        <v>172.72</v>
      </c>
      <c r="DL493" s="4">
        <f t="shared" si="1650"/>
        <v>1.2803199194359958E-5</v>
      </c>
      <c r="DM493" s="4">
        <f t="shared" si="1651"/>
        <v>9.414661970751931</v>
      </c>
      <c r="DN493" s="4">
        <f t="shared" si="1652"/>
        <v>0.49594188092295277</v>
      </c>
      <c r="DO493" s="4">
        <f t="shared" si="1653"/>
        <v>7.111759235242249</v>
      </c>
      <c r="DP493" s="4">
        <f t="shared" si="1654"/>
        <v>8.3432027494528445</v>
      </c>
      <c r="DQ493" s="4">
        <f t="shared" si="1655"/>
        <v>9.1236545658066053</v>
      </c>
      <c r="DR493" s="38">
        <f t="shared" si="1656"/>
        <v>564.73864178090059</v>
      </c>
      <c r="DS493" s="4">
        <f t="shared" si="1657"/>
        <v>1</v>
      </c>
      <c r="DT493" s="4">
        <f t="shared" si="1658"/>
        <v>2.2583179581272428</v>
      </c>
      <c r="DU493" s="4">
        <f t="shared" si="1659"/>
        <v>343.62041865482206</v>
      </c>
      <c r="DY493" s="4">
        <f t="shared" si="1660"/>
        <v>0.85</v>
      </c>
      <c r="DZ493" s="4">
        <f t="shared" si="1661"/>
        <v>0.7</v>
      </c>
      <c r="EA493" s="4">
        <f t="shared" si="1662"/>
        <v>0.7</v>
      </c>
      <c r="EB493" s="4">
        <f t="shared" si="1663"/>
        <v>0.7</v>
      </c>
      <c r="ED493" s="4">
        <f t="shared" si="1664"/>
        <v>889.65517241379314</v>
      </c>
      <c r="EH493" s="4">
        <f t="shared" si="1665"/>
        <v>9.414661970751931</v>
      </c>
      <c r="EK493" s="4">
        <f t="shared" si="1666"/>
        <v>57.361276136431961</v>
      </c>
      <c r="EL493" s="4">
        <f t="shared" si="1667"/>
        <v>2.2583179581272428</v>
      </c>
      <c r="EM493" s="4">
        <f t="shared" si="1668"/>
        <v>0.16668776842721764</v>
      </c>
      <c r="EP493" s="4">
        <f t="shared" si="1669"/>
        <v>0.16668776842721764</v>
      </c>
      <c r="EQ493" s="4">
        <f t="shared" si="1670"/>
        <v>0.49594188092295277</v>
      </c>
      <c r="ER493" s="4">
        <f t="shared" si="1671"/>
        <v>7.111759235242249</v>
      </c>
      <c r="ES493" s="4">
        <f t="shared" si="1672"/>
        <v>8.3432027494528445</v>
      </c>
      <c r="ET493" s="4">
        <f t="shared" si="1673"/>
        <v>72.178723863568024</v>
      </c>
      <c r="EU493" s="4">
        <f t="shared" si="1674"/>
        <v>43.180000000000007</v>
      </c>
      <c r="EV493" s="4">
        <f t="shared" si="1675"/>
        <v>1.280319919435996E-5</v>
      </c>
      <c r="EW493" s="4">
        <f t="shared" si="1676"/>
        <v>9.1236545658066071</v>
      </c>
      <c r="EX493" s="4">
        <f t="shared" si="1677"/>
        <v>564.73864178090059</v>
      </c>
      <c r="FG493" s="23"/>
      <c r="FH493" s="23"/>
      <c r="FI493" s="23"/>
      <c r="FJ493" s="23"/>
      <c r="FK493" s="23"/>
      <c r="FL493" s="23"/>
      <c r="FM493" s="23"/>
      <c r="FN493" s="23"/>
      <c r="FX493" s="4">
        <f t="shared" si="1678"/>
        <v>1</v>
      </c>
      <c r="FY493" s="4">
        <f t="shared" si="1679"/>
        <v>0.75511627906976753</v>
      </c>
      <c r="FZ493" s="4">
        <f t="shared" si="1680"/>
        <v>0.3</v>
      </c>
      <c r="GA493" s="4">
        <f t="shared" si="1681"/>
        <v>222.44056852042061</v>
      </c>
    </row>
    <row r="494" spans="1:184" ht="12" customHeight="1" x14ac:dyDescent="0.3">
      <c r="A494" s="52"/>
      <c r="B494" s="14" t="s">
        <v>605</v>
      </c>
      <c r="C494" s="24"/>
      <c r="D494" s="14" t="s">
        <v>365</v>
      </c>
      <c r="E494" s="24"/>
      <c r="F494" s="43" t="s">
        <v>644</v>
      </c>
      <c r="G494" s="38">
        <f t="shared" si="1612"/>
        <v>889.65517241379314</v>
      </c>
      <c r="H494" s="45">
        <v>160.01999999999998</v>
      </c>
      <c r="I494" s="4">
        <f t="shared" si="1613"/>
        <v>160.01999999999998</v>
      </c>
      <c r="J494" s="45">
        <v>37.655172413793103</v>
      </c>
      <c r="K494" s="7">
        <v>25.4</v>
      </c>
      <c r="L494" s="7">
        <f t="shared" si="1614"/>
        <v>6.3</v>
      </c>
      <c r="M494" s="7">
        <f t="shared" si="1615"/>
        <v>6.3</v>
      </c>
      <c r="N494" s="45">
        <v>1524</v>
      </c>
      <c r="O494" s="45">
        <v>774.69999999999993</v>
      </c>
      <c r="P494" s="45">
        <v>774.69999999999993</v>
      </c>
      <c r="Q494" s="7"/>
      <c r="R494" s="38">
        <v>1</v>
      </c>
      <c r="T494" s="7">
        <f t="shared" si="1682"/>
        <v>31</v>
      </c>
      <c r="U494" s="7">
        <f t="shared" si="1616"/>
        <v>31</v>
      </c>
      <c r="V494" s="45">
        <v>4.0999999999999996</v>
      </c>
      <c r="W494" s="4">
        <f t="shared" si="1617"/>
        <v>4.0999999999999996</v>
      </c>
      <c r="X494" s="4">
        <f t="shared" si="1618"/>
        <v>5.0999999999999996</v>
      </c>
      <c r="Y494" s="7">
        <f t="shared" si="1619"/>
        <v>57.361276136431961</v>
      </c>
      <c r="AB494" s="45">
        <v>412.41379310344826</v>
      </c>
      <c r="AE494" s="38">
        <f t="shared" si="1684"/>
        <v>15.875</v>
      </c>
      <c r="AF494" s="38">
        <v>3</v>
      </c>
      <c r="AG494" s="39">
        <v>25.4</v>
      </c>
      <c r="AH494" s="39">
        <v>3</v>
      </c>
      <c r="AI494" s="39">
        <v>1</v>
      </c>
      <c r="AK494" s="4">
        <f t="shared" si="1620"/>
        <v>160.01999999999998</v>
      </c>
      <c r="AL494" s="4">
        <f t="shared" si="1621"/>
        <v>1</v>
      </c>
      <c r="AM494" s="4">
        <f t="shared" si="1622"/>
        <v>245.14125477551366</v>
      </c>
      <c r="AN494" s="4">
        <f t="shared" si="1623"/>
        <v>1</v>
      </c>
      <c r="AO494" s="4">
        <v>1.25</v>
      </c>
      <c r="AP494" s="4">
        <v>1</v>
      </c>
      <c r="AQ494" s="38">
        <f t="shared" si="1624"/>
        <v>306.42656846939207</v>
      </c>
      <c r="AR494" s="38">
        <f t="shared" si="1683"/>
        <v>306.42656846939207</v>
      </c>
      <c r="AS494" s="38">
        <f t="shared" si="1625"/>
        <v>3.3703190491443937</v>
      </c>
      <c r="AX494" s="4">
        <f t="shared" si="1626"/>
        <v>203.46947698317661</v>
      </c>
      <c r="AY494" s="4">
        <f t="shared" si="1627"/>
        <v>1</v>
      </c>
      <c r="AZ494" s="38">
        <f t="shared" si="1628"/>
        <v>4727.2466018519244</v>
      </c>
      <c r="BA494" s="4">
        <f t="shared" si="1629"/>
        <v>0.42600000000000005</v>
      </c>
      <c r="BB494" s="4">
        <f t="shared" si="1630"/>
        <v>45.289253534300364</v>
      </c>
      <c r="BC494" s="4">
        <f t="shared" si="1631"/>
        <v>4772.5358553862252</v>
      </c>
      <c r="BE494" s="4">
        <f t="shared" si="1632"/>
        <v>1.5</v>
      </c>
      <c r="BF494" s="4">
        <f t="shared" si="1633"/>
        <v>450.10355015492706</v>
      </c>
      <c r="BH494" s="4">
        <f t="shared" si="1634"/>
        <v>4534.0075957648514</v>
      </c>
      <c r="BI494" s="4">
        <f t="shared" si="1635"/>
        <v>0</v>
      </c>
      <c r="BJ494" s="4">
        <f t="shared" si="1636"/>
        <v>0</v>
      </c>
      <c r="BR494" s="4">
        <f t="shared" si="1637"/>
        <v>774.69999999999993</v>
      </c>
      <c r="BV494" s="9"/>
      <c r="BX494" s="9"/>
      <c r="BY494" s="9"/>
      <c r="BZ494" s="9">
        <f t="shared" si="1638"/>
        <v>774.69999999999993</v>
      </c>
      <c r="CA494" s="9">
        <f t="shared" si="1639"/>
        <v>774.69999999999993</v>
      </c>
      <c r="CB494" s="9">
        <f t="shared" si="1640"/>
        <v>5.5226805085936306</v>
      </c>
      <c r="CC494" s="40">
        <f t="shared" si="1641"/>
        <v>20</v>
      </c>
      <c r="CD494" s="9">
        <f t="shared" si="1642"/>
        <v>0.05</v>
      </c>
      <c r="CE494" s="9">
        <f t="shared" si="1643"/>
        <v>0.8</v>
      </c>
      <c r="CF494" s="9">
        <f t="shared" si="1644"/>
        <v>0.99524931562137331</v>
      </c>
      <c r="CG494" s="9">
        <f t="shared" si="1645"/>
        <v>0.68</v>
      </c>
      <c r="CH494" s="9">
        <f t="shared" si="1646"/>
        <v>1.4535205120600561</v>
      </c>
      <c r="CI494" s="9">
        <f t="shared" si="1647"/>
        <v>3.63380128015014</v>
      </c>
      <c r="CJ494" s="40">
        <v>1</v>
      </c>
      <c r="CK494" s="9">
        <f t="shared" si="1648"/>
        <v>309.59986906879192</v>
      </c>
      <c r="DI494" s="4">
        <f t="shared" si="1649"/>
        <v>160.01999999999998</v>
      </c>
      <c r="DL494" s="4">
        <f t="shared" si="1650"/>
        <v>1.1861787488892311E-5</v>
      </c>
      <c r="DM494" s="4">
        <f t="shared" si="1651"/>
        <v>9.414661970751931</v>
      </c>
      <c r="DN494" s="4">
        <f t="shared" si="1652"/>
        <v>0.44226058895567227</v>
      </c>
      <c r="DO494" s="4">
        <f t="shared" si="1653"/>
        <v>6.7932254419875013</v>
      </c>
      <c r="DP494" s="4">
        <f t="shared" si="1654"/>
        <v>8.2095252459350316</v>
      </c>
      <c r="DQ494" s="4">
        <f t="shared" si="1655"/>
        <v>9.1717730741209333</v>
      </c>
      <c r="DR494" s="38">
        <f t="shared" si="1656"/>
        <v>506.57494485913878</v>
      </c>
      <c r="DS494" s="4">
        <f t="shared" si="1657"/>
        <v>1</v>
      </c>
      <c r="DT494" s="4">
        <f t="shared" si="1658"/>
        <v>2.2583179581272428</v>
      </c>
      <c r="DU494" s="4">
        <f t="shared" si="1659"/>
        <v>306.42656846939207</v>
      </c>
      <c r="DY494" s="4">
        <f t="shared" si="1660"/>
        <v>0.85</v>
      </c>
      <c r="DZ494" s="4">
        <f t="shared" si="1661"/>
        <v>0.7</v>
      </c>
      <c r="EA494" s="4">
        <f t="shared" si="1662"/>
        <v>0.84062499999999996</v>
      </c>
      <c r="EB494" s="4">
        <f t="shared" si="1663"/>
        <v>0.7</v>
      </c>
      <c r="ED494" s="4">
        <f t="shared" si="1664"/>
        <v>889.65517241379314</v>
      </c>
      <c r="EH494" s="4">
        <f t="shared" si="1665"/>
        <v>9.414661970751931</v>
      </c>
      <c r="EK494" s="4">
        <f t="shared" si="1666"/>
        <v>57.361276136431961</v>
      </c>
      <c r="EL494" s="4">
        <f t="shared" si="1667"/>
        <v>2.2583179581272428</v>
      </c>
      <c r="EM494" s="4">
        <f t="shared" si="1668"/>
        <v>0.14864530194371847</v>
      </c>
      <c r="EP494" s="4">
        <f t="shared" si="1669"/>
        <v>0.14864530194371847</v>
      </c>
      <c r="EQ494" s="4">
        <f t="shared" si="1670"/>
        <v>0.44226058895567227</v>
      </c>
      <c r="ER494" s="4">
        <f t="shared" si="1671"/>
        <v>6.7932254419875013</v>
      </c>
      <c r="ES494" s="4">
        <f t="shared" si="1672"/>
        <v>8.2095252459350316</v>
      </c>
      <c r="ET494" s="4">
        <f t="shared" si="1673"/>
        <v>62.653723863568025</v>
      </c>
      <c r="EU494" s="4">
        <f t="shared" si="1674"/>
        <v>40.004999999999988</v>
      </c>
      <c r="EV494" s="4">
        <f t="shared" si="1675"/>
        <v>1.1861787488892309E-5</v>
      </c>
      <c r="EW494" s="4">
        <f t="shared" si="1676"/>
        <v>9.1717730741209316</v>
      </c>
      <c r="EX494" s="4">
        <f t="shared" si="1677"/>
        <v>506.57494485913878</v>
      </c>
      <c r="FG494" s="23"/>
      <c r="FH494" s="23"/>
      <c r="FI494" s="23"/>
      <c r="FJ494" s="23"/>
      <c r="FK494" s="23"/>
      <c r="FL494" s="23"/>
      <c r="FM494" s="23"/>
      <c r="FN494" s="23"/>
      <c r="FX494" s="4">
        <f t="shared" si="1678"/>
        <v>1</v>
      </c>
      <c r="FY494" s="4">
        <f t="shared" si="1679"/>
        <v>0.75511627906976753</v>
      </c>
      <c r="FZ494" s="4">
        <f t="shared" si="1680"/>
        <v>0.3</v>
      </c>
      <c r="GA494" s="4">
        <f t="shared" si="1681"/>
        <v>206.08464436450731</v>
      </c>
    </row>
    <row r="495" spans="1:184" ht="12" customHeight="1" x14ac:dyDescent="0.3">
      <c r="A495" s="52"/>
      <c r="B495" s="14" t="s">
        <v>605</v>
      </c>
      <c r="C495" s="24"/>
      <c r="D495" s="14" t="s">
        <v>365</v>
      </c>
      <c r="E495" s="24"/>
      <c r="F495" s="43" t="s">
        <v>644</v>
      </c>
      <c r="G495" s="38">
        <f t="shared" si="1612"/>
        <v>889.65517241379314</v>
      </c>
      <c r="H495" s="45">
        <v>167.64</v>
      </c>
      <c r="I495" s="4">
        <f t="shared" si="1613"/>
        <v>167.64</v>
      </c>
      <c r="J495" s="45">
        <v>37.655172413793103</v>
      </c>
      <c r="K495" s="7">
        <v>25.4</v>
      </c>
      <c r="L495" s="7">
        <f t="shared" si="1614"/>
        <v>6.6</v>
      </c>
      <c r="M495" s="7">
        <f t="shared" si="1615"/>
        <v>6.6</v>
      </c>
      <c r="N495" s="45">
        <v>1524</v>
      </c>
      <c r="O495" s="45">
        <v>762</v>
      </c>
      <c r="P495" s="45">
        <v>762</v>
      </c>
      <c r="Q495" s="7"/>
      <c r="R495" s="38">
        <v>1</v>
      </c>
      <c r="T495" s="7">
        <f t="shared" si="1682"/>
        <v>30.5</v>
      </c>
      <c r="U495" s="7">
        <f t="shared" si="1616"/>
        <v>30.5</v>
      </c>
      <c r="V495" s="45">
        <v>4.0999999999999996</v>
      </c>
      <c r="W495" s="4">
        <f t="shared" si="1617"/>
        <v>4.0999999999999996</v>
      </c>
      <c r="X495" s="4">
        <f t="shared" si="1618"/>
        <v>5.0999999999999996</v>
      </c>
      <c r="Y495" s="7">
        <f t="shared" si="1619"/>
        <v>57.361276136431961</v>
      </c>
      <c r="AB495" s="45">
        <v>488.27586206896552</v>
      </c>
      <c r="AE495" s="38">
        <f t="shared" si="1684"/>
        <v>15.875</v>
      </c>
      <c r="AF495" s="38">
        <v>3</v>
      </c>
      <c r="AG495" s="39">
        <v>25.4</v>
      </c>
      <c r="AH495" s="39">
        <v>3</v>
      </c>
      <c r="AI495" s="39">
        <v>1</v>
      </c>
      <c r="AK495" s="4">
        <f t="shared" si="1620"/>
        <v>167.64</v>
      </c>
      <c r="AL495" s="4">
        <f t="shared" si="1621"/>
        <v>1</v>
      </c>
      <c r="AM495" s="4">
        <f t="shared" si="1622"/>
        <v>262.85817231611441</v>
      </c>
      <c r="AN495" s="4">
        <f t="shared" si="1623"/>
        <v>1</v>
      </c>
      <c r="AO495" s="4">
        <v>1.25</v>
      </c>
      <c r="AP495" s="4">
        <v>1</v>
      </c>
      <c r="AQ495" s="38">
        <f t="shared" si="1624"/>
        <v>328.57271539514301</v>
      </c>
      <c r="AR495" s="38">
        <f t="shared" si="1683"/>
        <v>328.57271539514301</v>
      </c>
      <c r="AS495" s="38">
        <f t="shared" si="1625"/>
        <v>3.3703190491443937</v>
      </c>
      <c r="AX495" s="4">
        <f t="shared" si="1626"/>
        <v>213.15849969666118</v>
      </c>
      <c r="AY495" s="4">
        <f t="shared" si="1627"/>
        <v>1</v>
      </c>
      <c r="AZ495" s="38">
        <f t="shared" si="1628"/>
        <v>4651.000688918828</v>
      </c>
      <c r="BA495" s="4">
        <f t="shared" si="1629"/>
        <v>0.42600000000000005</v>
      </c>
      <c r="BB495" s="4">
        <f t="shared" si="1630"/>
        <v>47.445884654981334</v>
      </c>
      <c r="BC495" s="4">
        <f t="shared" si="1631"/>
        <v>4698.4465735738095</v>
      </c>
      <c r="BE495" s="4">
        <f t="shared" si="1632"/>
        <v>1.5</v>
      </c>
      <c r="BF495" s="4">
        <f t="shared" si="1633"/>
        <v>458.38766457495637</v>
      </c>
      <c r="BH495" s="4">
        <f t="shared" si="1634"/>
        <v>4460.878440994451</v>
      </c>
      <c r="BI495" s="4">
        <f t="shared" si="1635"/>
        <v>0</v>
      </c>
      <c r="BJ495" s="4">
        <f t="shared" si="1636"/>
        <v>0</v>
      </c>
      <c r="BR495" s="4">
        <f t="shared" si="1637"/>
        <v>762</v>
      </c>
      <c r="BV495" s="9"/>
      <c r="BX495" s="9"/>
      <c r="BY495" s="9"/>
      <c r="BZ495" s="9">
        <f t="shared" si="1638"/>
        <v>762</v>
      </c>
      <c r="CA495" s="9">
        <f t="shared" si="1639"/>
        <v>762</v>
      </c>
      <c r="CB495" s="9">
        <f t="shared" si="1640"/>
        <v>5.4772255750516612</v>
      </c>
      <c r="CC495" s="40">
        <f t="shared" si="1641"/>
        <v>20</v>
      </c>
      <c r="CD495" s="9">
        <f t="shared" si="1642"/>
        <v>0.05</v>
      </c>
      <c r="CE495" s="9">
        <f t="shared" si="1643"/>
        <v>0.8</v>
      </c>
      <c r="CF495" s="9">
        <f t="shared" si="1644"/>
        <v>0.99524931562137331</v>
      </c>
      <c r="CG495" s="9">
        <f t="shared" si="1645"/>
        <v>0.68</v>
      </c>
      <c r="CH495" s="9">
        <f t="shared" si="1646"/>
        <v>1.4535205120600561</v>
      </c>
      <c r="CI495" s="9">
        <f t="shared" si="1647"/>
        <v>3.63380128015014</v>
      </c>
      <c r="CJ495" s="40">
        <v>1</v>
      </c>
      <c r="CK495" s="9">
        <f t="shared" si="1648"/>
        <v>313.96043060497209</v>
      </c>
      <c r="DI495" s="4">
        <f t="shared" si="1649"/>
        <v>167.64</v>
      </c>
      <c r="DL495" s="4">
        <f t="shared" si="1650"/>
        <v>1.2426634512172898E-5</v>
      </c>
      <c r="DM495" s="4">
        <f t="shared" si="1651"/>
        <v>9.414661970751931</v>
      </c>
      <c r="DN495" s="4">
        <f t="shared" si="1652"/>
        <v>0.47422377031884377</v>
      </c>
      <c r="DO495" s="4">
        <f t="shared" si="1653"/>
        <v>6.985509041533815</v>
      </c>
      <c r="DP495" s="4">
        <f t="shared" si="1654"/>
        <v>8.2897399950379445</v>
      </c>
      <c r="DQ495" s="4">
        <f t="shared" si="1655"/>
        <v>9.1434596716302359</v>
      </c>
      <c r="DR495" s="38">
        <f t="shared" si="1656"/>
        <v>541.27492839427873</v>
      </c>
      <c r="DS495" s="4">
        <f t="shared" si="1657"/>
        <v>1</v>
      </c>
      <c r="DT495" s="4">
        <f t="shared" si="1658"/>
        <v>2.2583179581272428</v>
      </c>
      <c r="DU495" s="4">
        <f t="shared" si="1659"/>
        <v>328.57271539514301</v>
      </c>
      <c r="DY495" s="4">
        <f t="shared" si="1660"/>
        <v>0.85</v>
      </c>
      <c r="DZ495" s="4">
        <f t="shared" si="1661"/>
        <v>0.7</v>
      </c>
      <c r="EA495" s="4">
        <f t="shared" si="1662"/>
        <v>0.84062499999999996</v>
      </c>
      <c r="EB495" s="4">
        <f t="shared" si="1663"/>
        <v>0.7</v>
      </c>
      <c r="ED495" s="4">
        <f t="shared" si="1664"/>
        <v>889.65517241379314</v>
      </c>
      <c r="EH495" s="4">
        <f t="shared" si="1665"/>
        <v>9.414661970751931</v>
      </c>
      <c r="EK495" s="4">
        <f t="shared" si="1666"/>
        <v>57.361276136431961</v>
      </c>
      <c r="EL495" s="4">
        <f t="shared" si="1667"/>
        <v>2.2583179581272428</v>
      </c>
      <c r="EM495" s="4">
        <f t="shared" si="1668"/>
        <v>0.15938823690889276</v>
      </c>
      <c r="EP495" s="4">
        <f t="shared" si="1669"/>
        <v>0.15938823690889276</v>
      </c>
      <c r="EQ495" s="4">
        <f t="shared" si="1670"/>
        <v>0.47422377031884377</v>
      </c>
      <c r="ER495" s="4">
        <f t="shared" si="1671"/>
        <v>6.985509041533815</v>
      </c>
      <c r="ES495" s="4">
        <f t="shared" si="1672"/>
        <v>8.2897399950379445</v>
      </c>
      <c r="ET495" s="4">
        <f t="shared" si="1673"/>
        <v>68.368723863568022</v>
      </c>
      <c r="EU495" s="4">
        <f t="shared" si="1674"/>
        <v>41.91</v>
      </c>
      <c r="EV495" s="4">
        <f t="shared" si="1675"/>
        <v>1.2426634512172898E-5</v>
      </c>
      <c r="EW495" s="4">
        <f t="shared" si="1676"/>
        <v>9.1434596716302359</v>
      </c>
      <c r="EX495" s="4">
        <f t="shared" si="1677"/>
        <v>541.27492839427873</v>
      </c>
      <c r="FG495" s="23"/>
      <c r="FH495" s="23"/>
      <c r="FI495" s="23"/>
      <c r="FJ495" s="23"/>
      <c r="FK495" s="23"/>
      <c r="FL495" s="23"/>
      <c r="FM495" s="23"/>
      <c r="FN495" s="23"/>
      <c r="FX495" s="4">
        <f t="shared" si="1678"/>
        <v>1</v>
      </c>
      <c r="FY495" s="4">
        <f t="shared" si="1679"/>
        <v>0.75511627906976753</v>
      </c>
      <c r="FZ495" s="4">
        <f t="shared" si="1680"/>
        <v>0.3</v>
      </c>
      <c r="GA495" s="4">
        <f t="shared" si="1681"/>
        <v>215.89819885805528</v>
      </c>
    </row>
    <row r="496" spans="1:184" ht="12" customHeight="1" x14ac:dyDescent="0.3">
      <c r="A496" s="52"/>
      <c r="B496" s="14" t="s">
        <v>605</v>
      </c>
      <c r="C496" s="24"/>
      <c r="D496" s="14" t="s">
        <v>365</v>
      </c>
      <c r="E496" s="24"/>
      <c r="F496" s="43" t="s">
        <v>644</v>
      </c>
      <c r="G496" s="38">
        <f t="shared" si="1612"/>
        <v>889.65517241379314</v>
      </c>
      <c r="H496" s="45">
        <v>175.26</v>
      </c>
      <c r="I496" s="4">
        <f t="shared" si="1613"/>
        <v>175.26</v>
      </c>
      <c r="J496" s="45">
        <v>37.655172413793103</v>
      </c>
      <c r="K496" s="7">
        <v>25.4</v>
      </c>
      <c r="L496" s="7">
        <f t="shared" si="1614"/>
        <v>6.9</v>
      </c>
      <c r="M496" s="7">
        <f t="shared" si="1615"/>
        <v>6.9</v>
      </c>
      <c r="N496" s="45">
        <v>1524</v>
      </c>
      <c r="O496" s="45">
        <v>769.62</v>
      </c>
      <c r="P496" s="45">
        <v>769.62</v>
      </c>
      <c r="Q496" s="7"/>
      <c r="R496" s="38">
        <v>1</v>
      </c>
      <c r="T496" s="7">
        <f t="shared" si="1682"/>
        <v>30.8</v>
      </c>
      <c r="U496" s="7">
        <f t="shared" si="1616"/>
        <v>30.8</v>
      </c>
      <c r="V496" s="45">
        <v>4.0999999999999996</v>
      </c>
      <c r="W496" s="4">
        <f t="shared" si="1617"/>
        <v>4.0999999999999996</v>
      </c>
      <c r="X496" s="4">
        <f t="shared" si="1618"/>
        <v>5.0999999999999996</v>
      </c>
      <c r="Y496" s="7">
        <f t="shared" si="1619"/>
        <v>57.361276136431961</v>
      </c>
      <c r="AB496" s="45">
        <v>459.31034482758622</v>
      </c>
      <c r="AD496" s="4">
        <f>AB496*0.145*PI()/4</f>
        <v>52.307517682270053</v>
      </c>
      <c r="AE496" s="38">
        <f>25.4*5/8</f>
        <v>15.875</v>
      </c>
      <c r="AF496" s="38">
        <v>3</v>
      </c>
      <c r="AG496" s="39">
        <v>25.4</v>
      </c>
      <c r="AH496" s="39">
        <v>3</v>
      </c>
      <c r="AI496" s="39">
        <v>1</v>
      </c>
      <c r="AK496" s="4">
        <f t="shared" si="1620"/>
        <v>175.26</v>
      </c>
      <c r="AL496" s="4">
        <f t="shared" si="1621"/>
        <v>1</v>
      </c>
      <c r="AM496" s="4">
        <f t="shared" si="1622"/>
        <v>280.98246403479141</v>
      </c>
      <c r="AN496" s="4">
        <f t="shared" si="1623"/>
        <v>1</v>
      </c>
      <c r="AO496" s="4">
        <v>1.25</v>
      </c>
      <c r="AP496" s="4">
        <v>1</v>
      </c>
      <c r="AQ496" s="38">
        <f t="shared" si="1624"/>
        <v>351.22808004348929</v>
      </c>
      <c r="AR496" s="38">
        <f t="shared" si="1683"/>
        <v>351.22808004348929</v>
      </c>
      <c r="AS496" s="38">
        <f t="shared" si="1625"/>
        <v>3.3703190491443937</v>
      </c>
      <c r="AX496" s="4">
        <f t="shared" si="1626"/>
        <v>222.84752241014584</v>
      </c>
      <c r="AY496" s="4">
        <f t="shared" si="1627"/>
        <v>1</v>
      </c>
      <c r="AZ496" s="38">
        <f t="shared" si="1628"/>
        <v>4696.7482366786853</v>
      </c>
      <c r="BA496" s="4">
        <f t="shared" si="1629"/>
        <v>0.42600000000000005</v>
      </c>
      <c r="BB496" s="4">
        <f t="shared" si="1630"/>
        <v>49.602515775662305</v>
      </c>
      <c r="BC496" s="4">
        <f t="shared" si="1631"/>
        <v>4746.3507524543475</v>
      </c>
      <c r="BE496" s="4">
        <f t="shared" si="1632"/>
        <v>1.5</v>
      </c>
      <c r="BF496" s="4">
        <f t="shared" si="1633"/>
        <v>466.67177899498586</v>
      </c>
      <c r="BH496" s="4">
        <f t="shared" si="1634"/>
        <v>4504.7559338566916</v>
      </c>
      <c r="BI496" s="4">
        <f t="shared" si="1635"/>
        <v>0</v>
      </c>
      <c r="BJ496" s="4">
        <f t="shared" si="1636"/>
        <v>0</v>
      </c>
      <c r="BR496" s="4">
        <f t="shared" si="1637"/>
        <v>769.62</v>
      </c>
      <c r="BV496" s="9"/>
      <c r="BX496" s="9"/>
      <c r="BY496" s="9"/>
      <c r="BZ496" s="9">
        <f t="shared" si="1638"/>
        <v>769.62</v>
      </c>
      <c r="CA496" s="9">
        <f t="shared" si="1639"/>
        <v>769.62</v>
      </c>
      <c r="CB496" s="9">
        <f t="shared" si="1640"/>
        <v>5.5045435778091543</v>
      </c>
      <c r="CC496" s="40">
        <f t="shared" si="1641"/>
        <v>20</v>
      </c>
      <c r="CD496" s="9">
        <f t="shared" si="1642"/>
        <v>0.05</v>
      </c>
      <c r="CE496" s="9">
        <f t="shared" si="1643"/>
        <v>0.8</v>
      </c>
      <c r="CF496" s="9">
        <f t="shared" si="1644"/>
        <v>0.99524931562137331</v>
      </c>
      <c r="CG496" s="9">
        <f t="shared" si="1645"/>
        <v>0.68</v>
      </c>
      <c r="CH496" s="9">
        <f t="shared" si="1646"/>
        <v>1.4535205120600561</v>
      </c>
      <c r="CI496" s="9">
        <f t="shared" si="1647"/>
        <v>3.63380128015014</v>
      </c>
      <c r="CJ496" s="40">
        <v>1</v>
      </c>
      <c r="CK496" s="9">
        <f t="shared" si="1648"/>
        <v>318.32099214115226</v>
      </c>
      <c r="DI496" s="4">
        <f t="shared" si="1649"/>
        <v>175.26</v>
      </c>
      <c r="DL496" s="4">
        <f t="shared" si="1650"/>
        <v>1.2991481535453484E-5</v>
      </c>
      <c r="DM496" s="4">
        <f t="shared" si="1651"/>
        <v>9.414661970751931</v>
      </c>
      <c r="DN496" s="4">
        <f t="shared" si="1652"/>
        <v>0.50692189751594396</v>
      </c>
      <c r="DO496" s="4">
        <f t="shared" si="1653"/>
        <v>7.1743267463293359</v>
      </c>
      <c r="DP496" s="4">
        <f t="shared" si="1654"/>
        <v>8.3699267548594403</v>
      </c>
      <c r="DQ496" s="4">
        <f t="shared" si="1655"/>
        <v>9.1134708215683489</v>
      </c>
      <c r="DR496" s="38">
        <f t="shared" si="1656"/>
        <v>576.56833265789874</v>
      </c>
      <c r="DS496" s="4">
        <f t="shared" si="1657"/>
        <v>0.99999999999999978</v>
      </c>
      <c r="DT496" s="4">
        <f t="shared" si="1658"/>
        <v>2.2583179581272428</v>
      </c>
      <c r="DU496" s="4">
        <f t="shared" si="1659"/>
        <v>351.22808004348929</v>
      </c>
      <c r="DY496" s="4">
        <f t="shared" si="1660"/>
        <v>0.85</v>
      </c>
      <c r="DZ496" s="4">
        <f t="shared" si="1661"/>
        <v>0.7</v>
      </c>
      <c r="EA496" s="4">
        <f t="shared" si="1662"/>
        <v>0.84062499999999996</v>
      </c>
      <c r="EB496" s="4">
        <f t="shared" si="1663"/>
        <v>0.7</v>
      </c>
      <c r="ED496" s="4">
        <f t="shared" si="1664"/>
        <v>889.65517241379314</v>
      </c>
      <c r="EH496" s="4">
        <f t="shared" si="1665"/>
        <v>9.414661970751931</v>
      </c>
      <c r="EK496" s="4">
        <f t="shared" si="1666"/>
        <v>57.361276136431961</v>
      </c>
      <c r="EL496" s="4">
        <f t="shared" si="1667"/>
        <v>2.2583179581272428</v>
      </c>
      <c r="EM496" s="4">
        <f t="shared" si="1668"/>
        <v>0.17037818969144611</v>
      </c>
      <c r="EP496" s="4">
        <f t="shared" si="1669"/>
        <v>0.17037818969144611</v>
      </c>
      <c r="EQ496" s="4">
        <f t="shared" si="1670"/>
        <v>0.50692189751594396</v>
      </c>
      <c r="ER496" s="4">
        <f t="shared" si="1671"/>
        <v>7.1743267463293359</v>
      </c>
      <c r="ES496" s="4">
        <f t="shared" si="1672"/>
        <v>8.3699267548594403</v>
      </c>
      <c r="ET496" s="4">
        <f t="shared" si="1673"/>
        <v>74.083723863568025</v>
      </c>
      <c r="EU496" s="4">
        <f t="shared" si="1674"/>
        <v>43.814999999999998</v>
      </c>
      <c r="EV496" s="4">
        <f t="shared" si="1675"/>
        <v>1.2991481535453484E-5</v>
      </c>
      <c r="EW496" s="4">
        <f t="shared" si="1676"/>
        <v>9.1134708215683489</v>
      </c>
      <c r="EX496" s="4">
        <f t="shared" si="1677"/>
        <v>576.56833265789885</v>
      </c>
      <c r="FG496" s="23"/>
      <c r="FH496" s="23"/>
      <c r="FI496" s="23"/>
      <c r="FJ496" s="23"/>
      <c r="FK496" s="23"/>
      <c r="FL496" s="23"/>
      <c r="FM496" s="23"/>
      <c r="FN496" s="23"/>
      <c r="FX496" s="4">
        <f t="shared" si="1678"/>
        <v>1</v>
      </c>
      <c r="FY496" s="4">
        <f t="shared" si="1679"/>
        <v>0.75511627906976753</v>
      </c>
      <c r="FZ496" s="4">
        <f t="shared" si="1680"/>
        <v>0.3</v>
      </c>
      <c r="GA496" s="4">
        <f t="shared" si="1681"/>
        <v>225.71175335160328</v>
      </c>
      <c r="GB496" s="4">
        <f>GA496*0.145*PI()/4</f>
        <v>25.704671498237222</v>
      </c>
    </row>
    <row r="497" spans="1:170" ht="12" customHeight="1" x14ac:dyDescent="0.3">
      <c r="A497" s="52"/>
      <c r="B497" s="24"/>
      <c r="C497" s="24"/>
      <c r="D497" s="24"/>
      <c r="E497" s="24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BV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FG497" s="23"/>
      <c r="FH497" s="23"/>
      <c r="FI497" s="23"/>
      <c r="FJ497" s="23"/>
      <c r="FK497" s="23"/>
      <c r="FL497" s="23"/>
      <c r="FM497" s="23"/>
      <c r="FN497" s="23"/>
    </row>
    <row r="498" spans="1:170" ht="12" customHeight="1" x14ac:dyDescent="0.3">
      <c r="A498" s="52"/>
      <c r="B498" s="24"/>
      <c r="C498" s="24"/>
      <c r="D498" s="24"/>
      <c r="E498" s="24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BV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FG498" s="23"/>
      <c r="FH498" s="23"/>
      <c r="FI498" s="23"/>
      <c r="FJ498" s="23"/>
      <c r="FK498" s="23"/>
      <c r="FL498" s="23"/>
      <c r="FM498" s="23"/>
      <c r="FN498" s="23"/>
    </row>
    <row r="499" spans="1:170" ht="12" customHeight="1" x14ac:dyDescent="0.3">
      <c r="A499" s="52"/>
      <c r="B499" s="24"/>
      <c r="C499" s="24"/>
      <c r="D499" s="24"/>
      <c r="E499" s="24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34"/>
      <c r="AF499" s="7"/>
      <c r="AG499" s="7"/>
      <c r="AH499" s="7"/>
      <c r="AI499" s="7"/>
      <c r="AJ499" s="7"/>
      <c r="BV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FG499" s="23"/>
      <c r="FH499" s="23"/>
      <c r="FI499" s="23"/>
      <c r="FJ499" s="23"/>
      <c r="FK499" s="23"/>
      <c r="FL499" s="23"/>
      <c r="FM499" s="23"/>
      <c r="FN499" s="23"/>
    </row>
    <row r="500" spans="1:170" ht="12" customHeight="1" x14ac:dyDescent="0.3">
      <c r="A500" s="52"/>
      <c r="B500" s="24"/>
      <c r="C500" s="24"/>
      <c r="D500" s="24"/>
      <c r="E500" s="24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34"/>
      <c r="AF500" s="7"/>
      <c r="AG500" s="7"/>
      <c r="AH500" s="7"/>
      <c r="AI500" s="7"/>
      <c r="AJ500" s="7"/>
      <c r="BV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FG500" s="23"/>
      <c r="FH500" s="23"/>
      <c r="FI500" s="23"/>
      <c r="FJ500" s="23"/>
      <c r="FK500" s="23"/>
      <c r="FL500" s="23"/>
      <c r="FM500" s="23"/>
      <c r="FN500" s="23"/>
    </row>
    <row r="501" spans="1:170" ht="12" customHeight="1" x14ac:dyDescent="0.3">
      <c r="A501" s="52"/>
      <c r="B501" s="24"/>
      <c r="C501" s="24"/>
      <c r="D501" s="24"/>
      <c r="E501" s="24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BV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FG501" s="23"/>
      <c r="FH501" s="23"/>
      <c r="FI501" s="23"/>
      <c r="FJ501" s="23"/>
      <c r="FK501" s="23"/>
      <c r="FL501" s="23"/>
      <c r="FM501" s="23"/>
      <c r="FN501" s="23"/>
    </row>
    <row r="502" spans="1:170" ht="12" customHeight="1" x14ac:dyDescent="0.3">
      <c r="A502" s="52"/>
      <c r="B502" s="24"/>
      <c r="C502" s="24"/>
      <c r="D502" s="24"/>
      <c r="E502" s="24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BV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FG502" s="23"/>
      <c r="FH502" s="23"/>
      <c r="FI502" s="23"/>
      <c r="FJ502" s="23"/>
      <c r="FK502" s="23"/>
      <c r="FL502" s="23"/>
      <c r="FM502" s="23"/>
      <c r="FN502" s="23"/>
    </row>
    <row r="503" spans="1:170" ht="12" customHeight="1" x14ac:dyDescent="0.3">
      <c r="A503" s="52"/>
      <c r="B503" s="24"/>
      <c r="C503" s="24"/>
      <c r="D503" s="24"/>
      <c r="E503" s="24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34"/>
      <c r="AF503" s="7"/>
      <c r="AG503" s="7"/>
      <c r="AH503" s="7"/>
      <c r="AI503" s="7"/>
      <c r="AJ503" s="7"/>
      <c r="BV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FG503" s="23"/>
      <c r="FH503" s="23"/>
      <c r="FI503" s="23"/>
      <c r="FJ503" s="23"/>
      <c r="FK503" s="23"/>
      <c r="FL503" s="23"/>
      <c r="FM503" s="23"/>
      <c r="FN503" s="23"/>
    </row>
    <row r="504" spans="1:170" ht="12" customHeight="1" x14ac:dyDescent="0.3">
      <c r="A504" s="52"/>
      <c r="B504" s="24"/>
      <c r="C504" s="24"/>
      <c r="D504" s="24"/>
      <c r="E504" s="24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34"/>
      <c r="AF504" s="7"/>
      <c r="AG504" s="7"/>
      <c r="AH504" s="7"/>
      <c r="AI504" s="7"/>
      <c r="AJ504" s="7"/>
      <c r="BV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FG504" s="23"/>
      <c r="FH504" s="23"/>
      <c r="FI504" s="23"/>
      <c r="FJ504" s="23"/>
      <c r="FK504" s="23"/>
      <c r="FL504" s="23"/>
      <c r="FM504" s="23"/>
      <c r="FN504" s="23"/>
    </row>
    <row r="505" spans="1:170" ht="12" customHeight="1" x14ac:dyDescent="0.3">
      <c r="A505" s="52"/>
      <c r="B505" s="24"/>
      <c r="C505" s="24"/>
      <c r="D505" s="24"/>
      <c r="E505" s="24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34"/>
      <c r="AF505" s="7"/>
      <c r="AG505" s="7"/>
      <c r="AH505" s="7"/>
      <c r="AI505" s="7"/>
      <c r="AJ505" s="7"/>
      <c r="BV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FG505" s="23"/>
      <c r="FH505" s="23"/>
      <c r="FI505" s="23"/>
      <c r="FJ505" s="23"/>
      <c r="FK505" s="23"/>
      <c r="FL505" s="23"/>
      <c r="FM505" s="23"/>
      <c r="FN505" s="23"/>
    </row>
    <row r="506" spans="1:170" ht="12" customHeight="1" x14ac:dyDescent="0.3">
      <c r="A506" s="52"/>
      <c r="B506" s="24"/>
      <c r="C506" s="24"/>
      <c r="D506" s="24"/>
      <c r="E506" s="24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34"/>
      <c r="AF506" s="7"/>
      <c r="AG506" s="7"/>
      <c r="AH506" s="7"/>
      <c r="AI506" s="7"/>
      <c r="AJ506" s="7"/>
      <c r="BV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FG506" s="23"/>
      <c r="FH506" s="23"/>
      <c r="FI506" s="23"/>
      <c r="FJ506" s="23"/>
      <c r="FK506" s="23"/>
      <c r="FL506" s="23"/>
      <c r="FM506" s="23"/>
      <c r="FN506" s="23"/>
    </row>
    <row r="507" spans="1:170" ht="12" customHeight="1" x14ac:dyDescent="0.3">
      <c r="A507" s="52"/>
      <c r="B507" s="24"/>
      <c r="C507" s="24"/>
      <c r="D507" s="24"/>
      <c r="E507" s="24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34"/>
      <c r="AF507" s="7"/>
      <c r="AG507" s="7"/>
      <c r="AH507" s="7"/>
      <c r="AI507" s="7"/>
      <c r="AJ507" s="7"/>
      <c r="BV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FG507" s="23"/>
      <c r="FH507" s="23"/>
      <c r="FI507" s="23"/>
      <c r="FJ507" s="23"/>
      <c r="FK507" s="23"/>
      <c r="FL507" s="23"/>
      <c r="FM507" s="23"/>
      <c r="FN507" s="23"/>
    </row>
    <row r="508" spans="1:170" ht="12" customHeight="1" x14ac:dyDescent="0.3">
      <c r="A508" s="52"/>
      <c r="B508" s="24"/>
      <c r="C508" s="24"/>
      <c r="D508" s="24"/>
      <c r="E508" s="24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34"/>
      <c r="AF508" s="7"/>
      <c r="AG508" s="7"/>
      <c r="AH508" s="7"/>
      <c r="AI508" s="7"/>
      <c r="AJ508" s="7"/>
      <c r="BV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FG508" s="23"/>
      <c r="FH508" s="23"/>
      <c r="FI508" s="23"/>
      <c r="FJ508" s="23"/>
      <c r="FK508" s="23"/>
      <c r="FL508" s="23"/>
      <c r="FM508" s="23"/>
      <c r="FN508" s="23"/>
    </row>
    <row r="509" spans="1:170" ht="12" customHeight="1" x14ac:dyDescent="0.3">
      <c r="A509" s="52"/>
      <c r="B509" s="24"/>
      <c r="C509" s="24"/>
      <c r="D509" s="24"/>
      <c r="E509" s="24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BV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FG509" s="23"/>
      <c r="FH509" s="23"/>
      <c r="FI509" s="23"/>
      <c r="FJ509" s="23"/>
      <c r="FK509" s="23"/>
      <c r="FL509" s="23"/>
      <c r="FM509" s="23"/>
      <c r="FN509" s="23"/>
    </row>
    <row r="510" spans="1:170" ht="12" customHeight="1" x14ac:dyDescent="0.3">
      <c r="A510" s="52"/>
      <c r="B510" s="24"/>
      <c r="C510" s="24"/>
      <c r="D510" s="24"/>
      <c r="E510" s="24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BV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FG510" s="23"/>
      <c r="FH510" s="23"/>
      <c r="FI510" s="23"/>
      <c r="FJ510" s="23"/>
      <c r="FK510" s="23"/>
      <c r="FL510" s="23"/>
      <c r="FM510" s="23"/>
      <c r="FN510" s="23"/>
    </row>
    <row r="511" spans="1:170" ht="12" customHeight="1" x14ac:dyDescent="0.3">
      <c r="A511" s="52"/>
      <c r="B511" s="24"/>
      <c r="C511" s="24"/>
      <c r="D511" s="24"/>
      <c r="E511" s="24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BV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FG511" s="23"/>
      <c r="FH511" s="23"/>
      <c r="FI511" s="23"/>
      <c r="FJ511" s="23"/>
      <c r="FK511" s="23"/>
      <c r="FL511" s="23"/>
      <c r="FM511" s="23"/>
      <c r="FN511" s="23"/>
    </row>
    <row r="512" spans="1:170" ht="12" customHeight="1" x14ac:dyDescent="0.3">
      <c r="A512" s="52"/>
      <c r="B512" s="24"/>
      <c r="C512" s="24"/>
      <c r="D512" s="24"/>
      <c r="E512" s="24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BV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FG512" s="23"/>
      <c r="FH512" s="23"/>
      <c r="FI512" s="23"/>
      <c r="FJ512" s="23"/>
      <c r="FK512" s="23"/>
      <c r="FL512" s="23"/>
      <c r="FM512" s="23"/>
      <c r="FN512" s="23"/>
    </row>
    <row r="513" spans="1:170" ht="12" customHeight="1" x14ac:dyDescent="0.3">
      <c r="A513" s="52"/>
      <c r="B513" s="24"/>
      <c r="C513" s="24"/>
      <c r="D513" s="24"/>
      <c r="E513" s="24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BV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FG513" s="23"/>
      <c r="FH513" s="23"/>
      <c r="FI513" s="23"/>
      <c r="FJ513" s="23"/>
      <c r="FK513" s="23"/>
      <c r="FL513" s="23"/>
      <c r="FM513" s="23"/>
      <c r="FN513" s="23"/>
    </row>
    <row r="514" spans="1:170" ht="12" customHeight="1" x14ac:dyDescent="0.3">
      <c r="A514" s="52"/>
      <c r="B514" s="24"/>
      <c r="C514" s="24"/>
      <c r="D514" s="24"/>
      <c r="E514" s="24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BV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FG514" s="23"/>
      <c r="FH514" s="23"/>
      <c r="FI514" s="23"/>
      <c r="FJ514" s="23"/>
      <c r="FK514" s="23"/>
      <c r="FL514" s="23"/>
      <c r="FM514" s="23"/>
      <c r="FN514" s="23"/>
    </row>
    <row r="515" spans="1:170" ht="12" customHeight="1" x14ac:dyDescent="0.3">
      <c r="A515" s="52"/>
      <c r="B515" s="24"/>
      <c r="C515" s="24"/>
      <c r="D515" s="24"/>
      <c r="E515" s="24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BV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FG515" s="23"/>
      <c r="FH515" s="23"/>
      <c r="FI515" s="23"/>
      <c r="FJ515" s="23"/>
      <c r="FK515" s="23"/>
      <c r="FL515" s="23"/>
      <c r="FM515" s="23"/>
      <c r="FN515" s="23"/>
    </row>
    <row r="516" spans="1:170" ht="12" customHeight="1" x14ac:dyDescent="0.3">
      <c r="A516" s="52"/>
      <c r="B516" s="24"/>
      <c r="C516" s="24"/>
      <c r="D516" s="24"/>
      <c r="E516" s="24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BV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FG516" s="23"/>
      <c r="FH516" s="23"/>
      <c r="FI516" s="23"/>
      <c r="FJ516" s="23"/>
      <c r="FK516" s="23"/>
      <c r="FL516" s="23"/>
      <c r="FM516" s="23"/>
      <c r="FN516" s="23"/>
    </row>
    <row r="517" spans="1:170" ht="12" customHeight="1" x14ac:dyDescent="0.3">
      <c r="A517" s="52"/>
      <c r="B517" s="24"/>
      <c r="C517" s="24"/>
      <c r="D517" s="24"/>
      <c r="E517" s="24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BV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FG517" s="23"/>
      <c r="FH517" s="23"/>
      <c r="FI517" s="23"/>
      <c r="FJ517" s="23"/>
      <c r="FK517" s="23"/>
      <c r="FL517" s="23"/>
      <c r="FM517" s="23"/>
      <c r="FN517" s="23"/>
    </row>
    <row r="518" spans="1:170" ht="12" customHeight="1" x14ac:dyDescent="0.3">
      <c r="A518" s="52"/>
      <c r="B518" s="24"/>
      <c r="C518" s="24"/>
      <c r="D518" s="24"/>
      <c r="E518" s="24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BV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FG518" s="23"/>
      <c r="FH518" s="23"/>
      <c r="FI518" s="23"/>
      <c r="FJ518" s="23"/>
      <c r="FK518" s="23"/>
      <c r="FL518" s="23"/>
      <c r="FM518" s="23"/>
      <c r="FN518" s="23"/>
    </row>
    <row r="519" spans="1:170" ht="12" customHeight="1" x14ac:dyDescent="0.3">
      <c r="A519" s="52"/>
      <c r="B519" s="24"/>
      <c r="C519" s="24"/>
      <c r="D519" s="24"/>
      <c r="E519" s="24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BV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FG519" s="23"/>
      <c r="FH519" s="23"/>
      <c r="FI519" s="23"/>
      <c r="FJ519" s="23"/>
      <c r="FK519" s="23"/>
      <c r="FL519" s="23"/>
      <c r="FM519" s="23"/>
      <c r="FN519" s="23"/>
    </row>
    <row r="520" spans="1:170" ht="12" customHeight="1" x14ac:dyDescent="0.3">
      <c r="A520" s="52"/>
      <c r="B520" s="24"/>
      <c r="C520" s="24"/>
      <c r="D520" s="24"/>
      <c r="E520" s="24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BV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FG520" s="23"/>
      <c r="FH520" s="23"/>
      <c r="FI520" s="23"/>
      <c r="FJ520" s="23"/>
      <c r="FK520" s="23"/>
      <c r="FL520" s="23"/>
      <c r="FM520" s="23"/>
      <c r="FN520" s="23"/>
    </row>
    <row r="521" spans="1:170" ht="12" customHeight="1" x14ac:dyDescent="0.3">
      <c r="B521" s="14"/>
      <c r="C521" s="14"/>
      <c r="D521" s="14"/>
      <c r="E521" s="14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BV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FG521" s="23"/>
      <c r="FH521" s="23"/>
      <c r="FI521" s="23"/>
      <c r="FJ521" s="23"/>
      <c r="FK521" s="23"/>
      <c r="FL521" s="23"/>
      <c r="FM521" s="23"/>
      <c r="FN521" s="23"/>
    </row>
    <row r="522" spans="1:170" ht="12" customHeight="1" x14ac:dyDescent="0.3">
      <c r="B522" s="14"/>
      <c r="C522" s="14"/>
      <c r="D522" s="14"/>
      <c r="E522" s="14"/>
      <c r="F522" s="7"/>
      <c r="G522" s="7"/>
      <c r="H522" s="7"/>
      <c r="I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E522" s="7"/>
      <c r="AF522" s="7"/>
      <c r="AG522" s="7"/>
      <c r="AH522" s="7"/>
      <c r="AI522" s="7"/>
      <c r="AJ522" s="7"/>
      <c r="BV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FG522" s="23"/>
      <c r="FH522" s="23"/>
      <c r="FI522" s="23"/>
      <c r="FJ522" s="23"/>
      <c r="FK522" s="23"/>
      <c r="FL522" s="23"/>
      <c r="FM522" s="23"/>
      <c r="FN522" s="23"/>
    </row>
    <row r="523" spans="1:170" ht="12" customHeight="1" x14ac:dyDescent="0.3">
      <c r="B523" s="14"/>
      <c r="C523" s="14"/>
      <c r="D523" s="14"/>
      <c r="E523" s="14"/>
      <c r="F523" s="7"/>
      <c r="G523" s="7"/>
      <c r="H523" s="7"/>
      <c r="I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E523" s="7"/>
      <c r="AF523" s="7"/>
      <c r="AG523" s="7"/>
      <c r="AH523" s="7"/>
      <c r="AI523" s="7"/>
      <c r="AJ523" s="7"/>
      <c r="BV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FG523" s="23"/>
      <c r="FH523" s="23"/>
      <c r="FI523" s="23"/>
      <c r="FJ523" s="23"/>
      <c r="FK523" s="23"/>
      <c r="FL523" s="23"/>
      <c r="FM523" s="23"/>
      <c r="FN523" s="23"/>
    </row>
    <row r="524" spans="1:170" ht="12" customHeight="1" x14ac:dyDescent="0.3">
      <c r="B524" s="14"/>
      <c r="C524" s="14"/>
      <c r="D524" s="14"/>
      <c r="E524" s="14"/>
      <c r="F524" s="7"/>
      <c r="G524" s="7"/>
      <c r="H524" s="7"/>
      <c r="I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E524" s="7"/>
      <c r="AF524" s="7"/>
      <c r="AG524" s="7"/>
      <c r="AH524" s="7"/>
      <c r="AI524" s="7"/>
      <c r="AJ524" s="7"/>
      <c r="BV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FG524" s="23"/>
      <c r="FH524" s="23"/>
      <c r="FI524" s="23"/>
      <c r="FJ524" s="23"/>
      <c r="FK524" s="23"/>
      <c r="FL524" s="23"/>
      <c r="FM524" s="23"/>
      <c r="FN524" s="23"/>
    </row>
    <row r="525" spans="1:170" ht="12" customHeight="1" x14ac:dyDescent="0.3">
      <c r="B525" s="14"/>
      <c r="C525" s="14"/>
      <c r="D525" s="14"/>
      <c r="E525" s="14"/>
      <c r="F525" s="7"/>
      <c r="G525" s="7"/>
      <c r="H525" s="7"/>
      <c r="I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E525" s="7"/>
      <c r="AF525" s="7"/>
      <c r="AG525" s="7"/>
      <c r="AH525" s="7"/>
      <c r="AI525" s="7"/>
      <c r="AJ525" s="7"/>
      <c r="BV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FG525" s="23"/>
      <c r="FH525" s="23"/>
      <c r="FI525" s="23"/>
      <c r="FJ525" s="23"/>
      <c r="FK525" s="23"/>
      <c r="FL525" s="23"/>
      <c r="FM525" s="23"/>
      <c r="FN525" s="23"/>
    </row>
    <row r="526" spans="1:170" ht="12" customHeight="1" x14ac:dyDescent="0.3">
      <c r="B526" s="14"/>
      <c r="C526" s="14"/>
      <c r="D526" s="14"/>
      <c r="E526" s="14"/>
      <c r="F526" s="7"/>
      <c r="G526" s="7"/>
      <c r="H526" s="7"/>
      <c r="I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E526" s="7"/>
      <c r="AF526" s="7"/>
      <c r="AG526" s="7"/>
      <c r="AH526" s="7"/>
      <c r="AI526" s="7"/>
      <c r="AJ526" s="7"/>
      <c r="BV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FG526" s="23"/>
      <c r="FH526" s="23"/>
      <c r="FI526" s="23"/>
      <c r="FJ526" s="23"/>
      <c r="FK526" s="23"/>
      <c r="FL526" s="23"/>
      <c r="FM526" s="23"/>
      <c r="FN526" s="23"/>
    </row>
    <row r="527" spans="1:170" ht="12" customHeight="1" x14ac:dyDescent="0.3">
      <c r="B527" s="14"/>
      <c r="C527" s="14"/>
      <c r="D527" s="14"/>
      <c r="E527" s="14"/>
      <c r="F527" s="7"/>
      <c r="G527" s="7"/>
      <c r="H527" s="7"/>
      <c r="I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E527" s="7"/>
      <c r="AF527" s="7"/>
      <c r="AG527" s="7"/>
      <c r="AH527" s="7"/>
      <c r="AI527" s="7"/>
      <c r="AJ527" s="7"/>
      <c r="BV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FG527" s="23"/>
      <c r="FH527" s="23"/>
      <c r="FI527" s="23"/>
      <c r="FJ527" s="23"/>
      <c r="FK527" s="23"/>
      <c r="FL527" s="23"/>
      <c r="FM527" s="23"/>
      <c r="FN527" s="23"/>
    </row>
    <row r="528" spans="1:170" ht="12" customHeight="1" x14ac:dyDescent="0.3">
      <c r="B528" s="14"/>
      <c r="C528" s="14"/>
      <c r="D528" s="14"/>
      <c r="E528" s="14"/>
      <c r="F528" s="7"/>
      <c r="G528" s="7"/>
      <c r="H528" s="7"/>
      <c r="I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E528" s="7"/>
      <c r="AF528" s="7"/>
      <c r="AG528" s="7"/>
      <c r="AH528" s="7"/>
      <c r="AI528" s="7"/>
      <c r="AJ528" s="7"/>
      <c r="BV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FG528" s="23"/>
      <c r="FH528" s="23"/>
      <c r="FI528" s="23"/>
      <c r="FJ528" s="23"/>
      <c r="FK528" s="23"/>
      <c r="FL528" s="23"/>
      <c r="FM528" s="23"/>
      <c r="FN528" s="23"/>
    </row>
    <row r="529" spans="2:170" ht="12" customHeight="1" x14ac:dyDescent="0.3">
      <c r="B529" s="14"/>
      <c r="C529" s="14"/>
      <c r="D529" s="14"/>
      <c r="E529" s="14"/>
      <c r="F529" s="7"/>
      <c r="G529" s="7"/>
      <c r="H529" s="7"/>
      <c r="I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E529" s="7"/>
      <c r="AF529" s="7"/>
      <c r="AG529" s="7"/>
      <c r="AH529" s="7"/>
      <c r="AI529" s="7"/>
      <c r="AJ529" s="7"/>
      <c r="BV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FG529" s="23"/>
      <c r="FH529" s="23"/>
      <c r="FI529" s="23"/>
      <c r="FJ529" s="23"/>
      <c r="FK529" s="23"/>
      <c r="FL529" s="23"/>
      <c r="FM529" s="23"/>
      <c r="FN529" s="23"/>
    </row>
    <row r="530" spans="2:170" ht="12" customHeight="1" x14ac:dyDescent="0.3">
      <c r="B530" s="14"/>
      <c r="C530" s="14"/>
      <c r="D530" s="14"/>
      <c r="E530" s="14"/>
      <c r="F530" s="7"/>
      <c r="G530" s="7"/>
      <c r="H530" s="7"/>
      <c r="I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E530" s="7"/>
      <c r="AF530" s="7"/>
      <c r="AG530" s="7"/>
      <c r="AH530" s="7"/>
      <c r="AI530" s="7"/>
      <c r="AJ530" s="7"/>
      <c r="BV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FG530" s="23"/>
      <c r="FH530" s="23"/>
      <c r="FI530" s="23"/>
      <c r="FJ530" s="23"/>
      <c r="FK530" s="23"/>
      <c r="FL530" s="23"/>
      <c r="FM530" s="23"/>
      <c r="FN530" s="23"/>
    </row>
    <row r="531" spans="2:170" ht="12" customHeight="1" x14ac:dyDescent="0.3">
      <c r="B531" s="14"/>
      <c r="C531" s="14"/>
      <c r="D531" s="14"/>
      <c r="E531" s="14"/>
      <c r="F531" s="7"/>
      <c r="G531" s="7"/>
      <c r="H531" s="7"/>
      <c r="I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E531" s="7"/>
      <c r="AF531" s="7"/>
      <c r="AG531" s="7"/>
      <c r="AH531" s="7"/>
      <c r="AI531" s="7"/>
      <c r="AJ531" s="7"/>
      <c r="BV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FG531" s="23"/>
      <c r="FH531" s="23"/>
      <c r="FI531" s="23"/>
      <c r="FJ531" s="23"/>
      <c r="FK531" s="23"/>
      <c r="FL531" s="23"/>
      <c r="FM531" s="23"/>
      <c r="FN531" s="23"/>
    </row>
    <row r="532" spans="2:170" ht="12" customHeight="1" x14ac:dyDescent="0.3">
      <c r="B532" s="14"/>
      <c r="C532" s="14"/>
      <c r="D532" s="14"/>
      <c r="E532" s="14"/>
      <c r="F532" s="7"/>
      <c r="G532" s="7"/>
      <c r="H532" s="7"/>
      <c r="I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E532" s="7"/>
      <c r="AF532" s="7"/>
      <c r="AG532" s="7"/>
      <c r="AH532" s="7"/>
      <c r="AI532" s="7"/>
      <c r="AJ532" s="7"/>
      <c r="BV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FG532" s="23"/>
      <c r="FH532" s="23"/>
      <c r="FI532" s="23"/>
      <c r="FJ532" s="23"/>
      <c r="FK532" s="23"/>
      <c r="FL532" s="23"/>
      <c r="FM532" s="23"/>
      <c r="FN532" s="23"/>
    </row>
    <row r="533" spans="2:170" ht="12" customHeight="1" x14ac:dyDescent="0.3">
      <c r="B533" s="14"/>
      <c r="C533" s="14"/>
      <c r="D533" s="14"/>
      <c r="E533" s="14"/>
      <c r="F533" s="7"/>
      <c r="G533" s="7"/>
      <c r="H533" s="7"/>
      <c r="I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E533" s="7"/>
      <c r="AF533" s="7"/>
      <c r="AG533" s="7"/>
      <c r="AH533" s="7"/>
      <c r="AI533" s="7"/>
      <c r="AJ533" s="7"/>
      <c r="BV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FG533" s="23"/>
      <c r="FH533" s="23"/>
      <c r="FI533" s="23"/>
      <c r="FJ533" s="23"/>
      <c r="FK533" s="23"/>
      <c r="FL533" s="23"/>
      <c r="FM533" s="23"/>
      <c r="FN533" s="23"/>
    </row>
    <row r="534" spans="2:170" ht="12" customHeight="1" x14ac:dyDescent="0.3">
      <c r="FG534" s="23"/>
      <c r="FH534" s="23"/>
      <c r="FI534" s="23"/>
      <c r="FJ534" s="23"/>
      <c r="FK534" s="23"/>
      <c r="FL534" s="23"/>
    </row>
    <row r="535" spans="2:170" ht="12" customHeight="1" x14ac:dyDescent="0.3">
      <c r="FG535" s="23"/>
      <c r="FH535" s="23"/>
      <c r="FI535" s="23"/>
      <c r="FJ535" s="23"/>
      <c r="FK535" s="23"/>
      <c r="FL535" s="23"/>
    </row>
    <row r="536" spans="2:170" ht="12" customHeight="1" x14ac:dyDescent="0.3">
      <c r="FG536" s="23"/>
      <c r="FH536" s="23"/>
      <c r="FI536" s="23"/>
      <c r="FJ536" s="23"/>
      <c r="FK536" s="23"/>
      <c r="FL536" s="23"/>
    </row>
    <row r="537" spans="2:170" ht="12" customHeight="1" x14ac:dyDescent="0.3">
      <c r="B537" s="24"/>
      <c r="C537" s="24"/>
      <c r="D537" s="24"/>
      <c r="E537" s="24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D537" s="7"/>
      <c r="AE537" s="7"/>
      <c r="AF537" s="7"/>
      <c r="AG537" s="7"/>
      <c r="AH537" s="7"/>
      <c r="AI537" s="7"/>
      <c r="AJ537" s="7"/>
      <c r="BV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FG537" s="23"/>
      <c r="FH537" s="23"/>
      <c r="FI537" s="23"/>
      <c r="FJ537" s="23"/>
      <c r="FK537" s="23"/>
      <c r="FL537" s="23"/>
      <c r="FM537" s="23"/>
      <c r="FN537" s="23"/>
    </row>
    <row r="538" spans="2:170" ht="12" customHeight="1" x14ac:dyDescent="0.3">
      <c r="B538" s="24"/>
      <c r="C538" s="24"/>
      <c r="D538" s="24"/>
      <c r="E538" s="24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D538" s="7"/>
      <c r="AE538" s="7"/>
      <c r="AF538" s="7"/>
      <c r="AG538" s="7"/>
      <c r="AH538" s="7"/>
      <c r="AI538" s="7"/>
      <c r="AJ538" s="7"/>
      <c r="BV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FG538" s="23"/>
      <c r="FH538" s="23"/>
      <c r="FI538" s="23"/>
      <c r="FJ538" s="23"/>
      <c r="FK538" s="23"/>
      <c r="FL538" s="23"/>
      <c r="FM538" s="23"/>
      <c r="FN538" s="23"/>
    </row>
    <row r="539" spans="2:170" ht="12" customHeight="1" x14ac:dyDescent="0.3">
      <c r="B539" s="24"/>
      <c r="C539" s="24"/>
      <c r="D539" s="24"/>
      <c r="E539" s="24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D539" s="7"/>
      <c r="AE539" s="7"/>
      <c r="AF539" s="7"/>
      <c r="AG539" s="7"/>
      <c r="AH539" s="7"/>
      <c r="AI539" s="7"/>
      <c r="AJ539" s="7"/>
      <c r="BV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FG539" s="23"/>
      <c r="FH539" s="23"/>
      <c r="FI539" s="23"/>
      <c r="FJ539" s="23"/>
      <c r="FK539" s="23"/>
      <c r="FL539" s="23"/>
      <c r="FM539" s="23"/>
      <c r="FN539" s="23"/>
    </row>
    <row r="540" spans="2:170" ht="12" customHeight="1" x14ac:dyDescent="0.3">
      <c r="B540" s="24"/>
      <c r="C540" s="24"/>
      <c r="D540" s="24"/>
      <c r="E540" s="24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D540" s="7"/>
      <c r="AE540" s="7"/>
      <c r="AF540" s="7"/>
      <c r="AG540" s="7"/>
      <c r="AH540" s="7"/>
      <c r="AI540" s="7"/>
      <c r="AJ540" s="7"/>
      <c r="AK540" s="35"/>
      <c r="AL540" s="35"/>
      <c r="AM540" s="35"/>
      <c r="AN540" s="35"/>
      <c r="AO540" s="35"/>
      <c r="AP540" s="35"/>
      <c r="AQ540" s="42"/>
      <c r="AR540" s="42"/>
      <c r="AS540" s="42"/>
      <c r="AT540" s="42"/>
      <c r="AU540" s="42"/>
      <c r="AV540" s="42"/>
      <c r="AW540" s="35"/>
      <c r="BV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FG540" s="23"/>
      <c r="FH540" s="23"/>
      <c r="FI540" s="23"/>
      <c r="FJ540" s="23"/>
      <c r="FK540" s="23"/>
      <c r="FL540" s="23"/>
      <c r="FM540" s="23"/>
      <c r="FN540" s="23"/>
    </row>
    <row r="541" spans="2:170" ht="12" customHeight="1" x14ac:dyDescent="0.3">
      <c r="B541" s="24"/>
      <c r="C541" s="24"/>
      <c r="D541" s="24"/>
      <c r="E541" s="24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D541" s="7"/>
      <c r="AE541" s="7"/>
      <c r="AF541" s="7"/>
      <c r="AG541" s="7"/>
      <c r="AH541" s="7"/>
      <c r="AI541" s="7"/>
      <c r="AJ541" s="7"/>
      <c r="AK541" s="35"/>
      <c r="AL541" s="35"/>
      <c r="AM541" s="35"/>
      <c r="AN541" s="35"/>
      <c r="AO541" s="35"/>
      <c r="AP541" s="35"/>
      <c r="AQ541" s="42"/>
      <c r="AR541" s="42"/>
      <c r="AS541" s="42"/>
      <c r="AT541" s="42"/>
      <c r="AU541" s="42"/>
      <c r="AV541" s="42"/>
      <c r="AW541" s="35"/>
      <c r="BV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FG541" s="23"/>
      <c r="FH541" s="23"/>
      <c r="FI541" s="23"/>
      <c r="FJ541" s="23"/>
      <c r="FK541" s="23"/>
      <c r="FL541" s="23"/>
      <c r="FM541" s="23"/>
      <c r="FN541" s="23"/>
    </row>
    <row r="542" spans="2:170" ht="12" customHeight="1" x14ac:dyDescent="0.3">
      <c r="B542" s="24"/>
      <c r="C542" s="24"/>
      <c r="D542" s="24"/>
      <c r="E542" s="24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D542" s="7"/>
      <c r="AE542" s="7"/>
      <c r="AF542" s="7"/>
      <c r="AG542" s="7"/>
      <c r="AH542" s="7"/>
      <c r="AI542" s="7"/>
      <c r="AJ542" s="7"/>
      <c r="AK542" s="35"/>
      <c r="AL542" s="35"/>
      <c r="AM542" s="35"/>
      <c r="AN542" s="35"/>
      <c r="AO542" s="35"/>
      <c r="AP542" s="35"/>
      <c r="AQ542" s="42"/>
      <c r="AR542" s="42"/>
      <c r="AS542" s="42"/>
      <c r="AT542" s="42"/>
      <c r="AU542" s="42"/>
      <c r="AV542" s="42"/>
      <c r="AW542" s="35"/>
      <c r="BV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FG542" s="23"/>
      <c r="FH542" s="23"/>
      <c r="FI542" s="23"/>
      <c r="FJ542" s="23"/>
      <c r="FK542" s="23"/>
      <c r="FL542" s="23"/>
      <c r="FM542" s="23"/>
      <c r="FN542" s="23"/>
    </row>
    <row r="543" spans="2:170" ht="12" customHeight="1" x14ac:dyDescent="0.3">
      <c r="B543" s="24"/>
      <c r="C543" s="24"/>
      <c r="D543" s="24"/>
      <c r="E543" s="24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D543" s="7"/>
      <c r="AE543" s="7"/>
      <c r="AF543" s="7"/>
      <c r="AG543" s="7"/>
      <c r="AH543" s="7"/>
      <c r="AI543" s="7"/>
      <c r="AJ543" s="7"/>
      <c r="AK543" s="35"/>
      <c r="AL543" s="35"/>
      <c r="AM543" s="35"/>
      <c r="AN543" s="35"/>
      <c r="AO543" s="35"/>
      <c r="AP543" s="35"/>
      <c r="AQ543" s="42"/>
      <c r="AR543" s="42"/>
      <c r="AS543" s="42"/>
      <c r="AT543" s="42"/>
      <c r="AU543" s="42"/>
      <c r="AV543" s="42"/>
      <c r="AW543" s="35"/>
      <c r="BV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FG543" s="23"/>
      <c r="FH543" s="23"/>
      <c r="FI543" s="23"/>
      <c r="FJ543" s="23"/>
      <c r="FK543" s="23"/>
      <c r="FL543" s="23"/>
      <c r="FM543" s="23"/>
      <c r="FN543" s="23"/>
    </row>
    <row r="544" spans="2:170" ht="12" customHeight="1" x14ac:dyDescent="0.3">
      <c r="B544" s="24"/>
      <c r="C544" s="24"/>
      <c r="D544" s="24"/>
      <c r="E544" s="24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D544" s="7"/>
      <c r="AE544" s="7"/>
      <c r="AF544" s="7"/>
      <c r="AG544" s="7"/>
      <c r="AH544" s="7"/>
      <c r="AI544" s="7"/>
      <c r="AJ544" s="7"/>
      <c r="AK544" s="35"/>
      <c r="AL544" s="35"/>
      <c r="AM544" s="35"/>
      <c r="AN544" s="35"/>
      <c r="AO544" s="35"/>
      <c r="AP544" s="35"/>
      <c r="AQ544" s="42"/>
      <c r="AR544" s="42"/>
      <c r="AS544" s="42"/>
      <c r="AT544" s="42"/>
      <c r="AU544" s="42"/>
      <c r="AV544" s="42"/>
      <c r="AW544" s="35"/>
      <c r="BV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FG544" s="23"/>
      <c r="FH544" s="23"/>
      <c r="FI544" s="23"/>
      <c r="FJ544" s="23"/>
      <c r="FK544" s="23"/>
      <c r="FL544" s="23"/>
      <c r="FM544" s="23"/>
      <c r="FN544" s="23"/>
    </row>
    <row r="545" spans="2:170" ht="12" customHeight="1" x14ac:dyDescent="0.3">
      <c r="B545" s="24"/>
      <c r="C545" s="24"/>
      <c r="D545" s="24"/>
      <c r="E545" s="24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D545" s="7"/>
      <c r="AE545" s="7"/>
      <c r="AF545" s="7"/>
      <c r="AG545" s="7"/>
      <c r="AH545" s="7"/>
      <c r="AI545" s="7"/>
      <c r="AJ545" s="7"/>
      <c r="AK545" s="35"/>
      <c r="AL545" s="35"/>
      <c r="AM545" s="35"/>
      <c r="AN545" s="35"/>
      <c r="AO545" s="35"/>
      <c r="AP545" s="35"/>
      <c r="AQ545" s="42"/>
      <c r="AR545" s="42"/>
      <c r="AS545" s="42"/>
      <c r="AT545" s="42"/>
      <c r="AU545" s="42"/>
      <c r="AV545" s="42"/>
      <c r="AW545" s="35"/>
      <c r="BV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FG545" s="23"/>
      <c r="FH545" s="23"/>
      <c r="FI545" s="23"/>
      <c r="FJ545" s="23"/>
      <c r="FK545" s="23"/>
      <c r="FL545" s="23"/>
      <c r="FM545" s="23"/>
      <c r="FN545" s="23"/>
    </row>
    <row r="546" spans="2:170" ht="12" customHeight="1" x14ac:dyDescent="0.3">
      <c r="B546" s="24"/>
      <c r="C546" s="24"/>
      <c r="D546" s="24"/>
      <c r="E546" s="24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D546" s="7"/>
      <c r="AE546" s="7"/>
      <c r="AF546" s="7"/>
      <c r="AG546" s="7"/>
      <c r="AH546" s="7"/>
      <c r="AI546" s="7"/>
      <c r="AJ546" s="7"/>
      <c r="AK546" s="35"/>
      <c r="AL546" s="35"/>
      <c r="AM546" s="35"/>
      <c r="AN546" s="35"/>
      <c r="AO546" s="35"/>
      <c r="AP546" s="35"/>
      <c r="AQ546" s="42"/>
      <c r="AR546" s="42"/>
      <c r="AS546" s="42"/>
      <c r="AT546" s="42"/>
      <c r="AU546" s="42"/>
      <c r="AV546" s="42"/>
      <c r="AW546" s="35"/>
      <c r="BV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FG546" s="23"/>
      <c r="FH546" s="23"/>
      <c r="FI546" s="23"/>
      <c r="FJ546" s="23"/>
      <c r="FK546" s="23"/>
      <c r="FL546" s="23"/>
      <c r="FM546" s="23"/>
      <c r="FN546" s="23"/>
    </row>
    <row r="547" spans="2:170" ht="12" customHeight="1" x14ac:dyDescent="0.3">
      <c r="B547" s="24"/>
      <c r="C547" s="24"/>
      <c r="D547" s="24"/>
      <c r="E547" s="24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D547" s="7"/>
      <c r="AE547" s="7"/>
      <c r="AF547" s="7"/>
      <c r="AG547" s="7"/>
      <c r="AH547" s="7"/>
      <c r="AI547" s="7"/>
      <c r="AJ547" s="7"/>
      <c r="AK547" s="35"/>
      <c r="AL547" s="35"/>
      <c r="AM547" s="35"/>
      <c r="AN547" s="35"/>
      <c r="AO547" s="35"/>
      <c r="AP547" s="35"/>
      <c r="AQ547" s="42"/>
      <c r="AR547" s="42"/>
      <c r="AS547" s="42"/>
      <c r="AT547" s="42"/>
      <c r="AU547" s="42"/>
      <c r="AV547" s="42"/>
      <c r="AW547" s="35"/>
      <c r="BV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FG547" s="23"/>
      <c r="FH547" s="23"/>
      <c r="FI547" s="23"/>
      <c r="FJ547" s="23"/>
      <c r="FK547" s="23"/>
      <c r="FL547" s="23"/>
      <c r="FM547" s="23"/>
      <c r="FN547" s="23"/>
    </row>
    <row r="548" spans="2:170" ht="12" customHeight="1" x14ac:dyDescent="0.3">
      <c r="B548" s="24"/>
      <c r="C548" s="24"/>
      <c r="D548" s="24"/>
      <c r="E548" s="24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D548" s="7"/>
      <c r="AE548" s="7"/>
      <c r="AF548" s="7"/>
      <c r="AG548" s="7"/>
      <c r="AH548" s="7"/>
      <c r="AI548" s="7"/>
      <c r="AJ548" s="7"/>
      <c r="AK548" s="35"/>
      <c r="AL548" s="35"/>
      <c r="AM548" s="35"/>
      <c r="AN548" s="35"/>
      <c r="AO548" s="35"/>
      <c r="AP548" s="35"/>
      <c r="AQ548" s="42"/>
      <c r="AR548" s="42"/>
      <c r="AS548" s="42"/>
      <c r="AT548" s="42"/>
      <c r="AU548" s="42"/>
      <c r="AV548" s="42"/>
      <c r="AW548" s="35"/>
      <c r="BV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FG548" s="23"/>
      <c r="FH548" s="23"/>
      <c r="FI548" s="23"/>
      <c r="FJ548" s="23"/>
      <c r="FK548" s="23"/>
      <c r="FL548" s="23"/>
      <c r="FM548" s="23"/>
      <c r="FN548" s="23"/>
    </row>
    <row r="549" spans="2:170" ht="12" customHeight="1" x14ac:dyDescent="0.3">
      <c r="B549" s="24"/>
      <c r="C549" s="24"/>
      <c r="D549" s="24"/>
      <c r="E549" s="24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D549" s="7"/>
      <c r="AE549" s="7"/>
      <c r="AF549" s="7"/>
      <c r="AG549" s="7"/>
      <c r="AH549" s="7"/>
      <c r="AI549" s="7"/>
      <c r="AJ549" s="7"/>
      <c r="AK549" s="35"/>
      <c r="AL549" s="35"/>
      <c r="AM549" s="35"/>
      <c r="AN549" s="35"/>
      <c r="AO549" s="35"/>
      <c r="AP549" s="35"/>
      <c r="AQ549" s="42"/>
      <c r="AR549" s="42"/>
      <c r="AS549" s="42"/>
      <c r="AT549" s="42"/>
      <c r="AU549" s="42"/>
      <c r="AV549" s="42"/>
      <c r="AW549" s="35"/>
      <c r="BV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FG549" s="23"/>
      <c r="FH549" s="23"/>
      <c r="FI549" s="23"/>
      <c r="FJ549" s="23"/>
      <c r="FK549" s="23"/>
      <c r="FL549" s="23"/>
      <c r="FM549" s="23"/>
      <c r="FN549" s="23"/>
    </row>
    <row r="550" spans="2:170" ht="12" customHeight="1" x14ac:dyDescent="0.3">
      <c r="B550" s="24"/>
      <c r="C550" s="24"/>
      <c r="D550" s="24"/>
      <c r="E550" s="24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D550" s="7"/>
      <c r="AE550" s="7"/>
      <c r="AF550" s="7"/>
      <c r="AG550" s="7"/>
      <c r="AH550" s="7"/>
      <c r="AI550" s="7"/>
      <c r="AJ550" s="7"/>
      <c r="AK550" s="35"/>
      <c r="AL550" s="35"/>
      <c r="AM550" s="35"/>
      <c r="AN550" s="35"/>
      <c r="AO550" s="35"/>
      <c r="AP550" s="35"/>
      <c r="AQ550" s="42"/>
      <c r="AR550" s="42"/>
      <c r="AS550" s="42"/>
      <c r="AT550" s="42"/>
      <c r="AU550" s="42"/>
      <c r="AV550" s="42"/>
      <c r="AW550" s="35"/>
      <c r="BV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FG550" s="23"/>
      <c r="FH550" s="23"/>
      <c r="FI550" s="23"/>
      <c r="FJ550" s="23"/>
      <c r="FK550" s="23"/>
      <c r="FL550" s="23"/>
      <c r="FM550" s="23"/>
      <c r="FN550" s="23"/>
    </row>
    <row r="551" spans="2:170" ht="12" customHeight="1" x14ac:dyDescent="0.3">
      <c r="B551" s="24"/>
      <c r="C551" s="24"/>
      <c r="D551" s="24"/>
      <c r="E551" s="24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D551" s="7"/>
      <c r="AE551" s="7"/>
      <c r="AF551" s="7"/>
      <c r="AG551" s="7"/>
      <c r="AH551" s="7"/>
      <c r="AI551" s="7"/>
      <c r="AJ551" s="7"/>
      <c r="AK551" s="35"/>
      <c r="AL551" s="35"/>
      <c r="AM551" s="35"/>
      <c r="AN551" s="35"/>
      <c r="AO551" s="35"/>
      <c r="AP551" s="35"/>
      <c r="AQ551" s="42"/>
      <c r="AR551" s="42"/>
      <c r="AS551" s="42"/>
      <c r="AT551" s="42"/>
      <c r="AU551" s="42"/>
      <c r="AV551" s="42"/>
      <c r="AW551" s="35"/>
      <c r="BV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FG551" s="23"/>
      <c r="FH551" s="23"/>
      <c r="FI551" s="23"/>
      <c r="FJ551" s="23"/>
      <c r="FK551" s="23"/>
      <c r="FL551" s="23"/>
      <c r="FM551" s="23"/>
      <c r="FN551" s="23"/>
    </row>
    <row r="552" spans="2:170" ht="12" customHeight="1" x14ac:dyDescent="0.3">
      <c r="B552" s="24"/>
      <c r="C552" s="24"/>
      <c r="D552" s="24"/>
      <c r="E552" s="24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D552" s="7"/>
      <c r="AE552" s="7"/>
      <c r="AF552" s="7"/>
      <c r="AG552" s="7"/>
      <c r="AH552" s="7"/>
      <c r="AI552" s="7"/>
      <c r="AJ552" s="7"/>
      <c r="AK552" s="35"/>
      <c r="AL552" s="35"/>
      <c r="AM552" s="35"/>
      <c r="AN552" s="35"/>
      <c r="AO552" s="35"/>
      <c r="AP552" s="35"/>
      <c r="AQ552" s="42"/>
      <c r="AR552" s="42"/>
      <c r="AS552" s="42"/>
      <c r="AT552" s="42"/>
      <c r="AU552" s="42"/>
      <c r="AV552" s="42"/>
      <c r="AW552" s="35"/>
      <c r="BV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FG552" s="23"/>
      <c r="FH552" s="23"/>
      <c r="FI552" s="23"/>
      <c r="FJ552" s="23"/>
      <c r="FK552" s="23"/>
      <c r="FL552" s="23"/>
      <c r="FM552" s="23"/>
      <c r="FN552" s="23"/>
    </row>
    <row r="553" spans="2:170" ht="12" customHeight="1" x14ac:dyDescent="0.3">
      <c r="B553" s="24"/>
      <c r="C553" s="24"/>
      <c r="D553" s="24"/>
      <c r="E553" s="24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D553" s="7"/>
      <c r="AE553" s="7"/>
      <c r="AF553" s="7"/>
      <c r="AG553" s="7"/>
      <c r="AH553" s="7"/>
      <c r="AI553" s="7"/>
      <c r="AJ553" s="7"/>
      <c r="AK553" s="35"/>
      <c r="AL553" s="35"/>
      <c r="AM553" s="35"/>
      <c r="AN553" s="35"/>
      <c r="AO553" s="35"/>
      <c r="AP553" s="35"/>
      <c r="AQ553" s="42"/>
      <c r="AR553" s="42"/>
      <c r="AS553" s="42"/>
      <c r="AT553" s="42"/>
      <c r="AU553" s="42"/>
      <c r="AV553" s="42"/>
      <c r="AW553" s="35"/>
      <c r="BV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FG553" s="23"/>
      <c r="FH553" s="23"/>
      <c r="FI553" s="23"/>
      <c r="FJ553" s="23"/>
      <c r="FK553" s="23"/>
      <c r="FL553" s="23"/>
      <c r="FM553" s="23"/>
      <c r="FN553" s="23"/>
    </row>
    <row r="554" spans="2:170" ht="12" customHeight="1" x14ac:dyDescent="0.3">
      <c r="B554" s="24"/>
      <c r="C554" s="24"/>
      <c r="D554" s="24"/>
      <c r="E554" s="24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D554" s="7"/>
      <c r="AE554" s="7"/>
      <c r="AF554" s="7"/>
      <c r="AG554" s="7"/>
      <c r="AH554" s="7"/>
      <c r="AI554" s="7"/>
      <c r="AJ554" s="7"/>
      <c r="AK554" s="35"/>
      <c r="AL554" s="35"/>
      <c r="AM554" s="35"/>
      <c r="AN554" s="35"/>
      <c r="AO554" s="35"/>
      <c r="AP554" s="35"/>
      <c r="AQ554" s="42"/>
      <c r="AR554" s="42"/>
      <c r="AS554" s="42"/>
      <c r="AT554" s="42"/>
      <c r="AU554" s="42"/>
      <c r="AV554" s="42"/>
      <c r="AW554" s="35"/>
      <c r="BV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FG554" s="23"/>
      <c r="FH554" s="23"/>
      <c r="FI554" s="23"/>
      <c r="FJ554" s="23"/>
      <c r="FK554" s="23"/>
      <c r="FL554" s="23"/>
      <c r="FM554" s="23"/>
      <c r="FN554" s="23"/>
    </row>
    <row r="555" spans="2:170" ht="12" customHeight="1" x14ac:dyDescent="0.3">
      <c r="B555" s="24"/>
      <c r="C555" s="24"/>
      <c r="D555" s="24"/>
      <c r="E555" s="24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D555" s="7"/>
      <c r="AE555" s="7"/>
      <c r="AF555" s="7"/>
      <c r="AG555" s="7"/>
      <c r="AH555" s="7"/>
      <c r="AI555" s="7"/>
      <c r="AJ555" s="7"/>
      <c r="AK555" s="35"/>
      <c r="AL555" s="35"/>
      <c r="AM555" s="35"/>
      <c r="AN555" s="35"/>
      <c r="AO555" s="35"/>
      <c r="AP555" s="35"/>
      <c r="AQ555" s="42"/>
      <c r="AR555" s="42"/>
      <c r="AS555" s="42"/>
      <c r="AT555" s="42"/>
      <c r="AU555" s="42"/>
      <c r="AV555" s="42"/>
      <c r="AW555" s="35"/>
      <c r="BV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FG555" s="23"/>
      <c r="FH555" s="23"/>
      <c r="FI555" s="23"/>
      <c r="FJ555" s="23"/>
      <c r="FK555" s="23"/>
      <c r="FL555" s="23"/>
      <c r="FM555" s="23"/>
      <c r="FN555" s="23"/>
    </row>
    <row r="556" spans="2:170" ht="12" customHeight="1" x14ac:dyDescent="0.3">
      <c r="B556" s="24"/>
      <c r="C556" s="24"/>
      <c r="D556" s="24"/>
      <c r="E556" s="24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D556" s="7"/>
      <c r="AE556" s="7"/>
      <c r="AF556" s="7"/>
      <c r="AG556" s="7"/>
      <c r="AH556" s="7"/>
      <c r="AI556" s="7"/>
      <c r="AJ556" s="7"/>
      <c r="AK556" s="35"/>
      <c r="AL556" s="35"/>
      <c r="AM556" s="35"/>
      <c r="AN556" s="35"/>
      <c r="AO556" s="35"/>
      <c r="AP556" s="35"/>
      <c r="AQ556" s="42"/>
      <c r="AR556" s="42"/>
      <c r="AS556" s="42"/>
      <c r="AT556" s="42"/>
      <c r="AU556" s="42"/>
      <c r="AV556" s="42"/>
      <c r="AW556" s="35"/>
      <c r="BV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FG556" s="23"/>
      <c r="FH556" s="23"/>
      <c r="FI556" s="23"/>
      <c r="FJ556" s="23"/>
      <c r="FK556" s="23"/>
      <c r="FL556" s="23"/>
      <c r="FM556" s="23"/>
      <c r="FN556" s="23"/>
    </row>
    <row r="557" spans="2:170" ht="12" customHeight="1" x14ac:dyDescent="0.3">
      <c r="B557" s="24"/>
      <c r="C557" s="24"/>
      <c r="D557" s="24"/>
      <c r="E557" s="24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D557" s="7"/>
      <c r="AE557" s="7"/>
      <c r="AF557" s="7"/>
      <c r="AG557" s="7"/>
      <c r="AH557" s="7"/>
      <c r="AI557" s="7"/>
      <c r="AJ557" s="7"/>
      <c r="AK557" s="35"/>
      <c r="AL557" s="35"/>
      <c r="AM557" s="35"/>
      <c r="AN557" s="35"/>
      <c r="AO557" s="35"/>
      <c r="AP557" s="35"/>
      <c r="AQ557" s="42"/>
      <c r="AR557" s="42"/>
      <c r="AS557" s="42"/>
      <c r="AT557" s="42"/>
      <c r="AU557" s="42"/>
      <c r="AV557" s="42"/>
      <c r="AW557" s="35"/>
      <c r="BV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FG557" s="23"/>
      <c r="FH557" s="23"/>
      <c r="FI557" s="23"/>
      <c r="FJ557" s="23"/>
      <c r="FK557" s="23"/>
      <c r="FL557" s="23"/>
      <c r="FM557" s="23"/>
      <c r="FN557" s="23"/>
    </row>
    <row r="558" spans="2:170" ht="12" customHeight="1" x14ac:dyDescent="0.3">
      <c r="B558" s="24"/>
      <c r="C558" s="24"/>
      <c r="D558" s="24"/>
      <c r="E558" s="24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D558" s="7"/>
      <c r="AE558" s="7"/>
      <c r="AF558" s="7"/>
      <c r="AG558" s="7"/>
      <c r="AH558" s="7"/>
      <c r="AI558" s="7"/>
      <c r="AJ558" s="7"/>
      <c r="AK558" s="35"/>
      <c r="AL558" s="35"/>
      <c r="AM558" s="35"/>
      <c r="AN558" s="35"/>
      <c r="AO558" s="35"/>
      <c r="AP558" s="35"/>
      <c r="AQ558" s="42"/>
      <c r="AR558" s="42"/>
      <c r="AS558" s="42"/>
      <c r="AT558" s="42"/>
      <c r="AU558" s="42"/>
      <c r="AV558" s="42"/>
      <c r="AW558" s="35"/>
      <c r="BV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FG558" s="23"/>
      <c r="FH558" s="23"/>
      <c r="FI558" s="23"/>
      <c r="FJ558" s="23"/>
      <c r="FK558" s="23"/>
      <c r="FL558" s="23"/>
      <c r="FM558" s="23"/>
      <c r="FN558" s="23"/>
    </row>
    <row r="559" spans="2:170" ht="12" customHeight="1" x14ac:dyDescent="0.3">
      <c r="B559" s="24"/>
      <c r="C559" s="24"/>
      <c r="D559" s="24"/>
      <c r="E559" s="24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D559" s="7"/>
      <c r="AE559" s="7"/>
      <c r="AF559" s="7"/>
      <c r="AG559" s="7"/>
      <c r="AH559" s="7"/>
      <c r="AI559" s="7"/>
      <c r="AJ559" s="7"/>
      <c r="AK559" s="35"/>
      <c r="AL559" s="35"/>
      <c r="AM559" s="35"/>
      <c r="AN559" s="35"/>
      <c r="AO559" s="35"/>
      <c r="AP559" s="35"/>
      <c r="AQ559" s="42"/>
      <c r="AR559" s="42"/>
      <c r="AS559" s="42"/>
      <c r="AT559" s="42"/>
      <c r="AU559" s="42"/>
      <c r="AV559" s="42"/>
      <c r="AW559" s="35"/>
      <c r="BV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FG559" s="23"/>
      <c r="FH559" s="23"/>
      <c r="FI559" s="23"/>
      <c r="FJ559" s="23"/>
      <c r="FK559" s="23"/>
      <c r="FL559" s="23"/>
      <c r="FM559" s="23"/>
      <c r="FN559" s="23"/>
    </row>
    <row r="560" spans="2:170" ht="12" customHeight="1" x14ac:dyDescent="0.3">
      <c r="B560" s="24"/>
      <c r="C560" s="24"/>
      <c r="D560" s="24"/>
      <c r="E560" s="24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D560" s="7"/>
      <c r="AE560" s="7"/>
      <c r="AF560" s="7"/>
      <c r="AG560" s="7"/>
      <c r="AH560" s="7"/>
      <c r="AI560" s="7"/>
      <c r="AJ560" s="7"/>
      <c r="AK560" s="35"/>
      <c r="AL560" s="35"/>
      <c r="AM560" s="35"/>
      <c r="AN560" s="35"/>
      <c r="AO560" s="35"/>
      <c r="AP560" s="35"/>
      <c r="AQ560" s="42"/>
      <c r="AR560" s="42"/>
      <c r="AS560" s="42"/>
      <c r="AT560" s="42"/>
      <c r="AU560" s="42"/>
      <c r="AV560" s="42"/>
      <c r="AW560" s="35"/>
      <c r="BV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FG560" s="23"/>
      <c r="FH560" s="23"/>
      <c r="FI560" s="23"/>
      <c r="FJ560" s="23"/>
      <c r="FK560" s="23"/>
      <c r="FL560" s="23"/>
      <c r="FM560" s="23"/>
      <c r="FN560" s="23"/>
    </row>
    <row r="561" spans="2:170" ht="12" customHeight="1" x14ac:dyDescent="0.3">
      <c r="B561" s="24"/>
      <c r="C561" s="24"/>
      <c r="D561" s="24"/>
      <c r="E561" s="24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D561" s="7"/>
      <c r="AE561" s="7"/>
      <c r="AF561" s="7"/>
      <c r="AG561" s="7"/>
      <c r="AH561" s="7"/>
      <c r="AI561" s="7"/>
      <c r="AJ561" s="7"/>
      <c r="AK561" s="35"/>
      <c r="AL561" s="35"/>
      <c r="AM561" s="35"/>
      <c r="AN561" s="35"/>
      <c r="AO561" s="35"/>
      <c r="AP561" s="35"/>
      <c r="AQ561" s="42"/>
      <c r="AR561" s="42"/>
      <c r="AS561" s="42"/>
      <c r="AT561" s="42"/>
      <c r="AU561" s="42"/>
      <c r="AV561" s="42"/>
      <c r="AW561" s="35"/>
      <c r="BV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FG561" s="23"/>
      <c r="FH561" s="23"/>
      <c r="FI561" s="23"/>
      <c r="FJ561" s="23"/>
      <c r="FK561" s="23"/>
      <c r="FL561" s="23"/>
      <c r="FM561" s="23"/>
      <c r="FN561" s="23"/>
    </row>
    <row r="562" spans="2:170" ht="12" customHeight="1" x14ac:dyDescent="0.3">
      <c r="B562" s="24"/>
      <c r="C562" s="24"/>
      <c r="D562" s="24"/>
      <c r="E562" s="24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D562" s="7"/>
      <c r="AE562" s="7"/>
      <c r="AF562" s="7"/>
      <c r="AG562" s="7"/>
      <c r="AH562" s="7"/>
      <c r="AI562" s="7"/>
      <c r="AJ562" s="7"/>
      <c r="AK562" s="35"/>
      <c r="AL562" s="35"/>
      <c r="AM562" s="35"/>
      <c r="AN562" s="35"/>
      <c r="AO562" s="35"/>
      <c r="AP562" s="35"/>
      <c r="AQ562" s="42"/>
      <c r="AR562" s="42"/>
      <c r="AS562" s="42"/>
      <c r="AT562" s="42"/>
      <c r="AU562" s="42"/>
      <c r="AV562" s="42"/>
      <c r="AW562" s="35"/>
      <c r="BV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FG562" s="23"/>
      <c r="FH562" s="23"/>
      <c r="FI562" s="23"/>
      <c r="FJ562" s="23"/>
      <c r="FK562" s="23"/>
      <c r="FL562" s="23"/>
      <c r="FM562" s="23"/>
      <c r="FN562" s="23"/>
    </row>
    <row r="563" spans="2:170" ht="12" customHeight="1" x14ac:dyDescent="0.3">
      <c r="B563" s="24"/>
      <c r="C563" s="24"/>
      <c r="D563" s="24"/>
      <c r="E563" s="24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D563" s="7"/>
      <c r="AE563" s="7"/>
      <c r="AF563" s="7"/>
      <c r="AG563" s="7"/>
      <c r="AH563" s="7"/>
      <c r="AI563" s="7"/>
      <c r="AJ563" s="7"/>
      <c r="AK563" s="35"/>
      <c r="AL563" s="35"/>
      <c r="AM563" s="35"/>
      <c r="AN563" s="35"/>
      <c r="AO563" s="35"/>
      <c r="AP563" s="35"/>
      <c r="AQ563" s="42"/>
      <c r="AR563" s="42"/>
      <c r="AS563" s="42"/>
      <c r="AT563" s="42"/>
      <c r="AU563" s="42"/>
      <c r="AV563" s="42"/>
      <c r="AW563" s="35"/>
      <c r="BV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FG563" s="23"/>
      <c r="FH563" s="23"/>
      <c r="FI563" s="23"/>
      <c r="FJ563" s="23"/>
      <c r="FK563" s="23"/>
      <c r="FL563" s="23"/>
      <c r="FM563" s="23"/>
      <c r="FN563" s="23"/>
    </row>
    <row r="564" spans="2:170" ht="12" customHeight="1" x14ac:dyDescent="0.3">
      <c r="B564" s="24"/>
      <c r="C564" s="24"/>
      <c r="D564" s="24"/>
      <c r="E564" s="24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D564" s="7"/>
      <c r="AE564" s="7"/>
      <c r="AF564" s="7"/>
      <c r="AG564" s="7"/>
      <c r="AH564" s="7"/>
      <c r="AI564" s="7"/>
      <c r="AJ564" s="7"/>
      <c r="AK564" s="35"/>
      <c r="AL564" s="35"/>
      <c r="AM564" s="35"/>
      <c r="AN564" s="35"/>
      <c r="AO564" s="35"/>
      <c r="AP564" s="35"/>
      <c r="AQ564" s="42"/>
      <c r="AR564" s="42"/>
      <c r="AS564" s="42"/>
      <c r="AT564" s="42"/>
      <c r="AU564" s="42"/>
      <c r="AV564" s="42"/>
      <c r="AW564" s="35"/>
      <c r="BV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FG564" s="23"/>
      <c r="FH564" s="23"/>
      <c r="FI564" s="23"/>
      <c r="FJ564" s="23"/>
      <c r="FK564" s="23"/>
      <c r="FL564" s="23"/>
      <c r="FM564" s="23"/>
      <c r="FN564" s="23"/>
    </row>
    <row r="565" spans="2:170" ht="12" customHeight="1" x14ac:dyDescent="0.3">
      <c r="B565" s="24"/>
      <c r="C565" s="24"/>
      <c r="D565" s="24"/>
      <c r="E565" s="24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D565" s="7"/>
      <c r="AE565" s="7"/>
      <c r="AF565" s="7"/>
      <c r="AG565" s="7"/>
      <c r="AH565" s="7"/>
      <c r="AI565" s="7"/>
      <c r="AJ565" s="7"/>
      <c r="AK565" s="35"/>
      <c r="AL565" s="35"/>
      <c r="AM565" s="35"/>
      <c r="AN565" s="35"/>
      <c r="AO565" s="35"/>
      <c r="AP565" s="35"/>
      <c r="AQ565" s="42"/>
      <c r="AR565" s="42"/>
      <c r="AS565" s="42"/>
      <c r="AT565" s="42"/>
      <c r="AU565" s="42"/>
      <c r="AV565" s="42"/>
      <c r="AW565" s="35"/>
      <c r="BV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FG565" s="23"/>
      <c r="FH565" s="23"/>
      <c r="FI565" s="23"/>
      <c r="FJ565" s="23"/>
      <c r="FK565" s="23"/>
      <c r="FL565" s="23"/>
      <c r="FM565" s="23"/>
      <c r="FN565" s="23"/>
    </row>
    <row r="566" spans="2:170" ht="12" customHeight="1" x14ac:dyDescent="0.3">
      <c r="B566" s="24"/>
      <c r="C566" s="24"/>
      <c r="D566" s="24"/>
      <c r="E566" s="24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D566" s="7"/>
      <c r="AE566" s="7"/>
      <c r="AF566" s="7"/>
      <c r="AG566" s="7"/>
      <c r="AH566" s="7"/>
      <c r="AI566" s="7"/>
      <c r="AJ566" s="7"/>
      <c r="AK566" s="35"/>
      <c r="AL566" s="35"/>
      <c r="AM566" s="35"/>
      <c r="AN566" s="35"/>
      <c r="AO566" s="35"/>
      <c r="AP566" s="35"/>
      <c r="AQ566" s="42"/>
      <c r="AR566" s="42"/>
      <c r="AS566" s="42"/>
      <c r="AT566" s="42"/>
      <c r="AU566" s="42"/>
      <c r="AV566" s="42"/>
      <c r="AW566" s="35"/>
      <c r="BV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FG566" s="23"/>
      <c r="FH566" s="23"/>
      <c r="FI566" s="23"/>
      <c r="FJ566" s="23"/>
      <c r="FK566" s="23"/>
      <c r="FL566" s="23"/>
      <c r="FM566" s="23"/>
      <c r="FN566" s="23"/>
    </row>
    <row r="567" spans="2:170" ht="12" customHeight="1" x14ac:dyDescent="0.3">
      <c r="B567" s="24"/>
      <c r="C567" s="24"/>
      <c r="D567" s="24"/>
      <c r="E567" s="24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D567" s="7"/>
      <c r="AE567" s="7"/>
      <c r="AF567" s="7"/>
      <c r="AG567" s="7"/>
      <c r="AH567" s="7"/>
      <c r="AI567" s="7"/>
      <c r="AJ567" s="7"/>
      <c r="AK567" s="35"/>
      <c r="AL567" s="35"/>
      <c r="AM567" s="35"/>
      <c r="AN567" s="35"/>
      <c r="AO567" s="35"/>
      <c r="AP567" s="35"/>
      <c r="AQ567" s="42"/>
      <c r="AR567" s="42"/>
      <c r="AS567" s="42"/>
      <c r="AT567" s="42"/>
      <c r="AU567" s="42"/>
      <c r="AV567" s="42"/>
      <c r="AW567" s="35"/>
      <c r="BV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FG567" s="23"/>
      <c r="FH567" s="23"/>
      <c r="FI567" s="23"/>
      <c r="FJ567" s="23"/>
      <c r="FK567" s="23"/>
      <c r="FL567" s="23"/>
      <c r="FM567" s="23"/>
      <c r="FN567" s="23"/>
    </row>
    <row r="568" spans="2:170" ht="12" customHeight="1" x14ac:dyDescent="0.3">
      <c r="B568" s="24"/>
      <c r="C568" s="24"/>
      <c r="D568" s="24"/>
      <c r="E568" s="24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D568" s="7"/>
      <c r="AE568" s="7"/>
      <c r="AF568" s="7"/>
      <c r="AG568" s="7"/>
      <c r="AH568" s="7"/>
      <c r="AI568" s="7"/>
      <c r="AJ568" s="7"/>
      <c r="AK568" s="35"/>
      <c r="AL568" s="35"/>
      <c r="AM568" s="35"/>
      <c r="AN568" s="35"/>
      <c r="AO568" s="35"/>
      <c r="AP568" s="35"/>
      <c r="AQ568" s="42"/>
      <c r="AR568" s="42"/>
      <c r="AS568" s="42"/>
      <c r="AT568" s="42"/>
      <c r="AU568" s="42"/>
      <c r="AV568" s="42"/>
      <c r="AW568" s="35"/>
      <c r="BV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FG568" s="23"/>
      <c r="FH568" s="23"/>
      <c r="FI568" s="23"/>
      <c r="FJ568" s="23"/>
      <c r="FK568" s="23"/>
      <c r="FL568" s="23"/>
      <c r="FM568" s="23"/>
      <c r="FN568" s="23"/>
    </row>
    <row r="569" spans="2:170" ht="12" customHeight="1" x14ac:dyDescent="0.3">
      <c r="B569" s="24"/>
      <c r="C569" s="24"/>
      <c r="D569" s="24"/>
      <c r="E569" s="24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D569" s="7"/>
      <c r="AE569" s="7"/>
      <c r="AF569" s="7"/>
      <c r="AG569" s="7"/>
      <c r="AH569" s="7"/>
      <c r="AI569" s="7"/>
      <c r="AJ569" s="7"/>
      <c r="AK569" s="35"/>
      <c r="AL569" s="35"/>
      <c r="AM569" s="35"/>
      <c r="AN569" s="35"/>
      <c r="AO569" s="35"/>
      <c r="AP569" s="35"/>
      <c r="AQ569" s="42"/>
      <c r="AR569" s="42"/>
      <c r="AS569" s="42"/>
      <c r="AT569" s="42"/>
      <c r="AU569" s="42"/>
      <c r="AV569" s="42"/>
      <c r="AW569" s="35"/>
      <c r="BV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FG569" s="23"/>
      <c r="FH569" s="23"/>
      <c r="FI569" s="23"/>
      <c r="FJ569" s="23"/>
      <c r="FK569" s="23"/>
      <c r="FL569" s="23"/>
      <c r="FM569" s="23"/>
      <c r="FN569" s="23"/>
    </row>
    <row r="570" spans="2:170" ht="12" customHeight="1" x14ac:dyDescent="0.3">
      <c r="B570" s="24"/>
      <c r="C570" s="24"/>
      <c r="D570" s="24"/>
      <c r="E570" s="24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D570" s="7"/>
      <c r="AE570" s="7"/>
      <c r="AF570" s="7"/>
      <c r="AG570" s="7"/>
      <c r="AH570" s="7"/>
      <c r="AI570" s="7"/>
      <c r="AJ570" s="7"/>
      <c r="AK570" s="35"/>
      <c r="AL570" s="35"/>
      <c r="AM570" s="35"/>
      <c r="AN570" s="35"/>
      <c r="AO570" s="35"/>
      <c r="AP570" s="35"/>
      <c r="AQ570" s="42"/>
      <c r="AR570" s="42"/>
      <c r="AS570" s="42"/>
      <c r="AT570" s="42"/>
      <c r="AU570" s="42"/>
      <c r="AV570" s="42"/>
      <c r="AW570" s="35"/>
      <c r="BV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FG570" s="23"/>
      <c r="FH570" s="23"/>
      <c r="FI570" s="23"/>
      <c r="FJ570" s="23"/>
      <c r="FK570" s="23"/>
      <c r="FL570" s="23"/>
      <c r="FM570" s="23"/>
      <c r="FN570" s="23"/>
    </row>
    <row r="571" spans="2:170" ht="12" customHeight="1" x14ac:dyDescent="0.3">
      <c r="B571" s="24"/>
      <c r="C571" s="24"/>
      <c r="D571" s="24"/>
      <c r="E571" s="24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D571" s="7"/>
      <c r="AE571" s="7"/>
      <c r="AF571" s="7"/>
      <c r="AG571" s="7"/>
      <c r="AH571" s="7"/>
      <c r="AI571" s="7"/>
      <c r="AJ571" s="7"/>
      <c r="AK571" s="35"/>
      <c r="AL571" s="35"/>
      <c r="AM571" s="35"/>
      <c r="AN571" s="35"/>
      <c r="AO571" s="35"/>
      <c r="AP571" s="35"/>
      <c r="AQ571" s="42"/>
      <c r="AR571" s="42"/>
      <c r="AS571" s="42"/>
      <c r="AT571" s="42"/>
      <c r="AU571" s="42"/>
      <c r="AV571" s="42"/>
      <c r="AW571" s="35"/>
      <c r="BV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FG571" s="23"/>
      <c r="FH571" s="23"/>
      <c r="FI571" s="23"/>
      <c r="FJ571" s="23"/>
      <c r="FK571" s="23"/>
      <c r="FL571" s="23"/>
      <c r="FM571" s="23"/>
      <c r="FN571" s="23"/>
    </row>
    <row r="572" spans="2:170" ht="12" customHeight="1" x14ac:dyDescent="0.3">
      <c r="B572" s="24"/>
      <c r="C572" s="24"/>
      <c r="D572" s="24"/>
      <c r="E572" s="24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D572" s="7"/>
      <c r="AE572" s="7"/>
      <c r="AF572" s="7"/>
      <c r="AG572" s="7"/>
      <c r="AH572" s="7"/>
      <c r="AI572" s="7"/>
      <c r="AJ572" s="7"/>
      <c r="AK572" s="35"/>
      <c r="AL572" s="35"/>
      <c r="AM572" s="35"/>
      <c r="AN572" s="35"/>
      <c r="AO572" s="35"/>
      <c r="AP572" s="35"/>
      <c r="AQ572" s="42"/>
      <c r="AR572" s="42"/>
      <c r="AS572" s="42"/>
      <c r="AT572" s="42"/>
      <c r="AU572" s="42"/>
      <c r="AV572" s="42"/>
      <c r="AW572" s="35"/>
      <c r="BV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FG572" s="23"/>
      <c r="FH572" s="23"/>
      <c r="FI572" s="23"/>
      <c r="FJ572" s="23"/>
      <c r="FK572" s="23"/>
      <c r="FL572" s="23"/>
      <c r="FM572" s="23"/>
      <c r="FN572" s="23"/>
    </row>
    <row r="573" spans="2:170" ht="12" customHeight="1" x14ac:dyDescent="0.3">
      <c r="B573" s="24"/>
      <c r="C573" s="24"/>
      <c r="D573" s="24"/>
      <c r="E573" s="24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D573" s="7"/>
      <c r="AE573" s="7"/>
      <c r="AF573" s="7"/>
      <c r="AG573" s="7"/>
      <c r="AH573" s="7"/>
      <c r="AI573" s="7"/>
      <c r="AJ573" s="7"/>
      <c r="AK573" s="35"/>
      <c r="AL573" s="35"/>
      <c r="AM573" s="35"/>
      <c r="AN573" s="35"/>
      <c r="AO573" s="35"/>
      <c r="AP573" s="35"/>
      <c r="AQ573" s="42"/>
      <c r="AR573" s="42"/>
      <c r="AS573" s="42"/>
      <c r="AT573" s="42"/>
      <c r="AU573" s="42"/>
      <c r="AV573" s="42"/>
      <c r="AW573" s="35"/>
      <c r="BV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FG573" s="23"/>
      <c r="FH573" s="23"/>
      <c r="FI573" s="23"/>
      <c r="FJ573" s="23"/>
      <c r="FK573" s="23"/>
      <c r="FL573" s="23"/>
      <c r="FM573" s="23"/>
      <c r="FN573" s="23"/>
    </row>
    <row r="574" spans="2:170" ht="12" customHeight="1" x14ac:dyDescent="0.3">
      <c r="B574" s="24"/>
      <c r="C574" s="24"/>
      <c r="D574" s="24"/>
      <c r="E574" s="24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D574" s="7"/>
      <c r="AE574" s="7"/>
      <c r="AF574" s="7"/>
      <c r="AG574" s="7"/>
      <c r="AH574" s="7"/>
      <c r="AI574" s="7"/>
      <c r="AJ574" s="7"/>
      <c r="AK574" s="35"/>
      <c r="AL574" s="35"/>
      <c r="AM574" s="35"/>
      <c r="AN574" s="35"/>
      <c r="AO574" s="35"/>
      <c r="AP574" s="35"/>
      <c r="AQ574" s="42"/>
      <c r="AR574" s="42"/>
      <c r="AS574" s="42"/>
      <c r="AT574" s="42"/>
      <c r="AU574" s="42"/>
      <c r="AV574" s="42"/>
      <c r="AW574" s="35"/>
      <c r="BV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FG574" s="23"/>
      <c r="FH574" s="23"/>
      <c r="FI574" s="23"/>
      <c r="FJ574" s="23"/>
      <c r="FK574" s="23"/>
      <c r="FL574" s="23"/>
      <c r="FM574" s="23"/>
      <c r="FN574" s="23"/>
    </row>
    <row r="575" spans="2:170" ht="12" customHeight="1" x14ac:dyDescent="0.3">
      <c r="B575" s="24"/>
      <c r="C575" s="24"/>
      <c r="D575" s="24"/>
      <c r="E575" s="24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D575" s="7"/>
      <c r="AE575" s="7"/>
      <c r="AF575" s="7"/>
      <c r="AG575" s="7"/>
      <c r="AH575" s="7"/>
      <c r="AI575" s="7"/>
      <c r="AJ575" s="7"/>
      <c r="AK575" s="35"/>
      <c r="AL575" s="35"/>
      <c r="AM575" s="35"/>
      <c r="AN575" s="35"/>
      <c r="AO575" s="35"/>
      <c r="AP575" s="35"/>
      <c r="AQ575" s="42"/>
      <c r="AR575" s="42"/>
      <c r="AS575" s="42"/>
      <c r="AT575" s="42"/>
      <c r="AU575" s="42"/>
      <c r="AV575" s="42"/>
      <c r="AW575" s="35"/>
      <c r="BV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FG575" s="23"/>
      <c r="FH575" s="23"/>
      <c r="FI575" s="23"/>
      <c r="FJ575" s="23"/>
      <c r="FK575" s="23"/>
      <c r="FL575" s="23"/>
      <c r="FM575" s="23"/>
      <c r="FN575" s="23"/>
    </row>
    <row r="576" spans="2:170" ht="12" customHeight="1" x14ac:dyDescent="0.3">
      <c r="B576" s="24"/>
      <c r="C576" s="24"/>
      <c r="D576" s="24"/>
      <c r="E576" s="24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D576" s="7"/>
      <c r="AE576" s="7"/>
      <c r="AF576" s="7"/>
      <c r="AG576" s="7"/>
      <c r="AH576" s="7"/>
      <c r="AI576" s="7"/>
      <c r="AJ576" s="7"/>
      <c r="AK576" s="35"/>
      <c r="AL576" s="35"/>
      <c r="AM576" s="35"/>
      <c r="AN576" s="35"/>
      <c r="AO576" s="35"/>
      <c r="AP576" s="35"/>
      <c r="AQ576" s="42"/>
      <c r="AR576" s="42"/>
      <c r="AS576" s="42"/>
      <c r="AT576" s="42"/>
      <c r="AU576" s="42"/>
      <c r="AV576" s="42"/>
      <c r="AW576" s="35"/>
      <c r="BV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FG576" s="23"/>
      <c r="FH576" s="23"/>
      <c r="FI576" s="23"/>
      <c r="FJ576" s="23"/>
      <c r="FK576" s="23"/>
      <c r="FL576" s="23"/>
      <c r="FM576" s="23"/>
      <c r="FN576" s="23"/>
    </row>
    <row r="577" spans="2:170" ht="12" customHeight="1" x14ac:dyDescent="0.3">
      <c r="B577" s="24"/>
      <c r="C577" s="24"/>
      <c r="D577" s="24"/>
      <c r="E577" s="24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D577" s="7"/>
      <c r="AE577" s="7"/>
      <c r="AF577" s="7"/>
      <c r="AG577" s="7"/>
      <c r="AH577" s="7"/>
      <c r="AI577" s="7"/>
      <c r="AJ577" s="7"/>
      <c r="AK577" s="35"/>
      <c r="AL577" s="35"/>
      <c r="AM577" s="35"/>
      <c r="AN577" s="35"/>
      <c r="AO577" s="35"/>
      <c r="AP577" s="35"/>
      <c r="AQ577" s="42"/>
      <c r="AR577" s="42"/>
      <c r="AS577" s="42"/>
      <c r="AT577" s="42"/>
      <c r="AU577" s="42"/>
      <c r="AV577" s="42"/>
      <c r="AW577" s="35"/>
      <c r="BV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FG577" s="23"/>
      <c r="FH577" s="23"/>
      <c r="FI577" s="23"/>
      <c r="FJ577" s="23"/>
      <c r="FK577" s="23"/>
      <c r="FL577" s="23"/>
      <c r="FM577" s="23"/>
      <c r="FN577" s="23"/>
    </row>
    <row r="578" spans="2:170" ht="12" customHeight="1" x14ac:dyDescent="0.3">
      <c r="B578" s="24"/>
      <c r="C578" s="24"/>
      <c r="D578" s="24"/>
      <c r="E578" s="24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D578" s="7"/>
      <c r="AE578" s="7"/>
      <c r="AF578" s="7"/>
      <c r="AG578" s="7"/>
      <c r="AH578" s="7"/>
      <c r="AI578" s="7"/>
      <c r="AJ578" s="7"/>
      <c r="AK578" s="35"/>
      <c r="AL578" s="35"/>
      <c r="AM578" s="35"/>
      <c r="AN578" s="35"/>
      <c r="AO578" s="35"/>
      <c r="AP578" s="35"/>
      <c r="AQ578" s="42"/>
      <c r="AR578" s="42"/>
      <c r="AS578" s="42"/>
      <c r="AT578" s="42"/>
      <c r="AU578" s="42"/>
      <c r="AV578" s="42"/>
      <c r="AW578" s="35"/>
      <c r="BV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FG578" s="23"/>
      <c r="FH578" s="23"/>
      <c r="FI578" s="23"/>
      <c r="FJ578" s="23"/>
      <c r="FK578" s="23"/>
      <c r="FL578" s="23"/>
      <c r="FM578" s="23"/>
      <c r="FN578" s="23"/>
    </row>
    <row r="579" spans="2:170" ht="12" customHeight="1" x14ac:dyDescent="0.3">
      <c r="B579" s="24"/>
      <c r="C579" s="24"/>
      <c r="D579" s="24"/>
      <c r="E579" s="24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D579" s="7"/>
      <c r="AE579" s="7"/>
      <c r="AF579" s="7"/>
      <c r="AG579" s="7"/>
      <c r="AH579" s="7"/>
      <c r="AI579" s="7"/>
      <c r="AJ579" s="7"/>
      <c r="AK579" s="35"/>
      <c r="AL579" s="35"/>
      <c r="AM579" s="35"/>
      <c r="AN579" s="35"/>
      <c r="AO579" s="35"/>
      <c r="AP579" s="35"/>
      <c r="AQ579" s="42"/>
      <c r="AR579" s="42"/>
      <c r="AS579" s="42"/>
      <c r="AT579" s="42"/>
      <c r="AU579" s="42"/>
      <c r="AV579" s="42"/>
      <c r="AW579" s="35"/>
      <c r="BV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FG579" s="23"/>
      <c r="FH579" s="23"/>
      <c r="FI579" s="23"/>
      <c r="FJ579" s="23"/>
      <c r="FK579" s="23"/>
      <c r="FL579" s="23"/>
      <c r="FM579" s="23"/>
      <c r="FN579" s="23"/>
    </row>
    <row r="580" spans="2:170" ht="12" customHeight="1" x14ac:dyDescent="0.3">
      <c r="B580" s="24"/>
      <c r="C580" s="24"/>
      <c r="D580" s="24"/>
      <c r="E580" s="24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D580" s="7"/>
      <c r="AE580" s="7"/>
      <c r="AF580" s="7"/>
      <c r="AG580" s="7"/>
      <c r="AH580" s="7"/>
      <c r="AI580" s="7"/>
      <c r="AJ580" s="7"/>
      <c r="AK580" s="35"/>
      <c r="AL580" s="35"/>
      <c r="AM580" s="35"/>
      <c r="AN580" s="35"/>
      <c r="AO580" s="35"/>
      <c r="AP580" s="35"/>
      <c r="AQ580" s="42"/>
      <c r="AR580" s="42"/>
      <c r="AS580" s="42"/>
      <c r="AT580" s="42"/>
      <c r="AU580" s="42"/>
      <c r="AV580" s="42"/>
      <c r="AW580" s="35"/>
      <c r="BV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FG580" s="23"/>
      <c r="FH580" s="23"/>
      <c r="FI580" s="23"/>
      <c r="FJ580" s="23"/>
      <c r="FK580" s="23"/>
      <c r="FL580" s="23"/>
      <c r="FM580" s="23"/>
      <c r="FN580" s="23"/>
    </row>
    <row r="581" spans="2:170" ht="12" customHeight="1" x14ac:dyDescent="0.3">
      <c r="B581" s="24"/>
      <c r="C581" s="24"/>
      <c r="D581" s="24"/>
      <c r="E581" s="24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D581" s="7"/>
      <c r="AE581" s="7"/>
      <c r="AF581" s="7"/>
      <c r="AG581" s="7"/>
      <c r="AH581" s="7"/>
      <c r="AI581" s="7"/>
      <c r="AJ581" s="7"/>
      <c r="AK581" s="35"/>
      <c r="AL581" s="35"/>
      <c r="AM581" s="35"/>
      <c r="AN581" s="35"/>
      <c r="AO581" s="35"/>
      <c r="AP581" s="35"/>
      <c r="AQ581" s="42"/>
      <c r="AR581" s="42"/>
      <c r="AS581" s="42"/>
      <c r="AT581" s="42"/>
      <c r="AU581" s="42"/>
      <c r="AV581" s="42"/>
      <c r="AW581" s="35"/>
      <c r="BV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FG581" s="23"/>
      <c r="FH581" s="23"/>
      <c r="FI581" s="23"/>
      <c r="FJ581" s="23"/>
      <c r="FK581" s="23"/>
      <c r="FL581" s="23"/>
      <c r="FM581" s="23"/>
      <c r="FN581" s="23"/>
    </row>
    <row r="582" spans="2:170" ht="12" customHeight="1" x14ac:dyDescent="0.3">
      <c r="B582" s="24"/>
      <c r="C582" s="24"/>
      <c r="D582" s="24"/>
      <c r="E582" s="24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D582" s="7"/>
      <c r="AE582" s="7"/>
      <c r="AF582" s="7"/>
      <c r="AG582" s="7"/>
      <c r="AH582" s="7"/>
      <c r="AI582" s="7"/>
      <c r="AJ582" s="7"/>
      <c r="AK582" s="35"/>
      <c r="AL582" s="35"/>
      <c r="AM582" s="35"/>
      <c r="AN582" s="35"/>
      <c r="AO582" s="35"/>
      <c r="AP582" s="35"/>
      <c r="AQ582" s="42"/>
      <c r="AR582" s="42"/>
      <c r="AS582" s="42"/>
      <c r="AT582" s="42"/>
      <c r="AU582" s="42"/>
      <c r="AV582" s="42"/>
      <c r="AW582" s="35"/>
      <c r="BV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FG582" s="23"/>
      <c r="FH582" s="23"/>
      <c r="FI582" s="23"/>
      <c r="FJ582" s="23"/>
      <c r="FK582" s="23"/>
      <c r="FL582" s="23"/>
      <c r="FM582" s="23"/>
      <c r="FN582" s="23"/>
    </row>
    <row r="583" spans="2:170" ht="12" customHeight="1" x14ac:dyDescent="0.3">
      <c r="B583" s="24"/>
      <c r="C583" s="24"/>
      <c r="D583" s="24"/>
      <c r="E583" s="24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D583" s="7"/>
      <c r="AE583" s="7"/>
      <c r="AF583" s="7"/>
      <c r="AG583" s="7"/>
      <c r="AH583" s="7"/>
      <c r="AI583" s="7"/>
      <c r="AJ583" s="7"/>
      <c r="AK583" s="35"/>
      <c r="AL583" s="35"/>
      <c r="AM583" s="35"/>
      <c r="AN583" s="35"/>
      <c r="AO583" s="35"/>
      <c r="AP583" s="35"/>
      <c r="AQ583" s="42"/>
      <c r="AR583" s="42"/>
      <c r="AS583" s="42"/>
      <c r="AT583" s="42"/>
      <c r="AU583" s="42"/>
      <c r="AV583" s="42"/>
      <c r="AW583" s="35"/>
      <c r="BV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FG583" s="23"/>
      <c r="FH583" s="23"/>
      <c r="FI583" s="23"/>
      <c r="FJ583" s="23"/>
      <c r="FK583" s="23"/>
      <c r="FL583" s="23"/>
      <c r="FM583" s="23"/>
      <c r="FN583" s="23"/>
    </row>
    <row r="584" spans="2:170" ht="12" customHeight="1" x14ac:dyDescent="0.3">
      <c r="B584" s="24"/>
      <c r="C584" s="24"/>
      <c r="D584" s="24"/>
      <c r="E584" s="24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D584" s="7"/>
      <c r="AE584" s="7"/>
      <c r="AF584" s="7"/>
      <c r="AG584" s="7"/>
      <c r="AH584" s="7"/>
      <c r="AI584" s="7"/>
      <c r="AJ584" s="7"/>
      <c r="AK584" s="35"/>
      <c r="AL584" s="35"/>
      <c r="AM584" s="35"/>
      <c r="AN584" s="35"/>
      <c r="AO584" s="35"/>
      <c r="AP584" s="35"/>
      <c r="AQ584" s="42"/>
      <c r="AR584" s="42"/>
      <c r="AS584" s="42"/>
      <c r="AT584" s="42"/>
      <c r="AU584" s="42"/>
      <c r="AV584" s="42"/>
      <c r="AW584" s="35"/>
      <c r="BV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FG584" s="23"/>
      <c r="FH584" s="23"/>
      <c r="FI584" s="23"/>
      <c r="FJ584" s="23"/>
      <c r="FK584" s="23"/>
      <c r="FL584" s="23"/>
      <c r="FM584" s="23"/>
      <c r="FN584" s="23"/>
    </row>
    <row r="585" spans="2:170" ht="12" customHeight="1" x14ac:dyDescent="0.3">
      <c r="B585" s="24"/>
      <c r="C585" s="24"/>
      <c r="D585" s="24"/>
      <c r="E585" s="24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D585" s="7"/>
      <c r="AE585" s="7"/>
      <c r="AF585" s="7"/>
      <c r="AG585" s="7"/>
      <c r="AH585" s="7"/>
      <c r="AI585" s="7"/>
      <c r="AJ585" s="7"/>
      <c r="AK585" s="35"/>
      <c r="AL585" s="35"/>
      <c r="AM585" s="35"/>
      <c r="AN585" s="35"/>
      <c r="AO585" s="35"/>
      <c r="AP585" s="35"/>
      <c r="AQ585" s="42"/>
      <c r="AR585" s="42"/>
      <c r="AS585" s="42"/>
      <c r="AT585" s="42"/>
      <c r="AU585" s="42"/>
      <c r="AV585" s="42"/>
      <c r="AW585" s="35"/>
      <c r="BV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FG585" s="23"/>
      <c r="FH585" s="23"/>
      <c r="FI585" s="23"/>
      <c r="FJ585" s="23"/>
      <c r="FK585" s="23"/>
      <c r="FL585" s="23"/>
      <c r="FM585" s="23"/>
      <c r="FN585" s="23"/>
    </row>
    <row r="586" spans="2:170" ht="12" customHeight="1" x14ac:dyDescent="0.3">
      <c r="B586" s="24"/>
      <c r="C586" s="24"/>
      <c r="D586" s="24"/>
      <c r="E586" s="24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D586" s="7"/>
      <c r="AE586" s="7"/>
      <c r="AF586" s="7"/>
      <c r="AG586" s="7"/>
      <c r="AH586" s="7"/>
      <c r="AI586" s="7"/>
      <c r="AJ586" s="7"/>
      <c r="AK586" s="35"/>
      <c r="AL586" s="35"/>
      <c r="AM586" s="35"/>
      <c r="AN586" s="35"/>
      <c r="AO586" s="35"/>
      <c r="AP586" s="35"/>
      <c r="AQ586" s="42"/>
      <c r="AR586" s="42"/>
      <c r="AS586" s="42"/>
      <c r="AT586" s="42"/>
      <c r="AU586" s="42"/>
      <c r="AV586" s="42"/>
      <c r="AW586" s="35"/>
      <c r="BV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FG586" s="23"/>
      <c r="FH586" s="23"/>
      <c r="FI586" s="23"/>
      <c r="FJ586" s="23"/>
      <c r="FK586" s="23"/>
      <c r="FL586" s="23"/>
      <c r="FM586" s="23"/>
      <c r="FN586" s="23"/>
    </row>
    <row r="587" spans="2:170" ht="12" customHeight="1" x14ac:dyDescent="0.3">
      <c r="B587" s="24"/>
      <c r="C587" s="24"/>
      <c r="D587" s="24"/>
      <c r="E587" s="24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D587" s="7"/>
      <c r="AE587" s="7"/>
      <c r="AF587" s="7"/>
      <c r="AG587" s="7"/>
      <c r="AH587" s="7"/>
      <c r="AI587" s="7"/>
      <c r="AJ587" s="7"/>
      <c r="AK587" s="35"/>
      <c r="AL587" s="35"/>
      <c r="AM587" s="35"/>
      <c r="AN587" s="35"/>
      <c r="AO587" s="35"/>
      <c r="AP587" s="35"/>
      <c r="AQ587" s="42"/>
      <c r="AR587" s="42"/>
      <c r="AS587" s="42"/>
      <c r="AT587" s="42"/>
      <c r="AU587" s="42"/>
      <c r="AV587" s="42"/>
      <c r="AW587" s="35"/>
      <c r="BV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FG587" s="23"/>
      <c r="FH587" s="23"/>
      <c r="FI587" s="23"/>
      <c r="FJ587" s="23"/>
      <c r="FK587" s="23"/>
      <c r="FL587" s="23"/>
      <c r="FM587" s="23"/>
      <c r="FN587" s="23"/>
    </row>
    <row r="588" spans="2:170" ht="12" customHeight="1" x14ac:dyDescent="0.3">
      <c r="B588" s="24"/>
      <c r="C588" s="24"/>
      <c r="D588" s="24"/>
      <c r="E588" s="24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D588" s="7"/>
      <c r="AE588" s="7"/>
      <c r="AF588" s="7"/>
      <c r="AG588" s="7"/>
      <c r="AH588" s="7"/>
      <c r="AI588" s="7"/>
      <c r="AJ588" s="7"/>
      <c r="AK588" s="35"/>
      <c r="AL588" s="35"/>
      <c r="AM588" s="35"/>
      <c r="AN588" s="35"/>
      <c r="AO588" s="35"/>
      <c r="AP588" s="35"/>
      <c r="AQ588" s="42"/>
      <c r="AR588" s="42"/>
      <c r="AS588" s="42"/>
      <c r="AT588" s="42"/>
      <c r="AU588" s="42"/>
      <c r="AV588" s="42"/>
      <c r="AW588" s="35"/>
      <c r="BV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FG588" s="23"/>
      <c r="FH588" s="23"/>
      <c r="FI588" s="23"/>
      <c r="FJ588" s="23"/>
      <c r="FK588" s="23"/>
      <c r="FL588" s="23"/>
      <c r="FM588" s="23"/>
      <c r="FN588" s="23"/>
    </row>
    <row r="589" spans="2:170" ht="12" customHeight="1" x14ac:dyDescent="0.3">
      <c r="B589" s="24"/>
      <c r="C589" s="24"/>
      <c r="D589" s="24"/>
      <c r="E589" s="24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D589" s="7"/>
      <c r="AE589" s="7"/>
      <c r="AF589" s="7"/>
      <c r="AG589" s="7"/>
      <c r="AH589" s="7"/>
      <c r="AI589" s="7"/>
      <c r="AJ589" s="7"/>
      <c r="AK589" s="35"/>
      <c r="AL589" s="35"/>
      <c r="AM589" s="35"/>
      <c r="AN589" s="35"/>
      <c r="AO589" s="35"/>
      <c r="AP589" s="35"/>
      <c r="AQ589" s="42"/>
      <c r="AR589" s="42"/>
      <c r="AS589" s="42"/>
      <c r="AT589" s="42"/>
      <c r="AU589" s="42"/>
      <c r="AV589" s="42"/>
      <c r="AW589" s="35"/>
      <c r="BV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FG589" s="23"/>
      <c r="FH589" s="23"/>
      <c r="FI589" s="23"/>
      <c r="FJ589" s="23"/>
      <c r="FK589" s="23"/>
      <c r="FL589" s="23"/>
      <c r="FM589" s="23"/>
      <c r="FN589" s="23"/>
    </row>
    <row r="590" spans="2:170" ht="12" customHeight="1" x14ac:dyDescent="0.3">
      <c r="B590" s="24"/>
      <c r="C590" s="24"/>
      <c r="D590" s="24"/>
      <c r="E590" s="24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D590" s="7"/>
      <c r="AE590" s="7"/>
      <c r="AF590" s="7"/>
      <c r="AG590" s="7"/>
      <c r="AH590" s="7"/>
      <c r="AI590" s="7"/>
      <c r="AJ590" s="7"/>
      <c r="AK590" s="35"/>
      <c r="AL590" s="35"/>
      <c r="AM590" s="35"/>
      <c r="AN590" s="35"/>
      <c r="AO590" s="35"/>
      <c r="AP590" s="35"/>
      <c r="AQ590" s="42"/>
      <c r="AR590" s="42"/>
      <c r="AS590" s="42"/>
      <c r="AT590" s="42"/>
      <c r="AU590" s="42"/>
      <c r="AV590" s="42"/>
      <c r="AW590" s="35"/>
      <c r="BV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FG590" s="23"/>
      <c r="FH590" s="23"/>
      <c r="FI590" s="23"/>
      <c r="FJ590" s="23"/>
      <c r="FK590" s="23"/>
      <c r="FL590" s="23"/>
      <c r="FM590" s="23"/>
      <c r="FN590" s="23"/>
    </row>
    <row r="591" spans="2:170" ht="12" customHeight="1" x14ac:dyDescent="0.3">
      <c r="B591" s="24"/>
      <c r="C591" s="24"/>
      <c r="D591" s="24"/>
      <c r="E591" s="24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D591" s="7"/>
      <c r="AE591" s="7"/>
      <c r="AF591" s="7"/>
      <c r="AG591" s="7"/>
      <c r="AH591" s="7"/>
      <c r="AI591" s="7"/>
      <c r="AJ591" s="7"/>
      <c r="AK591" s="35"/>
      <c r="AL591" s="35"/>
      <c r="AM591" s="35"/>
      <c r="AN591" s="35"/>
      <c r="AO591" s="35"/>
      <c r="AP591" s="35"/>
      <c r="AQ591" s="42"/>
      <c r="AR591" s="42"/>
      <c r="AS591" s="42"/>
      <c r="AT591" s="42"/>
      <c r="AU591" s="42"/>
      <c r="AV591" s="42"/>
      <c r="AW591" s="35"/>
      <c r="BV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FG591" s="23"/>
      <c r="FH591" s="23"/>
      <c r="FI591" s="23"/>
      <c r="FJ591" s="23"/>
      <c r="FK591" s="23"/>
      <c r="FL591" s="23"/>
      <c r="FM591" s="23"/>
      <c r="FN591" s="23"/>
    </row>
    <row r="592" spans="2:170" ht="12" customHeight="1" x14ac:dyDescent="0.3">
      <c r="B592" s="24"/>
      <c r="C592" s="24"/>
      <c r="D592" s="24"/>
      <c r="E592" s="24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D592" s="7"/>
      <c r="AE592" s="7"/>
      <c r="AF592" s="7"/>
      <c r="AG592" s="7"/>
      <c r="AH592" s="7"/>
      <c r="AI592" s="7"/>
      <c r="AJ592" s="7"/>
      <c r="AK592" s="35"/>
      <c r="AL592" s="35"/>
      <c r="AM592" s="35"/>
      <c r="AN592" s="35"/>
      <c r="AO592" s="35"/>
      <c r="AP592" s="35"/>
      <c r="AQ592" s="42"/>
      <c r="AR592" s="42"/>
      <c r="AS592" s="42"/>
      <c r="AT592" s="42"/>
      <c r="AU592" s="42"/>
      <c r="AV592" s="42"/>
      <c r="AW592" s="35"/>
      <c r="BV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FG592" s="23"/>
      <c r="FH592" s="23"/>
      <c r="FI592" s="23"/>
      <c r="FJ592" s="23"/>
      <c r="FK592" s="23"/>
      <c r="FL592" s="23"/>
      <c r="FM592" s="23"/>
      <c r="FN592" s="23"/>
    </row>
    <row r="593" spans="2:170" ht="12" customHeight="1" x14ac:dyDescent="0.3">
      <c r="B593" s="24"/>
      <c r="C593" s="24"/>
      <c r="D593" s="24"/>
      <c r="E593" s="24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D593" s="7"/>
      <c r="AE593" s="7"/>
      <c r="AF593" s="7"/>
      <c r="AG593" s="7"/>
      <c r="AH593" s="7"/>
      <c r="AI593" s="7"/>
      <c r="AJ593" s="7"/>
      <c r="AK593" s="35"/>
      <c r="AL593" s="35"/>
      <c r="AM593" s="35"/>
      <c r="AN593" s="35"/>
      <c r="AO593" s="35"/>
      <c r="AP593" s="35"/>
      <c r="AQ593" s="42"/>
      <c r="AR593" s="42"/>
      <c r="AS593" s="42"/>
      <c r="AT593" s="42"/>
      <c r="AU593" s="42"/>
      <c r="AV593" s="42"/>
      <c r="AW593" s="35"/>
      <c r="BV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FG593" s="23"/>
      <c r="FH593" s="23"/>
      <c r="FI593" s="23"/>
      <c r="FJ593" s="23"/>
      <c r="FK593" s="23"/>
      <c r="FL593" s="23"/>
      <c r="FM593" s="23"/>
      <c r="FN593" s="23"/>
    </row>
    <row r="594" spans="2:170" ht="12" customHeight="1" x14ac:dyDescent="0.3">
      <c r="B594" s="24"/>
      <c r="C594" s="24"/>
      <c r="D594" s="24"/>
      <c r="E594" s="24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D594" s="7"/>
      <c r="AE594" s="7"/>
      <c r="AF594" s="7"/>
      <c r="AG594" s="7"/>
      <c r="AH594" s="7"/>
      <c r="AI594" s="7"/>
      <c r="AJ594" s="7"/>
      <c r="AK594" s="35"/>
      <c r="AL594" s="35"/>
      <c r="AM594" s="35"/>
      <c r="AN594" s="35"/>
      <c r="AO594" s="35"/>
      <c r="AP594" s="35"/>
      <c r="AQ594" s="42"/>
      <c r="AR594" s="42"/>
      <c r="AS594" s="42"/>
      <c r="AT594" s="42"/>
      <c r="AU594" s="42"/>
      <c r="AV594" s="42"/>
      <c r="AW594" s="35"/>
      <c r="BV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FG594" s="23"/>
      <c r="FH594" s="23"/>
      <c r="FI594" s="23"/>
      <c r="FJ594" s="23"/>
      <c r="FK594" s="23"/>
      <c r="FL594" s="23"/>
      <c r="FM594" s="23"/>
      <c r="FN594" s="23"/>
    </row>
    <row r="595" spans="2:170" ht="12" customHeight="1" x14ac:dyDescent="0.3">
      <c r="B595" s="24"/>
      <c r="C595" s="24"/>
      <c r="D595" s="24"/>
      <c r="E595" s="24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D595" s="7"/>
      <c r="AE595" s="7"/>
      <c r="AF595" s="7"/>
      <c r="AG595" s="7"/>
      <c r="AH595" s="7"/>
      <c r="AI595" s="7"/>
      <c r="AJ595" s="7"/>
      <c r="AK595" s="35"/>
      <c r="AL595" s="35"/>
      <c r="AM595" s="35"/>
      <c r="AN595" s="35"/>
      <c r="AO595" s="35"/>
      <c r="AP595" s="35"/>
      <c r="AQ595" s="42"/>
      <c r="AR595" s="42"/>
      <c r="AS595" s="42"/>
      <c r="AT595" s="42"/>
      <c r="AU595" s="42"/>
      <c r="AV595" s="42"/>
      <c r="AW595" s="35"/>
      <c r="BV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FG595" s="23"/>
      <c r="FH595" s="23"/>
      <c r="FI595" s="23"/>
      <c r="FJ595" s="23"/>
      <c r="FK595" s="23"/>
      <c r="FL595" s="23"/>
      <c r="FM595" s="23"/>
      <c r="FN595" s="23"/>
    </row>
    <row r="596" spans="2:170" ht="12" customHeight="1" x14ac:dyDescent="0.3">
      <c r="B596" s="24"/>
      <c r="C596" s="24"/>
      <c r="D596" s="24"/>
      <c r="E596" s="24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D596" s="7"/>
      <c r="AE596" s="7"/>
      <c r="AF596" s="7"/>
      <c r="AG596" s="7"/>
      <c r="AH596" s="7"/>
      <c r="AI596" s="7"/>
      <c r="AJ596" s="7"/>
      <c r="AK596" s="35"/>
      <c r="AL596" s="35"/>
      <c r="AM596" s="35"/>
      <c r="AN596" s="35"/>
      <c r="AO596" s="35"/>
      <c r="AP596" s="35"/>
      <c r="AQ596" s="42"/>
      <c r="AR596" s="42"/>
      <c r="AS596" s="42"/>
      <c r="AT596" s="42"/>
      <c r="AU596" s="42"/>
      <c r="AV596" s="42"/>
      <c r="AW596" s="35"/>
      <c r="BV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FG596" s="23"/>
      <c r="FH596" s="23"/>
      <c r="FI596" s="23"/>
      <c r="FJ596" s="23"/>
      <c r="FK596" s="23"/>
      <c r="FL596" s="23"/>
      <c r="FM596" s="23"/>
      <c r="FN596" s="23"/>
    </row>
    <row r="597" spans="2:170" ht="12" customHeight="1" x14ac:dyDescent="0.3">
      <c r="B597" s="24"/>
      <c r="C597" s="24"/>
      <c r="D597" s="24"/>
      <c r="E597" s="24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D597" s="7"/>
      <c r="AE597" s="7"/>
      <c r="AF597" s="7"/>
      <c r="AG597" s="7"/>
      <c r="AH597" s="7"/>
      <c r="AI597" s="7"/>
      <c r="AJ597" s="7"/>
      <c r="AK597" s="35"/>
      <c r="AL597" s="35"/>
      <c r="AM597" s="35"/>
      <c r="AN597" s="35"/>
      <c r="AO597" s="35"/>
      <c r="AP597" s="35"/>
      <c r="AQ597" s="42"/>
      <c r="AR597" s="42"/>
      <c r="AS597" s="42"/>
      <c r="AT597" s="42"/>
      <c r="AU597" s="42"/>
      <c r="AV597" s="42"/>
      <c r="AW597" s="35"/>
      <c r="BV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FG597" s="23"/>
      <c r="FH597" s="23"/>
      <c r="FI597" s="23"/>
      <c r="FJ597" s="23"/>
      <c r="FK597" s="23"/>
      <c r="FL597" s="23"/>
      <c r="FM597" s="23"/>
      <c r="FN597" s="23"/>
    </row>
    <row r="598" spans="2:170" ht="12" customHeight="1" x14ac:dyDescent="0.3">
      <c r="B598" s="24"/>
      <c r="C598" s="24"/>
      <c r="D598" s="24"/>
      <c r="E598" s="24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D598" s="7"/>
      <c r="AE598" s="7"/>
      <c r="AF598" s="7"/>
      <c r="AG598" s="7"/>
      <c r="AH598" s="7"/>
      <c r="AI598" s="7"/>
      <c r="AJ598" s="7"/>
      <c r="AK598" s="35"/>
      <c r="AL598" s="35"/>
      <c r="AM598" s="35"/>
      <c r="AN598" s="35"/>
      <c r="AO598" s="35"/>
      <c r="AP598" s="35"/>
      <c r="AQ598" s="42"/>
      <c r="AR598" s="42"/>
      <c r="AS598" s="42"/>
      <c r="AT598" s="42"/>
      <c r="AU598" s="42"/>
      <c r="AV598" s="42"/>
      <c r="AW598" s="35"/>
      <c r="BV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FG598" s="23"/>
      <c r="FH598" s="23"/>
      <c r="FI598" s="23"/>
      <c r="FJ598" s="23"/>
      <c r="FK598" s="23"/>
      <c r="FL598" s="23"/>
      <c r="FM598" s="23"/>
      <c r="FN598" s="23"/>
    </row>
    <row r="599" spans="2:170" ht="12" customHeight="1" x14ac:dyDescent="0.3">
      <c r="B599" s="24"/>
      <c r="C599" s="24"/>
      <c r="D599" s="24"/>
      <c r="E599" s="24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D599" s="7"/>
      <c r="AE599" s="7"/>
      <c r="AF599" s="7"/>
      <c r="AG599" s="7"/>
      <c r="AH599" s="7"/>
      <c r="AI599" s="7"/>
      <c r="AJ599" s="7"/>
      <c r="AK599" s="35"/>
      <c r="AL599" s="35"/>
      <c r="AM599" s="35"/>
      <c r="AN599" s="35"/>
      <c r="AO599" s="35"/>
      <c r="AP599" s="35"/>
      <c r="AQ599" s="42"/>
      <c r="AR599" s="42"/>
      <c r="AS599" s="42"/>
      <c r="AT599" s="42"/>
      <c r="AU599" s="42"/>
      <c r="AV599" s="42"/>
      <c r="AW599" s="35"/>
      <c r="BV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FG599" s="23"/>
      <c r="FH599" s="23"/>
      <c r="FI599" s="23"/>
      <c r="FJ599" s="23"/>
      <c r="FK599" s="23"/>
      <c r="FL599" s="23"/>
      <c r="FM599" s="23"/>
      <c r="FN599" s="23"/>
    </row>
    <row r="600" spans="2:170" ht="12" customHeight="1" x14ac:dyDescent="0.3">
      <c r="B600" s="14"/>
      <c r="C600" s="14"/>
      <c r="D600" s="14"/>
      <c r="E600" s="14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E600" s="7"/>
      <c r="AF600" s="7"/>
      <c r="AG600" s="7"/>
      <c r="AH600" s="7"/>
      <c r="AI600" s="7"/>
      <c r="AJ600" s="7"/>
      <c r="BV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FG600" s="23"/>
      <c r="FH600" s="23"/>
      <c r="FI600" s="23"/>
      <c r="FJ600" s="23"/>
      <c r="FK600" s="23"/>
      <c r="FL600" s="23"/>
      <c r="FM600" s="23"/>
      <c r="FN600" s="23"/>
    </row>
    <row r="601" spans="2:170" ht="12" customHeight="1" x14ac:dyDescent="0.3">
      <c r="B601" s="14"/>
      <c r="C601" s="14"/>
      <c r="D601" s="14"/>
      <c r="E601" s="14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E601" s="7"/>
      <c r="AF601" s="7"/>
      <c r="AG601" s="7"/>
      <c r="AH601" s="7"/>
      <c r="AI601" s="7"/>
      <c r="AJ601" s="7"/>
      <c r="BV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FG601" s="23"/>
      <c r="FH601" s="23"/>
      <c r="FI601" s="23"/>
      <c r="FJ601" s="23"/>
      <c r="FK601" s="23"/>
      <c r="FL601" s="23"/>
      <c r="FM601" s="23"/>
      <c r="FN601" s="23"/>
    </row>
    <row r="602" spans="2:170" ht="12" customHeight="1" x14ac:dyDescent="0.3">
      <c r="B602" s="14"/>
      <c r="C602" s="14"/>
      <c r="D602" s="14"/>
      <c r="E602" s="14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39"/>
      <c r="AR602" s="39"/>
      <c r="AS602" s="39"/>
      <c r="AT602" s="39"/>
      <c r="AU602" s="39"/>
      <c r="AV602" s="39"/>
      <c r="AW602" s="7"/>
      <c r="BV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FG602" s="23"/>
      <c r="FH602" s="23"/>
      <c r="FI602" s="23"/>
      <c r="FJ602" s="23"/>
      <c r="FK602" s="23"/>
      <c r="FL602" s="23"/>
      <c r="FM602" s="23"/>
      <c r="FN602" s="23"/>
    </row>
    <row r="603" spans="2:170" ht="12" customHeight="1" x14ac:dyDescent="0.3">
      <c r="B603" s="14"/>
      <c r="C603" s="14"/>
      <c r="D603" s="14"/>
      <c r="E603" s="14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39"/>
      <c r="AR603" s="39"/>
      <c r="AS603" s="39"/>
      <c r="AT603" s="39"/>
      <c r="AU603" s="39"/>
      <c r="AV603" s="39"/>
      <c r="AW603" s="7"/>
      <c r="BV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FG603" s="23"/>
      <c r="FH603" s="23"/>
      <c r="FI603" s="23"/>
      <c r="FJ603" s="23"/>
      <c r="FK603" s="23"/>
      <c r="FL603" s="23"/>
      <c r="FM603" s="23"/>
      <c r="FN603" s="23"/>
    </row>
    <row r="604" spans="2:170" ht="12" customHeight="1" x14ac:dyDescent="0.3">
      <c r="B604" s="14"/>
      <c r="C604" s="14"/>
      <c r="D604" s="14"/>
      <c r="E604" s="14"/>
      <c r="F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39"/>
      <c r="AR604" s="39"/>
      <c r="AS604" s="39"/>
      <c r="AT604" s="39"/>
      <c r="AU604" s="39"/>
      <c r="AV604" s="39"/>
      <c r="AW604" s="7"/>
      <c r="BV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FG604" s="23"/>
      <c r="FH604" s="23"/>
      <c r="FI604" s="23"/>
      <c r="FJ604" s="23"/>
      <c r="FK604" s="23"/>
      <c r="FL604" s="23"/>
      <c r="FM604" s="23"/>
      <c r="FN604" s="23"/>
    </row>
    <row r="605" spans="2:170" ht="12" customHeight="1" x14ac:dyDescent="0.3">
      <c r="B605" s="14"/>
      <c r="C605" s="14"/>
      <c r="D605" s="14"/>
      <c r="E605" s="14"/>
      <c r="F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K605" s="7"/>
      <c r="AL605" s="7"/>
      <c r="AM605" s="7"/>
      <c r="AN605" s="7"/>
      <c r="AO605" s="7"/>
      <c r="AP605" s="7"/>
      <c r="AQ605" s="39"/>
      <c r="AR605" s="39"/>
      <c r="AS605" s="39"/>
      <c r="AT605" s="39"/>
      <c r="AU605" s="39"/>
      <c r="AV605" s="39"/>
      <c r="AW605" s="7"/>
      <c r="BV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FG605" s="23"/>
      <c r="FH605" s="23"/>
      <c r="FI605" s="23"/>
      <c r="FJ605" s="23"/>
      <c r="FK605" s="23"/>
      <c r="FL605" s="23"/>
      <c r="FM605" s="23"/>
      <c r="FN605" s="23"/>
    </row>
    <row r="606" spans="2:170" ht="12" customHeight="1" x14ac:dyDescent="0.3">
      <c r="B606" s="24"/>
      <c r="C606" s="24"/>
      <c r="D606" s="24"/>
      <c r="E606" s="24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D606" s="7"/>
      <c r="AE606" s="7"/>
      <c r="AF606" s="7"/>
      <c r="AG606" s="7"/>
      <c r="AH606" s="7"/>
      <c r="AI606" s="7"/>
      <c r="AJ606" s="7"/>
      <c r="BV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FG606" s="23"/>
      <c r="FH606" s="23"/>
      <c r="FI606" s="23"/>
      <c r="FJ606" s="23"/>
      <c r="FK606" s="23"/>
      <c r="FL606" s="23"/>
      <c r="FM606" s="23"/>
      <c r="FN606" s="23"/>
    </row>
    <row r="607" spans="2:170" ht="12" customHeight="1" x14ac:dyDescent="0.3">
      <c r="B607" s="24"/>
      <c r="C607" s="24"/>
      <c r="D607" s="24"/>
      <c r="E607" s="24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D607" s="7"/>
      <c r="AE607" s="7"/>
      <c r="AF607" s="7"/>
      <c r="AG607" s="7"/>
      <c r="AH607" s="7"/>
      <c r="AI607" s="7"/>
      <c r="AJ607" s="7"/>
      <c r="BV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FG607" s="23"/>
      <c r="FH607" s="23"/>
      <c r="FI607" s="23"/>
      <c r="FJ607" s="23"/>
      <c r="FK607" s="23"/>
      <c r="FL607" s="23"/>
      <c r="FM607" s="23"/>
      <c r="FN607" s="23"/>
    </row>
    <row r="608" spans="2:170" ht="12" customHeight="1" x14ac:dyDescent="0.3">
      <c r="B608" s="24"/>
      <c r="C608" s="24"/>
      <c r="D608" s="24"/>
      <c r="E608" s="24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D608" s="7"/>
      <c r="AE608" s="34"/>
      <c r="AF608" s="7"/>
      <c r="AG608" s="7"/>
      <c r="AH608" s="7"/>
      <c r="AI608" s="7"/>
      <c r="AJ608" s="7"/>
      <c r="BV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FG608" s="23"/>
      <c r="FH608" s="23"/>
      <c r="FI608" s="23"/>
      <c r="FJ608" s="23"/>
      <c r="FK608" s="23"/>
      <c r="FL608" s="23"/>
      <c r="FM608" s="23"/>
      <c r="FN608" s="23"/>
    </row>
    <row r="609" spans="2:170" ht="12" customHeight="1" x14ac:dyDescent="0.3">
      <c r="B609" s="24"/>
      <c r="C609" s="24"/>
      <c r="D609" s="24"/>
      <c r="E609" s="24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D609" s="7"/>
      <c r="AE609" s="34"/>
      <c r="AF609" s="7"/>
      <c r="AG609" s="7"/>
      <c r="AH609" s="7"/>
      <c r="AI609" s="7"/>
      <c r="AJ609" s="7"/>
      <c r="BV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FG609" s="23"/>
      <c r="FH609" s="23"/>
      <c r="FI609" s="23"/>
      <c r="FJ609" s="23"/>
      <c r="FK609" s="23"/>
      <c r="FL609" s="23"/>
      <c r="FM609" s="23"/>
      <c r="FN609" s="23"/>
    </row>
    <row r="610" spans="2:170" ht="12" customHeight="1" x14ac:dyDescent="0.3">
      <c r="B610" s="24"/>
      <c r="C610" s="24"/>
      <c r="D610" s="24"/>
      <c r="E610" s="24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D610" s="7"/>
      <c r="AE610" s="7"/>
      <c r="AF610" s="7"/>
      <c r="AG610" s="7"/>
      <c r="AH610" s="7"/>
      <c r="AI610" s="7"/>
      <c r="AJ610" s="7"/>
      <c r="BV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FG610" s="23"/>
      <c r="FH610" s="23"/>
      <c r="FI610" s="23"/>
      <c r="FJ610" s="23"/>
      <c r="FK610" s="23"/>
      <c r="FL610" s="23"/>
      <c r="FM610" s="23"/>
      <c r="FN610" s="23"/>
    </row>
    <row r="611" spans="2:170" ht="12" customHeight="1" x14ac:dyDescent="0.3">
      <c r="B611" s="24"/>
      <c r="C611" s="24"/>
      <c r="D611" s="24"/>
      <c r="E611" s="24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D611" s="7"/>
      <c r="AE611" s="7"/>
      <c r="AF611" s="7"/>
      <c r="AG611" s="7"/>
      <c r="AH611" s="7"/>
      <c r="AI611" s="7"/>
      <c r="AJ611" s="7"/>
      <c r="BV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FG611" s="23"/>
      <c r="FH611" s="23"/>
      <c r="FI611" s="23"/>
      <c r="FJ611" s="23"/>
      <c r="FK611" s="23"/>
      <c r="FL611" s="23"/>
      <c r="FM611" s="23"/>
      <c r="FN611" s="23"/>
    </row>
    <row r="612" spans="2:170" ht="12" customHeight="1" x14ac:dyDescent="0.3">
      <c r="B612" s="24"/>
      <c r="C612" s="24"/>
      <c r="D612" s="24"/>
      <c r="E612" s="24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D612" s="7"/>
      <c r="AE612" s="34"/>
      <c r="AF612" s="7"/>
      <c r="AG612" s="7"/>
      <c r="AH612" s="7"/>
      <c r="AI612" s="7"/>
      <c r="AJ612" s="7"/>
      <c r="BV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FG612" s="23"/>
      <c r="FH612" s="23"/>
      <c r="FI612" s="23"/>
      <c r="FJ612" s="23"/>
      <c r="FK612" s="23"/>
      <c r="FL612" s="23"/>
      <c r="FM612" s="23"/>
      <c r="FN612" s="23"/>
    </row>
    <row r="613" spans="2:170" ht="12" customHeight="1" x14ac:dyDescent="0.3">
      <c r="B613" s="24"/>
      <c r="C613" s="24"/>
      <c r="D613" s="24"/>
      <c r="E613" s="24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D613" s="7"/>
      <c r="AE613" s="34"/>
      <c r="AF613" s="7"/>
      <c r="AG613" s="7"/>
      <c r="AH613" s="7"/>
      <c r="AI613" s="7"/>
      <c r="AJ613" s="7"/>
      <c r="BV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FG613" s="23"/>
      <c r="FH613" s="23"/>
      <c r="FI613" s="23"/>
      <c r="FJ613" s="23"/>
      <c r="FK613" s="23"/>
      <c r="FL613" s="23"/>
      <c r="FM613" s="23"/>
      <c r="FN613" s="23"/>
    </row>
    <row r="614" spans="2:170" ht="12" customHeight="1" x14ac:dyDescent="0.3">
      <c r="B614" s="24"/>
      <c r="C614" s="24"/>
      <c r="D614" s="24"/>
      <c r="E614" s="24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D614" s="7"/>
      <c r="AE614" s="7"/>
      <c r="AF614" s="7"/>
      <c r="AG614" s="7"/>
      <c r="AH614" s="7"/>
      <c r="AI614" s="7"/>
      <c r="AJ614" s="7"/>
      <c r="BV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FG614" s="23"/>
      <c r="FH614" s="23"/>
      <c r="FI614" s="23"/>
      <c r="FJ614" s="23"/>
      <c r="FK614" s="23"/>
      <c r="FL614" s="23"/>
      <c r="FM614" s="23"/>
      <c r="FN614" s="23"/>
    </row>
    <row r="615" spans="2:170" ht="12" customHeight="1" x14ac:dyDescent="0.3">
      <c r="B615" s="24"/>
      <c r="C615" s="24"/>
      <c r="D615" s="24"/>
      <c r="E615" s="24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D615" s="7"/>
      <c r="AE615" s="7"/>
      <c r="AF615" s="7"/>
      <c r="AG615" s="7"/>
      <c r="AH615" s="7"/>
      <c r="AI615" s="7"/>
      <c r="AJ615" s="7"/>
      <c r="BV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FG615" s="23"/>
      <c r="FH615" s="23"/>
      <c r="FI615" s="23"/>
      <c r="FJ615" s="23"/>
      <c r="FK615" s="23"/>
      <c r="FL615" s="23"/>
      <c r="FM615" s="23"/>
      <c r="FN615" s="23"/>
    </row>
    <row r="616" spans="2:170" ht="12" customHeight="1" x14ac:dyDescent="0.3">
      <c r="B616" s="24"/>
      <c r="C616" s="24"/>
      <c r="D616" s="24"/>
      <c r="E616" s="24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D616" s="7"/>
      <c r="AE616" s="7"/>
      <c r="AF616" s="7"/>
      <c r="AG616" s="7"/>
      <c r="AH616" s="7"/>
      <c r="AI616" s="7"/>
      <c r="AJ616" s="7"/>
      <c r="BV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FG616" s="23"/>
      <c r="FH616" s="23"/>
      <c r="FI616" s="23"/>
      <c r="FJ616" s="23"/>
      <c r="FK616" s="23"/>
      <c r="FL616" s="23"/>
      <c r="FM616" s="23"/>
      <c r="FN616" s="23"/>
    </row>
    <row r="617" spans="2:170" ht="12" customHeight="1" x14ac:dyDescent="0.3">
      <c r="B617" s="24"/>
      <c r="C617" s="24"/>
      <c r="D617" s="24"/>
      <c r="E617" s="24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D617" s="7"/>
      <c r="AE617" s="7"/>
      <c r="AF617" s="7"/>
      <c r="AG617" s="7"/>
      <c r="AH617" s="7"/>
      <c r="AI617" s="7"/>
      <c r="AJ617" s="7"/>
      <c r="BV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FG617" s="23"/>
      <c r="FH617" s="23"/>
      <c r="FI617" s="23"/>
      <c r="FJ617" s="23"/>
      <c r="FK617" s="23"/>
      <c r="FL617" s="23"/>
      <c r="FM617" s="23"/>
      <c r="FN617" s="23"/>
    </row>
    <row r="618" spans="2:170" ht="12" customHeight="1" x14ac:dyDescent="0.3">
      <c r="B618" s="24"/>
      <c r="C618" s="24"/>
      <c r="D618" s="24"/>
      <c r="E618" s="24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D618" s="7"/>
      <c r="AE618" s="34"/>
      <c r="AF618" s="7"/>
      <c r="AG618" s="7"/>
      <c r="AH618" s="7"/>
      <c r="AI618" s="7"/>
      <c r="AJ618" s="7"/>
      <c r="BV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FG618" s="23"/>
      <c r="FH618" s="23"/>
      <c r="FI618" s="23"/>
      <c r="FJ618" s="23"/>
      <c r="FK618" s="23"/>
      <c r="FL618" s="23"/>
      <c r="FM618" s="23"/>
      <c r="FN618" s="23"/>
    </row>
    <row r="619" spans="2:170" ht="12" customHeight="1" x14ac:dyDescent="0.3">
      <c r="B619" s="24"/>
      <c r="C619" s="24"/>
      <c r="D619" s="24"/>
      <c r="E619" s="24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D619" s="7"/>
      <c r="AE619" s="34"/>
      <c r="AF619" s="7"/>
      <c r="AG619" s="7"/>
      <c r="AH619" s="7"/>
      <c r="AI619" s="7"/>
      <c r="AJ619" s="7"/>
      <c r="BV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FG619" s="23"/>
      <c r="FH619" s="23"/>
      <c r="FI619" s="23"/>
      <c r="FJ619" s="23"/>
      <c r="FK619" s="23"/>
      <c r="FL619" s="23"/>
      <c r="FM619" s="23"/>
      <c r="FN619" s="23"/>
    </row>
    <row r="620" spans="2:170" ht="12" customHeight="1" x14ac:dyDescent="0.3">
      <c r="FG620" s="23"/>
      <c r="FH620" s="23"/>
      <c r="FI620" s="23"/>
      <c r="FJ620" s="23"/>
      <c r="FK620" s="23"/>
      <c r="FL620" s="23"/>
    </row>
  </sheetData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headed (2)</vt:lpstr>
      <vt:lpstr>headed</vt:lpstr>
      <vt:lpstr>headed_backup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BBamJoong</cp:lastModifiedBy>
  <dcterms:created xsi:type="dcterms:W3CDTF">2016-04-20T12:15:00Z</dcterms:created>
  <dcterms:modified xsi:type="dcterms:W3CDTF">2022-10-23T15:22:20Z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  <property fmtid="{D5CDD505-2E9C-101B-9397-08002B2CF9AE}" pid="3" name="KSOReadingLayout">
    <vt:bool>false</vt:bool>
  </property>
</Properties>
</file>